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43.xml" ContentType="application/vnd.openxmlformats-officedocument.spreadsheetml.table+xml"/>
  <Override PartName="/xl/queryTables/queryTable2.xml" ContentType="application/vnd.openxmlformats-officedocument.spreadsheetml.queryTable+xml"/>
  <Override PartName="/xl/tables/table44.xml" ContentType="application/vnd.openxmlformats-officedocument.spreadsheetml.table+xml"/>
  <Override PartName="/xl/queryTables/queryTable3.xml" ContentType="application/vnd.openxmlformats-officedocument.spreadsheetml.queryTable+xml"/>
  <Override PartName="/xl/tables/table45.xml" ContentType="application/vnd.openxmlformats-officedocument.spreadsheetml.table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tables/table55.xml" ContentType="application/vnd.openxmlformats-officedocument.spreadsheetml.table+xml"/>
  <Override PartName="/xl/queryTables/queryTable5.xml" ContentType="application/vnd.openxmlformats-officedocument.spreadsheetml.query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tables/table94.xml" ContentType="application/vnd.openxmlformats-officedocument.spreadsheetml.table+xml"/>
  <Override PartName="/xl/queryTables/queryTable6.xml" ContentType="application/vnd.openxmlformats-officedocument.spreadsheetml.queryTable+xml"/>
  <Override PartName="/xl/tables/table95.xml" ContentType="application/vnd.openxmlformats-officedocument.spreadsheetml.table+xml"/>
  <Override PartName="/xl/queryTables/queryTable7.xml" ContentType="application/vnd.openxmlformats-officedocument.spreadsheetml.queryTable+xml"/>
  <Override PartName="/xl/tables/table96.xml" ContentType="application/vnd.openxmlformats-officedocument.spreadsheetml.table+xml"/>
  <Override PartName="/xl/queryTables/queryTable8.xml" ContentType="application/vnd.openxmlformats-officedocument.spreadsheetml.queryTable+xml"/>
  <Override PartName="/xl/tables/table97.xml" ContentType="application/vnd.openxmlformats-officedocument.spreadsheetml.table+xml"/>
  <Override PartName="/xl/queryTables/queryTable9.xml" ContentType="application/vnd.openxmlformats-officedocument.spreadsheetml.queryTable+xml"/>
  <Override PartName="/xl/tables/table98.xml" ContentType="application/vnd.openxmlformats-officedocument.spreadsheetml.table+xml"/>
  <Override PartName="/xl/queryTables/queryTable10.xml" ContentType="application/vnd.openxmlformats-officedocument.spreadsheetml.queryTable+xml"/>
  <Override PartName="/xl/tables/table99.xml" ContentType="application/vnd.openxmlformats-officedocument.spreadsheetml.table+xml"/>
  <Override PartName="/xl/queryTables/queryTable1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mann\Desktop\"/>
    </mc:Choice>
  </mc:AlternateContent>
  <bookViews>
    <workbookView xWindow="0" yWindow="0" windowWidth="20490" windowHeight="7755" firstSheet="1" activeTab="1"/>
  </bookViews>
  <sheets>
    <sheet name="Sheet1" sheetId="27" state="hidden" r:id="rId1"/>
    <sheet name="Dashboard" sheetId="6" r:id="rId2"/>
    <sheet name="Demographic" sheetId="19" r:id="rId3"/>
    <sheet name="Settlement_totals" sheetId="9" r:id="rId4"/>
    <sheet name="Displacement_Reasons" sheetId="25" r:id="rId5"/>
    <sheet name="Locations" sheetId="1" r:id="rId6"/>
    <sheet name="Displacement_Periods" sheetId="7" r:id="rId7"/>
    <sheet name="Organizations" sheetId="3" r:id="rId8"/>
    <sheet name="Evolution_par_categorie" sheetId="16" r:id="rId9"/>
    <sheet name="Variations_R5_R12" sheetId="13" r:id="rId10"/>
    <sheet name="NewVillages" sheetId="17" r:id="rId11"/>
    <sheet name="Displacement &amp; Returns" sheetId="20" r:id="rId12"/>
    <sheet name="Total_data" sheetId="4" r:id="rId13"/>
  </sheets>
  <definedNames>
    <definedName name="_xlnm._FilterDatabase" localSheetId="9" hidden="1">Variations_R5_R12!$A$53:$F$201</definedName>
    <definedName name="DonnéesExternes_1" localSheetId="1" hidden="1">Dashboard!$A$1:$BY$748</definedName>
    <definedName name="DonnéesExternes_1" localSheetId="6" hidden="1">Displacement_Periods!$A$1:$W$1984</definedName>
    <definedName name="DonnéesExternes_1" localSheetId="5" hidden="1">Locations!$A$1:$R$748</definedName>
    <definedName name="DonnéesExternes_1" localSheetId="7" hidden="1">Organizations!$A$1:$AD$475</definedName>
    <definedName name="DonnéesExternes_1" localSheetId="12" hidden="1">Total_data!$A$1:$W$1984</definedName>
    <definedName name="DonnéesExternes_2" localSheetId="12" hidden="1">Total_data!$AD$1:$AU$125</definedName>
    <definedName name="DonnéesExternes_3" localSheetId="12" hidden="1">Total_data!$AX$1:$AZ$7</definedName>
    <definedName name="DonnéesExternes_4" localSheetId="12" hidden="1">Total_data!$BC$1:$BO$748</definedName>
    <definedName name="DonnéesExternes_5" localSheetId="12" hidden="1">Total_data!$BR$1:$CJ$744</definedName>
    <definedName name="ExternalData_1" localSheetId="10" hidden="1">NewVillages!$A$2:$K$6</definedName>
    <definedName name="ExternalData_1" localSheetId="12" hidden="1">Total_data!$CM$1:$CS$46</definedName>
    <definedName name="Organisations" localSheetId="2">#REF!</definedName>
    <definedName name="Organisations" localSheetId="11">#REF!</definedName>
    <definedName name="Organisations">#REF!</definedName>
    <definedName name="_xlnm.Print_Area" localSheetId="1">Dashboard!$D$498:$I$531</definedName>
    <definedName name="_xlnm.Print_Area" localSheetId="11">'Displacement &amp; Returns'!#REF!</definedName>
  </definedNames>
  <calcPr calcId="152511"/>
  <pivotCaches>
    <pivotCache cacheId="0" r:id="rId14"/>
    <pivotCache cacheId="1" r:id="rId15"/>
    <pivotCache cacheId="2" r:id="rId16"/>
  </pivotCaches>
</workbook>
</file>

<file path=xl/calcChain.xml><?xml version="1.0" encoding="utf-8"?>
<calcChain xmlns="http://schemas.openxmlformats.org/spreadsheetml/2006/main">
  <c r="AN48" i="13" l="1"/>
  <c r="AO48" i="13" l="1"/>
  <c r="AM48" i="13"/>
  <c r="AL48" i="13"/>
  <c r="AR48" i="13"/>
  <c r="E188" i="16" l="1"/>
  <c r="F188" i="16"/>
  <c r="G188" i="16"/>
  <c r="H188" i="16"/>
  <c r="I188" i="16"/>
  <c r="J188" i="16"/>
  <c r="K188" i="16"/>
  <c r="E189" i="16"/>
  <c r="F189" i="16"/>
  <c r="G189" i="16"/>
  <c r="H189" i="16"/>
  <c r="I189" i="16"/>
  <c r="J189" i="16"/>
  <c r="K189" i="16"/>
  <c r="E190" i="16"/>
  <c r="F190" i="16"/>
  <c r="G190" i="16"/>
  <c r="H190" i="16"/>
  <c r="I190" i="16"/>
  <c r="J190" i="16"/>
  <c r="K190" i="16"/>
  <c r="E191" i="16"/>
  <c r="F191" i="16"/>
  <c r="G191" i="16"/>
  <c r="H191" i="16"/>
  <c r="I191" i="16"/>
  <c r="J191" i="16"/>
  <c r="K191" i="16"/>
  <c r="E192" i="16"/>
  <c r="F192" i="16"/>
  <c r="G192" i="16"/>
  <c r="H192" i="16"/>
  <c r="I192" i="16"/>
  <c r="J192" i="16"/>
  <c r="K192" i="16"/>
  <c r="E193" i="16"/>
  <c r="F193" i="16"/>
  <c r="G193" i="16"/>
  <c r="H193" i="16"/>
  <c r="I193" i="16"/>
  <c r="J193" i="16"/>
  <c r="K193" i="16"/>
  <c r="E194" i="16"/>
  <c r="F194" i="16"/>
  <c r="G194" i="16"/>
  <c r="H194" i="16"/>
  <c r="I194" i="16"/>
  <c r="J194" i="16"/>
  <c r="K194" i="16"/>
  <c r="E195" i="16"/>
  <c r="F195" i="16"/>
  <c r="G195" i="16"/>
  <c r="H195" i="16"/>
  <c r="I195" i="16"/>
  <c r="J195" i="16"/>
  <c r="K195" i="16"/>
  <c r="E196" i="16"/>
  <c r="F196" i="16"/>
  <c r="G196" i="16"/>
  <c r="H196" i="16"/>
  <c r="I196" i="16"/>
  <c r="J196" i="16"/>
  <c r="K196" i="16"/>
  <c r="E197" i="16"/>
  <c r="F197" i="16"/>
  <c r="G197" i="16"/>
  <c r="H197" i="16"/>
  <c r="I197" i="16"/>
  <c r="J197" i="16"/>
  <c r="K197" i="16"/>
  <c r="E198" i="16"/>
  <c r="F198" i="16"/>
  <c r="G198" i="16"/>
  <c r="H198" i="16"/>
  <c r="I198" i="16"/>
  <c r="J198" i="16"/>
  <c r="K198" i="16"/>
  <c r="E199" i="16"/>
  <c r="F199" i="16"/>
  <c r="G199" i="16"/>
  <c r="H199" i="16"/>
  <c r="I199" i="16"/>
  <c r="J199" i="16"/>
  <c r="K199" i="16"/>
  <c r="E200" i="16"/>
  <c r="F200" i="16"/>
  <c r="G200" i="16"/>
  <c r="H200" i="16"/>
  <c r="I200" i="16"/>
  <c r="J200" i="16"/>
  <c r="K200" i="16"/>
  <c r="E201" i="16"/>
  <c r="F201" i="16"/>
  <c r="G201" i="16"/>
  <c r="H201" i="16"/>
  <c r="I201" i="16"/>
  <c r="J201" i="16"/>
  <c r="K201" i="16"/>
  <c r="E202" i="16"/>
  <c r="F202" i="16"/>
  <c r="G202" i="16"/>
  <c r="H202" i="16"/>
  <c r="I202" i="16"/>
  <c r="J202" i="16"/>
  <c r="K202" i="16"/>
  <c r="E203" i="16"/>
  <c r="F203" i="16"/>
  <c r="G203" i="16"/>
  <c r="H203" i="16"/>
  <c r="I203" i="16"/>
  <c r="J203" i="16"/>
  <c r="K203" i="16"/>
  <c r="E204" i="16"/>
  <c r="F204" i="16"/>
  <c r="G204" i="16"/>
  <c r="H204" i="16"/>
  <c r="I204" i="16"/>
  <c r="J204" i="16"/>
  <c r="K204" i="16"/>
  <c r="E205" i="16"/>
  <c r="E223" i="16" s="1"/>
  <c r="F205" i="16"/>
  <c r="G205" i="16"/>
  <c r="H205" i="16"/>
  <c r="I205" i="16"/>
  <c r="J205" i="16"/>
  <c r="K205" i="16"/>
  <c r="E206" i="16"/>
  <c r="F206" i="16"/>
  <c r="G206" i="16"/>
  <c r="H206" i="16"/>
  <c r="I206" i="16"/>
  <c r="J206" i="16"/>
  <c r="K206" i="16"/>
  <c r="E207" i="16"/>
  <c r="F207" i="16"/>
  <c r="G207" i="16"/>
  <c r="H207" i="16"/>
  <c r="I207" i="16"/>
  <c r="J207" i="16"/>
  <c r="K207" i="16"/>
  <c r="E208" i="16"/>
  <c r="F208" i="16"/>
  <c r="G208" i="16"/>
  <c r="H208" i="16"/>
  <c r="I208" i="16"/>
  <c r="J208" i="16"/>
  <c r="K208" i="16"/>
  <c r="E209" i="16"/>
  <c r="F209" i="16"/>
  <c r="G209" i="16"/>
  <c r="H209" i="16"/>
  <c r="I209" i="16"/>
  <c r="J209" i="16"/>
  <c r="K209" i="16"/>
  <c r="E210" i="16"/>
  <c r="F210" i="16"/>
  <c r="G210" i="16"/>
  <c r="H210" i="16"/>
  <c r="I210" i="16"/>
  <c r="J210" i="16"/>
  <c r="K210" i="16"/>
  <c r="E211" i="16"/>
  <c r="F211" i="16"/>
  <c r="G211" i="16"/>
  <c r="H211" i="16"/>
  <c r="I211" i="16"/>
  <c r="J211" i="16"/>
  <c r="K211" i="16"/>
  <c r="E212" i="16"/>
  <c r="F212" i="16"/>
  <c r="G212" i="16"/>
  <c r="H212" i="16"/>
  <c r="I212" i="16"/>
  <c r="J212" i="16"/>
  <c r="K212" i="16"/>
  <c r="E213" i="16"/>
  <c r="F213" i="16"/>
  <c r="G213" i="16"/>
  <c r="H213" i="16"/>
  <c r="I213" i="16"/>
  <c r="J213" i="16"/>
  <c r="K213" i="16"/>
  <c r="E214" i="16"/>
  <c r="F214" i="16"/>
  <c r="G214" i="16"/>
  <c r="H214" i="16"/>
  <c r="I214" i="16"/>
  <c r="J214" i="16"/>
  <c r="K214" i="16"/>
  <c r="E215" i="16"/>
  <c r="F215" i="16"/>
  <c r="F223" i="16" s="1"/>
  <c r="G215" i="16"/>
  <c r="H215" i="16"/>
  <c r="I215" i="16"/>
  <c r="J215" i="16"/>
  <c r="J223" i="16" s="1"/>
  <c r="K215" i="16"/>
  <c r="K223" i="16" s="1"/>
  <c r="E216" i="16"/>
  <c r="F216" i="16"/>
  <c r="G216" i="16"/>
  <c r="H216" i="16"/>
  <c r="I216" i="16"/>
  <c r="J216" i="16"/>
  <c r="K216" i="16"/>
  <c r="E217" i="16"/>
  <c r="F217" i="16"/>
  <c r="G217" i="16"/>
  <c r="H217" i="16"/>
  <c r="I217" i="16"/>
  <c r="J217" i="16"/>
  <c r="K217" i="16"/>
  <c r="E218" i="16"/>
  <c r="F218" i="16"/>
  <c r="G218" i="16"/>
  <c r="H218" i="16"/>
  <c r="I218" i="16"/>
  <c r="J218" i="16"/>
  <c r="K218" i="16"/>
  <c r="E219" i="16"/>
  <c r="F219" i="16"/>
  <c r="G219" i="16"/>
  <c r="H219" i="16"/>
  <c r="I219" i="16"/>
  <c r="J219" i="16"/>
  <c r="K219" i="16"/>
  <c r="E220" i="16"/>
  <c r="F220" i="16"/>
  <c r="G220" i="16"/>
  <c r="H220" i="16"/>
  <c r="I220" i="16"/>
  <c r="J220" i="16"/>
  <c r="K220" i="16"/>
  <c r="E221" i="16"/>
  <c r="F221" i="16"/>
  <c r="G221" i="16"/>
  <c r="H221" i="16"/>
  <c r="I221" i="16"/>
  <c r="J221" i="16"/>
  <c r="K221" i="16"/>
  <c r="E222" i="16"/>
  <c r="F222" i="16"/>
  <c r="G222" i="16"/>
  <c r="H222" i="16"/>
  <c r="I222" i="16"/>
  <c r="J222" i="16"/>
  <c r="K222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E180" i="16"/>
  <c r="F180" i="16"/>
  <c r="G180" i="16"/>
  <c r="H180" i="16"/>
  <c r="I180" i="16"/>
  <c r="J180" i="16"/>
  <c r="K180" i="16"/>
  <c r="E181" i="16"/>
  <c r="F181" i="16"/>
  <c r="G181" i="16"/>
  <c r="H181" i="16"/>
  <c r="I181" i="16"/>
  <c r="J181" i="16"/>
  <c r="K181" i="16"/>
  <c r="E182" i="16"/>
  <c r="F182" i="16"/>
  <c r="G182" i="16"/>
  <c r="H182" i="16"/>
  <c r="I182" i="16"/>
  <c r="J182" i="16"/>
  <c r="K182" i="16"/>
  <c r="E183" i="16"/>
  <c r="F183" i="16"/>
  <c r="G183" i="16"/>
  <c r="H183" i="16"/>
  <c r="I183" i="16"/>
  <c r="J183" i="16"/>
  <c r="K183" i="16"/>
  <c r="E184" i="16"/>
  <c r="F184" i="16"/>
  <c r="G184" i="16"/>
  <c r="H184" i="16"/>
  <c r="I184" i="16"/>
  <c r="J184" i="16"/>
  <c r="K184" i="16"/>
  <c r="E185" i="16"/>
  <c r="F185" i="16"/>
  <c r="G185" i="16"/>
  <c r="H185" i="16"/>
  <c r="I185" i="16"/>
  <c r="J185" i="16"/>
  <c r="K185" i="16"/>
  <c r="E186" i="16"/>
  <c r="F186" i="16"/>
  <c r="G186" i="16"/>
  <c r="H186" i="16"/>
  <c r="I186" i="16"/>
  <c r="J186" i="16"/>
  <c r="K186" i="16"/>
  <c r="E187" i="16"/>
  <c r="F187" i="16"/>
  <c r="G187" i="16"/>
  <c r="H187" i="16"/>
  <c r="I187" i="16"/>
  <c r="J187" i="16"/>
  <c r="K187" i="16"/>
  <c r="D186" i="16"/>
  <c r="D185" i="16"/>
  <c r="D184" i="16"/>
  <c r="D183" i="16"/>
  <c r="D182" i="16"/>
  <c r="D181" i="16"/>
  <c r="D180" i="16"/>
  <c r="D223" i="16"/>
  <c r="I223" i="16"/>
  <c r="E170" i="16"/>
  <c r="F170" i="16"/>
  <c r="D170" i="16"/>
  <c r="E127" i="16"/>
  <c r="F127" i="16"/>
  <c r="D127" i="16"/>
  <c r="E134" i="16"/>
  <c r="F134" i="16"/>
  <c r="D134" i="16"/>
  <c r="E145" i="16"/>
  <c r="F145" i="16"/>
  <c r="D145" i="16"/>
  <c r="E152" i="16"/>
  <c r="F152" i="16"/>
  <c r="D152" i="16"/>
  <c r="E158" i="16"/>
  <c r="F158" i="16"/>
  <c r="D158" i="16"/>
  <c r="E162" i="16"/>
  <c r="F162" i="16"/>
  <c r="D162" i="16"/>
  <c r="F128" i="16"/>
  <c r="F129" i="16"/>
  <c r="F130" i="16"/>
  <c r="F131" i="16"/>
  <c r="F132" i="16"/>
  <c r="F133" i="16"/>
  <c r="F135" i="16"/>
  <c r="F136" i="16"/>
  <c r="F137" i="16"/>
  <c r="F138" i="16"/>
  <c r="F139" i="16"/>
  <c r="F140" i="16"/>
  <c r="F141" i="16"/>
  <c r="F142" i="16"/>
  <c r="F143" i="16"/>
  <c r="F144" i="16"/>
  <c r="F146" i="16"/>
  <c r="F147" i="16"/>
  <c r="F148" i="16"/>
  <c r="F149" i="16"/>
  <c r="F150" i="16"/>
  <c r="F151" i="16"/>
  <c r="F153" i="16"/>
  <c r="F154" i="16"/>
  <c r="F155" i="16"/>
  <c r="F156" i="16"/>
  <c r="F157" i="16"/>
  <c r="F159" i="16"/>
  <c r="F160" i="16"/>
  <c r="F161" i="16"/>
  <c r="F163" i="16"/>
  <c r="F164" i="16"/>
  <c r="F165" i="16"/>
  <c r="F166" i="16"/>
  <c r="F167" i="16"/>
  <c r="F168" i="16"/>
  <c r="F169" i="16"/>
  <c r="E128" i="16"/>
  <c r="E129" i="16"/>
  <c r="E130" i="16"/>
  <c r="E131" i="16"/>
  <c r="E132" i="16"/>
  <c r="E133" i="16"/>
  <c r="E135" i="16"/>
  <c r="E136" i="16"/>
  <c r="E137" i="16"/>
  <c r="E138" i="16"/>
  <c r="E139" i="16"/>
  <c r="E140" i="16"/>
  <c r="E141" i="16"/>
  <c r="E142" i="16"/>
  <c r="E143" i="16"/>
  <c r="E144" i="16"/>
  <c r="E146" i="16"/>
  <c r="E147" i="16"/>
  <c r="E148" i="16"/>
  <c r="E149" i="16"/>
  <c r="E150" i="16"/>
  <c r="E151" i="16"/>
  <c r="E153" i="16"/>
  <c r="E154" i="16"/>
  <c r="E155" i="16"/>
  <c r="E156" i="16"/>
  <c r="E157" i="16"/>
  <c r="E159" i="16"/>
  <c r="E160" i="16"/>
  <c r="E161" i="16"/>
  <c r="E163" i="16"/>
  <c r="E164" i="16"/>
  <c r="E165" i="16"/>
  <c r="E166" i="16"/>
  <c r="E167" i="16"/>
  <c r="E168" i="16"/>
  <c r="E169" i="16"/>
  <c r="D128" i="16"/>
  <c r="D129" i="16"/>
  <c r="D130" i="16"/>
  <c r="D131" i="16"/>
  <c r="D132" i="16"/>
  <c r="D133" i="16"/>
  <c r="D135" i="16"/>
  <c r="D136" i="16"/>
  <c r="D137" i="16"/>
  <c r="D138" i="16"/>
  <c r="D139" i="16"/>
  <c r="D140" i="16"/>
  <c r="D141" i="16"/>
  <c r="D142" i="16"/>
  <c r="D143" i="16"/>
  <c r="D144" i="16"/>
  <c r="D146" i="16"/>
  <c r="D147" i="16"/>
  <c r="D148" i="16"/>
  <c r="D149" i="16"/>
  <c r="D150" i="16"/>
  <c r="D151" i="16"/>
  <c r="D153" i="16"/>
  <c r="D154" i="16"/>
  <c r="D155" i="16"/>
  <c r="D156" i="16"/>
  <c r="D157" i="16"/>
  <c r="D159" i="16"/>
  <c r="D160" i="16"/>
  <c r="D161" i="16"/>
  <c r="D163" i="16"/>
  <c r="D164" i="16"/>
  <c r="D165" i="16"/>
  <c r="D166" i="16"/>
  <c r="D167" i="16"/>
  <c r="D168" i="16"/>
  <c r="D169" i="16"/>
  <c r="J126" i="16"/>
  <c r="I126" i="16"/>
  <c r="I155" i="16"/>
  <c r="I156" i="16"/>
  <c r="I157" i="16"/>
  <c r="I158" i="16"/>
  <c r="I159" i="16"/>
  <c r="I160" i="16"/>
  <c r="I141" i="16"/>
  <c r="J155" i="16"/>
  <c r="J156" i="16"/>
  <c r="J157" i="16"/>
  <c r="J158" i="16"/>
  <c r="J159" i="16"/>
  <c r="J160" i="16"/>
  <c r="J141" i="16"/>
  <c r="J142" i="16"/>
  <c r="J143" i="16"/>
  <c r="J144" i="16"/>
  <c r="J145" i="16"/>
  <c r="J146" i="16"/>
  <c r="I142" i="16"/>
  <c r="I143" i="16"/>
  <c r="I144" i="16"/>
  <c r="I145" i="16"/>
  <c r="I146" i="16"/>
  <c r="J127" i="16"/>
  <c r="J128" i="16"/>
  <c r="J129" i="16"/>
  <c r="J130" i="16"/>
  <c r="J131" i="16"/>
  <c r="I127" i="16"/>
  <c r="I128" i="16"/>
  <c r="L128" i="16" s="1"/>
  <c r="I129" i="16"/>
  <c r="I130" i="16"/>
  <c r="I131" i="16"/>
  <c r="G223" i="16" l="1"/>
  <c r="H223" i="16"/>
  <c r="I161" i="16"/>
  <c r="J161" i="16"/>
  <c r="I147" i="16"/>
  <c r="J132" i="16"/>
  <c r="K128" i="16"/>
  <c r="J147" i="16"/>
  <c r="K126" i="16"/>
  <c r="I132" i="16"/>
  <c r="L5" i="19"/>
  <c r="M5" i="19"/>
  <c r="N5" i="19"/>
  <c r="D5" i="19"/>
  <c r="E5" i="19"/>
  <c r="F5" i="19"/>
  <c r="G5" i="19"/>
  <c r="H5" i="19"/>
  <c r="I5" i="19"/>
  <c r="J5" i="19"/>
  <c r="K5" i="19"/>
  <c r="H9" i="19" s="1"/>
  <c r="C5" i="19"/>
  <c r="B5" i="19"/>
  <c r="A5" i="19"/>
  <c r="H8" i="19" l="1"/>
  <c r="AJ75" i="16"/>
  <c r="AJ76" i="16"/>
  <c r="AJ77" i="16"/>
  <c r="AJ78" i="16"/>
  <c r="AJ79" i="16"/>
  <c r="AJ80" i="16"/>
  <c r="AI75" i="16"/>
  <c r="AI76" i="16"/>
  <c r="AI77" i="16"/>
  <c r="AI78" i="16"/>
  <c r="AI79" i="16"/>
  <c r="AI80" i="16"/>
  <c r="AH75" i="16"/>
  <c r="AH76" i="16"/>
  <c r="AH77" i="16"/>
  <c r="AH78" i="16"/>
  <c r="AH79" i="16"/>
  <c r="AH80" i="16"/>
  <c r="AG75" i="16"/>
  <c r="AG76" i="16"/>
  <c r="AG77" i="16"/>
  <c r="AG78" i="16"/>
  <c r="AG79" i="16"/>
  <c r="AG80" i="16"/>
  <c r="W75" i="16"/>
  <c r="W76" i="16"/>
  <c r="W77" i="16"/>
  <c r="W78" i="16"/>
  <c r="W79" i="16"/>
  <c r="W80" i="16"/>
  <c r="V75" i="16"/>
  <c r="V76" i="16"/>
  <c r="V77" i="16"/>
  <c r="V78" i="16"/>
  <c r="V79" i="16"/>
  <c r="V80" i="16"/>
  <c r="U75" i="16"/>
  <c r="U76" i="16"/>
  <c r="U77" i="16"/>
  <c r="U78" i="16"/>
  <c r="U79" i="16"/>
  <c r="U80" i="16"/>
  <c r="T75" i="16"/>
  <c r="T76" i="16"/>
  <c r="T77" i="16"/>
  <c r="T78" i="16"/>
  <c r="T79" i="16"/>
  <c r="T80" i="16"/>
  <c r="AK40" i="16"/>
  <c r="AK41" i="16"/>
  <c r="AK42" i="16"/>
  <c r="AK43" i="16"/>
  <c r="AK44" i="16"/>
  <c r="AK45" i="16"/>
  <c r="AJ40" i="16"/>
  <c r="AJ41" i="16"/>
  <c r="AJ42" i="16"/>
  <c r="AJ43" i="16"/>
  <c r="AJ44" i="16"/>
  <c r="AJ45" i="16"/>
  <c r="AI40" i="16"/>
  <c r="AI41" i="16"/>
  <c r="AI42" i="16"/>
  <c r="AI43" i="16"/>
  <c r="AI44" i="16"/>
  <c r="AI45" i="16"/>
  <c r="AH40" i="16"/>
  <c r="AH41" i="16"/>
  <c r="AH42" i="16"/>
  <c r="AH43" i="16"/>
  <c r="AH44" i="16"/>
  <c r="AH45" i="16"/>
  <c r="W40" i="16"/>
  <c r="W41" i="16"/>
  <c r="W42" i="16"/>
  <c r="W43" i="16"/>
  <c r="W44" i="16"/>
  <c r="W45" i="16"/>
  <c r="V40" i="16"/>
  <c r="V41" i="16"/>
  <c r="V42" i="16"/>
  <c r="V43" i="16"/>
  <c r="V44" i="16"/>
  <c r="V45" i="16"/>
  <c r="U40" i="16"/>
  <c r="U41" i="16"/>
  <c r="U42" i="16"/>
  <c r="U43" i="16"/>
  <c r="U44" i="16"/>
  <c r="U45" i="16"/>
  <c r="T40" i="16"/>
  <c r="T41" i="16"/>
  <c r="T42" i="16"/>
  <c r="T43" i="16"/>
  <c r="T44" i="16"/>
  <c r="T45" i="16"/>
  <c r="AO77" i="16"/>
  <c r="AO76" i="16"/>
  <c r="AO75" i="16"/>
  <c r="AO42" i="16"/>
  <c r="AO41" i="16"/>
  <c r="AO40" i="16"/>
  <c r="AN6" i="16"/>
  <c r="AN5" i="16"/>
  <c r="AN4" i="16"/>
  <c r="AJ4" i="16"/>
  <c r="AJ5" i="16"/>
  <c r="AJ6" i="16"/>
  <c r="AJ7" i="16"/>
  <c r="AJ8" i="16"/>
  <c r="AJ9" i="16"/>
  <c r="AI4" i="16"/>
  <c r="AI5" i="16"/>
  <c r="AI6" i="16"/>
  <c r="AI7" i="16"/>
  <c r="AI8" i="16"/>
  <c r="AI9" i="16"/>
  <c r="AH4" i="16"/>
  <c r="AH5" i="16"/>
  <c r="AH6" i="16"/>
  <c r="AH7" i="16"/>
  <c r="AH8" i="16"/>
  <c r="AH9" i="16"/>
  <c r="AG4" i="16"/>
  <c r="AG5" i="16"/>
  <c r="AG6" i="16"/>
  <c r="AG7" i="16"/>
  <c r="AG8" i="16"/>
  <c r="AG9" i="16"/>
  <c r="W4" i="16"/>
  <c r="W5" i="16"/>
  <c r="W6" i="16"/>
  <c r="W7" i="16"/>
  <c r="W8" i="16"/>
  <c r="W9" i="16"/>
  <c r="V4" i="16"/>
  <c r="V5" i="16"/>
  <c r="V6" i="16"/>
  <c r="V7" i="16"/>
  <c r="V8" i="16"/>
  <c r="V9" i="16"/>
  <c r="U4" i="16"/>
  <c r="U5" i="16"/>
  <c r="U6" i="16"/>
  <c r="U7" i="16"/>
  <c r="U8" i="16"/>
  <c r="U9" i="16"/>
  <c r="T4" i="16"/>
  <c r="T5" i="16"/>
  <c r="T6" i="16"/>
  <c r="T7" i="16"/>
  <c r="T8" i="16"/>
  <c r="T9" i="16"/>
  <c r="D11" i="16"/>
  <c r="E12" i="16"/>
  <c r="E11" i="16"/>
  <c r="F13" i="16"/>
  <c r="F12" i="16"/>
  <c r="F11" i="16"/>
  <c r="I11" i="16"/>
  <c r="J12" i="16"/>
  <c r="J11" i="16"/>
  <c r="K13" i="16"/>
  <c r="K12" i="16"/>
  <c r="K11" i="16"/>
  <c r="P13" i="16"/>
  <c r="P12" i="16"/>
  <c r="O12" i="16"/>
  <c r="P11" i="16"/>
  <c r="O11" i="16"/>
  <c r="N11" i="16"/>
  <c r="AP41" i="13" l="1"/>
  <c r="AP40" i="13"/>
  <c r="AP36" i="13"/>
  <c r="AP30" i="13"/>
  <c r="AP23" i="13"/>
  <c r="AP12" i="13"/>
  <c r="AP42" i="13"/>
  <c r="AP43" i="13"/>
  <c r="AP44" i="13"/>
  <c r="AP45" i="13"/>
  <c r="AP46" i="13"/>
  <c r="AP47" i="13"/>
  <c r="AP38" i="13"/>
  <c r="AP39" i="13"/>
  <c r="AP37" i="13"/>
  <c r="AP32" i="13"/>
  <c r="AP33" i="13"/>
  <c r="AP34" i="13"/>
  <c r="AP35" i="13"/>
  <c r="AP31" i="13"/>
  <c r="AP25" i="13"/>
  <c r="AP26" i="13"/>
  <c r="AP27" i="13"/>
  <c r="AP28" i="13"/>
  <c r="AP29" i="13"/>
  <c r="AP24" i="13"/>
  <c r="AP14" i="13"/>
  <c r="AP15" i="13"/>
  <c r="AP16" i="13"/>
  <c r="AP17" i="13"/>
  <c r="AP18" i="13"/>
  <c r="AP19" i="13"/>
  <c r="AP20" i="13"/>
  <c r="AP21" i="13"/>
  <c r="AP22" i="13"/>
  <c r="AP13" i="13"/>
  <c r="AP5" i="13"/>
  <c r="AP7" i="13"/>
  <c r="AP8" i="13"/>
  <c r="AP9" i="13"/>
  <c r="AP10" i="13"/>
  <c r="AP11" i="13"/>
  <c r="AP6" i="13"/>
  <c r="D187" i="20" l="1"/>
  <c r="AJ48" i="13"/>
  <c r="AJ47" i="13"/>
  <c r="AJ46" i="13"/>
  <c r="AJ45" i="13"/>
  <c r="AJ44" i="13"/>
  <c r="AJ43" i="13"/>
  <c r="AJ42" i="13"/>
  <c r="AJ41" i="13"/>
  <c r="AJ40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11" i="13"/>
  <c r="AJ10" i="13"/>
  <c r="AJ9" i="13"/>
  <c r="AJ8" i="13"/>
  <c r="AJ7" i="13"/>
  <c r="AJ6" i="13"/>
  <c r="AJ5" i="13"/>
  <c r="AP48" i="13" l="1"/>
  <c r="CF2" i="6" l="1"/>
  <c r="CF3" i="6"/>
  <c r="CF4" i="6"/>
  <c r="CF5" i="6"/>
  <c r="CF6" i="6"/>
  <c r="CF7" i="6"/>
  <c r="CF8" i="6"/>
  <c r="CF9" i="6"/>
  <c r="CF10" i="6"/>
  <c r="CF11" i="6"/>
  <c r="CF12" i="6"/>
  <c r="CF13" i="6"/>
  <c r="CF14" i="6"/>
  <c r="CF15" i="6"/>
  <c r="CF16" i="6"/>
  <c r="CF17" i="6"/>
  <c r="CF18" i="6"/>
  <c r="CF19" i="6"/>
  <c r="CF20" i="6"/>
  <c r="CF21" i="6"/>
  <c r="CF22" i="6"/>
  <c r="CF23" i="6"/>
  <c r="CF24" i="6"/>
  <c r="CF25" i="6"/>
  <c r="CF26" i="6"/>
  <c r="CF27" i="6"/>
  <c r="CF28" i="6"/>
  <c r="CF29" i="6"/>
  <c r="CF30" i="6"/>
  <c r="CF31" i="6"/>
  <c r="CF32" i="6"/>
  <c r="CF33" i="6"/>
  <c r="CF34" i="6"/>
  <c r="CF35" i="6"/>
  <c r="CF36" i="6"/>
  <c r="CF37" i="6"/>
  <c r="CF38" i="6"/>
  <c r="CF39" i="6"/>
  <c r="CF40" i="6"/>
  <c r="CF41" i="6"/>
  <c r="CF42" i="6"/>
  <c r="CF43" i="6"/>
  <c r="CF44" i="6"/>
  <c r="CF45" i="6"/>
  <c r="CF46" i="6"/>
  <c r="CF47" i="6"/>
  <c r="CF48" i="6"/>
  <c r="CF49" i="6"/>
  <c r="CF50" i="6"/>
  <c r="CF51" i="6"/>
  <c r="CF52" i="6"/>
  <c r="CF53" i="6"/>
  <c r="CF54" i="6"/>
  <c r="CF55" i="6"/>
  <c r="CF56" i="6"/>
  <c r="CF57" i="6"/>
  <c r="CF58" i="6"/>
  <c r="CF59" i="6"/>
  <c r="CF60" i="6"/>
  <c r="CF61" i="6"/>
  <c r="CF62" i="6"/>
  <c r="CF63" i="6"/>
  <c r="CF64" i="6"/>
  <c r="CF65" i="6"/>
  <c r="CF66" i="6"/>
  <c r="CF67" i="6"/>
  <c r="CF68" i="6"/>
  <c r="CF69" i="6"/>
  <c r="CF70" i="6"/>
  <c r="CF71" i="6"/>
  <c r="CF72" i="6"/>
  <c r="CF73" i="6"/>
  <c r="CF74" i="6"/>
  <c r="CF75" i="6"/>
  <c r="CF76" i="6"/>
  <c r="CF77" i="6"/>
  <c r="CF78" i="6"/>
  <c r="CF79" i="6"/>
  <c r="CF80" i="6"/>
  <c r="CF81" i="6"/>
  <c r="CF82" i="6"/>
  <c r="CF83" i="6"/>
  <c r="CF84" i="6"/>
  <c r="CF85" i="6"/>
  <c r="CF86" i="6"/>
  <c r="CF87" i="6"/>
  <c r="CF88" i="6"/>
  <c r="CF89" i="6"/>
  <c r="CF90" i="6"/>
  <c r="CF91" i="6"/>
  <c r="CF92" i="6"/>
  <c r="CF93" i="6"/>
  <c r="CF94" i="6"/>
  <c r="CF95" i="6"/>
  <c r="CF96" i="6"/>
  <c r="CF97" i="6"/>
  <c r="CF98" i="6"/>
  <c r="CF99" i="6"/>
  <c r="CF100" i="6"/>
  <c r="CF101" i="6"/>
  <c r="CF102" i="6"/>
  <c r="CF103" i="6"/>
  <c r="CF104" i="6"/>
  <c r="CF105" i="6"/>
  <c r="CF106" i="6"/>
  <c r="CF107" i="6"/>
  <c r="CF108" i="6"/>
  <c r="CF109" i="6"/>
  <c r="CF110" i="6"/>
  <c r="CF111" i="6"/>
  <c r="CF112" i="6"/>
  <c r="CF113" i="6"/>
  <c r="CF114" i="6"/>
  <c r="CF115" i="6"/>
  <c r="CF116" i="6"/>
  <c r="CF117" i="6"/>
  <c r="CF118" i="6"/>
  <c r="CF119" i="6"/>
  <c r="CF120" i="6"/>
  <c r="CF121" i="6"/>
  <c r="CF122" i="6"/>
  <c r="CF123" i="6"/>
  <c r="CF124" i="6"/>
  <c r="CF125" i="6"/>
  <c r="CF126" i="6"/>
  <c r="CF127" i="6"/>
  <c r="CF128" i="6"/>
  <c r="CF129" i="6"/>
  <c r="CF130" i="6"/>
  <c r="CF131" i="6"/>
  <c r="CF132" i="6"/>
  <c r="CF133" i="6"/>
  <c r="CF134" i="6"/>
  <c r="CF135" i="6"/>
  <c r="CF136" i="6"/>
  <c r="CF137" i="6"/>
  <c r="CF138" i="6"/>
  <c r="CF139" i="6"/>
  <c r="CF140" i="6"/>
  <c r="CF141" i="6"/>
  <c r="CF142" i="6"/>
  <c r="CF143" i="6"/>
  <c r="CF144" i="6"/>
  <c r="CF145" i="6"/>
  <c r="CF146" i="6"/>
  <c r="CF147" i="6"/>
  <c r="CF148" i="6"/>
  <c r="CF149" i="6"/>
  <c r="CF150" i="6"/>
  <c r="CF151" i="6"/>
  <c r="CF152" i="6"/>
  <c r="CF153" i="6"/>
  <c r="CF154" i="6"/>
  <c r="CF155" i="6"/>
  <c r="CF156" i="6"/>
  <c r="CF157" i="6"/>
  <c r="CF158" i="6"/>
  <c r="CF159" i="6"/>
  <c r="CF160" i="6"/>
  <c r="CF161" i="6"/>
  <c r="CF162" i="6"/>
  <c r="CF163" i="6"/>
  <c r="CF164" i="6"/>
  <c r="CF165" i="6"/>
  <c r="CF166" i="6"/>
  <c r="CF167" i="6"/>
  <c r="CF168" i="6"/>
  <c r="CF169" i="6"/>
  <c r="CF170" i="6"/>
  <c r="CF171" i="6"/>
  <c r="CF172" i="6"/>
  <c r="CF173" i="6"/>
  <c r="CF174" i="6"/>
  <c r="CF175" i="6"/>
  <c r="CF176" i="6"/>
  <c r="CF177" i="6"/>
  <c r="CF178" i="6"/>
  <c r="CF179" i="6"/>
  <c r="CF180" i="6"/>
  <c r="CF181" i="6"/>
  <c r="CF182" i="6"/>
  <c r="CF183" i="6"/>
  <c r="CF184" i="6"/>
  <c r="CF185" i="6"/>
  <c r="CF186" i="6"/>
  <c r="CF187" i="6"/>
  <c r="CF188" i="6"/>
  <c r="CF189" i="6"/>
  <c r="CF190" i="6"/>
  <c r="CF191" i="6"/>
  <c r="CF192" i="6"/>
  <c r="CF193" i="6"/>
  <c r="CF194" i="6"/>
  <c r="CF195" i="6"/>
  <c r="CF196" i="6"/>
  <c r="CF197" i="6"/>
  <c r="CF198" i="6"/>
  <c r="CF199" i="6"/>
  <c r="CF200" i="6"/>
  <c r="CF201" i="6"/>
  <c r="CF202" i="6"/>
  <c r="CF203" i="6"/>
  <c r="CF204" i="6"/>
  <c r="CF205" i="6"/>
  <c r="CF206" i="6"/>
  <c r="CF207" i="6"/>
  <c r="CF208" i="6"/>
  <c r="CF209" i="6"/>
  <c r="CF210" i="6"/>
  <c r="CF211" i="6"/>
  <c r="CF212" i="6"/>
  <c r="CF213" i="6"/>
  <c r="CF214" i="6"/>
  <c r="CF215" i="6"/>
  <c r="CF216" i="6"/>
  <c r="CF217" i="6"/>
  <c r="CF218" i="6"/>
  <c r="CF219" i="6"/>
  <c r="CF220" i="6"/>
  <c r="CF221" i="6"/>
  <c r="CF222" i="6"/>
  <c r="CF223" i="6"/>
  <c r="CF224" i="6"/>
  <c r="CF225" i="6"/>
  <c r="CF226" i="6"/>
  <c r="CF227" i="6"/>
  <c r="CF228" i="6"/>
  <c r="CF229" i="6"/>
  <c r="CF230" i="6"/>
  <c r="CF231" i="6"/>
  <c r="CF232" i="6"/>
  <c r="CF233" i="6"/>
  <c r="CF234" i="6"/>
  <c r="CF235" i="6"/>
  <c r="CF236" i="6"/>
  <c r="CF237" i="6"/>
  <c r="CF238" i="6"/>
  <c r="CF239" i="6"/>
  <c r="CF240" i="6"/>
  <c r="CF241" i="6"/>
  <c r="CF242" i="6"/>
  <c r="CF243" i="6"/>
  <c r="CF244" i="6"/>
  <c r="CF245" i="6"/>
  <c r="CF246" i="6"/>
  <c r="CF247" i="6"/>
  <c r="CF248" i="6"/>
  <c r="CF249" i="6"/>
  <c r="CF250" i="6"/>
  <c r="CF251" i="6"/>
  <c r="CF252" i="6"/>
  <c r="CF253" i="6"/>
  <c r="CF254" i="6"/>
  <c r="CF255" i="6"/>
  <c r="CF256" i="6"/>
  <c r="CF257" i="6"/>
  <c r="CF258" i="6"/>
  <c r="CF259" i="6"/>
  <c r="CF260" i="6"/>
  <c r="CF261" i="6"/>
  <c r="CF262" i="6"/>
  <c r="CF263" i="6"/>
  <c r="CF264" i="6"/>
  <c r="CF265" i="6"/>
  <c r="CF266" i="6"/>
  <c r="CF267" i="6"/>
  <c r="CF268" i="6"/>
  <c r="CF269" i="6"/>
  <c r="CF270" i="6"/>
  <c r="CF271" i="6"/>
  <c r="CF272" i="6"/>
  <c r="CF273" i="6"/>
  <c r="CF274" i="6"/>
  <c r="CF275" i="6"/>
  <c r="CF276" i="6"/>
  <c r="CF277" i="6"/>
  <c r="CF278" i="6"/>
  <c r="CF279" i="6"/>
  <c r="CF280" i="6"/>
  <c r="CF281" i="6"/>
  <c r="CF282" i="6"/>
  <c r="CF283" i="6"/>
  <c r="CF284" i="6"/>
  <c r="CF285" i="6"/>
  <c r="CF286" i="6"/>
  <c r="CF287" i="6"/>
  <c r="CF288" i="6"/>
  <c r="CF289" i="6"/>
  <c r="CF290" i="6"/>
  <c r="CF291" i="6"/>
  <c r="CF292" i="6"/>
  <c r="CF293" i="6"/>
  <c r="CF294" i="6"/>
  <c r="CF295" i="6"/>
  <c r="CF296" i="6"/>
  <c r="CF297" i="6"/>
  <c r="CF298" i="6"/>
  <c r="CF299" i="6"/>
  <c r="CF300" i="6"/>
  <c r="CF301" i="6"/>
  <c r="CF302" i="6"/>
  <c r="CF303" i="6"/>
  <c r="CF304" i="6"/>
  <c r="CF305" i="6"/>
  <c r="CF306" i="6"/>
  <c r="CF307" i="6"/>
  <c r="CF308" i="6"/>
  <c r="CF309" i="6"/>
  <c r="CF310" i="6"/>
  <c r="CF311" i="6"/>
  <c r="CF312" i="6"/>
  <c r="CF313" i="6"/>
  <c r="CF314" i="6"/>
  <c r="CF315" i="6"/>
  <c r="CF316" i="6"/>
  <c r="CF317" i="6"/>
  <c r="CF318" i="6"/>
  <c r="CF319" i="6"/>
  <c r="CF320" i="6"/>
  <c r="CF321" i="6"/>
  <c r="CF322" i="6"/>
  <c r="CF323" i="6"/>
  <c r="CF324" i="6"/>
  <c r="CF325" i="6"/>
  <c r="CF326" i="6"/>
  <c r="CF327" i="6"/>
  <c r="CF328" i="6"/>
  <c r="CF329" i="6"/>
  <c r="CF330" i="6"/>
  <c r="CF331" i="6"/>
  <c r="CF332" i="6"/>
  <c r="CF333" i="6"/>
  <c r="CF334" i="6"/>
  <c r="CF335" i="6"/>
  <c r="CF336" i="6"/>
  <c r="CF337" i="6"/>
  <c r="CF338" i="6"/>
  <c r="CF339" i="6"/>
  <c r="CF340" i="6"/>
  <c r="CF341" i="6"/>
  <c r="CF342" i="6"/>
  <c r="CF343" i="6"/>
  <c r="CF344" i="6"/>
  <c r="CF345" i="6"/>
  <c r="CF346" i="6"/>
  <c r="CF347" i="6"/>
  <c r="CF348" i="6"/>
  <c r="CF349" i="6"/>
  <c r="CF350" i="6"/>
  <c r="CF351" i="6"/>
  <c r="CF352" i="6"/>
  <c r="CF353" i="6"/>
  <c r="CF354" i="6"/>
  <c r="CF355" i="6"/>
  <c r="CF356" i="6"/>
  <c r="CF357" i="6"/>
  <c r="CF358" i="6"/>
  <c r="CF359" i="6"/>
  <c r="CF360" i="6"/>
  <c r="CF361" i="6"/>
  <c r="CF362" i="6"/>
  <c r="CF363" i="6"/>
  <c r="CF364" i="6"/>
  <c r="CF365" i="6"/>
  <c r="CF366" i="6"/>
  <c r="CF367" i="6"/>
  <c r="CF368" i="6"/>
  <c r="CF369" i="6"/>
  <c r="CF370" i="6"/>
  <c r="CF371" i="6"/>
  <c r="CF372" i="6"/>
  <c r="CF373" i="6"/>
  <c r="CF374" i="6"/>
  <c r="CF375" i="6"/>
  <c r="CF376" i="6"/>
  <c r="CF377" i="6"/>
  <c r="CF378" i="6"/>
  <c r="CF379" i="6"/>
  <c r="CF380" i="6"/>
  <c r="CF381" i="6"/>
  <c r="CF382" i="6"/>
  <c r="CF383" i="6"/>
  <c r="CF384" i="6"/>
  <c r="CF385" i="6"/>
  <c r="CF386" i="6"/>
  <c r="CF387" i="6"/>
  <c r="CF388" i="6"/>
  <c r="CF389" i="6"/>
  <c r="CF390" i="6"/>
  <c r="CF391" i="6"/>
  <c r="CF392" i="6"/>
  <c r="CF393" i="6"/>
  <c r="CF394" i="6"/>
  <c r="CF395" i="6"/>
  <c r="CF396" i="6"/>
  <c r="CF397" i="6"/>
  <c r="CF398" i="6"/>
  <c r="CF399" i="6"/>
  <c r="CF400" i="6"/>
  <c r="CF401" i="6"/>
  <c r="CF402" i="6"/>
  <c r="CF403" i="6"/>
  <c r="CF404" i="6"/>
  <c r="CF405" i="6"/>
  <c r="CF406" i="6"/>
  <c r="CF407" i="6"/>
  <c r="CF408" i="6"/>
  <c r="CF409" i="6"/>
  <c r="CF410" i="6"/>
  <c r="CF411" i="6"/>
  <c r="CF412" i="6"/>
  <c r="CF413" i="6"/>
  <c r="CF414" i="6"/>
  <c r="CF415" i="6"/>
  <c r="CF416" i="6"/>
  <c r="CF417" i="6"/>
  <c r="CF418" i="6"/>
  <c r="CF419" i="6"/>
  <c r="CF420" i="6"/>
  <c r="CF421" i="6"/>
  <c r="CF422" i="6"/>
  <c r="CF423" i="6"/>
  <c r="CF424" i="6"/>
  <c r="CF425" i="6"/>
  <c r="CF426" i="6"/>
  <c r="CF427" i="6"/>
  <c r="CF428" i="6"/>
  <c r="CF429" i="6"/>
  <c r="CF430" i="6"/>
  <c r="CF431" i="6"/>
  <c r="CF432" i="6"/>
  <c r="CF433" i="6"/>
  <c r="CF434" i="6"/>
  <c r="CF435" i="6"/>
  <c r="CF436" i="6"/>
  <c r="CF437" i="6"/>
  <c r="CF438" i="6"/>
  <c r="CF439" i="6"/>
  <c r="CF440" i="6"/>
  <c r="CF441" i="6"/>
  <c r="CF442" i="6"/>
  <c r="CF443" i="6"/>
  <c r="CF444" i="6"/>
  <c r="CF445" i="6"/>
  <c r="CF446" i="6"/>
  <c r="CF447" i="6"/>
  <c r="CF448" i="6"/>
  <c r="CF449" i="6"/>
  <c r="CF450" i="6"/>
  <c r="CF451" i="6"/>
  <c r="CF452" i="6"/>
  <c r="CF453" i="6"/>
  <c r="CF454" i="6"/>
  <c r="CF455" i="6"/>
  <c r="CF456" i="6"/>
  <c r="CF457" i="6"/>
  <c r="CF458" i="6"/>
  <c r="CF459" i="6"/>
  <c r="CF460" i="6"/>
  <c r="CF461" i="6"/>
  <c r="CF462" i="6"/>
  <c r="CF463" i="6"/>
  <c r="CF464" i="6"/>
  <c r="CF465" i="6"/>
  <c r="CF466" i="6"/>
  <c r="CF467" i="6"/>
  <c r="CF468" i="6"/>
  <c r="CF469" i="6"/>
  <c r="CF470" i="6"/>
  <c r="CF471" i="6"/>
  <c r="CF472" i="6"/>
  <c r="CF473" i="6"/>
  <c r="CF474" i="6"/>
  <c r="CF475" i="6"/>
  <c r="CF476" i="6"/>
  <c r="CF477" i="6"/>
  <c r="CF478" i="6"/>
  <c r="CF479" i="6"/>
  <c r="CF480" i="6"/>
  <c r="CF481" i="6"/>
  <c r="CF482" i="6"/>
  <c r="CF483" i="6"/>
  <c r="CF484" i="6"/>
  <c r="CF485" i="6"/>
  <c r="CF486" i="6"/>
  <c r="CF487" i="6"/>
  <c r="CF488" i="6"/>
  <c r="CF489" i="6"/>
  <c r="CF490" i="6"/>
  <c r="CF491" i="6"/>
  <c r="CF492" i="6"/>
  <c r="CF493" i="6"/>
  <c r="CF494" i="6"/>
  <c r="CF495" i="6"/>
  <c r="CF496" i="6"/>
  <c r="CF497" i="6"/>
  <c r="CF498" i="6"/>
  <c r="CF499" i="6"/>
  <c r="CF500" i="6"/>
  <c r="CF501" i="6"/>
  <c r="CF502" i="6"/>
  <c r="CF503" i="6"/>
  <c r="CF504" i="6"/>
  <c r="CF505" i="6"/>
  <c r="CF506" i="6"/>
  <c r="CF507" i="6"/>
  <c r="CF508" i="6"/>
  <c r="CF509" i="6"/>
  <c r="CF510" i="6"/>
  <c r="CF511" i="6"/>
  <c r="CF512" i="6"/>
  <c r="CF513" i="6"/>
  <c r="CF514" i="6"/>
  <c r="CF515" i="6"/>
  <c r="CF516" i="6"/>
  <c r="CF517" i="6"/>
  <c r="CF518" i="6"/>
  <c r="CF519" i="6"/>
  <c r="CF520" i="6"/>
  <c r="CF521" i="6"/>
  <c r="CF522" i="6"/>
  <c r="CF523" i="6"/>
  <c r="CF524" i="6"/>
  <c r="CF525" i="6"/>
  <c r="CF526" i="6"/>
  <c r="CF527" i="6"/>
  <c r="CF528" i="6"/>
  <c r="CF529" i="6"/>
  <c r="CF530" i="6"/>
  <c r="CF531" i="6"/>
  <c r="CF532" i="6"/>
  <c r="CF533" i="6"/>
  <c r="CF534" i="6"/>
  <c r="CF535" i="6"/>
  <c r="CF536" i="6"/>
  <c r="CF537" i="6"/>
  <c r="CF538" i="6"/>
  <c r="CF539" i="6"/>
  <c r="CF540" i="6"/>
  <c r="CF541" i="6"/>
  <c r="CF542" i="6"/>
  <c r="CF543" i="6"/>
  <c r="CF544" i="6"/>
  <c r="CF545" i="6"/>
  <c r="CF546" i="6"/>
  <c r="CF547" i="6"/>
  <c r="CF548" i="6"/>
  <c r="CF549" i="6"/>
  <c r="CF550" i="6"/>
  <c r="CF551" i="6"/>
  <c r="CF552" i="6"/>
  <c r="CF553" i="6"/>
  <c r="CF554" i="6"/>
  <c r="CF555" i="6"/>
  <c r="CF556" i="6"/>
  <c r="CF557" i="6"/>
  <c r="CF558" i="6"/>
  <c r="CF559" i="6"/>
  <c r="CF560" i="6"/>
  <c r="CF561" i="6"/>
  <c r="CF562" i="6"/>
  <c r="CF563" i="6"/>
  <c r="CF564" i="6"/>
  <c r="CF565" i="6"/>
  <c r="CF566" i="6"/>
  <c r="CF567" i="6"/>
  <c r="CF568" i="6"/>
  <c r="CF569" i="6"/>
  <c r="CF570" i="6"/>
  <c r="CF571" i="6"/>
  <c r="CF572" i="6"/>
  <c r="CF573" i="6"/>
  <c r="CF574" i="6"/>
  <c r="CF575" i="6"/>
  <c r="CF576" i="6"/>
  <c r="CF577" i="6"/>
  <c r="CF578" i="6"/>
  <c r="CF579" i="6"/>
  <c r="CF580" i="6"/>
  <c r="CF581" i="6"/>
  <c r="CF582" i="6"/>
  <c r="CF583" i="6"/>
  <c r="CF584" i="6"/>
  <c r="CF585" i="6"/>
  <c r="CF586" i="6"/>
  <c r="CF587" i="6"/>
  <c r="CF588" i="6"/>
  <c r="CF589" i="6"/>
  <c r="CF590" i="6"/>
  <c r="CF591" i="6"/>
  <c r="CF592" i="6"/>
  <c r="CF593" i="6"/>
  <c r="CF594" i="6"/>
  <c r="CF595" i="6"/>
  <c r="CF596" i="6"/>
  <c r="CF597" i="6"/>
  <c r="CF598" i="6"/>
  <c r="CF599" i="6"/>
  <c r="CF600" i="6"/>
  <c r="CF601" i="6"/>
  <c r="CF602" i="6"/>
  <c r="CF603" i="6"/>
  <c r="CF604" i="6"/>
  <c r="CF605" i="6"/>
  <c r="CF606" i="6"/>
  <c r="CF607" i="6"/>
  <c r="CF608" i="6"/>
  <c r="CF609" i="6"/>
  <c r="CF610" i="6"/>
  <c r="CF611" i="6"/>
  <c r="CF612" i="6"/>
  <c r="CF613" i="6"/>
  <c r="CF614" i="6"/>
  <c r="CF615" i="6"/>
  <c r="CF616" i="6"/>
  <c r="CF617" i="6"/>
  <c r="CF618" i="6"/>
  <c r="CF619" i="6"/>
  <c r="CF620" i="6"/>
  <c r="CF621" i="6"/>
  <c r="CF622" i="6"/>
  <c r="CF623" i="6"/>
  <c r="CF624" i="6"/>
  <c r="CF625" i="6"/>
  <c r="CF626" i="6"/>
  <c r="CF627" i="6"/>
  <c r="CF628" i="6"/>
  <c r="CF629" i="6"/>
  <c r="CF630" i="6"/>
  <c r="CF631" i="6"/>
  <c r="CF632" i="6"/>
  <c r="CF633" i="6"/>
  <c r="CF634" i="6"/>
  <c r="CF635" i="6"/>
  <c r="CF636" i="6"/>
  <c r="CF637" i="6"/>
  <c r="CF638" i="6"/>
  <c r="CF639" i="6"/>
  <c r="CF640" i="6"/>
  <c r="CF641" i="6"/>
  <c r="CF642" i="6"/>
  <c r="CF643" i="6"/>
  <c r="CF644" i="6"/>
  <c r="CF645" i="6"/>
  <c r="CF646" i="6"/>
  <c r="CF647" i="6"/>
  <c r="CF648" i="6"/>
  <c r="CF649" i="6"/>
  <c r="CF650" i="6"/>
  <c r="CF651" i="6"/>
  <c r="CF652" i="6"/>
  <c r="CF653" i="6"/>
  <c r="CF654" i="6"/>
  <c r="CF655" i="6"/>
  <c r="CF656" i="6"/>
  <c r="CF657" i="6"/>
  <c r="CF658" i="6"/>
  <c r="CF659" i="6"/>
  <c r="CF660" i="6"/>
  <c r="CF661" i="6"/>
  <c r="CF662" i="6"/>
  <c r="CF663" i="6"/>
  <c r="CF664" i="6"/>
  <c r="CF665" i="6"/>
  <c r="CF666" i="6"/>
  <c r="CF667" i="6"/>
  <c r="CF668" i="6"/>
  <c r="CF669" i="6"/>
  <c r="CF670" i="6"/>
  <c r="CF671" i="6"/>
  <c r="CF672" i="6"/>
  <c r="CF673" i="6"/>
  <c r="CF674" i="6"/>
  <c r="CF675" i="6"/>
  <c r="CF676" i="6"/>
  <c r="CF677" i="6"/>
  <c r="CF678" i="6"/>
  <c r="CF679" i="6"/>
  <c r="CF680" i="6"/>
  <c r="CF681" i="6"/>
  <c r="CF682" i="6"/>
  <c r="CF683" i="6"/>
  <c r="CF684" i="6"/>
  <c r="CF685" i="6"/>
  <c r="CF686" i="6"/>
  <c r="CF687" i="6"/>
  <c r="CF688" i="6"/>
  <c r="CF689" i="6"/>
  <c r="CF690" i="6"/>
  <c r="CF691" i="6"/>
  <c r="CF692" i="6"/>
  <c r="CF693" i="6"/>
  <c r="CF694" i="6"/>
  <c r="CF695" i="6"/>
  <c r="CF696" i="6"/>
  <c r="CF697" i="6"/>
  <c r="CF698" i="6"/>
  <c r="CF699" i="6"/>
  <c r="CF700" i="6"/>
  <c r="CF701" i="6"/>
  <c r="CF702" i="6"/>
  <c r="CF703" i="6"/>
  <c r="CF704" i="6"/>
  <c r="CF705" i="6"/>
  <c r="CF706" i="6"/>
  <c r="CF707" i="6"/>
  <c r="CF708" i="6"/>
  <c r="CF709" i="6"/>
  <c r="CF710" i="6"/>
  <c r="CF711" i="6"/>
  <c r="CF712" i="6"/>
  <c r="CF713" i="6"/>
  <c r="CF714" i="6"/>
  <c r="CF715" i="6"/>
  <c r="CF716" i="6"/>
  <c r="CF717" i="6"/>
  <c r="CF718" i="6"/>
  <c r="CF719" i="6"/>
  <c r="CF720" i="6"/>
  <c r="CF721" i="6"/>
  <c r="CF722" i="6"/>
  <c r="CF723" i="6"/>
  <c r="CF724" i="6"/>
  <c r="CF725" i="6"/>
  <c r="CF726" i="6"/>
  <c r="CF727" i="6"/>
  <c r="CF728" i="6"/>
  <c r="CF729" i="6"/>
  <c r="CF730" i="6"/>
  <c r="CF731" i="6"/>
  <c r="CF732" i="6"/>
  <c r="CF733" i="6"/>
  <c r="CF734" i="6"/>
  <c r="CF735" i="6"/>
  <c r="CF736" i="6"/>
  <c r="CF737" i="6"/>
  <c r="CF738" i="6"/>
  <c r="CF739" i="6"/>
  <c r="CF740" i="6"/>
  <c r="CF741" i="6"/>
  <c r="CF742" i="6"/>
  <c r="CF743" i="6"/>
  <c r="CF748" i="6"/>
  <c r="CE2" i="6"/>
  <c r="CE3" i="6"/>
  <c r="CE4" i="6"/>
  <c r="CE5" i="6"/>
  <c r="CE6" i="6"/>
  <c r="CE7" i="6"/>
  <c r="CE8" i="6"/>
  <c r="CE9" i="6"/>
  <c r="CE10" i="6"/>
  <c r="CE11" i="6"/>
  <c r="CE12" i="6"/>
  <c r="CE13" i="6"/>
  <c r="CE14" i="6"/>
  <c r="CE15" i="6"/>
  <c r="CE16" i="6"/>
  <c r="CE17" i="6"/>
  <c r="CE18" i="6"/>
  <c r="CE19" i="6"/>
  <c r="CE20" i="6"/>
  <c r="CE21" i="6"/>
  <c r="CE22" i="6"/>
  <c r="CE23" i="6"/>
  <c r="CE24" i="6"/>
  <c r="CE25" i="6"/>
  <c r="CE26" i="6"/>
  <c r="CE27" i="6"/>
  <c r="CE28" i="6"/>
  <c r="CE29" i="6"/>
  <c r="CE30" i="6"/>
  <c r="CE31" i="6"/>
  <c r="CE32" i="6"/>
  <c r="CE33" i="6"/>
  <c r="CE34" i="6"/>
  <c r="CE35" i="6"/>
  <c r="CE36" i="6"/>
  <c r="CE37" i="6"/>
  <c r="CE38" i="6"/>
  <c r="CE39" i="6"/>
  <c r="CE40" i="6"/>
  <c r="CE41" i="6"/>
  <c r="CE42" i="6"/>
  <c r="CE43" i="6"/>
  <c r="CE44" i="6"/>
  <c r="CE45" i="6"/>
  <c r="CE46" i="6"/>
  <c r="CE47" i="6"/>
  <c r="CE48" i="6"/>
  <c r="CE49" i="6"/>
  <c r="CE50" i="6"/>
  <c r="CE51" i="6"/>
  <c r="CE52" i="6"/>
  <c r="CE53" i="6"/>
  <c r="CE54" i="6"/>
  <c r="CE55" i="6"/>
  <c r="CE56" i="6"/>
  <c r="CE57" i="6"/>
  <c r="CE58" i="6"/>
  <c r="CE59" i="6"/>
  <c r="CE60" i="6"/>
  <c r="CE61" i="6"/>
  <c r="CE62" i="6"/>
  <c r="CE63" i="6"/>
  <c r="CE64" i="6"/>
  <c r="CE65" i="6"/>
  <c r="CE66" i="6"/>
  <c r="CE67" i="6"/>
  <c r="CE68" i="6"/>
  <c r="CE69" i="6"/>
  <c r="CE70" i="6"/>
  <c r="CE71" i="6"/>
  <c r="CE72" i="6"/>
  <c r="CE73" i="6"/>
  <c r="CE74" i="6"/>
  <c r="CE75" i="6"/>
  <c r="CE76" i="6"/>
  <c r="CE77" i="6"/>
  <c r="CE78" i="6"/>
  <c r="CE79" i="6"/>
  <c r="CE80" i="6"/>
  <c r="CE81" i="6"/>
  <c r="CE82" i="6"/>
  <c r="CE83" i="6"/>
  <c r="CE84" i="6"/>
  <c r="CE85" i="6"/>
  <c r="CE86" i="6"/>
  <c r="CE87" i="6"/>
  <c r="CE88" i="6"/>
  <c r="CE89" i="6"/>
  <c r="CE90" i="6"/>
  <c r="CE91" i="6"/>
  <c r="CE92" i="6"/>
  <c r="CE93" i="6"/>
  <c r="CE94" i="6"/>
  <c r="CE95" i="6"/>
  <c r="CE96" i="6"/>
  <c r="CE97" i="6"/>
  <c r="CE98" i="6"/>
  <c r="CE99" i="6"/>
  <c r="CE100" i="6"/>
  <c r="CE101" i="6"/>
  <c r="CE102" i="6"/>
  <c r="CE103" i="6"/>
  <c r="CE104" i="6"/>
  <c r="CE105" i="6"/>
  <c r="CE106" i="6"/>
  <c r="CE107" i="6"/>
  <c r="CE108" i="6"/>
  <c r="CE109" i="6"/>
  <c r="CE110" i="6"/>
  <c r="CE111" i="6"/>
  <c r="CE112" i="6"/>
  <c r="CE113" i="6"/>
  <c r="CE114" i="6"/>
  <c r="CE115" i="6"/>
  <c r="CE116" i="6"/>
  <c r="CE117" i="6"/>
  <c r="CE118" i="6"/>
  <c r="CE119" i="6"/>
  <c r="CE120" i="6"/>
  <c r="CE121" i="6"/>
  <c r="CE122" i="6"/>
  <c r="CE123" i="6"/>
  <c r="CE124" i="6"/>
  <c r="CE125" i="6"/>
  <c r="CE126" i="6"/>
  <c r="CE127" i="6"/>
  <c r="CE128" i="6"/>
  <c r="CE129" i="6"/>
  <c r="CE130" i="6"/>
  <c r="CE131" i="6"/>
  <c r="CE132" i="6"/>
  <c r="CE133" i="6"/>
  <c r="CE134" i="6"/>
  <c r="CE135" i="6"/>
  <c r="CE136" i="6"/>
  <c r="CE137" i="6"/>
  <c r="CE138" i="6"/>
  <c r="CE139" i="6"/>
  <c r="CE140" i="6"/>
  <c r="CE141" i="6"/>
  <c r="CE142" i="6"/>
  <c r="CE143" i="6"/>
  <c r="CE144" i="6"/>
  <c r="CE145" i="6"/>
  <c r="CE146" i="6"/>
  <c r="CE147" i="6"/>
  <c r="CE148" i="6"/>
  <c r="CE149" i="6"/>
  <c r="CE150" i="6"/>
  <c r="CE151" i="6"/>
  <c r="CE152" i="6"/>
  <c r="CE153" i="6"/>
  <c r="CE154" i="6"/>
  <c r="CE155" i="6"/>
  <c r="CE156" i="6"/>
  <c r="CE157" i="6"/>
  <c r="CE158" i="6"/>
  <c r="CE159" i="6"/>
  <c r="CE160" i="6"/>
  <c r="CE161" i="6"/>
  <c r="CE162" i="6"/>
  <c r="CE163" i="6"/>
  <c r="CE164" i="6"/>
  <c r="CE165" i="6"/>
  <c r="CE166" i="6"/>
  <c r="CE167" i="6"/>
  <c r="CE168" i="6"/>
  <c r="CE169" i="6"/>
  <c r="CE170" i="6"/>
  <c r="CE171" i="6"/>
  <c r="CE172" i="6"/>
  <c r="CE173" i="6"/>
  <c r="CE174" i="6"/>
  <c r="CE175" i="6"/>
  <c r="CE176" i="6"/>
  <c r="CE177" i="6"/>
  <c r="CE178" i="6"/>
  <c r="CE179" i="6"/>
  <c r="CE180" i="6"/>
  <c r="CE181" i="6"/>
  <c r="CE182" i="6"/>
  <c r="CE183" i="6"/>
  <c r="CE184" i="6"/>
  <c r="CE185" i="6"/>
  <c r="CE186" i="6"/>
  <c r="CE187" i="6"/>
  <c r="CE188" i="6"/>
  <c r="CE189" i="6"/>
  <c r="CE190" i="6"/>
  <c r="CE191" i="6"/>
  <c r="CE192" i="6"/>
  <c r="CE193" i="6"/>
  <c r="CE194" i="6"/>
  <c r="CE195" i="6"/>
  <c r="CE196" i="6"/>
  <c r="CE197" i="6"/>
  <c r="CE198" i="6"/>
  <c r="CE199" i="6"/>
  <c r="CE200" i="6"/>
  <c r="CE201" i="6"/>
  <c r="CE202" i="6"/>
  <c r="CE203" i="6"/>
  <c r="CE204" i="6"/>
  <c r="CE205" i="6"/>
  <c r="CE206" i="6"/>
  <c r="CE207" i="6"/>
  <c r="CE208" i="6"/>
  <c r="CE209" i="6"/>
  <c r="CE210" i="6"/>
  <c r="CE211" i="6"/>
  <c r="CE212" i="6"/>
  <c r="CE213" i="6"/>
  <c r="CE214" i="6"/>
  <c r="CE215" i="6"/>
  <c r="CE216" i="6"/>
  <c r="CE217" i="6"/>
  <c r="CE218" i="6"/>
  <c r="CE219" i="6"/>
  <c r="CE220" i="6"/>
  <c r="CE221" i="6"/>
  <c r="CE222" i="6"/>
  <c r="CE223" i="6"/>
  <c r="CE224" i="6"/>
  <c r="CE225" i="6"/>
  <c r="CE226" i="6"/>
  <c r="CE227" i="6"/>
  <c r="CE228" i="6"/>
  <c r="CE229" i="6"/>
  <c r="CE230" i="6"/>
  <c r="CE231" i="6"/>
  <c r="CE232" i="6"/>
  <c r="CE233" i="6"/>
  <c r="CE234" i="6"/>
  <c r="CE235" i="6"/>
  <c r="CE236" i="6"/>
  <c r="CE237" i="6"/>
  <c r="CE238" i="6"/>
  <c r="CE239" i="6"/>
  <c r="CE240" i="6"/>
  <c r="CE241" i="6"/>
  <c r="CE242" i="6"/>
  <c r="CE243" i="6"/>
  <c r="CE244" i="6"/>
  <c r="CE245" i="6"/>
  <c r="CE246" i="6"/>
  <c r="CE247" i="6"/>
  <c r="CE248" i="6"/>
  <c r="CE249" i="6"/>
  <c r="CE250" i="6"/>
  <c r="CE251" i="6"/>
  <c r="CE252" i="6"/>
  <c r="CE253" i="6"/>
  <c r="CE254" i="6"/>
  <c r="CE255" i="6"/>
  <c r="CE256" i="6"/>
  <c r="CE257" i="6"/>
  <c r="CE258" i="6"/>
  <c r="CE259" i="6"/>
  <c r="CE260" i="6"/>
  <c r="CE261" i="6"/>
  <c r="CE262" i="6"/>
  <c r="CE263" i="6"/>
  <c r="CE264" i="6"/>
  <c r="CE265" i="6"/>
  <c r="CE266" i="6"/>
  <c r="CE267" i="6"/>
  <c r="CE268" i="6"/>
  <c r="CE269" i="6"/>
  <c r="CE270" i="6"/>
  <c r="CE271" i="6"/>
  <c r="CE272" i="6"/>
  <c r="CE273" i="6"/>
  <c r="CE274" i="6"/>
  <c r="CE275" i="6"/>
  <c r="CE276" i="6"/>
  <c r="CE277" i="6"/>
  <c r="CE278" i="6"/>
  <c r="CE279" i="6"/>
  <c r="CE280" i="6"/>
  <c r="CE281" i="6"/>
  <c r="CE282" i="6"/>
  <c r="CE283" i="6"/>
  <c r="CE284" i="6"/>
  <c r="CE285" i="6"/>
  <c r="CE286" i="6"/>
  <c r="CE287" i="6"/>
  <c r="CE288" i="6"/>
  <c r="CE289" i="6"/>
  <c r="CE290" i="6"/>
  <c r="CE291" i="6"/>
  <c r="CE292" i="6"/>
  <c r="CE293" i="6"/>
  <c r="CE294" i="6"/>
  <c r="CE295" i="6"/>
  <c r="CE296" i="6"/>
  <c r="CE297" i="6"/>
  <c r="CE298" i="6"/>
  <c r="CE299" i="6"/>
  <c r="CE300" i="6"/>
  <c r="CE301" i="6"/>
  <c r="CE302" i="6"/>
  <c r="CE303" i="6"/>
  <c r="CE304" i="6"/>
  <c r="CE305" i="6"/>
  <c r="CE306" i="6"/>
  <c r="CE307" i="6"/>
  <c r="CE308" i="6"/>
  <c r="CE309" i="6"/>
  <c r="CE310" i="6"/>
  <c r="CE311" i="6"/>
  <c r="CE312" i="6"/>
  <c r="CE313" i="6"/>
  <c r="CE314" i="6"/>
  <c r="CE315" i="6"/>
  <c r="CE316" i="6"/>
  <c r="CE317" i="6"/>
  <c r="CE318" i="6"/>
  <c r="CE319" i="6"/>
  <c r="CE320" i="6"/>
  <c r="CE321" i="6"/>
  <c r="CE322" i="6"/>
  <c r="CE323" i="6"/>
  <c r="CE324" i="6"/>
  <c r="CE325" i="6"/>
  <c r="CE326" i="6"/>
  <c r="CE327" i="6"/>
  <c r="CE328" i="6"/>
  <c r="CE329" i="6"/>
  <c r="CE330" i="6"/>
  <c r="CE331" i="6"/>
  <c r="CE332" i="6"/>
  <c r="CE333" i="6"/>
  <c r="CE334" i="6"/>
  <c r="CE335" i="6"/>
  <c r="CE336" i="6"/>
  <c r="CE337" i="6"/>
  <c r="CE338" i="6"/>
  <c r="CE339" i="6"/>
  <c r="CE340" i="6"/>
  <c r="CE341" i="6"/>
  <c r="CE342" i="6"/>
  <c r="CE343" i="6"/>
  <c r="CE344" i="6"/>
  <c r="CE345" i="6"/>
  <c r="CE346" i="6"/>
  <c r="CE347" i="6"/>
  <c r="CE348" i="6"/>
  <c r="CE349" i="6"/>
  <c r="CE350" i="6"/>
  <c r="CE351" i="6"/>
  <c r="CE352" i="6"/>
  <c r="CE353" i="6"/>
  <c r="CE354" i="6"/>
  <c r="CE355" i="6"/>
  <c r="CE356" i="6"/>
  <c r="CE357" i="6"/>
  <c r="CE358" i="6"/>
  <c r="CE359" i="6"/>
  <c r="CE360" i="6"/>
  <c r="CE361" i="6"/>
  <c r="CE362" i="6"/>
  <c r="CE363" i="6"/>
  <c r="CE364" i="6"/>
  <c r="CE365" i="6"/>
  <c r="CE366" i="6"/>
  <c r="CE367" i="6"/>
  <c r="CE368" i="6"/>
  <c r="CE369" i="6"/>
  <c r="CE370" i="6"/>
  <c r="CE371" i="6"/>
  <c r="CE372" i="6"/>
  <c r="CE373" i="6"/>
  <c r="CE374" i="6"/>
  <c r="CE375" i="6"/>
  <c r="CE376" i="6"/>
  <c r="CE377" i="6"/>
  <c r="CE378" i="6"/>
  <c r="CE379" i="6"/>
  <c r="CE380" i="6"/>
  <c r="CE381" i="6"/>
  <c r="CE382" i="6"/>
  <c r="CE383" i="6"/>
  <c r="CE384" i="6"/>
  <c r="CE385" i="6"/>
  <c r="CE386" i="6"/>
  <c r="CE387" i="6"/>
  <c r="CE388" i="6"/>
  <c r="CE389" i="6"/>
  <c r="CE390" i="6"/>
  <c r="CE391" i="6"/>
  <c r="CE392" i="6"/>
  <c r="CE393" i="6"/>
  <c r="CE394" i="6"/>
  <c r="CE395" i="6"/>
  <c r="CE396" i="6"/>
  <c r="CE397" i="6"/>
  <c r="CE398" i="6"/>
  <c r="CE399" i="6"/>
  <c r="CE400" i="6"/>
  <c r="CE401" i="6"/>
  <c r="CE402" i="6"/>
  <c r="CE403" i="6"/>
  <c r="CE404" i="6"/>
  <c r="CE405" i="6"/>
  <c r="CE406" i="6"/>
  <c r="CE407" i="6"/>
  <c r="CE408" i="6"/>
  <c r="CE409" i="6"/>
  <c r="CE410" i="6"/>
  <c r="CE411" i="6"/>
  <c r="CE412" i="6"/>
  <c r="CE413" i="6"/>
  <c r="CE414" i="6"/>
  <c r="CE415" i="6"/>
  <c r="CE416" i="6"/>
  <c r="CE417" i="6"/>
  <c r="CE418" i="6"/>
  <c r="CE419" i="6"/>
  <c r="CE420" i="6"/>
  <c r="CE421" i="6"/>
  <c r="CE422" i="6"/>
  <c r="CE423" i="6"/>
  <c r="CE424" i="6"/>
  <c r="CE425" i="6"/>
  <c r="CE426" i="6"/>
  <c r="CE427" i="6"/>
  <c r="CE428" i="6"/>
  <c r="CE429" i="6"/>
  <c r="CE430" i="6"/>
  <c r="CE431" i="6"/>
  <c r="CE432" i="6"/>
  <c r="CE433" i="6"/>
  <c r="CE434" i="6"/>
  <c r="CE435" i="6"/>
  <c r="CE436" i="6"/>
  <c r="CE437" i="6"/>
  <c r="CE438" i="6"/>
  <c r="CE439" i="6"/>
  <c r="CE440" i="6"/>
  <c r="CE441" i="6"/>
  <c r="CE442" i="6"/>
  <c r="CE443" i="6"/>
  <c r="CE444" i="6"/>
  <c r="CE445" i="6"/>
  <c r="CE446" i="6"/>
  <c r="CE447" i="6"/>
  <c r="CE448" i="6"/>
  <c r="CE449" i="6"/>
  <c r="CE450" i="6"/>
  <c r="CE451" i="6"/>
  <c r="CE452" i="6"/>
  <c r="CE453" i="6"/>
  <c r="CE454" i="6"/>
  <c r="CE455" i="6"/>
  <c r="CE456" i="6"/>
  <c r="CE457" i="6"/>
  <c r="CE458" i="6"/>
  <c r="CE459" i="6"/>
  <c r="CE460" i="6"/>
  <c r="CE461" i="6"/>
  <c r="CE462" i="6"/>
  <c r="CE463" i="6"/>
  <c r="CE464" i="6"/>
  <c r="CE465" i="6"/>
  <c r="CE466" i="6"/>
  <c r="CE467" i="6"/>
  <c r="CE468" i="6"/>
  <c r="CE469" i="6"/>
  <c r="CE470" i="6"/>
  <c r="CE471" i="6"/>
  <c r="CE472" i="6"/>
  <c r="CE473" i="6"/>
  <c r="CE474" i="6"/>
  <c r="CE475" i="6"/>
  <c r="CE476" i="6"/>
  <c r="CE477" i="6"/>
  <c r="CE478" i="6"/>
  <c r="CE479" i="6"/>
  <c r="CE480" i="6"/>
  <c r="CE481" i="6"/>
  <c r="CE482" i="6"/>
  <c r="CE483" i="6"/>
  <c r="CE484" i="6"/>
  <c r="CE485" i="6"/>
  <c r="CE486" i="6"/>
  <c r="CE487" i="6"/>
  <c r="CE488" i="6"/>
  <c r="CE489" i="6"/>
  <c r="CE490" i="6"/>
  <c r="CE491" i="6"/>
  <c r="CE492" i="6"/>
  <c r="CE493" i="6"/>
  <c r="CE494" i="6"/>
  <c r="CE495" i="6"/>
  <c r="CE496" i="6"/>
  <c r="CE497" i="6"/>
  <c r="CE498" i="6"/>
  <c r="CE499" i="6"/>
  <c r="CE500" i="6"/>
  <c r="CE501" i="6"/>
  <c r="CE502" i="6"/>
  <c r="CE503" i="6"/>
  <c r="CE504" i="6"/>
  <c r="CE505" i="6"/>
  <c r="CE506" i="6"/>
  <c r="CE507" i="6"/>
  <c r="CE508" i="6"/>
  <c r="CE509" i="6"/>
  <c r="CE510" i="6"/>
  <c r="CE511" i="6"/>
  <c r="CE512" i="6"/>
  <c r="CE513" i="6"/>
  <c r="CE514" i="6"/>
  <c r="CE515" i="6"/>
  <c r="CE516" i="6"/>
  <c r="CE517" i="6"/>
  <c r="CE518" i="6"/>
  <c r="CE519" i="6"/>
  <c r="CE520" i="6"/>
  <c r="CE521" i="6"/>
  <c r="CE522" i="6"/>
  <c r="CE523" i="6"/>
  <c r="CE524" i="6"/>
  <c r="CE525" i="6"/>
  <c r="CE526" i="6"/>
  <c r="CE527" i="6"/>
  <c r="CE528" i="6"/>
  <c r="CE529" i="6"/>
  <c r="CE530" i="6"/>
  <c r="CE531" i="6"/>
  <c r="CE532" i="6"/>
  <c r="CE533" i="6"/>
  <c r="CE534" i="6"/>
  <c r="CE535" i="6"/>
  <c r="CE536" i="6"/>
  <c r="CE537" i="6"/>
  <c r="CE538" i="6"/>
  <c r="CE539" i="6"/>
  <c r="CE540" i="6"/>
  <c r="CE541" i="6"/>
  <c r="CE542" i="6"/>
  <c r="CE543" i="6"/>
  <c r="CE544" i="6"/>
  <c r="CE545" i="6"/>
  <c r="CE546" i="6"/>
  <c r="CE547" i="6"/>
  <c r="CE548" i="6"/>
  <c r="CE549" i="6"/>
  <c r="CE550" i="6"/>
  <c r="CE551" i="6"/>
  <c r="CE552" i="6"/>
  <c r="CE553" i="6"/>
  <c r="CE554" i="6"/>
  <c r="CE555" i="6"/>
  <c r="CE556" i="6"/>
  <c r="CE557" i="6"/>
  <c r="CE558" i="6"/>
  <c r="CE559" i="6"/>
  <c r="CE560" i="6"/>
  <c r="CE561" i="6"/>
  <c r="CE562" i="6"/>
  <c r="CE563" i="6"/>
  <c r="CE564" i="6"/>
  <c r="CE565" i="6"/>
  <c r="CE566" i="6"/>
  <c r="CE567" i="6"/>
  <c r="CE568" i="6"/>
  <c r="CE569" i="6"/>
  <c r="CE570" i="6"/>
  <c r="CE571" i="6"/>
  <c r="CE572" i="6"/>
  <c r="CE573" i="6"/>
  <c r="CE574" i="6"/>
  <c r="CE575" i="6"/>
  <c r="CE576" i="6"/>
  <c r="CE577" i="6"/>
  <c r="CE578" i="6"/>
  <c r="CE579" i="6"/>
  <c r="CE580" i="6"/>
  <c r="CE581" i="6"/>
  <c r="CE582" i="6"/>
  <c r="CE583" i="6"/>
  <c r="CE584" i="6"/>
  <c r="CE585" i="6"/>
  <c r="CE586" i="6"/>
  <c r="CE587" i="6"/>
  <c r="CE588" i="6"/>
  <c r="CE589" i="6"/>
  <c r="CE590" i="6"/>
  <c r="CE591" i="6"/>
  <c r="CE592" i="6"/>
  <c r="CE593" i="6"/>
  <c r="CE594" i="6"/>
  <c r="CE595" i="6"/>
  <c r="CE596" i="6"/>
  <c r="CE597" i="6"/>
  <c r="CE598" i="6"/>
  <c r="CE599" i="6"/>
  <c r="CE600" i="6"/>
  <c r="CE601" i="6"/>
  <c r="CE602" i="6"/>
  <c r="CE603" i="6"/>
  <c r="CE604" i="6"/>
  <c r="CE605" i="6"/>
  <c r="CE606" i="6"/>
  <c r="CE607" i="6"/>
  <c r="CE608" i="6"/>
  <c r="CE609" i="6"/>
  <c r="CE610" i="6"/>
  <c r="CE611" i="6"/>
  <c r="CE612" i="6"/>
  <c r="CE613" i="6"/>
  <c r="CE614" i="6"/>
  <c r="CE615" i="6"/>
  <c r="CE616" i="6"/>
  <c r="CE617" i="6"/>
  <c r="CE618" i="6"/>
  <c r="CE619" i="6"/>
  <c r="CE620" i="6"/>
  <c r="CE621" i="6"/>
  <c r="CE622" i="6"/>
  <c r="CE623" i="6"/>
  <c r="CE624" i="6"/>
  <c r="CE625" i="6"/>
  <c r="CE626" i="6"/>
  <c r="CE627" i="6"/>
  <c r="CE628" i="6"/>
  <c r="CE629" i="6"/>
  <c r="CE630" i="6"/>
  <c r="CE631" i="6"/>
  <c r="CE632" i="6"/>
  <c r="CE633" i="6"/>
  <c r="CE634" i="6"/>
  <c r="CE635" i="6"/>
  <c r="CE636" i="6"/>
  <c r="CE637" i="6"/>
  <c r="CE638" i="6"/>
  <c r="CE639" i="6"/>
  <c r="CE640" i="6"/>
  <c r="CE641" i="6"/>
  <c r="CE642" i="6"/>
  <c r="CE643" i="6"/>
  <c r="CE644" i="6"/>
  <c r="CE645" i="6"/>
  <c r="CE646" i="6"/>
  <c r="CE647" i="6"/>
  <c r="CE648" i="6"/>
  <c r="CE649" i="6"/>
  <c r="CE650" i="6"/>
  <c r="CE651" i="6"/>
  <c r="CE652" i="6"/>
  <c r="CE653" i="6"/>
  <c r="CE654" i="6"/>
  <c r="CE655" i="6"/>
  <c r="CE656" i="6"/>
  <c r="CE657" i="6"/>
  <c r="CE658" i="6"/>
  <c r="CE659" i="6"/>
  <c r="CE660" i="6"/>
  <c r="CE661" i="6"/>
  <c r="CE662" i="6"/>
  <c r="CE663" i="6"/>
  <c r="CE664" i="6"/>
  <c r="CE665" i="6"/>
  <c r="CE666" i="6"/>
  <c r="CE667" i="6"/>
  <c r="CE668" i="6"/>
  <c r="CE669" i="6"/>
  <c r="CE670" i="6"/>
  <c r="CE671" i="6"/>
  <c r="CE672" i="6"/>
  <c r="CE673" i="6"/>
  <c r="CE674" i="6"/>
  <c r="CE675" i="6"/>
  <c r="CE676" i="6"/>
  <c r="CE677" i="6"/>
  <c r="CE678" i="6"/>
  <c r="CE679" i="6"/>
  <c r="CE680" i="6"/>
  <c r="CE681" i="6"/>
  <c r="CE682" i="6"/>
  <c r="CE683" i="6"/>
  <c r="CE684" i="6"/>
  <c r="CE685" i="6"/>
  <c r="CE686" i="6"/>
  <c r="CE687" i="6"/>
  <c r="CE688" i="6"/>
  <c r="CE689" i="6"/>
  <c r="CE690" i="6"/>
  <c r="CE691" i="6"/>
  <c r="CE692" i="6"/>
  <c r="CE693" i="6"/>
  <c r="CE694" i="6"/>
  <c r="CE695" i="6"/>
  <c r="CE696" i="6"/>
  <c r="CE697" i="6"/>
  <c r="CE698" i="6"/>
  <c r="CE699" i="6"/>
  <c r="CE700" i="6"/>
  <c r="CE701" i="6"/>
  <c r="CE702" i="6"/>
  <c r="CE703" i="6"/>
  <c r="CE704" i="6"/>
  <c r="CE705" i="6"/>
  <c r="CE706" i="6"/>
  <c r="CE707" i="6"/>
  <c r="CE708" i="6"/>
  <c r="CE709" i="6"/>
  <c r="CE710" i="6"/>
  <c r="CE711" i="6"/>
  <c r="CE712" i="6"/>
  <c r="CE713" i="6"/>
  <c r="CE714" i="6"/>
  <c r="CE715" i="6"/>
  <c r="CE716" i="6"/>
  <c r="CE717" i="6"/>
  <c r="CE718" i="6"/>
  <c r="CE719" i="6"/>
  <c r="CE720" i="6"/>
  <c r="CE721" i="6"/>
  <c r="CE722" i="6"/>
  <c r="CE723" i="6"/>
  <c r="CE724" i="6"/>
  <c r="CE725" i="6"/>
  <c r="CE726" i="6"/>
  <c r="CE727" i="6"/>
  <c r="CE728" i="6"/>
  <c r="CE729" i="6"/>
  <c r="CE730" i="6"/>
  <c r="CE731" i="6"/>
  <c r="CE732" i="6"/>
  <c r="CE733" i="6"/>
  <c r="CE734" i="6"/>
  <c r="CE735" i="6"/>
  <c r="CE736" i="6"/>
  <c r="CE737" i="6"/>
  <c r="CE738" i="6"/>
  <c r="CE739" i="6"/>
  <c r="CE740" i="6"/>
  <c r="CE741" i="6"/>
  <c r="CE742" i="6"/>
  <c r="CE743" i="6"/>
  <c r="CE748" i="6"/>
  <c r="CD2" i="6"/>
  <c r="CD3" i="6"/>
  <c r="CD4" i="6"/>
  <c r="CD5" i="6"/>
  <c r="CD6" i="6"/>
  <c r="CD7" i="6"/>
  <c r="CD8" i="6"/>
  <c r="CD9" i="6"/>
  <c r="CD10" i="6"/>
  <c r="CD11" i="6"/>
  <c r="CD12" i="6"/>
  <c r="CD13" i="6"/>
  <c r="CD14" i="6"/>
  <c r="CD15" i="6"/>
  <c r="CD16" i="6"/>
  <c r="CD17" i="6"/>
  <c r="CD18" i="6"/>
  <c r="CD19" i="6"/>
  <c r="CD20" i="6"/>
  <c r="CD21" i="6"/>
  <c r="CD22" i="6"/>
  <c r="CD23" i="6"/>
  <c r="CD24" i="6"/>
  <c r="CD25" i="6"/>
  <c r="CD26" i="6"/>
  <c r="CD27" i="6"/>
  <c r="CD28" i="6"/>
  <c r="CD29" i="6"/>
  <c r="CD30" i="6"/>
  <c r="CD31" i="6"/>
  <c r="CD32" i="6"/>
  <c r="CD33" i="6"/>
  <c r="CD34" i="6"/>
  <c r="CD35" i="6"/>
  <c r="CD36" i="6"/>
  <c r="CD37" i="6"/>
  <c r="CD38" i="6"/>
  <c r="CD39" i="6"/>
  <c r="CD40" i="6"/>
  <c r="CD41" i="6"/>
  <c r="CD42" i="6"/>
  <c r="CD43" i="6"/>
  <c r="CD44" i="6"/>
  <c r="CD45" i="6"/>
  <c r="CD46" i="6"/>
  <c r="CD47" i="6"/>
  <c r="CD48" i="6"/>
  <c r="CD49" i="6"/>
  <c r="CD50" i="6"/>
  <c r="CD51" i="6"/>
  <c r="CD52" i="6"/>
  <c r="CD53" i="6"/>
  <c r="CD54" i="6"/>
  <c r="CD55" i="6"/>
  <c r="CD56" i="6"/>
  <c r="CD57" i="6"/>
  <c r="CD58" i="6"/>
  <c r="CD59" i="6"/>
  <c r="CD60" i="6"/>
  <c r="CD61" i="6"/>
  <c r="CD62" i="6"/>
  <c r="CD63" i="6"/>
  <c r="CD64" i="6"/>
  <c r="CD65" i="6"/>
  <c r="CD66" i="6"/>
  <c r="CD67" i="6"/>
  <c r="CD68" i="6"/>
  <c r="CD69" i="6"/>
  <c r="CD70" i="6"/>
  <c r="CD71" i="6"/>
  <c r="CD72" i="6"/>
  <c r="CD73" i="6"/>
  <c r="CD74" i="6"/>
  <c r="CD75" i="6"/>
  <c r="CD76" i="6"/>
  <c r="CD77" i="6"/>
  <c r="CD78" i="6"/>
  <c r="CD79" i="6"/>
  <c r="CD80" i="6"/>
  <c r="CD81" i="6"/>
  <c r="CD82" i="6"/>
  <c r="CD83" i="6"/>
  <c r="CD84" i="6"/>
  <c r="CD85" i="6"/>
  <c r="CD86" i="6"/>
  <c r="CD87" i="6"/>
  <c r="CD88" i="6"/>
  <c r="CD89" i="6"/>
  <c r="CD90" i="6"/>
  <c r="CD91" i="6"/>
  <c r="CD92" i="6"/>
  <c r="CD93" i="6"/>
  <c r="CD94" i="6"/>
  <c r="CD95" i="6"/>
  <c r="CD96" i="6"/>
  <c r="CD97" i="6"/>
  <c r="CD98" i="6"/>
  <c r="CD99" i="6"/>
  <c r="CD100" i="6"/>
  <c r="CD101" i="6"/>
  <c r="CD102" i="6"/>
  <c r="CD103" i="6"/>
  <c r="CD104" i="6"/>
  <c r="CD105" i="6"/>
  <c r="CD106" i="6"/>
  <c r="CD107" i="6"/>
  <c r="CD108" i="6"/>
  <c r="CD109" i="6"/>
  <c r="CD110" i="6"/>
  <c r="CD111" i="6"/>
  <c r="CD112" i="6"/>
  <c r="CD113" i="6"/>
  <c r="CD114" i="6"/>
  <c r="CD115" i="6"/>
  <c r="CD116" i="6"/>
  <c r="CD117" i="6"/>
  <c r="CD118" i="6"/>
  <c r="CD119" i="6"/>
  <c r="CD120" i="6"/>
  <c r="CD121" i="6"/>
  <c r="CD122" i="6"/>
  <c r="CD123" i="6"/>
  <c r="CD124" i="6"/>
  <c r="CD125" i="6"/>
  <c r="CD126" i="6"/>
  <c r="CD127" i="6"/>
  <c r="CD128" i="6"/>
  <c r="CD129" i="6"/>
  <c r="CD130" i="6"/>
  <c r="CD131" i="6"/>
  <c r="CD132" i="6"/>
  <c r="CD133" i="6"/>
  <c r="CD134" i="6"/>
  <c r="CD135" i="6"/>
  <c r="CD136" i="6"/>
  <c r="CD137" i="6"/>
  <c r="CD138" i="6"/>
  <c r="CD139" i="6"/>
  <c r="CD140" i="6"/>
  <c r="CD141" i="6"/>
  <c r="CD142" i="6"/>
  <c r="CD143" i="6"/>
  <c r="CD144" i="6"/>
  <c r="CD145" i="6"/>
  <c r="CD146" i="6"/>
  <c r="CD147" i="6"/>
  <c r="CD148" i="6"/>
  <c r="CD149" i="6"/>
  <c r="CD150" i="6"/>
  <c r="CD151" i="6"/>
  <c r="CD152" i="6"/>
  <c r="CD153" i="6"/>
  <c r="CD154" i="6"/>
  <c r="CD155" i="6"/>
  <c r="CD156" i="6"/>
  <c r="CD157" i="6"/>
  <c r="CD158" i="6"/>
  <c r="CD159" i="6"/>
  <c r="CD160" i="6"/>
  <c r="CD161" i="6"/>
  <c r="CD162" i="6"/>
  <c r="CD163" i="6"/>
  <c r="CD164" i="6"/>
  <c r="CD165" i="6"/>
  <c r="CD166" i="6"/>
  <c r="CD167" i="6"/>
  <c r="CD168" i="6"/>
  <c r="CD169" i="6"/>
  <c r="CD170" i="6"/>
  <c r="CD171" i="6"/>
  <c r="CD172" i="6"/>
  <c r="CD173" i="6"/>
  <c r="CD174" i="6"/>
  <c r="CD175" i="6"/>
  <c r="CD176" i="6"/>
  <c r="CD177" i="6"/>
  <c r="CD178" i="6"/>
  <c r="CD179" i="6"/>
  <c r="CD180" i="6"/>
  <c r="CD181" i="6"/>
  <c r="CD182" i="6"/>
  <c r="CD183" i="6"/>
  <c r="CD184" i="6"/>
  <c r="CD185" i="6"/>
  <c r="CD186" i="6"/>
  <c r="CD187" i="6"/>
  <c r="CD188" i="6"/>
  <c r="CD189" i="6"/>
  <c r="CD190" i="6"/>
  <c r="CD191" i="6"/>
  <c r="CD192" i="6"/>
  <c r="CD193" i="6"/>
  <c r="CD194" i="6"/>
  <c r="CD195" i="6"/>
  <c r="CD196" i="6"/>
  <c r="CD197" i="6"/>
  <c r="CD198" i="6"/>
  <c r="CD199" i="6"/>
  <c r="CD200" i="6"/>
  <c r="CD201" i="6"/>
  <c r="CD202" i="6"/>
  <c r="CD203" i="6"/>
  <c r="CD204" i="6"/>
  <c r="CD205" i="6"/>
  <c r="CD206" i="6"/>
  <c r="CD207" i="6"/>
  <c r="CD208" i="6"/>
  <c r="CD209" i="6"/>
  <c r="CD210" i="6"/>
  <c r="CD211" i="6"/>
  <c r="CD212" i="6"/>
  <c r="CD213" i="6"/>
  <c r="CD214" i="6"/>
  <c r="CD215" i="6"/>
  <c r="CD216" i="6"/>
  <c r="CD217" i="6"/>
  <c r="CD218" i="6"/>
  <c r="CD219" i="6"/>
  <c r="CD220" i="6"/>
  <c r="CD221" i="6"/>
  <c r="CD222" i="6"/>
  <c r="CD223" i="6"/>
  <c r="CD224" i="6"/>
  <c r="CD225" i="6"/>
  <c r="CD226" i="6"/>
  <c r="CD227" i="6"/>
  <c r="CD228" i="6"/>
  <c r="CD229" i="6"/>
  <c r="CD230" i="6"/>
  <c r="CD231" i="6"/>
  <c r="CD232" i="6"/>
  <c r="CD233" i="6"/>
  <c r="CD234" i="6"/>
  <c r="CD235" i="6"/>
  <c r="CD236" i="6"/>
  <c r="CD237" i="6"/>
  <c r="CD238" i="6"/>
  <c r="CD239" i="6"/>
  <c r="CD240" i="6"/>
  <c r="CD241" i="6"/>
  <c r="CD242" i="6"/>
  <c r="CD243" i="6"/>
  <c r="CD244" i="6"/>
  <c r="CD245" i="6"/>
  <c r="CD246" i="6"/>
  <c r="CD247" i="6"/>
  <c r="CD248" i="6"/>
  <c r="CD249" i="6"/>
  <c r="CD250" i="6"/>
  <c r="CD251" i="6"/>
  <c r="CD252" i="6"/>
  <c r="CD253" i="6"/>
  <c r="CD254" i="6"/>
  <c r="CD255" i="6"/>
  <c r="CD256" i="6"/>
  <c r="CD257" i="6"/>
  <c r="CD258" i="6"/>
  <c r="CD259" i="6"/>
  <c r="CD260" i="6"/>
  <c r="CD261" i="6"/>
  <c r="CD262" i="6"/>
  <c r="CD263" i="6"/>
  <c r="CD264" i="6"/>
  <c r="CD265" i="6"/>
  <c r="CD266" i="6"/>
  <c r="CD267" i="6"/>
  <c r="CD268" i="6"/>
  <c r="CD269" i="6"/>
  <c r="CD270" i="6"/>
  <c r="CD271" i="6"/>
  <c r="CD272" i="6"/>
  <c r="CD273" i="6"/>
  <c r="CD274" i="6"/>
  <c r="CD275" i="6"/>
  <c r="CD276" i="6"/>
  <c r="CD277" i="6"/>
  <c r="CD278" i="6"/>
  <c r="CD279" i="6"/>
  <c r="CD280" i="6"/>
  <c r="CD281" i="6"/>
  <c r="CD282" i="6"/>
  <c r="CD283" i="6"/>
  <c r="CD284" i="6"/>
  <c r="CD285" i="6"/>
  <c r="CD286" i="6"/>
  <c r="CD287" i="6"/>
  <c r="CD288" i="6"/>
  <c r="CD289" i="6"/>
  <c r="CD290" i="6"/>
  <c r="CD291" i="6"/>
  <c r="CD292" i="6"/>
  <c r="CD293" i="6"/>
  <c r="CD294" i="6"/>
  <c r="CD295" i="6"/>
  <c r="CD296" i="6"/>
  <c r="CD297" i="6"/>
  <c r="CD298" i="6"/>
  <c r="CD299" i="6"/>
  <c r="CD300" i="6"/>
  <c r="CD301" i="6"/>
  <c r="CD302" i="6"/>
  <c r="CD303" i="6"/>
  <c r="CD304" i="6"/>
  <c r="CD305" i="6"/>
  <c r="CD306" i="6"/>
  <c r="CD307" i="6"/>
  <c r="CD308" i="6"/>
  <c r="CD309" i="6"/>
  <c r="CD310" i="6"/>
  <c r="CD311" i="6"/>
  <c r="CD312" i="6"/>
  <c r="CD313" i="6"/>
  <c r="CD314" i="6"/>
  <c r="CD315" i="6"/>
  <c r="CD316" i="6"/>
  <c r="CD317" i="6"/>
  <c r="CD318" i="6"/>
  <c r="CD319" i="6"/>
  <c r="CD320" i="6"/>
  <c r="CD321" i="6"/>
  <c r="CD322" i="6"/>
  <c r="CD323" i="6"/>
  <c r="CD324" i="6"/>
  <c r="CD325" i="6"/>
  <c r="CD326" i="6"/>
  <c r="CD327" i="6"/>
  <c r="CD328" i="6"/>
  <c r="CD329" i="6"/>
  <c r="CD330" i="6"/>
  <c r="CD331" i="6"/>
  <c r="CD332" i="6"/>
  <c r="CD333" i="6"/>
  <c r="CD334" i="6"/>
  <c r="CD335" i="6"/>
  <c r="CD336" i="6"/>
  <c r="CD337" i="6"/>
  <c r="CD338" i="6"/>
  <c r="CD339" i="6"/>
  <c r="CD340" i="6"/>
  <c r="CD341" i="6"/>
  <c r="CD342" i="6"/>
  <c r="CD343" i="6"/>
  <c r="CD344" i="6"/>
  <c r="CD345" i="6"/>
  <c r="CD346" i="6"/>
  <c r="CD347" i="6"/>
  <c r="CD348" i="6"/>
  <c r="CD349" i="6"/>
  <c r="CD350" i="6"/>
  <c r="CD351" i="6"/>
  <c r="CD352" i="6"/>
  <c r="CD353" i="6"/>
  <c r="CD354" i="6"/>
  <c r="CD355" i="6"/>
  <c r="CD356" i="6"/>
  <c r="CD357" i="6"/>
  <c r="CD358" i="6"/>
  <c r="CD359" i="6"/>
  <c r="CD360" i="6"/>
  <c r="CD361" i="6"/>
  <c r="CD362" i="6"/>
  <c r="CD363" i="6"/>
  <c r="CD364" i="6"/>
  <c r="CD365" i="6"/>
  <c r="CD366" i="6"/>
  <c r="CD367" i="6"/>
  <c r="CD368" i="6"/>
  <c r="CD369" i="6"/>
  <c r="CD370" i="6"/>
  <c r="CD371" i="6"/>
  <c r="CD372" i="6"/>
  <c r="CD373" i="6"/>
  <c r="CD374" i="6"/>
  <c r="CD375" i="6"/>
  <c r="CD376" i="6"/>
  <c r="CD377" i="6"/>
  <c r="CD378" i="6"/>
  <c r="CD379" i="6"/>
  <c r="CD380" i="6"/>
  <c r="CD381" i="6"/>
  <c r="CD382" i="6"/>
  <c r="CD383" i="6"/>
  <c r="CD384" i="6"/>
  <c r="CD385" i="6"/>
  <c r="CD386" i="6"/>
  <c r="CD387" i="6"/>
  <c r="CD388" i="6"/>
  <c r="CD389" i="6"/>
  <c r="CD390" i="6"/>
  <c r="CD391" i="6"/>
  <c r="CD392" i="6"/>
  <c r="CD393" i="6"/>
  <c r="CD394" i="6"/>
  <c r="CD395" i="6"/>
  <c r="CD396" i="6"/>
  <c r="CD397" i="6"/>
  <c r="CD398" i="6"/>
  <c r="CD399" i="6"/>
  <c r="CD400" i="6"/>
  <c r="CD401" i="6"/>
  <c r="CD402" i="6"/>
  <c r="CD403" i="6"/>
  <c r="CD404" i="6"/>
  <c r="CD405" i="6"/>
  <c r="CD406" i="6"/>
  <c r="CD407" i="6"/>
  <c r="CD408" i="6"/>
  <c r="CD409" i="6"/>
  <c r="CD410" i="6"/>
  <c r="CD411" i="6"/>
  <c r="CD412" i="6"/>
  <c r="CD413" i="6"/>
  <c r="CD414" i="6"/>
  <c r="CD415" i="6"/>
  <c r="CD416" i="6"/>
  <c r="CD417" i="6"/>
  <c r="CD418" i="6"/>
  <c r="CD419" i="6"/>
  <c r="CD420" i="6"/>
  <c r="CD421" i="6"/>
  <c r="CD422" i="6"/>
  <c r="CD423" i="6"/>
  <c r="CD424" i="6"/>
  <c r="CD425" i="6"/>
  <c r="CD426" i="6"/>
  <c r="CD427" i="6"/>
  <c r="CD428" i="6"/>
  <c r="CD429" i="6"/>
  <c r="CD430" i="6"/>
  <c r="CD431" i="6"/>
  <c r="CD432" i="6"/>
  <c r="CD433" i="6"/>
  <c r="CD434" i="6"/>
  <c r="CD435" i="6"/>
  <c r="CD436" i="6"/>
  <c r="CD437" i="6"/>
  <c r="CD438" i="6"/>
  <c r="CD439" i="6"/>
  <c r="CD440" i="6"/>
  <c r="CD441" i="6"/>
  <c r="CD442" i="6"/>
  <c r="CD443" i="6"/>
  <c r="CD444" i="6"/>
  <c r="CD445" i="6"/>
  <c r="CD446" i="6"/>
  <c r="CD447" i="6"/>
  <c r="CD448" i="6"/>
  <c r="CD449" i="6"/>
  <c r="CD450" i="6"/>
  <c r="CD451" i="6"/>
  <c r="CD452" i="6"/>
  <c r="CD453" i="6"/>
  <c r="CD454" i="6"/>
  <c r="CD455" i="6"/>
  <c r="CD456" i="6"/>
  <c r="CD457" i="6"/>
  <c r="CD458" i="6"/>
  <c r="CD459" i="6"/>
  <c r="CD460" i="6"/>
  <c r="CD461" i="6"/>
  <c r="CD462" i="6"/>
  <c r="CD463" i="6"/>
  <c r="CD464" i="6"/>
  <c r="CD465" i="6"/>
  <c r="CD466" i="6"/>
  <c r="CD467" i="6"/>
  <c r="CD468" i="6"/>
  <c r="CD469" i="6"/>
  <c r="CD470" i="6"/>
  <c r="CD471" i="6"/>
  <c r="CD472" i="6"/>
  <c r="CD473" i="6"/>
  <c r="CD474" i="6"/>
  <c r="CD475" i="6"/>
  <c r="CD476" i="6"/>
  <c r="CD477" i="6"/>
  <c r="CD478" i="6"/>
  <c r="CD479" i="6"/>
  <c r="CD480" i="6"/>
  <c r="CD481" i="6"/>
  <c r="CD482" i="6"/>
  <c r="CD483" i="6"/>
  <c r="CD484" i="6"/>
  <c r="CD485" i="6"/>
  <c r="CD486" i="6"/>
  <c r="CD487" i="6"/>
  <c r="CD488" i="6"/>
  <c r="CD489" i="6"/>
  <c r="CD490" i="6"/>
  <c r="CD491" i="6"/>
  <c r="CD492" i="6"/>
  <c r="CD493" i="6"/>
  <c r="CD494" i="6"/>
  <c r="CD495" i="6"/>
  <c r="CD496" i="6"/>
  <c r="CD497" i="6"/>
  <c r="CD498" i="6"/>
  <c r="CD499" i="6"/>
  <c r="CD500" i="6"/>
  <c r="CD501" i="6"/>
  <c r="CD502" i="6"/>
  <c r="CD503" i="6"/>
  <c r="CD504" i="6"/>
  <c r="CD505" i="6"/>
  <c r="CD506" i="6"/>
  <c r="CD507" i="6"/>
  <c r="CD508" i="6"/>
  <c r="CD509" i="6"/>
  <c r="CD510" i="6"/>
  <c r="CD511" i="6"/>
  <c r="CD512" i="6"/>
  <c r="CD513" i="6"/>
  <c r="CD514" i="6"/>
  <c r="CD515" i="6"/>
  <c r="CD516" i="6"/>
  <c r="CD517" i="6"/>
  <c r="CD518" i="6"/>
  <c r="CD519" i="6"/>
  <c r="CD520" i="6"/>
  <c r="CD521" i="6"/>
  <c r="CD522" i="6"/>
  <c r="CD523" i="6"/>
  <c r="CD524" i="6"/>
  <c r="CD525" i="6"/>
  <c r="CD526" i="6"/>
  <c r="CD527" i="6"/>
  <c r="CD528" i="6"/>
  <c r="CD529" i="6"/>
  <c r="CD530" i="6"/>
  <c r="CD531" i="6"/>
  <c r="CD532" i="6"/>
  <c r="CD533" i="6"/>
  <c r="CD534" i="6"/>
  <c r="CD535" i="6"/>
  <c r="CD536" i="6"/>
  <c r="CD537" i="6"/>
  <c r="CD538" i="6"/>
  <c r="CD539" i="6"/>
  <c r="CD540" i="6"/>
  <c r="CD541" i="6"/>
  <c r="CD542" i="6"/>
  <c r="CD543" i="6"/>
  <c r="CD544" i="6"/>
  <c r="CD545" i="6"/>
  <c r="CD546" i="6"/>
  <c r="CD547" i="6"/>
  <c r="CD548" i="6"/>
  <c r="CD549" i="6"/>
  <c r="CD550" i="6"/>
  <c r="CD551" i="6"/>
  <c r="CD552" i="6"/>
  <c r="CD553" i="6"/>
  <c r="CD554" i="6"/>
  <c r="CD555" i="6"/>
  <c r="CD556" i="6"/>
  <c r="CD557" i="6"/>
  <c r="CD558" i="6"/>
  <c r="CD559" i="6"/>
  <c r="CD560" i="6"/>
  <c r="CD561" i="6"/>
  <c r="CD562" i="6"/>
  <c r="CD563" i="6"/>
  <c r="CD564" i="6"/>
  <c r="CD565" i="6"/>
  <c r="CD566" i="6"/>
  <c r="CD567" i="6"/>
  <c r="CD568" i="6"/>
  <c r="CD569" i="6"/>
  <c r="CD570" i="6"/>
  <c r="CD571" i="6"/>
  <c r="CD572" i="6"/>
  <c r="CD573" i="6"/>
  <c r="CD574" i="6"/>
  <c r="CD575" i="6"/>
  <c r="CD576" i="6"/>
  <c r="CD577" i="6"/>
  <c r="CD578" i="6"/>
  <c r="CD579" i="6"/>
  <c r="CD580" i="6"/>
  <c r="CD581" i="6"/>
  <c r="CD582" i="6"/>
  <c r="CD583" i="6"/>
  <c r="CD584" i="6"/>
  <c r="CD585" i="6"/>
  <c r="CD586" i="6"/>
  <c r="CD587" i="6"/>
  <c r="CD588" i="6"/>
  <c r="CD589" i="6"/>
  <c r="CD590" i="6"/>
  <c r="CD591" i="6"/>
  <c r="CD592" i="6"/>
  <c r="CD593" i="6"/>
  <c r="CD594" i="6"/>
  <c r="CD595" i="6"/>
  <c r="CD596" i="6"/>
  <c r="CD597" i="6"/>
  <c r="CD598" i="6"/>
  <c r="CD599" i="6"/>
  <c r="CD600" i="6"/>
  <c r="CD601" i="6"/>
  <c r="CD602" i="6"/>
  <c r="CD603" i="6"/>
  <c r="CD604" i="6"/>
  <c r="CD605" i="6"/>
  <c r="CD606" i="6"/>
  <c r="CD607" i="6"/>
  <c r="CD608" i="6"/>
  <c r="CD609" i="6"/>
  <c r="CD610" i="6"/>
  <c r="CD611" i="6"/>
  <c r="CD612" i="6"/>
  <c r="CD613" i="6"/>
  <c r="CD614" i="6"/>
  <c r="CD615" i="6"/>
  <c r="CD616" i="6"/>
  <c r="CD617" i="6"/>
  <c r="CD618" i="6"/>
  <c r="CD619" i="6"/>
  <c r="CD620" i="6"/>
  <c r="CD621" i="6"/>
  <c r="CD622" i="6"/>
  <c r="CD623" i="6"/>
  <c r="CD624" i="6"/>
  <c r="CD625" i="6"/>
  <c r="CD626" i="6"/>
  <c r="CD627" i="6"/>
  <c r="CD628" i="6"/>
  <c r="CD629" i="6"/>
  <c r="CD630" i="6"/>
  <c r="CD631" i="6"/>
  <c r="CD632" i="6"/>
  <c r="CD633" i="6"/>
  <c r="CD634" i="6"/>
  <c r="CD635" i="6"/>
  <c r="CD636" i="6"/>
  <c r="CD637" i="6"/>
  <c r="CD638" i="6"/>
  <c r="CD639" i="6"/>
  <c r="CD640" i="6"/>
  <c r="CD641" i="6"/>
  <c r="CD642" i="6"/>
  <c r="CD643" i="6"/>
  <c r="CD644" i="6"/>
  <c r="CD645" i="6"/>
  <c r="CD646" i="6"/>
  <c r="CD647" i="6"/>
  <c r="CD648" i="6"/>
  <c r="CD649" i="6"/>
  <c r="CD650" i="6"/>
  <c r="CD651" i="6"/>
  <c r="CD652" i="6"/>
  <c r="CD653" i="6"/>
  <c r="CD654" i="6"/>
  <c r="CD655" i="6"/>
  <c r="CD656" i="6"/>
  <c r="CD657" i="6"/>
  <c r="CD658" i="6"/>
  <c r="CD659" i="6"/>
  <c r="CD660" i="6"/>
  <c r="CD661" i="6"/>
  <c r="CD662" i="6"/>
  <c r="CD663" i="6"/>
  <c r="CD664" i="6"/>
  <c r="CD665" i="6"/>
  <c r="CD666" i="6"/>
  <c r="CD667" i="6"/>
  <c r="CD668" i="6"/>
  <c r="CD669" i="6"/>
  <c r="CD670" i="6"/>
  <c r="CD671" i="6"/>
  <c r="CD672" i="6"/>
  <c r="CD673" i="6"/>
  <c r="CD674" i="6"/>
  <c r="CD675" i="6"/>
  <c r="CD676" i="6"/>
  <c r="CD677" i="6"/>
  <c r="CD678" i="6"/>
  <c r="CD679" i="6"/>
  <c r="CD680" i="6"/>
  <c r="CD681" i="6"/>
  <c r="CD682" i="6"/>
  <c r="CD683" i="6"/>
  <c r="CD684" i="6"/>
  <c r="CD685" i="6"/>
  <c r="CD686" i="6"/>
  <c r="CD687" i="6"/>
  <c r="CD688" i="6"/>
  <c r="CD689" i="6"/>
  <c r="CD690" i="6"/>
  <c r="CD691" i="6"/>
  <c r="CD692" i="6"/>
  <c r="CD693" i="6"/>
  <c r="CD694" i="6"/>
  <c r="CD695" i="6"/>
  <c r="CD696" i="6"/>
  <c r="CD697" i="6"/>
  <c r="CD698" i="6"/>
  <c r="CD699" i="6"/>
  <c r="CD700" i="6"/>
  <c r="CD701" i="6"/>
  <c r="CD702" i="6"/>
  <c r="CD703" i="6"/>
  <c r="CD704" i="6"/>
  <c r="CD705" i="6"/>
  <c r="CD706" i="6"/>
  <c r="CD707" i="6"/>
  <c r="CD708" i="6"/>
  <c r="CD709" i="6"/>
  <c r="CD710" i="6"/>
  <c r="CD711" i="6"/>
  <c r="CD712" i="6"/>
  <c r="CD713" i="6"/>
  <c r="CD714" i="6"/>
  <c r="CD715" i="6"/>
  <c r="CD716" i="6"/>
  <c r="CD717" i="6"/>
  <c r="CD718" i="6"/>
  <c r="CD719" i="6"/>
  <c r="CD720" i="6"/>
  <c r="CD721" i="6"/>
  <c r="CD722" i="6"/>
  <c r="CD723" i="6"/>
  <c r="CD724" i="6"/>
  <c r="CD725" i="6"/>
  <c r="CD726" i="6"/>
  <c r="CD727" i="6"/>
  <c r="CD728" i="6"/>
  <c r="CD729" i="6"/>
  <c r="CD730" i="6"/>
  <c r="CD731" i="6"/>
  <c r="CD732" i="6"/>
  <c r="CD733" i="6"/>
  <c r="CD734" i="6"/>
  <c r="CD735" i="6"/>
  <c r="CD736" i="6"/>
  <c r="CD737" i="6"/>
  <c r="CD738" i="6"/>
  <c r="CD739" i="6"/>
  <c r="CD740" i="6"/>
  <c r="CD741" i="6"/>
  <c r="CD742" i="6"/>
  <c r="CD743" i="6"/>
  <c r="CD748" i="6"/>
  <c r="CC2" i="6"/>
  <c r="CC3" i="6"/>
  <c r="CC4" i="6"/>
  <c r="CC5" i="6"/>
  <c r="CC6" i="6"/>
  <c r="CC7" i="6"/>
  <c r="CC8" i="6"/>
  <c r="CC9" i="6"/>
  <c r="CC10" i="6"/>
  <c r="CC11" i="6"/>
  <c r="CC12" i="6"/>
  <c r="CC13" i="6"/>
  <c r="CC14" i="6"/>
  <c r="CC15" i="6"/>
  <c r="CC16" i="6"/>
  <c r="CC17" i="6"/>
  <c r="CC18" i="6"/>
  <c r="CC19" i="6"/>
  <c r="CC20" i="6"/>
  <c r="CC21" i="6"/>
  <c r="CC22" i="6"/>
  <c r="CC23" i="6"/>
  <c r="CC24" i="6"/>
  <c r="CC25" i="6"/>
  <c r="CC26" i="6"/>
  <c r="CC27" i="6"/>
  <c r="CC28" i="6"/>
  <c r="CC29" i="6"/>
  <c r="CC30" i="6"/>
  <c r="CC31" i="6"/>
  <c r="CC32" i="6"/>
  <c r="CC33" i="6"/>
  <c r="CC34" i="6"/>
  <c r="CC35" i="6"/>
  <c r="CC36" i="6"/>
  <c r="CC37" i="6"/>
  <c r="CC38" i="6"/>
  <c r="CC39" i="6"/>
  <c r="CC40" i="6"/>
  <c r="CC41" i="6"/>
  <c r="CC42" i="6"/>
  <c r="CC43" i="6"/>
  <c r="CC44" i="6"/>
  <c r="CC45" i="6"/>
  <c r="CC46" i="6"/>
  <c r="CC47" i="6"/>
  <c r="CC48" i="6"/>
  <c r="CC49" i="6"/>
  <c r="CC50" i="6"/>
  <c r="CC51" i="6"/>
  <c r="CC52" i="6"/>
  <c r="CC53" i="6"/>
  <c r="CC54" i="6"/>
  <c r="CC55" i="6"/>
  <c r="CC56" i="6"/>
  <c r="CC57" i="6"/>
  <c r="CC58" i="6"/>
  <c r="CC59" i="6"/>
  <c r="CC60" i="6"/>
  <c r="CC61" i="6"/>
  <c r="CC62" i="6"/>
  <c r="CC63" i="6"/>
  <c r="CC64" i="6"/>
  <c r="CC65" i="6"/>
  <c r="CC66" i="6"/>
  <c r="CC67" i="6"/>
  <c r="CC68" i="6"/>
  <c r="CC69" i="6"/>
  <c r="CC70" i="6"/>
  <c r="CC71" i="6"/>
  <c r="CC72" i="6"/>
  <c r="CC73" i="6"/>
  <c r="CC74" i="6"/>
  <c r="CC75" i="6"/>
  <c r="CC76" i="6"/>
  <c r="CC77" i="6"/>
  <c r="CC78" i="6"/>
  <c r="CC79" i="6"/>
  <c r="CC80" i="6"/>
  <c r="CC81" i="6"/>
  <c r="CC82" i="6"/>
  <c r="CC83" i="6"/>
  <c r="CC84" i="6"/>
  <c r="CC85" i="6"/>
  <c r="CC86" i="6"/>
  <c r="CC87" i="6"/>
  <c r="CC88" i="6"/>
  <c r="CC89" i="6"/>
  <c r="CC90" i="6"/>
  <c r="CC91" i="6"/>
  <c r="CC92" i="6"/>
  <c r="CC93" i="6"/>
  <c r="CC94" i="6"/>
  <c r="CC95" i="6"/>
  <c r="CC96" i="6"/>
  <c r="CC97" i="6"/>
  <c r="CC98" i="6"/>
  <c r="CC99" i="6"/>
  <c r="CC100" i="6"/>
  <c r="CC101" i="6"/>
  <c r="CC102" i="6"/>
  <c r="CC103" i="6"/>
  <c r="CC104" i="6"/>
  <c r="CC105" i="6"/>
  <c r="CC106" i="6"/>
  <c r="CC107" i="6"/>
  <c r="CC108" i="6"/>
  <c r="CC109" i="6"/>
  <c r="CC110" i="6"/>
  <c r="CC111" i="6"/>
  <c r="CC112" i="6"/>
  <c r="CC113" i="6"/>
  <c r="CC114" i="6"/>
  <c r="CC115" i="6"/>
  <c r="CC116" i="6"/>
  <c r="CC117" i="6"/>
  <c r="CC118" i="6"/>
  <c r="CC119" i="6"/>
  <c r="CC120" i="6"/>
  <c r="CC121" i="6"/>
  <c r="CC122" i="6"/>
  <c r="CC123" i="6"/>
  <c r="CC124" i="6"/>
  <c r="CC125" i="6"/>
  <c r="CC126" i="6"/>
  <c r="CC127" i="6"/>
  <c r="CC128" i="6"/>
  <c r="CC129" i="6"/>
  <c r="CC130" i="6"/>
  <c r="CC131" i="6"/>
  <c r="CC132" i="6"/>
  <c r="CC133" i="6"/>
  <c r="CC134" i="6"/>
  <c r="CC135" i="6"/>
  <c r="CC136" i="6"/>
  <c r="CC137" i="6"/>
  <c r="CC138" i="6"/>
  <c r="CC139" i="6"/>
  <c r="CC140" i="6"/>
  <c r="CC141" i="6"/>
  <c r="CC142" i="6"/>
  <c r="CC143" i="6"/>
  <c r="CC144" i="6"/>
  <c r="CC145" i="6"/>
  <c r="CC146" i="6"/>
  <c r="CC147" i="6"/>
  <c r="CC148" i="6"/>
  <c r="CC149" i="6"/>
  <c r="CC150" i="6"/>
  <c r="CC151" i="6"/>
  <c r="CC152" i="6"/>
  <c r="CC153" i="6"/>
  <c r="CC154" i="6"/>
  <c r="CC155" i="6"/>
  <c r="CC156" i="6"/>
  <c r="CC157" i="6"/>
  <c r="CC158" i="6"/>
  <c r="CC159" i="6"/>
  <c r="CC160" i="6"/>
  <c r="CC161" i="6"/>
  <c r="CC162" i="6"/>
  <c r="CC163" i="6"/>
  <c r="CC164" i="6"/>
  <c r="CC165" i="6"/>
  <c r="CC166" i="6"/>
  <c r="CC167" i="6"/>
  <c r="CC168" i="6"/>
  <c r="CC169" i="6"/>
  <c r="CC170" i="6"/>
  <c r="CC171" i="6"/>
  <c r="CC172" i="6"/>
  <c r="CC173" i="6"/>
  <c r="CC174" i="6"/>
  <c r="CC175" i="6"/>
  <c r="CC176" i="6"/>
  <c r="CC177" i="6"/>
  <c r="CC178" i="6"/>
  <c r="CC179" i="6"/>
  <c r="CC180" i="6"/>
  <c r="CC181" i="6"/>
  <c r="CC182" i="6"/>
  <c r="CC183" i="6"/>
  <c r="CC184" i="6"/>
  <c r="CC185" i="6"/>
  <c r="CC186" i="6"/>
  <c r="CC187" i="6"/>
  <c r="CC188" i="6"/>
  <c r="CC189" i="6"/>
  <c r="CC190" i="6"/>
  <c r="CC191" i="6"/>
  <c r="CC192" i="6"/>
  <c r="CC193" i="6"/>
  <c r="CC194" i="6"/>
  <c r="CC195" i="6"/>
  <c r="CC196" i="6"/>
  <c r="CC197" i="6"/>
  <c r="CC198" i="6"/>
  <c r="CC199" i="6"/>
  <c r="CC200" i="6"/>
  <c r="CC201" i="6"/>
  <c r="CC202" i="6"/>
  <c r="CC203" i="6"/>
  <c r="CC204" i="6"/>
  <c r="CC205" i="6"/>
  <c r="CC206" i="6"/>
  <c r="CC207" i="6"/>
  <c r="CC208" i="6"/>
  <c r="CC209" i="6"/>
  <c r="CC210" i="6"/>
  <c r="CC211" i="6"/>
  <c r="CC212" i="6"/>
  <c r="CC213" i="6"/>
  <c r="CC214" i="6"/>
  <c r="CC215" i="6"/>
  <c r="CC216" i="6"/>
  <c r="CC217" i="6"/>
  <c r="CC218" i="6"/>
  <c r="CC219" i="6"/>
  <c r="CC220" i="6"/>
  <c r="CC221" i="6"/>
  <c r="CC222" i="6"/>
  <c r="CC223" i="6"/>
  <c r="CC224" i="6"/>
  <c r="CC225" i="6"/>
  <c r="CC226" i="6"/>
  <c r="CC227" i="6"/>
  <c r="CC228" i="6"/>
  <c r="CC229" i="6"/>
  <c r="CC230" i="6"/>
  <c r="CC231" i="6"/>
  <c r="CC232" i="6"/>
  <c r="CC233" i="6"/>
  <c r="CC234" i="6"/>
  <c r="CC235" i="6"/>
  <c r="CC236" i="6"/>
  <c r="CC237" i="6"/>
  <c r="CC238" i="6"/>
  <c r="CC239" i="6"/>
  <c r="CC240" i="6"/>
  <c r="CC241" i="6"/>
  <c r="CC242" i="6"/>
  <c r="CC243" i="6"/>
  <c r="CC244" i="6"/>
  <c r="CC245" i="6"/>
  <c r="CC246" i="6"/>
  <c r="CC247" i="6"/>
  <c r="CC248" i="6"/>
  <c r="CC249" i="6"/>
  <c r="CC250" i="6"/>
  <c r="CC251" i="6"/>
  <c r="CC252" i="6"/>
  <c r="CC253" i="6"/>
  <c r="CC254" i="6"/>
  <c r="CC255" i="6"/>
  <c r="CC256" i="6"/>
  <c r="CC257" i="6"/>
  <c r="CC258" i="6"/>
  <c r="CC259" i="6"/>
  <c r="CC260" i="6"/>
  <c r="CC261" i="6"/>
  <c r="CC262" i="6"/>
  <c r="CC263" i="6"/>
  <c r="CC264" i="6"/>
  <c r="CC265" i="6"/>
  <c r="CC266" i="6"/>
  <c r="CC267" i="6"/>
  <c r="CC268" i="6"/>
  <c r="CC269" i="6"/>
  <c r="CC270" i="6"/>
  <c r="CC271" i="6"/>
  <c r="CC272" i="6"/>
  <c r="CC273" i="6"/>
  <c r="CC274" i="6"/>
  <c r="CC275" i="6"/>
  <c r="CC276" i="6"/>
  <c r="CC277" i="6"/>
  <c r="CC278" i="6"/>
  <c r="CC279" i="6"/>
  <c r="CC280" i="6"/>
  <c r="CC281" i="6"/>
  <c r="CC282" i="6"/>
  <c r="CC283" i="6"/>
  <c r="CC284" i="6"/>
  <c r="CC285" i="6"/>
  <c r="CC286" i="6"/>
  <c r="CC287" i="6"/>
  <c r="CC288" i="6"/>
  <c r="CC289" i="6"/>
  <c r="CC290" i="6"/>
  <c r="CC291" i="6"/>
  <c r="CC292" i="6"/>
  <c r="CC293" i="6"/>
  <c r="CC294" i="6"/>
  <c r="CC295" i="6"/>
  <c r="CC296" i="6"/>
  <c r="CC297" i="6"/>
  <c r="CC298" i="6"/>
  <c r="CC299" i="6"/>
  <c r="CC300" i="6"/>
  <c r="CC301" i="6"/>
  <c r="CC302" i="6"/>
  <c r="CC303" i="6"/>
  <c r="CC304" i="6"/>
  <c r="CC305" i="6"/>
  <c r="CC306" i="6"/>
  <c r="CC307" i="6"/>
  <c r="CC308" i="6"/>
  <c r="CC309" i="6"/>
  <c r="CC310" i="6"/>
  <c r="CC311" i="6"/>
  <c r="CC312" i="6"/>
  <c r="CC313" i="6"/>
  <c r="CC314" i="6"/>
  <c r="CC315" i="6"/>
  <c r="CC316" i="6"/>
  <c r="CC317" i="6"/>
  <c r="CC318" i="6"/>
  <c r="CC319" i="6"/>
  <c r="CC320" i="6"/>
  <c r="CC321" i="6"/>
  <c r="CC322" i="6"/>
  <c r="CC323" i="6"/>
  <c r="CC324" i="6"/>
  <c r="CC325" i="6"/>
  <c r="CC326" i="6"/>
  <c r="CC327" i="6"/>
  <c r="CC328" i="6"/>
  <c r="CC329" i="6"/>
  <c r="CC330" i="6"/>
  <c r="CC331" i="6"/>
  <c r="CC332" i="6"/>
  <c r="CC333" i="6"/>
  <c r="CC334" i="6"/>
  <c r="CC335" i="6"/>
  <c r="CC336" i="6"/>
  <c r="CC337" i="6"/>
  <c r="CC338" i="6"/>
  <c r="CC339" i="6"/>
  <c r="CC340" i="6"/>
  <c r="CC341" i="6"/>
  <c r="CC342" i="6"/>
  <c r="CC343" i="6"/>
  <c r="CC344" i="6"/>
  <c r="CC345" i="6"/>
  <c r="CC346" i="6"/>
  <c r="CC347" i="6"/>
  <c r="CC348" i="6"/>
  <c r="CC349" i="6"/>
  <c r="CC350" i="6"/>
  <c r="CC351" i="6"/>
  <c r="CC352" i="6"/>
  <c r="CC353" i="6"/>
  <c r="CC354" i="6"/>
  <c r="CC355" i="6"/>
  <c r="CC356" i="6"/>
  <c r="CC357" i="6"/>
  <c r="CC358" i="6"/>
  <c r="CC359" i="6"/>
  <c r="CC360" i="6"/>
  <c r="CC361" i="6"/>
  <c r="CC362" i="6"/>
  <c r="CC363" i="6"/>
  <c r="CC364" i="6"/>
  <c r="CC365" i="6"/>
  <c r="CC366" i="6"/>
  <c r="CC367" i="6"/>
  <c r="CC368" i="6"/>
  <c r="CC369" i="6"/>
  <c r="CC370" i="6"/>
  <c r="CC371" i="6"/>
  <c r="CC372" i="6"/>
  <c r="CC373" i="6"/>
  <c r="CC374" i="6"/>
  <c r="CC375" i="6"/>
  <c r="CC376" i="6"/>
  <c r="CC377" i="6"/>
  <c r="CC378" i="6"/>
  <c r="CC379" i="6"/>
  <c r="CC380" i="6"/>
  <c r="CC381" i="6"/>
  <c r="CC382" i="6"/>
  <c r="CC383" i="6"/>
  <c r="CC384" i="6"/>
  <c r="CC385" i="6"/>
  <c r="CC386" i="6"/>
  <c r="CC387" i="6"/>
  <c r="CC388" i="6"/>
  <c r="CC389" i="6"/>
  <c r="CC390" i="6"/>
  <c r="CC391" i="6"/>
  <c r="CC392" i="6"/>
  <c r="CC393" i="6"/>
  <c r="CC394" i="6"/>
  <c r="CC395" i="6"/>
  <c r="CC396" i="6"/>
  <c r="CC397" i="6"/>
  <c r="CC398" i="6"/>
  <c r="CC399" i="6"/>
  <c r="CC400" i="6"/>
  <c r="CC401" i="6"/>
  <c r="CC402" i="6"/>
  <c r="CC403" i="6"/>
  <c r="CC404" i="6"/>
  <c r="CC405" i="6"/>
  <c r="CC406" i="6"/>
  <c r="CC407" i="6"/>
  <c r="CC408" i="6"/>
  <c r="CC409" i="6"/>
  <c r="CC410" i="6"/>
  <c r="CC411" i="6"/>
  <c r="CC412" i="6"/>
  <c r="CC413" i="6"/>
  <c r="CC414" i="6"/>
  <c r="CC415" i="6"/>
  <c r="CC416" i="6"/>
  <c r="CC417" i="6"/>
  <c r="CC418" i="6"/>
  <c r="CC419" i="6"/>
  <c r="CC420" i="6"/>
  <c r="CC421" i="6"/>
  <c r="CC422" i="6"/>
  <c r="CC423" i="6"/>
  <c r="CC424" i="6"/>
  <c r="CC425" i="6"/>
  <c r="CC426" i="6"/>
  <c r="CC427" i="6"/>
  <c r="CC428" i="6"/>
  <c r="CC429" i="6"/>
  <c r="CC430" i="6"/>
  <c r="CC431" i="6"/>
  <c r="CC432" i="6"/>
  <c r="CC433" i="6"/>
  <c r="CC434" i="6"/>
  <c r="CC435" i="6"/>
  <c r="CC436" i="6"/>
  <c r="CC437" i="6"/>
  <c r="CC438" i="6"/>
  <c r="CC439" i="6"/>
  <c r="CC440" i="6"/>
  <c r="CC441" i="6"/>
  <c r="CC442" i="6"/>
  <c r="CC443" i="6"/>
  <c r="CC444" i="6"/>
  <c r="CC445" i="6"/>
  <c r="CC446" i="6"/>
  <c r="CC447" i="6"/>
  <c r="CC448" i="6"/>
  <c r="CC449" i="6"/>
  <c r="CC450" i="6"/>
  <c r="CC451" i="6"/>
  <c r="CC452" i="6"/>
  <c r="CC453" i="6"/>
  <c r="CC454" i="6"/>
  <c r="CC455" i="6"/>
  <c r="CC456" i="6"/>
  <c r="CC457" i="6"/>
  <c r="CC458" i="6"/>
  <c r="CC459" i="6"/>
  <c r="CC460" i="6"/>
  <c r="CC461" i="6"/>
  <c r="CC462" i="6"/>
  <c r="CC463" i="6"/>
  <c r="CC464" i="6"/>
  <c r="CC465" i="6"/>
  <c r="CC466" i="6"/>
  <c r="CC467" i="6"/>
  <c r="CC468" i="6"/>
  <c r="CC469" i="6"/>
  <c r="CC470" i="6"/>
  <c r="CC471" i="6"/>
  <c r="CC472" i="6"/>
  <c r="CC473" i="6"/>
  <c r="CC474" i="6"/>
  <c r="CC475" i="6"/>
  <c r="CC476" i="6"/>
  <c r="CC477" i="6"/>
  <c r="CC478" i="6"/>
  <c r="CC479" i="6"/>
  <c r="CC480" i="6"/>
  <c r="CC481" i="6"/>
  <c r="CC482" i="6"/>
  <c r="CC483" i="6"/>
  <c r="CC484" i="6"/>
  <c r="CC485" i="6"/>
  <c r="CC486" i="6"/>
  <c r="CC487" i="6"/>
  <c r="CC488" i="6"/>
  <c r="CC489" i="6"/>
  <c r="CC490" i="6"/>
  <c r="CC491" i="6"/>
  <c r="CC492" i="6"/>
  <c r="CC493" i="6"/>
  <c r="CC494" i="6"/>
  <c r="CC495" i="6"/>
  <c r="CC496" i="6"/>
  <c r="CC497" i="6"/>
  <c r="CC498" i="6"/>
  <c r="CC499" i="6"/>
  <c r="CC500" i="6"/>
  <c r="CC501" i="6"/>
  <c r="CC502" i="6"/>
  <c r="CC503" i="6"/>
  <c r="CC504" i="6"/>
  <c r="CC505" i="6"/>
  <c r="CC506" i="6"/>
  <c r="CC507" i="6"/>
  <c r="CC508" i="6"/>
  <c r="CC509" i="6"/>
  <c r="CC510" i="6"/>
  <c r="CC511" i="6"/>
  <c r="CC512" i="6"/>
  <c r="CC513" i="6"/>
  <c r="CC514" i="6"/>
  <c r="CC515" i="6"/>
  <c r="CC516" i="6"/>
  <c r="CC517" i="6"/>
  <c r="CC518" i="6"/>
  <c r="CC519" i="6"/>
  <c r="CC520" i="6"/>
  <c r="CC521" i="6"/>
  <c r="CC522" i="6"/>
  <c r="CC523" i="6"/>
  <c r="CC524" i="6"/>
  <c r="CC525" i="6"/>
  <c r="CC526" i="6"/>
  <c r="CC527" i="6"/>
  <c r="CC528" i="6"/>
  <c r="CC529" i="6"/>
  <c r="CC530" i="6"/>
  <c r="CC531" i="6"/>
  <c r="CC532" i="6"/>
  <c r="CC533" i="6"/>
  <c r="CC534" i="6"/>
  <c r="CC535" i="6"/>
  <c r="CC536" i="6"/>
  <c r="CC537" i="6"/>
  <c r="CC538" i="6"/>
  <c r="CC539" i="6"/>
  <c r="CC540" i="6"/>
  <c r="CC541" i="6"/>
  <c r="CC542" i="6"/>
  <c r="CC543" i="6"/>
  <c r="CC544" i="6"/>
  <c r="CC545" i="6"/>
  <c r="CC546" i="6"/>
  <c r="CC547" i="6"/>
  <c r="CC548" i="6"/>
  <c r="CC549" i="6"/>
  <c r="CC550" i="6"/>
  <c r="CC551" i="6"/>
  <c r="CC552" i="6"/>
  <c r="CC553" i="6"/>
  <c r="CC554" i="6"/>
  <c r="CC555" i="6"/>
  <c r="CC556" i="6"/>
  <c r="CC557" i="6"/>
  <c r="CC558" i="6"/>
  <c r="CC559" i="6"/>
  <c r="CC560" i="6"/>
  <c r="CC561" i="6"/>
  <c r="CC562" i="6"/>
  <c r="CC563" i="6"/>
  <c r="CC564" i="6"/>
  <c r="CC565" i="6"/>
  <c r="CC566" i="6"/>
  <c r="CC567" i="6"/>
  <c r="CC568" i="6"/>
  <c r="CC569" i="6"/>
  <c r="CC570" i="6"/>
  <c r="CC571" i="6"/>
  <c r="CC572" i="6"/>
  <c r="CC573" i="6"/>
  <c r="CC574" i="6"/>
  <c r="CC575" i="6"/>
  <c r="CC576" i="6"/>
  <c r="CC577" i="6"/>
  <c r="CC578" i="6"/>
  <c r="CC579" i="6"/>
  <c r="CC580" i="6"/>
  <c r="CC581" i="6"/>
  <c r="CC582" i="6"/>
  <c r="CC583" i="6"/>
  <c r="CC584" i="6"/>
  <c r="CC585" i="6"/>
  <c r="CC586" i="6"/>
  <c r="CC587" i="6"/>
  <c r="CC588" i="6"/>
  <c r="CC589" i="6"/>
  <c r="CC590" i="6"/>
  <c r="CC591" i="6"/>
  <c r="CC592" i="6"/>
  <c r="CC593" i="6"/>
  <c r="CC594" i="6"/>
  <c r="CC595" i="6"/>
  <c r="CC596" i="6"/>
  <c r="CC597" i="6"/>
  <c r="CC598" i="6"/>
  <c r="CC599" i="6"/>
  <c r="CC600" i="6"/>
  <c r="CC601" i="6"/>
  <c r="CC602" i="6"/>
  <c r="CC603" i="6"/>
  <c r="CC604" i="6"/>
  <c r="CC605" i="6"/>
  <c r="CC606" i="6"/>
  <c r="CC607" i="6"/>
  <c r="CC608" i="6"/>
  <c r="CC609" i="6"/>
  <c r="CC610" i="6"/>
  <c r="CC611" i="6"/>
  <c r="CC612" i="6"/>
  <c r="CC613" i="6"/>
  <c r="CC614" i="6"/>
  <c r="CC615" i="6"/>
  <c r="CC616" i="6"/>
  <c r="CC617" i="6"/>
  <c r="CC618" i="6"/>
  <c r="CC619" i="6"/>
  <c r="CC620" i="6"/>
  <c r="CC621" i="6"/>
  <c r="CC622" i="6"/>
  <c r="CC623" i="6"/>
  <c r="CC624" i="6"/>
  <c r="CC625" i="6"/>
  <c r="CC626" i="6"/>
  <c r="CC627" i="6"/>
  <c r="CC628" i="6"/>
  <c r="CC629" i="6"/>
  <c r="CC630" i="6"/>
  <c r="CC631" i="6"/>
  <c r="CC632" i="6"/>
  <c r="CC633" i="6"/>
  <c r="CC634" i="6"/>
  <c r="CC635" i="6"/>
  <c r="CC636" i="6"/>
  <c r="CC637" i="6"/>
  <c r="CC638" i="6"/>
  <c r="CC639" i="6"/>
  <c r="CC640" i="6"/>
  <c r="CC641" i="6"/>
  <c r="CC642" i="6"/>
  <c r="CC643" i="6"/>
  <c r="CC644" i="6"/>
  <c r="CC645" i="6"/>
  <c r="CC646" i="6"/>
  <c r="CC647" i="6"/>
  <c r="CC648" i="6"/>
  <c r="CC649" i="6"/>
  <c r="CC650" i="6"/>
  <c r="CC651" i="6"/>
  <c r="CC652" i="6"/>
  <c r="CC653" i="6"/>
  <c r="CC654" i="6"/>
  <c r="CC655" i="6"/>
  <c r="CC656" i="6"/>
  <c r="CC657" i="6"/>
  <c r="CC658" i="6"/>
  <c r="CC659" i="6"/>
  <c r="CC660" i="6"/>
  <c r="CC661" i="6"/>
  <c r="CC662" i="6"/>
  <c r="CC663" i="6"/>
  <c r="CC664" i="6"/>
  <c r="CC665" i="6"/>
  <c r="CC666" i="6"/>
  <c r="CC667" i="6"/>
  <c r="CC668" i="6"/>
  <c r="CC669" i="6"/>
  <c r="CC670" i="6"/>
  <c r="CC671" i="6"/>
  <c r="CC672" i="6"/>
  <c r="CC673" i="6"/>
  <c r="CC674" i="6"/>
  <c r="CC675" i="6"/>
  <c r="CC676" i="6"/>
  <c r="CC677" i="6"/>
  <c r="CC678" i="6"/>
  <c r="CC679" i="6"/>
  <c r="CC680" i="6"/>
  <c r="CC681" i="6"/>
  <c r="CC682" i="6"/>
  <c r="CC683" i="6"/>
  <c r="CC684" i="6"/>
  <c r="CC685" i="6"/>
  <c r="CC686" i="6"/>
  <c r="CC687" i="6"/>
  <c r="CC688" i="6"/>
  <c r="CC689" i="6"/>
  <c r="CC690" i="6"/>
  <c r="CC691" i="6"/>
  <c r="CC692" i="6"/>
  <c r="CC693" i="6"/>
  <c r="CC694" i="6"/>
  <c r="CC695" i="6"/>
  <c r="CC696" i="6"/>
  <c r="CC697" i="6"/>
  <c r="CC698" i="6"/>
  <c r="CC699" i="6"/>
  <c r="CC700" i="6"/>
  <c r="CC701" i="6"/>
  <c r="CC702" i="6"/>
  <c r="CC703" i="6"/>
  <c r="CC704" i="6"/>
  <c r="CC705" i="6"/>
  <c r="CC706" i="6"/>
  <c r="CC707" i="6"/>
  <c r="CC708" i="6"/>
  <c r="CC709" i="6"/>
  <c r="CC710" i="6"/>
  <c r="CC711" i="6"/>
  <c r="CC712" i="6"/>
  <c r="CC713" i="6"/>
  <c r="CC714" i="6"/>
  <c r="CC715" i="6"/>
  <c r="CC716" i="6"/>
  <c r="CC717" i="6"/>
  <c r="CC718" i="6"/>
  <c r="CC719" i="6"/>
  <c r="CC720" i="6"/>
  <c r="CC721" i="6"/>
  <c r="CC722" i="6"/>
  <c r="CC723" i="6"/>
  <c r="CC724" i="6"/>
  <c r="CC725" i="6"/>
  <c r="CC726" i="6"/>
  <c r="CC727" i="6"/>
  <c r="CC728" i="6"/>
  <c r="CC729" i="6"/>
  <c r="CC730" i="6"/>
  <c r="CC731" i="6"/>
  <c r="CC732" i="6"/>
  <c r="CC733" i="6"/>
  <c r="CC734" i="6"/>
  <c r="CC735" i="6"/>
  <c r="CC736" i="6"/>
  <c r="CC737" i="6"/>
  <c r="CC738" i="6"/>
  <c r="CC739" i="6"/>
  <c r="CC740" i="6"/>
  <c r="CC741" i="6"/>
  <c r="CC742" i="6"/>
  <c r="CC743" i="6"/>
  <c r="CC748" i="6"/>
  <c r="CB2" i="6"/>
  <c r="CB3" i="6"/>
  <c r="CB4" i="6"/>
  <c r="CB5" i="6"/>
  <c r="CB6" i="6"/>
  <c r="CB7" i="6"/>
  <c r="CB8" i="6"/>
  <c r="CB9" i="6"/>
  <c r="CB10" i="6"/>
  <c r="CB11" i="6"/>
  <c r="CB12" i="6"/>
  <c r="CB13" i="6"/>
  <c r="CB14" i="6"/>
  <c r="CB15" i="6"/>
  <c r="CB16" i="6"/>
  <c r="CB17" i="6"/>
  <c r="CB18" i="6"/>
  <c r="CB19" i="6"/>
  <c r="CB20" i="6"/>
  <c r="CB21" i="6"/>
  <c r="CB22" i="6"/>
  <c r="CB23" i="6"/>
  <c r="CB24" i="6"/>
  <c r="CB25" i="6"/>
  <c r="CB26" i="6"/>
  <c r="CB27" i="6"/>
  <c r="CB28" i="6"/>
  <c r="CB29" i="6"/>
  <c r="CB30" i="6"/>
  <c r="CB31" i="6"/>
  <c r="CB32" i="6"/>
  <c r="CB33" i="6"/>
  <c r="CB34" i="6"/>
  <c r="CB35" i="6"/>
  <c r="CB36" i="6"/>
  <c r="CB37" i="6"/>
  <c r="CB38" i="6"/>
  <c r="CB39" i="6"/>
  <c r="CB40" i="6"/>
  <c r="CB41" i="6"/>
  <c r="CB42" i="6"/>
  <c r="CB43" i="6"/>
  <c r="CB44" i="6"/>
  <c r="CB45" i="6"/>
  <c r="CB46" i="6"/>
  <c r="CB47" i="6"/>
  <c r="CB48" i="6"/>
  <c r="CB49" i="6"/>
  <c r="CB50" i="6"/>
  <c r="CB51" i="6"/>
  <c r="CB52" i="6"/>
  <c r="CB53" i="6"/>
  <c r="CB54" i="6"/>
  <c r="CB55" i="6"/>
  <c r="CB56" i="6"/>
  <c r="CB57" i="6"/>
  <c r="CB58" i="6"/>
  <c r="CB59" i="6"/>
  <c r="CB60" i="6"/>
  <c r="CB61" i="6"/>
  <c r="CB62" i="6"/>
  <c r="CB63" i="6"/>
  <c r="CB64" i="6"/>
  <c r="CB65" i="6"/>
  <c r="CB66" i="6"/>
  <c r="CB67" i="6"/>
  <c r="CB68" i="6"/>
  <c r="CB69" i="6"/>
  <c r="CB70" i="6"/>
  <c r="CB71" i="6"/>
  <c r="CB72" i="6"/>
  <c r="CB73" i="6"/>
  <c r="CB74" i="6"/>
  <c r="CB75" i="6"/>
  <c r="CB76" i="6"/>
  <c r="CB77" i="6"/>
  <c r="CB78" i="6"/>
  <c r="CB79" i="6"/>
  <c r="CB80" i="6"/>
  <c r="CB81" i="6"/>
  <c r="CB82" i="6"/>
  <c r="CB83" i="6"/>
  <c r="CB84" i="6"/>
  <c r="CB85" i="6"/>
  <c r="CB86" i="6"/>
  <c r="CB87" i="6"/>
  <c r="CB88" i="6"/>
  <c r="CB89" i="6"/>
  <c r="CB90" i="6"/>
  <c r="CB91" i="6"/>
  <c r="CB92" i="6"/>
  <c r="CB93" i="6"/>
  <c r="CB94" i="6"/>
  <c r="CB95" i="6"/>
  <c r="CB96" i="6"/>
  <c r="CB97" i="6"/>
  <c r="CB98" i="6"/>
  <c r="CB99" i="6"/>
  <c r="CB100" i="6"/>
  <c r="CB101" i="6"/>
  <c r="CB102" i="6"/>
  <c r="CB103" i="6"/>
  <c r="CB104" i="6"/>
  <c r="CB105" i="6"/>
  <c r="CB106" i="6"/>
  <c r="CB107" i="6"/>
  <c r="CB108" i="6"/>
  <c r="CB109" i="6"/>
  <c r="CB110" i="6"/>
  <c r="CB111" i="6"/>
  <c r="CB112" i="6"/>
  <c r="CB113" i="6"/>
  <c r="CB114" i="6"/>
  <c r="CB115" i="6"/>
  <c r="CB116" i="6"/>
  <c r="CB117" i="6"/>
  <c r="CB118" i="6"/>
  <c r="CB119" i="6"/>
  <c r="CB120" i="6"/>
  <c r="CB121" i="6"/>
  <c r="CB122" i="6"/>
  <c r="CB123" i="6"/>
  <c r="CB124" i="6"/>
  <c r="CB125" i="6"/>
  <c r="CB126" i="6"/>
  <c r="CB127" i="6"/>
  <c r="CB128" i="6"/>
  <c r="CB129" i="6"/>
  <c r="CB130" i="6"/>
  <c r="CB131" i="6"/>
  <c r="CB132" i="6"/>
  <c r="CB133" i="6"/>
  <c r="CB134" i="6"/>
  <c r="CB135" i="6"/>
  <c r="CB136" i="6"/>
  <c r="CB137" i="6"/>
  <c r="CB138" i="6"/>
  <c r="CB139" i="6"/>
  <c r="CB140" i="6"/>
  <c r="CB141" i="6"/>
  <c r="CB142" i="6"/>
  <c r="CB143" i="6"/>
  <c r="CB144" i="6"/>
  <c r="CB145" i="6"/>
  <c r="CB146" i="6"/>
  <c r="CB147" i="6"/>
  <c r="CB148" i="6"/>
  <c r="CB149" i="6"/>
  <c r="CB150" i="6"/>
  <c r="CB151" i="6"/>
  <c r="CB152" i="6"/>
  <c r="CB153" i="6"/>
  <c r="CB154" i="6"/>
  <c r="CB155" i="6"/>
  <c r="CB156" i="6"/>
  <c r="CB157" i="6"/>
  <c r="CB158" i="6"/>
  <c r="CB159" i="6"/>
  <c r="CB160" i="6"/>
  <c r="CB161" i="6"/>
  <c r="CB162" i="6"/>
  <c r="CB163" i="6"/>
  <c r="CB164" i="6"/>
  <c r="CB165" i="6"/>
  <c r="CB166" i="6"/>
  <c r="CB167" i="6"/>
  <c r="CB168" i="6"/>
  <c r="CB169" i="6"/>
  <c r="CB170" i="6"/>
  <c r="CB171" i="6"/>
  <c r="CB172" i="6"/>
  <c r="CB173" i="6"/>
  <c r="CB174" i="6"/>
  <c r="CB175" i="6"/>
  <c r="CB176" i="6"/>
  <c r="CB177" i="6"/>
  <c r="CB178" i="6"/>
  <c r="CB179" i="6"/>
  <c r="CB180" i="6"/>
  <c r="CB181" i="6"/>
  <c r="CB182" i="6"/>
  <c r="CB183" i="6"/>
  <c r="CB184" i="6"/>
  <c r="CB185" i="6"/>
  <c r="CB186" i="6"/>
  <c r="CB187" i="6"/>
  <c r="CB188" i="6"/>
  <c r="CB189" i="6"/>
  <c r="CB190" i="6"/>
  <c r="CB191" i="6"/>
  <c r="CB192" i="6"/>
  <c r="CB193" i="6"/>
  <c r="CB194" i="6"/>
  <c r="CB195" i="6"/>
  <c r="CB196" i="6"/>
  <c r="CB197" i="6"/>
  <c r="CB198" i="6"/>
  <c r="CB199" i="6"/>
  <c r="CB200" i="6"/>
  <c r="CB201" i="6"/>
  <c r="CB202" i="6"/>
  <c r="CB203" i="6"/>
  <c r="CB204" i="6"/>
  <c r="CB205" i="6"/>
  <c r="CB206" i="6"/>
  <c r="CB207" i="6"/>
  <c r="CB208" i="6"/>
  <c r="CB209" i="6"/>
  <c r="CB210" i="6"/>
  <c r="CB211" i="6"/>
  <c r="CB212" i="6"/>
  <c r="CB213" i="6"/>
  <c r="CB214" i="6"/>
  <c r="CB215" i="6"/>
  <c r="CB216" i="6"/>
  <c r="CB217" i="6"/>
  <c r="CB218" i="6"/>
  <c r="CB219" i="6"/>
  <c r="CB220" i="6"/>
  <c r="CB221" i="6"/>
  <c r="CB222" i="6"/>
  <c r="CB223" i="6"/>
  <c r="CB224" i="6"/>
  <c r="CB225" i="6"/>
  <c r="CB226" i="6"/>
  <c r="CB227" i="6"/>
  <c r="CB228" i="6"/>
  <c r="CB229" i="6"/>
  <c r="CB230" i="6"/>
  <c r="CB231" i="6"/>
  <c r="CB232" i="6"/>
  <c r="CB233" i="6"/>
  <c r="CB234" i="6"/>
  <c r="CB235" i="6"/>
  <c r="CB236" i="6"/>
  <c r="CB237" i="6"/>
  <c r="CB238" i="6"/>
  <c r="CB239" i="6"/>
  <c r="CB240" i="6"/>
  <c r="CB241" i="6"/>
  <c r="CB242" i="6"/>
  <c r="CB243" i="6"/>
  <c r="CB244" i="6"/>
  <c r="CB245" i="6"/>
  <c r="CB246" i="6"/>
  <c r="CB247" i="6"/>
  <c r="CB248" i="6"/>
  <c r="CB249" i="6"/>
  <c r="CB250" i="6"/>
  <c r="CB251" i="6"/>
  <c r="CB252" i="6"/>
  <c r="CB253" i="6"/>
  <c r="CB254" i="6"/>
  <c r="CB255" i="6"/>
  <c r="CB256" i="6"/>
  <c r="CB257" i="6"/>
  <c r="CB258" i="6"/>
  <c r="CB259" i="6"/>
  <c r="CB260" i="6"/>
  <c r="CB261" i="6"/>
  <c r="CB262" i="6"/>
  <c r="CB263" i="6"/>
  <c r="CB264" i="6"/>
  <c r="CB265" i="6"/>
  <c r="CB266" i="6"/>
  <c r="CB267" i="6"/>
  <c r="CB268" i="6"/>
  <c r="CB269" i="6"/>
  <c r="CB270" i="6"/>
  <c r="CB271" i="6"/>
  <c r="CB272" i="6"/>
  <c r="CB273" i="6"/>
  <c r="CB274" i="6"/>
  <c r="CB275" i="6"/>
  <c r="CB276" i="6"/>
  <c r="CB277" i="6"/>
  <c r="CB278" i="6"/>
  <c r="CB279" i="6"/>
  <c r="CB280" i="6"/>
  <c r="CB281" i="6"/>
  <c r="CB282" i="6"/>
  <c r="CB283" i="6"/>
  <c r="CB284" i="6"/>
  <c r="CB285" i="6"/>
  <c r="CB286" i="6"/>
  <c r="CB287" i="6"/>
  <c r="CB288" i="6"/>
  <c r="CB289" i="6"/>
  <c r="CB290" i="6"/>
  <c r="CB291" i="6"/>
  <c r="CB292" i="6"/>
  <c r="CB293" i="6"/>
  <c r="CB294" i="6"/>
  <c r="CB295" i="6"/>
  <c r="CB296" i="6"/>
  <c r="CB297" i="6"/>
  <c r="CB298" i="6"/>
  <c r="CB299" i="6"/>
  <c r="CB300" i="6"/>
  <c r="CB301" i="6"/>
  <c r="CB302" i="6"/>
  <c r="CB303" i="6"/>
  <c r="CB304" i="6"/>
  <c r="CB305" i="6"/>
  <c r="CB306" i="6"/>
  <c r="CB307" i="6"/>
  <c r="CB308" i="6"/>
  <c r="CB309" i="6"/>
  <c r="CB310" i="6"/>
  <c r="CB311" i="6"/>
  <c r="CB312" i="6"/>
  <c r="CB313" i="6"/>
  <c r="CB314" i="6"/>
  <c r="CB315" i="6"/>
  <c r="CB316" i="6"/>
  <c r="CB317" i="6"/>
  <c r="CB318" i="6"/>
  <c r="CB319" i="6"/>
  <c r="CB320" i="6"/>
  <c r="CB321" i="6"/>
  <c r="CB322" i="6"/>
  <c r="CB323" i="6"/>
  <c r="CB324" i="6"/>
  <c r="CB325" i="6"/>
  <c r="CB326" i="6"/>
  <c r="CB327" i="6"/>
  <c r="CB328" i="6"/>
  <c r="CB329" i="6"/>
  <c r="CB330" i="6"/>
  <c r="CB331" i="6"/>
  <c r="CB332" i="6"/>
  <c r="CB333" i="6"/>
  <c r="CB334" i="6"/>
  <c r="CB335" i="6"/>
  <c r="CB336" i="6"/>
  <c r="CB337" i="6"/>
  <c r="CB338" i="6"/>
  <c r="CB339" i="6"/>
  <c r="CB340" i="6"/>
  <c r="CB341" i="6"/>
  <c r="CB342" i="6"/>
  <c r="CB343" i="6"/>
  <c r="CB344" i="6"/>
  <c r="CB345" i="6"/>
  <c r="CB346" i="6"/>
  <c r="CB347" i="6"/>
  <c r="CB348" i="6"/>
  <c r="CB349" i="6"/>
  <c r="CB350" i="6"/>
  <c r="CB351" i="6"/>
  <c r="CB352" i="6"/>
  <c r="CB353" i="6"/>
  <c r="CB354" i="6"/>
  <c r="CB355" i="6"/>
  <c r="CB356" i="6"/>
  <c r="CB357" i="6"/>
  <c r="CB358" i="6"/>
  <c r="CB359" i="6"/>
  <c r="CB360" i="6"/>
  <c r="CB361" i="6"/>
  <c r="CB362" i="6"/>
  <c r="CB363" i="6"/>
  <c r="CB364" i="6"/>
  <c r="CB365" i="6"/>
  <c r="CB366" i="6"/>
  <c r="CB367" i="6"/>
  <c r="CB368" i="6"/>
  <c r="CB369" i="6"/>
  <c r="CB370" i="6"/>
  <c r="CB371" i="6"/>
  <c r="CB372" i="6"/>
  <c r="CB373" i="6"/>
  <c r="CB374" i="6"/>
  <c r="CB375" i="6"/>
  <c r="CB376" i="6"/>
  <c r="CB377" i="6"/>
  <c r="CB378" i="6"/>
  <c r="CB379" i="6"/>
  <c r="CB380" i="6"/>
  <c r="CB381" i="6"/>
  <c r="CB382" i="6"/>
  <c r="CB383" i="6"/>
  <c r="CB384" i="6"/>
  <c r="CB385" i="6"/>
  <c r="CB386" i="6"/>
  <c r="CB387" i="6"/>
  <c r="CB388" i="6"/>
  <c r="CB389" i="6"/>
  <c r="CB390" i="6"/>
  <c r="CB391" i="6"/>
  <c r="CB392" i="6"/>
  <c r="CB393" i="6"/>
  <c r="CB394" i="6"/>
  <c r="CB395" i="6"/>
  <c r="CB396" i="6"/>
  <c r="CB397" i="6"/>
  <c r="CB398" i="6"/>
  <c r="CB399" i="6"/>
  <c r="CB400" i="6"/>
  <c r="CB401" i="6"/>
  <c r="CB402" i="6"/>
  <c r="CB403" i="6"/>
  <c r="CB404" i="6"/>
  <c r="CB405" i="6"/>
  <c r="CB406" i="6"/>
  <c r="CB407" i="6"/>
  <c r="CB408" i="6"/>
  <c r="CB409" i="6"/>
  <c r="CB410" i="6"/>
  <c r="CB411" i="6"/>
  <c r="CB412" i="6"/>
  <c r="CB413" i="6"/>
  <c r="CB414" i="6"/>
  <c r="CB415" i="6"/>
  <c r="CB416" i="6"/>
  <c r="CB417" i="6"/>
  <c r="CB418" i="6"/>
  <c r="CB419" i="6"/>
  <c r="CB420" i="6"/>
  <c r="CB421" i="6"/>
  <c r="CB422" i="6"/>
  <c r="CB423" i="6"/>
  <c r="CB424" i="6"/>
  <c r="CB425" i="6"/>
  <c r="CB426" i="6"/>
  <c r="CB427" i="6"/>
  <c r="CB428" i="6"/>
  <c r="CB429" i="6"/>
  <c r="CB430" i="6"/>
  <c r="CB431" i="6"/>
  <c r="CB432" i="6"/>
  <c r="CB433" i="6"/>
  <c r="CB434" i="6"/>
  <c r="CB435" i="6"/>
  <c r="CB436" i="6"/>
  <c r="CB437" i="6"/>
  <c r="CB438" i="6"/>
  <c r="CB439" i="6"/>
  <c r="CB440" i="6"/>
  <c r="CB441" i="6"/>
  <c r="CB442" i="6"/>
  <c r="CB443" i="6"/>
  <c r="CB444" i="6"/>
  <c r="CB445" i="6"/>
  <c r="CB446" i="6"/>
  <c r="CB447" i="6"/>
  <c r="CB448" i="6"/>
  <c r="CB449" i="6"/>
  <c r="CB450" i="6"/>
  <c r="CB451" i="6"/>
  <c r="CB452" i="6"/>
  <c r="CB453" i="6"/>
  <c r="CB454" i="6"/>
  <c r="CB455" i="6"/>
  <c r="CB456" i="6"/>
  <c r="CB457" i="6"/>
  <c r="CB458" i="6"/>
  <c r="CB459" i="6"/>
  <c r="CB460" i="6"/>
  <c r="CB461" i="6"/>
  <c r="CB462" i="6"/>
  <c r="CB463" i="6"/>
  <c r="CB464" i="6"/>
  <c r="CB465" i="6"/>
  <c r="CB466" i="6"/>
  <c r="CB467" i="6"/>
  <c r="CB468" i="6"/>
  <c r="CB469" i="6"/>
  <c r="CB470" i="6"/>
  <c r="CB471" i="6"/>
  <c r="CB472" i="6"/>
  <c r="CB473" i="6"/>
  <c r="CB474" i="6"/>
  <c r="CB475" i="6"/>
  <c r="CB476" i="6"/>
  <c r="CB477" i="6"/>
  <c r="CB478" i="6"/>
  <c r="CB479" i="6"/>
  <c r="CB480" i="6"/>
  <c r="CB481" i="6"/>
  <c r="CB482" i="6"/>
  <c r="CB483" i="6"/>
  <c r="CB484" i="6"/>
  <c r="CB485" i="6"/>
  <c r="CB486" i="6"/>
  <c r="CB487" i="6"/>
  <c r="CB488" i="6"/>
  <c r="CB489" i="6"/>
  <c r="CB490" i="6"/>
  <c r="CB491" i="6"/>
  <c r="CB492" i="6"/>
  <c r="CB493" i="6"/>
  <c r="CB494" i="6"/>
  <c r="CB495" i="6"/>
  <c r="CB496" i="6"/>
  <c r="CB497" i="6"/>
  <c r="CB498" i="6"/>
  <c r="CB499" i="6"/>
  <c r="CB500" i="6"/>
  <c r="CB501" i="6"/>
  <c r="CB502" i="6"/>
  <c r="CB503" i="6"/>
  <c r="CB504" i="6"/>
  <c r="CB505" i="6"/>
  <c r="CB506" i="6"/>
  <c r="CB507" i="6"/>
  <c r="CB508" i="6"/>
  <c r="CB509" i="6"/>
  <c r="CB510" i="6"/>
  <c r="CB511" i="6"/>
  <c r="CB512" i="6"/>
  <c r="CB513" i="6"/>
  <c r="CB514" i="6"/>
  <c r="CB515" i="6"/>
  <c r="CB516" i="6"/>
  <c r="CB517" i="6"/>
  <c r="CB518" i="6"/>
  <c r="CB519" i="6"/>
  <c r="CB520" i="6"/>
  <c r="CB521" i="6"/>
  <c r="CB522" i="6"/>
  <c r="CB523" i="6"/>
  <c r="CB524" i="6"/>
  <c r="CB525" i="6"/>
  <c r="CB526" i="6"/>
  <c r="CB527" i="6"/>
  <c r="CB528" i="6"/>
  <c r="CB529" i="6"/>
  <c r="CB530" i="6"/>
  <c r="CB531" i="6"/>
  <c r="CB532" i="6"/>
  <c r="CB533" i="6"/>
  <c r="CB534" i="6"/>
  <c r="CB535" i="6"/>
  <c r="CB536" i="6"/>
  <c r="CB537" i="6"/>
  <c r="CB538" i="6"/>
  <c r="CB539" i="6"/>
  <c r="CB540" i="6"/>
  <c r="CB541" i="6"/>
  <c r="CB542" i="6"/>
  <c r="CB543" i="6"/>
  <c r="CB544" i="6"/>
  <c r="CB545" i="6"/>
  <c r="CB546" i="6"/>
  <c r="CB547" i="6"/>
  <c r="CB548" i="6"/>
  <c r="CB549" i="6"/>
  <c r="CB550" i="6"/>
  <c r="CB551" i="6"/>
  <c r="CB552" i="6"/>
  <c r="CB553" i="6"/>
  <c r="CB554" i="6"/>
  <c r="CB555" i="6"/>
  <c r="CB556" i="6"/>
  <c r="CB557" i="6"/>
  <c r="CB558" i="6"/>
  <c r="CB559" i="6"/>
  <c r="CB560" i="6"/>
  <c r="CB561" i="6"/>
  <c r="CB562" i="6"/>
  <c r="CB563" i="6"/>
  <c r="CB564" i="6"/>
  <c r="CB565" i="6"/>
  <c r="CB566" i="6"/>
  <c r="CB567" i="6"/>
  <c r="CB568" i="6"/>
  <c r="CB569" i="6"/>
  <c r="CB570" i="6"/>
  <c r="CB571" i="6"/>
  <c r="CB572" i="6"/>
  <c r="CB573" i="6"/>
  <c r="CB574" i="6"/>
  <c r="CB575" i="6"/>
  <c r="CB576" i="6"/>
  <c r="CB577" i="6"/>
  <c r="CB578" i="6"/>
  <c r="CB579" i="6"/>
  <c r="CB580" i="6"/>
  <c r="CB581" i="6"/>
  <c r="CB582" i="6"/>
  <c r="CB583" i="6"/>
  <c r="CB584" i="6"/>
  <c r="CB585" i="6"/>
  <c r="CB586" i="6"/>
  <c r="CB587" i="6"/>
  <c r="CB588" i="6"/>
  <c r="CB589" i="6"/>
  <c r="CB590" i="6"/>
  <c r="CB591" i="6"/>
  <c r="CB592" i="6"/>
  <c r="CB593" i="6"/>
  <c r="CB594" i="6"/>
  <c r="CB595" i="6"/>
  <c r="CB596" i="6"/>
  <c r="CB597" i="6"/>
  <c r="CB598" i="6"/>
  <c r="CB599" i="6"/>
  <c r="CB600" i="6"/>
  <c r="CB601" i="6"/>
  <c r="CB602" i="6"/>
  <c r="CB603" i="6"/>
  <c r="CB604" i="6"/>
  <c r="CB605" i="6"/>
  <c r="CB606" i="6"/>
  <c r="CB607" i="6"/>
  <c r="CB608" i="6"/>
  <c r="CB609" i="6"/>
  <c r="CB610" i="6"/>
  <c r="CB611" i="6"/>
  <c r="CB612" i="6"/>
  <c r="CB613" i="6"/>
  <c r="CB614" i="6"/>
  <c r="CB615" i="6"/>
  <c r="CB616" i="6"/>
  <c r="CB617" i="6"/>
  <c r="CB618" i="6"/>
  <c r="CB619" i="6"/>
  <c r="CB620" i="6"/>
  <c r="CB621" i="6"/>
  <c r="CB622" i="6"/>
  <c r="CB623" i="6"/>
  <c r="CB624" i="6"/>
  <c r="CB625" i="6"/>
  <c r="CB626" i="6"/>
  <c r="CB627" i="6"/>
  <c r="CB628" i="6"/>
  <c r="CB629" i="6"/>
  <c r="CB630" i="6"/>
  <c r="CB631" i="6"/>
  <c r="CB632" i="6"/>
  <c r="CB633" i="6"/>
  <c r="CB634" i="6"/>
  <c r="CB635" i="6"/>
  <c r="CB636" i="6"/>
  <c r="CB637" i="6"/>
  <c r="CB638" i="6"/>
  <c r="CB639" i="6"/>
  <c r="CB640" i="6"/>
  <c r="CB641" i="6"/>
  <c r="CB642" i="6"/>
  <c r="CB643" i="6"/>
  <c r="CB644" i="6"/>
  <c r="CB645" i="6"/>
  <c r="CB646" i="6"/>
  <c r="CB647" i="6"/>
  <c r="CB648" i="6"/>
  <c r="CB649" i="6"/>
  <c r="CB650" i="6"/>
  <c r="CB651" i="6"/>
  <c r="CB652" i="6"/>
  <c r="CB653" i="6"/>
  <c r="CB654" i="6"/>
  <c r="CB655" i="6"/>
  <c r="CB656" i="6"/>
  <c r="CB657" i="6"/>
  <c r="CB658" i="6"/>
  <c r="CB659" i="6"/>
  <c r="CB660" i="6"/>
  <c r="CB661" i="6"/>
  <c r="CB662" i="6"/>
  <c r="CB663" i="6"/>
  <c r="CB664" i="6"/>
  <c r="CB665" i="6"/>
  <c r="CB666" i="6"/>
  <c r="CB667" i="6"/>
  <c r="CB668" i="6"/>
  <c r="CB669" i="6"/>
  <c r="CB670" i="6"/>
  <c r="CB671" i="6"/>
  <c r="CB672" i="6"/>
  <c r="CB673" i="6"/>
  <c r="CB674" i="6"/>
  <c r="CB675" i="6"/>
  <c r="CB676" i="6"/>
  <c r="CB677" i="6"/>
  <c r="CB678" i="6"/>
  <c r="CB679" i="6"/>
  <c r="CB680" i="6"/>
  <c r="CB681" i="6"/>
  <c r="CB682" i="6"/>
  <c r="CB683" i="6"/>
  <c r="CB684" i="6"/>
  <c r="CB685" i="6"/>
  <c r="CB686" i="6"/>
  <c r="CB687" i="6"/>
  <c r="CB688" i="6"/>
  <c r="CB689" i="6"/>
  <c r="CB690" i="6"/>
  <c r="CB691" i="6"/>
  <c r="CB692" i="6"/>
  <c r="CB693" i="6"/>
  <c r="CB694" i="6"/>
  <c r="CB695" i="6"/>
  <c r="CB696" i="6"/>
  <c r="CB697" i="6"/>
  <c r="CB698" i="6"/>
  <c r="CB699" i="6"/>
  <c r="CB700" i="6"/>
  <c r="CB701" i="6"/>
  <c r="CB702" i="6"/>
  <c r="CB703" i="6"/>
  <c r="CB704" i="6"/>
  <c r="CB705" i="6"/>
  <c r="CB706" i="6"/>
  <c r="CB707" i="6"/>
  <c r="CB708" i="6"/>
  <c r="CB709" i="6"/>
  <c r="CB710" i="6"/>
  <c r="CB711" i="6"/>
  <c r="CB712" i="6"/>
  <c r="CB713" i="6"/>
  <c r="CB714" i="6"/>
  <c r="CB715" i="6"/>
  <c r="CB716" i="6"/>
  <c r="CB717" i="6"/>
  <c r="CB718" i="6"/>
  <c r="CB719" i="6"/>
  <c r="CB720" i="6"/>
  <c r="CB721" i="6"/>
  <c r="CB722" i="6"/>
  <c r="CB723" i="6"/>
  <c r="CB724" i="6"/>
  <c r="CB725" i="6"/>
  <c r="CB726" i="6"/>
  <c r="CB727" i="6"/>
  <c r="CB728" i="6"/>
  <c r="CB729" i="6"/>
  <c r="CB730" i="6"/>
  <c r="CB731" i="6"/>
  <c r="CB732" i="6"/>
  <c r="CB733" i="6"/>
  <c r="CB734" i="6"/>
  <c r="CB735" i="6"/>
  <c r="CB736" i="6"/>
  <c r="CB737" i="6"/>
  <c r="CB738" i="6"/>
  <c r="CB739" i="6"/>
  <c r="CB740" i="6"/>
  <c r="CB741" i="6"/>
  <c r="CB742" i="6"/>
  <c r="CB743" i="6"/>
  <c r="CB748" i="6"/>
  <c r="CA2" i="6"/>
  <c r="CA3" i="6"/>
  <c r="CA4" i="6"/>
  <c r="CA5" i="6"/>
  <c r="CA6" i="6"/>
  <c r="CA7" i="6"/>
  <c r="CA8" i="6"/>
  <c r="CA9" i="6"/>
  <c r="CA10" i="6"/>
  <c r="CA11" i="6"/>
  <c r="CA12" i="6"/>
  <c r="CA13" i="6"/>
  <c r="CA14" i="6"/>
  <c r="CA15" i="6"/>
  <c r="CA16" i="6"/>
  <c r="CA17" i="6"/>
  <c r="CA18" i="6"/>
  <c r="CA19" i="6"/>
  <c r="CA20" i="6"/>
  <c r="CA21" i="6"/>
  <c r="CA22" i="6"/>
  <c r="CA23" i="6"/>
  <c r="CA24" i="6"/>
  <c r="CA25" i="6"/>
  <c r="CA26" i="6"/>
  <c r="CA27" i="6"/>
  <c r="CA28" i="6"/>
  <c r="CA29" i="6"/>
  <c r="CA30" i="6"/>
  <c r="CA31" i="6"/>
  <c r="CA32" i="6"/>
  <c r="CA33" i="6"/>
  <c r="CA34" i="6"/>
  <c r="CA35" i="6"/>
  <c r="CA36" i="6"/>
  <c r="CA37" i="6"/>
  <c r="CA38" i="6"/>
  <c r="CA39" i="6"/>
  <c r="CA40" i="6"/>
  <c r="CA41" i="6"/>
  <c r="CA42" i="6"/>
  <c r="CA43" i="6"/>
  <c r="CA44" i="6"/>
  <c r="CA45" i="6"/>
  <c r="CA46" i="6"/>
  <c r="CA47" i="6"/>
  <c r="CA48" i="6"/>
  <c r="CA49" i="6"/>
  <c r="CA50" i="6"/>
  <c r="CA51" i="6"/>
  <c r="CA52" i="6"/>
  <c r="CA53" i="6"/>
  <c r="CA54" i="6"/>
  <c r="CA55" i="6"/>
  <c r="CA56" i="6"/>
  <c r="CA57" i="6"/>
  <c r="CA58" i="6"/>
  <c r="CA59" i="6"/>
  <c r="CA60" i="6"/>
  <c r="CA61" i="6"/>
  <c r="CA62" i="6"/>
  <c r="CA63" i="6"/>
  <c r="CA64" i="6"/>
  <c r="CA65" i="6"/>
  <c r="CA66" i="6"/>
  <c r="CA67" i="6"/>
  <c r="CA68" i="6"/>
  <c r="CA69" i="6"/>
  <c r="CA70" i="6"/>
  <c r="CA71" i="6"/>
  <c r="CA72" i="6"/>
  <c r="CA73" i="6"/>
  <c r="CA74" i="6"/>
  <c r="CA75" i="6"/>
  <c r="CA76" i="6"/>
  <c r="CA77" i="6"/>
  <c r="CA78" i="6"/>
  <c r="CA79" i="6"/>
  <c r="CA80" i="6"/>
  <c r="CA81" i="6"/>
  <c r="CA82" i="6"/>
  <c r="CA83" i="6"/>
  <c r="CA84" i="6"/>
  <c r="CA85" i="6"/>
  <c r="CA86" i="6"/>
  <c r="CA87" i="6"/>
  <c r="CA88" i="6"/>
  <c r="CA89" i="6"/>
  <c r="CA90" i="6"/>
  <c r="CA91" i="6"/>
  <c r="CA92" i="6"/>
  <c r="CA93" i="6"/>
  <c r="CA94" i="6"/>
  <c r="CA95" i="6"/>
  <c r="CA96" i="6"/>
  <c r="CA97" i="6"/>
  <c r="CA98" i="6"/>
  <c r="CA99" i="6"/>
  <c r="CA100" i="6"/>
  <c r="CA101" i="6"/>
  <c r="CA102" i="6"/>
  <c r="CA103" i="6"/>
  <c r="CA104" i="6"/>
  <c r="CA105" i="6"/>
  <c r="CA106" i="6"/>
  <c r="CA107" i="6"/>
  <c r="CA108" i="6"/>
  <c r="CA109" i="6"/>
  <c r="CA110" i="6"/>
  <c r="CA111" i="6"/>
  <c r="CA112" i="6"/>
  <c r="CA113" i="6"/>
  <c r="CA114" i="6"/>
  <c r="CA115" i="6"/>
  <c r="CA116" i="6"/>
  <c r="CA117" i="6"/>
  <c r="CA118" i="6"/>
  <c r="CA119" i="6"/>
  <c r="CA120" i="6"/>
  <c r="CA121" i="6"/>
  <c r="CA122" i="6"/>
  <c r="CA123" i="6"/>
  <c r="CA124" i="6"/>
  <c r="CA125" i="6"/>
  <c r="CA126" i="6"/>
  <c r="CA127" i="6"/>
  <c r="CA128" i="6"/>
  <c r="CA129" i="6"/>
  <c r="CA130" i="6"/>
  <c r="CA131" i="6"/>
  <c r="CA132" i="6"/>
  <c r="CA133" i="6"/>
  <c r="CA134" i="6"/>
  <c r="CA135" i="6"/>
  <c r="CA136" i="6"/>
  <c r="CA137" i="6"/>
  <c r="CA138" i="6"/>
  <c r="CA139" i="6"/>
  <c r="CA140" i="6"/>
  <c r="CA141" i="6"/>
  <c r="CA142" i="6"/>
  <c r="CA143" i="6"/>
  <c r="CA144" i="6"/>
  <c r="CA145" i="6"/>
  <c r="CA146" i="6"/>
  <c r="CA147" i="6"/>
  <c r="CA148" i="6"/>
  <c r="CA149" i="6"/>
  <c r="CA150" i="6"/>
  <c r="CA151" i="6"/>
  <c r="CA152" i="6"/>
  <c r="CA153" i="6"/>
  <c r="CA154" i="6"/>
  <c r="CA155" i="6"/>
  <c r="CA156" i="6"/>
  <c r="CA157" i="6"/>
  <c r="CA158" i="6"/>
  <c r="CA159" i="6"/>
  <c r="CA160" i="6"/>
  <c r="CA161" i="6"/>
  <c r="CA162" i="6"/>
  <c r="CA163" i="6"/>
  <c r="CA164" i="6"/>
  <c r="CA165" i="6"/>
  <c r="CA166" i="6"/>
  <c r="CA167" i="6"/>
  <c r="CA168" i="6"/>
  <c r="CA169" i="6"/>
  <c r="CA170" i="6"/>
  <c r="CA171" i="6"/>
  <c r="CA172" i="6"/>
  <c r="CA173" i="6"/>
  <c r="CA174" i="6"/>
  <c r="CA175" i="6"/>
  <c r="CA176" i="6"/>
  <c r="CA177" i="6"/>
  <c r="CA178" i="6"/>
  <c r="CA179" i="6"/>
  <c r="CA180" i="6"/>
  <c r="CA181" i="6"/>
  <c r="CA182" i="6"/>
  <c r="CA183" i="6"/>
  <c r="CA184" i="6"/>
  <c r="CA185" i="6"/>
  <c r="CA186" i="6"/>
  <c r="CA187" i="6"/>
  <c r="CA188" i="6"/>
  <c r="CA189" i="6"/>
  <c r="CA190" i="6"/>
  <c r="CA191" i="6"/>
  <c r="CA192" i="6"/>
  <c r="CA193" i="6"/>
  <c r="CA194" i="6"/>
  <c r="CA195" i="6"/>
  <c r="CA196" i="6"/>
  <c r="CA197" i="6"/>
  <c r="CA198" i="6"/>
  <c r="CA199" i="6"/>
  <c r="CA200" i="6"/>
  <c r="CA201" i="6"/>
  <c r="CA202" i="6"/>
  <c r="CA203" i="6"/>
  <c r="CA204" i="6"/>
  <c r="CA205" i="6"/>
  <c r="CA206" i="6"/>
  <c r="CA207" i="6"/>
  <c r="CA208" i="6"/>
  <c r="CA209" i="6"/>
  <c r="CA210" i="6"/>
  <c r="CA211" i="6"/>
  <c r="CA212" i="6"/>
  <c r="CA213" i="6"/>
  <c r="CA214" i="6"/>
  <c r="CA215" i="6"/>
  <c r="CA216" i="6"/>
  <c r="CA217" i="6"/>
  <c r="CA218" i="6"/>
  <c r="CA219" i="6"/>
  <c r="CA220" i="6"/>
  <c r="CA221" i="6"/>
  <c r="CA222" i="6"/>
  <c r="CA223" i="6"/>
  <c r="CA224" i="6"/>
  <c r="CA225" i="6"/>
  <c r="CA226" i="6"/>
  <c r="CA227" i="6"/>
  <c r="CA228" i="6"/>
  <c r="CA229" i="6"/>
  <c r="CA230" i="6"/>
  <c r="CA231" i="6"/>
  <c r="CA232" i="6"/>
  <c r="CA233" i="6"/>
  <c r="CA234" i="6"/>
  <c r="CA235" i="6"/>
  <c r="CA236" i="6"/>
  <c r="CA237" i="6"/>
  <c r="CA238" i="6"/>
  <c r="CA239" i="6"/>
  <c r="CA240" i="6"/>
  <c r="CA241" i="6"/>
  <c r="CA242" i="6"/>
  <c r="CA243" i="6"/>
  <c r="CA244" i="6"/>
  <c r="CA245" i="6"/>
  <c r="CA246" i="6"/>
  <c r="CA247" i="6"/>
  <c r="CA248" i="6"/>
  <c r="CA249" i="6"/>
  <c r="CA250" i="6"/>
  <c r="CA251" i="6"/>
  <c r="CA252" i="6"/>
  <c r="CA253" i="6"/>
  <c r="CA254" i="6"/>
  <c r="CA255" i="6"/>
  <c r="CA256" i="6"/>
  <c r="CA257" i="6"/>
  <c r="CA258" i="6"/>
  <c r="CA259" i="6"/>
  <c r="CA260" i="6"/>
  <c r="CA261" i="6"/>
  <c r="CA262" i="6"/>
  <c r="CA263" i="6"/>
  <c r="CA264" i="6"/>
  <c r="CA265" i="6"/>
  <c r="CA266" i="6"/>
  <c r="CA267" i="6"/>
  <c r="CA268" i="6"/>
  <c r="CA269" i="6"/>
  <c r="CA270" i="6"/>
  <c r="CA271" i="6"/>
  <c r="CA272" i="6"/>
  <c r="CA273" i="6"/>
  <c r="CA274" i="6"/>
  <c r="CA275" i="6"/>
  <c r="CA276" i="6"/>
  <c r="CA277" i="6"/>
  <c r="CA278" i="6"/>
  <c r="CA279" i="6"/>
  <c r="CA280" i="6"/>
  <c r="CA281" i="6"/>
  <c r="CA282" i="6"/>
  <c r="CA283" i="6"/>
  <c r="CA284" i="6"/>
  <c r="CA285" i="6"/>
  <c r="CA286" i="6"/>
  <c r="CA287" i="6"/>
  <c r="CA288" i="6"/>
  <c r="CA289" i="6"/>
  <c r="CA290" i="6"/>
  <c r="CA291" i="6"/>
  <c r="CA292" i="6"/>
  <c r="CA293" i="6"/>
  <c r="CA294" i="6"/>
  <c r="CA295" i="6"/>
  <c r="CA296" i="6"/>
  <c r="CA297" i="6"/>
  <c r="CA298" i="6"/>
  <c r="CA299" i="6"/>
  <c r="CA300" i="6"/>
  <c r="CA301" i="6"/>
  <c r="CA302" i="6"/>
  <c r="CA303" i="6"/>
  <c r="CA304" i="6"/>
  <c r="CA305" i="6"/>
  <c r="CA306" i="6"/>
  <c r="CA307" i="6"/>
  <c r="CA308" i="6"/>
  <c r="CA309" i="6"/>
  <c r="CA310" i="6"/>
  <c r="CA311" i="6"/>
  <c r="CA312" i="6"/>
  <c r="CA313" i="6"/>
  <c r="CA314" i="6"/>
  <c r="CA315" i="6"/>
  <c r="CA316" i="6"/>
  <c r="CA317" i="6"/>
  <c r="CA318" i="6"/>
  <c r="CA319" i="6"/>
  <c r="CA320" i="6"/>
  <c r="CA321" i="6"/>
  <c r="CA322" i="6"/>
  <c r="CA323" i="6"/>
  <c r="CA324" i="6"/>
  <c r="CA325" i="6"/>
  <c r="CA326" i="6"/>
  <c r="CA327" i="6"/>
  <c r="CA328" i="6"/>
  <c r="CA329" i="6"/>
  <c r="CA330" i="6"/>
  <c r="CA331" i="6"/>
  <c r="CA332" i="6"/>
  <c r="CA333" i="6"/>
  <c r="CA334" i="6"/>
  <c r="CA335" i="6"/>
  <c r="CA336" i="6"/>
  <c r="CA337" i="6"/>
  <c r="CA338" i="6"/>
  <c r="CA339" i="6"/>
  <c r="CA340" i="6"/>
  <c r="CA341" i="6"/>
  <c r="CA342" i="6"/>
  <c r="CA343" i="6"/>
  <c r="CA344" i="6"/>
  <c r="CA345" i="6"/>
  <c r="CA346" i="6"/>
  <c r="CA347" i="6"/>
  <c r="CA348" i="6"/>
  <c r="CA349" i="6"/>
  <c r="CA350" i="6"/>
  <c r="CA351" i="6"/>
  <c r="CA352" i="6"/>
  <c r="CA353" i="6"/>
  <c r="CA354" i="6"/>
  <c r="CA355" i="6"/>
  <c r="CA356" i="6"/>
  <c r="CA357" i="6"/>
  <c r="CA358" i="6"/>
  <c r="CA359" i="6"/>
  <c r="CA360" i="6"/>
  <c r="CA361" i="6"/>
  <c r="CA362" i="6"/>
  <c r="CA363" i="6"/>
  <c r="CA364" i="6"/>
  <c r="CA365" i="6"/>
  <c r="CA366" i="6"/>
  <c r="CA367" i="6"/>
  <c r="CA368" i="6"/>
  <c r="CA369" i="6"/>
  <c r="CA370" i="6"/>
  <c r="CA371" i="6"/>
  <c r="CA372" i="6"/>
  <c r="CA373" i="6"/>
  <c r="CA374" i="6"/>
  <c r="CA375" i="6"/>
  <c r="CA376" i="6"/>
  <c r="CA377" i="6"/>
  <c r="CA378" i="6"/>
  <c r="CA379" i="6"/>
  <c r="CA380" i="6"/>
  <c r="CA381" i="6"/>
  <c r="CA382" i="6"/>
  <c r="CA383" i="6"/>
  <c r="CA384" i="6"/>
  <c r="CA385" i="6"/>
  <c r="CA386" i="6"/>
  <c r="CA387" i="6"/>
  <c r="CA388" i="6"/>
  <c r="CA389" i="6"/>
  <c r="CA390" i="6"/>
  <c r="CA391" i="6"/>
  <c r="CA392" i="6"/>
  <c r="CA393" i="6"/>
  <c r="CA394" i="6"/>
  <c r="CA395" i="6"/>
  <c r="CA396" i="6"/>
  <c r="CA397" i="6"/>
  <c r="CA398" i="6"/>
  <c r="CA399" i="6"/>
  <c r="CA400" i="6"/>
  <c r="CA401" i="6"/>
  <c r="CA402" i="6"/>
  <c r="CA403" i="6"/>
  <c r="CA404" i="6"/>
  <c r="CA405" i="6"/>
  <c r="CA406" i="6"/>
  <c r="CA407" i="6"/>
  <c r="CA408" i="6"/>
  <c r="CA409" i="6"/>
  <c r="CA410" i="6"/>
  <c r="CA411" i="6"/>
  <c r="CA412" i="6"/>
  <c r="CA413" i="6"/>
  <c r="CA414" i="6"/>
  <c r="CA415" i="6"/>
  <c r="CA416" i="6"/>
  <c r="CA417" i="6"/>
  <c r="CA418" i="6"/>
  <c r="CA419" i="6"/>
  <c r="CA420" i="6"/>
  <c r="CA421" i="6"/>
  <c r="CA422" i="6"/>
  <c r="CA423" i="6"/>
  <c r="CA424" i="6"/>
  <c r="CA425" i="6"/>
  <c r="CA426" i="6"/>
  <c r="CA427" i="6"/>
  <c r="CA428" i="6"/>
  <c r="CA429" i="6"/>
  <c r="CA430" i="6"/>
  <c r="CA431" i="6"/>
  <c r="CA432" i="6"/>
  <c r="CA433" i="6"/>
  <c r="CA434" i="6"/>
  <c r="CA435" i="6"/>
  <c r="CA436" i="6"/>
  <c r="CA437" i="6"/>
  <c r="CA438" i="6"/>
  <c r="CA439" i="6"/>
  <c r="CA440" i="6"/>
  <c r="CA441" i="6"/>
  <c r="CA442" i="6"/>
  <c r="CA443" i="6"/>
  <c r="CA444" i="6"/>
  <c r="CA445" i="6"/>
  <c r="CA446" i="6"/>
  <c r="CA447" i="6"/>
  <c r="CA448" i="6"/>
  <c r="CA449" i="6"/>
  <c r="CA450" i="6"/>
  <c r="CA451" i="6"/>
  <c r="CA452" i="6"/>
  <c r="CA453" i="6"/>
  <c r="CA454" i="6"/>
  <c r="CA455" i="6"/>
  <c r="CA456" i="6"/>
  <c r="CA457" i="6"/>
  <c r="CA458" i="6"/>
  <c r="CA459" i="6"/>
  <c r="CA460" i="6"/>
  <c r="CA461" i="6"/>
  <c r="CA462" i="6"/>
  <c r="CA463" i="6"/>
  <c r="CA464" i="6"/>
  <c r="CA465" i="6"/>
  <c r="CA466" i="6"/>
  <c r="CA467" i="6"/>
  <c r="CA468" i="6"/>
  <c r="CA469" i="6"/>
  <c r="CA470" i="6"/>
  <c r="CA471" i="6"/>
  <c r="CA472" i="6"/>
  <c r="CA473" i="6"/>
  <c r="CA474" i="6"/>
  <c r="CA475" i="6"/>
  <c r="CA476" i="6"/>
  <c r="CA477" i="6"/>
  <c r="CA478" i="6"/>
  <c r="CA479" i="6"/>
  <c r="CA480" i="6"/>
  <c r="CA481" i="6"/>
  <c r="CA482" i="6"/>
  <c r="CA483" i="6"/>
  <c r="CA484" i="6"/>
  <c r="CA485" i="6"/>
  <c r="CA486" i="6"/>
  <c r="CA487" i="6"/>
  <c r="CA488" i="6"/>
  <c r="CA489" i="6"/>
  <c r="CA490" i="6"/>
  <c r="CA491" i="6"/>
  <c r="CA492" i="6"/>
  <c r="CA493" i="6"/>
  <c r="CA494" i="6"/>
  <c r="CA495" i="6"/>
  <c r="CA496" i="6"/>
  <c r="CA497" i="6"/>
  <c r="CA498" i="6"/>
  <c r="CA499" i="6"/>
  <c r="CA500" i="6"/>
  <c r="CA501" i="6"/>
  <c r="CA502" i="6"/>
  <c r="CA503" i="6"/>
  <c r="CA504" i="6"/>
  <c r="CA505" i="6"/>
  <c r="CA506" i="6"/>
  <c r="CA507" i="6"/>
  <c r="CA508" i="6"/>
  <c r="CA509" i="6"/>
  <c r="CA510" i="6"/>
  <c r="CA511" i="6"/>
  <c r="CA512" i="6"/>
  <c r="CA513" i="6"/>
  <c r="CA514" i="6"/>
  <c r="CA515" i="6"/>
  <c r="CA516" i="6"/>
  <c r="CA517" i="6"/>
  <c r="CA518" i="6"/>
  <c r="CA519" i="6"/>
  <c r="CA520" i="6"/>
  <c r="CA521" i="6"/>
  <c r="CA522" i="6"/>
  <c r="CA523" i="6"/>
  <c r="CA524" i="6"/>
  <c r="CA525" i="6"/>
  <c r="CA526" i="6"/>
  <c r="CA527" i="6"/>
  <c r="CA528" i="6"/>
  <c r="CA529" i="6"/>
  <c r="CA530" i="6"/>
  <c r="CA531" i="6"/>
  <c r="CA532" i="6"/>
  <c r="CA533" i="6"/>
  <c r="CA534" i="6"/>
  <c r="CA535" i="6"/>
  <c r="CA536" i="6"/>
  <c r="CA537" i="6"/>
  <c r="CA538" i="6"/>
  <c r="CA539" i="6"/>
  <c r="CA540" i="6"/>
  <c r="CA541" i="6"/>
  <c r="CA542" i="6"/>
  <c r="CA543" i="6"/>
  <c r="CA544" i="6"/>
  <c r="CA545" i="6"/>
  <c r="CA546" i="6"/>
  <c r="CA547" i="6"/>
  <c r="CA548" i="6"/>
  <c r="CA549" i="6"/>
  <c r="CA550" i="6"/>
  <c r="CA551" i="6"/>
  <c r="CA552" i="6"/>
  <c r="CA553" i="6"/>
  <c r="CA554" i="6"/>
  <c r="CA555" i="6"/>
  <c r="CA556" i="6"/>
  <c r="CA557" i="6"/>
  <c r="CA558" i="6"/>
  <c r="CA559" i="6"/>
  <c r="CA560" i="6"/>
  <c r="CA561" i="6"/>
  <c r="CA562" i="6"/>
  <c r="CA563" i="6"/>
  <c r="CA564" i="6"/>
  <c r="CA565" i="6"/>
  <c r="CA566" i="6"/>
  <c r="CA567" i="6"/>
  <c r="CA568" i="6"/>
  <c r="CA569" i="6"/>
  <c r="CA570" i="6"/>
  <c r="CA571" i="6"/>
  <c r="CA572" i="6"/>
  <c r="CA573" i="6"/>
  <c r="CA574" i="6"/>
  <c r="CA575" i="6"/>
  <c r="CA576" i="6"/>
  <c r="CA577" i="6"/>
  <c r="CA578" i="6"/>
  <c r="CA579" i="6"/>
  <c r="CA580" i="6"/>
  <c r="CA581" i="6"/>
  <c r="CA582" i="6"/>
  <c r="CA583" i="6"/>
  <c r="CA584" i="6"/>
  <c r="CA585" i="6"/>
  <c r="CA586" i="6"/>
  <c r="CA587" i="6"/>
  <c r="CA588" i="6"/>
  <c r="CA589" i="6"/>
  <c r="CA590" i="6"/>
  <c r="CA591" i="6"/>
  <c r="CA592" i="6"/>
  <c r="CA593" i="6"/>
  <c r="CA594" i="6"/>
  <c r="CA595" i="6"/>
  <c r="CA596" i="6"/>
  <c r="CA597" i="6"/>
  <c r="CA598" i="6"/>
  <c r="CA599" i="6"/>
  <c r="CA600" i="6"/>
  <c r="CA601" i="6"/>
  <c r="CA602" i="6"/>
  <c r="CA603" i="6"/>
  <c r="CA604" i="6"/>
  <c r="CA605" i="6"/>
  <c r="CA606" i="6"/>
  <c r="CA607" i="6"/>
  <c r="CA608" i="6"/>
  <c r="CA609" i="6"/>
  <c r="CA610" i="6"/>
  <c r="CA611" i="6"/>
  <c r="CA612" i="6"/>
  <c r="CA613" i="6"/>
  <c r="CA614" i="6"/>
  <c r="CA615" i="6"/>
  <c r="CA616" i="6"/>
  <c r="CA617" i="6"/>
  <c r="CA618" i="6"/>
  <c r="CA619" i="6"/>
  <c r="CA620" i="6"/>
  <c r="CA621" i="6"/>
  <c r="CA622" i="6"/>
  <c r="CA623" i="6"/>
  <c r="CA624" i="6"/>
  <c r="CA625" i="6"/>
  <c r="CA626" i="6"/>
  <c r="CA627" i="6"/>
  <c r="CA628" i="6"/>
  <c r="CA629" i="6"/>
  <c r="CA630" i="6"/>
  <c r="CA631" i="6"/>
  <c r="CA632" i="6"/>
  <c r="CA633" i="6"/>
  <c r="CA634" i="6"/>
  <c r="CA635" i="6"/>
  <c r="CA636" i="6"/>
  <c r="CA637" i="6"/>
  <c r="CA638" i="6"/>
  <c r="CA639" i="6"/>
  <c r="CA640" i="6"/>
  <c r="CA641" i="6"/>
  <c r="CA642" i="6"/>
  <c r="CA643" i="6"/>
  <c r="CA644" i="6"/>
  <c r="CA645" i="6"/>
  <c r="CA646" i="6"/>
  <c r="CA647" i="6"/>
  <c r="CA648" i="6"/>
  <c r="CA649" i="6"/>
  <c r="CA650" i="6"/>
  <c r="CA651" i="6"/>
  <c r="CA652" i="6"/>
  <c r="CA653" i="6"/>
  <c r="CA654" i="6"/>
  <c r="CA655" i="6"/>
  <c r="CA656" i="6"/>
  <c r="CA657" i="6"/>
  <c r="CA658" i="6"/>
  <c r="CA659" i="6"/>
  <c r="CA660" i="6"/>
  <c r="CA661" i="6"/>
  <c r="CA662" i="6"/>
  <c r="CA663" i="6"/>
  <c r="CA664" i="6"/>
  <c r="CA665" i="6"/>
  <c r="CA666" i="6"/>
  <c r="CA667" i="6"/>
  <c r="CA668" i="6"/>
  <c r="CA669" i="6"/>
  <c r="CA670" i="6"/>
  <c r="CA671" i="6"/>
  <c r="CA672" i="6"/>
  <c r="CA673" i="6"/>
  <c r="CA674" i="6"/>
  <c r="CA675" i="6"/>
  <c r="CA676" i="6"/>
  <c r="CA677" i="6"/>
  <c r="CA678" i="6"/>
  <c r="CA679" i="6"/>
  <c r="CA680" i="6"/>
  <c r="CA681" i="6"/>
  <c r="CA682" i="6"/>
  <c r="CA683" i="6"/>
  <c r="CA684" i="6"/>
  <c r="CA685" i="6"/>
  <c r="CA686" i="6"/>
  <c r="CA687" i="6"/>
  <c r="CA688" i="6"/>
  <c r="CA689" i="6"/>
  <c r="CA690" i="6"/>
  <c r="CA691" i="6"/>
  <c r="CA692" i="6"/>
  <c r="CA693" i="6"/>
  <c r="CA694" i="6"/>
  <c r="CA695" i="6"/>
  <c r="CA696" i="6"/>
  <c r="CA697" i="6"/>
  <c r="CA698" i="6"/>
  <c r="CA699" i="6"/>
  <c r="CA700" i="6"/>
  <c r="CA701" i="6"/>
  <c r="CA702" i="6"/>
  <c r="CA703" i="6"/>
  <c r="CA704" i="6"/>
  <c r="CA705" i="6"/>
  <c r="CA706" i="6"/>
  <c r="CA707" i="6"/>
  <c r="CA708" i="6"/>
  <c r="CA709" i="6"/>
  <c r="CA710" i="6"/>
  <c r="CA711" i="6"/>
  <c r="CA712" i="6"/>
  <c r="CA713" i="6"/>
  <c r="CA714" i="6"/>
  <c r="CA715" i="6"/>
  <c r="CA716" i="6"/>
  <c r="CA717" i="6"/>
  <c r="CA718" i="6"/>
  <c r="CA719" i="6"/>
  <c r="CA720" i="6"/>
  <c r="CA721" i="6"/>
  <c r="CA722" i="6"/>
  <c r="CA723" i="6"/>
  <c r="CA724" i="6"/>
  <c r="CA725" i="6"/>
  <c r="CA726" i="6"/>
  <c r="CA727" i="6"/>
  <c r="CA728" i="6"/>
  <c r="CA729" i="6"/>
  <c r="CA730" i="6"/>
  <c r="CA731" i="6"/>
  <c r="CA732" i="6"/>
  <c r="CA733" i="6"/>
  <c r="CA734" i="6"/>
  <c r="CA735" i="6"/>
  <c r="CA736" i="6"/>
  <c r="CA737" i="6"/>
  <c r="CA738" i="6"/>
  <c r="CA739" i="6"/>
  <c r="CA740" i="6"/>
  <c r="CA741" i="6"/>
  <c r="CA742" i="6"/>
  <c r="CA743" i="6"/>
  <c r="CA748" i="6"/>
  <c r="I45" i="20" l="1"/>
  <c r="F47" i="20"/>
  <c r="L126" i="16" l="1"/>
  <c r="K141" i="16"/>
  <c r="L141" i="16"/>
  <c r="K155" i="16"/>
  <c r="L155" i="16"/>
  <c r="K127" i="16"/>
  <c r="L127" i="16"/>
  <c r="K142" i="16"/>
  <c r="L142" i="16"/>
  <c r="K156" i="16"/>
  <c r="L156" i="16"/>
  <c r="K143" i="16"/>
  <c r="L143" i="16"/>
  <c r="K157" i="16"/>
  <c r="L157" i="16"/>
  <c r="K129" i="16"/>
  <c r="L129" i="16"/>
  <c r="K144" i="16"/>
  <c r="L144" i="16"/>
  <c r="K158" i="16"/>
  <c r="L158" i="16"/>
  <c r="K130" i="16"/>
  <c r="L130" i="16"/>
  <c r="L145" i="16"/>
  <c r="K159" i="16"/>
  <c r="L159" i="16"/>
  <c r="K131" i="16"/>
  <c r="L131" i="16"/>
  <c r="K146" i="16"/>
  <c r="L146" i="16"/>
  <c r="K160" i="16"/>
  <c r="L160" i="16"/>
  <c r="L161" i="16" l="1"/>
  <c r="K161" i="16"/>
  <c r="L147" i="16"/>
  <c r="K132" i="16"/>
  <c r="K147" i="16"/>
  <c r="L132" i="16"/>
  <c r="K14" i="27"/>
  <c r="K155" i="25" l="1"/>
  <c r="K154" i="25"/>
  <c r="E156" i="25"/>
  <c r="E155" i="25"/>
  <c r="K151" i="25"/>
  <c r="E154" i="25"/>
  <c r="K152" i="25"/>
  <c r="E153" i="25"/>
  <c r="K156" i="25"/>
  <c r="E152" i="25"/>
  <c r="K153" i="25"/>
  <c r="E151" i="25"/>
  <c r="BZ2" i="6" l="1"/>
  <c r="BZ3" i="6"/>
  <c r="BZ4" i="6"/>
  <c r="BZ5" i="6"/>
  <c r="BZ6" i="6"/>
  <c r="BZ7" i="6"/>
  <c r="BZ8" i="6"/>
  <c r="BZ9" i="6"/>
  <c r="BZ10" i="6"/>
  <c r="BZ11" i="6"/>
  <c r="BZ12" i="6"/>
  <c r="BZ13" i="6"/>
  <c r="BZ14" i="6"/>
  <c r="BZ15" i="6"/>
  <c r="BZ16" i="6"/>
  <c r="BZ17" i="6"/>
  <c r="BZ18" i="6"/>
  <c r="BZ19" i="6"/>
  <c r="BZ20" i="6"/>
  <c r="BZ21" i="6"/>
  <c r="BZ22" i="6"/>
  <c r="BZ23" i="6"/>
  <c r="BZ24" i="6"/>
  <c r="BZ25" i="6"/>
  <c r="BZ26" i="6"/>
  <c r="BZ27" i="6"/>
  <c r="BZ28" i="6"/>
  <c r="BZ29" i="6"/>
  <c r="BZ30" i="6"/>
  <c r="BZ31" i="6"/>
  <c r="BZ32" i="6"/>
  <c r="BZ33" i="6"/>
  <c r="BZ34" i="6"/>
  <c r="BZ35" i="6"/>
  <c r="BZ36" i="6"/>
  <c r="BZ37" i="6"/>
  <c r="BZ38" i="6"/>
  <c r="BZ39" i="6"/>
  <c r="BZ40" i="6"/>
  <c r="BZ41" i="6"/>
  <c r="BZ42" i="6"/>
  <c r="BZ43" i="6"/>
  <c r="BZ44" i="6"/>
  <c r="BZ45" i="6"/>
  <c r="BZ46" i="6"/>
  <c r="BZ47" i="6"/>
  <c r="BZ48" i="6"/>
  <c r="BZ49" i="6"/>
  <c r="BZ50" i="6"/>
  <c r="BZ51" i="6"/>
  <c r="BZ52" i="6"/>
  <c r="BZ53" i="6"/>
  <c r="BZ54" i="6"/>
  <c r="BZ55" i="6"/>
  <c r="BZ56" i="6"/>
  <c r="BZ57" i="6"/>
  <c r="BZ58" i="6"/>
  <c r="BZ59" i="6"/>
  <c r="BZ60" i="6"/>
  <c r="BZ61" i="6"/>
  <c r="BZ62" i="6"/>
  <c r="BZ63" i="6"/>
  <c r="BZ64" i="6"/>
  <c r="BZ65" i="6"/>
  <c r="BZ66" i="6"/>
  <c r="BZ67" i="6"/>
  <c r="BZ68" i="6"/>
  <c r="BZ69" i="6"/>
  <c r="BZ70" i="6"/>
  <c r="BZ71" i="6"/>
  <c r="BZ72" i="6"/>
  <c r="BZ73" i="6"/>
  <c r="BZ74" i="6"/>
  <c r="BZ75" i="6"/>
  <c r="BZ76" i="6"/>
  <c r="BZ77" i="6"/>
  <c r="BZ78" i="6"/>
  <c r="BZ79" i="6"/>
  <c r="BZ80" i="6"/>
  <c r="BZ81" i="6"/>
  <c r="BZ82" i="6"/>
  <c r="BZ83" i="6"/>
  <c r="BZ84" i="6"/>
  <c r="BZ85" i="6"/>
  <c r="BZ86" i="6"/>
  <c r="BZ87" i="6"/>
  <c r="BZ88" i="6"/>
  <c r="BZ89" i="6"/>
  <c r="BZ90" i="6"/>
  <c r="BZ91" i="6"/>
  <c r="BZ92" i="6"/>
  <c r="BZ93" i="6"/>
  <c r="BZ94" i="6"/>
  <c r="BZ95" i="6"/>
  <c r="BZ96" i="6"/>
  <c r="BZ97" i="6"/>
  <c r="BZ98" i="6"/>
  <c r="BZ99" i="6"/>
  <c r="BZ100" i="6"/>
  <c r="BZ101" i="6"/>
  <c r="BZ102" i="6"/>
  <c r="BZ103" i="6"/>
  <c r="BZ104" i="6"/>
  <c r="BZ105" i="6"/>
  <c r="BZ106" i="6"/>
  <c r="BZ107" i="6"/>
  <c r="BZ108" i="6"/>
  <c r="BZ109" i="6"/>
  <c r="BZ110" i="6"/>
  <c r="BZ111" i="6"/>
  <c r="BZ112" i="6"/>
  <c r="BZ113" i="6"/>
  <c r="BZ114" i="6"/>
  <c r="BZ115" i="6"/>
  <c r="BZ116" i="6"/>
  <c r="BZ117" i="6"/>
  <c r="BZ118" i="6"/>
  <c r="BZ119" i="6"/>
  <c r="BZ120" i="6"/>
  <c r="BZ121" i="6"/>
  <c r="BZ122" i="6"/>
  <c r="BZ123" i="6"/>
  <c r="BZ124" i="6"/>
  <c r="BZ125" i="6"/>
  <c r="BZ126" i="6"/>
  <c r="BZ127" i="6"/>
  <c r="BZ128" i="6"/>
  <c r="BZ129" i="6"/>
  <c r="BZ130" i="6"/>
  <c r="BZ131" i="6"/>
  <c r="BZ132" i="6"/>
  <c r="BZ133" i="6"/>
  <c r="BZ134" i="6"/>
  <c r="BZ135" i="6"/>
  <c r="BZ136" i="6"/>
  <c r="BZ137" i="6"/>
  <c r="BZ138" i="6"/>
  <c r="BZ139" i="6"/>
  <c r="BZ140" i="6"/>
  <c r="BZ141" i="6"/>
  <c r="BZ142" i="6"/>
  <c r="BZ143" i="6"/>
  <c r="BZ144" i="6"/>
  <c r="BZ145" i="6"/>
  <c r="BZ146" i="6"/>
  <c r="BZ147" i="6"/>
  <c r="BZ148" i="6"/>
  <c r="BZ149" i="6"/>
  <c r="BZ150" i="6"/>
  <c r="BZ151" i="6"/>
  <c r="BZ152" i="6"/>
  <c r="BZ153" i="6"/>
  <c r="BZ154" i="6"/>
  <c r="BZ155" i="6"/>
  <c r="BZ156" i="6"/>
  <c r="BZ157" i="6"/>
  <c r="BZ158" i="6"/>
  <c r="BZ159" i="6"/>
  <c r="BZ160" i="6"/>
  <c r="BZ161" i="6"/>
  <c r="BZ162" i="6"/>
  <c r="BZ163" i="6"/>
  <c r="BZ164" i="6"/>
  <c r="BZ165" i="6"/>
  <c r="BZ166" i="6"/>
  <c r="BZ167" i="6"/>
  <c r="BZ168" i="6"/>
  <c r="BZ169" i="6"/>
  <c r="BZ170" i="6"/>
  <c r="BZ171" i="6"/>
  <c r="BZ172" i="6"/>
  <c r="BZ173" i="6"/>
  <c r="BZ174" i="6"/>
  <c r="BZ175" i="6"/>
  <c r="BZ176" i="6"/>
  <c r="BZ177" i="6"/>
  <c r="BZ178" i="6"/>
  <c r="BZ179" i="6"/>
  <c r="BZ180" i="6"/>
  <c r="BZ181" i="6"/>
  <c r="BZ182" i="6"/>
  <c r="BZ183" i="6"/>
  <c r="BZ184" i="6"/>
  <c r="BZ185" i="6"/>
  <c r="BZ186" i="6"/>
  <c r="BZ187" i="6"/>
  <c r="BZ188" i="6"/>
  <c r="BZ189" i="6"/>
  <c r="BZ190" i="6"/>
  <c r="BZ191" i="6"/>
  <c r="BZ192" i="6"/>
  <c r="BZ193" i="6"/>
  <c r="BZ194" i="6"/>
  <c r="BZ195" i="6"/>
  <c r="BZ196" i="6"/>
  <c r="BZ197" i="6"/>
  <c r="BZ198" i="6"/>
  <c r="BZ199" i="6"/>
  <c r="BZ200" i="6"/>
  <c r="BZ201" i="6"/>
  <c r="BZ202" i="6"/>
  <c r="BZ203" i="6"/>
  <c r="BZ204" i="6"/>
  <c r="BZ205" i="6"/>
  <c r="BZ206" i="6"/>
  <c r="BZ207" i="6"/>
  <c r="BZ208" i="6"/>
  <c r="BZ209" i="6"/>
  <c r="BZ210" i="6"/>
  <c r="BZ211" i="6"/>
  <c r="BZ212" i="6"/>
  <c r="BZ213" i="6"/>
  <c r="BZ214" i="6"/>
  <c r="BZ215" i="6"/>
  <c r="BZ216" i="6"/>
  <c r="BZ217" i="6"/>
  <c r="BZ218" i="6"/>
  <c r="BZ219" i="6"/>
  <c r="BZ220" i="6"/>
  <c r="BZ221" i="6"/>
  <c r="BZ222" i="6"/>
  <c r="BZ223" i="6"/>
  <c r="BZ224" i="6"/>
  <c r="BZ225" i="6"/>
  <c r="BZ226" i="6"/>
  <c r="BZ227" i="6"/>
  <c r="BZ228" i="6"/>
  <c r="BZ229" i="6"/>
  <c r="BZ230" i="6"/>
  <c r="BZ231" i="6"/>
  <c r="BZ232" i="6"/>
  <c r="BZ233" i="6"/>
  <c r="BZ234" i="6"/>
  <c r="BZ235" i="6"/>
  <c r="BZ236" i="6"/>
  <c r="BZ237" i="6"/>
  <c r="BZ238" i="6"/>
  <c r="BZ239" i="6"/>
  <c r="BZ240" i="6"/>
  <c r="BZ241" i="6"/>
  <c r="BZ242" i="6"/>
  <c r="BZ243" i="6"/>
  <c r="BZ244" i="6"/>
  <c r="BZ245" i="6"/>
  <c r="BZ246" i="6"/>
  <c r="BZ247" i="6"/>
  <c r="BZ248" i="6"/>
  <c r="BZ249" i="6"/>
  <c r="BZ250" i="6"/>
  <c r="BZ251" i="6"/>
  <c r="BZ252" i="6"/>
  <c r="BZ253" i="6"/>
  <c r="BZ254" i="6"/>
  <c r="BZ255" i="6"/>
  <c r="BZ256" i="6"/>
  <c r="BZ257" i="6"/>
  <c r="BZ258" i="6"/>
  <c r="BZ259" i="6"/>
  <c r="BZ260" i="6"/>
  <c r="BZ261" i="6"/>
  <c r="BZ262" i="6"/>
  <c r="BZ263" i="6"/>
  <c r="BZ264" i="6"/>
  <c r="BZ265" i="6"/>
  <c r="BZ266" i="6"/>
  <c r="BZ267" i="6"/>
  <c r="BZ268" i="6"/>
  <c r="BZ269" i="6"/>
  <c r="BZ270" i="6"/>
  <c r="BZ271" i="6"/>
  <c r="BZ272" i="6"/>
  <c r="BZ273" i="6"/>
  <c r="BZ274" i="6"/>
  <c r="BZ275" i="6"/>
  <c r="BZ276" i="6"/>
  <c r="BZ277" i="6"/>
  <c r="BZ278" i="6"/>
  <c r="BZ279" i="6"/>
  <c r="BZ280" i="6"/>
  <c r="BZ281" i="6"/>
  <c r="BZ282" i="6"/>
  <c r="BZ283" i="6"/>
  <c r="BZ284" i="6"/>
  <c r="BZ285" i="6"/>
  <c r="BZ286" i="6"/>
  <c r="BZ287" i="6"/>
  <c r="BZ288" i="6"/>
  <c r="BZ289" i="6"/>
  <c r="BZ290" i="6"/>
  <c r="BZ291" i="6"/>
  <c r="BZ292" i="6"/>
  <c r="BZ293" i="6"/>
  <c r="BZ294" i="6"/>
  <c r="BZ295" i="6"/>
  <c r="BZ296" i="6"/>
  <c r="BZ297" i="6"/>
  <c r="BZ298" i="6"/>
  <c r="BZ299" i="6"/>
  <c r="BZ300" i="6"/>
  <c r="BZ301" i="6"/>
  <c r="BZ302" i="6"/>
  <c r="BZ303" i="6"/>
  <c r="BZ304" i="6"/>
  <c r="BZ305" i="6"/>
  <c r="BZ306" i="6"/>
  <c r="BZ307" i="6"/>
  <c r="BZ308" i="6"/>
  <c r="BZ309" i="6"/>
  <c r="BZ310" i="6"/>
  <c r="BZ311" i="6"/>
  <c r="BZ312" i="6"/>
  <c r="BZ313" i="6"/>
  <c r="BZ314" i="6"/>
  <c r="BZ315" i="6"/>
  <c r="BZ316" i="6"/>
  <c r="BZ317" i="6"/>
  <c r="BZ318" i="6"/>
  <c r="BZ319" i="6"/>
  <c r="BZ320" i="6"/>
  <c r="BZ321" i="6"/>
  <c r="BZ322" i="6"/>
  <c r="BZ323" i="6"/>
  <c r="BZ324" i="6"/>
  <c r="BZ325" i="6"/>
  <c r="BZ326" i="6"/>
  <c r="BZ327" i="6"/>
  <c r="BZ328" i="6"/>
  <c r="BZ329" i="6"/>
  <c r="BZ330" i="6"/>
  <c r="BZ331" i="6"/>
  <c r="BZ332" i="6"/>
  <c r="BZ333" i="6"/>
  <c r="BZ334" i="6"/>
  <c r="BZ335" i="6"/>
  <c r="BZ336" i="6"/>
  <c r="BZ337" i="6"/>
  <c r="BZ338" i="6"/>
  <c r="BZ339" i="6"/>
  <c r="BZ340" i="6"/>
  <c r="BZ341" i="6"/>
  <c r="BZ342" i="6"/>
  <c r="BZ343" i="6"/>
  <c r="BZ344" i="6"/>
  <c r="BZ345" i="6"/>
  <c r="BZ346" i="6"/>
  <c r="BZ347" i="6"/>
  <c r="BZ348" i="6"/>
  <c r="BZ349" i="6"/>
  <c r="BZ350" i="6"/>
  <c r="BZ351" i="6"/>
  <c r="BZ352" i="6"/>
  <c r="BZ353" i="6"/>
  <c r="BZ354" i="6"/>
  <c r="BZ355" i="6"/>
  <c r="BZ356" i="6"/>
  <c r="BZ357" i="6"/>
  <c r="BZ358" i="6"/>
  <c r="BZ359" i="6"/>
  <c r="BZ360" i="6"/>
  <c r="BZ361" i="6"/>
  <c r="BZ362" i="6"/>
  <c r="BZ363" i="6"/>
  <c r="BZ364" i="6"/>
  <c r="BZ365" i="6"/>
  <c r="BZ366" i="6"/>
  <c r="BZ367" i="6"/>
  <c r="BZ368" i="6"/>
  <c r="BZ369" i="6"/>
  <c r="BZ370" i="6"/>
  <c r="BZ371" i="6"/>
  <c r="BZ372" i="6"/>
  <c r="BZ373" i="6"/>
  <c r="BZ374" i="6"/>
  <c r="BZ375" i="6"/>
  <c r="BZ376" i="6"/>
  <c r="BZ377" i="6"/>
  <c r="BZ378" i="6"/>
  <c r="BZ379" i="6"/>
  <c r="BZ380" i="6"/>
  <c r="BZ381" i="6"/>
  <c r="BZ382" i="6"/>
  <c r="BZ383" i="6"/>
  <c r="BZ384" i="6"/>
  <c r="BZ385" i="6"/>
  <c r="BZ386" i="6"/>
  <c r="BZ387" i="6"/>
  <c r="BZ388" i="6"/>
  <c r="BZ389" i="6"/>
  <c r="BZ390" i="6"/>
  <c r="BZ391" i="6"/>
  <c r="BZ392" i="6"/>
  <c r="BZ393" i="6"/>
  <c r="BZ394" i="6"/>
  <c r="BZ395" i="6"/>
  <c r="BZ396" i="6"/>
  <c r="BZ397" i="6"/>
  <c r="BZ398" i="6"/>
  <c r="BZ399" i="6"/>
  <c r="BZ400" i="6"/>
  <c r="BZ401" i="6"/>
  <c r="BZ402" i="6"/>
  <c r="BZ403" i="6"/>
  <c r="BZ404" i="6"/>
  <c r="BZ405" i="6"/>
  <c r="BZ406" i="6"/>
  <c r="BZ407" i="6"/>
  <c r="BZ408" i="6"/>
  <c r="BZ409" i="6"/>
  <c r="BZ410" i="6"/>
  <c r="BZ411" i="6"/>
  <c r="BZ412" i="6"/>
  <c r="BZ413" i="6"/>
  <c r="BZ414" i="6"/>
  <c r="BZ415" i="6"/>
  <c r="BZ416" i="6"/>
  <c r="BZ417" i="6"/>
  <c r="BZ418" i="6"/>
  <c r="BZ419" i="6"/>
  <c r="BZ420" i="6"/>
  <c r="BZ421" i="6"/>
  <c r="BZ422" i="6"/>
  <c r="BZ423" i="6"/>
  <c r="BZ424" i="6"/>
  <c r="BZ425" i="6"/>
  <c r="BZ426" i="6"/>
  <c r="BZ427" i="6"/>
  <c r="BZ428" i="6"/>
  <c r="BZ429" i="6"/>
  <c r="BZ430" i="6"/>
  <c r="BZ431" i="6"/>
  <c r="BZ432" i="6"/>
  <c r="BZ433" i="6"/>
  <c r="BZ434" i="6"/>
  <c r="BZ435" i="6"/>
  <c r="BZ436" i="6"/>
  <c r="BZ437" i="6"/>
  <c r="BZ438" i="6"/>
  <c r="BZ439" i="6"/>
  <c r="BZ440" i="6"/>
  <c r="BZ441" i="6"/>
  <c r="BZ442" i="6"/>
  <c r="BZ443" i="6"/>
  <c r="BZ444" i="6"/>
  <c r="BZ445" i="6"/>
  <c r="BZ446" i="6"/>
  <c r="BZ447" i="6"/>
  <c r="BZ448" i="6"/>
  <c r="BZ449" i="6"/>
  <c r="BZ450" i="6"/>
  <c r="BZ451" i="6"/>
  <c r="BZ452" i="6"/>
  <c r="BZ453" i="6"/>
  <c r="BZ454" i="6"/>
  <c r="BZ455" i="6"/>
  <c r="BZ456" i="6"/>
  <c r="BZ457" i="6"/>
  <c r="BZ458" i="6"/>
  <c r="BZ459" i="6"/>
  <c r="BZ460" i="6"/>
  <c r="BZ461" i="6"/>
  <c r="BZ462" i="6"/>
  <c r="BZ463" i="6"/>
  <c r="BZ464" i="6"/>
  <c r="BZ465" i="6"/>
  <c r="BZ466" i="6"/>
  <c r="BZ467" i="6"/>
  <c r="BZ468" i="6"/>
  <c r="BZ469" i="6"/>
  <c r="BZ470" i="6"/>
  <c r="BZ471" i="6"/>
  <c r="BZ472" i="6"/>
  <c r="BZ473" i="6"/>
  <c r="BZ474" i="6"/>
  <c r="BZ475" i="6"/>
  <c r="BZ476" i="6"/>
  <c r="BZ477" i="6"/>
  <c r="BZ478" i="6"/>
  <c r="BZ479" i="6"/>
  <c r="BZ480" i="6"/>
  <c r="BZ481" i="6"/>
  <c r="BZ482" i="6"/>
  <c r="BZ483" i="6"/>
  <c r="BZ484" i="6"/>
  <c r="BZ485" i="6"/>
  <c r="BZ486" i="6"/>
  <c r="BZ487" i="6"/>
  <c r="BZ488" i="6"/>
  <c r="BZ489" i="6"/>
  <c r="BZ490" i="6"/>
  <c r="BZ491" i="6"/>
  <c r="BZ492" i="6"/>
  <c r="BZ493" i="6"/>
  <c r="BZ494" i="6"/>
  <c r="BZ495" i="6"/>
  <c r="BZ496" i="6"/>
  <c r="BZ497" i="6"/>
  <c r="BZ498" i="6"/>
  <c r="BZ499" i="6"/>
  <c r="BZ500" i="6"/>
  <c r="BZ501" i="6"/>
  <c r="BZ502" i="6"/>
  <c r="BZ503" i="6"/>
  <c r="BZ504" i="6"/>
  <c r="BZ505" i="6"/>
  <c r="BZ506" i="6"/>
  <c r="BZ507" i="6"/>
  <c r="BZ508" i="6"/>
  <c r="BZ509" i="6"/>
  <c r="BZ510" i="6"/>
  <c r="BZ511" i="6"/>
  <c r="BZ512" i="6"/>
  <c r="BZ513" i="6"/>
  <c r="BZ514" i="6"/>
  <c r="BZ515" i="6"/>
  <c r="BZ516" i="6"/>
  <c r="BZ517" i="6"/>
  <c r="BZ518" i="6"/>
  <c r="BZ519" i="6"/>
  <c r="BZ520" i="6"/>
  <c r="BZ521" i="6"/>
  <c r="BZ522" i="6"/>
  <c r="BZ523" i="6"/>
  <c r="BZ524" i="6"/>
  <c r="BZ525" i="6"/>
  <c r="BZ526" i="6"/>
  <c r="BZ527" i="6"/>
  <c r="BZ528" i="6"/>
  <c r="BZ529" i="6"/>
  <c r="BZ530" i="6"/>
  <c r="BZ531" i="6"/>
  <c r="BZ532" i="6"/>
  <c r="BZ533" i="6"/>
  <c r="BZ534" i="6"/>
  <c r="BZ535" i="6"/>
  <c r="BZ536" i="6"/>
  <c r="BZ537" i="6"/>
  <c r="BZ538" i="6"/>
  <c r="BZ539" i="6"/>
  <c r="BZ540" i="6"/>
  <c r="BZ541" i="6"/>
  <c r="BZ542" i="6"/>
  <c r="BZ543" i="6"/>
  <c r="BZ544" i="6"/>
  <c r="BZ545" i="6"/>
  <c r="BZ546" i="6"/>
  <c r="BZ547" i="6"/>
  <c r="BZ548" i="6"/>
  <c r="BZ549" i="6"/>
  <c r="BZ550" i="6"/>
  <c r="BZ551" i="6"/>
  <c r="BZ552" i="6"/>
  <c r="BZ553" i="6"/>
  <c r="BZ554" i="6"/>
  <c r="BZ555" i="6"/>
  <c r="BZ556" i="6"/>
  <c r="BZ557" i="6"/>
  <c r="BZ558" i="6"/>
  <c r="BZ559" i="6"/>
  <c r="BZ560" i="6"/>
  <c r="BZ561" i="6"/>
  <c r="BZ562" i="6"/>
  <c r="BZ563" i="6"/>
  <c r="BZ564" i="6"/>
  <c r="BZ565" i="6"/>
  <c r="BZ566" i="6"/>
  <c r="BZ567" i="6"/>
  <c r="BZ568" i="6"/>
  <c r="BZ569" i="6"/>
  <c r="BZ570" i="6"/>
  <c r="BZ571" i="6"/>
  <c r="BZ572" i="6"/>
  <c r="BZ573" i="6"/>
  <c r="BZ574" i="6"/>
  <c r="BZ575" i="6"/>
  <c r="BZ576" i="6"/>
  <c r="BZ577" i="6"/>
  <c r="BZ578" i="6"/>
  <c r="BZ579" i="6"/>
  <c r="BZ580" i="6"/>
  <c r="BZ581" i="6"/>
  <c r="BZ582" i="6"/>
  <c r="BZ583" i="6"/>
  <c r="BZ584" i="6"/>
  <c r="BZ585" i="6"/>
  <c r="BZ586" i="6"/>
  <c r="BZ587" i="6"/>
  <c r="BZ588" i="6"/>
  <c r="BZ589" i="6"/>
  <c r="BZ590" i="6"/>
  <c r="BZ591" i="6"/>
  <c r="BZ592" i="6"/>
  <c r="BZ593" i="6"/>
  <c r="BZ594" i="6"/>
  <c r="BZ595" i="6"/>
  <c r="BZ596" i="6"/>
  <c r="BZ597" i="6"/>
  <c r="BZ598" i="6"/>
  <c r="BZ599" i="6"/>
  <c r="BZ600" i="6"/>
  <c r="BZ601" i="6"/>
  <c r="BZ602" i="6"/>
  <c r="BZ603" i="6"/>
  <c r="BZ604" i="6"/>
  <c r="BZ605" i="6"/>
  <c r="BZ606" i="6"/>
  <c r="BZ607" i="6"/>
  <c r="BZ608" i="6"/>
  <c r="BZ609" i="6"/>
  <c r="BZ610" i="6"/>
  <c r="BZ611" i="6"/>
  <c r="BZ612" i="6"/>
  <c r="BZ613" i="6"/>
  <c r="BZ614" i="6"/>
  <c r="BZ615" i="6"/>
  <c r="BZ616" i="6"/>
  <c r="BZ617" i="6"/>
  <c r="BZ618" i="6"/>
  <c r="BZ619" i="6"/>
  <c r="BZ620" i="6"/>
  <c r="BZ621" i="6"/>
  <c r="BZ622" i="6"/>
  <c r="BZ623" i="6"/>
  <c r="BZ624" i="6"/>
  <c r="BZ625" i="6"/>
  <c r="BZ626" i="6"/>
  <c r="BZ627" i="6"/>
  <c r="BZ628" i="6"/>
  <c r="BZ629" i="6"/>
  <c r="BZ630" i="6"/>
  <c r="BZ631" i="6"/>
  <c r="BZ632" i="6"/>
  <c r="BZ633" i="6"/>
  <c r="BZ634" i="6"/>
  <c r="BZ635" i="6"/>
  <c r="BZ636" i="6"/>
  <c r="BZ637" i="6"/>
  <c r="BZ638" i="6"/>
  <c r="BZ639" i="6"/>
  <c r="BZ640" i="6"/>
  <c r="BZ641" i="6"/>
  <c r="BZ642" i="6"/>
  <c r="BZ643" i="6"/>
  <c r="BZ644" i="6"/>
  <c r="BZ645" i="6"/>
  <c r="BZ646" i="6"/>
  <c r="BZ647" i="6"/>
  <c r="BZ648" i="6"/>
  <c r="BZ649" i="6"/>
  <c r="BZ650" i="6"/>
  <c r="BZ651" i="6"/>
  <c r="BZ652" i="6"/>
  <c r="BZ653" i="6"/>
  <c r="BZ654" i="6"/>
  <c r="BZ655" i="6"/>
  <c r="BZ656" i="6"/>
  <c r="BZ657" i="6"/>
  <c r="BZ658" i="6"/>
  <c r="BZ659" i="6"/>
  <c r="BZ660" i="6"/>
  <c r="BZ661" i="6"/>
  <c r="BZ662" i="6"/>
  <c r="BZ663" i="6"/>
  <c r="BZ664" i="6"/>
  <c r="BZ665" i="6"/>
  <c r="BZ666" i="6"/>
  <c r="BZ667" i="6"/>
  <c r="BZ668" i="6"/>
  <c r="BZ669" i="6"/>
  <c r="BZ670" i="6"/>
  <c r="BZ671" i="6"/>
  <c r="BZ672" i="6"/>
  <c r="BZ673" i="6"/>
  <c r="BZ674" i="6"/>
  <c r="BZ675" i="6"/>
  <c r="BZ676" i="6"/>
  <c r="BZ677" i="6"/>
  <c r="BZ678" i="6"/>
  <c r="BZ679" i="6"/>
  <c r="BZ680" i="6"/>
  <c r="BZ681" i="6"/>
  <c r="BZ682" i="6"/>
  <c r="BZ683" i="6"/>
  <c r="BZ684" i="6"/>
  <c r="BZ685" i="6"/>
  <c r="BZ686" i="6"/>
  <c r="BZ687" i="6"/>
  <c r="BZ688" i="6"/>
  <c r="BZ689" i="6"/>
  <c r="BZ690" i="6"/>
  <c r="BZ691" i="6"/>
  <c r="BZ692" i="6"/>
  <c r="BZ693" i="6"/>
  <c r="BZ694" i="6"/>
  <c r="BZ695" i="6"/>
  <c r="BZ696" i="6"/>
  <c r="BZ697" i="6"/>
  <c r="BZ698" i="6"/>
  <c r="BZ699" i="6"/>
  <c r="BZ700" i="6"/>
  <c r="BZ701" i="6"/>
  <c r="BZ702" i="6"/>
  <c r="BZ703" i="6"/>
  <c r="BZ704" i="6"/>
  <c r="BZ705" i="6"/>
  <c r="BZ706" i="6"/>
  <c r="BZ707" i="6"/>
  <c r="BZ708" i="6"/>
  <c r="BZ709" i="6"/>
  <c r="BZ710" i="6"/>
  <c r="BZ711" i="6"/>
  <c r="BZ712" i="6"/>
  <c r="BZ713" i="6"/>
  <c r="BZ714" i="6"/>
  <c r="BZ715" i="6"/>
  <c r="BZ716" i="6"/>
  <c r="BZ717" i="6"/>
  <c r="BZ718" i="6"/>
  <c r="BZ719" i="6"/>
  <c r="BZ720" i="6"/>
  <c r="BZ721" i="6"/>
  <c r="BZ722" i="6"/>
  <c r="BZ723" i="6"/>
  <c r="BZ724" i="6"/>
  <c r="BZ725" i="6"/>
  <c r="BZ726" i="6"/>
  <c r="BZ727" i="6"/>
  <c r="BZ728" i="6"/>
  <c r="BZ729" i="6"/>
  <c r="BZ730" i="6"/>
  <c r="BZ731" i="6"/>
  <c r="BZ732" i="6"/>
  <c r="BZ733" i="6"/>
  <c r="BZ734" i="6"/>
  <c r="BZ735" i="6"/>
  <c r="BZ736" i="6"/>
  <c r="BZ737" i="6"/>
  <c r="BZ738" i="6"/>
  <c r="BZ739" i="6"/>
  <c r="BZ740" i="6"/>
  <c r="BZ741" i="6"/>
  <c r="BZ742" i="6"/>
  <c r="BZ743" i="6"/>
  <c r="BZ748" i="6"/>
  <c r="P10" i="16" l="1"/>
  <c r="K10" i="16"/>
  <c r="F10" i="16"/>
  <c r="T81" i="16"/>
  <c r="U81" i="16"/>
  <c r="V81" i="16"/>
  <c r="W81" i="16"/>
  <c r="W46" i="16"/>
  <c r="AK46" i="16"/>
  <c r="AP41" i="16" s="1"/>
  <c r="AJ81" i="16"/>
  <c r="AP76" i="16" s="1"/>
  <c r="AJ10" i="16"/>
  <c r="AO5" i="16" s="1"/>
  <c r="W10" i="16"/>
  <c r="G170" i="20"/>
  <c r="G169" i="20"/>
  <c r="D186" i="20" s="1"/>
  <c r="Q170" i="20"/>
  <c r="P187" i="20" s="1"/>
  <c r="Q169" i="20"/>
  <c r="P186" i="20" s="1"/>
  <c r="F186" i="20" l="1"/>
  <c r="E186" i="20"/>
  <c r="G186" i="20" s="1"/>
  <c r="E187" i="20"/>
  <c r="F187" i="20"/>
  <c r="N186" i="20"/>
  <c r="N187" i="20"/>
  <c r="Q187" i="20" s="1"/>
  <c r="O186" i="20"/>
  <c r="O187" i="20"/>
  <c r="Q186" i="20" l="1"/>
  <c r="G187" i="20"/>
  <c r="AD48" i="13" l="1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Q235" i="25" l="1"/>
  <c r="Q236" i="25"/>
  <c r="Q237" i="25"/>
  <c r="Q238" i="25"/>
  <c r="Q239" i="25"/>
  <c r="Q240" i="25"/>
  <c r="P235" i="25"/>
  <c r="P236" i="25"/>
  <c r="P237" i="25"/>
  <c r="P238" i="25"/>
  <c r="P239" i="25"/>
  <c r="P240" i="25"/>
  <c r="O235" i="25"/>
  <c r="O236" i="25"/>
  <c r="O237" i="25"/>
  <c r="O238" i="25"/>
  <c r="O239" i="25"/>
  <c r="O240" i="25"/>
  <c r="G235" i="25"/>
  <c r="G236" i="25"/>
  <c r="G237" i="25"/>
  <c r="G238" i="25"/>
  <c r="G239" i="25"/>
  <c r="G240" i="25"/>
  <c r="F235" i="25"/>
  <c r="F236" i="25"/>
  <c r="F237" i="25"/>
  <c r="F238" i="25"/>
  <c r="F239" i="25"/>
  <c r="F240" i="25"/>
  <c r="E236" i="25"/>
  <c r="E235" i="25"/>
  <c r="E237" i="25"/>
  <c r="E238" i="25"/>
  <c r="E239" i="25"/>
  <c r="E240" i="25"/>
  <c r="Q192" i="25"/>
  <c r="Q193" i="25"/>
  <c r="Q194" i="25"/>
  <c r="Q195" i="25"/>
  <c r="Q196" i="25"/>
  <c r="Q197" i="25"/>
  <c r="P192" i="25"/>
  <c r="P193" i="25"/>
  <c r="P194" i="25"/>
  <c r="P195" i="25"/>
  <c r="P196" i="25"/>
  <c r="P197" i="25"/>
  <c r="O192" i="25"/>
  <c r="O193" i="25"/>
  <c r="O194" i="25"/>
  <c r="O195" i="25"/>
  <c r="O196" i="25"/>
  <c r="O197" i="25"/>
  <c r="G192" i="25"/>
  <c r="G193" i="25"/>
  <c r="G194" i="25"/>
  <c r="G195" i="25"/>
  <c r="G196" i="25"/>
  <c r="G197" i="25"/>
  <c r="F192" i="25"/>
  <c r="F193" i="25"/>
  <c r="F194" i="25"/>
  <c r="F195" i="25"/>
  <c r="F196" i="25"/>
  <c r="F197" i="25"/>
  <c r="E192" i="25"/>
  <c r="E193" i="25"/>
  <c r="E194" i="25"/>
  <c r="E195" i="25"/>
  <c r="E196" i="25"/>
  <c r="E197" i="25"/>
  <c r="F152" i="25"/>
  <c r="G152" i="25"/>
  <c r="F153" i="25"/>
  <c r="G153" i="25"/>
  <c r="F154" i="25"/>
  <c r="G154" i="25"/>
  <c r="F155" i="25"/>
  <c r="G155" i="25"/>
  <c r="F156" i="25"/>
  <c r="G156" i="25"/>
  <c r="O152" i="25"/>
  <c r="P152" i="25"/>
  <c r="Q152" i="25"/>
  <c r="O153" i="25"/>
  <c r="P153" i="25"/>
  <c r="Q153" i="25"/>
  <c r="O154" i="25"/>
  <c r="P154" i="25"/>
  <c r="Q154" i="25"/>
  <c r="O155" i="25"/>
  <c r="P155" i="25"/>
  <c r="Q155" i="25"/>
  <c r="O156" i="25"/>
  <c r="P156" i="25"/>
  <c r="Q156" i="25"/>
  <c r="Q151" i="25"/>
  <c r="P151" i="25"/>
  <c r="O151" i="25"/>
  <c r="Q100" i="25"/>
  <c r="P100" i="25"/>
  <c r="O100" i="25"/>
  <c r="G151" i="25"/>
  <c r="F151" i="25"/>
  <c r="G100" i="25"/>
  <c r="F100" i="25"/>
  <c r="E100" i="25"/>
  <c r="H235" i="25" l="1"/>
  <c r="F247" i="25" s="1"/>
  <c r="R152" i="25"/>
  <c r="O164" i="25" s="1"/>
  <c r="H194" i="25"/>
  <c r="F206" i="25" s="1"/>
  <c r="R156" i="25"/>
  <c r="P168" i="25" s="1"/>
  <c r="H237" i="25"/>
  <c r="F249" i="25" s="1"/>
  <c r="H239" i="25"/>
  <c r="G251" i="25" s="1"/>
  <c r="R155" i="25"/>
  <c r="P167" i="25" s="1"/>
  <c r="H196" i="25"/>
  <c r="F208" i="25" s="1"/>
  <c r="H153" i="25"/>
  <c r="G165" i="25" s="1"/>
  <c r="H151" i="25"/>
  <c r="F163" i="25" s="1"/>
  <c r="R154" i="25"/>
  <c r="Q166" i="25" s="1"/>
  <c r="H193" i="25"/>
  <c r="G205" i="25" s="1"/>
  <c r="H195" i="25"/>
  <c r="E207" i="25" s="1"/>
  <c r="H197" i="25"/>
  <c r="F209" i="25" s="1"/>
  <c r="R153" i="25"/>
  <c r="Q165" i="25" s="1"/>
  <c r="G157" i="25"/>
  <c r="H192" i="25"/>
  <c r="O157" i="25"/>
  <c r="P157" i="25"/>
  <c r="Q157" i="25"/>
  <c r="R193" i="25"/>
  <c r="Q205" i="25" s="1"/>
  <c r="R195" i="25"/>
  <c r="P207" i="25" s="1"/>
  <c r="R197" i="25"/>
  <c r="O209" i="25" s="1"/>
  <c r="R236" i="25"/>
  <c r="P248" i="25" s="1"/>
  <c r="R238" i="25"/>
  <c r="P250" i="25" s="1"/>
  <c r="R240" i="25"/>
  <c r="O252" i="25" s="1"/>
  <c r="F157" i="25"/>
  <c r="H236" i="25"/>
  <c r="F248" i="25" s="1"/>
  <c r="H238" i="25"/>
  <c r="E250" i="25" s="1"/>
  <c r="H240" i="25"/>
  <c r="F252" i="25" s="1"/>
  <c r="R192" i="25"/>
  <c r="O204" i="25" s="1"/>
  <c r="R194" i="25"/>
  <c r="P206" i="25" s="1"/>
  <c r="R196" i="25"/>
  <c r="Q208" i="25" s="1"/>
  <c r="R235" i="25"/>
  <c r="O247" i="25" s="1"/>
  <c r="R237" i="25"/>
  <c r="P249" i="25" s="1"/>
  <c r="R239" i="25"/>
  <c r="Q251" i="25" s="1"/>
  <c r="F241" i="25"/>
  <c r="P241" i="25"/>
  <c r="E241" i="25"/>
  <c r="O241" i="25"/>
  <c r="E247" i="25"/>
  <c r="G241" i="25"/>
  <c r="Q241" i="25"/>
  <c r="F198" i="25"/>
  <c r="P198" i="25"/>
  <c r="E198" i="25"/>
  <c r="O198" i="25"/>
  <c r="G198" i="25"/>
  <c r="Q198" i="25"/>
  <c r="H154" i="25"/>
  <c r="E157" i="25"/>
  <c r="R151" i="25"/>
  <c r="O163" i="25" s="1"/>
  <c r="H156" i="25"/>
  <c r="H152" i="25"/>
  <c r="H155" i="25"/>
  <c r="F167" i="25" s="1"/>
  <c r="C84" i="25"/>
  <c r="C83" i="25"/>
  <c r="C82" i="25"/>
  <c r="C81" i="25"/>
  <c r="C80" i="25"/>
  <c r="C79" i="25"/>
  <c r="M84" i="25"/>
  <c r="M83" i="25"/>
  <c r="M82" i="25"/>
  <c r="M81" i="25"/>
  <c r="M80" i="25"/>
  <c r="M79" i="25"/>
  <c r="M70" i="25"/>
  <c r="M69" i="25"/>
  <c r="M68" i="25"/>
  <c r="M67" i="25"/>
  <c r="M66" i="25"/>
  <c r="M65" i="25"/>
  <c r="C70" i="25"/>
  <c r="C69" i="25"/>
  <c r="C68" i="25"/>
  <c r="C67" i="25"/>
  <c r="C66" i="25"/>
  <c r="C65" i="25"/>
  <c r="T245" i="20"/>
  <c r="T246" i="20"/>
  <c r="T247" i="20"/>
  <c r="T248" i="20"/>
  <c r="T249" i="20"/>
  <c r="T250" i="20"/>
  <c r="J245" i="20"/>
  <c r="S245" i="20"/>
  <c r="S246" i="20"/>
  <c r="S247" i="20"/>
  <c r="S248" i="20"/>
  <c r="S249" i="20"/>
  <c r="S250" i="20"/>
  <c r="I245" i="20"/>
  <c r="R245" i="20"/>
  <c r="R246" i="20"/>
  <c r="R247" i="20"/>
  <c r="R248" i="20"/>
  <c r="R249" i="20"/>
  <c r="R250" i="20"/>
  <c r="H245" i="20"/>
  <c r="O245" i="20"/>
  <c r="O246" i="20"/>
  <c r="O247" i="20"/>
  <c r="O248" i="20"/>
  <c r="O249" i="20"/>
  <c r="O250" i="20"/>
  <c r="P245" i="20"/>
  <c r="P246" i="20"/>
  <c r="P247" i="20"/>
  <c r="P248" i="20"/>
  <c r="P249" i="20"/>
  <c r="P250" i="20"/>
  <c r="Q245" i="20"/>
  <c r="Q246" i="20"/>
  <c r="Q247" i="20"/>
  <c r="Q248" i="20"/>
  <c r="Q249" i="20"/>
  <c r="Q250" i="20"/>
  <c r="G245" i="20"/>
  <c r="F245" i="20"/>
  <c r="E245" i="20"/>
  <c r="M261" i="20"/>
  <c r="M262" i="20"/>
  <c r="M263" i="20"/>
  <c r="M264" i="20"/>
  <c r="M265" i="20"/>
  <c r="M260" i="20"/>
  <c r="T278" i="20"/>
  <c r="S278" i="20"/>
  <c r="R278" i="20"/>
  <c r="Q278" i="20"/>
  <c r="P278" i="20"/>
  <c r="O278" i="20"/>
  <c r="T277" i="20"/>
  <c r="S277" i="20"/>
  <c r="R277" i="20"/>
  <c r="Q277" i="20"/>
  <c r="P277" i="20"/>
  <c r="O277" i="20"/>
  <c r="T276" i="20"/>
  <c r="S276" i="20"/>
  <c r="R276" i="20"/>
  <c r="Q276" i="20"/>
  <c r="P276" i="20"/>
  <c r="O276" i="20"/>
  <c r="T275" i="20"/>
  <c r="S275" i="20"/>
  <c r="R275" i="20"/>
  <c r="Q275" i="20"/>
  <c r="P275" i="20"/>
  <c r="O275" i="20"/>
  <c r="T274" i="20"/>
  <c r="S274" i="20"/>
  <c r="R274" i="20"/>
  <c r="Q274" i="20"/>
  <c r="P274" i="20"/>
  <c r="O274" i="20"/>
  <c r="T273" i="20"/>
  <c r="S273" i="20"/>
  <c r="R273" i="20"/>
  <c r="Q273" i="20"/>
  <c r="P273" i="20"/>
  <c r="O273" i="20"/>
  <c r="P265" i="20"/>
  <c r="O265" i="20"/>
  <c r="P264" i="20"/>
  <c r="O264" i="20"/>
  <c r="P263" i="20"/>
  <c r="O263" i="20"/>
  <c r="P262" i="20"/>
  <c r="O262" i="20"/>
  <c r="P261" i="20"/>
  <c r="O261" i="20"/>
  <c r="P260" i="20"/>
  <c r="O260" i="20"/>
  <c r="T305" i="20"/>
  <c r="S305" i="20"/>
  <c r="R305" i="20"/>
  <c r="Q305" i="20"/>
  <c r="P305" i="20"/>
  <c r="O305" i="20"/>
  <c r="T304" i="20"/>
  <c r="S304" i="20"/>
  <c r="R304" i="20"/>
  <c r="Q304" i="20"/>
  <c r="P304" i="20"/>
  <c r="O304" i="20"/>
  <c r="T303" i="20"/>
  <c r="S303" i="20"/>
  <c r="R303" i="20"/>
  <c r="Q303" i="20"/>
  <c r="P303" i="20"/>
  <c r="O303" i="20"/>
  <c r="T302" i="20"/>
  <c r="S302" i="20"/>
  <c r="R302" i="20"/>
  <c r="Q302" i="20"/>
  <c r="P302" i="20"/>
  <c r="O302" i="20"/>
  <c r="T301" i="20"/>
  <c r="S301" i="20"/>
  <c r="R301" i="20"/>
  <c r="Q301" i="20"/>
  <c r="P301" i="20"/>
  <c r="O301" i="20"/>
  <c r="T300" i="20"/>
  <c r="S300" i="20"/>
  <c r="R300" i="20"/>
  <c r="Q300" i="20"/>
  <c r="P300" i="20"/>
  <c r="O300" i="20"/>
  <c r="P287" i="20"/>
  <c r="P288" i="20"/>
  <c r="P289" i="20"/>
  <c r="P290" i="20"/>
  <c r="P291" i="20"/>
  <c r="P292" i="20"/>
  <c r="F287" i="20"/>
  <c r="O287" i="20"/>
  <c r="O288" i="20"/>
  <c r="O289" i="20"/>
  <c r="O290" i="20"/>
  <c r="O291" i="20"/>
  <c r="O292" i="20"/>
  <c r="Q287" i="20"/>
  <c r="Q288" i="20"/>
  <c r="Q289" i="20"/>
  <c r="Q290" i="20"/>
  <c r="Q291" i="20"/>
  <c r="Q292" i="20"/>
  <c r="R287" i="20"/>
  <c r="R288" i="20"/>
  <c r="R289" i="20"/>
  <c r="R290" i="20"/>
  <c r="R291" i="20"/>
  <c r="R292" i="20"/>
  <c r="H287" i="20"/>
  <c r="H288" i="20"/>
  <c r="H289" i="20"/>
  <c r="H290" i="20"/>
  <c r="H291" i="20"/>
  <c r="H292" i="20"/>
  <c r="G287" i="20"/>
  <c r="G288" i="20"/>
  <c r="G289" i="20"/>
  <c r="G290" i="20"/>
  <c r="G291" i="20"/>
  <c r="G292" i="20"/>
  <c r="C265" i="20"/>
  <c r="C264" i="20"/>
  <c r="C263" i="20"/>
  <c r="C262" i="20"/>
  <c r="C261" i="20"/>
  <c r="C260" i="20"/>
  <c r="C250" i="20"/>
  <c r="C249" i="20"/>
  <c r="C248" i="20"/>
  <c r="C247" i="20"/>
  <c r="C246" i="20"/>
  <c r="C245" i="20"/>
  <c r="M250" i="20"/>
  <c r="M249" i="20"/>
  <c r="M248" i="20"/>
  <c r="M247" i="20"/>
  <c r="M246" i="20"/>
  <c r="M245" i="20"/>
  <c r="B102" i="20"/>
  <c r="B101" i="20"/>
  <c r="B100" i="20"/>
  <c r="B99" i="20"/>
  <c r="B98" i="20"/>
  <c r="B97" i="20"/>
  <c r="L102" i="20"/>
  <c r="L101" i="20"/>
  <c r="L100" i="20"/>
  <c r="L99" i="20"/>
  <c r="L98" i="20"/>
  <c r="L97" i="20"/>
  <c r="B90" i="20"/>
  <c r="B89" i="20"/>
  <c r="B88" i="20"/>
  <c r="B87" i="20"/>
  <c r="B86" i="20"/>
  <c r="B85" i="20"/>
  <c r="L90" i="20"/>
  <c r="L89" i="20"/>
  <c r="L88" i="20"/>
  <c r="L87" i="20"/>
  <c r="L86" i="20"/>
  <c r="L85" i="20"/>
  <c r="L78" i="20"/>
  <c r="L77" i="20"/>
  <c r="L76" i="20"/>
  <c r="L75" i="20"/>
  <c r="L74" i="20"/>
  <c r="L73" i="20"/>
  <c r="L66" i="20"/>
  <c r="L65" i="20"/>
  <c r="L64" i="20"/>
  <c r="L63" i="20"/>
  <c r="L62" i="20"/>
  <c r="L61" i="20"/>
  <c r="B78" i="20"/>
  <c r="B77" i="20"/>
  <c r="B76" i="20"/>
  <c r="B75" i="20"/>
  <c r="B74" i="20"/>
  <c r="B73" i="20"/>
  <c r="B66" i="20"/>
  <c r="B65" i="20"/>
  <c r="B64" i="20"/>
  <c r="B63" i="20"/>
  <c r="B62" i="20"/>
  <c r="B61" i="20"/>
  <c r="U274" i="20" l="1"/>
  <c r="U275" i="20"/>
  <c r="U278" i="20"/>
  <c r="U273" i="20"/>
  <c r="U277" i="20"/>
  <c r="U276" i="20"/>
  <c r="G247" i="25"/>
  <c r="H247" i="25" s="1"/>
  <c r="Q164" i="25"/>
  <c r="P164" i="25"/>
  <c r="G206" i="25"/>
  <c r="E206" i="25"/>
  <c r="O250" i="25"/>
  <c r="Q250" i="25"/>
  <c r="O168" i="25"/>
  <c r="E249" i="25"/>
  <c r="G249" i="25"/>
  <c r="Q168" i="25"/>
  <c r="G208" i="25"/>
  <c r="P252" i="25"/>
  <c r="Q263" i="20"/>
  <c r="R263" i="20" s="1"/>
  <c r="E251" i="25"/>
  <c r="F251" i="25"/>
  <c r="O167" i="25"/>
  <c r="Q167" i="25"/>
  <c r="O251" i="25"/>
  <c r="P251" i="25"/>
  <c r="Q252" i="25"/>
  <c r="O249" i="25"/>
  <c r="Q249" i="25"/>
  <c r="E248" i="25"/>
  <c r="G248" i="25"/>
  <c r="G252" i="25"/>
  <c r="E208" i="25"/>
  <c r="H208" i="25" s="1"/>
  <c r="E209" i="25"/>
  <c r="E165" i="25"/>
  <c r="F165" i="25"/>
  <c r="P165" i="25"/>
  <c r="G163" i="25"/>
  <c r="H157" i="25"/>
  <c r="E163" i="25"/>
  <c r="O165" i="25"/>
  <c r="Q247" i="25"/>
  <c r="Q264" i="20"/>
  <c r="R264" i="20" s="1"/>
  <c r="F250" i="25"/>
  <c r="O166" i="25"/>
  <c r="Q306" i="20"/>
  <c r="O205" i="25"/>
  <c r="P205" i="25"/>
  <c r="O207" i="25"/>
  <c r="Q207" i="25"/>
  <c r="O206" i="25"/>
  <c r="F207" i="25"/>
  <c r="G207" i="25"/>
  <c r="F205" i="25"/>
  <c r="R251" i="20"/>
  <c r="U305" i="20"/>
  <c r="Q251" i="20"/>
  <c r="Q209" i="25"/>
  <c r="G209" i="25"/>
  <c r="P247" i="25"/>
  <c r="P209" i="25"/>
  <c r="G167" i="25"/>
  <c r="P166" i="25"/>
  <c r="S251" i="20"/>
  <c r="T251" i="20"/>
  <c r="Q206" i="25"/>
  <c r="H198" i="25"/>
  <c r="R306" i="20"/>
  <c r="Q262" i="20"/>
  <c r="R262" i="20" s="1"/>
  <c r="P251" i="20"/>
  <c r="E205" i="25"/>
  <c r="E252" i="25"/>
  <c r="Q261" i="20"/>
  <c r="R261" i="20" s="1"/>
  <c r="F168" i="25"/>
  <c r="G168" i="25"/>
  <c r="E168" i="25"/>
  <c r="O208" i="25"/>
  <c r="P208" i="25"/>
  <c r="R293" i="20"/>
  <c r="S306" i="20"/>
  <c r="U304" i="20"/>
  <c r="Q265" i="20"/>
  <c r="R265" i="20" s="1"/>
  <c r="U250" i="20"/>
  <c r="U246" i="20"/>
  <c r="Q163" i="25"/>
  <c r="R157" i="25"/>
  <c r="E204" i="25"/>
  <c r="O248" i="25"/>
  <c r="G250" i="25"/>
  <c r="H241" i="25"/>
  <c r="Q248" i="25"/>
  <c r="R198" i="25"/>
  <c r="G204" i="25"/>
  <c r="Q204" i="25"/>
  <c r="P163" i="25"/>
  <c r="U301" i="20"/>
  <c r="F164" i="25"/>
  <c r="G164" i="25"/>
  <c r="E164" i="25"/>
  <c r="G166" i="25"/>
  <c r="E166" i="25"/>
  <c r="F166" i="25"/>
  <c r="O306" i="20"/>
  <c r="U302" i="20"/>
  <c r="U303" i="20"/>
  <c r="H293" i="20"/>
  <c r="P306" i="20"/>
  <c r="T306" i="20"/>
  <c r="P266" i="20"/>
  <c r="U247" i="20"/>
  <c r="U249" i="20"/>
  <c r="U245" i="20"/>
  <c r="U248" i="20"/>
  <c r="F204" i="25"/>
  <c r="R241" i="25"/>
  <c r="P204" i="25"/>
  <c r="E167" i="25"/>
  <c r="O251" i="20"/>
  <c r="O266" i="20"/>
  <c r="Q260" i="20"/>
  <c r="U300" i="20"/>
  <c r="P293" i="20"/>
  <c r="G293" i="20"/>
  <c r="Q293" i="20"/>
  <c r="O293" i="20"/>
  <c r="X6" i="13"/>
  <c r="AU7" i="13"/>
  <c r="AU43" i="13"/>
  <c r="K31" i="16"/>
  <c r="K40" i="16"/>
  <c r="E24" i="16"/>
  <c r="AT37" i="13"/>
  <c r="J49" i="16"/>
  <c r="AT19" i="13"/>
  <c r="AR33" i="13"/>
  <c r="L51" i="16"/>
  <c r="J35" i="16"/>
  <c r="K24" i="16"/>
  <c r="AT47" i="13"/>
  <c r="L33" i="16"/>
  <c r="AU28" i="13"/>
  <c r="D62" i="16"/>
  <c r="L40" i="16"/>
  <c r="K53" i="16"/>
  <c r="AR39" i="13"/>
  <c r="D53" i="16"/>
  <c r="AU41" i="13"/>
  <c r="E30" i="16"/>
  <c r="E22" i="16"/>
  <c r="D59" i="16"/>
  <c r="K34" i="16"/>
  <c r="AT29" i="13"/>
  <c r="J24" i="16"/>
  <c r="AU47" i="13"/>
  <c r="AU13" i="13"/>
  <c r="AR28" i="13"/>
  <c r="D37" i="16"/>
  <c r="K55" i="16"/>
  <c r="AS28" i="13"/>
  <c r="J32" i="16"/>
  <c r="AS32" i="13"/>
  <c r="AR17" i="13"/>
  <c r="AS43" i="13"/>
  <c r="D31" i="16"/>
  <c r="K50" i="16"/>
  <c r="J43" i="16"/>
  <c r="L35" i="16"/>
  <c r="AR34" i="13"/>
  <c r="AS14" i="13"/>
  <c r="AR27" i="13"/>
  <c r="E33" i="16"/>
  <c r="D50" i="16"/>
  <c r="J30" i="16"/>
  <c r="L55" i="16"/>
  <c r="D25" i="16"/>
  <c r="AT11" i="13"/>
  <c r="AR32" i="13"/>
  <c r="D42" i="16"/>
  <c r="AT27" i="13"/>
  <c r="D58" i="16"/>
  <c r="AS37" i="13"/>
  <c r="AT8" i="13"/>
  <c r="AU18" i="13"/>
  <c r="D47" i="16"/>
  <c r="L44" i="16"/>
  <c r="L38" i="16"/>
  <c r="AT39" i="13"/>
  <c r="D33" i="16"/>
  <c r="AT33" i="13"/>
  <c r="AS29" i="13"/>
  <c r="J48" i="16"/>
  <c r="K38" i="16"/>
  <c r="E41" i="16"/>
  <c r="AU33" i="13"/>
  <c r="AR45" i="13"/>
  <c r="AT26" i="13"/>
  <c r="AR15" i="13"/>
  <c r="J61" i="16"/>
  <c r="D44" i="16"/>
  <c r="D51" i="16"/>
  <c r="AU16" i="13"/>
  <c r="K41" i="16"/>
  <c r="AR16" i="13"/>
  <c r="J58" i="16"/>
  <c r="AU25" i="13"/>
  <c r="K48" i="16"/>
  <c r="AT18" i="13"/>
  <c r="K26" i="16"/>
  <c r="AR25" i="13"/>
  <c r="K47" i="16"/>
  <c r="AT46" i="13"/>
  <c r="AS46" i="13"/>
  <c r="J41" i="16"/>
  <c r="J45" i="16"/>
  <c r="D30" i="16"/>
  <c r="L45" i="16"/>
  <c r="AU45" i="13"/>
  <c r="AT44" i="13"/>
  <c r="AU17" i="13"/>
  <c r="J44" i="16"/>
  <c r="J42" i="16"/>
  <c r="E47" i="16"/>
  <c r="J50" i="16"/>
  <c r="AS45" i="13"/>
  <c r="AR31" i="13"/>
  <c r="AT16" i="13"/>
  <c r="J36" i="16"/>
  <c r="E53" i="16"/>
  <c r="E50" i="16"/>
  <c r="J62" i="16"/>
  <c r="E27" i="16"/>
  <c r="AR46" i="13"/>
  <c r="L34" i="16"/>
  <c r="AU29" i="13"/>
  <c r="K60" i="16"/>
  <c r="AS26" i="13"/>
  <c r="AT38" i="13"/>
  <c r="AS8" i="13"/>
  <c r="AU32" i="13"/>
  <c r="AR18" i="13"/>
  <c r="L25" i="16"/>
  <c r="L31" i="16"/>
  <c r="E26" i="16"/>
  <c r="AT48" i="13"/>
  <c r="L27" i="16"/>
  <c r="AU14" i="13"/>
  <c r="AS27" i="13"/>
  <c r="AU44" i="13"/>
  <c r="J38" i="16"/>
  <c r="J59" i="16"/>
  <c r="AS17" i="13"/>
  <c r="J33" i="16"/>
  <c r="AR19" i="13"/>
  <c r="J27" i="16"/>
  <c r="D54" i="16"/>
  <c r="D43" i="16"/>
  <c r="AU27" i="13"/>
  <c r="J47" i="16"/>
  <c r="L43" i="16"/>
  <c r="D61" i="16"/>
  <c r="AT14" i="13"/>
  <c r="AR24" i="13"/>
  <c r="AR7" i="13"/>
  <c r="K35" i="16"/>
  <c r="AR9" i="13"/>
  <c r="AU34" i="13"/>
  <c r="AR44" i="13"/>
  <c r="K37" i="16"/>
  <c r="K63" i="16"/>
  <c r="AU42" i="13"/>
  <c r="K30" i="16"/>
  <c r="AU20" i="13"/>
  <c r="AR21" i="13"/>
  <c r="AS34" i="13"/>
  <c r="E49" i="16"/>
  <c r="E32" i="16"/>
  <c r="E35" i="16"/>
  <c r="E37" i="16"/>
  <c r="AR20" i="13"/>
  <c r="AT7" i="13"/>
  <c r="AT43" i="13"/>
  <c r="L22" i="16"/>
  <c r="E61" i="16"/>
  <c r="AS10" i="13"/>
  <c r="E42" i="16"/>
  <c r="AU37" i="13"/>
  <c r="K44" i="16"/>
  <c r="AT15" i="13"/>
  <c r="AR41" i="13"/>
  <c r="E62" i="16"/>
  <c r="AT17" i="13"/>
  <c r="D27" i="16"/>
  <c r="K22" i="16"/>
  <c r="K27" i="16"/>
  <c r="AT24" i="13"/>
  <c r="AR13" i="13"/>
  <c r="L48" i="16"/>
  <c r="K25" i="16"/>
  <c r="K33" i="16"/>
  <c r="AS22" i="13"/>
  <c r="E54" i="16"/>
  <c r="AU26" i="13"/>
  <c r="AR35" i="13"/>
  <c r="AR10" i="13"/>
  <c r="K54" i="16"/>
  <c r="L54" i="16"/>
  <c r="E38" i="16"/>
  <c r="D49" i="16"/>
  <c r="AS42" i="13"/>
  <c r="K23" i="16"/>
  <c r="E29" i="16"/>
  <c r="J34" i="16"/>
  <c r="AR8" i="13"/>
  <c r="K43" i="16"/>
  <c r="AS13" i="13"/>
  <c r="D35" i="16"/>
  <c r="AU15" i="13"/>
  <c r="AS35" i="13"/>
  <c r="L63" i="16"/>
  <c r="L32" i="16"/>
  <c r="K59" i="16"/>
  <c r="L36" i="16"/>
  <c r="AT22" i="13"/>
  <c r="AU24" i="13"/>
  <c r="D29" i="16"/>
  <c r="L61" i="16"/>
  <c r="L41" i="16"/>
  <c r="AS47" i="13"/>
  <c r="J53" i="16"/>
  <c r="AT25" i="13"/>
  <c r="AS24" i="13"/>
  <c r="C22" i="16"/>
  <c r="L50" i="16"/>
  <c r="L58" i="16"/>
  <c r="AR26" i="13"/>
  <c r="D34" i="16"/>
  <c r="AU22" i="13"/>
  <c r="AT35" i="13"/>
  <c r="D40" i="16"/>
  <c r="J54" i="16"/>
  <c r="L26" i="16"/>
  <c r="AR11" i="13"/>
  <c r="L30" i="16"/>
  <c r="K32" i="16"/>
  <c r="E23" i="16"/>
  <c r="J26" i="16"/>
  <c r="L60" i="16"/>
  <c r="K62" i="16"/>
  <c r="AT28" i="13"/>
  <c r="AS25" i="13"/>
  <c r="AT41" i="13"/>
  <c r="K36" i="16"/>
  <c r="E58" i="16"/>
  <c r="L59" i="16"/>
  <c r="AR22" i="13"/>
  <c r="J31" i="16"/>
  <c r="AU46" i="13"/>
  <c r="AT9" i="13"/>
  <c r="K57" i="16"/>
  <c r="E48" i="16"/>
  <c r="E57" i="16"/>
  <c r="AS19" i="13"/>
  <c r="L49" i="16"/>
  <c r="AU39" i="13"/>
  <c r="AS48" i="13"/>
  <c r="E31" i="16"/>
  <c r="L23" i="16"/>
  <c r="D38" i="16"/>
  <c r="AR43" i="13"/>
  <c r="E45" i="16"/>
  <c r="AS11" i="13"/>
  <c r="D36" i="16"/>
  <c r="J57" i="16"/>
  <c r="E63" i="16"/>
  <c r="AS15" i="13"/>
  <c r="AU38" i="13"/>
  <c r="AU19" i="13"/>
  <c r="AT13" i="13"/>
  <c r="L29" i="16"/>
  <c r="L53" i="16"/>
  <c r="J37" i="16"/>
  <c r="AS39" i="13"/>
  <c r="D57" i="16"/>
  <c r="AS44" i="13"/>
  <c r="AT21" i="13"/>
  <c r="D60" i="16"/>
  <c r="D45" i="16"/>
  <c r="J40" i="16"/>
  <c r="AS31" i="13"/>
  <c r="D22" i="16"/>
  <c r="AS41" i="13"/>
  <c r="AT32" i="13"/>
  <c r="E55" i="16"/>
  <c r="K45" i="16"/>
  <c r="D32" i="16"/>
  <c r="AS38" i="13"/>
  <c r="D48" i="16"/>
  <c r="AR38" i="13"/>
  <c r="D26" i="16"/>
  <c r="E25" i="16"/>
  <c r="AS16" i="13"/>
  <c r="J23" i="16"/>
  <c r="AT31" i="13"/>
  <c r="J63" i="16"/>
  <c r="AS7" i="13"/>
  <c r="AU21" i="13"/>
  <c r="AU8" i="13"/>
  <c r="D55" i="16"/>
  <c r="L57" i="16"/>
  <c r="K49" i="16"/>
  <c r="AT45" i="13"/>
  <c r="E36" i="16"/>
  <c r="AR14" i="13"/>
  <c r="AT34" i="13"/>
  <c r="L42" i="16"/>
  <c r="E34" i="16"/>
  <c r="L62" i="16"/>
  <c r="AS20" i="13"/>
  <c r="AR47" i="13"/>
  <c r="AT42" i="13"/>
  <c r="K42" i="16"/>
  <c r="J25" i="16"/>
  <c r="E44" i="16"/>
  <c r="AS18" i="13"/>
  <c r="AR29" i="13"/>
  <c r="D63" i="16"/>
  <c r="AS21" i="13"/>
  <c r="L47" i="16"/>
  <c r="AU31" i="13"/>
  <c r="E51" i="16"/>
  <c r="K61" i="16"/>
  <c r="AU9" i="13"/>
  <c r="AR37" i="13"/>
  <c r="J60" i="16"/>
  <c r="D24" i="16"/>
  <c r="L24" i="16"/>
  <c r="AR42" i="13"/>
  <c r="E59" i="16"/>
  <c r="AU10" i="13"/>
  <c r="AT10" i="13"/>
  <c r="J51" i="16"/>
  <c r="J29" i="16"/>
  <c r="J22" i="16"/>
  <c r="AU11" i="13"/>
  <c r="E40" i="16"/>
  <c r="AU35" i="13"/>
  <c r="AS9" i="13"/>
  <c r="K58" i="16"/>
  <c r="L37" i="16"/>
  <c r="K29" i="16"/>
  <c r="AT20" i="13"/>
  <c r="E43" i="16"/>
  <c r="AU48" i="13"/>
  <c r="E60" i="16"/>
  <c r="AS33" i="13"/>
  <c r="J55" i="16"/>
  <c r="K51" i="16"/>
  <c r="D41" i="16"/>
  <c r="D23" i="16"/>
  <c r="E111" i="16"/>
  <c r="G108" i="16"/>
  <c r="C90" i="16"/>
  <c r="C104" i="16"/>
  <c r="G82" i="16"/>
  <c r="C107" i="16"/>
  <c r="G84" i="16"/>
  <c r="G97" i="16"/>
  <c r="E112" i="16"/>
  <c r="E110" i="16"/>
  <c r="E86" i="16"/>
  <c r="C110" i="16"/>
  <c r="G110" i="16"/>
  <c r="C88" i="16"/>
  <c r="E107" i="16"/>
  <c r="G98" i="16"/>
  <c r="E90" i="16"/>
  <c r="G90" i="16"/>
  <c r="G94" i="16"/>
  <c r="C82" i="16"/>
  <c r="G113" i="16"/>
  <c r="C84" i="16"/>
  <c r="G83" i="16"/>
  <c r="C80" i="16"/>
  <c r="E93" i="16"/>
  <c r="C115" i="16"/>
  <c r="C97" i="16"/>
  <c r="C108" i="16"/>
  <c r="E98" i="16"/>
  <c r="C100" i="16"/>
  <c r="G106" i="16"/>
  <c r="G77" i="16"/>
  <c r="G111" i="16"/>
  <c r="E97" i="16"/>
  <c r="G85" i="16"/>
  <c r="E101" i="16"/>
  <c r="E80" i="16"/>
  <c r="C79" i="16"/>
  <c r="E78" i="16"/>
  <c r="G95" i="16"/>
  <c r="C95" i="16"/>
  <c r="E102" i="16"/>
  <c r="C85" i="16"/>
  <c r="C93" i="16"/>
  <c r="G80" i="16"/>
  <c r="G101" i="16"/>
  <c r="C76" i="16"/>
  <c r="E94" i="16"/>
  <c r="G88" i="16"/>
  <c r="C78" i="16"/>
  <c r="E96" i="16"/>
  <c r="G102" i="16"/>
  <c r="C101" i="16"/>
  <c r="G86" i="16"/>
  <c r="E91" i="16"/>
  <c r="C91" i="16"/>
  <c r="E95" i="16"/>
  <c r="G115" i="16"/>
  <c r="C94" i="16"/>
  <c r="E108" i="16"/>
  <c r="C86" i="16"/>
  <c r="C116" i="16"/>
  <c r="E103" i="16"/>
  <c r="G96" i="16"/>
  <c r="E87" i="16"/>
  <c r="G93" i="16"/>
  <c r="C77" i="16"/>
  <c r="E116" i="16"/>
  <c r="C98" i="16"/>
  <c r="C89" i="16"/>
  <c r="E100" i="16"/>
  <c r="E84" i="16"/>
  <c r="G104" i="16"/>
  <c r="G107" i="16"/>
  <c r="E82" i="16"/>
  <c r="G79" i="16"/>
  <c r="G103" i="16"/>
  <c r="C106" i="16"/>
  <c r="G116" i="16"/>
  <c r="C103" i="16"/>
  <c r="C113" i="16"/>
  <c r="G87" i="16"/>
  <c r="G89" i="16"/>
  <c r="C87" i="16"/>
  <c r="G75" i="16"/>
  <c r="C112" i="16"/>
  <c r="E114" i="16"/>
  <c r="E106" i="16"/>
  <c r="E115" i="16"/>
  <c r="C111" i="16"/>
  <c r="G112" i="16"/>
  <c r="C96" i="16"/>
  <c r="E77" i="16"/>
  <c r="G114" i="16"/>
  <c r="E88" i="16"/>
  <c r="E75" i="16"/>
  <c r="E113" i="16"/>
  <c r="E89" i="16"/>
  <c r="C75" i="16"/>
  <c r="C102" i="16"/>
  <c r="C83" i="16"/>
  <c r="E104" i="16"/>
  <c r="E79" i="16"/>
  <c r="E76" i="16"/>
  <c r="G91" i="16"/>
  <c r="G76" i="16"/>
  <c r="E85" i="16"/>
  <c r="G100" i="16"/>
  <c r="E83" i="16"/>
  <c r="C114" i="16"/>
  <c r="G78" i="16"/>
  <c r="AR6" i="13"/>
  <c r="AT6" i="13"/>
  <c r="AS6" i="13"/>
  <c r="AU6" i="13"/>
  <c r="AY33" i="13" l="1"/>
  <c r="AZ20" i="13"/>
  <c r="AY9" i="13"/>
  <c r="AV35" i="13"/>
  <c r="AV11" i="13"/>
  <c r="AZ10" i="13"/>
  <c r="AV10" i="13"/>
  <c r="AX42" i="13"/>
  <c r="AX37" i="13"/>
  <c r="AX36" i="13"/>
  <c r="AV9" i="13"/>
  <c r="AV30" i="13"/>
  <c r="AV31" i="13"/>
  <c r="AY21" i="13"/>
  <c r="AX29" i="13"/>
  <c r="AY18" i="13"/>
  <c r="AZ42" i="13"/>
  <c r="AV6" i="13"/>
  <c r="AV5" i="13"/>
  <c r="AX47" i="13"/>
  <c r="AY20" i="13"/>
  <c r="AZ34" i="13"/>
  <c r="AX14" i="13"/>
  <c r="AZ45" i="13"/>
  <c r="AV8" i="13"/>
  <c r="AV21" i="13"/>
  <c r="AY7" i="13"/>
  <c r="AZ30" i="13"/>
  <c r="AZ31" i="13"/>
  <c r="AY16" i="13"/>
  <c r="AX38" i="13"/>
  <c r="AY38" i="13"/>
  <c r="AZ32" i="13"/>
  <c r="AY40" i="13"/>
  <c r="AY41" i="13"/>
  <c r="AY31" i="13"/>
  <c r="AY30" i="13"/>
  <c r="AZ21" i="13"/>
  <c r="AY44" i="13"/>
  <c r="AY39" i="13"/>
  <c r="AZ13" i="13"/>
  <c r="AZ12" i="13"/>
  <c r="AV19" i="13"/>
  <c r="AV38" i="13"/>
  <c r="AY15" i="13"/>
  <c r="AY11" i="13"/>
  <c r="AX43" i="13"/>
  <c r="AY48" i="13"/>
  <c r="AV39" i="13"/>
  <c r="AY19" i="13"/>
  <c r="AZ9" i="13"/>
  <c r="AV46" i="13"/>
  <c r="AX22" i="13"/>
  <c r="AZ41" i="13"/>
  <c r="AZ40" i="13"/>
  <c r="AY25" i="13"/>
  <c r="AZ28" i="13"/>
  <c r="AX11" i="13"/>
  <c r="AZ35" i="13"/>
  <c r="AV22" i="13"/>
  <c r="AX26" i="13"/>
  <c r="AY24" i="13"/>
  <c r="AY23" i="13"/>
  <c r="AZ25" i="13"/>
  <c r="AY47" i="13"/>
  <c r="AV24" i="13"/>
  <c r="AV23" i="13"/>
  <c r="AZ22" i="13"/>
  <c r="AY35" i="13"/>
  <c r="AV15" i="13"/>
  <c r="AY12" i="13"/>
  <c r="AY13" i="13"/>
  <c r="AX8" i="13"/>
  <c r="AX5" i="13"/>
  <c r="AX6" i="13"/>
  <c r="AY42" i="13"/>
  <c r="AX10" i="13"/>
  <c r="AX35" i="13"/>
  <c r="AV26" i="13"/>
  <c r="AY22" i="13"/>
  <c r="AX13" i="13"/>
  <c r="AX12" i="13"/>
  <c r="AZ24" i="13"/>
  <c r="AZ23" i="13"/>
  <c r="AZ17" i="13"/>
  <c r="AX40" i="13"/>
  <c r="AX41" i="13"/>
  <c r="AZ15" i="13"/>
  <c r="AV37" i="13"/>
  <c r="AV36" i="13"/>
  <c r="AY10" i="13"/>
  <c r="AZ43" i="13"/>
  <c r="AZ7" i="13"/>
  <c r="AX20" i="13"/>
  <c r="AY34" i="13"/>
  <c r="AX21" i="13"/>
  <c r="AV20" i="13"/>
  <c r="AV42" i="13"/>
  <c r="AX44" i="13"/>
  <c r="AV34" i="13"/>
  <c r="AX9" i="13"/>
  <c r="AX7" i="13"/>
  <c r="AX24" i="13"/>
  <c r="AX23" i="13"/>
  <c r="AZ14" i="13"/>
  <c r="AV27" i="13"/>
  <c r="AZ6" i="13"/>
  <c r="AZ5" i="13"/>
  <c r="AX19" i="13"/>
  <c r="AY17" i="13"/>
  <c r="AV44" i="13"/>
  <c r="AY27" i="13"/>
  <c r="AV14" i="13"/>
  <c r="AZ48" i="13"/>
  <c r="AX18" i="13"/>
  <c r="AV32" i="13"/>
  <c r="AY8" i="13"/>
  <c r="AZ38" i="13"/>
  <c r="AY26" i="13"/>
  <c r="AV29" i="13"/>
  <c r="AX46" i="13"/>
  <c r="AZ16" i="13"/>
  <c r="AX31" i="13"/>
  <c r="AX30" i="13"/>
  <c r="AY45" i="13"/>
  <c r="AV17" i="13"/>
  <c r="AZ44" i="13"/>
  <c r="AV45" i="13"/>
  <c r="AY46" i="13"/>
  <c r="AX48" i="13"/>
  <c r="AZ46" i="13"/>
  <c r="AX25" i="13"/>
  <c r="AZ18" i="13"/>
  <c r="AV25" i="13"/>
  <c r="AX16" i="13"/>
  <c r="AV16" i="13"/>
  <c r="AX15" i="13"/>
  <c r="AZ26" i="13"/>
  <c r="AX45" i="13"/>
  <c r="AV33" i="13"/>
  <c r="AY29" i="13"/>
  <c r="AZ33" i="13"/>
  <c r="AZ39" i="13"/>
  <c r="AV18" i="13"/>
  <c r="AZ8" i="13"/>
  <c r="AY36" i="13"/>
  <c r="AY37" i="13"/>
  <c r="AZ27" i="13"/>
  <c r="AX32" i="13"/>
  <c r="AZ11" i="13"/>
  <c r="AX27" i="13"/>
  <c r="AY14" i="13"/>
  <c r="AX34" i="13"/>
  <c r="AY43" i="13"/>
  <c r="AX17" i="13"/>
  <c r="AY32" i="13"/>
  <c r="AY28" i="13"/>
  <c r="AX28" i="13"/>
  <c r="AV12" i="13"/>
  <c r="AV13" i="13"/>
  <c r="AV47" i="13"/>
  <c r="AZ29" i="13"/>
  <c r="AV40" i="13"/>
  <c r="AV41" i="13"/>
  <c r="AX39" i="13"/>
  <c r="AY5" i="13"/>
  <c r="AY6" i="13"/>
  <c r="AV28" i="13"/>
  <c r="AZ47" i="13"/>
  <c r="AX33" i="13"/>
  <c r="AZ19" i="13"/>
  <c r="AZ37" i="13"/>
  <c r="AZ36" i="13"/>
  <c r="AV43" i="13"/>
  <c r="AV7" i="13"/>
  <c r="G81" i="16"/>
  <c r="E81" i="16"/>
  <c r="C81" i="16"/>
  <c r="G74" i="16"/>
  <c r="AV48" i="13"/>
  <c r="R164" i="25"/>
  <c r="R252" i="25"/>
  <c r="H206" i="25"/>
  <c r="H249" i="25"/>
  <c r="R250" i="25"/>
  <c r="H248" i="25"/>
  <c r="R168" i="25"/>
  <c r="H167" i="25"/>
  <c r="H251" i="25"/>
  <c r="H163" i="25"/>
  <c r="H252" i="25"/>
  <c r="R167" i="25"/>
  <c r="R206" i="25"/>
  <c r="R163" i="25"/>
  <c r="H165" i="25"/>
  <c r="H205" i="25"/>
  <c r="R249" i="25"/>
  <c r="R165" i="25"/>
  <c r="R166" i="25"/>
  <c r="R251" i="25"/>
  <c r="R247" i="25"/>
  <c r="H250" i="25"/>
  <c r="H209" i="25"/>
  <c r="H207" i="25"/>
  <c r="R209" i="25"/>
  <c r="Q266" i="20"/>
  <c r="R207" i="25"/>
  <c r="R205" i="25"/>
  <c r="R204" i="25"/>
  <c r="U306" i="20"/>
  <c r="R248" i="25"/>
  <c r="H164" i="25"/>
  <c r="H168" i="25"/>
  <c r="U251" i="20"/>
  <c r="H166" i="25"/>
  <c r="H204" i="25"/>
  <c r="R208" i="25"/>
  <c r="R260" i="20"/>
  <c r="R266" i="20" s="1"/>
  <c r="C60" i="16"/>
  <c r="C42" i="16"/>
  <c r="C31" i="16"/>
  <c r="C54" i="16"/>
  <c r="C34" i="16"/>
  <c r="C55" i="16"/>
  <c r="C41" i="16"/>
  <c r="C30" i="16"/>
  <c r="C23" i="16"/>
  <c r="C62" i="16"/>
  <c r="C40" i="16"/>
  <c r="C45" i="16"/>
  <c r="C44" i="16"/>
  <c r="C24" i="16"/>
  <c r="C33" i="16"/>
  <c r="C58" i="16"/>
  <c r="C53" i="16"/>
  <c r="C51" i="16"/>
  <c r="C48" i="16"/>
  <c r="C50" i="16"/>
  <c r="C37" i="16"/>
  <c r="C59" i="16"/>
  <c r="C27" i="16"/>
  <c r="C35" i="16"/>
  <c r="C38" i="16"/>
  <c r="C49" i="16"/>
  <c r="C57" i="16"/>
  <c r="C25" i="16"/>
  <c r="C36" i="16"/>
  <c r="C63" i="16"/>
  <c r="C43" i="16"/>
  <c r="C26" i="16"/>
  <c r="C61" i="16"/>
  <c r="C47" i="16"/>
  <c r="C32" i="16"/>
  <c r="C29" i="16"/>
  <c r="I81" i="16" l="1"/>
  <c r="M23" i="16"/>
  <c r="M26" i="16"/>
  <c r="M30" i="16"/>
  <c r="M32" i="16"/>
  <c r="M35" i="16"/>
  <c r="M37" i="16"/>
  <c r="M42" i="16"/>
  <c r="M44" i="16"/>
  <c r="M48" i="16"/>
  <c r="M51" i="16"/>
  <c r="M55" i="16"/>
  <c r="M58" i="16"/>
  <c r="M60" i="16"/>
  <c r="M63" i="16"/>
  <c r="K21" i="16"/>
  <c r="K28" i="16"/>
  <c r="K39" i="16"/>
  <c r="K46" i="16"/>
  <c r="K52" i="16"/>
  <c r="K56" i="16"/>
  <c r="M22" i="16"/>
  <c r="J21" i="16"/>
  <c r="M24" i="16"/>
  <c r="M25" i="16"/>
  <c r="M27" i="16"/>
  <c r="M29" i="16"/>
  <c r="J28" i="16"/>
  <c r="M31" i="16"/>
  <c r="M33" i="16"/>
  <c r="M34" i="16"/>
  <c r="M36" i="16"/>
  <c r="M38" i="16"/>
  <c r="M40" i="16"/>
  <c r="J39" i="16"/>
  <c r="M41" i="16"/>
  <c r="M43" i="16"/>
  <c r="M45" i="16"/>
  <c r="M47" i="16"/>
  <c r="J46" i="16"/>
  <c r="M49" i="16"/>
  <c r="M50" i="16"/>
  <c r="J52" i="16"/>
  <c r="M53" i="16"/>
  <c r="M54" i="16"/>
  <c r="J56" i="16"/>
  <c r="M57" i="16"/>
  <c r="M59" i="16"/>
  <c r="M61" i="16"/>
  <c r="M62" i="16"/>
  <c r="L21" i="16"/>
  <c r="L28" i="16"/>
  <c r="L39" i="16"/>
  <c r="L46" i="16"/>
  <c r="L52" i="16"/>
  <c r="L56" i="16"/>
  <c r="K64" i="16" l="1"/>
  <c r="M52" i="16"/>
  <c r="M56" i="16"/>
  <c r="M46" i="16"/>
  <c r="M28" i="16"/>
  <c r="M39" i="16"/>
  <c r="M21" i="16"/>
  <c r="L64" i="16"/>
  <c r="J64" i="16"/>
  <c r="M64" i="16" l="1"/>
  <c r="Q5" i="16"/>
  <c r="Q6" i="16"/>
  <c r="Q7" i="16"/>
  <c r="Q8" i="16"/>
  <c r="Q9" i="16"/>
  <c r="L5" i="16"/>
  <c r="L6" i="16"/>
  <c r="L7" i="16"/>
  <c r="L8" i="16"/>
  <c r="L9" i="16"/>
  <c r="L4" i="16"/>
  <c r="Q4" i="16"/>
  <c r="G5" i="16"/>
  <c r="G6" i="16"/>
  <c r="G7" i="16"/>
  <c r="G8" i="16"/>
  <c r="G9" i="16"/>
  <c r="G4" i="16"/>
  <c r="E10" i="16"/>
  <c r="D10" i="16"/>
  <c r="C10" i="16"/>
  <c r="AK7" i="16" l="1"/>
  <c r="X7" i="16"/>
  <c r="X78" i="16"/>
  <c r="AK78" i="16"/>
  <c r="AL45" i="16"/>
  <c r="X45" i="16"/>
  <c r="AL40" i="16"/>
  <c r="X40" i="16"/>
  <c r="X4" i="16"/>
  <c r="Y4" i="16" s="1"/>
  <c r="AK4" i="16"/>
  <c r="AL41" i="16"/>
  <c r="X41" i="16"/>
  <c r="X9" i="16"/>
  <c r="AK9" i="16"/>
  <c r="X5" i="16"/>
  <c r="AK5" i="16"/>
  <c r="AL44" i="16"/>
  <c r="X44" i="16"/>
  <c r="AK80" i="16"/>
  <c r="X80" i="16"/>
  <c r="AK76" i="16"/>
  <c r="X76" i="16"/>
  <c r="X42" i="16"/>
  <c r="AL42" i="16"/>
  <c r="X6" i="16"/>
  <c r="AK6" i="16"/>
  <c r="X77" i="16"/>
  <c r="AK77" i="16"/>
  <c r="X8" i="16"/>
  <c r="AK8" i="16"/>
  <c r="AK75" i="16"/>
  <c r="X75" i="16"/>
  <c r="X43" i="16"/>
  <c r="AL43" i="16"/>
  <c r="AK79" i="16"/>
  <c r="X79" i="16"/>
  <c r="L10" i="16"/>
  <c r="G10" i="16"/>
  <c r="O10" i="16"/>
  <c r="Q65" i="25"/>
  <c r="Q66" i="25"/>
  <c r="Q67" i="25"/>
  <c r="Q68" i="25"/>
  <c r="Q69" i="25"/>
  <c r="Q70" i="25"/>
  <c r="G65" i="25"/>
  <c r="Q101" i="25"/>
  <c r="Q102" i="25"/>
  <c r="Q103" i="25"/>
  <c r="Q104" i="25"/>
  <c r="Q105" i="25"/>
  <c r="P101" i="25"/>
  <c r="P102" i="25"/>
  <c r="P103" i="25"/>
  <c r="P104" i="25"/>
  <c r="P105" i="25"/>
  <c r="O101" i="25"/>
  <c r="O102" i="25"/>
  <c r="O103" i="25"/>
  <c r="O104" i="25"/>
  <c r="O105" i="25"/>
  <c r="P65" i="25"/>
  <c r="P66" i="25"/>
  <c r="P67" i="25"/>
  <c r="P68" i="25"/>
  <c r="P69" i="25"/>
  <c r="P70" i="25"/>
  <c r="F65" i="25"/>
  <c r="O65" i="25"/>
  <c r="O66" i="25"/>
  <c r="O67" i="25"/>
  <c r="O68" i="25"/>
  <c r="O69" i="25"/>
  <c r="O70" i="25"/>
  <c r="E65" i="25"/>
  <c r="G101" i="25"/>
  <c r="G102" i="25"/>
  <c r="G103" i="25"/>
  <c r="G104" i="25"/>
  <c r="G105" i="25"/>
  <c r="F101" i="25"/>
  <c r="F102" i="25"/>
  <c r="F103" i="25"/>
  <c r="F104" i="25"/>
  <c r="F105" i="25"/>
  <c r="E101" i="25"/>
  <c r="E102" i="25"/>
  <c r="E103" i="25"/>
  <c r="E104" i="25"/>
  <c r="E105" i="25"/>
  <c r="F66" i="25"/>
  <c r="F67" i="25"/>
  <c r="F68" i="25"/>
  <c r="F69" i="25"/>
  <c r="F70" i="25"/>
  <c r="G66" i="25"/>
  <c r="G67" i="25"/>
  <c r="G68" i="25"/>
  <c r="G69" i="25"/>
  <c r="G70" i="25"/>
  <c r="E66" i="25"/>
  <c r="E67" i="25"/>
  <c r="E68" i="25"/>
  <c r="E69" i="25"/>
  <c r="E70" i="25"/>
  <c r="L159" i="9"/>
  <c r="L160" i="9"/>
  <c r="L161" i="9"/>
  <c r="L162" i="9"/>
  <c r="L163" i="9"/>
  <c r="L164" i="9"/>
  <c r="K159" i="9"/>
  <c r="K160" i="9"/>
  <c r="K161" i="9"/>
  <c r="K162" i="9"/>
  <c r="K163" i="9"/>
  <c r="K164" i="9"/>
  <c r="J159" i="9"/>
  <c r="J160" i="9"/>
  <c r="J161" i="9"/>
  <c r="J162" i="9"/>
  <c r="J163" i="9"/>
  <c r="J164" i="9"/>
  <c r="I159" i="9"/>
  <c r="I160" i="9"/>
  <c r="I161" i="9"/>
  <c r="I162" i="9"/>
  <c r="I163" i="9"/>
  <c r="I164" i="9"/>
  <c r="H159" i="9"/>
  <c r="H160" i="9"/>
  <c r="H161" i="9"/>
  <c r="H162" i="9"/>
  <c r="H163" i="9"/>
  <c r="H164" i="9"/>
  <c r="G159" i="9"/>
  <c r="G160" i="9"/>
  <c r="G161" i="9"/>
  <c r="G162" i="9"/>
  <c r="G163" i="9"/>
  <c r="G164" i="9"/>
  <c r="L144" i="9"/>
  <c r="L145" i="9"/>
  <c r="L146" i="9"/>
  <c r="L147" i="9"/>
  <c r="L148" i="9"/>
  <c r="L149" i="9"/>
  <c r="K144" i="9"/>
  <c r="K145" i="9"/>
  <c r="K146" i="9"/>
  <c r="K147" i="9"/>
  <c r="K148" i="9"/>
  <c r="K149" i="9"/>
  <c r="H144" i="9"/>
  <c r="H145" i="9"/>
  <c r="H146" i="9"/>
  <c r="H147" i="9"/>
  <c r="H148" i="9"/>
  <c r="H149" i="9"/>
  <c r="J144" i="9"/>
  <c r="J145" i="9"/>
  <c r="J146" i="9"/>
  <c r="J147" i="9"/>
  <c r="J148" i="9"/>
  <c r="J149" i="9"/>
  <c r="I144" i="9"/>
  <c r="I145" i="9"/>
  <c r="I146" i="9"/>
  <c r="I147" i="9"/>
  <c r="I148" i="9"/>
  <c r="I149" i="9"/>
  <c r="G144" i="9"/>
  <c r="L116" i="9"/>
  <c r="L117" i="9"/>
  <c r="L118" i="9"/>
  <c r="L119" i="9"/>
  <c r="L120" i="9"/>
  <c r="L121" i="9"/>
  <c r="K116" i="9"/>
  <c r="K117" i="9"/>
  <c r="K118" i="9"/>
  <c r="K119" i="9"/>
  <c r="K120" i="9"/>
  <c r="K121" i="9"/>
  <c r="J116" i="9"/>
  <c r="J117" i="9"/>
  <c r="J118" i="9"/>
  <c r="J119" i="9"/>
  <c r="J120" i="9"/>
  <c r="J121" i="9"/>
  <c r="I116" i="9"/>
  <c r="I117" i="9"/>
  <c r="I118" i="9"/>
  <c r="I119" i="9"/>
  <c r="I120" i="9"/>
  <c r="I121" i="9"/>
  <c r="H116" i="9"/>
  <c r="L98" i="9"/>
  <c r="L99" i="9"/>
  <c r="L100" i="9"/>
  <c r="L101" i="9"/>
  <c r="L102" i="9"/>
  <c r="L103" i="9"/>
  <c r="K98" i="9"/>
  <c r="K99" i="9"/>
  <c r="K100" i="9"/>
  <c r="K101" i="9"/>
  <c r="K102" i="9"/>
  <c r="K103" i="9"/>
  <c r="J98" i="9"/>
  <c r="J99" i="9"/>
  <c r="J100" i="9"/>
  <c r="J101" i="9"/>
  <c r="J102" i="9"/>
  <c r="J103" i="9"/>
  <c r="I98" i="9"/>
  <c r="I99" i="9"/>
  <c r="I100" i="9"/>
  <c r="I101" i="9"/>
  <c r="I102" i="9"/>
  <c r="I103" i="9"/>
  <c r="H98" i="9"/>
  <c r="K50" i="9"/>
  <c r="K51" i="9"/>
  <c r="K52" i="9"/>
  <c r="K53" i="9"/>
  <c r="K54" i="9"/>
  <c r="K55" i="9"/>
  <c r="J50" i="9"/>
  <c r="J51" i="9"/>
  <c r="J52" i="9"/>
  <c r="J53" i="9"/>
  <c r="J54" i="9"/>
  <c r="J55" i="9"/>
  <c r="I50" i="9"/>
  <c r="K68" i="9"/>
  <c r="K69" i="9"/>
  <c r="K70" i="9"/>
  <c r="K71" i="9"/>
  <c r="K72" i="9"/>
  <c r="K73" i="9"/>
  <c r="J68" i="9"/>
  <c r="J69" i="9"/>
  <c r="J70" i="9"/>
  <c r="J71" i="9"/>
  <c r="J72" i="9"/>
  <c r="J73" i="9"/>
  <c r="I68" i="9"/>
  <c r="I69" i="9"/>
  <c r="I70" i="9"/>
  <c r="I71" i="9"/>
  <c r="I72" i="9"/>
  <c r="I73" i="9"/>
  <c r="H68" i="9"/>
  <c r="I51" i="9"/>
  <c r="I52" i="9"/>
  <c r="I53" i="9"/>
  <c r="I54" i="9"/>
  <c r="I55" i="9"/>
  <c r="H50" i="9"/>
  <c r="H117" i="9"/>
  <c r="H118" i="9"/>
  <c r="H119" i="9"/>
  <c r="H120" i="9"/>
  <c r="H121" i="9"/>
  <c r="H99" i="9"/>
  <c r="H100" i="9"/>
  <c r="H101" i="9"/>
  <c r="H102" i="9"/>
  <c r="H103" i="9"/>
  <c r="H69" i="9"/>
  <c r="H70" i="9"/>
  <c r="H71" i="9"/>
  <c r="H72" i="9"/>
  <c r="H73" i="9"/>
  <c r="H51" i="9"/>
  <c r="H52" i="9"/>
  <c r="H53" i="9"/>
  <c r="H54" i="9"/>
  <c r="H55" i="9"/>
  <c r="H29" i="9"/>
  <c r="H30" i="9"/>
  <c r="H31" i="9"/>
  <c r="H32" i="9"/>
  <c r="H33" i="9"/>
  <c r="H34" i="9"/>
  <c r="H6" i="9"/>
  <c r="H7" i="9"/>
  <c r="H8" i="9"/>
  <c r="H9" i="9"/>
  <c r="H10" i="9"/>
  <c r="H11" i="9"/>
  <c r="G6" i="9"/>
  <c r="G116" i="9"/>
  <c r="G117" i="9"/>
  <c r="G118" i="9"/>
  <c r="G119" i="9"/>
  <c r="G120" i="9"/>
  <c r="G121" i="9"/>
  <c r="G98" i="9"/>
  <c r="G99" i="9"/>
  <c r="G100" i="9"/>
  <c r="G101" i="9"/>
  <c r="G102" i="9"/>
  <c r="G103" i="9"/>
  <c r="G68" i="9"/>
  <c r="G69" i="9"/>
  <c r="G70" i="9"/>
  <c r="G71" i="9"/>
  <c r="G72" i="9"/>
  <c r="G73" i="9"/>
  <c r="G50" i="9"/>
  <c r="G51" i="9"/>
  <c r="G52" i="9"/>
  <c r="G53" i="9"/>
  <c r="G54" i="9"/>
  <c r="G55" i="9"/>
  <c r="G145" i="9"/>
  <c r="G146" i="9"/>
  <c r="G147" i="9"/>
  <c r="G148" i="9"/>
  <c r="G149" i="9"/>
  <c r="K29" i="9"/>
  <c r="K30" i="9"/>
  <c r="K31" i="9"/>
  <c r="K32" i="9"/>
  <c r="K33" i="9"/>
  <c r="K34" i="9"/>
  <c r="K6" i="9"/>
  <c r="J29" i="9"/>
  <c r="J30" i="9"/>
  <c r="J31" i="9"/>
  <c r="J32" i="9"/>
  <c r="J33" i="9"/>
  <c r="J34" i="9"/>
  <c r="J6" i="9"/>
  <c r="I29" i="9"/>
  <c r="I30" i="9"/>
  <c r="I31" i="9"/>
  <c r="I32" i="9"/>
  <c r="I33" i="9"/>
  <c r="I34" i="9"/>
  <c r="I6" i="9"/>
  <c r="G29" i="9"/>
  <c r="G30" i="9"/>
  <c r="G31" i="9"/>
  <c r="G32" i="9"/>
  <c r="G33" i="9"/>
  <c r="G34" i="9"/>
  <c r="K7" i="9"/>
  <c r="K8" i="9"/>
  <c r="K9" i="9"/>
  <c r="K10" i="9"/>
  <c r="K11" i="9"/>
  <c r="J7" i="9"/>
  <c r="J8" i="9"/>
  <c r="J9" i="9"/>
  <c r="J10" i="9"/>
  <c r="J11" i="9"/>
  <c r="I7" i="9"/>
  <c r="I8" i="9"/>
  <c r="I9" i="9"/>
  <c r="I10" i="9"/>
  <c r="I11" i="9"/>
  <c r="G7" i="9"/>
  <c r="G8" i="9"/>
  <c r="G9" i="9"/>
  <c r="G10" i="9"/>
  <c r="G11" i="9"/>
  <c r="D6" i="9"/>
  <c r="D7" i="9"/>
  <c r="D8" i="9"/>
  <c r="D9" i="9"/>
  <c r="D10" i="9"/>
  <c r="D11" i="9"/>
  <c r="D50" i="9"/>
  <c r="D51" i="9"/>
  <c r="D52" i="9"/>
  <c r="D53" i="9"/>
  <c r="D54" i="9"/>
  <c r="D55" i="9"/>
  <c r="D98" i="9"/>
  <c r="D99" i="9"/>
  <c r="D100" i="9"/>
  <c r="D101" i="9"/>
  <c r="D102" i="9"/>
  <c r="D103" i="9"/>
  <c r="D43" i="20"/>
  <c r="J246" i="20"/>
  <c r="J247" i="20"/>
  <c r="J248" i="20"/>
  <c r="J249" i="20"/>
  <c r="J250" i="20"/>
  <c r="I246" i="20"/>
  <c r="I247" i="20"/>
  <c r="I248" i="20"/>
  <c r="I249" i="20"/>
  <c r="I250" i="20"/>
  <c r="H246" i="20"/>
  <c r="H247" i="20"/>
  <c r="H248" i="20"/>
  <c r="H249" i="20"/>
  <c r="H250" i="20"/>
  <c r="G246" i="20"/>
  <c r="G247" i="20"/>
  <c r="G248" i="20"/>
  <c r="G249" i="20"/>
  <c r="G250" i="20"/>
  <c r="F246" i="20"/>
  <c r="F247" i="20"/>
  <c r="F248" i="20"/>
  <c r="F249" i="20"/>
  <c r="F250" i="20"/>
  <c r="E246" i="20"/>
  <c r="E247" i="20"/>
  <c r="E248" i="20"/>
  <c r="E249" i="20"/>
  <c r="E250" i="20"/>
  <c r="J300" i="20"/>
  <c r="J301" i="20"/>
  <c r="J302" i="20"/>
  <c r="J303" i="20"/>
  <c r="J304" i="20"/>
  <c r="J305" i="20"/>
  <c r="I300" i="20"/>
  <c r="I301" i="20"/>
  <c r="I302" i="20"/>
  <c r="I303" i="20"/>
  <c r="I304" i="20"/>
  <c r="I305" i="20"/>
  <c r="H300" i="20"/>
  <c r="H301" i="20"/>
  <c r="H302" i="20"/>
  <c r="H303" i="20"/>
  <c r="H304" i="20"/>
  <c r="H305" i="20"/>
  <c r="G300" i="20"/>
  <c r="G301" i="20"/>
  <c r="G302" i="20"/>
  <c r="G303" i="20"/>
  <c r="G304" i="20"/>
  <c r="G305" i="20"/>
  <c r="F300" i="20"/>
  <c r="F301" i="20"/>
  <c r="F302" i="20"/>
  <c r="F303" i="20"/>
  <c r="F304" i="20"/>
  <c r="F305" i="20"/>
  <c r="E300" i="20"/>
  <c r="E301" i="20"/>
  <c r="E302" i="20"/>
  <c r="E303" i="20"/>
  <c r="E304" i="20"/>
  <c r="E305" i="20"/>
  <c r="G273" i="20"/>
  <c r="G274" i="20"/>
  <c r="G275" i="20"/>
  <c r="G276" i="20"/>
  <c r="G277" i="20"/>
  <c r="G278" i="20"/>
  <c r="H273" i="20"/>
  <c r="H274" i="20"/>
  <c r="H275" i="20"/>
  <c r="H276" i="20"/>
  <c r="H277" i="20"/>
  <c r="H278" i="20"/>
  <c r="I273" i="20"/>
  <c r="I274" i="20"/>
  <c r="I275" i="20"/>
  <c r="I276" i="20"/>
  <c r="I277" i="20"/>
  <c r="I278" i="20"/>
  <c r="J273" i="20"/>
  <c r="J274" i="20"/>
  <c r="J275" i="20"/>
  <c r="J276" i="20"/>
  <c r="J277" i="20"/>
  <c r="J278" i="20"/>
  <c r="E273" i="20"/>
  <c r="F273" i="20"/>
  <c r="F274" i="20"/>
  <c r="F275" i="20"/>
  <c r="F276" i="20"/>
  <c r="F277" i="20"/>
  <c r="F278" i="20"/>
  <c r="F288" i="20"/>
  <c r="F289" i="20"/>
  <c r="F290" i="20"/>
  <c r="F291" i="20"/>
  <c r="F292" i="20"/>
  <c r="E287" i="20"/>
  <c r="E288" i="20"/>
  <c r="E289" i="20"/>
  <c r="E290" i="20"/>
  <c r="E291" i="20"/>
  <c r="E292" i="20"/>
  <c r="S48" i="20"/>
  <c r="S47" i="20"/>
  <c r="S46" i="20"/>
  <c r="S45" i="20"/>
  <c r="S44" i="20"/>
  <c r="S43" i="20"/>
  <c r="I43" i="20"/>
  <c r="I44" i="20"/>
  <c r="I46" i="20"/>
  <c r="I47" i="20"/>
  <c r="I48" i="20"/>
  <c r="E274" i="20"/>
  <c r="E275" i="20"/>
  <c r="E276" i="20"/>
  <c r="E277" i="20"/>
  <c r="E278" i="20"/>
  <c r="O221" i="20"/>
  <c r="T226" i="20"/>
  <c r="S226" i="20"/>
  <c r="R226" i="20"/>
  <c r="Q226" i="20"/>
  <c r="P226" i="20"/>
  <c r="O226" i="20"/>
  <c r="T225" i="20"/>
  <c r="S225" i="20"/>
  <c r="R225" i="20"/>
  <c r="Q225" i="20"/>
  <c r="P225" i="20"/>
  <c r="O225" i="20"/>
  <c r="T224" i="20"/>
  <c r="S224" i="20"/>
  <c r="R224" i="20"/>
  <c r="Q224" i="20"/>
  <c r="P224" i="20"/>
  <c r="O224" i="20"/>
  <c r="T223" i="20"/>
  <c r="S223" i="20"/>
  <c r="R223" i="20"/>
  <c r="Q223" i="20"/>
  <c r="P223" i="20"/>
  <c r="O223" i="20"/>
  <c r="T222" i="20"/>
  <c r="S222" i="20"/>
  <c r="R222" i="20"/>
  <c r="Q222" i="20"/>
  <c r="P222" i="20"/>
  <c r="O222" i="20"/>
  <c r="T221" i="20"/>
  <c r="S221" i="20"/>
  <c r="R221" i="20"/>
  <c r="Q221" i="20"/>
  <c r="P221" i="20"/>
  <c r="J221" i="20"/>
  <c r="J222" i="20"/>
  <c r="J223" i="20"/>
  <c r="J224" i="20"/>
  <c r="J225" i="20"/>
  <c r="J226" i="20"/>
  <c r="I221" i="20"/>
  <c r="I222" i="20"/>
  <c r="I223" i="20"/>
  <c r="I224" i="20"/>
  <c r="I225" i="20"/>
  <c r="I226" i="20"/>
  <c r="H221" i="20"/>
  <c r="H222" i="20"/>
  <c r="H223" i="20"/>
  <c r="H224" i="20"/>
  <c r="H225" i="20"/>
  <c r="H226" i="20"/>
  <c r="G221" i="20"/>
  <c r="G222" i="20"/>
  <c r="G223" i="20"/>
  <c r="G224" i="20"/>
  <c r="G225" i="20"/>
  <c r="G226" i="20"/>
  <c r="F221" i="20"/>
  <c r="F222" i="20"/>
  <c r="F223" i="20"/>
  <c r="F224" i="20"/>
  <c r="F225" i="20"/>
  <c r="F226" i="20"/>
  <c r="E221" i="20"/>
  <c r="E222" i="20"/>
  <c r="E223" i="20"/>
  <c r="E224" i="20"/>
  <c r="E225" i="20"/>
  <c r="E226" i="20"/>
  <c r="E260" i="20"/>
  <c r="F260" i="20"/>
  <c r="F261" i="20"/>
  <c r="F262" i="20"/>
  <c r="F263" i="20"/>
  <c r="F264" i="20"/>
  <c r="F265" i="20"/>
  <c r="E261" i="20"/>
  <c r="E262" i="20"/>
  <c r="E263" i="20"/>
  <c r="E264" i="20"/>
  <c r="E265" i="20"/>
  <c r="N43" i="20"/>
  <c r="N31" i="20"/>
  <c r="P48" i="20"/>
  <c r="O48" i="20"/>
  <c r="N48" i="20"/>
  <c r="P47" i="20"/>
  <c r="O47" i="20"/>
  <c r="N47" i="20"/>
  <c r="P46" i="20"/>
  <c r="O46" i="20"/>
  <c r="N46" i="20"/>
  <c r="P45" i="20"/>
  <c r="O45" i="20"/>
  <c r="N45" i="20"/>
  <c r="P44" i="20"/>
  <c r="O44" i="20"/>
  <c r="N44" i="20"/>
  <c r="P43" i="20"/>
  <c r="O43" i="20"/>
  <c r="Q36" i="20"/>
  <c r="N36" i="20"/>
  <c r="Q35" i="20"/>
  <c r="N35" i="20"/>
  <c r="Q34" i="20"/>
  <c r="N34" i="20"/>
  <c r="Q33" i="20"/>
  <c r="N33" i="20"/>
  <c r="Q32" i="20"/>
  <c r="N32" i="20"/>
  <c r="Q31" i="20"/>
  <c r="F44" i="20"/>
  <c r="F45" i="20"/>
  <c r="F46" i="20"/>
  <c r="F48" i="20"/>
  <c r="E44" i="20"/>
  <c r="E45" i="20"/>
  <c r="E46" i="20"/>
  <c r="E47" i="20"/>
  <c r="E48" i="20"/>
  <c r="E43" i="20"/>
  <c r="F43" i="20"/>
  <c r="D44" i="20"/>
  <c r="D45" i="20"/>
  <c r="D46" i="20"/>
  <c r="D47" i="20"/>
  <c r="D48" i="20"/>
  <c r="D31" i="20"/>
  <c r="G32" i="20"/>
  <c r="G33" i="20"/>
  <c r="G34" i="20"/>
  <c r="G35" i="20"/>
  <c r="G36" i="20"/>
  <c r="G31" i="20"/>
  <c r="D32" i="20"/>
  <c r="D33" i="20"/>
  <c r="D34" i="20"/>
  <c r="D35" i="20"/>
  <c r="D36" i="20"/>
  <c r="F184" i="20"/>
  <c r="E184" i="20"/>
  <c r="D184" i="20"/>
  <c r="N184" i="20"/>
  <c r="N183" i="20"/>
  <c r="O183" i="20"/>
  <c r="P183" i="20"/>
  <c r="P184" i="20"/>
  <c r="O184" i="20"/>
  <c r="G14" i="16" l="1"/>
  <c r="G13" i="16"/>
  <c r="G12" i="16"/>
  <c r="G11" i="16"/>
  <c r="L12" i="16"/>
  <c r="L11" i="16"/>
  <c r="L14" i="16"/>
  <c r="L13" i="16"/>
  <c r="M100" i="9"/>
  <c r="T100" i="9" s="1"/>
  <c r="I35" i="9"/>
  <c r="K12" i="9"/>
  <c r="H35" i="9"/>
  <c r="J56" i="9"/>
  <c r="J12" i="9"/>
  <c r="I74" i="9"/>
  <c r="J35" i="9"/>
  <c r="H74" i="9"/>
  <c r="J74" i="9"/>
  <c r="G56" i="9"/>
  <c r="H56" i="9"/>
  <c r="K74" i="9"/>
  <c r="I12" i="9"/>
  <c r="K35" i="9"/>
  <c r="H12" i="9"/>
  <c r="I56" i="9"/>
  <c r="K56" i="9"/>
  <c r="J150" i="9"/>
  <c r="K300" i="20"/>
  <c r="G74" i="9"/>
  <c r="G12" i="9"/>
  <c r="K250" i="20"/>
  <c r="K246" i="20"/>
  <c r="H68" i="25"/>
  <c r="F82" i="25" s="1"/>
  <c r="H67" i="25"/>
  <c r="G81" i="25" s="1"/>
  <c r="R102" i="25"/>
  <c r="P115" i="25" s="1"/>
  <c r="H103" i="25"/>
  <c r="G116" i="25" s="1"/>
  <c r="R105" i="25"/>
  <c r="Q118" i="25" s="1"/>
  <c r="R101" i="25"/>
  <c r="O114" i="25" s="1"/>
  <c r="Q71" i="25"/>
  <c r="R104" i="25"/>
  <c r="P117" i="25" s="1"/>
  <c r="O106" i="25"/>
  <c r="R103" i="25"/>
  <c r="Q116" i="25" s="1"/>
  <c r="Q106" i="25"/>
  <c r="P106" i="25"/>
  <c r="R69" i="25"/>
  <c r="P83" i="25" s="1"/>
  <c r="O71" i="25"/>
  <c r="R68" i="25"/>
  <c r="Q82" i="25" s="1"/>
  <c r="R67" i="25"/>
  <c r="O81" i="25" s="1"/>
  <c r="R70" i="25"/>
  <c r="O84" i="25" s="1"/>
  <c r="R66" i="25"/>
  <c r="Q80" i="25" s="1"/>
  <c r="R65" i="25"/>
  <c r="P79" i="25" s="1"/>
  <c r="R100" i="25"/>
  <c r="P113" i="25" s="1"/>
  <c r="P71" i="25"/>
  <c r="H102" i="25"/>
  <c r="G115" i="25" s="1"/>
  <c r="H105" i="25"/>
  <c r="G118" i="25" s="1"/>
  <c r="H104" i="25"/>
  <c r="H100" i="25"/>
  <c r="E71" i="25"/>
  <c r="F106" i="25"/>
  <c r="F71" i="25"/>
  <c r="G106" i="25"/>
  <c r="H70" i="25"/>
  <c r="E84" i="25" s="1"/>
  <c r="H66" i="25"/>
  <c r="E80" i="25" s="1"/>
  <c r="G71" i="25"/>
  <c r="E106" i="25"/>
  <c r="H69" i="25"/>
  <c r="G83" i="25" s="1"/>
  <c r="H101" i="25"/>
  <c r="F114" i="25" s="1"/>
  <c r="H65" i="25"/>
  <c r="E79" i="25" s="1"/>
  <c r="K247" i="20"/>
  <c r="M99" i="9"/>
  <c r="P99" i="9" s="1"/>
  <c r="J104" i="9"/>
  <c r="G165" i="9"/>
  <c r="K165" i="9"/>
  <c r="M118" i="9"/>
  <c r="U118" i="9" s="1"/>
  <c r="L73" i="9"/>
  <c r="S73" i="9" s="1"/>
  <c r="L69" i="9"/>
  <c r="S69" i="9" s="1"/>
  <c r="H165" i="9"/>
  <c r="I165" i="9"/>
  <c r="J165" i="9"/>
  <c r="L165" i="9"/>
  <c r="K104" i="9"/>
  <c r="M103" i="9"/>
  <c r="P103" i="9" s="1"/>
  <c r="H150" i="9"/>
  <c r="M102" i="9"/>
  <c r="R102" i="9" s="1"/>
  <c r="M98" i="9"/>
  <c r="P98" i="9" s="1"/>
  <c r="I150" i="9"/>
  <c r="G104" i="9"/>
  <c r="I104" i="9"/>
  <c r="L71" i="9"/>
  <c r="R71" i="9" s="1"/>
  <c r="H104" i="9"/>
  <c r="L104" i="9"/>
  <c r="M101" i="9"/>
  <c r="T101" i="9" s="1"/>
  <c r="K150" i="9"/>
  <c r="L150" i="9"/>
  <c r="M119" i="9"/>
  <c r="U119" i="9" s="1"/>
  <c r="M121" i="9"/>
  <c r="R121" i="9" s="1"/>
  <c r="J122" i="9"/>
  <c r="L122" i="9"/>
  <c r="M120" i="9"/>
  <c r="S120" i="9" s="1"/>
  <c r="M116" i="9"/>
  <c r="S116" i="9" s="1"/>
  <c r="H122" i="9"/>
  <c r="I122" i="9"/>
  <c r="K122" i="9"/>
  <c r="L10" i="9"/>
  <c r="S10" i="9" s="1"/>
  <c r="G150" i="9"/>
  <c r="L70" i="9"/>
  <c r="Q70" i="9" s="1"/>
  <c r="G122" i="9"/>
  <c r="M117" i="9"/>
  <c r="T117" i="9" s="1"/>
  <c r="L72" i="9"/>
  <c r="R72" i="9" s="1"/>
  <c r="L68" i="9"/>
  <c r="L52" i="9"/>
  <c r="Q52" i="9" s="1"/>
  <c r="L55" i="9"/>
  <c r="T55" i="9" s="1"/>
  <c r="L51" i="9"/>
  <c r="T51" i="9" s="1"/>
  <c r="L53" i="9"/>
  <c r="T53" i="9" s="1"/>
  <c r="L54" i="9"/>
  <c r="P54" i="9" s="1"/>
  <c r="U54" i="9" s="1"/>
  <c r="L50" i="9"/>
  <c r="L6" i="9"/>
  <c r="S6" i="9" s="1"/>
  <c r="L11" i="9"/>
  <c r="S11" i="9" s="1"/>
  <c r="L7" i="9"/>
  <c r="P7" i="9" s="1"/>
  <c r="L32" i="9"/>
  <c r="R32" i="9" s="1"/>
  <c r="L31" i="9"/>
  <c r="R31" i="9" s="1"/>
  <c r="L8" i="9"/>
  <c r="T8" i="9" s="1"/>
  <c r="D56" i="9"/>
  <c r="L9" i="9"/>
  <c r="R9" i="9" s="1"/>
  <c r="L34" i="9"/>
  <c r="S34" i="9" s="1"/>
  <c r="L30" i="9"/>
  <c r="S30" i="9" s="1"/>
  <c r="D104" i="9"/>
  <c r="D12" i="9"/>
  <c r="L33" i="9"/>
  <c r="G35" i="9"/>
  <c r="L29" i="9"/>
  <c r="F251" i="20"/>
  <c r="H251" i="20"/>
  <c r="J251" i="20"/>
  <c r="K249" i="20"/>
  <c r="E251" i="20"/>
  <c r="G251" i="20"/>
  <c r="I251" i="20"/>
  <c r="K248" i="20"/>
  <c r="K245" i="20"/>
  <c r="K278" i="20"/>
  <c r="K274" i="20"/>
  <c r="K277" i="20"/>
  <c r="K273" i="20"/>
  <c r="G184" i="20"/>
  <c r="K275" i="20"/>
  <c r="K276" i="20"/>
  <c r="K304" i="20"/>
  <c r="K303" i="20"/>
  <c r="K305" i="20"/>
  <c r="K301" i="20"/>
  <c r="K302" i="20"/>
  <c r="G265" i="20"/>
  <c r="H265" i="20" s="1"/>
  <c r="E306" i="20"/>
  <c r="I306" i="20"/>
  <c r="G261" i="20"/>
  <c r="H261" i="20" s="1"/>
  <c r="F306" i="20"/>
  <c r="G306" i="20"/>
  <c r="H306" i="20"/>
  <c r="J306" i="20"/>
  <c r="E293" i="20"/>
  <c r="S49" i="20"/>
  <c r="F293" i="20"/>
  <c r="I49" i="20"/>
  <c r="Q184" i="20"/>
  <c r="K223" i="20"/>
  <c r="G262" i="20"/>
  <c r="H262" i="20" s="1"/>
  <c r="K226" i="20"/>
  <c r="H237" i="20" s="1"/>
  <c r="K222" i="20"/>
  <c r="J233" i="20" s="1"/>
  <c r="P227" i="20"/>
  <c r="T227" i="20"/>
  <c r="O227" i="20"/>
  <c r="G260" i="20"/>
  <c r="G264" i="20"/>
  <c r="H264" i="20" s="1"/>
  <c r="G227" i="20"/>
  <c r="I227" i="20"/>
  <c r="F227" i="20"/>
  <c r="H227" i="20"/>
  <c r="J227" i="20"/>
  <c r="G263" i="20"/>
  <c r="H263" i="20" s="1"/>
  <c r="E227" i="20"/>
  <c r="U223" i="20"/>
  <c r="O234" i="20" s="1"/>
  <c r="U224" i="20"/>
  <c r="S235" i="20" s="1"/>
  <c r="K225" i="20"/>
  <c r="H236" i="20" s="1"/>
  <c r="K221" i="20"/>
  <c r="F232" i="20" s="1"/>
  <c r="U222" i="20"/>
  <c r="O233" i="20" s="1"/>
  <c r="R227" i="20"/>
  <c r="U226" i="20"/>
  <c r="P237" i="20" s="1"/>
  <c r="K224" i="20"/>
  <c r="E235" i="20" s="1"/>
  <c r="S227" i="20"/>
  <c r="U225" i="20"/>
  <c r="R236" i="20" s="1"/>
  <c r="Q227" i="20"/>
  <c r="U221" i="20"/>
  <c r="R232" i="20" s="1"/>
  <c r="F266" i="20"/>
  <c r="E266" i="20"/>
  <c r="Q37" i="20"/>
  <c r="N49" i="20"/>
  <c r="G37" i="20"/>
  <c r="E49" i="20"/>
  <c r="O49" i="20"/>
  <c r="F49" i="20"/>
  <c r="P49" i="20"/>
  <c r="N37" i="20"/>
  <c r="D49" i="20"/>
  <c r="D37" i="20"/>
  <c r="P118" i="9" l="1"/>
  <c r="R99" i="9"/>
  <c r="U99" i="9"/>
  <c r="R100" i="9"/>
  <c r="S100" i="9"/>
  <c r="P73" i="9"/>
  <c r="T73" i="9"/>
  <c r="P69" i="9"/>
  <c r="R237" i="20"/>
  <c r="T234" i="20"/>
  <c r="P232" i="20"/>
  <c r="O236" i="20"/>
  <c r="Q233" i="20"/>
  <c r="T235" i="20"/>
  <c r="Q236" i="20"/>
  <c r="R234" i="20"/>
  <c r="S233" i="20"/>
  <c r="T236" i="20"/>
  <c r="P234" i="20"/>
  <c r="O232" i="20"/>
  <c r="Q235" i="20"/>
  <c r="S232" i="20"/>
  <c r="P235" i="20"/>
  <c r="Q234" i="20"/>
  <c r="P233" i="20"/>
  <c r="O237" i="20"/>
  <c r="P236" i="20"/>
  <c r="R233" i="20"/>
  <c r="Q237" i="20"/>
  <c r="S234" i="20"/>
  <c r="T237" i="20"/>
  <c r="T233" i="20"/>
  <c r="Q232" i="20"/>
  <c r="S237" i="20"/>
  <c r="O235" i="20"/>
  <c r="R235" i="20"/>
  <c r="T232" i="20"/>
  <c r="S236" i="20"/>
  <c r="P100" i="9"/>
  <c r="Q118" i="9"/>
  <c r="Q100" i="9"/>
  <c r="U100" i="9"/>
  <c r="L56" i="9"/>
  <c r="S99" i="9"/>
  <c r="T69" i="9"/>
  <c r="T99" i="9"/>
  <c r="S118" i="9"/>
  <c r="Q99" i="9"/>
  <c r="T118" i="9"/>
  <c r="S29" i="9"/>
  <c r="L35" i="9"/>
  <c r="T68" i="9"/>
  <c r="L74" i="9"/>
  <c r="S103" i="9"/>
  <c r="P6" i="9"/>
  <c r="L12" i="9"/>
  <c r="L13" i="9" s="1"/>
  <c r="Q103" i="9"/>
  <c r="S119" i="9"/>
  <c r="E116" i="25"/>
  <c r="O118" i="25"/>
  <c r="F116" i="25"/>
  <c r="Q117" i="25"/>
  <c r="F115" i="25"/>
  <c r="P116" i="25"/>
  <c r="E115" i="25"/>
  <c r="E118" i="25"/>
  <c r="G114" i="25"/>
  <c r="O116" i="25"/>
  <c r="R116" i="25" s="1"/>
  <c r="P114" i="25"/>
  <c r="F118" i="25"/>
  <c r="G113" i="25"/>
  <c r="E113" i="25"/>
  <c r="O113" i="25"/>
  <c r="Q114" i="25"/>
  <c r="E114" i="25"/>
  <c r="P118" i="25"/>
  <c r="G117" i="25"/>
  <c r="E117" i="25"/>
  <c r="O117" i="25"/>
  <c r="F113" i="25"/>
  <c r="F117" i="25"/>
  <c r="Q113" i="25"/>
  <c r="Q115" i="25"/>
  <c r="O115" i="25"/>
  <c r="R69" i="9"/>
  <c r="Q69" i="9"/>
  <c r="R73" i="9"/>
  <c r="Q71" i="9"/>
  <c r="G80" i="25"/>
  <c r="F81" i="25"/>
  <c r="F80" i="25"/>
  <c r="P82" i="25"/>
  <c r="O79" i="25"/>
  <c r="G79" i="25"/>
  <c r="Q79" i="25"/>
  <c r="P80" i="25"/>
  <c r="F83" i="25"/>
  <c r="F79" i="25"/>
  <c r="Q84" i="25"/>
  <c r="E82" i="25"/>
  <c r="G84" i="25"/>
  <c r="O80" i="25"/>
  <c r="E81" i="25"/>
  <c r="P84" i="25"/>
  <c r="F84" i="25"/>
  <c r="H84" i="25" s="1"/>
  <c r="P81" i="25"/>
  <c r="Q83" i="25"/>
  <c r="G82" i="25"/>
  <c r="O83" i="25"/>
  <c r="Q81" i="25"/>
  <c r="E83" i="25"/>
  <c r="O82" i="25"/>
  <c r="G233" i="20"/>
  <c r="J235" i="20"/>
  <c r="G237" i="20"/>
  <c r="J232" i="20"/>
  <c r="I235" i="20"/>
  <c r="F233" i="20"/>
  <c r="I236" i="20"/>
  <c r="G236" i="20"/>
  <c r="E236" i="20"/>
  <c r="F236" i="20"/>
  <c r="H235" i="20"/>
  <c r="E237" i="20"/>
  <c r="J237" i="20"/>
  <c r="G235" i="20"/>
  <c r="J236" i="20"/>
  <c r="J234" i="20"/>
  <c r="H234" i="20"/>
  <c r="F234" i="20"/>
  <c r="I234" i="20"/>
  <c r="I233" i="20"/>
  <c r="F235" i="20"/>
  <c r="G234" i="20"/>
  <c r="H233" i="20"/>
  <c r="F237" i="20"/>
  <c r="I232" i="20"/>
  <c r="G232" i="20"/>
  <c r="E232" i="20"/>
  <c r="H232" i="20"/>
  <c r="I237" i="20"/>
  <c r="E233" i="20"/>
  <c r="E234" i="20"/>
  <c r="H71" i="25"/>
  <c r="E72" i="25" s="1"/>
  <c r="R106" i="25"/>
  <c r="Q107" i="25" s="1"/>
  <c r="R71" i="25"/>
  <c r="O72" i="25" s="1"/>
  <c r="H106" i="25"/>
  <c r="E107" i="25" s="1"/>
  <c r="K251" i="20"/>
  <c r="Q101" i="9"/>
  <c r="R118" i="9"/>
  <c r="Q116" i="9"/>
  <c r="Q10" i="9"/>
  <c r="Q73" i="9"/>
  <c r="P121" i="9"/>
  <c r="U117" i="9"/>
  <c r="S117" i="9"/>
  <c r="Q117" i="9"/>
  <c r="T72" i="9"/>
  <c r="S71" i="9"/>
  <c r="T98" i="9"/>
  <c r="S101" i="9"/>
  <c r="R117" i="9"/>
  <c r="U103" i="9"/>
  <c r="R101" i="9"/>
  <c r="P101" i="9"/>
  <c r="U101" i="9"/>
  <c r="R103" i="9"/>
  <c r="P71" i="9"/>
  <c r="T116" i="9"/>
  <c r="R116" i="9"/>
  <c r="P116" i="9"/>
  <c r="M122" i="9"/>
  <c r="U121" i="9"/>
  <c r="S121" i="9"/>
  <c r="Q121" i="9"/>
  <c r="T71" i="9"/>
  <c r="M104" i="9"/>
  <c r="U98" i="9"/>
  <c r="S98" i="9"/>
  <c r="Q98" i="9"/>
  <c r="Q120" i="9"/>
  <c r="Q119" i="9"/>
  <c r="T102" i="9"/>
  <c r="U116" i="9"/>
  <c r="T120" i="9"/>
  <c r="R120" i="9"/>
  <c r="P120" i="9"/>
  <c r="T119" i="9"/>
  <c r="R119" i="9"/>
  <c r="P119" i="9"/>
  <c r="U102" i="9"/>
  <c r="S102" i="9"/>
  <c r="Q102" i="9"/>
  <c r="P117" i="9"/>
  <c r="T121" i="9"/>
  <c r="R98" i="9"/>
  <c r="U120" i="9"/>
  <c r="T103" i="9"/>
  <c r="P102" i="9"/>
  <c r="R10" i="9"/>
  <c r="P10" i="9"/>
  <c r="Q72" i="9"/>
  <c r="S52" i="9"/>
  <c r="P34" i="9"/>
  <c r="Q6" i="9"/>
  <c r="S31" i="9"/>
  <c r="T10" i="9"/>
  <c r="R70" i="9"/>
  <c r="T6" i="9"/>
  <c r="S32" i="9"/>
  <c r="S70" i="9"/>
  <c r="P32" i="9"/>
  <c r="P30" i="9"/>
  <c r="R6" i="9"/>
  <c r="S55" i="9"/>
  <c r="S72" i="9"/>
  <c r="P72" i="9"/>
  <c r="U72" i="9" s="1"/>
  <c r="P70" i="9"/>
  <c r="T70" i="9"/>
  <c r="R68" i="9"/>
  <c r="S51" i="9"/>
  <c r="Q68" i="9"/>
  <c r="S68" i="9"/>
  <c r="P68" i="9"/>
  <c r="S54" i="9"/>
  <c r="Q54" i="9"/>
  <c r="R34" i="9"/>
  <c r="T32" i="9"/>
  <c r="S7" i="9"/>
  <c r="S50" i="9"/>
  <c r="Q50" i="9"/>
  <c r="S53" i="9"/>
  <c r="Q53" i="9"/>
  <c r="T54" i="9"/>
  <c r="R55" i="9"/>
  <c r="P55" i="9"/>
  <c r="P53" i="9"/>
  <c r="R11" i="9"/>
  <c r="T52" i="9"/>
  <c r="R52" i="9"/>
  <c r="P52" i="9"/>
  <c r="R50" i="9"/>
  <c r="R54" i="9"/>
  <c r="Q51" i="9"/>
  <c r="T50" i="9"/>
  <c r="R51" i="9"/>
  <c r="P51" i="9"/>
  <c r="Q55" i="9"/>
  <c r="R53" i="9"/>
  <c r="P50" i="9"/>
  <c r="Q32" i="9"/>
  <c r="Q11" i="9"/>
  <c r="P11" i="9"/>
  <c r="T7" i="9"/>
  <c r="Q31" i="9"/>
  <c r="T34" i="9"/>
  <c r="T11" i="9"/>
  <c r="R7" i="9"/>
  <c r="T31" i="9"/>
  <c r="Q8" i="9"/>
  <c r="Q29" i="9"/>
  <c r="Q7" i="9"/>
  <c r="T30" i="9"/>
  <c r="P31" i="9"/>
  <c r="T29" i="9"/>
  <c r="R29" i="9"/>
  <c r="P29" i="9"/>
  <c r="T33" i="9"/>
  <c r="R33" i="9"/>
  <c r="P33" i="9"/>
  <c r="Q34" i="9"/>
  <c r="S33" i="9"/>
  <c r="Q33" i="9"/>
  <c r="Q9" i="9"/>
  <c r="P9" i="9"/>
  <c r="S9" i="9"/>
  <c r="Q30" i="9"/>
  <c r="P8" i="9"/>
  <c r="S8" i="9"/>
  <c r="R8" i="9"/>
  <c r="T9" i="9"/>
  <c r="R30" i="9"/>
  <c r="K306" i="20"/>
  <c r="U227" i="20"/>
  <c r="K227" i="20"/>
  <c r="G266" i="20"/>
  <c r="H260" i="20"/>
  <c r="H266" i="20" s="1"/>
  <c r="H79" i="25" l="1"/>
  <c r="H114" i="25"/>
  <c r="H116" i="25"/>
  <c r="V100" i="9"/>
  <c r="U232" i="20"/>
  <c r="U234" i="20"/>
  <c r="U233" i="20"/>
  <c r="U237" i="20"/>
  <c r="U236" i="20"/>
  <c r="U235" i="20"/>
  <c r="V118" i="9"/>
  <c r="V99" i="9"/>
  <c r="V103" i="9"/>
  <c r="U69" i="9"/>
  <c r="U6" i="9"/>
  <c r="V98" i="9"/>
  <c r="G13" i="9"/>
  <c r="J13" i="9"/>
  <c r="I13" i="9"/>
  <c r="H13" i="9"/>
  <c r="U73" i="9"/>
  <c r="K13" i="9"/>
  <c r="R114" i="25"/>
  <c r="R118" i="25"/>
  <c r="H115" i="25"/>
  <c r="R80" i="25"/>
  <c r="R117" i="25"/>
  <c r="H117" i="25"/>
  <c r="H118" i="25"/>
  <c r="R113" i="25"/>
  <c r="H81" i="25"/>
  <c r="H80" i="25"/>
  <c r="R115" i="25"/>
  <c r="H113" i="25"/>
  <c r="G72" i="25"/>
  <c r="R81" i="25"/>
  <c r="R83" i="25"/>
  <c r="R79" i="25"/>
  <c r="R82" i="25"/>
  <c r="F107" i="25"/>
  <c r="O107" i="25"/>
  <c r="P72" i="25"/>
  <c r="Q72" i="25"/>
  <c r="G107" i="25"/>
  <c r="P107" i="25"/>
  <c r="H82" i="25"/>
  <c r="K235" i="20"/>
  <c r="K234" i="20"/>
  <c r="K232" i="20"/>
  <c r="H83" i="25"/>
  <c r="F72" i="25"/>
  <c r="H72" i="25" s="1"/>
  <c r="R84" i="25"/>
  <c r="K233" i="20"/>
  <c r="K237" i="20"/>
  <c r="K236" i="20"/>
  <c r="V120" i="9"/>
  <c r="V102" i="9"/>
  <c r="V119" i="9"/>
  <c r="U71" i="9"/>
  <c r="V117" i="9"/>
  <c r="V116" i="9"/>
  <c r="U52" i="9"/>
  <c r="U10" i="9"/>
  <c r="V121" i="9"/>
  <c r="V101" i="9"/>
  <c r="U68" i="9"/>
  <c r="U53" i="9"/>
  <c r="U7" i="9"/>
  <c r="U32" i="9"/>
  <c r="U51" i="9"/>
  <c r="U70" i="9"/>
  <c r="U50" i="9"/>
  <c r="U29" i="9"/>
  <c r="U55" i="9"/>
  <c r="U34" i="9"/>
  <c r="U31" i="9"/>
  <c r="U33" i="9"/>
  <c r="U11" i="9"/>
  <c r="U30" i="9"/>
  <c r="U8" i="9"/>
  <c r="U9" i="9"/>
  <c r="R107" i="25" l="1"/>
  <c r="R72" i="25"/>
  <c r="H107" i="25"/>
  <c r="P62" i="20" l="1"/>
  <c r="P63" i="20"/>
  <c r="P64" i="20"/>
  <c r="P65" i="20"/>
  <c r="P66" i="20"/>
  <c r="O62" i="20"/>
  <c r="O63" i="20"/>
  <c r="O64" i="20"/>
  <c r="O65" i="20"/>
  <c r="O66" i="20"/>
  <c r="P61" i="20"/>
  <c r="O61" i="20"/>
  <c r="N62" i="20"/>
  <c r="N63" i="20"/>
  <c r="N64" i="20"/>
  <c r="N65" i="20"/>
  <c r="N66" i="20"/>
  <c r="N61" i="20"/>
  <c r="D61" i="20"/>
  <c r="P18" i="20"/>
  <c r="P19" i="20"/>
  <c r="P20" i="20"/>
  <c r="P21" i="20"/>
  <c r="P22" i="20"/>
  <c r="P23" i="20"/>
  <c r="O18" i="20"/>
  <c r="O19" i="20"/>
  <c r="O20" i="20"/>
  <c r="O21" i="20"/>
  <c r="O22" i="20"/>
  <c r="O23" i="20"/>
  <c r="F62" i="20"/>
  <c r="F63" i="20"/>
  <c r="F64" i="20"/>
  <c r="F65" i="20"/>
  <c r="F66" i="20"/>
  <c r="F61" i="20"/>
  <c r="E62" i="20"/>
  <c r="E63" i="20"/>
  <c r="E64" i="20"/>
  <c r="E65" i="20"/>
  <c r="E66" i="20"/>
  <c r="E61" i="20"/>
  <c r="D62" i="20"/>
  <c r="D63" i="20"/>
  <c r="D64" i="20"/>
  <c r="D65" i="20"/>
  <c r="D66" i="20"/>
  <c r="P6" i="20"/>
  <c r="P7" i="20"/>
  <c r="P8" i="20"/>
  <c r="P9" i="20"/>
  <c r="P10" i="20"/>
  <c r="P11" i="20"/>
  <c r="F6" i="20"/>
  <c r="O6" i="20"/>
  <c r="O7" i="20"/>
  <c r="O8" i="20"/>
  <c r="O9" i="20"/>
  <c r="O10" i="20"/>
  <c r="O11" i="20"/>
  <c r="E6" i="20"/>
  <c r="N6" i="20"/>
  <c r="N7" i="20"/>
  <c r="N8" i="20"/>
  <c r="N9" i="20"/>
  <c r="N10" i="20"/>
  <c r="N11" i="20"/>
  <c r="D6" i="20"/>
  <c r="D18" i="20"/>
  <c r="E18" i="20"/>
  <c r="E19" i="20"/>
  <c r="E20" i="20"/>
  <c r="E21" i="20"/>
  <c r="E22" i="20"/>
  <c r="E23" i="20"/>
  <c r="F18" i="20"/>
  <c r="F19" i="20"/>
  <c r="F20" i="20"/>
  <c r="F21" i="20"/>
  <c r="F22" i="20"/>
  <c r="F23" i="20"/>
  <c r="F7" i="20"/>
  <c r="F8" i="20"/>
  <c r="F9" i="20"/>
  <c r="F10" i="20"/>
  <c r="F11" i="20"/>
  <c r="E7" i="20"/>
  <c r="E8" i="20"/>
  <c r="E9" i="20"/>
  <c r="E10" i="20"/>
  <c r="E11" i="20"/>
  <c r="D7" i="20"/>
  <c r="D8" i="20"/>
  <c r="D9" i="20"/>
  <c r="D10" i="20"/>
  <c r="D11" i="20"/>
  <c r="X5" i="13"/>
  <c r="G7" i="20" l="1"/>
  <c r="G6" i="20"/>
  <c r="Q8" i="20"/>
  <c r="Q11" i="20"/>
  <c r="Q7" i="20"/>
  <c r="Q9" i="20"/>
  <c r="Q10" i="20"/>
  <c r="Q6" i="20"/>
  <c r="Q61" i="20"/>
  <c r="Q12" i="20" l="1"/>
  <c r="Q168" i="20" s="1"/>
  <c r="AG81" i="16"/>
  <c r="AH81" i="16"/>
  <c r="AH46" i="16"/>
  <c r="AI46" i="16"/>
  <c r="T46" i="16"/>
  <c r="U46" i="16"/>
  <c r="AI81" i="16" l="1"/>
  <c r="AP77" i="16" s="1"/>
  <c r="AH10" i="16"/>
  <c r="AG10" i="16"/>
  <c r="T10" i="16"/>
  <c r="U10" i="16"/>
  <c r="AJ46" i="16" l="1"/>
  <c r="AP42" i="16" s="1"/>
  <c r="V46" i="16"/>
  <c r="AI10" i="16"/>
  <c r="AO6" i="16" s="1"/>
  <c r="P177" i="20"/>
  <c r="P178" i="20"/>
  <c r="P179" i="20"/>
  <c r="P180" i="20"/>
  <c r="P181" i="20"/>
  <c r="P182" i="20"/>
  <c r="O177" i="20"/>
  <c r="O178" i="20"/>
  <c r="O179" i="20"/>
  <c r="O180" i="20"/>
  <c r="O181" i="20"/>
  <c r="O182" i="20"/>
  <c r="N177" i="20"/>
  <c r="N178" i="20"/>
  <c r="N179" i="20"/>
  <c r="N180" i="20"/>
  <c r="N181" i="20"/>
  <c r="N182" i="20"/>
  <c r="F177" i="20"/>
  <c r="F178" i="20"/>
  <c r="F179" i="20"/>
  <c r="F180" i="20"/>
  <c r="F181" i="20"/>
  <c r="F182" i="20"/>
  <c r="F183" i="20"/>
  <c r="E177" i="20"/>
  <c r="E178" i="20"/>
  <c r="E179" i="20"/>
  <c r="E180" i="20"/>
  <c r="E181" i="20"/>
  <c r="E182" i="20"/>
  <c r="E183" i="20"/>
  <c r="D177" i="20"/>
  <c r="D178" i="20"/>
  <c r="D179" i="20"/>
  <c r="D180" i="20"/>
  <c r="D181" i="20"/>
  <c r="D182" i="20"/>
  <c r="D183" i="20"/>
  <c r="D19" i="20"/>
  <c r="D20" i="20"/>
  <c r="D21" i="20"/>
  <c r="D22" i="20"/>
  <c r="D23" i="20"/>
  <c r="N18" i="20"/>
  <c r="Q18" i="20" s="1"/>
  <c r="N19" i="20"/>
  <c r="N20" i="20"/>
  <c r="N21" i="20"/>
  <c r="N22" i="20"/>
  <c r="N23" i="20"/>
  <c r="C20" i="19"/>
  <c r="B20" i="19"/>
  <c r="C19" i="19"/>
  <c r="C18" i="19"/>
  <c r="B18" i="19"/>
  <c r="C17" i="19"/>
  <c r="B17" i="19"/>
  <c r="C16" i="19"/>
  <c r="B16" i="19"/>
  <c r="C15" i="19"/>
  <c r="B15" i="19"/>
  <c r="C14" i="19"/>
  <c r="B14" i="19"/>
  <c r="H14" i="19" l="1"/>
  <c r="H18" i="19"/>
  <c r="N29" i="19" s="1"/>
  <c r="O29" i="19" s="1"/>
  <c r="B19" i="19"/>
  <c r="D19" i="19" s="1"/>
  <c r="G183" i="20"/>
  <c r="G179" i="20"/>
  <c r="Q180" i="20"/>
  <c r="E25" i="19"/>
  <c r="F25" i="19" s="1"/>
  <c r="N25" i="19"/>
  <c r="O25" i="19" s="1"/>
  <c r="H15" i="19"/>
  <c r="G182" i="20"/>
  <c r="G178" i="20"/>
  <c r="Q183" i="20"/>
  <c r="Q179" i="20"/>
  <c r="H17" i="19"/>
  <c r="H19" i="19"/>
  <c r="H16" i="19"/>
  <c r="G181" i="20"/>
  <c r="G177" i="20"/>
  <c r="Q182" i="20"/>
  <c r="Q178" i="20"/>
  <c r="G180" i="20"/>
  <c r="Q181" i="20"/>
  <c r="Q177" i="20"/>
  <c r="Q63" i="20"/>
  <c r="N99" i="20" s="1"/>
  <c r="G66" i="20"/>
  <c r="E102" i="20" s="1"/>
  <c r="N97" i="20"/>
  <c r="Q64" i="20"/>
  <c r="P100" i="20" s="1"/>
  <c r="Q66" i="20"/>
  <c r="N102" i="20" s="1"/>
  <c r="P67" i="20"/>
  <c r="P88" i="20" s="1"/>
  <c r="G64" i="20"/>
  <c r="D100" i="20" s="1"/>
  <c r="F67" i="20"/>
  <c r="F90" i="20" s="1"/>
  <c r="Q65" i="20"/>
  <c r="P101" i="20" s="1"/>
  <c r="Q62" i="20"/>
  <c r="N98" i="20" s="1"/>
  <c r="O67" i="20"/>
  <c r="O85" i="20" s="1"/>
  <c r="G63" i="20"/>
  <c r="F99" i="20" s="1"/>
  <c r="E67" i="20"/>
  <c r="E87" i="20" s="1"/>
  <c r="N67" i="20"/>
  <c r="N86" i="20" s="1"/>
  <c r="G62" i="20"/>
  <c r="E98" i="20" s="1"/>
  <c r="D67" i="20"/>
  <c r="D89" i="20" s="1"/>
  <c r="G65" i="20"/>
  <c r="F101" i="20" s="1"/>
  <c r="G61" i="20"/>
  <c r="E97" i="20" s="1"/>
  <c r="Q19" i="20"/>
  <c r="F12" i="20"/>
  <c r="E12" i="20"/>
  <c r="D12" i="20"/>
  <c r="Q22" i="20"/>
  <c r="O24" i="20"/>
  <c r="P24" i="20"/>
  <c r="G21" i="20"/>
  <c r="E24" i="20"/>
  <c r="G20" i="20"/>
  <c r="Q21" i="20"/>
  <c r="Q23" i="20"/>
  <c r="Q20" i="20"/>
  <c r="G18" i="20"/>
  <c r="G22" i="20"/>
  <c r="F24" i="20"/>
  <c r="G19" i="20"/>
  <c r="G23" i="20"/>
  <c r="N24" i="20"/>
  <c r="D24" i="20"/>
  <c r="N12" i="20"/>
  <c r="O12" i="20"/>
  <c r="P12" i="20"/>
  <c r="D15" i="19"/>
  <c r="G15" i="19"/>
  <c r="D17" i="19"/>
  <c r="G17" i="19"/>
  <c r="G14" i="19"/>
  <c r="D14" i="19"/>
  <c r="G16" i="19"/>
  <c r="D16" i="19"/>
  <c r="G18" i="19"/>
  <c r="D18" i="19"/>
  <c r="D20" i="19"/>
  <c r="G20" i="19" s="1"/>
  <c r="G19" i="19" l="1"/>
  <c r="E29" i="19"/>
  <c r="F29" i="19" s="1"/>
  <c r="D168" i="20"/>
  <c r="D171" i="20"/>
  <c r="N168" i="20"/>
  <c r="N185" i="20" s="1"/>
  <c r="N171" i="20"/>
  <c r="P168" i="20"/>
  <c r="P185" i="20" s="1"/>
  <c r="P171" i="20"/>
  <c r="E168" i="20"/>
  <c r="E171" i="20"/>
  <c r="O168" i="20"/>
  <c r="O185" i="20" s="1"/>
  <c r="O171" i="20"/>
  <c r="F168" i="20"/>
  <c r="F171" i="20"/>
  <c r="F88" i="20"/>
  <c r="P97" i="20"/>
  <c r="D102" i="20"/>
  <c r="P87" i="20"/>
  <c r="P102" i="20"/>
  <c r="P99" i="20"/>
  <c r="O97" i="20"/>
  <c r="E89" i="20"/>
  <c r="P89" i="20"/>
  <c r="V10" i="16"/>
  <c r="C29" i="19"/>
  <c r="B29" i="19" s="1"/>
  <c r="L29" i="19"/>
  <c r="K29" i="19" s="1"/>
  <c r="C25" i="19"/>
  <c r="B25" i="19" s="1"/>
  <c r="L25" i="19"/>
  <c r="K25" i="19" s="1"/>
  <c r="I17" i="19"/>
  <c r="O99" i="20"/>
  <c r="P86" i="20"/>
  <c r="E30" i="19"/>
  <c r="F30" i="19" s="1"/>
  <c r="N30" i="19"/>
  <c r="O30" i="19" s="1"/>
  <c r="C27" i="19"/>
  <c r="B27" i="19" s="1"/>
  <c r="L27" i="19"/>
  <c r="K27" i="19" s="1"/>
  <c r="F102" i="20"/>
  <c r="H20" i="19"/>
  <c r="C30" i="19"/>
  <c r="B30" i="19" s="1"/>
  <c r="L30" i="19"/>
  <c r="K30" i="19" s="1"/>
  <c r="C26" i="19"/>
  <c r="B26" i="19" s="1"/>
  <c r="L26" i="19"/>
  <c r="K26" i="19" s="1"/>
  <c r="P85" i="20"/>
  <c r="P90" i="20"/>
  <c r="O102" i="20"/>
  <c r="E28" i="19"/>
  <c r="F28" i="19" s="1"/>
  <c r="N28" i="19"/>
  <c r="O28" i="19" s="1"/>
  <c r="C28" i="19"/>
  <c r="B28" i="19" s="1"/>
  <c r="L28" i="19"/>
  <c r="K28" i="19" s="1"/>
  <c r="E27" i="19"/>
  <c r="F27" i="19" s="1"/>
  <c r="N27" i="19"/>
  <c r="O27" i="19" s="1"/>
  <c r="E26" i="19"/>
  <c r="F26" i="19" s="1"/>
  <c r="N26" i="19"/>
  <c r="O26" i="19" s="1"/>
  <c r="N100" i="20"/>
  <c r="N85" i="20"/>
  <c r="N87" i="20"/>
  <c r="N88" i="20"/>
  <c r="N89" i="20"/>
  <c r="F87" i="20"/>
  <c r="N90" i="20"/>
  <c r="O100" i="20"/>
  <c r="O89" i="20"/>
  <c r="O87" i="20"/>
  <c r="E85" i="20"/>
  <c r="O88" i="20"/>
  <c r="E86" i="20"/>
  <c r="E100" i="20"/>
  <c r="F86" i="20"/>
  <c r="D97" i="20"/>
  <c r="E99" i="20"/>
  <c r="D98" i="20"/>
  <c r="O98" i="20"/>
  <c r="D85" i="20"/>
  <c r="D90" i="20"/>
  <c r="E90" i="20"/>
  <c r="E101" i="20"/>
  <c r="E88" i="20"/>
  <c r="D99" i="20"/>
  <c r="G67" i="20"/>
  <c r="F97" i="20"/>
  <c r="D101" i="20"/>
  <c r="D87" i="20"/>
  <c r="F98" i="20"/>
  <c r="O101" i="20"/>
  <c r="F100" i="20"/>
  <c r="D88" i="20"/>
  <c r="N101" i="20"/>
  <c r="D86" i="20"/>
  <c r="Q67" i="20"/>
  <c r="Q86" i="20" s="1"/>
  <c r="O86" i="20"/>
  <c r="O90" i="20"/>
  <c r="P98" i="20"/>
  <c r="Q98" i="20" s="1"/>
  <c r="F89" i="20"/>
  <c r="F85" i="20"/>
  <c r="Q24" i="20"/>
  <c r="O25" i="20" s="1"/>
  <c r="G24" i="20"/>
  <c r="D25" i="20" s="1"/>
  <c r="I18" i="19"/>
  <c r="E11" i="19"/>
  <c r="I14" i="19"/>
  <c r="I16" i="19"/>
  <c r="I19" i="19"/>
  <c r="I15" i="19"/>
  <c r="Q171" i="20" l="1"/>
  <c r="P188" i="20" s="1"/>
  <c r="G171" i="20"/>
  <c r="F188" i="20" s="1"/>
  <c r="I20" i="19"/>
  <c r="Q99" i="20"/>
  <c r="Q97" i="20"/>
  <c r="G87" i="20"/>
  <c r="D73" i="20"/>
  <c r="D78" i="20"/>
  <c r="D74" i="20"/>
  <c r="D75" i="20"/>
  <c r="D77" i="20"/>
  <c r="D76" i="20"/>
  <c r="N91" i="20"/>
  <c r="P91" i="20"/>
  <c r="Q102" i="20"/>
  <c r="G102" i="20"/>
  <c r="G100" i="20"/>
  <c r="Q100" i="20"/>
  <c r="N13" i="20"/>
  <c r="Q101" i="20"/>
  <c r="O91" i="20"/>
  <c r="Q89" i="20"/>
  <c r="O73" i="20"/>
  <c r="N76" i="20"/>
  <c r="E73" i="20"/>
  <c r="N75" i="20"/>
  <c r="P76" i="20"/>
  <c r="E76" i="20"/>
  <c r="G85" i="20"/>
  <c r="P73" i="20"/>
  <c r="F75" i="20"/>
  <c r="E75" i="20"/>
  <c r="F74" i="20"/>
  <c r="F77" i="20"/>
  <c r="E74" i="20"/>
  <c r="G89" i="20"/>
  <c r="G88" i="20"/>
  <c r="N73" i="20"/>
  <c r="N77" i="20"/>
  <c r="E91" i="20"/>
  <c r="F78" i="20"/>
  <c r="E78" i="20"/>
  <c r="G90" i="20"/>
  <c r="E77" i="20"/>
  <c r="F73" i="20"/>
  <c r="F76" i="20"/>
  <c r="G86" i="20"/>
  <c r="O76" i="20"/>
  <c r="N74" i="20"/>
  <c r="O77" i="20"/>
  <c r="P77" i="20"/>
  <c r="N78" i="20"/>
  <c r="P74" i="20"/>
  <c r="P75" i="20"/>
  <c r="O75" i="20"/>
  <c r="Q87" i="20"/>
  <c r="Q85" i="20"/>
  <c r="Q90" i="20"/>
  <c r="Q88" i="20"/>
  <c r="O78" i="20"/>
  <c r="P78" i="20"/>
  <c r="O74" i="20"/>
  <c r="F91" i="20"/>
  <c r="G101" i="20"/>
  <c r="G99" i="20"/>
  <c r="G98" i="20"/>
  <c r="G97" i="20"/>
  <c r="D91" i="20"/>
  <c r="O13" i="20"/>
  <c r="P25" i="20"/>
  <c r="N25" i="20"/>
  <c r="P13" i="20"/>
  <c r="E25" i="20"/>
  <c r="F25" i="20"/>
  <c r="D188" i="20" l="1"/>
  <c r="O188" i="20"/>
  <c r="N188" i="20"/>
  <c r="Q188" i="20" s="1"/>
  <c r="E188" i="20"/>
  <c r="O79" i="20"/>
  <c r="P79" i="20"/>
  <c r="D79" i="20"/>
  <c r="N79" i="20"/>
  <c r="G73" i="20"/>
  <c r="Q25" i="20"/>
  <c r="G76" i="20"/>
  <c r="G78" i="20"/>
  <c r="G77" i="20"/>
  <c r="Q73" i="20"/>
  <c r="F79" i="20"/>
  <c r="G91" i="20"/>
  <c r="G74" i="20"/>
  <c r="G75" i="20"/>
  <c r="Q75" i="20"/>
  <c r="Q76" i="20"/>
  <c r="E79" i="20"/>
  <c r="Q77" i="20"/>
  <c r="Q74" i="20"/>
  <c r="Q91" i="20"/>
  <c r="Q78" i="20"/>
  <c r="Q13" i="20"/>
  <c r="G25" i="20"/>
  <c r="M144" i="9"/>
  <c r="M148" i="9"/>
  <c r="M146" i="9"/>
  <c r="M149" i="9"/>
  <c r="M145" i="9"/>
  <c r="M147" i="9"/>
  <c r="G188" i="20" l="1"/>
  <c r="S144" i="9"/>
  <c r="R144" i="9"/>
  <c r="P144" i="9"/>
  <c r="Q144" i="9"/>
  <c r="U144" i="9"/>
  <c r="T144" i="9"/>
  <c r="P149" i="9"/>
  <c r="S149" i="9"/>
  <c r="U149" i="9"/>
  <c r="R149" i="9"/>
  <c r="Q149" i="9"/>
  <c r="T149" i="9"/>
  <c r="P146" i="9"/>
  <c r="T146" i="9"/>
  <c r="U146" i="9"/>
  <c r="Q146" i="9"/>
  <c r="R146" i="9"/>
  <c r="S146" i="9"/>
  <c r="T145" i="9"/>
  <c r="P145" i="9"/>
  <c r="R145" i="9"/>
  <c r="S145" i="9"/>
  <c r="U145" i="9"/>
  <c r="Q145" i="9"/>
  <c r="P147" i="9"/>
  <c r="T147" i="9"/>
  <c r="U147" i="9"/>
  <c r="S147" i="9"/>
  <c r="Q147" i="9"/>
  <c r="R147" i="9"/>
  <c r="P148" i="9"/>
  <c r="U148" i="9"/>
  <c r="R148" i="9"/>
  <c r="T148" i="9"/>
  <c r="Q148" i="9"/>
  <c r="S148" i="9"/>
  <c r="M150" i="9"/>
  <c r="J151" i="9" s="1"/>
  <c r="Q79" i="20"/>
  <c r="Q185" i="20"/>
  <c r="G79" i="20"/>
  <c r="V145" i="9" l="1"/>
  <c r="V148" i="9"/>
  <c r="V149" i="9"/>
  <c r="V144" i="9"/>
  <c r="V147" i="9"/>
  <c r="V146" i="9"/>
  <c r="K151" i="9"/>
  <c r="H151" i="9"/>
  <c r="I151" i="9"/>
  <c r="L151" i="9"/>
  <c r="G151" i="9"/>
  <c r="M159" i="9"/>
  <c r="T159" i="9" l="1"/>
  <c r="R159" i="9"/>
  <c r="Q159" i="9"/>
  <c r="S159" i="9"/>
  <c r="U159" i="9"/>
  <c r="P159" i="9"/>
  <c r="M151" i="9"/>
  <c r="V159" i="9" l="1"/>
  <c r="I110" i="16"/>
  <c r="I106" i="16"/>
  <c r="I100" i="16"/>
  <c r="I93" i="16"/>
  <c r="I82" i="16"/>
  <c r="G109" i="16"/>
  <c r="G105" i="16"/>
  <c r="G99" i="16"/>
  <c r="G92" i="16"/>
  <c r="E109" i="16"/>
  <c r="E105" i="16"/>
  <c r="E99" i="16"/>
  <c r="E92" i="16"/>
  <c r="I90" i="16"/>
  <c r="I88" i="16"/>
  <c r="I86" i="16"/>
  <c r="I84" i="16"/>
  <c r="I91" i="16"/>
  <c r="I89" i="16"/>
  <c r="I87" i="16"/>
  <c r="I85" i="16"/>
  <c r="I83" i="16"/>
  <c r="I97" i="16"/>
  <c r="I95" i="16"/>
  <c r="I98" i="16"/>
  <c r="I96" i="16"/>
  <c r="I94" i="16"/>
  <c r="I104" i="16"/>
  <c r="I102" i="16"/>
  <c r="I103" i="16"/>
  <c r="I101" i="16"/>
  <c r="I108" i="16"/>
  <c r="I107" i="16"/>
  <c r="I116" i="16"/>
  <c r="I114" i="16"/>
  <c r="I112" i="16"/>
  <c r="I115" i="16"/>
  <c r="I113" i="16"/>
  <c r="I111" i="16"/>
  <c r="C109" i="16"/>
  <c r="C105" i="16"/>
  <c r="C99" i="16"/>
  <c r="C92" i="16"/>
  <c r="I79" i="16"/>
  <c r="I77" i="16"/>
  <c r="I80" i="16"/>
  <c r="I78" i="16"/>
  <c r="I76" i="16"/>
  <c r="E74" i="16"/>
  <c r="I75" i="16"/>
  <c r="C74" i="16"/>
  <c r="Q10" i="16"/>
  <c r="J10" i="16"/>
  <c r="F26" i="16"/>
  <c r="F24" i="16"/>
  <c r="F27" i="16"/>
  <c r="F25" i="16"/>
  <c r="F23" i="16"/>
  <c r="F29" i="16"/>
  <c r="F37" i="16"/>
  <c r="F35" i="16"/>
  <c r="F33" i="16"/>
  <c r="F31" i="16"/>
  <c r="F38" i="16"/>
  <c r="F36" i="16"/>
  <c r="F34" i="16"/>
  <c r="F32" i="16"/>
  <c r="F30" i="16"/>
  <c r="F55" i="16"/>
  <c r="F54" i="16"/>
  <c r="F63" i="16"/>
  <c r="F61" i="16"/>
  <c r="F59" i="16"/>
  <c r="F62" i="16"/>
  <c r="F60" i="16"/>
  <c r="F58" i="16"/>
  <c r="F57" i="16"/>
  <c r="F53" i="16"/>
  <c r="E56" i="16"/>
  <c r="D56" i="16"/>
  <c r="Y45" i="16" s="1"/>
  <c r="C56" i="16"/>
  <c r="Y9" i="16" s="1"/>
  <c r="E52" i="16"/>
  <c r="D52" i="16"/>
  <c r="Y44" i="16" s="1"/>
  <c r="C52" i="16"/>
  <c r="Y8" i="16" s="1"/>
  <c r="F51" i="16"/>
  <c r="F49" i="16"/>
  <c r="F50" i="16"/>
  <c r="F48" i="16"/>
  <c r="F47" i="16"/>
  <c r="F44" i="16"/>
  <c r="F42" i="16"/>
  <c r="F45" i="16"/>
  <c r="F43" i="16"/>
  <c r="F41" i="16"/>
  <c r="F40" i="16"/>
  <c r="E46" i="16"/>
  <c r="D46" i="16"/>
  <c r="Y43" i="16" s="1"/>
  <c r="C46" i="16"/>
  <c r="Y7" i="16" s="1"/>
  <c r="E39" i="16"/>
  <c r="D39" i="16"/>
  <c r="Y42" i="16" s="1"/>
  <c r="C39" i="16"/>
  <c r="Y6" i="16" s="1"/>
  <c r="E28" i="16"/>
  <c r="D28" i="16"/>
  <c r="Y41" i="16" s="1"/>
  <c r="C28" i="16"/>
  <c r="Y5" i="16" s="1"/>
  <c r="E21" i="16"/>
  <c r="Y75" i="16" s="1"/>
  <c r="C21" i="16"/>
  <c r="Q11" i="16" l="1"/>
  <c r="Q12" i="16"/>
  <c r="Q14" i="16"/>
  <c r="Q13" i="16"/>
  <c r="AL77" i="16"/>
  <c r="Y77" i="16"/>
  <c r="AL80" i="16"/>
  <c r="Y80" i="16"/>
  <c r="AL4" i="16"/>
  <c r="AL76" i="16"/>
  <c r="Y76" i="16"/>
  <c r="AL79" i="16"/>
  <c r="Y79" i="16"/>
  <c r="AL78" i="16"/>
  <c r="Y78" i="16"/>
  <c r="AL5" i="16"/>
  <c r="AM42" i="16"/>
  <c r="AL8" i="16"/>
  <c r="AM45" i="16"/>
  <c r="AM44" i="16"/>
  <c r="AM41" i="16"/>
  <c r="AL7" i="16"/>
  <c r="I74" i="16"/>
  <c r="AL75" i="16"/>
  <c r="X81" i="16"/>
  <c r="AL6" i="16"/>
  <c r="AM43" i="16"/>
  <c r="AL9" i="16"/>
  <c r="X10" i="16"/>
  <c r="M162" i="9"/>
  <c r="M163" i="9"/>
  <c r="M161" i="9"/>
  <c r="M160" i="9"/>
  <c r="M164" i="9"/>
  <c r="I92" i="16"/>
  <c r="I105" i="16"/>
  <c r="E117" i="16"/>
  <c r="I109" i="16"/>
  <c r="G117" i="16"/>
  <c r="I99" i="16"/>
  <c r="C117" i="16"/>
  <c r="F28" i="16"/>
  <c r="F56" i="16"/>
  <c r="F52" i="16"/>
  <c r="F46" i="16"/>
  <c r="F39" i="16"/>
  <c r="E64" i="16"/>
  <c r="C64" i="16"/>
  <c r="AK81" i="16" l="1"/>
  <c r="AP75" i="16" s="1"/>
  <c r="AK10" i="16"/>
  <c r="AO4" i="16" s="1"/>
  <c r="U161" i="9"/>
  <c r="S161" i="9"/>
  <c r="P161" i="9"/>
  <c r="R161" i="9"/>
  <c r="T161" i="9"/>
  <c r="Q161" i="9"/>
  <c r="T163" i="9"/>
  <c r="R163" i="9"/>
  <c r="Q163" i="9"/>
  <c r="P163" i="9"/>
  <c r="S163" i="9"/>
  <c r="U163" i="9"/>
  <c r="T164" i="9"/>
  <c r="Q164" i="9"/>
  <c r="S164" i="9"/>
  <c r="R164" i="9"/>
  <c r="P164" i="9"/>
  <c r="U164" i="9"/>
  <c r="Q162" i="9"/>
  <c r="T162" i="9"/>
  <c r="U162" i="9"/>
  <c r="R162" i="9"/>
  <c r="S162" i="9"/>
  <c r="P162" i="9"/>
  <c r="M165" i="9"/>
  <c r="K166" i="9" s="1"/>
  <c r="S160" i="9"/>
  <c r="T160" i="9"/>
  <c r="Q160" i="9"/>
  <c r="R160" i="9"/>
  <c r="P160" i="9"/>
  <c r="U160" i="9"/>
  <c r="I117" i="16"/>
  <c r="D75" i="16" s="1"/>
  <c r="G166" i="9" l="1"/>
  <c r="J166" i="9"/>
  <c r="I166" i="9"/>
  <c r="H166" i="9"/>
  <c r="L166" i="9"/>
  <c r="V162" i="9"/>
  <c r="V161" i="9"/>
  <c r="V160" i="9"/>
  <c r="V163" i="9"/>
  <c r="V164" i="9"/>
  <c r="F90" i="16"/>
  <c r="F94" i="16"/>
  <c r="D83" i="16"/>
  <c r="D115" i="16"/>
  <c r="H115" i="16"/>
  <c r="H79" i="16"/>
  <c r="F89" i="16"/>
  <c r="F83" i="16"/>
  <c r="F100" i="16"/>
  <c r="D94" i="16"/>
  <c r="F75" i="16"/>
  <c r="H113" i="16"/>
  <c r="D103" i="16"/>
  <c r="F107" i="16"/>
  <c r="D76" i="16"/>
  <c r="H93" i="16"/>
  <c r="D101" i="16"/>
  <c r="H94" i="16"/>
  <c r="F112" i="16"/>
  <c r="D113" i="16"/>
  <c r="D90" i="16"/>
  <c r="H87" i="16"/>
  <c r="H100" i="16"/>
  <c r="H85" i="16"/>
  <c r="H103" i="16"/>
  <c r="D89" i="16"/>
  <c r="H77" i="16"/>
  <c r="F85" i="16"/>
  <c r="F111" i="16"/>
  <c r="D95" i="16"/>
  <c r="D110" i="16"/>
  <c r="F76" i="16"/>
  <c r="D80" i="16"/>
  <c r="H91" i="16"/>
  <c r="F84" i="16"/>
  <c r="F97" i="16"/>
  <c r="H101" i="16"/>
  <c r="H107" i="16"/>
  <c r="H114" i="16"/>
  <c r="D91" i="16"/>
  <c r="D102" i="16"/>
  <c r="H89" i="16"/>
  <c r="F87" i="16"/>
  <c r="F82" i="16"/>
  <c r="H98" i="16"/>
  <c r="H104" i="16"/>
  <c r="H108" i="16"/>
  <c r="H112" i="16"/>
  <c r="F116" i="16"/>
  <c r="D84" i="16"/>
  <c r="D98" i="16"/>
  <c r="D104" i="16"/>
  <c r="D112" i="16"/>
  <c r="H75" i="16"/>
  <c r="D78" i="16"/>
  <c r="F98" i="16"/>
  <c r="H110" i="16"/>
  <c r="D100" i="16"/>
  <c r="H76" i="16"/>
  <c r="F80" i="16"/>
  <c r="D79" i="16"/>
  <c r="H86" i="16"/>
  <c r="F88" i="16"/>
  <c r="H96" i="16"/>
  <c r="F101" i="16"/>
  <c r="H106" i="16"/>
  <c r="F115" i="16"/>
  <c r="D86" i="16"/>
  <c r="D107" i="16"/>
  <c r="H84" i="16"/>
  <c r="F91" i="16"/>
  <c r="F96" i="16"/>
  <c r="H97" i="16"/>
  <c r="F103" i="16"/>
  <c r="F108" i="16"/>
  <c r="H116" i="16"/>
  <c r="F110" i="16"/>
  <c r="D88" i="16"/>
  <c r="D97" i="16"/>
  <c r="D108" i="16"/>
  <c r="D116" i="16"/>
  <c r="F78" i="16"/>
  <c r="D77" i="16"/>
  <c r="H102" i="16"/>
  <c r="D87" i="16"/>
  <c r="D111" i="16"/>
  <c r="H80" i="16"/>
  <c r="F79" i="16"/>
  <c r="H83" i="16"/>
  <c r="H90" i="16"/>
  <c r="H82" i="16"/>
  <c r="H95" i="16"/>
  <c r="F102" i="16"/>
  <c r="H111" i="16"/>
  <c r="F114" i="16"/>
  <c r="D96" i="16"/>
  <c r="J96" i="16" s="1"/>
  <c r="D114" i="16"/>
  <c r="H88" i="16"/>
  <c r="F86" i="16"/>
  <c r="F95" i="16"/>
  <c r="F93" i="16"/>
  <c r="F104" i="16"/>
  <c r="F106" i="16"/>
  <c r="F113" i="16"/>
  <c r="D85" i="16"/>
  <c r="D82" i="16"/>
  <c r="D93" i="16"/>
  <c r="D106" i="16"/>
  <c r="H78" i="16"/>
  <c r="F77" i="16"/>
  <c r="J94" i="16" l="1"/>
  <c r="H74" i="16"/>
  <c r="F74" i="16"/>
  <c r="D92" i="16"/>
  <c r="F105" i="16"/>
  <c r="M166" i="9"/>
  <c r="D74" i="16"/>
  <c r="F81" i="16"/>
  <c r="F92" i="16"/>
  <c r="J102" i="16"/>
  <c r="J89" i="16"/>
  <c r="J83" i="16"/>
  <c r="J79" i="16"/>
  <c r="J116" i="16"/>
  <c r="J76" i="16"/>
  <c r="J113" i="16"/>
  <c r="J90" i="16"/>
  <c r="J103" i="16"/>
  <c r="J115" i="16"/>
  <c r="J98" i="16"/>
  <c r="J108" i="16"/>
  <c r="J77" i="16"/>
  <c r="J88" i="16"/>
  <c r="J84" i="16"/>
  <c r="J86" i="16"/>
  <c r="J100" i="16"/>
  <c r="J87" i="16"/>
  <c r="F109" i="16"/>
  <c r="J97" i="16"/>
  <c r="D105" i="16"/>
  <c r="H109" i="16"/>
  <c r="F99" i="16"/>
  <c r="J95" i="16"/>
  <c r="J82" i="16"/>
  <c r="J85" i="16"/>
  <c r="H92" i="16"/>
  <c r="J110" i="16"/>
  <c r="J93" i="16"/>
  <c r="D81" i="16"/>
  <c r="J111" i="16"/>
  <c r="D109" i="16"/>
  <c r="J106" i="16"/>
  <c r="J107" i="16"/>
  <c r="J91" i="16"/>
  <c r="J104" i="16"/>
  <c r="J78" i="16"/>
  <c r="D99" i="16"/>
  <c r="J101" i="16"/>
  <c r="J75" i="16"/>
  <c r="H81" i="16"/>
  <c r="J112" i="16"/>
  <c r="H105" i="16"/>
  <c r="H99" i="16"/>
  <c r="J80" i="16"/>
  <c r="J114" i="16"/>
  <c r="J74" i="16" l="1"/>
  <c r="J92" i="16"/>
  <c r="F117" i="16"/>
  <c r="J109" i="16"/>
  <c r="D117" i="16"/>
  <c r="J99" i="16"/>
  <c r="J105" i="16"/>
  <c r="J81" i="16"/>
  <c r="H117" i="16"/>
  <c r="J117" i="16" l="1"/>
  <c r="H10" i="16" l="1"/>
  <c r="I10" i="16"/>
  <c r="M10" i="16"/>
  <c r="N10" i="16"/>
  <c r="X35" i="13" l="1"/>
  <c r="X37" i="13"/>
  <c r="X36" i="13"/>
  <c r="X28" i="13"/>
  <c r="X43" i="13"/>
  <c r="X8" i="13"/>
  <c r="X31" i="13"/>
  <c r="X30" i="13"/>
  <c r="X38" i="13"/>
  <c r="X45" i="13"/>
  <c r="X47" i="13"/>
  <c r="X26" i="13"/>
  <c r="X15" i="13"/>
  <c r="X17" i="13"/>
  <c r="X27" i="13"/>
  <c r="X13" i="13"/>
  <c r="X12" i="13"/>
  <c r="X34" i="13"/>
  <c r="X48" i="13"/>
  <c r="X21" i="13"/>
  <c r="X7" i="13"/>
  <c r="X14" i="13"/>
  <c r="X33" i="13"/>
  <c r="X42" i="13"/>
  <c r="X46" i="13"/>
  <c r="X10" i="13"/>
  <c r="X25" i="13"/>
  <c r="X23" i="13"/>
  <c r="X24" i="13"/>
  <c r="X16" i="13"/>
  <c r="X39" i="13"/>
  <c r="X19" i="13"/>
  <c r="X20" i="13"/>
  <c r="X32" i="13"/>
  <c r="X41" i="13"/>
  <c r="X40" i="13"/>
  <c r="X11" i="13"/>
  <c r="X9" i="13"/>
  <c r="X18" i="13"/>
  <c r="X44" i="13"/>
  <c r="X29" i="13"/>
  <c r="X22" i="13"/>
  <c r="L40" i="13"/>
  <c r="L36" i="13"/>
  <c r="L30" i="13"/>
  <c r="L23" i="13"/>
  <c r="L12" i="13"/>
  <c r="L5" i="13"/>
  <c r="L7" i="13"/>
  <c r="L8" i="13"/>
  <c r="L9" i="13"/>
  <c r="L10" i="13"/>
  <c r="L11" i="13"/>
  <c r="L13" i="13"/>
  <c r="L14" i="13"/>
  <c r="L15" i="13"/>
  <c r="L16" i="13"/>
  <c r="L17" i="13"/>
  <c r="L18" i="13"/>
  <c r="L19" i="13"/>
  <c r="L20" i="13"/>
  <c r="L21" i="13"/>
  <c r="L22" i="13"/>
  <c r="L24" i="13"/>
  <c r="L25" i="13"/>
  <c r="L26" i="13"/>
  <c r="L27" i="13"/>
  <c r="L28" i="13"/>
  <c r="L29" i="13"/>
  <c r="L31" i="13"/>
  <c r="L32" i="13"/>
  <c r="L33" i="13"/>
  <c r="L34" i="13"/>
  <c r="L35" i="13"/>
  <c r="L37" i="13"/>
  <c r="L38" i="13"/>
  <c r="L39" i="13"/>
  <c r="L41" i="13"/>
  <c r="L42" i="13"/>
  <c r="L43" i="13"/>
  <c r="L44" i="13"/>
  <c r="L45" i="13"/>
  <c r="L46" i="13"/>
  <c r="L47" i="13"/>
  <c r="L48" i="13"/>
  <c r="L6" i="13"/>
  <c r="G10" i="20" l="1"/>
  <c r="G9" i="20"/>
  <c r="G8" i="20"/>
  <c r="G11" i="20"/>
  <c r="G12" i="20" l="1"/>
  <c r="G168" i="20" s="1"/>
  <c r="E185" i="20" l="1"/>
  <c r="F185" i="20"/>
  <c r="D185" i="20"/>
  <c r="E13" i="20"/>
  <c r="F13" i="20"/>
  <c r="G185" i="20" l="1"/>
  <c r="G13" i="20"/>
  <c r="D21" i="16"/>
  <c r="F22" i="16"/>
  <c r="F21" i="16" s="1"/>
  <c r="F64" i="16" s="1"/>
  <c r="D64" i="16" l="1"/>
  <c r="Y40" i="16"/>
  <c r="AM40" i="16" l="1"/>
  <c r="X46" i="16"/>
  <c r="Y46" i="16" s="1"/>
  <c r="AL46" i="16" l="1"/>
  <c r="AP40" i="16" s="1"/>
</calcChain>
</file>

<file path=xl/connections.xml><?xml version="1.0" encoding="utf-8"?>
<connections xmlns="http://schemas.openxmlformats.org/spreadsheetml/2006/main">
  <connection id="1" keepAlive="1" name="Requête - Assistances" description="Connexion à la requête « Assistances » dans le classeur." type="5" refreshedVersion="5" background="1" saveData="1">
    <dbPr connection="provider=Microsoft.Mashup.OleDb.1;data source=$EmbeddedMashup(57b9efa4-651e-4583-9704-a5c9f49cd3f1)$;location=Assistances;extended properties=UEsDBBQAAgAIACqXmE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KpeY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CqXmEtTx4A7qQAAAPcAAAATABwARm9ybXVsYXMvU2VjdGlvbjEubSCiGAAooBQAAAAAAAAAAAAAAAAAAAAAAAAAAAB1jT0LwjAQhvdC/0PIpFBK04KCJYPgIiioGUuRmB420KaSSwcR/7up9WvxbriXg+d9EJTTnSFivCwPgzDAWlqoyBJRo5NGARJOGnAB8SO63irwj+1V7DfxSjp5kggTytJ5nPhliyxLZjQitHLt0VYs9bk4gOutEdqcG3gz3Nkeymn07N1ZQBhcX62XjLZbIVQNreQ/lWsHLaeXFyU/EC3vxSAoA23+FecPUEsBAi0AFAACAAgAKpeYSw/1WwesAAAA+gAAABIAAAAAAAAAAAAAAAAAAAAAAENvbmZpZy9QYWNrYWdlLnhtbFBLAQItABQAAgAIACqXmEsPyumrpAAAAOkAAAATAAAAAAAAAAAAAAAAAPgAAABbQ29udGVudF9UeXBlc10ueG1sUEsBAi0AFAACAAgAKpeYS1PHgDupAAAA9wAAABMAAAAAAAAAAAAAAAAA6QEAAEZvcm11bGFzL1NlY3Rpb24xLm1QSwUGAAAAAAMAAwDCAAAA3wIAAAAA" command="SELECT * FROM [Assistances]"/>
  </connection>
  <connection id="2" keepAlive="1" name="Requête - autres_details" description="Connexion à la requête « autres_details » dans le classeur." type="5" refreshedVersion="5" background="1" saveData="1">
    <dbPr connection="provider=Microsoft.Mashup.OleDb.1;data source=$EmbeddedMashup(57b9efa4-651e-4583-9704-a5c9f49cd3f1)$;location=autres_details;extended properties=&quot;UEsDBBQAAgAIACqXmE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KpeY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CqXmEuq+33yqwAAAAgBAAATABwARm9ybXVsYXMvU2VjdGlvbjEubSCiGAAooBQAAAAAAAAAAAAAAAAAAAAAAAAAAACFjT0LwjAQhvdC/0PIpFBKP0DBks1F0EEzllKu6WEDbQrJdRDxv5taBDt5N9zLwfs8DhXp0TC53LQIgzBwHVhsGUxk0dUtEujeMcF6pID5keNkFfrH5SGv5/gIBA043PA028eJ3/SQ58mOR4y3NNS2TTOfyxvSZI3U5t7jtyPITlhtow93LaxBKXRON7rXNNsW7bOUqsMBxA/7RDgIvq7z6lXOlirQ5i+9eANQSwECLQAUAAIACAAql5hLD/VbB6wAAAD6AAAAEgAAAAAAAAAAAAAAAAAAAAAAQ29uZmlnL1BhY2thZ2UueG1sUEsBAi0AFAACAAgAKpeYSw/K6aukAAAA6QAAABMAAAAAAAAAAAAAAAAA+AAAAFtDb250ZW50X1R5cGVzXS54bWxQSwECLQAUAAIACAAql5hLqvt98qsAAAAIAQAAEwAAAAAAAAAAAAAAAADpAQAARm9ybXVsYXMvU2VjdGlvbjEubVBLBQYAAAAAAwADAMIAAADhAgAAAAA=&quot;" command="SELECT * FROM [autres_details]"/>
  </connection>
  <connection id="3" keepAlive="1" name="Requête - comparaison_samebasis_villages" description="Connexion à la requête « comparaison_samebasis_villages » dans le classeur." type="5" refreshedVersion="5" background="1" saveData="1">
    <dbPr connection="provider=Microsoft.Mashup.OleDb.1;data source=$EmbeddedMashup(57b9efa4-651e-4583-9704-a5c9f49cd3f1)$;location=comparaison_samebasis_villages;extended properties=UEsDBBQAAgAIACqXmE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KpeY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CqXmEuq1C9sHgEAAK0CAAATABwARm9ybXVsYXMvU2VjdGlvbjEubSCiGAAooBQAAAAAAAAAAAAAAAAAAAAAAAAAAACVj99KwzAUxu8Le4cQbzaYZe1AwdEL0RtBQa13pZSz5rhG8qckaUHEB/I5fDFTu2kn02LORc4Xcr7fdyyWjmtF0v6OVpNgEtgKDDJSalmDAW61KixIXIPltmi5ELBBSxIi0AXEn1Q3pkT/cPOc3l2Hl+DA/8UpjeLTcOErOlsuFyd0TihzsjAsin2f3aNrjEq52gjczSTONJjP5p++owF68EuWlhVKSAbuVw5lQocGtcGW68YecKL5a9YFyHvsEb1F40cUCG7f35DAk26cb6hHPsBaYHjO2IUWjVTTvzP6jVswBWe1XxihrEgGpet0wRXLj7Mu1ZecjfCjQwF+T7uFG3zcg3s9hO/kGDz+Fzz6prsfdLdP7+Us4GqMv/oAUEsBAi0AFAACAAgAKpeYSw/1WwesAAAA+gAAABIAAAAAAAAAAAAAAAAAAAAAAENvbmZpZy9QYWNrYWdlLnhtbFBLAQItABQAAgAIACqXmEsPyumrpAAAAOkAAAATAAAAAAAAAAAAAAAAAPgAAABbQ29udGVudF9UeXBlc10ueG1sUEsBAi0AFAACAAgAKpeYS6rUL2weAQAArQIAABMAAAAAAAAAAAAAAAAA6QEAAEZvcm11bGFzL1NlY3Rpb24xLm1QSwUGAAAAAAMAAwDCAAAAVAMAAAAA" command="SELECT * FROM [comparaison_samebasis_villages]"/>
  </connection>
  <connection id="4" keepAlive="1" name="Requête - comparative_displacement_reasons_adm3" description="Connexion à la requête « comparative_displacement_reasons_adm3 » dans le classeur." type="5" refreshedVersion="5" background="1" saveData="1">
    <dbPr connection="provider=Microsoft.Mashup.OleDb.1;data source=$EmbeddedMashup(57b9efa4-651e-4583-9704-a5c9f49cd3f1)$;location=comparative_displacement_reasons_adm3;extended properties=&quot;UEsDBBQAAgAIACqXmE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KpeY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CqXmEtNl1bPugAAAEwBAAATABwARm9ybXVsYXMvU2VjdGlvbjEubSCiGAAooBQAAAAAAAAAAAAAAAAAAAAAAAAAAACVjk0LwjAMhu+D/Yeyk8IYzoGCYzcvgh60xzFKbIMrrJ20mSDif7cyhB1EMDnkg+R9H4+SdG8ZH2texlEc+RYcKiZ7cwUHpG8olPbXDiQatCQcgu+tF6BMwSrWIcURC8H7wUkMm8OdH/fZFgjO4HGW5Mt1tgiZb4pisUpSligywql8Gfr6hDQ4y7W9dPj5qcgN2MzTUfhz/Q1DTDCD9cjwqLls0UA1MdoRmjD/VkiaZ/1maOJI2//MyxdQSwECLQAUAAIACAAql5hLD/VbB6wAAAD6AAAAEgAAAAAAAAAAAAAAAAAAAAAAQ29uZmlnL1BhY2thZ2UueG1sUEsBAi0AFAACAAgAKpeYSw/K6aukAAAA6QAAABMAAAAAAAAAAAAAAAAA+AAAAFtDb250ZW50X1R5cGVzXS54bWxQSwECLQAUAAIACAAql5hLTZdWz7oAAABMAQAAEwAAAAAAAAAAAAAAAADpAQAARm9ybXVsYXMvU2VjdGlvbjEubVBLBQYAAAAAAwADAMIAAADwAgAAAAA=&quot;" command="SELECT * FROM [comparative_displacement_reasons_adm3]"/>
  </connection>
  <connection id="5" keepAlive="1" name="Requête - Dashboard" description="Connexion à la requête « Dashboard » dans le classeur." type="5" refreshedVersion="5" background="1" saveData="1">
    <dbPr connection="provider=Microsoft.Mashup.OleDb.1;data source=$EmbeddedMashup(57b9efa4-651e-4583-9704-a5c9f49cd3f1)$;location=Dashboard;extended properties=&quot;UEsDBBQAAgAIACqXmE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KpeY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CqXmEv8CcE4UgEAABUEAAATABwARm9ybXVsYXMvU2VjdGlvbjEubSCiGAAooBQAAAAAAAAAAAAAAAAAAAAAAAAAAACNk0FqwzAQRfeG3EGomwSMiZOSQoNXTReBdtE6uxDM2JJjgWQZSV4EkwP1HL1YpYSUQj2l9sJi3sz3/0KyvHJCtyS/ftP1JJpEtgHDGdmAbUoNhpGMSO4i4p9c96bivvB6yt9ekg04KMHyKU0XD8ncv+njcjlf0ZhQ5lRhWLrw6/07d71pc9EeJb/NZM70/DCLL7pWKwXCBOXrL4Z9XjVcQfZDZ+u4yuitlR7O+6B1uCrc0d2p40RpJmrx+UG90g5KyZOdgdbW2qgnLXvVhi47vYnEw0A73fUSQvziKHUJknvL29at7pPQfI7JQAXriqYZr4uWjYMa0BmpK5RVOAKLIzmKDK/R+qjxABDjAWHGA0OMB4QYvyDMuMMMOnSgEShCM7k/Mjk8k8MzOSzTc8F4B8YV1h/Jwjf6o/7/xvHdgA6cERzx8k1/DZ9nkWhHb876C1BLAQItABQAAgAIACqXmEsP9VsHrAAAAPoAAAASAAAAAAAAAAAAAAAAAAAAAABDb25maWcvUGFja2FnZS54bWxQSwECLQAUAAIACAAql5hLD8rpq6QAAADpAAAAEwAAAAAAAAAAAAAAAAD4AAAAW0NvbnRlbnRfVHlwZXNdLnhtbFBLAQItABQAAgAIACqXmEv8CcE4UgEAABUEAAATAAAAAAAAAAAAAAAAAOkBAABGb3JtdWxhcy9TZWN0aW9uMS5tUEsFBgAAAAADAAMAwgAAAIgDAAAAAA==&quot;" command="SELECT * FROM [Dashboard]"/>
  </connection>
  <connection id="6" keepAlive="1" name="Requête - DisplacementPeriod" description="Connexion à la requête « DisplacementPeriod » dans le classeur." type="5" refreshedVersion="5" background="1" saveData="1">
    <dbPr connection="provider=Microsoft.Mashup.OleDb.1;data source=$EmbeddedMashup(57b9efa4-651e-4583-9704-a5c9f49cd3f1)$;location=DisplacementPeriod;extended properties=&quot;UEsDBBQAAgAIACqXmE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KpeY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CqXmEtYSK5fRwEAADMEAAATABwARm9ybXVsYXMvU2VjdGlvbjEubSCiGAAooBQAAAAAAAAAAAAAAAAAAAAAAAAAAACl0sFqg0AQBuC7kHdYppcEJGQ1MdDgLZeWlqYx5BKCbHTaLOga1rG0hDxQn6Mv1l1tQgsNCCqyIrv/5wxTYkKyUCxqVj7rOT2n3AuNKZvL8pCJBHNUtEAti5SFLENymLmiotIJmg+PH9Hzw3AuSOxEiX3g3nQ4Mje/9f1RAC6DlPJYp9wz75slUqVVJNVrhuczIekKtwO3zk2RhMzKxitNfgMdN1Gyx1yEv9LuCPMQZHqINb6Yh2B72tjQbRN1A2uRYaWZxtwW8vWJHEziSuwyHC6xLs5sqbD/V3XBG/ExuLAwys8+fT6wwndyj3CotyKcBlcx7wr273+5IN6Eovgs8y6y3142FdpqJ9b0u5jj9qbfmIE1x13MSXvTNvVeqPgpqXs8tfakix20t21zi4SKncaLHXSxp+3t4DJZdpjbzZUj1XV59g1QSwECLQAUAAIACAAql5hLD/VbB6wAAAD6AAAAEgAAAAAAAAAAAAAAAAAAAAAAQ29uZmlnL1BhY2thZ2UueG1sUEsBAi0AFAACAAgAKpeYSw/K6aukAAAA6QAAABMAAAAAAAAAAAAAAAAA+AAAAFtDb250ZW50X1R5cGVzXS54bWxQSwECLQAUAAIACAAql5hLWEiuX0cBAAAzBAAAEwAAAAAAAAAAAAAAAADpAQAARm9ybXVsYXMvU2VjdGlvbjEubVBLBQYAAAAAAwADAMIAAAB9AwAAAAA=&quot;" command="SELECT * FROM [DisplacementPeriod]"/>
  </connection>
  <connection id="7" keepAlive="1" name="Requête - dtm_new_villages" description="Connexion à la requête « dtm_new_villages » dans le classeur." type="5" refreshedVersion="5" background="1" saveData="1">
    <dbPr connection="provider=Microsoft.Mashup.OleDb.1;data source=$EmbeddedMashup(57b9efa4-651e-4583-9704-a5c9f49cd3f1)$;location=dtm_new_villages;extended properties=&quot;UEsDBBQAAgAIACqXmE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KpeY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CqXmEvgalY3ogAAAPAAAAATABwARm9ybXVsYXMvU2VjdGlvbjEubSCiGAAooBQAAAAAAAAAAAAAAAAAAAAAAAAAAAArTk0uyczPUwiG0IbWvFy8XMUZiUWpKQopJbnxeanl8WWZOTmJ6anFCrYKOaklXApAEJxfWpScChTwrQwO9NFzSSxJTEosTtVQMjQy1zMAQkMrY2MDMyUdBSWQKUUphkZAdnRQaklpUV5wZl56TipMj21JUWlqrKYO2FwsVkKsqo4OTs5IzU20RTLPsyQ111YJWblSbG00yNxYrsw8rOZZAwBQSwECLQAUAAIACAAql5hLD/VbB6wAAAD6AAAAEgAAAAAAAAAAAAAAAAAAAAAAQ29uZmlnL1BhY2thZ2UueG1sUEsBAi0AFAACAAgAKpeYSw/K6aukAAAA6QAAABMAAAAAAAAAAAAAAAAA+AAAAFtDb250ZW50X1R5cGVzXS54bWxQSwECLQAUAAIACAAql5hL4GpWN6IAAADwAAAAEwAAAAAAAAAAAAAAAADpAQAARm9ybXVsYXMvU2VjdGlvbjEubVBLBQYAAAAAAwADAMIAAADYAgAAAAA=&quot;" command="SELECT * FROM [dtm_new_villages]"/>
  </connection>
  <connection id="8" keepAlive="1" name="Requête - Locations" description="Connexion à la requête « Locations » dans le classeur." type="5" refreshedVersion="5" background="1" saveData="1">
    <dbPr connection="provider=Microsoft.Mashup.OleDb.1;data source=$EmbeddedMashup(57b9efa4-651e-4583-9704-a5c9f49cd3f1)$;location=Locations;extended properties=&quot;UEsDBBQAAgAIACqXmE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KpeY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CqXmEsq5Zf2XgEAAOsCAAATABwARm9ybXVsYXMvU2VjdGlvbjEubSCiGAAooBQAAAAAAAAAAAAAAAAAAAAAAAAAAAB9UtFqwjAUfS/4DyG+KBSxLWww6YNMmIKTrW57ESmxuasdTbIlKduQfpD7DX9sqV1rZ9nSQO/NOffcm9MqiHQiOFqWb2fUsTqW2hIJFM1FRIpDhXyUgraQWQG8ZYcvDU3s9nN5Px9MiCYboqCHHfdyMDSPc+V5wwtsI0w1CyV1XBOvAtCZ5MuExylUNb6WGaz79rFFQU4b8q2Wu9Uy2gIjfkN3poH5uC7D63xViK9LyS6ecQofiLyITB/22Kg+kE0KgzGlR+RapBnjvV+tzdxHzAztmN2vpAxXcA4KaZkc9qBOagEISUGWYqp33tXe1YJ4TJkTLgiDOokErRK3ibhNxGsiXo08JWlKYmjl/Id886rMvXhcx0Tj8nrhbHKning6rcPi+JFLiBOlwfwIYQDPWQxQ8f7EisLy857Iv/IFvOO8baQELhg797IY/mRly3V717Czi/O8byX8H+XRN1BLAQItABQAAgAIACqXmEsP9VsHrAAAAPoAAAASAAAAAAAAAAAAAAAAAAAAAABDb25maWcvUGFja2FnZS54bWxQSwECLQAUAAIACAAql5hLD8rpq6QAAADpAAAAEwAAAAAAAAAAAAAAAAD4AAAAW0NvbnRlbnRfVHlwZXNdLnhtbFBLAQItABQAAgAIACqXmEsq5Zf2XgEAAOsCAAATAAAAAAAAAAAAAAAAAOkBAABGb3JtdWxhcy9TZWN0aW9uMS5tUEsFBgAAAAADAAMAwgAAAJQDAAAAAA==&quot;" command="SELECT * FROM [Locations]"/>
  </connection>
  <connection id="9" keepAlive="1" name="Requête - periods" description="Connexion à la requête « periods » dans le classeur." type="5" refreshedVersion="5" background="1" saveData="1">
    <dbPr connection="provider=Microsoft.Mashup.OleDb.1;data source=$EmbeddedMashup(57b9efa4-651e-4583-9704-a5c9f49cd3f1)$;location=periods;extended properties=&quot;UEsDBBQAAgAIACqXmE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KpeY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CqXmEvS2yFlzAAAACsBAAATABwARm9ybXVsYXMvU2VjdGlvbjEubSCiGAAooBQAAAAAAAAAAAAAAAAAAAAAAAAAAAB9jU0KwjAQhfcF7xDiRqEUW0FB6Uo3gi407kqRtBk00CQlP4IUD+Q5vJjRtujKmcU8hve+Z6C0XElE2hsvB8EgMBeqgaEaNFfMoBRVYAPkhyinS/CP3Y3st9GaWlpQAyMcJ/No4jdeTKeTGQ4RZlacNIsTr7MDWKcl4fJcQZ9JrXaQj8MP99vUNjQZKS8gaPqD2VgQKe6cOL9nb1Le5od4pSolJRhkXF1rLp4PMNjzjrSoIDqAUFfwHiekGXWMsOlpJ87wfRxw+Q+2fAFQSwECLQAUAAIACAAql5hLD/VbB6wAAAD6AAAAEgAAAAAAAAAAAAAAAAAAAAAAQ29uZmlnL1BhY2thZ2UueG1sUEsBAi0AFAACAAgAKpeYSw/K6aukAAAA6QAAABMAAAAAAAAAAAAAAAAA+AAAAFtDb250ZW50X1R5cGVzXS54bWxQSwECLQAUAAIACAAql5hL0tshZcwAAAArAQAAEwAAAAAAAAAAAAAAAADpAQAARm9ybXVsYXMvU2VjdGlvbjEubVBLBQYAAAAAAwADAMIAAAACAwAAAAA=&quot;" command="SELECT * FROM [periods]"/>
  </connection>
  <connection id="10" keepAlive="1" name="Requête - TotalData_Departures" description="Connexion à la requête « TotalData_Departures » dans le classeur." type="5" refreshedVersion="5" background="1" saveData="1">
    <dbPr connection="provider=Microsoft.Mashup.OleDb.1;data source=$EmbeddedMashup(57b9efa4-651e-4583-9704-a5c9f49cd3f1)$;location=TotalData_Departures;extended properties=UEsDBBQAAgAIACqXmE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KpeY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CqXmEt1LM97TgEAAG4EAAATABwARm9ybXVsYXMvU2VjdGlvbjEubSCiGAAooBQAAAAAAAAAAAAAAAAAAAAAAAAAAACtkt1KwzAUx+8Le4cQbzYoY+nXwLG73SiKuhZvRgln7cEV0g/SVJSxB/I5fDGTdhsqDiq0vWgacv6/Xw6nxkRlZUHC7ssWI2tk1TuQmJKoVCBWoICvsAKpGok1WRKByiL6CctGJqg37t/Dp7upObiFGseUOfPpTL/s2nVnAbUJTVXOZcocvd6sUQcVYVa8CDzVLJVsMJ7YbW7awmqeooJMGGJH2m/CZIc5LL/F3SjM9f/PChofNiY57vKu6DMIbCSRmFcCks8PZFSnRrAVOF2j2UN9pMHxryCbOjPmUZs+atTxoDxVRPim7D2tUGZlirwrpYfJRahzAfqnn03hFQrFTwJsAAG3v4C+r7m7b9DuAGivP9rt0IFBewOg/f5o0+lbKPhD0jZ+bhT8ARSC/gqm42Wiyq3Es0IwgMK8v0JwHj4z9v8aPcuysuKywuILUEsBAi0AFAACAAgAKpeYSw/1WwesAAAA+gAAABIAAAAAAAAAAAAAAAAAAAAAAENvbmZpZy9QYWNrYWdlLnhtbFBLAQItABQAAgAIACqXmEsPyumrpAAAAOkAAAATAAAAAAAAAAAAAAAAAPgAAABbQ29udGVudF9UeXBlc10ueG1sUEsBAi0AFAACAAgAKpeYS3Usz3tOAQAAbgQAABMAAAAAAAAAAAAAAAAA6QEAAEZvcm11bGFzL1NlY3Rpb24xLm1QSwUGAAAAAAMAAwDCAAAAhAMAAAAA" command="SELECT * FROM [TotalData_Departures]"/>
  </connection>
  <connection id="11" keepAlive="1" name="Requête - TotalData_DetailPeriods" description="Connexion à la requête « TotalData_DetailPeriods » dans le classeur." type="5" refreshedVersion="5" background="1" saveData="1">
    <dbPr connection="provider=Microsoft.Mashup.OleDb.1;data source=$EmbeddedMashup(57b9efa4-651e-4583-9704-a5c9f49cd3f1)$;location=TotalData_DetailPeriods;extended properties=&quot;UEsDBBQAAgAIACqXmE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KpeY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CqXmEts5l+6RgEAADgEAAATABwARm9ybXVsYXMvU2VjdGlvbjEubSCiGAAooBQAAAAAAAAAAAAAAAAAAAAAAAAAAACl0sFqg0AQBuC7kHdYppcEJLiaGGjwlktLS9MYeglBRp02wqphXUtLyAP1Ofpi3dUmbaEBQUWUZfb/3GEqSlRWFixs33w+sAZWtUNJKVuXCsUCFUYLUpiJJcmsTCsWMEHKYvoKy1ompBfu38PHu7GpjbGiIXB3Nnb0za89z/HBZpCqPJIpd/X3ZkWqlkWYFS+CTnsCJWvajuwmN2286gdsocMmTHaUY/Ar7UZRHkCW7iNJz/pRsD1uTOi2jbqCJxRUSyYp3wtMPj+Ig05cYyxovCKzRrqkpuFf1QbX4ROwYamV7zp52rCmN2UfYN+UEhxHFzH3Avbvf9mAr1io6CTzPrLXXdYnNKedGtPrY066m15r+sac9DGn3U3T1Fssooek6fHM2NM+tt/dNs0tE1XGks6238eedbf982SZYe42V1ZWXJbnX1BLAQItABQAAgAIACqXmEsP9VsHrAAAAPoAAAASAAAAAAAAAAAAAAAAAAAAAABDb25maWcvUGFja2FnZS54bWxQSwECLQAUAAIACAAql5hLD8rpq6QAAADpAAAAEwAAAAAAAAAAAAAAAAD4AAAAW0NvbnRlbnRfVHlwZXNdLnhtbFBLAQItABQAAgAIACqXmEts5l+6RgEAADgEAAATAAAAAAAAAAAAAAAAAOkBAABGb3JtdWxhcy9TZWN0aW9uMS5tUEsFBgAAAAADAAMAwgAAAHwDAAAAAA==&quot;" command="SELECT * FROM [TotalData_DetailPeriods]"/>
  </connection>
</connections>
</file>

<file path=xl/sharedStrings.xml><?xml version="1.0" encoding="utf-8"?>
<sst xmlns="http://schemas.openxmlformats.org/spreadsheetml/2006/main" count="147486" uniqueCount="3752">
  <si>
    <t>adm1_name</t>
  </si>
  <si>
    <t>adm1_code</t>
  </si>
  <si>
    <t>adm2_name</t>
  </si>
  <si>
    <t>adm2_code</t>
  </si>
  <si>
    <t>adm3_name</t>
  </si>
  <si>
    <t>adm3_code</t>
  </si>
  <si>
    <t>village_name</t>
  </si>
  <si>
    <t>deplacement</t>
  </si>
  <si>
    <t>periode</t>
  </si>
  <si>
    <t>hh</t>
  </si>
  <si>
    <t>ind</t>
  </si>
  <si>
    <t>raison</t>
  </si>
  <si>
    <t>autre_raison</t>
  </si>
  <si>
    <t>provenance</t>
  </si>
  <si>
    <t>provenance_adm0</t>
  </si>
  <si>
    <t>provenance_adm0_nom</t>
  </si>
  <si>
    <t>provenance_adm1</t>
  </si>
  <si>
    <t>provenance_adm1_nom</t>
  </si>
  <si>
    <t>provenance_adm2</t>
  </si>
  <si>
    <t>provenance_adm2_nom</t>
  </si>
  <si>
    <t>provenance_adm3</t>
  </si>
  <si>
    <t>provenance_adm3_nom</t>
  </si>
  <si>
    <t>Extrême-Nord</t>
  </si>
  <si>
    <t>CMR004</t>
  </si>
  <si>
    <t>Diamare</t>
  </si>
  <si>
    <t>CMR004001</t>
  </si>
  <si>
    <t>Gazawa</t>
  </si>
  <si>
    <t>CMR004001008</t>
  </si>
  <si>
    <t>BANTADJE</t>
  </si>
  <si>
    <t>idp</t>
  </si>
  <si>
    <t>2014</t>
  </si>
  <si>
    <t>Conflits EIAO</t>
  </si>
  <si>
    <t/>
  </si>
  <si>
    <t>autre_departement</t>
  </si>
  <si>
    <t>CMR</t>
  </si>
  <si>
    <t>Cameroon</t>
  </si>
  <si>
    <t>CMR004006</t>
  </si>
  <si>
    <t>Mayo-Tsanaga</t>
  </si>
  <si>
    <t>CARREFOUR CLIPS</t>
  </si>
  <si>
    <t>DOYANG</t>
  </si>
  <si>
    <t>GOUDOURWO</t>
  </si>
  <si>
    <t>KATOUAL</t>
  </si>
  <si>
    <t>2015</t>
  </si>
  <si>
    <t>LOMORE</t>
  </si>
  <si>
    <t>Maroua II</t>
  </si>
  <si>
    <t>CMR004001002</t>
  </si>
  <si>
    <t>DOUALARE 1</t>
  </si>
  <si>
    <t>CMR004005</t>
  </si>
  <si>
    <t>Mayo-Sava</t>
  </si>
  <si>
    <t>DOUALARE 2</t>
  </si>
  <si>
    <t>Maroua III</t>
  </si>
  <si>
    <t>CMR004001001</t>
  </si>
  <si>
    <t>DOUGOI</t>
  </si>
  <si>
    <t>DOURSOUNGO</t>
  </si>
  <si>
    <t>LOUGEO</t>
  </si>
  <si>
    <t>SARRARE</t>
  </si>
  <si>
    <t>Pette</t>
  </si>
  <si>
    <t>CMR004001003</t>
  </si>
  <si>
    <t>ALAGARNO</t>
  </si>
  <si>
    <t>BANDALARE</t>
  </si>
  <si>
    <t>DJAFGUE</t>
  </si>
  <si>
    <t>CMR004005002</t>
  </si>
  <si>
    <t>Mora</t>
  </si>
  <si>
    <t>DJAOUDE</t>
  </si>
  <si>
    <t>DJOUTA-BEMBAL</t>
  </si>
  <si>
    <t>DOUTAROU</t>
  </si>
  <si>
    <t>EREO</t>
  </si>
  <si>
    <t>FADARE</t>
  </si>
  <si>
    <t>autre_arrondissement</t>
  </si>
  <si>
    <t>HAOUSSARE</t>
  </si>
  <si>
    <t>HODEMA</t>
  </si>
  <si>
    <t>KARAL GUIE</t>
  </si>
  <si>
    <t>KARAL TANNE</t>
  </si>
  <si>
    <t>KLISSAWA</t>
  </si>
  <si>
    <t>KONGHO 1</t>
  </si>
  <si>
    <t>KONGHO 2</t>
  </si>
  <si>
    <t>KOURGNOUGNOU</t>
  </si>
  <si>
    <t>KOURWAMA ABDOU</t>
  </si>
  <si>
    <t>KOURWAMA NDJIDDA</t>
  </si>
  <si>
    <t>KOURWAMAYEL</t>
  </si>
  <si>
    <t>LOUBA LOUBA</t>
  </si>
  <si>
    <t>MOURGOUT</t>
  </si>
  <si>
    <t>NDJAMENA</t>
  </si>
  <si>
    <t>NIWADJI</t>
  </si>
  <si>
    <t>CMR004002</t>
  </si>
  <si>
    <t>Logone-Et-Chari</t>
  </si>
  <si>
    <t>PETTE CENTRE</t>
  </si>
  <si>
    <t>TOUTKA</t>
  </si>
  <si>
    <t>Blangoua</t>
  </si>
  <si>
    <t>CMR004002003</t>
  </si>
  <si>
    <t>ANDOURMAN</t>
  </si>
  <si>
    <t>CMR004002008</t>
  </si>
  <si>
    <t>Fotokol</t>
  </si>
  <si>
    <t>BLANGOUA</t>
  </si>
  <si>
    <t>CMR004002007</t>
  </si>
  <si>
    <t>Darak</t>
  </si>
  <si>
    <t>BLANGOUA BACHE</t>
  </si>
  <si>
    <t>CMR004002009</t>
  </si>
  <si>
    <t>Makary</t>
  </si>
  <si>
    <t>inondations et desastres naturels</t>
  </si>
  <si>
    <t>meme_arrondissement</t>
  </si>
  <si>
    <t>BLARAM</t>
  </si>
  <si>
    <t>CHAOUE</t>
  </si>
  <si>
    <t>GORE KOUBOU</t>
  </si>
  <si>
    <t>KINZAYAKOU</t>
  </si>
  <si>
    <t>KOBRO</t>
  </si>
  <si>
    <t>KOFIA</t>
  </si>
  <si>
    <t>KOUTOULA</t>
  </si>
  <si>
    <t>SERO ABOU</t>
  </si>
  <si>
    <t>CMR004002010</t>
  </si>
  <si>
    <t>Hile-Alifa</t>
  </si>
  <si>
    <t>WAYA-WAYA</t>
  </si>
  <si>
    <t>BIDEINE 2</t>
  </si>
  <si>
    <t>BOUARAM</t>
  </si>
  <si>
    <t>BOUSSAYA</t>
  </si>
  <si>
    <t>DARAK</t>
  </si>
  <si>
    <t>DISMANE</t>
  </si>
  <si>
    <t>DORO LIMANE</t>
  </si>
  <si>
    <t>GORE TCHANDI</t>
  </si>
  <si>
    <t>HIL-WANZAN</t>
  </si>
  <si>
    <t>KARAMA 1</t>
  </si>
  <si>
    <t>KARAMA 2</t>
  </si>
  <si>
    <t>evaluation_adm2_code</t>
  </si>
  <si>
    <t>evaluation_adm2_name</t>
  </si>
  <si>
    <t>evaluation_adm3_code</t>
  </si>
  <si>
    <t>evaluation_adm3_name</t>
  </si>
  <si>
    <t>village</t>
  </si>
  <si>
    <t>periode_depart</t>
  </si>
  <si>
    <t>destinations</t>
  </si>
  <si>
    <t>code_pays</t>
  </si>
  <si>
    <t>pays_destination</t>
  </si>
  <si>
    <t>code_region</t>
  </si>
  <si>
    <t>region_destination</t>
  </si>
  <si>
    <t>code_departement</t>
  </si>
  <si>
    <t>departement_destination</t>
  </si>
  <si>
    <t>code_arrondissement</t>
  </si>
  <si>
    <t>arrondissement_destination</t>
  </si>
  <si>
    <t>Lieu_precis</t>
  </si>
  <si>
    <t>Cameroun</t>
  </si>
  <si>
    <t xml:space="preserve"> </t>
  </si>
  <si>
    <t>SALAME ALIOUM</t>
  </si>
  <si>
    <t>autre_pays</t>
  </si>
  <si>
    <t>NGA</t>
  </si>
  <si>
    <t>Nigeria</t>
  </si>
  <si>
    <t>TCD</t>
  </si>
  <si>
    <t>Chad</t>
  </si>
  <si>
    <t>DJIBOUNIBA</t>
  </si>
  <si>
    <t>GORETAL GOUTOUN</t>
  </si>
  <si>
    <t>TCHIKA</t>
  </si>
  <si>
    <t>TERBOU</t>
  </si>
  <si>
    <t>CMR004002004</t>
  </si>
  <si>
    <t>Logone-Birni</t>
  </si>
  <si>
    <t>LOGONE-BIRNI</t>
  </si>
  <si>
    <t>AFADE (VILLAGE)</t>
  </si>
  <si>
    <t>autre_region</t>
  </si>
  <si>
    <t>BEDAT</t>
  </si>
  <si>
    <t>CMR004002006</t>
  </si>
  <si>
    <t>Kousseri</t>
  </si>
  <si>
    <t>BLABLIN</t>
  </si>
  <si>
    <t>BLAHE</t>
  </si>
  <si>
    <t>BLOUMTAGUI</t>
  </si>
  <si>
    <t>BODO</t>
  </si>
  <si>
    <t>CHALAMTINI</t>
  </si>
  <si>
    <t>DJAMOUS</t>
  </si>
  <si>
    <t>FARCH 2</t>
  </si>
  <si>
    <t>KAOSSE</t>
  </si>
  <si>
    <t>MADINA 2</t>
  </si>
  <si>
    <t>MBEE</t>
  </si>
  <si>
    <t>MEDINA 3</t>
  </si>
  <si>
    <t>NDODOHE YOUSSOUF</t>
  </si>
  <si>
    <t>NGOURNOU</t>
  </si>
  <si>
    <t>WOSSO</t>
  </si>
  <si>
    <t>CMR004002002</t>
  </si>
  <si>
    <t>Goulfey</t>
  </si>
  <si>
    <t>CMR004002001</t>
  </si>
  <si>
    <t>Waza</t>
  </si>
  <si>
    <t>CHAOUDE</t>
  </si>
  <si>
    <t>KABE 1</t>
  </si>
  <si>
    <t>MICHEDIRE</t>
  </si>
  <si>
    <t>ZIGAGUE</t>
  </si>
  <si>
    <t>CMR004002005</t>
  </si>
  <si>
    <t>Zina</t>
  </si>
  <si>
    <t>ALVAKAI</t>
  </si>
  <si>
    <t>CMR004003</t>
  </si>
  <si>
    <t>Mayo-Danay</t>
  </si>
  <si>
    <t>ARAINABA</t>
  </si>
  <si>
    <t>BALGUE 1</t>
  </si>
  <si>
    <t>GALA</t>
  </si>
  <si>
    <t>MALAZINA</t>
  </si>
  <si>
    <t>MANKA</t>
  </si>
  <si>
    <t>MARGOUE</t>
  </si>
  <si>
    <t>NGODENI</t>
  </si>
  <si>
    <t>PATMANGAI</t>
  </si>
  <si>
    <t>SARA-SARA</t>
  </si>
  <si>
    <t>ZILIM 2</t>
  </si>
  <si>
    <t>CMR004003006</t>
  </si>
  <si>
    <t>Gueme</t>
  </si>
  <si>
    <t>GUEME</t>
  </si>
  <si>
    <t>KARTOUA</t>
  </si>
  <si>
    <t>CMR006</t>
  </si>
  <si>
    <t>Nord</t>
  </si>
  <si>
    <t>VELE</t>
  </si>
  <si>
    <t>CMR004003010</t>
  </si>
  <si>
    <t>Guere</t>
  </si>
  <si>
    <t>MOUKA</t>
  </si>
  <si>
    <t>CMR004003001</t>
  </si>
  <si>
    <t>Kai-Kai</t>
  </si>
  <si>
    <t>BARIAGODJO</t>
  </si>
  <si>
    <t>BARKAYA</t>
  </si>
  <si>
    <t>BEGUEPALAM</t>
  </si>
  <si>
    <t>KAIKAI</t>
  </si>
  <si>
    <t>MBOUKTANG</t>
  </si>
  <si>
    <t>CMR004003009</t>
  </si>
  <si>
    <t>Yagoua</t>
  </si>
  <si>
    <t>CMR004003002</t>
  </si>
  <si>
    <t>Maga</t>
  </si>
  <si>
    <t>FARAOULOU</t>
  </si>
  <si>
    <t>CMR004004</t>
  </si>
  <si>
    <t>Mayo-Kani</t>
  </si>
  <si>
    <t>CMR004004007</t>
  </si>
  <si>
    <t>Mindif</t>
  </si>
  <si>
    <t>GAVIANG</t>
  </si>
  <si>
    <t>MOGOM</t>
  </si>
  <si>
    <t>CMR004004006</t>
  </si>
  <si>
    <t>Kaele</t>
  </si>
  <si>
    <t>OURO-DOLE</t>
  </si>
  <si>
    <t>SAMA</t>
  </si>
  <si>
    <t>CMR004004002</t>
  </si>
  <si>
    <t>Moulvoudaye</t>
  </si>
  <si>
    <t>MOULVOUDAYE CENTRE</t>
  </si>
  <si>
    <t>OURO BELLO</t>
  </si>
  <si>
    <t>CMR004005001</t>
  </si>
  <si>
    <t>Kolofata</t>
  </si>
  <si>
    <t>AMCHIDE</t>
  </si>
  <si>
    <t>KOLOFATA</t>
  </si>
  <si>
    <t>CMR004006007</t>
  </si>
  <si>
    <t>Bourha</t>
  </si>
  <si>
    <t>BOUKOULA</t>
  </si>
  <si>
    <t>GAMBOURA</t>
  </si>
  <si>
    <t>CMR001</t>
  </si>
  <si>
    <t>Adamaoua</t>
  </si>
  <si>
    <t>GUILI</t>
  </si>
  <si>
    <t>LAMORDE</t>
  </si>
  <si>
    <t>CMR004006001</t>
  </si>
  <si>
    <t>Mogode</t>
  </si>
  <si>
    <t>MOGODE</t>
  </si>
  <si>
    <t>CMR004006002</t>
  </si>
  <si>
    <t>Mokolo</t>
  </si>
  <si>
    <t>MAXI MABASS</t>
  </si>
  <si>
    <t>CMR004006005</t>
  </si>
  <si>
    <t>Mozogo</t>
  </si>
  <si>
    <t>MOKONG</t>
  </si>
  <si>
    <t>WOULA</t>
  </si>
  <si>
    <t>DEKERE</t>
  </si>
  <si>
    <t>DZAMADZAF</t>
  </si>
  <si>
    <t>GOKORO</t>
  </si>
  <si>
    <t>HITERE</t>
  </si>
  <si>
    <t>KARAZAWA</t>
  </si>
  <si>
    <t>KELARI</t>
  </si>
  <si>
    <t>KEREWA-MAFA</t>
  </si>
  <si>
    <t>KORSAMBA</t>
  </si>
  <si>
    <t>MADAKAR</t>
  </si>
  <si>
    <t>MANDOUSSA</t>
  </si>
  <si>
    <t>KARENA</t>
  </si>
  <si>
    <t>KATIKIME 1</t>
  </si>
  <si>
    <t>KATIKIME 2</t>
  </si>
  <si>
    <t>KOUNDJARA</t>
  </si>
  <si>
    <t>MAGALA-DJOUGOUL</t>
  </si>
  <si>
    <t>MAGALA-KABIR 1</t>
  </si>
  <si>
    <t>MAGALA-KABIR 2</t>
  </si>
  <si>
    <t>NAGA A</t>
  </si>
  <si>
    <t>NGUEWA</t>
  </si>
  <si>
    <t>RAMIN DORINA</t>
  </si>
  <si>
    <t>TOROROYA</t>
  </si>
  <si>
    <t>AMTCHOUKOULI</t>
  </si>
  <si>
    <t>BLANGAFE</t>
  </si>
  <si>
    <t>CHOLOBA</t>
  </si>
  <si>
    <t>DEGA</t>
  </si>
  <si>
    <t>FADJE HALITE</t>
  </si>
  <si>
    <t>FIMA</t>
  </si>
  <si>
    <t>FOTOKOL VILLE</t>
  </si>
  <si>
    <t>KALOUE</t>
  </si>
  <si>
    <t>KOUBOUGUE</t>
  </si>
  <si>
    <t>LEIMARI</t>
  </si>
  <si>
    <t>LIOROMARI</t>
  </si>
  <si>
    <t>MADINA</t>
  </si>
  <si>
    <t>MAGAM</t>
  </si>
  <si>
    <t>MARGAMA</t>
  </si>
  <si>
    <t>MEINARI</t>
  </si>
  <si>
    <t>NIGUE</t>
  </si>
  <si>
    <t>SAGME</t>
  </si>
  <si>
    <t>SOUERAM</t>
  </si>
  <si>
    <t>WAROU</t>
  </si>
  <si>
    <t>AKMASSIRA</t>
  </si>
  <si>
    <t>AMDANE</t>
  </si>
  <si>
    <t>ARDEBE</t>
  </si>
  <si>
    <t>DALEB</t>
  </si>
  <si>
    <t>DOUGUYA</t>
  </si>
  <si>
    <t>FADJE</t>
  </si>
  <si>
    <t>GOULFEY</t>
  </si>
  <si>
    <t>GOULFEY-GANA</t>
  </si>
  <si>
    <t>HABOBA</t>
  </si>
  <si>
    <t>HILELE</t>
  </si>
  <si>
    <t>MAFANG</t>
  </si>
  <si>
    <t>MAHADJIRI</t>
  </si>
  <si>
    <t>MALTAM GOULFEY</t>
  </si>
  <si>
    <t>MARA 1</t>
  </si>
  <si>
    <t>MARA 2</t>
  </si>
  <si>
    <t>MAYA</t>
  </si>
  <si>
    <t>MICH-MICH</t>
  </si>
  <si>
    <t>MICHKA-MALE</t>
  </si>
  <si>
    <t>MOLODIA</t>
  </si>
  <si>
    <t>MOUGALAM</t>
  </si>
  <si>
    <t>MOULOUANG</t>
  </si>
  <si>
    <t>NGRAN</t>
  </si>
  <si>
    <t>NIMIA</t>
  </si>
  <si>
    <t>SAO</t>
  </si>
  <si>
    <t>WALAGA</t>
  </si>
  <si>
    <t>ZALAT DORO-ROYA</t>
  </si>
  <si>
    <t>ABASSOUNI 1</t>
  </si>
  <si>
    <t>ABASSOUNI 2</t>
  </si>
  <si>
    <t>ABASSOUNI 3</t>
  </si>
  <si>
    <t>BARGARAM</t>
  </si>
  <si>
    <t>FADJA</t>
  </si>
  <si>
    <t>HILE ALIFA 1</t>
  </si>
  <si>
    <t>HILE ALIFA 2</t>
  </si>
  <si>
    <t>HILE-KATCHOU</t>
  </si>
  <si>
    <t>ALAYA</t>
  </si>
  <si>
    <t>AMCHEDIRE</t>
  </si>
  <si>
    <t>ARDEBE NGADJAM</t>
  </si>
  <si>
    <t>ARDEBE VILLE</t>
  </si>
  <si>
    <t>ARKIS</t>
  </si>
  <si>
    <t>BABOU</t>
  </si>
  <si>
    <t>DJAMBAL BAR</t>
  </si>
  <si>
    <t>GAROUA</t>
  </si>
  <si>
    <t>GUERGUE RABAH</t>
  </si>
  <si>
    <t>HARAZAYA</t>
  </si>
  <si>
    <t>HILE HAOUSSA</t>
  </si>
  <si>
    <t>IBOU</t>
  </si>
  <si>
    <t>KAWADJI 1</t>
  </si>
  <si>
    <t>KAWADJI 2</t>
  </si>
  <si>
    <t>KODOGO</t>
  </si>
  <si>
    <t>KOULKADA</t>
  </si>
  <si>
    <t>KOULOUK</t>
  </si>
  <si>
    <t>KROUANG 1</t>
  </si>
  <si>
    <t>KROUANG 2</t>
  </si>
  <si>
    <t>LACKA</t>
  </si>
  <si>
    <t>MADAGASCAR 1</t>
  </si>
  <si>
    <t>MADAGASCAR 2</t>
  </si>
  <si>
    <t>MADANA</t>
  </si>
  <si>
    <t>MADANA GABAG</t>
  </si>
  <si>
    <t>MAINANI</t>
  </si>
  <si>
    <t>MALACK</t>
  </si>
  <si>
    <t>MARAKO</t>
  </si>
  <si>
    <t>MASSAKI</t>
  </si>
  <si>
    <t>MASSIL-AL-KANAM</t>
  </si>
  <si>
    <t>MAWAK</t>
  </si>
  <si>
    <t>NAGA</t>
  </si>
  <si>
    <t>NGALLO</t>
  </si>
  <si>
    <t>NGARGOUZO</t>
  </si>
  <si>
    <t>PAGUI</t>
  </si>
  <si>
    <t>PAR-PAR</t>
  </si>
  <si>
    <t>RIGGIL KOTOKO</t>
  </si>
  <si>
    <t>SEREBA</t>
  </si>
  <si>
    <t>SOKOTO</t>
  </si>
  <si>
    <t>WALI</t>
  </si>
  <si>
    <t>DABANGA</t>
  </si>
  <si>
    <t>KABO</t>
  </si>
  <si>
    <t>KALAKAFRA</t>
  </si>
  <si>
    <t>TILDE</t>
  </si>
  <si>
    <t>ZIMADO</t>
  </si>
  <si>
    <t>ABBARI</t>
  </si>
  <si>
    <t>ABOUYAKOUBA</t>
  </si>
  <si>
    <t>AFADE CAMP</t>
  </si>
  <si>
    <t>AMCHILGA</t>
  </si>
  <si>
    <t>AMCHITIRE</t>
  </si>
  <si>
    <t>AMSABANG</t>
  </si>
  <si>
    <t>AMSABANG 2</t>
  </si>
  <si>
    <t>ANAMBARI</t>
  </si>
  <si>
    <t>ATTRI-FALATA</t>
  </si>
  <si>
    <t>ATTRI-SALAMAT</t>
  </si>
  <si>
    <t>BADRA</t>
  </si>
  <si>
    <t>BAGARA</t>
  </si>
  <si>
    <t>BAOURI</t>
  </si>
  <si>
    <t>BIAMO</t>
  </si>
  <si>
    <t>BIDEINE</t>
  </si>
  <si>
    <t>CHAGAMA 1</t>
  </si>
  <si>
    <t>CHAGAMA 2</t>
  </si>
  <si>
    <t>CHOU-SALAMAT</t>
  </si>
  <si>
    <t>DAMBA 1</t>
  </si>
  <si>
    <t>DIGAM BAR</t>
  </si>
  <si>
    <t>DIGAM-AFADE</t>
  </si>
  <si>
    <t>DJADJAYA</t>
  </si>
  <si>
    <t>DJIDANSAMA</t>
  </si>
  <si>
    <t>DJIMTILO</t>
  </si>
  <si>
    <t>DOLE-AFADE</t>
  </si>
  <si>
    <t>DOLE-NAGA</t>
  </si>
  <si>
    <t>DONGOLO</t>
  </si>
  <si>
    <t>DOROROYA 1</t>
  </si>
  <si>
    <t>DOUBABEL GOSS</t>
  </si>
  <si>
    <t>DOUGOUMMANGO</t>
  </si>
  <si>
    <t>FARCH 1</t>
  </si>
  <si>
    <t>GALE-GALE</t>
  </si>
  <si>
    <t>GAMBAROU</t>
  </si>
  <si>
    <t>GLAO</t>
  </si>
  <si>
    <t>GLESSALAO</t>
  </si>
  <si>
    <t>GOLALA</t>
  </si>
  <si>
    <t>GOUBAGO</t>
  </si>
  <si>
    <t>GOURGOURA</t>
  </si>
  <si>
    <t>HEREDIBE</t>
  </si>
  <si>
    <t>HISSAINIE</t>
  </si>
  <si>
    <t>KARTCHE</t>
  </si>
  <si>
    <t>KASIBE</t>
  </si>
  <si>
    <t>KESAWA</t>
  </si>
  <si>
    <t>KESSAWA</t>
  </si>
  <si>
    <t>KOKIO 1</t>
  </si>
  <si>
    <t>KOKIO 2</t>
  </si>
  <si>
    <t>KRENACK</t>
  </si>
  <si>
    <t>KRENAK</t>
  </si>
  <si>
    <t>LAFIA-ARABE</t>
  </si>
  <si>
    <t>MADA</t>
  </si>
  <si>
    <t>MADINA 1</t>
  </si>
  <si>
    <t>MAFANDE</t>
  </si>
  <si>
    <t>MAKARY</t>
  </si>
  <si>
    <t>MALADI</t>
  </si>
  <si>
    <t>MALIE</t>
  </si>
  <si>
    <t>MALTAM</t>
  </si>
  <si>
    <t>MANAWADJI</t>
  </si>
  <si>
    <t>MANDA 1</t>
  </si>
  <si>
    <t>MARGUI</t>
  </si>
  <si>
    <t>MASSIO</t>
  </si>
  <si>
    <t>MBLAME</t>
  </si>
  <si>
    <t>MEITO</t>
  </si>
  <si>
    <t>MESSIO</t>
  </si>
  <si>
    <t>MICHKIDIN</t>
  </si>
  <si>
    <t>MISKA-AFADE</t>
  </si>
  <si>
    <t>MODEGOUA</t>
  </si>
  <si>
    <t>NANAMI</t>
  </si>
  <si>
    <t>NDAGA</t>
  </si>
  <si>
    <t>NDAGALGUI</t>
  </si>
  <si>
    <t>NDEGO 1</t>
  </si>
  <si>
    <t>NDEGO 3</t>
  </si>
  <si>
    <t>NDEGO 4</t>
  </si>
  <si>
    <t>NDIGUINI</t>
  </si>
  <si>
    <t>NDODOHE KALIA</t>
  </si>
  <si>
    <t>NDOLOHE ARABE</t>
  </si>
  <si>
    <t>NGARDOUGOUM</t>
  </si>
  <si>
    <t>NGARDOUKOUM 2</t>
  </si>
  <si>
    <t>NGLEME</t>
  </si>
  <si>
    <t>NGONFLA 2</t>
  </si>
  <si>
    <t>NGORTCHOLO</t>
  </si>
  <si>
    <t>NGOUMA</t>
  </si>
  <si>
    <t>NGREE 1</t>
  </si>
  <si>
    <t>NGREE 2</t>
  </si>
  <si>
    <t>RINGUE</t>
  </si>
  <si>
    <t>SOULFA</t>
  </si>
  <si>
    <t>TILDE-CAMP</t>
  </si>
  <si>
    <t>TILDE-ECOLE</t>
  </si>
  <si>
    <t>TILDE-PONT</t>
  </si>
  <si>
    <t>WACHAMO</t>
  </si>
  <si>
    <t>WOULKI</t>
  </si>
  <si>
    <t>WOULKIOKALE</t>
  </si>
  <si>
    <t>ZAMAN</t>
  </si>
  <si>
    <t>DJINGUI</t>
  </si>
  <si>
    <t>GOZOLNANE</t>
  </si>
  <si>
    <t>KABE 2</t>
  </si>
  <si>
    <t>TAGAWA 1</t>
  </si>
  <si>
    <t>TAGAWA 2</t>
  </si>
  <si>
    <t>TAGAWA 3</t>
  </si>
  <si>
    <t>TAGAWA 4</t>
  </si>
  <si>
    <t>WAZA</t>
  </si>
  <si>
    <t>Gobo</t>
  </si>
  <si>
    <t>CMR004003011</t>
  </si>
  <si>
    <t>BASTEBE</t>
  </si>
  <si>
    <t>DABANA</t>
  </si>
  <si>
    <t>DJELME</t>
  </si>
  <si>
    <t>KARAM 1</t>
  </si>
  <si>
    <t>KARAM 2</t>
  </si>
  <si>
    <t>MASSA IKA</t>
  </si>
  <si>
    <t>MASSA KOUTWERTA</t>
  </si>
  <si>
    <t>NAYEGUISSIA</t>
  </si>
  <si>
    <t>BANGALA</t>
  </si>
  <si>
    <t>VOUNALOUM</t>
  </si>
  <si>
    <t>DOUGUOUI</t>
  </si>
  <si>
    <t>LOUGOYE KAMASSE</t>
  </si>
  <si>
    <t>GAGRAI</t>
  </si>
  <si>
    <t>GUIRVIDIG</t>
  </si>
  <si>
    <t>MAHAOUROU</t>
  </si>
  <si>
    <t>POUSS</t>
  </si>
  <si>
    <t>DANA</t>
  </si>
  <si>
    <t>BOURGOURI</t>
  </si>
  <si>
    <t>DJIDOMA</t>
  </si>
  <si>
    <t>GAZARO</t>
  </si>
  <si>
    <t>KAELE</t>
  </si>
  <si>
    <t>LARA</t>
  </si>
  <si>
    <t>ZADILI</t>
  </si>
  <si>
    <t>ZAKLONG</t>
  </si>
  <si>
    <t>Moutourwa</t>
  </si>
  <si>
    <t>CMR004004005</t>
  </si>
  <si>
    <t>MOUDA</t>
  </si>
  <si>
    <t>MOUTOUROUA ROOM</t>
  </si>
  <si>
    <t>BAME</t>
  </si>
  <si>
    <t>AMTCHALIE</t>
  </si>
  <si>
    <t>BALDAMA</t>
  </si>
  <si>
    <t>DJARME</t>
  </si>
  <si>
    <t>DJOUNDE</t>
  </si>
  <si>
    <t>DOULO</t>
  </si>
  <si>
    <t>FIKE 1</t>
  </si>
  <si>
    <t>FIKE 2</t>
  </si>
  <si>
    <t>GODIGONG</t>
  </si>
  <si>
    <t>IGAGOUA 1</t>
  </si>
  <si>
    <t>IGAGOUA 2</t>
  </si>
  <si>
    <t>JAJA</t>
  </si>
  <si>
    <t>KOURGUI</t>
  </si>
  <si>
    <t>MAHOULA</t>
  </si>
  <si>
    <t>MASSARE 1</t>
  </si>
  <si>
    <t>MASSARE 2</t>
  </si>
  <si>
    <t>MBARMA</t>
  </si>
  <si>
    <t>MEME</t>
  </si>
  <si>
    <t>MORA MASSIF</t>
  </si>
  <si>
    <t>OUDJILA</t>
  </si>
  <si>
    <t>POUCHE</t>
  </si>
  <si>
    <t>SANDALE 1</t>
  </si>
  <si>
    <t>SANDALE 2</t>
  </si>
  <si>
    <t>VOUAWA</t>
  </si>
  <si>
    <t>WALADE 2</t>
  </si>
  <si>
    <t>WALADE 3</t>
  </si>
  <si>
    <t>Tokombere</t>
  </si>
  <si>
    <t>CMR004005003</t>
  </si>
  <si>
    <t>LALAWAI</t>
  </si>
  <si>
    <t>MADA KOLKACH</t>
  </si>
  <si>
    <t>MADOUVAYA</t>
  </si>
  <si>
    <t>MAKELINGAI</t>
  </si>
  <si>
    <t>MBZAGABAI</t>
  </si>
  <si>
    <t>OULDEME</t>
  </si>
  <si>
    <t>PALBARA</t>
  </si>
  <si>
    <t>SERAWA</t>
  </si>
  <si>
    <t>TAZANG</t>
  </si>
  <si>
    <t>TINDERME</t>
  </si>
  <si>
    <t>TOKOMBERE</t>
  </si>
  <si>
    <t>Hina</t>
  </si>
  <si>
    <t>CMR004006003</t>
  </si>
  <si>
    <t>BAMGUEL BORORO</t>
  </si>
  <si>
    <t>BASSARA</t>
  </si>
  <si>
    <t>BERING</t>
  </si>
  <si>
    <t>HINA CENTRE</t>
  </si>
  <si>
    <t>ZOUVOUL</t>
  </si>
  <si>
    <t>Koza</t>
  </si>
  <si>
    <t>CMR004006004</t>
  </si>
  <si>
    <t>DJENGUE</t>
  </si>
  <si>
    <t>DJINGIYA PLAINE</t>
  </si>
  <si>
    <t>DJINGLIYA MONTAGNE</t>
  </si>
  <si>
    <t>DOUMBOGO</t>
  </si>
  <si>
    <t>DOURWAT</t>
  </si>
  <si>
    <t>GABAS</t>
  </si>
  <si>
    <t>GABOUA</t>
  </si>
  <si>
    <t>GAIVOUKIDA</t>
  </si>
  <si>
    <t>GALDALA</t>
  </si>
  <si>
    <t>GOUSDA MAKANDAI</t>
  </si>
  <si>
    <t>GOUSDA WAYAM</t>
  </si>
  <si>
    <t>GUETALE</t>
  </si>
  <si>
    <t>GUID BALA</t>
  </si>
  <si>
    <t>HAMDALA</t>
  </si>
  <si>
    <t>HIRCHE</t>
  </si>
  <si>
    <t>KECHKEME</t>
  </si>
  <si>
    <t>KILDA</t>
  </si>
  <si>
    <t>MALTAMAYA</t>
  </si>
  <si>
    <t>MATALAM</t>
  </si>
  <si>
    <t>MAZI</t>
  </si>
  <si>
    <t>MBARDAM</t>
  </si>
  <si>
    <t>MODOKO</t>
  </si>
  <si>
    <t>MORGO</t>
  </si>
  <si>
    <t>PAMBAO</t>
  </si>
  <si>
    <t>TENDEO</t>
  </si>
  <si>
    <t>WALADE</t>
  </si>
  <si>
    <t>WOULAD</t>
  </si>
  <si>
    <t>ZILER</t>
  </si>
  <si>
    <t>BOUNGUELRE</t>
  </si>
  <si>
    <t>DJALINGO</t>
  </si>
  <si>
    <t>DJIMETA</t>
  </si>
  <si>
    <t>GAWAR</t>
  </si>
  <si>
    <t>GOLE KADJOLE</t>
  </si>
  <si>
    <t>KOSSOHONE</t>
  </si>
  <si>
    <t>LAIDE</t>
  </si>
  <si>
    <t>MAGOUMAZ</t>
  </si>
  <si>
    <t>MAINDEZE</t>
  </si>
  <si>
    <t>MAVOUMAY</t>
  </si>
  <si>
    <t>MBOUA ZIMAGAZAK</t>
  </si>
  <si>
    <t>NASSARAO 1</t>
  </si>
  <si>
    <t>NASSARAO 2</t>
  </si>
  <si>
    <t>OURO TADA</t>
  </si>
  <si>
    <t>SABONGARI</t>
  </si>
  <si>
    <t>SARKI FADA</t>
  </si>
  <si>
    <t>TONGO</t>
  </si>
  <si>
    <t>TOUFOU</t>
  </si>
  <si>
    <t>TOUROU</t>
  </si>
  <si>
    <t>WANDAI</t>
  </si>
  <si>
    <t>ZAMAI</t>
  </si>
  <si>
    <t>GOLKIDAYE</t>
  </si>
  <si>
    <t>MAWA</t>
  </si>
  <si>
    <t>MEDEGOUER</t>
  </si>
  <si>
    <t>MOSKOTA</t>
  </si>
  <si>
    <t>MOZOGO GUIDBALA</t>
  </si>
  <si>
    <t>MOZOGO QUARTIER HAOUSSA</t>
  </si>
  <si>
    <t>MOZOGO TCHEKODE</t>
  </si>
  <si>
    <t>NGUETCHEWE</t>
  </si>
  <si>
    <t>OUZAL</t>
  </si>
  <si>
    <t>VOUZI</t>
  </si>
  <si>
    <t>Soulede-Roua</t>
  </si>
  <si>
    <t>CMR004006006</t>
  </si>
  <si>
    <t>DOUMGAR</t>
  </si>
  <si>
    <t>FOGOM</t>
  </si>
  <si>
    <t>GOLIBAI</t>
  </si>
  <si>
    <t>MADOKONAI 1</t>
  </si>
  <si>
    <t>OUDOUMDJARAY</t>
  </si>
  <si>
    <t>ROUA CENTRE</t>
  </si>
  <si>
    <t>refugies non enregistres</t>
  </si>
  <si>
    <t>DJABIRE</t>
  </si>
  <si>
    <t>NGA008</t>
  </si>
  <si>
    <t>Borno</t>
  </si>
  <si>
    <t>TCHALNGA</t>
  </si>
  <si>
    <t>NDJARGOUDJA</t>
  </si>
  <si>
    <t>DJIREIB</t>
  </si>
  <si>
    <t>ABUJA (CAMP)</t>
  </si>
  <si>
    <t>CHOU-KOTOKO</t>
  </si>
  <si>
    <t>DANOUNA (CAMP)</t>
  </si>
  <si>
    <t>HEREZAYA (CAMP)</t>
  </si>
  <si>
    <t>HOLIO</t>
  </si>
  <si>
    <t>KLEHE</t>
  </si>
  <si>
    <t>MAN-ARABIE</t>
  </si>
  <si>
    <t>MANIGUEIDE</t>
  </si>
  <si>
    <t>MATKOUS 1</t>
  </si>
  <si>
    <t>MATKOUS 2</t>
  </si>
  <si>
    <t>SALANDAS</t>
  </si>
  <si>
    <t>MADA 1</t>
  </si>
  <si>
    <t>SALEH</t>
  </si>
  <si>
    <t>ZOLZALE</t>
  </si>
  <si>
    <t>autre</t>
  </si>
  <si>
    <t>GOBOGAIOUA</t>
  </si>
  <si>
    <t>Mayo Kebbi Est</t>
  </si>
  <si>
    <t>BADJAVA TWONGO</t>
  </si>
  <si>
    <t>NGA002</t>
  </si>
  <si>
    <t>Adamawa</t>
  </si>
  <si>
    <t>TCHEVI</t>
  </si>
  <si>
    <t>GOURIA</t>
  </si>
  <si>
    <t>KARANTCHI</t>
  </si>
  <si>
    <t>KILA</t>
  </si>
  <si>
    <t>KOUFFI</t>
  </si>
  <si>
    <t>NORA</t>
  </si>
  <si>
    <t>OUDAVA</t>
  </si>
  <si>
    <t>RHUMSIKI</t>
  </si>
  <si>
    <t>RHUMZU</t>
  </si>
  <si>
    <t>SIR</t>
  </si>
  <si>
    <t>TEKI</t>
  </si>
  <si>
    <t>VITTE</t>
  </si>
  <si>
    <t>YELLE</t>
  </si>
  <si>
    <t>Dargala</t>
  </si>
  <si>
    <t>CMR004001004</t>
  </si>
  <si>
    <t>DARGALA</t>
  </si>
  <si>
    <t>retournes</t>
  </si>
  <si>
    <t>CAR</t>
  </si>
  <si>
    <t>DJOHIRE</t>
  </si>
  <si>
    <t>KALAKI</t>
  </si>
  <si>
    <t>OURO-ZANGUI</t>
  </si>
  <si>
    <t>WOULMOYE</t>
  </si>
  <si>
    <t>Meri</t>
  </si>
  <si>
    <t>CMR004001007</t>
  </si>
  <si>
    <t>MANGAFE</t>
  </si>
  <si>
    <t>meme_pays</t>
  </si>
  <si>
    <t>NDARABAYA</t>
  </si>
  <si>
    <t>DOLE-ABOUNA</t>
  </si>
  <si>
    <t>DAHAOU</t>
  </si>
  <si>
    <t>DJOUGOUMTA</t>
  </si>
  <si>
    <t>HOLLOM</t>
  </si>
  <si>
    <t>KELEO</t>
  </si>
  <si>
    <t>YANGA</t>
  </si>
  <si>
    <t>Guidiguis</t>
  </si>
  <si>
    <t>CMR004004001</t>
  </si>
  <si>
    <t>DJANINI</t>
  </si>
  <si>
    <t>GASSEL</t>
  </si>
  <si>
    <t>LARAO</t>
  </si>
  <si>
    <t>MENDAIRE</t>
  </si>
  <si>
    <t>SIRATARE</t>
  </si>
  <si>
    <t>DEDEP</t>
  </si>
  <si>
    <t>ZILENG</t>
  </si>
  <si>
    <t>YAMGAZAWA</t>
  </si>
  <si>
    <t>ecole</t>
  </si>
  <si>
    <t>Adm1_Name</t>
  </si>
  <si>
    <t>Adm2_Name</t>
  </si>
  <si>
    <t>Adm3_Name</t>
  </si>
  <si>
    <t>Village_name</t>
  </si>
  <si>
    <t>LAYONA</t>
  </si>
  <si>
    <t>MASKALAI</t>
  </si>
  <si>
    <t>DOMBORE</t>
  </si>
  <si>
    <t>AMADABO 2</t>
  </si>
  <si>
    <t>NDJAMENA 3</t>
  </si>
  <si>
    <t>MAFOUFOU</t>
  </si>
  <si>
    <t>LABADO</t>
  </si>
  <si>
    <t>SIMO</t>
  </si>
  <si>
    <t>BEDEO</t>
  </si>
  <si>
    <t>GOURA 2</t>
  </si>
  <si>
    <t>HELISNA</t>
  </si>
  <si>
    <t>MFLEI</t>
  </si>
  <si>
    <t>KAMOUNA</t>
  </si>
  <si>
    <t>DANGABISSI</t>
  </si>
  <si>
    <t>ZIROU</t>
  </si>
  <si>
    <t>GARE</t>
  </si>
  <si>
    <t>SARE</t>
  </si>
  <si>
    <t>BOULDA 2</t>
  </si>
  <si>
    <t>ALDOURI</t>
  </si>
  <si>
    <t>WALASSA</t>
  </si>
  <si>
    <t>BOULDA 1</t>
  </si>
  <si>
    <t>#</t>
  </si>
  <si>
    <t>population_globale</t>
  </si>
  <si>
    <t>Individuals</t>
  </si>
  <si>
    <t>Total</t>
  </si>
  <si>
    <t>Households</t>
  </si>
  <si>
    <t>Periods</t>
  </si>
  <si>
    <t>%</t>
  </si>
  <si>
    <t>Departments</t>
  </si>
  <si>
    <t>Unregistered Refugees</t>
  </si>
  <si>
    <t>Returnees</t>
  </si>
  <si>
    <t>Displacements</t>
  </si>
  <si>
    <t>IDP</t>
  </si>
  <si>
    <t>Round 1 (Nov. 2015)</t>
  </si>
  <si>
    <t>Round 2 (Feb. 2016)</t>
  </si>
  <si>
    <t>Round 3 (April 2016)</t>
  </si>
  <si>
    <t>Round 4 (July 2016)</t>
  </si>
  <si>
    <t>Round 5 (Sept 2016)</t>
  </si>
  <si>
    <t>Round 6 (Dec 2016)</t>
  </si>
  <si>
    <t>Individuals (%)</t>
  </si>
  <si>
    <t>Villages</t>
  </si>
  <si>
    <t>Less than 2 years</t>
  </si>
  <si>
    <t>3-5 years</t>
  </si>
  <si>
    <t>6-12 years</t>
  </si>
  <si>
    <t>13-17 years</t>
  </si>
  <si>
    <t>18-59 years</t>
  </si>
  <si>
    <t>60+</t>
  </si>
  <si>
    <t>Male</t>
  </si>
  <si>
    <t>Female</t>
  </si>
  <si>
    <t>0-2 years</t>
  </si>
  <si>
    <t>Percentage of Households with Children</t>
  </si>
  <si>
    <t>Minors (-18)</t>
  </si>
  <si>
    <t>Average Household Size</t>
  </si>
  <si>
    <t>Elders (60+)</t>
  </si>
  <si>
    <t>Average Number of Children per Household</t>
  </si>
  <si>
    <t>% of minors between 0-5</t>
  </si>
  <si>
    <t>Age</t>
  </si>
  <si>
    <t>100_Male</t>
  </si>
  <si>
    <t>Male 50%</t>
  </si>
  <si>
    <t>Gap</t>
  </si>
  <si>
    <t>100_Female</t>
  </si>
  <si>
    <t>Female 50%</t>
  </si>
  <si>
    <t>Department</t>
  </si>
  <si>
    <t>Displacement by Department (IDPs, unregistered refugees, and returnees)</t>
  </si>
  <si>
    <t>Host Families</t>
  </si>
  <si>
    <t>Rental</t>
  </si>
  <si>
    <t>Conflicts_ISWA</t>
  </si>
  <si>
    <t>Other</t>
  </si>
  <si>
    <t>Reasons</t>
  </si>
  <si>
    <t>Displacement</t>
  </si>
  <si>
    <t>Soulede_Roua</t>
  </si>
  <si>
    <t>Rd5</t>
  </si>
  <si>
    <t>Rd6</t>
  </si>
  <si>
    <t>Difference (Rd6-Rd5)</t>
  </si>
  <si>
    <t>Rd7</t>
  </si>
  <si>
    <t>MADAGASCAR</t>
  </si>
  <si>
    <t>TCHOLLORE</t>
  </si>
  <si>
    <t>GLO KOTOKO</t>
  </si>
  <si>
    <t>BELGUEDE</t>
  </si>
  <si>
    <t>WORO KEYME</t>
  </si>
  <si>
    <t>MALA</t>
  </si>
  <si>
    <t>MARFAINE</t>
  </si>
  <si>
    <t>TILAM 1</t>
  </si>
  <si>
    <t>CHAFOU IDJELIDJE (CAMP)</t>
  </si>
  <si>
    <t>SALERI</t>
  </si>
  <si>
    <t>BALEMA</t>
  </si>
  <si>
    <t>KNERACK</t>
  </si>
  <si>
    <t>FADJE (CAMP)</t>
  </si>
  <si>
    <t>MANNA</t>
  </si>
  <si>
    <t>GACHALMEDIK</t>
  </si>
  <si>
    <t>GOURLE</t>
  </si>
  <si>
    <t>HOURAHOURI</t>
  </si>
  <si>
    <t>MELARI</t>
  </si>
  <si>
    <t>MOULADOCK (CAMP)</t>
  </si>
  <si>
    <t>MOULADOCK 1</t>
  </si>
  <si>
    <t>MOULADOCK 2</t>
  </si>
  <si>
    <t>NGADA</t>
  </si>
  <si>
    <t>SAHABA 3</t>
  </si>
  <si>
    <t>SKLIO</t>
  </si>
  <si>
    <t>TRAYA</t>
  </si>
  <si>
    <t>DIAM 1</t>
  </si>
  <si>
    <t>DJAKDJAKKAYA 2</t>
  </si>
  <si>
    <t>KOUMBOULA</t>
  </si>
  <si>
    <t>FARFARA 2</t>
  </si>
  <si>
    <t>ARDEB 2</t>
  </si>
  <si>
    <t>DAGLE</t>
  </si>
  <si>
    <t>DOUGMO</t>
  </si>
  <si>
    <t>DOUGOUM</t>
  </si>
  <si>
    <t>ALAK 2</t>
  </si>
  <si>
    <t>WOUREDINE</t>
  </si>
  <si>
    <t>BEDA (CAMP)</t>
  </si>
  <si>
    <t>DILEBE</t>
  </si>
  <si>
    <t>ALAK 1</t>
  </si>
  <si>
    <t>GOURLE 2</t>
  </si>
  <si>
    <t>GOSSALNOUGARA</t>
  </si>
  <si>
    <t>NGARTCHANO 1</t>
  </si>
  <si>
    <t>CHIMTILI</t>
  </si>
  <si>
    <t>NGOUNG</t>
  </si>
  <si>
    <t>DIAM 2</t>
  </si>
  <si>
    <t>AMSOUMOU</t>
  </si>
  <si>
    <t>NGOUT</t>
  </si>
  <si>
    <t>WERENGOULMO</t>
  </si>
  <si>
    <t>SOUNGOURA 1</t>
  </si>
  <si>
    <t>GRELIE</t>
  </si>
  <si>
    <t>WERA</t>
  </si>
  <si>
    <t>GOULOUMBO</t>
  </si>
  <si>
    <t>ABTABILO FADJAWA</t>
  </si>
  <si>
    <t>HADAMARI</t>
  </si>
  <si>
    <t>ARDEB 1</t>
  </si>
  <si>
    <t>SERO 1</t>
  </si>
  <si>
    <t>NDARKA</t>
  </si>
  <si>
    <t>NGAIWA</t>
  </si>
  <si>
    <t>FARFARA 1</t>
  </si>
  <si>
    <t>BLO</t>
  </si>
  <si>
    <t>GLAO AFADE</t>
  </si>
  <si>
    <t>GLAO BARDAI</t>
  </si>
  <si>
    <t>HILTALKALI</t>
  </si>
  <si>
    <t>KOUMBOULA (CAMP)</t>
  </si>
  <si>
    <t>GOULOU</t>
  </si>
  <si>
    <t>MATKOUNA 1</t>
  </si>
  <si>
    <t>NGAME</t>
  </si>
  <si>
    <t>MADAWAYA</t>
  </si>
  <si>
    <t>TOUNGA</t>
  </si>
  <si>
    <t>GOUZOUDOU</t>
  </si>
  <si>
    <t>GOUDJOUMDELE</t>
  </si>
  <si>
    <t>BONDERI</t>
  </si>
  <si>
    <t>KOSSA</t>
  </si>
  <si>
    <t>LIMANI</t>
  </si>
  <si>
    <t>DJAKANA</t>
  </si>
  <si>
    <t>MAGDEME</t>
  </si>
  <si>
    <t>WARAGA</t>
  </si>
  <si>
    <t>DAKADALA GADADOU</t>
  </si>
  <si>
    <t>GADABAK</t>
  </si>
  <si>
    <t>DJESKAWE</t>
  </si>
  <si>
    <t>GOUSD MLAIL</t>
  </si>
  <si>
    <t>GOLDAVI</t>
  </si>
  <si>
    <t>2016</t>
  </si>
  <si>
    <t>Central African Republic</t>
  </si>
  <si>
    <t>CMR003</t>
  </si>
  <si>
    <t>Est</t>
  </si>
  <si>
    <t>Round 7 (Feb 2017)</t>
  </si>
  <si>
    <t>KALKOUSSAM</t>
  </si>
  <si>
    <t>MATKOUNA 2</t>
  </si>
  <si>
    <t>Back Home</t>
  </si>
  <si>
    <t>Departements</t>
  </si>
  <si>
    <t>Autre</t>
  </si>
  <si>
    <t>Location</t>
  </si>
  <si>
    <t>TOTAL</t>
  </si>
  <si>
    <t>DEPARTEMENTS / ARRONDISSEMENT</t>
  </si>
  <si>
    <t>Round 7 (Jan 2017)</t>
  </si>
  <si>
    <t>CONFLITS</t>
  </si>
  <si>
    <t>DESASTRES NATURELS</t>
  </si>
  <si>
    <t>Distribution des personnes déplacées internes par arrondissement et par raison de déplacement</t>
  </si>
  <si>
    <t>Pays de provenance des retournés</t>
  </si>
  <si>
    <t>village_code</t>
  </si>
  <si>
    <t>GAZ_0001</t>
  </si>
  <si>
    <t>GAZ_0002</t>
  </si>
  <si>
    <t>GAZ_0003</t>
  </si>
  <si>
    <t>GAZ_0004</t>
  </si>
  <si>
    <t>GAZ_0005</t>
  </si>
  <si>
    <t>GAZ_0006</t>
  </si>
  <si>
    <t>MA2_0001</t>
  </si>
  <si>
    <t>MA2_0002</t>
  </si>
  <si>
    <t>MA3_0001</t>
  </si>
  <si>
    <t>MA3_0002</t>
  </si>
  <si>
    <t>MA3_0003</t>
  </si>
  <si>
    <t>MA3_0004</t>
  </si>
  <si>
    <t>MER_0001</t>
  </si>
  <si>
    <t>PET_0001</t>
  </si>
  <si>
    <t>PET_0028</t>
  </si>
  <si>
    <t>PET_0003</t>
  </si>
  <si>
    <t>PET_0004</t>
  </si>
  <si>
    <t>PET_0005</t>
  </si>
  <si>
    <t>PET_0006</t>
  </si>
  <si>
    <t>PET_0007</t>
  </si>
  <si>
    <t>PET_0008</t>
  </si>
  <si>
    <t>PET_0009</t>
  </si>
  <si>
    <t>PET_0010</t>
  </si>
  <si>
    <t>PET_0011</t>
  </si>
  <si>
    <t>PET_0012</t>
  </si>
  <si>
    <t>PET_0013</t>
  </si>
  <si>
    <t>PET_0014</t>
  </si>
  <si>
    <t>PET_0015</t>
  </si>
  <si>
    <t>PET_0016</t>
  </si>
  <si>
    <t>PET_0017</t>
  </si>
  <si>
    <t>PET_0018</t>
  </si>
  <si>
    <t>PET_0019</t>
  </si>
  <si>
    <t>PET_0020</t>
  </si>
  <si>
    <t>PET_0021</t>
  </si>
  <si>
    <t>PET_0022</t>
  </si>
  <si>
    <t>PET_0023</t>
  </si>
  <si>
    <t>PET_0024</t>
  </si>
  <si>
    <t>PET_0025</t>
  </si>
  <si>
    <t>PET_0026</t>
  </si>
  <si>
    <t>PET_0027</t>
  </si>
  <si>
    <t>BLA_0001</t>
  </si>
  <si>
    <t>BLA_0002</t>
  </si>
  <si>
    <t>BLA_0003</t>
  </si>
  <si>
    <t>BLA_0004</t>
  </si>
  <si>
    <t>BLA_0005</t>
  </si>
  <si>
    <t>BLA_0006</t>
  </si>
  <si>
    <t>BLA_0007</t>
  </si>
  <si>
    <t>BLA_0008</t>
  </si>
  <si>
    <t>BLA_0009</t>
  </si>
  <si>
    <t>BLA_0010</t>
  </si>
  <si>
    <t>BLA_0015</t>
  </si>
  <si>
    <t>BLA_0013</t>
  </si>
  <si>
    <t>BLA_0016</t>
  </si>
  <si>
    <t>BLA_0014</t>
  </si>
  <si>
    <t>DAR_0001</t>
  </si>
  <si>
    <t>DAR_0022</t>
  </si>
  <si>
    <t>DAR_0002</t>
  </si>
  <si>
    <t>DAR_0003</t>
  </si>
  <si>
    <t>DAR_0004</t>
  </si>
  <si>
    <t>DAR_0021</t>
  </si>
  <si>
    <t>DAR_0007</t>
  </si>
  <si>
    <t>DAR_0008</t>
  </si>
  <si>
    <t>DAR_0009</t>
  </si>
  <si>
    <t>DAR_0010</t>
  </si>
  <si>
    <t>DAR_0011</t>
  </si>
  <si>
    <t>DAR_0012</t>
  </si>
  <si>
    <t>DAR_0023</t>
  </si>
  <si>
    <t>DAR_0013</t>
  </si>
  <si>
    <t>DAR_0014</t>
  </si>
  <si>
    <t>DAR_0015</t>
  </si>
  <si>
    <t>DAR_0016</t>
  </si>
  <si>
    <t>DAR_0017</t>
  </si>
  <si>
    <t>DAR_0018</t>
  </si>
  <si>
    <t>DAR_0019</t>
  </si>
  <si>
    <t>DAR_0020</t>
  </si>
  <si>
    <t>FOT_0001</t>
  </si>
  <si>
    <t>FOT_0031</t>
  </si>
  <si>
    <t>FOT_0038</t>
  </si>
  <si>
    <t>FOT_0004</t>
  </si>
  <si>
    <t>FOT_0029</t>
  </si>
  <si>
    <t>FOT_0023</t>
  </si>
  <si>
    <t>FOT_0007</t>
  </si>
  <si>
    <t>FOT_0009</t>
  </si>
  <si>
    <t>FOT_0034</t>
  </si>
  <si>
    <t>GOLMO ARABE</t>
  </si>
  <si>
    <t>FOT_0039</t>
  </si>
  <si>
    <t>GOLMO KOTOKO</t>
  </si>
  <si>
    <t>FOT_0040</t>
  </si>
  <si>
    <t>HAÏGAYO</t>
  </si>
  <si>
    <t>FOT_0041</t>
  </si>
  <si>
    <t>FOT_0010</t>
  </si>
  <si>
    <t>FOT_0012</t>
  </si>
  <si>
    <t>FOT_0013</t>
  </si>
  <si>
    <t>FOT_0014</t>
  </si>
  <si>
    <t>MAGADI 2</t>
  </si>
  <si>
    <t>FOT_0043</t>
  </si>
  <si>
    <t>FOT_0015</t>
  </si>
  <si>
    <t>FOT_0016</t>
  </si>
  <si>
    <t>FOT_0027</t>
  </si>
  <si>
    <t>FOT_0030</t>
  </si>
  <si>
    <t>ROUNDE</t>
  </si>
  <si>
    <t>FOT_0044</t>
  </si>
  <si>
    <t>FOT_0019</t>
  </si>
  <si>
    <t>FOT_0020</t>
  </si>
  <si>
    <t>FOT_0028</t>
  </si>
  <si>
    <t>FOT_0037</t>
  </si>
  <si>
    <t>GOU_0026</t>
  </si>
  <si>
    <t>GOU_0001</t>
  </si>
  <si>
    <t>GOU_0002</t>
  </si>
  <si>
    <t>GOU_0003</t>
  </si>
  <si>
    <t>GOU_0005</t>
  </si>
  <si>
    <t>GOU_0025</t>
  </si>
  <si>
    <t>GOU_0006</t>
  </si>
  <si>
    <t>GOU_0007</t>
  </si>
  <si>
    <t>GOU_0008</t>
  </si>
  <si>
    <t>GOU_0009</t>
  </si>
  <si>
    <t>GOU_0030</t>
  </si>
  <si>
    <t>GOU_0031</t>
  </si>
  <si>
    <t>GOU_0010</t>
  </si>
  <si>
    <t>GOU_0011</t>
  </si>
  <si>
    <t>GOU_0032</t>
  </si>
  <si>
    <t>GOU_0012</t>
  </si>
  <si>
    <t>GOU_0013</t>
  </si>
  <si>
    <t>GOU_0014</t>
  </si>
  <si>
    <t>GOU_0033</t>
  </si>
  <si>
    <t>GOU_0015</t>
  </si>
  <si>
    <t>GOU_0016</t>
  </si>
  <si>
    <t>GOU_0027</t>
  </si>
  <si>
    <t>GOU_0017</t>
  </si>
  <si>
    <t>GOU_0018</t>
  </si>
  <si>
    <t>GOU_0019</t>
  </si>
  <si>
    <t>GOU_0020</t>
  </si>
  <si>
    <t>GOU_0021</t>
  </si>
  <si>
    <t>GOU_0022</t>
  </si>
  <si>
    <t>GOU_0023</t>
  </si>
  <si>
    <t>GOU_0024</t>
  </si>
  <si>
    <t>GOU_0004</t>
  </si>
  <si>
    <t>HIL_0002</t>
  </si>
  <si>
    <t>HIL_0003</t>
  </si>
  <si>
    <t>HIL_0004</t>
  </si>
  <si>
    <t>HIL_0005</t>
  </si>
  <si>
    <t>HIL_0007</t>
  </si>
  <si>
    <t>HIL_0010</t>
  </si>
  <si>
    <t>HIL_0011</t>
  </si>
  <si>
    <t>HIL_0016</t>
  </si>
  <si>
    <t>HIL_0013</t>
  </si>
  <si>
    <t>HIL_0014</t>
  </si>
  <si>
    <t>HIL_0015</t>
  </si>
  <si>
    <t>KOU_0001</t>
  </si>
  <si>
    <t>KOU_0002</t>
  </si>
  <si>
    <t>KOU_0042</t>
  </si>
  <si>
    <t>KOU_0003</t>
  </si>
  <si>
    <t>KOU_0004</t>
  </si>
  <si>
    <t>KOU_0005</t>
  </si>
  <si>
    <t>KOU_0007</t>
  </si>
  <si>
    <t>KOU_0009</t>
  </si>
  <si>
    <t>KOU_0010</t>
  </si>
  <si>
    <t>KOU_0011</t>
  </si>
  <si>
    <t>KOU_0012</t>
  </si>
  <si>
    <t>KOU_0013</t>
  </si>
  <si>
    <t>KOU_0040</t>
  </si>
  <si>
    <t>KOU_0041</t>
  </si>
  <si>
    <t>KOU_0014</t>
  </si>
  <si>
    <t>KOU_0015</t>
  </si>
  <si>
    <t>KOU_0016</t>
  </si>
  <si>
    <t>KOU_0017</t>
  </si>
  <si>
    <t>KOU_0018</t>
  </si>
  <si>
    <t>KOU_0019</t>
  </si>
  <si>
    <t>KOU_0020</t>
  </si>
  <si>
    <t>KOU_0021</t>
  </si>
  <si>
    <t>KOU_0022</t>
  </si>
  <si>
    <t>KOU_0023</t>
  </si>
  <si>
    <t>KOU_0024</t>
  </si>
  <si>
    <t>KOU_0025</t>
  </si>
  <si>
    <t>KOU_0026</t>
  </si>
  <si>
    <t>KOU_0027</t>
  </si>
  <si>
    <t>KOU_0028</t>
  </si>
  <si>
    <t>KOU_0029</t>
  </si>
  <si>
    <t>KOU_0030</t>
  </si>
  <si>
    <t>KOU_0031</t>
  </si>
  <si>
    <t>KOU_0032</t>
  </si>
  <si>
    <t>KOU_0033</t>
  </si>
  <si>
    <t>KOU_0034</t>
  </si>
  <si>
    <t>KOU_0035</t>
  </si>
  <si>
    <t>KOU_0036</t>
  </si>
  <si>
    <t>KOU_0037</t>
  </si>
  <si>
    <t>KOU_0038</t>
  </si>
  <si>
    <t>KOU_0039</t>
  </si>
  <si>
    <t>AMALGOCH</t>
  </si>
  <si>
    <t>LBI_0027</t>
  </si>
  <si>
    <t>AMREF</t>
  </si>
  <si>
    <t>LBI_0028</t>
  </si>
  <si>
    <t>ANGOCH</t>
  </si>
  <si>
    <t>LBI_0029</t>
  </si>
  <si>
    <t>LBI_0008</t>
  </si>
  <si>
    <t>LBI_0009</t>
  </si>
  <si>
    <t>LBI_0001</t>
  </si>
  <si>
    <t>DEIMA</t>
  </si>
  <si>
    <t>LBI_0030</t>
  </si>
  <si>
    <t>DOUGOUMBRA</t>
  </si>
  <si>
    <t>LBI_0031</t>
  </si>
  <si>
    <t>LBI_0016</t>
  </si>
  <si>
    <t>LBI_0011</t>
  </si>
  <si>
    <t>GALESS</t>
  </si>
  <si>
    <t>LBI_0032</t>
  </si>
  <si>
    <t>LBI_0017</t>
  </si>
  <si>
    <t>GUESH</t>
  </si>
  <si>
    <t>LBI_0033</t>
  </si>
  <si>
    <t>HINALE</t>
  </si>
  <si>
    <t>LBI_0034</t>
  </si>
  <si>
    <t>HOUNANGARE</t>
  </si>
  <si>
    <t>LBI_0035</t>
  </si>
  <si>
    <t>HOUNDOUK</t>
  </si>
  <si>
    <t>LBI_0036</t>
  </si>
  <si>
    <t>LBI_0002</t>
  </si>
  <si>
    <t>LBI_0004</t>
  </si>
  <si>
    <t>LBI_0003</t>
  </si>
  <si>
    <t>LBI_0018</t>
  </si>
  <si>
    <t>LBI_0005</t>
  </si>
  <si>
    <t>MACHOKA</t>
  </si>
  <si>
    <t>LBI_0038</t>
  </si>
  <si>
    <t>MADEF</t>
  </si>
  <si>
    <t>LBI_0039</t>
  </si>
  <si>
    <t>MAHANA</t>
  </si>
  <si>
    <t>LBI_0040</t>
  </si>
  <si>
    <t>LBI_0014</t>
  </si>
  <si>
    <t>LBI_0019</t>
  </si>
  <si>
    <t>LBI_0022</t>
  </si>
  <si>
    <t>LBI_0020</t>
  </si>
  <si>
    <t>LBI_0021</t>
  </si>
  <si>
    <t>NDOM</t>
  </si>
  <si>
    <t>LBI_0042</t>
  </si>
  <si>
    <t>LBI_0023</t>
  </si>
  <si>
    <t>NGOYKOKA</t>
  </si>
  <si>
    <t>LBI_0043</t>
  </si>
  <si>
    <t>LBI_0024</t>
  </si>
  <si>
    <t>LBI_0015</t>
  </si>
  <si>
    <t>LBI_0025</t>
  </si>
  <si>
    <t>TABOYE</t>
  </si>
  <si>
    <t>LBI_0044</t>
  </si>
  <si>
    <t>LBI_0006</t>
  </si>
  <si>
    <t>LBI_0026</t>
  </si>
  <si>
    <t>LBI_0007</t>
  </si>
  <si>
    <t>MAK_0001</t>
  </si>
  <si>
    <t>ABOKI</t>
  </si>
  <si>
    <t>MAK_0190</t>
  </si>
  <si>
    <t>ABOUDANGALA</t>
  </si>
  <si>
    <t>MAK_0191</t>
  </si>
  <si>
    <t>ABOUSOULTAN</t>
  </si>
  <si>
    <t>MAK_0192</t>
  </si>
  <si>
    <t>MAK_0002</t>
  </si>
  <si>
    <t>MAK_0003</t>
  </si>
  <si>
    <t>MAK_0004</t>
  </si>
  <si>
    <t>ALMITERAP</t>
  </si>
  <si>
    <t>MAK_0194</t>
  </si>
  <si>
    <t>MAK_0006</t>
  </si>
  <si>
    <t>MAK_0007</t>
  </si>
  <si>
    <t>MAK_0008</t>
  </si>
  <si>
    <t>MAK_0009</t>
  </si>
  <si>
    <t>AMSAMKA</t>
  </si>
  <si>
    <t>MAK_0222</t>
  </si>
  <si>
    <t>AMSAOURA</t>
  </si>
  <si>
    <t>MAK_0195</t>
  </si>
  <si>
    <t>AMSOUFA</t>
  </si>
  <si>
    <t>MAK_0196</t>
  </si>
  <si>
    <t>AMTCHIKO</t>
  </si>
  <si>
    <t>MAK_0197</t>
  </si>
  <si>
    <t>MAK_0010</t>
  </si>
  <si>
    <t>MAK_0148</t>
  </si>
  <si>
    <t>MAK_0149</t>
  </si>
  <si>
    <t>MAK_0198</t>
  </si>
  <si>
    <t>MAK_0048</t>
  </si>
  <si>
    <t>MAK_0011</t>
  </si>
  <si>
    <t>MAK_0012</t>
  </si>
  <si>
    <t>MAK_0013</t>
  </si>
  <si>
    <t>MAK_0014</t>
  </si>
  <si>
    <t>MAK_0150</t>
  </si>
  <si>
    <t>MAK_0105</t>
  </si>
  <si>
    <t>MAK_0016</t>
  </si>
  <si>
    <t>BIANG</t>
  </si>
  <si>
    <t>MAK_0199</t>
  </si>
  <si>
    <t>MAK_0017</t>
  </si>
  <si>
    <t>MAK_0018</t>
  </si>
  <si>
    <t>MAK_0019</t>
  </si>
  <si>
    <t>MAK_0020</t>
  </si>
  <si>
    <t>MAK_0021</t>
  </si>
  <si>
    <t>BOMBOYO</t>
  </si>
  <si>
    <t>MAK_0201</t>
  </si>
  <si>
    <t>MAK_0022</t>
  </si>
  <si>
    <t>MAK_0023</t>
  </si>
  <si>
    <t>CHAIBOU</t>
  </si>
  <si>
    <t>MAK_0202</t>
  </si>
  <si>
    <t>MAK_0024</t>
  </si>
  <si>
    <t>MAK_0151</t>
  </si>
  <si>
    <t>MAK_0123</t>
  </si>
  <si>
    <t>MAK_0025</t>
  </si>
  <si>
    <t>DARSALAM</t>
  </si>
  <si>
    <t>MAK_0203</t>
  </si>
  <si>
    <t>MAK_0154</t>
  </si>
  <si>
    <t>MAK_0155</t>
  </si>
  <si>
    <t>MAK_0107</t>
  </si>
  <si>
    <t>MAK_0028</t>
  </si>
  <si>
    <t>MAK_0156</t>
  </si>
  <si>
    <t>MAK_0124</t>
  </si>
  <si>
    <t>MAK_0157</t>
  </si>
  <si>
    <t>MAK_0030</t>
  </si>
  <si>
    <t>MAK_0031</t>
  </si>
  <si>
    <t>MAK_0032</t>
  </si>
  <si>
    <t>MAK_0033</t>
  </si>
  <si>
    <t>MAK_0034</t>
  </si>
  <si>
    <t>MAK_0026</t>
  </si>
  <si>
    <t>MAK_0035</t>
  </si>
  <si>
    <t>MAK_0036</t>
  </si>
  <si>
    <t>MAK_0158</t>
  </si>
  <si>
    <t>MAK_0108</t>
  </si>
  <si>
    <t>MAK_0038</t>
  </si>
  <si>
    <t>FADJE ADOUM</t>
  </si>
  <si>
    <t>MAK_0204</t>
  </si>
  <si>
    <t>MAK_0039</t>
  </si>
  <si>
    <t>MAK_0040</t>
  </si>
  <si>
    <t>MAK_0161</t>
  </si>
  <si>
    <t>MAK_0126</t>
  </si>
  <si>
    <t>MAK_0041</t>
  </si>
  <si>
    <t>GAWAWA</t>
  </si>
  <si>
    <t>MAK_0205</t>
  </si>
  <si>
    <t>MAK_0042</t>
  </si>
  <si>
    <t>MAK_0186</t>
  </si>
  <si>
    <t>MAK_0187</t>
  </si>
  <si>
    <t>MAK_0044</t>
  </si>
  <si>
    <t>GOLGOLO</t>
  </si>
  <si>
    <t>MAK_0206</t>
  </si>
  <si>
    <t>MAK_0045</t>
  </si>
  <si>
    <t>MAK_0166</t>
  </si>
  <si>
    <t>MAK_0047</t>
  </si>
  <si>
    <t>MAK_0167</t>
  </si>
  <si>
    <t>MAK_0168</t>
  </si>
  <si>
    <t>MAK_0207</t>
  </si>
  <si>
    <t>MAK_0169</t>
  </si>
  <si>
    <t>MAK_0127</t>
  </si>
  <si>
    <t>MAK_0049</t>
  </si>
  <si>
    <t>MAK_0050</t>
  </si>
  <si>
    <t>MAK_0181</t>
  </si>
  <si>
    <t>MAK_0051</t>
  </si>
  <si>
    <t>MAK_0052</t>
  </si>
  <si>
    <t>MAK_0053</t>
  </si>
  <si>
    <t>MAK_0054</t>
  </si>
  <si>
    <t>MAK_0109</t>
  </si>
  <si>
    <t>MAK_0055</t>
  </si>
  <si>
    <t>MAK_0113</t>
  </si>
  <si>
    <t>MAK_0170</t>
  </si>
  <si>
    <t>MAK_0189</t>
  </si>
  <si>
    <t>MAK_0056</t>
  </si>
  <si>
    <t>MAK_0057</t>
  </si>
  <si>
    <t>MAK_0058</t>
  </si>
  <si>
    <t>MAK_0059</t>
  </si>
  <si>
    <t>MAK_0060</t>
  </si>
  <si>
    <t>MAK_0061</t>
  </si>
  <si>
    <t>MAK_0062</t>
  </si>
  <si>
    <t>MAK_0064</t>
  </si>
  <si>
    <t>MAK_0065</t>
  </si>
  <si>
    <t>MAK_0066</t>
  </si>
  <si>
    <t>MAK_0067</t>
  </si>
  <si>
    <t>MAK_0068</t>
  </si>
  <si>
    <t>MAK_0069</t>
  </si>
  <si>
    <t>MAK_0070</t>
  </si>
  <si>
    <t>MAK_0071</t>
  </si>
  <si>
    <t>MAK_0110</t>
  </si>
  <si>
    <t>MBLAME(CAMP)</t>
  </si>
  <si>
    <t>MAK_0171</t>
  </si>
  <si>
    <t>MAK_0073</t>
  </si>
  <si>
    <t>MAK_0074</t>
  </si>
  <si>
    <t>MELEKI</t>
  </si>
  <si>
    <t>MAK_0208</t>
  </si>
  <si>
    <t>MERAHA</t>
  </si>
  <si>
    <t>MAK_0211</t>
  </si>
  <si>
    <t>MAK_0104</t>
  </si>
  <si>
    <t>MAK_0111</t>
  </si>
  <si>
    <t>MINA</t>
  </si>
  <si>
    <t>MAK_0212</t>
  </si>
  <si>
    <t>MIREMIE</t>
  </si>
  <si>
    <t>MAK_0213</t>
  </si>
  <si>
    <t>MAK_0076</t>
  </si>
  <si>
    <t>MAK_0077</t>
  </si>
  <si>
    <t>MOUGRAN</t>
  </si>
  <si>
    <t>MAK_0214</t>
  </si>
  <si>
    <t>NAÏRA</t>
  </si>
  <si>
    <t>MAK_0215</t>
  </si>
  <si>
    <t>MAK_0078</t>
  </si>
  <si>
    <t>MAK_0079</t>
  </si>
  <si>
    <t>MAK_0080</t>
  </si>
  <si>
    <t>MAK_0173</t>
  </si>
  <si>
    <t>MAK_0081</t>
  </si>
  <si>
    <t>MAK_0083</t>
  </si>
  <si>
    <t>MAK_0082</t>
  </si>
  <si>
    <t>MAK_0084</t>
  </si>
  <si>
    <t>MAK_0086</t>
  </si>
  <si>
    <t>MAK_0087</t>
  </si>
  <si>
    <t>MAK_0088</t>
  </si>
  <si>
    <t>MAK_0174</t>
  </si>
  <si>
    <t>MAK_0216</t>
  </si>
  <si>
    <t>MAK_0089</t>
  </si>
  <si>
    <t>MAK_0090</t>
  </si>
  <si>
    <t>MAK_0175</t>
  </si>
  <si>
    <t>MAK_0091</t>
  </si>
  <si>
    <t>MAK_0092</t>
  </si>
  <si>
    <t>MAK_0134</t>
  </si>
  <si>
    <t>MAK_0093</t>
  </si>
  <si>
    <t>MAK_0176</t>
  </si>
  <si>
    <t>MAK_0112</t>
  </si>
  <si>
    <t>NGOUSSIRE</t>
  </si>
  <si>
    <t>MAK_0217</t>
  </si>
  <si>
    <t>MAK_0177</t>
  </si>
  <si>
    <t>MAK_0095</t>
  </si>
  <si>
    <t>MAK_0096</t>
  </si>
  <si>
    <t>MAK_0136</t>
  </si>
  <si>
    <t>MAK_0182</t>
  </si>
  <si>
    <t>MAK_0097</t>
  </si>
  <si>
    <t>MAK_0183</t>
  </si>
  <si>
    <t>SOURDJIE</t>
  </si>
  <si>
    <t>MAK_0218</t>
  </si>
  <si>
    <t>TCHABOUTE</t>
  </si>
  <si>
    <t>MAK_0219</t>
  </si>
  <si>
    <t>MAK_0139</t>
  </si>
  <si>
    <t>MAK_0098</t>
  </si>
  <si>
    <t>MAK_0099</t>
  </si>
  <si>
    <t>TREBOULO 1</t>
  </si>
  <si>
    <t>MAK_0220</t>
  </si>
  <si>
    <t>TREBOULO 2</t>
  </si>
  <si>
    <t>MAK_0221</t>
  </si>
  <si>
    <t>MAK_0100</t>
  </si>
  <si>
    <t>MAK_0179</t>
  </si>
  <si>
    <t>MAK_0101</t>
  </si>
  <si>
    <t>MAK_0140</t>
  </si>
  <si>
    <t>MAK_0102</t>
  </si>
  <si>
    <t>MAK_0103</t>
  </si>
  <si>
    <t>WAZ_0001</t>
  </si>
  <si>
    <t>WAZ_0020</t>
  </si>
  <si>
    <t>WAZ_0002</t>
  </si>
  <si>
    <t>WAZ_0004</t>
  </si>
  <si>
    <t>WAZ_0016</t>
  </si>
  <si>
    <t>WAZ_0026</t>
  </si>
  <si>
    <t>WAZ_0009</t>
  </si>
  <si>
    <t>WAZ_0010</t>
  </si>
  <si>
    <t>WAZ_0011</t>
  </si>
  <si>
    <t>WAZ_0030</t>
  </si>
  <si>
    <t>WAZ_0013</t>
  </si>
  <si>
    <t>WAZ_0014</t>
  </si>
  <si>
    <t>ZIN_0001</t>
  </si>
  <si>
    <t>ZIN_0002</t>
  </si>
  <si>
    <t>ZIN_0003</t>
  </si>
  <si>
    <t>ZIN_0004</t>
  </si>
  <si>
    <t>ZIN_0005</t>
  </si>
  <si>
    <t>ZIN_0006</t>
  </si>
  <si>
    <t>ZIN_0007</t>
  </si>
  <si>
    <t>ZIN_0009</t>
  </si>
  <si>
    <t>ZIN_0010</t>
  </si>
  <si>
    <t>ZIN_0011</t>
  </si>
  <si>
    <t>GOB_0001</t>
  </si>
  <si>
    <t>GOB_0002</t>
  </si>
  <si>
    <t>GOB_0003</t>
  </si>
  <si>
    <t>GOB_0006</t>
  </si>
  <si>
    <t>GOB_0005</t>
  </si>
  <si>
    <t>GOB_0007</t>
  </si>
  <si>
    <t>GOB_0008</t>
  </si>
  <si>
    <t>GOB_0009</t>
  </si>
  <si>
    <t>GUM_0001</t>
  </si>
  <si>
    <t>GUM_0003</t>
  </si>
  <si>
    <t>GUM_0004</t>
  </si>
  <si>
    <t>GUM_0005</t>
  </si>
  <si>
    <t>GUM_0006</t>
  </si>
  <si>
    <t>GUR_0004</t>
  </si>
  <si>
    <t>KAI_0002</t>
  </si>
  <si>
    <t>KAI_0004</t>
  </si>
  <si>
    <t>KAI_0005</t>
  </si>
  <si>
    <t>KAI_0007</t>
  </si>
  <si>
    <t>KAI_0008</t>
  </si>
  <si>
    <t>MAG_0001</t>
  </si>
  <si>
    <t>MAG_0002</t>
  </si>
  <si>
    <t>MAG_0003</t>
  </si>
  <si>
    <t>MAG_0004</t>
  </si>
  <si>
    <t>MAG_0005</t>
  </si>
  <si>
    <t>MAG_0006</t>
  </si>
  <si>
    <t>YAG_0001</t>
  </si>
  <si>
    <t>KAE_0001</t>
  </si>
  <si>
    <t>KAE_0006</t>
  </si>
  <si>
    <t>KAE_0002</t>
  </si>
  <si>
    <t>KAE_0003</t>
  </si>
  <si>
    <t>KAE_0007</t>
  </si>
  <si>
    <t>KAE_0004</t>
  </si>
  <si>
    <t>KAE_0005</t>
  </si>
  <si>
    <t>MOT_0002</t>
  </si>
  <si>
    <t>MOT_0003</t>
  </si>
  <si>
    <t>KOL_0001</t>
  </si>
  <si>
    <t>KOL_0030</t>
  </si>
  <si>
    <t>KERAWA</t>
  </si>
  <si>
    <t>KOL_0019</t>
  </si>
  <si>
    <t>KOL_0006</t>
  </si>
  <si>
    <t>MOR_0001</t>
  </si>
  <si>
    <t>MOR_0002</t>
  </si>
  <si>
    <t>MOR_0034</t>
  </si>
  <si>
    <t>MOR_0028</t>
  </si>
  <si>
    <t>MOR_0004</t>
  </si>
  <si>
    <t>MOR_0005</t>
  </si>
  <si>
    <t>MOR_0006</t>
  </si>
  <si>
    <t>MOR_0007</t>
  </si>
  <si>
    <t>MOR_0008</t>
  </si>
  <si>
    <t>MOR_0037</t>
  </si>
  <si>
    <t>MOR_0010</t>
  </si>
  <si>
    <t>MOR_0009</t>
  </si>
  <si>
    <t>MOR_0029</t>
  </si>
  <si>
    <t>MOR_0040</t>
  </si>
  <si>
    <t>MOR_0011</t>
  </si>
  <si>
    <t>MOR_0042</t>
  </si>
  <si>
    <t>MOR_0012</t>
  </si>
  <si>
    <t>MOR_0014</t>
  </si>
  <si>
    <t>MOR_0026</t>
  </si>
  <si>
    <t>MOR_0015</t>
  </si>
  <si>
    <t>MOR_0016</t>
  </si>
  <si>
    <t>MOR_0017</t>
  </si>
  <si>
    <t>MOR_0018</t>
  </si>
  <si>
    <t>MOR_0020</t>
  </si>
  <si>
    <t>MOR_0021</t>
  </si>
  <si>
    <t>MOR_0022</t>
  </si>
  <si>
    <t>MOR_0030</t>
  </si>
  <si>
    <t>MOR_0024</t>
  </si>
  <si>
    <t>MOR_0025</t>
  </si>
  <si>
    <t>TOK_0013</t>
  </si>
  <si>
    <t>TOK_0001</t>
  </si>
  <si>
    <t>TOK_0002</t>
  </si>
  <si>
    <t>TOK_0003</t>
  </si>
  <si>
    <t>TOK_0004</t>
  </si>
  <si>
    <t>TOK_0005</t>
  </si>
  <si>
    <t>TOK_0006</t>
  </si>
  <si>
    <t>TOK_0011</t>
  </si>
  <si>
    <t>TOK_0007</t>
  </si>
  <si>
    <t>TOK_0008</t>
  </si>
  <si>
    <t>TOK_0010</t>
  </si>
  <si>
    <t>TOK_0009</t>
  </si>
  <si>
    <t>BOU_0004</t>
  </si>
  <si>
    <t>HIN_0001</t>
  </si>
  <si>
    <t>HIN_0002</t>
  </si>
  <si>
    <t>HIN_0003</t>
  </si>
  <si>
    <t>HIN_0004</t>
  </si>
  <si>
    <t>HIN_0005</t>
  </si>
  <si>
    <t>HIN_0006</t>
  </si>
  <si>
    <t>KOZ_0002</t>
  </si>
  <si>
    <t>KOZ_0003</t>
  </si>
  <si>
    <t>KOZ_0004</t>
  </si>
  <si>
    <t>KOZ_0005</t>
  </si>
  <si>
    <t>KOZ_0006</t>
  </si>
  <si>
    <t>KOZ_0007</t>
  </si>
  <si>
    <t>KOZ_0008</t>
  </si>
  <si>
    <t>KOZ_0009</t>
  </si>
  <si>
    <t>KOZ_0010</t>
  </si>
  <si>
    <t>KOZ_0011</t>
  </si>
  <si>
    <t>KOZ_0012</t>
  </si>
  <si>
    <t>KOZ_0013</t>
  </si>
  <si>
    <t>KOZ_0014</t>
  </si>
  <si>
    <t>KOZ_0015</t>
  </si>
  <si>
    <t>KOZ_0016</t>
  </si>
  <si>
    <t>KOZ_0017</t>
  </si>
  <si>
    <t>KOZ_0018</t>
  </si>
  <si>
    <t>KOZ_0019</t>
  </si>
  <si>
    <t>KOZ_0020</t>
  </si>
  <si>
    <t>KOZ_0031</t>
  </si>
  <si>
    <t>KOZ_0021</t>
  </si>
  <si>
    <t>KOZ_0022</t>
  </si>
  <si>
    <t>KOZ_0023</t>
  </si>
  <si>
    <t>KOZ_0024</t>
  </si>
  <si>
    <t>KOZ_0025</t>
  </si>
  <si>
    <t>KOZ_0026</t>
  </si>
  <si>
    <t>KOZ_0027</t>
  </si>
  <si>
    <t>KOZ_0028</t>
  </si>
  <si>
    <t>KOZ_0029</t>
  </si>
  <si>
    <t>KOZ_0030</t>
  </si>
  <si>
    <t>MOK_0001</t>
  </si>
  <si>
    <t>MOK_0003</t>
  </si>
  <si>
    <t>MOK_0004</t>
  </si>
  <si>
    <t>MOK_0005</t>
  </si>
  <si>
    <t>MOK_0006</t>
  </si>
  <si>
    <t>MOK_0007</t>
  </si>
  <si>
    <t>MOK_0008</t>
  </si>
  <si>
    <t>MOK_0009</t>
  </si>
  <si>
    <t>MOK_0010</t>
  </si>
  <si>
    <t>MOK_0011</t>
  </si>
  <si>
    <t>MOK_0012</t>
  </si>
  <si>
    <t>MOK_0013</t>
  </si>
  <si>
    <t>MOK_0014</t>
  </si>
  <si>
    <t>MOK_0016</t>
  </si>
  <si>
    <t>MOK_0017</t>
  </si>
  <si>
    <t>MOK_0018</t>
  </si>
  <si>
    <t>MOK_0019</t>
  </si>
  <si>
    <t>MOK_0020</t>
  </si>
  <si>
    <t>MOK_0021</t>
  </si>
  <si>
    <t>MOK_0029</t>
  </si>
  <si>
    <t>MOK_0022</t>
  </si>
  <si>
    <t>MOK_0023</t>
  </si>
  <si>
    <t>MOK_0024</t>
  </si>
  <si>
    <t>MOK_0025</t>
  </si>
  <si>
    <t>MOK_0026</t>
  </si>
  <si>
    <t>MOK_0027</t>
  </si>
  <si>
    <t>MOZ_0018</t>
  </si>
  <si>
    <t>MOZ_0017</t>
  </si>
  <si>
    <t>MOZ_0001</t>
  </si>
  <si>
    <t>MOZ_0026</t>
  </si>
  <si>
    <t>MOZ_0002</t>
  </si>
  <si>
    <t>MOZ_0019</t>
  </si>
  <si>
    <t>MOZ_0003</t>
  </si>
  <si>
    <t>MOZ_0004</t>
  </si>
  <si>
    <t>MOZ_0020</t>
  </si>
  <si>
    <t>MOZ_0005</t>
  </si>
  <si>
    <t>MOZ_0022</t>
  </si>
  <si>
    <t>MOZ_0014</t>
  </si>
  <si>
    <t>MOZ_0006</t>
  </si>
  <si>
    <t>MOZ_0007</t>
  </si>
  <si>
    <t>MOZ_0008</t>
  </si>
  <si>
    <t>MOZ_0010</t>
  </si>
  <si>
    <t>MOZ_0011</t>
  </si>
  <si>
    <t>MOZ_0012</t>
  </si>
  <si>
    <t>MOZ_0013</t>
  </si>
  <si>
    <t>MOZ_0015</t>
  </si>
  <si>
    <t>MOZ_0021</t>
  </si>
  <si>
    <t>MOZ_0016</t>
  </si>
  <si>
    <t>SOU_0001</t>
  </si>
  <si>
    <t>SOU_0009</t>
  </si>
  <si>
    <t>SOU_0002</t>
  </si>
  <si>
    <t>SOU_0003</t>
  </si>
  <si>
    <t>SOU_0004</t>
  </si>
  <si>
    <t>SOU_0008</t>
  </si>
  <si>
    <t>SOU_0005</t>
  </si>
  <si>
    <t>SOU_0006</t>
  </si>
  <si>
    <t>PET_0002</t>
  </si>
  <si>
    <t>BLA_0012</t>
  </si>
  <si>
    <t>DAR_0005</t>
  </si>
  <si>
    <t>MAGADI 1</t>
  </si>
  <si>
    <t>FOT_0042</t>
  </si>
  <si>
    <t>LBI_0041</t>
  </si>
  <si>
    <t>MAK_0121</t>
  </si>
  <si>
    <t>MAK_0144</t>
  </si>
  <si>
    <t>MAK_0145</t>
  </si>
  <si>
    <t>MAK_0147</t>
  </si>
  <si>
    <t>MAK_0184</t>
  </si>
  <si>
    <t>MAK_0122</t>
  </si>
  <si>
    <t>MAK_0152</t>
  </si>
  <si>
    <t>MAK_0118</t>
  </si>
  <si>
    <t>MAK_0159</t>
  </si>
  <si>
    <t>MAK_0142</t>
  </si>
  <si>
    <t>MAK_0188</t>
  </si>
  <si>
    <t>MAK_0128</t>
  </si>
  <si>
    <t>MAK_0141</t>
  </si>
  <si>
    <t>MAK_0130</t>
  </si>
  <si>
    <t>MAK_0131</t>
  </si>
  <si>
    <t>MAK_0132</t>
  </si>
  <si>
    <t>MAK_0133</t>
  </si>
  <si>
    <t>MAK_0075</t>
  </si>
  <si>
    <t>MAK_0135</t>
  </si>
  <si>
    <t>MAK_0137</t>
  </si>
  <si>
    <t>MAK_0138</t>
  </si>
  <si>
    <t>MAK_0178</t>
  </si>
  <si>
    <t>WAZ_0015</t>
  </si>
  <si>
    <t>WAZ_0003</t>
  </si>
  <si>
    <t>WAZ_0006</t>
  </si>
  <si>
    <t>WAZ_0025</t>
  </si>
  <si>
    <t>WAZ_0028</t>
  </si>
  <si>
    <t>WAZ_0008</t>
  </si>
  <si>
    <t>WAZ_0012</t>
  </si>
  <si>
    <t>WAZ_0019</t>
  </si>
  <si>
    <t>GOB_0004</t>
  </si>
  <si>
    <t>MIN_0003</t>
  </si>
  <si>
    <t>MOT_0001</t>
  </si>
  <si>
    <t>BOU_0005</t>
  </si>
  <si>
    <t>MOG_0001</t>
  </si>
  <si>
    <t>MOG_0002</t>
  </si>
  <si>
    <t>MOG_0003</t>
  </si>
  <si>
    <t>NGA020</t>
  </si>
  <si>
    <t>Kano</t>
  </si>
  <si>
    <t>MOG_0004</t>
  </si>
  <si>
    <t>MOG_0005</t>
  </si>
  <si>
    <t>MOG_0006</t>
  </si>
  <si>
    <t>MOG_0007</t>
  </si>
  <si>
    <t>MOG_0008</t>
  </si>
  <si>
    <t>MOG_0009</t>
  </si>
  <si>
    <t>MOG_0010</t>
  </si>
  <si>
    <t>MOG_0011</t>
  </si>
  <si>
    <t>MOG_0012</t>
  </si>
  <si>
    <t>MOG_0013</t>
  </si>
  <si>
    <t>MOK_0028</t>
  </si>
  <si>
    <t>DAG_0001</t>
  </si>
  <si>
    <t>DAG_0002</t>
  </si>
  <si>
    <t>DAG_0003</t>
  </si>
  <si>
    <t>DAG_0004</t>
  </si>
  <si>
    <t>DAG_0005</t>
  </si>
  <si>
    <t>BLA_0011</t>
  </si>
  <si>
    <t>HIL_0006</t>
  </si>
  <si>
    <t>HIL_0008</t>
  </si>
  <si>
    <t>WAZ_0027</t>
  </si>
  <si>
    <t>WAZ_0007</t>
  </si>
  <si>
    <t>ZIN_0012</t>
  </si>
  <si>
    <t>GUR_0001</t>
  </si>
  <si>
    <t>GUR_0002</t>
  </si>
  <si>
    <t>GUR_0005</t>
  </si>
  <si>
    <t>GUR_0003</t>
  </si>
  <si>
    <t>KAI_0001</t>
  </si>
  <si>
    <t>KAI_0003</t>
  </si>
  <si>
    <t>KAI_0006</t>
  </si>
  <si>
    <t>KAI_0009</t>
  </si>
  <si>
    <t>GUI_0001</t>
  </si>
  <si>
    <t>GUI_0002</t>
  </si>
  <si>
    <t>GUI_0003</t>
  </si>
  <si>
    <t>GUI_0004</t>
  </si>
  <si>
    <t>GUI_0005</t>
  </si>
  <si>
    <t>MIN_0002</t>
  </si>
  <si>
    <t>MIN_0004</t>
  </si>
  <si>
    <t>YAKANG</t>
  </si>
  <si>
    <t>MIN_0005</t>
  </si>
  <si>
    <t>MOL_0001</t>
  </si>
  <si>
    <t>MOL_0002</t>
  </si>
  <si>
    <t>KOL_0013</t>
  </si>
  <si>
    <t>KOL_0012</t>
  </si>
  <si>
    <t>MOR_0035</t>
  </si>
  <si>
    <t>MOR_0041</t>
  </si>
  <si>
    <t>MOR_0048</t>
  </si>
  <si>
    <t>BOU_0001</t>
  </si>
  <si>
    <t>BOU_0003</t>
  </si>
  <si>
    <t>MOK_0002</t>
  </si>
  <si>
    <t>CMR006004</t>
  </si>
  <si>
    <t>Mayo-Rey</t>
  </si>
  <si>
    <t>_index</t>
  </si>
  <si>
    <t>Adm1</t>
  </si>
  <si>
    <t>village_SSID</t>
  </si>
  <si>
    <t>evaluation_village_name</t>
  </si>
  <si>
    <t>evaluation_village_long</t>
  </si>
  <si>
    <t>evaluation_village_lat</t>
  </si>
  <si>
    <t>evaluation_village_acurate</t>
  </si>
  <si>
    <t>idp_hh</t>
  </si>
  <si>
    <t>idp_ind</t>
  </si>
  <si>
    <t>idp_fa</t>
  </si>
  <si>
    <t>idp_fa_hh</t>
  </si>
  <si>
    <t>idp_loc</t>
  </si>
  <si>
    <t>idp_loc_hh</t>
  </si>
  <si>
    <t>idp_loc_details</t>
  </si>
  <si>
    <t>idp_loc_autre</t>
  </si>
  <si>
    <t>idp_cc</t>
  </si>
  <si>
    <t>idp_cc_hh</t>
  </si>
  <si>
    <t>idp_cc_details</t>
  </si>
  <si>
    <t>idp_cc_autre</t>
  </si>
  <si>
    <t>idp_as</t>
  </si>
  <si>
    <t>idp_as_hh</t>
  </si>
  <si>
    <t>idp_al</t>
  </si>
  <si>
    <t>idp_al_hh</t>
  </si>
  <si>
    <t>refugees</t>
  </si>
  <si>
    <t>ref_hh</t>
  </si>
  <si>
    <t>ref_ind</t>
  </si>
  <si>
    <t>ref_fa</t>
  </si>
  <si>
    <t>ref_fa_hh</t>
  </si>
  <si>
    <t>ref_loc</t>
  </si>
  <si>
    <t>ref_loc_hh</t>
  </si>
  <si>
    <t>ref_loc_details</t>
  </si>
  <si>
    <t>ref_loc_autre</t>
  </si>
  <si>
    <t>ref_cc</t>
  </si>
  <si>
    <t>ref_cc_hh</t>
  </si>
  <si>
    <t>ref_cc_details</t>
  </si>
  <si>
    <t>ref_cc_autre</t>
  </si>
  <si>
    <t>ref_as</t>
  </si>
  <si>
    <t>ref_as_hh</t>
  </si>
  <si>
    <t>ref_al</t>
  </si>
  <si>
    <t>ref_al_hh</t>
  </si>
  <si>
    <t>returnees</t>
  </si>
  <si>
    <t>ret_hh</t>
  </si>
  <si>
    <t>ret_ind</t>
  </si>
  <si>
    <t>ret_hi</t>
  </si>
  <si>
    <t>ret_hi_hh</t>
  </si>
  <si>
    <t>ret_fa</t>
  </si>
  <si>
    <t>ret_fa_hh</t>
  </si>
  <si>
    <t>ret_loc</t>
  </si>
  <si>
    <t>ret_loc_hh</t>
  </si>
  <si>
    <t>ret_loc_details</t>
  </si>
  <si>
    <t>ret_loc_autre</t>
  </si>
  <si>
    <t>ret_cc</t>
  </si>
  <si>
    <t>ret_cc_hh</t>
  </si>
  <si>
    <t>ret_cc_details</t>
  </si>
  <si>
    <t>ret_cc_autre</t>
  </si>
  <si>
    <t>ret_as</t>
  </si>
  <si>
    <t>ret_as_hh</t>
  </si>
  <si>
    <t>ret_al</t>
  </si>
  <si>
    <t>ret_al_hh</t>
  </si>
  <si>
    <t>deplaces_locaux</t>
  </si>
  <si>
    <t>E_depart_sans_retour_hh</t>
  </si>
  <si>
    <t>E_depart_sans_retour_ind</t>
  </si>
  <si>
    <t>rapatriements</t>
  </si>
  <si>
    <t>rapatries_hh</t>
  </si>
  <si>
    <t>rapatries_ind</t>
  </si>
  <si>
    <t>oui</t>
  </si>
  <si>
    <t>maison_independante</t>
  </si>
  <si>
    <t>non</t>
  </si>
  <si>
    <t>famille_daccueil</t>
  </si>
  <si>
    <t>WAZ_0005</t>
  </si>
  <si>
    <t>WAZ_0023</t>
  </si>
  <si>
    <t>LBI_0013</t>
  </si>
  <si>
    <t>LBI_0037</t>
  </si>
  <si>
    <t>KOMA</t>
  </si>
  <si>
    <t>ZIN_0008</t>
  </si>
  <si>
    <t>DAR_0006</t>
  </si>
  <si>
    <t>FOT_0006</t>
  </si>
  <si>
    <t>FOT_0011</t>
  </si>
  <si>
    <t>FOT_0002</t>
  </si>
  <si>
    <t>FOT_0024</t>
  </si>
  <si>
    <t>MALMADJA</t>
  </si>
  <si>
    <t>FOT_0008</t>
  </si>
  <si>
    <t>MAK_0200</t>
  </si>
  <si>
    <t>BILLI</t>
  </si>
  <si>
    <t>MAK_0005</t>
  </si>
  <si>
    <t>MAK_0143</t>
  </si>
  <si>
    <t>MAK_0015</t>
  </si>
  <si>
    <t>MAK_0046</t>
  </si>
  <si>
    <t>MAK_0063</t>
  </si>
  <si>
    <t>MAK_0129</t>
  </si>
  <si>
    <t>MAK_0162</t>
  </si>
  <si>
    <t>MAK_0043</t>
  </si>
  <si>
    <t>MAK_0072</t>
  </si>
  <si>
    <t>MAK_0085</t>
  </si>
  <si>
    <t>MAK_0165</t>
  </si>
  <si>
    <t>MAK_0180</t>
  </si>
  <si>
    <t>HIL_0012</t>
  </si>
  <si>
    <t>MIN_0001</t>
  </si>
  <si>
    <t>KOL_0033</t>
  </si>
  <si>
    <t>MALLOUMRIA</t>
  </si>
  <si>
    <t>KOL_0010</t>
  </si>
  <si>
    <t>KOL_0014</t>
  </si>
  <si>
    <t>KOL_0002</t>
  </si>
  <si>
    <t>KOL_0015</t>
  </si>
  <si>
    <t>KOL_0016</t>
  </si>
  <si>
    <t>KOL_0011</t>
  </si>
  <si>
    <t>TOK_0012</t>
  </si>
  <si>
    <t>TOK_0014</t>
  </si>
  <si>
    <t>BOU_0002</t>
  </si>
  <si>
    <t>BAGA</t>
  </si>
  <si>
    <t>Poli</t>
  </si>
  <si>
    <t>Bertoua</t>
  </si>
  <si>
    <t>Garoua</t>
  </si>
  <si>
    <t>Admin1_Code</t>
  </si>
  <si>
    <t>evaluation_village_code</t>
  </si>
  <si>
    <t>Argent</t>
  </si>
  <si>
    <t>Cereales</t>
  </si>
  <si>
    <t>Information</t>
  </si>
  <si>
    <t>cadastre</t>
  </si>
  <si>
    <t>Education</t>
  </si>
  <si>
    <t>Finances</t>
  </si>
  <si>
    <t>Forage</t>
  </si>
  <si>
    <t>FournitureScolaire</t>
  </si>
  <si>
    <t>KitHygiene</t>
  </si>
  <si>
    <t>Latrines</t>
  </si>
  <si>
    <t>Materiel</t>
  </si>
  <si>
    <t>KitAgricole</t>
  </si>
  <si>
    <t>KitCouchage</t>
  </si>
  <si>
    <t>KitSanitaire</t>
  </si>
  <si>
    <t>Medicaments</t>
  </si>
  <si>
    <t>NFI</t>
  </si>
  <si>
    <t>Vivres</t>
  </si>
  <si>
    <t>Adm1_code</t>
  </si>
  <si>
    <t>Adm2_code</t>
  </si>
  <si>
    <t>Adm3_code</t>
  </si>
  <si>
    <t>Village_code</t>
  </si>
  <si>
    <t>Gps_long</t>
  </si>
  <si>
    <t>Gps_lat</t>
  </si>
  <si>
    <t>Ind_IDPs</t>
  </si>
  <si>
    <t>HH_IDPs</t>
  </si>
  <si>
    <t>Ind_Unregistered_Refugees</t>
  </si>
  <si>
    <t>HH_Unregistered_Refugees</t>
  </si>
  <si>
    <t>Ind_Returnees</t>
  </si>
  <si>
    <t>HH_Returnees</t>
  </si>
  <si>
    <t>Rd8</t>
  </si>
  <si>
    <t>Difference (Rd7-Rd6)</t>
  </si>
  <si>
    <t>Difference (Rd8-Rd7)</t>
  </si>
  <si>
    <t>Only IDP</t>
  </si>
  <si>
    <t># Households by Type of Shelter for IDP (numbers)</t>
  </si>
  <si>
    <t># Households of Returnees by Type of Shelter for Returnees (numbers)</t>
  </si>
  <si>
    <t>Collective</t>
  </si>
  <si>
    <t>Open air</t>
  </si>
  <si>
    <t>Domicile Personnel</t>
  </si>
  <si>
    <t># Locations hosting IDP</t>
  </si>
  <si>
    <t># Locations hosting Returnees</t>
  </si>
  <si>
    <t># Locations hosting Unregistered Refugees</t>
  </si>
  <si>
    <t># Households by Type of Shelter for Unregistered Refugees (numbers)</t>
  </si>
  <si>
    <t># Households by Type of Shelter for Unregistered Refugees (%)</t>
  </si>
  <si>
    <t># Households of Returnees by Type of Shelter for Returnees (%)</t>
  </si>
  <si>
    <t>Periodes</t>
  </si>
  <si>
    <t>Round 8 (May 2017)</t>
  </si>
  <si>
    <t>RETURNEES</t>
  </si>
  <si>
    <t>UN.REFUGEES</t>
  </si>
  <si>
    <t>0- 2 yrs</t>
  </si>
  <si>
    <t>3-5 yrs</t>
  </si>
  <si>
    <t>6-12 yrs</t>
  </si>
  <si>
    <t>13-17 yrs</t>
  </si>
  <si>
    <t>18-59 yrs</t>
  </si>
  <si>
    <t>60 yrs +</t>
  </si>
  <si>
    <t>Round 8</t>
  </si>
  <si>
    <t>Population déplacée interne</t>
  </si>
  <si>
    <t>Réfugiés non-enregistrés</t>
  </si>
  <si>
    <t>Retournés</t>
  </si>
  <si>
    <t>Individus</t>
  </si>
  <si>
    <t>Internal displaced populations</t>
  </si>
  <si>
    <t>Ménages</t>
  </si>
  <si>
    <t>% des périodes par type de population</t>
  </si>
  <si>
    <t>% des type de population par période</t>
  </si>
  <si>
    <t>% sur le total des déplacés</t>
  </si>
  <si>
    <t>Populations par périodes d arrivée</t>
  </si>
  <si>
    <t>Populations by arrival periods</t>
  </si>
  <si>
    <t>% of total displaced</t>
  </si>
  <si>
    <t>% of periode by population type</t>
  </si>
  <si>
    <t>% of population type by period</t>
  </si>
  <si>
    <t>Périodes de déplacement</t>
  </si>
  <si>
    <t>Displacement Periods</t>
  </si>
  <si>
    <t>Personnes déplacées internes</t>
  </si>
  <si>
    <t>réfugiés non-enregistrés</t>
  </si>
  <si>
    <t>Département</t>
  </si>
  <si>
    <t>Déplacements</t>
  </si>
  <si>
    <t>Internal displaced</t>
  </si>
  <si>
    <t>Individus (%)</t>
  </si>
  <si>
    <t>Displacement evolution from DTM round 1</t>
  </si>
  <si>
    <t>Evolution depuis la DTM round 1</t>
  </si>
  <si>
    <t>0- 2 ans</t>
  </si>
  <si>
    <t>3-5 ans</t>
  </si>
  <si>
    <t>6-12 ans</t>
  </si>
  <si>
    <t>13-17 ans</t>
  </si>
  <si>
    <t>18-59 ans</t>
  </si>
  <si>
    <t>60 ans +</t>
  </si>
  <si>
    <t>100_Homme</t>
  </si>
  <si>
    <t>Femmes 50%</t>
  </si>
  <si>
    <t>Départements</t>
  </si>
  <si>
    <t>Plein-air</t>
  </si>
  <si>
    <t>Climate</t>
  </si>
  <si>
    <t>Spontané</t>
  </si>
  <si>
    <t>Collectif</t>
  </si>
  <si>
    <t>Famille d'accueil</t>
  </si>
  <si>
    <t>Unregistered refugees</t>
  </si>
  <si>
    <t>ancien_refugees</t>
  </si>
  <si>
    <t>ancien_departement</t>
  </si>
  <si>
    <t>ancien_arrondissement</t>
  </si>
  <si>
    <t>ancien_village</t>
  </si>
  <si>
    <t>nouveau</t>
  </si>
  <si>
    <t>Non</t>
  </si>
  <si>
    <t>BLA_0017</t>
  </si>
  <si>
    <t>SABOURA</t>
  </si>
  <si>
    <t>Oui</t>
  </si>
  <si>
    <t>FOT_0046</t>
  </si>
  <si>
    <t>NGANAWAI</t>
  </si>
  <si>
    <t>FOT_0048</t>
  </si>
  <si>
    <t>GUEGUERI</t>
  </si>
  <si>
    <t>FOT_0045</t>
  </si>
  <si>
    <t>GADAFAI</t>
  </si>
  <si>
    <t>FOT_0047</t>
  </si>
  <si>
    <t>WANGARA</t>
  </si>
  <si>
    <t>MAK_0223</t>
  </si>
  <si>
    <t>ABANKOURI</t>
  </si>
  <si>
    <t>Logone-et-Chari</t>
  </si>
  <si>
    <t>MAK_0224</t>
  </si>
  <si>
    <t>GUEILALA</t>
  </si>
  <si>
    <t>HIL_0019</t>
  </si>
  <si>
    <t>DOUGOUMSILIO 1</t>
  </si>
  <si>
    <t>HIL_0020</t>
  </si>
  <si>
    <t>DOUGOUMSILIO 2</t>
  </si>
  <si>
    <t>HIL_0018</t>
  </si>
  <si>
    <t>DOLE MILIMI</t>
  </si>
  <si>
    <t>HIL_0023</t>
  </si>
  <si>
    <t>MAFOULSO 3</t>
  </si>
  <si>
    <t>HIL_0024</t>
  </si>
  <si>
    <t>WADAK</t>
  </si>
  <si>
    <t>HIL_0021</t>
  </si>
  <si>
    <t>MAFOULSO 1</t>
  </si>
  <si>
    <t>HIL_0022</t>
  </si>
  <si>
    <t>MAFOULSO 2</t>
  </si>
  <si>
    <t>TEKELE</t>
  </si>
  <si>
    <t>Camp</t>
  </si>
  <si>
    <t>KOZ_0034</t>
  </si>
  <si>
    <t>New</t>
  </si>
  <si>
    <t>CAR010</t>
  </si>
  <si>
    <t>Nana-Manbere</t>
  </si>
  <si>
    <t>CAR001</t>
  </si>
  <si>
    <t>Bamingui-Bangoran</t>
  </si>
  <si>
    <t>CAR005</t>
  </si>
  <si>
    <t>Kémo</t>
  </si>
  <si>
    <t>CMR006003</t>
  </si>
  <si>
    <t>Mayo-Louti</t>
  </si>
  <si>
    <t>NGA016</t>
  </si>
  <si>
    <t>Gombe</t>
  </si>
  <si>
    <t>StructuresSanitaire</t>
  </si>
  <si>
    <t>Sensibilisation</t>
  </si>
  <si>
    <t>P1</t>
  </si>
  <si>
    <t>P2</t>
  </si>
  <si>
    <t>P3</t>
  </si>
  <si>
    <t>P4</t>
  </si>
  <si>
    <t>P5</t>
  </si>
  <si>
    <t>P6</t>
  </si>
  <si>
    <t>Valeurs</t>
  </si>
  <si>
    <t>Values</t>
  </si>
  <si>
    <t>Rd9</t>
  </si>
  <si>
    <t>Difference (Rd9-Rd8)</t>
  </si>
  <si>
    <t>Déplacement par Départment (PDIs, réfugiés non-enregistrés, et retournés)</t>
  </si>
  <si>
    <t>Round 3 (Avr 2016)</t>
  </si>
  <si>
    <t>Round 4 (Juil 2016)</t>
  </si>
  <si>
    <t>Round 6 (Déc 2016)</t>
  </si>
  <si>
    <t>Round 7 (Fév 2017)</t>
  </si>
  <si>
    <t>Round 8 (Mai 2017)</t>
  </si>
  <si>
    <t>Round 3 (Apr 2016)</t>
  </si>
  <si>
    <t>Round 4 (Jul 2016)</t>
  </si>
  <si>
    <t>Round 5 (Sep 2016)</t>
  </si>
  <si>
    <t>Round 1 (Nov 2015)</t>
  </si>
  <si>
    <t>Round 2 (Fév 2016)</t>
  </si>
  <si>
    <t>Villages enquetes lors du round</t>
  </si>
  <si>
    <t>Nouveaux Villages depuis Round précedent</t>
  </si>
  <si>
    <t>Villages Regorgeant uniquement un type de population</t>
  </si>
  <si>
    <t>Villages avec Ref non enregistres</t>
  </si>
  <si>
    <t>Villages avec Retournés</t>
  </si>
  <si>
    <t>villages PDI</t>
  </si>
  <si>
    <t>Covered villages for this round</t>
  </si>
  <si>
    <t>Villages having only one kind of population</t>
  </si>
  <si>
    <t>Only Unreg. Refugees</t>
  </si>
  <si>
    <t>Only Returnees</t>
  </si>
  <si>
    <t>New Covered Villages from precedent round</t>
  </si>
  <si>
    <t>Pays de provenance des Réfugiés non enregistrés</t>
  </si>
  <si>
    <t>Nigéria</t>
  </si>
  <si>
    <t>Tchad</t>
  </si>
  <si>
    <t>Périodes</t>
  </si>
  <si>
    <t>Localités sur territoire Camerounais, où se trouvaient certains réfugiés au round précédent</t>
  </si>
  <si>
    <t>Anciens départements de résidence (voir données brutes pour plus de détails)</t>
  </si>
  <si>
    <t>Départements de Provenance (pour les détails sur les éventuels arrondissements de provenance, consulter données brutes)</t>
  </si>
  <si>
    <t>Départements de provenance des retournés Camerounais (anciens PDI)</t>
  </si>
  <si>
    <t>Departements PDI are arriving From(for further details at arrondissements level, please have a look on raw data)</t>
  </si>
  <si>
    <t>Départements de provenance des PDI</t>
  </si>
  <si>
    <t>Departments IDP are arriving from</t>
  </si>
  <si>
    <t>Registration Departments</t>
  </si>
  <si>
    <t>Départements couverts (Bien vouloir se référer aux données brutes pour les détails par arrondissements)</t>
  </si>
  <si>
    <t>Covered departments (Refer to raw data if need details at arrondissments level)</t>
  </si>
  <si>
    <t>Arrival periods of IDP by departments</t>
  </si>
  <si>
    <t>Périodes d arrivée des déplacés dans les départements</t>
  </si>
  <si>
    <t>villages Vides</t>
  </si>
  <si>
    <t>Villages vides</t>
  </si>
  <si>
    <t>Empty villages</t>
  </si>
  <si>
    <t>Venus Direct dailleurs</t>
  </si>
  <si>
    <t>Anciens départements de résidence comme PDI ou pas (voir données brutes pour plus de détails)</t>
  </si>
  <si>
    <t>villages</t>
  </si>
  <si>
    <t># Types d abris poour ménages PDI (#)</t>
  </si>
  <si>
    <t>Air Libre</t>
  </si>
  <si>
    <t>Familles d accueil</t>
  </si>
  <si>
    <t># Households by Type of Shelter for IDP (%)</t>
  </si>
  <si>
    <t># Types d abris poour ménages PDI (%)</t>
  </si>
  <si>
    <t># Types d abris poour ménagesréfugiés non enregistrés (#)</t>
  </si>
  <si>
    <t># Types d abris poour ménagesréfugiés non enregistrés (%)</t>
  </si>
  <si>
    <t># Types d abris poour ménages retournés (#)</t>
  </si>
  <si>
    <t># Types d abris poour ménages retournés (%)</t>
  </si>
  <si>
    <t># TOTAL Types d abris pour ménages (#)</t>
  </si>
  <si>
    <t># TOTAL HH shelter type (#)</t>
  </si>
  <si>
    <t>Déplacement</t>
  </si>
  <si>
    <t>Raisons</t>
  </si>
  <si>
    <t>Flood/Natural disaster</t>
  </si>
  <si>
    <t>ISWA Conflict</t>
  </si>
  <si>
    <t>Raisons de déplacement par périodes</t>
  </si>
  <si>
    <t>Raisons de déplacement par départements</t>
  </si>
  <si>
    <t>Raisons de déplacement par périodes (%)</t>
  </si>
  <si>
    <t>Raisons de déplacement par départements (%)</t>
  </si>
  <si>
    <t>Displacement reasons by department</t>
  </si>
  <si>
    <t>Displacement reasons by department (%)</t>
  </si>
  <si>
    <t>Displacement reasons by periods</t>
  </si>
  <si>
    <t>Displacement reasons by periods (%)</t>
  </si>
  <si>
    <t>Compile des raisons de déplacement par département</t>
  </si>
  <si>
    <t>Overviex of displacement reasons by department</t>
  </si>
  <si>
    <t>Garoua boulay</t>
  </si>
  <si>
    <t>MANI</t>
  </si>
  <si>
    <t>Gawpata</t>
  </si>
  <si>
    <t>Kourgou</t>
  </si>
  <si>
    <t>Meme</t>
  </si>
  <si>
    <t>Evolution f(R8)</t>
  </si>
  <si>
    <t>Round 9</t>
  </si>
  <si>
    <t>PDI</t>
  </si>
  <si>
    <t>Refugiés non enregistrés</t>
  </si>
  <si>
    <t>Climat</t>
  </si>
  <si>
    <t>Provenance countries of non-registered Refugees</t>
  </si>
  <si>
    <t>Previous department of residence of non-registered Refugees (on Cameroonian land)</t>
  </si>
  <si>
    <t>Provenance countries of returnees</t>
  </si>
  <si>
    <t>Departements returnees are coming from (former IDP)</t>
  </si>
  <si>
    <t>Centrafric</t>
  </si>
  <si>
    <t>Centrafrique</t>
  </si>
  <si>
    <t>Departments of Provenance (for further details on arrondissment of origin, please have a look on raw data)</t>
  </si>
  <si>
    <t>Raisons de déplacement des PDI</t>
  </si>
  <si>
    <t>Displacement reasons of IDP (%)</t>
  </si>
  <si>
    <t>Displacement reasons of IDP  (%)</t>
  </si>
  <si>
    <t>Raisons de déplacement des PDI (%)</t>
  </si>
  <si>
    <t>Conflits</t>
  </si>
  <si>
    <t>Raisons de déplacement des Refugiés non enregistrés</t>
  </si>
  <si>
    <t>Raisons de déplacement des Refugiés non enregistrés (%)</t>
  </si>
  <si>
    <t>Displacement reasons of unregistered refugees  (%)</t>
  </si>
  <si>
    <t>Displacement reasons of unregistered refugees (%)</t>
  </si>
  <si>
    <t>Raisons de déplacement des Retournés</t>
  </si>
  <si>
    <t>Raisons de déplacement des  Retournés (%)</t>
  </si>
  <si>
    <t>Displacement reasons of returnees  (%)</t>
  </si>
  <si>
    <t>Displacement reasons of returnees (%)</t>
  </si>
  <si>
    <t>Hommes 51%</t>
  </si>
  <si>
    <t>Femmes 49%</t>
  </si>
  <si>
    <t>test</t>
  </si>
  <si>
    <t>Conflicts</t>
  </si>
  <si>
    <t>Internally displaced people</t>
  </si>
  <si>
    <t>OURO KESSOUM</t>
  </si>
  <si>
    <t>BLEM (CAMP)</t>
  </si>
  <si>
    <t>MAK_0225</t>
  </si>
  <si>
    <t>GOULOUZIVINI</t>
  </si>
  <si>
    <t>WAZ_0031</t>
  </si>
  <si>
    <t>LDAMANG</t>
  </si>
  <si>
    <t>MOK_0030</t>
  </si>
  <si>
    <t>Migrants économiques</t>
  </si>
  <si>
    <t>CMR005</t>
  </si>
  <si>
    <t>Littoral</t>
  </si>
  <si>
    <t>Ngaoundere</t>
  </si>
  <si>
    <t>HEREZAYA (Camp)</t>
  </si>
  <si>
    <t>AFADE (village)</t>
  </si>
  <si>
    <t>ABUJA (Camp)</t>
  </si>
  <si>
    <t>Rd10</t>
  </si>
  <si>
    <t>Difference (Rd10-Rd9)</t>
  </si>
  <si>
    <t>Round 10</t>
  </si>
  <si>
    <t>Anciens départements de résidence dans Extrême nord comme PDI ou pas (voir données brutes pour plus de détails)</t>
  </si>
  <si>
    <t>Evolution f(R9)</t>
  </si>
  <si>
    <t>departement</t>
  </si>
  <si>
    <t>arrondissement</t>
  </si>
  <si>
    <t>A_location_team_a_village</t>
  </si>
  <si>
    <t>Village</t>
  </si>
  <si>
    <t>Accessibilite</t>
  </si>
  <si>
    <t>idps</t>
  </si>
  <si>
    <t>motif_retour</t>
  </si>
  <si>
    <t>autre_motif</t>
  </si>
  <si>
    <t>Village_Pdi</t>
  </si>
  <si>
    <t>mois</t>
  </si>
  <si>
    <t>annee</t>
  </si>
  <si>
    <t>Construit, avec population, accessible</t>
  </si>
  <si>
    <t>Construit, sans population, accessible</t>
  </si>
  <si>
    <t>détruit, sans population, accessible</t>
  </si>
  <si>
    <t>Construit, avec population, interdit par l’armée</t>
  </si>
  <si>
    <t>détruit, sans population, interdit par l’armée</t>
  </si>
  <si>
    <t>CHAFOU IDJELIDJE (Camp)</t>
  </si>
  <si>
    <t>FADJE (Camp)</t>
  </si>
  <si>
    <t>MOULADOCK (Camp)</t>
  </si>
  <si>
    <t>détruit, avec population, accessible</t>
  </si>
  <si>
    <t>Construit, sans population, interdit par l’armée</t>
  </si>
  <si>
    <t>BLEM (Camp)</t>
  </si>
  <si>
    <t>DANOUNA (Camp)</t>
  </si>
  <si>
    <t>KOUMBOULA (Camp)</t>
  </si>
  <si>
    <t>Attaque ancien village hôte (anciens PDI)</t>
  </si>
  <si>
    <t>WOROMARI</t>
  </si>
  <si>
    <t>FOT_0022</t>
  </si>
  <si>
    <t>FADJE-FOTA</t>
  </si>
  <si>
    <t>MAK_0125</t>
  </si>
  <si>
    <t>ALDJE</t>
  </si>
  <si>
    <t>KOL_0018</t>
  </si>
  <si>
    <t>Site spontané</t>
  </si>
  <si>
    <t>Spontaneous sites</t>
  </si>
  <si>
    <t>Before 2014</t>
  </si>
  <si>
    <t>Avant 2014</t>
  </si>
  <si>
    <t>Conflicts related</t>
  </si>
  <si>
    <t>Climate related</t>
  </si>
  <si>
    <t>Aléas climatiques</t>
  </si>
  <si>
    <t>Sites spontanés</t>
  </si>
  <si>
    <t>Rd11</t>
  </si>
  <si>
    <t>FOT_0049</t>
  </si>
  <si>
    <t>MADAIK</t>
  </si>
  <si>
    <t>FOT_0050</t>
  </si>
  <si>
    <t>MAKAMBARA</t>
  </si>
  <si>
    <t>YAG_0002</t>
  </si>
  <si>
    <t>DOMO</t>
  </si>
  <si>
    <t>YAG_0003</t>
  </si>
  <si>
    <t>MOURI</t>
  </si>
  <si>
    <t>KOZ_0035</t>
  </si>
  <si>
    <t>HOUVA</t>
  </si>
  <si>
    <t>KOZ_0036</t>
  </si>
  <si>
    <t>KAZIER</t>
  </si>
  <si>
    <t>KOZ_0037</t>
  </si>
  <si>
    <t>KOZ_0038</t>
  </si>
  <si>
    <t>YAMEDE</t>
  </si>
  <si>
    <t>MOG_0015</t>
  </si>
  <si>
    <t>KORTCHI</t>
  </si>
  <si>
    <t>MOK_0036</t>
  </si>
  <si>
    <t>BOULA</t>
  </si>
  <si>
    <t>MOK_0037</t>
  </si>
  <si>
    <t>ITAWA</t>
  </si>
  <si>
    <t>MOZ_0033</t>
  </si>
  <si>
    <t>BAVONGOLA</t>
  </si>
  <si>
    <t>MOZ_0034</t>
  </si>
  <si>
    <t>WOUDAL</t>
  </si>
  <si>
    <t>MOZ_0031</t>
  </si>
  <si>
    <t>ZELEWET</t>
  </si>
  <si>
    <t>Bauchi</t>
  </si>
  <si>
    <t>Benue</t>
  </si>
  <si>
    <t>Rivers</t>
  </si>
  <si>
    <t>Sokoto</t>
  </si>
  <si>
    <t>Conflit intercommunautaire</t>
  </si>
  <si>
    <t xml:space="preserve">Conflit intercommunautaire. </t>
  </si>
  <si>
    <t>Conflit en rca</t>
  </si>
  <si>
    <t>CMR007</t>
  </si>
  <si>
    <t>Nord-Ouest</t>
  </si>
  <si>
    <t>CMR009</t>
  </si>
  <si>
    <t>Sud</t>
  </si>
  <si>
    <t>CMR010</t>
  </si>
  <si>
    <t>Sud-Ouest</t>
  </si>
  <si>
    <t>NGA025</t>
  </si>
  <si>
    <t>Lagos</t>
  </si>
  <si>
    <t>CMR001001</t>
  </si>
  <si>
    <t>Djerem</t>
  </si>
  <si>
    <t>Masouang</t>
  </si>
  <si>
    <t>Moskota</t>
  </si>
  <si>
    <t>Mayo rey</t>
  </si>
  <si>
    <t>4</t>
  </si>
  <si>
    <t>5</t>
  </si>
  <si>
    <t>8</t>
  </si>
  <si>
    <t>6</t>
  </si>
  <si>
    <t>3</t>
  </si>
  <si>
    <t>18</t>
  </si>
  <si>
    <t>7</t>
  </si>
  <si>
    <t>eglise</t>
  </si>
  <si>
    <t>détruit, avec population, interdit par l’armée</t>
  </si>
  <si>
    <t>(All)</t>
  </si>
  <si>
    <t>Round 9 (July 2017)</t>
  </si>
  <si>
    <t>Round 10 (sept 2017)</t>
  </si>
  <si>
    <t>Round 9 (juillet 2017)</t>
  </si>
  <si>
    <t>Round 10 (Sept 2017)</t>
  </si>
  <si>
    <t>Round 11 (Oct 2017)</t>
  </si>
  <si>
    <t>Round 11</t>
  </si>
  <si>
    <t>Evolution f(R10)</t>
  </si>
  <si>
    <t>Difference (Rd11-Rd10)</t>
  </si>
  <si>
    <t>variations par catégories (nouveaux villages inclus)</t>
  </si>
  <si>
    <t>act_idp_hh</t>
  </si>
  <si>
    <t>act_idp_ind</t>
  </si>
  <si>
    <t>act_ref_hh</t>
  </si>
  <si>
    <t>act_ref_ind</t>
  </si>
  <si>
    <t>act_ret_hh</t>
  </si>
  <si>
    <t>act_ret_ind</t>
  </si>
  <si>
    <t>prev_idp_hh</t>
  </si>
  <si>
    <t>prev_idp_ind</t>
  </si>
  <si>
    <t>prev_ref_hh</t>
  </si>
  <si>
    <t>prev_ref_ind</t>
  </si>
  <si>
    <t>prev_ret_hh</t>
  </si>
  <si>
    <t>prev_ret_ind</t>
  </si>
  <si>
    <t>var_idp</t>
  </si>
  <si>
    <t>var_ref</t>
  </si>
  <si>
    <t>var_ret</t>
  </si>
  <si>
    <t>DÉPARTEMENTS</t>
  </si>
  <si>
    <t>VARIATION PDIs</t>
  </si>
  <si>
    <t>VARIATION RÉFUGIÉS NON-ENREGISTRÉS</t>
  </si>
  <si>
    <t>VARIATION RETOURNÉS</t>
  </si>
  <si>
    <t>Diamaré</t>
  </si>
  <si>
    <t>Row Labels</t>
  </si>
  <si>
    <t>Grand Total</t>
  </si>
  <si>
    <t>Sum of ret_ind</t>
  </si>
  <si>
    <t>SSID</t>
  </si>
  <si>
    <t>sommaire</t>
  </si>
  <si>
    <t>Sum of ind</t>
  </si>
  <si>
    <t>Column Labels</t>
  </si>
  <si>
    <t>ok</t>
  </si>
  <si>
    <t>DEPARTEMENT</t>
  </si>
  <si>
    <t>ALEAS CLIMATIQUES</t>
  </si>
  <si>
    <t>AUTRE</t>
  </si>
  <si>
    <t>rd11</t>
  </si>
  <si>
    <t>rd10</t>
  </si>
  <si>
    <t>Refugees</t>
  </si>
  <si>
    <t>Actuel</t>
  </si>
  <si>
    <t>Précédent</t>
  </si>
  <si>
    <t>variation (%)</t>
  </si>
  <si>
    <t>variation (#)</t>
  </si>
  <si>
    <t>Logement_initial</t>
  </si>
  <si>
    <t>Famille_accueil</t>
  </si>
  <si>
    <t>Abris_collectifs</t>
  </si>
  <si>
    <t>Abris_spontanes</t>
  </si>
  <si>
    <t>Air_libre</t>
  </si>
  <si>
    <t>Déplacement à la recherche d'une aide humanitaire.</t>
  </si>
  <si>
    <t>HEREDIBE MOUSSA</t>
  </si>
  <si>
    <t>MAK_0226</t>
  </si>
  <si>
    <t>MOGNOKO</t>
  </si>
  <si>
    <t>MAK_0227</t>
  </si>
  <si>
    <t>WAZ_0032</t>
  </si>
  <si>
    <t>ASSIGHASSIA</t>
  </si>
  <si>
    <t>MOZ_0023</t>
  </si>
  <si>
    <t>BAO VARA</t>
  </si>
  <si>
    <t>SOULEDE</t>
  </si>
  <si>
    <t>Cross River</t>
  </si>
  <si>
    <t>Conflit intercommunaute</t>
  </si>
  <si>
    <t>Kogi</t>
  </si>
  <si>
    <t>Conflit social</t>
  </si>
  <si>
    <t xml:space="preserve">Le village d'origine est sécurisé et les activités économiques sont relancées </t>
  </si>
  <si>
    <t>La recherche d emploi</t>
  </si>
  <si>
    <t>TCD008</t>
  </si>
  <si>
    <t>Logone Occidental</t>
  </si>
  <si>
    <t xml:space="preserve">Conflit inter-communautaire </t>
  </si>
  <si>
    <t>NGA026</t>
  </si>
  <si>
    <t>Nasarawa</t>
  </si>
  <si>
    <t>NGA034</t>
  </si>
  <si>
    <t>NGA007</t>
  </si>
  <si>
    <t>CMR006001</t>
  </si>
  <si>
    <t>Benoue</t>
  </si>
  <si>
    <t>CMR006002</t>
  </si>
  <si>
    <t>Faro</t>
  </si>
  <si>
    <t>Réseau familiale</t>
  </si>
  <si>
    <t>Moyen de vie dificile</t>
  </si>
  <si>
    <t>Nana mambere</t>
  </si>
  <si>
    <t>Tiboro</t>
  </si>
  <si>
    <t>Limani</t>
  </si>
  <si>
    <t>Abassouni</t>
  </si>
  <si>
    <t>Dans le différents villages de l'arrondissement.</t>
  </si>
  <si>
    <t>Darak ville</t>
  </si>
  <si>
    <t>Dans les différents villages de l'arrondissement</t>
  </si>
  <si>
    <t>Dans les différents villages de l arrondissement</t>
  </si>
  <si>
    <t>ABASSOUNI I</t>
  </si>
  <si>
    <t>Blangoua  , maga</t>
  </si>
  <si>
    <t>Kousseri ,BIAMO, dole afadé</t>
  </si>
  <si>
    <t>Fadjé, Mangalmi</t>
  </si>
  <si>
    <t>Ngame</t>
  </si>
  <si>
    <t>Hinale</t>
  </si>
  <si>
    <t>Oulzoume</t>
  </si>
  <si>
    <t>Fressou</t>
  </si>
  <si>
    <t>Banki</t>
  </si>
  <si>
    <t>AMCHIDE  MÊME</t>
  </si>
  <si>
    <t>Partout  dans  le pays  et même  au Tchad  et le Nigeria</t>
  </si>
  <si>
    <t xml:space="preserve"> Amchide  mora MEME</t>
  </si>
  <si>
    <t>DIAMARE  et dans  le  Mayo sava</t>
  </si>
  <si>
    <t>.AD  , CE , LT, EN   etc</t>
  </si>
  <si>
    <t>AMCHIDE  MÊME MORA</t>
  </si>
  <si>
    <t>MORA  MEME  DIAMARE</t>
  </si>
  <si>
    <t>Amchide  mora meme</t>
  </si>
  <si>
    <t>Amchide MÊME</t>
  </si>
  <si>
    <t>Mozogo ,koza, mokolo, zamai</t>
  </si>
  <si>
    <t>Kouyape</t>
  </si>
  <si>
    <t>Maroua</t>
  </si>
  <si>
    <t>Tada</t>
  </si>
  <si>
    <t>touboro</t>
  </si>
  <si>
    <t>Bayoum</t>
  </si>
  <si>
    <t>Mawa</t>
  </si>
  <si>
    <t>14,6017941</t>
  </si>
  <si>
    <t>10,5300341</t>
  </si>
  <si>
    <t>14,5102109</t>
  </si>
  <si>
    <t>10,5015863</t>
  </si>
  <si>
    <t>14,5043161</t>
  </si>
  <si>
    <t>10,5003001</t>
  </si>
  <si>
    <t>14,5147559</t>
  </si>
  <si>
    <t>10,5141023</t>
  </si>
  <si>
    <t>14,5048201</t>
  </si>
  <si>
    <t>10,5056722</t>
  </si>
  <si>
    <t>14,1428501</t>
  </si>
  <si>
    <t>10,5356641</t>
  </si>
  <si>
    <t>14,1350365</t>
  </si>
  <si>
    <t>10,5399871</t>
  </si>
  <si>
    <t>14,1485611</t>
  </si>
  <si>
    <t>10,5334886</t>
  </si>
  <si>
    <t>14,133575</t>
  </si>
  <si>
    <t>10,5420765</t>
  </si>
  <si>
    <t>14,2051774</t>
  </si>
  <si>
    <t>10,5227753</t>
  </si>
  <si>
    <t>14,1402394</t>
  </si>
  <si>
    <t>10,5389744</t>
  </si>
  <si>
    <t>14,3219939</t>
  </si>
  <si>
    <t>10,6145631</t>
  </si>
  <si>
    <t>14,3265821</t>
  </si>
  <si>
    <t>10,624183</t>
  </si>
  <si>
    <t>14,3472965</t>
  </si>
  <si>
    <t>10,6082501</t>
  </si>
  <si>
    <t>14,3584321</t>
  </si>
  <si>
    <t>10,6007495</t>
  </si>
  <si>
    <t>14,3440479</t>
  </si>
  <si>
    <t>10,6109029</t>
  </si>
  <si>
    <t>14,3413303</t>
  </si>
  <si>
    <t>10,6117205</t>
  </si>
  <si>
    <t>14,071782</t>
  </si>
  <si>
    <t>10,7976878</t>
  </si>
  <si>
    <t>14,5301725</t>
  </si>
  <si>
    <t>10,9797572</t>
  </si>
  <si>
    <t>14,6261331</t>
  </si>
  <si>
    <t>11,0097435</t>
  </si>
  <si>
    <t>14,6343827</t>
  </si>
  <si>
    <t>10,9954986</t>
  </si>
  <si>
    <t>14,420134</t>
  </si>
  <si>
    <t>11,068562</t>
  </si>
  <si>
    <t>14,4361165</t>
  </si>
  <si>
    <t>11,0413777</t>
  </si>
  <si>
    <t>14,5120161</t>
  </si>
  <si>
    <t>10,978813</t>
  </si>
  <si>
    <t>14,4964166</t>
  </si>
  <si>
    <t>11,0198229</t>
  </si>
  <si>
    <t>14,4883283</t>
  </si>
  <si>
    <t>10,9772855</t>
  </si>
  <si>
    <t>14,6015647</t>
  </si>
  <si>
    <t>10,9216598</t>
  </si>
  <si>
    <t>14,608719</t>
  </si>
  <si>
    <t>10,9438803</t>
  </si>
  <si>
    <t>14,4209071</t>
  </si>
  <si>
    <t>11,0149712</t>
  </si>
  <si>
    <t>14,5392678</t>
  </si>
  <si>
    <t>11,0067801</t>
  </si>
  <si>
    <t>14,4670935</t>
  </si>
  <si>
    <t>11,1135219</t>
  </si>
  <si>
    <t>14,4279164</t>
  </si>
  <si>
    <t>11,0529586</t>
  </si>
  <si>
    <t>14,4573811</t>
  </si>
  <si>
    <t>11,0267931</t>
  </si>
  <si>
    <t>14,461146</t>
  </si>
  <si>
    <t>11,0235978</t>
  </si>
  <si>
    <t>14,5328876</t>
  </si>
  <si>
    <t>10,9491022</t>
  </si>
  <si>
    <t>14,4793371</t>
  </si>
  <si>
    <t>10,9928719</t>
  </si>
  <si>
    <t>14,4867779</t>
  </si>
  <si>
    <t>10,9911614</t>
  </si>
  <si>
    <t>14,4992953</t>
  </si>
  <si>
    <t>10,9960153</t>
  </si>
  <si>
    <t>14,647398</t>
  </si>
  <si>
    <t>10,9535262</t>
  </si>
  <si>
    <t>14,6307197</t>
  </si>
  <si>
    <t>10,9991673</t>
  </si>
  <si>
    <t>14,6060359</t>
  </si>
  <si>
    <t>10,9937028</t>
  </si>
  <si>
    <t>14,4608663</t>
  </si>
  <si>
    <t>11,0364178</t>
  </si>
  <si>
    <t>14,4881992</t>
  </si>
  <si>
    <t>10,9771822</t>
  </si>
  <si>
    <t>14,4439103</t>
  </si>
  <si>
    <t>11,0591596</t>
  </si>
  <si>
    <t>14,5076226</t>
  </si>
  <si>
    <t>10,975868</t>
  </si>
  <si>
    <t>14,538049</t>
  </si>
  <si>
    <t>10,9915543</t>
  </si>
  <si>
    <t>14,5758715</t>
  </si>
  <si>
    <t>12,7638342</t>
  </si>
  <si>
    <t>14,5530473</t>
  </si>
  <si>
    <t>12,7757089</t>
  </si>
  <si>
    <t>14,5396825</t>
  </si>
  <si>
    <t>12,7862887</t>
  </si>
  <si>
    <t>14,4541562</t>
  </si>
  <si>
    <t>12,9002702</t>
  </si>
  <si>
    <t>14,6721419</t>
  </si>
  <si>
    <t>12,7162199</t>
  </si>
  <si>
    <t>14,4866582</t>
  </si>
  <si>
    <t>12,9151838</t>
  </si>
  <si>
    <t>14,4695635</t>
  </si>
  <si>
    <t>12,8909186</t>
  </si>
  <si>
    <t>14,7009018</t>
  </si>
  <si>
    <t>12,68113</t>
  </si>
  <si>
    <t>14,5017004</t>
  </si>
  <si>
    <t>12,9490559</t>
  </si>
  <si>
    <t>14,5493515</t>
  </si>
  <si>
    <t>12,8113595</t>
  </si>
  <si>
    <t>14,4333413</t>
  </si>
  <si>
    <t>12,9292897</t>
  </si>
  <si>
    <t>14,648794</t>
  </si>
  <si>
    <t>12,7273194</t>
  </si>
  <si>
    <t>14,5032008</t>
  </si>
  <si>
    <t>12,8634822</t>
  </si>
  <si>
    <t>14,6507334</t>
  </si>
  <si>
    <t>12,7252849</t>
  </si>
  <si>
    <t>14,6184212</t>
  </si>
  <si>
    <t>12,7535969</t>
  </si>
  <si>
    <t>14,4656505</t>
  </si>
  <si>
    <t>12,8703229</t>
  </si>
  <si>
    <t>14,4366522</t>
  </si>
  <si>
    <t>12,9109825</t>
  </si>
  <si>
    <t>14,4222896</t>
  </si>
  <si>
    <t>12,7346592</t>
  </si>
  <si>
    <t>14,3959064</t>
  </si>
  <si>
    <t>12,8328826</t>
  </si>
  <si>
    <t>14,3573016</t>
  </si>
  <si>
    <t>12,7210045</t>
  </si>
  <si>
    <t>14,298272</t>
  </si>
  <si>
    <t>12,8758801</t>
  </si>
  <si>
    <t>14,4304626</t>
  </si>
  <si>
    <t>12,6542682</t>
  </si>
  <si>
    <t>14,4395628</t>
  </si>
  <si>
    <t>12,6241161</t>
  </si>
  <si>
    <t>14,3671233</t>
  </si>
  <si>
    <t>12,7114879</t>
  </si>
  <si>
    <t>14,3103249</t>
  </si>
  <si>
    <t>12,7921736</t>
  </si>
  <si>
    <t>14,3335237</t>
  </si>
  <si>
    <t>12,794226</t>
  </si>
  <si>
    <t>14,2973576</t>
  </si>
  <si>
    <t>12,7915948</t>
  </si>
  <si>
    <t>14,3702503</t>
  </si>
  <si>
    <t>12,7788546</t>
  </si>
  <si>
    <t>14,3627611</t>
  </si>
  <si>
    <t>12,7666715</t>
  </si>
  <si>
    <t>14,3440558</t>
  </si>
  <si>
    <t>12,7312701</t>
  </si>
  <si>
    <t>14,3042496</t>
  </si>
  <si>
    <t>12,7887805</t>
  </si>
  <si>
    <t>14,3350034</t>
  </si>
  <si>
    <t>12,8215814</t>
  </si>
  <si>
    <t>14,3947031</t>
  </si>
  <si>
    <t>12,709454</t>
  </si>
  <si>
    <t>14,418267</t>
  </si>
  <si>
    <t>12,6666954</t>
  </si>
  <si>
    <t>14,453058</t>
  </si>
  <si>
    <t>12,6585856</t>
  </si>
  <si>
    <t>14,4541966</t>
  </si>
  <si>
    <t>12,659323</t>
  </si>
  <si>
    <t>14,2996703</t>
  </si>
  <si>
    <t>12,7683135</t>
  </si>
  <si>
    <t>14,3947123</t>
  </si>
  <si>
    <t>12,6645862</t>
  </si>
  <si>
    <t>14,2965301</t>
  </si>
  <si>
    <t>12,7955285</t>
  </si>
  <si>
    <t>14,2973964</t>
  </si>
  <si>
    <t>12,7936778</t>
  </si>
  <si>
    <t>14,3838982</t>
  </si>
  <si>
    <t>12,3726237</t>
  </si>
  <si>
    <t>14,2277635</t>
  </si>
  <si>
    <t>12,3775424</t>
  </si>
  <si>
    <t>14,3447852</t>
  </si>
  <si>
    <t>12,4050672</t>
  </si>
  <si>
    <t>14,2873854</t>
  </si>
  <si>
    <t>12,548811</t>
  </si>
  <si>
    <t>14,3215929</t>
  </si>
  <si>
    <t>12,399856</t>
  </si>
  <si>
    <t>14,2491752</t>
  </si>
  <si>
    <t>12,4755217</t>
  </si>
  <si>
    <t>14,227817</t>
  </si>
  <si>
    <t>12,3775456</t>
  </si>
  <si>
    <t>14,2279035</t>
  </si>
  <si>
    <t>12,3775623</t>
  </si>
  <si>
    <t>14,2277688</t>
  </si>
  <si>
    <t>12,3775143</t>
  </si>
  <si>
    <t>14,2277453</t>
  </si>
  <si>
    <t>12,377525</t>
  </si>
  <si>
    <t>14,2276603</t>
  </si>
  <si>
    <t>12,3774722</t>
  </si>
  <si>
    <t>14,2452336</t>
  </si>
  <si>
    <t>12,4353154</t>
  </si>
  <si>
    <t>14,3405867</t>
  </si>
  <si>
    <t>12,4419666</t>
  </si>
  <si>
    <t>14,2821809</t>
  </si>
  <si>
    <t>12,5543801</t>
  </si>
  <si>
    <t>14,2686709</t>
  </si>
  <si>
    <t>12,5579471</t>
  </si>
  <si>
    <t>14,2764229</t>
  </si>
  <si>
    <t>12,4603526</t>
  </si>
  <si>
    <t>14,295812</t>
  </si>
  <si>
    <t>12,5535651</t>
  </si>
  <si>
    <t>14,3402853</t>
  </si>
  <si>
    <t>12,4036428</t>
  </si>
  <si>
    <t>14,2277784</t>
  </si>
  <si>
    <t>12,3775055</t>
  </si>
  <si>
    <t>14,2277499</t>
  </si>
  <si>
    <t>12,3774258</t>
  </si>
  <si>
    <t>14,2277255</t>
  </si>
  <si>
    <t>12,3774406</t>
  </si>
  <si>
    <t>14,2958254</t>
  </si>
  <si>
    <t>12,5535469</t>
  </si>
  <si>
    <t>14,3024278</t>
  </si>
  <si>
    <t>12,3736595</t>
  </si>
  <si>
    <t>14,3065549</t>
  </si>
  <si>
    <t>12,5300092</t>
  </si>
  <si>
    <t>14,3198001</t>
  </si>
  <si>
    <t>12,5191344</t>
  </si>
  <si>
    <t>14,419706</t>
  </si>
  <si>
    <t>12,3713111</t>
  </si>
  <si>
    <t>14,221177</t>
  </si>
  <si>
    <t>12,3797266</t>
  </si>
  <si>
    <t>14,2245642</t>
  </si>
  <si>
    <t>12,3823588</t>
  </si>
  <si>
    <t>14,3233105</t>
  </si>
  <si>
    <t>12,5068613</t>
  </si>
  <si>
    <t>14,2277052</t>
  </si>
  <si>
    <t>12,3775166</t>
  </si>
  <si>
    <t>14,2683857</t>
  </si>
  <si>
    <t>12,4485171</t>
  </si>
  <si>
    <t>14,2278563</t>
  </si>
  <si>
    <t>12,377526</t>
  </si>
  <si>
    <t>14,2313765</t>
  </si>
  <si>
    <t>12,434475</t>
  </si>
  <si>
    <t>14,2253843</t>
  </si>
  <si>
    <t>12,3757319</t>
  </si>
  <si>
    <t>14,2276961</t>
  </si>
  <si>
    <t>12,3775002</t>
  </si>
  <si>
    <t>14,2530104</t>
  </si>
  <si>
    <t>12,41435</t>
  </si>
  <si>
    <t>14,2726974</t>
  </si>
  <si>
    <t>12,5186592</t>
  </si>
  <si>
    <t>14,3780569</t>
  </si>
  <si>
    <t>12,3941587</t>
  </si>
  <si>
    <t>14,2277411</t>
  </si>
  <si>
    <t>12,3775349</t>
  </si>
  <si>
    <t>14,7407179</t>
  </si>
  <si>
    <t>12,5621155</t>
  </si>
  <si>
    <t>14,8054088</t>
  </si>
  <si>
    <t>12,4099401</t>
  </si>
  <si>
    <t>14,8733016</t>
  </si>
  <si>
    <t>12,4430199</t>
  </si>
  <si>
    <t>14,7979208</t>
  </si>
  <si>
    <t>12,5938056</t>
  </si>
  <si>
    <t>14,8257319</t>
  </si>
  <si>
    <t>12,636947</t>
  </si>
  <si>
    <t>14,8812536</t>
  </si>
  <si>
    <t>12,1687306</t>
  </si>
  <si>
    <t>14,902039</t>
  </si>
  <si>
    <t>12,3874936</t>
  </si>
  <si>
    <t>14,8477976</t>
  </si>
  <si>
    <t>12,5266708</t>
  </si>
  <si>
    <t>14,7319434</t>
  </si>
  <si>
    <t>12,4089517</t>
  </si>
  <si>
    <t>14,7531284</t>
  </si>
  <si>
    <t>12,669197</t>
  </si>
  <si>
    <t>14,8626807</t>
  </si>
  <si>
    <t>12,3841378</t>
  </si>
  <si>
    <t>14,7903038</t>
  </si>
  <si>
    <t>12,3398569</t>
  </si>
  <si>
    <t>14,8513185</t>
  </si>
  <si>
    <t>12,5087962</t>
  </si>
  <si>
    <t>14,7500597</t>
  </si>
  <si>
    <t>12,4099598</t>
  </si>
  <si>
    <t>14,7786036</t>
  </si>
  <si>
    <t>12,5347815</t>
  </si>
  <si>
    <t>14,8213059</t>
  </si>
  <si>
    <t>12,1820989</t>
  </si>
  <si>
    <t>14,8991028</t>
  </si>
  <si>
    <t>12,2204857</t>
  </si>
  <si>
    <t>14,8973154</t>
  </si>
  <si>
    <t>12,2202875</t>
  </si>
  <si>
    <t>14,7110459</t>
  </si>
  <si>
    <t>12,3544574</t>
  </si>
  <si>
    <t>14,666734</t>
  </si>
  <si>
    <t>12,4256384</t>
  </si>
  <si>
    <t>14,8147432</t>
  </si>
  <si>
    <t>12,2938652</t>
  </si>
  <si>
    <t>14,7491748</t>
  </si>
  <si>
    <t>12,3406188</t>
  </si>
  <si>
    <t>14,8334869</t>
  </si>
  <si>
    <t>12,5992181</t>
  </si>
  <si>
    <t>14,895191</t>
  </si>
  <si>
    <t>12,3172529</t>
  </si>
  <si>
    <t>14,8566577</t>
  </si>
  <si>
    <t>12,4500874</t>
  </si>
  <si>
    <t>14,9036585</t>
  </si>
  <si>
    <t>12,1815054</t>
  </si>
  <si>
    <t>14,8319046</t>
  </si>
  <si>
    <t>12,3601691</t>
  </si>
  <si>
    <t>14,8114367</t>
  </si>
  <si>
    <t>12,2590389</t>
  </si>
  <si>
    <t>14,690715</t>
  </si>
  <si>
    <t>12,3600072</t>
  </si>
  <si>
    <t>14,8539101</t>
  </si>
  <si>
    <t>12,3223106</t>
  </si>
  <si>
    <t>14,7430229</t>
  </si>
  <si>
    <t>12,3524329</t>
  </si>
  <si>
    <t>14,2814635</t>
  </si>
  <si>
    <t>12,673801</t>
  </si>
  <si>
    <t>14,2855785</t>
  </si>
  <si>
    <t>12,6730782</t>
  </si>
  <si>
    <t>14,2868665</t>
  </si>
  <si>
    <t>12,6761582</t>
  </si>
  <si>
    <t>14,3056843</t>
  </si>
  <si>
    <t>12,6948143</t>
  </si>
  <si>
    <t>14,3152636</t>
  </si>
  <si>
    <t>12,6951994</t>
  </si>
  <si>
    <t>14,3729031</t>
  </si>
  <si>
    <t>12,6666354</t>
  </si>
  <si>
    <t>14,3830381</t>
  </si>
  <si>
    <t>12,5997058</t>
  </si>
  <si>
    <t>14,3875378</t>
  </si>
  <si>
    <t>12,6048062</t>
  </si>
  <si>
    <t>14,3892268</t>
  </si>
  <si>
    <t>12,6316212</t>
  </si>
  <si>
    <t>14,3153788</t>
  </si>
  <si>
    <t>12,6951041</t>
  </si>
  <si>
    <t>14,3196548</t>
  </si>
  <si>
    <t>12,6919567</t>
  </si>
  <si>
    <t>14,3075084</t>
  </si>
  <si>
    <t>12,6955939</t>
  </si>
  <si>
    <t>14,3183463</t>
  </si>
  <si>
    <t>12,6912171</t>
  </si>
  <si>
    <t>14,3056893</t>
  </si>
  <si>
    <t>12,694778</t>
  </si>
  <si>
    <t>14,3496804</t>
  </si>
  <si>
    <t>12,6767072</t>
  </si>
  <si>
    <t>14,3510559</t>
  </si>
  <si>
    <t>12,6771203</t>
  </si>
  <si>
    <t>14,3446328</t>
  </si>
  <si>
    <t>12,6805238</t>
  </si>
  <si>
    <t>14,3409019</t>
  </si>
  <si>
    <t>12,6816658</t>
  </si>
  <si>
    <t>14,2721563</t>
  </si>
  <si>
    <t>12,7820581</t>
  </si>
  <si>
    <t>14,2954825</t>
  </si>
  <si>
    <t>12,731856</t>
  </si>
  <si>
    <t>14,3765454</t>
  </si>
  <si>
    <t>12,6627882</t>
  </si>
  <si>
    <t>15,0102592</t>
  </si>
  <si>
    <t>12,0788848</t>
  </si>
  <si>
    <t>15,0212083</t>
  </si>
  <si>
    <t>12,0653577</t>
  </si>
  <si>
    <t>15,0571526</t>
  </si>
  <si>
    <t>12,0493616</t>
  </si>
  <si>
    <t>15,0345773</t>
  </si>
  <si>
    <t>12,0777459</t>
  </si>
  <si>
    <t>15,0286486</t>
  </si>
  <si>
    <t>12,0077691</t>
  </si>
  <si>
    <t>15,013665</t>
  </si>
  <si>
    <t>12,1000801</t>
  </si>
  <si>
    <t>15,026372</t>
  </si>
  <si>
    <t>12,10584</t>
  </si>
  <si>
    <t>15,0303684</t>
  </si>
  <si>
    <t>12,0774895</t>
  </si>
  <si>
    <t>15,006136</t>
  </si>
  <si>
    <t>12,0929521</t>
  </si>
  <si>
    <t>14,9933542</t>
  </si>
  <si>
    <t>12,086718</t>
  </si>
  <si>
    <t>15,0022753</t>
  </si>
  <si>
    <t>12,0890724</t>
  </si>
  <si>
    <t>15,0200755</t>
  </si>
  <si>
    <t>12,057192</t>
  </si>
  <si>
    <t>15,0437019</t>
  </si>
  <si>
    <t>12,0384974</t>
  </si>
  <si>
    <t>15,0429508</t>
  </si>
  <si>
    <t>12,0381701</t>
  </si>
  <si>
    <t>15,0266357</t>
  </si>
  <si>
    <t>12,0791959</t>
  </si>
  <si>
    <t>15,0214323</t>
  </si>
  <si>
    <t>12,0827774</t>
  </si>
  <si>
    <t>15,03367</t>
  </si>
  <si>
    <t>12,0817313</t>
  </si>
  <si>
    <t>15,0061251</t>
  </si>
  <si>
    <t>12,1198437</t>
  </si>
  <si>
    <t>15,0038542</t>
  </si>
  <si>
    <t>12,0946629</t>
  </si>
  <si>
    <t>15,0405307</t>
  </si>
  <si>
    <t>12,0726251</t>
  </si>
  <si>
    <t>15,0303725</t>
  </si>
  <si>
    <t>12,0978048</t>
  </si>
  <si>
    <t>15,0233996</t>
  </si>
  <si>
    <t>12,0996624</t>
  </si>
  <si>
    <t>15,052501</t>
  </si>
  <si>
    <t>12,0626687</t>
  </si>
  <si>
    <t>15,0525107</t>
  </si>
  <si>
    <t>12,062231</t>
  </si>
  <si>
    <t>15,0213794</t>
  </si>
  <si>
    <t>12,1120367</t>
  </si>
  <si>
    <t>15,0227922</t>
  </si>
  <si>
    <t>12,0356787</t>
  </si>
  <si>
    <t>14,939613</t>
  </si>
  <si>
    <t>12,0921972</t>
  </si>
  <si>
    <t>14,9638024</t>
  </si>
  <si>
    <t>12,088051</t>
  </si>
  <si>
    <t>15,036699</t>
  </si>
  <si>
    <t>12,0409591</t>
  </si>
  <si>
    <t>15,0140214</t>
  </si>
  <si>
    <t>12,0768819</t>
  </si>
  <si>
    <t>14,9213254</t>
  </si>
  <si>
    <t>12,0923732</t>
  </si>
  <si>
    <t>15,0062836</t>
  </si>
  <si>
    <t>12,0845166</t>
  </si>
  <si>
    <t>15,0301974</t>
  </si>
  <si>
    <t>12,0686985</t>
  </si>
  <si>
    <t>15,0223334</t>
  </si>
  <si>
    <t>12,1038867</t>
  </si>
  <si>
    <t>15,0297286</t>
  </si>
  <si>
    <t>12,0916508</t>
  </si>
  <si>
    <t>15,0316628</t>
  </si>
  <si>
    <t>12,0711442</t>
  </si>
  <si>
    <t>14,9835554</t>
  </si>
  <si>
    <t>12,0866969</t>
  </si>
  <si>
    <t>14,9498426</t>
  </si>
  <si>
    <t>12,0958741</t>
  </si>
  <si>
    <t>15,0309527</t>
  </si>
  <si>
    <t>12,0793752</t>
  </si>
  <si>
    <t>15,0344704</t>
  </si>
  <si>
    <t>12,0786197</t>
  </si>
  <si>
    <t>15,0411764</t>
  </si>
  <si>
    <t>11,9269104</t>
  </si>
  <si>
    <t>14,9351302</t>
  </si>
  <si>
    <t>11,9654193</t>
  </si>
  <si>
    <t>14,9490879</t>
  </si>
  <si>
    <t>11,9150681</t>
  </si>
  <si>
    <t>14,7318554</t>
  </si>
  <si>
    <t>12,1170792</t>
  </si>
  <si>
    <t>14,8329621</t>
  </si>
  <si>
    <t>12,1072544</t>
  </si>
  <si>
    <t>14,6444952</t>
  </si>
  <si>
    <t>11,9202539</t>
  </si>
  <si>
    <t>14,9282135</t>
  </si>
  <si>
    <t>11,9795869</t>
  </si>
  <si>
    <t>14,9261779</t>
  </si>
  <si>
    <t>11,5201588</t>
  </si>
  <si>
    <t>14,8368586</t>
  </si>
  <si>
    <t>12,0908022</t>
  </si>
  <si>
    <t>14,7311785</t>
  </si>
  <si>
    <t>12,1206251</t>
  </si>
  <si>
    <t>14,87001</t>
  </si>
  <si>
    <t>12,0245268</t>
  </si>
  <si>
    <t>14,8969861</t>
  </si>
  <si>
    <t>12,0164433</t>
  </si>
  <si>
    <t>14,9556226</t>
  </si>
  <si>
    <t>11,4896431</t>
  </si>
  <si>
    <t>14,9928431</t>
  </si>
  <si>
    <t>11,5850193</t>
  </si>
  <si>
    <t>14,973903</t>
  </si>
  <si>
    <t>11,4727086</t>
  </si>
  <si>
    <t>14,9134146</t>
  </si>
  <si>
    <t>11,9577954</t>
  </si>
  <si>
    <t>14,6927757</t>
  </si>
  <si>
    <t>12,0991998</t>
  </si>
  <si>
    <t>14,8400051</t>
  </si>
  <si>
    <t>12,0930326</t>
  </si>
  <si>
    <t>14,9707478</t>
  </si>
  <si>
    <t>11,7734605</t>
  </si>
  <si>
    <t>14,7475486</t>
  </si>
  <si>
    <t>12,1052785</t>
  </si>
  <si>
    <t>14,7496023</t>
  </si>
  <si>
    <t>12,1085426</t>
  </si>
  <si>
    <t>14,6280846</t>
  </si>
  <si>
    <t>11,8958995</t>
  </si>
  <si>
    <t>15,1023825</t>
  </si>
  <si>
    <t>11,7800905</t>
  </si>
  <si>
    <t>14,9089276</t>
  </si>
  <si>
    <t>11,9392054</t>
  </si>
  <si>
    <t>14,8745609</t>
  </si>
  <si>
    <t>12,0209889</t>
  </si>
  <si>
    <t>14,9825527</t>
  </si>
  <si>
    <t>11,5255403</t>
  </si>
  <si>
    <t>14,8923214</t>
  </si>
  <si>
    <t>12,050365</t>
  </si>
  <si>
    <t>14,7034733</t>
  </si>
  <si>
    <t>12,0193537</t>
  </si>
  <si>
    <t>14,7941999</t>
  </si>
  <si>
    <t>12,0656505</t>
  </si>
  <si>
    <t>14,8066489</t>
  </si>
  <si>
    <t>12,0643857</t>
  </si>
  <si>
    <t>14,7928527</t>
  </si>
  <si>
    <t>12,0624998</t>
  </si>
  <si>
    <t>14,9342283</t>
  </si>
  <si>
    <t>11,5388668</t>
  </si>
  <si>
    <t>14,890131</t>
  </si>
  <si>
    <t>12,0524906</t>
  </si>
  <si>
    <t>14,9073354</t>
  </si>
  <si>
    <t>12,0249393</t>
  </si>
  <si>
    <t>14,723735</t>
  </si>
  <si>
    <t>12,0685851</t>
  </si>
  <si>
    <t>14,7981336</t>
  </si>
  <si>
    <t>12,0357213</t>
  </si>
  <si>
    <t>14,694446</t>
  </si>
  <si>
    <t>12,045149</t>
  </si>
  <si>
    <t>14,7364402</t>
  </si>
  <si>
    <t>12,0171314</t>
  </si>
  <si>
    <t>14,7346371</t>
  </si>
  <si>
    <t>12,0730973</t>
  </si>
  <si>
    <t>14,7352192</t>
  </si>
  <si>
    <t>12,1196786</t>
  </si>
  <si>
    <t>14,8037129</t>
  </si>
  <si>
    <t>12,0531202</t>
  </si>
  <si>
    <t>15,0731</t>
  </si>
  <si>
    <t>11,6685766</t>
  </si>
  <si>
    <t>14,2436951</t>
  </si>
  <si>
    <t>12,6773566</t>
  </si>
  <si>
    <t>14,3470618</t>
  </si>
  <si>
    <t>12,5314351</t>
  </si>
  <si>
    <t>14,614054</t>
  </si>
  <si>
    <t>12,5348239</t>
  </si>
  <si>
    <t>14,5518888</t>
  </si>
  <si>
    <t>12,657428</t>
  </si>
  <si>
    <t>14,69679</t>
  </si>
  <si>
    <t>12,5484792</t>
  </si>
  <si>
    <t>14,4803409</t>
  </si>
  <si>
    <t>12,390765</t>
  </si>
  <si>
    <t>14,6565366</t>
  </si>
  <si>
    <t>12,4520274</t>
  </si>
  <si>
    <t>14,6411758</t>
  </si>
  <si>
    <t>12,2365301</t>
  </si>
  <si>
    <t>14,6322862</t>
  </si>
  <si>
    <t>12,23367</t>
  </si>
  <si>
    <t>14,6433141</t>
  </si>
  <si>
    <t>12,2401534</t>
  </si>
  <si>
    <t>14,5262783</t>
  </si>
  <si>
    <t>12,3757343</t>
  </si>
  <si>
    <t>14,5445736</t>
  </si>
  <si>
    <t>12,3707787</t>
  </si>
  <si>
    <t>14,6701176</t>
  </si>
  <si>
    <t>12,5788722</t>
  </si>
  <si>
    <t>14,4564775</t>
  </si>
  <si>
    <t>12,5738282</t>
  </si>
  <si>
    <t>14,382722</t>
  </si>
  <si>
    <t>12,5262755</t>
  </si>
  <si>
    <t>14,463788</t>
  </si>
  <si>
    <t>12,4358868</t>
  </si>
  <si>
    <t>14,5975788</t>
  </si>
  <si>
    <t>12,3472706</t>
  </si>
  <si>
    <t>14,6052021</t>
  </si>
  <si>
    <t>12,364267</t>
  </si>
  <si>
    <t>14,7234014</t>
  </si>
  <si>
    <t>12,5147599</t>
  </si>
  <si>
    <t>14,6842191</t>
  </si>
  <si>
    <t>12,5531566</t>
  </si>
  <si>
    <t>14,6474146</t>
  </si>
  <si>
    <t>12,2935826</t>
  </si>
  <si>
    <t>14,7295432</t>
  </si>
  <si>
    <t>12,181153</t>
  </si>
  <si>
    <t>14,621414</t>
  </si>
  <si>
    <t>12,5034399</t>
  </si>
  <si>
    <t>14,4889626</t>
  </si>
  <si>
    <t>12,4018695</t>
  </si>
  <si>
    <t>14,5187632</t>
  </si>
  <si>
    <t>12,3744374</t>
  </si>
  <si>
    <t>14,5134227</t>
  </si>
  <si>
    <t>12,378951</t>
  </si>
  <si>
    <t>14,5895613</t>
  </si>
  <si>
    <t>12,6249248</t>
  </si>
  <si>
    <t>14,4180832</t>
  </si>
  <si>
    <t>12,503469</t>
  </si>
  <si>
    <t>14,4045858</t>
  </si>
  <si>
    <t>12,5080835</t>
  </si>
  <si>
    <t>14,4353763</t>
  </si>
  <si>
    <t>12,4473015</t>
  </si>
  <si>
    <t>14,6914871</t>
  </si>
  <si>
    <t>12,2298862</t>
  </si>
  <si>
    <t>14,3935363</t>
  </si>
  <si>
    <t>12,4839069</t>
  </si>
  <si>
    <t>14,6234176</t>
  </si>
  <si>
    <t>12,2867913</t>
  </si>
  <si>
    <t>14,5826577</t>
  </si>
  <si>
    <t>12,3047951</t>
  </si>
  <si>
    <t>14,4564708</t>
  </si>
  <si>
    <t>12,5739287</t>
  </si>
  <si>
    <t>14,4937839</t>
  </si>
  <si>
    <t>12,4064556</t>
  </si>
  <si>
    <t>14,603557</t>
  </si>
  <si>
    <t>12,5703837</t>
  </si>
  <si>
    <t>14,5342855</t>
  </si>
  <si>
    <t>12,5406522</t>
  </si>
  <si>
    <t>14,6230573</t>
  </si>
  <si>
    <t>12,507803</t>
  </si>
  <si>
    <t>14,5306546</t>
  </si>
  <si>
    <t>12,3522246</t>
  </si>
  <si>
    <t>14,4246646</t>
  </si>
  <si>
    <t>12,4703454</t>
  </si>
  <si>
    <t>14,6431075</t>
  </si>
  <si>
    <t>12,2500895</t>
  </si>
  <si>
    <t>14,7113931</t>
  </si>
  <si>
    <t>12,2004815</t>
  </si>
  <si>
    <t>14,4407148</t>
  </si>
  <si>
    <t>12,3949872</t>
  </si>
  <si>
    <t>14,45821</t>
  </si>
  <si>
    <t>12,3596638</t>
  </si>
  <si>
    <t>14,6510199</t>
  </si>
  <si>
    <t>12,5541851</t>
  </si>
  <si>
    <t>14,3678974</t>
  </si>
  <si>
    <t>12,4641961</t>
  </si>
  <si>
    <t>14,3654842</t>
  </si>
  <si>
    <t>12,4709624</t>
  </si>
  <si>
    <t>14,5929387</t>
  </si>
  <si>
    <t>12,5422341</t>
  </si>
  <si>
    <t>14,5550932</t>
  </si>
  <si>
    <t>12,3375155</t>
  </si>
  <si>
    <t>14,3622331</t>
  </si>
  <si>
    <t>12,4956556</t>
  </si>
  <si>
    <t>14,6985288</t>
  </si>
  <si>
    <t>12,2164562</t>
  </si>
  <si>
    <t>14,703345</t>
  </si>
  <si>
    <t>12,2105762</t>
  </si>
  <si>
    <t>14,7990271</t>
  </si>
  <si>
    <t>12,1419867</t>
  </si>
  <si>
    <t>14,6630812</t>
  </si>
  <si>
    <t>12,2923757</t>
  </si>
  <si>
    <t>14,6412193</t>
  </si>
  <si>
    <t>12,2365169</t>
  </si>
  <si>
    <t>14,6274362</t>
  </si>
  <si>
    <t>12,545082</t>
  </si>
  <si>
    <t>14,7798486</t>
  </si>
  <si>
    <t>12,127241</t>
  </si>
  <si>
    <t>14,7723294</t>
  </si>
  <si>
    <t>12,1235325</t>
  </si>
  <si>
    <t>14,6193964</t>
  </si>
  <si>
    <t>12,3820284</t>
  </si>
  <si>
    <t>14,6179537</t>
  </si>
  <si>
    <t>12,378012</t>
  </si>
  <si>
    <t>14,3637915</t>
  </si>
  <si>
    <t>12,5384835</t>
  </si>
  <si>
    <t>14,3546704</t>
  </si>
  <si>
    <t>12,51378</t>
  </si>
  <si>
    <t>14,5939641</t>
  </si>
  <si>
    <t>12,3203341</t>
  </si>
  <si>
    <t>14,5497837</t>
  </si>
  <si>
    <t>12,3423708</t>
  </si>
  <si>
    <t>14,5824264</t>
  </si>
  <si>
    <t>12,3378736</t>
  </si>
  <si>
    <t>14,4718517</t>
  </si>
  <si>
    <t>12,3857046</t>
  </si>
  <si>
    <t>14,5822781</t>
  </si>
  <si>
    <t>12,3915091</t>
  </si>
  <si>
    <t>14,2792305</t>
  </si>
  <si>
    <t>12,6379236</t>
  </si>
  <si>
    <t>14,3562214</t>
  </si>
  <si>
    <t>12,4790799</t>
  </si>
  <si>
    <t>14,4643388</t>
  </si>
  <si>
    <t>12,4320412</t>
  </si>
  <si>
    <t>14,7804502</t>
  </si>
  <si>
    <t>12,1758428</t>
  </si>
  <si>
    <t>14,4939657</t>
  </si>
  <si>
    <t>12,5861847</t>
  </si>
  <si>
    <t>14,7664287</t>
  </si>
  <si>
    <t>12,2858766</t>
  </si>
  <si>
    <t>14,4348914</t>
  </si>
  <si>
    <t>12,5710391</t>
  </si>
  <si>
    <t>14,4362056</t>
  </si>
  <si>
    <t>12,4635011</t>
  </si>
  <si>
    <t>14,6717839</t>
  </si>
  <si>
    <t>12,5839824</t>
  </si>
  <si>
    <t>14,6411676</t>
  </si>
  <si>
    <t>12,2365038</t>
  </si>
  <si>
    <t>14,4559959</t>
  </si>
  <si>
    <t>12,3592122</t>
  </si>
  <si>
    <t>14,4387338</t>
  </si>
  <si>
    <t>12,3900125</t>
  </si>
  <si>
    <t>14,7690067</t>
  </si>
  <si>
    <t>12,1228402</t>
  </si>
  <si>
    <t>14,4566515</t>
  </si>
  <si>
    <t>12,5742063</t>
  </si>
  <si>
    <t>14,6806441</t>
  </si>
  <si>
    <t>12,2083695</t>
  </si>
  <si>
    <t>14,4738446</t>
  </si>
  <si>
    <t>12,4271624</t>
  </si>
  <si>
    <t>14,6794378</t>
  </si>
  <si>
    <t>12,5305678</t>
  </si>
  <si>
    <t>14,5795827</t>
  </si>
  <si>
    <t>12,3959922</t>
  </si>
  <si>
    <t>14,6178984</t>
  </si>
  <si>
    <t>12,3073159</t>
  </si>
  <si>
    <t>14,6080953</t>
  </si>
  <si>
    <t>12,3276602</t>
  </si>
  <si>
    <t>14,7818598</t>
  </si>
  <si>
    <t>12,265727</t>
  </si>
  <si>
    <t>14,4707049</t>
  </si>
  <si>
    <t>12,5114129</t>
  </si>
  <si>
    <t>14,7159276</t>
  </si>
  <si>
    <t>12,6233666</t>
  </si>
  <si>
    <t>14,5596332</t>
  </si>
  <si>
    <t>12,3606837</t>
  </si>
  <si>
    <t>14,4352968</t>
  </si>
  <si>
    <t>12,4492921</t>
  </si>
  <si>
    <t>14,67565</t>
  </si>
  <si>
    <t>12,221544</t>
  </si>
  <si>
    <t>14,456537</t>
  </si>
  <si>
    <t>12,5739192</t>
  </si>
  <si>
    <t>14,4481227</t>
  </si>
  <si>
    <t>12,4503668</t>
  </si>
  <si>
    <t>14,7198994</t>
  </si>
  <si>
    <t>12,3146769</t>
  </si>
  <si>
    <t>14,4983733</t>
  </si>
  <si>
    <t>12,3860109</t>
  </si>
  <si>
    <t>14,4413295</t>
  </si>
  <si>
    <t>12,3681118</t>
  </si>
  <si>
    <t>14,6800181</t>
  </si>
  <si>
    <t>12,5730842</t>
  </si>
  <si>
    <t>14,4595851</t>
  </si>
  <si>
    <t>12,3626918</t>
  </si>
  <si>
    <t>14,6233656</t>
  </si>
  <si>
    <t>12,2559342</t>
  </si>
  <si>
    <t>14,5250107</t>
  </si>
  <si>
    <t>12,5566118</t>
  </si>
  <si>
    <t>14,6650466</t>
  </si>
  <si>
    <t>12,2169628</t>
  </si>
  <si>
    <t>14,6412422</t>
  </si>
  <si>
    <t>12,2365115</t>
  </si>
  <si>
    <t>14,6087156</t>
  </si>
  <si>
    <t>12,3734705</t>
  </si>
  <si>
    <t>14,3681647</t>
  </si>
  <si>
    <t>12,5147868</t>
  </si>
  <si>
    <t>14,6411923</t>
  </si>
  <si>
    <t>12,2365291</t>
  </si>
  <si>
    <t>14,8195047</t>
  </si>
  <si>
    <t>12,1121793</t>
  </si>
  <si>
    <t>14,3784348</t>
  </si>
  <si>
    <t>12,4752932</t>
  </si>
  <si>
    <t>14,4166782</t>
  </si>
  <si>
    <t>12,5333997</t>
  </si>
  <si>
    <t>14,3824244</t>
  </si>
  <si>
    <t>12,569411</t>
  </si>
  <si>
    <t>14,6432429</t>
  </si>
  <si>
    <t>12,2568187</t>
  </si>
  <si>
    <t>14,6444474</t>
  </si>
  <si>
    <t>12,26118</t>
  </si>
  <si>
    <t>14,6412555</t>
  </si>
  <si>
    <t>12,2365595</t>
  </si>
  <si>
    <t>14,4436248</t>
  </si>
  <si>
    <t>12,4578881</t>
  </si>
  <si>
    <t>14,452615</t>
  </si>
  <si>
    <t>12,4713617</t>
  </si>
  <si>
    <t>14,6084753</t>
  </si>
  <si>
    <t>12,2837621</t>
  </si>
  <si>
    <t>14,6408804</t>
  </si>
  <si>
    <t>12,235928</t>
  </si>
  <si>
    <t>14,4581043</t>
  </si>
  <si>
    <t>12,3594926</t>
  </si>
  <si>
    <t>14,5743663</t>
  </si>
  <si>
    <t>12,592793</t>
  </si>
  <si>
    <t>14,4564525</t>
  </si>
  <si>
    <t>12,5738426</t>
  </si>
  <si>
    <t>14,5415335</t>
  </si>
  <si>
    <t>12,5742543</t>
  </si>
  <si>
    <t>14,4730103</t>
  </si>
  <si>
    <t>12,6363414</t>
  </si>
  <si>
    <t>14,5076781</t>
  </si>
  <si>
    <t>12,3537861</t>
  </si>
  <si>
    <t>14,5165795</t>
  </si>
  <si>
    <t>12,351805</t>
  </si>
  <si>
    <t>14,379768</t>
  </si>
  <si>
    <t>12,4552473</t>
  </si>
  <si>
    <t>14,4566494</t>
  </si>
  <si>
    <t>12,5740031</t>
  </si>
  <si>
    <t>14,4482295</t>
  </si>
  <si>
    <t>12,5758926</t>
  </si>
  <si>
    <t>14,4847486</t>
  </si>
  <si>
    <t>12,4758991</t>
  </si>
  <si>
    <t>14,6407227</t>
  </si>
  <si>
    <t>12,3957755</t>
  </si>
  <si>
    <t>14,8183596</t>
  </si>
  <si>
    <t>12,1812373</t>
  </si>
  <si>
    <t>14,6411776</t>
  </si>
  <si>
    <t>12,2365508</t>
  </si>
  <si>
    <t>14,2791499</t>
  </si>
  <si>
    <t>12,6401876</t>
  </si>
  <si>
    <t>14,3828912</t>
  </si>
  <si>
    <t>12,5489013</t>
  </si>
  <si>
    <t>14,6412212</t>
  </si>
  <si>
    <t>12,2364855</t>
  </si>
  <si>
    <t>14,3901656</t>
  </si>
  <si>
    <t>12,5637865</t>
  </si>
  <si>
    <t>14,470204</t>
  </si>
  <si>
    <t>12,5343434</t>
  </si>
  <si>
    <t>14,6411806</t>
  </si>
  <si>
    <t>12,2363323</t>
  </si>
  <si>
    <t>14,6412909</t>
  </si>
  <si>
    <t>12,2362021</t>
  </si>
  <si>
    <t>14,586331</t>
  </si>
  <si>
    <t>12,3076304</t>
  </si>
  <si>
    <t>14,560263</t>
  </si>
  <si>
    <t>12,326347</t>
  </si>
  <si>
    <t>14,4566166</t>
  </si>
  <si>
    <t>12,574189</t>
  </si>
  <si>
    <t>14,4938282</t>
  </si>
  <si>
    <t>12,4065112</t>
  </si>
  <si>
    <t>14,6784426</t>
  </si>
  <si>
    <t>12,3396074</t>
  </si>
  <si>
    <t>14,6720157</t>
  </si>
  <si>
    <t>12,5181137</t>
  </si>
  <si>
    <t>14,6196969</t>
  </si>
  <si>
    <t>12,5757883</t>
  </si>
  <si>
    <t>14,438939</t>
  </si>
  <si>
    <t>12,3854718</t>
  </si>
  <si>
    <t>14,6714201</t>
  </si>
  <si>
    <t>12,2485081</t>
  </si>
  <si>
    <t>14,581753</t>
  </si>
  <si>
    <t>12,30551</t>
  </si>
  <si>
    <t>14,676436</t>
  </si>
  <si>
    <t>12,5245281</t>
  </si>
  <si>
    <t>14,7123668</t>
  </si>
  <si>
    <t>12,5470424</t>
  </si>
  <si>
    <t>14,742602</t>
  </si>
  <si>
    <t>12,3152197</t>
  </si>
  <si>
    <t>14,3696934</t>
  </si>
  <si>
    <t>12,5967914</t>
  </si>
  <si>
    <t>14,6778522</t>
  </si>
  <si>
    <t>12,2155732</t>
  </si>
  <si>
    <t>14,6246563</t>
  </si>
  <si>
    <t>12,5697179</t>
  </si>
  <si>
    <t>14,6673534</t>
  </si>
  <si>
    <t>12,5800345</t>
  </si>
  <si>
    <t>14,4582336</t>
  </si>
  <si>
    <t>12,3594516</t>
  </si>
  <si>
    <t>14,4157543</t>
  </si>
  <si>
    <t>12,573104</t>
  </si>
  <si>
    <t>14,2885928</t>
  </si>
  <si>
    <t>12,6069998</t>
  </si>
  <si>
    <t>14,3833414</t>
  </si>
  <si>
    <t>12,5237668</t>
  </si>
  <si>
    <t>14,3370548</t>
  </si>
  <si>
    <t>12,5726098</t>
  </si>
  <si>
    <t>14,3377905</t>
  </si>
  <si>
    <t>12,5705763</t>
  </si>
  <si>
    <t>14,3370405</t>
  </si>
  <si>
    <t>12,5712381</t>
  </si>
  <si>
    <t>14,5308788</t>
  </si>
  <si>
    <t>12,5096651</t>
  </si>
  <si>
    <t>14,5640987</t>
  </si>
  <si>
    <t>12,3440578</t>
  </si>
  <si>
    <t>14,4827529</t>
  </si>
  <si>
    <t>12,4199435</t>
  </si>
  <si>
    <t>14,4874228</t>
  </si>
  <si>
    <t>12,4169386</t>
  </si>
  <si>
    <t>14,4901213</t>
  </si>
  <si>
    <t>12,4916539</t>
  </si>
  <si>
    <t>14,3815691</t>
  </si>
  <si>
    <t>12,5030696</t>
  </si>
  <si>
    <t>14,6454986</t>
  </si>
  <si>
    <t>12,5233126</t>
  </si>
  <si>
    <t>14,6914801</t>
  </si>
  <si>
    <t>12,2300074</t>
  </si>
  <si>
    <t>14,6878434</t>
  </si>
  <si>
    <t>12,230327</t>
  </si>
  <si>
    <t>14,6860058</t>
  </si>
  <si>
    <t>12,2098204</t>
  </si>
  <si>
    <t>14,4600159</t>
  </si>
  <si>
    <t>12,5497349</t>
  </si>
  <si>
    <t>14,6745039</t>
  </si>
  <si>
    <t>12,260562</t>
  </si>
  <si>
    <t>14,595169</t>
  </si>
  <si>
    <t>12,2914938</t>
  </si>
  <si>
    <t>14,2991635</t>
  </si>
  <si>
    <t>12,6261988</t>
  </si>
  <si>
    <t>14,5505325</t>
  </si>
  <si>
    <t>12,442424</t>
  </si>
  <si>
    <t>14,5783971</t>
  </si>
  <si>
    <t>12,3151431</t>
  </si>
  <si>
    <t>14,4695644</t>
  </si>
  <si>
    <t>12,5710528</t>
  </si>
  <si>
    <t>14,7903529</t>
  </si>
  <si>
    <t>12,1288993</t>
  </si>
  <si>
    <t>14,8297194</t>
  </si>
  <si>
    <t>12,1534824</t>
  </si>
  <si>
    <t>14,8236183</t>
  </si>
  <si>
    <t>12,1442561</t>
  </si>
  <si>
    <t>14,6412008</t>
  </si>
  <si>
    <t>12,2365052</t>
  </si>
  <si>
    <t>14,4000078</t>
  </si>
  <si>
    <t>12,4561169</t>
  </si>
  <si>
    <t>14,6412366</t>
  </si>
  <si>
    <t>12,2365203</t>
  </si>
  <si>
    <t>14,8354013</t>
  </si>
  <si>
    <t>12,1092732</t>
  </si>
  <si>
    <t>14,6412235</t>
  </si>
  <si>
    <t>12,2364936</t>
  </si>
  <si>
    <t>14,4672722</t>
  </si>
  <si>
    <t>12,375855</t>
  </si>
  <si>
    <t>14,8066948</t>
  </si>
  <si>
    <t>12,1246663</t>
  </si>
  <si>
    <t>14,6998954</t>
  </si>
  <si>
    <t>12,5669545</t>
  </si>
  <si>
    <t>14,5960174</t>
  </si>
  <si>
    <t>12,5558242</t>
  </si>
  <si>
    <t>14,7514689</t>
  </si>
  <si>
    <t>12,1255202</t>
  </si>
  <si>
    <t>14,7500082</t>
  </si>
  <si>
    <t>12,1265202</t>
  </si>
  <si>
    <t>14,7425271</t>
  </si>
  <si>
    <t>12,1254077</t>
  </si>
  <si>
    <t>14,7104964</t>
  </si>
  <si>
    <t>12,5419702</t>
  </si>
  <si>
    <t>14,6823489</t>
  </si>
  <si>
    <t>12,5232727</t>
  </si>
  <si>
    <t>14,4098746</t>
  </si>
  <si>
    <t>12,4437443</t>
  </si>
  <si>
    <t>14,5196272</t>
  </si>
  <si>
    <t>12,4237325</t>
  </si>
  <si>
    <t>14,625541</t>
  </si>
  <si>
    <t>12,286539</t>
  </si>
  <si>
    <t>14,5155086</t>
  </si>
  <si>
    <t>12,3848642</t>
  </si>
  <si>
    <t>14,6227043</t>
  </si>
  <si>
    <t>12,4782001</t>
  </si>
  <si>
    <t>14,5484145</t>
  </si>
  <si>
    <t>12,4037171</t>
  </si>
  <si>
    <t>14,5753745</t>
  </si>
  <si>
    <t>12,3458714</t>
  </si>
  <si>
    <t>14,3631914</t>
  </si>
  <si>
    <t>12,539944</t>
  </si>
  <si>
    <t>14,6520954</t>
  </si>
  <si>
    <t>11,6866</t>
  </si>
  <si>
    <t>14,6173016</t>
  </si>
  <si>
    <t>11,855278</t>
  </si>
  <si>
    <t>14,6395827</t>
  </si>
  <si>
    <t>11,5275853</t>
  </si>
  <si>
    <t>14,7250592</t>
  </si>
  <si>
    <t>11,5040529</t>
  </si>
  <si>
    <t>14,625764</t>
  </si>
  <si>
    <t>11,4484466</t>
  </si>
  <si>
    <t>14,6340908</t>
  </si>
  <si>
    <t>11,5448348</t>
  </si>
  <si>
    <t>14,6168973</t>
  </si>
  <si>
    <t>11,8242462</t>
  </si>
  <si>
    <t>14,6242773</t>
  </si>
  <si>
    <t>11,8307211</t>
  </si>
  <si>
    <t>14,6266582</t>
  </si>
  <si>
    <t>11,5246329</t>
  </si>
  <si>
    <t>14,6265583</t>
  </si>
  <si>
    <t>11,5328743</t>
  </si>
  <si>
    <t>14,6304175</t>
  </si>
  <si>
    <t>11,5585733</t>
  </si>
  <si>
    <t>14,703865</t>
  </si>
  <si>
    <t>11,6319816</t>
  </si>
  <si>
    <t>14,6411488</t>
  </si>
  <si>
    <t>11,7763904</t>
  </si>
  <si>
    <t>14,6369897</t>
  </si>
  <si>
    <t>11,7806491</t>
  </si>
  <si>
    <t>14,6165069</t>
  </si>
  <si>
    <t>11,8241962</t>
  </si>
  <si>
    <t>14,7110063</t>
  </si>
  <si>
    <t>11,7141294</t>
  </si>
  <si>
    <t>14,6527154</t>
  </si>
  <si>
    <t>11,5997985</t>
  </si>
  <si>
    <t>14,455654</t>
  </si>
  <si>
    <t>11,3271429</t>
  </si>
  <si>
    <t>14,4560823</t>
  </si>
  <si>
    <t>11,3251873</t>
  </si>
  <si>
    <t>14,4534919</t>
  </si>
  <si>
    <t>11,3258094</t>
  </si>
  <si>
    <t>14,4508382</t>
  </si>
  <si>
    <t>11,3242281</t>
  </si>
  <si>
    <t>14,6767616</t>
  </si>
  <si>
    <t>11,5050513</t>
  </si>
  <si>
    <t>14,5690866</t>
  </si>
  <si>
    <t>11,3969155</t>
  </si>
  <si>
    <t>14,6379217</t>
  </si>
  <si>
    <t>11,5421064</t>
  </si>
  <si>
    <t>14,6480307</t>
  </si>
  <si>
    <t>11,683163</t>
  </si>
  <si>
    <t>14,6531679</t>
  </si>
  <si>
    <t>11,6853665</t>
  </si>
  <si>
    <t>14,9634718</t>
  </si>
  <si>
    <t>11,2640568</t>
  </si>
  <si>
    <t>14,9634878</t>
  </si>
  <si>
    <t>11,2639575</t>
  </si>
  <si>
    <t>14,9634518</t>
  </si>
  <si>
    <t>11,2640526</t>
  </si>
  <si>
    <t>14,963434</t>
  </si>
  <si>
    <t>11,2640327</t>
  </si>
  <si>
    <t>14,963426</t>
  </si>
  <si>
    <t>11,2640468</t>
  </si>
  <si>
    <t>14,9634735</t>
  </si>
  <si>
    <t>11,2640031</t>
  </si>
  <si>
    <t>14,9634844</t>
  </si>
  <si>
    <t>11,2640617</t>
  </si>
  <si>
    <t>14,9634662</t>
  </si>
  <si>
    <t>11,2640168</t>
  </si>
  <si>
    <t>14,9635615</t>
  </si>
  <si>
    <t>11,2640621</t>
  </si>
  <si>
    <t>14,9635181</t>
  </si>
  <si>
    <t>11,2640655</t>
  </si>
  <si>
    <t>14,9634133</t>
  </si>
  <si>
    <t>11,2640873</t>
  </si>
  <si>
    <t>14,9634789</t>
  </si>
  <si>
    <t>11,2640737</t>
  </si>
  <si>
    <t>15,5621662</t>
  </si>
  <si>
    <t>10,0407545</t>
  </si>
  <si>
    <t>15,4975754</t>
  </si>
  <si>
    <t>10,0830801</t>
  </si>
  <si>
    <t>15,4128516</t>
  </si>
  <si>
    <t>10,022232</t>
  </si>
  <si>
    <t>15,4258272</t>
  </si>
  <si>
    <t>10,0017462</t>
  </si>
  <si>
    <t>15,6232593</t>
  </si>
  <si>
    <t>10,0070361</t>
  </si>
  <si>
    <t>15,5980116</t>
  </si>
  <si>
    <t>10,0216273</t>
  </si>
  <si>
    <t>15,4090881</t>
  </si>
  <si>
    <t>10,1349192</t>
  </si>
  <si>
    <t>15,4785925</t>
  </si>
  <si>
    <t>10,1080506</t>
  </si>
  <si>
    <t>15,5795989</t>
  </si>
  <si>
    <t>10,0317234</t>
  </si>
  <si>
    <t>15,2148124</t>
  </si>
  <si>
    <t>10,4740504</t>
  </si>
  <si>
    <t>15,196984</t>
  </si>
  <si>
    <t>10,4984709</t>
  </si>
  <si>
    <t>15,264981</t>
  </si>
  <si>
    <t>10,4185521</t>
  </si>
  <si>
    <t>15,1691253</t>
  </si>
  <si>
    <t>10,5081161</t>
  </si>
  <si>
    <t>15,2279951</t>
  </si>
  <si>
    <t>10,3447982</t>
  </si>
  <si>
    <t>15,2649484</t>
  </si>
  <si>
    <t>10,0576395</t>
  </si>
  <si>
    <t>15,3199535</t>
  </si>
  <si>
    <t>10,1634079</t>
  </si>
  <si>
    <t>15,2582503</t>
  </si>
  <si>
    <t>10,091567</t>
  </si>
  <si>
    <t>15,2551455</t>
  </si>
  <si>
    <t>10,0336489</t>
  </si>
  <si>
    <t>15,2569251</t>
  </si>
  <si>
    <t>10,0529127</t>
  </si>
  <si>
    <t>15,0217941</t>
  </si>
  <si>
    <t>10,6674551</t>
  </si>
  <si>
    <t>15,2233681</t>
  </si>
  <si>
    <t>10,2922083</t>
  </si>
  <si>
    <t>15,1313244</t>
  </si>
  <si>
    <t>10,6649545</t>
  </si>
  <si>
    <t>15,1099288</t>
  </si>
  <si>
    <t>10,7156498</t>
  </si>
  <si>
    <t>15,028204</t>
  </si>
  <si>
    <t>10,6667973</t>
  </si>
  <si>
    <t>15,0232094</t>
  </si>
  <si>
    <t>10,6817795</t>
  </si>
  <si>
    <t>15,0282218</t>
  </si>
  <si>
    <t>10,6667754</t>
  </si>
  <si>
    <t>15,0188194</t>
  </si>
  <si>
    <t>10,6178357</t>
  </si>
  <si>
    <t>15,0155062</t>
  </si>
  <si>
    <t>10,6418769</t>
  </si>
  <si>
    <t>14,8027771</t>
  </si>
  <si>
    <t>10,8583125</t>
  </si>
  <si>
    <t>14,8443795</t>
  </si>
  <si>
    <t>10,8883142</t>
  </si>
  <si>
    <t>14,8283303</t>
  </si>
  <si>
    <t>10,8864028</t>
  </si>
  <si>
    <t>14,8390125</t>
  </si>
  <si>
    <t>10,9052056</t>
  </si>
  <si>
    <t>15,0319841</t>
  </si>
  <si>
    <t>10,8406078</t>
  </si>
  <si>
    <t>15,0281869</t>
  </si>
  <si>
    <t>10,9802923</t>
  </si>
  <si>
    <t>15,292649</t>
  </si>
  <si>
    <t>10,2381682</t>
  </si>
  <si>
    <t>15,2577746</t>
  </si>
  <si>
    <t>10,1531924</t>
  </si>
  <si>
    <t>15,264025</t>
  </si>
  <si>
    <t>10,1793089</t>
  </si>
  <si>
    <t>14,7031735</t>
  </si>
  <si>
    <t>10,1349611</t>
  </si>
  <si>
    <t>14,7084953</t>
  </si>
  <si>
    <t>10,1378192</t>
  </si>
  <si>
    <t>14,7138178</t>
  </si>
  <si>
    <t>10,12889</t>
  </si>
  <si>
    <t>14,7073327</t>
  </si>
  <si>
    <t>10,1316318</t>
  </si>
  <si>
    <t>14,7070663</t>
  </si>
  <si>
    <t>10,1293357</t>
  </si>
  <si>
    <t>14,4354005</t>
  </si>
  <si>
    <t>10,1302972</t>
  </si>
  <si>
    <t>14,4277021</t>
  </si>
  <si>
    <t>10,0710328</t>
  </si>
  <si>
    <t>14,4336721</t>
  </si>
  <si>
    <t>10,2461323</t>
  </si>
  <si>
    <t>14,442592</t>
  </si>
  <si>
    <t>10,112712</t>
  </si>
  <si>
    <t>14,5092262</t>
  </si>
  <si>
    <t>10,1813742</t>
  </si>
  <si>
    <t>14,4210018</t>
  </si>
  <si>
    <t>10,1572699</t>
  </si>
  <si>
    <t>14,4129093</t>
  </si>
  <si>
    <t>10,225577</t>
  </si>
  <si>
    <t>14,2850138</t>
  </si>
  <si>
    <t>10,412624</t>
  </si>
  <si>
    <t>14,4210428</t>
  </si>
  <si>
    <t>10,5134108</t>
  </si>
  <si>
    <t>14,438964</t>
  </si>
  <si>
    <t>10,4052653</t>
  </si>
  <si>
    <t>14,2843173</t>
  </si>
  <si>
    <t>10,4265917</t>
  </si>
  <si>
    <t>14,2761241</t>
  </si>
  <si>
    <t>10,436115</t>
  </si>
  <si>
    <t>14,443995</t>
  </si>
  <si>
    <t>10,1110576</t>
  </si>
  <si>
    <t>14,8568248</t>
  </si>
  <si>
    <t>10,417536</t>
  </si>
  <si>
    <t>14,1905127</t>
  </si>
  <si>
    <t>10,2125097</t>
  </si>
  <si>
    <t>14,2311506</t>
  </si>
  <si>
    <t>10,3542196</t>
  </si>
  <si>
    <t>14,1746736</t>
  </si>
  <si>
    <t>10,210872</t>
  </si>
  <si>
    <t>14,0983823</t>
  </si>
  <si>
    <t>11,2193617</t>
  </si>
  <si>
    <t>14,1162647</t>
  </si>
  <si>
    <t>11,2272449</t>
  </si>
  <si>
    <t>14,1383272</t>
  </si>
  <si>
    <t>11,2365864</t>
  </si>
  <si>
    <t>13,9907573</t>
  </si>
  <si>
    <t>11,1588275</t>
  </si>
  <si>
    <t>14,1191595</t>
  </si>
  <si>
    <t>11,2229569</t>
  </si>
  <si>
    <t>14,1165879</t>
  </si>
  <si>
    <t>11,2201703</t>
  </si>
  <si>
    <t>14,1272622</t>
  </si>
  <si>
    <t>11,2205631</t>
  </si>
  <si>
    <t>14,0446135</t>
  </si>
  <si>
    <t>11,0945502</t>
  </si>
  <si>
    <t>13,918972</t>
  </si>
  <si>
    <t>11,1823229</t>
  </si>
  <si>
    <t>14,0236308</t>
  </si>
  <si>
    <t>11,1563395</t>
  </si>
  <si>
    <t>14,1051996</t>
  </si>
  <si>
    <t>11,2152614</t>
  </si>
  <si>
    <t>14,0850941</t>
  </si>
  <si>
    <t>11,163538</t>
  </si>
  <si>
    <t>14,105513</t>
  </si>
  <si>
    <t>11,2017728</t>
  </si>
  <si>
    <t>14,1048224</t>
  </si>
  <si>
    <t>11,2045447</t>
  </si>
  <si>
    <t>14,1264345</t>
  </si>
  <si>
    <t>11,0575886</t>
  </si>
  <si>
    <t>14,066618</t>
  </si>
  <si>
    <t>10,9843644</t>
  </si>
  <si>
    <t>14,4062563</t>
  </si>
  <si>
    <t>11,3493244</t>
  </si>
  <si>
    <t>14,1505809</t>
  </si>
  <si>
    <t>11,2333221</t>
  </si>
  <si>
    <t>14,1359178</t>
  </si>
  <si>
    <t>11,0457474</t>
  </si>
  <si>
    <t>14,2835732</t>
  </si>
  <si>
    <t>11,0451859</t>
  </si>
  <si>
    <t>14,1708691</t>
  </si>
  <si>
    <t>11,10222</t>
  </si>
  <si>
    <t>14,12249</t>
  </si>
  <si>
    <t>11,047869</t>
  </si>
  <si>
    <t>14,1254351</t>
  </si>
  <si>
    <t>11,0528951</t>
  </si>
  <si>
    <t>14,0880752</t>
  </si>
  <si>
    <t>11,0357685</t>
  </si>
  <si>
    <t>14,0532626</t>
  </si>
  <si>
    <t>10,9753094</t>
  </si>
  <si>
    <t>14,1327853</t>
  </si>
  <si>
    <t>11,0432391</t>
  </si>
  <si>
    <t>14,1325121</t>
  </si>
  <si>
    <t>11,045325</t>
  </si>
  <si>
    <t>14,1334507</t>
  </si>
  <si>
    <t>11,035943</t>
  </si>
  <si>
    <t>14,3220797</t>
  </si>
  <si>
    <t>11,1245093</t>
  </si>
  <si>
    <t>14,1070483</t>
  </si>
  <si>
    <t>11,0860811</t>
  </si>
  <si>
    <t>14,1689696</t>
  </si>
  <si>
    <t>11,2317323</t>
  </si>
  <si>
    <t>14,2324308</t>
  </si>
  <si>
    <t>11,1694706</t>
  </si>
  <si>
    <t>14,2125591</t>
  </si>
  <si>
    <t>11,0461449</t>
  </si>
  <si>
    <t>14,1333824</t>
  </si>
  <si>
    <t>11,0404695</t>
  </si>
  <si>
    <t>14,1519522</t>
  </si>
  <si>
    <t>11,0445404</t>
  </si>
  <si>
    <t>14,1389582</t>
  </si>
  <si>
    <t>11,0509761</t>
  </si>
  <si>
    <t>14,2390142</t>
  </si>
  <si>
    <t>10,98273</t>
  </si>
  <si>
    <t>14,1453248</t>
  </si>
  <si>
    <t>11,0383747</t>
  </si>
  <si>
    <t>14,0950306</t>
  </si>
  <si>
    <t>11,0122116</t>
  </si>
  <si>
    <t>14,1597734</t>
  </si>
  <si>
    <t>11,0382854</t>
  </si>
  <si>
    <t>14,1366051</t>
  </si>
  <si>
    <t>11,0430935</t>
  </si>
  <si>
    <t>14,1382132</t>
  </si>
  <si>
    <t>11,0458553</t>
  </si>
  <si>
    <t>14,1351317</t>
  </si>
  <si>
    <t>11,0374402</t>
  </si>
  <si>
    <t>14,1367212</t>
  </si>
  <si>
    <t>11,0491197</t>
  </si>
  <si>
    <t>14,1348727</t>
  </si>
  <si>
    <t>11,0599156</t>
  </si>
  <si>
    <t>14,1495969</t>
  </si>
  <si>
    <t>11,2408485</t>
  </si>
  <si>
    <t>14,2150093</t>
  </si>
  <si>
    <t>10,8572327</t>
  </si>
  <si>
    <t>14,1356652</t>
  </si>
  <si>
    <t>10,8965007</t>
  </si>
  <si>
    <t>14,1338446</t>
  </si>
  <si>
    <t>10,8528166</t>
  </si>
  <si>
    <t>14,2440022</t>
  </si>
  <si>
    <t>10,8583089</t>
  </si>
  <si>
    <t>14,135733</t>
  </si>
  <si>
    <t>10,8964327</t>
  </si>
  <si>
    <t>14,1801579</t>
  </si>
  <si>
    <t>10,8443412</t>
  </si>
  <si>
    <t>14,2308441</t>
  </si>
  <si>
    <t>10,8637413</t>
  </si>
  <si>
    <t>14,1467512</t>
  </si>
  <si>
    <t>10,8892366</t>
  </si>
  <si>
    <t>14,1434016</t>
  </si>
  <si>
    <t>10,9702072</t>
  </si>
  <si>
    <t>14,2103592</t>
  </si>
  <si>
    <t>10,9311149</t>
  </si>
  <si>
    <t>14,1335384</t>
  </si>
  <si>
    <t>10,8512073</t>
  </si>
  <si>
    <t>14,1497244</t>
  </si>
  <si>
    <t>10,937353</t>
  </si>
  <si>
    <t>14,2278419</t>
  </si>
  <si>
    <t>10,9050922</t>
  </si>
  <si>
    <t>14,14467</t>
  </si>
  <si>
    <t>10,8675177</t>
  </si>
  <si>
    <t>13,4538949</t>
  </si>
  <si>
    <t>10,1432368</t>
  </si>
  <si>
    <t>13,6578897</t>
  </si>
  <si>
    <t>10,295887</t>
  </si>
  <si>
    <t>13,5565631</t>
  </si>
  <si>
    <t>10,3391996</t>
  </si>
  <si>
    <t>13,5085445</t>
  </si>
  <si>
    <t>10,2536306</t>
  </si>
  <si>
    <t>13,5064183</t>
  </si>
  <si>
    <t>10,1625699</t>
  </si>
  <si>
    <t>13,8345925</t>
  </si>
  <si>
    <t>10,2913432</t>
  </si>
  <si>
    <t>13,8568501</t>
  </si>
  <si>
    <t>10,2955447</t>
  </si>
  <si>
    <t>13,770938</t>
  </si>
  <si>
    <t>10,4162258</t>
  </si>
  <si>
    <t>13,8498591</t>
  </si>
  <si>
    <t>10,3685121</t>
  </si>
  <si>
    <t>13,8881667</t>
  </si>
  <si>
    <t>10,3945847</t>
  </si>
  <si>
    <t>13,9087928</t>
  </si>
  <si>
    <t>10,2491991</t>
  </si>
  <si>
    <t>13,9560258</t>
  </si>
  <si>
    <t>10,8988758</t>
  </si>
  <si>
    <t>13,8626158</t>
  </si>
  <si>
    <t>10,8686278</t>
  </si>
  <si>
    <t>13,8596971</t>
  </si>
  <si>
    <t>10,8356522</t>
  </si>
  <si>
    <t>13,888579</t>
  </si>
  <si>
    <t>10,8675517</t>
  </si>
  <si>
    <t>13,8787232</t>
  </si>
  <si>
    <t>10,8591728</t>
  </si>
  <si>
    <t>13,9479908</t>
  </si>
  <si>
    <t>10,9555698</t>
  </si>
  <si>
    <t>13,9400096</t>
  </si>
  <si>
    <t>10,9136984</t>
  </si>
  <si>
    <t>13,9030832</t>
  </si>
  <si>
    <t>10,871034</t>
  </si>
  <si>
    <t>13,8986159</t>
  </si>
  <si>
    <t>10,9485305</t>
  </si>
  <si>
    <t>13,815662</t>
  </si>
  <si>
    <t>10,8595783</t>
  </si>
  <si>
    <t>13,8364924</t>
  </si>
  <si>
    <t>10,8145372</t>
  </si>
  <si>
    <t>13,821778</t>
  </si>
  <si>
    <t>10,8630631</t>
  </si>
  <si>
    <t>13,909576</t>
  </si>
  <si>
    <t>10,8786875</t>
  </si>
  <si>
    <t>13,8710775</t>
  </si>
  <si>
    <t>10,8694701</t>
  </si>
  <si>
    <t>13,8796829</t>
  </si>
  <si>
    <t>10,8691132</t>
  </si>
  <si>
    <t>14,0040638</t>
  </si>
  <si>
    <t>10,8860827</t>
  </si>
  <si>
    <t>13,8300876</t>
  </si>
  <si>
    <t>10,8227765</t>
  </si>
  <si>
    <t>13,8736171</t>
  </si>
  <si>
    <t>10,8824546</t>
  </si>
  <si>
    <t>13,8761981</t>
  </si>
  <si>
    <t>10,8702595</t>
  </si>
  <si>
    <t>13,9023557</t>
  </si>
  <si>
    <t>10,8530532</t>
  </si>
  <si>
    <t>13,8806433</t>
  </si>
  <si>
    <t>10,8671952</t>
  </si>
  <si>
    <t>13,9162493</t>
  </si>
  <si>
    <t>10,9010227</t>
  </si>
  <si>
    <t>13,8996989</t>
  </si>
  <si>
    <t>10,8317586</t>
  </si>
  <si>
    <t>13,807599</t>
  </si>
  <si>
    <t>10,8699609</t>
  </si>
  <si>
    <t>13,9049335</t>
  </si>
  <si>
    <t>10,937692</t>
  </si>
  <si>
    <t>13,8360258</t>
  </si>
  <si>
    <t>10,8655058</t>
  </si>
  <si>
    <t>13,9243319</t>
  </si>
  <si>
    <t>10,8519437</t>
  </si>
  <si>
    <t>13,8494783</t>
  </si>
  <si>
    <t>10,8842246</t>
  </si>
  <si>
    <t>13,9312654</t>
  </si>
  <si>
    <t>10,9330825</t>
  </si>
  <si>
    <t>13,8885024</t>
  </si>
  <si>
    <t>10,8698667</t>
  </si>
  <si>
    <t>13,9439125</t>
  </si>
  <si>
    <t>10,9000889</t>
  </si>
  <si>
    <t>13,8836656</t>
  </si>
  <si>
    <t>10,8700574</t>
  </si>
  <si>
    <t>13,8598545</t>
  </si>
  <si>
    <t>10,8713383</t>
  </si>
  <si>
    <t>13,9676029</t>
  </si>
  <si>
    <t>10,9133942</t>
  </si>
  <si>
    <t>13,9000733</t>
  </si>
  <si>
    <t>10,9171519</t>
  </si>
  <si>
    <t>13,5763452</t>
  </si>
  <si>
    <t>10,5600118</t>
  </si>
  <si>
    <t>13,6294256</t>
  </si>
  <si>
    <t>10,7111392</t>
  </si>
  <si>
    <t>13,6101659</t>
  </si>
  <si>
    <t>10,454805</t>
  </si>
  <si>
    <t>13,7617981</t>
  </si>
  <si>
    <t>10,5842838</t>
  </si>
  <si>
    <t>13,6210489</t>
  </si>
  <si>
    <t>10,6669422</t>
  </si>
  <si>
    <t>13,5682422</t>
  </si>
  <si>
    <t>10,6069476</t>
  </si>
  <si>
    <t>13,7842026</t>
  </si>
  <si>
    <t>10,5411909</t>
  </si>
  <si>
    <t>13,6750203</t>
  </si>
  <si>
    <t>10,5888266</t>
  </si>
  <si>
    <t>13,5895903</t>
  </si>
  <si>
    <t>10,5174599</t>
  </si>
  <si>
    <t>13,5971056</t>
  </si>
  <si>
    <t>10,6895293</t>
  </si>
  <si>
    <t>13,6638737</t>
  </si>
  <si>
    <t>10,5673701</t>
  </si>
  <si>
    <t>13,6102553</t>
  </si>
  <si>
    <t>10,5946577</t>
  </si>
  <si>
    <t>13,6405617</t>
  </si>
  <si>
    <t>10,6483955</t>
  </si>
  <si>
    <t>13,5889003</t>
  </si>
  <si>
    <t>10,6403043</t>
  </si>
  <si>
    <t>14,1320003</t>
  </si>
  <si>
    <t>10,5358311</t>
  </si>
  <si>
    <t>13,7990843</t>
  </si>
  <si>
    <t>10,7445398</t>
  </si>
  <si>
    <t>13,8199936</t>
  </si>
  <si>
    <t>10,7293961</t>
  </si>
  <si>
    <t>13,788038</t>
  </si>
  <si>
    <t>10,474923</t>
  </si>
  <si>
    <t>13,8002526</t>
  </si>
  <si>
    <t>10,7332971</t>
  </si>
  <si>
    <t>13,8307038</t>
  </si>
  <si>
    <t>10,506979</t>
  </si>
  <si>
    <t>13,6952267</t>
  </si>
  <si>
    <t>10,6835678</t>
  </si>
  <si>
    <t>13,7798232</t>
  </si>
  <si>
    <t>10,963351</t>
  </si>
  <si>
    <t>13,6528067</t>
  </si>
  <si>
    <t>10,7178097</t>
  </si>
  <si>
    <t>13,7909278</t>
  </si>
  <si>
    <t>10,7326796</t>
  </si>
  <si>
    <t>13,8008569</t>
  </si>
  <si>
    <t>10,740969</t>
  </si>
  <si>
    <t>13,7032362</t>
  </si>
  <si>
    <t>10,8284727</t>
  </si>
  <si>
    <t>13,7618896</t>
  </si>
  <si>
    <t>10,8221555</t>
  </si>
  <si>
    <t>13,8200145</t>
  </si>
  <si>
    <t>10,740852</t>
  </si>
  <si>
    <t>13,7470074</t>
  </si>
  <si>
    <t>10,7513606</t>
  </si>
  <si>
    <t>13,6613129</t>
  </si>
  <si>
    <t>10,8014466</t>
  </si>
  <si>
    <t>13,7998834</t>
  </si>
  <si>
    <t>10,7458856</t>
  </si>
  <si>
    <t>14,0087853</t>
  </si>
  <si>
    <t>10,5873877</t>
  </si>
  <si>
    <t>13,8008336</t>
  </si>
  <si>
    <t>10,7380067</t>
  </si>
  <si>
    <t>13,8012661</t>
  </si>
  <si>
    <t>10,7379629</t>
  </si>
  <si>
    <t>13,7856766</t>
  </si>
  <si>
    <t>10,7430417</t>
  </si>
  <si>
    <t>13,7739422</t>
  </si>
  <si>
    <t>10,738782</t>
  </si>
  <si>
    <t>13,7933279</t>
  </si>
  <si>
    <t>10,7415476</t>
  </si>
  <si>
    <t>13,8000149</t>
  </si>
  <si>
    <t>10,7403835</t>
  </si>
  <si>
    <t>13,8010597</t>
  </si>
  <si>
    <t>10,7418542</t>
  </si>
  <si>
    <t>13,7338792</t>
  </si>
  <si>
    <t>10,9482003</t>
  </si>
  <si>
    <t>13,7301406</t>
  </si>
  <si>
    <t>10,9206171</t>
  </si>
  <si>
    <t>13,6877322</t>
  </si>
  <si>
    <t>10,798845</t>
  </si>
  <si>
    <t>13,6794514</t>
  </si>
  <si>
    <t>10,7721371</t>
  </si>
  <si>
    <t>13,903645</t>
  </si>
  <si>
    <t>10,6380137</t>
  </si>
  <si>
    <t>13,8274019</t>
  </si>
  <si>
    <t>10,7143413</t>
  </si>
  <si>
    <t>14,362422</t>
  </si>
  <si>
    <t>10,6108679</t>
  </si>
  <si>
    <t>13,7944725</t>
  </si>
  <si>
    <t>10,9891106</t>
  </si>
  <si>
    <t>13,9000301</t>
  </si>
  <si>
    <t>10,9599215</t>
  </si>
  <si>
    <t>13,8303196</t>
  </si>
  <si>
    <t>10,9514447</t>
  </si>
  <si>
    <t>13,9495673</t>
  </si>
  <si>
    <t>10,9836659</t>
  </si>
  <si>
    <t>13,9468022</t>
  </si>
  <si>
    <t>11,0305636</t>
  </si>
  <si>
    <t>13,8822572</t>
  </si>
  <si>
    <t>10,9546262</t>
  </si>
  <si>
    <t>13,7948839</t>
  </si>
  <si>
    <t>10,9786333</t>
  </si>
  <si>
    <t>13,924216</t>
  </si>
  <si>
    <t>10,9398157</t>
  </si>
  <si>
    <t>13,9445667</t>
  </si>
  <si>
    <t>11,0187934</t>
  </si>
  <si>
    <t>13,7991233</t>
  </si>
  <si>
    <t>11,0048854</t>
  </si>
  <si>
    <t>13,949114</t>
  </si>
  <si>
    <t>11,003657</t>
  </si>
  <si>
    <t>13,8724572</t>
  </si>
  <si>
    <t>10,9532507</t>
  </si>
  <si>
    <t>13,8312397</t>
  </si>
  <si>
    <t>10,9150777</t>
  </si>
  <si>
    <t>13,9087303</t>
  </si>
  <si>
    <t>10,9396972</t>
  </si>
  <si>
    <t>13,8519687</t>
  </si>
  <si>
    <t>10,9349693</t>
  </si>
  <si>
    <t>13,8632986</t>
  </si>
  <si>
    <t>10,9459336</t>
  </si>
  <si>
    <t>13,9056832</t>
  </si>
  <si>
    <t>10,958951</t>
  </si>
  <si>
    <t>13,9063814</t>
  </si>
  <si>
    <t>10,966104</t>
  </si>
  <si>
    <t>13,8988556</t>
  </si>
  <si>
    <t>10,9630977</t>
  </si>
  <si>
    <t>13,93999</t>
  </si>
  <si>
    <t>10,9963484</t>
  </si>
  <si>
    <t>13,8431212</t>
  </si>
  <si>
    <t>10,9218345</t>
  </si>
  <si>
    <t>13,8757294</t>
  </si>
  <si>
    <t>10,9554242</t>
  </si>
  <si>
    <t>13,80134</t>
  </si>
  <si>
    <t>10,9454736</t>
  </si>
  <si>
    <t>13,9075455</t>
  </si>
  <si>
    <t>10,9740185</t>
  </si>
  <si>
    <t>13,7963391</t>
  </si>
  <si>
    <t>10,9931602</t>
  </si>
  <si>
    <t>13,9014328</t>
  </si>
  <si>
    <t>10,7575197</t>
  </si>
  <si>
    <t>13,8235656</t>
  </si>
  <si>
    <t>10,7284154</t>
  </si>
  <si>
    <t>13,8255782</t>
  </si>
  <si>
    <t>10,7270628</t>
  </si>
  <si>
    <t>13,8799374</t>
  </si>
  <si>
    <t>10,6528399</t>
  </si>
  <si>
    <t>13,8931437</t>
  </si>
  <si>
    <t>10,7575949</t>
  </si>
  <si>
    <t>13,9140523</t>
  </si>
  <si>
    <t>10,7625105</t>
  </si>
  <si>
    <t>13,9890501</t>
  </si>
  <si>
    <t>10,7774307</t>
  </si>
  <si>
    <t>13,9128977</t>
  </si>
  <si>
    <t>10,7563478</t>
  </si>
  <si>
    <t>4,5</t>
  </si>
  <si>
    <t>3,5</t>
  </si>
  <si>
    <t>5,5</t>
  </si>
  <si>
    <t>6,5</t>
  </si>
  <si>
    <t>2,5</t>
  </si>
  <si>
    <t>8,5</t>
  </si>
  <si>
    <t>9,5</t>
  </si>
  <si>
    <t>12,5</t>
  </si>
  <si>
    <t>7,5</t>
  </si>
  <si>
    <t>20,5</t>
  </si>
  <si>
    <t>11</t>
  </si>
  <si>
    <t>36,5</t>
  </si>
  <si>
    <t>15,5</t>
  </si>
  <si>
    <t>19</t>
  </si>
  <si>
    <t>54</t>
  </si>
  <si>
    <t>14,5</t>
  </si>
  <si>
    <t>16</t>
  </si>
  <si>
    <t>40</t>
  </si>
  <si>
    <t>batiments</t>
  </si>
  <si>
    <t>Maisons  à louer</t>
  </si>
  <si>
    <t>2</t>
  </si>
  <si>
    <t>26,5</t>
  </si>
  <si>
    <t>17</t>
  </si>
  <si>
    <t>22</t>
  </si>
  <si>
    <t>43,5</t>
  </si>
  <si>
    <t>Janv-Oct 2017</t>
  </si>
  <si>
    <t>Jan-Oct 2017</t>
  </si>
  <si>
    <t>Oct-Dec 2017</t>
  </si>
  <si>
    <t>Kouloubia  (mora )</t>
  </si>
  <si>
    <t>Bidiene, golmo arabe, haïgayo , madaick, magadi 1, magadi 2, makambara, warou, fotokol</t>
  </si>
  <si>
    <t>Hile-alifa et makary</t>
  </si>
  <si>
    <t>Arrondissement de blangoua</t>
  </si>
  <si>
    <t>Il y a la création d'un poste d'armes nationale dans le village</t>
  </si>
  <si>
    <t>Camp mblame ,BIAMO, kousseri, dole afadé</t>
  </si>
  <si>
    <t>Un nouveau né</t>
  </si>
  <si>
    <t>Inconnu</t>
  </si>
  <si>
    <t>Mora  MEME et un peu  partout  dans  le  pays</t>
  </si>
  <si>
    <t>Le coût  de la vie  et surtout  quand  on est  pas  chez  soit avec  un passé  pareil</t>
  </si>
  <si>
    <t>ILS sont presque   dans les 10 régions  du pays</t>
  </si>
  <si>
    <t>Le retour  du calme  et les travaux champêtres</t>
  </si>
  <si>
    <t>CE, LT ,EN ,AD, etc</t>
  </si>
  <si>
    <t>Walade3, pouche, et fike1</t>
  </si>
  <si>
    <t>Mora,maroua,Bertoua, garoua</t>
  </si>
  <si>
    <t>Venant de Jaja et Igagoua1</t>
  </si>
  <si>
    <t>Préfère vivre dans son pays et plus précisément dans son village  natal là où il est en sécurité .</t>
  </si>
  <si>
    <t>Madagalie  (kodide)</t>
  </si>
  <si>
    <t>Mildou, un village de Madagali</t>
  </si>
  <si>
    <t>recherche du bien être</t>
  </si>
  <si>
    <t>Poli mokolo koza</t>
  </si>
  <si>
    <t>Round 12 (Nov 2017)</t>
  </si>
  <si>
    <t>Directly from abroad</t>
  </si>
  <si>
    <t>Round 12</t>
  </si>
  <si>
    <t>Variation 12 - 11</t>
  </si>
  <si>
    <t>Rd12</t>
  </si>
  <si>
    <t>Difference (Rd12-Rd11)</t>
  </si>
  <si>
    <t>Evolution f(R11)</t>
  </si>
  <si>
    <t>Non assistance en abris, besoin de regagner leur village pour la peche</t>
  </si>
  <si>
    <t>Actual_Ind</t>
  </si>
  <si>
    <t>Previous_ind</t>
  </si>
  <si>
    <t>Variation sur base fixe du round Precedent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</si>
</sst>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MS Sans Serif"/>
      <family val="2"/>
    </font>
    <font>
      <sz val="9"/>
      <color theme="1"/>
      <name val="Gill Sans MT"/>
      <family val="2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39A6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10A6"/>
      <name val="Calibri"/>
      <family val="2"/>
      <scheme val="minor"/>
    </font>
    <font>
      <b/>
      <sz val="12"/>
      <color rgb="FF0010A6"/>
      <name val="Calibri"/>
      <family val="2"/>
      <scheme val="minor"/>
    </font>
    <font>
      <b/>
      <sz val="11"/>
      <color rgb="FF023F94"/>
      <name val="Calibri"/>
      <family val="2"/>
      <scheme val="minor"/>
    </font>
    <font>
      <sz val="11"/>
      <color rgb="FF0039A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FFFF"/>
      <name val="Calibri Light"/>
      <family val="2"/>
    </font>
    <font>
      <b/>
      <sz val="11"/>
      <color rgb="FFFFFFFF"/>
      <name val="Calibri Light"/>
      <family val="2"/>
    </font>
    <font>
      <sz val="8"/>
      <color rgb="FF000000"/>
      <name val="Calibri"/>
      <family val="2"/>
      <scheme val="minor"/>
    </font>
    <font>
      <sz val="10"/>
      <color rgb="FF000000"/>
      <name val="Calibri Light"/>
      <family val="2"/>
    </font>
    <font>
      <sz val="11"/>
      <color rgb="FF000000"/>
      <name val="Calibri Light"/>
      <family val="2"/>
    </font>
    <font>
      <b/>
      <sz val="11"/>
      <color rgb="FF000000"/>
      <name val="Calibri"/>
      <family val="2"/>
      <scheme val="minor"/>
    </font>
    <font>
      <b/>
      <sz val="14"/>
      <color rgb="FF023F94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0"/>
      <color theme="0"/>
      <name val="Calibri Light"/>
      <family val="2"/>
    </font>
    <font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39A6"/>
        <bgColor indexed="64"/>
      </patternFill>
    </fill>
    <fill>
      <patternFill patternType="solid">
        <fgColor rgb="FF6E99D4"/>
        <bgColor indexed="64"/>
      </patternFill>
    </fill>
    <fill>
      <patternFill patternType="solid">
        <fgColor rgb="FF023F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4FC"/>
        <bgColor indexed="64"/>
      </patternFill>
    </fill>
    <fill>
      <patternFill patternType="solid">
        <fgColor rgb="FF0039A6"/>
        <bgColor auto="1"/>
      </patternFill>
    </fill>
    <fill>
      <patternFill patternType="solid">
        <fgColor rgb="FFFFFFFF"/>
        <bgColor indexed="64"/>
      </patternFill>
    </fill>
    <fill>
      <patternFill patternType="solid">
        <fgColor rgb="FF074FB1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39A6"/>
      </left>
      <right style="medium">
        <color rgb="FF0039A6"/>
      </right>
      <top style="medium">
        <color rgb="FF0039A6"/>
      </top>
      <bottom style="medium">
        <color rgb="FF0039A6"/>
      </bottom>
      <diagonal/>
    </border>
    <border>
      <left style="medium">
        <color rgb="FF0039A6"/>
      </left>
      <right/>
      <top style="medium">
        <color rgb="FF0039A6"/>
      </top>
      <bottom style="medium">
        <color rgb="FF0039A6"/>
      </bottom>
      <diagonal/>
    </border>
    <border>
      <left/>
      <right style="medium">
        <color rgb="FF0039A6"/>
      </right>
      <top style="medium">
        <color rgb="FF0039A6"/>
      </top>
      <bottom style="medium">
        <color rgb="FF0039A6"/>
      </bottom>
      <diagonal/>
    </border>
    <border>
      <left style="medium">
        <color rgb="FF0039A6"/>
      </left>
      <right style="medium">
        <color rgb="FF0039A6"/>
      </right>
      <top style="medium">
        <color rgb="FF0039A6"/>
      </top>
      <bottom/>
      <diagonal/>
    </border>
    <border>
      <left style="medium">
        <color rgb="FF0039A6"/>
      </left>
      <right style="medium">
        <color rgb="FF0039A6"/>
      </right>
      <top/>
      <bottom style="medium">
        <color rgb="FF0039A6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/>
      <top/>
      <bottom style="medium">
        <color rgb="FF95B3D7"/>
      </bottom>
      <diagonal/>
    </border>
    <border>
      <left/>
      <right/>
      <top style="medium">
        <color rgb="FF95B3D7"/>
      </top>
      <bottom/>
      <diagonal/>
    </border>
    <border>
      <left style="thin">
        <color rgb="FF023F94"/>
      </left>
      <right style="thin">
        <color rgb="FF023F94"/>
      </right>
      <top style="thin">
        <color rgb="FF023F94"/>
      </top>
      <bottom style="thin">
        <color rgb="FF023F94"/>
      </bottom>
      <diagonal/>
    </border>
    <border>
      <left/>
      <right/>
      <top/>
      <bottom style="medium">
        <color theme="0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5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43" fontId="1" fillId="0" borderId="0" applyFont="0" applyFill="0" applyBorder="0" applyAlignment="0" applyProtection="0"/>
  </cellStyleXfs>
  <cellXfs count="423">
    <xf numFmtId="0" fontId="0" fillId="0" borderId="0" xfId="0"/>
    <xf numFmtId="0" fontId="0" fillId="0" borderId="0" xfId="0" quotePrefix="1" applyNumberFormat="1" applyAlignment="1"/>
    <xf numFmtId="0" fontId="0" fillId="0" borderId="0" xfId="0" applyNumberFormat="1" applyAlignment="1"/>
    <xf numFmtId="0" fontId="3" fillId="2" borderId="1" xfId="0" applyFont="1" applyFill="1" applyBorder="1"/>
    <xf numFmtId="0" fontId="3" fillId="0" borderId="0" xfId="0" applyFont="1" applyFill="1" applyBorder="1"/>
    <xf numFmtId="0" fontId="0" fillId="0" borderId="0" xfId="0"/>
    <xf numFmtId="0" fontId="0" fillId="0" borderId="0" xfId="0" applyAlignment="1">
      <alignment horizontal="left"/>
    </xf>
    <xf numFmtId="0" fontId="2" fillId="3" borderId="32" xfId="0" applyFont="1" applyFill="1" applyBorder="1" applyAlignment="1">
      <alignment horizontal="center"/>
    </xf>
    <xf numFmtId="3" fontId="2" fillId="3" borderId="32" xfId="0" applyNumberFormat="1" applyFont="1" applyFill="1" applyBorder="1" applyAlignment="1">
      <alignment horizontal="center"/>
    </xf>
    <xf numFmtId="0" fontId="0" fillId="0" borderId="0" xfId="0" applyFill="1" applyBorder="1"/>
    <xf numFmtId="0" fontId="10" fillId="0" borderId="32" xfId="0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/>
    </xf>
    <xf numFmtId="0" fontId="2" fillId="3" borderId="0" xfId="0" applyFont="1" applyFill="1" applyBorder="1"/>
    <xf numFmtId="0" fontId="2" fillId="3" borderId="27" xfId="0" applyFont="1" applyFill="1" applyBorder="1"/>
    <xf numFmtId="0" fontId="2" fillId="3" borderId="28" xfId="0" applyFont="1" applyFill="1" applyBorder="1"/>
    <xf numFmtId="0" fontId="2" fillId="3" borderId="11" xfId="0" applyFont="1" applyFill="1" applyBorder="1"/>
    <xf numFmtId="0" fontId="2" fillId="3" borderId="29" xfId="0" applyFont="1" applyFill="1" applyBorder="1"/>
    <xf numFmtId="3" fontId="2" fillId="3" borderId="11" xfId="0" applyNumberFormat="1" applyFont="1" applyFill="1" applyBorder="1"/>
    <xf numFmtId="3" fontId="2" fillId="3" borderId="29" xfId="0" applyNumberFormat="1" applyFont="1" applyFill="1" applyBorder="1"/>
    <xf numFmtId="10" fontId="2" fillId="3" borderId="32" xfId="0" applyNumberFormat="1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7" fillId="3" borderId="19" xfId="0" applyFont="1" applyFill="1" applyBorder="1"/>
    <xf numFmtId="0" fontId="7" fillId="3" borderId="28" xfId="0" applyFont="1" applyFill="1" applyBorder="1"/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quotePrefix="1" applyNumberFormat="1" applyAlignment="1">
      <alignment horizontal="center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/>
    </xf>
    <xf numFmtId="3" fontId="2" fillId="3" borderId="0" xfId="0" applyNumberFormat="1" applyFont="1" applyFill="1" applyBorder="1"/>
    <xf numFmtId="3" fontId="2" fillId="3" borderId="27" xfId="0" applyNumberFormat="1" applyFont="1" applyFill="1" applyBorder="1"/>
    <xf numFmtId="3" fontId="7" fillId="3" borderId="11" xfId="0" applyNumberFormat="1" applyFont="1" applyFill="1" applyBorder="1"/>
    <xf numFmtId="3" fontId="7" fillId="3" borderId="29" xfId="0" applyNumberFormat="1" applyFont="1" applyFill="1" applyBorder="1"/>
    <xf numFmtId="3" fontId="2" fillId="3" borderId="10" xfId="0" applyNumberFormat="1" applyFont="1" applyFill="1" applyBorder="1"/>
    <xf numFmtId="3" fontId="0" fillId="0" borderId="0" xfId="0" applyNumberFormat="1" applyFill="1" applyBorder="1"/>
    <xf numFmtId="9" fontId="2" fillId="3" borderId="32" xfId="1" applyFont="1" applyFill="1" applyBorder="1" applyAlignment="1">
      <alignment horizontal="center"/>
    </xf>
    <xf numFmtId="10" fontId="2" fillId="3" borderId="32" xfId="1" applyNumberFormat="1" applyFont="1" applyFill="1" applyBorder="1" applyAlignment="1">
      <alignment horizontal="center"/>
    </xf>
    <xf numFmtId="0" fontId="2" fillId="3" borderId="26" xfId="0" applyFont="1" applyFill="1" applyBorder="1" applyAlignment="1">
      <alignment horizontal="center" vertical="center"/>
    </xf>
    <xf numFmtId="0" fontId="7" fillId="0" borderId="0" xfId="0" applyFont="1" applyFill="1" applyBorder="1"/>
    <xf numFmtId="9" fontId="0" fillId="0" borderId="0" xfId="0" applyNumberFormat="1" applyFill="1" applyBorder="1"/>
    <xf numFmtId="0" fontId="7" fillId="0" borderId="0" xfId="0" applyFont="1" applyFill="1" applyBorder="1" applyAlignment="1">
      <alignment horizontal="left"/>
    </xf>
    <xf numFmtId="3" fontId="7" fillId="0" borderId="0" xfId="0" applyNumberFormat="1" applyFont="1" applyFill="1" applyBorder="1"/>
    <xf numFmtId="9" fontId="7" fillId="0" borderId="0" xfId="0" applyNumberFormat="1" applyFont="1" applyFill="1" applyBorder="1"/>
    <xf numFmtId="0" fontId="2" fillId="0" borderId="0" xfId="0" applyFont="1" applyFill="1" applyBorder="1"/>
    <xf numFmtId="0" fontId="0" fillId="0" borderId="0" xfId="0" applyFill="1" applyBorder="1" applyAlignment="1">
      <alignment horizontal="left" vertical="center"/>
    </xf>
    <xf numFmtId="9" fontId="0" fillId="0" borderId="0" xfId="1" applyFont="1" applyFill="1" applyBorder="1"/>
    <xf numFmtId="0" fontId="7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/>
    </xf>
    <xf numFmtId="3" fontId="12" fillId="0" borderId="0" xfId="0" applyNumberFormat="1" applyFont="1" applyFill="1" applyBorder="1"/>
    <xf numFmtId="9" fontId="12" fillId="0" borderId="0" xfId="0" applyNumberFormat="1" applyFont="1" applyFill="1" applyBorder="1"/>
    <xf numFmtId="9" fontId="12" fillId="0" borderId="0" xfId="1" applyFont="1" applyFill="1" applyBorder="1"/>
    <xf numFmtId="0" fontId="2" fillId="0" borderId="0" xfId="0" applyFont="1" applyFill="1" applyBorder="1" applyAlignment="1">
      <alignment horizontal="left"/>
    </xf>
    <xf numFmtId="3" fontId="2" fillId="0" borderId="0" xfId="0" applyNumberFormat="1" applyFont="1" applyFill="1" applyBorder="1"/>
    <xf numFmtId="9" fontId="2" fillId="0" borderId="0" xfId="0" applyNumberFormat="1" applyFont="1" applyFill="1" applyBorder="1"/>
    <xf numFmtId="9" fontId="2" fillId="0" borderId="0" xfId="1" applyFont="1" applyFill="1" applyBorder="1"/>
    <xf numFmtId="0" fontId="7" fillId="0" borderId="0" xfId="0" applyFont="1" applyFill="1" applyBorder="1" applyAlignment="1">
      <alignment horizontal="center" vertical="center"/>
    </xf>
    <xf numFmtId="0" fontId="1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9" fontId="0" fillId="0" borderId="0" xfId="1" applyFont="1" applyFill="1" applyBorder="1" applyAlignment="1">
      <alignment vertical="center"/>
    </xf>
    <xf numFmtId="9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9" fontId="0" fillId="0" borderId="0" xfId="1" applyNumberFormat="1" applyFont="1" applyFill="1" applyBorder="1" applyAlignment="1">
      <alignment vertical="center"/>
    </xf>
    <xf numFmtId="3" fontId="7" fillId="3" borderId="0" xfId="0" applyNumberFormat="1" applyFont="1" applyFill="1" applyBorder="1"/>
    <xf numFmtId="9" fontId="1" fillId="0" borderId="0" xfId="1" applyNumberFormat="1" applyFont="1" applyFill="1" applyBorder="1"/>
    <xf numFmtId="10" fontId="1" fillId="0" borderId="0" xfId="1" applyNumberFormat="1" applyFont="1" applyFill="1" applyBorder="1"/>
    <xf numFmtId="9" fontId="7" fillId="0" borderId="0" xfId="1" applyNumberFormat="1" applyFont="1" applyFill="1" applyBorder="1"/>
    <xf numFmtId="9" fontId="7" fillId="0" borderId="0" xfId="1" applyFont="1" applyFill="1" applyBorder="1"/>
    <xf numFmtId="3" fontId="12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vertical="center"/>
    </xf>
    <xf numFmtId="0" fontId="0" fillId="0" borderId="0" xfId="0" applyNumberForma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3" fontId="0" fillId="0" borderId="0" xfId="1" applyNumberFormat="1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10" fontId="12" fillId="0" borderId="0" xfId="0" applyNumberFormat="1" applyFont="1" applyFill="1" applyBorder="1"/>
    <xf numFmtId="0" fontId="3" fillId="0" borderId="9" xfId="0" applyFont="1" applyFill="1" applyBorder="1"/>
    <xf numFmtId="3" fontId="0" fillId="4" borderId="9" xfId="0" applyNumberFormat="1" applyFill="1" applyBorder="1"/>
    <xf numFmtId="3" fontId="17" fillId="0" borderId="0" xfId="0" applyNumberFormat="1" applyFont="1" applyFill="1" applyBorder="1"/>
    <xf numFmtId="3" fontId="18" fillId="0" borderId="0" xfId="0" applyNumberFormat="1" applyFont="1" applyFill="1" applyBorder="1"/>
    <xf numFmtId="9" fontId="17" fillId="0" borderId="0" xfId="0" applyNumberFormat="1" applyFont="1" applyFill="1" applyBorder="1"/>
    <xf numFmtId="9" fontId="12" fillId="0" borderId="0" xfId="1" applyNumberFormat="1" applyFont="1" applyFill="1" applyBorder="1" applyAlignment="1">
      <alignment vertical="center"/>
    </xf>
    <xf numFmtId="9" fontId="0" fillId="0" borderId="0" xfId="1" applyNumberFormat="1" applyFont="1" applyFill="1" applyBorder="1"/>
    <xf numFmtId="3" fontId="2" fillId="3" borderId="26" xfId="0" applyNumberFormat="1" applyFont="1" applyFill="1" applyBorder="1"/>
    <xf numFmtId="3" fontId="2" fillId="3" borderId="28" xfId="0" applyNumberFormat="1" applyFont="1" applyFill="1" applyBorder="1"/>
    <xf numFmtId="10" fontId="0" fillId="0" borderId="0" xfId="0" applyNumberFormat="1" applyFill="1" applyBorder="1" applyAlignment="1">
      <alignment vertical="center"/>
    </xf>
    <xf numFmtId="0" fontId="0" fillId="0" borderId="9" xfId="0" applyFill="1" applyBorder="1" applyAlignment="1">
      <alignment horizontal="left"/>
    </xf>
    <xf numFmtId="0" fontId="0" fillId="0" borderId="10" xfId="0" applyFill="1" applyBorder="1"/>
    <xf numFmtId="0" fontId="0" fillId="0" borderId="9" xfId="0" applyFill="1" applyBorder="1"/>
    <xf numFmtId="3" fontId="0" fillId="0" borderId="10" xfId="0" applyNumberFormat="1" applyFill="1" applyBorder="1"/>
    <xf numFmtId="3" fontId="0" fillId="0" borderId="19" xfId="0" applyNumberFormat="1" applyFill="1" applyBorder="1"/>
    <xf numFmtId="3" fontId="0" fillId="0" borderId="20" xfId="0" applyNumberFormat="1" applyFill="1" applyBorder="1"/>
    <xf numFmtId="10" fontId="0" fillId="0" borderId="0" xfId="1" applyNumberFormat="1" applyFont="1" applyFill="1" applyBorder="1"/>
    <xf numFmtId="0" fontId="0" fillId="6" borderId="0" xfId="0" applyFill="1"/>
    <xf numFmtId="0" fontId="0" fillId="6" borderId="9" xfId="0" applyFill="1" applyBorder="1"/>
    <xf numFmtId="0" fontId="0" fillId="6" borderId="0" xfId="0" applyFill="1" applyBorder="1"/>
    <xf numFmtId="0" fontId="0" fillId="6" borderId="10" xfId="0" applyFill="1" applyBorder="1"/>
    <xf numFmtId="0" fontId="7" fillId="6" borderId="0" xfId="0" applyFont="1" applyFill="1" applyBorder="1"/>
    <xf numFmtId="3" fontId="0" fillId="6" borderId="0" xfId="0" applyNumberFormat="1" applyFill="1" applyBorder="1"/>
    <xf numFmtId="9" fontId="0" fillId="6" borderId="0" xfId="1" applyNumberFormat="1" applyFont="1" applyFill="1" applyBorder="1"/>
    <xf numFmtId="10" fontId="0" fillId="6" borderId="0" xfId="1" applyNumberFormat="1" applyFont="1" applyFill="1" applyBorder="1"/>
    <xf numFmtId="9" fontId="0" fillId="6" borderId="0" xfId="1" applyFont="1" applyFill="1" applyBorder="1"/>
    <xf numFmtId="0" fontId="11" fillId="6" borderId="0" xfId="0" applyFont="1" applyFill="1" applyBorder="1"/>
    <xf numFmtId="0" fontId="0" fillId="6" borderId="18" xfId="0" applyFill="1" applyBorder="1"/>
    <xf numFmtId="0" fontId="0" fillId="6" borderId="19" xfId="0" applyFill="1" applyBorder="1"/>
    <xf numFmtId="0" fontId="0" fillId="6" borderId="20" xfId="0" applyFill="1" applyBorder="1"/>
    <xf numFmtId="0" fontId="0" fillId="6" borderId="7" xfId="0" applyFill="1" applyBorder="1"/>
    <xf numFmtId="0" fontId="0" fillId="6" borderId="8" xfId="0" applyFill="1" applyBorder="1"/>
    <xf numFmtId="0" fontId="14" fillId="6" borderId="9" xfId="0" applyFont="1" applyFill="1" applyBorder="1" applyAlignment="1">
      <alignment horizontal="center"/>
    </xf>
    <xf numFmtId="0" fontId="14" fillId="6" borderId="0" xfId="0" applyFont="1" applyFill="1" applyBorder="1" applyAlignment="1">
      <alignment horizontal="center"/>
    </xf>
    <xf numFmtId="0" fontId="13" fillId="6" borderId="0" xfId="0" applyFont="1" applyFill="1" applyBorder="1" applyAlignment="1">
      <alignment horizontal="left"/>
    </xf>
    <xf numFmtId="0" fontId="0" fillId="6" borderId="0" xfId="0" applyFill="1" applyBorder="1" applyAlignment="1">
      <alignment horizontal="left" vertical="center"/>
    </xf>
    <xf numFmtId="0" fontId="0" fillId="6" borderId="0" xfId="0" applyFill="1" applyBorder="1" applyAlignment="1">
      <alignment horizontal="right"/>
    </xf>
    <xf numFmtId="0" fontId="7" fillId="6" borderId="0" xfId="0" applyFont="1" applyFill="1" applyBorder="1" applyAlignment="1">
      <alignment horizontal="left"/>
    </xf>
    <xf numFmtId="10" fontId="7" fillId="6" borderId="0" xfId="0" applyNumberFormat="1" applyFont="1" applyFill="1" applyBorder="1"/>
    <xf numFmtId="0" fontId="13" fillId="6" borderId="0" xfId="0" applyFont="1" applyFill="1" applyBorder="1"/>
    <xf numFmtId="0" fontId="7" fillId="6" borderId="0" xfId="0" applyFont="1" applyFill="1" applyBorder="1" applyAlignment="1">
      <alignment horizontal="center"/>
    </xf>
    <xf numFmtId="0" fontId="7" fillId="6" borderId="0" xfId="0" applyFont="1" applyFill="1" applyBorder="1" applyAlignment="1">
      <alignment vertical="center"/>
    </xf>
    <xf numFmtId="0" fontId="0" fillId="6" borderId="9" xfId="0" applyFill="1" applyBorder="1" applyAlignment="1">
      <alignment horizontal="right"/>
    </xf>
    <xf numFmtId="0" fontId="7" fillId="6" borderId="0" xfId="0" applyFont="1" applyFill="1" applyBorder="1" applyAlignment="1"/>
    <xf numFmtId="9" fontId="0" fillId="6" borderId="0" xfId="0" applyNumberFormat="1" applyFill="1" applyBorder="1"/>
    <xf numFmtId="0" fontId="12" fillId="6" borderId="0" xfId="0" applyFont="1" applyFill="1" applyBorder="1" applyAlignment="1">
      <alignment horizontal="left"/>
    </xf>
    <xf numFmtId="3" fontId="12" fillId="6" borderId="0" xfId="0" applyNumberFormat="1" applyFont="1" applyFill="1" applyBorder="1"/>
    <xf numFmtId="9" fontId="12" fillId="6" borderId="0" xfId="0" applyNumberFormat="1" applyFont="1" applyFill="1" applyBorder="1"/>
    <xf numFmtId="3" fontId="7" fillId="6" borderId="0" xfId="0" applyNumberFormat="1" applyFont="1" applyFill="1" applyBorder="1"/>
    <xf numFmtId="9" fontId="7" fillId="6" borderId="0" xfId="0" applyNumberFormat="1" applyFont="1" applyFill="1" applyBorder="1"/>
    <xf numFmtId="0" fontId="7" fillId="6" borderId="19" xfId="0" applyFont="1" applyFill="1" applyBorder="1" applyAlignment="1">
      <alignment horizontal="left"/>
    </xf>
    <xf numFmtId="3" fontId="7" fillId="6" borderId="19" xfId="0" applyNumberFormat="1" applyFont="1" applyFill="1" applyBorder="1"/>
    <xf numFmtId="9" fontId="7" fillId="6" borderId="19" xfId="0" applyNumberFormat="1" applyFont="1" applyFill="1" applyBorder="1"/>
    <xf numFmtId="0" fontId="0" fillId="6" borderId="6" xfId="0" applyFill="1" applyBorder="1"/>
    <xf numFmtId="0" fontId="7" fillId="6" borderId="7" xfId="0" applyFont="1" applyFill="1" applyBorder="1" applyAlignment="1">
      <alignment horizontal="left"/>
    </xf>
    <xf numFmtId="3" fontId="7" fillId="6" borderId="7" xfId="0" applyNumberFormat="1" applyFont="1" applyFill="1" applyBorder="1"/>
    <xf numFmtId="9" fontId="7" fillId="6" borderId="7" xfId="0" applyNumberFormat="1" applyFont="1" applyFill="1" applyBorder="1"/>
    <xf numFmtId="0" fontId="3" fillId="6" borderId="0" xfId="0" applyFont="1" applyFill="1" applyBorder="1"/>
    <xf numFmtId="3" fontId="0" fillId="6" borderId="10" xfId="0" applyNumberFormat="1" applyFill="1" applyBorder="1"/>
    <xf numFmtId="0" fontId="12" fillId="6" borderId="0" xfId="0" applyFont="1" applyFill="1" applyBorder="1"/>
    <xf numFmtId="0" fontId="12" fillId="6" borderId="0" xfId="0" applyFont="1" applyFill="1"/>
    <xf numFmtId="0" fontId="12" fillId="6" borderId="6" xfId="0" applyFont="1" applyFill="1" applyBorder="1"/>
    <xf numFmtId="0" fontId="12" fillId="6" borderId="7" xfId="0" applyFont="1" applyFill="1" applyBorder="1" applyAlignment="1">
      <alignment horizontal="left"/>
    </xf>
    <xf numFmtId="3" fontId="12" fillId="6" borderId="7" xfId="0" applyNumberFormat="1" applyFont="1" applyFill="1" applyBorder="1"/>
    <xf numFmtId="9" fontId="12" fillId="6" borderId="7" xfId="0" applyNumberFormat="1" applyFont="1" applyFill="1" applyBorder="1"/>
    <xf numFmtId="0" fontId="12" fillId="6" borderId="7" xfId="0" applyFont="1" applyFill="1" applyBorder="1"/>
    <xf numFmtId="0" fontId="12" fillId="6" borderId="8" xfId="0" applyFont="1" applyFill="1" applyBorder="1"/>
    <xf numFmtId="0" fontId="12" fillId="6" borderId="9" xfId="0" applyFont="1" applyFill="1" applyBorder="1"/>
    <xf numFmtId="0" fontId="11" fillId="6" borderId="0" xfId="0" applyFont="1" applyFill="1" applyBorder="1" applyAlignment="1">
      <alignment horizontal="left"/>
    </xf>
    <xf numFmtId="0" fontId="12" fillId="6" borderId="10" xfId="0" applyFont="1" applyFill="1" applyBorder="1"/>
    <xf numFmtId="10" fontId="12" fillId="6" borderId="0" xfId="0" applyNumberFormat="1" applyFont="1" applyFill="1" applyBorder="1"/>
    <xf numFmtId="3" fontId="11" fillId="6" borderId="0" xfId="0" applyNumberFormat="1" applyFont="1" applyFill="1" applyBorder="1"/>
    <xf numFmtId="0" fontId="12" fillId="6" borderId="0" xfId="0" applyFont="1" applyFill="1" applyBorder="1" applyAlignment="1">
      <alignment horizontal="right"/>
    </xf>
    <xf numFmtId="0" fontId="12" fillId="6" borderId="18" xfId="0" applyFont="1" applyFill="1" applyBorder="1"/>
    <xf numFmtId="0" fontId="12" fillId="6" borderId="19" xfId="0" applyFont="1" applyFill="1" applyBorder="1" applyAlignment="1">
      <alignment horizontal="left"/>
    </xf>
    <xf numFmtId="3" fontId="12" fillId="6" borderId="19" xfId="0" applyNumberFormat="1" applyFont="1" applyFill="1" applyBorder="1"/>
    <xf numFmtId="9" fontId="12" fillId="6" borderId="19" xfId="0" applyNumberFormat="1" applyFont="1" applyFill="1" applyBorder="1"/>
    <xf numFmtId="0" fontId="12" fillId="6" borderId="19" xfId="0" applyFont="1" applyFill="1" applyBorder="1"/>
    <xf numFmtId="0" fontId="12" fillId="6" borderId="20" xfId="0" applyFont="1" applyFill="1" applyBorder="1"/>
    <xf numFmtId="3" fontId="11" fillId="6" borderId="7" xfId="0" applyNumberFormat="1" applyFont="1" applyFill="1" applyBorder="1"/>
    <xf numFmtId="0" fontId="0" fillId="0" borderId="0" xfId="0" applyFill="1" applyBorder="1" applyAlignment="1">
      <alignment horizontal="left"/>
    </xf>
    <xf numFmtId="0" fontId="0" fillId="0" borderId="0" xfId="0" applyNumberFormat="1" applyFill="1" applyBorder="1"/>
    <xf numFmtId="0" fontId="2" fillId="5" borderId="0" xfId="0" applyFont="1" applyFill="1" applyBorder="1"/>
    <xf numFmtId="0" fontId="0" fillId="0" borderId="52" xfId="0" applyFill="1" applyBorder="1"/>
    <xf numFmtId="0" fontId="0" fillId="0" borderId="53" xfId="0" applyFill="1" applyBorder="1"/>
    <xf numFmtId="0" fontId="0" fillId="0" borderId="54" xfId="0" applyFill="1" applyBorder="1"/>
    <xf numFmtId="0" fontId="3" fillId="0" borderId="10" xfId="0" applyFont="1" applyFill="1" applyBorder="1"/>
    <xf numFmtId="0" fontId="0" fillId="0" borderId="9" xfId="0" applyFill="1" applyBorder="1" applyAlignment="1">
      <alignment horizontal="left" indent="1"/>
    </xf>
    <xf numFmtId="0" fontId="2" fillId="0" borderId="18" xfId="0" applyFont="1" applyFill="1" applyBorder="1" applyAlignment="1">
      <alignment horizontal="left"/>
    </xf>
    <xf numFmtId="3" fontId="2" fillId="0" borderId="19" xfId="0" applyNumberFormat="1" applyFont="1" applyFill="1" applyBorder="1"/>
    <xf numFmtId="3" fontId="2" fillId="0" borderId="20" xfId="0" applyNumberFormat="1" applyFont="1" applyFill="1" applyBorder="1"/>
    <xf numFmtId="0" fontId="0" fillId="6" borderId="0" xfId="0" applyFill="1" applyAlignment="1">
      <alignment vertical="center"/>
    </xf>
    <xf numFmtId="0" fontId="0" fillId="6" borderId="39" xfId="0" applyFill="1" applyBorder="1" applyAlignment="1">
      <alignment vertical="center"/>
    </xf>
    <xf numFmtId="0" fontId="0" fillId="6" borderId="40" xfId="0" applyFill="1" applyBorder="1" applyAlignment="1">
      <alignment vertical="center"/>
    </xf>
    <xf numFmtId="0" fontId="0" fillId="6" borderId="41" xfId="0" applyFill="1" applyBorder="1" applyAlignment="1">
      <alignment vertical="center"/>
    </xf>
    <xf numFmtId="0" fontId="0" fillId="6" borderId="26" xfId="0" applyFill="1" applyBorder="1" applyAlignment="1">
      <alignment vertical="center"/>
    </xf>
    <xf numFmtId="0" fontId="11" fillId="6" borderId="0" xfId="0" applyFont="1" applyFill="1" applyBorder="1" applyAlignment="1">
      <alignment vertical="center"/>
    </xf>
    <xf numFmtId="0" fontId="0" fillId="6" borderId="0" xfId="0" applyFill="1" applyBorder="1" applyAlignment="1">
      <alignment vertical="center"/>
    </xf>
    <xf numFmtId="0" fontId="15" fillId="6" borderId="0" xfId="0" applyFont="1" applyFill="1" applyBorder="1" applyAlignment="1">
      <alignment vertical="center"/>
    </xf>
    <xf numFmtId="0" fontId="0" fillId="6" borderId="27" xfId="0" applyFill="1" applyBorder="1" applyAlignment="1">
      <alignment vertical="center"/>
    </xf>
    <xf numFmtId="0" fontId="0" fillId="6" borderId="0" xfId="0" applyFill="1" applyBorder="1" applyAlignment="1">
      <alignment horizontal="center" vertical="center"/>
    </xf>
    <xf numFmtId="3" fontId="0" fillId="6" borderId="0" xfId="0" applyNumberFormat="1" applyFill="1" applyBorder="1" applyAlignment="1">
      <alignment vertical="center"/>
    </xf>
    <xf numFmtId="9" fontId="0" fillId="6" borderId="0" xfId="0" applyNumberFormat="1" applyFill="1" applyBorder="1" applyAlignment="1">
      <alignment vertical="center"/>
    </xf>
    <xf numFmtId="0" fontId="2" fillId="6" borderId="0" xfId="0" applyFont="1" applyFill="1" applyBorder="1" applyAlignment="1">
      <alignment horizontal="center" vertical="center"/>
    </xf>
    <xf numFmtId="9" fontId="0" fillId="6" borderId="0" xfId="1" applyFont="1" applyFill="1" applyBorder="1" applyAlignment="1">
      <alignment vertical="center"/>
    </xf>
    <xf numFmtId="9" fontId="0" fillId="6" borderId="27" xfId="1" applyFont="1" applyFill="1" applyBorder="1" applyAlignment="1">
      <alignment vertical="center"/>
    </xf>
    <xf numFmtId="9" fontId="0" fillId="6" borderId="0" xfId="1" applyFont="1" applyFill="1" applyAlignment="1">
      <alignment vertical="center"/>
    </xf>
    <xf numFmtId="0" fontId="7" fillId="6" borderId="0" xfId="0" applyNumberFormat="1" applyFont="1" applyFill="1" applyBorder="1" applyAlignment="1">
      <alignment vertical="center"/>
    </xf>
    <xf numFmtId="0" fontId="0" fillId="6" borderId="0" xfId="0" applyNumberFormat="1" applyFill="1" applyBorder="1" applyAlignment="1">
      <alignment vertical="center"/>
    </xf>
    <xf numFmtId="0" fontId="7" fillId="6" borderId="0" xfId="0" applyFont="1" applyFill="1" applyBorder="1" applyAlignment="1">
      <alignment horizontal="left" vertical="center"/>
    </xf>
    <xf numFmtId="0" fontId="2" fillId="6" borderId="0" xfId="0" applyFont="1" applyFill="1" applyBorder="1" applyAlignment="1">
      <alignment vertical="center"/>
    </xf>
    <xf numFmtId="0" fontId="2" fillId="6" borderId="0" xfId="0" applyFont="1" applyFill="1" applyBorder="1" applyAlignment="1">
      <alignment horizontal="left" vertical="center"/>
    </xf>
    <xf numFmtId="0" fontId="0" fillId="6" borderId="28" xfId="0" applyFill="1" applyBorder="1" applyAlignment="1">
      <alignment vertical="center"/>
    </xf>
    <xf numFmtId="0" fontId="0" fillId="6" borderId="11" xfId="0" applyFill="1" applyBorder="1" applyAlignment="1">
      <alignment vertical="center"/>
    </xf>
    <xf numFmtId="0" fontId="0" fillId="6" borderId="29" xfId="0" applyFill="1" applyBorder="1" applyAlignment="1">
      <alignment vertical="center"/>
    </xf>
    <xf numFmtId="10" fontId="0" fillId="6" borderId="0" xfId="0" applyNumberFormat="1" applyFill="1" applyAlignment="1">
      <alignment vertical="center"/>
    </xf>
    <xf numFmtId="0" fontId="12" fillId="6" borderId="0" xfId="0" applyFont="1" applyFill="1" applyAlignment="1">
      <alignment vertical="center"/>
    </xf>
    <xf numFmtId="0" fontId="0" fillId="6" borderId="0" xfId="0" applyFill="1" applyAlignment="1">
      <alignment horizontal="center" vertical="center"/>
    </xf>
    <xf numFmtId="0" fontId="0" fillId="6" borderId="0" xfId="0" applyFont="1" applyFill="1" applyAlignment="1">
      <alignment horizontal="center" vertical="center"/>
    </xf>
    <xf numFmtId="11" fontId="0" fillId="6" borderId="0" xfId="0" applyNumberFormat="1" applyFill="1" applyAlignment="1">
      <alignment horizontal="center" vertical="center"/>
    </xf>
    <xf numFmtId="0" fontId="2" fillId="6" borderId="27" xfId="0" applyFont="1" applyFill="1" applyBorder="1" applyAlignment="1">
      <alignment horizontal="center" vertical="center"/>
    </xf>
    <xf numFmtId="10" fontId="0" fillId="6" borderId="0" xfId="0" applyNumberFormat="1" applyFill="1" applyBorder="1" applyAlignment="1">
      <alignment vertical="center"/>
    </xf>
    <xf numFmtId="9" fontId="0" fillId="6" borderId="27" xfId="0" applyNumberFormat="1" applyFill="1" applyBorder="1" applyAlignment="1">
      <alignment vertical="center"/>
    </xf>
    <xf numFmtId="0" fontId="0" fillId="6" borderId="0" xfId="0" applyFill="1" applyBorder="1" applyAlignment="1">
      <alignment horizontal="right" vertical="center"/>
    </xf>
    <xf numFmtId="0" fontId="11" fillId="6" borderId="40" xfId="0" applyFont="1" applyFill="1" applyBorder="1" applyAlignment="1">
      <alignment vertical="center"/>
    </xf>
    <xf numFmtId="9" fontId="2" fillId="6" borderId="0" xfId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3" fontId="0" fillId="0" borderId="0" xfId="0" applyNumberFormat="1" applyFill="1" applyAlignment="1">
      <alignment vertical="center"/>
    </xf>
    <xf numFmtId="9" fontId="0" fillId="0" borderId="0" xfId="0" applyNumberFormat="1" applyFill="1" applyAlignment="1">
      <alignment vertical="center"/>
    </xf>
    <xf numFmtId="0" fontId="0" fillId="6" borderId="7" xfId="0" applyFill="1" applyBorder="1" applyAlignment="1"/>
    <xf numFmtId="0" fontId="11" fillId="6" borderId="0" xfId="0" applyFont="1" applyFill="1" applyBorder="1" applyProtection="1">
      <protection locked="0"/>
    </xf>
    <xf numFmtId="10" fontId="12" fillId="6" borderId="0" xfId="1" applyNumberFormat="1" applyFont="1" applyFill="1" applyBorder="1"/>
    <xf numFmtId="10" fontId="16" fillId="6" borderId="0" xfId="0" applyNumberFormat="1" applyFont="1" applyFill="1" applyBorder="1"/>
    <xf numFmtId="10" fontId="0" fillId="0" borderId="0" xfId="0" applyNumberFormat="1" applyFill="1" applyBorder="1"/>
    <xf numFmtId="0" fontId="0" fillId="0" borderId="18" xfId="0" applyFill="1" applyBorder="1" applyAlignment="1">
      <alignment horizontal="left"/>
    </xf>
    <xf numFmtId="0" fontId="0" fillId="0" borderId="4" xfId="0" applyFill="1" applyBorder="1"/>
    <xf numFmtId="0" fontId="0" fillId="0" borderId="3" xfId="0" applyFill="1" applyBorder="1"/>
    <xf numFmtId="3" fontId="0" fillId="6" borderId="0" xfId="0" applyNumberFormat="1" applyFill="1"/>
    <xf numFmtId="0" fontId="0" fillId="0" borderId="0" xfId="0" applyNumberFormat="1" applyFill="1" applyAlignment="1"/>
    <xf numFmtId="0" fontId="0" fillId="0" borderId="0" xfId="0" quotePrefix="1" applyNumberFormat="1" applyFill="1" applyAlignment="1"/>
    <xf numFmtId="3" fontId="0" fillId="4" borderId="0" xfId="0" applyNumberFormat="1" applyFill="1" applyBorder="1"/>
    <xf numFmtId="10" fontId="0" fillId="0" borderId="32" xfId="1" applyNumberFormat="1" applyFont="1" applyFill="1" applyBorder="1" applyAlignment="1">
      <alignment horizontal="right"/>
    </xf>
    <xf numFmtId="3" fontId="0" fillId="0" borderId="32" xfId="0" applyNumberFormat="1" applyFill="1" applyBorder="1" applyAlignment="1">
      <alignment horizontal="right"/>
    </xf>
    <xf numFmtId="10" fontId="0" fillId="0" borderId="32" xfId="0" applyNumberFormat="1" applyFill="1" applyBorder="1" applyAlignment="1">
      <alignment horizontal="right"/>
    </xf>
    <xf numFmtId="0" fontId="2" fillId="4" borderId="0" xfId="0" applyFont="1" applyFill="1" applyBorder="1"/>
    <xf numFmtId="0" fontId="2" fillId="4" borderId="39" xfId="0" applyFont="1" applyFill="1" applyBorder="1" applyAlignment="1">
      <alignment horizontal="center" vertical="center"/>
    </xf>
    <xf numFmtId="0" fontId="2" fillId="4" borderId="40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9" fontId="0" fillId="6" borderId="0" xfId="1" applyFont="1" applyFill="1"/>
    <xf numFmtId="0" fontId="0" fillId="6" borderId="0" xfId="0" applyFont="1" applyFill="1"/>
    <xf numFmtId="0" fontId="0" fillId="6" borderId="0" xfId="0" applyFont="1" applyFill="1" applyBorder="1"/>
    <xf numFmtId="0" fontId="10" fillId="6" borderId="0" xfId="0" applyFont="1" applyFill="1" applyBorder="1" applyAlignment="1">
      <alignment horizontal="center" vertical="center"/>
    </xf>
    <xf numFmtId="3" fontId="2" fillId="6" borderId="0" xfId="0" applyNumberFormat="1" applyFont="1" applyFill="1" applyBorder="1" applyAlignment="1">
      <alignment horizontal="center"/>
    </xf>
    <xf numFmtId="3" fontId="0" fillId="6" borderId="0" xfId="0" applyNumberFormat="1" applyFont="1" applyFill="1" applyBorder="1" applyAlignment="1">
      <alignment horizontal="right"/>
    </xf>
    <xf numFmtId="17" fontId="0" fillId="6" borderId="0" xfId="0" applyNumberFormat="1" applyFont="1" applyFill="1"/>
    <xf numFmtId="0" fontId="7" fillId="6" borderId="0" xfId="0" applyFont="1" applyFill="1" applyBorder="1" applyAlignment="1">
      <alignment wrapText="1"/>
    </xf>
    <xf numFmtId="0" fontId="11" fillId="6" borderId="0" xfId="0" applyFont="1" applyFill="1" applyBorder="1" applyAlignment="1" applyProtection="1">
      <alignment horizontal="left"/>
      <protection locked="0"/>
    </xf>
    <xf numFmtId="0" fontId="7" fillId="6" borderId="0" xfId="0" applyFont="1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0" xfId="0" applyFill="1" applyBorder="1" applyAlignment="1" applyProtection="1">
      <alignment horizontal="left"/>
      <protection locked="0"/>
    </xf>
    <xf numFmtId="0" fontId="0" fillId="6" borderId="0" xfId="0" applyNumberFormat="1" applyFill="1" applyBorder="1" applyProtection="1">
      <protection locked="0"/>
    </xf>
    <xf numFmtId="0" fontId="0" fillId="6" borderId="0" xfId="0" applyFill="1" applyBorder="1" applyAlignment="1" applyProtection="1">
      <alignment horizontal="left" indent="1"/>
      <protection locked="0"/>
    </xf>
    <xf numFmtId="10" fontId="0" fillId="6" borderId="0" xfId="0" applyNumberFormat="1" applyFill="1" applyBorder="1" applyProtection="1">
      <protection locked="0"/>
    </xf>
    <xf numFmtId="10" fontId="2" fillId="6" borderId="0" xfId="0" applyNumberFormat="1" applyFont="1" applyFill="1" applyBorder="1" applyProtection="1">
      <protection locked="0"/>
    </xf>
    <xf numFmtId="0" fontId="2" fillId="6" borderId="0" xfId="0" applyNumberFormat="1" applyFont="1" applyFill="1" applyBorder="1" applyProtection="1">
      <protection locked="0"/>
    </xf>
    <xf numFmtId="0" fontId="7" fillId="6" borderId="0" xfId="0" applyNumberFormat="1" applyFont="1" applyFill="1" applyBorder="1" applyProtection="1">
      <protection locked="0"/>
    </xf>
    <xf numFmtId="0" fontId="0" fillId="6" borderId="0" xfId="0" applyFill="1" applyBorder="1" applyAlignment="1" applyProtection="1">
      <alignment horizontal="center"/>
      <protection locked="0"/>
    </xf>
    <xf numFmtId="3" fontId="0" fillId="6" borderId="0" xfId="0" applyNumberFormat="1" applyFill="1" applyBorder="1" applyAlignment="1" applyProtection="1">
      <alignment horizontal="center"/>
      <protection locked="0"/>
    </xf>
    <xf numFmtId="3" fontId="0" fillId="0" borderId="24" xfId="0" applyNumberFormat="1" applyFill="1" applyBorder="1"/>
    <xf numFmtId="3" fontId="0" fillId="0" borderId="1" xfId="0" applyNumberFormat="1" applyFill="1" applyBorder="1"/>
    <xf numFmtId="3" fontId="0" fillId="0" borderId="25" xfId="0" applyNumberFormat="1" applyFill="1" applyBorder="1"/>
    <xf numFmtId="3" fontId="0" fillId="0" borderId="49" xfId="0" applyNumberFormat="1" applyFill="1" applyBorder="1"/>
    <xf numFmtId="3" fontId="0" fillId="0" borderId="50" xfId="0" applyNumberFormat="1" applyFill="1" applyBorder="1"/>
    <xf numFmtId="3" fontId="0" fillId="0" borderId="51" xfId="0" applyNumberFormat="1" applyFill="1" applyBorder="1"/>
    <xf numFmtId="0" fontId="0" fillId="0" borderId="32" xfId="0" applyFont="1" applyFill="1" applyBorder="1" applyAlignment="1">
      <alignment horizontal="left"/>
    </xf>
    <xf numFmtId="3" fontId="0" fillId="0" borderId="32" xfId="0" applyNumberFormat="1" applyFont="1" applyFill="1" applyBorder="1" applyAlignment="1">
      <alignment horizontal="right"/>
    </xf>
    <xf numFmtId="0" fontId="3" fillId="6" borderId="0" xfId="0" applyFont="1" applyFill="1" applyBorder="1" applyAlignment="1">
      <alignment vertical="center" wrapText="1"/>
    </xf>
    <xf numFmtId="0" fontId="3" fillId="6" borderId="24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25" xfId="0" applyFont="1" applyFill="1" applyBorder="1" applyAlignment="1">
      <alignment horizontal="center" vertical="center"/>
    </xf>
    <xf numFmtId="0" fontId="3" fillId="6" borderId="39" xfId="0" applyFont="1" applyFill="1" applyBorder="1" applyAlignment="1">
      <alignment horizontal="center" vertical="center" wrapText="1"/>
    </xf>
    <xf numFmtId="0" fontId="3" fillId="6" borderId="40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25" xfId="0" applyFont="1" applyFill="1" applyBorder="1" applyAlignment="1">
      <alignment horizontal="center" vertical="center" wrapText="1"/>
    </xf>
    <xf numFmtId="0" fontId="0" fillId="6" borderId="26" xfId="0" applyFill="1" applyBorder="1"/>
    <xf numFmtId="0" fontId="0" fillId="6" borderId="27" xfId="0" applyFill="1" applyBorder="1"/>
    <xf numFmtId="3" fontId="0" fillId="6" borderId="27" xfId="0" applyNumberFormat="1" applyFill="1" applyBorder="1"/>
    <xf numFmtId="3" fontId="0" fillId="6" borderId="26" xfId="0" applyNumberFormat="1" applyFill="1" applyBorder="1"/>
    <xf numFmtId="3" fontId="0" fillId="6" borderId="9" xfId="0" applyNumberFormat="1" applyFill="1" applyBorder="1"/>
    <xf numFmtId="0" fontId="0" fillId="6" borderId="26" xfId="0" applyFont="1" applyFill="1" applyBorder="1"/>
    <xf numFmtId="0" fontId="0" fillId="6" borderId="27" xfId="0" applyFont="1" applyFill="1" applyBorder="1"/>
    <xf numFmtId="3" fontId="0" fillId="6" borderId="0" xfId="0" applyNumberFormat="1" applyFont="1" applyFill="1" applyBorder="1"/>
    <xf numFmtId="3" fontId="0" fillId="6" borderId="27" xfId="0" applyNumberFormat="1" applyFont="1" applyFill="1" applyBorder="1"/>
    <xf numFmtId="9" fontId="0" fillId="6" borderId="0" xfId="1" applyNumberFormat="1" applyFont="1" applyFill="1"/>
    <xf numFmtId="3" fontId="0" fillId="4" borderId="37" xfId="0" applyNumberFormat="1" applyFill="1" applyBorder="1"/>
    <xf numFmtId="3" fontId="0" fillId="4" borderId="53" xfId="0" applyNumberFormat="1" applyFill="1" applyBorder="1"/>
    <xf numFmtId="3" fontId="0" fillId="4" borderId="55" xfId="0" applyNumberFormat="1" applyFill="1" applyBorder="1"/>
    <xf numFmtId="3" fontId="0" fillId="6" borderId="56" xfId="0" applyNumberFormat="1" applyFill="1" applyBorder="1"/>
    <xf numFmtId="3" fontId="0" fillId="4" borderId="26" xfId="0" applyNumberFormat="1" applyFill="1" applyBorder="1"/>
    <xf numFmtId="3" fontId="0" fillId="4" borderId="56" xfId="0" applyNumberFormat="1" applyFill="1" applyBorder="1"/>
    <xf numFmtId="0" fontId="3" fillId="4" borderId="0" xfId="0" applyFont="1" applyFill="1" applyBorder="1"/>
    <xf numFmtId="0" fontId="0" fillId="6" borderId="0" xfId="0" applyFill="1" applyAlignment="1">
      <alignment horizontal="left"/>
    </xf>
    <xf numFmtId="0" fontId="0" fillId="6" borderId="0" xfId="0" applyNumberFormat="1" applyFill="1"/>
    <xf numFmtId="0" fontId="2" fillId="3" borderId="1" xfId="0" applyFont="1" applyFill="1" applyBorder="1" applyAlignment="1">
      <alignment horizontal="center" vertical="center"/>
    </xf>
    <xf numFmtId="3" fontId="8" fillId="6" borderId="0" xfId="0" applyNumberFormat="1" applyFont="1" applyFill="1" applyAlignment="1">
      <alignment horizontal="left" vertical="center"/>
    </xf>
    <xf numFmtId="9" fontId="3" fillId="6" borderId="4" xfId="1" applyFont="1" applyFill="1" applyBorder="1"/>
    <xf numFmtId="9" fontId="3" fillId="6" borderId="1" xfId="1" applyFont="1" applyFill="1" applyBorder="1"/>
    <xf numFmtId="0" fontId="3" fillId="6" borderId="4" xfId="0" applyFont="1" applyFill="1" applyBorder="1"/>
    <xf numFmtId="9" fontId="3" fillId="6" borderId="2" xfId="1" applyFont="1" applyFill="1" applyBorder="1"/>
    <xf numFmtId="0" fontId="0" fillId="6" borderId="17" xfId="0" applyFont="1" applyFill="1" applyBorder="1"/>
    <xf numFmtId="3" fontId="0" fillId="6" borderId="17" xfId="0" applyNumberFormat="1" applyFont="1" applyFill="1" applyBorder="1" applyAlignment="1">
      <alignment horizontal="right"/>
    </xf>
    <xf numFmtId="9" fontId="1" fillId="6" borderId="17" xfId="1" applyFont="1" applyFill="1" applyBorder="1" applyAlignment="1">
      <alignment horizontal="right"/>
    </xf>
    <xf numFmtId="0" fontId="3" fillId="6" borderId="17" xfId="0" applyFont="1" applyFill="1" applyBorder="1"/>
    <xf numFmtId="3" fontId="0" fillId="0" borderId="1" xfId="0" applyNumberFormat="1" applyFill="1" applyBorder="1" applyAlignment="1">
      <alignment horizontal="right"/>
    </xf>
    <xf numFmtId="0" fontId="2" fillId="3" borderId="12" xfId="0" applyFont="1" applyFill="1" applyBorder="1"/>
    <xf numFmtId="0" fontId="2" fillId="3" borderId="13" xfId="0" applyFont="1" applyFill="1" applyBorder="1"/>
    <xf numFmtId="0" fontId="2" fillId="3" borderId="14" xfId="0" applyFont="1" applyFill="1" applyBorder="1"/>
    <xf numFmtId="0" fontId="2" fillId="3" borderId="15" xfId="0" applyFont="1" applyFill="1" applyBorder="1"/>
    <xf numFmtId="0" fontId="2" fillId="3" borderId="16" xfId="0" applyFont="1" applyFill="1" applyBorder="1"/>
    <xf numFmtId="0" fontId="7" fillId="3" borderId="17" xfId="0" applyFont="1" applyFill="1" applyBorder="1"/>
    <xf numFmtId="0" fontId="0" fillId="0" borderId="1" xfId="0" applyFill="1" applyBorder="1"/>
    <xf numFmtId="43" fontId="0" fillId="0" borderId="1" xfId="6" applyFont="1" applyFill="1" applyBorder="1"/>
    <xf numFmtId="9" fontId="0" fillId="0" borderId="1" xfId="0" applyNumberFormat="1" applyFill="1" applyBorder="1"/>
    <xf numFmtId="0" fontId="0" fillId="4" borderId="17" xfId="0" applyFont="1" applyFill="1" applyBorder="1" applyAlignment="1">
      <alignment horizontal="center" vertical="center"/>
    </xf>
    <xf numFmtId="0" fontId="0" fillId="4" borderId="17" xfId="0" applyFont="1" applyFill="1" applyBorder="1" applyAlignment="1">
      <alignment horizontal="center"/>
    </xf>
    <xf numFmtId="3" fontId="3" fillId="4" borderId="17" xfId="0" applyNumberFormat="1" applyFont="1" applyFill="1" applyBorder="1" applyAlignment="1">
      <alignment horizontal="center"/>
    </xf>
    <xf numFmtId="9" fontId="3" fillId="4" borderId="17" xfId="1" applyFont="1" applyFill="1" applyBorder="1" applyAlignment="1">
      <alignment horizontal="center" vertical="center"/>
    </xf>
    <xf numFmtId="0" fontId="2" fillId="8" borderId="57" xfId="0" applyFont="1" applyFill="1" applyBorder="1"/>
    <xf numFmtId="0" fontId="2" fillId="8" borderId="58" xfId="0" applyFont="1" applyFill="1" applyBorder="1"/>
    <xf numFmtId="0" fontId="2" fillId="8" borderId="59" xfId="0" applyFont="1" applyFill="1" applyBorder="1"/>
    <xf numFmtId="0" fontId="3" fillId="3" borderId="57" xfId="0" applyFont="1" applyFill="1" applyBorder="1" applyAlignment="1">
      <alignment horizontal="left"/>
    </xf>
    <xf numFmtId="3" fontId="3" fillId="3" borderId="58" xfId="0" applyNumberFormat="1" applyFont="1" applyFill="1" applyBorder="1"/>
    <xf numFmtId="3" fontId="3" fillId="3" borderId="59" xfId="0" applyNumberFormat="1" applyFont="1" applyFill="1" applyBorder="1"/>
    <xf numFmtId="0" fontId="2" fillId="8" borderId="60" xfId="0" applyFont="1" applyFill="1" applyBorder="1" applyAlignment="1">
      <alignment horizontal="left"/>
    </xf>
    <xf numFmtId="3" fontId="2" fillId="8" borderId="61" xfId="0" applyNumberFormat="1" applyFont="1" applyFill="1" applyBorder="1"/>
    <xf numFmtId="3" fontId="2" fillId="8" borderId="62" xfId="0" applyNumberFormat="1" applyFont="1" applyFill="1" applyBorder="1"/>
    <xf numFmtId="0" fontId="0" fillId="9" borderId="0" xfId="0" applyFill="1" applyAlignment="1">
      <alignment vertical="center"/>
    </xf>
    <xf numFmtId="0" fontId="19" fillId="10" borderId="63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/>
    </xf>
    <xf numFmtId="0" fontId="19" fillId="4" borderId="63" xfId="0" applyFont="1" applyFill="1" applyBorder="1" applyAlignment="1">
      <alignment vertical="center"/>
    </xf>
    <xf numFmtId="0" fontId="21" fillId="9" borderId="0" xfId="0" applyFont="1" applyFill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7" borderId="0" xfId="0" applyFont="1" applyFill="1" applyAlignment="1">
      <alignment vertical="center"/>
    </xf>
    <xf numFmtId="0" fontId="23" fillId="4" borderId="0" xfId="0" applyFont="1" applyFill="1" applyAlignment="1">
      <alignment horizontal="right" vertical="center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NumberFormat="1"/>
    <xf numFmtId="3" fontId="8" fillId="0" borderId="0" xfId="0" applyNumberFormat="1" applyFont="1" applyAlignment="1">
      <alignment horizontal="right" vertical="center"/>
    </xf>
    <xf numFmtId="3" fontId="8" fillId="7" borderId="0" xfId="0" applyNumberFormat="1" applyFont="1" applyFill="1" applyAlignment="1">
      <alignment horizontal="right" vertical="center"/>
    </xf>
    <xf numFmtId="3" fontId="0" fillId="0" borderId="0" xfId="0" applyNumberFormat="1"/>
    <xf numFmtId="0" fontId="2" fillId="6" borderId="0" xfId="0" applyFont="1" applyFill="1" applyBorder="1"/>
    <xf numFmtId="0" fontId="3" fillId="6" borderId="0" xfId="0" applyFont="1" applyFill="1" applyBorder="1" applyAlignment="1">
      <alignment horizontal="left"/>
    </xf>
    <xf numFmtId="3" fontId="2" fillId="6" borderId="0" xfId="0" applyNumberFormat="1" applyFont="1" applyFill="1" applyBorder="1"/>
    <xf numFmtId="0" fontId="0" fillId="6" borderId="0" xfId="0" applyFill="1" applyBorder="1" applyAlignment="1">
      <alignment horizontal="left" indent="1"/>
    </xf>
    <xf numFmtId="0" fontId="2" fillId="6" borderId="0" xfId="0" applyFont="1" applyFill="1" applyBorder="1" applyAlignment="1">
      <alignment horizontal="left"/>
    </xf>
    <xf numFmtId="0" fontId="19" fillId="10" borderId="0" xfId="0" applyFont="1" applyFill="1" applyAlignment="1">
      <alignment horizontal="center" vertical="center"/>
    </xf>
    <xf numFmtId="0" fontId="19" fillId="4" borderId="0" xfId="0" applyFont="1" applyFill="1" applyAlignment="1">
      <alignment vertical="center"/>
    </xf>
    <xf numFmtId="3" fontId="26" fillId="4" borderId="0" xfId="0" applyNumberFormat="1" applyFont="1" applyFill="1" applyAlignment="1">
      <alignment horizontal="right" vertical="center"/>
    </xf>
    <xf numFmtId="9" fontId="0" fillId="0" borderId="0" xfId="1" applyFont="1"/>
    <xf numFmtId="3" fontId="0" fillId="0" borderId="0" xfId="1" applyNumberFormat="1" applyFont="1"/>
    <xf numFmtId="0" fontId="27" fillId="10" borderId="64" xfId="0" applyFont="1" applyFill="1" applyBorder="1" applyAlignment="1">
      <alignment vertical="center"/>
    </xf>
    <xf numFmtId="0" fontId="0" fillId="6" borderId="0" xfId="0" applyFill="1" applyAlignment="1">
      <alignment horizontal="left" indent="1"/>
    </xf>
    <xf numFmtId="0" fontId="28" fillId="0" borderId="0" xfId="0" applyFont="1" applyFill="1" applyBorder="1"/>
    <xf numFmtId="3" fontId="28" fillId="0" borderId="0" xfId="0" applyNumberFormat="1" applyFont="1" applyFill="1" applyBorder="1"/>
    <xf numFmtId="3" fontId="28" fillId="0" borderId="0" xfId="0" applyNumberFormat="1" applyFont="1" applyFill="1"/>
    <xf numFmtId="9" fontId="28" fillId="0" borderId="0" xfId="0" applyNumberFormat="1" applyFont="1" applyFill="1" applyBorder="1"/>
    <xf numFmtId="9" fontId="28" fillId="0" borderId="0" xfId="0" applyNumberFormat="1" applyFont="1" applyFill="1"/>
    <xf numFmtId="0" fontId="2" fillId="3" borderId="42" xfId="0" applyFont="1" applyFill="1" applyBorder="1"/>
    <xf numFmtId="0" fontId="0" fillId="0" borderId="65" xfId="0" applyNumberFormat="1" applyFont="1" applyFill="1" applyBorder="1" applyAlignment="1"/>
    <xf numFmtId="1" fontId="0" fillId="0" borderId="65" xfId="0" applyNumberFormat="1" applyFont="1" applyFill="1" applyBorder="1" applyAlignment="1"/>
    <xf numFmtId="0" fontId="0" fillId="0" borderId="65" xfId="0" applyFont="1" applyFill="1" applyBorder="1"/>
    <xf numFmtId="0" fontId="0" fillId="6" borderId="65" xfId="0" applyFill="1" applyBorder="1"/>
    <xf numFmtId="0" fontId="3" fillId="0" borderId="0" xfId="0" applyFont="1"/>
    <xf numFmtId="3" fontId="3" fillId="0" borderId="0" xfId="0" applyNumberFormat="1" applyFont="1"/>
    <xf numFmtId="3" fontId="24" fillId="4" borderId="0" xfId="0" applyNumberFormat="1" applyFont="1" applyFill="1" applyBorder="1" applyAlignment="1">
      <alignment horizontal="right" vertical="center"/>
    </xf>
    <xf numFmtId="3" fontId="8" fillId="6" borderId="0" xfId="0" applyNumberFormat="1" applyFont="1" applyFill="1" applyBorder="1" applyAlignment="1">
      <alignment horizontal="right" vertical="center"/>
    </xf>
    <xf numFmtId="3" fontId="8" fillId="7" borderId="0" xfId="0" applyNumberFormat="1" applyFont="1" applyFill="1" applyBorder="1" applyAlignment="1">
      <alignment horizontal="right" vertical="center"/>
    </xf>
    <xf numFmtId="3" fontId="8" fillId="7" borderId="66" xfId="0" applyNumberFormat="1" applyFont="1" applyFill="1" applyBorder="1" applyAlignment="1">
      <alignment horizontal="right" vertical="center"/>
    </xf>
    <xf numFmtId="3" fontId="27" fillId="10" borderId="64" xfId="0" applyNumberFormat="1" applyFont="1" applyFill="1" applyBorder="1" applyAlignment="1">
      <alignment vertical="center"/>
    </xf>
    <xf numFmtId="9" fontId="26" fillId="4" borderId="0" xfId="1" applyFont="1" applyFill="1" applyAlignment="1">
      <alignment horizontal="right" vertical="center"/>
    </xf>
    <xf numFmtId="9" fontId="8" fillId="0" borderId="0" xfId="1" applyFont="1" applyAlignment="1">
      <alignment horizontal="right" vertical="center"/>
    </xf>
    <xf numFmtId="9" fontId="8" fillId="7" borderId="0" xfId="1" applyFont="1" applyFill="1" applyAlignment="1">
      <alignment horizontal="right" vertical="center"/>
    </xf>
    <xf numFmtId="3" fontId="3" fillId="6" borderId="0" xfId="0" applyNumberFormat="1" applyFont="1" applyFill="1"/>
    <xf numFmtId="9" fontId="3" fillId="6" borderId="0" xfId="1" applyFont="1" applyFill="1"/>
    <xf numFmtId="0" fontId="2" fillId="3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11" fillId="6" borderId="6" xfId="0" applyFont="1" applyFill="1" applyBorder="1" applyAlignment="1">
      <alignment horizontal="center"/>
    </xf>
    <xf numFmtId="0" fontId="11" fillId="6" borderId="7" xfId="0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19" fillId="10" borderId="0" xfId="0" applyFont="1" applyFill="1" applyAlignment="1">
      <alignment horizontal="center" vertical="center"/>
    </xf>
    <xf numFmtId="0" fontId="25" fillId="6" borderId="3" xfId="0" applyFont="1" applyFill="1" applyBorder="1" applyAlignment="1">
      <alignment horizontal="center"/>
    </xf>
    <xf numFmtId="0" fontId="25" fillId="6" borderId="5" xfId="0" applyFont="1" applyFill="1" applyBorder="1" applyAlignment="1">
      <alignment horizontal="center"/>
    </xf>
    <xf numFmtId="0" fontId="25" fillId="6" borderId="4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 vertical="center"/>
    </xf>
    <xf numFmtId="0" fontId="3" fillId="0" borderId="36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6" borderId="39" xfId="0" applyFont="1" applyFill="1" applyBorder="1" applyAlignment="1">
      <alignment horizontal="center"/>
    </xf>
    <xf numFmtId="0" fontId="3" fillId="6" borderId="40" xfId="0" applyFont="1" applyFill="1" applyBorder="1" applyAlignment="1">
      <alignment horizontal="center"/>
    </xf>
    <xf numFmtId="0" fontId="3" fillId="6" borderId="41" xfId="0" applyFont="1" applyFill="1" applyBorder="1" applyAlignment="1">
      <alignment horizontal="center"/>
    </xf>
    <xf numFmtId="0" fontId="9" fillId="6" borderId="21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0" fontId="3" fillId="6" borderId="37" xfId="0" applyFont="1" applyFill="1" applyBorder="1" applyAlignment="1">
      <alignment horizontal="center" vertical="center" wrapText="1"/>
    </xf>
    <xf numFmtId="0" fontId="3" fillId="6" borderId="38" xfId="0" applyFont="1" applyFill="1" applyBorder="1" applyAlignment="1">
      <alignment horizontal="center" vertical="center" wrapText="1"/>
    </xf>
    <xf numFmtId="0" fontId="9" fillId="6" borderId="46" xfId="0" applyFont="1" applyFill="1" applyBorder="1" applyAlignment="1">
      <alignment horizontal="center"/>
    </xf>
    <xf numFmtId="0" fontId="9" fillId="6" borderId="47" xfId="0" applyFont="1" applyFill="1" applyBorder="1" applyAlignment="1">
      <alignment horizontal="center"/>
    </xf>
    <xf numFmtId="0" fontId="9" fillId="6" borderId="48" xfId="0" applyFont="1" applyFill="1" applyBorder="1" applyAlignment="1">
      <alignment horizontal="center"/>
    </xf>
    <xf numFmtId="0" fontId="9" fillId="6" borderId="21" xfId="0" applyFont="1" applyFill="1" applyBorder="1" applyAlignment="1">
      <alignment horizontal="center"/>
    </xf>
    <xf numFmtId="0" fontId="9" fillId="6" borderId="22" xfId="0" applyFont="1" applyFill="1" applyBorder="1" applyAlignment="1">
      <alignment horizontal="center"/>
    </xf>
    <xf numFmtId="0" fontId="9" fillId="6" borderId="23" xfId="0" applyFont="1" applyFill="1" applyBorder="1" applyAlignment="1">
      <alignment horizontal="center"/>
    </xf>
    <xf numFmtId="0" fontId="3" fillId="6" borderId="30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6" borderId="40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43" xfId="0" applyFont="1" applyFill="1" applyBorder="1" applyAlignment="1">
      <alignment horizontal="center" vertical="center" wrapText="1"/>
    </xf>
    <xf numFmtId="0" fontId="3" fillId="6" borderId="44" xfId="0" applyFont="1" applyFill="1" applyBorder="1" applyAlignment="1">
      <alignment horizontal="center" vertical="center" wrapText="1"/>
    </xf>
    <xf numFmtId="0" fontId="3" fillId="6" borderId="45" xfId="0" applyFont="1" applyFill="1" applyBorder="1" applyAlignment="1">
      <alignment horizontal="center" vertical="center" wrapText="1"/>
    </xf>
    <xf numFmtId="9" fontId="12" fillId="6" borderId="3" xfId="0" applyNumberFormat="1" applyFont="1" applyFill="1" applyBorder="1" applyAlignment="1">
      <alignment horizontal="center"/>
    </xf>
    <xf numFmtId="9" fontId="12" fillId="6" borderId="5" xfId="0" applyNumberFormat="1" applyFont="1" applyFill="1" applyBorder="1" applyAlignment="1">
      <alignment horizontal="center"/>
    </xf>
    <xf numFmtId="9" fontId="12" fillId="6" borderId="4" xfId="0" applyNumberFormat="1" applyFont="1" applyFill="1" applyBorder="1" applyAlignment="1">
      <alignment horizontal="center"/>
    </xf>
    <xf numFmtId="9" fontId="12" fillId="6" borderId="0" xfId="0" applyNumberFormat="1" applyFont="1" applyFill="1" applyBorder="1" applyAlignment="1">
      <alignment horizontal="center"/>
    </xf>
    <xf numFmtId="0" fontId="14" fillId="6" borderId="6" xfId="0" applyFont="1" applyFill="1" applyBorder="1" applyAlignment="1">
      <alignment horizontal="center" vertical="center"/>
    </xf>
    <xf numFmtId="0" fontId="14" fillId="6" borderId="7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/>
    </xf>
    <xf numFmtId="0" fontId="14" fillId="6" borderId="7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0" fontId="14" fillId="6" borderId="53" xfId="0" applyFont="1" applyFill="1" applyBorder="1" applyAlignment="1">
      <alignment horizontal="center"/>
    </xf>
    <xf numFmtId="0" fontId="14" fillId="6" borderId="54" xfId="0" applyFont="1" applyFill="1" applyBorder="1" applyAlignment="1">
      <alignment horizontal="center"/>
    </xf>
  </cellXfs>
  <cellStyles count="7">
    <cellStyle name="Milliers 2" xfId="6"/>
    <cellStyle name="Normal" xfId="0" builtinId="0"/>
    <cellStyle name="Normal 2" xfId="2"/>
    <cellStyle name="Normal 3" xfId="4"/>
    <cellStyle name="Normal 4" xfId="5"/>
    <cellStyle name="Percent" xfId="1" builtinId="5"/>
    <cellStyle name="Percent 2" xfId="3"/>
  </cellStyles>
  <dxfs count="1436"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fill>
        <patternFill>
          <bgColor rgb="FFF0F0F0"/>
        </patternFill>
      </fill>
    </dxf>
    <dxf>
      <font>
        <b/>
        <i val="0"/>
        <color theme="0"/>
      </font>
      <fill>
        <patternFill>
          <bgColor rgb="FF0039A6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C1FDFD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35B4B6"/>
        </patternFill>
      </fill>
    </dxf>
    <dxf>
      <font>
        <b/>
        <i val="0"/>
        <color theme="0"/>
      </font>
      <fill>
        <patternFill>
          <bgColor rgb="FF35B4B6"/>
        </patternFill>
      </fill>
    </dxf>
    <dxf>
      <border>
        <left/>
        <right/>
        <top/>
        <bottom/>
        <vertical/>
        <horizontal/>
      </border>
    </dxf>
    <dxf>
      <fill>
        <patternFill>
          <bgColor rgb="FFFFB579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FF7400"/>
        </patternFill>
      </fill>
    </dxf>
    <dxf>
      <font>
        <b/>
        <i val="0"/>
        <color theme="0"/>
      </font>
      <fill>
        <patternFill>
          <bgColor rgb="FFFF7400"/>
        </patternFill>
      </fill>
    </dxf>
    <dxf>
      <border>
        <left/>
        <right/>
        <top/>
        <bottom/>
        <vertical/>
        <horizontal/>
      </border>
    </dxf>
    <dxf>
      <fill>
        <patternFill>
          <bgColor rgb="FFFF909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E73331"/>
        </patternFill>
      </fill>
    </dxf>
    <dxf>
      <font>
        <b/>
        <i val="0"/>
        <color theme="0"/>
      </font>
      <fill>
        <patternFill>
          <bgColor rgb="FFE7333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2E4FC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23F94"/>
        </patternFill>
      </fill>
    </dxf>
    <dxf>
      <font>
        <b/>
        <i val="0"/>
        <color theme="0"/>
      </font>
      <fill>
        <patternFill>
          <bgColor rgb="FF023F94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0039A6"/>
        </patternFill>
      </fill>
      <border>
        <bottom style="thin">
          <color theme="4" tint="0.39997558519241921"/>
        </bottom>
      </border>
    </dxf>
    <dxf>
      <font>
        <b/>
        <i val="0"/>
        <color theme="0"/>
      </font>
      <fill>
        <patternFill patternType="solid">
          <fgColor auto="1"/>
          <bgColor rgb="FF0039A6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fill>
        <patternFill>
          <bgColor rgb="FF0039A6"/>
        </patternFill>
      </fill>
      <border>
        <bottom style="thin">
          <color theme="4" tint="0.39997558519241921"/>
        </bottom>
      </border>
    </dxf>
    <dxf>
      <font>
        <b/>
        <color theme="1"/>
      </font>
      <fill>
        <patternFill>
          <bgColor rgb="FF0039A6"/>
        </patternFill>
      </fill>
    </dxf>
    <dxf>
      <font>
        <b/>
        <i val="0"/>
        <color theme="0"/>
      </font>
      <fill>
        <patternFill>
          <fgColor auto="1"/>
          <bgColor rgb="FF0039A6"/>
        </patternFill>
      </fill>
      <border>
        <top style="thin">
          <color theme="4"/>
        </top>
        <bottom style="thin">
          <color theme="4"/>
        </bottom>
      </border>
    </dxf>
    <dxf>
      <font>
        <b/>
        <i val="0"/>
        <color theme="0"/>
      </font>
      <fill>
        <patternFill patternType="solid">
          <fgColor auto="1"/>
          <bgColor rgb="FF0039A6"/>
        </patternFill>
      </fill>
      <border>
        <top style="thin">
          <color theme="4" tint="0.39997558519241921"/>
        </top>
      </border>
    </dxf>
    <dxf>
      <font>
        <b/>
        <i val="0"/>
        <color theme="0"/>
      </font>
      <fill>
        <patternFill patternType="solid">
          <fgColor auto="1"/>
          <bgColor rgb="FF0039A6"/>
        </patternFill>
      </fill>
      <border>
        <bottom style="thin">
          <color theme="4" tint="0.39997558519241921"/>
        </bottom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</dxfs>
  <tableStyles count="8" defaultTableStyle="TableStyleMedium2" defaultPivotStyle="PivotStyleLight16">
    <tableStyle name="TableStyleQueryResult" pivot="0" count="3">
      <tableStyleElement type="wholeTable" dxfId="1435"/>
      <tableStyleElement type="headerRow" dxfId="1434"/>
      <tableStyleElement type="firstRowStripe" dxfId="1433"/>
    </tableStyle>
    <tableStyle name="MySqlDefault" pivot="0" table="0" count="2">
      <tableStyleElement type="wholeTable" dxfId="1432"/>
      <tableStyleElement type="headerRow" dxfId="1431"/>
    </tableStyle>
    <tableStyle name="PivotStyleLight16 2" table="0" count="8">
      <tableStyleElement type="headerRow" dxfId="1430"/>
      <tableStyleElement type="totalRow" dxfId="1429"/>
      <tableStyleElement type="firstSubtotalRow" dxfId="1428"/>
      <tableStyleElement type="secondSubtotalRow" dxfId="1427"/>
      <tableStyleElement type="firstRowSubheading" dxfId="1426"/>
      <tableStyleElement type="secondRowSubheading" dxfId="1425"/>
      <tableStyleElement type="pageFieldLabels" dxfId="1424"/>
      <tableStyleElement type="pageFieldValues" dxfId="1423"/>
    </tableStyle>
    <tableStyle name="TableStyleOIM" pivot="0" count="5">
      <tableStyleElement type="wholeTable" dxfId="1422"/>
      <tableStyleElement type="headerRow" dxfId="1421"/>
      <tableStyleElement type="totalRow" dxfId="1420"/>
      <tableStyleElement type="firstRowStripe" dxfId="1419"/>
      <tableStyleElement type="secondRowStripe" dxfId="1418"/>
    </tableStyle>
    <tableStyle name="TableStyleOIM IDP" pivot="0" count="5">
      <tableStyleElement type="wholeTable" dxfId="1417"/>
      <tableStyleElement type="headerRow" dxfId="1416"/>
      <tableStyleElement type="totalRow" dxfId="1415"/>
      <tableStyleElement type="firstRowStripe" dxfId="1414"/>
      <tableStyleElement type="secondRowStripe" dxfId="1413"/>
    </tableStyle>
    <tableStyle name="TableStyleOIM REF 2" pivot="0" count="5">
      <tableStyleElement type="wholeTable" dxfId="1412"/>
      <tableStyleElement type="headerRow" dxfId="1411"/>
      <tableStyleElement type="totalRow" dxfId="1410"/>
      <tableStyleElement type="firstRowStripe" dxfId="1409"/>
      <tableStyleElement type="secondRowStripe" dxfId="1408"/>
    </tableStyle>
    <tableStyle name="TableStyleOIM RET 2" pivot="0" count="5">
      <tableStyleElement type="wholeTable" dxfId="1407"/>
      <tableStyleElement type="headerRow" dxfId="1406"/>
      <tableStyleElement type="totalRow" dxfId="1405"/>
      <tableStyleElement type="firstRowStripe" dxfId="1404"/>
      <tableStyleElement type="secondRowStripe" dxfId="1403"/>
    </tableStyle>
    <tableStyle name="TableStyleQueryPreview" pivot="0" count="3">
      <tableStyleElement type="wholeTable" dxfId="1402"/>
      <tableStyleElement type="headerRow" dxfId="1401"/>
      <tableStyleElement type="firstRowStripe" dxfId="1400"/>
    </tableStyle>
  </tableStyles>
  <colors>
    <mruColors>
      <color rgb="FF0039A6"/>
      <color rgb="FFFF7400"/>
      <color rgb="FF6E99D4"/>
      <color rgb="FFD2E4FC"/>
      <color rgb="FF023F94"/>
      <color rgb="FFFF9090"/>
      <color rgb="FF001074"/>
      <color rgb="FFFF7676"/>
      <color rgb="FF980000"/>
      <color rgb="FFFFB5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customXml" Target="../customXml/item1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39A6"/>
                </a:solidFill>
              </a:defRPr>
            </a:pPr>
            <a:r>
              <a:rPr lang="fr-FR" sz="1200" b="1" i="0" baseline="0">
                <a:solidFill>
                  <a:srgbClr val="0039A6"/>
                </a:solidFill>
                <a:effectLst/>
              </a:rPr>
              <a:t>Displaced population age distribution</a:t>
            </a:r>
            <a:endParaRPr lang="fr-FR" sz="1200">
              <a:solidFill>
                <a:srgbClr val="0039A6"/>
              </a:solidFill>
              <a:effectLst/>
            </a:endParaRP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2.2494887525562373E-2"/>
          <c:y val="0.15902140672782875"/>
          <c:w val="0.9038854805725971"/>
          <c:h val="0.796126401630988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Demographic!$B$24</c:f>
              <c:strCache>
                <c:ptCount val="1"/>
                <c:pt idx="0">
                  <c:v>100_Male</c:v>
                </c:pt>
              </c:strCache>
            </c:strRef>
          </c:tx>
          <c:spPr>
            <a:noFill/>
          </c:spPr>
          <c:invertIfNegative val="0"/>
          <c:cat>
            <c:strRef>
              <c:f>Demographic!$A$25:$A$30</c:f>
              <c:strCache>
                <c:ptCount val="6"/>
                <c:pt idx="0">
                  <c:v>0- 2 yrs</c:v>
                </c:pt>
                <c:pt idx="1">
                  <c:v>3-5 yrs</c:v>
                </c:pt>
                <c:pt idx="2">
                  <c:v>6-12 yrs</c:v>
                </c:pt>
                <c:pt idx="3">
                  <c:v>13-17 yrs</c:v>
                </c:pt>
                <c:pt idx="4">
                  <c:v>18-59 yrs</c:v>
                </c:pt>
                <c:pt idx="5">
                  <c:v>60 yrs +</c:v>
                </c:pt>
              </c:strCache>
            </c:strRef>
          </c:cat>
          <c:val>
            <c:numRef>
              <c:f>Demographic!$B$25:$B$30</c:f>
              <c:numCache>
                <c:formatCode>_(* #,##0.00_);_(* \(#,##0.00\);_(* "-"??_);_(@_)</c:formatCode>
                <c:ptCount val="6"/>
                <c:pt idx="0">
                  <c:v>0.38600942370424068</c:v>
                </c:pt>
                <c:pt idx="1">
                  <c:v>0.32493657122145703</c:v>
                </c:pt>
                <c:pt idx="2">
                  <c:v>0.25558777334783134</c:v>
                </c:pt>
                <c:pt idx="3">
                  <c:v>0.35048930772018849</c:v>
                </c:pt>
                <c:pt idx="4">
                  <c:v>0.21312069590431315</c:v>
                </c:pt>
                <c:pt idx="5">
                  <c:v>0.46985622810196931</c:v>
                </c:pt>
              </c:numCache>
            </c:numRef>
          </c:val>
        </c:ser>
        <c:ser>
          <c:idx val="1"/>
          <c:order val="1"/>
          <c:tx>
            <c:strRef>
              <c:f>Demographic!$C$24</c:f>
              <c:strCache>
                <c:ptCount val="1"/>
                <c:pt idx="0">
                  <c:v>Male 50%</c:v>
                </c:pt>
              </c:strCache>
            </c:strRef>
          </c:tx>
          <c:spPr>
            <a:solidFill>
              <a:srgbClr val="0039A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Demographic!$A$25:$A$30</c:f>
              <c:strCache>
                <c:ptCount val="6"/>
                <c:pt idx="0">
                  <c:v>0- 2 yrs</c:v>
                </c:pt>
                <c:pt idx="1">
                  <c:v>3-5 yrs</c:v>
                </c:pt>
                <c:pt idx="2">
                  <c:v>6-12 yrs</c:v>
                </c:pt>
                <c:pt idx="3">
                  <c:v>13-17 yrs</c:v>
                </c:pt>
                <c:pt idx="4">
                  <c:v>18-59 yrs</c:v>
                </c:pt>
                <c:pt idx="5">
                  <c:v>60 yrs +</c:v>
                </c:pt>
              </c:strCache>
            </c:strRef>
          </c:cat>
          <c:val>
            <c:numRef>
              <c:f>Demographic!$C$25:$C$30</c:f>
              <c:numCache>
                <c:formatCode>0%</c:formatCode>
                <c:ptCount val="6"/>
                <c:pt idx="0">
                  <c:v>0.11399057629575933</c:v>
                </c:pt>
                <c:pt idx="1">
                  <c:v>0.17506342877854295</c:v>
                </c:pt>
                <c:pt idx="2">
                  <c:v>0.24441222665216866</c:v>
                </c:pt>
                <c:pt idx="3">
                  <c:v>0.14951069227981154</c:v>
                </c:pt>
                <c:pt idx="4">
                  <c:v>0.28687930409568685</c:v>
                </c:pt>
                <c:pt idx="5">
                  <c:v>3.0143771898030688E-2</c:v>
                </c:pt>
              </c:numCache>
            </c:numRef>
          </c:val>
        </c:ser>
        <c:ser>
          <c:idx val="2"/>
          <c:order val="2"/>
          <c:tx>
            <c:strRef>
              <c:f>Demographic!$D$24</c:f>
              <c:strCache>
                <c:ptCount val="1"/>
                <c:pt idx="0">
                  <c:v>Gap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0.35804717125819091"/>
                  <c:y val="-5.3724049591951034E-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35566019011646965"/>
                  <c:y val="-1.074480991839020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36043415239991217"/>
                  <c:y val="-1.217674620082134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36043415239991217"/>
                  <c:y val="-5.3724049591951034E-3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36282113354163348"/>
                  <c:y val="1.2176746200821343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35804717125819091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Demographic!$A$25:$A$30</c:f>
              <c:strCache>
                <c:ptCount val="6"/>
                <c:pt idx="0">
                  <c:v>0- 2 yrs</c:v>
                </c:pt>
                <c:pt idx="1">
                  <c:v>3-5 yrs</c:v>
                </c:pt>
                <c:pt idx="2">
                  <c:v>6-12 yrs</c:v>
                </c:pt>
                <c:pt idx="3">
                  <c:v>13-17 yrs</c:v>
                </c:pt>
                <c:pt idx="4">
                  <c:v>18-59 yrs</c:v>
                </c:pt>
                <c:pt idx="5">
                  <c:v>60 yrs +</c:v>
                </c:pt>
              </c:strCache>
            </c:strRef>
          </c:cat>
          <c:val>
            <c:numRef>
              <c:f>Demographic!$D$25:$D$30</c:f>
              <c:numCache>
                <c:formatCode>General</c:formatCode>
                <c:ptCount val="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</c:numCache>
            </c:numRef>
          </c:val>
        </c:ser>
        <c:ser>
          <c:idx val="3"/>
          <c:order val="3"/>
          <c:tx>
            <c:strRef>
              <c:f>Demographic!$E$24</c:f>
              <c:strCache>
                <c:ptCount val="1"/>
                <c:pt idx="0">
                  <c:v>100_Female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dLbls>
            <c:dLbl>
              <c:idx val="5"/>
              <c:layout>
                <c:manualLayout>
                  <c:x val="2.81039420979128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Demographic!$A$25:$A$30</c:f>
              <c:strCache>
                <c:ptCount val="6"/>
                <c:pt idx="0">
                  <c:v>0- 2 yrs</c:v>
                </c:pt>
                <c:pt idx="1">
                  <c:v>3-5 yrs</c:v>
                </c:pt>
                <c:pt idx="2">
                  <c:v>6-12 yrs</c:v>
                </c:pt>
                <c:pt idx="3">
                  <c:v>13-17 yrs</c:v>
                </c:pt>
                <c:pt idx="4">
                  <c:v>18-59 yrs</c:v>
                </c:pt>
                <c:pt idx="5">
                  <c:v>60 yrs +</c:v>
                </c:pt>
              </c:strCache>
            </c:strRef>
          </c:cat>
          <c:val>
            <c:numRef>
              <c:f>Demographic!$E$25:$E$30</c:f>
              <c:numCache>
                <c:formatCode>0%</c:formatCode>
                <c:ptCount val="6"/>
                <c:pt idx="0">
                  <c:v>9.5949367088607601E-2</c:v>
                </c:pt>
                <c:pt idx="1">
                  <c:v>0.17696202531645569</c:v>
                </c:pt>
                <c:pt idx="2">
                  <c:v>0.21740506329113923</c:v>
                </c:pt>
                <c:pt idx="3">
                  <c:v>0.13246835443037974</c:v>
                </c:pt>
                <c:pt idx="4">
                  <c:v>0.35424050632911391</c:v>
                </c:pt>
                <c:pt idx="5">
                  <c:v>2.2974683544303799E-2</c:v>
                </c:pt>
              </c:numCache>
            </c:numRef>
          </c:val>
        </c:ser>
        <c:ser>
          <c:idx val="4"/>
          <c:order val="4"/>
          <c:tx>
            <c:strRef>
              <c:f>Demographic!$F$24</c:f>
              <c:strCache>
                <c:ptCount val="1"/>
                <c:pt idx="0">
                  <c:v>Female 50%</c:v>
                </c:pt>
              </c:strCache>
            </c:strRef>
          </c:tx>
          <c:spPr>
            <a:noFill/>
          </c:spPr>
          <c:invertIfNegative val="0"/>
          <c:cat>
            <c:strRef>
              <c:f>Demographic!$A$25:$A$30</c:f>
              <c:strCache>
                <c:ptCount val="6"/>
                <c:pt idx="0">
                  <c:v>0- 2 yrs</c:v>
                </c:pt>
                <c:pt idx="1">
                  <c:v>3-5 yrs</c:v>
                </c:pt>
                <c:pt idx="2">
                  <c:v>6-12 yrs</c:v>
                </c:pt>
                <c:pt idx="3">
                  <c:v>13-17 yrs</c:v>
                </c:pt>
                <c:pt idx="4">
                  <c:v>18-59 yrs</c:v>
                </c:pt>
                <c:pt idx="5">
                  <c:v>60 yrs +</c:v>
                </c:pt>
              </c:strCache>
            </c:strRef>
          </c:cat>
          <c:val>
            <c:numRef>
              <c:f>Demographic!$F$25:$F$30</c:f>
              <c:numCache>
                <c:formatCode>_(* #,##0.00_);_(* \(#,##0.00\);_(* "-"??_);_(@_)</c:formatCode>
                <c:ptCount val="6"/>
                <c:pt idx="0">
                  <c:v>0.40405063291139243</c:v>
                </c:pt>
                <c:pt idx="1">
                  <c:v>0.32303797468354434</c:v>
                </c:pt>
                <c:pt idx="2">
                  <c:v>0.28259493670886077</c:v>
                </c:pt>
                <c:pt idx="3">
                  <c:v>0.36753164556962026</c:v>
                </c:pt>
                <c:pt idx="4">
                  <c:v>0.14575949367088609</c:v>
                </c:pt>
                <c:pt idx="5">
                  <c:v>0.47702531645569618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312692536"/>
        <c:axId val="312692928"/>
      </c:barChart>
      <c:catAx>
        <c:axId val="3126925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312692928"/>
        <c:crosses val="autoZero"/>
        <c:auto val="1"/>
        <c:lblAlgn val="ctr"/>
        <c:lblOffset val="100"/>
        <c:noMultiLvlLbl val="0"/>
      </c:catAx>
      <c:valAx>
        <c:axId val="312692928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312692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Types d abris pour les populations déplacées internes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Settlement_totals!$P$5</c:f>
              <c:strCache>
                <c:ptCount val="1"/>
                <c:pt idx="0">
                  <c:v>Sites spontanés</c:v>
                </c:pt>
              </c:strCache>
            </c:strRef>
          </c:tx>
          <c:spPr>
            <a:solidFill>
              <a:srgbClr val="980000"/>
            </a:solidFill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Settlement_totals!$O$6:$O$11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Settlement_totals!$P$6:$P$11</c:f>
              <c:numCache>
                <c:formatCode>0%</c:formatCode>
                <c:ptCount val="6"/>
                <c:pt idx="0">
                  <c:v>6.4171122994652413E-2</c:v>
                </c:pt>
                <c:pt idx="1">
                  <c:v>0.20938351905877853</c:v>
                </c:pt>
                <c:pt idx="2">
                  <c:v>0.50706119704102215</c:v>
                </c:pt>
                <c:pt idx="3">
                  <c:v>0</c:v>
                </c:pt>
                <c:pt idx="4">
                  <c:v>0.49885844748858449</c:v>
                </c:pt>
                <c:pt idx="5">
                  <c:v>1.8209179834462002E-2</c:v>
                </c:pt>
              </c:numCache>
            </c:numRef>
          </c:val>
        </c:ser>
        <c:ser>
          <c:idx val="1"/>
          <c:order val="1"/>
          <c:tx>
            <c:strRef>
              <c:f>Settlement_totals!$Q$5</c:f>
              <c:strCache>
                <c:ptCount val="1"/>
                <c:pt idx="0">
                  <c:v>Location</c:v>
                </c:pt>
              </c:strCache>
            </c:strRef>
          </c:tx>
          <c:spPr>
            <a:solidFill>
              <a:srgbClr val="79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Settlement_totals!$O$6:$O$11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Settlement_totals!$Q$6:$Q$11</c:f>
              <c:numCache>
                <c:formatCode>0%</c:formatCode>
                <c:ptCount val="6"/>
                <c:pt idx="0">
                  <c:v>0.6053475935828877</c:v>
                </c:pt>
                <c:pt idx="1">
                  <c:v>0.16246592376488594</c:v>
                </c:pt>
                <c:pt idx="2">
                  <c:v>5.8507061197041021E-2</c:v>
                </c:pt>
                <c:pt idx="3">
                  <c:v>0.26315789473684209</c:v>
                </c:pt>
                <c:pt idx="4">
                  <c:v>0.30136986301369861</c:v>
                </c:pt>
                <c:pt idx="5">
                  <c:v>0.16463506395786306</c:v>
                </c:pt>
              </c:numCache>
            </c:numRef>
          </c:val>
        </c:ser>
        <c:ser>
          <c:idx val="2"/>
          <c:order val="2"/>
          <c:tx>
            <c:strRef>
              <c:f>Settlement_totals!$R$5</c:f>
              <c:strCache>
                <c:ptCount val="1"/>
                <c:pt idx="0">
                  <c:v>Collectif</c:v>
                </c:pt>
              </c:strCache>
            </c:strRef>
          </c:tx>
          <c:spPr>
            <a:solidFill>
              <a:srgbClr val="E73331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Settlement_totals!$O$6:$O$11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Settlement_totals!$R$6:$R$11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0.12373907195696032</c:v>
                </c:pt>
                <c:pt idx="3">
                  <c:v>0</c:v>
                </c:pt>
                <c:pt idx="4">
                  <c:v>1.4269406392694063E-3</c:v>
                </c:pt>
                <c:pt idx="5">
                  <c:v>8.0210684725357417E-2</c:v>
                </c:pt>
              </c:numCache>
            </c:numRef>
          </c:val>
        </c:ser>
        <c:ser>
          <c:idx val="3"/>
          <c:order val="3"/>
          <c:tx>
            <c:strRef>
              <c:f>Settlement_totals!$S$5</c:f>
              <c:strCache>
                <c:ptCount val="1"/>
                <c:pt idx="0">
                  <c:v>Air Libre</c:v>
                </c:pt>
              </c:strCache>
            </c:strRef>
          </c:tx>
          <c:spPr>
            <a:solidFill>
              <a:srgbClr val="FF7676"/>
            </a:solidFill>
          </c:spPr>
          <c:invertIfNegative val="0"/>
          <c:cat>
            <c:strRef>
              <c:f>Settlement_totals!$O$6:$O$11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Settlement_totals!$S$6:$S$11</c:f>
              <c:numCache>
                <c:formatCode>0%</c:formatCode>
                <c:ptCount val="6"/>
                <c:pt idx="0">
                  <c:v>0</c:v>
                </c:pt>
                <c:pt idx="1">
                  <c:v>5.1174135539719737E-3</c:v>
                </c:pt>
                <c:pt idx="2">
                  <c:v>1.3449899125756557E-3</c:v>
                </c:pt>
                <c:pt idx="3">
                  <c:v>0</c:v>
                </c:pt>
                <c:pt idx="4">
                  <c:v>0</c:v>
                </c:pt>
                <c:pt idx="5">
                  <c:v>3.8525206922498119E-2</c:v>
                </c:pt>
              </c:numCache>
            </c:numRef>
          </c:val>
        </c:ser>
        <c:ser>
          <c:idx val="4"/>
          <c:order val="4"/>
          <c:tx>
            <c:strRef>
              <c:f>Settlement_totals!$T$5</c:f>
              <c:strCache>
                <c:ptCount val="1"/>
                <c:pt idx="0">
                  <c:v>Familles d accueil</c:v>
                </c:pt>
              </c:strCache>
            </c:strRef>
          </c:tx>
          <c:spPr>
            <a:solidFill>
              <a:srgbClr val="FF909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Settlement_totals!$O$6:$O$11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Settlement_totals!$T$6:$T$11</c:f>
              <c:numCache>
                <c:formatCode>0%</c:formatCode>
                <c:ptCount val="6"/>
                <c:pt idx="0">
                  <c:v>0.33048128342245991</c:v>
                </c:pt>
                <c:pt idx="1">
                  <c:v>0.62303314362236362</c:v>
                </c:pt>
                <c:pt idx="2">
                  <c:v>0.30934767989240081</c:v>
                </c:pt>
                <c:pt idx="3">
                  <c:v>0.73684210526315785</c:v>
                </c:pt>
                <c:pt idx="4">
                  <c:v>0.19834474885844749</c:v>
                </c:pt>
                <c:pt idx="5">
                  <c:v>0.69841986455981941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808968"/>
        <c:axId val="311801520"/>
      </c:barChart>
      <c:catAx>
        <c:axId val="311808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11801520"/>
        <c:crosses val="autoZero"/>
        <c:auto val="1"/>
        <c:lblAlgn val="ctr"/>
        <c:lblOffset val="100"/>
        <c:noMultiLvlLbl val="0"/>
      </c:catAx>
      <c:valAx>
        <c:axId val="3118015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1180896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Shelter types for IDP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Settlement_totals!$P$28</c:f>
              <c:strCache>
                <c:ptCount val="1"/>
                <c:pt idx="0">
                  <c:v>Spontaneous sites</c:v>
                </c:pt>
              </c:strCache>
            </c:strRef>
          </c:tx>
          <c:spPr>
            <a:solidFill>
              <a:srgbClr val="980000"/>
            </a:solidFill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Settlement_totals!$O$29:$O$34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Settlement_totals!$P$29:$P$34</c:f>
              <c:numCache>
                <c:formatCode>0%</c:formatCode>
                <c:ptCount val="6"/>
                <c:pt idx="0">
                  <c:v>6.4171122994652413E-2</c:v>
                </c:pt>
                <c:pt idx="1">
                  <c:v>0.20938351905877853</c:v>
                </c:pt>
                <c:pt idx="2">
                  <c:v>0.50706119704102215</c:v>
                </c:pt>
                <c:pt idx="3">
                  <c:v>0</c:v>
                </c:pt>
                <c:pt idx="4">
                  <c:v>0.49885844748858449</c:v>
                </c:pt>
                <c:pt idx="5">
                  <c:v>1.8209179834462002E-2</c:v>
                </c:pt>
              </c:numCache>
            </c:numRef>
          </c:val>
        </c:ser>
        <c:ser>
          <c:idx val="1"/>
          <c:order val="1"/>
          <c:tx>
            <c:strRef>
              <c:f>Settlement_totals!$Q$28</c:f>
              <c:strCache>
                <c:ptCount val="1"/>
                <c:pt idx="0">
                  <c:v>Rental</c:v>
                </c:pt>
              </c:strCache>
            </c:strRef>
          </c:tx>
          <c:spPr>
            <a:solidFill>
              <a:srgbClr val="79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Settlement_totals!$O$29:$O$34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Settlement_totals!$Q$29:$Q$34</c:f>
              <c:numCache>
                <c:formatCode>0%</c:formatCode>
                <c:ptCount val="6"/>
                <c:pt idx="0">
                  <c:v>0.6053475935828877</c:v>
                </c:pt>
                <c:pt idx="1">
                  <c:v>0.16246592376488594</c:v>
                </c:pt>
                <c:pt idx="2">
                  <c:v>5.8507061197041021E-2</c:v>
                </c:pt>
                <c:pt idx="3">
                  <c:v>0.26315789473684209</c:v>
                </c:pt>
                <c:pt idx="4">
                  <c:v>0.30136986301369861</c:v>
                </c:pt>
                <c:pt idx="5">
                  <c:v>0.16463506395786306</c:v>
                </c:pt>
              </c:numCache>
            </c:numRef>
          </c:val>
        </c:ser>
        <c:ser>
          <c:idx val="2"/>
          <c:order val="2"/>
          <c:tx>
            <c:strRef>
              <c:f>Settlement_totals!$R$28</c:f>
              <c:strCache>
                <c:ptCount val="1"/>
                <c:pt idx="0">
                  <c:v>Collective</c:v>
                </c:pt>
              </c:strCache>
            </c:strRef>
          </c:tx>
          <c:spPr>
            <a:solidFill>
              <a:srgbClr val="E73331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Settlement_totals!$O$29:$O$34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Settlement_totals!$R$29:$R$34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0.12373907195696032</c:v>
                </c:pt>
                <c:pt idx="3">
                  <c:v>0</c:v>
                </c:pt>
                <c:pt idx="4">
                  <c:v>1.4269406392694063E-3</c:v>
                </c:pt>
                <c:pt idx="5">
                  <c:v>8.0210684725357417E-2</c:v>
                </c:pt>
              </c:numCache>
            </c:numRef>
          </c:val>
        </c:ser>
        <c:ser>
          <c:idx val="3"/>
          <c:order val="3"/>
          <c:tx>
            <c:strRef>
              <c:f>Settlement_totals!$S$28</c:f>
              <c:strCache>
                <c:ptCount val="1"/>
                <c:pt idx="0">
                  <c:v>Open air</c:v>
                </c:pt>
              </c:strCache>
            </c:strRef>
          </c:tx>
          <c:spPr>
            <a:solidFill>
              <a:srgbClr val="FF7676"/>
            </a:solidFill>
          </c:spPr>
          <c:invertIfNegative val="0"/>
          <c:cat>
            <c:strRef>
              <c:f>Settlement_totals!$O$29:$O$34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Settlement_totals!$S$29:$S$34</c:f>
              <c:numCache>
                <c:formatCode>0%</c:formatCode>
                <c:ptCount val="6"/>
                <c:pt idx="0">
                  <c:v>0</c:v>
                </c:pt>
                <c:pt idx="1">
                  <c:v>5.1174135539719737E-3</c:v>
                </c:pt>
                <c:pt idx="2">
                  <c:v>1.3449899125756557E-3</c:v>
                </c:pt>
                <c:pt idx="3">
                  <c:v>0</c:v>
                </c:pt>
                <c:pt idx="4">
                  <c:v>0</c:v>
                </c:pt>
                <c:pt idx="5">
                  <c:v>3.8525206922498119E-2</c:v>
                </c:pt>
              </c:numCache>
            </c:numRef>
          </c:val>
        </c:ser>
        <c:ser>
          <c:idx val="4"/>
          <c:order val="4"/>
          <c:tx>
            <c:strRef>
              <c:f>Settlement_totals!$T$28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rgbClr val="FF909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Settlement_totals!$O$29:$O$34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Settlement_totals!$T$29:$T$34</c:f>
              <c:numCache>
                <c:formatCode>0%</c:formatCode>
                <c:ptCount val="6"/>
                <c:pt idx="0">
                  <c:v>0.33048128342245991</c:v>
                </c:pt>
                <c:pt idx="1">
                  <c:v>0.62303314362236362</c:v>
                </c:pt>
                <c:pt idx="2">
                  <c:v>0.30934767989240081</c:v>
                </c:pt>
                <c:pt idx="3">
                  <c:v>0.73684210526315785</c:v>
                </c:pt>
                <c:pt idx="4">
                  <c:v>0.19834474885844749</c:v>
                </c:pt>
                <c:pt idx="5">
                  <c:v>0.69841986455981941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804656"/>
        <c:axId val="198635840"/>
      </c:barChart>
      <c:catAx>
        <c:axId val="311804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8635840"/>
        <c:crosses val="autoZero"/>
        <c:auto val="1"/>
        <c:lblAlgn val="ctr"/>
        <c:lblOffset val="100"/>
        <c:noMultiLvlLbl val="0"/>
      </c:catAx>
      <c:valAx>
        <c:axId val="1986358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1180465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Raisons</a:t>
            </a:r>
            <a:r>
              <a:rPr lang="fr-FR" sz="1200" baseline="0">
                <a:solidFill>
                  <a:srgbClr val="0010A6"/>
                </a:solidFill>
              </a:rPr>
              <a:t> du déplacement</a:t>
            </a:r>
            <a:endParaRPr lang="fr-FR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Displacement_Reasons!$E$112</c:f>
              <c:strCache>
                <c:ptCount val="1"/>
                <c:pt idx="0">
                  <c:v>Conflits</c:v>
                </c:pt>
              </c:strCache>
            </c:strRef>
          </c:tx>
          <c:spPr>
            <a:solidFill>
              <a:srgbClr val="023F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Displacement_Reasons!$D$100:$D$105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Displacement_Reasons!$E$113:$E$118</c:f>
              <c:numCache>
                <c:formatCode>0%</c:formatCode>
                <c:ptCount val="6"/>
                <c:pt idx="0">
                  <c:v>0.9473951285520974</c:v>
                </c:pt>
                <c:pt idx="1">
                  <c:v>0.93361630636744952</c:v>
                </c:pt>
                <c:pt idx="2">
                  <c:v>4.1928596844976872E-2</c:v>
                </c:pt>
                <c:pt idx="3">
                  <c:v>0.88357843137254899</c:v>
                </c:pt>
                <c:pt idx="4">
                  <c:v>0.97266226479108486</c:v>
                </c:pt>
                <c:pt idx="5">
                  <c:v>0.99823813947528595</c:v>
                </c:pt>
              </c:numCache>
            </c:numRef>
          </c:val>
        </c:ser>
        <c:ser>
          <c:idx val="1"/>
          <c:order val="1"/>
          <c:tx>
            <c:strRef>
              <c:f>Displacement_Reasons!$F$112</c:f>
              <c:strCache>
                <c:ptCount val="1"/>
                <c:pt idx="0">
                  <c:v>Climat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Displacement_Reasons!$D$100:$D$105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Displacement_Reasons!$F$113:$F$118</c:f>
              <c:numCache>
                <c:formatCode>0%</c:formatCode>
                <c:ptCount val="6"/>
                <c:pt idx="0">
                  <c:v>0</c:v>
                </c:pt>
                <c:pt idx="1">
                  <c:v>6.592196174857308E-2</c:v>
                </c:pt>
                <c:pt idx="2">
                  <c:v>0.95623294982801565</c:v>
                </c:pt>
                <c:pt idx="3">
                  <c:v>0</c:v>
                </c:pt>
                <c:pt idx="4">
                  <c:v>2.7337735208915102E-2</c:v>
                </c:pt>
                <c:pt idx="5">
                  <c:v>1.2012685395777942E-3</c:v>
                </c:pt>
              </c:numCache>
            </c:numRef>
          </c:val>
        </c:ser>
        <c:ser>
          <c:idx val="2"/>
          <c:order val="2"/>
          <c:tx>
            <c:strRef>
              <c:f>Displacement_Reasons!$G$112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rgbClr val="D2E4FC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Displacement_Reasons!$D$100:$D$105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Displacement_Reasons!$G$113:$G$118</c:f>
              <c:numCache>
                <c:formatCode>0%</c:formatCode>
                <c:ptCount val="6"/>
                <c:pt idx="0">
                  <c:v>5.2604871447902574E-2</c:v>
                </c:pt>
                <c:pt idx="1">
                  <c:v>4.6173188397734732E-4</c:v>
                </c:pt>
                <c:pt idx="2">
                  <c:v>1.8384533270074724E-3</c:v>
                </c:pt>
                <c:pt idx="3">
                  <c:v>0.11642156862745098</c:v>
                </c:pt>
                <c:pt idx="4">
                  <c:v>0</c:v>
                </c:pt>
                <c:pt idx="5">
                  <c:v>5.6059198513630395E-4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8632704"/>
        <c:axId val="198636624"/>
      </c:barChart>
      <c:catAx>
        <c:axId val="198632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8636624"/>
        <c:crosses val="autoZero"/>
        <c:auto val="1"/>
        <c:lblAlgn val="ctr"/>
        <c:lblOffset val="100"/>
        <c:noMultiLvlLbl val="0"/>
      </c:catAx>
      <c:valAx>
        <c:axId val="1986366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863270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Displacement reasons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Displacement_Reasons!$O$112</c:f>
              <c:strCache>
                <c:ptCount val="1"/>
                <c:pt idx="0">
                  <c:v>Conflicts</c:v>
                </c:pt>
              </c:strCache>
            </c:strRef>
          </c:tx>
          <c:spPr>
            <a:solidFill>
              <a:srgbClr val="023F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Displacement_Reasons!$N$113:$N$118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Displacement_Reasons!$O$113:$O$118</c:f>
              <c:numCache>
                <c:formatCode>0%</c:formatCode>
                <c:ptCount val="6"/>
                <c:pt idx="0">
                  <c:v>0.9473951285520974</c:v>
                </c:pt>
                <c:pt idx="1">
                  <c:v>0.93361630636744952</c:v>
                </c:pt>
                <c:pt idx="2">
                  <c:v>4.1928596844976872E-2</c:v>
                </c:pt>
                <c:pt idx="3">
                  <c:v>0.88357843137254899</c:v>
                </c:pt>
                <c:pt idx="4">
                  <c:v>0.97266226479108486</c:v>
                </c:pt>
                <c:pt idx="5">
                  <c:v>0.99823813947528595</c:v>
                </c:pt>
              </c:numCache>
            </c:numRef>
          </c:val>
        </c:ser>
        <c:ser>
          <c:idx val="1"/>
          <c:order val="1"/>
          <c:tx>
            <c:strRef>
              <c:f>Displacement_Reasons!$P$112</c:f>
              <c:strCache>
                <c:ptCount val="1"/>
                <c:pt idx="0">
                  <c:v>Climate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Displacement_Reasons!$N$113:$N$118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Displacement_Reasons!$P$113:$P$118</c:f>
              <c:numCache>
                <c:formatCode>0%</c:formatCode>
                <c:ptCount val="6"/>
                <c:pt idx="0">
                  <c:v>0</c:v>
                </c:pt>
                <c:pt idx="1">
                  <c:v>6.592196174857308E-2</c:v>
                </c:pt>
                <c:pt idx="2">
                  <c:v>0.95623294982801565</c:v>
                </c:pt>
                <c:pt idx="3">
                  <c:v>0</c:v>
                </c:pt>
                <c:pt idx="4">
                  <c:v>2.7337735208915102E-2</c:v>
                </c:pt>
                <c:pt idx="5">
                  <c:v>1.2012685395777942E-3</c:v>
                </c:pt>
              </c:numCache>
            </c:numRef>
          </c:val>
        </c:ser>
        <c:ser>
          <c:idx val="2"/>
          <c:order val="2"/>
          <c:tx>
            <c:strRef>
              <c:f>Displacement_Reasons!$Q$112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D2E4FC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Displacement_Reasons!$N$113:$N$118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Displacement_Reasons!$Q$113:$Q$118</c:f>
              <c:numCache>
                <c:formatCode>0%</c:formatCode>
                <c:ptCount val="6"/>
                <c:pt idx="0">
                  <c:v>5.2604871447902574E-2</c:v>
                </c:pt>
                <c:pt idx="1">
                  <c:v>4.6173188397734732E-4</c:v>
                </c:pt>
                <c:pt idx="2">
                  <c:v>1.8384533270074724E-3</c:v>
                </c:pt>
                <c:pt idx="3">
                  <c:v>0.11642156862745098</c:v>
                </c:pt>
                <c:pt idx="4">
                  <c:v>0</c:v>
                </c:pt>
                <c:pt idx="5">
                  <c:v>5.6059198513630395E-4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8635056"/>
        <c:axId val="198635448"/>
      </c:barChart>
      <c:catAx>
        <c:axId val="198635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8635448"/>
        <c:crosses val="autoZero"/>
        <c:auto val="1"/>
        <c:lblAlgn val="ctr"/>
        <c:lblOffset val="100"/>
        <c:noMultiLvlLbl val="0"/>
      </c:catAx>
      <c:valAx>
        <c:axId val="1986354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863505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Motifs de retour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Displacement_Reasons!$E$234</c:f>
              <c:strCache>
                <c:ptCount val="1"/>
                <c:pt idx="0">
                  <c:v>Conflits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Displacement_Reasons!$D$235:$D$240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Displacement_Reasons!$E$235:$E$240</c:f>
              <c:numCache>
                <c:formatCode>#,##0</c:formatCode>
                <c:ptCount val="6"/>
                <c:pt idx="0">
                  <c:v>19</c:v>
                </c:pt>
                <c:pt idx="1">
                  <c:v>23551</c:v>
                </c:pt>
                <c:pt idx="2">
                  <c:v>41</c:v>
                </c:pt>
                <c:pt idx="3">
                  <c:v>572</c:v>
                </c:pt>
                <c:pt idx="4">
                  <c:v>17128</c:v>
                </c:pt>
                <c:pt idx="5">
                  <c:v>17086</c:v>
                </c:pt>
              </c:numCache>
            </c:numRef>
          </c:val>
        </c:ser>
        <c:ser>
          <c:idx val="1"/>
          <c:order val="1"/>
          <c:tx>
            <c:strRef>
              <c:f>Displacement_Reasons!$F$234</c:f>
              <c:strCache>
                <c:ptCount val="1"/>
                <c:pt idx="0">
                  <c:v>Climat</c:v>
                </c:pt>
              </c:strCache>
            </c:strRef>
          </c:tx>
          <c:spPr>
            <a:solidFill>
              <a:srgbClr val="C1FDFD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Displacement_Reasons!$D$235:$D$240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Displacement_Reasons!$F$235:$F$240</c:f>
              <c:numCache>
                <c:formatCode>#,##0</c:formatCode>
                <c:ptCount val="6"/>
                <c:pt idx="0">
                  <c:v>0</c:v>
                </c:pt>
                <c:pt idx="1">
                  <c:v>4416</c:v>
                </c:pt>
                <c:pt idx="2">
                  <c:v>6388</c:v>
                </c:pt>
                <c:pt idx="3">
                  <c:v>0</c:v>
                </c:pt>
                <c:pt idx="4">
                  <c:v>0</c:v>
                </c:pt>
                <c:pt idx="5">
                  <c:v>75</c:v>
                </c:pt>
              </c:numCache>
            </c:numRef>
          </c:val>
        </c:ser>
        <c:ser>
          <c:idx val="2"/>
          <c:order val="2"/>
          <c:tx>
            <c:strRef>
              <c:f>Displacement_Reasons!$G$234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rgbClr val="007E7E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Displacement_Reasons!$D$235:$D$240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Displacement_Reasons!$G$235:$G$240</c:f>
              <c:numCache>
                <c:formatCode>#,##0</c:formatCode>
                <c:ptCount val="6"/>
                <c:pt idx="0">
                  <c:v>311</c:v>
                </c:pt>
                <c:pt idx="1">
                  <c:v>13</c:v>
                </c:pt>
                <c:pt idx="2">
                  <c:v>0</c:v>
                </c:pt>
                <c:pt idx="3">
                  <c:v>95</c:v>
                </c:pt>
                <c:pt idx="4">
                  <c:v>0</c:v>
                </c:pt>
                <c:pt idx="5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4723184"/>
        <c:axId val="314728280"/>
      </c:barChart>
      <c:catAx>
        <c:axId val="3147231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14728280"/>
        <c:crosses val="autoZero"/>
        <c:auto val="1"/>
        <c:lblAlgn val="ctr"/>
        <c:lblOffset val="100"/>
        <c:noMultiLvlLbl val="0"/>
      </c:catAx>
      <c:valAx>
        <c:axId val="314728280"/>
        <c:scaling>
          <c:orientation val="minMax"/>
        </c:scaling>
        <c:delete val="1"/>
        <c:axPos val="b"/>
        <c:majorGridlines/>
        <c:numFmt formatCode="0%" sourceLinked="1"/>
        <c:majorTickMark val="out"/>
        <c:minorTickMark val="none"/>
        <c:tickLblPos val="nextTo"/>
        <c:crossAx val="31472318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Return motivations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Displacement_Reasons!$O$234</c:f>
              <c:strCache>
                <c:ptCount val="1"/>
                <c:pt idx="0">
                  <c:v>Conflicts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Displacement_Reasons!$N$235:$N$240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Displacement_Reasons!$O$235:$O$240</c:f>
              <c:numCache>
                <c:formatCode>#,##0</c:formatCode>
                <c:ptCount val="6"/>
                <c:pt idx="0">
                  <c:v>19</c:v>
                </c:pt>
                <c:pt idx="1">
                  <c:v>23551</c:v>
                </c:pt>
                <c:pt idx="2">
                  <c:v>41</c:v>
                </c:pt>
                <c:pt idx="3">
                  <c:v>572</c:v>
                </c:pt>
                <c:pt idx="4">
                  <c:v>17128</c:v>
                </c:pt>
                <c:pt idx="5">
                  <c:v>17086</c:v>
                </c:pt>
              </c:numCache>
            </c:numRef>
          </c:val>
        </c:ser>
        <c:ser>
          <c:idx val="1"/>
          <c:order val="1"/>
          <c:tx>
            <c:strRef>
              <c:f>Displacement_Reasons!$P$234</c:f>
              <c:strCache>
                <c:ptCount val="1"/>
                <c:pt idx="0">
                  <c:v>Climate related</c:v>
                </c:pt>
              </c:strCache>
            </c:strRef>
          </c:tx>
          <c:spPr>
            <a:solidFill>
              <a:srgbClr val="C1FDFD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Displacement_Reasons!$N$235:$N$240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Displacement_Reasons!$P$235:$P$240</c:f>
              <c:numCache>
                <c:formatCode>#,##0</c:formatCode>
                <c:ptCount val="6"/>
                <c:pt idx="0">
                  <c:v>0</c:v>
                </c:pt>
                <c:pt idx="1">
                  <c:v>4416</c:v>
                </c:pt>
                <c:pt idx="2">
                  <c:v>6388</c:v>
                </c:pt>
                <c:pt idx="3">
                  <c:v>0</c:v>
                </c:pt>
                <c:pt idx="4">
                  <c:v>0</c:v>
                </c:pt>
                <c:pt idx="5">
                  <c:v>75</c:v>
                </c:pt>
              </c:numCache>
            </c:numRef>
          </c:val>
        </c:ser>
        <c:ser>
          <c:idx val="2"/>
          <c:order val="2"/>
          <c:tx>
            <c:strRef>
              <c:f>Displacement_Reasons!$Q$234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7E7E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Displacement_Reasons!$N$235:$N$240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Displacement_Reasons!$Q$235:$Q$240</c:f>
              <c:numCache>
                <c:formatCode>#,##0</c:formatCode>
                <c:ptCount val="6"/>
                <c:pt idx="0">
                  <c:v>311</c:v>
                </c:pt>
                <c:pt idx="1">
                  <c:v>13</c:v>
                </c:pt>
                <c:pt idx="2">
                  <c:v>0</c:v>
                </c:pt>
                <c:pt idx="3">
                  <c:v>95</c:v>
                </c:pt>
                <c:pt idx="4">
                  <c:v>0</c:v>
                </c:pt>
                <c:pt idx="5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4725144"/>
        <c:axId val="314727496"/>
      </c:barChart>
      <c:catAx>
        <c:axId val="314725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14727496"/>
        <c:crosses val="autoZero"/>
        <c:auto val="1"/>
        <c:lblAlgn val="ctr"/>
        <c:lblOffset val="100"/>
        <c:noMultiLvlLbl val="0"/>
      </c:catAx>
      <c:valAx>
        <c:axId val="314727496"/>
        <c:scaling>
          <c:orientation val="minMax"/>
        </c:scaling>
        <c:delete val="1"/>
        <c:axPos val="b"/>
        <c:majorGridlines/>
        <c:numFmt formatCode="0%" sourceLinked="1"/>
        <c:majorTickMark val="out"/>
        <c:minorTickMark val="none"/>
        <c:tickLblPos val="nextTo"/>
        <c:crossAx val="31472514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Raisons de déplacement Réfugiés non enregistrés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Displacement_Reasons!$E$191</c:f>
              <c:strCache>
                <c:ptCount val="1"/>
                <c:pt idx="0">
                  <c:v>Conflits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Displacement_Reasons!$D$192:$D$197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Displacement_Reasons!$E$192:$E$197</c:f>
              <c:numCache>
                <c:formatCode>#,##0</c:formatCode>
                <c:ptCount val="6"/>
                <c:pt idx="0">
                  <c:v>253</c:v>
                </c:pt>
                <c:pt idx="1">
                  <c:v>26067</c:v>
                </c:pt>
                <c:pt idx="2">
                  <c:v>88</c:v>
                </c:pt>
                <c:pt idx="3">
                  <c:v>20</c:v>
                </c:pt>
                <c:pt idx="4">
                  <c:v>0</c:v>
                </c:pt>
                <c:pt idx="5">
                  <c:v>5197</c:v>
                </c:pt>
              </c:numCache>
            </c:numRef>
          </c:val>
        </c:ser>
        <c:ser>
          <c:idx val="1"/>
          <c:order val="1"/>
          <c:tx>
            <c:strRef>
              <c:f>Displacement_Reasons!$F$191</c:f>
              <c:strCache>
                <c:ptCount val="1"/>
                <c:pt idx="0">
                  <c:v>Climat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cat>
            <c:strRef>
              <c:f>Displacement_Reasons!$D$192:$D$197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Displacement_Reasons!$F$192:$F$197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Displacement_Reasons!$G$191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Displacement_Reasons!$D$192:$D$197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Displacement_Reasons!$G$192:$G$197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4726320"/>
        <c:axId val="325441760"/>
      </c:barChart>
      <c:catAx>
        <c:axId val="3147263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25441760"/>
        <c:crosses val="autoZero"/>
        <c:auto val="1"/>
        <c:lblAlgn val="ctr"/>
        <c:lblOffset val="100"/>
        <c:noMultiLvlLbl val="0"/>
      </c:catAx>
      <c:valAx>
        <c:axId val="325441760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31472632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Unregistered</a:t>
            </a:r>
            <a:r>
              <a:rPr lang="fr-FR" sz="1200" baseline="0">
                <a:solidFill>
                  <a:srgbClr val="0010A6"/>
                </a:solidFill>
              </a:rPr>
              <a:t> refugees reasons of displacement</a:t>
            </a:r>
            <a:endParaRPr lang="fr-FR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Displacement_Reasons!$O$191</c:f>
              <c:strCache>
                <c:ptCount val="1"/>
                <c:pt idx="0">
                  <c:v>Conflicts_ISWA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Displacement_Reasons!$N$192:$N$197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Displacement_Reasons!$O$192:$O$197</c:f>
              <c:numCache>
                <c:formatCode>#,##0</c:formatCode>
                <c:ptCount val="6"/>
                <c:pt idx="0">
                  <c:v>253</c:v>
                </c:pt>
                <c:pt idx="1">
                  <c:v>26067</c:v>
                </c:pt>
                <c:pt idx="2">
                  <c:v>88</c:v>
                </c:pt>
                <c:pt idx="3">
                  <c:v>20</c:v>
                </c:pt>
                <c:pt idx="4">
                  <c:v>0</c:v>
                </c:pt>
                <c:pt idx="5">
                  <c:v>5197</c:v>
                </c:pt>
              </c:numCache>
            </c:numRef>
          </c:val>
        </c:ser>
        <c:ser>
          <c:idx val="1"/>
          <c:order val="1"/>
          <c:tx>
            <c:strRef>
              <c:f>Displacement_Reasons!$P$191</c:f>
              <c:strCache>
                <c:ptCount val="1"/>
                <c:pt idx="0">
                  <c:v>Climate</c:v>
                </c:pt>
              </c:strCache>
            </c:strRef>
          </c:tx>
          <c:invertIfNegative val="0"/>
          <c:cat>
            <c:strRef>
              <c:f>Displacement_Reasons!$N$192:$N$197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Displacement_Reasons!$P$192:$P$197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Displacement_Reasons!$Q$191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Displacement_Reasons!$N$192:$N$197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Displacement_Reasons!$Q$192:$Q$197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5441368"/>
        <c:axId val="325440976"/>
      </c:barChart>
      <c:catAx>
        <c:axId val="3254413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25440976"/>
        <c:crosses val="autoZero"/>
        <c:auto val="1"/>
        <c:lblAlgn val="ctr"/>
        <c:lblOffset val="100"/>
        <c:noMultiLvlLbl val="0"/>
      </c:catAx>
      <c:valAx>
        <c:axId val="32544097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32544136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Raisons de déplacement des PDI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Displacement_Reasons!$E$150</c:f>
              <c:strCache>
                <c:ptCount val="1"/>
                <c:pt idx="0">
                  <c:v>Conflits</c:v>
                </c:pt>
              </c:strCache>
            </c:strRef>
          </c:tx>
          <c:spPr>
            <a:solidFill>
              <a:srgbClr val="98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Displacement_Reasons!$D$151:$D$156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Displacement_Reasons!$E$151:$E$156</c:f>
              <c:numCache>
                <c:formatCode>#,##0</c:formatCode>
                <c:ptCount val="6"/>
                <c:pt idx="0">
                  <c:v>5329</c:v>
                </c:pt>
                <c:pt idx="1">
                  <c:v>118207</c:v>
                </c:pt>
                <c:pt idx="2">
                  <c:v>578</c:v>
                </c:pt>
                <c:pt idx="3">
                  <c:v>129</c:v>
                </c:pt>
                <c:pt idx="4">
                  <c:v>57411</c:v>
                </c:pt>
                <c:pt idx="5">
                  <c:v>40041</c:v>
                </c:pt>
              </c:numCache>
            </c:numRef>
          </c:val>
        </c:ser>
        <c:ser>
          <c:idx val="1"/>
          <c:order val="1"/>
          <c:tx>
            <c:strRef>
              <c:f>Displacement_Reasons!$F$150</c:f>
              <c:strCache>
                <c:ptCount val="1"/>
                <c:pt idx="0">
                  <c:v>Aléas climatiques</c:v>
                </c:pt>
              </c:strCache>
            </c:strRef>
          </c:tx>
          <c:spPr>
            <a:solidFill>
              <a:srgbClr val="FF7676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235335657882706E-2"/>
                  <c:y val="-9.0818792195876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Displacement_Reasons!$D$151:$D$156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Displacement_Reasons!$F$151:$F$156</c:f>
              <c:numCache>
                <c:formatCode>#,##0</c:formatCode>
                <c:ptCount val="6"/>
                <c:pt idx="0">
                  <c:v>0</c:v>
                </c:pt>
                <c:pt idx="1">
                  <c:v>7434</c:v>
                </c:pt>
                <c:pt idx="2">
                  <c:v>9736</c:v>
                </c:pt>
                <c:pt idx="3">
                  <c:v>0</c:v>
                </c:pt>
                <c:pt idx="4">
                  <c:v>2095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Displacement_Reasons!$G$150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rgbClr val="FF9090"/>
            </a:solidFill>
          </c:spPr>
          <c:invertIfNegative val="0"/>
          <c:cat>
            <c:strRef>
              <c:f>Displacement_Reasons!$D$151:$D$156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Displacement_Reasons!$G$151:$G$156</c:f>
              <c:numCache>
                <c:formatCode>#,##0</c:formatCode>
                <c:ptCount val="6"/>
                <c:pt idx="0">
                  <c:v>0</c:v>
                </c:pt>
                <c:pt idx="1">
                  <c:v>70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5447640"/>
        <c:axId val="325440584"/>
      </c:barChart>
      <c:catAx>
        <c:axId val="3254476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25440584"/>
        <c:crosses val="autoZero"/>
        <c:auto val="1"/>
        <c:lblAlgn val="ctr"/>
        <c:lblOffset val="100"/>
        <c:noMultiLvlLbl val="0"/>
      </c:catAx>
      <c:valAx>
        <c:axId val="32544058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32544764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IDP Reasons of displacement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Displacement_Reasons!$O$150</c:f>
              <c:strCache>
                <c:ptCount val="1"/>
                <c:pt idx="0">
                  <c:v>Conflicts</c:v>
                </c:pt>
              </c:strCache>
            </c:strRef>
          </c:tx>
          <c:spPr>
            <a:solidFill>
              <a:srgbClr val="98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Displacement_Reasons!$N$151:$N$156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Displacement_Reasons!$O$151:$O$156</c:f>
              <c:numCache>
                <c:formatCode>#,##0</c:formatCode>
                <c:ptCount val="6"/>
                <c:pt idx="0">
                  <c:v>5329</c:v>
                </c:pt>
                <c:pt idx="1">
                  <c:v>118207</c:v>
                </c:pt>
                <c:pt idx="2">
                  <c:v>578</c:v>
                </c:pt>
                <c:pt idx="3">
                  <c:v>129</c:v>
                </c:pt>
                <c:pt idx="4">
                  <c:v>57411</c:v>
                </c:pt>
                <c:pt idx="5">
                  <c:v>40041</c:v>
                </c:pt>
              </c:numCache>
            </c:numRef>
          </c:val>
        </c:ser>
        <c:ser>
          <c:idx val="1"/>
          <c:order val="1"/>
          <c:tx>
            <c:strRef>
              <c:f>Displacement_Reasons!$P$150</c:f>
              <c:strCache>
                <c:ptCount val="1"/>
                <c:pt idx="0">
                  <c:v>Climate related</c:v>
                </c:pt>
              </c:strCache>
            </c:strRef>
          </c:tx>
          <c:spPr>
            <a:solidFill>
              <a:srgbClr val="FF7676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Displacement_Reasons!$N$151:$N$156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Displacement_Reasons!$P$151:$P$156</c:f>
              <c:numCache>
                <c:formatCode>#,##0</c:formatCode>
                <c:ptCount val="6"/>
                <c:pt idx="0">
                  <c:v>0</c:v>
                </c:pt>
                <c:pt idx="1">
                  <c:v>7434</c:v>
                </c:pt>
                <c:pt idx="2">
                  <c:v>9736</c:v>
                </c:pt>
                <c:pt idx="3">
                  <c:v>0</c:v>
                </c:pt>
                <c:pt idx="4">
                  <c:v>2095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Displacement_Reasons!$Q$150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9090"/>
            </a:solidFill>
          </c:spPr>
          <c:invertIfNegative val="0"/>
          <c:cat>
            <c:strRef>
              <c:f>Displacement_Reasons!$N$151:$N$156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Displacement_Reasons!$Q$151:$Q$156</c:f>
              <c:numCache>
                <c:formatCode>#,##0</c:formatCode>
                <c:ptCount val="6"/>
                <c:pt idx="0">
                  <c:v>0</c:v>
                </c:pt>
                <c:pt idx="1">
                  <c:v>70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2693320"/>
        <c:axId val="312694496"/>
      </c:barChart>
      <c:catAx>
        <c:axId val="3126933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12694496"/>
        <c:crosses val="autoZero"/>
        <c:auto val="1"/>
        <c:lblAlgn val="ctr"/>
        <c:lblOffset val="100"/>
        <c:noMultiLvlLbl val="0"/>
      </c:catAx>
      <c:valAx>
        <c:axId val="31269449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31269332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39A6"/>
              </a:solidFill>
            </c:spPr>
          </c:dPt>
          <c:dPt>
            <c:idx val="1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Demographic!$G$13:$H$13</c:f>
              <c:strCache>
                <c:ptCount val="2"/>
                <c:pt idx="0">
                  <c:v>Male</c:v>
                </c:pt>
                <c:pt idx="1">
                  <c:v>Female</c:v>
                </c:pt>
              </c:strCache>
            </c:strRef>
          </c:cat>
          <c:val>
            <c:numRef>
              <c:f>Demographic!$G$20:$H$20</c:f>
              <c:numCache>
                <c:formatCode>0%</c:formatCode>
                <c:ptCount val="2"/>
                <c:pt idx="0">
                  <c:v>0.51165234592322428</c:v>
                </c:pt>
                <c:pt idx="1">
                  <c:v>0.48834765407677566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>
                <a:solidFill>
                  <a:srgbClr val="0010A6"/>
                </a:solidFill>
              </a:rPr>
              <a:t>Displacement</a:t>
            </a:r>
            <a:r>
              <a:rPr lang="fr-FR" baseline="0">
                <a:solidFill>
                  <a:srgbClr val="0010A6"/>
                </a:solidFill>
              </a:rPr>
              <a:t> reasons by period</a:t>
            </a:r>
            <a:endParaRPr lang="fr-FR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Displacement_Reasons!$O$78</c:f>
              <c:strCache>
                <c:ptCount val="1"/>
                <c:pt idx="0">
                  <c:v>Conflicts related</c:v>
                </c:pt>
              </c:strCache>
            </c:strRef>
          </c:tx>
          <c:spPr>
            <a:solidFill>
              <a:srgbClr val="023F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Displacement_Reasons!$M$79:$M$84</c:f>
              <c:strCache>
                <c:ptCount val="6"/>
                <c:pt idx="0">
                  <c:v>Before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Jan-Oct 2017</c:v>
                </c:pt>
                <c:pt idx="5">
                  <c:v>Oct-Dec 2017</c:v>
                </c:pt>
              </c:strCache>
            </c:strRef>
          </c:cat>
          <c:val>
            <c:numRef>
              <c:f>Displacement_Reasons!$O$79:$O$84</c:f>
              <c:numCache>
                <c:formatCode>0%</c:formatCode>
                <c:ptCount val="6"/>
                <c:pt idx="0">
                  <c:v>0.21014194004358325</c:v>
                </c:pt>
                <c:pt idx="1">
                  <c:v>0.95750875323489115</c:v>
                </c:pt>
                <c:pt idx="2">
                  <c:v>0.96523660301643488</c:v>
                </c:pt>
                <c:pt idx="3">
                  <c:v>0.95322041047172612</c:v>
                </c:pt>
                <c:pt idx="4">
                  <c:v>0.91475735421104143</c:v>
                </c:pt>
                <c:pt idx="5">
                  <c:v>0.88734567901234573</c:v>
                </c:pt>
              </c:numCache>
            </c:numRef>
          </c:val>
        </c:ser>
        <c:ser>
          <c:idx val="1"/>
          <c:order val="1"/>
          <c:tx>
            <c:strRef>
              <c:f>Displacement_Reasons!$P$78</c:f>
              <c:strCache>
                <c:ptCount val="1"/>
                <c:pt idx="0">
                  <c:v>Climate related</c:v>
                </c:pt>
              </c:strCache>
            </c:strRef>
          </c:tx>
          <c:spPr>
            <a:solidFill>
              <a:srgbClr val="FF7400"/>
            </a:solidFill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Displacement_Reasons!$M$79:$M$84</c:f>
              <c:strCache>
                <c:ptCount val="6"/>
                <c:pt idx="0">
                  <c:v>Before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Jan-Oct 2017</c:v>
                </c:pt>
                <c:pt idx="5">
                  <c:v>Oct-Dec 2017</c:v>
                </c:pt>
              </c:strCache>
            </c:strRef>
          </c:cat>
          <c:val>
            <c:numRef>
              <c:f>Displacement_Reasons!$P$79:$P$84</c:f>
              <c:numCache>
                <c:formatCode>0%</c:formatCode>
                <c:ptCount val="6"/>
                <c:pt idx="0">
                  <c:v>0.78561752753401259</c:v>
                </c:pt>
                <c:pt idx="1">
                  <c:v>3.585020551073223E-2</c:v>
                </c:pt>
                <c:pt idx="2">
                  <c:v>3.4413959465247876E-2</c:v>
                </c:pt>
                <c:pt idx="3">
                  <c:v>4.6683729713666737E-2</c:v>
                </c:pt>
                <c:pt idx="4">
                  <c:v>8.3904208163030333E-2</c:v>
                </c:pt>
                <c:pt idx="5">
                  <c:v>0.11265432098765432</c:v>
                </c:pt>
              </c:numCache>
            </c:numRef>
          </c:val>
        </c:ser>
        <c:ser>
          <c:idx val="2"/>
          <c:order val="2"/>
          <c:tx>
            <c:strRef>
              <c:f>Displacement_Reasons!$Q$78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cat>
            <c:strRef>
              <c:f>Displacement_Reasons!$M$79:$M$84</c:f>
              <c:strCache>
                <c:ptCount val="6"/>
                <c:pt idx="0">
                  <c:v>Before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Jan-Oct 2017</c:v>
                </c:pt>
                <c:pt idx="5">
                  <c:v>Oct-Dec 2017</c:v>
                </c:pt>
              </c:strCache>
            </c:strRef>
          </c:cat>
          <c:val>
            <c:numRef>
              <c:f>Displacement_Reasons!$Q$79:$Q$84</c:f>
              <c:numCache>
                <c:formatCode>0%</c:formatCode>
                <c:ptCount val="6"/>
                <c:pt idx="0">
                  <c:v>4.2405324224041464E-3</c:v>
                </c:pt>
                <c:pt idx="1">
                  <c:v>6.6410412543766173E-3</c:v>
                </c:pt>
                <c:pt idx="2">
                  <c:v>3.4943751831728928E-4</c:v>
                </c:pt>
                <c:pt idx="3">
                  <c:v>9.5859814607118554E-5</c:v>
                </c:pt>
                <c:pt idx="4">
                  <c:v>1.3384376259282713E-3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7414984"/>
        <c:axId val="490943960"/>
      </c:barChart>
      <c:catAx>
        <c:axId val="197414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90943960"/>
        <c:crosses val="autoZero"/>
        <c:auto val="1"/>
        <c:lblAlgn val="ctr"/>
        <c:lblOffset val="100"/>
        <c:noMultiLvlLbl val="0"/>
      </c:catAx>
      <c:valAx>
        <c:axId val="490943960"/>
        <c:scaling>
          <c:orientation val="minMax"/>
        </c:scaling>
        <c:delete val="1"/>
        <c:axPos val="l"/>
        <c:majorGridlines/>
        <c:numFmt formatCode="0%" sourceLinked="1"/>
        <c:majorTickMark val="out"/>
        <c:minorTickMark val="none"/>
        <c:tickLblPos val="nextTo"/>
        <c:crossAx val="197414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8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rgbClr val="001074"/>
                </a:solidFill>
                <a:latin typeface="+mn-lt"/>
                <a:ea typeface="+mn-ea"/>
                <a:cs typeface="+mn-cs"/>
              </a:defRPr>
            </a:pPr>
            <a:r>
              <a:rPr lang="fr-FR" sz="960" b="1">
                <a:solidFill>
                  <a:srgbClr val="001074"/>
                </a:solidFill>
              </a:rPr>
              <a:t>Raisons de </a:t>
            </a:r>
            <a:r>
              <a:rPr lang="fr-FR" sz="960" b="1" baseline="0">
                <a:solidFill>
                  <a:srgbClr val="001074"/>
                </a:solidFill>
              </a:rPr>
              <a:t> déplacement par périodes</a:t>
            </a:r>
            <a:endParaRPr lang="fr-FR" sz="960" b="1">
              <a:solidFill>
                <a:srgbClr val="001074"/>
              </a:solidFill>
            </a:endParaRPr>
          </a:p>
        </c:rich>
      </c:tx>
      <c:layout>
        <c:manualLayout>
          <c:xMode val="edge"/>
          <c:yMode val="edge"/>
          <c:x val="0.25079033751865437"/>
          <c:y val="3.24073284064045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rgbClr val="001074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3.4375000000000003E-2"/>
          <c:y val="0.15986551809937963"/>
          <c:w val="0.71904731748946804"/>
          <c:h val="0.6833595712198891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Displacement_Reasons!$E$78</c:f>
              <c:strCache>
                <c:ptCount val="1"/>
                <c:pt idx="0">
                  <c:v>Conflits</c:v>
                </c:pt>
              </c:strCache>
            </c:strRef>
          </c:tx>
          <c:spPr>
            <a:solidFill>
              <a:srgbClr val="023F9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Displacement_Reasons!$C$79:$C$84</c:f>
              <c:strCache>
                <c:ptCount val="6"/>
                <c:pt idx="0">
                  <c:v>Avant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Janv-Oct 2017</c:v>
                </c:pt>
                <c:pt idx="5">
                  <c:v>Oct-Dec 2017</c:v>
                </c:pt>
              </c:strCache>
            </c:strRef>
          </c:cat>
          <c:val>
            <c:numRef>
              <c:f>Displacement_Reasons!$E$79:$E$84</c:f>
              <c:numCache>
                <c:formatCode>0%</c:formatCode>
                <c:ptCount val="6"/>
                <c:pt idx="0">
                  <c:v>0.21014194004358325</c:v>
                </c:pt>
                <c:pt idx="1">
                  <c:v>0.95750875323489115</c:v>
                </c:pt>
                <c:pt idx="2">
                  <c:v>0.96523660301643488</c:v>
                </c:pt>
                <c:pt idx="3">
                  <c:v>0.95322041047172612</c:v>
                </c:pt>
                <c:pt idx="4">
                  <c:v>0.91475735421104143</c:v>
                </c:pt>
                <c:pt idx="5">
                  <c:v>0.88734567901234573</c:v>
                </c:pt>
              </c:numCache>
            </c:numRef>
          </c:val>
        </c:ser>
        <c:ser>
          <c:idx val="1"/>
          <c:order val="1"/>
          <c:tx>
            <c:strRef>
              <c:f>Displacement_Reasons!$F$78</c:f>
              <c:strCache>
                <c:ptCount val="1"/>
                <c:pt idx="0">
                  <c:v>Climat</c:v>
                </c:pt>
              </c:strCache>
            </c:strRef>
          </c:tx>
          <c:spPr>
            <a:solidFill>
              <a:srgbClr val="FF7400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Displacement_Reasons!$C$79:$C$84</c:f>
              <c:strCache>
                <c:ptCount val="6"/>
                <c:pt idx="0">
                  <c:v>Avant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Janv-Oct 2017</c:v>
                </c:pt>
                <c:pt idx="5">
                  <c:v>Oct-Dec 2017</c:v>
                </c:pt>
              </c:strCache>
            </c:strRef>
          </c:cat>
          <c:val>
            <c:numRef>
              <c:f>Displacement_Reasons!$F$79:$F$84</c:f>
              <c:numCache>
                <c:formatCode>0%</c:formatCode>
                <c:ptCount val="6"/>
                <c:pt idx="0">
                  <c:v>0.78561752753401259</c:v>
                </c:pt>
                <c:pt idx="1">
                  <c:v>3.585020551073223E-2</c:v>
                </c:pt>
                <c:pt idx="2">
                  <c:v>3.4413959465247876E-2</c:v>
                </c:pt>
                <c:pt idx="3">
                  <c:v>4.6683729713666737E-2</c:v>
                </c:pt>
                <c:pt idx="4">
                  <c:v>8.3904208163030333E-2</c:v>
                </c:pt>
                <c:pt idx="5">
                  <c:v>0.11265432098765432</c:v>
                </c:pt>
              </c:numCache>
            </c:numRef>
          </c:val>
        </c:ser>
        <c:ser>
          <c:idx val="2"/>
          <c:order val="2"/>
          <c:tx>
            <c:strRef>
              <c:f>Displacement_Reasons!$G$78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rgbClr val="6E99D4"/>
            </a:solidFill>
            <a:ln>
              <a:noFill/>
            </a:ln>
            <a:effectLst/>
          </c:spPr>
          <c:invertIfNegative val="0"/>
          <c:cat>
            <c:strRef>
              <c:f>Displacement_Reasons!$C$79:$C$84</c:f>
              <c:strCache>
                <c:ptCount val="6"/>
                <c:pt idx="0">
                  <c:v>Avant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Janv-Oct 2017</c:v>
                </c:pt>
                <c:pt idx="5">
                  <c:v>Oct-Dec 2017</c:v>
                </c:pt>
              </c:strCache>
            </c:strRef>
          </c:cat>
          <c:val>
            <c:numRef>
              <c:f>Displacement_Reasons!$G$79:$G$84</c:f>
              <c:numCache>
                <c:formatCode>0%</c:formatCode>
                <c:ptCount val="6"/>
                <c:pt idx="0">
                  <c:v>4.2405324224041464E-3</c:v>
                </c:pt>
                <c:pt idx="1">
                  <c:v>6.6410412543766173E-3</c:v>
                </c:pt>
                <c:pt idx="2">
                  <c:v>3.4943751831728928E-4</c:v>
                </c:pt>
                <c:pt idx="3">
                  <c:v>9.5859814607118554E-5</c:v>
                </c:pt>
                <c:pt idx="4">
                  <c:v>1.3384376259282713E-3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90939256"/>
        <c:axId val="490939648"/>
      </c:barChart>
      <c:catAx>
        <c:axId val="490939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0939648"/>
        <c:crosses val="autoZero"/>
        <c:auto val="1"/>
        <c:lblAlgn val="ctr"/>
        <c:lblOffset val="100"/>
        <c:noMultiLvlLbl val="0"/>
      </c:catAx>
      <c:valAx>
        <c:axId val="4909396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90939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rgbClr val="0039A6"/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Evolution</a:t>
            </a:r>
            <a:r>
              <a:rPr lang="fr-FR" sz="1200" b="1" baseline="0">
                <a:solidFill>
                  <a:srgbClr val="0039A6"/>
                </a:solidFill>
              </a:rPr>
              <a:t> of internal displaced persons by department</a:t>
            </a:r>
            <a:endParaRPr lang="fr-FR" sz="1200" b="1">
              <a:solidFill>
                <a:srgbClr val="0039A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rgbClr val="0039A6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Evolution_par_categorie!$V$3</c:f>
              <c:strCache>
                <c:ptCount val="1"/>
                <c:pt idx="0">
                  <c:v>Round 10</c:v>
                </c:pt>
              </c:strCache>
            </c:strRef>
          </c:tx>
          <c:spPr>
            <a:solidFill>
              <a:srgbClr val="79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Evolution_par_categorie!$V$4:$V$9</c:f>
              <c:numCache>
                <c:formatCode>#,##0</c:formatCode>
                <c:ptCount val="6"/>
                <c:pt idx="0">
                  <c:v>5469</c:v>
                </c:pt>
                <c:pt idx="1">
                  <c:v>127776</c:v>
                </c:pt>
                <c:pt idx="2">
                  <c:v>9968</c:v>
                </c:pt>
                <c:pt idx="3">
                  <c:v>135</c:v>
                </c:pt>
                <c:pt idx="4">
                  <c:v>58544</c:v>
                </c:pt>
                <c:pt idx="5">
                  <c:v>36075</c:v>
                </c:pt>
              </c:numCache>
            </c:numRef>
          </c:val>
        </c:ser>
        <c:ser>
          <c:idx val="1"/>
          <c:order val="1"/>
          <c:tx>
            <c:strRef>
              <c:f>Evolution_par_categorie!$W$3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E733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Evolution_par_categorie!$W$4:$W$9</c:f>
              <c:numCache>
                <c:formatCode>#,##0</c:formatCode>
                <c:ptCount val="6"/>
                <c:pt idx="0">
                  <c:v>5416</c:v>
                </c:pt>
                <c:pt idx="1">
                  <c:v>127264</c:v>
                </c:pt>
                <c:pt idx="2">
                  <c:v>10297</c:v>
                </c:pt>
                <c:pt idx="3">
                  <c:v>132</c:v>
                </c:pt>
                <c:pt idx="4">
                  <c:v>59967</c:v>
                </c:pt>
                <c:pt idx="5">
                  <c:v>38911</c:v>
                </c:pt>
              </c:numCache>
            </c:numRef>
          </c:val>
        </c:ser>
        <c:ser>
          <c:idx val="2"/>
          <c:order val="2"/>
          <c:tx>
            <c:strRef>
              <c:f>Evolution_par_categorie!$X$3</c:f>
              <c:strCache>
                <c:ptCount val="1"/>
                <c:pt idx="0">
                  <c:v>Round 12</c:v>
                </c:pt>
              </c:strCache>
            </c:strRef>
          </c:tx>
          <c:spPr>
            <a:solidFill>
              <a:srgbClr val="FF909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Evolution_par_categorie!$X$4:$X$9</c:f>
              <c:numCache>
                <c:formatCode>#,##0</c:formatCode>
                <c:ptCount val="6"/>
                <c:pt idx="0">
                  <c:v>5329</c:v>
                </c:pt>
                <c:pt idx="1">
                  <c:v>125711</c:v>
                </c:pt>
                <c:pt idx="2">
                  <c:v>10314</c:v>
                </c:pt>
                <c:pt idx="3">
                  <c:v>129</c:v>
                </c:pt>
                <c:pt idx="4">
                  <c:v>59506</c:v>
                </c:pt>
                <c:pt idx="5">
                  <c:v>40041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941216"/>
        <c:axId val="490945136"/>
      </c:barChart>
      <c:catAx>
        <c:axId val="49094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0945136"/>
        <c:crosses val="autoZero"/>
        <c:auto val="1"/>
        <c:lblAlgn val="ctr"/>
        <c:lblOffset val="100"/>
        <c:noMultiLvlLbl val="0"/>
      </c:catAx>
      <c:valAx>
        <c:axId val="49094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094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Evolution of returnees by department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Evolution_par_categorie!$V$39</c:f>
              <c:strCache>
                <c:ptCount val="1"/>
                <c:pt idx="0">
                  <c:v>Round 10</c:v>
                </c:pt>
              </c:strCache>
            </c:strRef>
          </c:tx>
          <c:spPr>
            <a:solidFill>
              <a:srgbClr val="00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Evolution_par_categorie!$V$40:$V$45</c:f>
              <c:numCache>
                <c:formatCode>#,##0</c:formatCode>
                <c:ptCount val="6"/>
                <c:pt idx="0">
                  <c:v>334</c:v>
                </c:pt>
                <c:pt idx="1">
                  <c:v>25243</c:v>
                </c:pt>
                <c:pt idx="2">
                  <c:v>5286</c:v>
                </c:pt>
                <c:pt idx="3">
                  <c:v>726</c:v>
                </c:pt>
                <c:pt idx="4">
                  <c:v>13437</c:v>
                </c:pt>
                <c:pt idx="5">
                  <c:v>16064</c:v>
                </c:pt>
              </c:numCache>
            </c:numRef>
          </c:val>
        </c:ser>
        <c:ser>
          <c:idx val="1"/>
          <c:order val="1"/>
          <c:tx>
            <c:strRef>
              <c:f>Evolution_par_categorie!$W$39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35B4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Evolution_par_categorie!$W$40:$W$45</c:f>
              <c:numCache>
                <c:formatCode>#,##0</c:formatCode>
                <c:ptCount val="6"/>
                <c:pt idx="0">
                  <c:v>415</c:v>
                </c:pt>
                <c:pt idx="1">
                  <c:v>25496</c:v>
                </c:pt>
                <c:pt idx="2">
                  <c:v>6901</c:v>
                </c:pt>
                <c:pt idx="3">
                  <c:v>668</c:v>
                </c:pt>
                <c:pt idx="4">
                  <c:v>13467</c:v>
                </c:pt>
                <c:pt idx="5">
                  <c:v>16745</c:v>
                </c:pt>
              </c:numCache>
            </c:numRef>
          </c:val>
        </c:ser>
        <c:ser>
          <c:idx val="2"/>
          <c:order val="2"/>
          <c:tx>
            <c:strRef>
              <c:f>Evolution_par_categorie!$X$39</c:f>
              <c:strCache>
                <c:ptCount val="1"/>
                <c:pt idx="0">
                  <c:v>Round 12</c:v>
                </c:pt>
              </c:strCache>
            </c:strRef>
          </c:tx>
          <c:spPr>
            <a:solidFill>
              <a:srgbClr val="C1FDF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Evolution_par_categorie!$X$40:$X$45</c:f>
              <c:numCache>
                <c:formatCode>#,##0</c:formatCode>
                <c:ptCount val="6"/>
                <c:pt idx="0">
                  <c:v>330</c:v>
                </c:pt>
                <c:pt idx="1">
                  <c:v>27980</c:v>
                </c:pt>
                <c:pt idx="2">
                  <c:v>6429</c:v>
                </c:pt>
                <c:pt idx="3">
                  <c:v>667</c:v>
                </c:pt>
                <c:pt idx="4">
                  <c:v>17128</c:v>
                </c:pt>
                <c:pt idx="5">
                  <c:v>17196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945920"/>
        <c:axId val="490945528"/>
      </c:barChart>
      <c:catAx>
        <c:axId val="49094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0945528"/>
        <c:crosses val="autoZero"/>
        <c:auto val="1"/>
        <c:lblAlgn val="ctr"/>
        <c:lblOffset val="100"/>
        <c:noMultiLvlLbl val="0"/>
      </c:catAx>
      <c:valAx>
        <c:axId val="490945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0945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rgbClr val="0039A6"/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Evolution of unregistered</a:t>
            </a:r>
            <a:r>
              <a:rPr lang="fr-FR" sz="1200" b="1" baseline="0">
                <a:solidFill>
                  <a:srgbClr val="0039A6"/>
                </a:solidFill>
              </a:rPr>
              <a:t> refugees by department</a:t>
            </a:r>
            <a:endParaRPr lang="fr-FR" sz="1200" b="1">
              <a:solidFill>
                <a:srgbClr val="0039A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rgbClr val="0039A6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Evolution_par_categorie!$V$74</c:f>
              <c:strCache>
                <c:ptCount val="1"/>
                <c:pt idx="0">
                  <c:v>Round 10</c:v>
                </c:pt>
              </c:strCache>
            </c:strRef>
          </c:tx>
          <c:spPr>
            <a:solidFill>
              <a:srgbClr val="682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Evolution_par_categorie!$V$75:$V$80</c:f>
              <c:numCache>
                <c:formatCode>#,##0</c:formatCode>
                <c:ptCount val="6"/>
                <c:pt idx="0">
                  <c:v>250</c:v>
                </c:pt>
                <c:pt idx="1">
                  <c:v>26893</c:v>
                </c:pt>
                <c:pt idx="2">
                  <c:v>143</c:v>
                </c:pt>
                <c:pt idx="3">
                  <c:v>20</c:v>
                </c:pt>
                <c:pt idx="4">
                  <c:v>0</c:v>
                </c:pt>
                <c:pt idx="5">
                  <c:v>2422</c:v>
                </c:pt>
              </c:numCache>
            </c:numRef>
          </c:val>
        </c:ser>
        <c:ser>
          <c:idx val="1"/>
          <c:order val="1"/>
          <c:tx>
            <c:strRef>
              <c:f>Evolution_par_categorie!$W$74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FF74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Evolution_par_categorie!$W$75:$W$80</c:f>
              <c:numCache>
                <c:formatCode>#,##0</c:formatCode>
                <c:ptCount val="6"/>
                <c:pt idx="0">
                  <c:v>250</c:v>
                </c:pt>
                <c:pt idx="1">
                  <c:v>26454</c:v>
                </c:pt>
                <c:pt idx="2">
                  <c:v>125</c:v>
                </c:pt>
                <c:pt idx="3">
                  <c:v>20</c:v>
                </c:pt>
                <c:pt idx="4">
                  <c:v>0</c:v>
                </c:pt>
                <c:pt idx="5">
                  <c:v>2488</c:v>
                </c:pt>
              </c:numCache>
            </c:numRef>
          </c:val>
        </c:ser>
        <c:ser>
          <c:idx val="2"/>
          <c:order val="2"/>
          <c:tx>
            <c:strRef>
              <c:f>Evolution_par_categorie!$X$74</c:f>
              <c:strCache>
                <c:ptCount val="1"/>
                <c:pt idx="0">
                  <c:v>Round 12</c:v>
                </c:pt>
              </c:strCache>
            </c:strRef>
          </c:tx>
          <c:spPr>
            <a:solidFill>
              <a:srgbClr val="FFB5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Evolution_par_categorie!$X$75:$X$80</c:f>
              <c:numCache>
                <c:formatCode>#,##0</c:formatCode>
                <c:ptCount val="6"/>
                <c:pt idx="0">
                  <c:v>253</c:v>
                </c:pt>
                <c:pt idx="1">
                  <c:v>26067</c:v>
                </c:pt>
                <c:pt idx="2">
                  <c:v>119</c:v>
                </c:pt>
                <c:pt idx="3">
                  <c:v>20</c:v>
                </c:pt>
                <c:pt idx="4">
                  <c:v>0</c:v>
                </c:pt>
                <c:pt idx="5">
                  <c:v>5197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938472"/>
        <c:axId val="490938864"/>
      </c:barChart>
      <c:catAx>
        <c:axId val="49093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0938864"/>
        <c:crosses val="autoZero"/>
        <c:auto val="1"/>
        <c:lblAlgn val="ctr"/>
        <c:lblOffset val="100"/>
        <c:noMultiLvlLbl val="0"/>
      </c:catAx>
      <c:valAx>
        <c:axId val="49093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093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rgbClr val="0039A6"/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Évolution des réfugiés non-enregistrés par département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rgbClr val="0039A6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Evolution_par_categorie!$AI$74</c:f>
              <c:strCache>
                <c:ptCount val="1"/>
                <c:pt idx="0">
                  <c:v>Round 10</c:v>
                </c:pt>
              </c:strCache>
            </c:strRef>
          </c:tx>
          <c:spPr>
            <a:solidFill>
              <a:srgbClr val="682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Evolution_par_categorie!$AI$75:$AI$80</c:f>
              <c:numCache>
                <c:formatCode>#,##0</c:formatCode>
                <c:ptCount val="6"/>
                <c:pt idx="0">
                  <c:v>250</c:v>
                </c:pt>
                <c:pt idx="1">
                  <c:v>26893</c:v>
                </c:pt>
                <c:pt idx="2">
                  <c:v>143</c:v>
                </c:pt>
                <c:pt idx="3">
                  <c:v>20</c:v>
                </c:pt>
                <c:pt idx="4">
                  <c:v>0</c:v>
                </c:pt>
                <c:pt idx="5">
                  <c:v>2422</c:v>
                </c:pt>
              </c:numCache>
            </c:numRef>
          </c:val>
        </c:ser>
        <c:ser>
          <c:idx val="1"/>
          <c:order val="1"/>
          <c:tx>
            <c:strRef>
              <c:f>Evolution_par_categorie!$AJ$74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FF74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Evolution_par_categorie!$AJ$75:$AJ$80</c:f>
              <c:numCache>
                <c:formatCode>#,##0</c:formatCode>
                <c:ptCount val="6"/>
                <c:pt idx="0">
                  <c:v>250</c:v>
                </c:pt>
                <c:pt idx="1">
                  <c:v>26454</c:v>
                </c:pt>
                <c:pt idx="2">
                  <c:v>125</c:v>
                </c:pt>
                <c:pt idx="3">
                  <c:v>20</c:v>
                </c:pt>
                <c:pt idx="4">
                  <c:v>0</c:v>
                </c:pt>
                <c:pt idx="5">
                  <c:v>2488</c:v>
                </c:pt>
              </c:numCache>
            </c:numRef>
          </c:val>
        </c:ser>
        <c:ser>
          <c:idx val="2"/>
          <c:order val="2"/>
          <c:tx>
            <c:strRef>
              <c:f>Evolution_par_categorie!$AK$74</c:f>
              <c:strCache>
                <c:ptCount val="1"/>
                <c:pt idx="0">
                  <c:v>Round 12</c:v>
                </c:pt>
              </c:strCache>
            </c:strRef>
          </c:tx>
          <c:spPr>
            <a:solidFill>
              <a:srgbClr val="FFB5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Evolution_par_categorie!$AK$75:$AK$80</c:f>
              <c:numCache>
                <c:formatCode>#,##0</c:formatCode>
                <c:ptCount val="6"/>
                <c:pt idx="0">
                  <c:v>253</c:v>
                </c:pt>
                <c:pt idx="1">
                  <c:v>26067</c:v>
                </c:pt>
                <c:pt idx="2">
                  <c:v>119</c:v>
                </c:pt>
                <c:pt idx="3">
                  <c:v>20</c:v>
                </c:pt>
                <c:pt idx="4">
                  <c:v>0</c:v>
                </c:pt>
                <c:pt idx="5">
                  <c:v>5197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940432"/>
        <c:axId val="490944352"/>
      </c:barChart>
      <c:catAx>
        <c:axId val="49094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0944352"/>
        <c:crosses val="autoZero"/>
        <c:auto val="1"/>
        <c:lblAlgn val="ctr"/>
        <c:lblOffset val="100"/>
        <c:noMultiLvlLbl val="0"/>
      </c:catAx>
      <c:valAx>
        <c:axId val="49094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094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Évolution</a:t>
            </a:r>
            <a:r>
              <a:rPr lang="fr-FR" sz="1200" b="1" baseline="0">
                <a:solidFill>
                  <a:srgbClr val="0039A6"/>
                </a:solidFill>
              </a:rPr>
              <a:t> des retournés par départements</a:t>
            </a:r>
            <a:endParaRPr lang="fr-FR" sz="1200" b="1">
              <a:solidFill>
                <a:srgbClr val="0039A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Evolution_par_categorie!$AJ$39</c:f>
              <c:strCache>
                <c:ptCount val="1"/>
                <c:pt idx="0">
                  <c:v>Round 10</c:v>
                </c:pt>
              </c:strCache>
            </c:strRef>
          </c:tx>
          <c:spPr>
            <a:solidFill>
              <a:srgbClr val="00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Evolution_par_categorie!$AJ$40:$AJ$45</c:f>
              <c:numCache>
                <c:formatCode>#,##0</c:formatCode>
                <c:ptCount val="6"/>
                <c:pt idx="0">
                  <c:v>334</c:v>
                </c:pt>
                <c:pt idx="1">
                  <c:v>25243</c:v>
                </c:pt>
                <c:pt idx="2">
                  <c:v>5286</c:v>
                </c:pt>
                <c:pt idx="3">
                  <c:v>726</c:v>
                </c:pt>
                <c:pt idx="4">
                  <c:v>13437</c:v>
                </c:pt>
                <c:pt idx="5">
                  <c:v>16064</c:v>
                </c:pt>
              </c:numCache>
            </c:numRef>
          </c:val>
        </c:ser>
        <c:ser>
          <c:idx val="1"/>
          <c:order val="1"/>
          <c:tx>
            <c:strRef>
              <c:f>Evolution_par_categorie!$AK$39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35B4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Evolution_par_categorie!$AK$40:$AK$45</c:f>
              <c:numCache>
                <c:formatCode>#,##0</c:formatCode>
                <c:ptCount val="6"/>
                <c:pt idx="0">
                  <c:v>415</c:v>
                </c:pt>
                <c:pt idx="1">
                  <c:v>25496</c:v>
                </c:pt>
                <c:pt idx="2">
                  <c:v>6901</c:v>
                </c:pt>
                <c:pt idx="3">
                  <c:v>668</c:v>
                </c:pt>
                <c:pt idx="4">
                  <c:v>13467</c:v>
                </c:pt>
                <c:pt idx="5">
                  <c:v>16745</c:v>
                </c:pt>
              </c:numCache>
            </c:numRef>
          </c:val>
        </c:ser>
        <c:ser>
          <c:idx val="2"/>
          <c:order val="2"/>
          <c:tx>
            <c:strRef>
              <c:f>Evolution_par_categorie!$AL$39</c:f>
              <c:strCache>
                <c:ptCount val="1"/>
                <c:pt idx="0">
                  <c:v>Round 12</c:v>
                </c:pt>
              </c:strCache>
            </c:strRef>
          </c:tx>
          <c:spPr>
            <a:solidFill>
              <a:srgbClr val="C1FDF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Evolution_par_categorie!$AL$40:$AL$45</c:f>
              <c:numCache>
                <c:formatCode>#,##0</c:formatCode>
                <c:ptCount val="6"/>
                <c:pt idx="0">
                  <c:v>330</c:v>
                </c:pt>
                <c:pt idx="1">
                  <c:v>27980</c:v>
                </c:pt>
                <c:pt idx="2">
                  <c:v>6429</c:v>
                </c:pt>
                <c:pt idx="3">
                  <c:v>667</c:v>
                </c:pt>
                <c:pt idx="4">
                  <c:v>17128</c:v>
                </c:pt>
                <c:pt idx="5">
                  <c:v>17196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6388520"/>
        <c:axId val="496385384"/>
      </c:barChart>
      <c:catAx>
        <c:axId val="4963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6385384"/>
        <c:crosses val="autoZero"/>
        <c:auto val="1"/>
        <c:lblAlgn val="ctr"/>
        <c:lblOffset val="100"/>
        <c:noMultiLvlLbl val="0"/>
      </c:catAx>
      <c:valAx>
        <c:axId val="496385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638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rgbClr val="0039A6"/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Évolution des personnes déplacées internes</a:t>
            </a:r>
            <a:r>
              <a:rPr lang="fr-FR" sz="1200" b="1" baseline="0">
                <a:solidFill>
                  <a:srgbClr val="0039A6"/>
                </a:solidFill>
              </a:rPr>
              <a:t> par département</a:t>
            </a:r>
            <a:endParaRPr lang="fr-FR" sz="1200" b="1">
              <a:solidFill>
                <a:srgbClr val="0039A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rgbClr val="0039A6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Evolution_par_categorie!$AI$3</c:f>
              <c:strCache>
                <c:ptCount val="1"/>
                <c:pt idx="0">
                  <c:v>Round 10</c:v>
                </c:pt>
              </c:strCache>
            </c:strRef>
          </c:tx>
          <c:spPr>
            <a:solidFill>
              <a:srgbClr val="79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Evolution_par_categorie!$AI$4:$AI$9</c:f>
              <c:numCache>
                <c:formatCode>#,##0</c:formatCode>
                <c:ptCount val="6"/>
                <c:pt idx="0">
                  <c:v>5469</c:v>
                </c:pt>
                <c:pt idx="1">
                  <c:v>127776</c:v>
                </c:pt>
                <c:pt idx="2">
                  <c:v>9968</c:v>
                </c:pt>
                <c:pt idx="3">
                  <c:v>135</c:v>
                </c:pt>
                <c:pt idx="4">
                  <c:v>58544</c:v>
                </c:pt>
                <c:pt idx="5">
                  <c:v>36075</c:v>
                </c:pt>
              </c:numCache>
            </c:numRef>
          </c:val>
        </c:ser>
        <c:ser>
          <c:idx val="1"/>
          <c:order val="1"/>
          <c:tx>
            <c:strRef>
              <c:f>Evolution_par_categorie!$AJ$3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E733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Evolution_par_categorie!$AJ$4:$AJ$9</c:f>
              <c:numCache>
                <c:formatCode>#,##0</c:formatCode>
                <c:ptCount val="6"/>
                <c:pt idx="0">
                  <c:v>5416</c:v>
                </c:pt>
                <c:pt idx="1">
                  <c:v>127264</c:v>
                </c:pt>
                <c:pt idx="2">
                  <c:v>10297</c:v>
                </c:pt>
                <c:pt idx="3">
                  <c:v>132</c:v>
                </c:pt>
                <c:pt idx="4">
                  <c:v>59967</c:v>
                </c:pt>
                <c:pt idx="5">
                  <c:v>38911</c:v>
                </c:pt>
              </c:numCache>
            </c:numRef>
          </c:val>
        </c:ser>
        <c:ser>
          <c:idx val="2"/>
          <c:order val="2"/>
          <c:tx>
            <c:strRef>
              <c:f>Evolution_par_categorie!$AK$3</c:f>
              <c:strCache>
                <c:ptCount val="1"/>
                <c:pt idx="0">
                  <c:v>Round 12</c:v>
                </c:pt>
              </c:strCache>
            </c:strRef>
          </c:tx>
          <c:spPr>
            <a:solidFill>
              <a:srgbClr val="FF909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Evolution_par_categorie!$AK$4:$AK$9</c:f>
              <c:numCache>
                <c:formatCode>#,##0</c:formatCode>
                <c:ptCount val="6"/>
                <c:pt idx="0">
                  <c:v>5329</c:v>
                </c:pt>
                <c:pt idx="1">
                  <c:v>125711</c:v>
                </c:pt>
                <c:pt idx="2">
                  <c:v>10314</c:v>
                </c:pt>
                <c:pt idx="3">
                  <c:v>129</c:v>
                </c:pt>
                <c:pt idx="4">
                  <c:v>59506</c:v>
                </c:pt>
                <c:pt idx="5">
                  <c:v>40041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6385776"/>
        <c:axId val="496386560"/>
      </c:barChart>
      <c:catAx>
        <c:axId val="49638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6386560"/>
        <c:crosses val="autoZero"/>
        <c:auto val="1"/>
        <c:lblAlgn val="ctr"/>
        <c:lblOffset val="100"/>
        <c:noMultiLvlLbl val="0"/>
      </c:catAx>
      <c:valAx>
        <c:axId val="49638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6385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031070440519261"/>
          <c:y val="0.17550518306423818"/>
          <c:w val="0.70191139958856497"/>
          <c:h val="0.75342682164729413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9090"/>
              </a:solidFill>
            </c:spPr>
          </c:dPt>
          <c:dPt>
            <c:idx val="1"/>
            <c:invertIfNegative val="0"/>
            <c:bubble3D val="0"/>
            <c:spPr>
              <a:solidFill>
                <a:srgbClr val="E73331"/>
              </a:solidFill>
            </c:spPr>
          </c:dPt>
          <c:dPt>
            <c:idx val="2"/>
            <c:invertIfNegative val="0"/>
            <c:bubble3D val="0"/>
            <c:spPr>
              <a:solidFill>
                <a:srgbClr val="790000"/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Evolution_par_categorie!$AN$4:$AN$6</c:f>
              <c:strCache>
                <c:ptCount val="3"/>
                <c:pt idx="0">
                  <c:v>Round 12</c:v>
                </c:pt>
                <c:pt idx="1">
                  <c:v>Round 11</c:v>
                </c:pt>
                <c:pt idx="2">
                  <c:v>Round 10</c:v>
                </c:pt>
              </c:strCache>
            </c:strRef>
          </c:cat>
          <c:val>
            <c:numRef>
              <c:f>Evolution_par_categorie!$AO$4:$AO$6</c:f>
              <c:numCache>
                <c:formatCode>#,##0</c:formatCode>
                <c:ptCount val="3"/>
                <c:pt idx="0">
                  <c:v>241030</c:v>
                </c:pt>
                <c:pt idx="1">
                  <c:v>241987</c:v>
                </c:pt>
                <c:pt idx="2">
                  <c:v>237967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496381464"/>
        <c:axId val="496382640"/>
      </c:barChart>
      <c:catAx>
        <c:axId val="4963814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fr-FR"/>
          </a:p>
        </c:txPr>
        <c:crossAx val="496382640"/>
        <c:crosses val="autoZero"/>
        <c:auto val="1"/>
        <c:lblAlgn val="ctr"/>
        <c:lblOffset val="100"/>
        <c:noMultiLvlLbl val="0"/>
      </c:catAx>
      <c:valAx>
        <c:axId val="496382640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4963814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1FDFD"/>
              </a:solidFill>
            </c:spPr>
          </c:dPt>
          <c:dPt>
            <c:idx val="1"/>
            <c:invertIfNegative val="0"/>
            <c:bubble3D val="0"/>
            <c:spPr>
              <a:solidFill>
                <a:srgbClr val="35B4B6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6969"/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Evolution_par_categorie!$AO$40:$AO$42</c:f>
              <c:strCache>
                <c:ptCount val="3"/>
                <c:pt idx="0">
                  <c:v>Round 12</c:v>
                </c:pt>
                <c:pt idx="1">
                  <c:v>Round 11</c:v>
                </c:pt>
                <c:pt idx="2">
                  <c:v>Round 10</c:v>
                </c:pt>
              </c:strCache>
            </c:strRef>
          </c:cat>
          <c:val>
            <c:numRef>
              <c:f>Evolution_par_categorie!$AP$40:$AP$42</c:f>
              <c:numCache>
                <c:formatCode>#,##0</c:formatCode>
                <c:ptCount val="3"/>
                <c:pt idx="0">
                  <c:v>69730</c:v>
                </c:pt>
                <c:pt idx="1">
                  <c:v>63692</c:v>
                </c:pt>
                <c:pt idx="2">
                  <c:v>61090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496383816"/>
        <c:axId val="496381856"/>
      </c:barChart>
      <c:catAx>
        <c:axId val="49638381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 b="0"/>
            </a:pPr>
            <a:endParaRPr lang="fr-FR"/>
          </a:p>
        </c:txPr>
        <c:crossAx val="496381856"/>
        <c:crosses val="autoZero"/>
        <c:auto val="1"/>
        <c:lblAlgn val="ctr"/>
        <c:lblOffset val="100"/>
        <c:noMultiLvlLbl val="0"/>
      </c:catAx>
      <c:valAx>
        <c:axId val="496381856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496383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39A6"/>
                </a:solidFill>
              </a:defRPr>
            </a:pPr>
            <a:r>
              <a:rPr lang="fr-FR" sz="1200">
                <a:solidFill>
                  <a:srgbClr val="0039A6"/>
                </a:solidFill>
              </a:rPr>
              <a:t>Répartition par âge des populations déplacées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807961504811912E-2"/>
          <c:y val="0.11612459900845727"/>
          <c:w val="0.88608753137894491"/>
          <c:h val="0.770445227343879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Demographic!$K$24</c:f>
              <c:strCache>
                <c:ptCount val="1"/>
                <c:pt idx="0">
                  <c:v>100_Homme</c:v>
                </c:pt>
              </c:strCache>
            </c:strRef>
          </c:tx>
          <c:spPr>
            <a:noFill/>
          </c:spPr>
          <c:invertIfNegative val="0"/>
          <c:cat>
            <c:strRef>
              <c:f>Demographic!$J$25:$J$30</c:f>
              <c:strCache>
                <c:ptCount val="6"/>
                <c:pt idx="0">
                  <c:v>0- 2 ans</c:v>
                </c:pt>
                <c:pt idx="1">
                  <c:v>3-5 ans</c:v>
                </c:pt>
                <c:pt idx="2">
                  <c:v>6-12 ans</c:v>
                </c:pt>
                <c:pt idx="3">
                  <c:v>13-17 ans</c:v>
                </c:pt>
                <c:pt idx="4">
                  <c:v>18-59 ans</c:v>
                </c:pt>
                <c:pt idx="5">
                  <c:v>60 ans +</c:v>
                </c:pt>
              </c:strCache>
            </c:strRef>
          </c:cat>
          <c:val>
            <c:numRef>
              <c:f>Demographic!$K$25:$K$30</c:f>
              <c:numCache>
                <c:formatCode>_(* #,##0.00_);_(* \(#,##0.00\);_(* "-"??_);_(@_)</c:formatCode>
                <c:ptCount val="6"/>
                <c:pt idx="0">
                  <c:v>0.38600942370424068</c:v>
                </c:pt>
                <c:pt idx="1">
                  <c:v>0.32493657122145703</c:v>
                </c:pt>
                <c:pt idx="2">
                  <c:v>0.25558777334783134</c:v>
                </c:pt>
                <c:pt idx="3">
                  <c:v>0.35048930772018849</c:v>
                </c:pt>
                <c:pt idx="4">
                  <c:v>0.21312069590431315</c:v>
                </c:pt>
                <c:pt idx="5">
                  <c:v>0.46985622810196931</c:v>
                </c:pt>
              </c:numCache>
            </c:numRef>
          </c:val>
        </c:ser>
        <c:ser>
          <c:idx val="1"/>
          <c:order val="1"/>
          <c:tx>
            <c:strRef>
              <c:f>Demographic!$L$24</c:f>
              <c:strCache>
                <c:ptCount val="1"/>
                <c:pt idx="0">
                  <c:v>Hommes 51%</c:v>
                </c:pt>
              </c:strCache>
            </c:strRef>
          </c:tx>
          <c:spPr>
            <a:solidFill>
              <a:srgbClr val="0039A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Demographic!$J$25:$J$30</c:f>
              <c:strCache>
                <c:ptCount val="6"/>
                <c:pt idx="0">
                  <c:v>0- 2 ans</c:v>
                </c:pt>
                <c:pt idx="1">
                  <c:v>3-5 ans</c:v>
                </c:pt>
                <c:pt idx="2">
                  <c:v>6-12 ans</c:v>
                </c:pt>
                <c:pt idx="3">
                  <c:v>13-17 ans</c:v>
                </c:pt>
                <c:pt idx="4">
                  <c:v>18-59 ans</c:v>
                </c:pt>
                <c:pt idx="5">
                  <c:v>60 ans +</c:v>
                </c:pt>
              </c:strCache>
            </c:strRef>
          </c:cat>
          <c:val>
            <c:numRef>
              <c:f>Demographic!$L$25:$L$30</c:f>
              <c:numCache>
                <c:formatCode>0%</c:formatCode>
                <c:ptCount val="6"/>
                <c:pt idx="0">
                  <c:v>0.11399057629575933</c:v>
                </c:pt>
                <c:pt idx="1">
                  <c:v>0.17506342877854295</c:v>
                </c:pt>
                <c:pt idx="2">
                  <c:v>0.24441222665216866</c:v>
                </c:pt>
                <c:pt idx="3">
                  <c:v>0.14951069227981154</c:v>
                </c:pt>
                <c:pt idx="4">
                  <c:v>0.28687930409568685</c:v>
                </c:pt>
                <c:pt idx="5">
                  <c:v>3.0143771898030688E-2</c:v>
                </c:pt>
              </c:numCache>
            </c:numRef>
          </c:val>
        </c:ser>
        <c:ser>
          <c:idx val="2"/>
          <c:order val="2"/>
          <c:tx>
            <c:strRef>
              <c:f>Demographic!$M$24</c:f>
              <c:strCache>
                <c:ptCount val="1"/>
                <c:pt idx="0">
                  <c:v>Gap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0.3457541053360037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34389521229656284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34947189141488544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35318967749376723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35318967749376723"/>
                  <c:y val="-1.648403352618787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3457541053360037"/>
                  <c:y val="-8.2420167630939366E-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Demographic!$J$25:$J$30</c:f>
              <c:strCache>
                <c:ptCount val="6"/>
                <c:pt idx="0">
                  <c:v>0- 2 ans</c:v>
                </c:pt>
                <c:pt idx="1">
                  <c:v>3-5 ans</c:v>
                </c:pt>
                <c:pt idx="2">
                  <c:v>6-12 ans</c:v>
                </c:pt>
                <c:pt idx="3">
                  <c:v>13-17 ans</c:v>
                </c:pt>
                <c:pt idx="4">
                  <c:v>18-59 ans</c:v>
                </c:pt>
                <c:pt idx="5">
                  <c:v>60 ans +</c:v>
                </c:pt>
              </c:strCache>
            </c:strRef>
          </c:cat>
          <c:val>
            <c:numRef>
              <c:f>Demographic!$M$25:$M$30</c:f>
              <c:numCache>
                <c:formatCode>General</c:formatCode>
                <c:ptCount val="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</c:numCache>
            </c:numRef>
          </c:val>
        </c:ser>
        <c:ser>
          <c:idx val="3"/>
          <c:order val="3"/>
          <c:tx>
            <c:strRef>
              <c:f>Demographic!$N$24</c:f>
              <c:strCache>
                <c:ptCount val="1"/>
                <c:pt idx="0">
                  <c:v>Femmes 49%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Demographic!$J$25:$J$30</c:f>
              <c:strCache>
                <c:ptCount val="6"/>
                <c:pt idx="0">
                  <c:v>0- 2 ans</c:v>
                </c:pt>
                <c:pt idx="1">
                  <c:v>3-5 ans</c:v>
                </c:pt>
                <c:pt idx="2">
                  <c:v>6-12 ans</c:v>
                </c:pt>
                <c:pt idx="3">
                  <c:v>13-17 ans</c:v>
                </c:pt>
                <c:pt idx="4">
                  <c:v>18-59 ans</c:v>
                </c:pt>
                <c:pt idx="5">
                  <c:v>60 ans +</c:v>
                </c:pt>
              </c:strCache>
            </c:strRef>
          </c:cat>
          <c:val>
            <c:numRef>
              <c:f>Demographic!$N$25:$N$30</c:f>
              <c:numCache>
                <c:formatCode>0%</c:formatCode>
                <c:ptCount val="6"/>
                <c:pt idx="0">
                  <c:v>9.5949367088607601E-2</c:v>
                </c:pt>
                <c:pt idx="1">
                  <c:v>0.17696202531645569</c:v>
                </c:pt>
                <c:pt idx="2">
                  <c:v>0.21740506329113923</c:v>
                </c:pt>
                <c:pt idx="3">
                  <c:v>0.13246835443037974</c:v>
                </c:pt>
                <c:pt idx="4">
                  <c:v>0.35424050632911391</c:v>
                </c:pt>
                <c:pt idx="5">
                  <c:v>2.2974683544303799E-2</c:v>
                </c:pt>
              </c:numCache>
            </c:numRef>
          </c:val>
        </c:ser>
        <c:ser>
          <c:idx val="4"/>
          <c:order val="4"/>
          <c:tx>
            <c:strRef>
              <c:f>Demographic!$O$24</c:f>
              <c:strCache>
                <c:ptCount val="1"/>
                <c:pt idx="0">
                  <c:v>Femmes 50%</c:v>
                </c:pt>
              </c:strCache>
            </c:strRef>
          </c:tx>
          <c:spPr>
            <a:noFill/>
          </c:spPr>
          <c:invertIfNegative val="0"/>
          <c:cat>
            <c:strRef>
              <c:f>Demographic!$J$25:$J$30</c:f>
              <c:strCache>
                <c:ptCount val="6"/>
                <c:pt idx="0">
                  <c:v>0- 2 ans</c:v>
                </c:pt>
                <c:pt idx="1">
                  <c:v>3-5 ans</c:v>
                </c:pt>
                <c:pt idx="2">
                  <c:v>6-12 ans</c:v>
                </c:pt>
                <c:pt idx="3">
                  <c:v>13-17 ans</c:v>
                </c:pt>
                <c:pt idx="4">
                  <c:v>18-59 ans</c:v>
                </c:pt>
                <c:pt idx="5">
                  <c:v>60 ans +</c:v>
                </c:pt>
              </c:strCache>
            </c:strRef>
          </c:cat>
          <c:val>
            <c:numRef>
              <c:f>Demographic!$O$25:$O$30</c:f>
              <c:numCache>
                <c:formatCode>_(* #,##0.00_);_(* \(#,##0.00\);_(* "-"??_);_(@_)</c:formatCode>
                <c:ptCount val="6"/>
                <c:pt idx="0">
                  <c:v>0.40405063291139243</c:v>
                </c:pt>
                <c:pt idx="1">
                  <c:v>0.32303797468354434</c:v>
                </c:pt>
                <c:pt idx="2">
                  <c:v>0.28259493670886077</c:v>
                </c:pt>
                <c:pt idx="3">
                  <c:v>0.36753164556962026</c:v>
                </c:pt>
                <c:pt idx="4">
                  <c:v>0.14575949367088609</c:v>
                </c:pt>
                <c:pt idx="5">
                  <c:v>0.47702531645569618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00"/>
        <c:axId val="312698024"/>
        <c:axId val="312691752"/>
      </c:barChart>
      <c:catAx>
        <c:axId val="3126980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312691752"/>
        <c:crosses val="autoZero"/>
        <c:auto val="1"/>
        <c:lblAlgn val="ctr"/>
        <c:lblOffset val="100"/>
        <c:noMultiLvlLbl val="0"/>
      </c:catAx>
      <c:valAx>
        <c:axId val="312691752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3126980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txPr>
          <a:bodyPr/>
          <a:lstStyle/>
          <a:p>
            <a:pPr>
              <a:defRPr>
                <a:solidFill>
                  <a:srgbClr val="023F94"/>
                </a:solidFill>
              </a:defRPr>
            </a:pPr>
            <a:endParaRPr lang="fr-FR"/>
          </a:p>
        </c:txPr>
      </c:legendEntry>
      <c:legendEntry>
        <c:idx val="2"/>
        <c:delete val="1"/>
      </c:legendEntry>
      <c:legendEntry>
        <c:idx val="3"/>
        <c:txPr>
          <a:bodyPr/>
          <a:lstStyle/>
          <a:p>
            <a:pPr>
              <a:defRPr>
                <a:solidFill>
                  <a:schemeClr val="accent1">
                    <a:lumMod val="60000"/>
                    <a:lumOff val="40000"/>
                  </a:schemeClr>
                </a:solidFill>
              </a:defRPr>
            </a:pPr>
            <a:endParaRPr lang="fr-FR"/>
          </a:p>
        </c:txPr>
      </c:legendEntry>
      <c:legendEntry>
        <c:idx val="4"/>
        <c:delete val="1"/>
      </c:legendEntry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B579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74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682F00"/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Evolution_par_categorie!$AO$75:$AO$77</c:f>
              <c:strCache>
                <c:ptCount val="3"/>
                <c:pt idx="0">
                  <c:v>Round 12</c:v>
                </c:pt>
                <c:pt idx="1">
                  <c:v>Round 11</c:v>
                </c:pt>
                <c:pt idx="2">
                  <c:v>Round 10</c:v>
                </c:pt>
              </c:strCache>
            </c:strRef>
          </c:cat>
          <c:val>
            <c:numRef>
              <c:f>Evolution_par_categorie!$AP$75:$AP$77</c:f>
              <c:numCache>
                <c:formatCode>#,##0</c:formatCode>
                <c:ptCount val="3"/>
                <c:pt idx="0">
                  <c:v>31656</c:v>
                </c:pt>
                <c:pt idx="1">
                  <c:v>29337</c:v>
                </c:pt>
                <c:pt idx="2">
                  <c:v>29728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496383032"/>
        <c:axId val="496387736"/>
      </c:barChart>
      <c:catAx>
        <c:axId val="496383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 b="0"/>
            </a:pPr>
            <a:endParaRPr lang="fr-FR"/>
          </a:p>
        </c:txPr>
        <c:crossAx val="496387736"/>
        <c:crosses val="autoZero"/>
        <c:auto val="1"/>
        <c:lblAlgn val="ctr"/>
        <c:lblOffset val="100"/>
        <c:noMultiLvlLbl val="0"/>
      </c:catAx>
      <c:valAx>
        <c:axId val="496387736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4963830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en-US" sz="1200">
                <a:solidFill>
                  <a:srgbClr val="0010A6"/>
                </a:solidFill>
              </a:rPr>
              <a:t>Répartition</a:t>
            </a:r>
            <a:r>
              <a:rPr lang="en-US" sz="1200" baseline="0">
                <a:solidFill>
                  <a:srgbClr val="0010A6"/>
                </a:solidFill>
              </a:rPr>
              <a:t> de la population déplacée</a:t>
            </a:r>
            <a:endParaRPr lang="en-US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0625785543163874E-2"/>
          <c:y val="0.16977690288713912"/>
          <c:w val="0.48291465010644702"/>
          <c:h val="0.78392680081656463"/>
        </c:manualLayout>
      </c:layout>
      <c:doughnutChart>
        <c:varyColors val="1"/>
        <c:ser>
          <c:idx val="0"/>
          <c:order val="0"/>
          <c:tx>
            <c:strRef>
              <c:f>'Displacement &amp; Returns'!$D$5:$F$5</c:f>
              <c:strCache>
                <c:ptCount val="3"/>
                <c:pt idx="0">
                  <c:v>Population déplacée interne</c:v>
                </c:pt>
                <c:pt idx="1">
                  <c:v>Réfugiés non-enregistrés</c:v>
                </c:pt>
                <c:pt idx="2">
                  <c:v>Retournés</c:v>
                </c:pt>
              </c:strCache>
            </c:strRef>
          </c:tx>
          <c:dPt>
            <c:idx val="0"/>
            <c:bubble3D val="0"/>
            <c:spPr>
              <a:solidFill>
                <a:srgbClr val="0039A6"/>
              </a:solidFill>
            </c:spPr>
          </c:dPt>
          <c:dPt>
            <c:idx val="1"/>
            <c:bubble3D val="0"/>
            <c:spPr>
              <a:solidFill>
                <a:srgbClr val="6E99D4"/>
              </a:solidFill>
            </c:spPr>
          </c:dPt>
          <c:dPt>
            <c:idx val="2"/>
            <c:bubble3D val="0"/>
            <c:spPr>
              <a:solidFill>
                <a:srgbClr val="D2E4FC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'Displacement &amp; Returns'!$D$5:$F$5</c:f>
              <c:strCache>
                <c:ptCount val="3"/>
                <c:pt idx="0">
                  <c:v>Population déplacée interne</c:v>
                </c:pt>
                <c:pt idx="1">
                  <c:v>Réfugiés non-enregistrés</c:v>
                </c:pt>
                <c:pt idx="2">
                  <c:v>Retournés</c:v>
                </c:pt>
              </c:strCache>
            </c:strRef>
          </c:cat>
          <c:val>
            <c:numRef>
              <c:f>'Displacement &amp; Returns'!$D$13:$F$13</c:f>
              <c:numCache>
                <c:formatCode>0%</c:formatCode>
                <c:ptCount val="3"/>
                <c:pt idx="0">
                  <c:v>0.73</c:v>
                </c:pt>
                <c:pt idx="1">
                  <c:v>9.2448950983598899E-2</c:v>
                </c:pt>
                <c:pt idx="2">
                  <c:v>0.20364118499135556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ln>
          <a:noFill/>
        </a:ln>
      </c:spPr>
    </c:plotArea>
    <c:legend>
      <c:legendPos val="r"/>
      <c:layout>
        <c:manualLayout>
          <c:xMode val="edge"/>
          <c:yMode val="edge"/>
          <c:x val="0.60481642845481853"/>
          <c:y val="0.34526027996500436"/>
          <c:w val="0.37937676802312686"/>
          <c:h val="0.32637722368037331"/>
        </c:manualLayout>
      </c:layout>
      <c:overlay val="0"/>
      <c:txPr>
        <a:bodyPr/>
        <a:lstStyle/>
        <a:p>
          <a:pPr rtl="0">
            <a:defRPr sz="11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en-US" sz="1200">
                <a:solidFill>
                  <a:srgbClr val="0010A6"/>
                </a:solidFill>
              </a:rPr>
              <a:t>Displaced population by population category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743781761501367E-2"/>
          <c:y val="0.17509061372630333"/>
          <c:w val="0.43378501337881792"/>
          <c:h val="0.72422366165916185"/>
        </c:manualLayout>
      </c:layout>
      <c:doughnutChart>
        <c:varyColors val="1"/>
        <c:ser>
          <c:idx val="0"/>
          <c:order val="0"/>
          <c:tx>
            <c:strRef>
              <c:f>'Displacement &amp; Returns'!$N$5:$P$5</c:f>
              <c:strCache>
                <c:ptCount val="3"/>
                <c:pt idx="0">
                  <c:v>Internally displaced people</c:v>
                </c:pt>
                <c:pt idx="1">
                  <c:v>Unregistered refugees</c:v>
                </c:pt>
                <c:pt idx="2">
                  <c:v>Returnees</c:v>
                </c:pt>
              </c:strCache>
            </c:strRef>
          </c:tx>
          <c:dPt>
            <c:idx val="0"/>
            <c:bubble3D val="0"/>
            <c:spPr>
              <a:solidFill>
                <a:srgbClr val="0039A6"/>
              </a:solidFill>
            </c:spPr>
          </c:dPt>
          <c:dPt>
            <c:idx val="1"/>
            <c:bubble3D val="0"/>
            <c:spPr>
              <a:solidFill>
                <a:srgbClr val="6E99D4"/>
              </a:solidFill>
            </c:spPr>
          </c:dPt>
          <c:dPt>
            <c:idx val="2"/>
            <c:bubble3D val="0"/>
            <c:spPr>
              <a:solidFill>
                <a:srgbClr val="D2E4FC"/>
              </a:solidFill>
            </c:spPr>
          </c:dPt>
          <c:dLbls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'Displacement &amp; Returns'!$N$5:$P$5</c:f>
              <c:strCache>
                <c:ptCount val="3"/>
                <c:pt idx="0">
                  <c:v>Internally displaced people</c:v>
                </c:pt>
                <c:pt idx="1">
                  <c:v>Unregistered refugees</c:v>
                </c:pt>
                <c:pt idx="2">
                  <c:v>Returnees</c:v>
                </c:pt>
              </c:strCache>
            </c:strRef>
          </c:cat>
          <c:val>
            <c:numRef>
              <c:f>'Displacement &amp; Returns'!$N$13:$P$13</c:f>
              <c:numCache>
                <c:formatCode>0%</c:formatCode>
                <c:ptCount val="3"/>
                <c:pt idx="0">
                  <c:v>0.70390986402504552</c:v>
                </c:pt>
                <c:pt idx="1">
                  <c:v>9.2448950983598899E-2</c:v>
                </c:pt>
                <c:pt idx="2">
                  <c:v>0.20364118499135556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6640885032573973"/>
          <c:y val="0.29256071829302632"/>
          <c:w val="0.41921736835681839"/>
          <c:h val="0.45900840246752539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 rtl="0">
            <a:defRPr sz="11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>
                <a:solidFill>
                  <a:srgbClr val="0039A6"/>
                </a:solidFill>
              </a:rPr>
              <a:t>Evolution globale depuis</a:t>
            </a:r>
            <a:r>
              <a:rPr lang="fr-FR" sz="1200" baseline="0">
                <a:solidFill>
                  <a:srgbClr val="0039A6"/>
                </a:solidFill>
              </a:rPr>
              <a:t> la DTM #1</a:t>
            </a:r>
            <a:endParaRPr lang="fr-FR" sz="1200">
              <a:solidFill>
                <a:srgbClr val="0039A6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'Displacement &amp; Returns'!$D$159</c:f>
              <c:strCache>
                <c:ptCount val="1"/>
                <c:pt idx="0">
                  <c:v>Personnes déplacées internes</c:v>
                </c:pt>
              </c:strCache>
            </c:strRef>
          </c:tx>
          <c:spPr>
            <a:solidFill>
              <a:srgbClr val="023F94"/>
            </a:solidFill>
          </c:spPr>
          <c:invertIfNegative val="0"/>
          <c:cat>
            <c:strRef>
              <c:f>'Displacement &amp; Returns'!$C$160:$C$171</c:f>
              <c:strCache>
                <c:ptCount val="12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  <c:pt idx="11">
                  <c:v>Round 12 (Nov 2017)</c:v>
                </c:pt>
              </c:strCache>
            </c:strRef>
          </c:cat>
          <c:val>
            <c:numRef>
              <c:f>'Displacement &amp; Returns'!$D$160:$D$171</c:f>
              <c:numCache>
                <c:formatCode>#,##0</c:formatCode>
                <c:ptCount val="12"/>
                <c:pt idx="0">
                  <c:v>158316</c:v>
                </c:pt>
                <c:pt idx="1">
                  <c:v>169970</c:v>
                </c:pt>
                <c:pt idx="2">
                  <c:v>190591</c:v>
                </c:pt>
                <c:pt idx="3">
                  <c:v>181215</c:v>
                </c:pt>
                <c:pt idx="4">
                  <c:v>198889</c:v>
                </c:pt>
                <c:pt idx="5">
                  <c:v>191908</c:v>
                </c:pt>
                <c:pt idx="6">
                  <c:v>223642</c:v>
                </c:pt>
                <c:pt idx="7">
                  <c:v>228443</c:v>
                </c:pt>
                <c:pt idx="8">
                  <c:v>241030</c:v>
                </c:pt>
                <c:pt idx="9">
                  <c:v>237967</c:v>
                </c:pt>
                <c:pt idx="10">
                  <c:v>241987</c:v>
                </c:pt>
                <c:pt idx="11">
                  <c:v>241030</c:v>
                </c:pt>
              </c:numCache>
            </c:numRef>
          </c:val>
        </c:ser>
        <c:ser>
          <c:idx val="1"/>
          <c:order val="1"/>
          <c:tx>
            <c:strRef>
              <c:f>'Displacement &amp; Returns'!$E$159</c:f>
              <c:strCache>
                <c:ptCount val="1"/>
                <c:pt idx="0">
                  <c:v>réfugiés non-enregistrés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cat>
            <c:strRef>
              <c:f>'Displacement &amp; Returns'!$C$160:$C$171</c:f>
              <c:strCache>
                <c:ptCount val="12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  <c:pt idx="11">
                  <c:v>Round 12 (Nov 2017)</c:v>
                </c:pt>
              </c:strCache>
            </c:strRef>
          </c:cat>
          <c:val>
            <c:numRef>
              <c:f>'Displacement &amp; Returns'!$E$160:$E$171</c:f>
              <c:numCache>
                <c:formatCode>#,##0</c:formatCode>
                <c:ptCount val="12"/>
                <c:pt idx="0">
                  <c:v>11482</c:v>
                </c:pt>
                <c:pt idx="1">
                  <c:v>8108</c:v>
                </c:pt>
                <c:pt idx="2">
                  <c:v>8251</c:v>
                </c:pt>
                <c:pt idx="3">
                  <c:v>14871</c:v>
                </c:pt>
                <c:pt idx="4">
                  <c:v>26743</c:v>
                </c:pt>
                <c:pt idx="5">
                  <c:v>23430</c:v>
                </c:pt>
                <c:pt idx="6">
                  <c:v>30593</c:v>
                </c:pt>
                <c:pt idx="7">
                  <c:v>32459</c:v>
                </c:pt>
                <c:pt idx="8">
                  <c:v>31656</c:v>
                </c:pt>
                <c:pt idx="9">
                  <c:v>29728</c:v>
                </c:pt>
                <c:pt idx="10">
                  <c:v>29337</c:v>
                </c:pt>
                <c:pt idx="11">
                  <c:v>31656</c:v>
                </c:pt>
              </c:numCache>
            </c:numRef>
          </c:val>
        </c:ser>
        <c:ser>
          <c:idx val="2"/>
          <c:order val="2"/>
          <c:tx>
            <c:strRef>
              <c:f>'Displacement &amp; Returns'!$F$159</c:f>
              <c:strCache>
                <c:ptCount val="1"/>
                <c:pt idx="0">
                  <c:v>Retournés</c:v>
                </c:pt>
              </c:strCache>
            </c:strRef>
          </c:tx>
          <c:spPr>
            <a:solidFill>
              <a:srgbClr val="D2E4FC"/>
            </a:solidFill>
          </c:spPr>
          <c:invertIfNegative val="0"/>
          <c:cat>
            <c:strRef>
              <c:f>'Displacement &amp; Returns'!$C$160:$C$171</c:f>
              <c:strCache>
                <c:ptCount val="12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  <c:pt idx="11">
                  <c:v>Round 12 (Nov 2017)</c:v>
                </c:pt>
              </c:strCache>
            </c:strRef>
          </c:cat>
          <c:val>
            <c:numRef>
              <c:f>'Displacement &amp; Returns'!$F$160:$F$171</c:f>
              <c:numCache>
                <c:formatCode>#,##0</c:formatCode>
                <c:ptCount val="12"/>
                <c:pt idx="0">
                  <c:v>30585</c:v>
                </c:pt>
                <c:pt idx="1">
                  <c:v>35434</c:v>
                </c:pt>
                <c:pt idx="2">
                  <c:v>39833</c:v>
                </c:pt>
                <c:pt idx="3">
                  <c:v>32023</c:v>
                </c:pt>
                <c:pt idx="4">
                  <c:v>36068</c:v>
                </c:pt>
                <c:pt idx="5">
                  <c:v>35665</c:v>
                </c:pt>
                <c:pt idx="6">
                  <c:v>43435</c:v>
                </c:pt>
                <c:pt idx="7">
                  <c:v>58027</c:v>
                </c:pt>
                <c:pt idx="8">
                  <c:v>69730</c:v>
                </c:pt>
                <c:pt idx="9">
                  <c:v>61090</c:v>
                </c:pt>
                <c:pt idx="10">
                  <c:v>63692</c:v>
                </c:pt>
                <c:pt idx="11">
                  <c:v>69730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6384992"/>
        <c:axId val="490940040"/>
      </c:barChart>
      <c:catAx>
        <c:axId val="496384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90940040"/>
        <c:crosses val="autoZero"/>
        <c:auto val="1"/>
        <c:lblAlgn val="ctr"/>
        <c:lblOffset val="100"/>
        <c:noMultiLvlLbl val="0"/>
      </c:catAx>
      <c:valAx>
        <c:axId val="4909400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96384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>
                <a:solidFill>
                  <a:srgbClr val="0039A6"/>
                </a:solidFill>
              </a:rPr>
              <a:t>Global Evolution from DTM #1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'Displacement &amp; Returns'!$N$159</c:f>
              <c:strCache>
                <c:ptCount val="1"/>
                <c:pt idx="0">
                  <c:v>Internal displaced</c:v>
                </c:pt>
              </c:strCache>
            </c:strRef>
          </c:tx>
          <c:spPr>
            <a:solidFill>
              <a:srgbClr val="023F94"/>
            </a:solidFill>
          </c:spPr>
          <c:invertIfNegative val="0"/>
          <c:cat>
            <c:strRef>
              <c:f>'Displacement &amp; Returns'!$C$160:$C$171</c:f>
              <c:strCache>
                <c:ptCount val="12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  <c:pt idx="11">
                  <c:v>Round 12 (Nov 2017)</c:v>
                </c:pt>
              </c:strCache>
            </c:strRef>
          </c:cat>
          <c:val>
            <c:numRef>
              <c:f>'Displacement &amp; Returns'!$N$160:$N$171</c:f>
              <c:numCache>
                <c:formatCode>#,##0</c:formatCode>
                <c:ptCount val="12"/>
                <c:pt idx="0">
                  <c:v>158316</c:v>
                </c:pt>
                <c:pt idx="1">
                  <c:v>169970</c:v>
                </c:pt>
                <c:pt idx="2">
                  <c:v>190591</c:v>
                </c:pt>
                <c:pt idx="3">
                  <c:v>181215</c:v>
                </c:pt>
                <c:pt idx="4">
                  <c:v>198889</c:v>
                </c:pt>
                <c:pt idx="5">
                  <c:v>191908</c:v>
                </c:pt>
                <c:pt idx="6">
                  <c:v>223642</c:v>
                </c:pt>
                <c:pt idx="7">
                  <c:v>228443</c:v>
                </c:pt>
                <c:pt idx="8">
                  <c:v>241030</c:v>
                </c:pt>
                <c:pt idx="9">
                  <c:v>237967</c:v>
                </c:pt>
                <c:pt idx="10">
                  <c:v>241987</c:v>
                </c:pt>
                <c:pt idx="11">
                  <c:v>241030</c:v>
                </c:pt>
              </c:numCache>
            </c:numRef>
          </c:val>
        </c:ser>
        <c:ser>
          <c:idx val="1"/>
          <c:order val="1"/>
          <c:tx>
            <c:strRef>
              <c:f>'Displacement &amp; Returns'!$O$159</c:f>
              <c:strCache>
                <c:ptCount val="1"/>
                <c:pt idx="0">
                  <c:v>Unregistered Refugees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cat>
            <c:strRef>
              <c:f>'Displacement &amp; Returns'!$C$160:$C$171</c:f>
              <c:strCache>
                <c:ptCount val="12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  <c:pt idx="11">
                  <c:v>Round 12 (Nov 2017)</c:v>
                </c:pt>
              </c:strCache>
            </c:strRef>
          </c:cat>
          <c:val>
            <c:numRef>
              <c:f>'Displacement &amp; Returns'!$O$160:$O$171</c:f>
              <c:numCache>
                <c:formatCode>#,##0</c:formatCode>
                <c:ptCount val="12"/>
                <c:pt idx="0">
                  <c:v>11482</c:v>
                </c:pt>
                <c:pt idx="1">
                  <c:v>8108</c:v>
                </c:pt>
                <c:pt idx="2">
                  <c:v>8251</c:v>
                </c:pt>
                <c:pt idx="3">
                  <c:v>14871</c:v>
                </c:pt>
                <c:pt idx="4">
                  <c:v>26743</c:v>
                </c:pt>
                <c:pt idx="5">
                  <c:v>23430</c:v>
                </c:pt>
                <c:pt idx="6">
                  <c:v>30593</c:v>
                </c:pt>
                <c:pt idx="7">
                  <c:v>32459</c:v>
                </c:pt>
                <c:pt idx="8">
                  <c:v>31656</c:v>
                </c:pt>
                <c:pt idx="9">
                  <c:v>29728</c:v>
                </c:pt>
                <c:pt idx="10">
                  <c:v>29337</c:v>
                </c:pt>
                <c:pt idx="11">
                  <c:v>31656</c:v>
                </c:pt>
              </c:numCache>
            </c:numRef>
          </c:val>
        </c:ser>
        <c:ser>
          <c:idx val="2"/>
          <c:order val="2"/>
          <c:tx>
            <c:strRef>
              <c:f>'Displacement &amp; Returns'!$P$159</c:f>
              <c:strCache>
                <c:ptCount val="1"/>
                <c:pt idx="0">
                  <c:v>Returnees</c:v>
                </c:pt>
              </c:strCache>
            </c:strRef>
          </c:tx>
          <c:spPr>
            <a:solidFill>
              <a:srgbClr val="D2E4FC"/>
            </a:solidFill>
          </c:spPr>
          <c:invertIfNegative val="0"/>
          <c:cat>
            <c:strRef>
              <c:f>'Displacement &amp; Returns'!$C$160:$C$171</c:f>
              <c:strCache>
                <c:ptCount val="12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  <c:pt idx="11">
                  <c:v>Round 12 (Nov 2017)</c:v>
                </c:pt>
              </c:strCache>
            </c:strRef>
          </c:cat>
          <c:val>
            <c:numRef>
              <c:f>'Displacement &amp; Returns'!$P$160:$P$171</c:f>
              <c:numCache>
                <c:formatCode>#,##0</c:formatCode>
                <c:ptCount val="12"/>
                <c:pt idx="0">
                  <c:v>30585</c:v>
                </c:pt>
                <c:pt idx="1">
                  <c:v>35434</c:v>
                </c:pt>
                <c:pt idx="2">
                  <c:v>39833</c:v>
                </c:pt>
                <c:pt idx="3">
                  <c:v>32023</c:v>
                </c:pt>
                <c:pt idx="4">
                  <c:v>36068</c:v>
                </c:pt>
                <c:pt idx="5">
                  <c:v>35665</c:v>
                </c:pt>
                <c:pt idx="6">
                  <c:v>43435</c:v>
                </c:pt>
                <c:pt idx="7">
                  <c:v>58027</c:v>
                </c:pt>
                <c:pt idx="8">
                  <c:v>69730</c:v>
                </c:pt>
                <c:pt idx="9">
                  <c:v>61090</c:v>
                </c:pt>
                <c:pt idx="10">
                  <c:v>63692</c:v>
                </c:pt>
                <c:pt idx="11">
                  <c:v>69730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6826536"/>
        <c:axId val="496825752"/>
      </c:barChart>
      <c:catAx>
        <c:axId val="496826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96825752"/>
        <c:crosses val="autoZero"/>
        <c:auto val="1"/>
        <c:lblAlgn val="ctr"/>
        <c:lblOffset val="100"/>
        <c:noMultiLvlLbl val="0"/>
      </c:catAx>
      <c:valAx>
        <c:axId val="4968257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96826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 b="1" i="0" baseline="0">
                <a:solidFill>
                  <a:srgbClr val="0010A6"/>
                </a:solidFill>
                <a:effectLst/>
              </a:rPr>
              <a:t>Répartition des déplacements dans le temps</a:t>
            </a:r>
            <a:endParaRPr lang="fr-FR" sz="1200">
              <a:solidFill>
                <a:srgbClr val="0010A6"/>
              </a:solidFill>
              <a:effectLst/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1"/>
              </a:solidFill>
            </c:spPr>
          </c:dPt>
          <c:dPt>
            <c:idx val="1"/>
            <c:bubble3D val="0"/>
            <c:spPr>
              <a:solidFill>
                <a:srgbClr val="0010A6"/>
              </a:solidFill>
            </c:spPr>
          </c:dPt>
          <c:dPt>
            <c:idx val="2"/>
            <c:bubble3D val="0"/>
            <c:spPr>
              <a:solidFill>
                <a:srgbClr val="6E99D4"/>
              </a:solidFill>
            </c:spPr>
          </c:dPt>
          <c:dPt>
            <c:idx val="3"/>
            <c:bubble3D val="0"/>
            <c:spPr>
              <a:solidFill>
                <a:srgbClr val="D2E4FC"/>
              </a:solidFill>
            </c:spPr>
          </c:dPt>
          <c:dPt>
            <c:idx val="4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bubble3D val="0"/>
            <c:spPr>
              <a:solidFill>
                <a:srgbClr val="023F94"/>
              </a:solidFill>
            </c:spPr>
          </c:dPt>
          <c:dLbls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'Displacement &amp; Returns'!$B$73:$B$78</c:f>
              <c:strCache>
                <c:ptCount val="6"/>
                <c:pt idx="0">
                  <c:v>Avant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Janv-Oct 2017</c:v>
                </c:pt>
                <c:pt idx="5">
                  <c:v>Oct-Dec 2017</c:v>
                </c:pt>
              </c:strCache>
            </c:strRef>
          </c:cat>
          <c:val>
            <c:numRef>
              <c:f>'Displacement &amp; Returns'!$G$73:$G$78</c:f>
              <c:numCache>
                <c:formatCode>0%</c:formatCode>
                <c:ptCount val="6"/>
                <c:pt idx="0">
                  <c:v>4.9585883837203873E-2</c:v>
                </c:pt>
                <c:pt idx="1">
                  <c:v>0.15347413672258306</c:v>
                </c:pt>
                <c:pt idx="2">
                  <c:v>0.25908251950843419</c:v>
                </c:pt>
                <c:pt idx="3">
                  <c:v>0.30465574038596327</c:v>
                </c:pt>
                <c:pt idx="4">
                  <c:v>0.20292276061866266</c:v>
                </c:pt>
                <c:pt idx="5">
                  <c:v>3.0278958927152939E-2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2623731408573933"/>
          <c:y val="0.30359361329833773"/>
          <c:w val="0.25709601924759407"/>
          <c:h val="0.50230314960629918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Displaced population by </a:t>
            </a:r>
            <a:r>
              <a:rPr lang="fr-FR" sz="1200" baseline="0">
                <a:solidFill>
                  <a:srgbClr val="0010A6"/>
                </a:solidFill>
              </a:rPr>
              <a:t>duration of displacement</a:t>
            </a:r>
            <a:endParaRPr lang="fr-FR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'Displacement &amp; Returns'!$M$72</c:f>
              <c:strCache>
                <c:ptCount val="1"/>
                <c:pt idx="0">
                  <c:v>Periods</c:v>
                </c:pt>
              </c:strCache>
            </c:strRef>
          </c:tx>
          <c:dPt>
            <c:idx val="0"/>
            <c:bubble3D val="0"/>
            <c:spPr>
              <a:solidFill>
                <a:schemeClr val="tx1"/>
              </a:solidFill>
            </c:spPr>
          </c:dPt>
          <c:dPt>
            <c:idx val="1"/>
            <c:bubble3D val="0"/>
            <c:spPr>
              <a:solidFill>
                <a:srgbClr val="0010A6"/>
              </a:solidFill>
            </c:spPr>
          </c:dPt>
          <c:dPt>
            <c:idx val="2"/>
            <c:bubble3D val="0"/>
            <c:spPr>
              <a:solidFill>
                <a:srgbClr val="6E99D4"/>
              </a:solidFill>
            </c:spPr>
          </c:dPt>
          <c:dPt>
            <c:idx val="3"/>
            <c:bubble3D val="0"/>
            <c:spPr>
              <a:solidFill>
                <a:srgbClr val="D2E4FC"/>
              </a:solidFill>
            </c:spPr>
          </c:dPt>
          <c:dPt>
            <c:idx val="4"/>
            <c:bubble3D val="0"/>
            <c:spPr>
              <a:solidFill>
                <a:srgbClr val="376092"/>
              </a:solidFill>
            </c:spPr>
          </c:dPt>
          <c:dPt>
            <c:idx val="5"/>
            <c:bubble3D val="0"/>
            <c:spPr>
              <a:solidFill>
                <a:srgbClr val="023F94"/>
              </a:solidFill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'Displacement &amp; Returns'!$L$73:$L$78</c:f>
              <c:strCache>
                <c:ptCount val="6"/>
                <c:pt idx="0">
                  <c:v>Before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Jan-Oct 2017</c:v>
                </c:pt>
                <c:pt idx="5">
                  <c:v>Oct-Dec 2017</c:v>
                </c:pt>
              </c:strCache>
            </c:strRef>
          </c:cat>
          <c:val>
            <c:numRef>
              <c:f>'Displacement &amp; Returns'!$Q$73:$Q$78</c:f>
              <c:numCache>
                <c:formatCode>0%</c:formatCode>
                <c:ptCount val="6"/>
                <c:pt idx="0">
                  <c:v>4.9585883837203873E-2</c:v>
                </c:pt>
                <c:pt idx="1">
                  <c:v>0.15347413672258306</c:v>
                </c:pt>
                <c:pt idx="2">
                  <c:v>0.25908251950843419</c:v>
                </c:pt>
                <c:pt idx="3">
                  <c:v>0.30465574038596327</c:v>
                </c:pt>
                <c:pt idx="4">
                  <c:v>0.20292276061866266</c:v>
                </c:pt>
                <c:pt idx="5">
                  <c:v>3.0278958927152939E-2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5212598425196853"/>
          <c:y val="0.21100102070574517"/>
          <c:w val="0.23120734908136484"/>
          <c:h val="0.67822907553222511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1"/>
    </mc:Choice>
    <mc:Fallback>
      <c:style val="11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en-US" sz="1200">
                <a:solidFill>
                  <a:srgbClr val="0010A6"/>
                </a:solidFill>
              </a:rPr>
              <a:t>Types d'abris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Settlement_totals!$G$143:$L$143</c:f>
              <c:strCache>
                <c:ptCount val="6"/>
                <c:pt idx="0">
                  <c:v>Site spontané</c:v>
                </c:pt>
                <c:pt idx="1">
                  <c:v>Location</c:v>
                </c:pt>
                <c:pt idx="2">
                  <c:v>Collectif</c:v>
                </c:pt>
                <c:pt idx="3">
                  <c:v>Plein-air</c:v>
                </c:pt>
                <c:pt idx="4">
                  <c:v>Famille d'accueil</c:v>
                </c:pt>
                <c:pt idx="5">
                  <c:v>Domicile Personnel</c:v>
                </c:pt>
              </c:strCache>
            </c:strRef>
          </c:tx>
          <c:dPt>
            <c:idx val="3"/>
            <c:bubble3D val="0"/>
            <c:spPr>
              <a:solidFill>
                <a:schemeClr val="tx1"/>
              </a:solidFill>
            </c:spPr>
          </c:dPt>
          <c:dPt>
            <c:idx val="4"/>
            <c:bubble3D val="0"/>
            <c:spPr>
              <a:solidFill>
                <a:srgbClr val="023F94"/>
              </a:solidFill>
            </c:spPr>
          </c:dPt>
          <c:dPt>
            <c:idx val="5"/>
            <c:bubble3D val="0"/>
            <c:spPr>
              <a:solidFill>
                <a:srgbClr val="D2E4FC"/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Settlement_totals!$G$143:$L$143</c:f>
              <c:strCache>
                <c:ptCount val="6"/>
                <c:pt idx="0">
                  <c:v>Site spontané</c:v>
                </c:pt>
                <c:pt idx="1">
                  <c:v>Location</c:v>
                </c:pt>
                <c:pt idx="2">
                  <c:v>Collectif</c:v>
                </c:pt>
                <c:pt idx="3">
                  <c:v>Plein-air</c:v>
                </c:pt>
                <c:pt idx="4">
                  <c:v>Famille d'accueil</c:v>
                </c:pt>
                <c:pt idx="5">
                  <c:v>Domicile Personnel</c:v>
                </c:pt>
              </c:strCache>
            </c:strRef>
          </c:cat>
          <c:val>
            <c:numRef>
              <c:f>Settlement_totals!$G$151:$L$151</c:f>
              <c:numCache>
                <c:formatCode>0%</c:formatCode>
                <c:ptCount val="6"/>
                <c:pt idx="0">
                  <c:v>0.22246586970361462</c:v>
                </c:pt>
                <c:pt idx="1">
                  <c:v>0.15480653604017824</c:v>
                </c:pt>
                <c:pt idx="2">
                  <c:v>2.1362382400792246E-2</c:v>
                </c:pt>
                <c:pt idx="3">
                  <c:v>6.5961660889863475E-3</c:v>
                </c:pt>
                <c:pt idx="4">
                  <c:v>0.45041380773855838</c:v>
                </c:pt>
                <c:pt idx="5">
                  <c:v>0.14435523802787012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1"/>
    </mc:Choice>
    <mc:Fallback>
      <c:style val="11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en-US" sz="1200">
                <a:solidFill>
                  <a:srgbClr val="0010A6"/>
                </a:solidFill>
              </a:rPr>
              <a:t>Shelter types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Settlement_totals!$G$158:$L$158</c:f>
              <c:strCache>
                <c:ptCount val="6"/>
                <c:pt idx="0">
                  <c:v>Spontaneous sites</c:v>
                </c:pt>
                <c:pt idx="1">
                  <c:v>Rental</c:v>
                </c:pt>
                <c:pt idx="2">
                  <c:v>Collective</c:v>
                </c:pt>
                <c:pt idx="3">
                  <c:v>Open air</c:v>
                </c:pt>
                <c:pt idx="4">
                  <c:v>Host Families</c:v>
                </c:pt>
                <c:pt idx="5">
                  <c:v>Back Home</c:v>
                </c:pt>
              </c:strCache>
            </c:strRef>
          </c:tx>
          <c:dPt>
            <c:idx val="3"/>
            <c:bubble3D val="0"/>
            <c:spPr>
              <a:solidFill>
                <a:schemeClr val="tx1"/>
              </a:solidFill>
            </c:spPr>
          </c:dPt>
          <c:dPt>
            <c:idx val="4"/>
            <c:bubble3D val="0"/>
            <c:spPr>
              <a:solidFill>
                <a:srgbClr val="023F94"/>
              </a:solidFill>
            </c:spPr>
          </c:dPt>
          <c:dPt>
            <c:idx val="5"/>
            <c:bubble3D val="0"/>
            <c:spPr>
              <a:solidFill>
                <a:srgbClr val="D2E4FC"/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Settlement_totals!$G$158:$L$158</c:f>
              <c:strCache>
                <c:ptCount val="6"/>
                <c:pt idx="0">
                  <c:v>Spontaneous sites</c:v>
                </c:pt>
                <c:pt idx="1">
                  <c:v>Rental</c:v>
                </c:pt>
                <c:pt idx="2">
                  <c:v>Collective</c:v>
                </c:pt>
                <c:pt idx="3">
                  <c:v>Open air</c:v>
                </c:pt>
                <c:pt idx="4">
                  <c:v>Host Families</c:v>
                </c:pt>
                <c:pt idx="5">
                  <c:v>Back Home</c:v>
                </c:pt>
              </c:strCache>
            </c:strRef>
          </c:cat>
          <c:val>
            <c:numRef>
              <c:f>Settlement_totals!$G$166:$L$166</c:f>
              <c:numCache>
                <c:formatCode>0%</c:formatCode>
                <c:ptCount val="6"/>
                <c:pt idx="0">
                  <c:v>0.22246586970361462</c:v>
                </c:pt>
                <c:pt idx="1">
                  <c:v>0.15480653604017824</c:v>
                </c:pt>
                <c:pt idx="2">
                  <c:v>2.1362382400792246E-2</c:v>
                </c:pt>
                <c:pt idx="3">
                  <c:v>6.5961660889863475E-3</c:v>
                </c:pt>
                <c:pt idx="4">
                  <c:v>0.45041380773855838</c:v>
                </c:pt>
                <c:pt idx="5">
                  <c:v>0.14435523802787012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Types d</a:t>
            </a:r>
            <a:r>
              <a:rPr lang="en-US" sz="1200" b="1" i="0" u="none" strike="noStrike" baseline="0">
                <a:solidFill>
                  <a:srgbClr val="0010A6"/>
                </a:solidFill>
                <a:effectLst/>
              </a:rPr>
              <a:t>'</a:t>
            </a:r>
            <a:r>
              <a:rPr lang="fr-FR" sz="1200">
                <a:solidFill>
                  <a:srgbClr val="0010A6"/>
                </a:solidFill>
              </a:rPr>
              <a:t>abris pour les populations retournées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Settlement_totals!$P$97</c:f>
              <c:strCache>
                <c:ptCount val="1"/>
                <c:pt idx="0">
                  <c:v>Spontané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Settlement_totals!$P$98:$P$103</c:f>
              <c:numCache>
                <c:formatCode>0%</c:formatCode>
                <c:ptCount val="6"/>
                <c:pt idx="0">
                  <c:v>0</c:v>
                </c:pt>
                <c:pt idx="1">
                  <c:v>1.7616833863469537E-2</c:v>
                </c:pt>
                <c:pt idx="2">
                  <c:v>9.8684210526315791E-2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Settlement_totals!$Q$97</c:f>
              <c:strCache>
                <c:ptCount val="1"/>
                <c:pt idx="0">
                  <c:v>Location</c:v>
                </c:pt>
              </c:strCache>
            </c:strRef>
          </c:tx>
          <c:spPr>
            <a:solidFill>
              <a:srgbClr val="006969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Settlement_totals!$Q$98:$Q$103</c:f>
              <c:numCache>
                <c:formatCode>0%</c:formatCode>
                <c:ptCount val="6"/>
                <c:pt idx="0">
                  <c:v>0</c:v>
                </c:pt>
                <c:pt idx="1">
                  <c:v>2.936138977244923E-3</c:v>
                </c:pt>
                <c:pt idx="2">
                  <c:v>1.8796992481203006E-3</c:v>
                </c:pt>
                <c:pt idx="3">
                  <c:v>9.2592592592592587E-3</c:v>
                </c:pt>
                <c:pt idx="4">
                  <c:v>0</c:v>
                </c:pt>
                <c:pt idx="5">
                  <c:v>8.5506767910201384E-2</c:v>
                </c:pt>
              </c:numCache>
            </c:numRef>
          </c:val>
        </c:ser>
        <c:ser>
          <c:idx val="2"/>
          <c:order val="2"/>
          <c:tx>
            <c:strRef>
              <c:f>Settlement_totals!$R$97</c:f>
              <c:strCache>
                <c:ptCount val="1"/>
                <c:pt idx="0">
                  <c:v>Collectif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Settlement_totals!$R$98:$R$103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Settlement_totals!$S$97</c:f>
              <c:strCache>
                <c:ptCount val="1"/>
                <c:pt idx="0">
                  <c:v>Plein-air</c:v>
                </c:pt>
              </c:strCache>
            </c:strRef>
          </c:tx>
          <c:spPr>
            <a:solidFill>
              <a:srgbClr val="007E7E"/>
            </a:solidFill>
          </c:spPr>
          <c:invertIfNegative val="0"/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Settlement_totals!$S$98:$S$103</c:f>
              <c:numCache>
                <c:formatCode>0%</c:formatCode>
                <c:ptCount val="6"/>
                <c:pt idx="0">
                  <c:v>0</c:v>
                </c:pt>
                <c:pt idx="1">
                  <c:v>1.9574259848299485E-3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Settlement_totals!$T$97</c:f>
              <c:strCache>
                <c:ptCount val="1"/>
                <c:pt idx="0">
                  <c:v>Famille d'accueil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Settlement_totals!$T$98:$T$103</c:f>
              <c:numCache>
                <c:formatCode>0%</c:formatCode>
                <c:ptCount val="6"/>
                <c:pt idx="0">
                  <c:v>0.8928571428571429</c:v>
                </c:pt>
                <c:pt idx="1">
                  <c:v>4.4286762906777591E-2</c:v>
                </c:pt>
                <c:pt idx="2">
                  <c:v>0.16823308270676693</c:v>
                </c:pt>
                <c:pt idx="3">
                  <c:v>0.94444444444444442</c:v>
                </c:pt>
                <c:pt idx="4">
                  <c:v>0.3443632166217776</c:v>
                </c:pt>
                <c:pt idx="5">
                  <c:v>0.30075932651039949</c:v>
                </c:pt>
              </c:numCache>
            </c:numRef>
          </c:val>
        </c:ser>
        <c:ser>
          <c:idx val="5"/>
          <c:order val="5"/>
          <c:tx>
            <c:strRef>
              <c:f>Settlement_totals!$U$97</c:f>
              <c:strCache>
                <c:ptCount val="1"/>
                <c:pt idx="0">
                  <c:v>Domicile Personnel</c:v>
                </c:pt>
              </c:strCache>
            </c:strRef>
          </c:tx>
          <c:spPr>
            <a:solidFill>
              <a:srgbClr val="C1FDFD"/>
            </a:solidFill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Settlement_totals!$U$98:$U$103</c:f>
              <c:numCache>
                <c:formatCode>0%</c:formatCode>
                <c:ptCount val="6"/>
                <c:pt idx="0">
                  <c:v>0.10714285714285714</c:v>
                </c:pt>
                <c:pt idx="1">
                  <c:v>0.93320283826767803</c:v>
                </c:pt>
                <c:pt idx="2">
                  <c:v>0.73120300751879697</c:v>
                </c:pt>
                <c:pt idx="3">
                  <c:v>4.6296296296296294E-2</c:v>
                </c:pt>
                <c:pt idx="4">
                  <c:v>0.6556367833782224</c:v>
                </c:pt>
                <c:pt idx="5">
                  <c:v>0.61373390557939911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802304"/>
        <c:axId val="311806224"/>
      </c:barChart>
      <c:catAx>
        <c:axId val="311802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11806224"/>
        <c:crosses val="autoZero"/>
        <c:auto val="1"/>
        <c:lblAlgn val="ctr"/>
        <c:lblOffset val="100"/>
        <c:noMultiLvlLbl val="0"/>
      </c:catAx>
      <c:valAx>
        <c:axId val="3118062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1180230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Shelter type for returnees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Settlement_totals!$P$115</c:f>
              <c:strCache>
                <c:ptCount val="1"/>
                <c:pt idx="0">
                  <c:v>Spontaneous sites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Settlement_totals!$P$116:$P$121</c:f>
              <c:numCache>
                <c:formatCode>0%</c:formatCode>
                <c:ptCount val="6"/>
                <c:pt idx="0">
                  <c:v>0</c:v>
                </c:pt>
                <c:pt idx="1">
                  <c:v>1.7616833863469537E-2</c:v>
                </c:pt>
                <c:pt idx="2">
                  <c:v>9.8684210526315791E-2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Settlement_totals!$Q$115</c:f>
              <c:strCache>
                <c:ptCount val="1"/>
                <c:pt idx="0">
                  <c:v>Rental</c:v>
                </c:pt>
              </c:strCache>
            </c:strRef>
          </c:tx>
          <c:spPr>
            <a:solidFill>
              <a:srgbClr val="006969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Settlement_totals!$Q$116:$Q$121</c:f>
              <c:numCache>
                <c:formatCode>0%</c:formatCode>
                <c:ptCount val="6"/>
                <c:pt idx="0">
                  <c:v>0</c:v>
                </c:pt>
                <c:pt idx="1">
                  <c:v>2.936138977244923E-3</c:v>
                </c:pt>
                <c:pt idx="2">
                  <c:v>1.8796992481203006E-3</c:v>
                </c:pt>
                <c:pt idx="3">
                  <c:v>9.2592592592592587E-3</c:v>
                </c:pt>
                <c:pt idx="4">
                  <c:v>0</c:v>
                </c:pt>
                <c:pt idx="5">
                  <c:v>8.5506767910201384E-2</c:v>
                </c:pt>
              </c:numCache>
            </c:numRef>
          </c:val>
        </c:ser>
        <c:ser>
          <c:idx val="2"/>
          <c:order val="2"/>
          <c:tx>
            <c:strRef>
              <c:f>Settlement_totals!$R$115</c:f>
              <c:strCache>
                <c:ptCount val="1"/>
                <c:pt idx="0">
                  <c:v>Collective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Settlement_totals!$R$116:$R$121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Settlement_totals!$S$115</c:f>
              <c:strCache>
                <c:ptCount val="1"/>
                <c:pt idx="0">
                  <c:v>Open air</c:v>
                </c:pt>
              </c:strCache>
            </c:strRef>
          </c:tx>
          <c:spPr>
            <a:solidFill>
              <a:srgbClr val="007E7E"/>
            </a:solidFill>
          </c:spPr>
          <c:invertIfNegative val="0"/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Settlement_totals!$S$116:$S$121</c:f>
              <c:numCache>
                <c:formatCode>0%</c:formatCode>
                <c:ptCount val="6"/>
                <c:pt idx="0">
                  <c:v>0</c:v>
                </c:pt>
                <c:pt idx="1">
                  <c:v>1.9574259848299485E-3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Settlement_totals!$T$115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Settlement_totals!$T$116:$T$121</c:f>
              <c:numCache>
                <c:formatCode>0%</c:formatCode>
                <c:ptCount val="6"/>
                <c:pt idx="0">
                  <c:v>0.8928571428571429</c:v>
                </c:pt>
                <c:pt idx="1">
                  <c:v>4.4286762906777591E-2</c:v>
                </c:pt>
                <c:pt idx="2">
                  <c:v>0.16823308270676693</c:v>
                </c:pt>
                <c:pt idx="3">
                  <c:v>0.94444444444444442</c:v>
                </c:pt>
                <c:pt idx="4">
                  <c:v>0.3443632166217776</c:v>
                </c:pt>
                <c:pt idx="5">
                  <c:v>0.30075932651039949</c:v>
                </c:pt>
              </c:numCache>
            </c:numRef>
          </c:val>
        </c:ser>
        <c:ser>
          <c:idx val="5"/>
          <c:order val="5"/>
          <c:tx>
            <c:strRef>
              <c:f>Settlement_totals!$U$115</c:f>
              <c:strCache>
                <c:ptCount val="1"/>
                <c:pt idx="0">
                  <c:v>Back Home</c:v>
                </c:pt>
              </c:strCache>
            </c:strRef>
          </c:tx>
          <c:spPr>
            <a:solidFill>
              <a:srgbClr val="C1FDFD"/>
            </a:solidFill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Settlement_totals!$U$116:$U$121</c:f>
              <c:numCache>
                <c:formatCode>0%</c:formatCode>
                <c:ptCount val="6"/>
                <c:pt idx="0">
                  <c:v>0.10714285714285714</c:v>
                </c:pt>
                <c:pt idx="1">
                  <c:v>0.93320283826767803</c:v>
                </c:pt>
                <c:pt idx="2">
                  <c:v>0.73120300751879697</c:v>
                </c:pt>
                <c:pt idx="3">
                  <c:v>4.6296296296296294E-2</c:v>
                </c:pt>
                <c:pt idx="4">
                  <c:v>0.6556367833782224</c:v>
                </c:pt>
                <c:pt idx="5">
                  <c:v>0.61373390557939911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807008"/>
        <c:axId val="311807400"/>
      </c:barChart>
      <c:catAx>
        <c:axId val="311807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11807400"/>
        <c:crosses val="autoZero"/>
        <c:auto val="1"/>
        <c:lblAlgn val="ctr"/>
        <c:lblOffset val="100"/>
        <c:noMultiLvlLbl val="0"/>
      </c:catAx>
      <c:valAx>
        <c:axId val="3118074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1180700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Types</a:t>
            </a:r>
            <a:r>
              <a:rPr lang="fr-FR" sz="1200" baseline="0">
                <a:solidFill>
                  <a:srgbClr val="0010A6"/>
                </a:solidFill>
              </a:rPr>
              <a:t> d'abris pour les refugiés non enregistrés</a:t>
            </a:r>
            <a:endParaRPr lang="fr-FR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Settlement_totals!$P$49</c:f>
              <c:strCache>
                <c:ptCount val="1"/>
                <c:pt idx="0">
                  <c:v>Spontané</c:v>
                </c:pt>
              </c:strCache>
            </c:strRef>
          </c:tx>
          <c:spPr>
            <a:solidFill>
              <a:srgbClr val="682F00"/>
            </a:solidFill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Settlement_totals!$O$50:$O$55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Settlement_totals!$P$50:$P$55</c:f>
              <c:numCache>
                <c:formatCode>0%</c:formatCode>
                <c:ptCount val="6"/>
                <c:pt idx="0">
                  <c:v>0.8</c:v>
                </c:pt>
                <c:pt idx="1">
                  <c:v>0.43945972021225277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Settlement_totals!$Q$49</c:f>
              <c:strCache>
                <c:ptCount val="1"/>
                <c:pt idx="0">
                  <c:v>Location</c:v>
                </c:pt>
              </c:strCache>
            </c:strRef>
          </c:tx>
          <c:spPr>
            <a:solidFill>
              <a:srgbClr val="8E4000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Settlement_totals!$O$50:$O$55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Settlement_totals!$Q$50:$Q$55</c:f>
              <c:numCache>
                <c:formatCode>0%</c:formatCode>
                <c:ptCount val="6"/>
                <c:pt idx="0">
                  <c:v>0</c:v>
                </c:pt>
                <c:pt idx="1">
                  <c:v>2.653159671972986E-2</c:v>
                </c:pt>
                <c:pt idx="2">
                  <c:v>0.6</c:v>
                </c:pt>
                <c:pt idx="3">
                  <c:v>0.33333333333333331</c:v>
                </c:pt>
                <c:pt idx="4">
                  <c:v>0</c:v>
                </c:pt>
                <c:pt idx="5">
                  <c:v>4.0130151843817789E-2</c:v>
                </c:pt>
              </c:numCache>
            </c:numRef>
          </c:val>
        </c:ser>
        <c:ser>
          <c:idx val="2"/>
          <c:order val="2"/>
          <c:tx>
            <c:strRef>
              <c:f>Settlement_totals!$R$49</c:f>
              <c:strCache>
                <c:ptCount val="1"/>
                <c:pt idx="0">
                  <c:v>Collectif</c:v>
                </c:pt>
              </c:strCache>
            </c:strRef>
          </c:tx>
          <c:spPr>
            <a:solidFill>
              <a:srgbClr val="FF7400"/>
            </a:solidFill>
          </c:spPr>
          <c:invertIfNegative val="0"/>
          <c:cat>
            <c:strRef>
              <c:f>Settlement_totals!$O$50:$O$55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Settlement_totals!$R$50:$R$55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0.51626898047722347</c:v>
                </c:pt>
              </c:numCache>
            </c:numRef>
          </c:val>
        </c:ser>
        <c:ser>
          <c:idx val="3"/>
          <c:order val="3"/>
          <c:tx>
            <c:strRef>
              <c:f>Settlement_totals!$S$49</c:f>
              <c:strCache>
                <c:ptCount val="1"/>
                <c:pt idx="0">
                  <c:v>Air Libre</c:v>
                </c:pt>
              </c:strCache>
            </c:strRef>
          </c:tx>
          <c:spPr>
            <a:solidFill>
              <a:srgbClr val="FFA55B"/>
            </a:solidFill>
          </c:spPr>
          <c:invertIfNegative val="0"/>
          <c:cat>
            <c:strRef>
              <c:f>Settlement_totals!$O$50:$O$55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Settlement_totals!$S$50:$S$55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Settlement_totals!$T$49</c:f>
              <c:strCache>
                <c:ptCount val="1"/>
                <c:pt idx="0">
                  <c:v>Familles d accueil</c:v>
                </c:pt>
              </c:strCache>
            </c:strRef>
          </c:tx>
          <c:spPr>
            <a:solidFill>
              <a:srgbClr val="FFB579"/>
            </a:solidFill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Settlement_totals!$O$50:$O$55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Settlement_totals!$T$50:$T$55</c:f>
              <c:numCache>
                <c:formatCode>0%</c:formatCode>
                <c:ptCount val="6"/>
                <c:pt idx="0">
                  <c:v>0.2</c:v>
                </c:pt>
                <c:pt idx="1">
                  <c:v>0.53400868306801741</c:v>
                </c:pt>
                <c:pt idx="2">
                  <c:v>0.4</c:v>
                </c:pt>
                <c:pt idx="3">
                  <c:v>0.66666666666666663</c:v>
                </c:pt>
                <c:pt idx="4">
                  <c:v>0</c:v>
                </c:pt>
                <c:pt idx="5">
                  <c:v>0.44360086767895879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805832"/>
        <c:axId val="311807792"/>
      </c:barChart>
      <c:catAx>
        <c:axId val="311805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11807792"/>
        <c:crosses val="autoZero"/>
        <c:auto val="1"/>
        <c:lblAlgn val="ctr"/>
        <c:lblOffset val="100"/>
        <c:noMultiLvlLbl val="0"/>
      </c:catAx>
      <c:valAx>
        <c:axId val="31180779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1180583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shelter</a:t>
            </a:r>
            <a:r>
              <a:rPr lang="fr-FR" sz="1200" baseline="0">
                <a:solidFill>
                  <a:srgbClr val="0010A6"/>
                </a:solidFill>
              </a:rPr>
              <a:t> type for non-registered refugees</a:t>
            </a:r>
            <a:endParaRPr lang="fr-FR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Settlement_totals!$P$67</c:f>
              <c:strCache>
                <c:ptCount val="1"/>
                <c:pt idx="0">
                  <c:v>Spontaneous sites</c:v>
                </c:pt>
              </c:strCache>
            </c:strRef>
          </c:tx>
          <c:spPr>
            <a:solidFill>
              <a:srgbClr val="682F00"/>
            </a:solidFill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Settlement_totals!$O$68:$O$73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Settlement_totals!$P$68:$P$73</c:f>
              <c:numCache>
                <c:formatCode>0%</c:formatCode>
                <c:ptCount val="6"/>
                <c:pt idx="0">
                  <c:v>0.8</c:v>
                </c:pt>
                <c:pt idx="1">
                  <c:v>0.43945972021225277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Settlement_totals!$Q$67</c:f>
              <c:strCache>
                <c:ptCount val="1"/>
                <c:pt idx="0">
                  <c:v>Rental</c:v>
                </c:pt>
              </c:strCache>
            </c:strRef>
          </c:tx>
          <c:spPr>
            <a:solidFill>
              <a:srgbClr val="8E4000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Settlement_totals!$O$68:$O$73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Settlement_totals!$Q$68:$Q$73</c:f>
              <c:numCache>
                <c:formatCode>0%</c:formatCode>
                <c:ptCount val="6"/>
                <c:pt idx="0">
                  <c:v>0</c:v>
                </c:pt>
                <c:pt idx="1">
                  <c:v>2.653159671972986E-2</c:v>
                </c:pt>
                <c:pt idx="2">
                  <c:v>0.6</c:v>
                </c:pt>
                <c:pt idx="3">
                  <c:v>0.33333333333333331</c:v>
                </c:pt>
                <c:pt idx="4">
                  <c:v>0</c:v>
                </c:pt>
                <c:pt idx="5">
                  <c:v>4.0130151843817789E-2</c:v>
                </c:pt>
              </c:numCache>
            </c:numRef>
          </c:val>
        </c:ser>
        <c:ser>
          <c:idx val="2"/>
          <c:order val="2"/>
          <c:tx>
            <c:strRef>
              <c:f>Settlement_totals!$R$67</c:f>
              <c:strCache>
                <c:ptCount val="1"/>
                <c:pt idx="0">
                  <c:v>Collective</c:v>
                </c:pt>
              </c:strCache>
            </c:strRef>
          </c:tx>
          <c:spPr>
            <a:solidFill>
              <a:srgbClr val="FF7400"/>
            </a:solidFill>
          </c:spPr>
          <c:invertIfNegative val="0"/>
          <c:cat>
            <c:strRef>
              <c:f>Settlement_totals!$O$68:$O$73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Settlement_totals!$R$68:$R$73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0.51626898047722347</c:v>
                </c:pt>
              </c:numCache>
            </c:numRef>
          </c:val>
        </c:ser>
        <c:ser>
          <c:idx val="3"/>
          <c:order val="3"/>
          <c:tx>
            <c:strRef>
              <c:f>Settlement_totals!$S$67</c:f>
              <c:strCache>
                <c:ptCount val="1"/>
                <c:pt idx="0">
                  <c:v>Open air</c:v>
                </c:pt>
              </c:strCache>
            </c:strRef>
          </c:tx>
          <c:spPr>
            <a:solidFill>
              <a:srgbClr val="FFA55B"/>
            </a:solidFill>
          </c:spPr>
          <c:invertIfNegative val="0"/>
          <c:cat>
            <c:strRef>
              <c:f>Settlement_totals!$O$68:$O$73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Settlement_totals!$S$68:$S$73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Settlement_totals!$T$67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rgbClr val="FFB579"/>
            </a:solidFill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Settlement_totals!$O$68:$O$73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Settlement_totals!$T$68:$T$73</c:f>
              <c:numCache>
                <c:formatCode>0%</c:formatCode>
                <c:ptCount val="6"/>
                <c:pt idx="0">
                  <c:v>0.2</c:v>
                </c:pt>
                <c:pt idx="1">
                  <c:v>0.53400868306801741</c:v>
                </c:pt>
                <c:pt idx="2">
                  <c:v>0.4</c:v>
                </c:pt>
                <c:pt idx="3">
                  <c:v>0.66666666666666663</c:v>
                </c:pt>
                <c:pt idx="4">
                  <c:v>0</c:v>
                </c:pt>
                <c:pt idx="5">
                  <c:v>0.44360086767895879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805048"/>
        <c:axId val="311808184"/>
      </c:barChart>
      <c:catAx>
        <c:axId val="311805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11808184"/>
        <c:crosses val="autoZero"/>
        <c:auto val="1"/>
        <c:lblAlgn val="ctr"/>
        <c:lblOffset val="100"/>
        <c:noMultiLvlLbl val="0"/>
      </c:catAx>
      <c:valAx>
        <c:axId val="3118081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1180504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83535</xdr:rowOff>
    </xdr:from>
    <xdr:to>
      <xdr:col>7</xdr:col>
      <xdr:colOff>346364</xdr:colOff>
      <xdr:row>4389</xdr:row>
      <xdr:rowOff>92194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390525</xdr:colOff>
      <xdr:row>6</xdr:row>
      <xdr:rowOff>80962</xdr:rowOff>
    </xdr:from>
    <xdr:to>
      <xdr:col>15</xdr:col>
      <xdr:colOff>390525</xdr:colOff>
      <xdr:row>20</xdr:row>
      <xdr:rowOff>157162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414617</xdr:colOff>
      <xdr:row>30</xdr:row>
      <xdr:rowOff>6980</xdr:rowOff>
    </xdr:from>
    <xdr:to>
      <xdr:col>16</xdr:col>
      <xdr:colOff>504265</xdr:colOff>
      <xdr:row>4389</xdr:row>
      <xdr:rowOff>145678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53579</xdr:colOff>
      <xdr:row>141</xdr:row>
      <xdr:rowOff>170259</xdr:rowOff>
    </xdr:from>
    <xdr:to>
      <xdr:col>4</xdr:col>
      <xdr:colOff>1148954</xdr:colOff>
      <xdr:row>156</xdr:row>
      <xdr:rowOff>55959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77390</xdr:colOff>
      <xdr:row>157</xdr:row>
      <xdr:rowOff>27384</xdr:rowOff>
    </xdr:from>
    <xdr:to>
      <xdr:col>4</xdr:col>
      <xdr:colOff>1172765</xdr:colOff>
      <xdr:row>171</xdr:row>
      <xdr:rowOff>103584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534456</xdr:colOff>
      <xdr:row>93</xdr:row>
      <xdr:rowOff>51856</xdr:rowOff>
    </xdr:from>
    <xdr:to>
      <xdr:col>29</xdr:col>
      <xdr:colOff>698500</xdr:colOff>
      <xdr:row>113</xdr:row>
      <xdr:rowOff>190499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534456</xdr:colOff>
      <xdr:row>114</xdr:row>
      <xdr:rowOff>51856</xdr:rowOff>
    </xdr:from>
    <xdr:to>
      <xdr:col>29</xdr:col>
      <xdr:colOff>687915</xdr:colOff>
      <xdr:row>134</xdr:row>
      <xdr:rowOff>148165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26457</xdr:colOff>
      <xdr:row>45</xdr:row>
      <xdr:rowOff>9525</xdr:rowOff>
    </xdr:from>
    <xdr:to>
      <xdr:col>29</xdr:col>
      <xdr:colOff>179918</xdr:colOff>
      <xdr:row>64</xdr:row>
      <xdr:rowOff>148167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820209</xdr:colOff>
      <xdr:row>66</xdr:row>
      <xdr:rowOff>41274</xdr:rowOff>
    </xdr:from>
    <xdr:to>
      <xdr:col>29</xdr:col>
      <xdr:colOff>190501</xdr:colOff>
      <xdr:row>86</xdr:row>
      <xdr:rowOff>21167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15873</xdr:colOff>
      <xdr:row>1</xdr:row>
      <xdr:rowOff>62440</xdr:rowOff>
    </xdr:from>
    <xdr:to>
      <xdr:col>29</xdr:col>
      <xdr:colOff>211667</xdr:colOff>
      <xdr:row>20</xdr:row>
      <xdr:rowOff>158749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15874</xdr:colOff>
      <xdr:row>24</xdr:row>
      <xdr:rowOff>127000</xdr:rowOff>
    </xdr:from>
    <xdr:to>
      <xdr:col>29</xdr:col>
      <xdr:colOff>211667</xdr:colOff>
      <xdr:row>43</xdr:row>
      <xdr:rowOff>169334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909636</xdr:colOff>
      <xdr:row>119</xdr:row>
      <xdr:rowOff>23811</xdr:rowOff>
    </xdr:from>
    <xdr:to>
      <xdr:col>8</xdr:col>
      <xdr:colOff>752475</xdr:colOff>
      <xdr:row>140</xdr:row>
      <xdr:rowOff>9525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871536</xdr:colOff>
      <xdr:row>119</xdr:row>
      <xdr:rowOff>38100</xdr:rowOff>
    </xdr:from>
    <xdr:to>
      <xdr:col>19</xdr:col>
      <xdr:colOff>628649</xdr:colOff>
      <xdr:row>140</xdr:row>
      <xdr:rowOff>47625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29765</xdr:colOff>
      <xdr:row>253</xdr:row>
      <xdr:rowOff>3570</xdr:rowOff>
    </xdr:from>
    <xdr:to>
      <xdr:col>9</xdr:col>
      <xdr:colOff>35718</xdr:colOff>
      <xdr:row>268</xdr:row>
      <xdr:rowOff>71437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13095</xdr:colOff>
      <xdr:row>252</xdr:row>
      <xdr:rowOff>151208</xdr:rowOff>
    </xdr:from>
    <xdr:to>
      <xdr:col>19</xdr:col>
      <xdr:colOff>483393</xdr:colOff>
      <xdr:row>267</xdr:row>
      <xdr:rowOff>171449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910827</xdr:colOff>
      <xdr:row>209</xdr:row>
      <xdr:rowOff>148827</xdr:rowOff>
    </xdr:from>
    <xdr:to>
      <xdr:col>8</xdr:col>
      <xdr:colOff>742950</xdr:colOff>
      <xdr:row>224</xdr:row>
      <xdr:rowOff>152400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65484</xdr:colOff>
      <xdr:row>209</xdr:row>
      <xdr:rowOff>170259</xdr:rowOff>
    </xdr:from>
    <xdr:to>
      <xdr:col>19</xdr:col>
      <xdr:colOff>581025</xdr:colOff>
      <xdr:row>224</xdr:row>
      <xdr:rowOff>161925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15478</xdr:colOff>
      <xdr:row>169</xdr:row>
      <xdr:rowOff>41672</xdr:rowOff>
    </xdr:from>
    <xdr:to>
      <xdr:col>8</xdr:col>
      <xdr:colOff>733425</xdr:colOff>
      <xdr:row>183</xdr:row>
      <xdr:rowOff>171450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17859</xdr:colOff>
      <xdr:row>169</xdr:row>
      <xdr:rowOff>29766</xdr:rowOff>
    </xdr:from>
    <xdr:to>
      <xdr:col>19</xdr:col>
      <xdr:colOff>561975</xdr:colOff>
      <xdr:row>183</xdr:row>
      <xdr:rowOff>152400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751417</xdr:colOff>
      <xdr:row>71</xdr:row>
      <xdr:rowOff>21167</xdr:rowOff>
    </xdr:from>
    <xdr:to>
      <xdr:col>27</xdr:col>
      <xdr:colOff>63501</xdr:colOff>
      <xdr:row>85</xdr:row>
      <xdr:rowOff>107950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264584</xdr:colOff>
      <xdr:row>72</xdr:row>
      <xdr:rowOff>62440</xdr:rowOff>
    </xdr:from>
    <xdr:to>
      <xdr:col>11</xdr:col>
      <xdr:colOff>264583</xdr:colOff>
      <xdr:row>85</xdr:row>
      <xdr:rowOff>169333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1561419</xdr:colOff>
      <xdr:row>11</xdr:row>
      <xdr:rowOff>68036</xdr:rowOff>
    </xdr:from>
    <xdr:to>
      <xdr:col>25</xdr:col>
      <xdr:colOff>707572</xdr:colOff>
      <xdr:row>32</xdr:row>
      <xdr:rowOff>149679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19050</xdr:colOff>
      <xdr:row>47</xdr:row>
      <xdr:rowOff>47625</xdr:rowOff>
    </xdr:from>
    <xdr:to>
      <xdr:col>25</xdr:col>
      <xdr:colOff>654503</xdr:colOff>
      <xdr:row>70</xdr:row>
      <xdr:rowOff>50346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2520</xdr:colOff>
      <xdr:row>82</xdr:row>
      <xdr:rowOff>192460</xdr:rowOff>
    </xdr:from>
    <xdr:to>
      <xdr:col>24</xdr:col>
      <xdr:colOff>192340</xdr:colOff>
      <xdr:row>99</xdr:row>
      <xdr:rowOff>36659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24617</xdr:colOff>
      <xdr:row>82</xdr:row>
      <xdr:rowOff>24139</xdr:rowOff>
    </xdr:from>
    <xdr:to>
      <xdr:col>39</xdr:col>
      <xdr:colOff>129112</xdr:colOff>
      <xdr:row>98</xdr:row>
      <xdr:rowOff>81968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757126</xdr:colOff>
      <xdr:row>47</xdr:row>
      <xdr:rowOff>23033</xdr:rowOff>
    </xdr:from>
    <xdr:to>
      <xdr:col>39</xdr:col>
      <xdr:colOff>157692</xdr:colOff>
      <xdr:row>69</xdr:row>
      <xdr:rowOff>170392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731494</xdr:colOff>
      <xdr:row>11</xdr:row>
      <xdr:rowOff>18945</xdr:rowOff>
    </xdr:from>
    <xdr:to>
      <xdr:col>39</xdr:col>
      <xdr:colOff>112089</xdr:colOff>
      <xdr:row>31</xdr:row>
      <xdr:rowOff>198858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749300</xdr:colOff>
      <xdr:row>6</xdr:row>
      <xdr:rowOff>39159</xdr:rowOff>
    </xdr:from>
    <xdr:to>
      <xdr:col>42</xdr:col>
      <xdr:colOff>520700</xdr:colOff>
      <xdr:row>11</xdr:row>
      <xdr:rowOff>38100</xdr:rowOff>
    </xdr:to>
    <xdr:graphicFrame macro="">
      <xdr:nvGraphicFramePr>
        <xdr:cNvPr id="15" name="Graphique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759884</xdr:colOff>
      <xdr:row>42</xdr:row>
      <xdr:rowOff>42333</xdr:rowOff>
    </xdr:from>
    <xdr:to>
      <xdr:col>43</xdr:col>
      <xdr:colOff>445559</xdr:colOff>
      <xdr:row>47</xdr:row>
      <xdr:rowOff>13758</xdr:rowOff>
    </xdr:to>
    <xdr:graphicFrame macro="">
      <xdr:nvGraphicFramePr>
        <xdr:cNvPr id="16" name="Graphique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39157</xdr:colOff>
      <xdr:row>77</xdr:row>
      <xdr:rowOff>42333</xdr:rowOff>
    </xdr:from>
    <xdr:to>
      <xdr:col>43</xdr:col>
      <xdr:colOff>453494</xdr:colOff>
      <xdr:row>82</xdr:row>
      <xdr:rowOff>22225</xdr:rowOff>
    </xdr:to>
    <xdr:graphicFrame macro="">
      <xdr:nvGraphicFramePr>
        <xdr:cNvPr id="18" name="Graphique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132291</xdr:colOff>
      <xdr:row>4</xdr:row>
      <xdr:rowOff>35983</xdr:rowOff>
    </xdr:from>
    <xdr:to>
      <xdr:col>11</xdr:col>
      <xdr:colOff>1227667</xdr:colOff>
      <xdr:row>18</xdr:row>
      <xdr:rowOff>112183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387533</xdr:colOff>
      <xdr:row>4</xdr:row>
      <xdr:rowOff>155015</xdr:rowOff>
    </xdr:from>
    <xdr:to>
      <xdr:col>20</xdr:col>
      <xdr:colOff>1710764</xdr:colOff>
      <xdr:row>20</xdr:row>
      <xdr:rowOff>171948</xdr:rowOff>
    </xdr:to>
    <xdr:graphicFrame macro="">
      <xdr:nvGraphicFramePr>
        <xdr:cNvPr id="13" name="Graphique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365652</xdr:colOff>
      <xdr:row>189</xdr:row>
      <xdr:rowOff>71436</xdr:rowOff>
    </xdr:from>
    <xdr:to>
      <xdr:col>10</xdr:col>
      <xdr:colOff>833437</xdr:colOff>
      <xdr:row>210</xdr:row>
      <xdr:rowOff>47623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21166</xdr:colOff>
      <xdr:row>188</xdr:row>
      <xdr:rowOff>142875</xdr:rowOff>
    </xdr:from>
    <xdr:to>
      <xdr:col>19</xdr:col>
      <xdr:colOff>1416844</xdr:colOff>
      <xdr:row>210</xdr:row>
      <xdr:rowOff>35719</xdr:rowOff>
    </xdr:to>
    <xdr:graphicFrame macro="">
      <xdr:nvGraphicFramePr>
        <xdr:cNvPr id="15" name="Graphique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37041</xdr:colOff>
      <xdr:row>71</xdr:row>
      <xdr:rowOff>26722</xdr:rowOff>
    </xdr:from>
    <xdr:to>
      <xdr:col>10</xdr:col>
      <xdr:colOff>892968</xdr:colOff>
      <xdr:row>85</xdr:row>
      <xdr:rowOff>102922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141551</xdr:colOff>
      <xdr:row>71</xdr:row>
      <xdr:rowOff>21430</xdr:rowOff>
    </xdr:from>
    <xdr:to>
      <xdr:col>20</xdr:col>
      <xdr:colOff>744801</xdr:colOff>
      <xdr:row>85</xdr:row>
      <xdr:rowOff>97630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NNESQUIN ROYER Djofang" refreshedDate="43049.419780671298" createdVersion="5" refreshedVersion="5" minRefreshableVersion="3" recordCount="743">
  <cacheSource type="worksheet">
    <worksheetSource name="Dashboard"/>
  </cacheSource>
  <cacheFields count="78">
    <cacheField name="_index" numFmtId="0">
      <sharedItems containsSemiMixedTypes="0" containsString="0" containsNumber="1" containsInteger="1" minValue="1" maxValue="746"/>
    </cacheField>
    <cacheField name="Adm1" numFmtId="0">
      <sharedItems/>
    </cacheField>
    <cacheField name="adm1_code" numFmtId="0">
      <sharedItems/>
    </cacheField>
    <cacheField name="evaluation_adm2_name" numFmtId="0">
      <sharedItems count="6">
        <s v="Diamare"/>
        <s v="Logone-Et-Chari"/>
        <s v="Mayo-Danay"/>
        <s v="Mayo-Kani"/>
        <s v="Mayo-Sava"/>
        <s v="Mayo-Tsanaga"/>
      </sharedItems>
    </cacheField>
    <cacheField name="evaluation_adm2_code" numFmtId="0">
      <sharedItems/>
    </cacheField>
    <cacheField name="evaluation_adm3_name" numFmtId="0">
      <sharedItems count="37">
        <s v="Maroua III"/>
        <s v="Maroua II"/>
        <s v="Pette"/>
        <s v="Dargala"/>
        <s v="Meri"/>
        <s v="Gazawa"/>
        <s v="Waza"/>
        <s v="Goulfey"/>
        <s v="Blangoua"/>
        <s v="Logone-Birni"/>
        <s v="Zina"/>
        <s v="Kousseri"/>
        <s v="Darak"/>
        <s v="Fotokol"/>
        <s v="Makary"/>
        <s v="Hile-Alifa"/>
        <s v="Kai-Kai"/>
        <s v="Maga"/>
        <s v="Gueme"/>
        <s v="Yagoua"/>
        <s v="Guere"/>
        <s v="Gobo"/>
        <s v="Guidiguis"/>
        <s v="Moulvoudaye"/>
        <s v="Moutourwa"/>
        <s v="Kaele"/>
        <s v="Mindif"/>
        <s v="Kolofata"/>
        <s v="Mora"/>
        <s v="Tokombere"/>
        <s v="Mogode"/>
        <s v="Mokolo"/>
        <s v="Hina"/>
        <s v="Koza"/>
        <s v="Mozogo"/>
        <s v="Soulede-Roua"/>
        <s v="Bourha"/>
      </sharedItems>
    </cacheField>
    <cacheField name="evaluation_adm3_code" numFmtId="0">
      <sharedItems/>
    </cacheField>
    <cacheField name="village_SSID" numFmtId="0">
      <sharedItems/>
    </cacheField>
    <cacheField name="evaluation_village_name" numFmtId="0">
      <sharedItems count="723">
        <s v="DOUGOI"/>
        <s v="SARRARE"/>
        <s v="DOURSOUNGO"/>
        <s v="LOUGEO"/>
        <s v="DOUALARE 1"/>
        <s v="DOUALARE 2"/>
        <s v="SALAME ALIOUM"/>
        <s v="DJABIRE"/>
        <s v="FADARE"/>
        <s v="HAOUSSARE"/>
        <s v="HODEMA"/>
        <s v="KOURWAMA ABDOU"/>
        <s v="KOURWAMA NDJIDDA"/>
        <s v="KONGHO 1"/>
        <s v="KONGHO 2"/>
        <s v="TOUTKA"/>
        <s v="EREO"/>
        <s v="NIWADJI"/>
        <s v="DJOUTA-BEMBAL"/>
        <s v="MOURGOUT"/>
        <s v="BANDALARE"/>
        <s v="TCHALNGA"/>
        <s v="KOURWAMAYEL"/>
        <s v="DOUTAROU"/>
        <s v="DJAFGUE"/>
        <s v="DJAOUDE"/>
        <s v="KOURGNOUGNOU"/>
        <s v="KLISSAWA"/>
        <s v="KARAL GUIE"/>
        <s v="ALAGARNO"/>
        <s v="KARAL TANNE"/>
        <s v="LOUBA LOUBA"/>
        <s v="PETTE CENTRE"/>
        <s v="NDJAMENA"/>
        <s v="OURO-ZANGUI"/>
        <s v="DARGALA"/>
        <s v="DJOHIRE"/>
        <s v="WOULMOYE"/>
        <s v="KALAKI"/>
        <s v="MANGAFE"/>
        <s v="DOYANG"/>
        <s v="LOMORE"/>
        <s v="GOUDOURWO"/>
        <s v="CARREFOUR CLIPS"/>
        <s v="BANTADJE"/>
        <s v="KATOUAL"/>
        <s v="GOULOU"/>
        <s v="WAZA"/>
        <s v="TAGAWA 1"/>
        <s v="TAGAWA 2"/>
        <s v="TAGAWA 3"/>
        <s v="TAGAWA 4"/>
        <s v="ZIGAGUE"/>
        <s v="ARDEBE"/>
        <s v="ZOLZALE"/>
        <s v="MATKOUNA 2"/>
        <s v="MATKOUNA 1"/>
        <s v="LAYONA"/>
        <s v="GOZOLNANE"/>
        <s v="DJINGUI"/>
        <s v="MADA"/>
        <s v="MADAWAYA"/>
        <s v="SALEH"/>
        <s v="MADA 1"/>
        <s v="TOUNGA"/>
        <s v="KABE 1"/>
        <s v="MICHEDIRE"/>
        <s v="CHAOUDE"/>
        <s v="KABE 2"/>
        <s v="NGAME"/>
        <s v="GOULOUZIVINI"/>
        <s v="GOULFEY"/>
        <s v="MOULOUANG"/>
        <s v="MAFANG"/>
        <s v="GOULFEY-GANA"/>
        <s v="MOLODIA"/>
        <s v="DOUGUYA"/>
        <s v="HILELE"/>
        <s v="DALEB"/>
        <s v="AKMASSIRA"/>
        <s v="MALA"/>
        <s v="MOUGALAM"/>
        <s v="LABADO"/>
        <s v="AMDANE"/>
        <s v="TILAM 1"/>
        <s v="MARFAINE"/>
        <s v="ZALAT DORO-ROYA"/>
        <s v="MICHKA-MALE"/>
        <s v="MADINA"/>
        <s v="MICH-MICH"/>
        <s v="SAO"/>
        <s v="MARA 2"/>
        <s v="MARA 1"/>
        <s v="WALAGA"/>
        <s v="NIMIA"/>
        <s v="MALTAM GOULFEY"/>
        <s v="FADJE"/>
        <s v="NGRAN"/>
        <s v="MAHADJIRI"/>
        <s v="HABOBA"/>
        <s v="MAYA"/>
        <s v="BLANGOUA"/>
        <s v="KOBRO"/>
        <s v="NDARABAYA"/>
        <s v="SERO ABOU"/>
        <s v="CHAOUE"/>
        <s v="SABOURA"/>
        <s v="ANDOURMAN"/>
        <s v="BLANGOUA BACHE"/>
        <s v="BLARAM"/>
        <s v="WAYA-WAYA"/>
        <s v="MADAGASCAR"/>
        <s v="GORE KOUBOU"/>
        <s v="KINZAYAKOU"/>
        <s v="KOUTOULA"/>
        <s v="KOFIA"/>
        <s v="NDJARGOUDJA"/>
        <s v="TCHOLLORE"/>
        <s v="TABOYE"/>
        <s v="GACHALMEDIK"/>
        <s v="TILDE"/>
        <s v="KABO"/>
        <s v="DABANGA"/>
        <s v="KNERACK"/>
        <s v="KOMA"/>
        <s v="KALAKAFRA"/>
        <s v="FADJE (CAMP)"/>
        <s v="SAHABA 3"/>
        <s v="NDOM"/>
        <s v="CHAFOU IDJELIDJE (CAMP)"/>
        <s v="ANGOCH"/>
        <s v="HOUNDOUK"/>
        <s v="MACHOKA"/>
        <s v="ZIMADO"/>
        <s v="MELARI"/>
        <s v="SALERI"/>
        <s v="NGOYKOKA"/>
        <s v="HINALE"/>
        <s v="DOUGOUMBRA"/>
        <s v="GUESH"/>
        <s v="HOUNANGARE"/>
        <s v="MAHANA"/>
        <s v="MOULADOCK (CAMP)"/>
        <s v="MOULADOCK 2"/>
        <s v="SKLIO"/>
        <s v="BALEMA"/>
        <s v="DEIMA"/>
        <s v="AMREF"/>
        <s v="NGADA"/>
        <s v="GOURLE"/>
        <s v="MADEF"/>
        <s v="GALESS"/>
        <s v="MANNA"/>
        <s v="AMALGOCH"/>
        <s v="KALKOUSSAM"/>
        <s v="TRAYA"/>
        <s v="MOULADOCK 1"/>
        <s v="LOGONE-BIRNI"/>
        <s v="ARAINABA"/>
        <s v="MANKA"/>
        <s v="MARGOUE"/>
        <s v="MALAZINA"/>
        <s v="GALA"/>
        <s v="ALVAKAI"/>
        <s v="BALGUE 1"/>
        <s v="ZILIM 2"/>
        <s v="SARA-SARA"/>
        <s v="PATMANGAI"/>
        <s v="NGODENI"/>
        <s v="MASKALAI"/>
        <s v="NAGA"/>
        <s v="MARAKO"/>
        <s v="ARKIS"/>
        <s v="MALACK"/>
        <s v="HILE HAOUSSA"/>
        <s v="GAROUA"/>
        <s v="PAR-PAR"/>
        <s v="MADAGASCAR 2"/>
        <s v="IBOU"/>
        <s v="AMCHEDIRE"/>
        <s v="MADAGASCAR 1"/>
        <s v="PAGUI"/>
        <s v="KROUANG 1"/>
        <s v="KAWADJI 1"/>
        <s v="SOKOTO"/>
        <s v="LACKA"/>
        <s v="KOULOUK"/>
        <s v="WALI"/>
        <s v="NGALLO"/>
        <s v="ARDEBE VILLE"/>
        <s v="MASSIL-AL-KANAM"/>
        <s v="RIGGIL KOTOKO"/>
        <s v="DJAMBAL BAR"/>
        <s v="KOULKADA"/>
        <s v="ALAYA"/>
        <s v="HARAZAYA"/>
        <s v="SEREBA"/>
        <s v="MAWAK"/>
        <s v="KODOGO"/>
        <s v="NGARGOUZO"/>
        <s v="KAWADJI 2"/>
        <s v="ARDEBE NGADJAM"/>
        <s v="BABOU"/>
        <s v="MASSAKI"/>
        <s v="MADANA"/>
        <s v="MADANA GABAG"/>
        <s v="KROUANG 2"/>
        <s v="GUERGUE RABAH"/>
        <s v="MAINANI"/>
        <s v="DJIREIB"/>
        <s v="KATIKIME 2"/>
        <s v="MAGALA-KABIR 1"/>
        <s v="MAGALA-DJOUGOUL"/>
        <s v="MAGALA-KABIR 2"/>
        <s v="KARENA"/>
        <s v="BIDEINE 2"/>
        <s v="KOUNDJARA"/>
        <s v="DOLE-ABOUNA"/>
        <s v="BOUSSAYA"/>
        <s v="DARAK"/>
        <s v="BOUARAM"/>
        <s v="DISMANE"/>
        <s v="NGUEWA"/>
        <s v="KARAMA 2"/>
        <s v="KARAMA 1"/>
        <s v="NAGA A"/>
        <s v="GORE TCHANDI"/>
        <s v="HIL-WANZAN"/>
        <s v="KATIKIME 1"/>
        <s v="RAMIN DORINA"/>
        <s v="TOROROYA"/>
        <s v="DORO LIMANE"/>
        <s v="WANGARA"/>
        <s v="CHOLOBA"/>
        <s v="MADAIK"/>
        <s v="MARGAMA"/>
        <s v="WORO KEYME"/>
        <s v="BELGUEDE"/>
        <s v="NIGUE"/>
        <s v="GUEGUERI"/>
        <s v="GADAFAI"/>
        <s v="BIDEINE"/>
        <s v="MAGADI 1"/>
        <s v="AMTCHOUKOULI"/>
        <s v="KALOUE"/>
        <s v="BLANGAFE"/>
        <s v="NGANAWAI"/>
        <s v="ROUNDE"/>
        <s v="GOLMO KOTOKO"/>
        <s v="HAÏGAYO"/>
        <s v="MAGADI 2"/>
        <s v="KOUBOUGUE"/>
        <s v="MAGAM"/>
        <s v="GLO KOTOKO"/>
        <s v="MAKAMBARA"/>
        <s v="WAROU"/>
        <s v="GOLMO ARABE"/>
        <s v="DOMBORE"/>
        <s v="FADJE HALITE"/>
        <s v="LEIMARI"/>
        <s v="LIOROMARI"/>
        <s v="SOUERAM"/>
        <s v="WOROMARI"/>
        <s v="DEGA"/>
        <s v="MALMADJA"/>
        <s v="MEINARI"/>
        <s v="SAGME"/>
        <s v="FOTOKOL VILLE"/>
        <s v="FIMA"/>
        <s v="FADJE ADOUM"/>
        <s v="NGAIWA"/>
        <s v="ALAK 2"/>
        <s v="NDJAMENA 3"/>
        <s v="MBLAME(CAMP)"/>
        <s v="MFLEI"/>
        <s v="AMSABANG"/>
        <s v="AMSABANG 2"/>
        <s v="DAMBA 1"/>
        <s v="ABANKOURI"/>
        <s v="NGARTCHANO 1"/>
        <s v="MEITO"/>
        <s v="MISKA-AFADE"/>
        <s v="NGONFLA 2"/>
        <s v="TCHABOUTE"/>
        <s v="NGORTCHOLO"/>
        <s v="BEDA (CAMP)"/>
        <s v="NGOUSSIRE"/>
        <s v="DJAKDJAKKAYA 2"/>
        <s v="SOURDJIE"/>
        <s v="GOURLE 2"/>
        <s v="KOUMBOULA"/>
        <s v="WERENGOULMO"/>
        <s v="GLAO AFADE"/>
        <s v="GLAO BARDAI"/>
        <s v="KOUMBOULA (CAMP)"/>
        <s v="AMSOUFA"/>
        <s v="SOUNGOURA 1"/>
        <s v="TILDE-ECOLE"/>
        <s v="TILDE-PONT"/>
        <s v="TILDE-CAMP"/>
        <s v="DAGLE"/>
        <s v="DIAM 2"/>
        <s v="DIAM 1"/>
        <s v="FARFARA 1"/>
        <s v="ABOKI"/>
        <s v="NGOUT"/>
        <s v="ABOUDANGALA"/>
        <s v="HOURAHOURI"/>
        <s v="ABOUSOULTAN"/>
        <s v="SERO 1"/>
        <s v="AMSAOURA"/>
        <s v="CHAIBOU"/>
        <s v="MOUGRAN"/>
        <s v="TREBOULO 1"/>
        <s v="BAGARA"/>
        <s v="NGARDOUKOUM 2"/>
        <s v="FARCH 1"/>
        <s v="ALMITERAP"/>
        <s v="DARSALAM"/>
        <s v="NGOUNG"/>
        <s v="WERA"/>
        <s v="NDODOHE YOUSSOUF"/>
        <s v="WOULKIOKALE"/>
        <s v="GAMBAROU"/>
        <s v="MADINA 1"/>
        <s v="GLAO"/>
        <s v="GOURGOURA"/>
        <s v="ABOUYAKOUBA"/>
        <s v="MADINA 2"/>
        <s v="NDODOHE KALIA"/>
        <s v="DOROROYA 1"/>
        <s v="KRENACK"/>
        <s v="DOLE-NAGA"/>
        <s v="BLABLIN"/>
        <s v="MANAWADJI"/>
        <s v="TREBOULO 2"/>
        <s v="MERAHA"/>
        <s v="BOMBOYO"/>
        <s v="MINA"/>
        <s v="MELEKI"/>
        <s v="BIAMO"/>
        <s v="AMSAMKA"/>
        <s v="AMTCHIKO"/>
        <s v="KOKIO 2"/>
        <s v="GOLGOLO"/>
        <s v="CHAGAMA 1"/>
        <s v="CHAGAMA 2"/>
        <s v="DONGOLO"/>
        <s v="KASIBE"/>
        <s v="MEDINA 3"/>
        <s v="MARGUI"/>
        <s v="WOSSO"/>
        <s v="DJIMTILO"/>
        <s v="ANAMBARI"/>
        <s v="HADAMARI"/>
        <s v="MAKARY"/>
        <s v="KAOSSE"/>
        <s v="MALADI"/>
        <s v="MAFANDE"/>
        <s v="ARDEB 1"/>
        <s v="ATTRI-SALAMAT"/>
        <s v="ATTRI-FALATA"/>
        <s v="DJIDANSAMA"/>
        <s v="BLAHE"/>
        <s v="NDOLOHE ARABE"/>
        <s v="BADRA"/>
        <s v="AMCHITIRE"/>
        <s v="BIANG"/>
        <s v="GRELIE"/>
        <s v="MIREMIE"/>
        <s v="CHOU-SALAMAT"/>
        <s v="DOUGOUM"/>
        <s v="GLESSALAO"/>
        <s v="NAÏRA"/>
        <s v="KRENAK"/>
        <s v="HEREDIBE"/>
        <s v="DOUGMO"/>
        <s v="NGLEME"/>
        <s v="DJAMOUS"/>
        <s v="GOLALA"/>
        <s v="CHIMTILI"/>
        <s v="AMCHILGA"/>
        <s v="NDARKA"/>
        <s v="DIGAM BAR"/>
        <s v="MALIE"/>
        <s v="ABTABILO FADJAWA"/>
        <s v="WOULKI"/>
        <s v="FARCH 2"/>
        <s v="BILLI"/>
        <s v="BEDAT"/>
        <s v="SOULFA"/>
        <s v="MBEE"/>
        <s v="MICHKIDIN"/>
        <s v="NDEGO 3"/>
        <s v="NGOURNOU"/>
        <s v="MASSIO"/>
        <s v="NDEGO 4"/>
        <s v="WACHAMO"/>
        <s v="NDEGO 1"/>
        <s v="MANDA 1"/>
        <s v="MODEGOUA"/>
        <s v="HISSAINIE"/>
        <s v="NDAGALGUI"/>
        <s v="NGOUMA"/>
        <s v="NDAGA"/>
        <s v="DJADJAYA"/>
        <s v="RINGUE"/>
        <s v="CHALAMTINI"/>
        <s v="CHOU-KOTOKO"/>
        <s v="GALE-GALE"/>
        <s v="NDIGUINI"/>
        <s v="LAFIA-ARABE"/>
        <s v="BLEM (CAMP)"/>
        <s v="KESAWA"/>
        <s v="KESSAWA"/>
        <s v="AFADE CAMP"/>
        <s v="HELISNA"/>
        <s v="GUEILALA"/>
        <s v="AFADE (VILLAGE)"/>
        <s v="BLOUMTAGUI"/>
        <s v="MATKOUS 2"/>
        <s v="MATKOUS 1"/>
        <s v="MESSIO"/>
        <s v="DANOUNA (CAMP)"/>
        <s v="BLO"/>
        <s v="HOLIO"/>
        <s v="DOUBABEL GOSS"/>
        <s v="MAN-ARABIE"/>
        <s v="KARTCHE"/>
        <s v="HEREZAYA (CAMP)"/>
        <s v="BAOURI"/>
        <s v="MANIGUEIDE"/>
        <s v="BODO"/>
        <s v="ABUJA (CAMP)"/>
        <s v="GOULOUMBO"/>
        <s v="SIMO"/>
        <s v="SALANDAS"/>
        <s v="DIGAM-AFADE"/>
        <s v="KLEHE"/>
        <s v="HILTALKALI"/>
        <s v="FADJE-FOTA"/>
        <s v="DOLE-AFADE"/>
        <s v="MALTAM"/>
        <s v="DOUGOUMMANGO"/>
        <s v="GAWAWA"/>
        <s v="AMSOUMOU"/>
        <s v="ALAK 1"/>
        <s v="GOSSALNOUGARA"/>
        <s v="ABBARI"/>
        <s v="WOUREDINE"/>
        <s v="ZAMAN"/>
        <s v="DILEBE"/>
        <s v="KOKIO 1"/>
        <s v="GOUBAGO"/>
        <s v="ARDEB 2"/>
        <s v="NANAMI"/>
        <s v="GOURA 2"/>
        <s v="MAFOUFOU"/>
        <s v="MBLAME"/>
        <s v="FARFARA 2"/>
        <s v="BEDEO"/>
        <s v="AMADABO 2"/>
        <s v="NGREE 1"/>
        <s v="NGREE 2"/>
        <s v="NGARDOUGOUM"/>
        <s v="DOUGOUMSILIO 2"/>
        <s v="MAFOULSO 3"/>
        <s v="DJIBOUNIBA"/>
        <s v="HILE ALIFA 2"/>
        <s v="TCHIKA"/>
        <s v="TERBOU"/>
        <s v="WADAK"/>
        <s v="ABASSOUNI 1"/>
        <s v="ABASSOUNI 3"/>
        <s v="HILE ALIFA 1"/>
        <s v="ABASSOUNI 2"/>
        <s v="MAFOULSO 1"/>
        <s v="MAFOULSO 2"/>
        <s v="DOLE MILIMI"/>
        <s v="DOUGOUMSILIO 1"/>
        <s v="FADJA"/>
        <s v="HILE-KATCHOU"/>
        <s v="KAMOUNA"/>
        <s v="GORETAL GOUTOUN"/>
        <s v="BARGARAM"/>
        <s v="KAIKAI"/>
        <s v="KELEO"/>
        <s v="LOUGOYE KAMASSE"/>
        <s v="BEGUEPALAM"/>
        <s v="YANGA"/>
        <s v="BARKAYA"/>
        <s v="DOUGUOUI"/>
        <s v="MBOUKTANG"/>
        <s v="BARIAGODJO"/>
        <s v="GUIRVIDIG"/>
        <s v="MAHAOUROU"/>
        <s v="TEKELE"/>
        <s v="POUSS"/>
        <s v="FARAOULOU"/>
        <s v="GAGRAI"/>
        <s v="VOUNALOUM"/>
        <s v="KARTOUA"/>
        <s v="BANGALA"/>
        <s v="VELE"/>
        <s v="GUEME"/>
        <s v="DANA"/>
        <s v="MOURI"/>
        <s v="DOMO"/>
        <s v="HOLLOM"/>
        <s v="DJOUGOUMTA"/>
        <s v="DAHAOU"/>
        <s v="MOUKA"/>
        <s v="DANGABISSI"/>
        <s v="MASSA KOUTWERTA"/>
        <s v="MASSA IKA"/>
        <s v="NAYEGUISSIA"/>
        <s v="DABANA"/>
        <s v="KARAM 1"/>
        <s v="BASTEBE"/>
        <s v="GOBOGAIOUA"/>
        <s v="KARAM 2"/>
        <s v="DJELME"/>
        <s v="MENDAIRE"/>
        <s v="SIRATARE"/>
        <s v="DJANINI"/>
        <s v="GASSEL"/>
        <s v="LARAO"/>
        <s v="OURO BELLO"/>
        <s v="MOULVOUDAYE CENTRE"/>
        <s v="MOUTOUROUA ROOM"/>
        <s v="BADJAVA TWONGO"/>
        <s v="MOUDA"/>
        <s v="DJIDOMA"/>
        <s v="BOURGOURI"/>
        <s v="LARA"/>
        <s v="ZAKLONG"/>
        <s v="KAELE"/>
        <s v="GAZARO"/>
        <s v="ZADILI"/>
        <s v="MOGOM"/>
        <s v="GAVIANG"/>
        <s v="SAMA"/>
        <s v="YAKANG"/>
        <s v="OURO-DOLE"/>
        <s v="MALLOUMRIA"/>
        <s v="WALASSA"/>
        <s v="ALDOURI"/>
        <s v="BOULDA 1"/>
        <s v="BOULDA 2"/>
        <s v="ZIROU"/>
        <s v="ALDJE"/>
        <s v="KERAWA"/>
        <s v="GOUZOUDOU"/>
        <s v="BAME"/>
        <s v="AMCHIDE"/>
        <s v="SARE"/>
        <s v="GARE"/>
        <s v="KOLOFATA"/>
        <s v="AMTCHALIE"/>
        <s v="FIKE 2"/>
        <s v="KOSSA"/>
        <s v="FIKE 1"/>
        <s v="IGAGOUA 2"/>
        <s v="IGAGOUA 1"/>
        <s v="DJAKANA"/>
        <s v="WARAGA"/>
        <s v="LIMANI"/>
        <s v="BONDERI"/>
        <s v="MEME"/>
        <s v="DJOUNDE"/>
        <s v="DOULO"/>
        <s v="MAGDEME"/>
        <s v="MASSARE 2"/>
        <s v="POUCHE"/>
        <s v="MORA MASSIF"/>
        <s v="VOUAWA"/>
        <s v="MASSARE 1"/>
        <s v="GOUDJOUMDELE"/>
        <s v="BALDAMA"/>
        <s v="OUDJILA"/>
        <s v="GODIGONG"/>
        <s v="KOURGUI"/>
        <s v="WALADE 3"/>
        <s v="MBARMA"/>
        <s v="MAHOULA"/>
        <s v="WALADE 2"/>
        <s v="DJARME"/>
        <s v="SANDALE 1"/>
        <s v="SANDALE 2"/>
        <s v="JAJA"/>
        <s v="DJESKAWE"/>
        <s v="DAKADALA GADADOU"/>
        <s v="LALAWAI"/>
        <s v="OULDEME"/>
        <s v="MAKELINGAI"/>
        <s v="SERAWA"/>
        <s v="TAZANG"/>
        <s v="TOKOMBERE"/>
        <s v="TINDERME"/>
        <s v="PALBARA"/>
        <s v="MBZAGABAI"/>
        <s v="GADABAK"/>
        <s v="MADA KOLKACH"/>
        <s v="MADOUVAYA"/>
        <s v="NORA"/>
        <s v="OUDAVA"/>
        <s v="RHUMSIKI"/>
        <s v="KARANTCHI"/>
        <s v="MOGODE"/>
        <s v="KILA"/>
        <s v="TEKI"/>
        <s v="YELLE"/>
        <s v="SIR"/>
        <s v="GOURIA"/>
        <s v="VITTE"/>
        <s v="RHUMZU"/>
        <s v="KORTCHI"/>
        <s v="KOUFFI"/>
        <s v="WOULA"/>
        <s v="DJALINGO"/>
        <s v="BOUNGUELRE"/>
        <s v="MOKONG"/>
        <s v="SARKI FADA"/>
        <s v="SABONGARI"/>
        <s v="BOULA"/>
        <s v="MAINDEZE"/>
        <s v="OURO KESSOUM"/>
        <s v="LAIDE"/>
        <s v="TOUROU"/>
        <s v="MAXI MABASS"/>
        <s v="KOSSOHONE"/>
        <s v="TOUFOU"/>
        <s v="TONGO"/>
        <s v="GOLE KADJOLE"/>
        <s v="WANDAI"/>
        <s v="MBOUA ZIMAGAZAK"/>
        <s v="DEDEP"/>
        <s v="DJIMETA"/>
        <s v="LAMORDE"/>
        <s v="MAVOUMAY"/>
        <s v="OURO TADA"/>
        <s v="ITAWA"/>
        <s v="MAGOUMAZ"/>
        <s v="ZAMAI"/>
        <s v="ZILENG"/>
        <s v="GAWAR"/>
        <s v="LDAMANG"/>
        <s v="NASSARAO 1"/>
        <s v="NASSARAO 2"/>
        <s v="BERING"/>
        <s v="ZOUVOUL"/>
        <s v="HINA CENTRE"/>
        <s v="BASSARA"/>
        <s v="BAMGUEL BORORO"/>
        <s v="MATALAM"/>
        <s v="MBARDAM"/>
        <s v="YAMEDE"/>
        <s v="TENDEO"/>
        <s v="MORGO"/>
        <s v="GABOUA"/>
        <s v="HOUVA"/>
        <s v="GAIVOUKIDA"/>
        <s v="HIRCHE"/>
        <s v="DJINGLIYA MONTAGNE"/>
        <s v="GOUSDA MAKANDAI"/>
        <s v="DOUMBOGO"/>
        <s v="DJINGIYA PLAINE"/>
        <s v="PAMBAO"/>
        <s v="ZILER"/>
        <s v="GOUSD MLAIL"/>
        <s v="GOUSDA WAYAM"/>
        <s v="WALADE"/>
        <s v="MAWA"/>
        <s v="KILDA"/>
        <s v="GUETALE"/>
        <s v="MAZI"/>
        <s v="WOULAD"/>
        <s v="GABAS"/>
        <s v="KECHKEME"/>
        <s v="HAMDALA"/>
        <s v="MODOKO"/>
        <s v="GALDALA"/>
        <s v="DOURWAT"/>
        <s v="GUID BALA"/>
        <s v="DJENGUE"/>
        <s v="MALTAMAYA"/>
        <s v="KAZIER"/>
        <s v="MOZOGO GUIDBALA"/>
        <s v="DEKERE"/>
        <s v="KARAZAWA"/>
        <s v="GOKORO"/>
        <s v="DZAMADZAF"/>
        <s v="KORSAMBA"/>
        <s v="GOLDAVI"/>
        <s v="HITERE"/>
        <s v="KEREWA-MAFA"/>
        <s v="BAVONGOLA"/>
        <s v="MANDOUSSA"/>
        <s v="MEDEGOUER"/>
        <s v="GOLKIDAYE"/>
        <s v="MOZOGO TCHEKODE"/>
        <s v="YAMGAZAWA"/>
        <s v="WOUDAL"/>
        <s v="KELARI"/>
        <s v="OUZAL"/>
        <s v="NGUETCHEWE"/>
        <s v="VOUZI"/>
        <s v="MOZOGO QUARTIER HAOUSSA"/>
        <s v="ZELEWET"/>
        <s v="MOSKOTA"/>
        <s v="MADAKAR"/>
        <s v="DOUMGAR"/>
        <s v="BAO"/>
        <s v="GOLIBAI"/>
        <s v="OUDOUMDJARAY"/>
        <s v="SOULEDE ROUA"/>
        <s v="ROUA CENTRE"/>
        <s v="FOGOM"/>
        <s v="MADOKONAI 1"/>
        <s v="BOUKOULA"/>
        <s v="TCHEVI"/>
        <s v="GAMBOURA"/>
        <s v="GUILI"/>
      </sharedItems>
    </cacheField>
    <cacheField name="evaluation_village_long" numFmtId="0">
      <sharedItems/>
    </cacheField>
    <cacheField name="evaluation_village_lat" numFmtId="0">
      <sharedItems/>
    </cacheField>
    <cacheField name="evaluation_village_acurate" numFmtId="0">
      <sharedItems/>
    </cacheField>
    <cacheField name="population_globale" numFmtId="0">
      <sharedItems containsSemiMixedTypes="0" containsString="0" containsNumber="1" containsInteger="1" minValue="0" maxValue="60023"/>
    </cacheField>
    <cacheField name="idp" numFmtId="0">
      <sharedItems/>
    </cacheField>
    <cacheField name="idp_hh" numFmtId="0">
      <sharedItems containsSemiMixedTypes="0" containsString="0" containsNumber="1" containsInteger="1" minValue="0" maxValue="2427"/>
    </cacheField>
    <cacheField name="idp_ind" numFmtId="0">
      <sharedItems containsSemiMixedTypes="0" containsString="0" containsNumber="1" containsInteger="1" minValue="0" maxValue="16558"/>
    </cacheField>
    <cacheField name="idp_fa" numFmtId="0">
      <sharedItems/>
    </cacheField>
    <cacheField name="idp_fa_hh" numFmtId="0">
      <sharedItems containsSemiMixedTypes="0" containsString="0" containsNumber="1" containsInteger="1" minValue="0" maxValue="2342"/>
    </cacheField>
    <cacheField name="idp_loc" numFmtId="0">
      <sharedItems/>
    </cacheField>
    <cacheField name="idp_loc_hh" numFmtId="0">
      <sharedItems containsSemiMixedTypes="0" containsString="0" containsNumber="1" containsInteger="1" minValue="0" maxValue="595"/>
    </cacheField>
    <cacheField name="idp_loc_details" numFmtId="0">
      <sharedItems/>
    </cacheField>
    <cacheField name="idp_loc_autre" numFmtId="0">
      <sharedItems/>
    </cacheField>
    <cacheField name="idp_cc" numFmtId="0">
      <sharedItems/>
    </cacheField>
    <cacheField name="idp_cc_hh" numFmtId="0">
      <sharedItems containsSemiMixedTypes="0" containsString="0" containsNumber="1" containsInteger="1" minValue="0" maxValue="153"/>
    </cacheField>
    <cacheField name="idp_cc_details" numFmtId="0">
      <sharedItems/>
    </cacheField>
    <cacheField name="idp_cc_autre" numFmtId="0">
      <sharedItems/>
    </cacheField>
    <cacheField name="idp_as" numFmtId="0">
      <sharedItems/>
    </cacheField>
    <cacheField name="idp_as_hh" numFmtId="0">
      <sharedItems containsSemiMixedTypes="0" containsString="0" containsNumber="1" containsInteger="1" minValue="0" maxValue="1677"/>
    </cacheField>
    <cacheField name="idp_al" numFmtId="0">
      <sharedItems/>
    </cacheField>
    <cacheField name="idp_al_hh" numFmtId="0">
      <sharedItems containsSemiMixedTypes="0" containsString="0" containsNumber="1" containsInteger="1" minValue="0" maxValue="50"/>
    </cacheField>
    <cacheField name="refugees" numFmtId="0">
      <sharedItems/>
    </cacheField>
    <cacheField name="ref_hh" numFmtId="0">
      <sharedItems containsSemiMixedTypes="0" containsString="0" containsNumber="1" containsInteger="1" minValue="0" maxValue="583"/>
    </cacheField>
    <cacheField name="ref_ind" numFmtId="0">
      <sharedItems containsSemiMixedTypes="0" containsString="0" containsNumber="1" containsInteger="1" minValue="0" maxValue="3266"/>
    </cacheField>
    <cacheField name="ancien_refugees" numFmtId="0">
      <sharedItems count="3">
        <s v=""/>
        <s v="non"/>
        <s v="oui"/>
      </sharedItems>
    </cacheField>
    <cacheField name="ancien_departement" numFmtId="0">
      <sharedItems count="4">
        <s v=""/>
        <s v="Logone-Et-Chari"/>
        <s v="Mayo-Sava"/>
        <s v="Mayo-Tsanaga"/>
      </sharedItems>
    </cacheField>
    <cacheField name="ancien_arrondissement" numFmtId="0">
      <sharedItems/>
    </cacheField>
    <cacheField name="ancien_village" numFmtId="0">
      <sharedItems count="13">
        <s v=""/>
        <s v="ZIGAGUE"/>
        <s v="FOTOKOL VILLE"/>
        <s v="BARGARAM"/>
        <s v="HEREZAYA (Camp)"/>
        <s v="MANIGUEIDE"/>
        <s v="AFADE CAMP"/>
        <s v="MAN-ARABIE"/>
        <s v="SIMO"/>
        <s v="NGARTCHANO 1"/>
        <s v="BANKI"/>
        <s v="VOUZI"/>
        <s v="MAWA"/>
      </sharedItems>
    </cacheField>
    <cacheField name="ref_fa" numFmtId="0">
      <sharedItems/>
    </cacheField>
    <cacheField name="ref_fa_hh" numFmtId="0">
      <sharedItems containsSemiMixedTypes="0" containsString="0" containsNumber="1" containsInteger="1" minValue="0" maxValue="583"/>
    </cacheField>
    <cacheField name="ref_loc" numFmtId="0">
      <sharedItems/>
    </cacheField>
    <cacheField name="ref_loc_hh" numFmtId="0">
      <sharedItems containsSemiMixedTypes="0" containsString="0" containsNumber="1" containsInteger="1" minValue="0" maxValue="81"/>
    </cacheField>
    <cacheField name="ref_loc_details" numFmtId="0">
      <sharedItems/>
    </cacheField>
    <cacheField name="ref_loc_autre" numFmtId="0">
      <sharedItems/>
    </cacheField>
    <cacheField name="ref_cc" numFmtId="0">
      <sharedItems/>
    </cacheField>
    <cacheField name="ref_cc_hh" numFmtId="0">
      <sharedItems containsSemiMixedTypes="0" containsString="0" containsNumber="1" containsInteger="1" minValue="0" maxValue="0"/>
    </cacheField>
    <cacheField name="ref_cc_details" numFmtId="0">
      <sharedItems/>
    </cacheField>
    <cacheField name="ref_cc_autre" numFmtId="0">
      <sharedItems/>
    </cacheField>
    <cacheField name="ref_as" numFmtId="0">
      <sharedItems/>
    </cacheField>
    <cacheField name="ref_as_hh" numFmtId="0">
      <sharedItems containsSemiMixedTypes="0" containsString="0" containsNumber="1" containsInteger="1" minValue="0" maxValue="378"/>
    </cacheField>
    <cacheField name="ref_al" numFmtId="0">
      <sharedItems/>
    </cacheField>
    <cacheField name="ref_al_hh" numFmtId="0">
      <sharedItems containsSemiMixedTypes="0" containsString="0" containsNumber="1" containsInteger="1" minValue="0" maxValue="0"/>
    </cacheField>
    <cacheField name="returnees" numFmtId="0">
      <sharedItems/>
    </cacheField>
    <cacheField name="ret_hh" numFmtId="0">
      <sharedItems containsSemiMixedTypes="0" containsString="0" containsNumber="1" containsInteger="1" minValue="0" maxValue="981"/>
    </cacheField>
    <cacheField name="ret_ind" numFmtId="0">
      <sharedItems containsSemiMixedTypes="0" containsString="0" containsNumber="1" containsInteger="1" minValue="0" maxValue="7763"/>
    </cacheField>
    <cacheField name="ret_hi" numFmtId="0">
      <sharedItems/>
    </cacheField>
    <cacheField name="ret_hi_hh" numFmtId="0">
      <sharedItems containsSemiMixedTypes="0" containsString="0" containsNumber="1" containsInteger="1" minValue="0" maxValue="981"/>
    </cacheField>
    <cacheField name="ret_fa" numFmtId="0">
      <sharedItems/>
    </cacheField>
    <cacheField name="ret_fa_hh" numFmtId="0">
      <sharedItems containsSemiMixedTypes="0" containsString="0" containsNumber="1" containsInteger="1" minValue="0" maxValue="435"/>
    </cacheField>
    <cacheField name="ret_loc" numFmtId="0">
      <sharedItems/>
    </cacheField>
    <cacheField name="ret_loc_hh" numFmtId="0">
      <sharedItems containsSemiMixedTypes="0" containsString="0" containsNumber="1" containsInteger="1" minValue="0" maxValue="56"/>
    </cacheField>
    <cacheField name="ret_loc_details" numFmtId="0">
      <sharedItems/>
    </cacheField>
    <cacheField name="ret_loc_autre" numFmtId="0">
      <sharedItems/>
    </cacheField>
    <cacheField name="ret_cc" numFmtId="0">
      <sharedItems/>
    </cacheField>
    <cacheField name="ret_cc_hh" numFmtId="0">
      <sharedItems containsSemiMixedTypes="0" containsString="0" containsNumber="1" containsInteger="1" minValue="0" maxValue="0"/>
    </cacheField>
    <cacheField name="ret_cc_details" numFmtId="0">
      <sharedItems/>
    </cacheField>
    <cacheField name="ret_cc_autre" numFmtId="0">
      <sharedItems/>
    </cacheField>
    <cacheField name="ret_as" numFmtId="0">
      <sharedItems/>
    </cacheField>
    <cacheField name="ret_as_hh" numFmtId="0">
      <sharedItems containsSemiMixedTypes="0" containsString="0" containsNumber="1" containsInteger="1" minValue="0" maxValue="120"/>
    </cacheField>
    <cacheField name="ret_al" numFmtId="0">
      <sharedItems/>
    </cacheField>
    <cacheField name="ret_al_hh" numFmtId="0">
      <sharedItems containsSemiMixedTypes="0" containsString="0" containsNumber="1" containsInteger="1" minValue="0" maxValue="8"/>
    </cacheField>
    <cacheField name="deplaces_locaux" numFmtId="0">
      <sharedItems/>
    </cacheField>
    <cacheField name="E_depart_sans_retour_hh" numFmtId="0">
      <sharedItems containsSemiMixedTypes="0" containsString="0" containsNumber="1" containsInteger="1" minValue="0" maxValue="3683"/>
    </cacheField>
    <cacheField name="E_depart_sans_retour_ind" numFmtId="0">
      <sharedItems containsSemiMixedTypes="0" containsString="0" containsNumber="1" containsInteger="1" minValue="0" maxValue="22103"/>
    </cacheField>
    <cacheField name="rapatriements" numFmtId="0">
      <sharedItems/>
    </cacheField>
    <cacheField name="rapatries_hh" numFmtId="0">
      <sharedItems containsString="0" containsBlank="1" containsNumber="1" containsInteger="1" minValue="8" maxValue="170"/>
    </cacheField>
    <cacheField name="rapatries_ind" numFmtId="0">
      <sharedItems containsString="0" containsBlank="1" containsNumber="1" containsInteger="1" minValue="40" maxValue="1360"/>
    </cacheField>
    <cacheField name="nouveau" numFmtId="0">
      <sharedItems/>
    </cacheField>
    <cacheField name="tes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ANNESQUIN ROYER Djofang" refreshedDate="43091.791015856485" createdVersion="4" refreshedVersion="5" minRefreshableVersion="3" recordCount="1983">
  <cacheSource type="worksheet">
    <worksheetSource name="TotalData_DetailPeriods"/>
  </cacheSource>
  <cacheFields count="23">
    <cacheField name="adm1_name" numFmtId="0">
      <sharedItems/>
    </cacheField>
    <cacheField name="adm1_code" numFmtId="0">
      <sharedItems/>
    </cacheField>
    <cacheField name="adm2_name" numFmtId="0">
      <sharedItems count="6">
        <s v="Diamare"/>
        <s v="Logone-Et-Chari"/>
        <s v="Mayo-Danay"/>
        <s v="Mayo-Kani"/>
        <s v="Mayo-Sava"/>
        <s v="Mayo-Tsanaga"/>
      </sharedItems>
    </cacheField>
    <cacheField name="adm2_code" numFmtId="0">
      <sharedItems/>
    </cacheField>
    <cacheField name="adm3_name" numFmtId="0">
      <sharedItems count="37">
        <s v="Gazawa"/>
        <s v="Maroua II"/>
        <s v="Maroua III"/>
        <s v="Meri"/>
        <s v="Pette"/>
        <s v="Blangoua"/>
        <s v="Darak"/>
        <s v="Fotokol"/>
        <s v="Goulfey"/>
        <s v="Hile-Alifa"/>
        <s v="Kousseri"/>
        <s v="Logone-Birni"/>
        <s v="Makary"/>
        <s v="Waza"/>
        <s v="Zina"/>
        <s v="Gobo"/>
        <s v="Gueme"/>
        <s v="Guere"/>
        <s v="Kai-Kai"/>
        <s v="Maga"/>
        <s v="Yagoua"/>
        <s v="Kaele"/>
        <s v="Moutourwa"/>
        <s v="Kolofata"/>
        <s v="Mora"/>
        <s v="Tokombere"/>
        <s v="Bourha"/>
        <s v="Hina"/>
        <s v="Koza"/>
        <s v="Mokolo"/>
        <s v="Mozogo"/>
        <s v="Soulede-Roua"/>
        <s v="Mindif"/>
        <s v="Mogode"/>
        <s v="Dargala"/>
        <s v="Guidiguis"/>
        <s v="Moulvoudaye"/>
      </sharedItems>
    </cacheField>
    <cacheField name="adm3_code" numFmtId="0">
      <sharedItems/>
    </cacheField>
    <cacheField name="village_name" numFmtId="0">
      <sharedItems/>
    </cacheField>
    <cacheField name="village_code" numFmtId="0">
      <sharedItems/>
    </cacheField>
    <cacheField name="deplacement" numFmtId="0">
      <sharedItems count="3">
        <s v="idp"/>
        <s v="refugies non enregistres"/>
        <s v="retournes"/>
      </sharedItems>
    </cacheField>
    <cacheField name="periode" numFmtId="0">
      <sharedItems/>
    </cacheField>
    <cacheField name="hh" numFmtId="0">
      <sharedItems containsSemiMixedTypes="0" containsString="0" containsNumber="1" containsInteger="1" minValue="1" maxValue="1524"/>
    </cacheField>
    <cacheField name="ind" numFmtId="0">
      <sharedItems containsSemiMixedTypes="0" containsString="0" containsNumber="1" containsInteger="1" minValue="1" maxValue="13190"/>
    </cacheField>
    <cacheField name="raison" numFmtId="0">
      <sharedItems/>
    </cacheField>
    <cacheField name="autre_raison" numFmtId="0">
      <sharedItems/>
    </cacheField>
    <cacheField name="provenance" numFmtId="0">
      <sharedItems/>
    </cacheField>
    <cacheField name="provenance_adm0" numFmtId="0">
      <sharedItems/>
    </cacheField>
    <cacheField name="provenance_adm0_nom" numFmtId="0">
      <sharedItems/>
    </cacheField>
    <cacheField name="provenance_adm1" numFmtId="0">
      <sharedItems/>
    </cacheField>
    <cacheField name="provenance_adm1_nom" numFmtId="0">
      <sharedItems/>
    </cacheField>
    <cacheField name="provenance_adm2" numFmtId="0">
      <sharedItems/>
    </cacheField>
    <cacheField name="provenance_adm2_nom" numFmtId="0">
      <sharedItems/>
    </cacheField>
    <cacheField name="provenance_adm3" numFmtId="0">
      <sharedItems/>
    </cacheField>
    <cacheField name="provenance_adm3_nom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ANNESQUIN ROYER Djofang" refreshedDate="43093.795186921299" createdVersion="4" refreshedVersion="5" minRefreshableVersion="3" recordCount="1983">
  <cacheSource type="worksheet">
    <worksheetSource name="DisplacementPeriod"/>
  </cacheSource>
  <cacheFields count="23">
    <cacheField name="adm1_name" numFmtId="0">
      <sharedItems/>
    </cacheField>
    <cacheField name="adm1_code" numFmtId="0">
      <sharedItems/>
    </cacheField>
    <cacheField name="adm2_name" numFmtId="0">
      <sharedItems count="6">
        <s v="Diamare"/>
        <s v="Logone-Et-Chari"/>
        <s v="Mayo-Danay"/>
        <s v="Mayo-Kani"/>
        <s v="Mayo-Sava"/>
        <s v="Mayo-Tsanaga"/>
      </sharedItems>
    </cacheField>
    <cacheField name="adm2_code" numFmtId="0">
      <sharedItems/>
    </cacheField>
    <cacheField name="adm3_name" numFmtId="0">
      <sharedItems count="37">
        <s v="Gazawa"/>
        <s v="Maroua II"/>
        <s v="Maroua III"/>
        <s v="Meri"/>
        <s v="Pette"/>
        <s v="Blangoua"/>
        <s v="Darak"/>
        <s v="Fotokol"/>
        <s v="Goulfey"/>
        <s v="Hile-Alifa"/>
        <s v="Kousseri"/>
        <s v="Logone-Birni"/>
        <s v="Makary"/>
        <s v="Waza"/>
        <s v="Zina"/>
        <s v="Gobo"/>
        <s v="Gueme"/>
        <s v="Guere"/>
        <s v="Kai-Kai"/>
        <s v="Maga"/>
        <s v="Yagoua"/>
        <s v="Kaele"/>
        <s v="Moutourwa"/>
        <s v="Kolofata"/>
        <s v="Mora"/>
        <s v="Tokombere"/>
        <s v="Bourha"/>
        <s v="Hina"/>
        <s v="Koza"/>
        <s v="Mokolo"/>
        <s v="Mozogo"/>
        <s v="Soulede-Roua"/>
        <s v="Mindif"/>
        <s v="Mogode"/>
        <s v="Dargala"/>
        <s v="Guidiguis"/>
        <s v="Moulvoudaye"/>
      </sharedItems>
    </cacheField>
    <cacheField name="adm3_code" numFmtId="0">
      <sharedItems/>
    </cacheField>
    <cacheField name="village_name" numFmtId="0">
      <sharedItems/>
    </cacheField>
    <cacheField name="village_code" numFmtId="0">
      <sharedItems count="689">
        <s v="GAZ_0001"/>
        <s v="GAZ_0002"/>
        <s v="GAZ_0003"/>
        <s v="GAZ_0004"/>
        <s v="GAZ_0005"/>
        <s v="GAZ_0006"/>
        <s v="MA2_0001"/>
        <s v="MA2_0002"/>
        <s v="MA3_0001"/>
        <s v="MA3_0002"/>
        <s v="MA3_0003"/>
        <s v="MA3_0004"/>
        <s v="MER_0001"/>
        <s v="PET_0001"/>
        <s v="PET_0028"/>
        <s v="PET_0003"/>
        <s v="PET_0004"/>
        <s v="PET_0005"/>
        <s v="PET_0006"/>
        <s v="PET_0008"/>
        <s v="PET_0010"/>
        <s v="PET_0011"/>
        <s v="PET_0012"/>
        <s v="PET_0013"/>
        <s v="PET_0014"/>
        <s v="PET_0015"/>
        <s v="PET_0016"/>
        <s v="PET_0017"/>
        <s v="PET_0018"/>
        <s v="PET_0019"/>
        <s v="PET_0020"/>
        <s v="PET_0021"/>
        <s v="PET_0022"/>
        <s v="PET_0023"/>
        <s v="PET_0024"/>
        <s v="PET_0025"/>
        <s v="PET_0027"/>
        <s v="BLA_0001"/>
        <s v="BLA_0002"/>
        <s v="BLA_0003"/>
        <s v="BLA_0004"/>
        <s v="BLA_0005"/>
        <s v="BLA_0006"/>
        <s v="BLA_0007"/>
        <s v="BLA_0008"/>
        <s v="BLA_0009"/>
        <s v="BLA_0010"/>
        <s v="BLA_0015"/>
        <s v="BLA_0011"/>
        <s v="BLA_0017"/>
        <s v="BLA_0013"/>
        <s v="BLA_0016"/>
        <s v="BLA_0014"/>
        <s v="DAR_0001"/>
        <s v="DAR_0022"/>
        <s v="DAR_0002"/>
        <s v="DAR_0003"/>
        <s v="DAR_0004"/>
        <s v="DAR_0006"/>
        <s v="DAR_0021"/>
        <s v="DAR_0007"/>
        <s v="DAR_0008"/>
        <s v="DAR_0009"/>
        <s v="DAR_0011"/>
        <s v="DAR_0012"/>
        <s v="DAR_0023"/>
        <s v="DAR_0013"/>
        <s v="DAR_0014"/>
        <s v="DAR_0015"/>
        <s v="DAR_0016"/>
        <s v="DAR_0017"/>
        <s v="DAR_0018"/>
        <s v="DAR_0019"/>
        <s v="DAR_0020"/>
        <s v="FOT_0001"/>
        <s v="FOT_0031"/>
        <s v="FOT_0038"/>
        <s v="FOT_0004"/>
        <s v="FOT_0029"/>
        <s v="FOT_0009"/>
        <s v="FOT_0045"/>
        <s v="FOT_0034"/>
        <s v="FOT_0039"/>
        <s v="FOT_0040"/>
        <s v="FOT_0048"/>
        <s v="FOT_0041"/>
        <s v="FOT_0010"/>
        <s v="FOT_0014"/>
        <s v="FOT_0043"/>
        <s v="FOT_0015"/>
        <s v="FOT_0016"/>
        <s v="FOT_0046"/>
        <s v="FOT_0030"/>
        <s v="FOT_0044"/>
        <s v="FOT_0019"/>
        <s v="FOT_0047"/>
        <s v="FOT_0028"/>
        <s v="FOT_0037"/>
        <s v="GOU_0026"/>
        <s v="GOU_0001"/>
        <s v="GOU_0002"/>
        <s v="GOU_0003"/>
        <s v="GOU_0005"/>
        <s v="GOU_0025"/>
        <s v="GOU_0006"/>
        <s v="GOU_0007"/>
        <s v="GOU_0008"/>
        <s v="GOU_0009"/>
        <s v="GOU_0030"/>
        <s v="GOU_0031"/>
        <s v="GOU_0010"/>
        <s v="GOU_0011"/>
        <s v="GOU_0032"/>
        <s v="GOU_0012"/>
        <s v="GOU_0013"/>
        <s v="GOU_0014"/>
        <s v="GOU_0033"/>
        <s v="GOU_0015"/>
        <s v="GOU_0016"/>
        <s v="GOU_0027"/>
        <s v="GOU_0017"/>
        <s v="GOU_0018"/>
        <s v="GOU_0019"/>
        <s v="GOU_0020"/>
        <s v="GOU_0021"/>
        <s v="GOU_0022"/>
        <s v="GOU_0023"/>
        <s v="GOU_0024"/>
        <s v="GOU_0004"/>
        <s v="HIL_0002"/>
        <s v="HIL_0003"/>
        <s v="HIL_0004"/>
        <s v="HIL_0005"/>
        <s v="HIL_0018"/>
        <s v="HIL_0019"/>
        <s v="HIL_0020"/>
        <s v="HIL_0010"/>
        <s v="HIL_0011"/>
        <s v="HIL_0013"/>
        <s v="HIL_0021"/>
        <s v="HIL_0022"/>
        <s v="HIL_0023"/>
        <s v="HIL_0014"/>
        <s v="HIL_0015"/>
        <s v="HIL_0024"/>
        <s v="KOU_0001"/>
        <s v="KOU_0002"/>
        <s v="KOU_0042"/>
        <s v="KOU_0003"/>
        <s v="KOU_0004"/>
        <s v="KOU_0005"/>
        <s v="KOU_0007"/>
        <s v="KOU_0009"/>
        <s v="KOU_0010"/>
        <s v="KOU_0011"/>
        <s v="KOU_0012"/>
        <s v="KOU_0013"/>
        <s v="KOU_0040"/>
        <s v="KOU_0041"/>
        <s v="KOU_0014"/>
        <s v="KOU_0015"/>
        <s v="KOU_0016"/>
        <s v="KOU_0017"/>
        <s v="KOU_0018"/>
        <s v="KOU_0019"/>
        <s v="KOU_0020"/>
        <s v="KOU_0021"/>
        <s v="KOU_0022"/>
        <s v="KOU_0023"/>
        <s v="KOU_0024"/>
        <s v="KOU_0025"/>
        <s v="KOU_0026"/>
        <s v="KOU_0027"/>
        <s v="KOU_0028"/>
        <s v="KOU_0029"/>
        <s v="KOU_0030"/>
        <s v="KOU_0031"/>
        <s v="KOU_0032"/>
        <s v="KOU_0033"/>
        <s v="KOU_0034"/>
        <s v="KOU_0035"/>
        <s v="KOU_0036"/>
        <s v="KOU_0037"/>
        <s v="KOU_0038"/>
        <s v="KOU_0039"/>
        <s v="LBI_0027"/>
        <s v="LBI_0028"/>
        <s v="LBI_0029"/>
        <s v="LBI_0009"/>
        <s v="LBI_0001"/>
        <s v="LBI_0030"/>
        <s v="LBI_0031"/>
        <s v="LBI_0016"/>
        <s v="LBI_0011"/>
        <s v="LBI_0032"/>
        <s v="LBI_0017"/>
        <s v="LBI_0033"/>
        <s v="LBI_0034"/>
        <s v="LBI_0035"/>
        <s v="LBI_0036"/>
        <s v="LBI_0002"/>
        <s v="LBI_0004"/>
        <s v="LBI_0003"/>
        <s v="LBI_0013"/>
        <s v="LBI_0018"/>
        <s v="LBI_0005"/>
        <s v="LBI_0038"/>
        <s v="LBI_0039"/>
        <s v="LBI_0040"/>
        <s v="LBI_0014"/>
        <s v="LBI_0019"/>
        <s v="LBI_0022"/>
        <s v="LBI_0020"/>
        <s v="LBI_0021"/>
        <s v="LBI_0042"/>
        <s v="LBI_0023"/>
        <s v="LBI_0043"/>
        <s v="LBI_0024"/>
        <s v="LBI_0015"/>
        <s v="LBI_0025"/>
        <s v="LBI_0044"/>
        <s v="LBI_0006"/>
        <s v="LBI_0026"/>
        <s v="LBI_0007"/>
        <s v="MAK_0223"/>
        <s v="MAK_0001"/>
        <s v="MAK_0190"/>
        <s v="MAK_0191"/>
        <s v="MAK_0192"/>
        <s v="MAK_0002"/>
        <s v="MAK_0003"/>
        <s v="MAK_0004"/>
        <s v="MAK_0194"/>
        <s v="MAK_0006"/>
        <s v="MAK_0007"/>
        <s v="MAK_0008"/>
        <s v="MAK_0009"/>
        <s v="MAK_0222"/>
        <s v="MAK_0195"/>
        <s v="MAK_0196"/>
        <s v="MAK_0197"/>
        <s v="MAK_0010"/>
        <s v="MAK_0148"/>
        <s v="MAK_0149"/>
        <s v="MAK_0198"/>
        <s v="MAK_0048"/>
        <s v="MAK_0011"/>
        <s v="MAK_0012"/>
        <s v="MAK_0013"/>
        <s v="MAK_0014"/>
        <s v="MAK_0150"/>
        <s v="MAK_0105"/>
        <s v="MAK_0016"/>
        <s v="MAK_0199"/>
        <s v="MAK_0017"/>
        <s v="MAK_0018"/>
        <s v="MAK_0019"/>
        <s v="MAK_0020"/>
        <s v="MAK_0021"/>
        <s v="MAK_0201"/>
        <s v="MAK_0022"/>
        <s v="MAK_0023"/>
        <s v="MAK_0202"/>
        <s v="MAK_0024"/>
        <s v="MAK_0151"/>
        <s v="MAK_0123"/>
        <s v="MAK_0025"/>
        <s v="MAK_0203"/>
        <s v="MAK_0154"/>
        <s v="MAK_0155"/>
        <s v="MAK_0107"/>
        <s v="MAK_0028"/>
        <s v="MAK_0156"/>
        <s v="MAK_0124"/>
        <s v="MAK_0157"/>
        <s v="MAK_0030"/>
        <s v="MAK_0031"/>
        <s v="MAK_0032"/>
        <s v="MAK_0033"/>
        <s v="MAK_0034"/>
        <s v="MAK_0026"/>
        <s v="MAK_0035"/>
        <s v="MAK_0036"/>
        <s v="MAK_0158"/>
        <s v="MAK_0159"/>
        <s v="MAK_0108"/>
        <s v="MAK_0038"/>
        <s v="MAK_0204"/>
        <s v="MAK_0039"/>
        <s v="MAK_0040"/>
        <s v="MAK_0161"/>
        <s v="MAK_0126"/>
        <s v="MAK_0041"/>
        <s v="MAK_0205"/>
        <s v="MAK_0042"/>
        <s v="MAK_0186"/>
        <s v="MAK_0187"/>
        <s v="MAK_0043"/>
        <s v="MAK_0044"/>
        <s v="MAK_0206"/>
        <s v="MAK_0045"/>
        <s v="MAK_0166"/>
        <s v="MAK_0047"/>
        <s v="MAK_0167"/>
        <s v="MAK_0168"/>
        <s v="MAK_0224"/>
        <s v="MAK_0207"/>
        <s v="MAK_0169"/>
        <s v="MAK_0127"/>
        <s v="MAK_0049"/>
        <s v="MAK_0226"/>
        <s v="MAK_0050"/>
        <s v="MAK_0181"/>
        <s v="MAK_0051"/>
        <s v="MAK_0052"/>
        <s v="MAK_0053"/>
        <s v="MAK_0054"/>
        <s v="MAK_0109"/>
        <s v="MAK_0055"/>
        <s v="MAK_0113"/>
        <s v="MAK_0170"/>
        <s v="MAK_0056"/>
        <s v="MAK_0057"/>
        <s v="MAK_0058"/>
        <s v="MAK_0059"/>
        <s v="MAK_0060"/>
        <s v="MAK_0061"/>
        <s v="MAK_0062"/>
        <s v="MAK_0064"/>
        <s v="MAK_0065"/>
        <s v="MAK_0066"/>
        <s v="MAK_0067"/>
        <s v="MAK_0068"/>
        <s v="MAK_0069"/>
        <s v="MAK_0070"/>
        <s v="MAK_0071"/>
        <s v="MAK_0110"/>
        <s v="MAK_0073"/>
        <s v="MAK_0074"/>
        <s v="MAK_0208"/>
        <s v="MAK_0211"/>
        <s v="MAK_0104"/>
        <s v="MAK_0075"/>
        <s v="MAK_0111"/>
        <s v="MAK_0212"/>
        <s v="MAK_0213"/>
        <s v="MAK_0076"/>
        <s v="MAK_0077"/>
        <s v="MAK_0227"/>
        <s v="MAK_0214"/>
        <s v="MAK_0215"/>
        <s v="MAK_0078"/>
        <s v="MAK_0079"/>
        <s v="MAK_0080"/>
        <s v="MAK_0173"/>
        <s v="MAK_0081"/>
        <s v="MAK_0083"/>
        <s v="MAK_0082"/>
        <s v="MAK_0084"/>
        <s v="MAK_0085"/>
        <s v="MAK_0086"/>
        <s v="MAK_0087"/>
        <s v="MAK_0088"/>
        <s v="MAK_0174"/>
        <s v="MAK_0216"/>
        <s v="MAK_0089"/>
        <s v="MAK_0090"/>
        <s v="MAK_0175"/>
        <s v="MAK_0091"/>
        <s v="MAK_0092"/>
        <s v="MAK_0134"/>
        <s v="MAK_0093"/>
        <s v="MAK_0176"/>
        <s v="MAK_0112"/>
        <s v="MAK_0217"/>
        <s v="MAK_0177"/>
        <s v="MAK_0095"/>
        <s v="MAK_0096"/>
        <s v="MAK_0136"/>
        <s v="MAK_0182"/>
        <s v="MAK_0097"/>
        <s v="MAK_0183"/>
        <s v="MAK_0218"/>
        <s v="MAK_0219"/>
        <s v="MAK_0139"/>
        <s v="MAK_0098"/>
        <s v="MAK_0099"/>
        <s v="MAK_0220"/>
        <s v="MAK_0221"/>
        <s v="MAK_0100"/>
        <s v="MAK_0179"/>
        <s v="MAK_0101"/>
        <s v="MAK_0140"/>
        <s v="MAK_0102"/>
        <s v="MAK_0103"/>
        <s v="WAZ_0001"/>
        <s v="WAZ_0020"/>
        <s v="WAZ_0002"/>
        <s v="WAZ_0004"/>
        <s v="WAZ_0026"/>
        <s v="WAZ_0009"/>
        <s v="WAZ_0010"/>
        <s v="WAZ_0011"/>
        <s v="WAZ_0012"/>
        <s v="WAZ_0030"/>
        <s v="WAZ_0013"/>
        <s v="WAZ_0032"/>
        <s v="WAZ_0014"/>
        <s v="WAZ_0019"/>
        <s v="ZIN_0001"/>
        <s v="ZIN_0002"/>
        <s v="ZIN_0003"/>
        <s v="ZIN_0004"/>
        <s v="ZIN_0005"/>
        <s v="ZIN_0006"/>
        <s v="ZIN_0007"/>
        <s v="ZIN_0009"/>
        <s v="ZIN_0010"/>
        <s v="ZIN_0011"/>
        <s v="GOB_0001"/>
        <s v="GOB_0002"/>
        <s v="GOB_0003"/>
        <s v="GOB_0006"/>
        <s v="GOB_0005"/>
        <s v="GOB_0007"/>
        <s v="GOB_0008"/>
        <s v="GOB_0009"/>
        <s v="GUM_0001"/>
        <s v="GUM_0003"/>
        <s v="GUM_0004"/>
        <s v="GUM_0005"/>
        <s v="GUM_0006"/>
        <s v="GUR_0004"/>
        <s v="KAI_0002"/>
        <s v="KAI_0004"/>
        <s v="KAI_0005"/>
        <s v="KAI_0007"/>
        <s v="KAI_0008"/>
        <s v="MAG_0001"/>
        <s v="MAG_0002"/>
        <s v="MAG_0003"/>
        <s v="MAG_0004"/>
        <s v="MAG_0005"/>
        <s v="MAG_0006"/>
        <s v="YAG_0001"/>
        <s v="YAG_0002"/>
        <s v="YAG_0003"/>
        <s v="KAE_0006"/>
        <s v="KAE_0003"/>
        <s v="KAE_0007"/>
        <s v="MOT_0002"/>
        <s v="MOT_0003"/>
        <s v="KOL_0001"/>
        <s v="KOL_0030"/>
        <s v="KOL_0019"/>
        <s v="KOL_0006"/>
        <s v="MOR_0001"/>
        <s v="MOR_0002"/>
        <s v="MOR_0034"/>
        <s v="MOR_0028"/>
        <s v="MOR_0004"/>
        <s v="MOR_0005"/>
        <s v="MOR_0006"/>
        <s v="MOR_0007"/>
        <s v="MOR_0008"/>
        <s v="MOR_0037"/>
        <s v="MOR_0010"/>
        <s v="MOR_0009"/>
        <s v="MOR_0029"/>
        <s v="MOR_0040"/>
        <s v="MOR_0011"/>
        <s v="MOR_0041"/>
        <s v="MOR_0042"/>
        <s v="MOR_0012"/>
        <s v="MOR_0014"/>
        <s v="MOR_0026"/>
        <s v="MOR_0015"/>
        <s v="MOR_0016"/>
        <s v="MOR_0017"/>
        <s v="MOR_0018"/>
        <s v="MOR_0020"/>
        <s v="MOR_0021"/>
        <s v="MOR_0022"/>
        <s v="MOR_0030"/>
        <s v="MOR_0024"/>
        <s v="MOR_0025"/>
        <s v="TOK_0001"/>
        <s v="TOK_0002"/>
        <s v="TOK_0003"/>
        <s v="TOK_0004"/>
        <s v="TOK_0005"/>
        <s v="TOK_0006"/>
        <s v="TOK_0011"/>
        <s v="TOK_0007"/>
        <s v="TOK_0008"/>
        <s v="TOK_0010"/>
        <s v="TOK_0009"/>
        <s v="BOU_0001"/>
        <s v="BOU_0004"/>
        <s v="HIN_0001"/>
        <s v="HIN_0002"/>
        <s v="HIN_0003"/>
        <s v="HIN_0004"/>
        <s v="HIN_0005"/>
        <s v="KOZ_0002"/>
        <s v="KOZ_0003"/>
        <s v="KOZ_0004"/>
        <s v="KOZ_0005"/>
        <s v="KOZ_0006"/>
        <s v="KOZ_0007"/>
        <s v="KOZ_0008"/>
        <s v="KOZ_0009"/>
        <s v="KOZ_0010"/>
        <s v="KOZ_0034"/>
        <s v="KOZ_0011"/>
        <s v="KOZ_0012"/>
        <s v="KOZ_0013"/>
        <s v="KOZ_0014"/>
        <s v="KOZ_0015"/>
        <s v="KOZ_0016"/>
        <s v="KOZ_0036"/>
        <s v="KOZ_0017"/>
        <s v="KOZ_0018"/>
        <s v="KOZ_0019"/>
        <s v="KOZ_0020"/>
        <s v="KOZ_0031"/>
        <s v="KOZ_0037"/>
        <s v="KOZ_0021"/>
        <s v="KOZ_0022"/>
        <s v="KOZ_0023"/>
        <s v="KOZ_0024"/>
        <s v="KOZ_0025"/>
        <s v="KOZ_0026"/>
        <s v="KOZ_0027"/>
        <s v="KOZ_0028"/>
        <s v="KOZ_0029"/>
        <s v="KOZ_0038"/>
        <s v="KOZ_0030"/>
        <s v="MOK_0036"/>
        <s v="MOK_0001"/>
        <s v="MOK_0003"/>
        <s v="MOK_0004"/>
        <s v="MOK_0005"/>
        <s v="MOK_0006"/>
        <s v="MOK_0037"/>
        <s v="MOK_0007"/>
        <s v="MOK_0009"/>
        <s v="MOK_0010"/>
        <s v="MOK_0011"/>
        <s v="MOK_0012"/>
        <s v="MOK_0013"/>
        <s v="MOK_0014"/>
        <s v="MOK_0016"/>
        <s v="MOK_0017"/>
        <s v="MOK_0018"/>
        <s v="MOK_0019"/>
        <s v="MOK_0020"/>
        <s v="MOK_0021"/>
        <s v="MOK_0029"/>
        <s v="MOK_0022"/>
        <s v="MOK_0023"/>
        <s v="MOK_0024"/>
        <s v="MOK_0025"/>
        <s v="MOK_0026"/>
        <s v="MOK_0027"/>
        <s v="MOZ_0023"/>
        <s v="MOZ_0033"/>
        <s v="MOZ_0018"/>
        <s v="MOZ_0017"/>
        <s v="MOZ_0001"/>
        <s v="MOZ_0026"/>
        <s v="MOZ_0002"/>
        <s v="MOZ_0019"/>
        <s v="MOZ_0003"/>
        <s v="MOZ_0004"/>
        <s v="MOZ_0020"/>
        <s v="MOZ_0005"/>
        <s v="MOZ_0022"/>
        <s v="MOZ_0014"/>
        <s v="MOZ_0006"/>
        <s v="MOZ_0007"/>
        <s v="MOZ_0008"/>
        <s v="MOZ_0010"/>
        <s v="MOZ_0011"/>
        <s v="MOZ_0012"/>
        <s v="MOZ_0013"/>
        <s v="MOZ_0015"/>
        <s v="MOZ_0021"/>
        <s v="MOZ_0034"/>
        <s v="MOZ_0016"/>
        <s v="MOZ_0031"/>
        <s v="SOU_0001"/>
        <s v="SOU_0009"/>
        <s v="SOU_0003"/>
        <s v="SOU_0004"/>
        <s v="SOU_0008"/>
        <s v="SOU_0005"/>
        <s v="SOU_0006"/>
        <s v="PET_0002"/>
        <s v="PET_0009"/>
        <s v="FOT_0042"/>
        <s v="LBI_0041"/>
        <s v="MAK_0144"/>
        <s v="MAK_0145"/>
        <s v="MAK_0147"/>
        <s v="MAK_0225"/>
        <s v="MAK_0184"/>
        <s v="MAK_0122"/>
        <s v="MAK_0152"/>
        <s v="MAK_0178"/>
        <s v="WAZ_0015"/>
        <s v="WAZ_0031"/>
        <s v="WAZ_0003"/>
        <s v="WAZ_0006"/>
        <s v="WAZ_0025"/>
        <s v="WAZ_0028"/>
        <s v="WAZ_0008"/>
        <s v="GOB_0004"/>
        <s v="MIN_0003"/>
        <s v="MOT_0001"/>
        <s v="BOU_0005"/>
        <s v="MOG_0001"/>
        <s v="MOG_0002"/>
        <s v="MOG_0003"/>
        <s v="MOG_0015"/>
        <s v="MOG_0004"/>
        <s v="MOG_0005"/>
        <s v="MOG_0006"/>
        <s v="MOG_0007"/>
        <s v="MOG_0008"/>
        <s v="MOG_0009"/>
        <s v="MOG_0010"/>
        <s v="MOG_0011"/>
        <s v="MOG_0012"/>
        <s v="MOG_0013"/>
        <s v="MOK_0030"/>
        <s v="DAG_0001"/>
        <s v="DAG_0002"/>
        <s v="DAG_0003"/>
        <s v="DAG_0004"/>
        <s v="DAG_0005"/>
        <s v="FOT_0050"/>
        <s v="MAK_0072"/>
        <s v="WAZ_0027"/>
        <s v="WAZ_0007"/>
        <s v="ZIN_0012"/>
        <s v="GUR_0001"/>
        <s v="GUR_0002"/>
        <s v="GUR_0005"/>
        <s v="GUR_0003"/>
        <s v="KAI_0001"/>
        <s v="KAI_0003"/>
        <s v="KAI_0006"/>
        <s v="KAI_0009"/>
        <s v="GUI_0001"/>
        <s v="GUI_0002"/>
        <s v="GUI_0003"/>
        <s v="GUI_0004"/>
        <s v="GUI_0005"/>
        <s v="KAE_0001"/>
        <s v="KAE_0002"/>
        <s v="KAE_0004"/>
        <s v="KAE_0005"/>
        <s v="MIN_0002"/>
        <s v="MIN_0004"/>
        <s v="MIN_0005"/>
        <s v="MOL_0001"/>
        <s v="MOL_0002"/>
        <s v="KOL_0013"/>
        <s v="KOL_0012"/>
        <s v="MOR_0035"/>
        <s v="MOR_0048"/>
        <s v="BOU_0003"/>
        <s v="HIN_0006"/>
        <s v="KOZ_0035"/>
        <s v="MOK_0002"/>
        <s v="MOK_0008"/>
        <s v="MOK_0028"/>
        <s v="WAZ_0005" u="1"/>
        <s v="DAR_0010" u="1"/>
        <s v="WAZ_0016" u="1"/>
        <s v="FOT_0049" u="1"/>
        <s v="MAK_0171" u="1"/>
        <s v="MAK_0132" u="1"/>
        <s v="SOU_0002" u="1"/>
        <s v="MAK_0133" u="1"/>
        <s v="DAR_0005" u="1"/>
        <s v="HIL_0007" u="1"/>
        <s v="MAK_0189" u="1"/>
      </sharedItems>
    </cacheField>
    <cacheField name="deplacement" numFmtId="0">
      <sharedItems count="3">
        <s v="idp"/>
        <s v="refugies non enregistres"/>
        <s v="retournes"/>
      </sharedItems>
    </cacheField>
    <cacheField name="periode" numFmtId="0">
      <sharedItems/>
    </cacheField>
    <cacheField name="hh" numFmtId="0">
      <sharedItems containsSemiMixedTypes="0" containsString="0" containsNumber="1" containsInteger="1" minValue="1" maxValue="1524"/>
    </cacheField>
    <cacheField name="ind" numFmtId="0">
      <sharedItems containsSemiMixedTypes="0" containsString="0" containsNumber="1" containsInteger="1" minValue="1" maxValue="13190"/>
    </cacheField>
    <cacheField name="raison" numFmtId="0">
      <sharedItems count="5">
        <s v="Conflits EIAO"/>
        <s v="inondations et desastres naturels"/>
        <s v="autre"/>
        <s v="inondations_et_desastres_naturels" u="1"/>
        <s v="boko_haram" u="1"/>
      </sharedItems>
    </cacheField>
    <cacheField name="autre_raison" numFmtId="0">
      <sharedItems/>
    </cacheField>
    <cacheField name="provenance" numFmtId="0">
      <sharedItems/>
    </cacheField>
    <cacheField name="provenance_adm0" numFmtId="0">
      <sharedItems/>
    </cacheField>
    <cacheField name="provenance_adm0_nom" numFmtId="0">
      <sharedItems count="4">
        <s v="Cameroon"/>
        <s v="Chad"/>
        <s v="Nigeria"/>
        <s v="Central African Republic"/>
      </sharedItems>
    </cacheField>
    <cacheField name="provenance_adm1" numFmtId="0">
      <sharedItems/>
    </cacheField>
    <cacheField name="provenance_adm1_nom" numFmtId="0">
      <sharedItems/>
    </cacheField>
    <cacheField name="provenance_adm2" numFmtId="0">
      <sharedItems/>
    </cacheField>
    <cacheField name="provenance_adm2_nom" numFmtId="0">
      <sharedItems/>
    </cacheField>
    <cacheField name="provenance_adm3" numFmtId="0">
      <sharedItems/>
    </cacheField>
    <cacheField name="provenance_adm3_nom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3">
  <r>
    <n v="339"/>
    <s v="Extrême-Nord"/>
    <s v="CMR004"/>
    <x v="0"/>
    <s v="CMR004001"/>
    <x v="0"/>
    <s v="CMR004001001"/>
    <s v="MA3_0001"/>
    <x v="0"/>
    <s v="14.3475975"/>
    <s v="10.6082883"/>
    <s v="4"/>
    <n v="3357"/>
    <s v="oui"/>
    <n v="71"/>
    <n v="378"/>
    <s v="non"/>
    <n v="0"/>
    <s v="oui"/>
    <n v="71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7"/>
    <s v="Extrême-Nord"/>
    <s v="CMR004"/>
    <x v="0"/>
    <s v="CMR004001"/>
    <x v="0"/>
    <s v="CMR004001001"/>
    <s v="MA3_0004"/>
    <x v="1"/>
    <s v="14.3402367"/>
    <s v="10.6132936"/>
    <s v="4"/>
    <n v="8000"/>
    <s v="oui"/>
    <n v="8"/>
    <n v="79"/>
    <s v="oui"/>
    <n v="4"/>
    <s v="oui"/>
    <n v="4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8"/>
    <n v="79"/>
    <s v="non"/>
    <n v="0"/>
    <s v="non"/>
    <n v="0"/>
    <s v="non"/>
    <n v="0"/>
    <s v=""/>
    <s v=""/>
    <s v="non"/>
    <n v="0"/>
    <s v=""/>
    <s v=""/>
    <s v="non"/>
    <n v="0"/>
    <s v="oui"/>
    <n v="8"/>
    <s v="non"/>
    <n v="0"/>
    <n v="0"/>
    <s v="non"/>
    <m/>
    <m/>
    <s v="Non"/>
    <b v="0"/>
  </r>
  <r>
    <n v="472"/>
    <s v="Extrême-Nord"/>
    <s v="CMR004"/>
    <x v="0"/>
    <s v="CMR004001"/>
    <x v="0"/>
    <s v="CMR004001001"/>
    <s v="MA3_0002"/>
    <x v="2"/>
    <s v="14.35523"/>
    <s v="10.5991595"/>
    <s v="4"/>
    <n v="12535"/>
    <s v="oui"/>
    <n v="133"/>
    <n v="680"/>
    <s v="non"/>
    <n v="0"/>
    <s v="oui"/>
    <n v="133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19"/>
    <s v="Extrême-Nord"/>
    <s v="CMR004"/>
    <x v="0"/>
    <s v="CMR004001"/>
    <x v="0"/>
    <s v="CMR004001001"/>
    <s v="MA3_0003"/>
    <x v="3"/>
    <s v="14.3482975"/>
    <s v="10.6132983"/>
    <s v="4"/>
    <n v="7000"/>
    <s v="oui"/>
    <n v="200"/>
    <n v="1152"/>
    <s v="non"/>
    <n v="0"/>
    <s v="oui"/>
    <n v="200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63"/>
    <s v="Extrême-Nord"/>
    <s v="CMR004"/>
    <x v="0"/>
    <s v="CMR004001"/>
    <x v="1"/>
    <s v="CMR004001002"/>
    <s v="MA2_0001"/>
    <x v="4"/>
    <s v="14.3228147"/>
    <s v="10.6146188"/>
    <s v="4"/>
    <n v="2450"/>
    <s v="oui"/>
    <n v="50"/>
    <n v="350"/>
    <s v="non"/>
    <n v="0"/>
    <s v="oui"/>
    <n v="50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58"/>
    <s v="Extrême-Nord"/>
    <s v="CMR004"/>
    <x v="0"/>
    <s v="CMR004001"/>
    <x v="1"/>
    <s v="CMR004001002"/>
    <s v="MA2_0002"/>
    <x v="5"/>
    <s v="14.3261591"/>
    <s v="10.6242551"/>
    <s v="3.5"/>
    <n v="2050"/>
    <s v="oui"/>
    <n v="66"/>
    <n v="391"/>
    <s v="non"/>
    <n v="0"/>
    <s v="oui"/>
    <n v="66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56"/>
    <s v="Extrême-Nord"/>
    <s v="CMR004"/>
    <x v="0"/>
    <s v="CMR004001"/>
    <x v="2"/>
    <s v="CMR004001003"/>
    <s v="PET_0025"/>
    <x v="6"/>
    <s v="14.4440159"/>
    <s v="11.0903587"/>
    <s v="4"/>
    <n v="650"/>
    <s v="oui"/>
    <n v="3"/>
    <n v="20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"/>
    <s v="Extrême-Nord"/>
    <s v="CMR004"/>
    <x v="0"/>
    <s v="CMR004001"/>
    <x v="2"/>
    <s v="CMR004001003"/>
    <s v="PET_0002"/>
    <x v="7"/>
    <s v="14.5134359"/>
    <s v="10.9779547"/>
    <s v="4"/>
    <n v="228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4"/>
    <n v="220"/>
    <x v="1"/>
    <x v="0"/>
    <s v=""/>
    <x v="0"/>
    <s v=""/>
    <n v="0"/>
    <s v="non"/>
    <n v="0"/>
    <s v=""/>
    <s v=""/>
    <s v="non"/>
    <n v="0"/>
    <s v=""/>
    <s v=""/>
    <s v="oui"/>
    <n v="24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5"/>
    <s v="Extrême-Nord"/>
    <s v="CMR004"/>
    <x v="0"/>
    <s v="CMR004001"/>
    <x v="2"/>
    <s v="CMR004001003"/>
    <s v="PET_0008"/>
    <x v="8"/>
    <s v="14.5228929"/>
    <s v="10.9812807"/>
    <s v="4"/>
    <n v="1064"/>
    <s v="oui"/>
    <n v="3"/>
    <n v="27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6"/>
    <s v="Extrême-Nord"/>
    <s v="CMR004"/>
    <x v="0"/>
    <s v="CMR004001"/>
    <x v="2"/>
    <s v="CMR004001003"/>
    <s v="PET_0009"/>
    <x v="9"/>
    <s v="14.525579"/>
    <s v="10.9805794"/>
    <s v="3.5"/>
    <n v="412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"/>
    <s v="Extrême-Nord"/>
    <s v="CMR004"/>
    <x v="0"/>
    <s v="CMR004001"/>
    <x v="2"/>
    <s v="CMR004001003"/>
    <s v="PET_0010"/>
    <x v="10"/>
    <s v="14.4207649"/>
    <s v="11.0139908"/>
    <s v="4"/>
    <n v="730"/>
    <s v="oui"/>
    <n v="2"/>
    <n v="14"/>
    <s v="oui"/>
    <n v="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3"/>
    <s v="Extrême-Nord"/>
    <s v="CMR004"/>
    <x v="0"/>
    <s v="CMR004001"/>
    <x v="2"/>
    <s v="CMR004001003"/>
    <s v="PET_0017"/>
    <x v="11"/>
    <s v="14.483355"/>
    <s v="10.9890826"/>
    <s v="5"/>
    <n v="905"/>
    <s v="oui"/>
    <n v="4"/>
    <n v="16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4"/>
    <s v="Extrême-Nord"/>
    <s v="CMR004"/>
    <x v="0"/>
    <s v="CMR004001"/>
    <x v="2"/>
    <s v="CMR004001003"/>
    <s v="PET_0018"/>
    <x v="12"/>
    <s v="14.4897527"/>
    <s v="10.9838781"/>
    <s v="4"/>
    <n v="350"/>
    <s v="oui"/>
    <n v="1"/>
    <n v="6"/>
    <s v="oui"/>
    <n v="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5"/>
    <s v="Extrême-Nord"/>
    <s v="CMR004"/>
    <x v="0"/>
    <s v="CMR004001"/>
    <x v="2"/>
    <s v="CMR004001003"/>
    <s v="PET_0014"/>
    <x v="13"/>
    <s v="14.461424"/>
    <s v="11.0235739"/>
    <s v="4"/>
    <n v="1100"/>
    <s v="oui"/>
    <n v="19"/>
    <n v="90"/>
    <s v=""/>
    <n v="0"/>
    <s v="non"/>
    <n v="0"/>
    <s v=""/>
    <s v=""/>
    <s v="non"/>
    <n v="0"/>
    <s v=""/>
    <s v=""/>
    <s v="oui"/>
    <n v="19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52"/>
    <s v="Extrême-Nord"/>
    <s v="CMR004"/>
    <x v="0"/>
    <s v="CMR004001"/>
    <x v="2"/>
    <s v="CMR004001003"/>
    <s v="PET_0015"/>
    <x v="14"/>
    <s v="14.4668682"/>
    <s v="11.0192628"/>
    <s v="3.5"/>
    <n v="220"/>
    <s v="oui"/>
    <n v="12"/>
    <n v="64"/>
    <s v=""/>
    <n v="0"/>
    <s v="non"/>
    <n v="0"/>
    <s v=""/>
    <s v=""/>
    <s v="non"/>
    <n v="0"/>
    <s v=""/>
    <s v=""/>
    <s v="oui"/>
    <n v="1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98"/>
    <s v="Extrême-Nord"/>
    <s v="CMR004"/>
    <x v="0"/>
    <s v="CMR004001"/>
    <x v="2"/>
    <s v="CMR004001003"/>
    <s v="PET_0027"/>
    <x v="15"/>
    <s v="14.5383031"/>
    <s v="10.991538"/>
    <s v="5"/>
    <n v="200"/>
    <s v="oui"/>
    <n v="3"/>
    <n v="15"/>
    <s v="non"/>
    <n v="0"/>
    <s v="non"/>
    <n v="0"/>
    <s v=""/>
    <s v=""/>
    <s v="non"/>
    <n v="0"/>
    <s v=""/>
    <s v=""/>
    <s v="oui"/>
    <n v="3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55"/>
    <s v="Extrême-Nord"/>
    <s v="CMR004"/>
    <x v="0"/>
    <s v="CMR004001"/>
    <x v="2"/>
    <s v="CMR004001003"/>
    <s v="PET_0007"/>
    <x v="16"/>
    <s v="14.5136468"/>
    <s v="10.9784567"/>
    <s v="4"/>
    <n v="3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56"/>
    <s v="Extrême-Nord"/>
    <s v="CMR004"/>
    <x v="0"/>
    <s v="CMR004001"/>
    <x v="2"/>
    <s v="CMR004001003"/>
    <s v="PET_0023"/>
    <x v="17"/>
    <s v="14.485038"/>
    <s v="10.9994623"/>
    <s v="4"/>
    <n v="532"/>
    <s v="oui"/>
    <n v="7"/>
    <n v="48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58"/>
    <s v="Extrême-Nord"/>
    <s v="CMR004"/>
    <x v="0"/>
    <s v="CMR004001"/>
    <x v="2"/>
    <s v="CMR004001003"/>
    <s v="PET_0005"/>
    <x v="18"/>
    <s v="14.4881818"/>
    <s v="10.9772301"/>
    <s v="5"/>
    <n v="774"/>
    <s v="oui"/>
    <n v="7"/>
    <n v="36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"/>
    <s v="Extrême-Nord"/>
    <s v="CMR004"/>
    <x v="0"/>
    <s v="CMR004001"/>
    <x v="2"/>
    <s v="CMR004001003"/>
    <s v="PET_0021"/>
    <x v="19"/>
    <s v="14.6307587"/>
    <s v="10.9991003"/>
    <s v="4"/>
    <n v="270"/>
    <s v="oui"/>
    <n v="9"/>
    <n v="63"/>
    <s v="oui"/>
    <n v="9"/>
    <s v="non"/>
    <n v="0"/>
    <s v=""/>
    <s v=""/>
    <s v="non"/>
    <n v="0"/>
    <s v=""/>
    <s v=""/>
    <s v="non"/>
    <n v="0"/>
    <s v="non"/>
    <n v="0"/>
    <s v="oui"/>
    <n v="2"/>
    <n v="13"/>
    <x v="2"/>
    <x v="0"/>
    <s v=""/>
    <x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1"/>
    <s v="Extrême-Nord"/>
    <s v="CMR004"/>
    <x v="0"/>
    <s v="CMR004001"/>
    <x v="2"/>
    <s v="CMR004001003"/>
    <s v="PET_0028"/>
    <x v="20"/>
    <s v="14.6304105"/>
    <s v="10.9959797"/>
    <s v="4"/>
    <n v="216"/>
    <s v="oui"/>
    <n v="3"/>
    <n v="25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28"/>
    <s v="Extrême-Nord"/>
    <s v="CMR004"/>
    <x v="0"/>
    <s v="CMR004001"/>
    <x v="2"/>
    <s v="CMR004001003"/>
    <s v="PET_0026"/>
    <x v="21"/>
    <s v="14.5078921"/>
    <s v="10.9761539"/>
    <s v="4"/>
    <n v="7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30"/>
    <s v="Extrême-Nord"/>
    <s v="CMR004"/>
    <x v="0"/>
    <s v="CMR004001"/>
    <x v="2"/>
    <s v="CMR004001003"/>
    <s v="PET_0019"/>
    <x v="22"/>
    <s v="14.4992192"/>
    <s v="10.9958402"/>
    <s v="4"/>
    <n v="200"/>
    <s v="oui"/>
    <n v="5"/>
    <n v="23"/>
    <s v="oui"/>
    <n v="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"/>
    <n v="15"/>
    <s v="non"/>
    <n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31"/>
    <s v="Extrême-Nord"/>
    <s v="CMR004"/>
    <x v="0"/>
    <s v="CMR004001"/>
    <x v="2"/>
    <s v="CMR004001003"/>
    <s v="PET_0006"/>
    <x v="23"/>
    <s v="14.4443852"/>
    <s v="11.0590667"/>
    <s v="4"/>
    <n v="720"/>
    <s v="oui"/>
    <n v="7"/>
    <n v="37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49"/>
    <s v="Extrême-Nord"/>
    <s v="CMR004"/>
    <x v="0"/>
    <s v="CMR004001"/>
    <x v="2"/>
    <s v="CMR004001003"/>
    <s v="PET_0003"/>
    <x v="24"/>
    <s v="14.4244634"/>
    <s v="11.058488"/>
    <s v="4"/>
    <n v="1892"/>
    <s v="oui"/>
    <n v="19"/>
    <n v="165"/>
    <s v="oui"/>
    <n v="1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50"/>
    <s v="Extrême-Nord"/>
    <s v="CMR004"/>
    <x v="0"/>
    <s v="CMR004001"/>
    <x v="2"/>
    <s v="CMR004001003"/>
    <s v="PET_0004"/>
    <x v="25"/>
    <s v="14.4357393"/>
    <s v="11.0433102"/>
    <s v="4"/>
    <n v="4375"/>
    <s v="oui"/>
    <n v="144"/>
    <n v="742"/>
    <s v="oui"/>
    <n v="14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54"/>
    <s v="Extrême-Nord"/>
    <s v="CMR004"/>
    <x v="0"/>
    <s v="CMR004001"/>
    <x v="2"/>
    <s v="CMR004001003"/>
    <s v="PET_0016"/>
    <x v="26"/>
    <s v="14.5334658"/>
    <s v="10.947168"/>
    <s v="4"/>
    <n v="224"/>
    <s v="oui"/>
    <n v="28"/>
    <n v="224"/>
    <s v=""/>
    <n v="0"/>
    <s v="non"/>
    <n v="0"/>
    <s v=""/>
    <s v=""/>
    <s v="non"/>
    <n v="0"/>
    <s v=""/>
    <s v=""/>
    <s v="oui"/>
    <n v="28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49"/>
    <s v="Extrême-Nord"/>
    <s v="CMR004"/>
    <x v="0"/>
    <s v="CMR004001"/>
    <x v="2"/>
    <s v="CMR004001003"/>
    <s v="PET_0013"/>
    <x v="27"/>
    <s v="14.4279746"/>
    <s v="11.0529027"/>
    <s v="4"/>
    <n v="1300"/>
    <s v="oui"/>
    <n v="26"/>
    <n v="87"/>
    <s v="oui"/>
    <n v="26"/>
    <s v="non"/>
    <n v="0"/>
    <s v=""/>
    <s v=""/>
    <s v="non"/>
    <n v="0"/>
    <s v=""/>
    <s v=""/>
    <s v="non"/>
    <n v="0"/>
    <s v="non"/>
    <n v="0"/>
    <s v="oui"/>
    <n v="1"/>
    <n v="6"/>
    <x v="1"/>
    <x v="0"/>
    <s v=""/>
    <x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13"/>
    <s v="Extrême-Nord"/>
    <s v="CMR004"/>
    <x v="0"/>
    <s v="CMR004001"/>
    <x v="2"/>
    <s v="CMR004001003"/>
    <s v="PET_0011"/>
    <x v="28"/>
    <s v="14.5138961"/>
    <s v="10.9787984"/>
    <s v="4"/>
    <n v="1500"/>
    <s v="oui"/>
    <n v="5"/>
    <n v="41"/>
    <s v="oui"/>
    <n v="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70"/>
    <s v="Extrême-Nord"/>
    <s v="CMR004"/>
    <x v="0"/>
    <s v="CMR004001"/>
    <x v="2"/>
    <s v="CMR004001003"/>
    <s v="PET_0001"/>
    <x v="29"/>
    <s v="14.5287785"/>
    <s v="10.9805857"/>
    <s v="4"/>
    <n v="507"/>
    <s v="oui"/>
    <n v="3"/>
    <n v="18"/>
    <s v="oui"/>
    <n v="3"/>
    <s v="non"/>
    <n v="0"/>
    <s v=""/>
    <s v=""/>
    <s v="non"/>
    <n v="0"/>
    <s v=""/>
    <s v=""/>
    <s v="non"/>
    <n v="0"/>
    <s v="non"/>
    <n v="0"/>
    <s v="oui"/>
    <n v="2"/>
    <n v="11"/>
    <x v="1"/>
    <x v="0"/>
    <s v=""/>
    <x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71"/>
    <s v="Extrême-Nord"/>
    <s v="CMR004"/>
    <x v="0"/>
    <s v="CMR004001"/>
    <x v="2"/>
    <s v="CMR004001003"/>
    <s v="PET_0012"/>
    <x v="30"/>
    <s v="14.4543815"/>
    <s v="11.0566378"/>
    <s v="4"/>
    <n v="307"/>
    <s v="oui"/>
    <n v="11"/>
    <n v="59"/>
    <s v="oui"/>
    <n v="1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73"/>
    <s v="Extrême-Nord"/>
    <s v="CMR004"/>
    <x v="0"/>
    <s v="CMR004001"/>
    <x v="2"/>
    <s v="CMR004001003"/>
    <s v="PET_0020"/>
    <x v="31"/>
    <s v="14.646944"/>
    <s v="10.9563984"/>
    <s v="3.5"/>
    <n v="750"/>
    <s v="oui"/>
    <n v="9"/>
    <n v="44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77"/>
    <s v="Extrême-Nord"/>
    <s v="CMR004"/>
    <x v="0"/>
    <s v="CMR004001"/>
    <x v="2"/>
    <s v="CMR004001003"/>
    <s v="PET_0024"/>
    <x v="32"/>
    <s v="14.4883636"/>
    <s v="10.9773972"/>
    <s v="4"/>
    <n v="3061"/>
    <s v="oui"/>
    <n v="22"/>
    <n v="136"/>
    <s v="oui"/>
    <n v="2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80"/>
    <s v="Extrême-Nord"/>
    <s v="CMR004"/>
    <x v="0"/>
    <s v="CMR004001"/>
    <x v="2"/>
    <s v="CMR004001003"/>
    <s v="PET_0022"/>
    <x v="33"/>
    <s v="14.5413118"/>
    <s v="10.993345"/>
    <s v="5"/>
    <n v="350"/>
    <s v="oui"/>
    <n v="4"/>
    <n v="25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67"/>
    <s v="Extrême-Nord"/>
    <s v="CMR004"/>
    <x v="0"/>
    <s v="CMR004001"/>
    <x v="3"/>
    <s v="CMR004001004"/>
    <s v="DAG_0004"/>
    <x v="34"/>
    <s v="14.5149172"/>
    <s v="10.5142246"/>
    <s v="4"/>
    <n v="465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17"/>
    <s v="non"/>
    <n v="0"/>
    <s v="oui"/>
    <n v="1"/>
    <s v="non"/>
    <n v="0"/>
    <s v=""/>
    <s v=""/>
    <s v="non"/>
    <n v="0"/>
    <s v=""/>
    <s v=""/>
    <s v="non"/>
    <n v="0"/>
    <s v="non"/>
    <n v="0"/>
    <s v="oui"/>
    <n v="13"/>
    <n v="85"/>
    <s v="non"/>
    <m/>
    <m/>
    <s v="Non"/>
    <b v="0"/>
  </r>
  <r>
    <n v="573"/>
    <s v="Extrême-Nord"/>
    <s v="CMR004"/>
    <x v="0"/>
    <s v="CMR004001"/>
    <x v="3"/>
    <s v="CMR004001004"/>
    <s v="DAG_0001"/>
    <x v="35"/>
    <s v="14.6006634"/>
    <s v="10.5300238"/>
    <s v="4"/>
    <n v="7855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22"/>
    <s v="non"/>
    <n v="0"/>
    <s v="oui"/>
    <n v="1"/>
    <s v="non"/>
    <n v="0"/>
    <s v=""/>
    <s v=""/>
    <s v="non"/>
    <n v="0"/>
    <s v=""/>
    <s v=""/>
    <s v="non"/>
    <n v="0"/>
    <s v="non"/>
    <n v="0"/>
    <s v="oui"/>
    <n v="4"/>
    <n v="22"/>
    <s v="non"/>
    <m/>
    <m/>
    <s v="Non"/>
    <b v="0"/>
  </r>
  <r>
    <n v="321"/>
    <s v="Extrême-Nord"/>
    <s v="CMR004"/>
    <x v="0"/>
    <s v="CMR004001"/>
    <x v="3"/>
    <s v="CMR004001004"/>
    <s v="DAG_0002"/>
    <x v="36"/>
    <s v="14.5090094"/>
    <s v="10.5018815"/>
    <s v="3.5"/>
    <n v="28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"/>
    <n v="45"/>
    <s v="non"/>
    <n v="0"/>
    <s v="oui"/>
    <n v="3"/>
    <s v="non"/>
    <n v="0"/>
    <s v=""/>
    <s v=""/>
    <s v="non"/>
    <n v="0"/>
    <s v=""/>
    <s v=""/>
    <s v="non"/>
    <n v="0"/>
    <s v="non"/>
    <n v="0"/>
    <s v="oui"/>
    <n v="21"/>
    <n v="150"/>
    <s v="non"/>
    <m/>
    <m/>
    <s v="Non"/>
    <b v="0"/>
  </r>
  <r>
    <n v="106"/>
    <s v="Extrême-Nord"/>
    <s v="CMR004"/>
    <x v="0"/>
    <s v="CMR004001"/>
    <x v="3"/>
    <s v="CMR004001004"/>
    <s v="DAG_0005"/>
    <x v="37"/>
    <s v="14.5047507"/>
    <s v="10.505341"/>
    <s v="4"/>
    <n v="194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90"/>
    <s v="non"/>
    <n v="0"/>
    <s v="oui"/>
    <n v="6"/>
    <s v="non"/>
    <n v="0"/>
    <s v=""/>
    <s v=""/>
    <s v="non"/>
    <n v="0"/>
    <s v=""/>
    <s v=""/>
    <s v="non"/>
    <n v="0"/>
    <s v="non"/>
    <n v="0"/>
    <s v="oui"/>
    <n v="12"/>
    <n v="75"/>
    <s v="non"/>
    <m/>
    <m/>
    <s v="Non"/>
    <b v="0"/>
  </r>
  <r>
    <n v="656"/>
    <s v="Extrême-Nord"/>
    <s v="CMR004"/>
    <x v="0"/>
    <s v="CMR004001"/>
    <x v="3"/>
    <s v="CMR004001004"/>
    <s v="DAG_0003"/>
    <x v="38"/>
    <s v="14.5097155"/>
    <s v="10.4997337"/>
    <s v="4"/>
    <n v="151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4"/>
    <n v="147"/>
    <s v="non"/>
    <n v="0"/>
    <s v="oui"/>
    <n v="14"/>
    <s v="non"/>
    <n v="0"/>
    <s v=""/>
    <s v=""/>
    <s v="non"/>
    <n v="0"/>
    <s v=""/>
    <s v=""/>
    <s v="non"/>
    <n v="0"/>
    <s v="non"/>
    <n v="0"/>
    <s v="oui"/>
    <n v="4"/>
    <n v="29"/>
    <s v="non"/>
    <m/>
    <m/>
    <s v="Non"/>
    <b v="0"/>
  </r>
  <r>
    <n v="564"/>
    <s v="Extrême-Nord"/>
    <s v="CMR004"/>
    <x v="0"/>
    <s v="CMR004001"/>
    <x v="4"/>
    <s v="CMR004001007"/>
    <s v="MER_0001"/>
    <x v="39"/>
    <s v="14.0718164"/>
    <s v="10.7973108"/>
    <s v="4"/>
    <n v="300"/>
    <s v="oui"/>
    <n v="15"/>
    <n v="82"/>
    <s v="oui"/>
    <n v="1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22"/>
    <s v="Extrême-Nord"/>
    <s v="CMR004"/>
    <x v="0"/>
    <s v="CMR004001"/>
    <x v="5"/>
    <s v="CMR004001008"/>
    <s v="GAZ_0003"/>
    <x v="40"/>
    <s v="14.1478165"/>
    <s v="10.5320647"/>
    <s v="8"/>
    <n v="1200"/>
    <s v="oui"/>
    <n v="5"/>
    <n v="27"/>
    <s v="non"/>
    <n v="0"/>
    <s v="oui"/>
    <n v="5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4"/>
    <s v="Extrême-Nord"/>
    <s v="CMR004"/>
    <x v="0"/>
    <s v="CMR004001"/>
    <x v="5"/>
    <s v="CMR004001008"/>
    <s v="GAZ_0006"/>
    <x v="41"/>
    <s v="14.1389618"/>
    <s v="10.5364755"/>
    <s v="5"/>
    <n v="1950"/>
    <s v="oui"/>
    <n v="9"/>
    <n v="67"/>
    <s v="non"/>
    <n v="0"/>
    <s v="oui"/>
    <n v="9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19"/>
    <s v="Extrême-Nord"/>
    <s v="CMR004"/>
    <x v="0"/>
    <s v="CMR004001"/>
    <x v="5"/>
    <s v="CMR004001008"/>
    <s v="GAZ_0004"/>
    <x v="42"/>
    <s v="14.1336742"/>
    <s v="10.5419967"/>
    <s v="5"/>
    <n v="2037"/>
    <s v="oui"/>
    <n v="2"/>
    <n v="7"/>
    <s v="non"/>
    <n v="0"/>
    <s v="oui"/>
    <n v="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14"/>
    <s v="Extrême-Nord"/>
    <s v="CMR004"/>
    <x v="0"/>
    <s v="CMR004001"/>
    <x v="5"/>
    <s v="CMR004001008"/>
    <s v="GAZ_0002"/>
    <x v="43"/>
    <s v="14.1346908"/>
    <s v="10.5400615"/>
    <s v="4.5"/>
    <n v="1200"/>
    <s v="oui"/>
    <n v="3"/>
    <n v="10"/>
    <s v="oui"/>
    <n v="2"/>
    <s v="oui"/>
    <n v="1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3"/>
    <s v="Extrême-Nord"/>
    <s v="CMR004"/>
    <x v="0"/>
    <s v="CMR004001"/>
    <x v="5"/>
    <s v="CMR004001008"/>
    <s v="GAZ_0001"/>
    <x v="44"/>
    <s v="14.1421419"/>
    <s v="10.535259"/>
    <s v="5"/>
    <n v="3200"/>
    <s v="oui"/>
    <n v="3"/>
    <n v="17"/>
    <s v="oui"/>
    <n v="1"/>
    <s v="oui"/>
    <n v="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74"/>
    <s v="Extrême-Nord"/>
    <s v="CMR004"/>
    <x v="0"/>
    <s v="CMR004001"/>
    <x v="5"/>
    <s v="CMR004001008"/>
    <s v="GAZ_0005"/>
    <x v="45"/>
    <s v="14.2055849"/>
    <s v="10.5226176"/>
    <s v="6"/>
    <n v="8000"/>
    <s v="oui"/>
    <n v="28"/>
    <n v="151"/>
    <s v="non"/>
    <n v="0"/>
    <s v="oui"/>
    <n v="28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67"/>
    <s v="Extrême-Nord"/>
    <s v="CMR004"/>
    <x v="1"/>
    <s v="CMR004002"/>
    <x v="6"/>
    <s v="CMR004002001"/>
    <s v="WAZ_0023"/>
    <x v="46"/>
    <s v="14.7282308"/>
    <s v="11.502585"/>
    <s v="3.5"/>
    <n v="169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8"/>
    <s v="Extrême-Nord"/>
    <s v="CMR004"/>
    <x v="1"/>
    <s v="CMR004002"/>
    <x v="6"/>
    <s v="CMR004002001"/>
    <s v="WAZ_0013"/>
    <x v="47"/>
    <s v="14.5694089"/>
    <s v="11.3967749"/>
    <s v="4"/>
    <n v="7580"/>
    <s v="oui"/>
    <n v="418"/>
    <n v="2147"/>
    <s v=""/>
    <n v="0"/>
    <s v="non"/>
    <n v="0"/>
    <s v=""/>
    <s v=""/>
    <s v="non"/>
    <n v="0"/>
    <s v=""/>
    <s v=""/>
    <s v="oui"/>
    <n v="418"/>
    <s v="non"/>
    <n v="0"/>
    <s v="oui"/>
    <n v="76"/>
    <n v="251"/>
    <x v="1"/>
    <x v="0"/>
    <s v=""/>
    <x v="0"/>
    <s v=""/>
    <n v="0"/>
    <s v="non"/>
    <n v="0"/>
    <s v=""/>
    <s v=""/>
    <s v="non"/>
    <n v="0"/>
    <s v=""/>
    <s v=""/>
    <s v="oui"/>
    <n v="76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05"/>
    <s v="Extrême-Nord"/>
    <s v="CMR004"/>
    <x v="1"/>
    <s v="CMR004002"/>
    <x v="6"/>
    <s v="CMR004002001"/>
    <s v="WAZ_0009"/>
    <x v="48"/>
    <s v="14.455606"/>
    <s v="11.3271818"/>
    <s v="4"/>
    <n v="134"/>
    <s v="oui"/>
    <n v="3"/>
    <n v="16"/>
    <s v=""/>
    <n v="0"/>
    <s v="non"/>
    <n v="0"/>
    <s v=""/>
    <s v=""/>
    <s v="non"/>
    <n v="0"/>
    <s v=""/>
    <s v=""/>
    <s v="oui"/>
    <n v="3"/>
    <s v="non"/>
    <n v="0"/>
    <s v="oui"/>
    <n v="6"/>
    <n v="68"/>
    <x v="1"/>
    <x v="0"/>
    <s v=""/>
    <x v="0"/>
    <s v=""/>
    <n v="0"/>
    <s v="non"/>
    <n v="0"/>
    <s v=""/>
    <s v=""/>
    <s v="non"/>
    <n v="0"/>
    <s v=""/>
    <s v=""/>
    <s v="oui"/>
    <n v="6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oui"/>
    <n v="11"/>
    <n v="59"/>
    <s v="Non"/>
    <b v="1"/>
  </r>
  <r>
    <n v="306"/>
    <s v="Extrême-Nord"/>
    <s v="CMR004"/>
    <x v="1"/>
    <s v="CMR004002"/>
    <x v="6"/>
    <s v="CMR004002001"/>
    <s v="WAZ_0010"/>
    <x v="49"/>
    <s v="14.4561324"/>
    <s v="11.3251943"/>
    <s v="4"/>
    <n v="373"/>
    <s v="oui"/>
    <n v="5"/>
    <n v="35"/>
    <s v=""/>
    <n v="0"/>
    <s v="non"/>
    <n v="0"/>
    <s v=""/>
    <s v=""/>
    <s v="non"/>
    <n v="0"/>
    <s v=""/>
    <s v=""/>
    <s v="oui"/>
    <n v="5"/>
    <s v="non"/>
    <n v="0"/>
    <s v="oui"/>
    <n v="30"/>
    <n v="262"/>
    <x v="1"/>
    <x v="0"/>
    <s v=""/>
    <x v="0"/>
    <s v=""/>
    <n v="0"/>
    <s v="non"/>
    <n v="0"/>
    <s v=""/>
    <s v=""/>
    <s v="non"/>
    <n v="0"/>
    <s v=""/>
    <s v=""/>
    <s v="oui"/>
    <n v="30"/>
    <s v="non"/>
    <n v="0"/>
    <s v="oui"/>
    <n v="5"/>
    <n v="22"/>
    <s v="non"/>
    <n v="0"/>
    <s v=""/>
    <n v="0"/>
    <s v="non"/>
    <n v="0"/>
    <s v=""/>
    <s v=""/>
    <s v="non"/>
    <n v="0"/>
    <s v=""/>
    <s v=""/>
    <s v="oui"/>
    <n v="5"/>
    <s v="non"/>
    <n v="0"/>
    <s v="non"/>
    <n v="0"/>
    <n v="0"/>
    <s v="non"/>
    <m/>
    <m/>
    <s v="Non"/>
    <b v="1"/>
  </r>
  <r>
    <n v="307"/>
    <s v="Extrême-Nord"/>
    <s v="CMR004"/>
    <x v="1"/>
    <s v="CMR004002"/>
    <x v="6"/>
    <s v="CMR004002001"/>
    <s v="WAZ_0011"/>
    <x v="50"/>
    <s v="14.453455"/>
    <s v="11.3258175"/>
    <s v="4"/>
    <n v="287"/>
    <s v="oui"/>
    <n v="12"/>
    <n v="90"/>
    <s v=""/>
    <n v="0"/>
    <s v="non"/>
    <n v="0"/>
    <s v=""/>
    <s v=""/>
    <s v="non"/>
    <n v="0"/>
    <s v=""/>
    <s v=""/>
    <s v="oui"/>
    <n v="12"/>
    <s v="non"/>
    <n v="0"/>
    <s v="oui"/>
    <n v="12"/>
    <n v="67"/>
    <x v="1"/>
    <x v="0"/>
    <s v=""/>
    <x v="0"/>
    <s v=""/>
    <n v="0"/>
    <s v="non"/>
    <n v="0"/>
    <s v=""/>
    <s v=""/>
    <s v="non"/>
    <n v="0"/>
    <s v=""/>
    <s v=""/>
    <s v="oui"/>
    <n v="12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oui"/>
    <n v="8"/>
    <n v="40"/>
    <s v="Non"/>
    <b v="1"/>
  </r>
  <r>
    <n v="308"/>
    <s v="Extrême-Nord"/>
    <s v="CMR004"/>
    <x v="1"/>
    <s v="CMR004002"/>
    <x v="6"/>
    <s v="CMR004002001"/>
    <s v="WAZ_0012"/>
    <x v="51"/>
    <s v="14.4507401"/>
    <s v="11.3241994"/>
    <s v="4"/>
    <n v="247"/>
    <s v="oui"/>
    <n v="12"/>
    <n v="68"/>
    <s v=""/>
    <n v="0"/>
    <s v="non"/>
    <n v="0"/>
    <s v=""/>
    <s v=""/>
    <s v="non"/>
    <n v="0"/>
    <s v=""/>
    <s v=""/>
    <s v="oui"/>
    <n v="12"/>
    <s v="non"/>
    <n v="0"/>
    <s v="oui"/>
    <n v="9"/>
    <n v="54"/>
    <x v="1"/>
    <x v="0"/>
    <s v=""/>
    <x v="0"/>
    <s v=""/>
    <n v="0"/>
    <s v="non"/>
    <n v="0"/>
    <s v=""/>
    <s v=""/>
    <s v="non"/>
    <n v="0"/>
    <s v=""/>
    <s v=""/>
    <s v="oui"/>
    <n v="9"/>
    <s v="non"/>
    <n v="0"/>
    <s v="oui"/>
    <n v="3"/>
    <n v="13"/>
    <s v="non"/>
    <n v="0"/>
    <s v=""/>
    <n v="0"/>
    <s v="non"/>
    <n v="0"/>
    <s v=""/>
    <s v=""/>
    <s v="non"/>
    <n v="0"/>
    <s v=""/>
    <s v=""/>
    <s v="oui"/>
    <n v="3"/>
    <s v="non"/>
    <n v="0"/>
    <s v="non"/>
    <n v="0"/>
    <n v="0"/>
    <s v="oui"/>
    <n v="22"/>
    <n v="91"/>
    <s v="Non"/>
    <b v="1"/>
  </r>
  <r>
    <n v="114"/>
    <s v="Extrême-Nord"/>
    <s v="CMR004"/>
    <x v="1"/>
    <s v="CMR004002"/>
    <x v="6"/>
    <s v="CMR004002001"/>
    <s v="WAZ_0014"/>
    <x v="52"/>
    <s v="14.6481858"/>
    <s v="11.6829363"/>
    <s v="4"/>
    <n v="1247"/>
    <s v="oui"/>
    <n v="57"/>
    <n v="338"/>
    <s v=""/>
    <n v="0"/>
    <s v="non"/>
    <n v="0"/>
    <s v=""/>
    <s v=""/>
    <s v="non"/>
    <n v="0"/>
    <s v=""/>
    <s v=""/>
    <s v="oui"/>
    <n v="57"/>
    <s v="non"/>
    <n v="0"/>
    <s v="oui"/>
    <n v="81"/>
    <n v="497"/>
    <x v="1"/>
    <x v="0"/>
    <s v=""/>
    <x v="0"/>
    <s v=""/>
    <n v="0"/>
    <s v="non"/>
    <n v="0"/>
    <s v=""/>
    <s v=""/>
    <s v="non"/>
    <n v="0"/>
    <s v=""/>
    <s v=""/>
    <s v="oui"/>
    <n v="81"/>
    <s v="non"/>
    <n v="0"/>
    <s v="oui"/>
    <n v="80"/>
    <n v="532"/>
    <s v="oui"/>
    <n v="80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115"/>
    <s v="Extrême-Nord"/>
    <s v="CMR004"/>
    <x v="1"/>
    <s v="CMR004002"/>
    <x v="6"/>
    <s v="CMR004002001"/>
    <s v="WAZ_0001"/>
    <x v="53"/>
    <s v="14.6517302"/>
    <s v="11.6868787"/>
    <s v="3.5"/>
    <n v="345"/>
    <s v="oui"/>
    <n v="5"/>
    <n v="25"/>
    <s v=""/>
    <n v="0"/>
    <s v="non"/>
    <n v="0"/>
    <s v=""/>
    <s v=""/>
    <s v="non"/>
    <n v="0"/>
    <s v=""/>
    <s v=""/>
    <s v="oui"/>
    <n v="5"/>
    <s v="non"/>
    <n v="0"/>
    <s v="oui"/>
    <n v="14"/>
    <n v="50"/>
    <x v="1"/>
    <x v="0"/>
    <s v=""/>
    <x v="0"/>
    <s v=""/>
    <n v="0"/>
    <s v="non"/>
    <n v="0"/>
    <s v=""/>
    <s v=""/>
    <s v="non"/>
    <n v="0"/>
    <s v=""/>
    <s v=""/>
    <s v="oui"/>
    <n v="14"/>
    <s v="non"/>
    <n v="0"/>
    <s v="oui"/>
    <n v="20"/>
    <n v="102"/>
    <s v="oui"/>
    <n v="20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116"/>
    <s v="Extrême-Nord"/>
    <s v="CMR004"/>
    <x v="1"/>
    <s v="CMR004002"/>
    <x v="6"/>
    <s v="CMR004002001"/>
    <s v="WAZ_0019"/>
    <x v="54"/>
    <s v="14.6527995"/>
    <s v="11.6857626"/>
    <s v="4"/>
    <n v="247"/>
    <s v="oui"/>
    <n v="3"/>
    <n v="29"/>
    <s v=""/>
    <n v="0"/>
    <s v="non"/>
    <n v="0"/>
    <s v=""/>
    <s v=""/>
    <s v="non"/>
    <n v="0"/>
    <s v=""/>
    <s v=""/>
    <s v="oui"/>
    <n v="3"/>
    <s v="non"/>
    <n v="0"/>
    <s v="oui"/>
    <n v="23"/>
    <n v="127"/>
    <x v="2"/>
    <x v="1"/>
    <s v="Waza"/>
    <x v="1"/>
    <s v=""/>
    <n v="0"/>
    <s v="non"/>
    <n v="0"/>
    <s v=""/>
    <s v=""/>
    <s v="non"/>
    <n v="0"/>
    <s v=""/>
    <s v=""/>
    <s v="oui"/>
    <n v="23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20"/>
    <s v="Extrême-Nord"/>
    <s v="CMR004"/>
    <x v="1"/>
    <s v="CMR004002"/>
    <x v="6"/>
    <s v="CMR004002001"/>
    <s v="WAZ_0027"/>
    <x v="55"/>
    <s v="14.6367889"/>
    <s v="11.7802818"/>
    <s v="4"/>
    <n v="7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"/>
    <n v="70"/>
    <s v="oui"/>
    <n v="12"/>
    <s v=""/>
    <n v="0"/>
    <s v="non"/>
    <n v="0"/>
    <s v=""/>
    <s v=""/>
    <s v="non"/>
    <n v="0"/>
    <s v=""/>
    <s v=""/>
    <s v="non"/>
    <n v="0"/>
    <s v="non"/>
    <n v="0"/>
    <s v="oui"/>
    <n v="15"/>
    <n v="78"/>
    <s v="non"/>
    <m/>
    <m/>
    <s v="Non"/>
    <b v="0"/>
  </r>
  <r>
    <n v="122"/>
    <s v="Extrême-Nord"/>
    <s v="CMR004"/>
    <x v="1"/>
    <s v="CMR004002"/>
    <x v="6"/>
    <s v="CMR004002001"/>
    <s v="WAZ_0026"/>
    <x v="56"/>
    <s v="14.6409906"/>
    <s v="11.7761214"/>
    <s v="4"/>
    <n v="257"/>
    <s v="oui"/>
    <n v="7"/>
    <n v="87"/>
    <s v=""/>
    <n v="0"/>
    <s v="non"/>
    <n v="0"/>
    <s v=""/>
    <s v=""/>
    <s v="non"/>
    <n v="0"/>
    <s v=""/>
    <s v=""/>
    <s v="oui"/>
    <n v="7"/>
    <s v="non"/>
    <n v="0"/>
    <s v="oui"/>
    <n v="12"/>
    <n v="91"/>
    <x v="1"/>
    <x v="0"/>
    <s v=""/>
    <x v="0"/>
    <s v=""/>
    <n v="0"/>
    <s v="non"/>
    <n v="0"/>
    <s v=""/>
    <s v=""/>
    <s v="non"/>
    <n v="0"/>
    <s v=""/>
    <s v=""/>
    <s v="oui"/>
    <n v="12"/>
    <s v="non"/>
    <n v="0"/>
    <s v="oui"/>
    <n v="14"/>
    <n v="89"/>
    <s v="oui"/>
    <n v="14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144"/>
    <s v="Extrême-Nord"/>
    <s v="CMR004"/>
    <x v="1"/>
    <s v="CMR004002"/>
    <x v="6"/>
    <s v="CMR004002001"/>
    <s v="WAZ_0005"/>
    <x v="57"/>
    <s v="14.6263463"/>
    <s v="11.5211218"/>
    <s v="4"/>
    <n v="49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33"/>
    <n v="180"/>
    <x v="1"/>
    <x v="0"/>
    <s v=""/>
    <x v="0"/>
    <s v=""/>
    <n v="0"/>
    <s v="non"/>
    <n v="0"/>
    <s v=""/>
    <s v=""/>
    <s v="non"/>
    <n v="0"/>
    <s v=""/>
    <s v=""/>
    <s v="oui"/>
    <n v="33"/>
    <s v="non"/>
    <n v="0"/>
    <s v="oui"/>
    <n v="37"/>
    <n v="310"/>
    <s v="oui"/>
    <n v="37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145"/>
    <s v="Extrême-Nord"/>
    <s v="CMR004"/>
    <x v="1"/>
    <s v="CMR004002"/>
    <x v="6"/>
    <s v="CMR004002001"/>
    <s v="WAZ_0002"/>
    <x v="58"/>
    <s v="14.6343178"/>
    <s v="11.5449369"/>
    <s v="4"/>
    <n v="360"/>
    <s v="oui"/>
    <n v="6"/>
    <n v="20"/>
    <s v=""/>
    <n v="0"/>
    <s v="non"/>
    <n v="0"/>
    <s v=""/>
    <s v=""/>
    <s v="non"/>
    <n v="0"/>
    <s v=""/>
    <s v=""/>
    <s v="oui"/>
    <n v="6"/>
    <s v="non"/>
    <n v="0"/>
    <s v="oui"/>
    <n v="32"/>
    <n v="128"/>
    <x v="1"/>
    <x v="0"/>
    <s v=""/>
    <x v="0"/>
    <s v=""/>
    <n v="0"/>
    <s v="non"/>
    <n v="0"/>
    <s v=""/>
    <s v=""/>
    <s v="non"/>
    <n v="0"/>
    <s v=""/>
    <s v=""/>
    <s v="oui"/>
    <n v="32"/>
    <s v="non"/>
    <n v="0"/>
    <s v="oui"/>
    <n v="17"/>
    <n v="93"/>
    <s v="oui"/>
    <n v="17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422"/>
    <s v="Extrême-Nord"/>
    <s v="CMR004"/>
    <x v="1"/>
    <s v="CMR004002"/>
    <x v="6"/>
    <s v="CMR004002001"/>
    <s v="WAZ_0020"/>
    <x v="59"/>
    <s v="14.6395859"/>
    <s v="11.5275673"/>
    <s v="4"/>
    <n v="127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3"/>
    <n v="96"/>
    <x v="1"/>
    <x v="0"/>
    <s v=""/>
    <x v="0"/>
    <s v=""/>
    <n v="0"/>
    <s v="non"/>
    <n v="0"/>
    <s v=""/>
    <s v=""/>
    <s v="non"/>
    <n v="0"/>
    <s v=""/>
    <s v=""/>
    <s v="oui"/>
    <n v="23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50"/>
    <s v="Extrême-Nord"/>
    <s v="CMR004"/>
    <x v="1"/>
    <s v="CMR004002"/>
    <x v="6"/>
    <s v="CMR004002001"/>
    <s v="WAZ_0016"/>
    <x v="60"/>
    <s v="14.6249137"/>
    <s v="11.5336835"/>
    <s v="4"/>
    <n v="560"/>
    <s v="oui"/>
    <n v="13"/>
    <n v="46"/>
    <s v=""/>
    <n v="0"/>
    <s v="non"/>
    <n v="0"/>
    <s v=""/>
    <s v=""/>
    <s v="non"/>
    <n v="0"/>
    <s v=""/>
    <s v=""/>
    <s v="oui"/>
    <n v="13"/>
    <s v="non"/>
    <n v="0"/>
    <s v="oui"/>
    <n v="17"/>
    <n v="83"/>
    <x v="1"/>
    <x v="0"/>
    <s v=""/>
    <x v="0"/>
    <s v=""/>
    <n v="0"/>
    <s v="non"/>
    <n v="0"/>
    <s v=""/>
    <s v=""/>
    <s v="non"/>
    <n v="0"/>
    <s v=""/>
    <s v=""/>
    <s v="oui"/>
    <n v="17"/>
    <s v="non"/>
    <n v="0"/>
    <s v="oui"/>
    <n v="45"/>
    <n v="439"/>
    <s v="oui"/>
    <n v="45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198"/>
    <s v="Extrême-Nord"/>
    <s v="CMR004"/>
    <x v="1"/>
    <s v="CMR004002"/>
    <x v="6"/>
    <s v="CMR004002001"/>
    <s v="WAZ_0025"/>
    <x v="61"/>
    <s v="14.7045104"/>
    <s v="11.6316205"/>
    <s v="4"/>
    <n v="234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7"/>
    <n v="159"/>
    <x v="1"/>
    <x v="0"/>
    <s v=""/>
    <x v="0"/>
    <s v=""/>
    <n v="0"/>
    <s v="non"/>
    <n v="0"/>
    <s v=""/>
    <s v=""/>
    <s v="non"/>
    <n v="0"/>
    <s v=""/>
    <s v=""/>
    <s v="oui"/>
    <n v="27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18"/>
    <s v="Extrême-Nord"/>
    <s v="CMR004"/>
    <x v="1"/>
    <s v="CMR004002"/>
    <x v="6"/>
    <s v="CMR004002001"/>
    <s v="WAZ_0008"/>
    <x v="62"/>
    <s v="14.652814"/>
    <s v="11.5998399"/>
    <s v="4"/>
    <n v="1014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9"/>
    <n v="209"/>
    <x v="1"/>
    <x v="0"/>
    <s v=""/>
    <x v="0"/>
    <s v=""/>
    <n v="0"/>
    <s v="non"/>
    <n v="0"/>
    <s v=""/>
    <s v=""/>
    <s v="non"/>
    <n v="0"/>
    <s v=""/>
    <s v=""/>
    <s v="oui"/>
    <n v="49"/>
    <s v="non"/>
    <n v="0"/>
    <s v="oui"/>
    <n v="101"/>
    <n v="513"/>
    <s v="oui"/>
    <n v="101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220"/>
    <s v="Extrême-Nord"/>
    <s v="CMR004"/>
    <x v="1"/>
    <s v="CMR004002"/>
    <x v="6"/>
    <s v="CMR004002001"/>
    <s v="WAZ_0006"/>
    <x v="63"/>
    <s v="14.6304214"/>
    <s v="11.5587128"/>
    <s v="4"/>
    <n v="1221"/>
    <s v="non"/>
    <n v="0"/>
    <n v="0"/>
    <s v=""/>
    <n v="0"/>
    <s v=""/>
    <n v="0"/>
    <s v=""/>
    <s v=""/>
    <s v=""/>
    <n v="0"/>
    <s v=""/>
    <s v=""/>
    <s v=""/>
    <n v="0"/>
    <s v=""/>
    <n v="0"/>
    <s v="oui"/>
    <n v="69"/>
    <n v="350"/>
    <x v="1"/>
    <x v="0"/>
    <s v=""/>
    <x v="0"/>
    <s v=""/>
    <n v="0"/>
    <s v="non"/>
    <n v="0"/>
    <s v=""/>
    <s v=""/>
    <s v="non"/>
    <n v="0"/>
    <s v=""/>
    <s v=""/>
    <s v="oui"/>
    <n v="69"/>
    <s v="non"/>
    <n v="0"/>
    <s v="oui"/>
    <n v="100"/>
    <n v="479"/>
    <s v="oui"/>
    <n v="100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224"/>
    <s v="Extrême-Nord"/>
    <s v="CMR004"/>
    <x v="1"/>
    <s v="CMR004002"/>
    <x v="6"/>
    <s v="CMR004002001"/>
    <s v="WAZ_0030"/>
    <x v="64"/>
    <s v="14.6769076"/>
    <s v="11.505173"/>
    <s v="4"/>
    <n v="350"/>
    <s v="oui"/>
    <n v="3"/>
    <n v="16"/>
    <s v=""/>
    <n v="0"/>
    <s v="non"/>
    <n v="0"/>
    <s v=""/>
    <s v=""/>
    <s v="non"/>
    <n v="0"/>
    <s v=""/>
    <s v=""/>
    <s v="oui"/>
    <n v="3"/>
    <s v="non"/>
    <n v="0"/>
    <s v="oui"/>
    <n v="13"/>
    <n v="58"/>
    <x v="1"/>
    <x v="0"/>
    <s v=""/>
    <x v="0"/>
    <s v=""/>
    <n v="0"/>
    <s v="non"/>
    <n v="0"/>
    <s v=""/>
    <s v=""/>
    <s v="non"/>
    <n v="0"/>
    <s v=""/>
    <s v=""/>
    <s v="oui"/>
    <n v="13"/>
    <s v="non"/>
    <n v="0"/>
    <s v="oui"/>
    <n v="15"/>
    <n v="57"/>
    <s v="oui"/>
    <n v="15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496"/>
    <s v="Extrême-Nord"/>
    <s v="CMR004"/>
    <x v="1"/>
    <s v="CMR004002"/>
    <x v="6"/>
    <s v="CMR004002001"/>
    <s v="WAZ_0003"/>
    <x v="65"/>
    <s v="14.6170035"/>
    <s v="11.8242598"/>
    <s v="4"/>
    <n v="36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6"/>
    <n v="20"/>
    <x v="1"/>
    <x v="0"/>
    <s v=""/>
    <x v="0"/>
    <s v=""/>
    <n v="0"/>
    <s v="non"/>
    <n v="0"/>
    <s v=""/>
    <s v=""/>
    <s v="non"/>
    <n v="0"/>
    <s v=""/>
    <s v=""/>
    <s v="oui"/>
    <n v="6"/>
    <s v="non"/>
    <n v="0"/>
    <s v="oui"/>
    <n v="62"/>
    <n v="350"/>
    <s v="oui"/>
    <n v="62"/>
    <s v=""/>
    <n v="0"/>
    <s v="non"/>
    <n v="0"/>
    <s v=""/>
    <s v=""/>
    <s v="non"/>
    <n v="0"/>
    <s v=""/>
    <s v=""/>
    <s v="non"/>
    <n v="0"/>
    <s v="non"/>
    <n v="0"/>
    <s v="oui"/>
    <n v="3"/>
    <n v="8"/>
    <s v="non"/>
    <m/>
    <m/>
    <s v="Non"/>
    <b v="1"/>
  </r>
  <r>
    <n v="497"/>
    <s v="Extrême-Nord"/>
    <s v="CMR004"/>
    <x v="1"/>
    <s v="CMR004002"/>
    <x v="6"/>
    <s v="CMR004002001"/>
    <s v="WAZ_0007"/>
    <x v="66"/>
    <s v="14.6160597"/>
    <s v="11.824317"/>
    <s v="4"/>
    <n v="337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4"/>
    <n v="226"/>
    <s v="oui"/>
    <n v="44"/>
    <s v=""/>
    <n v="0"/>
    <s v="non"/>
    <n v="0"/>
    <s v=""/>
    <s v=""/>
    <s v="non"/>
    <n v="0"/>
    <s v=""/>
    <s v=""/>
    <s v="non"/>
    <n v="0"/>
    <s v="non"/>
    <n v="0"/>
    <s v="oui"/>
    <n v="4"/>
    <n v="18"/>
    <s v="non"/>
    <m/>
    <m/>
    <s v="Non"/>
    <b v="0"/>
  </r>
  <r>
    <n v="498"/>
    <s v="Extrême-Nord"/>
    <s v="CMR004"/>
    <x v="1"/>
    <s v="CMR004002"/>
    <x v="6"/>
    <s v="CMR004002001"/>
    <s v="WAZ_0015"/>
    <x v="67"/>
    <s v="14.618233"/>
    <s v="11.8556325"/>
    <s v="4"/>
    <n v="478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5"/>
    <n v="285"/>
    <x v="1"/>
    <x v="0"/>
    <s v=""/>
    <x v="0"/>
    <s v=""/>
    <n v="0"/>
    <s v="non"/>
    <n v="0"/>
    <s v=""/>
    <s v=""/>
    <s v="non"/>
    <n v="0"/>
    <s v=""/>
    <s v=""/>
    <s v="oui"/>
    <n v="45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4"/>
    <n v="26"/>
    <s v="non"/>
    <m/>
    <m/>
    <s v="Non"/>
    <b v="1"/>
  </r>
  <r>
    <n v="499"/>
    <s v="Extrême-Nord"/>
    <s v="CMR004"/>
    <x v="1"/>
    <s v="CMR004002"/>
    <x v="6"/>
    <s v="CMR004002001"/>
    <s v="WAZ_0004"/>
    <x v="68"/>
    <s v="14.624796"/>
    <s v="11.8317313"/>
    <s v="4"/>
    <n v="320"/>
    <s v="oui"/>
    <n v="10"/>
    <n v="44"/>
    <s v=""/>
    <n v="0"/>
    <s v="non"/>
    <n v="0"/>
    <s v=""/>
    <s v=""/>
    <s v="non"/>
    <n v="0"/>
    <s v=""/>
    <s v=""/>
    <s v="oui"/>
    <n v="10"/>
    <s v="non"/>
    <n v="0"/>
    <s v="oui"/>
    <n v="17"/>
    <n v="65"/>
    <x v="1"/>
    <x v="0"/>
    <s v=""/>
    <x v="0"/>
    <s v=""/>
    <n v="0"/>
    <s v="non"/>
    <n v="0"/>
    <s v=""/>
    <s v=""/>
    <s v="non"/>
    <n v="0"/>
    <s v=""/>
    <s v=""/>
    <s v="oui"/>
    <n v="17"/>
    <s v="non"/>
    <n v="0"/>
    <s v="oui"/>
    <n v="9"/>
    <n v="50"/>
    <s v="oui"/>
    <n v="9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252"/>
    <s v="Extrême-Nord"/>
    <s v="CMR004"/>
    <x v="1"/>
    <s v="CMR004002"/>
    <x v="6"/>
    <s v="CMR004002001"/>
    <s v="WAZ_0028"/>
    <x v="69"/>
    <s v="14.7109976"/>
    <s v="11.7140926"/>
    <s v="4"/>
    <n v="48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0"/>
    <n v="260"/>
    <x v="2"/>
    <x v="1"/>
    <s v="Waza"/>
    <x v="1"/>
    <s v=""/>
    <n v="0"/>
    <s v="non"/>
    <n v="0"/>
    <s v=""/>
    <s v=""/>
    <s v="non"/>
    <n v="0"/>
    <s v=""/>
    <s v=""/>
    <s v="oui"/>
    <n v="4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10"/>
    <s v="Extrême-Nord"/>
    <s v="CMR004"/>
    <x v="1"/>
    <s v="CMR004002"/>
    <x v="6"/>
    <s v="CMR004002001"/>
    <s v="WAZ_0031"/>
    <x v="70"/>
    <s v="14.6250289"/>
    <s v="11.4477669"/>
    <s v="4"/>
    <n v="156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"/>
    <n v="25"/>
    <x v="1"/>
    <x v="0"/>
    <s v=""/>
    <x v="0"/>
    <s v=""/>
    <n v="0"/>
    <s v="non"/>
    <n v="0"/>
    <s v=""/>
    <s v=""/>
    <s v="non"/>
    <n v="0"/>
    <s v=""/>
    <s v=""/>
    <s v="oui"/>
    <n v="4"/>
    <s v="non"/>
    <n v="0"/>
    <s v="oui"/>
    <n v="25"/>
    <n v="131"/>
    <s v="oui"/>
    <n v="25"/>
    <s v=""/>
    <n v="0"/>
    <s v="non"/>
    <n v="0"/>
    <s v=""/>
    <s v=""/>
    <s v="non"/>
    <n v="0"/>
    <s v=""/>
    <s v=""/>
    <s v="non"/>
    <n v="0"/>
    <s v="non"/>
    <n v="0"/>
    <s v="oui"/>
    <n v="12"/>
    <n v="72"/>
    <s v="non"/>
    <m/>
    <m/>
    <s v="Non"/>
    <b v="1"/>
  </r>
  <r>
    <n v="517"/>
    <s v="Extrême-Nord"/>
    <s v="CMR004"/>
    <x v="1"/>
    <s v="CMR004002"/>
    <x v="7"/>
    <s v="CMR004002002"/>
    <s v="GOU_0006"/>
    <x v="71"/>
    <s v="14.9020308"/>
    <s v="12.3874283"/>
    <s v="4"/>
    <n v="12668"/>
    <s v="oui"/>
    <n v="88"/>
    <n v="612"/>
    <s v="oui"/>
    <n v="82"/>
    <s v="oui"/>
    <n v="6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18"/>
    <s v="Extrême-Nord"/>
    <s v="CMR004"/>
    <x v="1"/>
    <s v="CMR004002"/>
    <x v="7"/>
    <s v="CMR004002002"/>
    <s v="GOU_0002"/>
    <x v="53"/>
    <s v="14.8733522"/>
    <s v="12.4430093"/>
    <s v="4"/>
    <n v="693"/>
    <s v="oui"/>
    <n v="7"/>
    <n v="44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19"/>
    <s v="Extrême-Nord"/>
    <s v="CMR004"/>
    <x v="1"/>
    <s v="CMR004002"/>
    <x v="7"/>
    <s v="CMR004002002"/>
    <s v="GOU_0019"/>
    <x v="72"/>
    <s v="14.8582045"/>
    <s v="12.4508972"/>
    <s v="4"/>
    <n v="1293"/>
    <s v="oui"/>
    <n v="10"/>
    <n v="51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20"/>
    <s v="Extrême-Nord"/>
    <s v="CMR004"/>
    <x v="1"/>
    <s v="CMR004002"/>
    <x v="7"/>
    <s v="CMR004002002"/>
    <s v="GOU_0010"/>
    <x v="73"/>
    <s v="14.8511958"/>
    <s v="12.508821"/>
    <s v="4"/>
    <n v="502"/>
    <s v="oui"/>
    <n v="10"/>
    <n v="51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21"/>
    <s v="Extrême-Nord"/>
    <s v="CMR004"/>
    <x v="1"/>
    <s v="CMR004002"/>
    <x v="7"/>
    <s v="CMR004002002"/>
    <s v="GOU_0007"/>
    <x v="74"/>
    <s v="14.8482929"/>
    <s v="12.5267944"/>
    <s v="4"/>
    <n v="3616"/>
    <s v="oui"/>
    <n v="27"/>
    <n v="119"/>
    <s v="oui"/>
    <n v="2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9"/>
    <s v="Extrême-Nord"/>
    <s v="CMR004"/>
    <x v="1"/>
    <s v="CMR004002"/>
    <x v="7"/>
    <s v="CMR004002002"/>
    <s v="GOU_0017"/>
    <x v="75"/>
    <s v="14.8334307"/>
    <s v="12.5992314"/>
    <s v="4"/>
    <n v="1906"/>
    <s v="oui"/>
    <n v="10"/>
    <n v="62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0"/>
    <s v="Extrême-Nord"/>
    <s v="CMR004"/>
    <x v="1"/>
    <s v="CMR004002"/>
    <x v="7"/>
    <s v="CMR004002002"/>
    <s v="GOU_0005"/>
    <x v="76"/>
    <s v="14.8257728"/>
    <s v="12.6369059"/>
    <s v="4"/>
    <n v="623"/>
    <s v="oui"/>
    <n v="6"/>
    <n v="42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1"/>
    <s v="Extrême-Nord"/>
    <s v="CMR004"/>
    <x v="1"/>
    <s v="CMR004002"/>
    <x v="7"/>
    <s v="CMR004002002"/>
    <s v="GOU_0009"/>
    <x v="77"/>
    <s v="14.7531101"/>
    <s v="12.6691657"/>
    <s v="4"/>
    <n v="2230"/>
    <s v="oui"/>
    <n v="15"/>
    <n v="115"/>
    <s v="oui"/>
    <n v="1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7"/>
    <s v="Extrême-Nord"/>
    <s v="CMR004"/>
    <x v="1"/>
    <s v="CMR004002"/>
    <x v="7"/>
    <s v="CMR004002002"/>
    <s v="GOU_0003"/>
    <x v="78"/>
    <s v="14.797143"/>
    <s v="12.5941256"/>
    <s v="4"/>
    <n v="383"/>
    <s v="oui"/>
    <n v="6"/>
    <n v="53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8"/>
    <s v="Extrême-Nord"/>
    <s v="CMR004"/>
    <x v="1"/>
    <s v="CMR004002"/>
    <x v="7"/>
    <s v="CMR004002002"/>
    <s v="GOU_0026"/>
    <x v="79"/>
    <s v="14.7407607"/>
    <s v="12.5620713"/>
    <s v="3.5"/>
    <n v="2627"/>
    <s v="oui"/>
    <n v="28"/>
    <n v="128"/>
    <s v="oui"/>
    <n v="2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9"/>
    <s v="Extrême-Nord"/>
    <s v="CMR004"/>
    <x v="1"/>
    <s v="CMR004002"/>
    <x v="7"/>
    <s v="CMR004002002"/>
    <s v="GOU_0032"/>
    <x v="80"/>
    <s v="14.7786901"/>
    <s v="12.5346539"/>
    <s v="4"/>
    <n v="1240"/>
    <s v="oui"/>
    <n v="4"/>
    <n v="47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0"/>
    <s v="Extrême-Nord"/>
    <s v="CMR004"/>
    <x v="1"/>
    <s v="CMR004002"/>
    <x v="7"/>
    <s v="CMR004002002"/>
    <s v="GOU_0018"/>
    <x v="81"/>
    <s v="14.8950779"/>
    <s v="12.3172027"/>
    <s v="3.5"/>
    <n v="1966"/>
    <s v="oui"/>
    <n v="22"/>
    <n v="112"/>
    <s v="oui"/>
    <n v="2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66"/>
    <s v="Extrême-Nord"/>
    <s v="CMR004"/>
    <x v="1"/>
    <s v="CMR004002"/>
    <x v="7"/>
    <s v="CMR004002002"/>
    <s v="GOU_0030"/>
    <x v="82"/>
    <s v="14.8627472"/>
    <s v="12.3843575"/>
    <s v="4"/>
    <n v="570"/>
    <s v="oui"/>
    <n v="3"/>
    <n v="34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68"/>
    <s v="Extrême-Nord"/>
    <s v="CMR004"/>
    <x v="1"/>
    <s v="CMR004002"/>
    <x v="7"/>
    <s v="CMR004002002"/>
    <s v="GOU_0001"/>
    <x v="83"/>
    <s v="14.805341"/>
    <s v="12.4099649"/>
    <s v="4"/>
    <n v="1002"/>
    <s v="oui"/>
    <n v="5"/>
    <n v="33"/>
    <s v="oui"/>
    <n v="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1"/>
    <s v="Extrême-Nord"/>
    <s v="CMR004"/>
    <x v="1"/>
    <s v="CMR004002"/>
    <x v="7"/>
    <s v="CMR004002002"/>
    <s v="GOU_0023"/>
    <x v="84"/>
    <s v="14.6906111"/>
    <s v="12.3599631"/>
    <s v="3.5"/>
    <n v="443"/>
    <s v="oui"/>
    <n v="2"/>
    <n v="17"/>
    <s v="oui"/>
    <n v="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2"/>
    <s v="Extrême-Nord"/>
    <s v="CMR004"/>
    <x v="1"/>
    <s v="CMR004002"/>
    <x v="7"/>
    <s v="CMR004002002"/>
    <s v="GOU_0033"/>
    <x v="85"/>
    <s v="14.7109563"/>
    <s v="12.3544509"/>
    <s v="4"/>
    <n v="1200"/>
    <s v="oui"/>
    <n v="4"/>
    <n v="38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3"/>
    <s v="Extrême-Nord"/>
    <s v="CMR004"/>
    <x v="1"/>
    <s v="CMR004002"/>
    <x v="7"/>
    <s v="CMR004002002"/>
    <s v="GOU_0004"/>
    <x v="86"/>
    <s v="14.7430077"/>
    <s v="12.3524001"/>
    <s v="3.5"/>
    <n v="602"/>
    <s v="oui"/>
    <n v="4"/>
    <n v="22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4"/>
    <s v="Extrême-Nord"/>
    <s v="CMR004"/>
    <x v="1"/>
    <s v="CMR004002"/>
    <x v="7"/>
    <s v="CMR004002002"/>
    <s v="GOU_0027"/>
    <x v="87"/>
    <s v="14.7491719"/>
    <s v="12.3406009"/>
    <s v="4"/>
    <n v="950"/>
    <s v="oui"/>
    <n v="8"/>
    <n v="41"/>
    <s v="oui"/>
    <n v="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5"/>
    <s v="Extrême-Nord"/>
    <s v="CMR004"/>
    <x v="1"/>
    <s v="CMR004002"/>
    <x v="7"/>
    <s v="CMR004002002"/>
    <s v="GOU_0031"/>
    <x v="88"/>
    <s v="14.7902407"/>
    <s v="12.3398944"/>
    <s v="4"/>
    <n v="651"/>
    <s v="oui"/>
    <n v="4"/>
    <n v="47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6"/>
    <s v="Extrême-Nord"/>
    <s v="CMR004"/>
    <x v="1"/>
    <s v="CMR004002"/>
    <x v="7"/>
    <s v="CMR004002002"/>
    <s v="GOU_0016"/>
    <x v="89"/>
    <s v="14.8146837"/>
    <s v="12.2940483"/>
    <s v="4"/>
    <n v="422"/>
    <s v="oui"/>
    <n v="3"/>
    <n v="22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7"/>
    <s v="Extrême-Nord"/>
    <s v="CMR004"/>
    <x v="1"/>
    <s v="CMR004002"/>
    <x v="7"/>
    <s v="CMR004002002"/>
    <s v="GOU_0022"/>
    <x v="90"/>
    <s v="14.8116972"/>
    <s v="12.2592692"/>
    <s v="4"/>
    <n v="1476"/>
    <s v="oui"/>
    <n v="36"/>
    <n v="208"/>
    <s v="oui"/>
    <n v="3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8"/>
    <s v="Extrême-Nord"/>
    <s v="CMR004"/>
    <x v="1"/>
    <s v="CMR004002"/>
    <x v="7"/>
    <s v="CMR004002002"/>
    <s v="GOU_0014"/>
    <x v="91"/>
    <s v="14.8973384"/>
    <s v="12.2203019"/>
    <s v="4"/>
    <n v="1176"/>
    <s v="oui"/>
    <n v="12"/>
    <n v="81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9"/>
    <s v="Extrême-Nord"/>
    <s v="CMR004"/>
    <x v="1"/>
    <s v="CMR004002"/>
    <x v="7"/>
    <s v="CMR004002002"/>
    <s v="GOU_0013"/>
    <x v="92"/>
    <s v="14.8990742"/>
    <s v="12.2203835"/>
    <s v="4"/>
    <n v="1653"/>
    <s v="oui"/>
    <n v="11"/>
    <n v="66"/>
    <s v="oui"/>
    <n v="1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50"/>
    <s v="Extrême-Nord"/>
    <s v="CMR004"/>
    <x v="1"/>
    <s v="CMR004002"/>
    <x v="7"/>
    <s v="CMR004002002"/>
    <s v="GOU_0024"/>
    <x v="93"/>
    <s v="14.8535129"/>
    <s v="12.3217507"/>
    <s v="4"/>
    <n v="424"/>
    <s v="oui"/>
    <n v="2"/>
    <n v="10"/>
    <s v="oui"/>
    <n v="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51"/>
    <s v="Extrême-Nord"/>
    <s v="CMR004"/>
    <x v="1"/>
    <s v="CMR004002"/>
    <x v="7"/>
    <s v="CMR004002002"/>
    <s v="GOU_0021"/>
    <x v="94"/>
    <s v="14.8320093"/>
    <s v="12.3601892"/>
    <s v="3"/>
    <n v="942"/>
    <s v="oui"/>
    <n v="4"/>
    <n v="42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3"/>
    <s v="Extrême-Nord"/>
    <s v="CMR004"/>
    <x v="1"/>
    <s v="CMR004002"/>
    <x v="7"/>
    <s v="CMR004002002"/>
    <s v="GOU_0012"/>
    <x v="95"/>
    <s v="14.8213058"/>
    <s v="12.1821504"/>
    <s v="4"/>
    <n v="506"/>
    <s v="oui"/>
    <n v="9"/>
    <n v="62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8"/>
    <s v="Extrême-Nord"/>
    <s v="CMR004"/>
    <x v="1"/>
    <s v="CMR004002"/>
    <x v="7"/>
    <s v="CMR004002002"/>
    <s v="GOU_0025"/>
    <x v="96"/>
    <s v="14.8798444"/>
    <s v="12.169129"/>
    <s v="4"/>
    <n v="1232"/>
    <s v="oui"/>
    <n v="3"/>
    <n v="30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92"/>
    <s v="Extrême-Nord"/>
    <s v="CMR004"/>
    <x v="1"/>
    <s v="CMR004002"/>
    <x v="7"/>
    <s v="CMR004002002"/>
    <s v="GOU_0020"/>
    <x v="97"/>
    <s v="14.9036146"/>
    <s v="12.1815525"/>
    <s v="3.5"/>
    <n v="829"/>
    <s v="oui"/>
    <n v="20"/>
    <n v="102"/>
    <s v="oui"/>
    <n v="2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66"/>
    <s v="Extrême-Nord"/>
    <s v="CMR004"/>
    <x v="1"/>
    <s v="CMR004002"/>
    <x v="7"/>
    <s v="CMR004002002"/>
    <s v="GOU_0011"/>
    <x v="98"/>
    <s v="14.750011"/>
    <s v="12.4099661"/>
    <s v="4"/>
    <n v="576"/>
    <s v="oui"/>
    <n v="4"/>
    <n v="25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67"/>
    <s v="Extrême-Nord"/>
    <s v="CMR004"/>
    <x v="1"/>
    <s v="CMR004002"/>
    <x v="7"/>
    <s v="CMR004002002"/>
    <s v="GOU_0008"/>
    <x v="99"/>
    <s v="14.7318835"/>
    <s v="12.4090032"/>
    <s v="4"/>
    <n v="477"/>
    <s v="oui"/>
    <n v="6"/>
    <n v="37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0"/>
    <s v="Extrême-Nord"/>
    <s v="CMR004"/>
    <x v="1"/>
    <s v="CMR004002"/>
    <x v="7"/>
    <s v="CMR004002002"/>
    <s v="GOU_0015"/>
    <x v="100"/>
    <s v="14.6666441"/>
    <s v="12.4257106"/>
    <s v="4"/>
    <n v="446"/>
    <s v="oui"/>
    <n v="7"/>
    <n v="32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6"/>
    <s v="Extrême-Nord"/>
    <s v="CMR004"/>
    <x v="1"/>
    <s v="CMR004002"/>
    <x v="8"/>
    <s v="CMR004002003"/>
    <s v="BLA_0002"/>
    <x v="101"/>
    <s v="14.551625"/>
    <s v="12.7731866667"/>
    <s v="1.2"/>
    <n v="23234"/>
    <s v="oui"/>
    <n v="609"/>
    <n v="3828"/>
    <s v="oui"/>
    <n v="392"/>
    <s v="oui"/>
    <n v="217"/>
    <s v="famille_daccueil"/>
    <s v=""/>
    <s v="non"/>
    <n v="0"/>
    <s v=""/>
    <s v=""/>
    <s v="non"/>
    <n v="0"/>
    <s v="non"/>
    <n v="0"/>
    <s v="oui"/>
    <n v="108"/>
    <n v="481"/>
    <x v="2"/>
    <x v="1"/>
    <s v="Fotokol"/>
    <x v="2"/>
    <s v="oui"/>
    <n v="27"/>
    <s v="oui"/>
    <n v="81"/>
    <s v="famille_daccueil"/>
    <s v=""/>
    <s v="non"/>
    <n v="0"/>
    <s v=""/>
    <s v=""/>
    <s v="non"/>
    <n v="0"/>
    <s v="non"/>
    <n v="0"/>
    <s v="oui"/>
    <n v="67"/>
    <n v="337"/>
    <s v="oui"/>
    <n v="32"/>
    <s v="oui"/>
    <n v="26"/>
    <s v="oui"/>
    <n v="9"/>
    <s v="famille_daccueil"/>
    <s v=""/>
    <s v="non"/>
    <n v="0"/>
    <s v=""/>
    <s v=""/>
    <s v="non"/>
    <n v="0"/>
    <s v="non"/>
    <n v="0"/>
    <s v="oui"/>
    <n v="26"/>
    <n v="110"/>
    <s v="non"/>
    <m/>
    <m/>
    <s v="Non"/>
    <b v="0"/>
  </r>
  <r>
    <n v="598"/>
    <s v="Extrême-Nord"/>
    <s v="CMR004"/>
    <x v="1"/>
    <s v="CMR004002"/>
    <x v="8"/>
    <s v="CMR004002003"/>
    <s v="BLA_0008"/>
    <x v="102"/>
    <s v="14.7015814"/>
    <s v="12.6802497"/>
    <s v="4"/>
    <n v="615"/>
    <s v="oui"/>
    <n v="13"/>
    <n v="30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99"/>
    <s v="Extrême-Nord"/>
    <s v="CMR004"/>
    <x v="1"/>
    <s v="CMR004002"/>
    <x v="8"/>
    <s v="CMR004002003"/>
    <s v="BLA_0011"/>
    <x v="103"/>
    <s v="14.6486556"/>
    <s v="12.7268468"/>
    <s v="3.5"/>
    <n v="396"/>
    <s v="oui"/>
    <n v="1"/>
    <n v="7"/>
    <s v="oui"/>
    <n v="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"/>
    <n v="67"/>
    <s v="oui"/>
    <n v="2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00"/>
    <s v="Extrême-Nord"/>
    <s v="CMR004"/>
    <x v="1"/>
    <s v="CMR004002"/>
    <x v="8"/>
    <s v="CMR004002003"/>
    <s v="BLA_0013"/>
    <x v="104"/>
    <s v="14.6183774"/>
    <s v="12.7535518"/>
    <s v="4"/>
    <n v="780"/>
    <s v="oui"/>
    <n v="1"/>
    <n v="4"/>
    <s v="oui"/>
    <n v="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"/>
    <n v="58"/>
    <s v="non"/>
    <n v="0"/>
    <s v="oui"/>
    <n v="7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20"/>
    <s v="Extrême-Nord"/>
    <s v="CMR004"/>
    <x v="1"/>
    <s v="CMR004002"/>
    <x v="8"/>
    <s v="CMR004002003"/>
    <s v="BLA_0005"/>
    <x v="105"/>
    <s v="14.672275"/>
    <s v="12.7161866667"/>
    <s v="1.2"/>
    <n v="425"/>
    <s v="oui"/>
    <n v="7"/>
    <n v="68"/>
    <s v="oui"/>
    <n v="7"/>
    <s v="non"/>
    <n v="0"/>
    <s v=""/>
    <s v=""/>
    <s v="non"/>
    <n v="0"/>
    <s v=""/>
    <s v=""/>
    <s v="non"/>
    <n v="0"/>
    <s v="non"/>
    <n v="0"/>
    <s v="oui"/>
    <n v="1"/>
    <n v="4"/>
    <x v="1"/>
    <x v="0"/>
    <s v=""/>
    <x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92"/>
    <n v="510"/>
    <s v="non"/>
    <m/>
    <m/>
    <s v="Non"/>
    <b v="0"/>
  </r>
  <r>
    <n v="621"/>
    <s v="Extrême-Nord"/>
    <s v="CMR004"/>
    <x v="1"/>
    <s v="CMR004002"/>
    <x v="8"/>
    <s v="CMR004002003"/>
    <s v="BLA_0017"/>
    <x v="106"/>
    <s v="14.650465"/>
    <s v="12.7250733333"/>
    <s v="1.2"/>
    <n v="400"/>
    <s v="oui"/>
    <n v="10"/>
    <n v="44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9"/>
    <n v="37"/>
    <s v="oui"/>
    <n v="1"/>
    <s v="oui"/>
    <n v="8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22"/>
    <s v="Extrême-Nord"/>
    <s v="CMR004"/>
    <x v="1"/>
    <s v="CMR004002"/>
    <x v="8"/>
    <s v="CMR004002003"/>
    <s v="BLA_0001"/>
    <x v="107"/>
    <s v="14.5757883333"/>
    <s v="12.7635216667"/>
    <s v="4"/>
    <n v="264"/>
    <s v="oui"/>
    <n v="10"/>
    <n v="88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30"/>
    <s v="Extrême-Nord"/>
    <s v="CMR004"/>
    <x v="1"/>
    <s v="CMR004002"/>
    <x v="8"/>
    <s v="CMR004002003"/>
    <s v="BLA_0003"/>
    <x v="108"/>
    <s v="14.5326224"/>
    <s v="12.7868277"/>
    <s v="3.5"/>
    <n v="2027"/>
    <s v="oui"/>
    <n v="288"/>
    <n v="2037"/>
    <s v=""/>
    <n v="0"/>
    <s v="non"/>
    <n v="0"/>
    <s v=""/>
    <s v=""/>
    <s v="non"/>
    <n v="0"/>
    <s v=""/>
    <s v=""/>
    <s v="oui"/>
    <n v="288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07"/>
    <s v="Extrême-Nord"/>
    <s v="CMR004"/>
    <x v="1"/>
    <s v="CMR004002"/>
    <x v="8"/>
    <s v="CMR004002003"/>
    <s v="BLA_0004"/>
    <x v="109"/>
    <s v="14.4542835"/>
    <s v="12.9002762"/>
    <s v="4"/>
    <n v="447"/>
    <s v="oui"/>
    <n v="7"/>
    <n v="42"/>
    <s v="oui"/>
    <n v="7"/>
    <s v="non"/>
    <n v="0"/>
    <s v=""/>
    <s v=""/>
    <s v="non"/>
    <n v="0"/>
    <s v=""/>
    <s v=""/>
    <s v="non"/>
    <n v="0"/>
    <s v="non"/>
    <n v="0"/>
    <s v="oui"/>
    <n v="1"/>
    <n v="7"/>
    <x v="1"/>
    <x v="0"/>
    <s v=""/>
    <x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08"/>
    <s v="Extrême-Nord"/>
    <s v="CMR004"/>
    <x v="1"/>
    <s v="CMR004002"/>
    <x v="8"/>
    <s v="CMR004002003"/>
    <s v="BLA_0014"/>
    <x v="110"/>
    <s v="14.4370118"/>
    <s v="12.9102277"/>
    <s v="4"/>
    <n v="658"/>
    <s v="oui"/>
    <n v="16"/>
    <n v="112"/>
    <s v="oui"/>
    <n v="16"/>
    <s v="non"/>
    <n v="0"/>
    <s v=""/>
    <s v=""/>
    <s v="non"/>
    <n v="0"/>
    <s v=""/>
    <s v=""/>
    <s v="non"/>
    <n v="0"/>
    <s v="non"/>
    <n v="0"/>
    <s v="oui"/>
    <n v="10"/>
    <n v="81"/>
    <x v="1"/>
    <x v="0"/>
    <s v=""/>
    <x v="0"/>
    <s v="oui"/>
    <n v="1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09"/>
    <s v="Extrême-Nord"/>
    <s v="CMR004"/>
    <x v="1"/>
    <s v="CMR004002"/>
    <x v="8"/>
    <s v="CMR004002003"/>
    <s v="BLA_0015"/>
    <x v="111"/>
    <s v="14.4334284"/>
    <s v="12.9292047"/>
    <s v="4"/>
    <n v="600"/>
    <s v="oui"/>
    <n v="22"/>
    <n v="126"/>
    <s v="non"/>
    <n v="0"/>
    <s v="non"/>
    <n v="0"/>
    <s v=""/>
    <s v=""/>
    <s v="non"/>
    <n v="0"/>
    <s v=""/>
    <s v=""/>
    <s v="oui"/>
    <n v="2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51"/>
    <s v="Extrême-Nord"/>
    <s v="CMR004"/>
    <x v="1"/>
    <s v="CMR004002"/>
    <x v="8"/>
    <s v="CMR004002003"/>
    <s v="BLA_0006"/>
    <x v="112"/>
    <s v="14.48638"/>
    <s v="12.91583"/>
    <s v="1.2"/>
    <n v="479"/>
    <s v="oui"/>
    <n v="17"/>
    <n v="136"/>
    <s v="oui"/>
    <n v="17"/>
    <s v="non"/>
    <n v="0"/>
    <s v=""/>
    <s v=""/>
    <s v="non"/>
    <n v="0"/>
    <s v=""/>
    <s v=""/>
    <s v="non"/>
    <n v="0"/>
    <s v="non"/>
    <n v="0"/>
    <s v="oui"/>
    <n v="2"/>
    <n v="8"/>
    <x v="1"/>
    <x v="0"/>
    <s v=""/>
    <x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52"/>
    <s v="Extrême-Nord"/>
    <s v="CMR004"/>
    <x v="1"/>
    <s v="CMR004002"/>
    <x v="8"/>
    <s v="CMR004002003"/>
    <s v="BLA_0007"/>
    <x v="113"/>
    <s v="14.46928"/>
    <s v="12.8910566667"/>
    <s v="4"/>
    <n v="1975"/>
    <s v="oui"/>
    <n v="11"/>
    <n v="74"/>
    <s v="oui"/>
    <n v="10"/>
    <s v="oui"/>
    <n v="1"/>
    <s v="famille_daccueil"/>
    <s v=""/>
    <s v="non"/>
    <n v="0"/>
    <s v=""/>
    <s v=""/>
    <s v="non"/>
    <n v="0"/>
    <s v="non"/>
    <n v="0"/>
    <s v="oui"/>
    <n v="2"/>
    <n v="10"/>
    <x v="1"/>
    <x v="0"/>
    <s v=""/>
    <x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14"/>
    <s v="Extrême-Nord"/>
    <s v="CMR004"/>
    <x v="1"/>
    <s v="CMR004002"/>
    <x v="8"/>
    <s v="CMR004002003"/>
    <s v="BLA_0010"/>
    <x v="114"/>
    <s v="14.5493138"/>
    <s v="12.8113501"/>
    <s v="3.5"/>
    <n v="4614"/>
    <s v="oui"/>
    <n v="3"/>
    <n v="40"/>
    <s v="oui"/>
    <n v="3"/>
    <s v="non"/>
    <n v="0"/>
    <s v=""/>
    <s v=""/>
    <s v="non"/>
    <n v="0"/>
    <s v=""/>
    <s v=""/>
    <s v="non"/>
    <n v="0"/>
    <s v="non"/>
    <n v="0"/>
    <s v="oui"/>
    <n v="5"/>
    <n v="38"/>
    <x v="1"/>
    <x v="0"/>
    <s v=""/>
    <x v="0"/>
    <s v="oui"/>
    <n v="5"/>
    <s v="non"/>
    <n v="0"/>
    <s v=""/>
    <s v=""/>
    <s v="non"/>
    <n v="0"/>
    <s v=""/>
    <s v=""/>
    <s v="non"/>
    <n v="0"/>
    <s v="non"/>
    <n v="0"/>
    <s v="oui"/>
    <n v="9"/>
    <n v="122"/>
    <s v="oui"/>
    <n v="2"/>
    <s v="oui"/>
    <n v="7"/>
    <s v="non"/>
    <n v="0"/>
    <s v=""/>
    <s v=""/>
    <s v="non"/>
    <n v="0"/>
    <s v=""/>
    <s v=""/>
    <s v="non"/>
    <n v="0"/>
    <s v="non"/>
    <n v="0"/>
    <s v="oui"/>
    <n v="15"/>
    <n v="145"/>
    <s v="non"/>
    <m/>
    <m/>
    <s v="Non"/>
    <b v="0"/>
  </r>
  <r>
    <n v="215"/>
    <s v="Extrême-Nord"/>
    <s v="CMR004"/>
    <x v="1"/>
    <s v="CMR004002"/>
    <x v="8"/>
    <s v="CMR004002003"/>
    <s v="BLA_0009"/>
    <x v="115"/>
    <s v="14.5006313"/>
    <s v="12.9491433"/>
    <s v="4"/>
    <n v="10082"/>
    <s v="oui"/>
    <n v="62"/>
    <n v="331"/>
    <s v="oui"/>
    <n v="30"/>
    <s v="oui"/>
    <n v="23"/>
    <s v="famille_daccueil"/>
    <s v=""/>
    <s v="non"/>
    <n v="0"/>
    <s v=""/>
    <s v=""/>
    <s v="oui"/>
    <n v="9"/>
    <s v="non"/>
    <n v="0"/>
    <s v="oui"/>
    <n v="33"/>
    <n v="193"/>
    <x v="1"/>
    <x v="0"/>
    <s v=""/>
    <x v="0"/>
    <s v="oui"/>
    <n v="15"/>
    <s v="oui"/>
    <n v="11"/>
    <s v="famille_daccueil"/>
    <s v=""/>
    <s v="non"/>
    <n v="0"/>
    <s v=""/>
    <s v=""/>
    <s v="oui"/>
    <n v="7"/>
    <s v="non"/>
    <n v="0"/>
    <s v="oui"/>
    <n v="4"/>
    <n v="22"/>
    <s v="oui"/>
    <n v="2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227"/>
    <s v="Extrême-Nord"/>
    <s v="CMR004"/>
    <x v="1"/>
    <s v="CMR004002"/>
    <x v="8"/>
    <s v="CMR004002003"/>
    <s v="BLA_0012"/>
    <x v="116"/>
    <s v="14.5030324"/>
    <s v="12.8634639"/>
    <s v="3.5"/>
    <n v="575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94"/>
    <s v="Extrême-Nord"/>
    <s v="CMR004"/>
    <x v="1"/>
    <s v="CMR004002"/>
    <x v="8"/>
    <s v="CMR004002003"/>
    <s v="BLA_0016"/>
    <x v="117"/>
    <s v="14.4658496"/>
    <s v="12.8702007"/>
    <s v="4"/>
    <n v="261"/>
    <s v="oui"/>
    <n v="8"/>
    <n v="38"/>
    <s v="non"/>
    <n v="0"/>
    <s v="non"/>
    <n v="0"/>
    <s v=""/>
    <s v=""/>
    <s v="non"/>
    <n v="0"/>
    <s v=""/>
    <s v=""/>
    <s v="oui"/>
    <n v="8"/>
    <s v="non"/>
    <n v="0"/>
    <s v="oui"/>
    <n v="9"/>
    <n v="39"/>
    <x v="1"/>
    <x v="0"/>
    <s v=""/>
    <x v="0"/>
    <s v="non"/>
    <n v="0"/>
    <s v="non"/>
    <n v="0"/>
    <s v=""/>
    <s v=""/>
    <s v="non"/>
    <n v="0"/>
    <s v=""/>
    <s v=""/>
    <s v="oui"/>
    <n v="9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87"/>
    <s v="Extrême-Nord"/>
    <s v="CMR004"/>
    <x v="1"/>
    <s v="CMR004002"/>
    <x v="9"/>
    <s v="CMR004002004"/>
    <s v="LBI_0044"/>
    <x v="118"/>
    <s v="14.7344976"/>
    <s v="12.0731823"/>
    <s v="18"/>
    <n v="1776"/>
    <s v="oui"/>
    <n v="82"/>
    <n v="656"/>
    <s v="non"/>
    <n v="0"/>
    <s v="non"/>
    <n v="0"/>
    <s v=""/>
    <s v=""/>
    <s v="non"/>
    <n v="0"/>
    <s v=""/>
    <s v=""/>
    <s v="oui"/>
    <n v="82"/>
    <s v="non"/>
    <n v="0"/>
    <s v="oui"/>
    <n v="25"/>
    <n v="212"/>
    <x v="1"/>
    <x v="0"/>
    <s v=""/>
    <x v="0"/>
    <s v="non"/>
    <n v="0"/>
    <s v="non"/>
    <n v="0"/>
    <s v=""/>
    <s v=""/>
    <s v="non"/>
    <n v="0"/>
    <s v=""/>
    <s v=""/>
    <s v="oui"/>
    <n v="25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88"/>
    <s v="Extrême-Nord"/>
    <s v="CMR004"/>
    <x v="1"/>
    <s v="CMR004002"/>
    <x v="9"/>
    <s v="CMR004002004"/>
    <s v="LBI_0011"/>
    <x v="119"/>
    <s v="14.7312647"/>
    <s v="12.1206044"/>
    <s v="4"/>
    <n v="298"/>
    <s v="oui"/>
    <n v="70"/>
    <n v="298"/>
    <s v="non"/>
    <n v="0"/>
    <s v="non"/>
    <n v="0"/>
    <s v=""/>
    <s v=""/>
    <s v="non"/>
    <n v="0"/>
    <s v=""/>
    <s v=""/>
    <s v="oui"/>
    <n v="7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89"/>
    <s v="Extrême-Nord"/>
    <s v="CMR004"/>
    <x v="1"/>
    <s v="CMR004002"/>
    <x v="9"/>
    <s v="CMR004002004"/>
    <s v="LBI_0006"/>
    <x v="120"/>
    <s v="14.7351157"/>
    <s v="12.1200719"/>
    <s v="13.5"/>
    <n v="2133"/>
    <s v="oui"/>
    <n v="213"/>
    <n v="1598"/>
    <s v="oui"/>
    <n v="110"/>
    <s v="non"/>
    <n v="0"/>
    <s v=""/>
    <s v=""/>
    <s v="non"/>
    <n v="0"/>
    <s v=""/>
    <s v=""/>
    <s v="oui"/>
    <n v="103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90"/>
    <s v="Extrême-Nord"/>
    <s v="CMR004"/>
    <x v="1"/>
    <s v="CMR004002"/>
    <x v="9"/>
    <s v="CMR004002004"/>
    <s v="LBI_0002"/>
    <x v="121"/>
    <s v="14.6927944"/>
    <s v="12.0990642"/>
    <s v="13.5"/>
    <n v="3431"/>
    <s v="oui"/>
    <n v="173"/>
    <n v="1123"/>
    <s v="oui"/>
    <n v="17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91"/>
    <s v="Extrême-Nord"/>
    <s v="CMR004"/>
    <x v="1"/>
    <s v="CMR004002"/>
    <x v="9"/>
    <s v="CMR004002004"/>
    <s v="LBI_0018"/>
    <x v="82"/>
    <s v="14.6280774"/>
    <s v="11.8961027"/>
    <s v="5.5"/>
    <n v="970"/>
    <s v="oui"/>
    <n v="35"/>
    <n v="350"/>
    <s v="oui"/>
    <n v="35"/>
    <s v="non"/>
    <n v="0"/>
    <s v=""/>
    <s v=""/>
    <s v="non"/>
    <n v="0"/>
    <s v=""/>
    <s v=""/>
    <s v="non"/>
    <n v="0"/>
    <s v="non"/>
    <n v="0"/>
    <s v="oui"/>
    <n v="9"/>
    <n v="70"/>
    <x v="1"/>
    <x v="0"/>
    <s v=""/>
    <x v="0"/>
    <s v="non"/>
    <n v="0"/>
    <s v="non"/>
    <n v="0"/>
    <s v=""/>
    <s v=""/>
    <s v="non"/>
    <n v="0"/>
    <s v=""/>
    <s v=""/>
    <s v="oui"/>
    <n v="9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92"/>
    <s v="Extrême-Nord"/>
    <s v="CMR004"/>
    <x v="1"/>
    <s v="CMR004002"/>
    <x v="9"/>
    <s v="CMR004002004"/>
    <s v="LBI_0001"/>
    <x v="122"/>
    <s v="14.643959"/>
    <s v="11.9201131"/>
    <s v="8.5"/>
    <n v="1776"/>
    <s v="oui"/>
    <n v="96"/>
    <n v="759"/>
    <s v="oui"/>
    <n v="9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93"/>
    <s v="Extrême-Nord"/>
    <s v="CMR004"/>
    <x v="1"/>
    <s v="CMR004002"/>
    <x v="9"/>
    <s v="CMR004002004"/>
    <s v="LBI_0013"/>
    <x v="123"/>
    <s v="14.747391"/>
    <s v="12.1053761"/>
    <s v="8"/>
    <n v="128"/>
    <s v="oui"/>
    <n v="32"/>
    <n v="128"/>
    <s v="non"/>
    <n v="0"/>
    <s v="non"/>
    <n v="0"/>
    <s v=""/>
    <s v=""/>
    <s v="non"/>
    <n v="0"/>
    <s v=""/>
    <s v=""/>
    <s v="oui"/>
    <n v="3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95"/>
    <s v="Extrême-Nord"/>
    <s v="CMR004"/>
    <x v="1"/>
    <s v="CMR004002"/>
    <x v="9"/>
    <s v="CMR004002004"/>
    <s v="LBI_0037"/>
    <x v="124"/>
    <s v="14.7496683"/>
    <s v="12.108687"/>
    <s v="9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35"/>
    <s v="Extrême-Nord"/>
    <s v="CMR004"/>
    <x v="1"/>
    <s v="CMR004002"/>
    <x v="9"/>
    <s v="CMR004002004"/>
    <s v="LBI_0004"/>
    <x v="125"/>
    <s v="14.8400223"/>
    <s v="12.0930012"/>
    <s v="8"/>
    <n v="2350"/>
    <s v="oui"/>
    <n v="191"/>
    <n v="950"/>
    <s v="non"/>
    <n v="0"/>
    <s v="non"/>
    <n v="0"/>
    <s v=""/>
    <s v=""/>
    <s v="non"/>
    <n v="0"/>
    <s v=""/>
    <s v=""/>
    <s v="oui"/>
    <n v="191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636"/>
    <s v="Extrême-Nord"/>
    <s v="CMR004"/>
    <x v="1"/>
    <s v="CMR004002"/>
    <x v="9"/>
    <s v="CMR004002004"/>
    <s v="LBI_0016"/>
    <x v="126"/>
    <s v="14.836801"/>
    <s v="12.0908345"/>
    <s v="5.5"/>
    <n v="123"/>
    <s v="oui"/>
    <n v="19"/>
    <n v="100"/>
    <s v=""/>
    <n v="0"/>
    <s v="non"/>
    <n v="0"/>
    <s v=""/>
    <s v=""/>
    <s v="non"/>
    <n v="0"/>
    <s v=""/>
    <s v=""/>
    <s v="oui"/>
    <n v="19"/>
    <s v="non"/>
    <n v="0"/>
    <s v="oui"/>
    <n v="3"/>
    <n v="23"/>
    <x v="1"/>
    <x v="0"/>
    <s v=""/>
    <x v="0"/>
    <s v=""/>
    <n v="0"/>
    <s v="non"/>
    <n v="0"/>
    <s v=""/>
    <s v=""/>
    <s v="non"/>
    <n v="0"/>
    <s v=""/>
    <s v=""/>
    <s v="oui"/>
    <n v="3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26"/>
    <s v="Extrême-Nord"/>
    <s v="CMR004"/>
    <x v="1"/>
    <s v="CMR004002"/>
    <x v="9"/>
    <s v="CMR004002004"/>
    <s v="LBI_0024"/>
    <x v="127"/>
    <s v="14.7981401"/>
    <s v="12.0356977"/>
    <s v="9.5"/>
    <n v="1164"/>
    <s v="oui"/>
    <n v="100"/>
    <n v="447"/>
    <s v="non"/>
    <n v="0"/>
    <s v="non"/>
    <n v="0"/>
    <s v=""/>
    <s v=""/>
    <s v="non"/>
    <n v="0"/>
    <s v=""/>
    <s v=""/>
    <s v="oui"/>
    <n v="100"/>
    <s v="non"/>
    <n v="0"/>
    <s v="oui"/>
    <n v="28"/>
    <n v="152"/>
    <x v="1"/>
    <x v="0"/>
    <s v=""/>
    <x v="0"/>
    <s v="non"/>
    <n v="0"/>
    <s v="non"/>
    <n v="0"/>
    <s v=""/>
    <s v=""/>
    <s v="non"/>
    <n v="0"/>
    <s v=""/>
    <s v=""/>
    <s v="oui"/>
    <n v="28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82"/>
    <s v="Extrême-Nord"/>
    <s v="CMR004"/>
    <x v="1"/>
    <s v="CMR004002"/>
    <x v="9"/>
    <s v="CMR004002004"/>
    <s v="LBI_0042"/>
    <x v="128"/>
    <s v="14.8900898"/>
    <s v="12.0523889"/>
    <s v="4"/>
    <n v="500"/>
    <s v="oui"/>
    <n v="6"/>
    <n v="54"/>
    <s v="non"/>
    <n v="0"/>
    <s v="non"/>
    <n v="0"/>
    <s v=""/>
    <s v=""/>
    <s v="non"/>
    <n v="0"/>
    <s v=""/>
    <s v=""/>
    <s v="oui"/>
    <n v="6"/>
    <s v="non"/>
    <n v="0"/>
    <s v="oui"/>
    <n v="22"/>
    <n v="168"/>
    <x v="1"/>
    <x v="0"/>
    <s v=""/>
    <x v="0"/>
    <s v="non"/>
    <n v="0"/>
    <s v="non"/>
    <n v="0"/>
    <s v=""/>
    <s v=""/>
    <s v="non"/>
    <n v="0"/>
    <s v=""/>
    <s v=""/>
    <s v="oui"/>
    <n v="22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638"/>
    <s v="Extrême-Nord"/>
    <s v="CMR004"/>
    <x v="1"/>
    <s v="CMR004002"/>
    <x v="9"/>
    <s v="CMR004002004"/>
    <s v="LBI_0009"/>
    <x v="129"/>
    <s v="14.8328002"/>
    <s v="12.1072203"/>
    <s v="6"/>
    <n v="142"/>
    <s v="oui"/>
    <n v="35"/>
    <n v="142"/>
    <s v=""/>
    <n v="0"/>
    <s v="non"/>
    <n v="0"/>
    <s v=""/>
    <s v=""/>
    <s v="non"/>
    <n v="0"/>
    <s v=""/>
    <s v=""/>
    <s v="oui"/>
    <n v="35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83"/>
    <s v="Extrême-Nord"/>
    <s v="CMR004"/>
    <x v="1"/>
    <s v="CMR004002"/>
    <x v="9"/>
    <s v="CMR004002004"/>
    <s v="LBI_0029"/>
    <x v="130"/>
    <s v="14.9496154"/>
    <s v="11.9150097"/>
    <s v="5"/>
    <n v="250"/>
    <s v="oui"/>
    <n v="30"/>
    <n v="150"/>
    <s v="oui"/>
    <n v="10"/>
    <s v="non"/>
    <n v="0"/>
    <s v=""/>
    <s v=""/>
    <s v="non"/>
    <n v="0"/>
    <s v=""/>
    <s v=""/>
    <s v="oui"/>
    <n v="2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84"/>
    <s v="Extrême-Nord"/>
    <s v="CMR004"/>
    <x v="1"/>
    <s v="CMR004002"/>
    <x v="9"/>
    <s v="CMR004002004"/>
    <s v="LBI_0036"/>
    <x v="131"/>
    <s v="14.9134119"/>
    <s v="11.9576274"/>
    <s v="3.5"/>
    <n v="1005"/>
    <s v="oui"/>
    <n v="100"/>
    <n v="500"/>
    <s v="oui"/>
    <n v="30"/>
    <s v="non"/>
    <n v="0"/>
    <s v=""/>
    <s v=""/>
    <s v="non"/>
    <n v="0"/>
    <s v=""/>
    <s v=""/>
    <s v="oui"/>
    <n v="7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85"/>
    <s v="Extrême-Nord"/>
    <s v="CMR004"/>
    <x v="1"/>
    <s v="CMR004002"/>
    <x v="9"/>
    <s v="CMR004002004"/>
    <s v="LBI_0038"/>
    <x v="132"/>
    <s v="14.9089203"/>
    <s v="11.9391969"/>
    <s v="3.5"/>
    <n v="1000"/>
    <s v="oui"/>
    <n v="7"/>
    <n v="45"/>
    <s v=""/>
    <n v="0"/>
    <s v="non"/>
    <n v="0"/>
    <s v=""/>
    <s v=""/>
    <s v="non"/>
    <n v="0"/>
    <s v=""/>
    <s v=""/>
    <s v="oui"/>
    <n v="7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89"/>
    <s v="Extrême-Nord"/>
    <s v="CMR004"/>
    <x v="1"/>
    <s v="CMR004002"/>
    <x v="9"/>
    <s v="CMR004002004"/>
    <s v="LBI_0007"/>
    <x v="133"/>
    <s v="15.0730255"/>
    <s v="11.6685311"/>
    <s v="4"/>
    <n v="12869"/>
    <s v="oui"/>
    <n v="98"/>
    <n v="869"/>
    <s v="oui"/>
    <n v="9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10"/>
    <s v="Extrême-Nord"/>
    <s v="CMR004"/>
    <x v="1"/>
    <s v="CMR004002"/>
    <x v="9"/>
    <s v="CMR004002004"/>
    <s v="LBI_0019"/>
    <x v="134"/>
    <s v="14.7033551"/>
    <s v="12.01949"/>
    <s v="10.5"/>
    <n v="246"/>
    <s v="oui"/>
    <n v="18"/>
    <n v="125"/>
    <s v="non"/>
    <n v="0"/>
    <s v="non"/>
    <n v="0"/>
    <s v=""/>
    <s v=""/>
    <s v="non"/>
    <n v="0"/>
    <s v=""/>
    <s v=""/>
    <s v="oui"/>
    <n v="18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11"/>
    <s v="Extrême-Nord"/>
    <s v="CMR004"/>
    <x v="1"/>
    <s v="CMR004002"/>
    <x v="9"/>
    <s v="CMR004002004"/>
    <s v="LBI_0015"/>
    <x v="135"/>
    <s v="14.6944292"/>
    <s v="12.0451138"/>
    <s v="8.5"/>
    <n v="546"/>
    <s v="oui"/>
    <n v="8"/>
    <n v="71"/>
    <s v="non"/>
    <n v="0"/>
    <s v="non"/>
    <n v="0"/>
    <s v=""/>
    <s v=""/>
    <s v="non"/>
    <n v="0"/>
    <s v=""/>
    <s v=""/>
    <s v="oui"/>
    <n v="8"/>
    <s v="non"/>
    <n v="0"/>
    <s v="oui"/>
    <n v="50"/>
    <n v="425"/>
    <x v="1"/>
    <x v="0"/>
    <s v=""/>
    <x v="0"/>
    <s v="non"/>
    <n v="0"/>
    <s v="non"/>
    <n v="0"/>
    <s v=""/>
    <s v=""/>
    <s v="non"/>
    <n v="0"/>
    <s v=""/>
    <s v=""/>
    <s v="oui"/>
    <n v="5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12"/>
    <s v="Extrême-Nord"/>
    <s v="CMR004"/>
    <x v="1"/>
    <s v="CMR004002"/>
    <x v="9"/>
    <s v="CMR004002004"/>
    <s v="LBI_0043"/>
    <x v="136"/>
    <s v="14.7236684"/>
    <s v="12.0686866"/>
    <s v="5.5"/>
    <n v="150"/>
    <s v="oui"/>
    <n v="35"/>
    <n v="150"/>
    <s v="non"/>
    <n v="0"/>
    <s v="non"/>
    <n v="0"/>
    <s v=""/>
    <s v=""/>
    <s v="non"/>
    <n v="0"/>
    <s v=""/>
    <s v=""/>
    <s v="oui"/>
    <n v="35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669"/>
    <s v="Extrême-Nord"/>
    <s v="CMR004"/>
    <x v="1"/>
    <s v="CMR004002"/>
    <x v="9"/>
    <s v="CMR004002004"/>
    <s v="LBI_0034"/>
    <x v="137"/>
    <s v="14.9940076"/>
    <s v="11.5868781"/>
    <s v="4"/>
    <n v="800"/>
    <s v="oui"/>
    <n v="18"/>
    <n v="130"/>
    <s v="oui"/>
    <n v="1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1"/>
    <s v="Extrême-Nord"/>
    <s v="CMR004"/>
    <x v="1"/>
    <s v="CMR004002"/>
    <x v="9"/>
    <s v="CMR004002004"/>
    <s v="LBI_0031"/>
    <x v="138"/>
    <s v="14.9272077"/>
    <s v="11.5179626"/>
    <s v="4"/>
    <n v="400"/>
    <s v="oui"/>
    <n v="22"/>
    <n v="100"/>
    <s v="oui"/>
    <n v="2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2"/>
    <s v="Extrême-Nord"/>
    <s v="CMR004"/>
    <x v="1"/>
    <s v="CMR004002"/>
    <x v="9"/>
    <s v="CMR004002004"/>
    <s v="LBI_0033"/>
    <x v="139"/>
    <s v="14.9568269"/>
    <s v="11.4895652"/>
    <s v="4"/>
    <n v="600"/>
    <s v="oui"/>
    <n v="17"/>
    <n v="130"/>
    <s v="oui"/>
    <n v="1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3"/>
    <s v="Extrême-Nord"/>
    <s v="CMR004"/>
    <x v="1"/>
    <s v="CMR004002"/>
    <x v="9"/>
    <s v="CMR004002004"/>
    <s v="LBI_0035"/>
    <x v="140"/>
    <s v="14.97389"/>
    <s v="11.4727879"/>
    <s v="4"/>
    <n v="800"/>
    <s v="oui"/>
    <n v="22"/>
    <n v="100"/>
    <s v="oui"/>
    <n v="2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4"/>
    <s v="Extrême-Nord"/>
    <s v="CMR004"/>
    <x v="1"/>
    <s v="CMR004002"/>
    <x v="9"/>
    <s v="CMR004002004"/>
    <s v="LBI_0041"/>
    <x v="33"/>
    <s v="14.9339587"/>
    <s v="11.5383999"/>
    <s v="4"/>
    <n v="5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17"/>
    <n v="100"/>
    <x v="1"/>
    <x v="0"/>
    <s v=""/>
    <x v="0"/>
    <s v="oui"/>
    <n v="17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5"/>
    <s v="Extrême-Nord"/>
    <s v="CMR004"/>
    <x v="1"/>
    <s v="CMR004002"/>
    <x v="9"/>
    <s v="CMR004002004"/>
    <s v="LBI_0040"/>
    <x v="141"/>
    <s v="14.9836264"/>
    <s v="11.5251614"/>
    <s v="4"/>
    <n v="400"/>
    <s v="oui"/>
    <n v="22"/>
    <n v="140"/>
    <s v="oui"/>
    <n v="2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23"/>
    <s v="Extrême-Nord"/>
    <s v="CMR004"/>
    <x v="1"/>
    <s v="CMR004002"/>
    <x v="9"/>
    <s v="CMR004002004"/>
    <s v="LBI_0022"/>
    <x v="142"/>
    <s v="14.7940793"/>
    <s v="12.0655927"/>
    <s v="4"/>
    <n v="166"/>
    <s v="oui"/>
    <n v="29"/>
    <n v="166"/>
    <s v=""/>
    <n v="0"/>
    <s v="non"/>
    <n v="0"/>
    <s v=""/>
    <s v=""/>
    <s v="non"/>
    <n v="0"/>
    <s v=""/>
    <s v=""/>
    <s v="oui"/>
    <n v="29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24"/>
    <s v="Extrême-Nord"/>
    <s v="CMR004"/>
    <x v="1"/>
    <s v="CMR004002"/>
    <x v="9"/>
    <s v="CMR004002004"/>
    <s v="LBI_0021"/>
    <x v="143"/>
    <s v="14.7927485"/>
    <s v="12.062486"/>
    <s v="8"/>
    <n v="562"/>
    <s v="oui"/>
    <n v="7"/>
    <n v="49"/>
    <s v="non"/>
    <n v="0"/>
    <s v="non"/>
    <n v="0"/>
    <s v=""/>
    <s v=""/>
    <s v="non"/>
    <n v="0"/>
    <s v=""/>
    <s v=""/>
    <s v="oui"/>
    <n v="7"/>
    <s v="non"/>
    <n v="0"/>
    <s v="oui"/>
    <n v="44"/>
    <n v="204"/>
    <x v="1"/>
    <x v="0"/>
    <s v=""/>
    <x v="0"/>
    <s v="non"/>
    <n v="0"/>
    <s v="non"/>
    <n v="0"/>
    <s v=""/>
    <s v=""/>
    <s v="non"/>
    <n v="0"/>
    <s v=""/>
    <s v=""/>
    <s v="oui"/>
    <n v="44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25"/>
    <s v="Extrême-Nord"/>
    <s v="CMR004"/>
    <x v="1"/>
    <s v="CMR004002"/>
    <x v="9"/>
    <s v="CMR004002004"/>
    <s v="LBI_0025"/>
    <x v="144"/>
    <s v="14.7364037"/>
    <s v="12.0171011"/>
    <s v="8"/>
    <n v="752"/>
    <s v="oui"/>
    <n v="84"/>
    <n v="432"/>
    <s v="non"/>
    <n v="0"/>
    <s v="non"/>
    <n v="0"/>
    <s v=""/>
    <s v=""/>
    <s v="non"/>
    <n v="0"/>
    <s v=""/>
    <s v=""/>
    <s v="oui"/>
    <n v="84"/>
    <s v="non"/>
    <n v="0"/>
    <s v="oui"/>
    <n v="50"/>
    <n v="152"/>
    <x v="1"/>
    <x v="0"/>
    <s v=""/>
    <x v="0"/>
    <s v="non"/>
    <n v="0"/>
    <s v="non"/>
    <n v="0"/>
    <s v=""/>
    <s v=""/>
    <s v="non"/>
    <n v="0"/>
    <s v=""/>
    <s v=""/>
    <s v="oui"/>
    <n v="5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26"/>
    <s v="Extrême-Nord"/>
    <s v="CMR004"/>
    <x v="1"/>
    <s v="CMR004002"/>
    <x v="9"/>
    <s v="CMR004002004"/>
    <s v="LBI_0008"/>
    <x v="145"/>
    <s v="14.7316975"/>
    <s v="12.117121"/>
    <s v="5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27"/>
    <s v="Extrême-Nord"/>
    <s v="CMR004"/>
    <x v="1"/>
    <s v="CMR004002"/>
    <x v="9"/>
    <s v="CMR004002004"/>
    <s v="LBI_0030"/>
    <x v="146"/>
    <s v="15.029624"/>
    <s v="12.0624852"/>
    <s v="2900"/>
    <n v="1110"/>
    <s v="oui"/>
    <n v="53"/>
    <n v="205"/>
    <s v="oui"/>
    <n v="20"/>
    <s v="non"/>
    <n v="0"/>
    <s v=""/>
    <s v=""/>
    <s v="non"/>
    <n v="0"/>
    <s v=""/>
    <s v=""/>
    <s v="oui"/>
    <n v="33"/>
    <s v="non"/>
    <n v="0"/>
    <s v="oui"/>
    <n v="20"/>
    <n v="110"/>
    <x v="1"/>
    <x v="0"/>
    <s v=""/>
    <x v="0"/>
    <s v="non"/>
    <n v="0"/>
    <s v="non"/>
    <n v="0"/>
    <s v=""/>
    <s v=""/>
    <s v="non"/>
    <n v="0"/>
    <s v=""/>
    <s v=""/>
    <s v="oui"/>
    <n v="2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28"/>
    <s v="Extrême-Nord"/>
    <s v="CMR004"/>
    <x v="1"/>
    <s v="CMR004002"/>
    <x v="9"/>
    <s v="CMR004002004"/>
    <s v="LBI_0028"/>
    <x v="147"/>
    <s v="14.9355436"/>
    <s v="11.9650698"/>
    <s v="10.5"/>
    <n v="350"/>
    <s v="oui"/>
    <n v="70"/>
    <n v="150"/>
    <s v="non"/>
    <n v="0"/>
    <s v="non"/>
    <n v="0"/>
    <s v=""/>
    <s v=""/>
    <s v="non"/>
    <n v="0"/>
    <s v=""/>
    <s v=""/>
    <s v="oui"/>
    <n v="7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29"/>
    <s v="Extrême-Nord"/>
    <s v="CMR004"/>
    <x v="1"/>
    <s v="CMR004002"/>
    <x v="9"/>
    <s v="CMR004002004"/>
    <s v="LBI_0023"/>
    <x v="148"/>
    <s v="14.8527795"/>
    <s v="11.9855538"/>
    <s v="6"/>
    <n v="747"/>
    <s v="oui"/>
    <n v="89"/>
    <n v="440"/>
    <s v="non"/>
    <n v="0"/>
    <s v="non"/>
    <n v="0"/>
    <s v=""/>
    <s v=""/>
    <s v="non"/>
    <n v="0"/>
    <s v=""/>
    <s v=""/>
    <s v="oui"/>
    <n v="89"/>
    <s v="non"/>
    <n v="0"/>
    <s v="oui"/>
    <n v="66"/>
    <n v="207"/>
    <x v="1"/>
    <x v="0"/>
    <s v=""/>
    <x v="0"/>
    <s v="non"/>
    <n v="0"/>
    <s v="non"/>
    <n v="0"/>
    <s v=""/>
    <s v=""/>
    <s v="non"/>
    <n v="0"/>
    <s v=""/>
    <s v=""/>
    <s v="oui"/>
    <n v="66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30"/>
    <s v="Extrême-Nord"/>
    <s v="CMR004"/>
    <x v="1"/>
    <s v="CMR004002"/>
    <x v="9"/>
    <s v="CMR004002004"/>
    <s v="LBI_0017"/>
    <x v="149"/>
    <s v="14.8408717"/>
    <s v="11.9880561"/>
    <s v="4"/>
    <n v="332"/>
    <s v="oui"/>
    <n v="50"/>
    <n v="283"/>
    <s v="non"/>
    <n v="0"/>
    <s v="non"/>
    <n v="0"/>
    <s v=""/>
    <s v=""/>
    <s v="non"/>
    <n v="0"/>
    <s v=""/>
    <s v=""/>
    <s v="oui"/>
    <n v="50"/>
    <s v="non"/>
    <n v="0"/>
    <s v="oui"/>
    <n v="5"/>
    <n v="49"/>
    <x v="1"/>
    <x v="0"/>
    <s v=""/>
    <x v="0"/>
    <s v="non"/>
    <n v="0"/>
    <s v="non"/>
    <n v="0"/>
    <s v=""/>
    <s v=""/>
    <s v="non"/>
    <n v="0"/>
    <s v=""/>
    <s v=""/>
    <s v="oui"/>
    <n v="5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31"/>
    <s v="Extrême-Nord"/>
    <s v="CMR004"/>
    <x v="1"/>
    <s v="CMR004002"/>
    <x v="9"/>
    <s v="CMR004002004"/>
    <s v="LBI_0039"/>
    <x v="150"/>
    <s v="14.8745407"/>
    <s v="12.0209366"/>
    <s v="7"/>
    <n v="320"/>
    <s v="oui"/>
    <n v="4"/>
    <n v="25"/>
    <s v="non"/>
    <n v="0"/>
    <s v="non"/>
    <n v="0"/>
    <s v=""/>
    <s v=""/>
    <s v="non"/>
    <n v="0"/>
    <s v=""/>
    <s v=""/>
    <s v="oui"/>
    <n v="4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32"/>
    <s v="Extrême-Nord"/>
    <s v="CMR004"/>
    <x v="1"/>
    <s v="CMR004002"/>
    <x v="9"/>
    <s v="CMR004002004"/>
    <s v="LBI_0032"/>
    <x v="151"/>
    <s v="14.8699523"/>
    <s v="12.0246434"/>
    <s v="9"/>
    <n v="450"/>
    <s v="oui"/>
    <n v="52"/>
    <n v="150"/>
    <s v="non"/>
    <n v="0"/>
    <s v="non"/>
    <n v="0"/>
    <s v=""/>
    <s v=""/>
    <s v="non"/>
    <n v="0"/>
    <s v=""/>
    <s v=""/>
    <s v="oui"/>
    <n v="5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33"/>
    <s v="Extrême-Nord"/>
    <s v="CMR004"/>
    <x v="1"/>
    <s v="CMR004002"/>
    <x v="9"/>
    <s v="CMR004002004"/>
    <s v="LBI_0014"/>
    <x v="152"/>
    <s v="14.8935844"/>
    <s v="12.04956"/>
    <s v="4"/>
    <n v="450"/>
    <s v="oui"/>
    <n v="35"/>
    <n v="147"/>
    <s v="non"/>
    <n v="0"/>
    <s v="non"/>
    <n v="0"/>
    <s v=""/>
    <s v=""/>
    <s v="non"/>
    <n v="0"/>
    <s v=""/>
    <s v=""/>
    <s v="oui"/>
    <n v="35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61"/>
    <s v="Extrême-Nord"/>
    <s v="CMR004"/>
    <x v="1"/>
    <s v="CMR004002"/>
    <x v="9"/>
    <s v="CMR004002004"/>
    <s v="LBI_0027"/>
    <x v="153"/>
    <s v="15.0411458"/>
    <s v="11.926857"/>
    <s v="4"/>
    <n v="241"/>
    <s v="oui"/>
    <n v="34"/>
    <n v="98"/>
    <s v="oui"/>
    <n v="3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62"/>
    <s v="Extrême-Nord"/>
    <s v="CMR004"/>
    <x v="1"/>
    <s v="CMR004002"/>
    <x v="9"/>
    <s v="CMR004002004"/>
    <s v="LBI_0003"/>
    <x v="154"/>
    <s v="14.969737"/>
    <s v="11.7734414"/>
    <s v="4"/>
    <n v="312"/>
    <s v="oui"/>
    <n v="18"/>
    <n v="87"/>
    <s v="oui"/>
    <n v="1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78"/>
    <s v="Extrême-Nord"/>
    <s v="CMR004"/>
    <x v="1"/>
    <s v="CMR004002"/>
    <x v="9"/>
    <s v="CMR004002004"/>
    <s v="LBI_0026"/>
    <x v="155"/>
    <s v="14.803832"/>
    <s v="12.0529329"/>
    <s v="4"/>
    <n v="214"/>
    <s v="oui"/>
    <n v="17"/>
    <n v="128"/>
    <s v="non"/>
    <n v="0"/>
    <s v="non"/>
    <n v="0"/>
    <s v=""/>
    <s v=""/>
    <s v="non"/>
    <n v="0"/>
    <s v=""/>
    <s v=""/>
    <s v="oui"/>
    <n v="17"/>
    <s v="non"/>
    <n v="0"/>
    <s v="oui"/>
    <n v="5"/>
    <n v="28"/>
    <x v="1"/>
    <x v="0"/>
    <s v=""/>
    <x v="0"/>
    <s v="non"/>
    <n v="0"/>
    <s v="non"/>
    <n v="0"/>
    <s v=""/>
    <s v=""/>
    <s v="non"/>
    <n v="0"/>
    <s v=""/>
    <s v=""/>
    <s v="oui"/>
    <n v="5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79"/>
    <s v="Extrême-Nord"/>
    <s v="CMR004"/>
    <x v="1"/>
    <s v="CMR004002"/>
    <x v="9"/>
    <s v="CMR004002004"/>
    <s v="LBI_0020"/>
    <x v="156"/>
    <s v="14.8067748"/>
    <s v="12.0643869"/>
    <s v="9.5"/>
    <n v="210"/>
    <s v="oui"/>
    <n v="6"/>
    <n v="56"/>
    <s v="non"/>
    <n v="0"/>
    <s v="non"/>
    <n v="0"/>
    <s v=""/>
    <s v=""/>
    <s v="non"/>
    <n v="0"/>
    <s v=""/>
    <s v=""/>
    <s v="oui"/>
    <n v="6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90"/>
    <s v="Extrême-Nord"/>
    <s v="CMR004"/>
    <x v="1"/>
    <s v="CMR004002"/>
    <x v="9"/>
    <s v="CMR004002004"/>
    <s v="LBI_0005"/>
    <x v="157"/>
    <s v="15.1024041"/>
    <s v="11.7800567"/>
    <s v="35.5"/>
    <n v="8314"/>
    <s v="oui"/>
    <n v="123"/>
    <n v="744"/>
    <s v="oui"/>
    <n v="67"/>
    <s v="non"/>
    <n v="0"/>
    <s v=""/>
    <s v=""/>
    <s v="non"/>
    <n v="0"/>
    <s v=""/>
    <s v=""/>
    <s v="oui"/>
    <n v="56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4"/>
    <n v="70"/>
    <s v="oui"/>
    <n v="14"/>
    <s v="non"/>
    <n v="0"/>
    <s v="non"/>
    <n v="0"/>
    <s v=""/>
    <s v=""/>
    <s v="non"/>
    <n v="0"/>
    <s v=""/>
    <s v=""/>
    <s v="non"/>
    <n v="0"/>
    <s v="non"/>
    <n v="0"/>
    <s v="oui"/>
    <n v="70"/>
    <n v="744"/>
    <s v="non"/>
    <m/>
    <m/>
    <s v="Non"/>
    <b v="1"/>
  </r>
  <r>
    <n v="108"/>
    <s v="Extrême-Nord"/>
    <s v="CMR004"/>
    <x v="1"/>
    <s v="CMR004002"/>
    <x v="10"/>
    <s v="CMR004002005"/>
    <s v="ZIN_0002"/>
    <x v="158"/>
    <s v="15.0436495"/>
    <s v="11.0023192"/>
    <s v="4"/>
    <n v="1333"/>
    <s v="oui"/>
    <n v="103"/>
    <n v="595"/>
    <s v="oui"/>
    <n v="10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7"/>
    <n v="238"/>
    <s v="oui"/>
    <n v="47"/>
    <s v="non"/>
    <n v="0"/>
    <s v="non"/>
    <n v="0"/>
    <s v=""/>
    <s v=""/>
    <s v="non"/>
    <n v="0"/>
    <s v=""/>
    <s v=""/>
    <s v="non"/>
    <n v="0"/>
    <s v="non"/>
    <n v="0"/>
    <s v="oui"/>
    <n v="26"/>
    <n v="137"/>
    <s v="non"/>
    <m/>
    <m/>
    <s v="Non"/>
    <b v="0"/>
  </r>
  <r>
    <n v="109"/>
    <s v="Extrême-Nord"/>
    <s v="CMR004"/>
    <x v="1"/>
    <s v="CMR004002"/>
    <x v="10"/>
    <s v="CMR004002005"/>
    <s v="ZIN_0006"/>
    <x v="159"/>
    <s v="15.0435176"/>
    <s v="11.0022873"/>
    <s v="3.5"/>
    <n v="1292"/>
    <s v="oui"/>
    <n v="89"/>
    <n v="455"/>
    <s v="oui"/>
    <n v="8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97"/>
    <n v="495"/>
    <s v="oui"/>
    <n v="97"/>
    <s v="non"/>
    <n v="0"/>
    <s v="non"/>
    <n v="0"/>
    <s v=""/>
    <s v=""/>
    <s v="non"/>
    <n v="0"/>
    <s v=""/>
    <s v=""/>
    <s v="non"/>
    <n v="0"/>
    <s v="non"/>
    <n v="0"/>
    <s v="oui"/>
    <n v="15"/>
    <n v="85"/>
    <s v="non"/>
    <m/>
    <m/>
    <s v="Non"/>
    <b v="0"/>
  </r>
  <r>
    <n v="111"/>
    <s v="Extrême-Nord"/>
    <s v="CMR004"/>
    <x v="1"/>
    <s v="CMR004002"/>
    <x v="10"/>
    <s v="CMR004002005"/>
    <s v="ZIN_0007"/>
    <x v="160"/>
    <s v="14.989174"/>
    <s v="11.1610177"/>
    <s v="4"/>
    <n v="1045"/>
    <s v="oui"/>
    <n v="90"/>
    <n v="460"/>
    <s v="oui"/>
    <n v="9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0"/>
    <n v="360"/>
    <s v="oui"/>
    <n v="70"/>
    <s v="non"/>
    <n v="0"/>
    <s v="non"/>
    <n v="0"/>
    <s v=""/>
    <s v=""/>
    <s v="non"/>
    <n v="0"/>
    <s v=""/>
    <s v=""/>
    <s v="non"/>
    <n v="0"/>
    <s v="non"/>
    <n v="0"/>
    <s v="oui"/>
    <n v="20"/>
    <n v="120"/>
    <s v="non"/>
    <m/>
    <m/>
    <s v="Non"/>
    <b v="0"/>
  </r>
  <r>
    <n v="112"/>
    <s v="Extrême-Nord"/>
    <s v="CMR004"/>
    <x v="1"/>
    <s v="CMR004002"/>
    <x v="10"/>
    <s v="CMR004002005"/>
    <s v="ZIN_0005"/>
    <x v="161"/>
    <s v="14.9977831"/>
    <s v="11.0269093"/>
    <s v="4"/>
    <n v="1254"/>
    <s v="oui"/>
    <n v="102"/>
    <n v="520"/>
    <s v="oui"/>
    <n v="10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3"/>
    <n v="270"/>
    <s v="oui"/>
    <n v="53"/>
    <s v="non"/>
    <n v="0"/>
    <s v="non"/>
    <n v="0"/>
    <s v=""/>
    <s v=""/>
    <s v="non"/>
    <n v="0"/>
    <s v=""/>
    <s v=""/>
    <s v="non"/>
    <n v="0"/>
    <s v="non"/>
    <n v="0"/>
    <s v="oui"/>
    <n v="3"/>
    <n v="21"/>
    <s v="non"/>
    <m/>
    <m/>
    <s v="Non"/>
    <b v="0"/>
  </r>
  <r>
    <n v="113"/>
    <s v="Extrême-Nord"/>
    <s v="CMR004"/>
    <x v="1"/>
    <s v="CMR004002"/>
    <x v="10"/>
    <s v="CMR004002005"/>
    <s v="ZIN_0004"/>
    <x v="162"/>
    <s v="15.043745"/>
    <s v="11.0022585"/>
    <s v="4"/>
    <n v="1475"/>
    <s v="oui"/>
    <n v="91"/>
    <n v="459"/>
    <s v="oui"/>
    <n v="9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9"/>
    <n v="294"/>
    <s v="oui"/>
    <n v="59"/>
    <s v="non"/>
    <n v="0"/>
    <s v="non"/>
    <n v="0"/>
    <s v=""/>
    <s v=""/>
    <s v="non"/>
    <n v="0"/>
    <s v=""/>
    <s v=""/>
    <s v="non"/>
    <n v="0"/>
    <s v="non"/>
    <n v="0"/>
    <s v="oui"/>
    <n v="16"/>
    <n v="87"/>
    <s v="non"/>
    <m/>
    <m/>
    <s v="Non"/>
    <b v="0"/>
  </r>
  <r>
    <n v="228"/>
    <s v="Extrême-Nord"/>
    <s v="CMR004"/>
    <x v="1"/>
    <s v="CMR004002"/>
    <x v="10"/>
    <s v="CMR004002005"/>
    <s v="ZIN_0001"/>
    <x v="163"/>
    <s v="15.0433163"/>
    <s v="11.0022573"/>
    <s v="4"/>
    <n v="682"/>
    <s v="oui"/>
    <n v="33"/>
    <n v="171"/>
    <s v="oui"/>
    <n v="3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85"/>
    <s v="oui"/>
    <n v="15"/>
    <s v="non"/>
    <n v="0"/>
    <s v="non"/>
    <n v="0"/>
    <s v=""/>
    <s v=""/>
    <s v="non"/>
    <n v="0"/>
    <s v=""/>
    <s v=""/>
    <s v="non"/>
    <n v="0"/>
    <s v="non"/>
    <n v="0"/>
    <s v="oui"/>
    <n v="73"/>
    <n v="372"/>
    <s v="non"/>
    <m/>
    <m/>
    <s v="Non"/>
    <b v="0"/>
  </r>
  <r>
    <n v="230"/>
    <s v="Extrême-Nord"/>
    <s v="CMR004"/>
    <x v="1"/>
    <s v="CMR004002"/>
    <x v="10"/>
    <s v="CMR004002005"/>
    <s v="ZIN_0003"/>
    <x v="164"/>
    <s v="14.9635172"/>
    <s v="11.2642036"/>
    <s v="4"/>
    <n v="725"/>
    <s v="oui"/>
    <n v="41"/>
    <n v="208"/>
    <s v="oui"/>
    <n v="4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3"/>
    <n v="275"/>
    <s v="oui"/>
    <n v="53"/>
    <s v="non"/>
    <n v="0"/>
    <s v="non"/>
    <n v="0"/>
    <s v=""/>
    <s v=""/>
    <s v="non"/>
    <n v="0"/>
    <s v=""/>
    <s v=""/>
    <s v="non"/>
    <n v="0"/>
    <s v="non"/>
    <n v="0"/>
    <s v="oui"/>
    <n v="10"/>
    <n v="58"/>
    <s v="non"/>
    <m/>
    <m/>
    <s v="Non"/>
    <b v="0"/>
  </r>
  <r>
    <n v="231"/>
    <s v="Extrême-Nord"/>
    <s v="CMR004"/>
    <x v="1"/>
    <s v="CMR004002"/>
    <x v="10"/>
    <s v="CMR004002005"/>
    <s v="ZIN_0011"/>
    <x v="165"/>
    <s v="14.962955"/>
    <s v="11.2643764"/>
    <s v="4"/>
    <n v="1236"/>
    <s v="oui"/>
    <n v="72"/>
    <n v="389"/>
    <s v="oui"/>
    <n v="7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8"/>
    <n v="350"/>
    <s v="oui"/>
    <n v="68"/>
    <s v="non"/>
    <n v="0"/>
    <s v="non"/>
    <n v="0"/>
    <s v=""/>
    <s v=""/>
    <s v="non"/>
    <n v="0"/>
    <s v=""/>
    <s v=""/>
    <s v="non"/>
    <n v="0"/>
    <s v="non"/>
    <n v="0"/>
    <s v="oui"/>
    <n v="9"/>
    <n v="57"/>
    <s v="non"/>
    <m/>
    <m/>
    <s v="Non"/>
    <b v="0"/>
  </r>
  <r>
    <n v="232"/>
    <s v="Extrême-Nord"/>
    <s v="CMR004"/>
    <x v="1"/>
    <s v="CMR004002"/>
    <x v="10"/>
    <s v="CMR004002005"/>
    <s v="ZIN_0012"/>
    <x v="166"/>
    <s v="14.9854054"/>
    <s v="11.1751693"/>
    <s v="4"/>
    <n v="985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96"/>
    <n v="526"/>
    <s v="oui"/>
    <n v="96"/>
    <s v="non"/>
    <n v="0"/>
    <s v="non"/>
    <n v="0"/>
    <s v=""/>
    <s v=""/>
    <s v="non"/>
    <n v="0"/>
    <s v=""/>
    <s v=""/>
    <s v="non"/>
    <n v="0"/>
    <s v="non"/>
    <n v="0"/>
    <s v="oui"/>
    <n v="25"/>
    <n v="150"/>
    <s v="non"/>
    <m/>
    <m/>
    <s v="Non"/>
    <b v="0"/>
  </r>
  <r>
    <n v="233"/>
    <s v="Extrême-Nord"/>
    <s v="CMR004"/>
    <x v="1"/>
    <s v="CMR004002"/>
    <x v="10"/>
    <s v="CMR004002005"/>
    <s v="ZIN_0010"/>
    <x v="167"/>
    <s v="15.0437657"/>
    <s v="11.0022799"/>
    <s v="4"/>
    <n v="1316"/>
    <s v="oui"/>
    <n v="95"/>
    <n v="480"/>
    <s v="oui"/>
    <n v="9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92"/>
    <n v="460"/>
    <s v="oui"/>
    <n v="92"/>
    <s v="non"/>
    <n v="0"/>
    <s v="non"/>
    <n v="0"/>
    <s v=""/>
    <s v=""/>
    <s v="non"/>
    <n v="0"/>
    <s v=""/>
    <s v=""/>
    <s v="non"/>
    <n v="0"/>
    <s v="non"/>
    <n v="0"/>
    <s v="oui"/>
    <n v="19"/>
    <n v="99"/>
    <s v="non"/>
    <m/>
    <m/>
    <s v="Non"/>
    <b v="0"/>
  </r>
  <r>
    <n v="234"/>
    <s v="Extrême-Nord"/>
    <s v="CMR004"/>
    <x v="1"/>
    <s v="CMR004002"/>
    <x v="10"/>
    <s v="CMR004002005"/>
    <s v="ZIN_0009"/>
    <x v="168"/>
    <s v="14.9637201"/>
    <s v="11.263952"/>
    <s v="4"/>
    <n v="1995"/>
    <s v="oui"/>
    <n v="99"/>
    <n v="505"/>
    <s v="oui"/>
    <n v="9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95"/>
    <n v="495"/>
    <s v="oui"/>
    <n v="95"/>
    <s v="non"/>
    <n v="0"/>
    <s v="non"/>
    <n v="0"/>
    <s v=""/>
    <s v=""/>
    <s v="non"/>
    <n v="0"/>
    <s v=""/>
    <s v=""/>
    <s v="non"/>
    <n v="0"/>
    <s v="non"/>
    <n v="0"/>
    <s v="oui"/>
    <n v="26"/>
    <n v="117"/>
    <s v="non"/>
    <m/>
    <m/>
    <s v="Non"/>
    <b v="0"/>
  </r>
  <r>
    <n v="235"/>
    <s v="Extrême-Nord"/>
    <s v="CMR004"/>
    <x v="1"/>
    <s v="CMR004002"/>
    <x v="10"/>
    <s v="CMR004002005"/>
    <s v="ZIN_0008"/>
    <x v="169"/>
    <s v="14.9782966"/>
    <s v="11.1435112"/>
    <s v="3.5"/>
    <n v="99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27"/>
    <s v="Extrême-Nord"/>
    <s v="CMR004"/>
    <x v="1"/>
    <s v="CMR004002"/>
    <x v="11"/>
    <s v="CMR004002006"/>
    <s v="KOU_0030"/>
    <x v="170"/>
    <s v="14.9212469"/>
    <s v="12.0923911"/>
    <s v="4"/>
    <n v="100"/>
    <s v="oui"/>
    <n v="8"/>
    <n v="42"/>
    <s v="oui"/>
    <n v="8"/>
    <s v="non"/>
    <n v="0"/>
    <s v=""/>
    <s v=""/>
    <s v="non"/>
    <n v="0"/>
    <s v=""/>
    <s v=""/>
    <s v="non"/>
    <n v="0"/>
    <s v="non"/>
    <n v="0"/>
    <s v="oui"/>
    <n v="1"/>
    <n v="10"/>
    <x v="1"/>
    <x v="0"/>
    <s v=""/>
    <x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28"/>
    <s v="Extrême-Nord"/>
    <s v="CMR004"/>
    <x v="1"/>
    <s v="CMR004002"/>
    <x v="11"/>
    <s v="CMR004002006"/>
    <s v="KOU_0026"/>
    <x v="171"/>
    <s v="14.9396593"/>
    <s v="12.0921006"/>
    <s v="4"/>
    <n v="997"/>
    <s v="oui"/>
    <n v="19"/>
    <n v="120"/>
    <s v="oui"/>
    <n v="1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2"/>
    <s v="Extrême-Nord"/>
    <s v="CMR004"/>
    <x v="1"/>
    <s v="CMR004002"/>
    <x v="11"/>
    <s v="CMR004002006"/>
    <s v="KOU_0004"/>
    <x v="172"/>
    <s v="15.02866"/>
    <s v="12.0076485"/>
    <s v="4"/>
    <n v="420"/>
    <s v="oui"/>
    <n v="9"/>
    <n v="54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3"/>
    <s v="Extrême-Nord"/>
    <s v="CMR004"/>
    <x v="1"/>
    <s v="CMR004002"/>
    <x v="11"/>
    <s v="CMR004002006"/>
    <s v="KOU_0025"/>
    <x v="173"/>
    <s v="15.0227845"/>
    <s v="12.0357655"/>
    <s v="4"/>
    <n v="1109"/>
    <s v="oui"/>
    <n v="25"/>
    <n v="141"/>
    <s v="oui"/>
    <n v="2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4"/>
    <s v="Extrême-Nord"/>
    <s v="CMR004"/>
    <x v="1"/>
    <s v="CMR004002"/>
    <x v="11"/>
    <s v="CMR004002006"/>
    <s v="KOU_0012"/>
    <x v="174"/>
    <s v="15.0023066"/>
    <s v="12.0889588"/>
    <s v="4"/>
    <n v="3600"/>
    <s v="oui"/>
    <n v="74"/>
    <n v="384"/>
    <s v="oui"/>
    <n v="16"/>
    <s v="oui"/>
    <n v="5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5"/>
    <s v="Extrême-Nord"/>
    <s v="CMR004"/>
    <x v="1"/>
    <s v="CMR004002"/>
    <x v="11"/>
    <s v="CMR004002006"/>
    <s v="KOU_0009"/>
    <x v="175"/>
    <s v="15.0306633"/>
    <s v="12.0777398"/>
    <s v="4"/>
    <n v="3524"/>
    <s v="oui"/>
    <n v="256"/>
    <n v="1274"/>
    <s v="oui"/>
    <n v="49"/>
    <s v="oui"/>
    <n v="207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6"/>
    <s v="Extrême-Nord"/>
    <s v="CMR004"/>
    <x v="1"/>
    <s v="CMR004002"/>
    <x v="11"/>
    <s v="CMR004002006"/>
    <s v="KOU_0035"/>
    <x v="176"/>
    <s v="15.0316622"/>
    <s v="12.071128"/>
    <s v="4"/>
    <n v="4900"/>
    <s v="oui"/>
    <n v="10"/>
    <n v="60"/>
    <s v="oui"/>
    <n v="3"/>
    <s v="oui"/>
    <n v="7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03"/>
    <s v="Extrême-Nord"/>
    <s v="CMR004"/>
    <x v="1"/>
    <s v="CMR004002"/>
    <x v="11"/>
    <s v="CMR004002006"/>
    <s v="KOU_0021"/>
    <x v="177"/>
    <s v="15.0232971"/>
    <s v="12.0995167"/>
    <s v="4"/>
    <n v="4638"/>
    <s v="oui"/>
    <n v="316"/>
    <n v="1638"/>
    <s v="oui"/>
    <n v="51"/>
    <s v="oui"/>
    <n v="265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69"/>
    <s v="Extrême-Nord"/>
    <s v="CMR004"/>
    <x v="1"/>
    <s v="CMR004002"/>
    <x v="11"/>
    <s v="CMR004002006"/>
    <s v="KOU_0013"/>
    <x v="178"/>
    <s v="15.0204838"/>
    <s v="12.0571281"/>
    <s v="4"/>
    <n v="7020"/>
    <s v="oui"/>
    <n v="67"/>
    <n v="420"/>
    <s v="oui"/>
    <n v="18"/>
    <s v="oui"/>
    <n v="49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70"/>
    <s v="Extrême-Nord"/>
    <s v="CMR004"/>
    <x v="1"/>
    <s v="CMR004002"/>
    <x v="11"/>
    <s v="CMR004002006"/>
    <s v="KOU_0002"/>
    <x v="179"/>
    <s v="15.0212072"/>
    <s v="12.0653593"/>
    <s v="4"/>
    <n v="15060"/>
    <s v="oui"/>
    <n v="102"/>
    <n v="540"/>
    <s v="oui"/>
    <n v="25"/>
    <s v="oui"/>
    <n v="77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16"/>
    <s v="Extrême-Nord"/>
    <s v="CMR004"/>
    <x v="1"/>
    <s v="CMR004002"/>
    <x v="11"/>
    <s v="CMR004002006"/>
    <s v="KOU_0020"/>
    <x v="180"/>
    <s v="15.030368"/>
    <s v="12.0978541"/>
    <s v="4"/>
    <n v="11500"/>
    <s v="oui"/>
    <n v="100"/>
    <n v="500"/>
    <s v="oui"/>
    <n v="35"/>
    <s v="oui"/>
    <n v="65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18"/>
    <s v="Extrême-Nord"/>
    <s v="CMR004"/>
    <x v="1"/>
    <s v="CMR004002"/>
    <x v="11"/>
    <s v="CMR004002006"/>
    <s v="KOU_0034"/>
    <x v="181"/>
    <s v="15.0237009"/>
    <s v="12.0915821"/>
    <s v="4"/>
    <n v="2455"/>
    <s v="oui"/>
    <n v="53"/>
    <n v="262"/>
    <s v="oui"/>
    <n v="10"/>
    <s v="oui"/>
    <n v="43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81"/>
    <s v="Extrême-Nord"/>
    <s v="CMR004"/>
    <x v="1"/>
    <s v="CMR004002"/>
    <x v="11"/>
    <s v="CMR004002006"/>
    <s v="KOU_0017"/>
    <x v="182"/>
    <s v="15.0050481"/>
    <s v="12.1181602"/>
    <s v="4"/>
    <n v="1083"/>
    <s v="oui"/>
    <n v="14"/>
    <n v="83"/>
    <s v="oui"/>
    <n v="5"/>
    <s v="oui"/>
    <n v="9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86"/>
    <s v="Extrême-Nord"/>
    <s v="CMR004"/>
    <x v="1"/>
    <s v="CMR004002"/>
    <x v="11"/>
    <s v="CMR004002006"/>
    <s v="KOU_0040"/>
    <x v="183"/>
    <s v="15.0436081"/>
    <s v="12.0385147"/>
    <s v="3.5"/>
    <n v="1305"/>
    <s v="oui"/>
    <n v="16"/>
    <n v="64"/>
    <s v="oui"/>
    <n v="15"/>
    <s v="oui"/>
    <n v="1"/>
    <s v="maison_independante"/>
    <s v=""/>
    <s v="non"/>
    <n v="0"/>
    <s v=""/>
    <s v=""/>
    <s v="non"/>
    <n v="0"/>
    <s v="non"/>
    <n v="0"/>
    <s v="oui"/>
    <n v="5"/>
    <n v="21"/>
    <x v="1"/>
    <x v="0"/>
    <s v=""/>
    <x v="0"/>
    <s v="oui"/>
    <n v="4"/>
    <s v="oui"/>
    <n v="1"/>
    <s v="maison_independante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1"/>
    <s v="Extrême-Nord"/>
    <s v="CMR004"/>
    <x v="1"/>
    <s v="CMR004002"/>
    <x v="11"/>
    <s v="CMR004002006"/>
    <s v="KOU_0038"/>
    <x v="184"/>
    <s v="15.030308"/>
    <s v="12.0793832"/>
    <s v="4"/>
    <n v="5643"/>
    <s v="oui"/>
    <n v="47"/>
    <n v="278"/>
    <s v="oui"/>
    <n v="11"/>
    <s v="oui"/>
    <n v="36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2"/>
    <s v="Extrême-Nord"/>
    <s v="CMR004"/>
    <x v="1"/>
    <s v="CMR004002"/>
    <x v="11"/>
    <s v="CMR004002006"/>
    <s v="KOU_0019"/>
    <x v="185"/>
    <s v="15.0407411"/>
    <s v="12.0726255"/>
    <s v="4"/>
    <n v="6894"/>
    <s v="oui"/>
    <n v="54"/>
    <n v="354"/>
    <s v="oui"/>
    <n v="25"/>
    <s v="oui"/>
    <n v="29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3"/>
    <s v="Extrême-Nord"/>
    <s v="CMR004"/>
    <x v="1"/>
    <s v="CMR004002"/>
    <x v="11"/>
    <s v="CMR004002006"/>
    <s v="KOU_0016"/>
    <x v="186"/>
    <s v="15.033382"/>
    <s v="12.0818526"/>
    <s v="4"/>
    <n v="627"/>
    <s v="oui"/>
    <n v="7"/>
    <n v="67"/>
    <s v="oui"/>
    <n v="5"/>
    <s v="oui"/>
    <n v="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4"/>
    <s v="Extrême-Nord"/>
    <s v="CMR004"/>
    <x v="1"/>
    <s v="CMR004002"/>
    <x v="11"/>
    <s v="CMR004002006"/>
    <s v="KOU_0039"/>
    <x v="187"/>
    <s v="15.034389"/>
    <s v="12.0783739"/>
    <s v="4"/>
    <n v="2359"/>
    <s v="oui"/>
    <n v="23"/>
    <n v="157"/>
    <s v="oui"/>
    <n v="5"/>
    <s v="oui"/>
    <n v="18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5"/>
    <s v="Extrême-Nord"/>
    <s v="CMR004"/>
    <x v="1"/>
    <s v="CMR004002"/>
    <x v="11"/>
    <s v="CMR004002006"/>
    <s v="KOU_0032"/>
    <x v="188"/>
    <s v="15.0304782"/>
    <s v="12.0688395"/>
    <s v="3.5"/>
    <n v="3426"/>
    <s v="oui"/>
    <n v="66"/>
    <n v="380"/>
    <s v="oui"/>
    <n v="19"/>
    <s v="oui"/>
    <n v="47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6"/>
    <s v="Extrême-Nord"/>
    <s v="CMR004"/>
    <x v="1"/>
    <s v="CMR004002"/>
    <x v="11"/>
    <s v="CMR004002006"/>
    <s v="KOU_0003"/>
    <x v="189"/>
    <s v="15.0331142"/>
    <s v="12.0782717"/>
    <s v="4"/>
    <n v="2066"/>
    <s v="oui"/>
    <n v="45"/>
    <n v="366"/>
    <s v="oui"/>
    <n v="21"/>
    <s v="oui"/>
    <n v="24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7"/>
    <s v="Extrême-Nord"/>
    <s v="CMR004"/>
    <x v="1"/>
    <s v="CMR004002"/>
    <x v="11"/>
    <s v="CMR004002006"/>
    <s v="KOU_0028"/>
    <x v="190"/>
    <s v="15.0367258"/>
    <s v="12.0410923"/>
    <s v="3.5"/>
    <n v="1039"/>
    <s v="oui"/>
    <n v="7"/>
    <n v="39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8"/>
    <s v="Extrême-Nord"/>
    <s v="CMR004"/>
    <x v="1"/>
    <s v="CMR004002"/>
    <x v="11"/>
    <s v="CMR004002006"/>
    <s v="KOU_0036"/>
    <x v="191"/>
    <s v="14.983523"/>
    <s v="12.0861076"/>
    <s v="4"/>
    <n v="449"/>
    <s v="oui"/>
    <n v="4"/>
    <n v="50"/>
    <s v="oui"/>
    <n v="1"/>
    <s v="oui"/>
    <n v="3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9"/>
    <s v="Extrême-Nord"/>
    <s v="CMR004"/>
    <x v="1"/>
    <s v="CMR004002"/>
    <x v="11"/>
    <s v="CMR004002006"/>
    <s v="KOU_0007"/>
    <x v="192"/>
    <s v="15.0263668"/>
    <s v="12.1058045"/>
    <s v="4"/>
    <n v="2512"/>
    <s v="oui"/>
    <n v="106"/>
    <n v="562"/>
    <s v="oui"/>
    <n v="25"/>
    <s v="oui"/>
    <n v="81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10"/>
    <s v="Extrême-Nord"/>
    <s v="CMR004"/>
    <x v="1"/>
    <s v="CMR004002"/>
    <x v="11"/>
    <s v="CMR004002006"/>
    <s v="KOU_0015"/>
    <x v="193"/>
    <s v="15.021333"/>
    <s v="12.0828901"/>
    <s v="4"/>
    <n v="6063"/>
    <s v="oui"/>
    <n v="99"/>
    <n v="619"/>
    <s v="oui"/>
    <n v="43"/>
    <s v="oui"/>
    <n v="56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13"/>
    <s v="Extrême-Nord"/>
    <s v="CMR004"/>
    <x v="1"/>
    <s v="CMR004002"/>
    <x v="11"/>
    <s v="CMR004002006"/>
    <s v="KOU_0001"/>
    <x v="194"/>
    <s v="15.0102879"/>
    <s v="12.0788881"/>
    <s v="4"/>
    <n v="7623"/>
    <s v="oui"/>
    <n v="74"/>
    <n v="373"/>
    <s v="oui"/>
    <n v="34"/>
    <s v="oui"/>
    <n v="40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14"/>
    <s v="Extrême-Nord"/>
    <s v="CMR004"/>
    <x v="1"/>
    <s v="CMR004002"/>
    <x v="11"/>
    <s v="CMR004002006"/>
    <s v="KOU_0011"/>
    <x v="195"/>
    <s v="14.9934056"/>
    <s v="12.0868149"/>
    <s v="4"/>
    <n v="3010"/>
    <s v="oui"/>
    <n v="126"/>
    <n v="641"/>
    <s v="oui"/>
    <n v="22"/>
    <s v="oui"/>
    <n v="104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15"/>
    <s v="Extrême-Nord"/>
    <s v="CMR004"/>
    <x v="1"/>
    <s v="CMR004002"/>
    <x v="11"/>
    <s v="CMR004002006"/>
    <s v="KOU_0037"/>
    <x v="196"/>
    <s v="14.9497488"/>
    <s v="12.0957836"/>
    <s v="3.5"/>
    <n v="801"/>
    <s v="oui"/>
    <n v="44"/>
    <n v="236"/>
    <s v="oui"/>
    <n v="31"/>
    <s v="oui"/>
    <n v="13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16"/>
    <s v="Extrême-Nord"/>
    <s v="CMR004"/>
    <x v="1"/>
    <s v="CMR004002"/>
    <x v="11"/>
    <s v="CMR004002006"/>
    <s v="KOU_0029"/>
    <x v="197"/>
    <s v="15.0139979"/>
    <s v="12.0769889"/>
    <s v="4"/>
    <n v="9000"/>
    <s v="oui"/>
    <n v="76"/>
    <n v="397"/>
    <s v="oui"/>
    <n v="24"/>
    <s v="oui"/>
    <n v="5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17"/>
    <s v="Extrême-Nord"/>
    <s v="CMR004"/>
    <x v="1"/>
    <s v="CMR004002"/>
    <x v="11"/>
    <s v="CMR004002006"/>
    <s v="KOU_0014"/>
    <x v="198"/>
    <s v="15.0268197"/>
    <s v="12.0790975"/>
    <s v="4"/>
    <n v="4578"/>
    <s v="oui"/>
    <n v="349"/>
    <n v="1776"/>
    <s v="oui"/>
    <n v="63"/>
    <s v="oui"/>
    <n v="286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27"/>
    <s v="Extrême-Nord"/>
    <s v="CMR004"/>
    <x v="1"/>
    <s v="CMR004002"/>
    <x v="11"/>
    <s v="CMR004002006"/>
    <s v="KOU_0033"/>
    <x v="199"/>
    <s v="15.0220648"/>
    <s v="12.1038598"/>
    <s v="4"/>
    <n v="3992"/>
    <s v="oui"/>
    <n v="99"/>
    <n v="492"/>
    <s v="oui"/>
    <n v="25"/>
    <s v="oui"/>
    <n v="74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4"/>
    <s v="Extrême-Nord"/>
    <s v="CMR004"/>
    <x v="1"/>
    <s v="CMR004002"/>
    <x v="11"/>
    <s v="CMR004002006"/>
    <s v="KOU_0041"/>
    <x v="200"/>
    <s v="15.0429419"/>
    <s v="12.0381771"/>
    <s v="3.5"/>
    <n v="435"/>
    <s v="oui"/>
    <n v="12"/>
    <n v="42"/>
    <s v="oui"/>
    <n v="7"/>
    <s v="oui"/>
    <n v="5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5"/>
    <s v="Extrême-Nord"/>
    <s v="CMR004"/>
    <x v="1"/>
    <s v="CMR004002"/>
    <x v="11"/>
    <s v="CMR004002006"/>
    <s v="KOU_0042"/>
    <x v="201"/>
    <s v="15.0570898"/>
    <s v="12.0493415"/>
    <s v="4"/>
    <n v="1232"/>
    <s v="oui"/>
    <n v="2"/>
    <n v="10"/>
    <s v="oui"/>
    <n v="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81"/>
    <s v="Extrême-Nord"/>
    <s v="CMR004"/>
    <x v="1"/>
    <s v="CMR004002"/>
    <x v="11"/>
    <s v="CMR004002006"/>
    <s v="KOU_0005"/>
    <x v="202"/>
    <s v="15.0134532"/>
    <s v="12.1000666"/>
    <s v="3.5"/>
    <n v="8118"/>
    <s v="oui"/>
    <n v="264"/>
    <n v="1339"/>
    <s v="oui"/>
    <n v="52"/>
    <s v="oui"/>
    <n v="21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86"/>
    <s v="Extrême-Nord"/>
    <s v="CMR004"/>
    <x v="1"/>
    <s v="CMR004002"/>
    <x v="11"/>
    <s v="CMR004002006"/>
    <s v="KOU_0027"/>
    <x v="203"/>
    <s v="14.9634262"/>
    <s v="12.0877082"/>
    <s v="4"/>
    <n v="1127"/>
    <s v="oui"/>
    <n v="19"/>
    <n v="127"/>
    <s v="oui"/>
    <n v="1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94"/>
    <s v="Extrême-Nord"/>
    <s v="CMR004"/>
    <x v="1"/>
    <s v="CMR004002"/>
    <x v="11"/>
    <s v="CMR004002006"/>
    <s v="KOU_0022"/>
    <x v="204"/>
    <s v="15.0524676"/>
    <s v="12.0627025"/>
    <s v="4"/>
    <n v="2597"/>
    <s v="oui"/>
    <n v="21"/>
    <n v="105"/>
    <s v="oui"/>
    <n v="4"/>
    <s v="oui"/>
    <n v="17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95"/>
    <s v="Extrême-Nord"/>
    <s v="CMR004"/>
    <x v="1"/>
    <s v="CMR004002"/>
    <x v="11"/>
    <s v="CMR004002006"/>
    <s v="KOU_0023"/>
    <x v="205"/>
    <s v="15.0525005"/>
    <s v="12.0622572"/>
    <s v="4"/>
    <n v="880"/>
    <s v="oui"/>
    <n v="10"/>
    <n v="35"/>
    <s v="oui"/>
    <n v="4"/>
    <s v="oui"/>
    <n v="6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99"/>
    <s v="Extrême-Nord"/>
    <s v="CMR004"/>
    <x v="1"/>
    <s v="CMR004002"/>
    <x v="11"/>
    <s v="CMR004002006"/>
    <s v="KOU_0031"/>
    <x v="33"/>
    <s v="15.0064218"/>
    <s v="12.0845454"/>
    <s v="4"/>
    <n v="5195"/>
    <s v="oui"/>
    <n v="75"/>
    <n v="375"/>
    <s v="oui"/>
    <n v="18"/>
    <s v="oui"/>
    <n v="57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04"/>
    <s v="Extrême-Nord"/>
    <s v="CMR004"/>
    <x v="1"/>
    <s v="CMR004002"/>
    <x v="11"/>
    <s v="CMR004002006"/>
    <s v="KOU_0018"/>
    <x v="206"/>
    <s v="15.0034246"/>
    <s v="12.0943801"/>
    <s v="4"/>
    <n v="4567"/>
    <s v="oui"/>
    <n v="504"/>
    <n v="2579"/>
    <s v="oui"/>
    <n v="109"/>
    <s v="oui"/>
    <n v="395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13"/>
    <s v="oui"/>
    <n v="1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17"/>
    <s v="Extrême-Nord"/>
    <s v="CMR004"/>
    <x v="1"/>
    <s v="CMR004002"/>
    <x v="11"/>
    <s v="CMR004002006"/>
    <s v="KOU_0010"/>
    <x v="207"/>
    <s v="15.0061389"/>
    <s v="12.0928385"/>
    <s v="4"/>
    <n v="20205"/>
    <s v="oui"/>
    <n v="483"/>
    <n v="2400"/>
    <s v="oui"/>
    <n v="139"/>
    <s v="oui"/>
    <n v="344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95"/>
    <s v="Extrême-Nord"/>
    <s v="CMR004"/>
    <x v="1"/>
    <s v="CMR004002"/>
    <x v="11"/>
    <s v="CMR004002006"/>
    <s v="KOU_0024"/>
    <x v="208"/>
    <s v="15.0212065"/>
    <s v="12.1120151"/>
    <s v="3.5"/>
    <n v="1723"/>
    <s v="oui"/>
    <n v="140"/>
    <n v="748"/>
    <s v="oui"/>
    <n v="55"/>
    <s v="oui"/>
    <n v="85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57"/>
    <s v="Extrême-Nord"/>
    <s v="CMR004"/>
    <x v="1"/>
    <s v="CMR004002"/>
    <x v="12"/>
    <s v="CMR004002007"/>
    <s v="DAR_0005"/>
    <x v="209"/>
    <s v="14.4396366"/>
    <s v="12.6241609"/>
    <s v="4"/>
    <n v="35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"/>
    <n v="18"/>
    <x v="1"/>
    <x v="0"/>
    <s v=""/>
    <x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14"/>
    <s v="Extrême-Nord"/>
    <s v="CMR004"/>
    <x v="1"/>
    <s v="CMR004002"/>
    <x v="12"/>
    <s v="CMR004002007"/>
    <s v="DAR_0023"/>
    <x v="210"/>
    <s v="14.3352933333"/>
    <s v="12.826795"/>
    <s v="4"/>
    <n v="908"/>
    <s v="oui"/>
    <n v="6"/>
    <n v="51"/>
    <s v="non"/>
    <n v="0"/>
    <s v="non"/>
    <n v="0"/>
    <s v=""/>
    <s v=""/>
    <s v="non"/>
    <n v="0"/>
    <s v=""/>
    <s v=""/>
    <s v="oui"/>
    <n v="6"/>
    <s v="non"/>
    <n v="0"/>
    <s v="oui"/>
    <n v="12"/>
    <n v="61"/>
    <x v="1"/>
    <x v="0"/>
    <s v=""/>
    <x v="0"/>
    <s v="oui"/>
    <n v="3"/>
    <s v="oui"/>
    <n v="3"/>
    <s v="maison_independante"/>
    <s v=""/>
    <s v="non"/>
    <n v="0"/>
    <s v=""/>
    <s v=""/>
    <s v="oui"/>
    <n v="6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00"/>
    <s v="Extrême-Nord"/>
    <s v="CMR004"/>
    <x v="1"/>
    <s v="CMR004002"/>
    <x v="12"/>
    <s v="CMR004002007"/>
    <s v="DAR_0015"/>
    <x v="211"/>
    <s v="14.4528423"/>
    <s v="12.6583541"/>
    <s v="4"/>
    <n v="284"/>
    <s v="oui"/>
    <n v="5"/>
    <n v="35"/>
    <s v="oui"/>
    <n v="5"/>
    <s v="non"/>
    <n v="0"/>
    <s v=""/>
    <s v=""/>
    <s v="non"/>
    <n v="0"/>
    <s v=""/>
    <s v=""/>
    <s v="non"/>
    <n v="0"/>
    <s v="non"/>
    <n v="0"/>
    <s v="oui"/>
    <n v="4"/>
    <n v="24"/>
    <x v="1"/>
    <x v="0"/>
    <s v=""/>
    <x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01"/>
    <s v="Extrême-Nord"/>
    <s v="CMR004"/>
    <x v="1"/>
    <s v="CMR004002"/>
    <x v="12"/>
    <s v="CMR004002007"/>
    <s v="DAR_0014"/>
    <x v="212"/>
    <s v="14.4183651"/>
    <s v="12.6666808"/>
    <s v="3.5"/>
    <n v="324"/>
    <s v="oui"/>
    <n v="4"/>
    <n v="24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02"/>
    <s v="Extrême-Nord"/>
    <s v="CMR004"/>
    <x v="1"/>
    <s v="CMR004002"/>
    <x v="12"/>
    <s v="CMR004002007"/>
    <s v="DAR_0016"/>
    <x v="213"/>
    <s v="14.4544557"/>
    <s v="12.659164"/>
    <s v="10"/>
    <n v="1467"/>
    <s v="oui"/>
    <n v="12"/>
    <n v="73"/>
    <s v="oui"/>
    <n v="12"/>
    <s v="non"/>
    <n v="0"/>
    <s v=""/>
    <s v=""/>
    <s v="non"/>
    <n v="0"/>
    <s v=""/>
    <s v=""/>
    <s v="non"/>
    <n v="0"/>
    <s v="non"/>
    <n v="0"/>
    <s v="oui"/>
    <n v="3"/>
    <n v="18"/>
    <x v="1"/>
    <x v="0"/>
    <s v=""/>
    <x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"/>
    <s v="Extrême-Nord"/>
    <s v="CMR004"/>
    <x v="1"/>
    <s v="CMR004002"/>
    <x v="12"/>
    <s v="CMR004002007"/>
    <s v="DAR_0011"/>
    <x v="214"/>
    <s v="14.3439713"/>
    <s v="12.7312645"/>
    <s v="4"/>
    <n v="3805"/>
    <s v="oui"/>
    <n v="51"/>
    <n v="350"/>
    <s v="oui"/>
    <n v="40"/>
    <s v="oui"/>
    <n v="11"/>
    <s v="famille_daccueil"/>
    <s v=""/>
    <s v="non"/>
    <n v="0"/>
    <s v=""/>
    <s v=""/>
    <s v="non"/>
    <n v="0"/>
    <s v="non"/>
    <n v="0"/>
    <s v="oui"/>
    <n v="5"/>
    <n v="34"/>
    <x v="1"/>
    <x v="0"/>
    <s v=""/>
    <x v="0"/>
    <s v="non"/>
    <n v="0"/>
    <s v="oui"/>
    <n v="5"/>
    <s v="famille_daccueil"/>
    <s v=""/>
    <s v="non"/>
    <n v="0"/>
    <s v=""/>
    <s v=""/>
    <s v="non"/>
    <n v="0"/>
    <s v="non"/>
    <n v="0"/>
    <s v="oui"/>
    <n v="8"/>
    <n v="62"/>
    <s v="oui"/>
    <n v="8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87"/>
    <s v="Extrême-Nord"/>
    <s v="CMR004"/>
    <x v="1"/>
    <s v="CMR004002"/>
    <x v="12"/>
    <s v="CMR004002007"/>
    <s v="DAR_0001"/>
    <x v="215"/>
    <s v="14.4223445"/>
    <s v="12.734689"/>
    <s v="4"/>
    <n v="454"/>
    <s v="oui"/>
    <n v="33"/>
    <n v="192"/>
    <s v="oui"/>
    <n v="3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88"/>
    <s v="Extrême-Nord"/>
    <s v="CMR004"/>
    <x v="1"/>
    <s v="CMR004002"/>
    <x v="12"/>
    <s v="CMR004002007"/>
    <s v="DAR_0013"/>
    <x v="216"/>
    <s v="14.3945404"/>
    <s v="12.7093947"/>
    <s v="4"/>
    <n v="480"/>
    <s v="oui"/>
    <n v="10"/>
    <n v="50"/>
    <s v="oui"/>
    <n v="10"/>
    <s v="non"/>
    <n v="0"/>
    <s v=""/>
    <s v=""/>
    <s v="non"/>
    <n v="0"/>
    <s v=""/>
    <s v=""/>
    <s v="non"/>
    <n v="0"/>
    <s v="non"/>
    <n v="0"/>
    <s v="oui"/>
    <n v="6"/>
    <n v="30"/>
    <x v="1"/>
    <x v="0"/>
    <s v=""/>
    <x v="0"/>
    <s v="oui"/>
    <n v="4"/>
    <s v="non"/>
    <n v="0"/>
    <s v=""/>
    <s v=""/>
    <s v="non"/>
    <n v="0"/>
    <s v=""/>
    <s v=""/>
    <s v="oui"/>
    <n v="2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89"/>
    <s v="Extrême-Nord"/>
    <s v="CMR004"/>
    <x v="1"/>
    <s v="CMR004002"/>
    <x v="12"/>
    <s v="CMR004002007"/>
    <s v="DAR_0006"/>
    <x v="217"/>
    <s v="14.3671022"/>
    <s v="12.7115557"/>
    <s v="4"/>
    <n v="850"/>
    <s v="oui"/>
    <n v="7"/>
    <n v="46"/>
    <s v="oui"/>
    <n v="7"/>
    <s v="non"/>
    <n v="0"/>
    <s v=""/>
    <s v=""/>
    <s v="non"/>
    <n v="0"/>
    <s v=""/>
    <s v=""/>
    <s v="non"/>
    <n v="0"/>
    <s v="non"/>
    <n v="0"/>
    <s v="oui"/>
    <n v="6"/>
    <n v="30"/>
    <x v="1"/>
    <x v="0"/>
    <s v=""/>
    <x v="0"/>
    <s v="oui"/>
    <n v="6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90"/>
    <s v="Extrême-Nord"/>
    <s v="CMR004"/>
    <x v="1"/>
    <s v="CMR004002"/>
    <x v="12"/>
    <s v="CMR004002007"/>
    <s v="DAR_0002"/>
    <x v="218"/>
    <s v="14.3573108"/>
    <s v="12.7210083"/>
    <s v="4"/>
    <n v="224"/>
    <s v="oui"/>
    <n v="16"/>
    <n v="112"/>
    <s v="oui"/>
    <n v="16"/>
    <s v="non"/>
    <n v="0"/>
    <s v=""/>
    <s v=""/>
    <s v="non"/>
    <n v="0"/>
    <s v=""/>
    <s v=""/>
    <s v="non"/>
    <n v="0"/>
    <s v="non"/>
    <n v="0"/>
    <s v="oui"/>
    <n v="11"/>
    <n v="66"/>
    <x v="1"/>
    <x v="0"/>
    <s v=""/>
    <x v="0"/>
    <s v="oui"/>
    <n v="1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40"/>
    <s v="Extrême-Nord"/>
    <s v="CMR004"/>
    <x v="1"/>
    <s v="CMR004002"/>
    <x v="12"/>
    <s v="CMR004002007"/>
    <s v="DAR_0003"/>
    <x v="219"/>
    <s v="14.2984222"/>
    <s v="12.8797188"/>
    <s v="4"/>
    <n v="13000"/>
    <s v="oui"/>
    <n v="80"/>
    <n v="509"/>
    <s v="oui"/>
    <n v="23"/>
    <s v="oui"/>
    <n v="5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5"/>
    <n v="212"/>
    <s v="oui"/>
    <n v="25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77"/>
    <s v="Extrême-Nord"/>
    <s v="CMR004"/>
    <x v="1"/>
    <s v="CMR004002"/>
    <x v="12"/>
    <s v="CMR004002007"/>
    <s v="DAR_0022"/>
    <x v="220"/>
    <s v="14.394374"/>
    <s v="12.832751"/>
    <s v="4"/>
    <n v="808"/>
    <s v="oui"/>
    <n v="40"/>
    <n v="247"/>
    <s v="oui"/>
    <n v="19"/>
    <s v="oui"/>
    <n v="21"/>
    <s v="maison_independante"/>
    <s v=""/>
    <s v="non"/>
    <n v="0"/>
    <s v=""/>
    <s v=""/>
    <s v="non"/>
    <n v="0"/>
    <s v="non"/>
    <n v="0"/>
    <s v="oui"/>
    <n v="15"/>
    <n v="135"/>
    <x v="2"/>
    <x v="1"/>
    <s v="Hile-Alifa"/>
    <x v="3"/>
    <s v="oui"/>
    <n v="9"/>
    <s v="oui"/>
    <n v="6"/>
    <s v="famille_daccueil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4"/>
    <s v="Extrême-Nord"/>
    <s v="CMR004"/>
    <x v="1"/>
    <s v="CMR004002"/>
    <x v="12"/>
    <s v="CMR004002007"/>
    <s v="DAR_0004"/>
    <x v="221"/>
    <s v="14.4305121"/>
    <s v="12.6543586"/>
    <s v="4"/>
    <n v="107"/>
    <s v="oui"/>
    <n v="3"/>
    <n v="21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67"/>
    <s v="Extrême-Nord"/>
    <s v="CMR004"/>
    <x v="1"/>
    <s v="CMR004002"/>
    <x v="12"/>
    <s v="CMR004002007"/>
    <s v="DAR_0018"/>
    <x v="222"/>
    <s v="14.3950773"/>
    <s v="12.6645081"/>
    <s v="4"/>
    <n v="250"/>
    <s v="oui"/>
    <n v="11"/>
    <n v="79"/>
    <s v="oui"/>
    <n v="11"/>
    <s v="non"/>
    <n v="0"/>
    <s v=""/>
    <s v=""/>
    <s v="non"/>
    <n v="0"/>
    <s v=""/>
    <s v=""/>
    <s v="non"/>
    <n v="0"/>
    <s v="non"/>
    <n v="0"/>
    <s v="oui"/>
    <n v="3"/>
    <n v="21"/>
    <x v="1"/>
    <x v="0"/>
    <s v=""/>
    <x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68"/>
    <s v="Extrême-Nord"/>
    <s v="CMR004"/>
    <x v="1"/>
    <s v="CMR004002"/>
    <x v="12"/>
    <s v="CMR004002007"/>
    <s v="DAR_0010"/>
    <x v="223"/>
    <s v="14.3607966"/>
    <s v="12.7651969"/>
    <s v="4"/>
    <n v="50"/>
    <s v="oui"/>
    <n v="4"/>
    <n v="24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69"/>
    <s v="Extrême-Nord"/>
    <s v="CMR004"/>
    <x v="1"/>
    <s v="CMR004002"/>
    <x v="12"/>
    <s v="CMR004002007"/>
    <s v="DAR_0009"/>
    <x v="224"/>
    <s v="14.3700638"/>
    <s v="12.7785323"/>
    <s v="4"/>
    <n v="130"/>
    <s v="oui"/>
    <n v="13"/>
    <n v="65"/>
    <s v="oui"/>
    <n v="13"/>
    <s v="non"/>
    <n v="0"/>
    <s v=""/>
    <s v=""/>
    <s v="non"/>
    <n v="0"/>
    <s v=""/>
    <s v=""/>
    <s v="non"/>
    <n v="0"/>
    <s v="non"/>
    <n v="0"/>
    <s v="oui"/>
    <n v="1"/>
    <n v="8"/>
    <x v="1"/>
    <x v="0"/>
    <s v=""/>
    <x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37"/>
    <s v="Extrême-Nord"/>
    <s v="CMR004"/>
    <x v="1"/>
    <s v="CMR004002"/>
    <x v="12"/>
    <s v="CMR004002007"/>
    <s v="DAR_0017"/>
    <x v="225"/>
    <s v="14.2979225"/>
    <s v="12.7701465"/>
    <s v="4"/>
    <n v="7000"/>
    <s v="oui"/>
    <n v="117"/>
    <n v="928"/>
    <s v="oui"/>
    <n v="100"/>
    <s v="oui"/>
    <n v="4"/>
    <s v="famille_daccueil"/>
    <s v=""/>
    <s v="non"/>
    <n v="0"/>
    <s v=""/>
    <s v=""/>
    <s v="oui"/>
    <n v="13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0"/>
    <n v="219"/>
    <s v="non"/>
    <n v="0"/>
    <s v="oui"/>
    <n v="27"/>
    <s v="oui"/>
    <n v="3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1"/>
  </r>
  <r>
    <n v="502"/>
    <s v="Extrême-Nord"/>
    <s v="CMR004"/>
    <x v="1"/>
    <s v="CMR004002"/>
    <x v="12"/>
    <s v="CMR004002007"/>
    <s v="DAR_0007"/>
    <x v="226"/>
    <s v="14.3334329"/>
    <s v="12.7941968"/>
    <s v="3.5"/>
    <n v="5000"/>
    <s v="oui"/>
    <n v="6"/>
    <n v="46"/>
    <s v="oui"/>
    <n v="3"/>
    <s v="non"/>
    <n v="0"/>
    <s v=""/>
    <s v=""/>
    <s v="non"/>
    <n v="0"/>
    <s v=""/>
    <s v=""/>
    <s v="oui"/>
    <n v="3"/>
    <s v="non"/>
    <n v="0"/>
    <s v="oui"/>
    <n v="25"/>
    <n v="254"/>
    <x v="1"/>
    <x v="0"/>
    <s v=""/>
    <x v="0"/>
    <s v="oui"/>
    <n v="25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03"/>
    <s v="Extrême-Nord"/>
    <s v="CMR004"/>
    <x v="1"/>
    <s v="CMR004002"/>
    <x v="12"/>
    <s v="CMR004002007"/>
    <s v="DAR_0008"/>
    <x v="227"/>
    <s v="14.2972978"/>
    <s v="12.7915415"/>
    <s v="4"/>
    <n v="881"/>
    <s v="oui"/>
    <n v="25"/>
    <n v="185"/>
    <s v="oui"/>
    <n v="15"/>
    <s v="non"/>
    <n v="0"/>
    <s v=""/>
    <s v=""/>
    <s v="non"/>
    <n v="0"/>
    <s v=""/>
    <s v=""/>
    <s v="oui"/>
    <n v="10"/>
    <s v="non"/>
    <n v="0"/>
    <s v="oui"/>
    <n v="11"/>
    <n v="77"/>
    <x v="1"/>
    <x v="0"/>
    <s v=""/>
    <x v="0"/>
    <s v="oui"/>
    <n v="1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04"/>
    <s v="Extrême-Nord"/>
    <s v="CMR004"/>
    <x v="1"/>
    <s v="CMR004002"/>
    <x v="12"/>
    <s v="CMR004002007"/>
    <s v="DAR_0012"/>
    <x v="228"/>
    <s v="14.3041917"/>
    <s v="12.7888257"/>
    <s v="4"/>
    <n v="500"/>
    <s v="oui"/>
    <n v="23"/>
    <n v="176"/>
    <s v="oui"/>
    <n v="23"/>
    <s v="non"/>
    <n v="0"/>
    <s v=""/>
    <s v=""/>
    <s v="non"/>
    <n v="0"/>
    <s v=""/>
    <s v=""/>
    <s v="non"/>
    <n v="0"/>
    <s v="non"/>
    <n v="0"/>
    <s v="oui"/>
    <n v="2"/>
    <n v="15"/>
    <x v="1"/>
    <x v="0"/>
    <s v=""/>
    <x v="0"/>
    <s v="oui"/>
    <n v="1"/>
    <s v="oui"/>
    <n v="1"/>
    <s v="famille_daccueil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05"/>
    <s v="Extrême-Nord"/>
    <s v="CMR004"/>
    <x v="1"/>
    <s v="CMR004002"/>
    <x v="12"/>
    <s v="CMR004002007"/>
    <s v="DAR_0019"/>
    <x v="229"/>
    <s v="14.2964997"/>
    <s v="12.7944863"/>
    <s v="4"/>
    <n v="160"/>
    <s v="oui"/>
    <n v="7"/>
    <n v="34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06"/>
    <s v="Extrême-Nord"/>
    <s v="CMR004"/>
    <x v="1"/>
    <s v="CMR004002"/>
    <x v="12"/>
    <s v="CMR004002007"/>
    <s v="DAR_0020"/>
    <x v="230"/>
    <s v="14.2972394"/>
    <s v="12.7937998"/>
    <s v="4"/>
    <n v="360"/>
    <s v="oui"/>
    <n v="22"/>
    <n v="143"/>
    <s v="oui"/>
    <n v="14"/>
    <s v="oui"/>
    <n v="3"/>
    <s v="famille_daccueil"/>
    <s v=""/>
    <s v="non"/>
    <n v="0"/>
    <s v=""/>
    <s v=""/>
    <s v="oui"/>
    <n v="5"/>
    <s v="non"/>
    <n v="0"/>
    <s v="oui"/>
    <n v="6"/>
    <n v="36"/>
    <x v="1"/>
    <x v="0"/>
    <s v=""/>
    <x v="0"/>
    <s v="oui"/>
    <n v="4"/>
    <s v="non"/>
    <n v="0"/>
    <s v=""/>
    <s v=""/>
    <s v="non"/>
    <n v="0"/>
    <s v=""/>
    <s v=""/>
    <s v="oui"/>
    <n v="2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07"/>
    <s v="Extrême-Nord"/>
    <s v="CMR004"/>
    <x v="1"/>
    <s v="CMR004002"/>
    <x v="12"/>
    <s v="CMR004002007"/>
    <s v="DAR_0021"/>
    <x v="231"/>
    <s v="14.3082353"/>
    <s v="12.7909474"/>
    <s v="3.5"/>
    <n v="908"/>
    <s v="oui"/>
    <n v="27"/>
    <n v="184"/>
    <s v="oui"/>
    <n v="18"/>
    <s v="oui"/>
    <n v="6"/>
    <s v="famille_daccueil"/>
    <s v=""/>
    <s v="non"/>
    <n v="0"/>
    <s v=""/>
    <s v=""/>
    <s v="oui"/>
    <n v="3"/>
    <s v="non"/>
    <n v="0"/>
    <s v="oui"/>
    <n v="18"/>
    <n v="138"/>
    <x v="1"/>
    <x v="0"/>
    <s v=""/>
    <x v="0"/>
    <s v="oui"/>
    <n v="7"/>
    <s v="oui"/>
    <n v="11"/>
    <s v="famille_daccueil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23"/>
    <s v="Extrême-Nord"/>
    <s v="CMR004"/>
    <x v="1"/>
    <s v="CMR004002"/>
    <x v="13"/>
    <s v="CMR004002008"/>
    <s v="FOT_0047"/>
    <x v="232"/>
    <s v="14.2513362"/>
    <s v="12.4120051"/>
    <s v="3.5"/>
    <n v="1007"/>
    <s v="oui"/>
    <n v="49"/>
    <n v="225"/>
    <s v="oui"/>
    <n v="49"/>
    <s v="non"/>
    <n v="0"/>
    <s v=""/>
    <s v=""/>
    <s v="non"/>
    <n v="0"/>
    <s v=""/>
    <s v=""/>
    <s v="non"/>
    <n v="0"/>
    <s v="non"/>
    <n v="0"/>
    <s v="oui"/>
    <n v="45"/>
    <n v="175"/>
    <x v="1"/>
    <x v="0"/>
    <s v=""/>
    <x v="0"/>
    <s v="non"/>
    <n v="0"/>
    <s v="non"/>
    <n v="0"/>
    <s v=""/>
    <s v=""/>
    <s v="non"/>
    <n v="0"/>
    <s v=""/>
    <s v=""/>
    <s v="oui"/>
    <n v="45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2"/>
    <s v="Extrême-Nord"/>
    <s v="CMR004"/>
    <x v="1"/>
    <s v="CMR004002"/>
    <x v="13"/>
    <s v="CMR004002008"/>
    <s v="FOT_0029"/>
    <x v="233"/>
    <s v="14.2507968"/>
    <s v="12.4735018"/>
    <s v="4"/>
    <n v="950"/>
    <s v="oui"/>
    <n v="10"/>
    <n v="70"/>
    <s v="oui"/>
    <n v="10"/>
    <s v="non"/>
    <n v="0"/>
    <s v=""/>
    <s v=""/>
    <s v="non"/>
    <n v="0"/>
    <s v=""/>
    <s v=""/>
    <s v="non"/>
    <n v="0"/>
    <s v="non"/>
    <n v="0"/>
    <s v="oui"/>
    <n v="15"/>
    <n v="137"/>
    <x v="1"/>
    <x v="0"/>
    <s v=""/>
    <x v="0"/>
    <s v="non"/>
    <n v="0"/>
    <s v="non"/>
    <n v="0"/>
    <s v=""/>
    <s v=""/>
    <s v="non"/>
    <n v="0"/>
    <s v=""/>
    <s v=""/>
    <s v="oui"/>
    <n v="15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3"/>
    <s v="Extrême-Nord"/>
    <s v="CMR004"/>
    <x v="1"/>
    <s v="CMR004002"/>
    <x v="13"/>
    <s v="CMR004002008"/>
    <s v="FOT_0049"/>
    <x v="234"/>
    <s v="14.2941614"/>
    <s v="12.5538118"/>
    <s v="4"/>
    <n v="450"/>
    <s v="oui"/>
    <n v="36"/>
    <n v="147"/>
    <s v="oui"/>
    <n v="3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Oui"/>
    <b v="0"/>
  </r>
  <r>
    <n v="14"/>
    <s v="Extrême-Nord"/>
    <s v="CMR004"/>
    <x v="1"/>
    <s v="CMR004002"/>
    <x v="13"/>
    <s v="CMR004002008"/>
    <s v="FOT_0016"/>
    <x v="235"/>
    <s v="14.3234066"/>
    <s v="12.5068943"/>
    <s v="4"/>
    <n v="721"/>
    <s v="oui"/>
    <n v="86"/>
    <n v="421"/>
    <s v="oui"/>
    <n v="8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5"/>
    <s v="Extrême-Nord"/>
    <s v="CMR004"/>
    <x v="1"/>
    <s v="CMR004002"/>
    <x v="13"/>
    <s v="CMR004002008"/>
    <s v="FOT_0037"/>
    <x v="236"/>
    <s v="14.3735758"/>
    <s v="12.3687848"/>
    <s v="4"/>
    <n v="455"/>
    <s v="oui"/>
    <n v="5"/>
    <n v="46"/>
    <s v="oui"/>
    <n v="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"/>
    <s v="Extrême-Nord"/>
    <s v="CMR004"/>
    <x v="1"/>
    <s v="CMR004002"/>
    <x v="13"/>
    <s v="CMR004002008"/>
    <s v="FOT_0031"/>
    <x v="237"/>
    <s v="14.3457509"/>
    <s v="12.3977327"/>
    <s v="3.5"/>
    <n v="770"/>
    <s v="oui"/>
    <n v="48"/>
    <n v="340"/>
    <s v="oui"/>
    <n v="4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7"/>
    <s v="Extrême-Nord"/>
    <s v="CMR004"/>
    <x v="1"/>
    <s v="CMR004002"/>
    <x v="13"/>
    <s v="CMR004002008"/>
    <s v="FOT_0030"/>
    <x v="238"/>
    <s v="14.2157059"/>
    <s v="12.3932314"/>
    <s v="3"/>
    <n v="753"/>
    <s v="oui"/>
    <n v="57"/>
    <n v="253"/>
    <s v="oui"/>
    <n v="5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8"/>
    <s v="Extrême-Nord"/>
    <s v="CMR004"/>
    <x v="1"/>
    <s v="CMR004002"/>
    <x v="13"/>
    <s v="CMR004002008"/>
    <s v="FOT_0048"/>
    <x v="239"/>
    <s v="14.2763015"/>
    <s v="12.4602638"/>
    <s v="4"/>
    <n v="997"/>
    <s v="oui"/>
    <n v="12"/>
    <n v="90"/>
    <s v="oui"/>
    <n v="12"/>
    <s v="non"/>
    <n v="0"/>
    <s v=""/>
    <s v=""/>
    <s v="non"/>
    <n v="0"/>
    <s v=""/>
    <s v=""/>
    <s v="non"/>
    <n v="0"/>
    <s v="non"/>
    <n v="0"/>
    <s v="oui"/>
    <n v="27"/>
    <n v="107"/>
    <x v="1"/>
    <x v="0"/>
    <s v=""/>
    <x v="0"/>
    <s v="non"/>
    <n v="0"/>
    <s v="non"/>
    <n v="0"/>
    <s v=""/>
    <s v=""/>
    <s v="non"/>
    <n v="0"/>
    <s v=""/>
    <s v=""/>
    <s v="oui"/>
    <n v="27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9"/>
    <s v="Extrême-Nord"/>
    <s v="CMR004"/>
    <x v="1"/>
    <s v="CMR004002"/>
    <x v="13"/>
    <s v="CMR004002008"/>
    <s v="FOT_0045"/>
    <x v="240"/>
    <s v="14.2438978"/>
    <s v="12.4377498"/>
    <s v="4"/>
    <n v="970"/>
    <s v="oui"/>
    <n v="45"/>
    <n v="200"/>
    <s v="oui"/>
    <n v="45"/>
    <s v="non"/>
    <n v="0"/>
    <s v=""/>
    <s v=""/>
    <s v="non"/>
    <n v="0"/>
    <s v=""/>
    <s v=""/>
    <s v="non"/>
    <n v="0"/>
    <s v="non"/>
    <n v="0"/>
    <s v="oui"/>
    <n v="24"/>
    <n v="70"/>
    <x v="1"/>
    <x v="0"/>
    <s v=""/>
    <x v="0"/>
    <s v="non"/>
    <n v="0"/>
    <s v="non"/>
    <n v="0"/>
    <s v=""/>
    <s v=""/>
    <s v="non"/>
    <n v="0"/>
    <s v=""/>
    <s v=""/>
    <s v="oui"/>
    <n v="24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0"/>
    <s v="Extrême-Nord"/>
    <s v="CMR004"/>
    <x v="1"/>
    <s v="CMR004002"/>
    <x v="13"/>
    <s v="CMR004002008"/>
    <s v="FOT_0038"/>
    <x v="241"/>
    <s v="14.28835"/>
    <s v="12.5480241"/>
    <s v="4"/>
    <n v="350"/>
    <s v="oui"/>
    <n v="48"/>
    <n v="220"/>
    <s v="oui"/>
    <n v="18"/>
    <s v="non"/>
    <n v="0"/>
    <s v=""/>
    <s v=""/>
    <s v="non"/>
    <n v="0"/>
    <s v=""/>
    <s v=""/>
    <s v="oui"/>
    <n v="3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1"/>
    <s v="Extrême-Nord"/>
    <s v="CMR004"/>
    <x v="1"/>
    <s v="CMR004002"/>
    <x v="13"/>
    <s v="CMR004002008"/>
    <s v="FOT_0042"/>
    <x v="242"/>
    <s v="14.3066373"/>
    <s v="12.5299326"/>
    <s v="4"/>
    <n v="800"/>
    <s v="oui"/>
    <n v="7"/>
    <n v="50"/>
    <s v="oui"/>
    <n v="7"/>
    <s v="non"/>
    <n v="0"/>
    <s v=""/>
    <s v=""/>
    <s v="non"/>
    <n v="0"/>
    <s v=""/>
    <s v=""/>
    <s v="non"/>
    <n v="0"/>
    <s v="non"/>
    <n v="0"/>
    <s v="oui"/>
    <n v="39"/>
    <n v="315"/>
    <x v="1"/>
    <x v="0"/>
    <s v=""/>
    <x v="0"/>
    <s v="oui"/>
    <n v="39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2"/>
    <s v="Extrême-Nord"/>
    <s v="CMR004"/>
    <x v="1"/>
    <s v="CMR004002"/>
    <x v="13"/>
    <s v="CMR004002008"/>
    <s v="FOT_0001"/>
    <x v="243"/>
    <s v="14.3842616"/>
    <s v="12.3666379"/>
    <s v="4"/>
    <n v="700"/>
    <s v="oui"/>
    <n v="6"/>
    <n v="40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3"/>
    <s v="Extrême-Nord"/>
    <s v="CMR004"/>
    <x v="1"/>
    <s v="CMR004002"/>
    <x v="13"/>
    <s v="CMR004002008"/>
    <s v="FOT_0010"/>
    <x v="244"/>
    <s v="14.3323909"/>
    <s v="12.4020869"/>
    <s v="4"/>
    <n v="263"/>
    <s v="oui"/>
    <n v="10"/>
    <n v="53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"/>
    <s v="Extrême-Nord"/>
    <s v="CMR004"/>
    <x v="1"/>
    <s v="CMR004002"/>
    <x v="13"/>
    <s v="CMR004002008"/>
    <s v="FOT_0004"/>
    <x v="245"/>
    <s v="14.3062318"/>
    <s v="12.4039493"/>
    <s v="4"/>
    <n v="1753"/>
    <s v="oui"/>
    <n v="72"/>
    <n v="402"/>
    <s v="oui"/>
    <n v="7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4"/>
    <s v="Extrême-Nord"/>
    <s v="CMR004"/>
    <x v="1"/>
    <s v="CMR004002"/>
    <x v="13"/>
    <s v="CMR004002008"/>
    <s v="FOT_0046"/>
    <x v="246"/>
    <s v="14.2722857"/>
    <s v="12.4482325"/>
    <s v="4"/>
    <n v="970"/>
    <s v="oui"/>
    <n v="7"/>
    <n v="50"/>
    <s v="oui"/>
    <n v="7"/>
    <s v="non"/>
    <n v="0"/>
    <s v=""/>
    <s v=""/>
    <s v="non"/>
    <n v="0"/>
    <s v=""/>
    <s v=""/>
    <s v="non"/>
    <n v="0"/>
    <s v="non"/>
    <n v="0"/>
    <s v="oui"/>
    <n v="21"/>
    <n v="106"/>
    <x v="1"/>
    <x v="0"/>
    <s v=""/>
    <x v="0"/>
    <s v="oui"/>
    <n v="2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5"/>
    <s v="Extrême-Nord"/>
    <s v="CMR004"/>
    <x v="1"/>
    <s v="CMR004002"/>
    <x v="13"/>
    <s v="CMR004002008"/>
    <s v="FOT_0044"/>
    <x v="247"/>
    <s v="14.2440013"/>
    <s v="12.4398649"/>
    <s v="4"/>
    <n v="635"/>
    <s v="oui"/>
    <n v="36"/>
    <n v="150"/>
    <s v="non"/>
    <n v="0"/>
    <s v="non"/>
    <n v="0"/>
    <s v=""/>
    <s v=""/>
    <s v="non"/>
    <n v="0"/>
    <s v=""/>
    <s v=""/>
    <s v="oui"/>
    <n v="36"/>
    <s v="non"/>
    <n v="0"/>
    <s v="oui"/>
    <n v="62"/>
    <n v="310"/>
    <x v="1"/>
    <x v="0"/>
    <s v=""/>
    <x v="0"/>
    <s v="non"/>
    <n v="0"/>
    <s v="non"/>
    <n v="0"/>
    <s v=""/>
    <s v=""/>
    <s v="non"/>
    <n v="0"/>
    <s v=""/>
    <s v=""/>
    <s v="oui"/>
    <n v="62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76"/>
    <s v="Extrême-Nord"/>
    <s v="CMR004"/>
    <x v="1"/>
    <s v="CMR004002"/>
    <x v="13"/>
    <s v="CMR004002008"/>
    <s v="FOT_0040"/>
    <x v="248"/>
    <s v="14.267495"/>
    <s v="12.5581096"/>
    <s v="4"/>
    <n v="2400"/>
    <s v="oui"/>
    <n v="15"/>
    <n v="35"/>
    <s v="oui"/>
    <n v="15"/>
    <s v="non"/>
    <n v="0"/>
    <s v=""/>
    <s v=""/>
    <s v="non"/>
    <n v="0"/>
    <s v=""/>
    <s v=""/>
    <s v="non"/>
    <n v="0"/>
    <s v="non"/>
    <n v="0"/>
    <s v="oui"/>
    <n v="25"/>
    <n v="80"/>
    <x v="1"/>
    <x v="0"/>
    <s v=""/>
    <x v="0"/>
    <s v="oui"/>
    <n v="25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7"/>
    <s v="Extrême-Nord"/>
    <s v="CMR004"/>
    <x v="1"/>
    <s v="CMR004002"/>
    <x v="13"/>
    <s v="CMR004002008"/>
    <s v="FOT_0041"/>
    <x v="249"/>
    <s v="14.2949844"/>
    <s v="12.5539146"/>
    <s v="7"/>
    <n v="1550"/>
    <s v="oui"/>
    <n v="68"/>
    <n v="540"/>
    <s v="oui"/>
    <n v="6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8"/>
    <s v="Extrême-Nord"/>
    <s v="CMR004"/>
    <x v="1"/>
    <s v="CMR004002"/>
    <x v="13"/>
    <s v="CMR004002008"/>
    <s v="FOT_0043"/>
    <x v="250"/>
    <s v="14.3201277"/>
    <s v="12.5187651"/>
    <s v="4"/>
    <n v="791"/>
    <s v="oui"/>
    <n v="28"/>
    <n v="214"/>
    <s v="oui"/>
    <n v="28"/>
    <s v="non"/>
    <n v="0"/>
    <s v=""/>
    <s v=""/>
    <s v="non"/>
    <n v="0"/>
    <s v=""/>
    <s v=""/>
    <s v="non"/>
    <n v="0"/>
    <s v="non"/>
    <n v="0"/>
    <s v="oui"/>
    <n v="12"/>
    <n v="96"/>
    <x v="1"/>
    <x v="0"/>
    <s v=""/>
    <x v="0"/>
    <s v="oui"/>
    <n v="1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9"/>
    <s v="Extrême-Nord"/>
    <s v="CMR004"/>
    <x v="1"/>
    <s v="CMR004002"/>
    <x v="13"/>
    <s v="CMR004002008"/>
    <s v="FOT_0011"/>
    <x v="251"/>
    <s v="14.2537446"/>
    <s v="12.3765082"/>
    <s v="3.5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80"/>
    <s v="Extrême-Nord"/>
    <s v="CMR004"/>
    <x v="1"/>
    <s v="CMR004002"/>
    <x v="13"/>
    <s v="CMR004002008"/>
    <s v="FOT_0014"/>
    <x v="88"/>
    <s v="14.2945778"/>
    <s v="12.3760023"/>
    <s v="4"/>
    <n v="515"/>
    <s v="oui"/>
    <n v="21"/>
    <n v="215"/>
    <s v="oui"/>
    <n v="2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81"/>
    <s v="Extrême-Nord"/>
    <s v="CMR004"/>
    <x v="1"/>
    <s v="CMR004002"/>
    <x v="13"/>
    <s v="CMR004002008"/>
    <s v="FOT_0015"/>
    <x v="252"/>
    <s v="14.4184806"/>
    <s v="12.3711909"/>
    <s v="4"/>
    <n v="770"/>
    <s v="oui"/>
    <n v="74"/>
    <n v="340"/>
    <s v="oui"/>
    <n v="7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82"/>
    <s v="Extrême-Nord"/>
    <s v="CMR004"/>
    <x v="1"/>
    <s v="CMR004002"/>
    <x v="13"/>
    <s v="CMR004002008"/>
    <s v="FOT_0034"/>
    <x v="253"/>
    <s v="14.3405901"/>
    <s v="12.4421432"/>
    <s v="4"/>
    <n v="3831"/>
    <s v="oui"/>
    <n v="47"/>
    <n v="205"/>
    <s v="oui"/>
    <n v="47"/>
    <s v="non"/>
    <n v="0"/>
    <s v=""/>
    <s v=""/>
    <s v="non"/>
    <n v="0"/>
    <s v=""/>
    <s v=""/>
    <s v="non"/>
    <n v="0"/>
    <s v="non"/>
    <n v="0"/>
    <s v="oui"/>
    <n v="53"/>
    <n v="265"/>
    <x v="1"/>
    <x v="0"/>
    <s v=""/>
    <x v="0"/>
    <s v="oui"/>
    <n v="5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83"/>
    <s v="Extrême-Nord"/>
    <s v="CMR004"/>
    <x v="1"/>
    <s v="CMR004002"/>
    <x v="13"/>
    <s v="CMR004002008"/>
    <s v="FOT_0050"/>
    <x v="254"/>
    <s v="14.214997"/>
    <s v="12.3801883"/>
    <s v="4"/>
    <n v="950"/>
    <s v="oui"/>
    <n v="18"/>
    <n v="150"/>
    <s v="oui"/>
    <n v="1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Oui"/>
    <b v="0"/>
  </r>
  <r>
    <n v="156"/>
    <s v="Extrême-Nord"/>
    <s v="CMR004"/>
    <x v="1"/>
    <s v="CMR004002"/>
    <x v="13"/>
    <s v="CMR004002008"/>
    <s v="FOT_0028"/>
    <x v="255"/>
    <s v="14.2730223"/>
    <s v="12.5186453"/>
    <s v="4"/>
    <n v="1109"/>
    <s v="oui"/>
    <n v="39"/>
    <n v="222"/>
    <s v="oui"/>
    <n v="39"/>
    <s v="non"/>
    <n v="0"/>
    <s v=""/>
    <s v=""/>
    <s v="non"/>
    <n v="0"/>
    <s v=""/>
    <s v=""/>
    <s v="non"/>
    <n v="0"/>
    <s v="non"/>
    <n v="0"/>
    <s v="oui"/>
    <n v="106"/>
    <n v="340"/>
    <x v="1"/>
    <x v="0"/>
    <s v=""/>
    <x v="0"/>
    <s v="non"/>
    <n v="0"/>
    <s v="non"/>
    <n v="0"/>
    <s v=""/>
    <s v=""/>
    <s v="non"/>
    <n v="0"/>
    <s v=""/>
    <s v=""/>
    <s v="oui"/>
    <n v="106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57"/>
    <s v="Extrême-Nord"/>
    <s v="CMR004"/>
    <x v="1"/>
    <s v="CMR004002"/>
    <x v="13"/>
    <s v="CMR004002008"/>
    <s v="FOT_0039"/>
    <x v="256"/>
    <s v="14.282981"/>
    <s v="12.5532309"/>
    <s v="4"/>
    <n v="610"/>
    <s v="oui"/>
    <n v="19"/>
    <n v="147"/>
    <s v="oui"/>
    <n v="19"/>
    <s v="non"/>
    <n v="0"/>
    <s v=""/>
    <s v=""/>
    <s v="non"/>
    <n v="0"/>
    <s v=""/>
    <s v=""/>
    <s v="non"/>
    <n v="0"/>
    <s v="non"/>
    <n v="0"/>
    <s v="oui"/>
    <n v="5"/>
    <n v="38"/>
    <x v="1"/>
    <x v="0"/>
    <s v=""/>
    <x v="0"/>
    <s v="oui"/>
    <n v="5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3"/>
    <s v="Extrême-Nord"/>
    <s v="CMR004"/>
    <x v="1"/>
    <s v="CMR004002"/>
    <x v="13"/>
    <s v="CMR004002008"/>
    <s v="FOT_0006"/>
    <x v="257"/>
    <s v="14.2254234"/>
    <s v="12.3758345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4"/>
    <s v="Extrême-Nord"/>
    <s v="CMR004"/>
    <x v="1"/>
    <s v="CMR004002"/>
    <x v="13"/>
    <s v="CMR004002008"/>
    <s v="FOT_0007"/>
    <x v="258"/>
    <s v="14.2253936"/>
    <s v="12.3758172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5"/>
    <s v="Extrême-Nord"/>
    <s v="CMR004"/>
    <x v="1"/>
    <s v="CMR004002"/>
    <x v="13"/>
    <s v="CMR004002008"/>
    <s v="FOT_0012"/>
    <x v="259"/>
    <s v="14.2253704"/>
    <s v="12.3758125"/>
    <s v="3.5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6"/>
    <s v="Extrême-Nord"/>
    <s v="CMR004"/>
    <x v="1"/>
    <s v="CMR004002"/>
    <x v="13"/>
    <s v="CMR004002008"/>
    <s v="FOT_0013"/>
    <x v="260"/>
    <s v="14.2253565"/>
    <s v="12.3757601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7"/>
    <s v="Extrême-Nord"/>
    <s v="CMR004"/>
    <x v="1"/>
    <s v="CMR004002"/>
    <x v="13"/>
    <s v="CMR004002008"/>
    <s v="FOT_0020"/>
    <x v="261"/>
    <s v="14.2253855"/>
    <s v="12.3758254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8"/>
    <s v="Extrême-Nord"/>
    <s v="CMR004"/>
    <x v="1"/>
    <s v="CMR004002"/>
    <x v="13"/>
    <s v="CMR004002008"/>
    <s v="FOT_0022"/>
    <x v="262"/>
    <s v="14.2253784"/>
    <s v="12.3758169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9"/>
    <s v="Extrême-Nord"/>
    <s v="CMR004"/>
    <x v="1"/>
    <s v="CMR004002"/>
    <x v="13"/>
    <s v="CMR004002008"/>
    <s v="FOT_0023"/>
    <x v="263"/>
    <s v="14.2254143"/>
    <s v="12.3758356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70"/>
    <s v="Extrême-Nord"/>
    <s v="CMR004"/>
    <x v="1"/>
    <s v="CMR004002"/>
    <x v="13"/>
    <s v="CMR004002008"/>
    <s v="FOT_0024"/>
    <x v="264"/>
    <s v="14.2253796"/>
    <s v="12.3758359"/>
    <s v="3.5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71"/>
    <s v="Extrême-Nord"/>
    <s v="CMR004"/>
    <x v="1"/>
    <s v="CMR004002"/>
    <x v="13"/>
    <s v="CMR004002008"/>
    <s v="FOT_0027"/>
    <x v="265"/>
    <s v="14.2253808"/>
    <s v="12.3758098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87"/>
    <s v="Extrême-Nord"/>
    <s v="CMR004"/>
    <x v="1"/>
    <s v="CMR004002"/>
    <x v="13"/>
    <s v="CMR004002008"/>
    <s v="FOT_0019"/>
    <x v="266"/>
    <s v="14.2270224"/>
    <s v="12.3866264"/>
    <s v="4"/>
    <n v="1926"/>
    <s v="oui"/>
    <n v="8"/>
    <n v="37"/>
    <s v="oui"/>
    <n v="8"/>
    <s v="non"/>
    <n v="0"/>
    <s v=""/>
    <s v=""/>
    <s v="non"/>
    <n v="0"/>
    <s v=""/>
    <s v=""/>
    <s v="non"/>
    <n v="0"/>
    <s v="non"/>
    <n v="0"/>
    <s v="oui"/>
    <n v="57"/>
    <n v="237"/>
    <x v="1"/>
    <x v="0"/>
    <s v=""/>
    <x v="0"/>
    <s v="oui"/>
    <n v="57"/>
    <s v="non"/>
    <n v="0"/>
    <s v=""/>
    <s v=""/>
    <s v="non"/>
    <n v="0"/>
    <s v=""/>
    <s v=""/>
    <s v="non"/>
    <n v="0"/>
    <s v="non"/>
    <n v="0"/>
    <s v="oui"/>
    <n v="27"/>
    <n v="200"/>
    <s v="oui"/>
    <n v="27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99"/>
    <s v="Extrême-Nord"/>
    <s v="CMR004"/>
    <x v="1"/>
    <s v="CMR004002"/>
    <x v="13"/>
    <s v="CMR004002008"/>
    <s v="FOT_0009"/>
    <x v="267"/>
    <s v="14.2244268"/>
    <s v="12.3738789"/>
    <s v="4"/>
    <n v="33259"/>
    <s v="oui"/>
    <n v="2427"/>
    <n v="13485"/>
    <s v="oui"/>
    <n v="2342"/>
    <s v="non"/>
    <n v="0"/>
    <s v=""/>
    <s v=""/>
    <s v="non"/>
    <n v="0"/>
    <s v=""/>
    <s v=""/>
    <s v="oui"/>
    <n v="85"/>
    <s v="non"/>
    <n v="0"/>
    <s v="oui"/>
    <n v="583"/>
    <n v="3266"/>
    <x v="1"/>
    <x v="0"/>
    <s v=""/>
    <x v="0"/>
    <s v="oui"/>
    <n v="583"/>
    <s v="non"/>
    <n v="0"/>
    <s v=""/>
    <s v=""/>
    <s v="non"/>
    <n v="0"/>
    <s v=""/>
    <s v=""/>
    <s v="non"/>
    <n v="0"/>
    <s v="non"/>
    <n v="0"/>
    <s v="oui"/>
    <n v="981"/>
    <n v="7763"/>
    <s v="oui"/>
    <n v="981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205"/>
    <s v="Extrême-Nord"/>
    <s v="CMR004"/>
    <x v="1"/>
    <s v="CMR004002"/>
    <x v="13"/>
    <s v="CMR004002008"/>
    <s v="FOT_0008"/>
    <x v="268"/>
    <s v="14.3313554"/>
    <s v="12.3786008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36"/>
    <s v="Extrême-Nord"/>
    <s v="CMR004"/>
    <x v="1"/>
    <s v="CMR004002"/>
    <x v="13"/>
    <s v="CMR004002008"/>
    <s v="FOT_0002"/>
    <x v="53"/>
    <s v="14.2253863"/>
    <s v="12.3758072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"/>
    <s v="Extrême-Nord"/>
    <s v="CMR004"/>
    <x v="1"/>
    <s v="CMR004002"/>
    <x v="14"/>
    <s v="CMR004002009"/>
    <s v="MAK_0204"/>
    <x v="269"/>
    <s v="14.6706799"/>
    <s v="12.585232"/>
    <s v="4"/>
    <n v="361"/>
    <s v="oui"/>
    <n v="13"/>
    <n v="85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"/>
    <s v="Extrême-Nord"/>
    <s v="CMR004"/>
    <x v="1"/>
    <s v="CMR004002"/>
    <x v="14"/>
    <s v="CMR004002009"/>
    <s v="MAK_0174"/>
    <x v="270"/>
    <s v="14.3819592"/>
    <s v="12.5020937"/>
    <s v="4"/>
    <n v="225"/>
    <s v="oui"/>
    <n v="7"/>
    <n v="37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8"/>
    <s v="Extrême-Nord"/>
    <s v="CMR004"/>
    <x v="1"/>
    <s v="CMR004002"/>
    <x v="14"/>
    <s v="CMR004002009"/>
    <s v="MAK_0145"/>
    <x v="271"/>
    <s v="14.5445192"/>
    <s v="12.370816"/>
    <s v="4"/>
    <n v="25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13"/>
    <n v="70"/>
    <x v="1"/>
    <x v="0"/>
    <s v=""/>
    <x v="0"/>
    <s v="oui"/>
    <n v="1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9"/>
    <s v="Extrême-Nord"/>
    <s v="CMR004"/>
    <x v="1"/>
    <s v="CMR004002"/>
    <x v="14"/>
    <s v="CMR004002009"/>
    <s v="MAK_0085"/>
    <x v="272"/>
    <s v="14.5640221"/>
    <s v="12.343659"/>
    <s v="4"/>
    <n v="100"/>
    <s v="oui"/>
    <n v="18"/>
    <n v="90"/>
    <s v=""/>
    <n v="0"/>
    <s v="non"/>
    <n v="0"/>
    <s v=""/>
    <s v=""/>
    <s v="non"/>
    <n v="0"/>
    <s v=""/>
    <s v=""/>
    <s v="oui"/>
    <n v="18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0"/>
    <s v="Extrême-Nord"/>
    <s v="CMR004"/>
    <x v="1"/>
    <s v="CMR004002"/>
    <x v="14"/>
    <s v="CMR004002009"/>
    <s v="MAK_0171"/>
    <x v="273"/>
    <s v="14.5778319"/>
    <s v="12.3205585"/>
    <s v="4"/>
    <n v="1700"/>
    <s v="oui"/>
    <n v="92"/>
    <n v="782"/>
    <s v=""/>
    <n v="0"/>
    <s v="non"/>
    <n v="0"/>
    <s v=""/>
    <s v=""/>
    <s v="non"/>
    <n v="0"/>
    <s v=""/>
    <s v=""/>
    <s v="oui"/>
    <n v="9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26"/>
    <s v="Extrême-Nord"/>
    <s v="CMR004"/>
    <x v="1"/>
    <s v="CMR004002"/>
    <x v="14"/>
    <s v="CMR004002009"/>
    <s v="MAK_0075"/>
    <x v="274"/>
    <s v="14.6717151"/>
    <s v="12.2485508"/>
    <s v="4"/>
    <n v="5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3"/>
    <n v="26"/>
    <x v="1"/>
    <x v="0"/>
    <s v=""/>
    <x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1"/>
    <s v="Extrême-Nord"/>
    <s v="CMR004"/>
    <x v="1"/>
    <s v="CMR004002"/>
    <x v="14"/>
    <s v="CMR004002009"/>
    <s v="MAK_0008"/>
    <x v="275"/>
    <s v="14.6012981"/>
    <s v="12.3454658"/>
    <s v="4"/>
    <n v="979"/>
    <s v="oui"/>
    <n v="46"/>
    <n v="392"/>
    <s v="oui"/>
    <n v="4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2"/>
    <s v="Extrême-Nord"/>
    <s v="CMR004"/>
    <x v="1"/>
    <s v="CMR004002"/>
    <x v="14"/>
    <s v="CMR004002009"/>
    <s v="MAK_0009"/>
    <x v="276"/>
    <s v="14.6016684"/>
    <s v="12.3453917"/>
    <s v="4"/>
    <n v="994"/>
    <s v="oui"/>
    <n v="7"/>
    <n v="35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3"/>
    <s v="Extrême-Nord"/>
    <s v="CMR004"/>
    <x v="1"/>
    <s v="CMR004002"/>
    <x v="14"/>
    <s v="CMR004002009"/>
    <s v="MAK_0025"/>
    <x v="277"/>
    <s v="14.6634807"/>
    <s v="12.2916008"/>
    <s v="4"/>
    <n v="500"/>
    <s v="oui"/>
    <n v="5"/>
    <n v="27"/>
    <s v="oui"/>
    <n v="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29"/>
    <s v="Extrême-Nord"/>
    <s v="CMR004"/>
    <x v="1"/>
    <s v="CMR004002"/>
    <x v="14"/>
    <s v="CMR004002009"/>
    <s v="MAK_0223"/>
    <x v="278"/>
    <s v="14.244246"/>
    <s v="12.6768517"/>
    <s v="3.5"/>
    <n v="3672"/>
    <s v="oui"/>
    <n v="395"/>
    <n v="3630"/>
    <s v="oui"/>
    <n v="10"/>
    <s v="non"/>
    <n v="0"/>
    <s v=""/>
    <s v=""/>
    <s v="non"/>
    <n v="0"/>
    <s v=""/>
    <s v=""/>
    <s v="oui"/>
    <n v="385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8"/>
    <s v="Extrême-Nord"/>
    <s v="CMR004"/>
    <x v="1"/>
    <s v="CMR004002"/>
    <x v="14"/>
    <s v="CMR004002009"/>
    <s v="MAK_0175"/>
    <x v="279"/>
    <s v="14.6859457"/>
    <s v="12.2098675"/>
    <s v="4"/>
    <n v="817"/>
    <s v="oui"/>
    <n v="4"/>
    <n v="34"/>
    <s v="oui"/>
    <n v="4"/>
    <s v="non"/>
    <n v="0"/>
    <s v=""/>
    <s v=""/>
    <s v="non"/>
    <n v="0"/>
    <s v=""/>
    <s v=""/>
    <s v="non"/>
    <n v="0"/>
    <s v="non"/>
    <n v="0"/>
    <s v="oui"/>
    <n v="29"/>
    <n v="247"/>
    <x v="1"/>
    <x v="0"/>
    <s v=""/>
    <x v="0"/>
    <s v="oui"/>
    <n v="7"/>
    <s v="non"/>
    <n v="0"/>
    <s v=""/>
    <s v=""/>
    <s v="non"/>
    <n v="0"/>
    <s v=""/>
    <s v=""/>
    <s v="oui"/>
    <n v="22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74"/>
    <s v="Extrême-Nord"/>
    <s v="CMR004"/>
    <x v="1"/>
    <s v="CMR004002"/>
    <x v="14"/>
    <s v="CMR004002009"/>
    <s v="MAK_0074"/>
    <x v="280"/>
    <s v="14.6782342"/>
    <s v="12.3397592"/>
    <s v="4"/>
    <n v="789"/>
    <s v="oui"/>
    <n v="7"/>
    <n v="46"/>
    <s v="oui"/>
    <n v="7"/>
    <s v="non"/>
    <n v="0"/>
    <s v=""/>
    <s v=""/>
    <s v="non"/>
    <n v="0"/>
    <s v=""/>
    <s v=""/>
    <s v="non"/>
    <n v="0"/>
    <s v="non"/>
    <n v="0"/>
    <s v="oui"/>
    <n v="13"/>
    <n v="73"/>
    <x v="1"/>
    <x v="0"/>
    <s v=""/>
    <x v="0"/>
    <s v="oui"/>
    <n v="1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5"/>
    <s v="Extrême-Nord"/>
    <s v="CMR004"/>
    <x v="1"/>
    <s v="CMR004002"/>
    <x v="14"/>
    <s v="CMR004002009"/>
    <s v="MAK_0076"/>
    <x v="281"/>
    <s v="14.7428536"/>
    <s v="12.3152529"/>
    <s v="3.5"/>
    <n v="600"/>
    <s v="oui"/>
    <n v="12"/>
    <n v="70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6"/>
    <s v="Extrême-Nord"/>
    <s v="CMR004"/>
    <x v="1"/>
    <s v="CMR004002"/>
    <x v="14"/>
    <s v="CMR004002009"/>
    <s v="MAK_0092"/>
    <x v="282"/>
    <s v="14.6738694"/>
    <s v="12.2598475"/>
    <s v="4"/>
    <n v="476"/>
    <s v="oui"/>
    <n v="7"/>
    <n v="36"/>
    <s v="oui"/>
    <n v="7"/>
    <s v="non"/>
    <n v="0"/>
    <s v=""/>
    <s v=""/>
    <s v="non"/>
    <n v="0"/>
    <s v=""/>
    <s v=""/>
    <s v="non"/>
    <n v="0"/>
    <s v="non"/>
    <n v="0"/>
    <s v="oui"/>
    <n v="9"/>
    <n v="45"/>
    <x v="1"/>
    <x v="0"/>
    <s v=""/>
    <x v="0"/>
    <s v="oui"/>
    <n v="9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1"/>
    <s v="Extrême-Nord"/>
    <s v="CMR004"/>
    <x v="1"/>
    <s v="CMR004002"/>
    <x v="14"/>
    <s v="CMR004002009"/>
    <s v="MAK_0219"/>
    <x v="283"/>
    <s v="14.5951604"/>
    <s v="12.5558719"/>
    <s v="4"/>
    <n v="250"/>
    <s v="oui"/>
    <n v="7"/>
    <n v="41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7"/>
    <s v="Extrême-Nord"/>
    <s v="CMR004"/>
    <x v="1"/>
    <s v="CMR004002"/>
    <x v="14"/>
    <s v="CMR004002009"/>
    <s v="MAK_0134"/>
    <x v="284"/>
    <s v="14.6349097"/>
    <s v="12.2733769"/>
    <s v="4"/>
    <n v="450"/>
    <s v="oui"/>
    <n v="14"/>
    <n v="95"/>
    <s v="oui"/>
    <n v="14"/>
    <s v="non"/>
    <n v="0"/>
    <s v=""/>
    <s v=""/>
    <s v="non"/>
    <n v="0"/>
    <s v=""/>
    <s v=""/>
    <s v="non"/>
    <n v="0"/>
    <s v="non"/>
    <n v="0"/>
    <s v="oui"/>
    <n v="3"/>
    <n v="20"/>
    <x v="1"/>
    <x v="0"/>
    <s v=""/>
    <x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2"/>
    <s v="Extrême-Nord"/>
    <s v="CMR004"/>
    <x v="1"/>
    <s v="CMR004002"/>
    <x v="14"/>
    <s v="CMR004002009"/>
    <s v="MAK_0198"/>
    <x v="53"/>
    <s v="14.588413"/>
    <s v="12.6260831"/>
    <s v="3.5"/>
    <n v="180"/>
    <s v="oui"/>
    <n v="13"/>
    <n v="87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8"/>
    <s v="Extrême-Nord"/>
    <s v="CMR004"/>
    <x v="1"/>
    <s v="CMR004002"/>
    <x v="14"/>
    <s v="CMR004002009"/>
    <s v="MAK_0150"/>
    <x v="285"/>
    <s v="14.6255405"/>
    <s v="12.2865231"/>
    <s v="4"/>
    <n v="492"/>
    <s v="oui"/>
    <n v="31"/>
    <n v="262"/>
    <s v=""/>
    <n v="0"/>
    <s v="non"/>
    <n v="0"/>
    <s v=""/>
    <s v=""/>
    <s v="non"/>
    <n v="0"/>
    <s v=""/>
    <s v=""/>
    <s v="oui"/>
    <n v="31"/>
    <s v="non"/>
    <n v="0"/>
    <s v="oui"/>
    <n v="15"/>
    <n v="228"/>
    <x v="2"/>
    <x v="1"/>
    <s v="Makary"/>
    <x v="4"/>
    <s v=""/>
    <n v="0"/>
    <s v="non"/>
    <n v="0"/>
    <s v=""/>
    <s v=""/>
    <s v="non"/>
    <n v="0"/>
    <s v=""/>
    <s v=""/>
    <s v="oui"/>
    <n v="15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3"/>
    <s v="Extrême-Nord"/>
    <s v="CMR004"/>
    <x v="1"/>
    <s v="CMR004002"/>
    <x v="14"/>
    <s v="CMR004002009"/>
    <s v="MAK_0217"/>
    <x v="286"/>
    <s v="14.5811547"/>
    <s v="12.6111318"/>
    <s v="4"/>
    <n v="150"/>
    <s v="oui"/>
    <n v="4"/>
    <n v="24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9"/>
    <s v="Extrême-Nord"/>
    <s v="CMR004"/>
    <x v="1"/>
    <s v="CMR004002"/>
    <x v="14"/>
    <s v="CMR004002009"/>
    <s v="MAK_0157"/>
    <x v="287"/>
    <s v="14.5968394"/>
    <s v="12.3399253"/>
    <s v="3.5"/>
    <n v="350"/>
    <s v="oui"/>
    <n v="6"/>
    <n v="51"/>
    <s v="oui"/>
    <n v="6"/>
    <s v="non"/>
    <n v="0"/>
    <s v=""/>
    <s v=""/>
    <s v="non"/>
    <n v="0"/>
    <s v=""/>
    <s v=""/>
    <s v="non"/>
    <n v="0"/>
    <s v="non"/>
    <n v="0"/>
    <s v="oui"/>
    <n v="8"/>
    <n v="68"/>
    <x v="1"/>
    <x v="0"/>
    <s v=""/>
    <x v="0"/>
    <s v="oui"/>
    <n v="8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4"/>
    <s v="Extrême-Nord"/>
    <s v="CMR004"/>
    <x v="1"/>
    <s v="CMR004002"/>
    <x v="14"/>
    <s v="CMR004002009"/>
    <s v="MAK_0218"/>
    <x v="288"/>
    <s v="14.6988947"/>
    <s v="12.5685388"/>
    <s v="4"/>
    <n v="323"/>
    <s v="oui"/>
    <n v="35"/>
    <n v="135"/>
    <s v="oui"/>
    <n v="3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80"/>
    <s v="Extrême-Nord"/>
    <s v="CMR004"/>
    <x v="1"/>
    <s v="CMR004002"/>
    <x v="14"/>
    <s v="CMR004002009"/>
    <s v="MAK_0167"/>
    <x v="289"/>
    <s v="14.720512"/>
    <s v="12.315229"/>
    <s v="4"/>
    <n v="476"/>
    <s v="oui"/>
    <n v="4"/>
    <n v="36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81"/>
    <s v="Extrême-Nord"/>
    <s v="CMR004"/>
    <x v="1"/>
    <s v="CMR004002"/>
    <x v="14"/>
    <s v="CMR004002009"/>
    <s v="MAK_0170"/>
    <x v="290"/>
    <s v="14.6101998"/>
    <s v="12.2852196"/>
    <s v="3"/>
    <n v="600"/>
    <s v="oui"/>
    <n v="13"/>
    <n v="111"/>
    <s v="oui"/>
    <n v="8"/>
    <s v="non"/>
    <n v="0"/>
    <s v=""/>
    <s v=""/>
    <s v="non"/>
    <n v="0"/>
    <s v=""/>
    <s v=""/>
    <s v="oui"/>
    <n v="5"/>
    <s v="non"/>
    <n v="0"/>
    <s v="oui"/>
    <n v="21"/>
    <n v="149"/>
    <x v="1"/>
    <x v="0"/>
    <s v=""/>
    <x v="0"/>
    <s v="oui"/>
    <n v="2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82"/>
    <s v="Extrême-Nord"/>
    <s v="CMR004"/>
    <x v="1"/>
    <s v="CMR004002"/>
    <x v="14"/>
    <s v="CMR004002009"/>
    <s v="MAK_0179"/>
    <x v="291"/>
    <s v="14.6231778"/>
    <s v="12.2945437"/>
    <s v="4"/>
    <n v="587"/>
    <s v="oui"/>
    <n v="25"/>
    <n v="213"/>
    <s v="oui"/>
    <n v="25"/>
    <s v="non"/>
    <n v="0"/>
    <s v=""/>
    <s v=""/>
    <s v="non"/>
    <n v="0"/>
    <s v=""/>
    <s v=""/>
    <s v="non"/>
    <n v="0"/>
    <s v="non"/>
    <n v="0"/>
    <s v="oui"/>
    <n v="11"/>
    <n v="94"/>
    <x v="1"/>
    <x v="0"/>
    <s v=""/>
    <x v="0"/>
    <s v="oui"/>
    <n v="1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83"/>
    <s v="Extrême-Nord"/>
    <s v="CMR004"/>
    <x v="1"/>
    <s v="CMR004002"/>
    <x v="14"/>
    <s v="CMR004002009"/>
    <s v="MAK_0186"/>
    <x v="292"/>
    <s v="14.6051732"/>
    <s v="12.3181516"/>
    <s v="4"/>
    <n v="600"/>
    <s v="oui"/>
    <n v="36"/>
    <n v="298"/>
    <s v="oui"/>
    <n v="36"/>
    <s v="non"/>
    <n v="0"/>
    <s v=""/>
    <s v=""/>
    <s v="non"/>
    <n v="0"/>
    <s v=""/>
    <s v=""/>
    <s v="non"/>
    <n v="0"/>
    <s v="non"/>
    <n v="0"/>
    <s v="oui"/>
    <n v="5"/>
    <n v="25"/>
    <x v="1"/>
    <x v="0"/>
    <s v=""/>
    <x v="0"/>
    <s v="oui"/>
    <n v="5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84"/>
    <s v="Extrême-Nord"/>
    <s v="CMR004"/>
    <x v="1"/>
    <s v="CMR004002"/>
    <x v="14"/>
    <s v="CMR004002009"/>
    <s v="MAK_0187"/>
    <x v="293"/>
    <s v="14.5966983"/>
    <s v="12.3269316"/>
    <s v="4"/>
    <n v="450"/>
    <s v="oui"/>
    <n v="7"/>
    <n v="60"/>
    <s v="oui"/>
    <n v="7"/>
    <s v="non"/>
    <n v="0"/>
    <s v=""/>
    <s v=""/>
    <s v="non"/>
    <n v="0"/>
    <s v=""/>
    <s v=""/>
    <s v="non"/>
    <n v="0"/>
    <s v="non"/>
    <n v="0"/>
    <s v="oui"/>
    <n v="11"/>
    <n v="94"/>
    <x v="1"/>
    <x v="0"/>
    <s v=""/>
    <x v="0"/>
    <s v="oui"/>
    <n v="7"/>
    <s v="non"/>
    <n v="0"/>
    <s v=""/>
    <s v=""/>
    <s v="non"/>
    <n v="0"/>
    <s v=""/>
    <s v=""/>
    <s v="oui"/>
    <n v="4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86"/>
    <s v="Extrême-Nord"/>
    <s v="CMR004"/>
    <x v="1"/>
    <s v="CMR004002"/>
    <x v="14"/>
    <s v="CMR004002009"/>
    <s v="MAK_0189"/>
    <x v="294"/>
    <s v="14.6120524"/>
    <s v="12.2864633"/>
    <s v="4"/>
    <n v="357"/>
    <s v="oui"/>
    <n v="34"/>
    <n v="289"/>
    <s v=""/>
    <n v="0"/>
    <s v="non"/>
    <n v="0"/>
    <s v=""/>
    <s v=""/>
    <s v="non"/>
    <n v="0"/>
    <s v=""/>
    <s v=""/>
    <s v="oui"/>
    <n v="34"/>
    <s v="non"/>
    <n v="0"/>
    <s v="oui"/>
    <n v="8"/>
    <n v="68"/>
    <x v="2"/>
    <x v="1"/>
    <s v="Makary"/>
    <x v="4"/>
    <s v=""/>
    <n v="0"/>
    <s v="non"/>
    <n v="0"/>
    <s v=""/>
    <s v=""/>
    <s v="non"/>
    <n v="0"/>
    <s v=""/>
    <s v=""/>
    <s v="oui"/>
    <n v="8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87"/>
    <s v="Extrême-Nord"/>
    <s v="CMR004"/>
    <x v="1"/>
    <s v="CMR004002"/>
    <x v="14"/>
    <s v="CMR004002009"/>
    <s v="MAK_0196"/>
    <x v="295"/>
    <s v="14.6275452"/>
    <s v="12.2889435"/>
    <s v="4"/>
    <n v="300"/>
    <s v="oui"/>
    <n v="10"/>
    <n v="85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88"/>
    <s v="Extrême-Nord"/>
    <s v="CMR004"/>
    <x v="1"/>
    <s v="CMR004002"/>
    <x v="14"/>
    <s v="CMR004002009"/>
    <s v="MAK_0183"/>
    <x v="296"/>
    <s v="14.8066971"/>
    <s v="12.1247265"/>
    <s v="4"/>
    <n v="450"/>
    <s v="oui"/>
    <n v="16"/>
    <n v="111"/>
    <s v="oui"/>
    <n v="16"/>
    <s v="non"/>
    <n v="0"/>
    <s v=""/>
    <s v=""/>
    <s v="non"/>
    <n v="0"/>
    <s v=""/>
    <s v=""/>
    <s v="non"/>
    <n v="0"/>
    <s v="non"/>
    <n v="0"/>
    <s v="oui"/>
    <n v="9"/>
    <n v="68"/>
    <x v="1"/>
    <x v="0"/>
    <s v=""/>
    <x v="0"/>
    <s v="oui"/>
    <n v="9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89"/>
    <s v="Extrême-Nord"/>
    <s v="CMR004"/>
    <x v="1"/>
    <s v="CMR004002"/>
    <x v="14"/>
    <s v="CMR004002009"/>
    <s v="MAK_0098"/>
    <x v="297"/>
    <s v="14.7499129"/>
    <s v="12.1264251"/>
    <s v="4"/>
    <n v="1661"/>
    <s v="oui"/>
    <n v="61"/>
    <n v="465"/>
    <s v="oui"/>
    <n v="61"/>
    <s v="non"/>
    <n v="0"/>
    <s v=""/>
    <s v=""/>
    <s v="non"/>
    <n v="0"/>
    <s v=""/>
    <s v=""/>
    <s v="non"/>
    <n v="0"/>
    <s v="non"/>
    <n v="0"/>
    <s v="oui"/>
    <n v="2"/>
    <n v="13"/>
    <x v="1"/>
    <x v="0"/>
    <s v=""/>
    <x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90"/>
    <s v="Extrême-Nord"/>
    <s v="CMR004"/>
    <x v="1"/>
    <s v="CMR004002"/>
    <x v="14"/>
    <s v="CMR004002009"/>
    <s v="MAK_0099"/>
    <x v="298"/>
    <s v="14.7424521"/>
    <s v="12.1253614"/>
    <s v="4"/>
    <n v="1400"/>
    <s v="oui"/>
    <n v="59"/>
    <n v="502"/>
    <s v="oui"/>
    <n v="5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91"/>
    <s v="Extrême-Nord"/>
    <s v="CMR004"/>
    <x v="1"/>
    <s v="CMR004002"/>
    <x v="14"/>
    <s v="CMR004002009"/>
    <s v="MAK_0139"/>
    <x v="299"/>
    <s v="14.7517504"/>
    <s v="12.1247979"/>
    <s v="4"/>
    <n v="452"/>
    <s v="oui"/>
    <n v="95"/>
    <n v="468"/>
    <s v=""/>
    <n v="0"/>
    <s v="non"/>
    <n v="0"/>
    <s v=""/>
    <s v=""/>
    <s v="non"/>
    <n v="0"/>
    <s v=""/>
    <s v=""/>
    <s v="oui"/>
    <n v="95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6"/>
    <s v="Extrême-Nord"/>
    <s v="CMR004"/>
    <x v="1"/>
    <s v="CMR004002"/>
    <x v="14"/>
    <s v="CMR004002009"/>
    <s v="MAK_0152"/>
    <x v="300"/>
    <s v="14.7991258"/>
    <s v="12.1419623"/>
    <s v="4"/>
    <n v="55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11"/>
    <n v="62"/>
    <x v="1"/>
    <x v="0"/>
    <s v=""/>
    <x v="0"/>
    <s v="oui"/>
    <n v="1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92"/>
    <s v="Extrême-Nord"/>
    <s v="CMR004"/>
    <x v="1"/>
    <s v="CMR004002"/>
    <x v="14"/>
    <s v="CMR004002009"/>
    <s v="MAK_0155"/>
    <x v="301"/>
    <s v="14.772493"/>
    <s v="12.1239328"/>
    <s v="4"/>
    <n v="500"/>
    <s v="oui"/>
    <n v="22"/>
    <n v="106"/>
    <s v="oui"/>
    <n v="22"/>
    <s v="non"/>
    <n v="0"/>
    <s v=""/>
    <s v=""/>
    <s v="non"/>
    <n v="0"/>
    <s v=""/>
    <s v=""/>
    <s v="non"/>
    <n v="0"/>
    <s v="non"/>
    <n v="0"/>
    <s v="oui"/>
    <n v="11"/>
    <n v="49"/>
    <x v="1"/>
    <x v="0"/>
    <s v=""/>
    <x v="0"/>
    <s v="oui"/>
    <n v="1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"/>
    <s v="Extrême-Nord"/>
    <s v="CMR004"/>
    <x v="1"/>
    <s v="CMR004002"/>
    <x v="14"/>
    <s v="CMR004002009"/>
    <s v="MAK_0059"/>
    <x v="60"/>
    <s v="14.469745"/>
    <s v="12.63076"/>
    <s v="4"/>
    <n v="3000"/>
    <s v="oui"/>
    <n v="200"/>
    <n v="795"/>
    <s v="oui"/>
    <n v="164"/>
    <s v="oui"/>
    <n v="3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93"/>
    <s v="Extrême-Nord"/>
    <s v="CMR004"/>
    <x v="1"/>
    <s v="CMR004002"/>
    <x v="14"/>
    <s v="CMR004002009"/>
    <s v="MAK_0154"/>
    <x v="302"/>
    <s v="14.7805602"/>
    <s v="12.1279641"/>
    <s v="3.5"/>
    <n v="350"/>
    <s v="oui"/>
    <n v="22"/>
    <n v="102"/>
    <s v="oui"/>
    <n v="22"/>
    <s v="non"/>
    <n v="0"/>
    <s v=""/>
    <s v=""/>
    <s v="non"/>
    <n v="0"/>
    <s v=""/>
    <s v=""/>
    <s v="non"/>
    <n v="0"/>
    <s v="non"/>
    <n v="0"/>
    <s v="oui"/>
    <n v="16"/>
    <n v="62"/>
    <x v="1"/>
    <x v="0"/>
    <s v=""/>
    <x v="0"/>
    <s v="oui"/>
    <n v="16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94"/>
    <s v="Extrême-Nord"/>
    <s v="CMR004"/>
    <x v="1"/>
    <s v="CMR004002"/>
    <x v="14"/>
    <s v="CMR004002009"/>
    <s v="MAK_0161"/>
    <x v="303"/>
    <s v="14.7679972"/>
    <s v="12.1224383"/>
    <s v="3.5"/>
    <n v="500"/>
    <s v="oui"/>
    <n v="8"/>
    <n v="47"/>
    <s v="oui"/>
    <n v="8"/>
    <s v="non"/>
    <n v="0"/>
    <s v=""/>
    <s v=""/>
    <s v="non"/>
    <n v="0"/>
    <s v=""/>
    <s v=""/>
    <s v="non"/>
    <n v="0"/>
    <s v="non"/>
    <n v="0"/>
    <s v="oui"/>
    <n v="43"/>
    <n v="146"/>
    <x v="1"/>
    <x v="0"/>
    <s v=""/>
    <x v="0"/>
    <s v="oui"/>
    <n v="4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9"/>
    <s v="Extrême-Nord"/>
    <s v="CMR004"/>
    <x v="1"/>
    <s v="CMR004002"/>
    <x v="14"/>
    <s v="CMR004002009"/>
    <s v="MAK_0190"/>
    <x v="304"/>
    <s v="14.5832472"/>
    <s v="12.5466387"/>
    <s v="4"/>
    <n v="300"/>
    <s v="oui"/>
    <n v="3"/>
    <n v="9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95"/>
    <s v="Extrême-Nord"/>
    <s v="CMR004"/>
    <x v="1"/>
    <s v="CMR004002"/>
    <x v="14"/>
    <s v="CMR004002009"/>
    <s v="MAK_0177"/>
    <x v="305"/>
    <s v="14.7912595"/>
    <s v="12.129847"/>
    <s v="4"/>
    <n v="300"/>
    <s v="oui"/>
    <n v="17"/>
    <n v="95"/>
    <s v="oui"/>
    <n v="17"/>
    <s v="non"/>
    <n v="0"/>
    <s v=""/>
    <s v=""/>
    <s v="non"/>
    <n v="0"/>
    <s v=""/>
    <s v=""/>
    <s v="non"/>
    <n v="0"/>
    <s v="non"/>
    <n v="0"/>
    <s v="oui"/>
    <n v="7"/>
    <n v="29"/>
    <x v="1"/>
    <x v="0"/>
    <s v=""/>
    <x v="0"/>
    <s v="oui"/>
    <n v="7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0"/>
    <s v="Extrême-Nord"/>
    <s v="CMR004"/>
    <x v="1"/>
    <s v="CMR004002"/>
    <x v="14"/>
    <s v="CMR004002009"/>
    <s v="MAK_0191"/>
    <x v="306"/>
    <s v="14.5452747"/>
    <s v="12.6695408"/>
    <s v="4"/>
    <n v="400"/>
    <s v="oui"/>
    <n v="12"/>
    <n v="70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96"/>
    <s v="Extrême-Nord"/>
    <s v="CMR004"/>
    <x v="1"/>
    <s v="CMR004002"/>
    <x v="14"/>
    <s v="CMR004002009"/>
    <s v="MAK_0181"/>
    <x v="307"/>
    <s v="14.8186622"/>
    <s v="12.1123261"/>
    <s v="4"/>
    <n v="300"/>
    <s v="oui"/>
    <n v="14"/>
    <n v="102"/>
    <s v="oui"/>
    <n v="14"/>
    <s v="non"/>
    <n v="0"/>
    <s v=""/>
    <s v=""/>
    <s v="non"/>
    <n v="0"/>
    <s v=""/>
    <s v=""/>
    <s v="non"/>
    <n v="0"/>
    <s v="non"/>
    <n v="0"/>
    <s v="oui"/>
    <n v="15"/>
    <n v="104"/>
    <x v="1"/>
    <x v="0"/>
    <s v=""/>
    <x v="0"/>
    <s v="oui"/>
    <n v="15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1"/>
    <s v="Extrême-Nord"/>
    <s v="CMR004"/>
    <x v="1"/>
    <s v="CMR004002"/>
    <x v="14"/>
    <s v="CMR004002009"/>
    <s v="MAK_0192"/>
    <x v="308"/>
    <s v="14.5949544"/>
    <s v="12.5539092"/>
    <s v="3.5"/>
    <n v="600"/>
    <s v="oui"/>
    <n v="10"/>
    <n v="50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97"/>
    <s v="Extrême-Nord"/>
    <s v="CMR004"/>
    <x v="1"/>
    <s v="CMR004002"/>
    <x v="14"/>
    <s v="CMR004002009"/>
    <s v="MAK_0182"/>
    <x v="309"/>
    <s v="14.8357325"/>
    <s v="12.1090299"/>
    <s v="3.5"/>
    <n v="600"/>
    <s v="oui"/>
    <n v="34"/>
    <n v="218"/>
    <s v="oui"/>
    <n v="34"/>
    <s v="non"/>
    <n v="0"/>
    <s v=""/>
    <s v=""/>
    <s v="non"/>
    <n v="0"/>
    <s v=""/>
    <s v=""/>
    <s v="non"/>
    <n v="0"/>
    <s v="non"/>
    <n v="0"/>
    <s v="oui"/>
    <n v="5"/>
    <n v="35"/>
    <x v="1"/>
    <x v="0"/>
    <s v=""/>
    <x v="0"/>
    <s v="oui"/>
    <n v="5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2"/>
    <s v="Extrême-Nord"/>
    <s v="CMR004"/>
    <x v="1"/>
    <s v="CMR004002"/>
    <x v="14"/>
    <s v="CMR004002009"/>
    <s v="MAK_0195"/>
    <x v="310"/>
    <s v="14.6114488"/>
    <s v="12.6275411"/>
    <s v="4"/>
    <n v="300"/>
    <s v="oui"/>
    <n v="7"/>
    <n v="32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3"/>
    <s v="Extrême-Nord"/>
    <s v="CMR004"/>
    <x v="1"/>
    <s v="CMR004002"/>
    <x v="14"/>
    <s v="CMR004002009"/>
    <s v="MAK_0202"/>
    <x v="311"/>
    <s v="14.5930696"/>
    <s v="12.5443222"/>
    <s v="3.5"/>
    <n v="300"/>
    <s v="oui"/>
    <n v="10"/>
    <n v="81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"/>
    <s v="Extrême-Nord"/>
    <s v="CMR004"/>
    <x v="1"/>
    <s v="CMR004002"/>
    <x v="14"/>
    <s v="CMR004002009"/>
    <s v="MAK_0214"/>
    <x v="312"/>
    <s v="14.5504166"/>
    <s v="12.5550334"/>
    <s v="4"/>
    <n v="300"/>
    <s v="oui"/>
    <n v="6"/>
    <n v="35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5"/>
    <s v="Extrême-Nord"/>
    <s v="CMR004"/>
    <x v="1"/>
    <s v="CMR004002"/>
    <x v="14"/>
    <s v="CMR004002009"/>
    <s v="MAK_0220"/>
    <x v="313"/>
    <s v="14.6041389"/>
    <s v="12.5702859"/>
    <s v="4"/>
    <n v="700"/>
    <s v="oui"/>
    <n v="36"/>
    <n v="107"/>
    <s v="oui"/>
    <n v="3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6"/>
    <s v="Extrême-Nord"/>
    <s v="CMR004"/>
    <x v="1"/>
    <s v="CMR004002"/>
    <x v="14"/>
    <s v="CMR004002009"/>
    <s v="MAK_0013"/>
    <x v="314"/>
    <s v="14.6911383"/>
    <s v="12.2276911"/>
    <s v="3"/>
    <n v="773"/>
    <s v="oui"/>
    <n v="4"/>
    <n v="19"/>
    <s v="oui"/>
    <n v="4"/>
    <s v="non"/>
    <n v="0"/>
    <s v=""/>
    <s v=""/>
    <s v="non"/>
    <n v="0"/>
    <s v=""/>
    <s v=""/>
    <s v="non"/>
    <n v="0"/>
    <s v="non"/>
    <n v="0"/>
    <s v="oui"/>
    <n v="9"/>
    <n v="41"/>
    <x v="1"/>
    <x v="0"/>
    <s v=""/>
    <x v="0"/>
    <s v="oui"/>
    <n v="9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7"/>
    <s v="Extrême-Nord"/>
    <s v="CMR004"/>
    <x v="1"/>
    <s v="CMR004002"/>
    <x v="14"/>
    <s v="CMR004002009"/>
    <s v="MAK_0090"/>
    <x v="315"/>
    <s v="14.6919374"/>
    <s v="12.2297284"/>
    <s v="4"/>
    <n v="1500"/>
    <s v="oui"/>
    <n v="7"/>
    <n v="38"/>
    <s v="oui"/>
    <n v="7"/>
    <s v="non"/>
    <n v="0"/>
    <s v=""/>
    <s v=""/>
    <s v="non"/>
    <n v="0"/>
    <s v=""/>
    <s v=""/>
    <s v="non"/>
    <n v="0"/>
    <s v="non"/>
    <n v="0"/>
    <s v="oui"/>
    <n v="41"/>
    <n v="204"/>
    <x v="1"/>
    <x v="0"/>
    <s v=""/>
    <x v="0"/>
    <s v="oui"/>
    <n v="4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04"/>
    <s v="Extrême-Nord"/>
    <s v="CMR004"/>
    <x v="1"/>
    <s v="CMR004002"/>
    <x v="14"/>
    <s v="CMR004002009"/>
    <s v="MAK_0039"/>
    <x v="316"/>
    <s v="14.489883"/>
    <s v="12.3616876"/>
    <s v="4"/>
    <n v="515"/>
    <s v="oui"/>
    <n v="6"/>
    <n v="32"/>
    <s v="oui"/>
    <n v="6"/>
    <s v="non"/>
    <n v="0"/>
    <s v=""/>
    <s v=""/>
    <s v="non"/>
    <n v="0"/>
    <s v=""/>
    <s v=""/>
    <s v="non"/>
    <n v="0"/>
    <s v="non"/>
    <n v="0"/>
    <s v="oui"/>
    <n v="12"/>
    <n v="53"/>
    <x v="1"/>
    <x v="0"/>
    <s v=""/>
    <x v="0"/>
    <s v="oui"/>
    <n v="1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9"/>
    <s v="Extrême-Nord"/>
    <s v="CMR004"/>
    <x v="1"/>
    <s v="CMR004002"/>
    <x v="14"/>
    <s v="CMR004002009"/>
    <s v="MAK_0194"/>
    <x v="317"/>
    <s v="14.4536329"/>
    <s v="12.5821785"/>
    <s v="4"/>
    <n v="800"/>
    <s v="oui"/>
    <n v="17"/>
    <n v="87"/>
    <s v="oui"/>
    <n v="1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1"/>
    <s v="Extrême-Nord"/>
    <s v="CMR004"/>
    <x v="1"/>
    <s v="CMR004002"/>
    <x v="14"/>
    <s v="CMR004002009"/>
    <s v="MAK_0203"/>
    <x v="318"/>
    <s v="14.4602706"/>
    <s v="12.5718616"/>
    <s v="4"/>
    <n v="231"/>
    <s v="oui"/>
    <n v="5"/>
    <n v="37"/>
    <s v="oui"/>
    <n v="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09"/>
    <s v="Extrême-Nord"/>
    <s v="CMR004"/>
    <x v="1"/>
    <s v="CMR004002"/>
    <x v="14"/>
    <s v="CMR004002009"/>
    <s v="MAK_0176"/>
    <x v="319"/>
    <s v="14.5504604"/>
    <s v="12.4425618"/>
    <s v="4"/>
    <n v="413"/>
    <s v="oui"/>
    <n v="12"/>
    <n v="109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65"/>
    <s v="Extrême-Nord"/>
    <s v="CMR004"/>
    <x v="1"/>
    <s v="CMR004002"/>
    <x v="14"/>
    <s v="CMR004002009"/>
    <s v="MAK_0017"/>
    <x v="241"/>
    <s v="14.5343056"/>
    <s v="12.5408148"/>
    <s v="4"/>
    <n v="491"/>
    <s v="oui"/>
    <n v="16"/>
    <n v="103"/>
    <s v="oui"/>
    <n v="1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10"/>
    <s v="Extrême-Nord"/>
    <s v="CMR004"/>
    <x v="1"/>
    <s v="CMR004002"/>
    <x v="14"/>
    <s v="CMR004002009"/>
    <s v="MAK_0178"/>
    <x v="320"/>
    <s v="14.5198702"/>
    <s v="12.4237726"/>
    <s v="4"/>
    <n v="179"/>
    <s v="non"/>
    <n v="0"/>
    <n v="0"/>
    <s v=""/>
    <n v="0"/>
    <s v=""/>
    <n v="0"/>
    <s v=""/>
    <s v=""/>
    <s v=""/>
    <n v="0"/>
    <s v=""/>
    <s v=""/>
    <s v=""/>
    <n v="0"/>
    <s v=""/>
    <n v="0"/>
    <s v="oui"/>
    <n v="9"/>
    <n v="77"/>
    <x v="1"/>
    <x v="0"/>
    <s v=""/>
    <x v="0"/>
    <s v="oui"/>
    <n v="9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5"/>
    <s v="Extrême-Nord"/>
    <s v="CMR004"/>
    <x v="1"/>
    <s v="CMR004002"/>
    <x v="14"/>
    <s v="CMR004002009"/>
    <s v="MAK_0087"/>
    <x v="321"/>
    <s v="14.4481785"/>
    <s v="12.4647123"/>
    <s v="4"/>
    <n v="1415"/>
    <s v="oui"/>
    <n v="18"/>
    <n v="87"/>
    <s v="oui"/>
    <n v="18"/>
    <s v="non"/>
    <n v="0"/>
    <s v=""/>
    <s v=""/>
    <s v="non"/>
    <n v="0"/>
    <s v=""/>
    <s v=""/>
    <s v="non"/>
    <n v="0"/>
    <s v="non"/>
    <n v="0"/>
    <s v="oui"/>
    <n v="7"/>
    <n v="18"/>
    <x v="1"/>
    <x v="0"/>
    <s v=""/>
    <x v="0"/>
    <s v="oui"/>
    <n v="7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11"/>
    <s v="Extrême-Nord"/>
    <s v="CMR004"/>
    <x v="1"/>
    <s v="CMR004002"/>
    <x v="14"/>
    <s v="CMR004002009"/>
    <s v="MAK_0102"/>
    <x v="322"/>
    <s v="14.5482873"/>
    <s v="12.4035357"/>
    <s v="3.5"/>
    <n v="1639"/>
    <s v="oui"/>
    <n v="15"/>
    <n v="91"/>
    <s v="oui"/>
    <n v="15"/>
    <s v="non"/>
    <n v="0"/>
    <s v=""/>
    <s v=""/>
    <s v="non"/>
    <n v="0"/>
    <s v=""/>
    <s v=""/>
    <s v="non"/>
    <n v="0"/>
    <s v="non"/>
    <n v="0"/>
    <s v="oui"/>
    <n v="8"/>
    <n v="124"/>
    <x v="1"/>
    <x v="0"/>
    <s v=""/>
    <x v="0"/>
    <s v="oui"/>
    <n v="8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6"/>
    <s v="Extrême-Nord"/>
    <s v="CMR004"/>
    <x v="1"/>
    <s v="CMR004002"/>
    <x v="14"/>
    <s v="CMR004002009"/>
    <s v="MAK_0041"/>
    <x v="323"/>
    <s v="14.4462748"/>
    <s v="12.4867576"/>
    <s v="4"/>
    <n v="1575"/>
    <s v="oui"/>
    <n v="8"/>
    <n v="47"/>
    <s v="oui"/>
    <n v="8"/>
    <s v="non"/>
    <n v="0"/>
    <s v=""/>
    <s v=""/>
    <s v="non"/>
    <n v="0"/>
    <s v=""/>
    <s v=""/>
    <s v="non"/>
    <n v="0"/>
    <s v="non"/>
    <n v="0"/>
    <s v="oui"/>
    <n v="1"/>
    <n v="4"/>
    <x v="1"/>
    <x v="0"/>
    <s v=""/>
    <x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12"/>
    <s v="Extrême-Nord"/>
    <s v="CMR004"/>
    <x v="1"/>
    <s v="CMR004002"/>
    <x v="14"/>
    <s v="CMR004002009"/>
    <s v="MAK_0060"/>
    <x v="324"/>
    <s v="14.5045299"/>
    <s v="12.3537965"/>
    <s v="4"/>
    <n v="2025"/>
    <s v="oui"/>
    <n v="5"/>
    <n v="20"/>
    <s v="oui"/>
    <n v="5"/>
    <s v="non"/>
    <n v="0"/>
    <s v=""/>
    <s v=""/>
    <s v="non"/>
    <n v="0"/>
    <s v=""/>
    <s v=""/>
    <s v="non"/>
    <n v="0"/>
    <s v="non"/>
    <n v="0"/>
    <s v="oui"/>
    <n v="6"/>
    <n v="30"/>
    <x v="1"/>
    <x v="0"/>
    <s v=""/>
    <x v="0"/>
    <s v="oui"/>
    <n v="6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8"/>
    <n v="40"/>
    <s v="non"/>
    <m/>
    <m/>
    <s v="Non"/>
    <b v="0"/>
  </r>
  <r>
    <n v="313"/>
    <s v="Extrême-Nord"/>
    <s v="CMR004"/>
    <x v="1"/>
    <s v="CMR004002"/>
    <x v="14"/>
    <s v="CMR004002009"/>
    <s v="MAK_0042"/>
    <x v="325"/>
    <s v="14.5794831"/>
    <s v="12.3961002"/>
    <s v="4"/>
    <n v="478"/>
    <s v="oui"/>
    <n v="1"/>
    <n v="7"/>
    <s v="oui"/>
    <n v="1"/>
    <s v="non"/>
    <n v="0"/>
    <s v=""/>
    <s v=""/>
    <s v="non"/>
    <n v="0"/>
    <s v=""/>
    <s v=""/>
    <s v="non"/>
    <n v="0"/>
    <s v="non"/>
    <n v="0"/>
    <s v="oui"/>
    <n v="9"/>
    <n v="75"/>
    <x v="1"/>
    <x v="0"/>
    <s v=""/>
    <x v="0"/>
    <s v="oui"/>
    <n v="9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8"/>
    <s v="Extrême-Nord"/>
    <s v="CMR004"/>
    <x v="1"/>
    <s v="CMR004002"/>
    <x v="14"/>
    <s v="CMR004002009"/>
    <s v="MAK_0047"/>
    <x v="326"/>
    <s v="14.4454875"/>
    <s v="12.4885532"/>
    <s v="4"/>
    <n v="415"/>
    <s v="oui"/>
    <n v="1"/>
    <n v="5"/>
    <s v="oui"/>
    <n v="1"/>
    <s v="non"/>
    <n v="0"/>
    <s v=""/>
    <s v=""/>
    <s v="non"/>
    <n v="0"/>
    <s v=""/>
    <s v=""/>
    <s v="non"/>
    <n v="0"/>
    <s v="non"/>
    <n v="0"/>
    <s v="oui"/>
    <n v="2"/>
    <n v="15"/>
    <x v="1"/>
    <x v="0"/>
    <s v=""/>
    <x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9"/>
    <s v="Extrême-Nord"/>
    <s v="CMR004"/>
    <x v="1"/>
    <s v="CMR004002"/>
    <x v="14"/>
    <s v="CMR004002009"/>
    <s v="MAK_0002"/>
    <x v="327"/>
    <s v="14.4598508"/>
    <s v="12.4192069"/>
    <s v="4"/>
    <n v="600"/>
    <s v="oui"/>
    <n v="10"/>
    <n v="60"/>
    <s v="oui"/>
    <n v="10"/>
    <s v="non"/>
    <n v="0"/>
    <s v=""/>
    <s v=""/>
    <s v="non"/>
    <n v="0"/>
    <s v=""/>
    <s v=""/>
    <s v="non"/>
    <n v="0"/>
    <s v="non"/>
    <n v="0"/>
    <s v="oui"/>
    <n v="7"/>
    <n v="40"/>
    <x v="1"/>
    <x v="0"/>
    <s v=""/>
    <x v="0"/>
    <s v="oui"/>
    <n v="7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15"/>
    <s v="Extrême-Nord"/>
    <s v="CMR004"/>
    <x v="1"/>
    <s v="CMR004002"/>
    <x v="14"/>
    <s v="CMR004002009"/>
    <s v="MAK_0061"/>
    <x v="328"/>
    <s v="14.4692124"/>
    <s v="12.3623249"/>
    <s v="4"/>
    <n v="1369"/>
    <s v="oui"/>
    <n v="6"/>
    <n v="27"/>
    <s v="oui"/>
    <n v="6"/>
    <s v="non"/>
    <n v="0"/>
    <s v=""/>
    <s v=""/>
    <s v="non"/>
    <n v="0"/>
    <s v=""/>
    <s v=""/>
    <s v="non"/>
    <n v="0"/>
    <s v="non"/>
    <n v="0"/>
    <s v="oui"/>
    <n v="10"/>
    <n v="37"/>
    <x v="1"/>
    <x v="0"/>
    <s v=""/>
    <x v="0"/>
    <s v="oui"/>
    <n v="1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6"/>
    <n v="19"/>
    <s v="non"/>
    <m/>
    <m/>
    <s v="Non"/>
    <b v="0"/>
  </r>
  <r>
    <n v="60"/>
    <s v="Extrême-Nord"/>
    <s v="CMR004"/>
    <x v="1"/>
    <s v="CMR004002"/>
    <x v="14"/>
    <s v="CMR004002009"/>
    <s v="MAK_0086"/>
    <x v="329"/>
    <s v="14.4490104"/>
    <s v="12.4593073"/>
    <s v="4"/>
    <n v="1368"/>
    <s v="oui"/>
    <n v="6"/>
    <n v="35"/>
    <s v="oui"/>
    <n v="6"/>
    <s v="non"/>
    <n v="0"/>
    <s v=""/>
    <s v=""/>
    <s v="non"/>
    <n v="0"/>
    <s v=""/>
    <s v=""/>
    <s v="non"/>
    <n v="0"/>
    <s v="non"/>
    <n v="0"/>
    <s v="oui"/>
    <n v="7"/>
    <n v="33"/>
    <x v="1"/>
    <x v="0"/>
    <s v=""/>
    <x v="0"/>
    <s v="oui"/>
    <n v="7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1"/>
    <s v="Extrême-Nord"/>
    <s v="CMR004"/>
    <x v="1"/>
    <s v="CMR004002"/>
    <x v="14"/>
    <s v="CMR004002009"/>
    <s v="MAK_0035"/>
    <x v="330"/>
    <s v="14.4648758"/>
    <s v="12.4315372"/>
    <s v="4"/>
    <n v="306"/>
    <s v="oui"/>
    <n v="29"/>
    <n v="152"/>
    <s v="oui"/>
    <n v="2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17"/>
    <s v="Extrême-Nord"/>
    <s v="CMR004"/>
    <x v="1"/>
    <s v="CMR004002"/>
    <x v="14"/>
    <s v="CMR004002009"/>
    <s v="MAK_0056"/>
    <x v="331"/>
    <s v="14.4622625"/>
    <s v="12.3604782"/>
    <s v="4"/>
    <n v="214"/>
    <s v="oui"/>
    <n v="5"/>
    <n v="22"/>
    <s v="oui"/>
    <n v="5"/>
    <s v="non"/>
    <n v="0"/>
    <s v=""/>
    <s v=""/>
    <s v="non"/>
    <n v="0"/>
    <s v=""/>
    <s v=""/>
    <s v="non"/>
    <n v="0"/>
    <s v="non"/>
    <n v="0"/>
    <s v="oui"/>
    <n v="12"/>
    <n v="65"/>
    <x v="1"/>
    <x v="0"/>
    <s v=""/>
    <x v="0"/>
    <s v="oui"/>
    <n v="1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74"/>
    <s v="Extrême-Nord"/>
    <s v="CMR004"/>
    <x v="1"/>
    <s v="CMR004002"/>
    <x v="14"/>
    <s v="CMR004002009"/>
    <s v="MAK_0034"/>
    <x v="332"/>
    <s v="14.279215"/>
    <s v="12.6379342"/>
    <s v="4"/>
    <n v="671"/>
    <s v="oui"/>
    <n v="13"/>
    <n v="77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19"/>
    <s v="Extrême-Nord"/>
    <s v="CMR004"/>
    <x v="1"/>
    <s v="CMR004002"/>
    <x v="14"/>
    <s v="CMR004002009"/>
    <s v="MAK_0018"/>
    <x v="333"/>
    <s v="14.535565"/>
    <s v="12.3520329"/>
    <s v="4"/>
    <n v="1957"/>
    <s v="oui"/>
    <n v="207"/>
    <n v="1736"/>
    <s v="oui"/>
    <n v="7"/>
    <s v="non"/>
    <n v="0"/>
    <s v=""/>
    <s v=""/>
    <s v="non"/>
    <n v="0"/>
    <s v=""/>
    <s v=""/>
    <s v="oui"/>
    <n v="200"/>
    <s v="non"/>
    <n v="0"/>
    <s v="oui"/>
    <n v="9"/>
    <n v="50"/>
    <x v="1"/>
    <x v="0"/>
    <s v=""/>
    <x v="0"/>
    <s v="oui"/>
    <n v="9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5"/>
    <n v="25"/>
    <s v="non"/>
    <m/>
    <m/>
    <s v="Non"/>
    <b v="1"/>
  </r>
  <r>
    <n v="575"/>
    <s v="Extrême-Nord"/>
    <s v="CMR004"/>
    <x v="1"/>
    <s v="CMR004002"/>
    <x v="14"/>
    <s v="CMR004002009"/>
    <s v="MAK_0068"/>
    <x v="334"/>
    <s v="14.2790945"/>
    <s v="12.6402523"/>
    <s v="4"/>
    <n v="2533"/>
    <s v="oui"/>
    <n v="27"/>
    <n v="193"/>
    <s v="oui"/>
    <n v="2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20"/>
    <s v="Extrême-Nord"/>
    <s v="CMR004"/>
    <x v="1"/>
    <s v="CMR004002"/>
    <x v="14"/>
    <s v="CMR004002009"/>
    <s v="MAK_0221"/>
    <x v="335"/>
    <s v="14.6820232"/>
    <s v="12.5233276"/>
    <s v="4"/>
    <n v="1008"/>
    <s v="oui"/>
    <n v="36"/>
    <n v="100"/>
    <s v="oui"/>
    <n v="3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76"/>
    <s v="Extrême-Nord"/>
    <s v="CMR004"/>
    <x v="1"/>
    <s v="CMR004002"/>
    <x v="14"/>
    <s v="CMR004002009"/>
    <s v="MAK_0211"/>
    <x v="336"/>
    <s v="14.6246726"/>
    <s v="12.5696537"/>
    <s v="4"/>
    <n v="1125"/>
    <s v="oui"/>
    <n v="49"/>
    <n v="195"/>
    <s v="oui"/>
    <n v="4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77"/>
    <s v="Extrême-Nord"/>
    <s v="CMR004"/>
    <x v="1"/>
    <s v="CMR004002"/>
    <x v="14"/>
    <s v="CMR004002009"/>
    <s v="MAK_0201"/>
    <x v="337"/>
    <s v="14.6491114"/>
    <s v="12.5509438"/>
    <s v="4"/>
    <n v="1700"/>
    <s v="oui"/>
    <n v="85"/>
    <n v="425"/>
    <s v="oui"/>
    <n v="8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23"/>
    <s v="Extrême-Nord"/>
    <s v="CMR004"/>
    <x v="1"/>
    <s v="CMR004002"/>
    <x v="14"/>
    <s v="CMR004002009"/>
    <s v="MAK_0212"/>
    <x v="338"/>
    <s v="14.6755511"/>
    <s v="12.5237904"/>
    <s v="4"/>
    <n v="120"/>
    <s v="oui"/>
    <n v="3"/>
    <n v="21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79"/>
    <s v="Extrême-Nord"/>
    <s v="CMR004"/>
    <x v="1"/>
    <s v="CMR004002"/>
    <x v="14"/>
    <s v="CMR004002009"/>
    <s v="MAK_0208"/>
    <x v="339"/>
    <s v="14.6720604"/>
    <s v="12.5181101"/>
    <s v="4"/>
    <n v="1950"/>
    <s v="oui"/>
    <n v="25"/>
    <n v="125"/>
    <s v="oui"/>
    <n v="2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8"/>
    <s v="Extrême-Nord"/>
    <s v="CMR004"/>
    <x v="1"/>
    <s v="CMR004002"/>
    <x v="14"/>
    <s v="CMR004002009"/>
    <s v="MAK_0016"/>
    <x v="340"/>
    <s v="14.4938418"/>
    <s v="12.406533"/>
    <s v="4"/>
    <n v="14853"/>
    <s v="oui"/>
    <n v="94"/>
    <n v="477"/>
    <s v="oui"/>
    <n v="94"/>
    <s v="non"/>
    <n v="0"/>
    <s v=""/>
    <s v=""/>
    <s v="non"/>
    <n v="0"/>
    <s v=""/>
    <s v=""/>
    <s v="non"/>
    <n v="0"/>
    <s v="non"/>
    <n v="0"/>
    <s v="oui"/>
    <n v="267"/>
    <n v="2271"/>
    <x v="1"/>
    <x v="0"/>
    <s v=""/>
    <x v="0"/>
    <s v="oui"/>
    <n v="267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24"/>
    <s v="Extrême-Nord"/>
    <s v="CMR004"/>
    <x v="1"/>
    <s v="CMR004002"/>
    <x v="14"/>
    <s v="CMR004002009"/>
    <s v="MAK_0222"/>
    <x v="341"/>
    <s v="14.7229694"/>
    <s v="12.5146816"/>
    <s v="4"/>
    <n v="620"/>
    <s v="oui"/>
    <n v="11"/>
    <n v="90"/>
    <s v="oui"/>
    <n v="1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80"/>
    <s v="Extrême-Nord"/>
    <s v="CMR004"/>
    <x v="1"/>
    <s v="CMR004002"/>
    <x v="14"/>
    <s v="CMR004002009"/>
    <s v="MAK_0197"/>
    <x v="342"/>
    <s v="14.6214619"/>
    <s v="12.5034203"/>
    <s v="4"/>
    <n v="300"/>
    <s v="oui"/>
    <n v="10"/>
    <n v="45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"/>
    <s v="Extrême-Nord"/>
    <s v="CMR004"/>
    <x v="1"/>
    <s v="CMR004002"/>
    <x v="14"/>
    <s v="CMR004002009"/>
    <s v="MAK_0113"/>
    <x v="343"/>
    <s v="14.454757"/>
    <s v="12.4744147"/>
    <s v="4"/>
    <n v="412"/>
    <s v="oui"/>
    <n v="26"/>
    <n v="100"/>
    <s v="oui"/>
    <n v="26"/>
    <s v="non"/>
    <n v="0"/>
    <s v=""/>
    <s v=""/>
    <s v="non"/>
    <n v="0"/>
    <s v=""/>
    <s v=""/>
    <s v="non"/>
    <n v="0"/>
    <s v="non"/>
    <n v="0"/>
    <s v="oui"/>
    <n v="4"/>
    <n v="27"/>
    <x v="1"/>
    <x v="0"/>
    <s v=""/>
    <x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25"/>
    <s v="Extrême-Nord"/>
    <s v="CMR004"/>
    <x v="1"/>
    <s v="CMR004002"/>
    <x v="14"/>
    <s v="CMR004002009"/>
    <s v="MAK_0206"/>
    <x v="344"/>
    <s v="14.7021541"/>
    <s v="12.5834754"/>
    <s v="4"/>
    <n v="700"/>
    <s v="oui"/>
    <n v="9"/>
    <n v="29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26"/>
    <s v="Extrême-Nord"/>
    <s v="CMR004"/>
    <x v="1"/>
    <s v="CMR004002"/>
    <x v="14"/>
    <s v="CMR004002009"/>
    <s v="MAK_0207"/>
    <x v="99"/>
    <s v="14.6796312"/>
    <s v="12.5723426"/>
    <s v="4"/>
    <n v="153"/>
    <s v="oui"/>
    <n v="10"/>
    <n v="57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83"/>
    <s v="Extrême-Nord"/>
    <s v="CMR004"/>
    <x v="1"/>
    <s v="CMR004002"/>
    <x v="14"/>
    <s v="CMR004002009"/>
    <s v="MAK_0022"/>
    <x v="345"/>
    <s v="14.3669444"/>
    <s v="12.4633678"/>
    <s v="3.5"/>
    <n v="740"/>
    <s v="oui"/>
    <n v="13"/>
    <n v="49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13"/>
    <s v="non"/>
    <n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84"/>
    <s v="Extrême-Nord"/>
    <s v="CMR004"/>
    <x v="1"/>
    <s v="CMR004002"/>
    <x v="14"/>
    <s v="CMR004002009"/>
    <s v="MAK_0023"/>
    <x v="346"/>
    <s v="14.3645053"/>
    <s v="12.469781"/>
    <s v="4"/>
    <n v="835"/>
    <s v="oui"/>
    <n v="9"/>
    <n v="35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85"/>
    <s v="Extrême-Nord"/>
    <s v="CMR004"/>
    <x v="1"/>
    <s v="CMR004002"/>
    <x v="14"/>
    <s v="CMR004002009"/>
    <s v="MAK_0026"/>
    <x v="347"/>
    <s v="14.3564128"/>
    <s v="12.4785809"/>
    <s v="4"/>
    <n v="890"/>
    <s v="oui"/>
    <n v="17"/>
    <n v="90"/>
    <s v="oui"/>
    <n v="1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36"/>
    <s v="Extrême-Nord"/>
    <s v="CMR004"/>
    <x v="1"/>
    <s v="CMR004002"/>
    <x v="14"/>
    <s v="CMR004002009"/>
    <s v="MAK_0053"/>
    <x v="348"/>
    <s v="14.384873"/>
    <s v="12.5693599"/>
    <s v="4"/>
    <n v="369"/>
    <s v="oui"/>
    <n v="23"/>
    <n v="77"/>
    <s v="oui"/>
    <n v="2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92"/>
    <s v="Extrême-Nord"/>
    <s v="CMR004"/>
    <x v="1"/>
    <s v="CMR004002"/>
    <x v="14"/>
    <s v="CMR004002009"/>
    <s v="MAK_0073"/>
    <x v="349"/>
    <s v="14.4849859"/>
    <s v="12.3938633"/>
    <s v="4"/>
    <n v="1350"/>
    <s v="oui"/>
    <n v="8"/>
    <n v="50"/>
    <s v="oui"/>
    <n v="8"/>
    <s v="non"/>
    <n v="0"/>
    <s v=""/>
    <s v=""/>
    <s v="non"/>
    <n v="0"/>
    <s v=""/>
    <s v=""/>
    <s v="non"/>
    <n v="0"/>
    <s v="non"/>
    <n v="0"/>
    <s v="oui"/>
    <n v="12"/>
    <n v="70"/>
    <x v="1"/>
    <x v="0"/>
    <s v=""/>
    <x v="0"/>
    <s v="oui"/>
    <n v="12"/>
    <s v="non"/>
    <n v="0"/>
    <s v=""/>
    <s v=""/>
    <s v="non"/>
    <n v="0"/>
    <s v=""/>
    <s v=""/>
    <s v="non"/>
    <n v="0"/>
    <s v="non"/>
    <n v="0"/>
    <s v="oui"/>
    <n v="11"/>
    <n v="50"/>
    <s v="oui"/>
    <n v="11"/>
    <s v="non"/>
    <n v="0"/>
    <s v="non"/>
    <n v="0"/>
    <s v=""/>
    <s v=""/>
    <s v="non"/>
    <n v="0"/>
    <s v=""/>
    <s v=""/>
    <s v="non"/>
    <n v="0"/>
    <s v="non"/>
    <n v="0"/>
    <s v="oui"/>
    <n v="2"/>
    <n v="15"/>
    <s v="non"/>
    <m/>
    <m/>
    <s v="Non"/>
    <b v="0"/>
  </r>
  <r>
    <n v="337"/>
    <s v="Extrême-Nord"/>
    <s v="CMR004"/>
    <x v="1"/>
    <s v="CMR004002"/>
    <x v="14"/>
    <s v="CMR004002009"/>
    <s v="MAK_0070"/>
    <x v="350"/>
    <s v="14.3898617"/>
    <s v="12.5645205"/>
    <s v="4"/>
    <n v="721"/>
    <s v="oui"/>
    <n v="5"/>
    <n v="59"/>
    <s v="oui"/>
    <n v="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93"/>
    <s v="Extrême-Nord"/>
    <s v="CMR004"/>
    <x v="1"/>
    <s v="CMR004002"/>
    <x v="14"/>
    <s v="CMR004002009"/>
    <s v="MAK_0101"/>
    <x v="351"/>
    <s v="14.4782411"/>
    <s v="12.3888799"/>
    <s v="4"/>
    <n v="650"/>
    <s v="oui"/>
    <n v="13"/>
    <n v="75"/>
    <s v="oui"/>
    <n v="13"/>
    <s v="non"/>
    <n v="0"/>
    <s v=""/>
    <s v=""/>
    <s v="non"/>
    <n v="0"/>
    <s v=""/>
    <s v=""/>
    <s v="non"/>
    <n v="0"/>
    <s v="non"/>
    <n v="0"/>
    <s v="oui"/>
    <n v="2"/>
    <n v="15"/>
    <x v="1"/>
    <x v="0"/>
    <s v=""/>
    <x v="0"/>
    <s v="oui"/>
    <n v="2"/>
    <s v="non"/>
    <n v="0"/>
    <s v=""/>
    <s v=""/>
    <s v="non"/>
    <n v="0"/>
    <s v=""/>
    <s v=""/>
    <s v="non"/>
    <n v="0"/>
    <s v="non"/>
    <n v="0"/>
    <s v="oui"/>
    <n v="3"/>
    <n v="10"/>
    <s v="oui"/>
    <n v="3"/>
    <s v="non"/>
    <n v="0"/>
    <s v="non"/>
    <n v="0"/>
    <s v=""/>
    <s v=""/>
    <s v="non"/>
    <n v="0"/>
    <s v=""/>
    <s v=""/>
    <s v="non"/>
    <n v="0"/>
    <s v="non"/>
    <n v="0"/>
    <s v="oui"/>
    <n v="2"/>
    <n v="6"/>
    <s v="non"/>
    <m/>
    <m/>
    <s v="Non"/>
    <b v="0"/>
  </r>
  <r>
    <n v="594"/>
    <s v="Extrême-Nord"/>
    <s v="CMR004"/>
    <x v="1"/>
    <s v="CMR004002"/>
    <x v="14"/>
    <s v="CMR004002009"/>
    <s v="MAK_0032"/>
    <x v="352"/>
    <s v="14.4715059"/>
    <s v="12.3859785"/>
    <s v="4"/>
    <n v="484"/>
    <s v="oui"/>
    <n v="9"/>
    <n v="51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95"/>
    <s v="Extrême-Nord"/>
    <s v="CMR004"/>
    <x v="1"/>
    <s v="CMR004002"/>
    <x v="14"/>
    <s v="CMR004002009"/>
    <s v="MAK_0010"/>
    <x v="353"/>
    <s v="14.4677302"/>
    <s v="12.3780303"/>
    <s v="4"/>
    <n v="450"/>
    <s v="oui"/>
    <n v="10"/>
    <n v="60"/>
    <s v="oui"/>
    <n v="10"/>
    <s v="non"/>
    <n v="0"/>
    <s v=""/>
    <s v=""/>
    <s v="non"/>
    <n v="0"/>
    <s v=""/>
    <s v=""/>
    <s v="non"/>
    <n v="0"/>
    <s v="non"/>
    <n v="0"/>
    <s v="oui"/>
    <n v="6"/>
    <n v="40"/>
    <x v="1"/>
    <x v="0"/>
    <s v=""/>
    <x v="0"/>
    <s v="oui"/>
    <n v="6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96"/>
    <s v="Extrême-Nord"/>
    <s v="CMR004"/>
    <x v="1"/>
    <s v="CMR004002"/>
    <x v="14"/>
    <s v="CMR004002009"/>
    <s v="MAK_0169"/>
    <x v="354"/>
    <s v="14.4595063"/>
    <s v="12.362608"/>
    <s v="4"/>
    <n v="250"/>
    <s v="oui"/>
    <n v="4"/>
    <n v="15"/>
    <s v="oui"/>
    <n v="4"/>
    <s v="non"/>
    <n v="0"/>
    <s v=""/>
    <s v=""/>
    <s v="non"/>
    <n v="0"/>
    <s v=""/>
    <s v=""/>
    <s v="non"/>
    <n v="0"/>
    <s v="non"/>
    <n v="0"/>
    <s v="oui"/>
    <n v="30"/>
    <n v="150"/>
    <x v="1"/>
    <x v="0"/>
    <s v=""/>
    <x v="0"/>
    <s v="oui"/>
    <n v="25"/>
    <s v="non"/>
    <n v="0"/>
    <s v=""/>
    <s v=""/>
    <s v="non"/>
    <n v="0"/>
    <s v=""/>
    <s v=""/>
    <s v="oui"/>
    <n v="5"/>
    <s v="non"/>
    <n v="0"/>
    <s v="oui"/>
    <n v="15"/>
    <n v="80"/>
    <s v="oui"/>
    <n v="15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85"/>
    <s v="Extrême-Nord"/>
    <s v="CMR004"/>
    <x v="1"/>
    <s v="CMR004002"/>
    <x v="14"/>
    <s v="CMR004002009"/>
    <s v="MAK_0064"/>
    <x v="355"/>
    <s v="14.4481871"/>
    <s v="12.5759859"/>
    <s v="4"/>
    <n v="60023"/>
    <s v="oui"/>
    <n v="2066"/>
    <n v="10227"/>
    <s v="oui"/>
    <n v="1778"/>
    <s v="oui"/>
    <n v="28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52"/>
    <s v="Extrême-Nord"/>
    <s v="CMR004"/>
    <x v="1"/>
    <s v="CMR004002"/>
    <x v="14"/>
    <s v="CMR004002009"/>
    <s v="MAK_0051"/>
    <x v="356"/>
    <s v="14.37856"/>
    <s v="12.4755008"/>
    <s v="4"/>
    <n v="3461"/>
    <s v="oui"/>
    <n v="10"/>
    <n v="61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"/>
    <n v="13"/>
    <s v="non"/>
    <n v="0"/>
    <s v="oui"/>
    <n v="4"/>
    <s v="non"/>
    <n v="0"/>
    <s v=""/>
    <s v=""/>
    <s v="non"/>
    <n v="0"/>
    <s v=""/>
    <s v=""/>
    <s v="non"/>
    <n v="0"/>
    <s v="non"/>
    <n v="0"/>
    <s v="oui"/>
    <n v="1"/>
    <n v="5"/>
    <s v="non"/>
    <m/>
    <m/>
    <s v="Non"/>
    <b v="0"/>
  </r>
  <r>
    <n v="97"/>
    <s v="Extrême-Nord"/>
    <s v="CMR004"/>
    <x v="1"/>
    <s v="CMR004002"/>
    <x v="14"/>
    <s v="CMR004002009"/>
    <s v="MAK_0065"/>
    <x v="357"/>
    <s v="14.4839412"/>
    <s v="12.4726461"/>
    <s v="4"/>
    <n v="852"/>
    <s v="oui"/>
    <n v="30"/>
    <n v="162"/>
    <s v="oui"/>
    <n v="30"/>
    <s v="non"/>
    <n v="0"/>
    <s v=""/>
    <s v=""/>
    <s v="non"/>
    <n v="0"/>
    <s v=""/>
    <s v=""/>
    <s v="non"/>
    <n v="0"/>
    <s v="non"/>
    <n v="0"/>
    <s v="oui"/>
    <n v="5"/>
    <n v="31"/>
    <x v="1"/>
    <x v="0"/>
    <s v=""/>
    <x v="0"/>
    <s v="oui"/>
    <n v="5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53"/>
    <s v="Extrême-Nord"/>
    <s v="CMR004"/>
    <x v="1"/>
    <s v="CMR004002"/>
    <x v="14"/>
    <s v="CMR004002009"/>
    <s v="MAK_0062"/>
    <x v="358"/>
    <s v="14.3797839"/>
    <s v="12.4552149"/>
    <s v="4"/>
    <n v="656"/>
    <s v="oui"/>
    <n v="10"/>
    <n v="56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"/>
    <n v="28"/>
    <s v="non"/>
    <n v="0"/>
    <s v="oui"/>
    <n v="7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98"/>
    <s v="Extrême-Nord"/>
    <s v="CMR004"/>
    <x v="1"/>
    <s v="CMR004002"/>
    <x v="14"/>
    <s v="CMR004002009"/>
    <s v="MAK_0148"/>
    <x v="359"/>
    <s v="14.5179354"/>
    <s v="12.374069"/>
    <s v="4"/>
    <n v="143"/>
    <s v="oui"/>
    <n v="3"/>
    <n v="15"/>
    <s v="oui"/>
    <n v="3"/>
    <s v="non"/>
    <n v="0"/>
    <s v=""/>
    <s v=""/>
    <s v="non"/>
    <n v="0"/>
    <s v=""/>
    <s v=""/>
    <s v="non"/>
    <n v="0"/>
    <s v="non"/>
    <n v="0"/>
    <s v="oui"/>
    <n v="4"/>
    <n v="25"/>
    <x v="1"/>
    <x v="0"/>
    <s v=""/>
    <x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54"/>
    <s v="Extrême-Nord"/>
    <s v="CMR004"/>
    <x v="1"/>
    <s v="CMR004002"/>
    <x v="14"/>
    <s v="CMR004002009"/>
    <s v="MAK_0011"/>
    <x v="360"/>
    <s v="14.4051212"/>
    <s v="12.5091089"/>
    <s v="4"/>
    <n v="1014"/>
    <s v="oui"/>
    <n v="6"/>
    <n v="34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55"/>
    <s v="Extrême-Nord"/>
    <s v="CMR004"/>
    <x v="1"/>
    <s v="CMR004002"/>
    <x v="14"/>
    <s v="CMR004002009"/>
    <s v="MAK_0048"/>
    <x v="361"/>
    <s v="14.4164761"/>
    <s v="12.5025074"/>
    <s v="3"/>
    <n v="1020"/>
    <s v="oui"/>
    <n v="7"/>
    <n v="37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00"/>
    <s v="Extrême-Nord"/>
    <s v="CMR004"/>
    <x v="1"/>
    <s v="CMR004002"/>
    <x v="14"/>
    <s v="CMR004002009"/>
    <s v="MAK_0031"/>
    <x v="362"/>
    <s v="14.5808398"/>
    <s v="12.3388301"/>
    <s v="4"/>
    <n v="204"/>
    <s v="oui"/>
    <n v="6"/>
    <n v="35"/>
    <s v="oui"/>
    <n v="6"/>
    <s v="non"/>
    <n v="0"/>
    <s v=""/>
    <s v=""/>
    <s v="non"/>
    <n v="0"/>
    <s v=""/>
    <s v=""/>
    <s v="non"/>
    <n v="0"/>
    <s v="non"/>
    <n v="0"/>
    <s v="oui"/>
    <n v="3"/>
    <n v="16"/>
    <x v="1"/>
    <x v="0"/>
    <s v=""/>
    <x v="0"/>
    <s v="oui"/>
    <n v="3"/>
    <s v="non"/>
    <n v="0"/>
    <s v=""/>
    <s v=""/>
    <s v="non"/>
    <n v="0"/>
    <s v=""/>
    <s v=""/>
    <s v="non"/>
    <n v="0"/>
    <s v="non"/>
    <n v="0"/>
    <s v="oui"/>
    <n v="2"/>
    <n v="37"/>
    <s v="non"/>
    <n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56"/>
    <s v="Extrême-Nord"/>
    <s v="CMR004"/>
    <x v="1"/>
    <s v="CMR004002"/>
    <x v="14"/>
    <s v="CMR004002009"/>
    <s v="MAK_0019"/>
    <x v="363"/>
    <s v="14.4248348"/>
    <s v="12.4711088"/>
    <s v="4"/>
    <n v="840"/>
    <s v="oui"/>
    <n v="14"/>
    <n v="60"/>
    <s v="oui"/>
    <n v="1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0"/>
    <n v="80"/>
    <s v="non"/>
    <n v="0"/>
    <s v="oui"/>
    <n v="2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01"/>
    <s v="Extrême-Nord"/>
    <s v="CMR004"/>
    <x v="1"/>
    <s v="CMR004002"/>
    <x v="14"/>
    <s v="CMR004002009"/>
    <s v="MAK_0088"/>
    <x v="364"/>
    <s v="14.4371834"/>
    <s v="12.461386"/>
    <s v="4"/>
    <n v="431"/>
    <s v="oui"/>
    <n v="20"/>
    <n v="107"/>
    <s v="oui"/>
    <n v="2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02"/>
    <s v="Extrême-Nord"/>
    <s v="CMR004"/>
    <x v="1"/>
    <s v="CMR004002"/>
    <x v="14"/>
    <s v="CMR004002009"/>
    <s v="MAK_0012"/>
    <x v="365"/>
    <s v="14.4353152"/>
    <s v="12.4474355"/>
    <s v="3.5"/>
    <n v="203"/>
    <s v="oui"/>
    <n v="7"/>
    <n v="52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03"/>
    <s v="Extrême-Nord"/>
    <s v="CMR004"/>
    <x v="1"/>
    <s v="CMR004002"/>
    <x v="14"/>
    <s v="CMR004002009"/>
    <s v="MAK_0007"/>
    <x v="366"/>
    <s v="14.4641796"/>
    <s v="12.435327"/>
    <s v="4"/>
    <n v="231"/>
    <s v="oui"/>
    <n v="8"/>
    <n v="36"/>
    <s v="oui"/>
    <n v="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59"/>
    <s v="Extrême-Nord"/>
    <s v="CMR004"/>
    <x v="1"/>
    <s v="CMR004002"/>
    <x v="14"/>
    <s v="CMR004002009"/>
    <s v="MAK_0199"/>
    <x v="367"/>
    <s v="14.6038302"/>
    <s v="12.5697436"/>
    <s v="4"/>
    <n v="1050"/>
    <s v="oui"/>
    <n v="7"/>
    <n v="55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04"/>
    <s v="Extrême-Nord"/>
    <s v="CMR004"/>
    <x v="1"/>
    <s v="CMR004002"/>
    <x v="14"/>
    <s v="CMR004002009"/>
    <s v="MAK_0168"/>
    <x v="368"/>
    <s v="14.4982741"/>
    <s v="12.3861691"/>
    <s v="4"/>
    <n v="450"/>
    <s v="oui"/>
    <n v="13"/>
    <n v="111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60"/>
    <s v="Extrême-Nord"/>
    <s v="CMR004"/>
    <x v="1"/>
    <s v="CMR004002"/>
    <x v="14"/>
    <s v="CMR004002009"/>
    <s v="MAK_0213"/>
    <x v="369"/>
    <s v="14.7104168"/>
    <s v="12.5443531"/>
    <s v="3.5"/>
    <n v="370"/>
    <s v="oui"/>
    <n v="16"/>
    <n v="80"/>
    <s v="oui"/>
    <n v="1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61"/>
    <s v="Extrême-Nord"/>
    <s v="CMR004"/>
    <x v="1"/>
    <s v="CMR004002"/>
    <x v="14"/>
    <s v="CMR004002009"/>
    <s v="MAK_0123"/>
    <x v="370"/>
    <s v="14.7033369"/>
    <s v="12.2106443"/>
    <s v="4"/>
    <n v="966"/>
    <s v="oui"/>
    <n v="30"/>
    <n v="243"/>
    <s v="oui"/>
    <n v="23"/>
    <s v="non"/>
    <n v="0"/>
    <s v=""/>
    <s v=""/>
    <s v="non"/>
    <n v="0"/>
    <s v=""/>
    <s v=""/>
    <s v="oui"/>
    <n v="7"/>
    <s v="non"/>
    <n v="0"/>
    <s v="oui"/>
    <n v="53"/>
    <n v="451"/>
    <x v="1"/>
    <x v="0"/>
    <s v=""/>
    <x v="0"/>
    <s v="oui"/>
    <n v="27"/>
    <s v="non"/>
    <n v="0"/>
    <s v=""/>
    <s v=""/>
    <s v="non"/>
    <n v="0"/>
    <s v=""/>
    <s v=""/>
    <s v="oui"/>
    <n v="26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62"/>
    <s v="Extrême-Nord"/>
    <s v="CMR004"/>
    <x v="1"/>
    <s v="CMR004002"/>
    <x v="14"/>
    <s v="CMR004002009"/>
    <s v="MAK_0159"/>
    <x v="371"/>
    <s v="14.7664282"/>
    <s v="12.285876"/>
    <s v="4"/>
    <n v="349"/>
    <s v="oui"/>
    <n v="2"/>
    <n v="17"/>
    <s v="oui"/>
    <n v="2"/>
    <s v="non"/>
    <n v="0"/>
    <s v=""/>
    <s v=""/>
    <s v="non"/>
    <n v="0"/>
    <s v=""/>
    <s v=""/>
    <s v="non"/>
    <n v="0"/>
    <s v="non"/>
    <n v="0"/>
    <s v="oui"/>
    <n v="4"/>
    <n v="34"/>
    <x v="1"/>
    <x v="0"/>
    <s v=""/>
    <x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63"/>
    <s v="Extrême-Nord"/>
    <s v="CMR004"/>
    <x v="1"/>
    <s v="CMR004002"/>
    <x v="14"/>
    <s v="CMR004002009"/>
    <s v="MAK_0043"/>
    <x v="372"/>
    <s v="14.7819026"/>
    <s v="12.2657281"/>
    <s v="4"/>
    <n v="525"/>
    <s v="oui"/>
    <n v="13"/>
    <n v="72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64"/>
    <s v="Extrême-Nord"/>
    <s v="CMR004"/>
    <x v="1"/>
    <s v="CMR004002"/>
    <x v="14"/>
    <s v="CMR004002009"/>
    <s v="MAK_0215"/>
    <x v="373"/>
    <s v="14.6690932"/>
    <s v="12.5810184"/>
    <s v="3.5"/>
    <n v="1100"/>
    <s v="oui"/>
    <n v="19"/>
    <n v="100"/>
    <s v="oui"/>
    <n v="1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65"/>
    <s v="Extrême-Nord"/>
    <s v="CMR004"/>
    <x v="1"/>
    <s v="CMR004002"/>
    <x v="14"/>
    <s v="CMR004002009"/>
    <s v="MAK_0216"/>
    <x v="69"/>
    <s v="14.6458931"/>
    <s v="12.5254557"/>
    <s v="4"/>
    <n v="200"/>
    <s v="oui"/>
    <n v="6"/>
    <n v="32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66"/>
    <s v="Extrême-Nord"/>
    <s v="CMR004"/>
    <x v="1"/>
    <s v="CMR004002"/>
    <x v="14"/>
    <s v="CMR004002009"/>
    <s v="MAK_0057"/>
    <x v="374"/>
    <s v="14.5742869"/>
    <s v="12.5927605"/>
    <s v="4"/>
    <n v="395"/>
    <s v="oui"/>
    <n v="15"/>
    <n v="92"/>
    <s v="oui"/>
    <n v="1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68"/>
    <s v="Extrême-Nord"/>
    <s v="CMR004"/>
    <x v="1"/>
    <s v="CMR004002"/>
    <x v="14"/>
    <s v="CMR004002009"/>
    <s v="MAK_0049"/>
    <x v="375"/>
    <s v="14.5250573"/>
    <s v="12.5564255"/>
    <s v="4"/>
    <n v="1139"/>
    <s v="oui"/>
    <n v="19"/>
    <n v="168"/>
    <s v="oui"/>
    <n v="1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69"/>
    <s v="Extrême-Nord"/>
    <s v="CMR004"/>
    <x v="1"/>
    <s v="CMR004002"/>
    <x v="14"/>
    <s v="CMR004002009"/>
    <s v="MAK_0158"/>
    <x v="376"/>
    <s v="14.4940866"/>
    <s v="12.5863423"/>
    <s v="4"/>
    <n v="223"/>
    <s v="oui"/>
    <n v="7"/>
    <n v="63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0"/>
    <s v="Extrême-Nord"/>
    <s v="CMR004"/>
    <x v="1"/>
    <s v="CMR004002"/>
    <x v="14"/>
    <s v="CMR004002009"/>
    <s v="MAK_0091"/>
    <x v="377"/>
    <s v="14.460114"/>
    <s v="12.5497391"/>
    <s v="4"/>
    <n v="1393"/>
    <s v="oui"/>
    <n v="19"/>
    <n v="178"/>
    <s v="oui"/>
    <n v="1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1"/>
    <s v="Extrême-Nord"/>
    <s v="CMR004"/>
    <x v="1"/>
    <s v="CMR004002"/>
    <x v="14"/>
    <s v="CMR004002009"/>
    <s v="MAK_0030"/>
    <x v="378"/>
    <s v="14.5483251"/>
    <s v="12.3433904"/>
    <s v="4"/>
    <n v="1200"/>
    <s v="oui"/>
    <n v="196"/>
    <n v="1365"/>
    <s v="oui"/>
    <n v="86"/>
    <s v="non"/>
    <n v="0"/>
    <s v=""/>
    <s v=""/>
    <s v="non"/>
    <n v="0"/>
    <s v=""/>
    <s v=""/>
    <s v="oui"/>
    <n v="110"/>
    <s v="non"/>
    <n v="0"/>
    <s v="oui"/>
    <n v="21"/>
    <n v="250"/>
    <x v="1"/>
    <x v="0"/>
    <s v=""/>
    <x v="0"/>
    <s v="oui"/>
    <n v="21"/>
    <s v="non"/>
    <n v="0"/>
    <s v=""/>
    <s v=""/>
    <s v="non"/>
    <n v="0"/>
    <s v=""/>
    <s v=""/>
    <s v="non"/>
    <n v="0"/>
    <s v="non"/>
    <n v="0"/>
    <s v="oui"/>
    <n v="70"/>
    <n v="350"/>
    <s v="oui"/>
    <n v="70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630"/>
    <s v="Extrême-Nord"/>
    <s v="CMR004"/>
    <x v="1"/>
    <s v="CMR004002"/>
    <x v="14"/>
    <s v="CMR004002009"/>
    <s v="MAK_0044"/>
    <x v="379"/>
    <s v="14.4713302"/>
    <s v="12.5109021"/>
    <s v="4"/>
    <n v="697"/>
    <s v="oui"/>
    <n v="34"/>
    <n v="202"/>
    <s v="oui"/>
    <n v="3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31"/>
    <s v="Extrême-Nord"/>
    <s v="CMR004"/>
    <x v="1"/>
    <s v="CMR004002"/>
    <x v="14"/>
    <s v="CMR004002009"/>
    <s v="MAK_0151"/>
    <x v="380"/>
    <s v="14.3620592"/>
    <s v="12.49547"/>
    <s v="4"/>
    <n v="347"/>
    <s v="oui"/>
    <n v="13"/>
    <n v="42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32"/>
    <s v="Extrême-Nord"/>
    <s v="CMR004"/>
    <x v="1"/>
    <s v="CMR004002"/>
    <x v="14"/>
    <s v="CMR004002009"/>
    <s v="MAK_0006"/>
    <x v="381"/>
    <s v="14.382651"/>
    <s v="12.526039"/>
    <s v="4"/>
    <n v="1087"/>
    <s v="oui"/>
    <n v="36"/>
    <n v="139"/>
    <s v="oui"/>
    <n v="3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2"/>
    <s v="oui"/>
    <n v="2"/>
    <s v="oui"/>
    <n v="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33"/>
    <s v="Extrême-Nord"/>
    <s v="CMR004"/>
    <x v="1"/>
    <s v="CMR004002"/>
    <x v="14"/>
    <s v="CMR004002009"/>
    <s v="MAK_0173"/>
    <x v="382"/>
    <s v="14.3831579"/>
    <s v="12.52388"/>
    <s v="4"/>
    <n v="141"/>
    <s v="oui"/>
    <n v="8"/>
    <n v="68"/>
    <s v="oui"/>
    <n v="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40"/>
    <s v="Extrême-Nord"/>
    <s v="CMR004"/>
    <x v="1"/>
    <s v="CMR004002"/>
    <x v="14"/>
    <s v="CMR004002009"/>
    <s v="MAK_0107"/>
    <x v="383"/>
    <s v="14.6187127"/>
    <s v="12.3822454"/>
    <s v="4"/>
    <n v="1769"/>
    <s v="oui"/>
    <n v="8"/>
    <n v="51"/>
    <s v="oui"/>
    <n v="8"/>
    <s v="non"/>
    <n v="0"/>
    <s v=""/>
    <s v=""/>
    <s v="non"/>
    <n v="0"/>
    <s v=""/>
    <s v=""/>
    <s v="non"/>
    <n v="0"/>
    <s v="non"/>
    <n v="0"/>
    <s v="oui"/>
    <n v="14"/>
    <n v="130"/>
    <x v="1"/>
    <x v="0"/>
    <s v=""/>
    <x v="0"/>
    <s v="oui"/>
    <n v="14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41"/>
    <s v="Extrême-Nord"/>
    <s v="CMR004"/>
    <x v="1"/>
    <s v="CMR004002"/>
    <x v="14"/>
    <s v="CMR004002009"/>
    <s v="MAK_0066"/>
    <x v="384"/>
    <s v="14.6415465"/>
    <s v="12.3952272"/>
    <s v="4"/>
    <n v="1744"/>
    <s v="oui"/>
    <n v="14"/>
    <n v="70"/>
    <s v="oui"/>
    <n v="1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42"/>
    <s v="Extrême-Nord"/>
    <s v="CMR004"/>
    <x v="1"/>
    <s v="CMR004002"/>
    <x v="14"/>
    <s v="CMR004002009"/>
    <s v="MAK_0143"/>
    <x v="385"/>
    <s v="14.6564686"/>
    <s v="12.4521158"/>
    <s v="4"/>
    <n v="52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43"/>
    <s v="Extrême-Nord"/>
    <s v="CMR004"/>
    <x v="1"/>
    <s v="CMR004002"/>
    <x v="14"/>
    <s v="CMR004002009"/>
    <s v="MAK_0140"/>
    <x v="386"/>
    <s v="14.6226391"/>
    <s v="12.4781653"/>
    <s v="4"/>
    <n v="3765"/>
    <s v="oui"/>
    <n v="7"/>
    <n v="60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88"/>
    <s v="Extrême-Nord"/>
    <s v="CMR004"/>
    <x v="1"/>
    <s v="CMR004002"/>
    <x v="14"/>
    <s v="CMR004002009"/>
    <s v="MAK_0040"/>
    <x v="387"/>
    <s v="14.4809406"/>
    <s v="12.3538044"/>
    <s v="4"/>
    <n v="449"/>
    <s v="oui"/>
    <n v="7"/>
    <n v="26"/>
    <s v="oui"/>
    <n v="7"/>
    <s v="non"/>
    <n v="0"/>
    <s v=""/>
    <s v=""/>
    <s v="non"/>
    <n v="0"/>
    <s v=""/>
    <s v=""/>
    <s v="non"/>
    <n v="0"/>
    <s v="non"/>
    <n v="0"/>
    <s v="oui"/>
    <n v="13"/>
    <n v="64"/>
    <x v="1"/>
    <x v="0"/>
    <s v=""/>
    <x v="0"/>
    <s v="oui"/>
    <n v="13"/>
    <s v="non"/>
    <n v="0"/>
    <s v=""/>
    <s v=""/>
    <s v="non"/>
    <n v="0"/>
    <s v=""/>
    <s v=""/>
    <s v="non"/>
    <n v="0"/>
    <s v="non"/>
    <n v="0"/>
    <s v="oui"/>
    <n v="7"/>
    <n v="26"/>
    <s v="oui"/>
    <n v="7"/>
    <s v="non"/>
    <n v="0"/>
    <s v="non"/>
    <n v="0"/>
    <s v=""/>
    <s v=""/>
    <s v="non"/>
    <n v="0"/>
    <s v=""/>
    <s v=""/>
    <s v="non"/>
    <n v="0"/>
    <s v="non"/>
    <n v="0"/>
    <s v="oui"/>
    <n v="5"/>
    <n v="20"/>
    <s v="non"/>
    <m/>
    <m/>
    <s v="Non"/>
    <b v="0"/>
  </r>
  <r>
    <n v="644"/>
    <s v="Extrême-Nord"/>
    <s v="CMR004"/>
    <x v="1"/>
    <s v="CMR004002"/>
    <x v="14"/>
    <s v="CMR004002009"/>
    <s v="MAK_0200"/>
    <x v="388"/>
    <s v="14.6228022"/>
    <s v="12.507738"/>
    <s v="3.5"/>
    <n v="35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35"/>
    <s v="Extrême-Nord"/>
    <s v="CMR004"/>
    <x v="1"/>
    <s v="CMR004002"/>
    <x v="14"/>
    <s v="CMR004002009"/>
    <s v="MAK_0105"/>
    <x v="389"/>
    <s v="14.5969423"/>
    <s v="12.302589"/>
    <s v="4"/>
    <n v="500"/>
    <s v="oui"/>
    <n v="92"/>
    <n v="460"/>
    <s v="oui"/>
    <n v="40"/>
    <s v="non"/>
    <n v="0"/>
    <s v=""/>
    <s v=""/>
    <s v="non"/>
    <n v="0"/>
    <s v=""/>
    <s v=""/>
    <s v="oui"/>
    <n v="5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6"/>
    <n v="80"/>
    <s v="oui"/>
    <n v="16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391"/>
    <s v="Extrême-Nord"/>
    <s v="CMR004"/>
    <x v="1"/>
    <s v="CMR004002"/>
    <x v="14"/>
    <s v="CMR004002009"/>
    <s v="MAK_0097"/>
    <x v="390"/>
    <s v="14.4937376"/>
    <s v="12.4063901"/>
    <s v="4"/>
    <n v="552"/>
    <s v="oui"/>
    <n v="19"/>
    <n v="82"/>
    <s v="oui"/>
    <n v="19"/>
    <s v="non"/>
    <n v="0"/>
    <s v=""/>
    <s v=""/>
    <s v="non"/>
    <n v="0"/>
    <s v=""/>
    <s v=""/>
    <s v="non"/>
    <n v="0"/>
    <s v="non"/>
    <n v="0"/>
    <s v="oui"/>
    <n v="20"/>
    <n v="120"/>
    <x v="1"/>
    <x v="0"/>
    <s v=""/>
    <x v="0"/>
    <s v="oui"/>
    <n v="2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36"/>
    <s v="Extrême-Nord"/>
    <s v="CMR004"/>
    <x v="1"/>
    <s v="CMR004002"/>
    <x v="14"/>
    <s v="CMR004002009"/>
    <s v="MAK_0110"/>
    <x v="391"/>
    <s v="14.5862504"/>
    <s v="12.3068381"/>
    <s v="4"/>
    <n v="420"/>
    <s v="oui"/>
    <n v="24"/>
    <n v="157"/>
    <s v="oui"/>
    <n v="2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4"/>
    <n v="120"/>
    <s v="oui"/>
    <n v="24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37"/>
    <s v="Extrême-Nord"/>
    <s v="CMR004"/>
    <x v="1"/>
    <s v="CMR004002"/>
    <x v="14"/>
    <s v="CMR004002009"/>
    <s v="MAK_0111"/>
    <x v="392"/>
    <s v="14.5867036"/>
    <s v="12.3063378"/>
    <s v="3.5"/>
    <n v="1500"/>
    <s v="oui"/>
    <n v="123"/>
    <n v="1432"/>
    <s v="oui"/>
    <n v="16"/>
    <s v="non"/>
    <n v="0"/>
    <s v=""/>
    <s v=""/>
    <s v="non"/>
    <n v="0"/>
    <s v=""/>
    <s v=""/>
    <s v="oui"/>
    <n v="107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93"/>
    <s v="Extrême-Nord"/>
    <s v="CMR004"/>
    <x v="1"/>
    <s v="CMR004002"/>
    <x v="14"/>
    <s v="CMR004002009"/>
    <s v="MAK_0083"/>
    <x v="393"/>
    <s v="14.3373467"/>
    <s v="12.5707215"/>
    <s v="4"/>
    <n v="760"/>
    <s v="oui"/>
    <n v="14"/>
    <n v="58"/>
    <s v="oui"/>
    <n v="1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38"/>
    <s v="Extrême-Nord"/>
    <s v="CMR004"/>
    <x v="1"/>
    <s v="CMR004002"/>
    <x v="14"/>
    <s v="CMR004002009"/>
    <s v="MAK_0112"/>
    <x v="394"/>
    <s v="14.5794076"/>
    <s v="12.3137825"/>
    <s v="2.5"/>
    <n v="1900"/>
    <s v="oui"/>
    <n v="130"/>
    <n v="1078"/>
    <s v="oui"/>
    <n v="16"/>
    <s v="non"/>
    <n v="0"/>
    <s v=""/>
    <s v=""/>
    <s v="non"/>
    <n v="0"/>
    <s v=""/>
    <s v=""/>
    <s v="oui"/>
    <n v="114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"/>
    <n v="60"/>
    <s v="oui"/>
    <n v="12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139"/>
    <s v="Extrême-Nord"/>
    <s v="CMR004"/>
    <x v="1"/>
    <s v="CMR004002"/>
    <x v="14"/>
    <s v="CMR004002009"/>
    <s v="MAK_0071"/>
    <x v="395"/>
    <s v="14.4702445"/>
    <s v="12.5343455"/>
    <s v="4"/>
    <n v="1511"/>
    <s v="oui"/>
    <n v="47"/>
    <n v="434"/>
    <s v="oui"/>
    <n v="4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"/>
    <n v="56"/>
    <s v="non"/>
    <n v="0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96"/>
    <s v="Extrême-Nord"/>
    <s v="CMR004"/>
    <x v="1"/>
    <s v="CMR004002"/>
    <x v="14"/>
    <s v="CMR004002009"/>
    <s v="MAK_0082"/>
    <x v="396"/>
    <s v="14.3368932"/>
    <s v="12.5716591"/>
    <s v="4"/>
    <n v="702"/>
    <s v="oui"/>
    <n v="25"/>
    <n v="128"/>
    <s v="oui"/>
    <n v="2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41"/>
    <s v="Extrême-Nord"/>
    <s v="CMR004"/>
    <x v="1"/>
    <s v="CMR004002"/>
    <x v="14"/>
    <s v="CMR004002009"/>
    <s v="MAK_0100"/>
    <x v="397"/>
    <s v="14.3799088"/>
    <s v="12.5034065"/>
    <s v="2.5"/>
    <n v="682"/>
    <s v="oui"/>
    <n v="23"/>
    <n v="134"/>
    <s v="oui"/>
    <n v="2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97"/>
    <s v="Extrême-Nord"/>
    <s v="CMR004"/>
    <x v="1"/>
    <s v="CMR004002"/>
    <x v="14"/>
    <s v="CMR004002009"/>
    <s v="MAK_0081"/>
    <x v="398"/>
    <s v="14.3371551"/>
    <s v="12.5724715"/>
    <s v="4"/>
    <n v="219"/>
    <s v="oui"/>
    <n v="14"/>
    <n v="78"/>
    <s v="oui"/>
    <n v="1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42"/>
    <s v="Extrême-Nord"/>
    <s v="CMR004"/>
    <x v="1"/>
    <s v="CMR004002"/>
    <x v="14"/>
    <s v="CMR004002009"/>
    <s v="MAK_0069"/>
    <x v="399"/>
    <s v="14.3823805"/>
    <s v="12.5332091"/>
    <s v="4"/>
    <n v="140"/>
    <s v="oui"/>
    <n v="10"/>
    <n v="72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98"/>
    <s v="Extrême-Nord"/>
    <s v="CMR004"/>
    <x v="1"/>
    <s v="CMR004002"/>
    <x v="14"/>
    <s v="CMR004002009"/>
    <s v="MAK_0077"/>
    <x v="400"/>
    <s v="14.3694326"/>
    <s v="12.5960065"/>
    <s v="4"/>
    <n v="286"/>
    <s v="oui"/>
    <n v="16"/>
    <n v="113"/>
    <s v="oui"/>
    <n v="1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43"/>
    <s v="Extrême-Nord"/>
    <s v="CMR004"/>
    <x v="1"/>
    <s v="CMR004002"/>
    <x v="14"/>
    <s v="CMR004002009"/>
    <s v="MAK_0050"/>
    <x v="401"/>
    <s v="14.3828351"/>
    <s v="12.526122"/>
    <s v="4"/>
    <n v="678"/>
    <s v="oui"/>
    <n v="10"/>
    <n v="37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00"/>
    <s v="Extrême-Nord"/>
    <s v="CMR004"/>
    <x v="1"/>
    <s v="CMR004002"/>
    <x v="14"/>
    <s v="CMR004002009"/>
    <s v="MAK_0080"/>
    <x v="402"/>
    <s v="14.2886367"/>
    <s v="12.6069665"/>
    <s v="4"/>
    <n v="857"/>
    <s v="oui"/>
    <n v="20"/>
    <n v="95"/>
    <s v="oui"/>
    <n v="2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01"/>
    <s v="Extrême-Nord"/>
    <s v="CMR004"/>
    <x v="1"/>
    <s v="CMR004002"/>
    <x v="14"/>
    <s v="CMR004002009"/>
    <s v="MAK_0093"/>
    <x v="403"/>
    <s v="14.3011748"/>
    <s v="12.6283204"/>
    <s v="4"/>
    <n v="7574"/>
    <s v="oui"/>
    <n v="233"/>
    <n v="1070"/>
    <s v="oui"/>
    <n v="233"/>
    <s v="non"/>
    <n v="0"/>
    <s v=""/>
    <s v=""/>
    <s v="non"/>
    <n v="0"/>
    <s v=""/>
    <s v=""/>
    <s v="non"/>
    <n v="0"/>
    <s v="non"/>
    <n v="0"/>
    <s v="oui"/>
    <n v="18"/>
    <n v="96"/>
    <x v="1"/>
    <x v="0"/>
    <s v=""/>
    <x v="0"/>
    <s v="oui"/>
    <n v="18"/>
    <s v="non"/>
    <n v="0"/>
    <s v=""/>
    <s v=""/>
    <s v="non"/>
    <n v="0"/>
    <s v=""/>
    <s v=""/>
    <s v="non"/>
    <n v="0"/>
    <s v="non"/>
    <n v="0"/>
    <s v="oui"/>
    <n v="18"/>
    <n v="96"/>
    <s v="non"/>
    <n v="0"/>
    <s v="oui"/>
    <n v="18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02"/>
    <s v="Extrême-Nord"/>
    <s v="CMR004"/>
    <x v="1"/>
    <s v="CMR004002"/>
    <x v="14"/>
    <s v="CMR004002009"/>
    <s v="MAK_0079"/>
    <x v="404"/>
    <s v="14.4155707"/>
    <s v="12.5734431"/>
    <s v="3.5"/>
    <n v="306"/>
    <s v="oui"/>
    <n v="7"/>
    <n v="56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50"/>
    <s v="Extrême-Nord"/>
    <s v="CMR004"/>
    <x v="1"/>
    <s v="CMR004002"/>
    <x v="14"/>
    <s v="CMR004002009"/>
    <s v="MAK_0038"/>
    <x v="96"/>
    <s v="14.4923933"/>
    <s v="12.4929652"/>
    <s v="4"/>
    <n v="418"/>
    <s v="oui"/>
    <n v="11"/>
    <n v="60"/>
    <s v="oui"/>
    <n v="11"/>
    <s v="non"/>
    <n v="0"/>
    <s v=""/>
    <s v=""/>
    <s v="non"/>
    <n v="0"/>
    <s v=""/>
    <s v=""/>
    <s v="non"/>
    <n v="0"/>
    <s v="non"/>
    <n v="0"/>
    <s v="oui"/>
    <n v="5"/>
    <n v="26"/>
    <x v="1"/>
    <x v="0"/>
    <s v=""/>
    <x v="0"/>
    <s v="oui"/>
    <n v="5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52"/>
    <s v="Extrême-Nord"/>
    <s v="CMR004"/>
    <x v="1"/>
    <s v="CMR004002"/>
    <x v="14"/>
    <s v="CMR004002009"/>
    <s v="MAK_0124"/>
    <x v="405"/>
    <s v="14.3573686"/>
    <s v="12.5140737"/>
    <s v="4"/>
    <n v="1083"/>
    <s v="oui"/>
    <n v="20"/>
    <n v="83"/>
    <s v="oui"/>
    <n v="20"/>
    <s v="non"/>
    <n v="0"/>
    <s v=""/>
    <s v=""/>
    <s v="non"/>
    <n v="0"/>
    <s v=""/>
    <s v=""/>
    <s v="non"/>
    <n v="0"/>
    <s v="non"/>
    <n v="0"/>
    <s v="oui"/>
    <n v="8"/>
    <n v="14"/>
    <x v="1"/>
    <x v="0"/>
    <s v=""/>
    <x v="0"/>
    <s v="oui"/>
    <n v="8"/>
    <s v="non"/>
    <n v="0"/>
    <s v=""/>
    <s v=""/>
    <s v="non"/>
    <n v="0"/>
    <s v=""/>
    <s v=""/>
    <s v="non"/>
    <n v="0"/>
    <s v="non"/>
    <n v="0"/>
    <s v="oui"/>
    <n v="17"/>
    <n v="50"/>
    <s v="oui"/>
    <n v="6"/>
    <s v="oui"/>
    <n v="1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65"/>
    <s v="Extrême-Nord"/>
    <s v="CMR004"/>
    <x v="1"/>
    <s v="CMR004002"/>
    <x v="14"/>
    <s v="CMR004002009"/>
    <s v="MAK_0136"/>
    <x v="406"/>
    <s v="14.399731"/>
    <s v="12.4581005"/>
    <s v="4"/>
    <n v="590"/>
    <s v="oui"/>
    <n v="11"/>
    <n v="40"/>
    <s v="oui"/>
    <n v="1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"/>
    <n v="8"/>
    <s v="non"/>
    <n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55"/>
    <s v="Extrême-Nord"/>
    <s v="CMR004"/>
    <x v="1"/>
    <s v="CMR004002"/>
    <x v="14"/>
    <s v="CMR004002009"/>
    <s v="MAK_0024"/>
    <x v="407"/>
    <s v="14.5562847"/>
    <s v="12.3372654"/>
    <s v="4"/>
    <n v="337"/>
    <s v="oui"/>
    <n v="39"/>
    <n v="337"/>
    <s v="oui"/>
    <n v="39"/>
    <s v="non"/>
    <n v="0"/>
    <s v=""/>
    <s v=""/>
    <s v="non"/>
    <n v="0"/>
    <s v=""/>
    <s v=""/>
    <s v="non"/>
    <n v="0"/>
    <s v="non"/>
    <n v="0"/>
    <s v="oui"/>
    <n v="3"/>
    <n v="38"/>
    <x v="1"/>
    <x v="0"/>
    <s v=""/>
    <x v="0"/>
    <s v="oui"/>
    <n v="3"/>
    <s v="non"/>
    <n v="0"/>
    <s v=""/>
    <s v=""/>
    <s v="non"/>
    <n v="0"/>
    <s v=""/>
    <s v=""/>
    <s v="non"/>
    <n v="0"/>
    <s v="non"/>
    <n v="0"/>
    <s v="oui"/>
    <n v="33"/>
    <n v="165"/>
    <s v="oui"/>
    <n v="33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68"/>
    <s v="Extrême-Nord"/>
    <s v="CMR004"/>
    <x v="1"/>
    <s v="CMR004002"/>
    <x v="14"/>
    <s v="CMR004002009"/>
    <s v="MAK_0122"/>
    <x v="408"/>
    <s v="14.6986464"/>
    <s v="12.2166973"/>
    <s v="4"/>
    <n v="332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2"/>
    <n v="187"/>
    <x v="1"/>
    <x v="0"/>
    <s v=""/>
    <x v="0"/>
    <s v="oui"/>
    <n v="2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21"/>
    <s v="Extrême-Nord"/>
    <s v="CMR004"/>
    <x v="1"/>
    <s v="CMR004002"/>
    <x v="14"/>
    <s v="CMR004002009"/>
    <s v="MAK_0126"/>
    <x v="409"/>
    <s v="14.6805265"/>
    <s v="12.2086515"/>
    <s v="4"/>
    <n v="323"/>
    <s v="oui"/>
    <n v="6"/>
    <n v="51"/>
    <s v="oui"/>
    <n v="6"/>
    <s v="non"/>
    <n v="0"/>
    <s v=""/>
    <s v=""/>
    <s v="non"/>
    <n v="0"/>
    <s v=""/>
    <s v=""/>
    <s v="non"/>
    <n v="0"/>
    <s v="non"/>
    <n v="0"/>
    <s v="oui"/>
    <n v="10"/>
    <n v="85"/>
    <x v="1"/>
    <x v="0"/>
    <s v=""/>
    <x v="0"/>
    <s v="oui"/>
    <n v="1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72"/>
    <s v="Extrême-Nord"/>
    <s v="CMR004"/>
    <x v="1"/>
    <s v="CMR004002"/>
    <x v="14"/>
    <s v="CMR004002009"/>
    <s v="MAK_0084"/>
    <x v="410"/>
    <s v="14.5568641"/>
    <s v="12.4303538"/>
    <s v="3.5"/>
    <n v="981"/>
    <s v="oui"/>
    <n v="23"/>
    <n v="152"/>
    <s v="oui"/>
    <n v="2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73"/>
    <s v="Extrême-Nord"/>
    <s v="CMR004"/>
    <x v="1"/>
    <s v="CMR004002"/>
    <x v="14"/>
    <s v="CMR004002009"/>
    <s v="MAK_0058"/>
    <x v="411"/>
    <s v="14.5415747"/>
    <s v="12.5745869"/>
    <s v="8.5"/>
    <n v="771"/>
    <s v="oui"/>
    <n v="12"/>
    <n v="71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74"/>
    <s v="Extrême-Nord"/>
    <s v="CMR004"/>
    <x v="1"/>
    <s v="CMR004002"/>
    <x v="14"/>
    <s v="CMR004002009"/>
    <s v="MAK_0225"/>
    <x v="412"/>
    <s v="14.6433286"/>
    <s v="12.2500526"/>
    <s v="4"/>
    <n v="4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7"/>
    <n v="400"/>
    <x v="2"/>
    <x v="1"/>
    <s v="Makary"/>
    <x v="4"/>
    <s v=""/>
    <n v="0"/>
    <s v="non"/>
    <n v="0"/>
    <s v=""/>
    <s v=""/>
    <s v="non"/>
    <n v="0"/>
    <s v=""/>
    <s v=""/>
    <s v="oui"/>
    <n v="47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75"/>
    <s v="Extrême-Nord"/>
    <s v="CMR004"/>
    <x v="1"/>
    <s v="CMR004002"/>
    <x v="14"/>
    <s v="CMR004002009"/>
    <s v="MAK_0054"/>
    <x v="413"/>
    <s v="14.6432624"/>
    <s v="12.2568591"/>
    <s v="4"/>
    <n v="641"/>
    <s v="oui"/>
    <n v="22"/>
    <n v="187"/>
    <s v="oui"/>
    <n v="22"/>
    <s v="non"/>
    <n v="0"/>
    <s v=""/>
    <s v=""/>
    <s v="non"/>
    <n v="0"/>
    <s v=""/>
    <s v=""/>
    <s v="non"/>
    <n v="0"/>
    <s v="non"/>
    <n v="0"/>
    <s v="oui"/>
    <n v="17"/>
    <n v="145"/>
    <x v="2"/>
    <x v="1"/>
    <s v="Makary"/>
    <x v="5"/>
    <s v="oui"/>
    <n v="6"/>
    <s v="non"/>
    <n v="0"/>
    <s v=""/>
    <s v=""/>
    <s v="non"/>
    <n v="0"/>
    <s v=""/>
    <s v=""/>
    <s v="oui"/>
    <n v="11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76"/>
    <s v="Extrême-Nord"/>
    <s v="CMR004"/>
    <x v="1"/>
    <s v="CMR004002"/>
    <x v="14"/>
    <s v="CMR004002009"/>
    <s v="MAK_0109"/>
    <x v="414"/>
    <s v="14.6444338"/>
    <s v="12.2612364"/>
    <s v="4"/>
    <n v="1554"/>
    <s v="oui"/>
    <n v="138"/>
    <n v="1174"/>
    <s v=""/>
    <n v="0"/>
    <s v="non"/>
    <n v="0"/>
    <s v=""/>
    <s v=""/>
    <s v="non"/>
    <n v="0"/>
    <s v=""/>
    <s v=""/>
    <s v="oui"/>
    <n v="138"/>
    <s v="non"/>
    <n v="0"/>
    <s v="oui"/>
    <n v="16"/>
    <n v="137"/>
    <x v="2"/>
    <x v="1"/>
    <s v="Makary"/>
    <x v="5"/>
    <s v=""/>
    <n v="0"/>
    <s v="non"/>
    <n v="0"/>
    <s v=""/>
    <s v=""/>
    <s v="non"/>
    <n v="0"/>
    <s v=""/>
    <s v=""/>
    <s v="oui"/>
    <n v="16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77"/>
    <s v="Extrême-Nord"/>
    <s v="CMR004"/>
    <x v="1"/>
    <s v="CMR004002"/>
    <x v="14"/>
    <s v="CMR004002009"/>
    <s v="MAK_0004"/>
    <x v="415"/>
    <s v="14.6406873"/>
    <s v="12.2409445"/>
    <s v="4"/>
    <n v="6557"/>
    <s v="oui"/>
    <n v="376"/>
    <n v="3196"/>
    <s v=""/>
    <n v="0"/>
    <s v="non"/>
    <n v="0"/>
    <s v=""/>
    <s v=""/>
    <s v="non"/>
    <n v="0"/>
    <s v=""/>
    <s v=""/>
    <s v="oui"/>
    <n v="376"/>
    <s v="non"/>
    <n v="0"/>
    <s v="oui"/>
    <n v="378"/>
    <n v="3214"/>
    <x v="2"/>
    <x v="1"/>
    <s v="Makary"/>
    <x v="6"/>
    <s v=""/>
    <n v="0"/>
    <s v="non"/>
    <n v="0"/>
    <s v=""/>
    <s v=""/>
    <s v="non"/>
    <n v="0"/>
    <s v=""/>
    <s v=""/>
    <s v="oui"/>
    <n v="378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78"/>
    <s v="Extrême-Nord"/>
    <s v="CMR004"/>
    <x v="1"/>
    <s v="CMR004002"/>
    <x v="14"/>
    <s v="CMR004002009"/>
    <s v="MAK_0127"/>
    <x v="416"/>
    <s v="14.6232935"/>
    <s v="12.2560164"/>
    <s v="4"/>
    <n v="323"/>
    <s v="oui"/>
    <n v="7"/>
    <n v="60"/>
    <s v="oui"/>
    <n v="5"/>
    <s v="non"/>
    <n v="0"/>
    <s v=""/>
    <s v=""/>
    <s v="non"/>
    <n v="0"/>
    <s v=""/>
    <s v=""/>
    <s v="oui"/>
    <n v="2"/>
    <s v="non"/>
    <n v="0"/>
    <s v="oui"/>
    <n v="9"/>
    <n v="77"/>
    <x v="2"/>
    <x v="1"/>
    <s v="Makary"/>
    <x v="5"/>
    <s v="non"/>
    <n v="0"/>
    <s v="non"/>
    <n v="0"/>
    <s v=""/>
    <s v=""/>
    <s v="non"/>
    <n v="0"/>
    <s v=""/>
    <s v=""/>
    <s v="oui"/>
    <n v="9"/>
    <s v="non"/>
    <n v="0"/>
    <s v="oui"/>
    <n v="5"/>
    <n v="43"/>
    <s v="oui"/>
    <n v="5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434"/>
    <s v="Extrême-Nord"/>
    <s v="CMR004"/>
    <x v="1"/>
    <s v="CMR004002"/>
    <x v="14"/>
    <s v="CMR004002009"/>
    <s v="MAK_0224"/>
    <x v="417"/>
    <s v="14.4474967"/>
    <s v="12.3649625"/>
    <s v="3.5"/>
    <n v="1150"/>
    <s v="oui"/>
    <n v="8"/>
    <n v="70"/>
    <s v="oui"/>
    <n v="8"/>
    <s v="non"/>
    <n v="0"/>
    <s v=""/>
    <s v=""/>
    <s v="non"/>
    <n v="0"/>
    <s v=""/>
    <s v=""/>
    <s v="non"/>
    <n v="0"/>
    <s v="non"/>
    <n v="0"/>
    <s v="oui"/>
    <n v="10"/>
    <n v="80"/>
    <x v="1"/>
    <x v="0"/>
    <s v=""/>
    <x v="0"/>
    <s v="oui"/>
    <n v="1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79"/>
    <s v="Extrême-Nord"/>
    <s v="CMR004"/>
    <x v="1"/>
    <s v="CMR004002"/>
    <x v="14"/>
    <s v="CMR004002009"/>
    <s v="MAK_0003"/>
    <x v="418"/>
    <s v="14.6323454"/>
    <s v="12.2332813"/>
    <s v="4"/>
    <n v="28507"/>
    <s v="oui"/>
    <n v="978"/>
    <n v="8314"/>
    <s v="oui"/>
    <n v="978"/>
    <s v="non"/>
    <n v="0"/>
    <s v=""/>
    <s v=""/>
    <s v="non"/>
    <n v="0"/>
    <s v=""/>
    <s v=""/>
    <s v="non"/>
    <n v="0"/>
    <s v="non"/>
    <n v="0"/>
    <s v="oui"/>
    <n v="52"/>
    <n v="442"/>
    <x v="2"/>
    <x v="1"/>
    <s v="Makary"/>
    <x v="5"/>
    <s v="oui"/>
    <n v="52"/>
    <s v="non"/>
    <n v="0"/>
    <s v=""/>
    <s v=""/>
    <s v="non"/>
    <n v="0"/>
    <s v=""/>
    <s v=""/>
    <s v="non"/>
    <n v="0"/>
    <s v="non"/>
    <n v="0"/>
    <s v="oui"/>
    <n v="749"/>
    <n v="6367"/>
    <s v="oui"/>
    <n v="749"/>
    <s v="non"/>
    <n v="0"/>
    <s v="non"/>
    <n v="0"/>
    <s v=""/>
    <s v=""/>
    <s v="non"/>
    <n v="0"/>
    <s v=""/>
    <s v=""/>
    <s v="non"/>
    <n v="0"/>
    <s v="non"/>
    <n v="0"/>
    <s v="oui"/>
    <n v="64"/>
    <n v="544"/>
    <s v="oui"/>
    <n v="23"/>
    <n v="196"/>
    <s v="Non"/>
    <b v="0"/>
  </r>
  <r>
    <n v="435"/>
    <s v="Extrême-Nord"/>
    <s v="CMR004"/>
    <x v="1"/>
    <s v="CMR004002"/>
    <x v="14"/>
    <s v="CMR004002009"/>
    <s v="MAK_0020"/>
    <x v="419"/>
    <s v="14.4620852"/>
    <s v="12.3649102"/>
    <s v="4"/>
    <n v="370"/>
    <s v="oui"/>
    <n v="6"/>
    <n v="27"/>
    <s v="oui"/>
    <n v="6"/>
    <s v="non"/>
    <n v="0"/>
    <s v=""/>
    <s v=""/>
    <s v="non"/>
    <n v="0"/>
    <s v=""/>
    <s v=""/>
    <s v="non"/>
    <n v="0"/>
    <s v="non"/>
    <n v="0"/>
    <s v="oui"/>
    <n v="8"/>
    <n v="42"/>
    <x v="1"/>
    <x v="0"/>
    <s v=""/>
    <x v="0"/>
    <s v="oui"/>
    <n v="8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4"/>
    <n v="17"/>
    <s v="non"/>
    <m/>
    <m/>
    <s v="Non"/>
    <b v="0"/>
  </r>
  <r>
    <n v="180"/>
    <s v="Extrême-Nord"/>
    <s v="CMR004"/>
    <x v="1"/>
    <s v="CMR004002"/>
    <x v="14"/>
    <s v="CMR004002009"/>
    <s v="MAK_0133"/>
    <x v="420"/>
    <s v="14.6603353"/>
    <s v="12.2032907"/>
    <s v="4"/>
    <n v="34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7"/>
    <n v="60"/>
    <x v="2"/>
    <x v="1"/>
    <s v="Makary"/>
    <x v="7"/>
    <s v="oui"/>
    <n v="7"/>
    <s v="non"/>
    <n v="0"/>
    <s v=""/>
    <s v=""/>
    <s v="non"/>
    <n v="0"/>
    <s v=""/>
    <s v=""/>
    <s v="non"/>
    <n v="0"/>
    <s v="non"/>
    <n v="0"/>
    <s v="oui"/>
    <n v="14"/>
    <n v="119"/>
    <s v="oui"/>
    <n v="14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81"/>
    <s v="Extrême-Nord"/>
    <s v="CMR004"/>
    <x v="1"/>
    <s v="CMR004002"/>
    <x v="14"/>
    <s v="CMR004002009"/>
    <s v="MAK_0132"/>
    <x v="421"/>
    <s v="14.6636698"/>
    <s v="12.2099307"/>
    <s v="4"/>
    <n v="145"/>
    <s v="non"/>
    <n v="0"/>
    <n v="0"/>
    <s v=""/>
    <n v="0"/>
    <s v=""/>
    <n v="0"/>
    <s v=""/>
    <s v=""/>
    <s v=""/>
    <n v="0"/>
    <s v=""/>
    <s v=""/>
    <s v=""/>
    <n v="0"/>
    <s v=""/>
    <n v="0"/>
    <s v="oui"/>
    <n v="5"/>
    <n v="43"/>
    <x v="2"/>
    <x v="1"/>
    <s v="Makary"/>
    <x v="8"/>
    <s v="oui"/>
    <n v="5"/>
    <s v="non"/>
    <n v="0"/>
    <s v=""/>
    <s v=""/>
    <s v="non"/>
    <n v="0"/>
    <s v=""/>
    <s v=""/>
    <s v="non"/>
    <n v="0"/>
    <s v="non"/>
    <n v="0"/>
    <s v="oui"/>
    <n v="12"/>
    <n v="102"/>
    <s v="oui"/>
    <n v="12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37"/>
    <s v="Extrême-Nord"/>
    <s v="CMR004"/>
    <x v="1"/>
    <s v="CMR004002"/>
    <x v="14"/>
    <s v="CMR004002009"/>
    <s v="MAK_0104"/>
    <x v="422"/>
    <s v="14.4405448"/>
    <s v="12.394867"/>
    <s v="3"/>
    <n v="2232"/>
    <s v="oui"/>
    <n v="10"/>
    <n v="52"/>
    <s v="oui"/>
    <n v="10"/>
    <s v="non"/>
    <n v="0"/>
    <s v=""/>
    <s v=""/>
    <s v="non"/>
    <n v="0"/>
    <s v=""/>
    <s v=""/>
    <s v="non"/>
    <n v="0"/>
    <s v="non"/>
    <n v="0"/>
    <s v="oui"/>
    <n v="8"/>
    <n v="42"/>
    <x v="1"/>
    <x v="0"/>
    <s v=""/>
    <x v="0"/>
    <s v="oui"/>
    <n v="8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82"/>
    <s v="Extrême-Nord"/>
    <s v="CMR004"/>
    <x v="1"/>
    <s v="CMR004002"/>
    <x v="14"/>
    <s v="CMR004002009"/>
    <s v="MAK_0118"/>
    <x v="423"/>
    <s v="14.8137189"/>
    <s v="12.1763624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38"/>
    <s v="Extrême-Nord"/>
    <s v="CMR004"/>
    <x v="1"/>
    <s v="CMR004002"/>
    <x v="14"/>
    <s v="CMR004002009"/>
    <s v="MAK_0184"/>
    <x v="424"/>
    <s v="14.7110514"/>
    <s v="12.2003902"/>
    <s v="4"/>
    <n v="4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7"/>
    <n v="400"/>
    <x v="1"/>
    <x v="0"/>
    <s v=""/>
    <x v="0"/>
    <s v="oui"/>
    <n v="29"/>
    <s v="non"/>
    <n v="0"/>
    <s v=""/>
    <s v=""/>
    <s v="non"/>
    <n v="0"/>
    <s v=""/>
    <s v=""/>
    <s v="oui"/>
    <n v="18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83"/>
    <s v="Extrême-Nord"/>
    <s v="CMR004"/>
    <x v="1"/>
    <s v="CMR004002"/>
    <x v="14"/>
    <s v="CMR004002009"/>
    <s v="MAK_0128"/>
    <x v="425"/>
    <s v="14.813715"/>
    <s v="12.1763993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oui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39"/>
    <s v="Extrême-Nord"/>
    <s v="CMR004"/>
    <x v="1"/>
    <s v="CMR004002"/>
    <x v="14"/>
    <s v="CMR004002009"/>
    <s v="MAK_0036"/>
    <x v="426"/>
    <s v="14.7804936"/>
    <s v="12.175822"/>
    <s v="3.5"/>
    <n v="800"/>
    <s v="oui"/>
    <n v="33"/>
    <n v="102"/>
    <s v="oui"/>
    <n v="33"/>
    <s v="non"/>
    <n v="0"/>
    <s v=""/>
    <s v=""/>
    <s v="non"/>
    <n v="0"/>
    <s v=""/>
    <s v=""/>
    <s v="non"/>
    <n v="0"/>
    <s v="non"/>
    <n v="0"/>
    <s v="oui"/>
    <n v="12"/>
    <n v="102"/>
    <x v="1"/>
    <x v="0"/>
    <s v=""/>
    <x v="0"/>
    <s v="oui"/>
    <n v="1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84"/>
    <s v="Extrême-Nord"/>
    <s v="CMR004"/>
    <x v="1"/>
    <s v="CMR004002"/>
    <x v="14"/>
    <s v="CMR004002009"/>
    <s v="MAK_0130"/>
    <x v="427"/>
    <s v="14.8137626"/>
    <s v="12.176365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0"/>
    <s v="Extrême-Nord"/>
    <s v="CMR004"/>
    <x v="1"/>
    <s v="CMR004002"/>
    <x v="14"/>
    <s v="CMR004002009"/>
    <s v="MAK_0052"/>
    <x v="428"/>
    <s v="14.4166233"/>
    <s v="12.5333892"/>
    <s v="4"/>
    <n v="820"/>
    <s v="oui"/>
    <n v="3"/>
    <n v="20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85"/>
    <s v="Extrême-Nord"/>
    <s v="CMR004"/>
    <x v="1"/>
    <s v="CMR004002"/>
    <x v="14"/>
    <s v="CMR004002009"/>
    <s v="MAK_0142"/>
    <x v="429"/>
    <s v="14.8137363"/>
    <s v="12.1763397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1"/>
    <s v="Extrême-Nord"/>
    <s v="CMR004"/>
    <x v="1"/>
    <s v="CMR004002"/>
    <x v="14"/>
    <s v="CMR004002009"/>
    <s v="MAK_0014"/>
    <x v="430"/>
    <s v="14.392397"/>
    <s v="12.4816023"/>
    <s v="4"/>
    <n v="1036"/>
    <s v="oui"/>
    <n v="12"/>
    <n v="56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0"/>
    <s v="non"/>
    <n v="0"/>
    <s v="oui"/>
    <n v="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86"/>
    <s v="Extrême-Nord"/>
    <s v="CMR004"/>
    <x v="1"/>
    <s v="CMR004002"/>
    <x v="14"/>
    <s v="CMR004002009"/>
    <s v="MAK_0131"/>
    <x v="431"/>
    <s v="14.8137618"/>
    <s v="12.1764239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non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2"/>
    <s v="Extrême-Nord"/>
    <s v="CMR004"/>
    <x v="1"/>
    <s v="CMR004002"/>
    <x v="14"/>
    <s v="CMR004002009"/>
    <s v="MAK_0021"/>
    <x v="432"/>
    <s v="14.4622105"/>
    <s v="12.3604022"/>
    <s v="4"/>
    <n v="11430"/>
    <s v="oui"/>
    <n v="27"/>
    <n v="208"/>
    <s v="oui"/>
    <n v="27"/>
    <s v="non"/>
    <n v="0"/>
    <s v=""/>
    <s v=""/>
    <s v="non"/>
    <n v="0"/>
    <s v=""/>
    <s v=""/>
    <s v="non"/>
    <n v="0"/>
    <s v="non"/>
    <n v="0"/>
    <s v="oui"/>
    <n v="115"/>
    <n v="726"/>
    <x v="1"/>
    <x v="0"/>
    <s v=""/>
    <x v="0"/>
    <s v="oui"/>
    <n v="115"/>
    <s v="non"/>
    <n v="0"/>
    <s v=""/>
    <s v=""/>
    <s v="non"/>
    <n v="0"/>
    <s v=""/>
    <s v=""/>
    <s v="non"/>
    <n v="0"/>
    <s v="non"/>
    <n v="0"/>
    <s v="oui"/>
    <n v="10"/>
    <n v="50"/>
    <s v="oui"/>
    <n v="10"/>
    <s v="non"/>
    <n v="0"/>
    <s v="non"/>
    <n v="0"/>
    <s v=""/>
    <s v=""/>
    <s v="non"/>
    <n v="0"/>
    <s v=""/>
    <s v=""/>
    <s v="non"/>
    <n v="0"/>
    <s v="non"/>
    <n v="0"/>
    <s v="oui"/>
    <n v="7"/>
    <n v="50"/>
    <s v="non"/>
    <m/>
    <m/>
    <s v="Non"/>
    <b v="0"/>
  </r>
  <r>
    <n v="187"/>
    <s v="Extrême-Nord"/>
    <s v="CMR004"/>
    <x v="1"/>
    <s v="CMR004002"/>
    <x v="14"/>
    <s v="CMR004002009"/>
    <s v="MAK_0121"/>
    <x v="433"/>
    <s v="14.8137647"/>
    <s v="12.1763814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3"/>
    <s v="Extrême-Nord"/>
    <s v="CMR004"/>
    <x v="1"/>
    <s v="CMR004002"/>
    <x v="14"/>
    <s v="CMR004002009"/>
    <s v="MAK_0166"/>
    <x v="434"/>
    <s v="14.6756599"/>
    <s v="12.221564"/>
    <s v="3.5"/>
    <n v="294"/>
    <s v="oui"/>
    <n v="11"/>
    <n v="94"/>
    <s v="oui"/>
    <n v="11"/>
    <s v="non"/>
    <n v="0"/>
    <s v=""/>
    <s v=""/>
    <s v="non"/>
    <n v="0"/>
    <s v=""/>
    <s v=""/>
    <s v="non"/>
    <n v="0"/>
    <s v="non"/>
    <n v="0"/>
    <s v="oui"/>
    <n v="11"/>
    <n v="92"/>
    <x v="1"/>
    <x v="0"/>
    <s v=""/>
    <x v="0"/>
    <s v="oui"/>
    <n v="4"/>
    <s v="non"/>
    <n v="0"/>
    <s v=""/>
    <s v=""/>
    <s v="non"/>
    <n v="0"/>
    <s v=""/>
    <s v=""/>
    <s v="oui"/>
    <n v="7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88"/>
    <s v="Extrême-Nord"/>
    <s v="CMR004"/>
    <x v="1"/>
    <s v="CMR004002"/>
    <x v="14"/>
    <s v="CMR004002009"/>
    <s v="MAK_0135"/>
    <x v="238"/>
    <s v="14.8137656"/>
    <s v="12.1763712"/>
    <s v="3.5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non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89"/>
    <s v="Extrême-Nord"/>
    <s v="CMR004"/>
    <x v="1"/>
    <s v="CMR004002"/>
    <x v="14"/>
    <s v="CMR004002009"/>
    <s v="MAK_0138"/>
    <x v="435"/>
    <s v="14.8137136"/>
    <s v="12.1763515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90"/>
    <s v="Extrême-Nord"/>
    <s v="CMR004"/>
    <x v="1"/>
    <s v="CMR004002"/>
    <x v="14"/>
    <s v="CMR004002009"/>
    <s v="MAK_0137"/>
    <x v="436"/>
    <s v="14.8137272"/>
    <s v="12.1763726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non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6"/>
    <s v="Extrême-Nord"/>
    <s v="CMR004"/>
    <x v="1"/>
    <s v="CMR004002"/>
    <x v="14"/>
    <s v="CMR004002009"/>
    <s v="MAK_0028"/>
    <x v="437"/>
    <s v="14.6178376"/>
    <s v="12.378843"/>
    <s v="4"/>
    <n v="1878"/>
    <s v="oui"/>
    <n v="6"/>
    <n v="42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91"/>
    <s v="Extrême-Nord"/>
    <s v="CMR004"/>
    <x v="1"/>
    <s v="CMR004002"/>
    <x v="14"/>
    <s v="CMR004002009"/>
    <s v="MAK_0141"/>
    <x v="438"/>
    <s v="14.8135371"/>
    <s v="12.1761954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non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7"/>
    <s v="Extrême-Nord"/>
    <s v="CMR004"/>
    <x v="1"/>
    <s v="CMR004002"/>
    <x v="14"/>
    <s v="CMR004002009"/>
    <s v="MAK_0188"/>
    <x v="439"/>
    <s v="14.6087512"/>
    <s v="12.3736272"/>
    <s v="4"/>
    <n v="86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92"/>
    <s v="Extrême-Nord"/>
    <s v="CMR004"/>
    <x v="1"/>
    <s v="CMR004002"/>
    <x v="14"/>
    <s v="CMR004002009"/>
    <s v="MAK_0125"/>
    <x v="440"/>
    <s v="14.8136945"/>
    <s v="12.176324"/>
    <s v="3.5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non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8"/>
    <s v="Extrême-Nord"/>
    <s v="CMR004"/>
    <x v="1"/>
    <s v="CMR004002"/>
    <x v="14"/>
    <s v="CMR004002009"/>
    <s v="MAK_0033"/>
    <x v="441"/>
    <s v="14.5823748"/>
    <s v="12.3916143"/>
    <s v="4"/>
    <n v="1754"/>
    <s v="oui"/>
    <n v="21"/>
    <n v="98"/>
    <s v="oui"/>
    <n v="21"/>
    <s v="non"/>
    <n v="0"/>
    <s v=""/>
    <s v=""/>
    <s v="non"/>
    <n v="0"/>
    <s v=""/>
    <s v=""/>
    <s v="non"/>
    <n v="0"/>
    <s v="non"/>
    <n v="0"/>
    <s v="oui"/>
    <n v="20"/>
    <n v="75"/>
    <x v="1"/>
    <x v="0"/>
    <s v=""/>
    <x v="0"/>
    <s v="oui"/>
    <n v="2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93"/>
    <s v="Extrême-Nord"/>
    <s v="CMR004"/>
    <x v="1"/>
    <s v="CMR004002"/>
    <x v="14"/>
    <s v="CMR004002009"/>
    <s v="MAK_0067"/>
    <x v="442"/>
    <s v="14.8182809"/>
    <s v="12.1813061"/>
    <s v="4"/>
    <n v="6000"/>
    <s v="oui"/>
    <n v="49"/>
    <n v="257"/>
    <s v="oui"/>
    <n v="7"/>
    <s v="oui"/>
    <n v="4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94"/>
    <s v="Extrême-Nord"/>
    <s v="CMR004"/>
    <x v="1"/>
    <s v="CMR004002"/>
    <x v="14"/>
    <s v="CMR004002009"/>
    <s v="MAK_0108"/>
    <x v="443"/>
    <s v="14.4349162"/>
    <s v="12.5709859"/>
    <s v="4"/>
    <n v="867"/>
    <s v="oui"/>
    <n v="15"/>
    <n v="134"/>
    <s v="oui"/>
    <n v="1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96"/>
    <s v="Extrême-Nord"/>
    <s v="CMR004"/>
    <x v="1"/>
    <s v="CMR004002"/>
    <x v="14"/>
    <s v="CMR004002009"/>
    <s v="MAK_0205"/>
    <x v="444"/>
    <s v="14.4651237"/>
    <s v="12.5732198"/>
    <s v="4"/>
    <n v="520"/>
    <s v="oui"/>
    <n v="35"/>
    <n v="175"/>
    <s v="oui"/>
    <n v="3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55"/>
    <s v="Extrême-Nord"/>
    <s v="CMR004"/>
    <x v="1"/>
    <s v="CMR004002"/>
    <x v="14"/>
    <s v="CMR004002009"/>
    <s v="MAK_0147"/>
    <x v="445"/>
    <s v="14.7299055"/>
    <s v="12.1813066"/>
    <s v="3"/>
    <n v="345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0"/>
    <n v="170"/>
    <x v="1"/>
    <x v="0"/>
    <s v=""/>
    <x v="0"/>
    <s v="oui"/>
    <n v="2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0"/>
    <s v="Extrême-Nord"/>
    <s v="CMR004"/>
    <x v="1"/>
    <s v="CMR004002"/>
    <x v="14"/>
    <s v="CMR004002009"/>
    <s v="MAK_0144"/>
    <x v="446"/>
    <s v="14.5247212"/>
    <s v="12.3747794"/>
    <s v="4"/>
    <n v="8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0"/>
    <n v="218"/>
    <x v="1"/>
    <x v="0"/>
    <s v=""/>
    <x v="0"/>
    <s v="oui"/>
    <n v="2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1"/>
    <s v="Extrême-Nord"/>
    <s v="CMR004"/>
    <x v="1"/>
    <s v="CMR004002"/>
    <x v="14"/>
    <s v="CMR004002009"/>
    <s v="MAK_0165"/>
    <x v="447"/>
    <s v="14.560888"/>
    <s v="12.3597084"/>
    <s v="4"/>
    <n v="3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57"/>
    <s v="Extrême-Nord"/>
    <s v="CMR004"/>
    <x v="1"/>
    <s v="CMR004002"/>
    <x v="14"/>
    <s v="CMR004002009"/>
    <s v="MAK_0001"/>
    <x v="448"/>
    <s v="14.3470452"/>
    <s v="12.532959"/>
    <s v="4"/>
    <n v="690"/>
    <s v="oui"/>
    <n v="17"/>
    <n v="86"/>
    <s v="oui"/>
    <n v="1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2"/>
    <s v="Extrême-Nord"/>
    <s v="CMR004"/>
    <x v="1"/>
    <s v="CMR004002"/>
    <x v="14"/>
    <s v="CMR004002009"/>
    <s v="MAK_0180"/>
    <x v="449"/>
    <s v="14.5747043"/>
    <s v="12.3467668"/>
    <s v="3.5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58"/>
    <s v="Extrême-Nord"/>
    <s v="CMR004"/>
    <x v="1"/>
    <s v="CMR004002"/>
    <x v="14"/>
    <s v="CMR004002009"/>
    <s v="MAK_0103"/>
    <x v="450"/>
    <s v="14.3631173"/>
    <s v="12.5394777"/>
    <s v="4"/>
    <n v="1078"/>
    <s v="oui"/>
    <n v="12"/>
    <n v="48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"/>
    <n v="10"/>
    <s v="non"/>
    <n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59"/>
    <s v="Extrême-Nord"/>
    <s v="CMR004"/>
    <x v="1"/>
    <s v="CMR004002"/>
    <x v="14"/>
    <s v="CMR004002009"/>
    <s v="MAK_0156"/>
    <x v="451"/>
    <s v="14.3638166"/>
    <s v="12.5383296"/>
    <s v="4"/>
    <n v="215"/>
    <s v="oui"/>
    <n v="8"/>
    <n v="47"/>
    <s v="oui"/>
    <n v="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6"/>
    <s v="Extrême-Nord"/>
    <s v="CMR004"/>
    <x v="1"/>
    <s v="CMR004002"/>
    <x v="14"/>
    <s v="CMR004002009"/>
    <s v="MAK_0055"/>
    <x v="452"/>
    <s v="14.4429606"/>
    <s v="12.4557119"/>
    <s v="4"/>
    <n v="352"/>
    <s v="oui"/>
    <n v="19"/>
    <n v="99"/>
    <s v="oui"/>
    <n v="1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7"/>
    <s v="Extrême-Nord"/>
    <s v="CMR004"/>
    <x v="1"/>
    <s v="CMR004002"/>
    <x v="14"/>
    <s v="CMR004002009"/>
    <s v="MAK_0045"/>
    <x v="453"/>
    <s v="14.4355596"/>
    <s v="12.4489113"/>
    <s v="4"/>
    <n v="185"/>
    <s v="oui"/>
    <n v="4"/>
    <n v="43"/>
    <s v="oui"/>
    <n v="4"/>
    <s v="non"/>
    <n v="0"/>
    <s v=""/>
    <s v=""/>
    <s v="non"/>
    <n v="0"/>
    <s v=""/>
    <s v=""/>
    <s v="non"/>
    <n v="0"/>
    <s v="non"/>
    <n v="0"/>
    <s v="oui"/>
    <n v="3"/>
    <n v="15"/>
    <x v="1"/>
    <x v="0"/>
    <s v=""/>
    <x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10"/>
    <s v="Extrême-Nord"/>
    <s v="CMR004"/>
    <x v="1"/>
    <s v="CMR004002"/>
    <x v="14"/>
    <s v="CMR004002009"/>
    <s v="MAK_0149"/>
    <x v="454"/>
    <s v="14.5133292"/>
    <s v="12.3789258"/>
    <s v="3.5"/>
    <n v="395"/>
    <s v="oui"/>
    <n v="4"/>
    <n v="18"/>
    <s v="oui"/>
    <n v="4"/>
    <s v="non"/>
    <n v="0"/>
    <s v=""/>
    <s v=""/>
    <s v="non"/>
    <n v="0"/>
    <s v=""/>
    <s v=""/>
    <s v="non"/>
    <n v="0"/>
    <s v="non"/>
    <n v="0"/>
    <s v="oui"/>
    <n v="4"/>
    <n v="18"/>
    <x v="1"/>
    <x v="0"/>
    <s v=""/>
    <x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11"/>
    <s v="Extrême-Nord"/>
    <s v="CMR004"/>
    <x v="1"/>
    <s v="CMR004002"/>
    <x v="14"/>
    <s v="CMR004002009"/>
    <s v="MAK_0078"/>
    <x v="455"/>
    <s v="14.4593745"/>
    <s v="12.3606804"/>
    <s v="4"/>
    <n v="609"/>
    <s v="oui"/>
    <n v="6"/>
    <n v="32"/>
    <s v="oui"/>
    <n v="6"/>
    <s v="non"/>
    <n v="0"/>
    <s v=""/>
    <s v=""/>
    <s v="non"/>
    <n v="0"/>
    <s v=""/>
    <s v=""/>
    <s v="non"/>
    <n v="0"/>
    <s v="non"/>
    <n v="0"/>
    <s v="oui"/>
    <n v="6"/>
    <n v="20"/>
    <x v="1"/>
    <x v="0"/>
    <s v=""/>
    <x v="0"/>
    <s v="oui"/>
    <n v="5"/>
    <s v="oui"/>
    <n v="1"/>
    <s v="famille_daccueil"/>
    <s v=""/>
    <s v="non"/>
    <n v="0"/>
    <s v=""/>
    <s v=""/>
    <s v="non"/>
    <n v="0"/>
    <s v="non"/>
    <n v="0"/>
    <s v="oui"/>
    <n v="8"/>
    <n v="35"/>
    <s v="oui"/>
    <n v="8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81"/>
    <s v="Extrême-Nord"/>
    <s v="CMR004"/>
    <x v="1"/>
    <s v="CMR004002"/>
    <x v="14"/>
    <s v="CMR004002009"/>
    <s v="MAK_0046"/>
    <x v="456"/>
    <s v="14.4538216"/>
    <s v="12.58235"/>
    <s v="4"/>
    <n v="30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82"/>
    <s v="Extrême-Nord"/>
    <s v="CMR004"/>
    <x v="1"/>
    <s v="CMR004002"/>
    <x v="14"/>
    <s v="CMR004002009"/>
    <s v="MAK_0129"/>
    <x v="82"/>
    <s v="14.4537301"/>
    <s v="12.5823151"/>
    <s v="4"/>
    <n v="17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83"/>
    <s v="Extrême-Nord"/>
    <s v="CMR004"/>
    <x v="1"/>
    <s v="CMR004002"/>
    <x v="14"/>
    <s v="CMR004002009"/>
    <s v="MAK_0063"/>
    <x v="457"/>
    <s v="14.4538095"/>
    <s v="12.5823481"/>
    <s v="4"/>
    <n v="25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84"/>
    <s v="Extrême-Nord"/>
    <s v="CMR004"/>
    <x v="1"/>
    <s v="CMR004002"/>
    <x v="14"/>
    <s v="CMR004002009"/>
    <s v="MAK_0072"/>
    <x v="458"/>
    <s v="14.4536658"/>
    <s v="12.5822998"/>
    <s v="4"/>
    <n v="78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29"/>
    <s v="Extrême-Nord"/>
    <s v="CMR004"/>
    <x v="1"/>
    <s v="CMR004002"/>
    <x v="14"/>
    <s v="CMR004002009"/>
    <s v="MAK_0162"/>
    <x v="459"/>
    <s v="14.4536038"/>
    <s v="12.5821677"/>
    <s v="4"/>
    <n v="7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85"/>
    <s v="Extrême-Nord"/>
    <s v="CMR004"/>
    <x v="1"/>
    <s v="CMR004002"/>
    <x v="14"/>
    <s v="CMR004002009"/>
    <s v="MAK_0015"/>
    <x v="460"/>
    <s v="14.4538634"/>
    <s v="12.5822351"/>
    <s v="4"/>
    <n v="12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86"/>
    <s v="Extrême-Nord"/>
    <s v="CMR004"/>
    <x v="1"/>
    <s v="CMR004002"/>
    <x v="14"/>
    <s v="CMR004002009"/>
    <s v="MAK_0005"/>
    <x v="461"/>
    <s v="14.4537724"/>
    <s v="12.5822773"/>
    <s v="3.5"/>
    <n v="16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38"/>
    <s v="Extrême-Nord"/>
    <s v="CMR004"/>
    <x v="1"/>
    <s v="CMR004002"/>
    <x v="14"/>
    <s v="CMR004002009"/>
    <s v="MAK_0095"/>
    <x v="462"/>
    <s v="14.8296023"/>
    <s v="12.153536"/>
    <s v="3.5"/>
    <n v="714"/>
    <s v="oui"/>
    <n v="30"/>
    <n v="100"/>
    <s v="oui"/>
    <n v="3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39"/>
    <s v="Extrême-Nord"/>
    <s v="CMR004"/>
    <x v="1"/>
    <s v="CMR004002"/>
    <x v="14"/>
    <s v="CMR004002009"/>
    <s v="MAK_0096"/>
    <x v="463"/>
    <s v="14.8235281"/>
    <s v="12.1442197"/>
    <s v="4"/>
    <n v="662"/>
    <s v="oui"/>
    <n v="18"/>
    <n v="105"/>
    <s v="oui"/>
    <n v="1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42"/>
    <s v="Extrême-Nord"/>
    <s v="CMR004"/>
    <x v="1"/>
    <s v="CMR004002"/>
    <x v="14"/>
    <s v="CMR004002009"/>
    <s v="MAK_0089"/>
    <x v="464"/>
    <s v="14.6910927"/>
    <s v="12.2297751"/>
    <s v="4"/>
    <n v="903"/>
    <s v="oui"/>
    <n v="40"/>
    <n v="340"/>
    <s v="oui"/>
    <n v="32"/>
    <s v="non"/>
    <n v="0"/>
    <s v=""/>
    <s v=""/>
    <s v="non"/>
    <n v="0"/>
    <s v=""/>
    <s v=""/>
    <s v="oui"/>
    <n v="8"/>
    <s v="non"/>
    <n v="0"/>
    <s v="oui"/>
    <n v="63"/>
    <n v="471"/>
    <x v="2"/>
    <x v="1"/>
    <s v="Makary"/>
    <x v="9"/>
    <s v="oui"/>
    <n v="48"/>
    <s v="non"/>
    <n v="0"/>
    <s v=""/>
    <s v=""/>
    <s v="non"/>
    <n v="0"/>
    <s v=""/>
    <s v=""/>
    <s v="oui"/>
    <n v="15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68"/>
    <s v="Extrême-Nord"/>
    <s v="CMR004"/>
    <x v="1"/>
    <s v="CMR004002"/>
    <x v="15"/>
    <s v="CMR004002010"/>
    <s v="HIL_0020"/>
    <x v="465"/>
    <s v="14.3875604"/>
    <s v="12.6048814"/>
    <s v="10"/>
    <n v="888"/>
    <s v="oui"/>
    <n v="13"/>
    <n v="104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9"/>
    <s v="Extrême-Nord"/>
    <s v="CMR004"/>
    <x v="1"/>
    <s v="CMR004002"/>
    <x v="15"/>
    <s v="CMR004002010"/>
    <s v="HIL_0023"/>
    <x v="466"/>
    <s v="14.341"/>
    <s v="12.68169"/>
    <s v="5.7"/>
    <n v="273"/>
    <s v="oui"/>
    <n v="6"/>
    <n v="49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"/>
    <s v="Extrême-Nord"/>
    <s v="CMR004"/>
    <x v="1"/>
    <s v="CMR004002"/>
    <x v="15"/>
    <s v="CMR004002010"/>
    <s v="HIL_0006"/>
    <x v="467"/>
    <s v="14.3197183333"/>
    <s v="12.6917566667"/>
    <s v="5.7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85"/>
    <n v="414"/>
    <s v="non"/>
    <m/>
    <m/>
    <s v="Non"/>
    <b v="0"/>
  </r>
  <r>
    <n v="625"/>
    <s v="Extrême-Nord"/>
    <s v="CMR004"/>
    <x v="1"/>
    <s v="CMR004002"/>
    <x v="15"/>
    <s v="CMR004002010"/>
    <s v="HIL_0011"/>
    <x v="468"/>
    <s v="14.3056252"/>
    <s v="12.6948226"/>
    <s v="4"/>
    <n v="2625"/>
    <s v="oui"/>
    <n v="41"/>
    <n v="265"/>
    <s v="oui"/>
    <n v="4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27"/>
    <s v="Extrême-Nord"/>
    <s v="CMR004"/>
    <x v="1"/>
    <s v="CMR004002"/>
    <x v="15"/>
    <s v="CMR004002010"/>
    <s v="HIL_0014"/>
    <x v="469"/>
    <s v="14.2733824"/>
    <s v="12.7837859"/>
    <s v="4"/>
    <n v="1543"/>
    <s v="oui"/>
    <n v="68"/>
    <n v="544"/>
    <s v="oui"/>
    <n v="38"/>
    <s v="oui"/>
    <n v="4"/>
    <s v="famille_daccueil"/>
    <s v=""/>
    <s v="non"/>
    <n v="0"/>
    <s v=""/>
    <s v=""/>
    <s v="oui"/>
    <n v="26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6"/>
    <n v="368"/>
    <s v="oui"/>
    <n v="46"/>
    <s v="non"/>
    <n v="0"/>
    <s v="non"/>
    <n v="0"/>
    <s v=""/>
    <s v=""/>
    <s v="non"/>
    <n v="0"/>
    <s v=""/>
    <s v=""/>
    <s v="non"/>
    <n v="0"/>
    <s v="non"/>
    <n v="0"/>
    <s v="oui"/>
    <n v="919"/>
    <n v="4849"/>
    <s v="non"/>
    <m/>
    <m/>
    <s v="Non"/>
    <b v="1"/>
  </r>
  <r>
    <n v="639"/>
    <s v="Extrême-Nord"/>
    <s v="CMR004"/>
    <x v="1"/>
    <s v="CMR004002"/>
    <x v="15"/>
    <s v="CMR004002010"/>
    <s v="HIL_0013"/>
    <x v="88"/>
    <s v="14.3498133333"/>
    <s v="12.6766983333"/>
    <s v="4"/>
    <n v="204"/>
    <s v="oui"/>
    <n v="7"/>
    <n v="64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46"/>
    <s v="Extrême-Nord"/>
    <s v="CMR004"/>
    <x v="1"/>
    <s v="CMR004002"/>
    <x v="15"/>
    <s v="CMR004002010"/>
    <s v="HIL_0015"/>
    <x v="470"/>
    <s v="14.2952269"/>
    <s v="12.7319088"/>
    <s v="4"/>
    <n v="1290"/>
    <s v="oui"/>
    <n v="25"/>
    <n v="224"/>
    <s v="oui"/>
    <n v="2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96"/>
    <n v="512"/>
    <s v="oui"/>
    <n v="96"/>
    <s v="non"/>
    <n v="0"/>
    <s v="non"/>
    <n v="0"/>
    <s v=""/>
    <s v=""/>
    <s v="non"/>
    <n v="0"/>
    <s v=""/>
    <s v=""/>
    <s v="non"/>
    <n v="0"/>
    <s v="non"/>
    <n v="0"/>
    <s v="oui"/>
    <n v="3"/>
    <n v="27"/>
    <s v="non"/>
    <m/>
    <m/>
    <s v="Non"/>
    <b v="0"/>
  </r>
  <r>
    <n v="151"/>
    <s v="Extrême-Nord"/>
    <s v="CMR004"/>
    <x v="1"/>
    <s v="CMR004002"/>
    <x v="15"/>
    <s v="CMR004002010"/>
    <s v="HIL_0024"/>
    <x v="471"/>
    <s v="14.3765116"/>
    <s v="12.6627276"/>
    <s v="5.5"/>
    <n v="2496"/>
    <s v="oui"/>
    <n v="12"/>
    <n v="96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6"/>
    <s v="Extrême-Nord"/>
    <s v="CMR004"/>
    <x v="1"/>
    <s v="CMR004002"/>
    <x v="15"/>
    <s v="CMR004002010"/>
    <s v="HIL_0002"/>
    <x v="472"/>
    <s v="14.28095"/>
    <s v="12.6730166667"/>
    <s v="4.5"/>
    <n v="3856"/>
    <s v="oui"/>
    <n v="251"/>
    <n v="1836"/>
    <s v="oui"/>
    <n v="201"/>
    <s v="non"/>
    <n v="0"/>
    <s v=""/>
    <s v=""/>
    <s v="non"/>
    <n v="0"/>
    <s v=""/>
    <s v=""/>
    <s v="non"/>
    <n v="0"/>
    <s v="oui"/>
    <n v="5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8"/>
    <s v="Extrême-Nord"/>
    <s v="CMR004"/>
    <x v="1"/>
    <s v="CMR004002"/>
    <x v="15"/>
    <s v="CMR004002010"/>
    <s v="HIL_0004"/>
    <x v="473"/>
    <s v="14.2865433333"/>
    <s v="12.6728816667"/>
    <s v="4.7"/>
    <n v="442"/>
    <s v="oui"/>
    <n v="16"/>
    <n v="109"/>
    <s v="oui"/>
    <n v="1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9"/>
    <s v="Extrême-Nord"/>
    <s v="CMR004"/>
    <x v="1"/>
    <s v="CMR004002"/>
    <x v="15"/>
    <s v="CMR004002010"/>
    <s v="HIL_0010"/>
    <x v="474"/>
    <s v="14.3165751"/>
    <s v="12.6924742"/>
    <s v="4"/>
    <n v="3995"/>
    <s v="oui"/>
    <n v="129"/>
    <n v="870"/>
    <s v="oui"/>
    <n v="12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80"/>
    <s v="Extrême-Nord"/>
    <s v="CMR004"/>
    <x v="1"/>
    <s v="CMR004002"/>
    <x v="15"/>
    <s v="CMR004002010"/>
    <s v="HIL_0003"/>
    <x v="475"/>
    <s v="14.2873383333"/>
    <s v="12.67699"/>
    <s v="4"/>
    <n v="1811"/>
    <s v="oui"/>
    <n v="21"/>
    <n v="126"/>
    <s v="oui"/>
    <n v="2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81"/>
    <s v="Extrême-Nord"/>
    <s v="CMR004"/>
    <x v="1"/>
    <s v="CMR004002"/>
    <x v="15"/>
    <s v="CMR004002010"/>
    <s v="HIL_0021"/>
    <x v="476"/>
    <s v="14.351295"/>
    <s v="12.6768716667"/>
    <s v="4.3"/>
    <n v="1264"/>
    <s v="oui"/>
    <n v="33"/>
    <n v="264"/>
    <s v="oui"/>
    <n v="3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82"/>
    <s v="Extrême-Nord"/>
    <s v="CMR004"/>
    <x v="1"/>
    <s v="CMR004002"/>
    <x v="15"/>
    <s v="CMR004002010"/>
    <s v="HIL_0022"/>
    <x v="477"/>
    <s v="14.3445933333"/>
    <s v="12.6805533333"/>
    <s v="4"/>
    <n v="697"/>
    <s v="oui"/>
    <n v="11"/>
    <n v="89"/>
    <s v="oui"/>
    <n v="1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56"/>
    <s v="Extrême-Nord"/>
    <s v="CMR004"/>
    <x v="1"/>
    <s v="CMR004002"/>
    <x v="15"/>
    <s v="CMR004002010"/>
    <s v="HIL_0018"/>
    <x v="478"/>
    <s v="14.372729"/>
    <s v="12.6666954"/>
    <s v="6"/>
    <n v="1720"/>
    <s v="oui"/>
    <n v="15"/>
    <n v="120"/>
    <s v="oui"/>
    <n v="1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64"/>
    <s v="Extrême-Nord"/>
    <s v="CMR004"/>
    <x v="1"/>
    <s v="CMR004002"/>
    <x v="15"/>
    <s v="CMR004002010"/>
    <s v="HIL_0019"/>
    <x v="479"/>
    <s v="14.382959"/>
    <s v="12.5997334"/>
    <s v="24"/>
    <n v="1056"/>
    <s v="oui"/>
    <n v="14"/>
    <n v="112"/>
    <s v="oui"/>
    <n v="1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22"/>
    <s v="Extrême-Nord"/>
    <s v="CMR004"/>
    <x v="1"/>
    <s v="CMR004002"/>
    <x v="15"/>
    <s v="CMR004002010"/>
    <s v="HIL_0007"/>
    <x v="480"/>
    <s v="14.3892631"/>
    <s v="12.63157"/>
    <s v="16.5"/>
    <n v="1096"/>
    <s v="oui"/>
    <n v="13"/>
    <n v="104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00"/>
    <s v="Extrême-Nord"/>
    <s v="CMR004"/>
    <x v="1"/>
    <s v="CMR004002"/>
    <x v="15"/>
    <s v="CMR004002010"/>
    <s v="HIL_0016"/>
    <x v="481"/>
    <s v="14.3056877"/>
    <s v="12.6948238"/>
    <s v="7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98"/>
    <n v="590"/>
    <s v="non"/>
    <m/>
    <m/>
    <s v="Non"/>
    <b v="0"/>
  </r>
  <r>
    <n v="253"/>
    <s v="Extrême-Nord"/>
    <s v="CMR004"/>
    <x v="1"/>
    <s v="CMR004002"/>
    <x v="15"/>
    <s v="CMR004002010"/>
    <s v="HIL_0012"/>
    <x v="482"/>
    <s v="14.3083984"/>
    <s v="12.6885574"/>
    <s v="5000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54"/>
    <s v="Extrême-Nord"/>
    <s v="CMR004"/>
    <x v="1"/>
    <s v="CMR004002"/>
    <x v="15"/>
    <s v="CMR004002010"/>
    <s v="HIL_0008"/>
    <x v="483"/>
    <s v="14.318135"/>
    <s v="12.6913716667"/>
    <s v="5.5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167"/>
    <n v="1022"/>
    <s v="non"/>
    <m/>
    <m/>
    <s v="Non"/>
    <b v="0"/>
  </r>
  <r>
    <n v="255"/>
    <s v="Extrême-Nord"/>
    <s v="CMR004"/>
    <x v="1"/>
    <s v="CMR004002"/>
    <x v="15"/>
    <s v="CMR004002010"/>
    <s v="HIL_0005"/>
    <x v="484"/>
    <s v="14.3144751"/>
    <s v="12.6946968"/>
    <s v="1891"/>
    <n v="695"/>
    <s v="oui"/>
    <n v="15"/>
    <n v="137"/>
    <s v="oui"/>
    <n v="1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217"/>
    <n v="1715"/>
    <s v="non"/>
    <m/>
    <m/>
    <s v="Non"/>
    <b v="0"/>
  </r>
  <r>
    <n v="560"/>
    <s v="Extrême-Nord"/>
    <s v="CMR004"/>
    <x v="2"/>
    <s v="CMR004003"/>
    <x v="16"/>
    <s v="CMR004003001"/>
    <s v="KAI_0005"/>
    <x v="485"/>
    <s v="15.0316201"/>
    <s v="10.6675015"/>
    <s v="4"/>
    <n v="4000"/>
    <s v="oui"/>
    <n v="42"/>
    <n v="254"/>
    <s v="oui"/>
    <n v="16"/>
    <s v="oui"/>
    <n v="2"/>
    <s v="famille_daccueil"/>
    <s v=""/>
    <s v="non"/>
    <n v="0"/>
    <s v=""/>
    <s v=""/>
    <s v="oui"/>
    <n v="24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3"/>
    <n v="142"/>
    <s v="oui"/>
    <n v="18"/>
    <s v="oui"/>
    <n v="2"/>
    <s v="non"/>
    <n v="0"/>
    <s v=""/>
    <s v=""/>
    <s v="non"/>
    <n v="0"/>
    <s v=""/>
    <s v=""/>
    <s v="oui"/>
    <n v="3"/>
    <s v="non"/>
    <n v="0"/>
    <s v="oui"/>
    <n v="2"/>
    <n v="9"/>
    <s v="non"/>
    <m/>
    <m/>
    <s v="Non"/>
    <b v="1"/>
  </r>
  <r>
    <n v="561"/>
    <s v="Extrême-Nord"/>
    <s v="CMR004"/>
    <x v="2"/>
    <s v="CMR004003"/>
    <x v="16"/>
    <s v="CMR004003001"/>
    <s v="KAI_0006"/>
    <x v="486"/>
    <s v="15.0177324"/>
    <s v="10.6576569"/>
    <s v="4"/>
    <n v="408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7"/>
    <n v="190"/>
    <s v="oui"/>
    <n v="22"/>
    <s v="non"/>
    <n v="0"/>
    <s v="non"/>
    <n v="0"/>
    <s v=""/>
    <s v=""/>
    <s v="non"/>
    <n v="0"/>
    <s v=""/>
    <s v=""/>
    <s v="oui"/>
    <n v="5"/>
    <s v="non"/>
    <n v="0"/>
    <s v="non"/>
    <n v="0"/>
    <n v="0"/>
    <s v="non"/>
    <m/>
    <m/>
    <s v="Non"/>
    <b v="1"/>
  </r>
  <r>
    <n v="123"/>
    <s v="Extrême-Nord"/>
    <s v="CMR004"/>
    <x v="2"/>
    <s v="CMR004003"/>
    <x v="16"/>
    <s v="CMR004003001"/>
    <s v="KAI_0007"/>
    <x v="487"/>
    <s v="15.0373857"/>
    <s v="10.6704658"/>
    <s v="4"/>
    <n v="4500"/>
    <s v="oui"/>
    <n v="2"/>
    <n v="15"/>
    <s v="oui"/>
    <n v="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5"/>
    <n v="280"/>
    <s v="oui"/>
    <n v="42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79"/>
    <s v="Extrême-Nord"/>
    <s v="CMR004"/>
    <x v="2"/>
    <s v="CMR004003"/>
    <x v="16"/>
    <s v="CMR004003001"/>
    <s v="KAI_0003"/>
    <x v="488"/>
    <s v="15.1310411"/>
    <s v="10.664975"/>
    <s v="4"/>
    <n v="80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14"/>
    <n v="1290"/>
    <s v="oui"/>
    <n v="204"/>
    <s v="oui"/>
    <n v="2"/>
    <s v="non"/>
    <n v="0"/>
    <s v=""/>
    <s v=""/>
    <s v="non"/>
    <n v="0"/>
    <s v=""/>
    <s v=""/>
    <s v="oui"/>
    <n v="8"/>
    <s v="non"/>
    <n v="0"/>
    <s v="oui"/>
    <n v="9"/>
    <n v="45"/>
    <s v="non"/>
    <m/>
    <m/>
    <s v="Non"/>
    <b v="1"/>
  </r>
  <r>
    <n v="652"/>
    <s v="Extrême-Nord"/>
    <s v="CMR004"/>
    <x v="2"/>
    <s v="CMR004003"/>
    <x v="16"/>
    <s v="CMR004003001"/>
    <s v="KAI_0009"/>
    <x v="489"/>
    <s v="15.0410527"/>
    <s v="10.5635826"/>
    <s v="3"/>
    <n v="4125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3"/>
    <n v="102"/>
    <s v="oui"/>
    <n v="9"/>
    <s v="non"/>
    <n v="0"/>
    <s v="non"/>
    <n v="0"/>
    <s v=""/>
    <s v=""/>
    <s v="non"/>
    <n v="0"/>
    <s v=""/>
    <s v=""/>
    <s v="oui"/>
    <n v="4"/>
    <s v="non"/>
    <n v="0"/>
    <s v="non"/>
    <n v="0"/>
    <n v="0"/>
    <s v="non"/>
    <m/>
    <m/>
    <s v="Non"/>
    <b v="1"/>
  </r>
  <r>
    <n v="660"/>
    <s v="Extrême-Nord"/>
    <s v="CMR004"/>
    <x v="2"/>
    <s v="CMR004003"/>
    <x v="16"/>
    <s v="CMR004003001"/>
    <s v="KAI_0002"/>
    <x v="490"/>
    <s v="15.0169449"/>
    <s v="10.6234858"/>
    <s v="4"/>
    <n v="3510"/>
    <s v="oui"/>
    <n v="15"/>
    <n v="82"/>
    <s v="oui"/>
    <n v="12"/>
    <s v="non"/>
    <n v="0"/>
    <s v=""/>
    <s v=""/>
    <s v="non"/>
    <n v="0"/>
    <s v=""/>
    <s v=""/>
    <s v="oui"/>
    <n v="3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5"/>
    <n v="275"/>
    <s v="oui"/>
    <n v="40"/>
    <s v="oui"/>
    <n v="2"/>
    <s v="non"/>
    <n v="0"/>
    <s v=""/>
    <s v=""/>
    <s v="non"/>
    <n v="0"/>
    <s v=""/>
    <s v=""/>
    <s v="oui"/>
    <n v="3"/>
    <s v="non"/>
    <n v="0"/>
    <s v="non"/>
    <n v="0"/>
    <n v="0"/>
    <s v="non"/>
    <m/>
    <m/>
    <s v="Non"/>
    <b v="1"/>
  </r>
  <r>
    <n v="406"/>
    <s v="Extrême-Nord"/>
    <s v="CMR004"/>
    <x v="2"/>
    <s v="CMR004003"/>
    <x v="16"/>
    <s v="CMR004003001"/>
    <s v="KAI_0004"/>
    <x v="491"/>
    <s v="15.1099044"/>
    <s v="10.7156151"/>
    <s v="4"/>
    <n v="6100"/>
    <s v="oui"/>
    <n v="27"/>
    <n v="185"/>
    <s v="non"/>
    <n v="0"/>
    <s v="non"/>
    <n v="0"/>
    <s v=""/>
    <s v=""/>
    <s v="non"/>
    <n v="0"/>
    <s v=""/>
    <s v=""/>
    <s v="oui"/>
    <n v="27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"/>
    <n v="101"/>
    <s v="oui"/>
    <n v="7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153"/>
    <s v="Extrême-Nord"/>
    <s v="CMR004"/>
    <x v="2"/>
    <s v="CMR004003"/>
    <x v="16"/>
    <s v="CMR004003001"/>
    <s v="KAI_0008"/>
    <x v="492"/>
    <s v="15.0294703"/>
    <s v="10.5891501"/>
    <s v="3.5"/>
    <n v="3000"/>
    <s v="oui"/>
    <n v="6"/>
    <n v="38"/>
    <s v="oui"/>
    <n v="4"/>
    <s v="non"/>
    <n v="0"/>
    <s v=""/>
    <s v=""/>
    <s v="non"/>
    <n v="0"/>
    <s v=""/>
    <s v=""/>
    <s v="oui"/>
    <n v="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107"/>
    <s v="oui"/>
    <n v="13"/>
    <s v="non"/>
    <n v="0"/>
    <s v="non"/>
    <n v="0"/>
    <s v=""/>
    <s v=""/>
    <s v="non"/>
    <n v="0"/>
    <s v=""/>
    <s v=""/>
    <s v="oui"/>
    <n v="2"/>
    <s v="non"/>
    <n v="0"/>
    <s v="non"/>
    <n v="0"/>
    <n v="0"/>
    <s v="non"/>
    <m/>
    <m/>
    <s v="Non"/>
    <b v="1"/>
  </r>
  <r>
    <n v="493"/>
    <s v="Extrême-Nord"/>
    <s v="CMR004"/>
    <x v="2"/>
    <s v="CMR004003"/>
    <x v="16"/>
    <s v="CMR004003001"/>
    <s v="KAI_0001"/>
    <x v="493"/>
    <s v="15.23251"/>
    <s v="10.3441399"/>
    <s v="4"/>
    <n v="4028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02"/>
    <n v="1212"/>
    <s v="oui"/>
    <n v="96"/>
    <s v="oui"/>
    <n v="88"/>
    <s v="non"/>
    <n v="0"/>
    <s v=""/>
    <s v=""/>
    <s v="non"/>
    <n v="0"/>
    <s v=""/>
    <s v=""/>
    <s v="oui"/>
    <n v="18"/>
    <s v="non"/>
    <n v="0"/>
    <s v="oui"/>
    <n v="2"/>
    <n v="14"/>
    <s v="non"/>
    <m/>
    <m/>
    <s v="Non"/>
    <b v="1"/>
  </r>
  <r>
    <n v="3"/>
    <s v="Extrême-Nord"/>
    <s v="CMR004"/>
    <x v="2"/>
    <s v="CMR004003"/>
    <x v="17"/>
    <s v="CMR004003002"/>
    <s v="MAG_0003"/>
    <x v="494"/>
    <s v="14.8341078"/>
    <s v="10.8868597"/>
    <s v="4"/>
    <n v="29281"/>
    <s v="oui"/>
    <n v="68"/>
    <n v="578"/>
    <s v="non"/>
    <n v="0"/>
    <s v="oui"/>
    <n v="6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1"/>
    <s v="Extrême-Nord"/>
    <s v="CMR004"/>
    <x v="2"/>
    <s v="CMR004003"/>
    <x v="17"/>
    <s v="CMR004003002"/>
    <s v="MAG_0004"/>
    <x v="495"/>
    <s v="14.8396504"/>
    <s v="10.9054597"/>
    <s v="4"/>
    <n v="364"/>
    <s v="oui"/>
    <n v="52"/>
    <n v="364"/>
    <s v=""/>
    <n v="0"/>
    <s v="non"/>
    <n v="0"/>
    <s v=""/>
    <s v=""/>
    <s v="non"/>
    <n v="0"/>
    <s v=""/>
    <s v=""/>
    <s v="oui"/>
    <n v="5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59"/>
    <s v="Extrême-Nord"/>
    <s v="CMR004"/>
    <x v="2"/>
    <s v="CMR004003"/>
    <x v="17"/>
    <s v="CMR004003002"/>
    <s v="MAG_0006"/>
    <x v="496"/>
    <s v="15.0170802"/>
    <s v="10.971911"/>
    <s v="3.5"/>
    <n v="4630"/>
    <s v="oui"/>
    <n v="33"/>
    <n v="179"/>
    <s v="oui"/>
    <n v="5"/>
    <s v="non"/>
    <n v="0"/>
    <s v=""/>
    <s v=""/>
    <s v="non"/>
    <n v="0"/>
    <s v=""/>
    <s v=""/>
    <s v="oui"/>
    <n v="28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0"/>
    <n v="850"/>
    <s v=""/>
    <n v="0"/>
    <s v=""/>
    <n v="0"/>
    <s v=""/>
    <n v="0"/>
    <s v=""/>
    <s v=""/>
    <s v=""/>
    <n v="0"/>
    <s v=""/>
    <s v=""/>
    <s v="oui"/>
    <n v="120"/>
    <s v=""/>
    <n v="0"/>
    <s v="non"/>
    <n v="0"/>
    <n v="0"/>
    <s v="non"/>
    <m/>
    <m/>
    <s v="Non"/>
    <b v="1"/>
  </r>
  <r>
    <n v="338"/>
    <s v="Extrême-Nord"/>
    <s v="CMR004"/>
    <x v="2"/>
    <s v="CMR004003"/>
    <x v="17"/>
    <s v="CMR004003002"/>
    <s v="MAG_0005"/>
    <x v="497"/>
    <s v="15.0322062"/>
    <s v="10.8423125"/>
    <s v="4"/>
    <n v="36000"/>
    <s v="oui"/>
    <n v="324"/>
    <n v="2410"/>
    <s v=""/>
    <n v="0"/>
    <s v="non"/>
    <n v="0"/>
    <s v=""/>
    <s v=""/>
    <s v="non"/>
    <n v="0"/>
    <s v=""/>
    <s v=""/>
    <s v="oui"/>
    <n v="324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29"/>
    <s v="Extrême-Nord"/>
    <s v="CMR004"/>
    <x v="2"/>
    <s v="CMR004003"/>
    <x v="17"/>
    <s v="CMR004003002"/>
    <s v="MAG_0001"/>
    <x v="498"/>
    <s v="14.80535"/>
    <s v="10.8594863"/>
    <s v="4"/>
    <n v="2765"/>
    <s v="oui"/>
    <n v="36"/>
    <n v="190"/>
    <s v=""/>
    <n v="0"/>
    <s v="non"/>
    <n v="0"/>
    <s v=""/>
    <s v=""/>
    <s v="non"/>
    <n v="0"/>
    <s v=""/>
    <s v=""/>
    <s v="oui"/>
    <n v="36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"/>
    <n v="13"/>
    <s v="non"/>
    <n v="0"/>
    <s v=""/>
    <n v="0"/>
    <s v="non"/>
    <n v="0"/>
    <s v=""/>
    <s v=""/>
    <s v="non"/>
    <n v="0"/>
    <s v=""/>
    <s v=""/>
    <s v="oui"/>
    <n v="2"/>
    <s v="non"/>
    <n v="0"/>
    <s v="non"/>
    <n v="0"/>
    <n v="0"/>
    <s v="non"/>
    <m/>
    <m/>
    <s v="Non"/>
    <b v="1"/>
  </r>
  <r>
    <n v="226"/>
    <s v="Extrême-Nord"/>
    <s v="CMR004"/>
    <x v="2"/>
    <s v="CMR004003"/>
    <x v="17"/>
    <s v="CMR004003002"/>
    <s v="MAG_0002"/>
    <x v="499"/>
    <s v="14.8435036"/>
    <s v="10.8882555"/>
    <s v="4"/>
    <n v="1518"/>
    <s v="oui"/>
    <n v="102"/>
    <n v="1518"/>
    <s v=""/>
    <n v="0"/>
    <s v="non"/>
    <n v="0"/>
    <s v=""/>
    <s v=""/>
    <s v="non"/>
    <n v="0"/>
    <s v=""/>
    <s v=""/>
    <s v="oui"/>
    <n v="10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62"/>
    <s v="Extrême-Nord"/>
    <s v="CMR004"/>
    <x v="2"/>
    <s v="CMR004003"/>
    <x v="18"/>
    <s v="CMR004003006"/>
    <s v="GUM_0006"/>
    <x v="500"/>
    <s v="15.2696043"/>
    <s v="10.3998324"/>
    <s v="4"/>
    <n v="288"/>
    <s v="oui"/>
    <n v="6"/>
    <n v="48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86"/>
    <s v="Extrême-Nord"/>
    <s v="CMR004"/>
    <x v="2"/>
    <s v="CMR004003"/>
    <x v="18"/>
    <s v="CMR004003006"/>
    <s v="GUM_0004"/>
    <x v="501"/>
    <s v="15.2132245"/>
    <s v="10.4904456"/>
    <s v="4"/>
    <n v="730"/>
    <s v="oui"/>
    <n v="56"/>
    <n v="370"/>
    <s v="oui"/>
    <n v="5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75"/>
    <s v="oui"/>
    <n v="15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25"/>
    <s v="Extrême-Nord"/>
    <s v="CMR004"/>
    <x v="2"/>
    <s v="CMR004003"/>
    <x v="18"/>
    <s v="CMR004003006"/>
    <s v="GUM_0001"/>
    <x v="502"/>
    <s v="15.2148527"/>
    <s v="10.4740457"/>
    <s v="4"/>
    <n v="598"/>
    <s v="oui"/>
    <n v="35"/>
    <n v="280"/>
    <s v="oui"/>
    <n v="3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75"/>
    <s v="oui"/>
    <n v="15"/>
    <s v="non"/>
    <n v="0"/>
    <s v="non"/>
    <n v="0"/>
    <s v=""/>
    <s v=""/>
    <s v="non"/>
    <n v="0"/>
    <s v=""/>
    <s v=""/>
    <s v="non"/>
    <n v="0"/>
    <s v="non"/>
    <n v="0"/>
    <s v="oui"/>
    <n v="16"/>
    <n v="100"/>
    <s v="non"/>
    <m/>
    <m/>
    <s v="Non"/>
    <b v="0"/>
  </r>
  <r>
    <n v="657"/>
    <s v="Extrême-Nord"/>
    <s v="CMR004"/>
    <x v="2"/>
    <s v="CMR004003"/>
    <x v="18"/>
    <s v="CMR004003006"/>
    <s v="GUM_0005"/>
    <x v="503"/>
    <s v="15.1762514"/>
    <s v="10.5059589"/>
    <s v="3.5"/>
    <n v="1500"/>
    <s v="oui"/>
    <n v="100"/>
    <n v="500"/>
    <s v="oui"/>
    <n v="10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0"/>
    <n v="150"/>
    <s v="non"/>
    <n v="0"/>
    <s v="oui"/>
    <n v="3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21"/>
    <s v="Extrême-Nord"/>
    <s v="CMR004"/>
    <x v="2"/>
    <s v="CMR004003"/>
    <x v="18"/>
    <s v="CMR004003006"/>
    <s v="GUM_0003"/>
    <x v="504"/>
    <s v="15.1882817"/>
    <s v="10.5022517"/>
    <s v="3.5"/>
    <n v="7000"/>
    <s v="oui"/>
    <n v="40"/>
    <n v="420"/>
    <s v="oui"/>
    <n v="4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4"/>
    <n v="120"/>
    <s v="oui"/>
    <n v="24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40"/>
    <s v="Extrême-Nord"/>
    <s v="CMR004"/>
    <x v="2"/>
    <s v="CMR004003"/>
    <x v="19"/>
    <s v="CMR004003009"/>
    <s v="YAG_0001"/>
    <x v="505"/>
    <s v="15.2387971"/>
    <s v="10.3340664"/>
    <s v="3.5"/>
    <n v="3600"/>
    <s v="oui"/>
    <n v="262"/>
    <n v="1200"/>
    <s v="non"/>
    <n v="0"/>
    <s v="oui"/>
    <n v="62"/>
    <s v="famille_daccueil"/>
    <s v=""/>
    <s v="oui"/>
    <n v="17"/>
    <s v="autre"/>
    <s v="Camp de dana "/>
    <s v="oui"/>
    <n v="183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659"/>
    <s v="Extrême-Nord"/>
    <s v="CMR004"/>
    <x v="2"/>
    <s v="CMR004003"/>
    <x v="19"/>
    <s v="CMR004003009"/>
    <s v="YAG_0003"/>
    <x v="506"/>
    <s v="15.2641672"/>
    <s v="10.1793638"/>
    <s v="4"/>
    <n v="1500"/>
    <s v="oui"/>
    <n v="10"/>
    <n v="50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0"/>
    <n v="350"/>
    <s v="oui"/>
    <n v="70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Oui"/>
    <b v="0"/>
  </r>
  <r>
    <n v="662"/>
    <s v="Extrême-Nord"/>
    <s v="CMR004"/>
    <x v="2"/>
    <s v="CMR004003"/>
    <x v="19"/>
    <s v="CMR004003009"/>
    <s v="YAG_0002"/>
    <x v="507"/>
    <s v="15.2558319"/>
    <s v="10.1482179"/>
    <s v="4"/>
    <n v="2500"/>
    <s v="oui"/>
    <n v="12"/>
    <n v="60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90"/>
    <n v="450"/>
    <s v="oui"/>
    <n v="90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Oui"/>
    <b v="0"/>
  </r>
  <r>
    <n v="72"/>
    <s v="Extrême-Nord"/>
    <s v="CMR004"/>
    <x v="2"/>
    <s v="CMR004003"/>
    <x v="20"/>
    <s v="CMR004003010"/>
    <s v="GUR_0003"/>
    <x v="508"/>
    <s v="15.2554342"/>
    <s v="10.0336223"/>
    <s v="4"/>
    <n v="15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0"/>
    <n v="200"/>
    <s v="oui"/>
    <n v="20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73"/>
    <s v="Extrême-Nord"/>
    <s v="CMR004"/>
    <x v="2"/>
    <s v="CMR004003"/>
    <x v="20"/>
    <s v="CMR004003010"/>
    <s v="GUR_0005"/>
    <x v="509"/>
    <s v="15.2612076"/>
    <s v="10.0863753"/>
    <s v="4"/>
    <n v="302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92"/>
    <s v="oui"/>
    <n v="15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94"/>
    <s v="Extrême-Nord"/>
    <s v="CMR004"/>
    <x v="2"/>
    <s v="CMR004003"/>
    <x v="20"/>
    <s v="CMR004003010"/>
    <s v="GUR_0001"/>
    <x v="510"/>
    <s v="15.2711762"/>
    <s v="10.0653032"/>
    <s v="4"/>
    <n v="122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0"/>
    <n v="250"/>
    <s v="non"/>
    <n v="0"/>
    <s v="oui"/>
    <n v="47"/>
    <s v="non"/>
    <n v="0"/>
    <s v=""/>
    <s v=""/>
    <s v="non"/>
    <n v="0"/>
    <s v=""/>
    <s v=""/>
    <s v="oui"/>
    <n v="3"/>
    <s v="non"/>
    <n v="0"/>
    <s v="non"/>
    <n v="0"/>
    <n v="0"/>
    <s v="non"/>
    <m/>
    <m/>
    <s v="Non"/>
    <b v="1"/>
  </r>
  <r>
    <n v="119"/>
    <s v="Extrême-Nord"/>
    <s v="CMR004"/>
    <x v="2"/>
    <s v="CMR004003"/>
    <x v="20"/>
    <s v="CMR004003010"/>
    <s v="GUR_0004"/>
    <x v="511"/>
    <s v="15.2571678"/>
    <s v="10.0534996"/>
    <s v="4"/>
    <n v="2200"/>
    <s v="oui"/>
    <n v="7"/>
    <n v="33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8"/>
    <n v="227"/>
    <s v="oui"/>
    <n v="18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92"/>
    <s v="Extrême-Nord"/>
    <s v="CMR004"/>
    <x v="2"/>
    <s v="CMR004003"/>
    <x v="20"/>
    <s v="CMR004003010"/>
    <s v="GUR_0002"/>
    <x v="512"/>
    <s v="15.3176227"/>
    <s v="10.1643527"/>
    <s v="4"/>
    <n v="23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0"/>
    <n v="300"/>
    <s v="oui"/>
    <n v="60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"/>
    <s v="Extrême-Nord"/>
    <s v="CMR004"/>
    <x v="2"/>
    <s v="CMR004003"/>
    <x v="21"/>
    <s v="CMR004003011"/>
    <s v="GOB_0008"/>
    <x v="513"/>
    <s v="15.4790259"/>
    <s v="10.107858"/>
    <s v="4"/>
    <n v="2000"/>
    <s v="oui"/>
    <n v="28"/>
    <n v="172"/>
    <s v="oui"/>
    <n v="19"/>
    <s v="non"/>
    <n v="0"/>
    <s v=""/>
    <s v=""/>
    <s v="non"/>
    <n v="0"/>
    <s v=""/>
    <s v=""/>
    <s v="oui"/>
    <n v="9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7"/>
    <s v="Extrême-Nord"/>
    <s v="CMR004"/>
    <x v="2"/>
    <s v="CMR004003"/>
    <x v="21"/>
    <s v="CMR004003011"/>
    <s v="GOB_0007"/>
    <x v="514"/>
    <s v="15.4935045"/>
    <s v="10.0904024"/>
    <s v="3.5"/>
    <n v="2000"/>
    <s v="oui"/>
    <n v="26"/>
    <n v="164"/>
    <s v="non"/>
    <n v="0"/>
    <s v="non"/>
    <n v="0"/>
    <s v=""/>
    <s v=""/>
    <s v="non"/>
    <n v="0"/>
    <s v=""/>
    <s v=""/>
    <s v="oui"/>
    <n v="24"/>
    <s v="oui"/>
    <n v="2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65"/>
    <s v="Extrême-Nord"/>
    <s v="CMR004"/>
    <x v="2"/>
    <s v="CMR004003"/>
    <x v="21"/>
    <s v="CMR004003011"/>
    <s v="GOB_0009"/>
    <x v="515"/>
    <s v="15.5796336"/>
    <s v="10.0316666"/>
    <s v="4"/>
    <n v="2000"/>
    <s v="oui"/>
    <n v="17"/>
    <n v="97"/>
    <s v="oui"/>
    <n v="8"/>
    <s v="non"/>
    <n v="0"/>
    <s v=""/>
    <s v=""/>
    <s v="non"/>
    <n v="0"/>
    <s v=""/>
    <s v=""/>
    <s v="oui"/>
    <n v="9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66"/>
    <s v="Extrême-Nord"/>
    <s v="CMR004"/>
    <x v="2"/>
    <s v="CMR004003"/>
    <x v="21"/>
    <s v="CMR004003011"/>
    <s v="GOB_0002"/>
    <x v="516"/>
    <s v="15.4956761"/>
    <s v="10.0810759"/>
    <s v="4"/>
    <n v="2000"/>
    <s v="oui"/>
    <n v="31"/>
    <n v="153"/>
    <s v="oui"/>
    <n v="9"/>
    <s v="non"/>
    <n v="0"/>
    <s v=""/>
    <s v=""/>
    <s v="non"/>
    <n v="0"/>
    <s v=""/>
    <s v=""/>
    <s v="oui"/>
    <n v="2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24"/>
    <s v="Extrême-Nord"/>
    <s v="CMR004"/>
    <x v="2"/>
    <s v="CMR004003"/>
    <x v="21"/>
    <s v="CMR004003011"/>
    <s v="GOB_0006"/>
    <x v="517"/>
    <s v="15.6093463"/>
    <s v="10.014168"/>
    <s v="4"/>
    <n v="5000"/>
    <s v="oui"/>
    <n v="37"/>
    <n v="196"/>
    <s v="oui"/>
    <n v="18"/>
    <s v="non"/>
    <n v="0"/>
    <s v=""/>
    <s v=""/>
    <s v="non"/>
    <n v="0"/>
    <s v=""/>
    <s v=""/>
    <s v="oui"/>
    <n v="19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661"/>
    <s v="Extrême-Nord"/>
    <s v="CMR004"/>
    <x v="2"/>
    <s v="CMR004003"/>
    <x v="21"/>
    <s v="CMR004003011"/>
    <s v="GOB_0001"/>
    <x v="518"/>
    <s v="15.5619834"/>
    <s v="10.0408353"/>
    <s v="4"/>
    <n v="500"/>
    <s v="oui"/>
    <n v="44"/>
    <n v="313"/>
    <s v="oui"/>
    <n v="15"/>
    <s v="non"/>
    <n v="0"/>
    <s v=""/>
    <s v=""/>
    <s v="oui"/>
    <n v="1"/>
    <s v="ecole"/>
    <s v=""/>
    <s v="oui"/>
    <n v="28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663"/>
    <s v="Extrême-Nord"/>
    <s v="CMR004"/>
    <x v="2"/>
    <s v="CMR004003"/>
    <x v="21"/>
    <s v="CMR004003011"/>
    <s v="GOB_0004"/>
    <x v="519"/>
    <s v="15.4387032"/>
    <s v="10.0020003"/>
    <s v="4"/>
    <n v="100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4"/>
    <n v="112"/>
    <x v="1"/>
    <x v="0"/>
    <s v=""/>
    <x v="0"/>
    <s v="oui"/>
    <n v="9"/>
    <s v="oui"/>
    <n v="15"/>
    <s v="maison_independante"/>
    <s v=""/>
    <s v="non"/>
    <n v="0"/>
    <s v=""/>
    <s v=""/>
    <s v="non"/>
    <n v="0"/>
    <s v="non"/>
    <n v="0"/>
    <s v="oui"/>
    <n v="9"/>
    <n v="50"/>
    <s v="non"/>
    <n v="0"/>
    <s v="oui"/>
    <n v="5"/>
    <s v="oui"/>
    <n v="4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36"/>
    <s v="Extrême-Nord"/>
    <s v="CMR004"/>
    <x v="2"/>
    <s v="CMR004003"/>
    <x v="21"/>
    <s v="CMR004003011"/>
    <s v="GOB_0005"/>
    <x v="520"/>
    <s v="15.6137073"/>
    <s v="10.0072194"/>
    <s v="4"/>
    <n v="3000"/>
    <s v="oui"/>
    <n v="51"/>
    <n v="324"/>
    <s v="oui"/>
    <n v="20"/>
    <s v="non"/>
    <n v="0"/>
    <s v=""/>
    <s v=""/>
    <s v="non"/>
    <n v="0"/>
    <s v=""/>
    <s v=""/>
    <s v="oui"/>
    <n v="31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53"/>
    <s v="Extrême-Nord"/>
    <s v="CMR004"/>
    <x v="2"/>
    <s v="CMR004003"/>
    <x v="21"/>
    <s v="CMR004003011"/>
    <s v="GOB_0003"/>
    <x v="521"/>
    <s v="15.4251445"/>
    <s v="10.0351347"/>
    <s v="4"/>
    <n v="3000"/>
    <s v="oui"/>
    <n v="18"/>
    <n v="104"/>
    <s v="oui"/>
    <n v="8"/>
    <s v="non"/>
    <n v="0"/>
    <s v=""/>
    <s v=""/>
    <s v="non"/>
    <n v="0"/>
    <s v=""/>
    <s v=""/>
    <s v="oui"/>
    <n v="10"/>
    <s v="non"/>
    <n v="0"/>
    <s v="oui"/>
    <n v="4"/>
    <n v="13"/>
    <x v="1"/>
    <x v="0"/>
    <s v=""/>
    <x v="0"/>
    <s v="oui"/>
    <n v="1"/>
    <s v="oui"/>
    <n v="3"/>
    <s v="famille_daccueil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"/>
    <s v="Extrême-Nord"/>
    <s v="CMR004"/>
    <x v="3"/>
    <s v="CMR004004"/>
    <x v="22"/>
    <s v="CMR004004001"/>
    <s v="GUI_0004"/>
    <x v="522"/>
    <s v="14.7082814"/>
    <s v="10.1296666"/>
    <s v="4"/>
    <n v="5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"/>
    <n v="22"/>
    <s v="non"/>
    <n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31"/>
    <s v="Extrême-Nord"/>
    <s v="CMR004"/>
    <x v="3"/>
    <s v="CMR004004"/>
    <x v="22"/>
    <s v="CMR004004001"/>
    <s v="GUI_0005"/>
    <x v="523"/>
    <s v="14.7069675"/>
    <s v="10.1297606"/>
    <s v="4"/>
    <n v="12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6"/>
    <s v="non"/>
    <n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45"/>
    <s v="Extrême-Nord"/>
    <s v="CMR004"/>
    <x v="3"/>
    <s v="CMR004004"/>
    <x v="22"/>
    <s v="CMR004004001"/>
    <s v="GUI_0001"/>
    <x v="524"/>
    <s v="14.7041841"/>
    <s v="10.1351549"/>
    <s v="4"/>
    <n v="12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6"/>
    <s v="non"/>
    <n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65"/>
    <s v="Extrême-Nord"/>
    <s v="CMR004"/>
    <x v="3"/>
    <s v="CMR004004"/>
    <x v="22"/>
    <s v="CMR004004001"/>
    <s v="GUI_0002"/>
    <x v="525"/>
    <s v="14.7081506"/>
    <s v="10.1375694"/>
    <s v="4"/>
    <n v="25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4"/>
    <s v="non"/>
    <n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66"/>
    <s v="Extrême-Nord"/>
    <s v="CMR004"/>
    <x v="3"/>
    <s v="CMR004004"/>
    <x v="22"/>
    <s v="CMR004004001"/>
    <s v="GUI_0003"/>
    <x v="526"/>
    <s v="14.7131166"/>
    <s v="10.1301346"/>
    <s v="4"/>
    <n v="36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"/>
    <n v="39"/>
    <s v="non"/>
    <n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54"/>
    <s v="Extrême-Nord"/>
    <s v="CMR004"/>
    <x v="3"/>
    <s v="CMR004004"/>
    <x v="23"/>
    <s v="CMR004004002"/>
    <s v="MOL_0002"/>
    <x v="527"/>
    <s v="14.8564371"/>
    <s v="10.4152416"/>
    <s v="4"/>
    <n v="55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71"/>
    <s v="non"/>
    <n v="0"/>
    <s v="oui"/>
    <n v="15"/>
    <s v="non"/>
    <n v="0"/>
    <s v=""/>
    <s v=""/>
    <s v="non"/>
    <n v="0"/>
    <s v=""/>
    <s v=""/>
    <s v="non"/>
    <n v="0"/>
    <s v="non"/>
    <n v="0"/>
    <s v="oui"/>
    <n v="11"/>
    <n v="55"/>
    <s v="non"/>
    <m/>
    <m/>
    <s v="Non"/>
    <b v="0"/>
  </r>
  <r>
    <n v="216"/>
    <s v="Extrême-Nord"/>
    <s v="CMR004"/>
    <x v="3"/>
    <s v="CMR004004"/>
    <x v="23"/>
    <s v="CMR004004002"/>
    <s v="MOL_0001"/>
    <x v="528"/>
    <s v="14.8552368"/>
    <s v="10.4085431"/>
    <s v="4"/>
    <n v="13121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1"/>
    <n v="373"/>
    <s v="non"/>
    <n v="0"/>
    <s v="oui"/>
    <n v="71"/>
    <s v="non"/>
    <n v="0"/>
    <s v=""/>
    <s v=""/>
    <s v="non"/>
    <n v="0"/>
    <s v=""/>
    <s v=""/>
    <s v="non"/>
    <n v="0"/>
    <s v="non"/>
    <n v="0"/>
    <s v="oui"/>
    <n v="27"/>
    <n v="135"/>
    <s v="non"/>
    <m/>
    <m/>
    <s v="Non"/>
    <b v="0"/>
  </r>
  <r>
    <n v="299"/>
    <s v="Extrême-Nord"/>
    <s v="CMR004"/>
    <x v="3"/>
    <s v="CMR004004"/>
    <x v="24"/>
    <s v="CMR004004005"/>
    <s v="MOT_0003"/>
    <x v="529"/>
    <s v="14.1754856"/>
    <s v="10.202805"/>
    <s v="4"/>
    <n v="1197"/>
    <s v="oui"/>
    <n v="4"/>
    <n v="36"/>
    <s v="oui"/>
    <n v="3"/>
    <s v="oui"/>
    <n v="1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4"/>
    <s v="non"/>
    <n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26"/>
    <s v="Extrême-Nord"/>
    <s v="CMR004"/>
    <x v="3"/>
    <s v="CMR004004"/>
    <x v="24"/>
    <s v="CMR004004005"/>
    <s v="MOT_0001"/>
    <x v="530"/>
    <s v="14.1910813"/>
    <s v="10.2131499"/>
    <s v="4"/>
    <n v="1451"/>
    <s v="non"/>
    <n v="0"/>
    <n v="0"/>
    <s v=""/>
    <n v="0"/>
    <s v=""/>
    <n v="0"/>
    <s v=""/>
    <s v=""/>
    <s v=""/>
    <n v="0"/>
    <s v=""/>
    <s v=""/>
    <s v=""/>
    <n v="0"/>
    <s v=""/>
    <n v="0"/>
    <s v="oui"/>
    <n v="1"/>
    <n v="11"/>
    <x v="1"/>
    <x v="0"/>
    <s v=""/>
    <x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29"/>
    <s v="Extrême-Nord"/>
    <s v="CMR004"/>
    <x v="3"/>
    <s v="CMR004004"/>
    <x v="24"/>
    <s v="CMR004004005"/>
    <s v="MOT_0002"/>
    <x v="531"/>
    <s v="14.231058"/>
    <s v="10.3583942"/>
    <s v="4"/>
    <n v="5566"/>
    <s v="oui"/>
    <n v="3"/>
    <n v="16"/>
    <s v="oui"/>
    <n v="2"/>
    <s v="oui"/>
    <n v="1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25"/>
    <s v="Extrême-Nord"/>
    <s v="CMR004"/>
    <x v="3"/>
    <s v="CMR004004"/>
    <x v="25"/>
    <s v="CMR004004006"/>
    <s v="KAE_0006"/>
    <x v="532"/>
    <s v="14.4350825"/>
    <s v="10.0884103"/>
    <s v="4"/>
    <n v="6800"/>
    <s v="oui"/>
    <n v="2"/>
    <n v="17"/>
    <s v="oui"/>
    <n v="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8"/>
    <s v="Extrême-Nord"/>
    <s v="CMR004"/>
    <x v="3"/>
    <s v="CMR004004"/>
    <x v="25"/>
    <s v="CMR004004006"/>
    <s v="KAE_0001"/>
    <x v="533"/>
    <s v="14.4354859"/>
    <s v="10.130248"/>
    <s v="6"/>
    <n v="45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"/>
    <n v="20"/>
    <s v="non"/>
    <n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67"/>
    <s v="Extrême-Nord"/>
    <s v="CMR004"/>
    <x v="3"/>
    <s v="CMR004004"/>
    <x v="25"/>
    <s v="CMR004004006"/>
    <s v="KAE_0007"/>
    <x v="534"/>
    <s v="14.5051821"/>
    <s v="10.1802932"/>
    <s v="4"/>
    <n v="12000"/>
    <s v="oui"/>
    <n v="5"/>
    <n v="26"/>
    <s v="oui"/>
    <n v="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6"/>
    <s v="Extrême-Nord"/>
    <s v="CMR004"/>
    <x v="3"/>
    <s v="CMR004004"/>
    <x v="25"/>
    <s v="CMR004004006"/>
    <s v="KAE_0005"/>
    <x v="535"/>
    <s v="14.4129817"/>
    <s v="10.225579"/>
    <s v="4"/>
    <n v="10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"/>
    <n v="22"/>
    <s v="non"/>
    <n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48"/>
    <s v="Extrême-Nord"/>
    <s v="CMR004"/>
    <x v="3"/>
    <s v="CMR004004"/>
    <x v="25"/>
    <s v="CMR004004006"/>
    <s v="KAE_0003"/>
    <x v="536"/>
    <s v="14.4474405"/>
    <s v="10.1078867"/>
    <s v="4"/>
    <n v="12500"/>
    <s v="oui"/>
    <n v="6"/>
    <n v="37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53"/>
    <s v="Extrême-Nord"/>
    <s v="CMR004"/>
    <x v="3"/>
    <s v="CMR004004"/>
    <x v="25"/>
    <s v="CMR004004006"/>
    <s v="KAE_0002"/>
    <x v="537"/>
    <s v="14.4287332"/>
    <s v="10.2372693"/>
    <s v="4"/>
    <n v="85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"/>
    <n v="58"/>
    <s v="non"/>
    <n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49"/>
    <s v="Extrême-Nord"/>
    <s v="CMR004"/>
    <x v="3"/>
    <s v="CMR004004"/>
    <x v="25"/>
    <s v="CMR004004006"/>
    <s v="KAE_0004"/>
    <x v="538"/>
    <s v="14.4206752"/>
    <s v="10.1560606"/>
    <s v="4"/>
    <n v="12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6"/>
    <s v="non"/>
    <n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05"/>
    <s v="Extrême-Nord"/>
    <s v="CMR004"/>
    <x v="3"/>
    <s v="CMR004004"/>
    <x v="26"/>
    <s v="CMR004004007"/>
    <s v="MIN_0002"/>
    <x v="539"/>
    <s v="14.3879298"/>
    <s v="10.5016133"/>
    <s v="3"/>
    <n v="1315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"/>
    <n v="16"/>
    <s v="non"/>
    <n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19"/>
    <s v="Extrême-Nord"/>
    <s v="CMR004"/>
    <x v="3"/>
    <s v="CMR004004"/>
    <x v="26"/>
    <s v="CMR004004007"/>
    <s v="MIN_0001"/>
    <x v="540"/>
    <s v="14.2857752"/>
    <s v="10.4111329"/>
    <s v="4"/>
    <n v="8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20"/>
    <s v="Extrême-Nord"/>
    <s v="CMR004"/>
    <x v="3"/>
    <s v="CMR004004"/>
    <x v="26"/>
    <s v="CMR004004007"/>
    <s v="MIN_0004"/>
    <x v="541"/>
    <s v="14.2845757"/>
    <s v="10.4266613"/>
    <s v="4"/>
    <n v="8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8"/>
    <s v="non"/>
    <n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75"/>
    <s v="Extrême-Nord"/>
    <s v="CMR004"/>
    <x v="3"/>
    <s v="CMR004004"/>
    <x v="26"/>
    <s v="CMR004004007"/>
    <s v="MIN_0005"/>
    <x v="542"/>
    <s v="14.3116994"/>
    <s v="10.4430502"/>
    <s v="4"/>
    <n v="12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"/>
    <n v="13"/>
    <s v="non"/>
    <n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76"/>
    <s v="Extrême-Nord"/>
    <s v="CMR004"/>
    <x v="3"/>
    <s v="CMR004004"/>
    <x v="26"/>
    <s v="CMR004004007"/>
    <s v="MIN_0003"/>
    <x v="543"/>
    <s v="14.4377562"/>
    <s v="10.3953623"/>
    <s v="4"/>
    <n v="12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"/>
    <n v="9"/>
    <x v="1"/>
    <x v="0"/>
    <s v=""/>
    <x v="0"/>
    <s v="oui"/>
    <n v="1"/>
    <s v="oui"/>
    <n v="1"/>
    <s v="famille_daccueil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4"/>
    <s v="Extrême-Nord"/>
    <s v="CMR004"/>
    <x v="4"/>
    <s v="CMR004005"/>
    <x v="27"/>
    <s v="CMR004005001"/>
    <s v="KOL_0033"/>
    <x v="544"/>
    <s v="14.1073353"/>
    <s v="11.2175413"/>
    <s v="3.5"/>
    <n v="849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149"/>
    <n v="849"/>
    <s v="non"/>
    <m/>
    <m/>
    <s v="Non"/>
    <b v="0"/>
  </r>
  <r>
    <n v="728"/>
    <s v="Extrême-Nord"/>
    <s v="CMR004"/>
    <x v="4"/>
    <s v="CMR004005"/>
    <x v="27"/>
    <s v="CMR004005001"/>
    <s v="KOL_0011"/>
    <x v="545"/>
    <s v="14.1018225"/>
    <s v="11.2048582"/>
    <s v="4"/>
    <n v="75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75"/>
    <n v="750"/>
    <s v="non"/>
    <m/>
    <m/>
    <s v="Non"/>
    <b v="0"/>
  </r>
  <r>
    <n v="729"/>
    <s v="Extrême-Nord"/>
    <s v="CMR004"/>
    <x v="4"/>
    <s v="CMR004005"/>
    <x v="27"/>
    <s v="CMR004005001"/>
    <s v="KOL_0014"/>
    <x v="546"/>
    <s v="14.1155225"/>
    <s v="11.2274361"/>
    <s v="3.5"/>
    <n v="472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94"/>
    <n v="475"/>
    <s v="non"/>
    <m/>
    <m/>
    <s v="Non"/>
    <b v="0"/>
  </r>
  <r>
    <n v="730"/>
    <s v="Extrême-Nord"/>
    <s v="CMR004"/>
    <x v="4"/>
    <s v="CMR004005"/>
    <x v="27"/>
    <s v="CMR004005001"/>
    <s v="KOL_0015"/>
    <x v="547"/>
    <s v="14.1165146"/>
    <s v="11.2231456"/>
    <s v="3.5"/>
    <n v="246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35"/>
    <n v="246"/>
    <s v="non"/>
    <m/>
    <m/>
    <s v="Non"/>
    <b v="0"/>
  </r>
  <r>
    <n v="731"/>
    <s v="Extrême-Nord"/>
    <s v="CMR004"/>
    <x v="4"/>
    <s v="CMR004005"/>
    <x v="27"/>
    <s v="CMR004005001"/>
    <s v="KOL_0016"/>
    <x v="548"/>
    <s v="14.1160409"/>
    <s v="11.2191809"/>
    <s v="3.5"/>
    <n v="252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36"/>
    <n v="252"/>
    <s v="non"/>
    <m/>
    <m/>
    <s v="Non"/>
    <b v="0"/>
  </r>
  <r>
    <n v="732"/>
    <s v="Extrême-Nord"/>
    <s v="CMR004"/>
    <x v="4"/>
    <s v="CMR004005"/>
    <x v="27"/>
    <s v="CMR004005001"/>
    <s v="KOL_0010"/>
    <x v="549"/>
    <s v="14.101429"/>
    <s v="11.2078125"/>
    <s v="4"/>
    <n v="117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17"/>
    <n v="117"/>
    <s v="non"/>
    <m/>
    <m/>
    <s v="Non"/>
    <b v="0"/>
  </r>
  <r>
    <n v="739"/>
    <s v="Extrême-Nord"/>
    <s v="CMR004"/>
    <x v="4"/>
    <s v="CMR004005"/>
    <x v="27"/>
    <s v="CMR004005001"/>
    <s v="KOL_0018"/>
    <x v="550"/>
    <s v="14.1013869"/>
    <s v="11.2159123"/>
    <s v="4"/>
    <n v="749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192"/>
    <n v="749"/>
    <s v="non"/>
    <m/>
    <m/>
    <s v="Non"/>
    <b v="0"/>
  </r>
  <r>
    <n v="740"/>
    <s v="Extrême-Nord"/>
    <s v="CMR004"/>
    <x v="4"/>
    <s v="CMR004005"/>
    <x v="27"/>
    <s v="CMR004005001"/>
    <s v="KOL_0019"/>
    <x v="551"/>
    <s v="13.9189282"/>
    <s v="11.1823468"/>
    <s v="4"/>
    <n v="10920"/>
    <s v="oui"/>
    <n v="579"/>
    <n v="4624"/>
    <s v="oui"/>
    <n v="230"/>
    <s v="oui"/>
    <n v="37"/>
    <s v="autre"/>
    <s v="Maison  à  louer"/>
    <s v="oui"/>
    <n v="15"/>
    <s v="ecole"/>
    <s v=""/>
    <s v="oui"/>
    <n v="297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3"/>
    <n v="91"/>
    <s v="oui"/>
    <n v="13"/>
    <s v="non"/>
    <n v="0"/>
    <s v="non"/>
    <n v="0"/>
    <s v=""/>
    <s v=""/>
    <s v="non"/>
    <n v="0"/>
    <s v=""/>
    <s v=""/>
    <s v="non"/>
    <n v="0"/>
    <s v="non"/>
    <n v="0"/>
    <s v="oui"/>
    <n v="566"/>
    <n v="4528"/>
    <s v="oui"/>
    <n v="170"/>
    <n v="1360"/>
    <s v="Non"/>
    <b v="1"/>
  </r>
  <r>
    <n v="741"/>
    <s v="Extrême-Nord"/>
    <s v="CMR004"/>
    <x v="4"/>
    <s v="CMR004005"/>
    <x v="27"/>
    <s v="CMR004005001"/>
    <s v="KOL_0030"/>
    <x v="552"/>
    <s v="14.0082411"/>
    <s v="11.1594412"/>
    <s v="4"/>
    <n v="4102"/>
    <s v="oui"/>
    <n v="23"/>
    <n v="182"/>
    <s v="oui"/>
    <n v="15"/>
    <s v="oui"/>
    <n v="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5"/>
    <n v="212"/>
    <s v="oui"/>
    <n v="35"/>
    <s v="non"/>
    <n v="0"/>
    <s v="non"/>
    <n v="0"/>
    <s v=""/>
    <s v=""/>
    <s v="non"/>
    <n v="0"/>
    <s v=""/>
    <s v=""/>
    <s v="non"/>
    <n v="0"/>
    <s v="non"/>
    <n v="0"/>
    <s v="oui"/>
    <n v="13"/>
    <n v="114"/>
    <s v="non"/>
    <m/>
    <m/>
    <s v="Non"/>
    <b v="0"/>
  </r>
  <r>
    <n v="742"/>
    <s v="Extrême-Nord"/>
    <s v="CMR004"/>
    <x v="4"/>
    <s v="CMR004005"/>
    <x v="27"/>
    <s v="CMR004005001"/>
    <s v="KOL_0002"/>
    <x v="553"/>
    <s v="13.9862569"/>
    <s v="11.1574628"/>
    <s v="4"/>
    <n v="1875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260"/>
    <n v="1875"/>
    <s v="non"/>
    <m/>
    <m/>
    <s v="Non"/>
    <b v="0"/>
  </r>
  <r>
    <n v="743"/>
    <s v="Extrême-Nord"/>
    <s v="CMR004"/>
    <x v="4"/>
    <s v="CMR004005"/>
    <x v="27"/>
    <s v="CMR004005001"/>
    <s v="KOL_0001"/>
    <x v="554"/>
    <s v="14.1414658"/>
    <s v="11.2395003"/>
    <s v="4"/>
    <n v="33816"/>
    <s v="oui"/>
    <n v="566"/>
    <n v="3888"/>
    <s v="oui"/>
    <n v="365"/>
    <s v="non"/>
    <n v="0"/>
    <s v=""/>
    <s v=""/>
    <s v="non"/>
    <n v="0"/>
    <s v=""/>
    <s v=""/>
    <s v="oui"/>
    <n v="201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13"/>
    <n v="4592"/>
    <s v="oui"/>
    <n v="278"/>
    <s v="oui"/>
    <n v="435"/>
    <s v="non"/>
    <n v="0"/>
    <s v=""/>
    <s v=""/>
    <s v="non"/>
    <n v="0"/>
    <s v=""/>
    <s v=""/>
    <s v="non"/>
    <n v="0"/>
    <s v="non"/>
    <n v="0"/>
    <s v="oui"/>
    <n v="3683"/>
    <n v="22103"/>
    <s v="non"/>
    <m/>
    <m/>
    <s v="Non"/>
    <b v="1"/>
  </r>
  <r>
    <n v="744"/>
    <s v="Extrême-Nord"/>
    <s v="CMR004"/>
    <x v="4"/>
    <s v="CMR004005"/>
    <x v="27"/>
    <s v="CMR004005001"/>
    <s v="KOL_0012"/>
    <x v="555"/>
    <s v="14.102146"/>
    <s v="11.1927407"/>
    <s v="3.5"/>
    <n v="304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0"/>
    <n v="105"/>
    <s v="oui"/>
    <n v="20"/>
    <s v="non"/>
    <n v="0"/>
    <s v="non"/>
    <n v="0"/>
    <s v=""/>
    <s v=""/>
    <s v="non"/>
    <n v="0"/>
    <s v=""/>
    <s v=""/>
    <s v="non"/>
    <n v="0"/>
    <s v="non"/>
    <n v="0"/>
    <s v="oui"/>
    <n v="38"/>
    <n v="245"/>
    <s v="non"/>
    <m/>
    <m/>
    <s v="Non"/>
    <b v="0"/>
  </r>
  <r>
    <n v="745"/>
    <s v="Extrême-Nord"/>
    <s v="CMR004"/>
    <x v="4"/>
    <s v="CMR004005"/>
    <x v="27"/>
    <s v="CMR004005001"/>
    <s v="KOL_0013"/>
    <x v="556"/>
    <s v="14.132042"/>
    <s v="11.2286825"/>
    <s v="4"/>
    <n v="182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6"/>
    <n v="75"/>
    <s v="oui"/>
    <n v="16"/>
    <s v="non"/>
    <n v="0"/>
    <s v="non"/>
    <n v="0"/>
    <s v=""/>
    <s v=""/>
    <s v="non"/>
    <n v="0"/>
    <s v=""/>
    <s v=""/>
    <s v="non"/>
    <n v="0"/>
    <s v="non"/>
    <n v="0"/>
    <s v="oui"/>
    <n v="20"/>
    <n v="107"/>
    <s v="non"/>
    <m/>
    <m/>
    <s v="Non"/>
    <b v="0"/>
  </r>
  <r>
    <n v="746"/>
    <s v="Extrême-Nord"/>
    <s v="CMR004"/>
    <x v="4"/>
    <s v="CMR004005"/>
    <x v="27"/>
    <s v="CMR004005001"/>
    <s v="KOL_0006"/>
    <x v="557"/>
    <s v="14.0385762"/>
    <s v="11.1105127"/>
    <s v="3.5"/>
    <n v="19537"/>
    <s v="oui"/>
    <n v="947"/>
    <n v="5754"/>
    <s v="oui"/>
    <n v="67"/>
    <s v="oui"/>
    <n v="87"/>
    <s v="maison_independante"/>
    <s v=""/>
    <s v="non"/>
    <n v="0"/>
    <s v=""/>
    <s v=""/>
    <s v="oui"/>
    <n v="793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07"/>
    <n v="607"/>
    <s v="oui"/>
    <n v="107"/>
    <s v="non"/>
    <n v="0"/>
    <s v="non"/>
    <n v="0"/>
    <s v=""/>
    <s v=""/>
    <s v="non"/>
    <n v="0"/>
    <s v=""/>
    <s v=""/>
    <s v="non"/>
    <n v="0"/>
    <s v="non"/>
    <n v="0"/>
    <s v="oui"/>
    <n v="52"/>
    <n v="208"/>
    <s v="non"/>
    <m/>
    <m/>
    <s v="Non"/>
    <b v="1"/>
  </r>
  <r>
    <n v="695"/>
    <s v="Extrême-Nord"/>
    <s v="CMR004"/>
    <x v="4"/>
    <s v="CMR004005"/>
    <x v="28"/>
    <s v="CMR004005002"/>
    <s v="MOR_0001"/>
    <x v="558"/>
    <s v="14.1261198"/>
    <s v="11.0556604"/>
    <s v="3.5"/>
    <n v="2175"/>
    <s v="oui"/>
    <n v="188"/>
    <n v="842"/>
    <s v="oui"/>
    <n v="30"/>
    <s v="oui"/>
    <n v="15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6"/>
    <s v="Extrême-Nord"/>
    <s v="CMR004"/>
    <x v="4"/>
    <s v="CMR004005"/>
    <x v="28"/>
    <s v="CMR004005002"/>
    <s v="MOR_0007"/>
    <x v="559"/>
    <s v="14.125344"/>
    <s v="11.0535051"/>
    <s v="7"/>
    <n v="1930"/>
    <s v="oui"/>
    <n v="129"/>
    <n v="530"/>
    <s v="oui"/>
    <n v="12"/>
    <s v="oui"/>
    <n v="11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7"/>
    <s v="Extrême-Nord"/>
    <s v="CMR004"/>
    <x v="4"/>
    <s v="CMR004005"/>
    <x v="28"/>
    <s v="CMR004005002"/>
    <s v="MOR_0040"/>
    <x v="560"/>
    <s v="14.3220385"/>
    <s v="11.1248737"/>
    <s v="4"/>
    <n v="16250"/>
    <s v="oui"/>
    <n v="1718"/>
    <n v="10418"/>
    <s v="oui"/>
    <n v="29"/>
    <s v="oui"/>
    <n v="12"/>
    <s v="famille_daccueil"/>
    <s v=""/>
    <s v="non"/>
    <n v="0"/>
    <s v=""/>
    <s v=""/>
    <s v="oui"/>
    <n v="1677"/>
    <s v="oui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73"/>
    <n v="1177"/>
    <s v="oui"/>
    <n v="162"/>
    <s v="oui"/>
    <n v="11"/>
    <s v="non"/>
    <n v="0"/>
    <s v=""/>
    <s v=""/>
    <s v="non"/>
    <n v="0"/>
    <s v=""/>
    <s v=""/>
    <s v="non"/>
    <n v="0"/>
    <s v="non"/>
    <n v="0"/>
    <s v="oui"/>
    <n v="15"/>
    <n v="50"/>
    <s v="non"/>
    <m/>
    <m/>
    <s v="Non"/>
    <b v="1"/>
  </r>
  <r>
    <n v="698"/>
    <s v="Extrême-Nord"/>
    <s v="CMR004"/>
    <x v="4"/>
    <s v="CMR004005"/>
    <x v="28"/>
    <s v="CMR004005002"/>
    <s v="MOR_0006"/>
    <x v="561"/>
    <s v="14.1244142"/>
    <s v="11.0484698"/>
    <s v="6"/>
    <n v="1971"/>
    <s v="oui"/>
    <n v="121"/>
    <n v="565"/>
    <s v="oui"/>
    <n v="5"/>
    <s v="oui"/>
    <n v="11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9"/>
    <s v="Extrême-Nord"/>
    <s v="CMR004"/>
    <x v="4"/>
    <s v="CMR004005"/>
    <x v="28"/>
    <s v="CMR004005002"/>
    <s v="MOR_0009"/>
    <x v="562"/>
    <s v="14.130501"/>
    <s v="11.044105"/>
    <s v="4"/>
    <n v="2206"/>
    <s v="oui"/>
    <n v="100"/>
    <n v="465"/>
    <s v="oui"/>
    <n v="13"/>
    <s v="oui"/>
    <n v="8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00"/>
    <s v="Extrême-Nord"/>
    <s v="CMR004"/>
    <x v="4"/>
    <s v="CMR004005"/>
    <x v="28"/>
    <s v="CMR004005002"/>
    <s v="MOR_0010"/>
    <x v="563"/>
    <s v="14.1309426"/>
    <s v="11.0468398"/>
    <s v="6.5"/>
    <n v="2049"/>
    <s v="oui"/>
    <n v="180"/>
    <n v="527"/>
    <s v="oui"/>
    <n v="38"/>
    <s v="oui"/>
    <n v="14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01"/>
    <s v="Extrême-Nord"/>
    <s v="CMR004"/>
    <x v="4"/>
    <s v="CMR004005"/>
    <x v="28"/>
    <s v="CMR004005002"/>
    <s v="MOR_0035"/>
    <x v="564"/>
    <s v="14.1496546"/>
    <s v="11.2318154"/>
    <s v="4"/>
    <n v="5142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05"/>
    <n v="1722"/>
    <s v="oui"/>
    <n v="247"/>
    <s v="oui"/>
    <n v="58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702"/>
    <s v="Extrême-Nord"/>
    <s v="CMR004"/>
    <x v="4"/>
    <s v="CMR004005"/>
    <x v="28"/>
    <s v="CMR004005002"/>
    <s v="MOR_0048"/>
    <x v="565"/>
    <s v="14.1465591"/>
    <s v="11.2430678"/>
    <s v="4"/>
    <n v="3215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90"/>
    <n v="512"/>
    <s v="oui"/>
    <n v="76"/>
    <s v="oui"/>
    <n v="1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703"/>
    <s v="Extrême-Nord"/>
    <s v="CMR004"/>
    <x v="4"/>
    <s v="CMR004005"/>
    <x v="28"/>
    <s v="CMR004005002"/>
    <s v="MOR_0041"/>
    <x v="566"/>
    <s v="14.1683098"/>
    <s v="11.2322774"/>
    <s v="4"/>
    <n v="3566"/>
    <s v="oui"/>
    <n v="2"/>
    <n v="17"/>
    <s v="non"/>
    <n v="0"/>
    <s v="oui"/>
    <n v="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43"/>
    <n v="1599"/>
    <s v="oui"/>
    <n v="229"/>
    <s v="oui"/>
    <n v="1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711"/>
    <s v="Extrême-Nord"/>
    <s v="CMR004"/>
    <x v="4"/>
    <s v="CMR004005"/>
    <x v="28"/>
    <s v="CMR004005002"/>
    <s v="MOR_0034"/>
    <x v="567"/>
    <s v="14.4062484"/>
    <s v="11.3493929"/>
    <s v="4"/>
    <n v="1802"/>
    <s v="oui"/>
    <n v="56"/>
    <n v="285"/>
    <s v="oui"/>
    <n v="8"/>
    <s v="oui"/>
    <n v="11"/>
    <s v="famille_daccueil"/>
    <s v=""/>
    <s v="non"/>
    <n v="0"/>
    <s v=""/>
    <s v=""/>
    <s v="oui"/>
    <n v="37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712"/>
    <s v="Extrême-Nord"/>
    <s v="CMR004"/>
    <x v="4"/>
    <s v="CMR004005"/>
    <x v="28"/>
    <s v="CMR004005002"/>
    <s v="MOR_0016"/>
    <x v="568"/>
    <s v="14.2363193"/>
    <s v="10.9697896"/>
    <s v="4.5"/>
    <n v="56000"/>
    <s v="oui"/>
    <n v="2129"/>
    <n v="16558"/>
    <s v="oui"/>
    <n v="218"/>
    <s v="oui"/>
    <n v="409"/>
    <s v="famille_daccueil"/>
    <s v=""/>
    <s v="non"/>
    <n v="0"/>
    <s v=""/>
    <s v=""/>
    <s v="oui"/>
    <n v="150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713"/>
    <s v="Extrême-Nord"/>
    <s v="CMR004"/>
    <x v="4"/>
    <s v="CMR004005"/>
    <x v="28"/>
    <s v="CMR004005002"/>
    <s v="MOR_0004"/>
    <x v="569"/>
    <s v="14.2918499"/>
    <s v="11.0463376"/>
    <s v="4"/>
    <n v="5100"/>
    <s v="oui"/>
    <n v="518"/>
    <n v="1780"/>
    <s v="oui"/>
    <n v="120"/>
    <s v="oui"/>
    <n v="37"/>
    <s v="famille_daccueil"/>
    <s v=""/>
    <s v="non"/>
    <n v="0"/>
    <s v=""/>
    <s v=""/>
    <s v="oui"/>
    <n v="361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1"/>
    <n v="231"/>
    <s v="oui"/>
    <n v="35"/>
    <s v="oui"/>
    <n v="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714"/>
    <s v="Extrême-Nord"/>
    <s v="CMR004"/>
    <x v="4"/>
    <s v="CMR004005"/>
    <x v="28"/>
    <s v="CMR004005002"/>
    <s v="MOR_0005"/>
    <x v="570"/>
    <s v="14.1747084"/>
    <s v="11.1071684"/>
    <s v="4"/>
    <n v="2192"/>
    <s v="oui"/>
    <n v="127"/>
    <n v="412"/>
    <s v="oui"/>
    <n v="18"/>
    <s v="oui"/>
    <n v="23"/>
    <s v="famille_daccueil"/>
    <s v=""/>
    <s v="non"/>
    <n v="0"/>
    <s v=""/>
    <s v=""/>
    <s v="oui"/>
    <n v="86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84"/>
    <n v="1665"/>
    <s v="oui"/>
    <n v="266"/>
    <s v="oui"/>
    <n v="18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715"/>
    <s v="Extrême-Nord"/>
    <s v="CMR004"/>
    <x v="4"/>
    <s v="CMR004005"/>
    <x v="28"/>
    <s v="CMR004005002"/>
    <s v="MOR_0042"/>
    <x v="571"/>
    <s v="14.2325084"/>
    <s v="11.1694965"/>
    <s v="3.5"/>
    <n v="1022"/>
    <s v="oui"/>
    <n v="63"/>
    <n v="521"/>
    <s v="oui"/>
    <n v="9"/>
    <s v="oui"/>
    <n v="13"/>
    <s v="famille_daccueil"/>
    <s v=""/>
    <s v="non"/>
    <n v="0"/>
    <s v=""/>
    <s v=""/>
    <s v="oui"/>
    <n v="41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32"/>
    <n v="879"/>
    <s v="oui"/>
    <n v="125"/>
    <s v="oui"/>
    <n v="7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716"/>
    <s v="Extrême-Nord"/>
    <s v="CMR004"/>
    <x v="4"/>
    <s v="CMR004005"/>
    <x v="28"/>
    <s v="CMR004005002"/>
    <s v="MOR_0026"/>
    <x v="572"/>
    <s v="14.153328"/>
    <s v="11.0405289"/>
    <s v="4"/>
    <n v="1552"/>
    <s v="oui"/>
    <n v="191"/>
    <n v="416"/>
    <s v="oui"/>
    <n v="28"/>
    <s v="oui"/>
    <n v="157"/>
    <s v="famille_daccueil"/>
    <s v=""/>
    <s v="non"/>
    <n v="0"/>
    <s v=""/>
    <s v=""/>
    <s v="non"/>
    <n v="0"/>
    <s v="oui"/>
    <n v="6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17"/>
    <s v="Extrême-Nord"/>
    <s v="CMR004"/>
    <x v="4"/>
    <s v="CMR004005"/>
    <x v="28"/>
    <s v="CMR004005002"/>
    <s v="MOR_0020"/>
    <x v="573"/>
    <s v="14.1550589"/>
    <s v="11.0380631"/>
    <s v="4"/>
    <n v="1251"/>
    <s v="oui"/>
    <n v="52"/>
    <n v="422"/>
    <s v="oui"/>
    <n v="12"/>
    <s v="oui"/>
    <n v="40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18"/>
    <s v="Extrême-Nord"/>
    <s v="CMR004"/>
    <x v="4"/>
    <s v="CMR004005"/>
    <x v="28"/>
    <s v="CMR004005002"/>
    <s v="MOR_0017"/>
    <x v="574"/>
    <s v="14.1519286"/>
    <s v="11.0444656"/>
    <s v="3.5"/>
    <n v="2500"/>
    <s v="oui"/>
    <n v="77"/>
    <n v="173"/>
    <s v="oui"/>
    <n v="16"/>
    <s v="oui"/>
    <n v="61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19"/>
    <s v="Extrême-Nord"/>
    <s v="CMR004"/>
    <x v="4"/>
    <s v="CMR004005"/>
    <x v="28"/>
    <s v="CMR004005002"/>
    <s v="MOR_0030"/>
    <x v="575"/>
    <s v="14.1351737"/>
    <s v="11.0412805"/>
    <s v="4"/>
    <n v="2117"/>
    <s v="oui"/>
    <n v="51"/>
    <n v="300"/>
    <s v="oui"/>
    <n v="11"/>
    <s v="oui"/>
    <n v="40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20"/>
    <s v="Extrême-Nord"/>
    <s v="CMR004"/>
    <x v="4"/>
    <s v="CMR004005"/>
    <x v="28"/>
    <s v="CMR004005002"/>
    <s v="MOR_0014"/>
    <x v="576"/>
    <s v="14.1339497"/>
    <s v="11.0411453"/>
    <s v="4"/>
    <n v="2820"/>
    <s v="oui"/>
    <n v="146"/>
    <n v="442"/>
    <s v="oui"/>
    <n v="47"/>
    <s v="oui"/>
    <n v="99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21"/>
    <s v="Extrême-Nord"/>
    <s v="CMR004"/>
    <x v="4"/>
    <s v="CMR004005"/>
    <x v="28"/>
    <s v="CMR004005002"/>
    <s v="MOR_0037"/>
    <x v="577"/>
    <s v="14.1194523"/>
    <s v="11.050449"/>
    <s v="4"/>
    <n v="6871"/>
    <s v="oui"/>
    <n v="25"/>
    <n v="103"/>
    <s v="oui"/>
    <n v="19"/>
    <s v="oui"/>
    <n v="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22"/>
    <s v="Extrême-Nord"/>
    <s v="CMR004"/>
    <x v="4"/>
    <s v="CMR004005"/>
    <x v="28"/>
    <s v="CMR004005002"/>
    <s v="MOR_0002"/>
    <x v="578"/>
    <s v="14.0958018"/>
    <s v="11.0219508"/>
    <s v="4"/>
    <n v="3632"/>
    <s v="oui"/>
    <n v="53"/>
    <n v="278"/>
    <s v="oui"/>
    <n v="41"/>
    <s v="oui"/>
    <n v="1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23"/>
    <s v="Extrême-Nord"/>
    <s v="CMR004"/>
    <x v="4"/>
    <s v="CMR004005"/>
    <x v="28"/>
    <s v="CMR004005002"/>
    <s v="MOR_0018"/>
    <x v="579"/>
    <s v="14.1006943"/>
    <s v="11.0318214"/>
    <s v="4"/>
    <n v="4237"/>
    <s v="oui"/>
    <n v="61"/>
    <n v="365"/>
    <s v="oui"/>
    <n v="52"/>
    <s v="oui"/>
    <n v="9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24"/>
    <s v="Extrême-Nord"/>
    <s v="CMR004"/>
    <x v="4"/>
    <s v="CMR004005"/>
    <x v="28"/>
    <s v="CMR004005002"/>
    <s v="MOR_0008"/>
    <x v="580"/>
    <s v="14.1129331"/>
    <s v="11.0390893"/>
    <s v="4"/>
    <n v="7200"/>
    <s v="oui"/>
    <n v="48"/>
    <n v="243"/>
    <s v="oui"/>
    <n v="32"/>
    <s v="oui"/>
    <n v="1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25"/>
    <s v="Extrême-Nord"/>
    <s v="CMR004"/>
    <x v="4"/>
    <s v="CMR004005"/>
    <x v="28"/>
    <s v="CMR004005002"/>
    <s v="MOR_0011"/>
    <x v="581"/>
    <s v="14.1181274"/>
    <s v="11.0741493"/>
    <s v="4"/>
    <n v="6522"/>
    <s v="oui"/>
    <n v="554"/>
    <n v="3089"/>
    <s v="oui"/>
    <n v="100"/>
    <s v="oui"/>
    <n v="217"/>
    <s v="famille_daccueil"/>
    <s v=""/>
    <s v="non"/>
    <n v="0"/>
    <s v=""/>
    <s v=""/>
    <s v="oui"/>
    <n v="237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726"/>
    <s v="Extrême-Nord"/>
    <s v="CMR004"/>
    <x v="4"/>
    <s v="CMR004005"/>
    <x v="28"/>
    <s v="CMR004005002"/>
    <s v="MOR_0025"/>
    <x v="582"/>
    <s v="14.1293867"/>
    <s v="11.0540126"/>
    <s v="4"/>
    <n v="2174"/>
    <s v="oui"/>
    <n v="136"/>
    <n v="552"/>
    <s v="oui"/>
    <n v="21"/>
    <s v="oui"/>
    <n v="115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27"/>
    <s v="Extrême-Nord"/>
    <s v="CMR004"/>
    <x v="4"/>
    <s v="CMR004005"/>
    <x v="28"/>
    <s v="CMR004005002"/>
    <s v="MOR_0015"/>
    <x v="583"/>
    <s v="14.1383113"/>
    <s v="11.0480818"/>
    <s v="4"/>
    <n v="2220"/>
    <s v="oui"/>
    <n v="104"/>
    <n v="520"/>
    <s v="oui"/>
    <n v="21"/>
    <s v="oui"/>
    <n v="83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33"/>
    <s v="Extrême-Nord"/>
    <s v="CMR004"/>
    <x v="4"/>
    <s v="CMR004005"/>
    <x v="28"/>
    <s v="CMR004005002"/>
    <s v="MOR_0012"/>
    <x v="584"/>
    <s v="14.2134214"/>
    <s v="11.0460052"/>
    <s v="5"/>
    <n v="980"/>
    <s v="oui"/>
    <n v="49"/>
    <n v="293"/>
    <s v="oui"/>
    <n v="13"/>
    <s v="oui"/>
    <n v="3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34"/>
    <s v="Extrême-Nord"/>
    <s v="CMR004"/>
    <x v="4"/>
    <s v="CMR004005"/>
    <x v="28"/>
    <s v="CMR004005002"/>
    <s v="MOR_0024"/>
    <x v="585"/>
    <s v="14.1350538"/>
    <s v="11.0479761"/>
    <s v="4"/>
    <n v="1995"/>
    <s v="oui"/>
    <n v="122"/>
    <n v="435"/>
    <s v="oui"/>
    <n v="18"/>
    <s v="oui"/>
    <n v="104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35"/>
    <s v="Extrême-Nord"/>
    <s v="CMR004"/>
    <x v="4"/>
    <s v="CMR004005"/>
    <x v="28"/>
    <s v="CMR004005002"/>
    <s v="MOR_0028"/>
    <x v="586"/>
    <s v="14.1368018"/>
    <s v="11.0461428"/>
    <s v="4"/>
    <n v="2313"/>
    <s v="oui"/>
    <n v="59"/>
    <n v="365"/>
    <s v="oui"/>
    <n v="35"/>
    <s v="oui"/>
    <n v="24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36"/>
    <s v="Extrême-Nord"/>
    <s v="CMR004"/>
    <x v="4"/>
    <s v="CMR004005"/>
    <x v="28"/>
    <s v="CMR004005002"/>
    <s v="MOR_0021"/>
    <x v="587"/>
    <s v="14.1363458"/>
    <s v="11.0445777"/>
    <s v="4"/>
    <n v="2485"/>
    <s v="oui"/>
    <n v="118"/>
    <n v="665"/>
    <s v="oui"/>
    <n v="17"/>
    <s v="oui"/>
    <n v="101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37"/>
    <s v="Extrême-Nord"/>
    <s v="CMR004"/>
    <x v="4"/>
    <s v="CMR004005"/>
    <x v="28"/>
    <s v="CMR004005002"/>
    <s v="MOR_0022"/>
    <x v="588"/>
    <s v="14.1380749"/>
    <s v="11.0447421"/>
    <s v="4"/>
    <n v="2222"/>
    <s v="oui"/>
    <n v="143"/>
    <n v="406"/>
    <s v="oui"/>
    <n v="21"/>
    <s v="oui"/>
    <n v="12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38"/>
    <s v="Extrême-Nord"/>
    <s v="CMR004"/>
    <x v="4"/>
    <s v="CMR004005"/>
    <x v="28"/>
    <s v="CMR004005002"/>
    <s v="MOR_0029"/>
    <x v="589"/>
    <s v="14.1339644"/>
    <s v="11.0410827"/>
    <s v="6.5"/>
    <n v="3121"/>
    <s v="oui"/>
    <n v="688"/>
    <n v="1710"/>
    <s v="oui"/>
    <n v="93"/>
    <s v="oui"/>
    <n v="595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15"/>
    <s v="Extrême-Nord"/>
    <s v="CMR004"/>
    <x v="4"/>
    <s v="CMR004005"/>
    <x v="29"/>
    <s v="CMR004005003"/>
    <s v="TOK_0013"/>
    <x v="590"/>
    <s v="14.1272475"/>
    <s v="10.908246"/>
    <s v="3.5"/>
    <n v="2138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16"/>
    <s v="Extrême-Nord"/>
    <s v="CMR004"/>
    <x v="4"/>
    <s v="CMR004005"/>
    <x v="29"/>
    <s v="CMR004005003"/>
    <s v="TOK_0012"/>
    <x v="591"/>
    <s v="14.2159689"/>
    <s v="10.8576685"/>
    <s v="4"/>
    <n v="2109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0"/>
    <s v="Extrême-Nord"/>
    <s v="CMR004"/>
    <x v="4"/>
    <s v="CMR004005"/>
    <x v="29"/>
    <s v="CMR004005003"/>
    <s v="TOK_0001"/>
    <x v="592"/>
    <s v="14.2403847"/>
    <s v="10.866337"/>
    <s v="3.5"/>
    <n v="3617"/>
    <s v="oui"/>
    <n v="6"/>
    <n v="23"/>
    <s v="oui"/>
    <n v="4"/>
    <s v="oui"/>
    <n v="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1"/>
    <s v="Extrême-Nord"/>
    <s v="CMR004"/>
    <x v="4"/>
    <s v="CMR004005"/>
    <x v="29"/>
    <s v="CMR004005003"/>
    <s v="TOK_0006"/>
    <x v="593"/>
    <s v="14.1456754"/>
    <s v="10.9713146"/>
    <s v="3.5"/>
    <n v="3696"/>
    <s v="oui"/>
    <n v="30"/>
    <n v="116"/>
    <s v="oui"/>
    <n v="3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2"/>
    <s v="Extrême-Nord"/>
    <s v="CMR004"/>
    <x v="4"/>
    <s v="CMR004005"/>
    <x v="29"/>
    <s v="CMR004005003"/>
    <s v="TOK_0004"/>
    <x v="594"/>
    <s v="14.2264532"/>
    <s v="10.8602105"/>
    <s v="4"/>
    <n v="9832"/>
    <s v="oui"/>
    <n v="38"/>
    <n v="93"/>
    <s v="oui"/>
    <n v="33"/>
    <s v="oui"/>
    <n v="5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3"/>
    <s v="Extrême-Nord"/>
    <s v="CMR004"/>
    <x v="4"/>
    <s v="CMR004005"/>
    <x v="29"/>
    <s v="CMR004005003"/>
    <s v="TOK_0007"/>
    <x v="595"/>
    <s v="14.133601"/>
    <s v="10.8511888"/>
    <s v="4"/>
    <n v="2972"/>
    <s v="oui"/>
    <n v="51"/>
    <n v="80"/>
    <s v="oui"/>
    <n v="36"/>
    <s v="oui"/>
    <n v="15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4"/>
    <s v="Extrême-Nord"/>
    <s v="CMR004"/>
    <x v="4"/>
    <s v="CMR004005"/>
    <x v="29"/>
    <s v="CMR004005003"/>
    <s v="TOK_0008"/>
    <x v="596"/>
    <s v="14.1522865"/>
    <s v="10.9391014"/>
    <s v="3.5"/>
    <n v="3039"/>
    <s v="oui"/>
    <n v="8"/>
    <n v="51"/>
    <s v="oui"/>
    <n v="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04"/>
    <s v="Extrême-Nord"/>
    <s v="CMR004"/>
    <x v="4"/>
    <s v="CMR004005"/>
    <x v="29"/>
    <s v="CMR004005003"/>
    <s v="TOK_0009"/>
    <x v="597"/>
    <s v="14.1445934"/>
    <s v="10.8673289"/>
    <s v="4"/>
    <n v="9141"/>
    <s v="oui"/>
    <n v="58"/>
    <n v="289"/>
    <s v="oui"/>
    <n v="25"/>
    <s v="oui"/>
    <n v="33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05"/>
    <s v="Extrême-Nord"/>
    <s v="CMR004"/>
    <x v="4"/>
    <s v="CMR004005"/>
    <x v="29"/>
    <s v="CMR004005003"/>
    <s v="TOK_0010"/>
    <x v="598"/>
    <s v="14.2287629"/>
    <s v="10.9030562"/>
    <s v="4"/>
    <n v="3141"/>
    <s v="oui"/>
    <n v="21"/>
    <n v="132"/>
    <s v="oui"/>
    <n v="2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06"/>
    <s v="Extrême-Nord"/>
    <s v="CMR004"/>
    <x v="4"/>
    <s v="CMR004005"/>
    <x v="29"/>
    <s v="CMR004005003"/>
    <s v="TOK_0011"/>
    <x v="599"/>
    <s v="14.2113316"/>
    <s v="10.9314254"/>
    <s v="3"/>
    <n v="3616"/>
    <s v="oui"/>
    <n v="44"/>
    <n v="202"/>
    <s v="oui"/>
    <n v="36"/>
    <s v="oui"/>
    <n v="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07"/>
    <s v="Extrême-Nord"/>
    <s v="CMR004"/>
    <x v="4"/>
    <s v="CMR004005"/>
    <x v="29"/>
    <s v="CMR004005003"/>
    <s v="TOK_0005"/>
    <x v="600"/>
    <s v="14.1459567"/>
    <s v="10.8891921"/>
    <s v="4"/>
    <n v="2101"/>
    <s v="oui"/>
    <n v="13"/>
    <n v="124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08"/>
    <s v="Extrême-Nord"/>
    <s v="CMR004"/>
    <x v="4"/>
    <s v="CMR004005"/>
    <x v="29"/>
    <s v="CMR004005003"/>
    <s v="TOK_0014"/>
    <x v="601"/>
    <s v="14.1343386"/>
    <s v="10.8532312"/>
    <s v="4"/>
    <n v="2034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09"/>
    <s v="Extrême-Nord"/>
    <s v="CMR004"/>
    <x v="4"/>
    <s v="CMR004005"/>
    <x v="29"/>
    <s v="CMR004005003"/>
    <s v="TOK_0002"/>
    <x v="602"/>
    <s v="14.1296981"/>
    <s v="10.9113688"/>
    <s v="4"/>
    <n v="8613"/>
    <s v="oui"/>
    <n v="158"/>
    <n v="351"/>
    <s v="oui"/>
    <n v="135"/>
    <s v="oui"/>
    <n v="23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10"/>
    <s v="Extrême-Nord"/>
    <s v="CMR004"/>
    <x v="4"/>
    <s v="CMR004005"/>
    <x v="29"/>
    <s v="CMR004005003"/>
    <s v="TOK_0003"/>
    <x v="603"/>
    <s v="14.1801172"/>
    <s v="10.8461516"/>
    <s v="3.5"/>
    <n v="4134"/>
    <s v="oui"/>
    <n v="34"/>
    <n v="361"/>
    <s v="oui"/>
    <n v="26"/>
    <s v="oui"/>
    <n v="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53"/>
    <s v="Extrême-Nord"/>
    <s v="CMR004"/>
    <x v="5"/>
    <s v="CMR004006"/>
    <x v="30"/>
    <s v="CMR004006001"/>
    <s v="MOG_0006"/>
    <x v="604"/>
    <s v="13.7836362"/>
    <s v="10.5439991"/>
    <s v="4"/>
    <n v="65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9"/>
    <n v="42"/>
    <x v="1"/>
    <x v="0"/>
    <s v=""/>
    <x v="0"/>
    <s v="non"/>
    <n v="0"/>
    <s v="oui"/>
    <n v="9"/>
    <s v="maison_independante"/>
    <s v=""/>
    <s v="non"/>
    <n v="0"/>
    <s v=""/>
    <s v=""/>
    <s v="non"/>
    <n v="0"/>
    <s v="non"/>
    <n v="0"/>
    <s v="oui"/>
    <n v="14"/>
    <n v="37"/>
    <s v="oui"/>
    <n v="14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54"/>
    <s v="Extrême-Nord"/>
    <s v="CMR004"/>
    <x v="5"/>
    <s v="CMR004006"/>
    <x v="30"/>
    <s v="CMR004006001"/>
    <s v="MOG_0007"/>
    <x v="605"/>
    <s v="13.6751383"/>
    <s v="10.5893174"/>
    <s v="3.5"/>
    <n v="50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15"/>
    <n v="100"/>
    <x v="1"/>
    <x v="0"/>
    <s v=""/>
    <x v="0"/>
    <s v="oui"/>
    <n v="15"/>
    <s v="non"/>
    <n v="0"/>
    <s v=""/>
    <s v=""/>
    <s v="non"/>
    <n v="0"/>
    <s v=""/>
    <s v=""/>
    <s v="non"/>
    <n v="0"/>
    <s v="non"/>
    <n v="0"/>
    <s v="oui"/>
    <n v="16"/>
    <n v="69"/>
    <s v="oui"/>
    <n v="16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2"/>
    <s v="Extrême-Nord"/>
    <s v="CMR004"/>
    <x v="5"/>
    <s v="CMR004006"/>
    <x v="30"/>
    <s v="CMR004006001"/>
    <s v="MOG_0008"/>
    <x v="606"/>
    <s v="13.5849732"/>
    <s v="10.5135031"/>
    <s v="4"/>
    <n v="7888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2"/>
    <n v="103"/>
    <x v="1"/>
    <x v="0"/>
    <s v=""/>
    <x v="0"/>
    <s v="oui"/>
    <n v="20"/>
    <s v="oui"/>
    <n v="2"/>
    <s v="famille_daccueil"/>
    <s v=""/>
    <s v="non"/>
    <n v="0"/>
    <s v=""/>
    <s v=""/>
    <s v="non"/>
    <n v="0"/>
    <s v="non"/>
    <n v="0"/>
    <s v="oui"/>
    <n v="17"/>
    <n v="80"/>
    <s v="oui"/>
    <n v="17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3"/>
    <s v="Extrême-Nord"/>
    <s v="CMR004"/>
    <x v="5"/>
    <s v="CMR004006"/>
    <x v="30"/>
    <s v="CMR004006001"/>
    <s v="MOG_0002"/>
    <x v="607"/>
    <s v="13.631758"/>
    <s v="10.7119271"/>
    <s v="4"/>
    <n v="80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30"/>
    <n v="152"/>
    <x v="1"/>
    <x v="0"/>
    <s v=""/>
    <x v="0"/>
    <s v="oui"/>
    <n v="26"/>
    <s v="oui"/>
    <n v="4"/>
    <s v="famille_daccueil"/>
    <s v=""/>
    <s v="non"/>
    <n v="0"/>
    <s v=""/>
    <s v=""/>
    <s v="non"/>
    <n v="0"/>
    <s v="non"/>
    <n v="0"/>
    <s v="oui"/>
    <n v="13"/>
    <n v="73"/>
    <s v="oui"/>
    <n v="13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11"/>
    <s v="Extrême-Nord"/>
    <s v="CMR004"/>
    <x v="5"/>
    <s v="CMR004006"/>
    <x v="30"/>
    <s v="CMR004006001"/>
    <s v="MOG_0005"/>
    <x v="608"/>
    <s v="13.5683292"/>
    <s v="10.607206"/>
    <s v="4"/>
    <n v="12692"/>
    <s v="non"/>
    <n v="0"/>
    <n v="0"/>
    <s v=""/>
    <n v="0"/>
    <s v=""/>
    <n v="0"/>
    <s v=""/>
    <s v=""/>
    <s v=""/>
    <n v="0"/>
    <s v=""/>
    <s v=""/>
    <s v=""/>
    <n v="0"/>
    <s v=""/>
    <n v="0"/>
    <s v="oui"/>
    <n v="32"/>
    <n v="284"/>
    <x v="1"/>
    <x v="0"/>
    <s v=""/>
    <x v="0"/>
    <s v="oui"/>
    <n v="29"/>
    <s v="oui"/>
    <n v="3"/>
    <s v="famille_daccueil"/>
    <s v=""/>
    <s v="non"/>
    <n v="0"/>
    <s v=""/>
    <s v=""/>
    <s v="non"/>
    <n v="0"/>
    <s v="non"/>
    <n v="0"/>
    <s v="oui"/>
    <n v="50"/>
    <n v="300"/>
    <s v="oui"/>
    <n v="45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57"/>
    <s v="Extrême-Nord"/>
    <s v="CMR004"/>
    <x v="5"/>
    <s v="CMR004006"/>
    <x v="30"/>
    <s v="CMR004006001"/>
    <s v="MOG_0003"/>
    <x v="609"/>
    <s v="13.6119869"/>
    <s v="10.4549582"/>
    <s v="4"/>
    <n v="37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5"/>
    <n v="20"/>
    <x v="1"/>
    <x v="0"/>
    <s v=""/>
    <x v="0"/>
    <s v="oui"/>
    <n v="5"/>
    <s v="non"/>
    <n v="0"/>
    <s v=""/>
    <s v=""/>
    <s v="non"/>
    <n v="0"/>
    <s v=""/>
    <s v=""/>
    <s v="non"/>
    <n v="0"/>
    <s v="non"/>
    <n v="0"/>
    <s v="oui"/>
    <n v="5"/>
    <n v="30"/>
    <s v="oui"/>
    <n v="5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58"/>
    <s v="Extrême-Nord"/>
    <s v="CMR004"/>
    <x v="5"/>
    <s v="CMR004006"/>
    <x v="30"/>
    <s v="CMR004006001"/>
    <s v="MOG_0011"/>
    <x v="610"/>
    <s v="13.6051438"/>
    <s v="10.6001222"/>
    <s v="4"/>
    <n v="40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3"/>
    <n v="20"/>
    <x v="1"/>
    <x v="0"/>
    <s v=""/>
    <x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28"/>
    <s v="Extrême-Nord"/>
    <s v="CMR004"/>
    <x v="5"/>
    <s v="CMR004006"/>
    <x v="30"/>
    <s v="CMR004006001"/>
    <s v="MOG_0013"/>
    <x v="611"/>
    <s v="13.5849415"/>
    <s v="10.6485806"/>
    <s v="4"/>
    <n v="10692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5"/>
    <n v="202"/>
    <x v="1"/>
    <x v="0"/>
    <s v=""/>
    <x v="0"/>
    <s v="oui"/>
    <n v="25"/>
    <s v="non"/>
    <n v="0"/>
    <s v=""/>
    <s v=""/>
    <s v="non"/>
    <n v="0"/>
    <s v=""/>
    <s v=""/>
    <s v="non"/>
    <n v="0"/>
    <s v="non"/>
    <n v="0"/>
    <s v="oui"/>
    <n v="4"/>
    <n v="28"/>
    <s v="oui"/>
    <n v="4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83"/>
    <s v="Extrême-Nord"/>
    <s v="CMR004"/>
    <x v="5"/>
    <s v="CMR004006"/>
    <x v="30"/>
    <s v="CMR004006001"/>
    <s v="MOG_0010"/>
    <x v="612"/>
    <s v="13.6626468"/>
    <s v="10.5676347"/>
    <s v="4"/>
    <n v="115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30"/>
    <n v="161"/>
    <x v="1"/>
    <x v="0"/>
    <s v=""/>
    <x v="0"/>
    <s v="oui"/>
    <n v="30"/>
    <s v="non"/>
    <n v="0"/>
    <s v=""/>
    <s v=""/>
    <s v="non"/>
    <n v="0"/>
    <s v=""/>
    <s v=""/>
    <s v="non"/>
    <n v="0"/>
    <s v="non"/>
    <n v="0"/>
    <s v="oui"/>
    <n v="50"/>
    <n v="150"/>
    <s v="oui"/>
    <n v="44"/>
    <s v="oui"/>
    <n v="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17"/>
    <s v="Extrême-Nord"/>
    <s v="CMR004"/>
    <x v="5"/>
    <s v="CMR004006"/>
    <x v="30"/>
    <s v="CMR004006001"/>
    <s v="MOG_0001"/>
    <x v="613"/>
    <s v="13.5763228"/>
    <s v="10.5604134"/>
    <s v="3.5"/>
    <n v="49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6"/>
    <n v="35"/>
    <x v="1"/>
    <x v="0"/>
    <s v=""/>
    <x v="0"/>
    <s v="oui"/>
    <n v="6"/>
    <s v="non"/>
    <n v="0"/>
    <s v=""/>
    <s v=""/>
    <s v="non"/>
    <n v="0"/>
    <s v=""/>
    <s v=""/>
    <s v="non"/>
    <n v="0"/>
    <s v="non"/>
    <n v="0"/>
    <s v="oui"/>
    <n v="2"/>
    <n v="8"/>
    <s v="oui"/>
    <n v="2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23"/>
    <s v="Extrême-Nord"/>
    <s v="CMR004"/>
    <x v="5"/>
    <s v="CMR004006"/>
    <x v="30"/>
    <s v="CMR004006001"/>
    <s v="MOG_0012"/>
    <x v="614"/>
    <s v="13.6406651"/>
    <s v="10.6511541"/>
    <s v="4"/>
    <n v="58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12"/>
    <n v="65"/>
    <x v="1"/>
    <x v="0"/>
    <s v=""/>
    <x v="0"/>
    <s v="oui"/>
    <n v="10"/>
    <s v="oui"/>
    <n v="2"/>
    <s v="famille_daccueil"/>
    <s v=""/>
    <s v="non"/>
    <n v="0"/>
    <s v=""/>
    <s v=""/>
    <s v="non"/>
    <n v="0"/>
    <s v="non"/>
    <n v="0"/>
    <s v="oui"/>
    <n v="8"/>
    <n v="35"/>
    <s v="oui"/>
    <n v="8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95"/>
    <s v="Extrême-Nord"/>
    <s v="CMR004"/>
    <x v="5"/>
    <s v="CMR004006"/>
    <x v="30"/>
    <s v="CMR004006001"/>
    <s v="MOG_0009"/>
    <x v="615"/>
    <s v="13.5973643"/>
    <s v="10.689941"/>
    <s v="4"/>
    <n v="9547"/>
    <s v="non"/>
    <n v="0"/>
    <n v="0"/>
    <s v=""/>
    <n v="0"/>
    <s v=""/>
    <n v="0"/>
    <s v=""/>
    <s v=""/>
    <s v=""/>
    <n v="0"/>
    <s v=""/>
    <s v=""/>
    <s v=""/>
    <n v="0"/>
    <s v=""/>
    <n v="0"/>
    <s v="oui"/>
    <n v="33"/>
    <n v="97"/>
    <x v="1"/>
    <x v="0"/>
    <s v=""/>
    <x v="0"/>
    <s v="oui"/>
    <n v="24"/>
    <s v="oui"/>
    <n v="9"/>
    <s v="famille_daccueil"/>
    <s v=""/>
    <s v="non"/>
    <n v="0"/>
    <s v=""/>
    <s v=""/>
    <s v="non"/>
    <n v="0"/>
    <s v="non"/>
    <n v="0"/>
    <s v="oui"/>
    <n v="52"/>
    <n v="170"/>
    <s v="oui"/>
    <n v="48"/>
    <s v="oui"/>
    <n v="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45"/>
    <s v="Extrême-Nord"/>
    <s v="CMR004"/>
    <x v="5"/>
    <s v="CMR004006"/>
    <x v="30"/>
    <s v="CMR004006001"/>
    <s v="MOG_0015"/>
    <x v="616"/>
    <s v="13.7615974"/>
    <s v="10.5845188"/>
    <s v="4"/>
    <n v="50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"/>
    <n v="8"/>
    <x v="1"/>
    <x v="0"/>
    <s v=""/>
    <x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Oui"/>
    <b v="0"/>
  </r>
  <r>
    <n v="246"/>
    <s v="Extrême-Nord"/>
    <s v="CMR004"/>
    <x v="5"/>
    <s v="CMR004006"/>
    <x v="30"/>
    <s v="CMR004006001"/>
    <s v="MOG_0004"/>
    <x v="617"/>
    <s v="13.6214457"/>
    <s v="10.6671208"/>
    <s v="4"/>
    <n v="395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9"/>
    <n v="46"/>
    <x v="1"/>
    <x v="0"/>
    <s v=""/>
    <x v="0"/>
    <s v="oui"/>
    <n v="9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15"/>
    <s v="Extrême-Nord"/>
    <s v="CMR004"/>
    <x v="5"/>
    <s v="CMR004006"/>
    <x v="31"/>
    <s v="CMR004006002"/>
    <s v="MOK_0026"/>
    <x v="618"/>
    <s v="13.6794397"/>
    <s v="10.7720086"/>
    <s v="4"/>
    <n v="3450"/>
    <s v="oui"/>
    <n v="263"/>
    <n v="1326"/>
    <s v="oui"/>
    <n v="26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1"/>
    <n v="253"/>
    <s v="oui"/>
    <n v="21"/>
    <s v="oui"/>
    <n v="3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16"/>
    <s v="Extrême-Nord"/>
    <s v="CMR004"/>
    <x v="5"/>
    <s v="CMR004006"/>
    <x v="31"/>
    <s v="CMR004006002"/>
    <s v="MOK_0003"/>
    <x v="619"/>
    <s v="13.787877"/>
    <s v="10.4749394"/>
    <s v="4"/>
    <n v="1030"/>
    <s v="oui"/>
    <n v="2"/>
    <n v="14"/>
    <s v="oui"/>
    <n v="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64"/>
    <s v="Extrême-Nord"/>
    <s v="CMR004"/>
    <x v="5"/>
    <s v="CMR004006"/>
    <x v="31"/>
    <s v="CMR004006002"/>
    <s v="MOK_0001"/>
    <x v="620"/>
    <s v="13.7989151"/>
    <s v="10.7445474"/>
    <s v="4"/>
    <n v="2000"/>
    <s v="oui"/>
    <n v="24"/>
    <n v="152"/>
    <s v="oui"/>
    <n v="20"/>
    <s v="oui"/>
    <n v="4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6"/>
    <n v="1221"/>
    <s v="oui"/>
    <n v="20"/>
    <s v="oui"/>
    <n v="80"/>
    <s v="oui"/>
    <n v="56"/>
    <s v="maison_independante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66"/>
    <s v="Extrême-Nord"/>
    <s v="CMR004"/>
    <x v="5"/>
    <s v="CMR004006"/>
    <x v="31"/>
    <s v="CMR004006002"/>
    <s v="MOK_0016"/>
    <x v="621"/>
    <s v="14.0128622"/>
    <s v="10.5874346"/>
    <s v="4"/>
    <n v="4005"/>
    <s v="oui"/>
    <n v="14"/>
    <n v="70"/>
    <s v="oui"/>
    <n v="1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3"/>
    <n v="120"/>
    <s v="oui"/>
    <n v="20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31"/>
    <s v="Extrême-Nord"/>
    <s v="CMR004"/>
    <x v="5"/>
    <s v="CMR004006"/>
    <x v="31"/>
    <s v="CMR004006002"/>
    <s v="MOK_0029"/>
    <x v="622"/>
    <s v="13.7999651"/>
    <s v="10.7404125"/>
    <s v="4"/>
    <n v="3890"/>
    <s v="oui"/>
    <n v="30"/>
    <n v="150"/>
    <s v="oui"/>
    <n v="3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7"/>
    <s v="Extrême-Nord"/>
    <s v="CMR004"/>
    <x v="5"/>
    <s v="CMR004006"/>
    <x v="31"/>
    <s v="CMR004006002"/>
    <s v="MOK_0021"/>
    <x v="623"/>
    <s v="13.7929833"/>
    <s v="10.7416173"/>
    <s v="4"/>
    <n v="4600"/>
    <s v="oui"/>
    <n v="36"/>
    <n v="180"/>
    <s v="oui"/>
    <n v="30"/>
    <s v="oui"/>
    <n v="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"/>
    <n v="41"/>
    <s v="non"/>
    <n v="0"/>
    <s v="oui"/>
    <n v="5"/>
    <s v="oui"/>
    <n v="2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8"/>
    <s v="Extrême-Nord"/>
    <s v="CMR004"/>
    <x v="5"/>
    <s v="CMR004006"/>
    <x v="31"/>
    <s v="CMR004006002"/>
    <s v="MOK_0036"/>
    <x v="624"/>
    <s v="14.0393011"/>
    <s v="10.5002223"/>
    <s v="4"/>
    <n v="17000"/>
    <s v="oui"/>
    <n v="9"/>
    <n v="45"/>
    <s v="oui"/>
    <n v="7"/>
    <s v="oui"/>
    <n v="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4"/>
    <s v="oui"/>
    <n v="1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Oui"/>
    <b v="0"/>
  </r>
  <r>
    <n v="550"/>
    <s v="Extrême-Nord"/>
    <s v="CMR004"/>
    <x v="5"/>
    <s v="CMR004006"/>
    <x v="31"/>
    <s v="CMR004006002"/>
    <s v="MOK_0011"/>
    <x v="625"/>
    <s v="13.8199478"/>
    <s v="10.7409944"/>
    <s v="4"/>
    <n v="2740"/>
    <s v="oui"/>
    <n v="12"/>
    <n v="80"/>
    <s v="oui"/>
    <n v="10"/>
    <s v="oui"/>
    <n v="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6"/>
    <n v="86"/>
    <s v="non"/>
    <n v="0"/>
    <s v="oui"/>
    <n v="1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2"/>
    <s v="Extrême-Nord"/>
    <s v="CMR004"/>
    <x v="5"/>
    <s v="CMR004006"/>
    <x v="31"/>
    <s v="CMR004006002"/>
    <s v="MOK_0019"/>
    <x v="626"/>
    <s v="14.3183771"/>
    <s v="10.5916584"/>
    <s v="1901"/>
    <n v="1400"/>
    <s v="oui"/>
    <n v="62"/>
    <n v="375"/>
    <s v="oui"/>
    <n v="53"/>
    <s v="oui"/>
    <n v="9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1"/>
    <n v="67"/>
    <s v="non"/>
    <n v="0"/>
    <s v="oui"/>
    <n v="8"/>
    <s v="oui"/>
    <n v="3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22"/>
    <s v="Extrême-Nord"/>
    <s v="CMR004"/>
    <x v="5"/>
    <s v="CMR004006"/>
    <x v="31"/>
    <s v="CMR004006002"/>
    <s v="MOK_0008"/>
    <x v="627"/>
    <s v="13.7910661"/>
    <s v="10.7328036"/>
    <s v="4"/>
    <n v="33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48"/>
    <s v="non"/>
    <n v="0"/>
    <s v="oui"/>
    <n v="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7"/>
    <s v="Extrême-Nord"/>
    <s v="CMR004"/>
    <x v="5"/>
    <s v="CMR004006"/>
    <x v="31"/>
    <s v="CMR004006002"/>
    <s v="MOK_0024"/>
    <x v="628"/>
    <s v="13.7307108"/>
    <s v="10.9248227"/>
    <s v="4"/>
    <n v="7429"/>
    <s v="oui"/>
    <n v="60"/>
    <n v="356"/>
    <s v="oui"/>
    <n v="6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8"/>
    <n v="40"/>
    <s v="oui"/>
    <n v="8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70"/>
    <s v="Extrême-Nord"/>
    <s v="CMR004"/>
    <x v="5"/>
    <s v="CMR004006"/>
    <x v="31"/>
    <s v="CMR004006002"/>
    <s v="MOK_0013"/>
    <x v="629"/>
    <s v="13.6612564"/>
    <s v="10.8014526"/>
    <s v="3"/>
    <n v="4357"/>
    <s v="oui"/>
    <n v="142"/>
    <n v="705"/>
    <s v="oui"/>
    <n v="14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75"/>
    <s v="non"/>
    <n v="0"/>
    <s v="oui"/>
    <n v="1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29"/>
    <s v="Extrême-Nord"/>
    <s v="CMR004"/>
    <x v="5"/>
    <s v="CMR004006"/>
    <x v="31"/>
    <s v="CMR004006002"/>
    <s v="MOK_0007"/>
    <x v="630"/>
    <s v="13.65217"/>
    <s v="10.7185472"/>
    <s v="4"/>
    <n v="6820"/>
    <s v="oui"/>
    <n v="216"/>
    <n v="1080"/>
    <s v="oui"/>
    <n v="200"/>
    <s v="oui"/>
    <n v="16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3"/>
    <n v="617"/>
    <s v="oui"/>
    <n v="90"/>
    <s v="oui"/>
    <n v="3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99"/>
    <s v="Extrême-Nord"/>
    <s v="CMR004"/>
    <x v="5"/>
    <s v="CMR004006"/>
    <x v="31"/>
    <s v="CMR004006002"/>
    <s v="MOK_0023"/>
    <x v="631"/>
    <s v="13.7308807"/>
    <s v="10.9482804"/>
    <s v="4"/>
    <n v="2700"/>
    <s v="oui"/>
    <n v="49"/>
    <n v="243"/>
    <s v="oui"/>
    <n v="45"/>
    <s v="oui"/>
    <n v="4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"/>
    <n v="37"/>
    <s v="non"/>
    <n v="0"/>
    <s v="oui"/>
    <n v="5"/>
    <s v="oui"/>
    <n v="2"/>
    <s v="maison_independante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10"/>
    <s v="Extrême-Nord"/>
    <s v="CMR004"/>
    <x v="5"/>
    <s v="CMR004006"/>
    <x v="31"/>
    <s v="CMR004006002"/>
    <s v="MOK_0022"/>
    <x v="632"/>
    <s v="13.8009175"/>
    <s v="10.7418253"/>
    <s v="4"/>
    <n v="1500"/>
    <s v="oui"/>
    <n v="20"/>
    <n v="128"/>
    <s v="oui"/>
    <n v="2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8"/>
    <n v="40"/>
    <s v="non"/>
    <n v="0"/>
    <s v="oui"/>
    <n v="8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23"/>
    <s v="Extrême-Nord"/>
    <s v="CMR004"/>
    <x v="5"/>
    <s v="CMR004006"/>
    <x v="31"/>
    <s v="CMR004006002"/>
    <s v="MOK_0006"/>
    <x v="633"/>
    <s v="13.6950953"/>
    <s v="10.6835087"/>
    <s v="4"/>
    <n v="1450"/>
    <s v="oui"/>
    <n v="9"/>
    <n v="45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17"/>
    <s v="Extrême-Nord"/>
    <s v="CMR004"/>
    <x v="5"/>
    <s v="CMR004006"/>
    <x v="31"/>
    <s v="CMR004006002"/>
    <s v="MOK_0025"/>
    <x v="634"/>
    <s v="13.6869464"/>
    <s v="10.8022745"/>
    <s v="3.5"/>
    <n v="4500"/>
    <s v="oui"/>
    <n v="30"/>
    <n v="150"/>
    <s v="oui"/>
    <n v="3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5"/>
    <n v="129"/>
    <s v="oui"/>
    <n v="20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21"/>
    <s v="Extrême-Nord"/>
    <s v="CMR004"/>
    <x v="5"/>
    <s v="CMR004006"/>
    <x v="31"/>
    <s v="CMR004006002"/>
    <s v="MOK_0014"/>
    <x v="635"/>
    <s v="13.7999871"/>
    <s v="10.7458118"/>
    <s v="4"/>
    <n v="4700"/>
    <s v="oui"/>
    <n v="40"/>
    <n v="228"/>
    <s v="oui"/>
    <n v="30"/>
    <s v="oui"/>
    <n v="10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7"/>
    <n v="686"/>
    <s v="non"/>
    <n v="0"/>
    <s v="oui"/>
    <n v="93"/>
    <s v="oui"/>
    <n v="34"/>
    <s v="maison_independante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45"/>
    <s v="Extrême-Nord"/>
    <s v="CMR004"/>
    <x v="5"/>
    <s v="CMR004006"/>
    <x v="31"/>
    <s v="CMR004006002"/>
    <s v="MOK_0002"/>
    <x v="636"/>
    <s v="13.8202382"/>
    <s v="10.7294835"/>
    <s v="4"/>
    <n v="15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0"/>
    <n v="150"/>
    <s v="non"/>
    <n v="0"/>
    <s v="oui"/>
    <n v="3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47"/>
    <s v="Extrême-Nord"/>
    <s v="CMR004"/>
    <x v="5"/>
    <s v="CMR004006"/>
    <x v="31"/>
    <s v="CMR004006002"/>
    <s v="MOK_0004"/>
    <x v="637"/>
    <s v="13.8016009"/>
    <s v="10.7365287"/>
    <s v="4"/>
    <n v="4700"/>
    <s v="oui"/>
    <n v="37"/>
    <n v="304"/>
    <s v="oui"/>
    <n v="30"/>
    <s v="oui"/>
    <n v="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48"/>
    <s v="non"/>
    <n v="0"/>
    <s v="oui"/>
    <n v="4"/>
    <s v="oui"/>
    <n v="2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03"/>
    <s v="Extrême-Nord"/>
    <s v="CMR004"/>
    <x v="5"/>
    <s v="CMR004006"/>
    <x v="31"/>
    <s v="CMR004006002"/>
    <s v="MOK_0009"/>
    <x v="638"/>
    <s v="13.8009133"/>
    <s v="10.740906"/>
    <s v="4"/>
    <n v="5700"/>
    <s v="oui"/>
    <n v="113"/>
    <n v="896"/>
    <s v="oui"/>
    <n v="50"/>
    <s v="oui"/>
    <n v="63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114"/>
    <s v="non"/>
    <n v="0"/>
    <s v="oui"/>
    <n v="1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18"/>
    <s v="Extrême-Nord"/>
    <s v="CMR004"/>
    <x v="5"/>
    <s v="CMR004006"/>
    <x v="31"/>
    <s v="CMR004006002"/>
    <s v="MOK_0012"/>
    <x v="639"/>
    <s v="13.7489801"/>
    <s v="10.7521474"/>
    <s v="4"/>
    <n v="3800"/>
    <s v="oui"/>
    <n v="24"/>
    <n v="120"/>
    <s v="oui"/>
    <n v="2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9"/>
    <n v="94"/>
    <s v="oui"/>
    <n v="9"/>
    <s v="oui"/>
    <n v="1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84"/>
    <s v="Extrême-Nord"/>
    <s v="CMR004"/>
    <x v="5"/>
    <s v="CMR004006"/>
    <x v="31"/>
    <s v="CMR004006002"/>
    <s v="MOK_0020"/>
    <x v="640"/>
    <s v="13.773843"/>
    <s v="10.7386576"/>
    <s v="4"/>
    <n v="2559"/>
    <s v="oui"/>
    <n v="39"/>
    <n v="312"/>
    <s v="oui"/>
    <n v="3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0"/>
    <n v="478"/>
    <s v="non"/>
    <n v="0"/>
    <s v="oui"/>
    <n v="6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97"/>
    <s v="Extrême-Nord"/>
    <s v="CMR004"/>
    <x v="5"/>
    <s v="CMR004006"/>
    <x v="31"/>
    <s v="CMR004006002"/>
    <s v="MOK_0037"/>
    <x v="641"/>
    <s v="13.7667345"/>
    <s v="10.9484996"/>
    <s v="4"/>
    <n v="2000"/>
    <s v="oui"/>
    <n v="256"/>
    <n v="1709"/>
    <s v="oui"/>
    <n v="25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Oui"/>
    <b v="0"/>
  </r>
  <r>
    <n v="460"/>
    <s v="Extrême-Nord"/>
    <s v="CMR004"/>
    <x v="5"/>
    <s v="CMR004006"/>
    <x v="31"/>
    <s v="CMR004006002"/>
    <s v="MOK_0010"/>
    <x v="642"/>
    <s v="13.7618064"/>
    <s v="10.8221659"/>
    <s v="4"/>
    <n v="4800"/>
    <s v="oui"/>
    <n v="92"/>
    <n v="551"/>
    <s v="oui"/>
    <n v="81"/>
    <s v="oui"/>
    <n v="11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"/>
    <n v="25"/>
    <s v="oui"/>
    <n v="2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91"/>
    <s v="Extrême-Nord"/>
    <s v="CMR004"/>
    <x v="5"/>
    <s v="CMR004006"/>
    <x v="31"/>
    <s v="CMR004006002"/>
    <s v="MOK_0027"/>
    <x v="643"/>
    <s v="13.9045625"/>
    <s v="10.6379845"/>
    <s v="4"/>
    <n v="5300"/>
    <s v="oui"/>
    <n v="153"/>
    <n v="611"/>
    <s v="non"/>
    <n v="0"/>
    <s v="non"/>
    <n v="0"/>
    <s v=""/>
    <s v=""/>
    <s v="oui"/>
    <n v="153"/>
    <s v="autre"/>
    <s v="Camp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8"/>
    <n v="40"/>
    <s v="oui"/>
    <n v="8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44"/>
    <s v="Extrême-Nord"/>
    <s v="CMR004"/>
    <x v="5"/>
    <s v="CMR004006"/>
    <x v="31"/>
    <s v="CMR004006002"/>
    <s v="MOK_0028"/>
    <x v="644"/>
    <s v="13.8270389"/>
    <s v="10.7144173"/>
    <s v="3.5"/>
    <n v="23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"/>
    <n v="32"/>
    <x v="1"/>
    <x v="0"/>
    <s v=""/>
    <x v="0"/>
    <s v="oui"/>
    <n v="4"/>
    <s v="non"/>
    <n v="0"/>
    <s v=""/>
    <s v=""/>
    <s v="non"/>
    <n v="0"/>
    <s v=""/>
    <s v=""/>
    <s v="non"/>
    <n v="0"/>
    <s v="non"/>
    <n v="0"/>
    <s v="oui"/>
    <n v="183"/>
    <n v="1448"/>
    <s v="non"/>
    <n v="0"/>
    <s v="oui"/>
    <n v="173"/>
    <s v="oui"/>
    <n v="10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01"/>
    <s v="Extrême-Nord"/>
    <s v="CMR004"/>
    <x v="5"/>
    <s v="CMR004006"/>
    <x v="31"/>
    <s v="CMR004006002"/>
    <s v="MOK_0005"/>
    <x v="645"/>
    <s v="13.8308053"/>
    <s v="10.5070828"/>
    <s v="4"/>
    <n v="4500"/>
    <s v="oui"/>
    <n v="70"/>
    <n v="350"/>
    <s v="oui"/>
    <n v="70"/>
    <s v="non"/>
    <n v="0"/>
    <s v=""/>
    <s v=""/>
    <s v="non"/>
    <n v="0"/>
    <s v=""/>
    <s v=""/>
    <s v="non"/>
    <n v="0"/>
    <s v="non"/>
    <n v="0"/>
    <s v="oui"/>
    <n v="32"/>
    <n v="160"/>
    <x v="2"/>
    <x v="2"/>
    <s v="Kolofata"/>
    <x v="10"/>
    <s v="oui"/>
    <n v="32"/>
    <s v="non"/>
    <n v="0"/>
    <s v=""/>
    <s v=""/>
    <s v="non"/>
    <n v="0"/>
    <s v=""/>
    <s v=""/>
    <s v="non"/>
    <n v="0"/>
    <s v="non"/>
    <n v="0"/>
    <s v="oui"/>
    <n v="20"/>
    <n v="100"/>
    <s v="oui"/>
    <n v="5"/>
    <s v="oui"/>
    <n v="1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49"/>
    <s v="Extrême-Nord"/>
    <s v="CMR004"/>
    <x v="5"/>
    <s v="CMR004006"/>
    <x v="31"/>
    <s v="CMR004006002"/>
    <s v="MOK_0030"/>
    <x v="646"/>
    <s v="13.7022902"/>
    <s v="10.828555"/>
    <s v="4"/>
    <n v="6037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2"/>
    <n v="271"/>
    <x v="1"/>
    <x v="0"/>
    <s v=""/>
    <x v="0"/>
    <s v="oui"/>
    <n v="29"/>
    <s v="oui"/>
    <n v="13"/>
    <s v="maison_independante"/>
    <s v=""/>
    <s v="non"/>
    <n v="0"/>
    <s v=""/>
    <s v=""/>
    <s v="non"/>
    <n v="0"/>
    <s v="non"/>
    <n v="0"/>
    <s v="oui"/>
    <n v="36"/>
    <n v="184"/>
    <s v="oui"/>
    <n v="30"/>
    <s v="oui"/>
    <n v="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50"/>
    <s v="Extrême-Nord"/>
    <s v="CMR004"/>
    <x v="5"/>
    <s v="CMR004006"/>
    <x v="31"/>
    <s v="CMR004006002"/>
    <s v="MOK_0017"/>
    <x v="647"/>
    <s v="13.8010115"/>
    <s v="10.7381312"/>
    <s v="4"/>
    <n v="2100"/>
    <s v="oui"/>
    <n v="17"/>
    <n v="102"/>
    <s v="oui"/>
    <n v="10"/>
    <s v="oui"/>
    <n v="7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2"/>
    <s v="non"/>
    <n v="0"/>
    <s v="oui"/>
    <n v="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51"/>
    <s v="Extrême-Nord"/>
    <s v="CMR004"/>
    <x v="5"/>
    <s v="CMR004006"/>
    <x v="31"/>
    <s v="CMR004006002"/>
    <s v="MOK_0018"/>
    <x v="648"/>
    <s v="13.8017439"/>
    <s v="10.7377909"/>
    <s v="4"/>
    <n v="3200"/>
    <s v="oui"/>
    <n v="3"/>
    <n v="15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0"/>
    <n v="55"/>
    <s v="non"/>
    <n v="0"/>
    <s v="oui"/>
    <n v="1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14"/>
    <s v="Extrême-Nord"/>
    <s v="CMR004"/>
    <x v="5"/>
    <s v="CMR004006"/>
    <x v="32"/>
    <s v="CMR004006003"/>
    <s v="HIN_0003"/>
    <x v="649"/>
    <s v="13.7708617"/>
    <s v="10.4161362"/>
    <s v="4"/>
    <n v="1060"/>
    <s v="oui"/>
    <n v="8"/>
    <n v="55"/>
    <s v="oui"/>
    <n v="6"/>
    <s v="oui"/>
    <n v="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40"/>
    <s v="oui"/>
    <n v="6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96"/>
    <s v="Extrême-Nord"/>
    <s v="CMR004"/>
    <x v="5"/>
    <s v="CMR004006"/>
    <x v="32"/>
    <s v="CMR004006003"/>
    <s v="HIN_0006"/>
    <x v="650"/>
    <s v="13.9087756"/>
    <s v="10.2491808"/>
    <s v="4"/>
    <n v="105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5"/>
    <s v="oui"/>
    <n v="6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12"/>
    <s v="Extrême-Nord"/>
    <s v="CMR004"/>
    <x v="5"/>
    <s v="CMR004006"/>
    <x v="32"/>
    <s v="CMR004006003"/>
    <s v="HIN_0004"/>
    <x v="651"/>
    <s v="13.8495246"/>
    <s v="10.3687706"/>
    <s v="4"/>
    <n v="1780"/>
    <s v="oui"/>
    <n v="26"/>
    <n v="148"/>
    <s v="oui"/>
    <n v="24"/>
    <s v="oui"/>
    <n v="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"/>
    <n v="80"/>
    <s v="oui"/>
    <n v="9"/>
    <s v="non"/>
    <n v="0"/>
    <s v="oui"/>
    <n v="3"/>
    <s v="maison_independante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28"/>
    <s v="Extrême-Nord"/>
    <s v="CMR004"/>
    <x v="5"/>
    <s v="CMR004006"/>
    <x v="32"/>
    <s v="CMR004006003"/>
    <s v="HIN_0005"/>
    <x v="88"/>
    <s v="13.8881246"/>
    <s v="10.3946114"/>
    <s v="4"/>
    <n v="415"/>
    <s v="oui"/>
    <n v="4"/>
    <n v="17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3"/>
    <s v="oui"/>
    <n v="1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18"/>
    <s v="Extrême-Nord"/>
    <s v="CMR004"/>
    <x v="5"/>
    <s v="CMR004006"/>
    <x v="32"/>
    <s v="CMR004006003"/>
    <s v="HIN_0002"/>
    <x v="652"/>
    <s v="13.8568608"/>
    <s v="10.2956171"/>
    <s v="4"/>
    <n v="2020"/>
    <s v="oui"/>
    <n v="19"/>
    <n v="129"/>
    <s v="oui"/>
    <n v="1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1"/>
    <n v="65"/>
    <s v="oui"/>
    <n v="9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47"/>
    <s v="Extrême-Nord"/>
    <s v="CMR004"/>
    <x v="5"/>
    <s v="CMR004006"/>
    <x v="32"/>
    <s v="CMR004006003"/>
    <s v="HIN_0001"/>
    <x v="653"/>
    <s v="13.8344882"/>
    <s v="10.2913161"/>
    <s v="4"/>
    <n v="1560"/>
    <s v="oui"/>
    <n v="7"/>
    <n v="55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"/>
    <n v="35"/>
    <s v="oui"/>
    <n v="5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12"/>
    <s v="Extrême-Nord"/>
    <s v="CMR004"/>
    <x v="5"/>
    <s v="CMR004006"/>
    <x v="33"/>
    <s v="CMR004006004"/>
    <s v="KOZ_0031"/>
    <x v="654"/>
    <s v="13.8997598"/>
    <s v="10.8317786"/>
    <s v="4"/>
    <n v="1800"/>
    <s v="oui"/>
    <n v="35"/>
    <n v="195"/>
    <s v="oui"/>
    <n v="31"/>
    <s v="oui"/>
    <n v="4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"/>
    <n v="43"/>
    <s v="oui"/>
    <n v="5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58"/>
    <s v="Extrême-Nord"/>
    <s v="CMR004"/>
    <x v="5"/>
    <s v="CMR004006"/>
    <x v="33"/>
    <s v="CMR004006004"/>
    <s v="KOZ_0023"/>
    <x v="655"/>
    <s v="13.9242032"/>
    <s v="10.8503245"/>
    <s v="4"/>
    <n v="2500"/>
    <s v="oui"/>
    <n v="21"/>
    <n v="129"/>
    <s v="oui"/>
    <n v="16"/>
    <s v="oui"/>
    <n v="5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1"/>
    <n v="142"/>
    <s v="oui"/>
    <n v="15"/>
    <s v="oui"/>
    <n v="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59"/>
    <s v="Extrême-Nord"/>
    <s v="CMR004"/>
    <x v="5"/>
    <s v="CMR004006"/>
    <x v="33"/>
    <s v="CMR004006004"/>
    <s v="KOZ_0038"/>
    <x v="656"/>
    <s v="13.9575895"/>
    <s v="10.9181413"/>
    <s v="4"/>
    <n v="500"/>
    <s v="oui"/>
    <n v="12"/>
    <n v="63"/>
    <s v="oui"/>
    <n v="4"/>
    <s v="oui"/>
    <n v="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"/>
    <n v="11"/>
    <s v="oui"/>
    <n v="2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Oui"/>
    <b v="0"/>
  </r>
  <r>
    <n v="260"/>
    <s v="Extrême-Nord"/>
    <s v="CMR004"/>
    <x v="5"/>
    <s v="CMR004006"/>
    <x v="33"/>
    <s v="CMR004006004"/>
    <s v="KOZ_0027"/>
    <x v="657"/>
    <s v="13.7911224"/>
    <s v="10.737511"/>
    <s v="4"/>
    <n v="5000"/>
    <s v="oui"/>
    <n v="47"/>
    <n v="340"/>
    <s v="oui"/>
    <n v="26"/>
    <s v="oui"/>
    <n v="21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3"/>
    <n v="62"/>
    <s v="oui"/>
    <n v="8"/>
    <s v="oui"/>
    <n v="4"/>
    <s v="oui"/>
    <n v="1"/>
    <s v="maison_independante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61"/>
    <s v="Extrême-Nord"/>
    <s v="CMR004"/>
    <x v="5"/>
    <s v="CMR004006"/>
    <x v="33"/>
    <s v="CMR004006004"/>
    <s v="KOZ_0025"/>
    <x v="658"/>
    <s v="13.9438321"/>
    <s v="10.9094537"/>
    <s v="4"/>
    <n v="4500"/>
    <s v="oui"/>
    <n v="173"/>
    <n v="1320"/>
    <s v="oui"/>
    <n v="100"/>
    <s v="oui"/>
    <n v="73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3"/>
    <n v="284"/>
    <s v="oui"/>
    <n v="35"/>
    <s v="oui"/>
    <n v="15"/>
    <s v="oui"/>
    <n v="3"/>
    <s v="maison_independante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62"/>
    <s v="Extrême-Nord"/>
    <s v="CMR004"/>
    <x v="5"/>
    <s v="CMR004006"/>
    <x v="33"/>
    <s v="CMR004006004"/>
    <s v="KOZ_0008"/>
    <x v="659"/>
    <s v="13.9402285"/>
    <s v="10.9134643"/>
    <s v="4"/>
    <n v="2650"/>
    <s v="oui"/>
    <n v="73"/>
    <n v="498"/>
    <s v="oui"/>
    <n v="42"/>
    <s v="oui"/>
    <n v="16"/>
    <s v="maison_independante"/>
    <s v=""/>
    <s v="non"/>
    <n v="0"/>
    <s v=""/>
    <s v=""/>
    <s v="oui"/>
    <n v="15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0"/>
    <n v="58"/>
    <s v="oui"/>
    <n v="12"/>
    <s v="oui"/>
    <n v="8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263"/>
    <s v="Extrême-Nord"/>
    <s v="CMR004"/>
    <x v="5"/>
    <s v="CMR004006"/>
    <x v="33"/>
    <s v="CMR004006004"/>
    <s v="KOZ_0035"/>
    <x v="660"/>
    <s v="13.8429872"/>
    <s v="10.8047177"/>
    <s v="4"/>
    <n v="7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8"/>
    <n v="84"/>
    <s v="oui"/>
    <n v="13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Oui"/>
    <b v="0"/>
  </r>
  <r>
    <n v="269"/>
    <s v="Extrême-Nord"/>
    <s v="CMR004"/>
    <x v="5"/>
    <s v="CMR004006"/>
    <x v="33"/>
    <s v="CMR004006004"/>
    <s v="KOZ_0009"/>
    <x v="661"/>
    <s v="13.9189301"/>
    <s v="10.8685115"/>
    <s v="4"/>
    <n v="1900"/>
    <s v="oui"/>
    <n v="34"/>
    <n v="205"/>
    <s v="oui"/>
    <n v="17"/>
    <s v="oui"/>
    <n v="1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6"/>
    <n v="58"/>
    <s v="oui"/>
    <n v="11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70"/>
    <s v="Extrême-Nord"/>
    <s v="CMR004"/>
    <x v="5"/>
    <s v="CMR004006"/>
    <x v="33"/>
    <s v="CMR004006004"/>
    <s v="KOZ_0016"/>
    <x v="662"/>
    <s v="14.0042014"/>
    <s v="10.8862801"/>
    <s v="4"/>
    <n v="5200"/>
    <s v="oui"/>
    <n v="202"/>
    <n v="1592"/>
    <s v="oui"/>
    <n v="130"/>
    <s v="oui"/>
    <n v="7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"/>
    <n v="80"/>
    <s v="oui"/>
    <n v="9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71"/>
    <s v="Extrême-Nord"/>
    <s v="CMR004"/>
    <x v="5"/>
    <s v="CMR004006"/>
    <x v="33"/>
    <s v="CMR004006004"/>
    <s v="KOZ_0004"/>
    <x v="663"/>
    <s v="13.8597036"/>
    <s v="10.8356554"/>
    <s v="4"/>
    <n v="3584"/>
    <s v="oui"/>
    <n v="36"/>
    <n v="260"/>
    <s v="oui"/>
    <n v="27"/>
    <s v="oui"/>
    <n v="9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48"/>
    <s v="oui"/>
    <n v="4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72"/>
    <s v="Extrême-Nord"/>
    <s v="CMR004"/>
    <x v="5"/>
    <s v="CMR004006"/>
    <x v="33"/>
    <s v="CMR004006004"/>
    <s v="KOZ_0011"/>
    <x v="664"/>
    <s v="13.8362639"/>
    <s v="10.8147999"/>
    <s v="3.5"/>
    <n v="3500"/>
    <s v="oui"/>
    <n v="30"/>
    <n v="221"/>
    <s v="oui"/>
    <n v="19"/>
    <s v="oui"/>
    <n v="11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48"/>
    <s v="oui"/>
    <n v="4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18"/>
    <s v="Extrême-Nord"/>
    <s v="CMR004"/>
    <x v="5"/>
    <s v="CMR004006"/>
    <x v="33"/>
    <s v="CMR004006004"/>
    <s v="KOZ_0005"/>
    <x v="665"/>
    <s v="13.888673"/>
    <s v="10.8675028"/>
    <s v="4"/>
    <n v="800"/>
    <s v="oui"/>
    <n v="38"/>
    <n v="238"/>
    <s v="oui"/>
    <n v="29"/>
    <s v="oui"/>
    <n v="9"/>
    <s v="maison_independante"/>
    <s v=""/>
    <s v="non"/>
    <n v="0"/>
    <s v=""/>
    <s v=""/>
    <s v="non"/>
    <n v="0"/>
    <s v="non"/>
    <n v="0"/>
    <s v="oui"/>
    <n v="1"/>
    <n v="3"/>
    <x v="2"/>
    <x v="3"/>
    <s v="Mozogo"/>
    <x v="11"/>
    <s v="oui"/>
    <n v="1"/>
    <s v="non"/>
    <n v="0"/>
    <s v=""/>
    <s v=""/>
    <s v="non"/>
    <n v="0"/>
    <s v=""/>
    <s v=""/>
    <s v="non"/>
    <n v="0"/>
    <s v="non"/>
    <n v="0"/>
    <s v="oui"/>
    <n v="4"/>
    <n v="18"/>
    <s v="oui"/>
    <n v="3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72"/>
    <s v="Extrême-Nord"/>
    <s v="CMR004"/>
    <x v="5"/>
    <s v="CMR004006"/>
    <x v="33"/>
    <s v="CMR004006004"/>
    <s v="KOZ_0003"/>
    <x v="666"/>
    <s v="13.8626722"/>
    <s v="10.8688158"/>
    <s v="4"/>
    <n v="6069"/>
    <s v="oui"/>
    <n v="42"/>
    <n v="232"/>
    <s v="oui"/>
    <n v="34"/>
    <s v="oui"/>
    <n v="8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1"/>
    <n v="62"/>
    <s v="oui"/>
    <n v="7"/>
    <s v="oui"/>
    <n v="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80"/>
    <s v="Extrême-Nord"/>
    <s v="CMR004"/>
    <x v="5"/>
    <s v="CMR004006"/>
    <x v="33"/>
    <s v="CMR004006004"/>
    <s v="KOZ_0026"/>
    <x v="667"/>
    <s v="13.8895692"/>
    <s v="10.8657734"/>
    <s v="4"/>
    <n v="2500"/>
    <s v="oui"/>
    <n v="152"/>
    <n v="1138"/>
    <s v="oui"/>
    <n v="108"/>
    <s v="oui"/>
    <n v="44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8"/>
    <n v="135"/>
    <s v="oui"/>
    <n v="11"/>
    <s v="oui"/>
    <n v="7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37"/>
    <s v="Extrême-Nord"/>
    <s v="CMR004"/>
    <x v="5"/>
    <s v="CMR004006"/>
    <x v="33"/>
    <s v="CMR004006004"/>
    <s v="KOZ_0019"/>
    <x v="638"/>
    <s v="13.88079"/>
    <s v="10.8671022"/>
    <s v="3.5"/>
    <n v="2500"/>
    <s v="oui"/>
    <n v="131"/>
    <n v="948"/>
    <s v="oui"/>
    <n v="94"/>
    <s v="oui"/>
    <n v="3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"/>
    <n v="32"/>
    <s v="oui"/>
    <n v="3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87"/>
    <s v="Extrême-Nord"/>
    <s v="CMR004"/>
    <x v="5"/>
    <s v="CMR004006"/>
    <x v="33"/>
    <s v="CMR004006004"/>
    <s v="KOZ_0030"/>
    <x v="668"/>
    <s v="13.9000852"/>
    <s v="10.9170371"/>
    <s v="4"/>
    <n v="1700"/>
    <s v="oui"/>
    <n v="73"/>
    <n v="549"/>
    <s v="oui"/>
    <n v="50"/>
    <s v="oui"/>
    <n v="23"/>
    <s v="famille_daccueil"/>
    <s v=""/>
    <s v="non"/>
    <n v="0"/>
    <s v=""/>
    <s v=""/>
    <s v="non"/>
    <n v="0"/>
    <s v="non"/>
    <n v="0"/>
    <s v="oui"/>
    <n v="1"/>
    <n v="3"/>
    <x v="2"/>
    <x v="3"/>
    <s v="Mozogo"/>
    <x v="11"/>
    <s v="oui"/>
    <n v="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90"/>
    <s v="Extrême-Nord"/>
    <s v="CMR004"/>
    <x v="5"/>
    <s v="CMR004006"/>
    <x v="33"/>
    <s v="CMR004006004"/>
    <s v="KOZ_0034"/>
    <x v="669"/>
    <s v="13.8318621"/>
    <s v="10.8254217"/>
    <s v="4"/>
    <n v="3000"/>
    <s v="oui"/>
    <n v="10"/>
    <n v="49"/>
    <s v="oui"/>
    <n v="8"/>
    <s v="oui"/>
    <n v="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82"/>
    <s v="oui"/>
    <n v="12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51"/>
    <s v="Extrême-Nord"/>
    <s v="CMR004"/>
    <x v="5"/>
    <s v="CMR004006"/>
    <x v="33"/>
    <s v="CMR004006004"/>
    <s v="KOZ_0012"/>
    <x v="670"/>
    <s v="13.8218939"/>
    <s v="10.8631165"/>
    <s v="4"/>
    <n v="11800"/>
    <s v="oui"/>
    <n v="224"/>
    <n v="1434"/>
    <s v="oui"/>
    <n v="149"/>
    <s v="oui"/>
    <n v="75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"/>
    <n v="79"/>
    <s v="oui"/>
    <n v="10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55"/>
    <s v="Extrême-Nord"/>
    <s v="CMR004"/>
    <x v="5"/>
    <s v="CMR004006"/>
    <x v="33"/>
    <s v="CMR004006004"/>
    <s v="KOZ_0028"/>
    <x v="671"/>
    <s v="13.884209"/>
    <s v="10.870333"/>
    <s v="4"/>
    <n v="2444"/>
    <s v="oui"/>
    <n v="92"/>
    <n v="646"/>
    <s v="oui"/>
    <n v="76"/>
    <s v="oui"/>
    <n v="16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6"/>
    <n v="109"/>
    <s v="oui"/>
    <n v="11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46"/>
    <s v="Extrême-Nord"/>
    <s v="CMR004"/>
    <x v="5"/>
    <s v="CMR004006"/>
    <x v="33"/>
    <s v="CMR004006004"/>
    <s v="KOZ_0021"/>
    <x v="672"/>
    <s v="13.9050329"/>
    <s v="10.9377191"/>
    <s v="4"/>
    <n v="5700"/>
    <s v="oui"/>
    <n v="109"/>
    <n v="896"/>
    <s v="oui"/>
    <n v="55"/>
    <s v="oui"/>
    <n v="54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9"/>
    <n v="193"/>
    <s v="oui"/>
    <n v="18"/>
    <s v="oui"/>
    <n v="8"/>
    <s v="oui"/>
    <n v="3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48"/>
    <s v="Extrême-Nord"/>
    <s v="CMR004"/>
    <x v="5"/>
    <s v="CMR004006"/>
    <x v="33"/>
    <s v="CMR004006004"/>
    <s v="KOZ_0018"/>
    <x v="673"/>
    <s v="13.9007292"/>
    <s v="10.8605206"/>
    <s v="4"/>
    <n v="4140"/>
    <s v="oui"/>
    <n v="61"/>
    <n v="471"/>
    <s v="oui"/>
    <n v="37"/>
    <s v="oui"/>
    <n v="24"/>
    <s v="famille_daccueil"/>
    <s v=""/>
    <s v="non"/>
    <n v="0"/>
    <s v=""/>
    <s v=""/>
    <s v="non"/>
    <n v="0"/>
    <s v="non"/>
    <n v="0"/>
    <s v="oui"/>
    <n v="3"/>
    <n v="11"/>
    <x v="2"/>
    <x v="3"/>
    <s v="Mozogo"/>
    <x v="12"/>
    <s v="oui"/>
    <n v="3"/>
    <s v="non"/>
    <n v="0"/>
    <s v=""/>
    <s v=""/>
    <s v="non"/>
    <n v="0"/>
    <s v=""/>
    <s v=""/>
    <s v="non"/>
    <n v="0"/>
    <s v="non"/>
    <n v="0"/>
    <s v="oui"/>
    <n v="23"/>
    <n v="115"/>
    <s v="oui"/>
    <n v="15"/>
    <s v="oui"/>
    <n v="8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64"/>
    <s v="Extrême-Nord"/>
    <s v="CMR004"/>
    <x v="5"/>
    <s v="CMR004006"/>
    <x v="33"/>
    <s v="CMR004006004"/>
    <s v="KOZ_0013"/>
    <x v="674"/>
    <s v="13.893101"/>
    <s v="10.8917628"/>
    <s v="4"/>
    <n v="2000"/>
    <s v="oui"/>
    <n v="40"/>
    <n v="287"/>
    <s v="oui"/>
    <n v="29"/>
    <s v="oui"/>
    <n v="11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58"/>
    <s v="Extrême-Nord"/>
    <s v="CMR004"/>
    <x v="5"/>
    <s v="CMR004006"/>
    <x v="33"/>
    <s v="CMR004006004"/>
    <s v="KOZ_0022"/>
    <x v="675"/>
    <s v="13.8354504"/>
    <s v="10.8656923"/>
    <s v="4"/>
    <n v="4700"/>
    <s v="oui"/>
    <n v="43"/>
    <n v="302"/>
    <s v="oui"/>
    <n v="17"/>
    <s v="oui"/>
    <n v="2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8"/>
    <n v="48"/>
    <s v="oui"/>
    <n v="7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59"/>
    <s v="Extrême-Nord"/>
    <s v="CMR004"/>
    <x v="5"/>
    <s v="CMR004006"/>
    <x v="33"/>
    <s v="CMR004006004"/>
    <s v="KOZ_0029"/>
    <x v="676"/>
    <s v="13.8506955"/>
    <s v="10.8761092"/>
    <s v="4"/>
    <n v="1075"/>
    <s v="oui"/>
    <n v="49"/>
    <n v="336"/>
    <s v="oui"/>
    <n v="38"/>
    <s v="oui"/>
    <n v="11"/>
    <s v="maison_independante"/>
    <s v=""/>
    <s v="non"/>
    <n v="0"/>
    <s v=""/>
    <s v=""/>
    <s v="non"/>
    <n v="0"/>
    <s v="non"/>
    <n v="0"/>
    <s v="oui"/>
    <n v="2"/>
    <n v="4"/>
    <x v="2"/>
    <x v="3"/>
    <s v="Mozogo"/>
    <x v="11"/>
    <s v="oui"/>
    <n v="2"/>
    <s v="non"/>
    <n v="0"/>
    <s v=""/>
    <s v=""/>
    <s v="non"/>
    <n v="0"/>
    <s v=""/>
    <s v=""/>
    <s v="non"/>
    <n v="0"/>
    <s v="non"/>
    <n v="0"/>
    <s v="oui"/>
    <n v="6"/>
    <n v="32"/>
    <s v="oui"/>
    <n v="4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60"/>
    <s v="Extrême-Nord"/>
    <s v="CMR004"/>
    <x v="5"/>
    <s v="CMR004006"/>
    <x v="33"/>
    <s v="CMR004006004"/>
    <s v="KOZ_0007"/>
    <x v="677"/>
    <s v="13.9479349"/>
    <s v="10.9556238"/>
    <s v="4"/>
    <n v="3500"/>
    <s v="oui"/>
    <n v="98"/>
    <n v="646"/>
    <s v="oui"/>
    <n v="65"/>
    <s v="oui"/>
    <n v="33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1"/>
    <s v="Extrême-Nord"/>
    <s v="CMR004"/>
    <x v="5"/>
    <s v="CMR004006"/>
    <x v="33"/>
    <s v="CMR004006004"/>
    <s v="KOZ_0017"/>
    <x v="678"/>
    <s v="13.8772097"/>
    <s v="10.8695622"/>
    <s v="4"/>
    <n v="1500"/>
    <s v="oui"/>
    <n v="29"/>
    <n v="192"/>
    <s v="oui"/>
    <n v="16"/>
    <s v="oui"/>
    <n v="13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2"/>
    <s v="Extrême-Nord"/>
    <s v="CMR004"/>
    <x v="5"/>
    <s v="CMR004006"/>
    <x v="33"/>
    <s v="CMR004006004"/>
    <s v="KOZ_0015"/>
    <x v="679"/>
    <s v="13.8798068"/>
    <s v="10.8691755"/>
    <s v="4"/>
    <n v="1800"/>
    <s v="oui"/>
    <n v="51"/>
    <n v="438"/>
    <s v="oui"/>
    <n v="22"/>
    <s v="oui"/>
    <n v="29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1"/>
    <n v="69"/>
    <s v="oui"/>
    <n v="9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63"/>
    <s v="Extrême-Nord"/>
    <s v="CMR004"/>
    <x v="5"/>
    <s v="CMR004006"/>
    <x v="33"/>
    <s v="CMR004006004"/>
    <s v="KOZ_0024"/>
    <x v="680"/>
    <s v="13.8494505"/>
    <s v="10.8843077"/>
    <s v="4"/>
    <n v="5000"/>
    <s v="oui"/>
    <n v="73"/>
    <n v="493"/>
    <s v="oui"/>
    <n v="38"/>
    <s v="oui"/>
    <n v="35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25"/>
    <s v="Extrême-Nord"/>
    <s v="CMR004"/>
    <x v="5"/>
    <s v="CMR004006"/>
    <x v="33"/>
    <s v="CMR004006004"/>
    <s v="KOZ_0010"/>
    <x v="681"/>
    <s v="13.8985745"/>
    <s v="10.9484834"/>
    <s v="4"/>
    <n v="3400"/>
    <s v="oui"/>
    <n v="111"/>
    <n v="836"/>
    <s v="oui"/>
    <n v="54"/>
    <s v="oui"/>
    <n v="5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"/>
    <n v="28"/>
    <s v="oui"/>
    <n v="4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87"/>
    <s v="Extrême-Nord"/>
    <s v="CMR004"/>
    <x v="5"/>
    <s v="CMR004006"/>
    <x v="33"/>
    <s v="CMR004006004"/>
    <s v="KOZ_0006"/>
    <x v="682"/>
    <s v="13.8786856"/>
    <s v="10.8590455"/>
    <s v="3.5"/>
    <n v="1300"/>
    <s v="oui"/>
    <n v="32"/>
    <n v="185"/>
    <s v="oui"/>
    <n v="22"/>
    <s v="oui"/>
    <n v="10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8"/>
    <n v="121"/>
    <s v="oui"/>
    <n v="12"/>
    <s v="oui"/>
    <n v="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88"/>
    <s v="Extrême-Nord"/>
    <s v="CMR004"/>
    <x v="5"/>
    <s v="CMR004006"/>
    <x v="33"/>
    <s v="CMR004006004"/>
    <s v="KOZ_0014"/>
    <x v="683"/>
    <s v="13.8710752"/>
    <s v="10.8695071"/>
    <s v="4"/>
    <n v="1872"/>
    <s v="oui"/>
    <n v="54"/>
    <n v="416"/>
    <s v="oui"/>
    <n v="30"/>
    <s v="oui"/>
    <n v="24"/>
    <s v="famille_daccueil"/>
    <s v=""/>
    <s v="non"/>
    <n v="0"/>
    <s v=""/>
    <s v=""/>
    <s v="non"/>
    <n v="0"/>
    <s v="non"/>
    <n v="0"/>
    <s v="oui"/>
    <n v="1"/>
    <n v="2"/>
    <x v="2"/>
    <x v="3"/>
    <s v="Mozogo"/>
    <x v="11"/>
    <s v="oui"/>
    <n v="1"/>
    <s v="non"/>
    <n v="0"/>
    <s v=""/>
    <s v=""/>
    <s v="non"/>
    <n v="0"/>
    <s v=""/>
    <s v=""/>
    <s v="non"/>
    <n v="0"/>
    <s v="non"/>
    <n v="0"/>
    <s v="oui"/>
    <n v="6"/>
    <n v="32"/>
    <s v="oui"/>
    <n v="5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89"/>
    <s v="Extrême-Nord"/>
    <s v="CMR004"/>
    <x v="5"/>
    <s v="CMR004006"/>
    <x v="33"/>
    <s v="CMR004006004"/>
    <s v="KOZ_0002"/>
    <x v="684"/>
    <s v="13.9559176"/>
    <s v="10.8988246"/>
    <s v="4"/>
    <n v="1500"/>
    <s v="oui"/>
    <n v="37"/>
    <n v="192"/>
    <s v="oui"/>
    <n v="30"/>
    <s v="oui"/>
    <n v="7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3"/>
    <n v="42"/>
    <s v="oui"/>
    <n v="8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40"/>
    <s v="Extrême-Nord"/>
    <s v="CMR004"/>
    <x v="5"/>
    <s v="CMR004006"/>
    <x v="33"/>
    <s v="CMR004006004"/>
    <s v="KOZ_0037"/>
    <x v="639"/>
    <s v="13.8075974"/>
    <s v="10.8699005"/>
    <s v="4"/>
    <n v="300"/>
    <s v="oui"/>
    <n v="9"/>
    <n v="55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Oui"/>
    <b v="0"/>
  </r>
  <r>
    <n v="241"/>
    <s v="Extrême-Nord"/>
    <s v="CMR004"/>
    <x v="5"/>
    <s v="CMR004006"/>
    <x v="33"/>
    <s v="CMR004006004"/>
    <s v="KOZ_0020"/>
    <x v="685"/>
    <s v="13.9094802"/>
    <s v="10.8787326"/>
    <s v="4"/>
    <n v="2900"/>
    <s v="oui"/>
    <n v="59"/>
    <n v="360"/>
    <s v="oui"/>
    <n v="52"/>
    <s v="oui"/>
    <n v="7"/>
    <s v="maison_independante"/>
    <s v=""/>
    <s v="non"/>
    <n v="0"/>
    <s v=""/>
    <s v=""/>
    <s v="non"/>
    <n v="0"/>
    <s v="non"/>
    <n v="0"/>
    <s v="oui"/>
    <n v="2"/>
    <n v="7"/>
    <x v="2"/>
    <x v="3"/>
    <s v="Mozogo"/>
    <x v="11"/>
    <s v="oui"/>
    <n v="2"/>
    <s v="non"/>
    <n v="0"/>
    <s v=""/>
    <s v=""/>
    <s v="non"/>
    <n v="0"/>
    <s v=""/>
    <s v=""/>
    <s v="non"/>
    <n v="0"/>
    <s v="non"/>
    <n v="0"/>
    <s v="oui"/>
    <n v="12"/>
    <n v="67"/>
    <s v="oui"/>
    <n v="7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11"/>
    <s v="Extrême-Nord"/>
    <s v="CMR004"/>
    <x v="5"/>
    <s v="CMR004006"/>
    <x v="33"/>
    <s v="CMR004006004"/>
    <s v="KOZ_0036"/>
    <x v="686"/>
    <s v="13.8742536"/>
    <s v="10.885456"/>
    <s v="4"/>
    <n v="469"/>
    <s v="oui"/>
    <n v="11"/>
    <n v="82"/>
    <s v="oui"/>
    <n v="6"/>
    <s v="oui"/>
    <n v="5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Oui"/>
    <b v="0"/>
  </r>
  <r>
    <n v="265"/>
    <s v="Extrême-Nord"/>
    <s v="CMR004"/>
    <x v="5"/>
    <s v="CMR004006"/>
    <x v="34"/>
    <s v="CMR004006005"/>
    <s v="MOZ_0010"/>
    <x v="687"/>
    <s v="13.9043366"/>
    <s v="10.9634593"/>
    <s v="4"/>
    <n v="7687"/>
    <s v="oui"/>
    <n v="107"/>
    <n v="545"/>
    <s v="oui"/>
    <n v="95"/>
    <s v="oui"/>
    <n v="1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5"/>
    <n v="428"/>
    <s v="oui"/>
    <n v="72"/>
    <s v="oui"/>
    <n v="3"/>
    <s v="non"/>
    <n v="0"/>
    <s v=""/>
    <s v=""/>
    <s v="non"/>
    <n v="0"/>
    <s v=""/>
    <s v=""/>
    <s v="non"/>
    <n v="0"/>
    <s v="non"/>
    <n v="0"/>
    <s v="oui"/>
    <n v="5"/>
    <n v="25"/>
    <s v="non"/>
    <m/>
    <m/>
    <s v="Non"/>
    <b v="0"/>
  </r>
  <r>
    <n v="542"/>
    <s v="Extrême-Nord"/>
    <s v="CMR004"/>
    <x v="5"/>
    <s v="CMR004006"/>
    <x v="34"/>
    <s v="CMR004006005"/>
    <s v="MOZ_0018"/>
    <x v="688"/>
    <s v="13.9000364"/>
    <s v="10.9599312"/>
    <s v="4"/>
    <n v="4152"/>
    <s v="oui"/>
    <n v="142"/>
    <n v="710"/>
    <s v="oui"/>
    <n v="60"/>
    <s v="oui"/>
    <n v="20"/>
    <s v="famille_daccueil"/>
    <s v=""/>
    <s v="non"/>
    <n v="0"/>
    <s v=""/>
    <s v=""/>
    <s v="oui"/>
    <n v="6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7"/>
    <n v="85"/>
    <s v="oui"/>
    <n v="14"/>
    <s v="oui"/>
    <n v="3"/>
    <s v="non"/>
    <n v="0"/>
    <s v=""/>
    <s v=""/>
    <s v="non"/>
    <n v="0"/>
    <s v=""/>
    <s v=""/>
    <s v="non"/>
    <n v="0"/>
    <s v="non"/>
    <n v="0"/>
    <s v="oui"/>
    <n v="16"/>
    <n v="80"/>
    <s v="non"/>
    <m/>
    <m/>
    <s v="Non"/>
    <b v="1"/>
  </r>
  <r>
    <n v="551"/>
    <s v="Extrême-Nord"/>
    <s v="CMR004"/>
    <x v="5"/>
    <s v="CMR004006"/>
    <x v="34"/>
    <s v="CMR004006005"/>
    <s v="MOZ_0006"/>
    <x v="672"/>
    <s v="13.9106129"/>
    <s v="10.938587"/>
    <s v="3.5"/>
    <n v="3807"/>
    <s v="oui"/>
    <n v="131"/>
    <n v="655"/>
    <s v="oui"/>
    <n v="119"/>
    <s v="oui"/>
    <n v="1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0"/>
    <s v="oui"/>
    <n v="5"/>
    <s v="oui"/>
    <n v="1"/>
    <s v="non"/>
    <n v="0"/>
    <s v=""/>
    <s v=""/>
    <s v="non"/>
    <n v="0"/>
    <s v=""/>
    <s v=""/>
    <s v="non"/>
    <n v="0"/>
    <s v="non"/>
    <n v="0"/>
    <s v="oui"/>
    <n v="9"/>
    <n v="45"/>
    <s v="non"/>
    <m/>
    <m/>
    <s v="Non"/>
    <b v="0"/>
  </r>
  <r>
    <n v="557"/>
    <s v="Extrême-Nord"/>
    <s v="CMR004"/>
    <x v="5"/>
    <s v="CMR004006"/>
    <x v="34"/>
    <s v="CMR004006005"/>
    <s v="MOZ_0003"/>
    <x v="689"/>
    <s v="13.9146139"/>
    <s v="10.9384284"/>
    <s v="4"/>
    <n v="456"/>
    <s v="oui"/>
    <n v="12"/>
    <n v="60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0"/>
    <s v="oui"/>
    <n v="6"/>
    <s v="non"/>
    <n v="0"/>
    <s v="non"/>
    <n v="0"/>
    <s v=""/>
    <s v=""/>
    <s v="non"/>
    <n v="0"/>
    <s v=""/>
    <s v=""/>
    <s v="non"/>
    <n v="0"/>
    <s v="non"/>
    <n v="0"/>
    <s v="oui"/>
    <n v="5"/>
    <n v="25"/>
    <s v="non"/>
    <m/>
    <m/>
    <s v="Non"/>
    <b v="0"/>
  </r>
  <r>
    <n v="57"/>
    <s v="Extrême-Nord"/>
    <s v="CMR004"/>
    <x v="5"/>
    <s v="CMR004006"/>
    <x v="34"/>
    <s v="CMR004006005"/>
    <s v="MOZ_0001"/>
    <x v="690"/>
    <s v="13.9479063"/>
    <s v="10.9839486"/>
    <s v="4"/>
    <n v="2364"/>
    <s v="oui"/>
    <n v="74"/>
    <n v="372"/>
    <s v="oui"/>
    <n v="38"/>
    <s v="non"/>
    <n v="0"/>
    <s v=""/>
    <s v=""/>
    <s v="oui"/>
    <n v="27"/>
    <s v="autre"/>
    <s v="Parcelle publique"/>
    <s v="oui"/>
    <n v="9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0"/>
    <n v="324"/>
    <s v="oui"/>
    <n v="60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333"/>
    <s v="Extrême-Nord"/>
    <s v="CMR004"/>
    <x v="5"/>
    <s v="CMR004006"/>
    <x v="34"/>
    <s v="CMR004006005"/>
    <s v="MOZ_0017"/>
    <x v="691"/>
    <s v="13.836579"/>
    <s v="10.9516274"/>
    <s v="4"/>
    <n v="3814"/>
    <s v="oui"/>
    <n v="80"/>
    <n v="400"/>
    <s v="oui"/>
    <n v="70"/>
    <s v="non"/>
    <n v="0"/>
    <s v=""/>
    <s v=""/>
    <s v="non"/>
    <n v="0"/>
    <s v=""/>
    <s v=""/>
    <s v="oui"/>
    <n v="10"/>
    <s v="non"/>
    <n v="0"/>
    <s v="oui"/>
    <n v="13"/>
    <n v="65"/>
    <x v="1"/>
    <x v="0"/>
    <s v=""/>
    <x v="0"/>
    <s v="oui"/>
    <n v="1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8"/>
    <n v="40"/>
    <s v="non"/>
    <m/>
    <m/>
    <s v="Non"/>
    <b v="1"/>
  </r>
  <r>
    <n v="334"/>
    <s v="Extrême-Nord"/>
    <s v="CMR004"/>
    <x v="5"/>
    <s v="CMR004006"/>
    <x v="34"/>
    <s v="CMR004006005"/>
    <s v="MOZ_0005"/>
    <x v="692"/>
    <s v="13.9485971"/>
    <s v="11.0021843"/>
    <s v="3.5"/>
    <n v="2820"/>
    <s v="oui"/>
    <n v="45"/>
    <n v="225"/>
    <s v="oui"/>
    <n v="34"/>
    <s v="non"/>
    <n v="0"/>
    <s v=""/>
    <s v=""/>
    <s v="non"/>
    <n v="0"/>
    <s v=""/>
    <s v=""/>
    <s v="oui"/>
    <n v="11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7"/>
    <n v="135"/>
    <s v="oui"/>
    <n v="26"/>
    <s v="oui"/>
    <n v="1"/>
    <s v="non"/>
    <n v="0"/>
    <s v=""/>
    <s v=""/>
    <s v="non"/>
    <n v="0"/>
    <s v=""/>
    <s v=""/>
    <s v="non"/>
    <n v="0"/>
    <s v="non"/>
    <n v="0"/>
    <s v="oui"/>
    <n v="9"/>
    <n v="45"/>
    <s v="non"/>
    <m/>
    <m/>
    <s v="Non"/>
    <b v="1"/>
  </r>
  <r>
    <n v="335"/>
    <s v="Extrême-Nord"/>
    <s v="CMR004"/>
    <x v="5"/>
    <s v="CMR004006"/>
    <x v="34"/>
    <s v="CMR004006005"/>
    <s v="MOZ_0026"/>
    <x v="693"/>
    <s v="13.9463639"/>
    <s v="11.0303161"/>
    <s v="4"/>
    <n v="6029"/>
    <s v="oui"/>
    <n v="48"/>
    <n v="240"/>
    <s v="oui"/>
    <n v="4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6"/>
    <n v="286"/>
    <s v="oui"/>
    <n v="39"/>
    <s v="oui"/>
    <n v="17"/>
    <s v="non"/>
    <n v="0"/>
    <s v=""/>
    <s v=""/>
    <s v="non"/>
    <n v="0"/>
    <s v=""/>
    <s v=""/>
    <s v="non"/>
    <n v="0"/>
    <s v="non"/>
    <n v="0"/>
    <s v="oui"/>
    <n v="12"/>
    <n v="60"/>
    <s v="non"/>
    <m/>
    <m/>
    <s v="Non"/>
    <b v="0"/>
  </r>
  <r>
    <n v="624"/>
    <s v="Extrême-Nord"/>
    <s v="CMR004"/>
    <x v="5"/>
    <s v="CMR004006"/>
    <x v="34"/>
    <s v="CMR004006005"/>
    <s v="MOZ_0019"/>
    <x v="694"/>
    <s v="13.7982335"/>
    <s v="10.9684034"/>
    <s v="3.5"/>
    <n v="1267"/>
    <s v="oui"/>
    <n v="89"/>
    <n v="489"/>
    <s v="oui"/>
    <n v="87"/>
    <s v="non"/>
    <n v="0"/>
    <s v=""/>
    <s v=""/>
    <s v="non"/>
    <n v="0"/>
    <s v=""/>
    <s v=""/>
    <s v="oui"/>
    <n v="2"/>
    <s v="non"/>
    <n v="0"/>
    <s v="oui"/>
    <n v="18"/>
    <n v="100"/>
    <x v="1"/>
    <x v="0"/>
    <s v=""/>
    <x v="0"/>
    <s v="oui"/>
    <n v="18"/>
    <s v="non"/>
    <n v="0"/>
    <s v=""/>
    <s v=""/>
    <s v="non"/>
    <n v="0"/>
    <s v=""/>
    <s v=""/>
    <s v="non"/>
    <n v="0"/>
    <s v="non"/>
    <n v="0"/>
    <s v="oui"/>
    <n v="17"/>
    <n v="102"/>
    <s v="oui"/>
    <n v="17"/>
    <s v="non"/>
    <n v="0"/>
    <s v="non"/>
    <n v="0"/>
    <s v=""/>
    <s v=""/>
    <s v="non"/>
    <n v="0"/>
    <s v=""/>
    <s v=""/>
    <s v="non"/>
    <n v="0"/>
    <s v="non"/>
    <n v="0"/>
    <s v="oui"/>
    <n v="6"/>
    <n v="36"/>
    <s v="non"/>
    <m/>
    <m/>
    <s v="Non"/>
    <b v="1"/>
  </r>
  <r>
    <n v="634"/>
    <s v="Extrême-Nord"/>
    <s v="CMR004"/>
    <x v="5"/>
    <s v="CMR004006"/>
    <x v="34"/>
    <s v="CMR004006005"/>
    <s v="MOZ_0020"/>
    <x v="695"/>
    <s v="13.7929443"/>
    <s v="10.985034"/>
    <s v="4"/>
    <n v="2378"/>
    <s v="oui"/>
    <n v="209"/>
    <n v="1096"/>
    <s v="oui"/>
    <n v="206"/>
    <s v="non"/>
    <n v="0"/>
    <s v=""/>
    <s v=""/>
    <s v="non"/>
    <n v="0"/>
    <s v=""/>
    <s v=""/>
    <s v="oui"/>
    <n v="3"/>
    <s v="non"/>
    <n v="0"/>
    <s v="oui"/>
    <n v="36"/>
    <n v="195"/>
    <x v="1"/>
    <x v="0"/>
    <s v=""/>
    <x v="0"/>
    <s v="oui"/>
    <n v="36"/>
    <s v="non"/>
    <n v="0"/>
    <s v=""/>
    <s v=""/>
    <s v="non"/>
    <n v="0"/>
    <s v=""/>
    <s v=""/>
    <s v="non"/>
    <n v="0"/>
    <s v="non"/>
    <n v="0"/>
    <s v="oui"/>
    <n v="33"/>
    <n v="185"/>
    <s v="oui"/>
    <n v="33"/>
    <s v="non"/>
    <n v="0"/>
    <s v="non"/>
    <n v="0"/>
    <s v=""/>
    <s v=""/>
    <s v="non"/>
    <n v="0"/>
    <s v=""/>
    <s v=""/>
    <s v="non"/>
    <n v="0"/>
    <s v="non"/>
    <n v="0"/>
    <s v="oui"/>
    <n v="2"/>
    <n v="10"/>
    <s v="non"/>
    <m/>
    <m/>
    <s v="Non"/>
    <b v="1"/>
  </r>
  <r>
    <n v="132"/>
    <s v="Extrême-Nord"/>
    <s v="CMR004"/>
    <x v="5"/>
    <s v="CMR004006"/>
    <x v="34"/>
    <s v="CMR004006005"/>
    <s v="MOZ_0033"/>
    <x v="696"/>
    <s v="13.7950734"/>
    <s v="10.9777978"/>
    <s v="3.5"/>
    <n v="938"/>
    <s v="oui"/>
    <n v="32"/>
    <n v="168"/>
    <s v="oui"/>
    <n v="3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1"/>
    <s v="oui"/>
    <n v="6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Oui"/>
    <b v="0"/>
  </r>
  <r>
    <n v="133"/>
    <s v="Extrême-Nord"/>
    <s v="CMR004"/>
    <x v="5"/>
    <s v="CMR004006"/>
    <x v="34"/>
    <s v="CMR004006005"/>
    <s v="MOZ_0014"/>
    <x v="697"/>
    <s v="13.8463592"/>
    <s v="10.9297836"/>
    <s v="3.5"/>
    <n v="3527"/>
    <s v="oui"/>
    <n v="24"/>
    <n v="120"/>
    <s v="oui"/>
    <n v="24"/>
    <s v="non"/>
    <n v="0"/>
    <s v=""/>
    <s v=""/>
    <s v="non"/>
    <n v="0"/>
    <s v=""/>
    <s v=""/>
    <s v="non"/>
    <n v="0"/>
    <s v="non"/>
    <n v="0"/>
    <s v="oui"/>
    <n v="25"/>
    <n v="125"/>
    <x v="1"/>
    <x v="0"/>
    <s v=""/>
    <x v="0"/>
    <s v="oui"/>
    <n v="25"/>
    <s v="non"/>
    <n v="0"/>
    <s v=""/>
    <s v=""/>
    <s v="non"/>
    <n v="0"/>
    <s v=""/>
    <s v=""/>
    <s v="non"/>
    <n v="0"/>
    <s v="non"/>
    <n v="0"/>
    <s v="oui"/>
    <n v="17"/>
    <n v="85"/>
    <s v="oui"/>
    <n v="13"/>
    <s v="oui"/>
    <n v="4"/>
    <s v="non"/>
    <n v="0"/>
    <s v=""/>
    <s v=""/>
    <s v="non"/>
    <n v="0"/>
    <s v=""/>
    <s v=""/>
    <s v="non"/>
    <n v="0"/>
    <s v="non"/>
    <n v="0"/>
    <s v="oui"/>
    <n v="10"/>
    <n v="50"/>
    <s v="non"/>
    <m/>
    <m/>
    <s v="Non"/>
    <b v="0"/>
  </r>
  <r>
    <n v="134"/>
    <s v="Extrême-Nord"/>
    <s v="CMR004"/>
    <x v="5"/>
    <s v="CMR004006"/>
    <x v="34"/>
    <s v="CMR004006005"/>
    <s v="MOZ_0007"/>
    <x v="698"/>
    <s v="13.8086303"/>
    <s v="10.9297829"/>
    <s v="4"/>
    <n v="1206"/>
    <s v="oui"/>
    <n v="16"/>
    <n v="80"/>
    <s v="oui"/>
    <n v="1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0"/>
    <n v="48"/>
    <s v="oui"/>
    <n v="10"/>
    <s v="non"/>
    <n v="0"/>
    <s v="non"/>
    <n v="0"/>
    <s v=""/>
    <s v=""/>
    <s v="non"/>
    <n v="0"/>
    <s v=""/>
    <s v=""/>
    <s v="non"/>
    <n v="0"/>
    <s v="non"/>
    <n v="0"/>
    <s v="oui"/>
    <n v="2"/>
    <n v="10"/>
    <s v="non"/>
    <m/>
    <m/>
    <s v="Non"/>
    <b v="0"/>
  </r>
  <r>
    <n v="685"/>
    <s v="Extrême-Nord"/>
    <s v="CMR004"/>
    <x v="5"/>
    <s v="CMR004006"/>
    <x v="34"/>
    <s v="CMR004006005"/>
    <s v="MOZ_0002"/>
    <x v="699"/>
    <s v="13.8812972"/>
    <s v="10.9551061"/>
    <s v="4"/>
    <n v="2136"/>
    <s v="oui"/>
    <n v="27"/>
    <n v="136"/>
    <s v="oui"/>
    <n v="2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86"/>
    <s v="Extrême-Nord"/>
    <s v="CMR004"/>
    <x v="5"/>
    <s v="CMR004006"/>
    <x v="34"/>
    <s v="CMR004006005"/>
    <s v="MOZ_0012"/>
    <x v="700"/>
    <s v="13.9025921"/>
    <s v="10.9629757"/>
    <s v="4"/>
    <n v="8696"/>
    <s v="oui"/>
    <n v="99"/>
    <n v="502"/>
    <s v="oui"/>
    <n v="92"/>
    <s v="oui"/>
    <n v="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87"/>
    <n v="474"/>
    <s v="oui"/>
    <n v="83"/>
    <s v="oui"/>
    <n v="4"/>
    <s v="non"/>
    <n v="0"/>
    <s v=""/>
    <s v=""/>
    <s v="non"/>
    <n v="0"/>
    <s v=""/>
    <s v=""/>
    <s v="non"/>
    <n v="0"/>
    <s v="non"/>
    <n v="0"/>
    <s v="oui"/>
    <n v="10"/>
    <n v="50"/>
    <s v="non"/>
    <m/>
    <m/>
    <s v="Non"/>
    <b v="0"/>
  </r>
  <r>
    <n v="688"/>
    <s v="Extrême-Nord"/>
    <s v="CMR004"/>
    <x v="5"/>
    <s v="CMR004006"/>
    <x v="34"/>
    <s v="CMR004006005"/>
    <s v="MOZ_0016"/>
    <x v="701"/>
    <s v="13.9094231"/>
    <s v="10.9819008"/>
    <s v="4"/>
    <n v="518"/>
    <s v="oui"/>
    <n v="3"/>
    <n v="16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4"/>
    <n v="350"/>
    <s v="oui"/>
    <n v="54"/>
    <s v="non"/>
    <n v="0"/>
    <s v="non"/>
    <n v="0"/>
    <s v=""/>
    <s v=""/>
    <s v="non"/>
    <n v="0"/>
    <s v=""/>
    <s v=""/>
    <s v="non"/>
    <n v="0"/>
    <s v="non"/>
    <n v="0"/>
    <s v="oui"/>
    <n v="44"/>
    <n v="220"/>
    <s v="non"/>
    <m/>
    <m/>
    <s v="Non"/>
    <b v="0"/>
  </r>
  <r>
    <n v="689"/>
    <s v="Extrême-Nord"/>
    <s v="CMR004"/>
    <x v="5"/>
    <s v="CMR004006"/>
    <x v="34"/>
    <s v="CMR004006005"/>
    <s v="MOZ_0034"/>
    <x v="702"/>
    <s v="13.803779"/>
    <s v="10.9483147"/>
    <s v="4"/>
    <n v="1096"/>
    <s v="oui"/>
    <n v="21"/>
    <n v="114"/>
    <s v="oui"/>
    <n v="2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6"/>
    <n v="276"/>
    <s v="oui"/>
    <n v="37"/>
    <s v="oui"/>
    <n v="9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Oui"/>
    <b v="0"/>
  </r>
  <r>
    <n v="454"/>
    <s v="Extrême-Nord"/>
    <s v="CMR004"/>
    <x v="5"/>
    <s v="CMR004006"/>
    <x v="34"/>
    <s v="CMR004006005"/>
    <s v="MOZ_0004"/>
    <x v="703"/>
    <s v="13.943256"/>
    <s v="11.0086151"/>
    <s v="4"/>
    <n v="604"/>
    <s v="oui"/>
    <n v="69"/>
    <n v="345"/>
    <s v="oui"/>
    <n v="52"/>
    <s v="non"/>
    <n v="0"/>
    <s v=""/>
    <s v=""/>
    <s v="non"/>
    <n v="0"/>
    <s v=""/>
    <s v=""/>
    <s v="oui"/>
    <n v="17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1"/>
    <n v="55"/>
    <s v="oui"/>
    <n v="8"/>
    <s v="oui"/>
    <n v="3"/>
    <s v="non"/>
    <n v="0"/>
    <s v=""/>
    <s v=""/>
    <s v="non"/>
    <n v="0"/>
    <s v=""/>
    <s v=""/>
    <s v="non"/>
    <n v="0"/>
    <s v="non"/>
    <n v="0"/>
    <s v="oui"/>
    <n v="11"/>
    <n v="55"/>
    <s v="non"/>
    <m/>
    <m/>
    <s v="Non"/>
    <b v="1"/>
  </r>
  <r>
    <n v="212"/>
    <s v="Extrême-Nord"/>
    <s v="CMR004"/>
    <x v="5"/>
    <s v="CMR004006"/>
    <x v="34"/>
    <s v="CMR004006005"/>
    <s v="MOZ_0015"/>
    <x v="704"/>
    <s v="13.8258077"/>
    <s v="10.9186263"/>
    <s v="3.5"/>
    <n v="2441"/>
    <s v="oui"/>
    <n v="42"/>
    <n v="213"/>
    <s v="oui"/>
    <n v="42"/>
    <s v="non"/>
    <n v="0"/>
    <s v=""/>
    <s v=""/>
    <s v="non"/>
    <n v="0"/>
    <s v=""/>
    <s v=""/>
    <s v="non"/>
    <n v="0"/>
    <s v="non"/>
    <n v="0"/>
    <s v="oui"/>
    <n v="17"/>
    <n v="85"/>
    <x v="1"/>
    <x v="0"/>
    <s v=""/>
    <x v="0"/>
    <s v="oui"/>
    <n v="17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13"/>
    <s v="Extrême-Nord"/>
    <s v="CMR004"/>
    <x v="5"/>
    <s v="CMR004006"/>
    <x v="34"/>
    <s v="CMR004006005"/>
    <s v="MOZ_0013"/>
    <x v="705"/>
    <s v="13.9437682"/>
    <s v="10.9989183"/>
    <s v="4"/>
    <n v="9736"/>
    <s v="oui"/>
    <n v="138"/>
    <n v="707"/>
    <s v="oui"/>
    <n v="132"/>
    <s v="oui"/>
    <n v="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76"/>
    <n v="905"/>
    <s v="oui"/>
    <n v="171"/>
    <s v="oui"/>
    <n v="5"/>
    <s v="non"/>
    <n v="0"/>
    <s v=""/>
    <s v=""/>
    <s v="non"/>
    <n v="0"/>
    <s v=""/>
    <s v=""/>
    <s v="non"/>
    <n v="0"/>
    <s v="non"/>
    <n v="0"/>
    <s v="oui"/>
    <n v="43"/>
    <n v="217"/>
    <s v="non"/>
    <m/>
    <m/>
    <s v="Non"/>
    <b v="0"/>
  </r>
  <r>
    <n v="243"/>
    <s v="Extrême-Nord"/>
    <s v="CMR004"/>
    <x v="5"/>
    <s v="CMR004006"/>
    <x v="34"/>
    <s v="CMR004006005"/>
    <s v="MOZ_0021"/>
    <x v="706"/>
    <s v="13.9022045"/>
    <s v="10.9633578"/>
    <s v="4"/>
    <n v="246"/>
    <s v="oui"/>
    <n v="12"/>
    <n v="60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0"/>
    <s v="oui"/>
    <n v="6"/>
    <s v="non"/>
    <n v="0"/>
    <s v="non"/>
    <n v="0"/>
    <s v=""/>
    <s v=""/>
    <s v="non"/>
    <n v="0"/>
    <s v=""/>
    <s v=""/>
    <s v="non"/>
    <n v="0"/>
    <s v="non"/>
    <n v="0"/>
    <s v="oui"/>
    <n v="64"/>
    <n v="322"/>
    <s v="non"/>
    <m/>
    <m/>
    <s v="Non"/>
    <b v="0"/>
  </r>
  <r>
    <n v="247"/>
    <s v="Extrême-Nord"/>
    <s v="CMR004"/>
    <x v="5"/>
    <s v="CMR004006"/>
    <x v="34"/>
    <s v="CMR004006005"/>
    <s v="MOZ_0011"/>
    <x v="707"/>
    <s v="13.9051876"/>
    <s v="10.9651514"/>
    <s v="3.5"/>
    <n v="6747"/>
    <s v="oui"/>
    <n v="300"/>
    <n v="1503"/>
    <s v="oui"/>
    <n v="248"/>
    <s v="oui"/>
    <n v="5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5"/>
    <n v="410"/>
    <s v="oui"/>
    <n v="75"/>
    <s v="non"/>
    <n v="0"/>
    <s v="non"/>
    <n v="0"/>
    <s v=""/>
    <s v=""/>
    <s v="non"/>
    <n v="0"/>
    <s v=""/>
    <s v=""/>
    <s v="non"/>
    <n v="0"/>
    <s v="non"/>
    <n v="0"/>
    <s v="oui"/>
    <n v="6"/>
    <n v="30"/>
    <s v="oui"/>
    <n v="30"/>
    <n v="150"/>
    <s v="Non"/>
    <b v="0"/>
  </r>
  <r>
    <n v="248"/>
    <s v="Extrême-Nord"/>
    <s v="CMR004"/>
    <x v="5"/>
    <s v="CMR004006"/>
    <x v="34"/>
    <s v="CMR004006005"/>
    <s v="MOZ_0031"/>
    <x v="708"/>
    <s v="13.8041594"/>
    <s v="10.9502486"/>
    <s v="4"/>
    <n v="639"/>
    <s v="oui"/>
    <n v="9"/>
    <n v="48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2"/>
    <n v="167"/>
    <s v="oui"/>
    <n v="32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Oui"/>
    <b v="0"/>
  </r>
  <r>
    <n v="508"/>
    <s v="Extrême-Nord"/>
    <s v="CMR004"/>
    <x v="5"/>
    <s v="CMR004006"/>
    <x v="34"/>
    <s v="CMR004006005"/>
    <s v="MOZ_0008"/>
    <x v="709"/>
    <s v="13.8701558"/>
    <s v="10.9468134"/>
    <s v="3.5"/>
    <n v="11521"/>
    <s v="oui"/>
    <n v="184"/>
    <n v="937"/>
    <s v="oui"/>
    <n v="147"/>
    <s v="oui"/>
    <n v="28"/>
    <s v="famille_daccueil"/>
    <s v=""/>
    <s v="oui"/>
    <n v="9"/>
    <s v="eglise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40"/>
    <n v="700"/>
    <s v="oui"/>
    <n v="132"/>
    <s v="oui"/>
    <n v="8"/>
    <s v="non"/>
    <n v="0"/>
    <s v=""/>
    <s v=""/>
    <s v="non"/>
    <n v="0"/>
    <s v=""/>
    <s v=""/>
    <s v="non"/>
    <n v="0"/>
    <s v="non"/>
    <n v="0"/>
    <s v="oui"/>
    <n v="96"/>
    <n v="484"/>
    <s v="non"/>
    <m/>
    <m/>
    <s v="Non"/>
    <b v="0"/>
  </r>
  <r>
    <n v="509"/>
    <s v="Extrême-Nord"/>
    <s v="CMR004"/>
    <x v="5"/>
    <s v="CMR004006"/>
    <x v="34"/>
    <s v="CMR004006005"/>
    <s v="MOZ_0022"/>
    <x v="710"/>
    <s v="13.8628579"/>
    <s v="10.9451553"/>
    <s v="3.5"/>
    <n v="343"/>
    <s v="oui"/>
    <n v="7"/>
    <n v="35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"/>
    <n v="10"/>
    <s v="oui"/>
    <n v="2"/>
    <s v="non"/>
    <n v="0"/>
    <s v="non"/>
    <n v="0"/>
    <s v=""/>
    <s v=""/>
    <s v="non"/>
    <n v="0"/>
    <s v=""/>
    <s v=""/>
    <s v="non"/>
    <n v="0"/>
    <s v="non"/>
    <n v="0"/>
    <s v="oui"/>
    <n v="23"/>
    <n v="113"/>
    <s v="non"/>
    <m/>
    <m/>
    <s v="Non"/>
    <b v="0"/>
  </r>
  <r>
    <n v="513"/>
    <s v="Extrême-Nord"/>
    <s v="CMR004"/>
    <x v="5"/>
    <s v="CMR004006"/>
    <x v="35"/>
    <s v="CMR004006006"/>
    <s v="SOU_0009"/>
    <x v="711"/>
    <s v="13.9664854"/>
    <s v="10.7851277"/>
    <s v="4"/>
    <n v="374"/>
    <s v="oui"/>
    <n v="40"/>
    <n v="208"/>
    <s v="oui"/>
    <n v="4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"/>
    <n v="18"/>
    <s v="non"/>
    <n v="0"/>
    <s v="oui"/>
    <n v="4"/>
    <s v="non"/>
    <n v="0"/>
    <s v=""/>
    <s v=""/>
    <s v="non"/>
    <n v="0"/>
    <s v=""/>
    <s v=""/>
    <s v="non"/>
    <n v="0"/>
    <s v="non"/>
    <n v="0"/>
    <s v="oui"/>
    <n v="3"/>
    <n v="35"/>
    <s v="non"/>
    <m/>
    <m/>
    <s v="Non"/>
    <b v="0"/>
  </r>
  <r>
    <n v="524"/>
    <s v="Extrême-Nord"/>
    <s v="CMR004"/>
    <x v="5"/>
    <s v="CMR004006"/>
    <x v="35"/>
    <s v="CMR004006006"/>
    <s v="SOU_0001"/>
    <x v="712"/>
    <s v="13.9044895"/>
    <s v="10.7621594"/>
    <s v="4"/>
    <n v="2730"/>
    <s v="oui"/>
    <n v="40"/>
    <n v="167"/>
    <s v="oui"/>
    <n v="4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"/>
    <n v="31"/>
    <s v="non"/>
    <n v="0"/>
    <s v="oui"/>
    <n v="7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5"/>
    <s v="Extrême-Nord"/>
    <s v="CMR004"/>
    <x v="5"/>
    <s v="CMR004006"/>
    <x v="35"/>
    <s v="CMR004006006"/>
    <s v="SOU_0003"/>
    <x v="713"/>
    <s v="13.9529834"/>
    <s v="10.7923175"/>
    <s v="4"/>
    <n v="2538"/>
    <s v="oui"/>
    <n v="45"/>
    <n v="211"/>
    <s v="oui"/>
    <n v="4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1"/>
    <s v="non"/>
    <n v="0"/>
    <s v="oui"/>
    <n v="6"/>
    <s v="non"/>
    <n v="0"/>
    <s v=""/>
    <s v=""/>
    <s v="non"/>
    <n v="0"/>
    <s v=""/>
    <s v=""/>
    <s v="non"/>
    <n v="0"/>
    <s v="non"/>
    <n v="0"/>
    <s v="oui"/>
    <n v="5"/>
    <n v="25"/>
    <s v="non"/>
    <m/>
    <m/>
    <s v="Non"/>
    <b v="0"/>
  </r>
  <r>
    <n v="332"/>
    <s v="Extrême-Nord"/>
    <s v="CMR004"/>
    <x v="5"/>
    <s v="CMR004006"/>
    <x v="35"/>
    <s v="CMR004006006"/>
    <s v="SOU_0008"/>
    <x v="714"/>
    <s v="13.9073728"/>
    <s v="10.7567806"/>
    <s v="4"/>
    <n v="2024"/>
    <s v="oui"/>
    <n v="52"/>
    <n v="223"/>
    <s v="oui"/>
    <n v="5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3"/>
    <n v="48"/>
    <s v="non"/>
    <n v="0"/>
    <s v="oui"/>
    <n v="13"/>
    <s v="non"/>
    <n v="0"/>
    <s v=""/>
    <s v=""/>
    <s v="non"/>
    <n v="0"/>
    <s v=""/>
    <s v=""/>
    <s v="non"/>
    <n v="0"/>
    <s v="non"/>
    <n v="0"/>
    <s v="oui"/>
    <n v="2"/>
    <n v="6"/>
    <s v="non"/>
    <m/>
    <m/>
    <s v="Non"/>
    <b v="0"/>
  </r>
  <r>
    <n v="591"/>
    <s v="Extrême-Nord"/>
    <s v="CMR004"/>
    <x v="5"/>
    <s v="CMR004006"/>
    <x v="35"/>
    <s v="CMR004006006"/>
    <s v="SOU_0006"/>
    <x v="715"/>
    <s v="13.9139564"/>
    <s v="10.7558872"/>
    <s v="4"/>
    <n v="3042"/>
    <s v="oui"/>
    <n v="57"/>
    <n v="217"/>
    <s v="oui"/>
    <n v="5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6"/>
    <n v="97"/>
    <s v="non"/>
    <n v="0"/>
    <s v="oui"/>
    <n v="26"/>
    <s v="non"/>
    <n v="0"/>
    <s v=""/>
    <s v=""/>
    <s v="non"/>
    <n v="0"/>
    <s v=""/>
    <s v=""/>
    <s v="non"/>
    <n v="0"/>
    <s v="non"/>
    <n v="0"/>
    <s v="oui"/>
    <n v="45"/>
    <n v="200"/>
    <s v="non"/>
    <m/>
    <m/>
    <s v="Non"/>
    <b v="0"/>
  </r>
  <r>
    <n v="107"/>
    <s v="Extrême-Nord"/>
    <s v="CMR004"/>
    <x v="5"/>
    <s v="CMR004006"/>
    <x v="35"/>
    <s v="CMR004006006"/>
    <s v="SOU_0005"/>
    <x v="716"/>
    <s v="13.9920552"/>
    <s v="10.7792172"/>
    <s v="4"/>
    <n v="4012"/>
    <s v="oui"/>
    <n v="118"/>
    <n v="423"/>
    <s v="oui"/>
    <n v="100"/>
    <s v="oui"/>
    <n v="1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8"/>
    <n v="66"/>
    <s v="non"/>
    <n v="0"/>
    <s v="oui"/>
    <n v="13"/>
    <s v="oui"/>
    <n v="5"/>
    <s v="famille_daccueil"/>
    <s v=""/>
    <s v="non"/>
    <n v="0"/>
    <s v=""/>
    <s v=""/>
    <s v="non"/>
    <n v="0"/>
    <s v="non"/>
    <n v="0"/>
    <s v="oui"/>
    <n v="3"/>
    <n v="8"/>
    <s v="non"/>
    <m/>
    <m/>
    <s v="Non"/>
    <b v="0"/>
  </r>
  <r>
    <n v="405"/>
    <s v="Extrême-Nord"/>
    <s v="CMR004"/>
    <x v="5"/>
    <s v="CMR004006"/>
    <x v="35"/>
    <s v="CMR004006006"/>
    <s v="SOU_0002"/>
    <x v="717"/>
    <s v="14.0110904"/>
    <s v="10.7593468"/>
    <s v="4"/>
    <n v="3010"/>
    <s v="oui"/>
    <n v="40"/>
    <n v="112"/>
    <s v="oui"/>
    <n v="30"/>
    <s v="oui"/>
    <n v="10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"/>
    <n v="26"/>
    <s v="non"/>
    <n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08"/>
    <s v="Extrême-Nord"/>
    <s v="CMR004"/>
    <x v="5"/>
    <s v="CMR004006"/>
    <x v="35"/>
    <s v="CMR004006006"/>
    <s v="SOU_0004"/>
    <x v="718"/>
    <s v="14.01907"/>
    <s v="10.788978"/>
    <s v="4"/>
    <n v="3552"/>
    <s v="oui"/>
    <n v="108"/>
    <n v="421"/>
    <s v="oui"/>
    <n v="101"/>
    <s v="oui"/>
    <n v="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"/>
    <n v="64"/>
    <s v="non"/>
    <n v="0"/>
    <s v="oui"/>
    <n v="12"/>
    <s v="non"/>
    <n v="0"/>
    <s v=""/>
    <s v=""/>
    <s v="non"/>
    <n v="0"/>
    <s v=""/>
    <s v=""/>
    <s v="non"/>
    <n v="0"/>
    <s v="non"/>
    <n v="0"/>
    <s v="oui"/>
    <n v="4"/>
    <n v="20"/>
    <s v="non"/>
    <m/>
    <m/>
    <s v="Non"/>
    <b v="0"/>
  </r>
  <r>
    <n v="530"/>
    <s v="Extrême-Nord"/>
    <s v="CMR004"/>
    <x v="5"/>
    <s v="CMR004006"/>
    <x v="36"/>
    <s v="CMR004006007"/>
    <s v="BOU_0004"/>
    <x v="638"/>
    <s v="13.5110839"/>
    <s v="10.2506696"/>
    <s v="4"/>
    <n v="15000"/>
    <s v="oui"/>
    <n v="25"/>
    <n v="130"/>
    <s v="oui"/>
    <n v="19"/>
    <s v="oui"/>
    <n v="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1"/>
    <n v="616"/>
    <s v="oui"/>
    <n v="56"/>
    <s v="oui"/>
    <n v="24"/>
    <s v="oui"/>
    <n v="41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27"/>
    <s v="Extrême-Nord"/>
    <s v="CMR004"/>
    <x v="5"/>
    <s v="CMR004006"/>
    <x v="36"/>
    <s v="CMR004006007"/>
    <s v="BOU_0001"/>
    <x v="719"/>
    <s v="13.4556984"/>
    <s v="10.1434545"/>
    <s v="4"/>
    <n v="20000"/>
    <s v="oui"/>
    <n v="10"/>
    <n v="78"/>
    <s v="oui"/>
    <n v="3"/>
    <s v="oui"/>
    <n v="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7"/>
    <n v="95"/>
    <s v="oui"/>
    <n v="9"/>
    <s v="oui"/>
    <n v="3"/>
    <s v="oui"/>
    <n v="5"/>
    <s v="maison_independante"/>
    <s v=""/>
    <s v="non"/>
    <n v="0"/>
    <s v=""/>
    <s v=""/>
    <s v="non"/>
    <n v="0"/>
    <s v="non"/>
    <n v="0"/>
    <s v="non"/>
    <n v="0"/>
    <n v="0"/>
    <s v="non"/>
    <m/>
    <m/>
    <s v="Non"/>
    <b v="0"/>
  </r>
  <r>
    <n v="84"/>
    <s v="Extrême-Nord"/>
    <s v="CMR004"/>
    <x v="5"/>
    <s v="CMR004006"/>
    <x v="36"/>
    <s v="CMR004006007"/>
    <s v="BOU_0005"/>
    <x v="720"/>
    <s v="13.5037598"/>
    <s v="10.1631336"/>
    <s v="4"/>
    <n v="180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16"/>
    <n v="90"/>
    <x v="1"/>
    <x v="0"/>
    <s v=""/>
    <x v="0"/>
    <s v="oui"/>
    <n v="16"/>
    <s v="non"/>
    <n v="0"/>
    <s v=""/>
    <s v=""/>
    <s v="non"/>
    <n v="0"/>
    <s v=""/>
    <s v=""/>
    <s v="non"/>
    <n v="0"/>
    <s v="non"/>
    <n v="0"/>
    <s v="oui"/>
    <n v="14"/>
    <n v="75"/>
    <s v="oui"/>
    <n v="7"/>
    <s v="oui"/>
    <n v="7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97"/>
    <s v="Extrême-Nord"/>
    <s v="CMR004"/>
    <x v="5"/>
    <s v="CMR004006"/>
    <x v="36"/>
    <s v="CMR004006007"/>
    <s v="BOU_0002"/>
    <x v="721"/>
    <s v="13.6575997"/>
    <s v="10.2963944"/>
    <s v="4"/>
    <n v="100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9"/>
    <s v="Extrême-Nord"/>
    <s v="CMR004"/>
    <x v="5"/>
    <s v="CMR004006"/>
    <x v="36"/>
    <s v="CMR004006007"/>
    <s v="BOU_0003"/>
    <x v="722"/>
    <s v="13.5587505"/>
    <s v="10.3392548"/>
    <s v="4"/>
    <n v="300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6"/>
    <n v="780"/>
    <s v="oui"/>
    <n v="59"/>
    <s v="oui"/>
    <n v="41"/>
    <s v="oui"/>
    <n v="56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83">
  <r>
    <s v="Extrême-Nord"/>
    <s v="CMR004"/>
    <x v="0"/>
    <s v="CMR004001"/>
    <x v="0"/>
    <s v="CMR004001008"/>
    <s v="BANTADJE"/>
    <s v="GAZ_0001"/>
    <x v="0"/>
    <s v="P2"/>
    <n v="3"/>
    <n v="16"/>
    <s v="Conflits EIAO"/>
    <s v=""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1"/>
    <x v="0"/>
    <s v="CMR004001008"/>
    <s v="CARREFOUR CLIPS"/>
    <s v="GAZ_0002"/>
    <x v="0"/>
    <s v="P2"/>
    <n v="3"/>
    <n v="10"/>
    <s v="Conflits EIAO"/>
    <s v=""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1"/>
    <x v="0"/>
    <s v="CMR004001008"/>
    <s v="DOYANG"/>
    <s v="GAZ_0003"/>
    <x v="0"/>
    <s v="P2"/>
    <n v="3"/>
    <n v="21"/>
    <s v="Conflits EIAO"/>
    <s v=""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1"/>
    <x v="0"/>
    <s v="CMR004001008"/>
    <s v="GOUDOURWO"/>
    <s v="GAZ_0004"/>
    <x v="0"/>
    <s v="P2"/>
    <n v="2"/>
    <n v="8"/>
    <s v="Conflits EIAO"/>
    <s v=""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1"/>
    <x v="0"/>
    <s v="CMR004001008"/>
    <s v="KATOUAL"/>
    <s v="GAZ_0005"/>
    <x v="0"/>
    <s v="P2"/>
    <n v="27"/>
    <n v="151"/>
    <s v="Conflits EIAO"/>
    <s v=""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1"/>
    <x v="0"/>
    <s v="CMR004001008"/>
    <s v="LOMORE"/>
    <s v="GAZ_0006"/>
    <x v="0"/>
    <s v="P2"/>
    <n v="9"/>
    <n v="67"/>
    <s v="Conflits EIAO"/>
    <s v=""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1"/>
    <x v="1"/>
    <s v="CMR004001002"/>
    <s v="DOUALARE 1"/>
    <s v="MA2_0001"/>
    <x v="0"/>
    <s v="P2"/>
    <n v="50"/>
    <n v="350"/>
    <s v="Conflits EIAO"/>
    <s v=""/>
    <s v="autre_arrondissement"/>
    <s v="CMR"/>
    <s v="Cameroon"/>
    <s v="CMR004"/>
    <s v="Extrême-Nord"/>
    <s v="CMR004001"/>
    <s v="Diamare"/>
    <s v="CMR004001002"/>
    <s v="Maroua II"/>
  </r>
  <r>
    <s v="Extrême-Nord"/>
    <s v="CMR004"/>
    <x v="0"/>
    <s v="CMR004001"/>
    <x v="1"/>
    <s v="CMR004001002"/>
    <s v="DOUALARE 2"/>
    <s v="MA2_0002"/>
    <x v="0"/>
    <s v="P2"/>
    <n v="66"/>
    <n v="391"/>
    <s v="Conflits EIAO"/>
    <s v=""/>
    <s v="autre_arrondissement"/>
    <s v="CMR"/>
    <s v="Cameroon"/>
    <s v="CMR004"/>
    <s v="Extrême-Nord"/>
    <s v="CMR004001"/>
    <s v="Diamare"/>
    <s v="CMR004001002"/>
    <s v="Maroua II"/>
  </r>
  <r>
    <s v="Extrême-Nord"/>
    <s v="CMR004"/>
    <x v="0"/>
    <s v="CMR004001"/>
    <x v="2"/>
    <s v="CMR004001001"/>
    <s v="DOUGOI"/>
    <s v="MA3_0001"/>
    <x v="0"/>
    <s v="P2"/>
    <n v="71"/>
    <n v="378"/>
    <s v="Conflits EIAO"/>
    <s v=""/>
    <s v="meme_arrondissement"/>
    <s v="CMR"/>
    <s v="Cameroon"/>
    <s v="CMR004"/>
    <s v="Extrême-Nord"/>
    <s v="CMR004001"/>
    <s v="Diamare"/>
    <s v="CMR004001001"/>
    <s v="Maroua III"/>
  </r>
  <r>
    <s v="Extrême-Nord"/>
    <s v="CMR004"/>
    <x v="0"/>
    <s v="CMR004001"/>
    <x v="2"/>
    <s v="CMR004001001"/>
    <s v="DOURSOUNGO"/>
    <s v="MA3_0002"/>
    <x v="0"/>
    <s v="P2"/>
    <n v="131"/>
    <n v="672"/>
    <s v="Conflits EIAO"/>
    <s v=""/>
    <s v="meme_arrondissement"/>
    <s v="CMR"/>
    <s v="Cameroon"/>
    <s v="CMR004"/>
    <s v="Extrême-Nord"/>
    <s v="CMR004001"/>
    <s v="Diamare"/>
    <s v="CMR004001001"/>
    <s v="Maroua III"/>
  </r>
  <r>
    <s v="Extrême-Nord"/>
    <s v="CMR004"/>
    <x v="0"/>
    <s v="CMR004001"/>
    <x v="2"/>
    <s v="CMR004001001"/>
    <s v="LOUGEO"/>
    <s v="MA3_0003"/>
    <x v="0"/>
    <s v="P2"/>
    <n v="195"/>
    <n v="111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2"/>
    <s v="CMR004001001"/>
    <s v="SARRARE"/>
    <s v="MA3_0004"/>
    <x v="0"/>
    <s v="P2"/>
    <n v="8"/>
    <n v="79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3"/>
    <s v="CMR004001007"/>
    <s v="MANGAFE"/>
    <s v="MER_0001"/>
    <x v="0"/>
    <s v="P2"/>
    <n v="8"/>
    <n v="36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ALAGARNO"/>
    <s v="PET_0001"/>
    <x v="0"/>
    <s v="P2"/>
    <n v="3"/>
    <n v="18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BANDALARE"/>
    <s v="PET_0028"/>
    <x v="0"/>
    <s v="P2"/>
    <n v="2"/>
    <n v="19"/>
    <s v="Conflits EIAO"/>
    <s v=""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DJAFGUE"/>
    <s v="PET_0003"/>
    <x v="0"/>
    <s v="P2"/>
    <n v="19"/>
    <n v="165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DJAOUDE"/>
    <s v="PET_0004"/>
    <x v="0"/>
    <s v="P2"/>
    <n v="39"/>
    <n v="202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DJAOUDE"/>
    <s v="PET_0004"/>
    <x v="0"/>
    <s v="P3"/>
    <n v="45"/>
    <n v="216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DJAOUDE"/>
    <s v="PET_0004"/>
    <x v="0"/>
    <s v="P4"/>
    <n v="51"/>
    <n v="263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DJAOUDE"/>
    <s v="PET_0004"/>
    <x v="0"/>
    <s v="P5"/>
    <n v="9"/>
    <n v="61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DJOUTA-BEMBAL"/>
    <s v="PET_0005"/>
    <x v="0"/>
    <s v="P2"/>
    <n v="7"/>
    <n v="36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DOUTAROU"/>
    <s v="PET_0006"/>
    <x v="0"/>
    <s v="P3"/>
    <n v="7"/>
    <n v="37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FADARE"/>
    <s v="PET_0008"/>
    <x v="0"/>
    <s v="P3"/>
    <n v="3"/>
    <n v="27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HODEMA"/>
    <s v="PET_0010"/>
    <x v="0"/>
    <s v="P2"/>
    <n v="2"/>
    <n v="14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HODEMA"/>
    <s v="PET_0010"/>
    <x v="0"/>
    <s v="P6"/>
    <n v="2"/>
    <n v="2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ARAL GUIE"/>
    <s v="PET_0011"/>
    <x v="0"/>
    <s v="P3"/>
    <n v="2"/>
    <n v="13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ARAL GUIE"/>
    <s v="PET_0011"/>
    <x v="0"/>
    <s v="P5"/>
    <n v="3"/>
    <n v="28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ARAL TANNE"/>
    <s v="PET_0012"/>
    <x v="0"/>
    <s v="P1"/>
    <n v="11"/>
    <n v="59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LISSAWA"/>
    <s v="PET_0013"/>
    <x v="0"/>
    <s v="P2"/>
    <n v="19"/>
    <n v="69"/>
    <s v="Conflits EIAO"/>
    <s v=""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LISSAWA"/>
    <s v="PET_0013"/>
    <x v="0"/>
    <s v="P5"/>
    <n v="7"/>
    <n v="18"/>
    <s v="Conflits EIAO"/>
    <s v=""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LISSAWA"/>
    <s v="PET_0013"/>
    <x v="0"/>
    <s v="P6"/>
    <n v="1"/>
    <n v="11"/>
    <s v="Conflits EIAO"/>
    <s v=""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ONGHO 1"/>
    <s v="PET_0014"/>
    <x v="0"/>
    <s v="P2"/>
    <n v="17"/>
    <n v="85"/>
    <s v="Conflits EIAO"/>
    <s v=""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ONGHO 1"/>
    <s v="PET_0014"/>
    <x v="0"/>
    <s v="P5"/>
    <n v="2"/>
    <n v="5"/>
    <s v="Conflits EIAO"/>
    <s v=""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ONGHO 2"/>
    <s v="PET_0015"/>
    <x v="0"/>
    <s v="P2"/>
    <n v="7"/>
    <n v="35"/>
    <s v="Conflits EIAO"/>
    <s v=""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ONGHO 2"/>
    <s v="PET_0015"/>
    <x v="0"/>
    <s v="P4"/>
    <n v="4"/>
    <n v="27"/>
    <s v="Conflits EIAO"/>
    <s v=""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ONGHO 2"/>
    <s v="PET_0015"/>
    <x v="0"/>
    <s v="P5"/>
    <n v="1"/>
    <n v="2"/>
    <s v="Conflits EIAO"/>
    <s v=""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ONGHO 2"/>
    <s v="PET_0015"/>
    <x v="0"/>
    <s v="P6"/>
    <n v="1"/>
    <n v="4"/>
    <s v="Conflits EIAO"/>
    <s v=""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OURGNOUGNOU"/>
    <s v="PET_0016"/>
    <x v="0"/>
    <s v="P3"/>
    <n v="28"/>
    <n v="228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OURWAMA ABDOU"/>
    <s v="PET_0017"/>
    <x v="0"/>
    <s v="P2"/>
    <n v="4"/>
    <n v="16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OURWAMA NDJIDDA"/>
    <s v="PET_0018"/>
    <x v="0"/>
    <s v="P2"/>
    <n v="1"/>
    <n v="6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OURWAMAYEL"/>
    <s v="PET_0019"/>
    <x v="0"/>
    <s v="P2"/>
    <n v="5"/>
    <n v="23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LOUBA LOUBA"/>
    <s v="PET_0020"/>
    <x v="0"/>
    <s v="P2"/>
    <n v="9"/>
    <n v="44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MOURGOUT"/>
    <s v="PET_0021"/>
    <x v="0"/>
    <s v="P2"/>
    <n v="9"/>
    <n v="63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NDJAMENA"/>
    <s v="PET_0022"/>
    <x v="0"/>
    <s v="P2"/>
    <n v="4"/>
    <n v="2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NIWADJI"/>
    <s v="PET_0023"/>
    <x v="0"/>
    <s v="P3"/>
    <n v="6"/>
    <n v="47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NIWADJI"/>
    <s v="PET_0023"/>
    <x v="0"/>
    <s v="P5"/>
    <n v="1"/>
    <n v="1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PETTE CENTRE"/>
    <s v="PET_0024"/>
    <x v="0"/>
    <s v="P2"/>
    <n v="22"/>
    <n v="136"/>
    <s v="Conflits EIAO"/>
    <s v=""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SALAME ALIOUM"/>
    <s v="PET_0025"/>
    <x v="0"/>
    <s v="P2"/>
    <n v="3"/>
    <n v="20"/>
    <s v="Conflits EIAO"/>
    <s v=""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TOUTKA"/>
    <s v="PET_0027"/>
    <x v="0"/>
    <s v="P2"/>
    <n v="2"/>
    <n v="11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TOUTKA"/>
    <s v="PET_0027"/>
    <x v="0"/>
    <s v="P5"/>
    <n v="1"/>
    <n v="4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1"/>
    <s v="CMR004002"/>
    <x v="5"/>
    <s v="CMR004002003"/>
    <s v="ANDOURMAN"/>
    <s v="BLA_0001"/>
    <x v="0"/>
    <s v="P3"/>
    <n v="9"/>
    <n v="83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ANDOURMAN"/>
    <s v="BLA_0001"/>
    <x v="0"/>
    <s v="P4"/>
    <n v="1"/>
    <n v="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BLANGOUA"/>
    <s v="BLA_0002"/>
    <x v="0"/>
    <s v="P2"/>
    <n v="152"/>
    <n v="99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BLANGOUA"/>
    <s v="BLA_0002"/>
    <x v="0"/>
    <s v="P3"/>
    <n v="117"/>
    <n v="76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BLANGOUA"/>
    <s v="BLA_0002"/>
    <x v="0"/>
    <s v="P4"/>
    <n v="318"/>
    <n v="1927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BLANGOUA"/>
    <s v="BLA_0002"/>
    <x v="0"/>
    <s v="P5"/>
    <n v="22"/>
    <n v="13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BLANGOUA BACHE"/>
    <s v="BLA_0003"/>
    <x v="0"/>
    <s v="P1"/>
    <n v="196"/>
    <n v="1445"/>
    <s v="inondations et desastres naturels"/>
    <s v=""/>
    <s v="meme_arrondissement"/>
    <s v="CMR"/>
    <s v="Cameroon"/>
    <s v="CMR004"/>
    <s v="Extrême-Nord"/>
    <s v="CMR004002"/>
    <s v="Logone-Et-Chari"/>
    <s v="CMR004002003"/>
    <s v="Blangoua"/>
  </r>
  <r>
    <s v="Extrême-Nord"/>
    <s v="CMR004"/>
    <x v="1"/>
    <s v="CMR004002"/>
    <x v="5"/>
    <s v="CMR004002003"/>
    <s v="BLANGOUA BACHE"/>
    <s v="BLA_0003"/>
    <x v="0"/>
    <s v="P3"/>
    <n v="17"/>
    <n v="9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5"/>
    <s v="CMR004002003"/>
    <s v="BLANGOUA BACHE"/>
    <s v="BLA_0003"/>
    <x v="0"/>
    <s v="P4"/>
    <n v="49"/>
    <n v="363"/>
    <s v="inondations et desastres naturels"/>
    <s v=""/>
    <s v="meme_arrondissement"/>
    <s v="CMR"/>
    <s v="Cameroon"/>
    <s v="CMR004"/>
    <s v="Extrême-Nord"/>
    <s v="CMR004002"/>
    <s v="Logone-Et-Chari"/>
    <s v="CMR004002003"/>
    <s v="Blangoua"/>
  </r>
  <r>
    <s v="Extrême-Nord"/>
    <s v="CMR004"/>
    <x v="1"/>
    <s v="CMR004002"/>
    <x v="5"/>
    <s v="CMR004002003"/>
    <s v="BLANGOUA BACHE"/>
    <s v="BLA_0003"/>
    <x v="0"/>
    <s v="P5"/>
    <n v="26"/>
    <n v="139"/>
    <s v="inondations et desastres naturels"/>
    <s v=""/>
    <s v="meme_arrondissement"/>
    <s v="CMR"/>
    <s v="Cameroon"/>
    <s v="CMR004"/>
    <s v="Extrême-Nord"/>
    <s v="CMR004002"/>
    <s v="Logone-Et-Chari"/>
    <s v="CMR004002003"/>
    <s v="Blangoua"/>
  </r>
  <r>
    <s v="Extrême-Nord"/>
    <s v="CMR004"/>
    <x v="1"/>
    <s v="CMR004002"/>
    <x v="5"/>
    <s v="CMR004002003"/>
    <s v="BLANGOUA BACHE"/>
    <s v="BLA_0003"/>
    <x v="0"/>
    <s v="P6"/>
    <n v="28"/>
    <n v="154"/>
    <s v="inondations et desastres naturels"/>
    <s v=""/>
    <s v="meme_arrondissement"/>
    <s v="CMR"/>
    <s v="Cameroon"/>
    <s v="CMR004"/>
    <s v="Extrême-Nord"/>
    <s v="CMR004002"/>
    <s v="Logone-Et-Chari"/>
    <s v="CMR004002003"/>
    <s v="Blangoua"/>
  </r>
  <r>
    <s v="Extrême-Nord"/>
    <s v="CMR004"/>
    <x v="1"/>
    <s v="CMR004002"/>
    <x v="5"/>
    <s v="CMR004002003"/>
    <s v="BLARAM"/>
    <s v="BLA_0004"/>
    <x v="0"/>
    <s v="P3"/>
    <n v="3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BLARAM"/>
    <s v="BLA_0004"/>
    <x v="0"/>
    <s v="P4"/>
    <n v="4"/>
    <n v="2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CHAOUE"/>
    <s v="BLA_0005"/>
    <x v="0"/>
    <s v="P3"/>
    <n v="7"/>
    <n v="6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GORE KOUBOU"/>
    <s v="BLA_0006"/>
    <x v="0"/>
    <s v="P3"/>
    <n v="4"/>
    <n v="38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5"/>
    <s v="CMR004002003"/>
    <s v="GORE KOUBOU"/>
    <s v="BLA_0006"/>
    <x v="0"/>
    <s v="P4"/>
    <n v="13"/>
    <n v="98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5"/>
    <s v="CMR004002003"/>
    <s v="GORE KOUBOU"/>
    <s v="BLA_0006"/>
    <x v="0"/>
    <s v="P6"/>
    <n v="1"/>
    <n v="9"/>
    <s v="inondations et desastres naturels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KINZAYAKOU"/>
    <s v="BLA_0007"/>
    <x v="0"/>
    <s v="P2"/>
    <n v="5"/>
    <n v="3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INZAYAKOU"/>
    <s v="BLA_0007"/>
    <x v="0"/>
    <s v="P3"/>
    <n v="2"/>
    <n v="1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INZAYAKOU"/>
    <s v="BLA_0007"/>
    <x v="0"/>
    <s v="P4"/>
    <n v="4"/>
    <n v="31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KOBRO"/>
    <s v="BLA_0008"/>
    <x v="0"/>
    <s v="P2"/>
    <n v="1"/>
    <n v="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OBRO"/>
    <s v="BLA_0008"/>
    <x v="0"/>
    <s v="P4"/>
    <n v="2"/>
    <n v="5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KOBRO"/>
    <s v="BLA_0008"/>
    <x v="0"/>
    <s v="P5"/>
    <n v="1"/>
    <n v="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OFIA"/>
    <s v="BLA_0009"/>
    <x v="0"/>
    <s v="P2"/>
    <n v="20"/>
    <n v="12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OFIA"/>
    <s v="BLA_0009"/>
    <x v="0"/>
    <s v="P3"/>
    <n v="17"/>
    <n v="92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KOFIA"/>
    <s v="BLA_0009"/>
    <x v="0"/>
    <s v="P4"/>
    <n v="25"/>
    <n v="11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OUTOULA"/>
    <s v="BLA_0010"/>
    <x v="0"/>
    <s v="P2"/>
    <n v="2"/>
    <n v="2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OUTOULA"/>
    <s v="BLA_0010"/>
    <x v="0"/>
    <s v="P3"/>
    <n v="1"/>
    <n v="12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MADAGASCAR"/>
    <s v="BLA_0015"/>
    <x v="0"/>
    <s v="P5"/>
    <n v="22"/>
    <n v="126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5"/>
    <s v="CMR004002003"/>
    <s v="NDARABAYA"/>
    <s v="BLA_0011"/>
    <x v="0"/>
    <s v="P5"/>
    <n v="1"/>
    <n v="7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SABOURA"/>
    <s v="BLA_0017"/>
    <x v="0"/>
    <s v="P4"/>
    <n v="2"/>
    <n v="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SABOURA"/>
    <s v="BLA_0017"/>
    <x v="0"/>
    <s v="P5"/>
    <n v="8"/>
    <n v="3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SERO ABOU"/>
    <s v="BLA_0013"/>
    <x v="0"/>
    <s v="P3"/>
    <n v="1"/>
    <n v="4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5"/>
    <s v="CMR004002003"/>
    <s v="TCHOLLORE"/>
    <s v="BLA_0016"/>
    <x v="0"/>
    <s v="P4"/>
    <n v="5"/>
    <n v="2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TCHOLLORE"/>
    <s v="BLA_0016"/>
    <x v="0"/>
    <s v="P5"/>
    <n v="3"/>
    <n v="16"/>
    <s v="inondations et desastres naturels"/>
    <s v=""/>
    <s v="meme_arrondissement"/>
    <s v="CMR"/>
    <s v="Cameroon"/>
    <s v="CMR004"/>
    <s v="Extrême-Nord"/>
    <s v="CMR004002"/>
    <s v="Logone-Et-Chari"/>
    <s v="CMR004002003"/>
    <s v="Blangoua"/>
  </r>
  <r>
    <s v="Extrême-Nord"/>
    <s v="CMR004"/>
    <x v="1"/>
    <s v="CMR004002"/>
    <x v="5"/>
    <s v="CMR004002003"/>
    <s v="WAYA-WAYA"/>
    <s v="BLA_0014"/>
    <x v="0"/>
    <s v="P2"/>
    <n v="5"/>
    <n v="36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5"/>
    <s v="CMR004002003"/>
    <s v="WAYA-WAYA"/>
    <s v="BLA_0014"/>
    <x v="0"/>
    <s v="P3"/>
    <n v="6"/>
    <n v="4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WAYA-WAYA"/>
    <s v="BLA_0014"/>
    <x v="0"/>
    <s v="P4"/>
    <n v="5"/>
    <n v="3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BIDEINE 2"/>
    <s v="DAR_0001"/>
    <x v="0"/>
    <s v="P3"/>
    <n v="12"/>
    <n v="59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BIDEINE 2"/>
    <s v="DAR_0001"/>
    <x v="0"/>
    <s v="P4"/>
    <n v="8"/>
    <n v="41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BIDEINE 2"/>
    <s v="DAR_0001"/>
    <x v="0"/>
    <s v="P5"/>
    <n v="13"/>
    <n v="9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BOUARAM"/>
    <s v="DAR_0022"/>
    <x v="0"/>
    <s v="P3"/>
    <n v="33"/>
    <n v="204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BOUARAM"/>
    <s v="DAR_0022"/>
    <x v="0"/>
    <s v="P4"/>
    <n v="7"/>
    <n v="43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BOUSSAYA"/>
    <s v="DAR_0002"/>
    <x v="0"/>
    <s v="P4"/>
    <n v="7"/>
    <n v="49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BOUSSAYA"/>
    <s v="DAR_0002"/>
    <x v="0"/>
    <s v="P5"/>
    <n v="9"/>
    <n v="63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DARAK"/>
    <s v="DAR_0003"/>
    <x v="0"/>
    <s v="P1"/>
    <n v="7"/>
    <n v="4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DARAK"/>
    <s v="DAR_0003"/>
    <x v="0"/>
    <s v="P2"/>
    <n v="21"/>
    <n v="1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DARAK"/>
    <s v="DAR_0003"/>
    <x v="0"/>
    <s v="P3"/>
    <n v="49"/>
    <n v="317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DARAK"/>
    <s v="DAR_0003"/>
    <x v="0"/>
    <s v="P4"/>
    <n v="3"/>
    <n v="18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DISMANE"/>
    <s v="DAR_0004"/>
    <x v="0"/>
    <s v="P3"/>
    <n v="1"/>
    <n v="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DISMANE"/>
    <s v="DAR_0004"/>
    <x v="0"/>
    <s v="P4"/>
    <n v="2"/>
    <n v="14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DOLE-ABOUNA"/>
    <s v="DAR_0006"/>
    <x v="0"/>
    <s v="P5"/>
    <n v="7"/>
    <n v="46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DORO LIMANE"/>
    <s v="DAR_0021"/>
    <x v="0"/>
    <s v="P2"/>
    <n v="7"/>
    <n v="7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DORO LIMANE"/>
    <s v="DAR_0021"/>
    <x v="0"/>
    <s v="P3"/>
    <n v="7"/>
    <n v="51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DORO LIMANE"/>
    <s v="DAR_0021"/>
    <x v="0"/>
    <s v="P4"/>
    <n v="10"/>
    <n v="47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DORO LIMANE"/>
    <s v="DAR_0021"/>
    <x v="0"/>
    <s v="P5"/>
    <n v="3"/>
    <n v="14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GORE TCHANDI"/>
    <s v="DAR_0007"/>
    <x v="0"/>
    <s v="P4"/>
    <n v="1"/>
    <n v="8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GORE TCHANDI"/>
    <s v="DAR_0007"/>
    <x v="0"/>
    <s v="P5"/>
    <n v="5"/>
    <n v="38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HIL-WANZAN"/>
    <s v="DAR_0008"/>
    <x v="0"/>
    <s v="P4"/>
    <n v="5"/>
    <n v="43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HIL-WANZAN"/>
    <s v="DAR_0008"/>
    <x v="0"/>
    <s v="P5"/>
    <n v="20"/>
    <n v="14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RAMA 1"/>
    <s v="DAR_0009"/>
    <x v="0"/>
    <s v="P3"/>
    <n v="8"/>
    <n v="4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RAMA 1"/>
    <s v="DAR_0009"/>
    <x v="0"/>
    <s v="P4"/>
    <n v="5"/>
    <n v="25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KARENA"/>
    <s v="DAR_0011"/>
    <x v="0"/>
    <s v="P3"/>
    <n v="27"/>
    <n v="16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RENA"/>
    <s v="DAR_0011"/>
    <x v="0"/>
    <s v="P4"/>
    <n v="9"/>
    <n v="63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KARENA"/>
    <s v="DAR_0011"/>
    <x v="0"/>
    <s v="P5"/>
    <n v="15"/>
    <n v="12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1"/>
    <s v="DAR_0012"/>
    <x v="0"/>
    <s v="P2"/>
    <n v="1"/>
    <n v="4"/>
    <s v="Conflits EIAO"/>
    <s v=""/>
    <s v="autre_arrondissement"/>
    <s v="CMR"/>
    <s v="Cameroon"/>
    <s v="CMR004"/>
    <s v="Extrême-Nord"/>
    <s v="CMR004002"/>
    <s v="Logone-Et-Chari"/>
    <s v="CMR004002002"/>
    <s v="Goulfey"/>
  </r>
  <r>
    <s v="Extrême-Nord"/>
    <s v="CMR004"/>
    <x v="1"/>
    <s v="CMR004002"/>
    <x v="6"/>
    <s v="CMR004002007"/>
    <s v="KATIKIME 1"/>
    <s v="DAR_0012"/>
    <x v="0"/>
    <s v="P3"/>
    <n v="1"/>
    <n v="11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1"/>
    <s v="DAR_0012"/>
    <x v="0"/>
    <s v="P4"/>
    <n v="1"/>
    <n v="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1"/>
    <s v="DAR_0012"/>
    <x v="0"/>
    <s v="P5"/>
    <n v="20"/>
    <n v="156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2"/>
    <s v="DAR_0023"/>
    <x v="0"/>
    <s v="P3"/>
    <n v="1"/>
    <n v="1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2"/>
    <s v="DAR_0023"/>
    <x v="0"/>
    <s v="P4"/>
    <n v="1"/>
    <n v="16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2"/>
    <s v="DAR_0023"/>
    <x v="0"/>
    <s v="P5"/>
    <n v="4"/>
    <n v="18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KATIKIME 2"/>
    <s v="DAR_0023"/>
    <x v="0"/>
    <s v="P6"/>
    <n v="58"/>
    <n v="507"/>
    <s v="inondations et desastres naturels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KOUNDJARA"/>
    <s v="DAR_0013"/>
    <x v="0"/>
    <s v="P2"/>
    <n v="3"/>
    <n v="1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KOUNDJARA"/>
    <s v="DAR_0013"/>
    <x v="0"/>
    <s v="P3"/>
    <n v="2"/>
    <n v="1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OUNDJARA"/>
    <s v="DAR_0013"/>
    <x v="0"/>
    <s v="P4"/>
    <n v="5"/>
    <n v="25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MAGALA-DJOUGOUL"/>
    <s v="DAR_0014"/>
    <x v="0"/>
    <s v="P3"/>
    <n v="3"/>
    <n v="18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MAGALA-DJOUGOUL"/>
    <s v="DAR_0014"/>
    <x v="0"/>
    <s v="P4"/>
    <n v="1"/>
    <n v="6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MAGALA-KABIR 1"/>
    <s v="DAR_0015"/>
    <x v="0"/>
    <s v="P4"/>
    <n v="5"/>
    <n v="35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MAGALA-KABIR 2"/>
    <s v="DAR_0016"/>
    <x v="0"/>
    <s v="P3"/>
    <n v="11"/>
    <n v="66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MAGALA-KABIR 2"/>
    <s v="DAR_0016"/>
    <x v="0"/>
    <s v="P5"/>
    <n v="1"/>
    <n v="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NAGA A"/>
    <s v="DAR_0017"/>
    <x v="0"/>
    <s v="P3"/>
    <n v="19"/>
    <n v="11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NAGA A"/>
    <s v="DAR_0017"/>
    <x v="0"/>
    <s v="P5"/>
    <n v="58"/>
    <n v="493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NGUEWA"/>
    <s v="DAR_0018"/>
    <x v="0"/>
    <s v="P3"/>
    <n v="2"/>
    <n v="1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NGUEWA"/>
    <s v="DAR_0018"/>
    <x v="0"/>
    <s v="P4"/>
    <n v="3"/>
    <n v="23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NGUEWA"/>
    <s v="DAR_0018"/>
    <x v="0"/>
    <s v="P5"/>
    <n v="6"/>
    <n v="44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RAMIN DORINA"/>
    <s v="DAR_0019"/>
    <x v="0"/>
    <s v="P3"/>
    <n v="7"/>
    <n v="34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TOROROYA"/>
    <s v="DAR_0020"/>
    <x v="0"/>
    <s v="P3"/>
    <n v="3"/>
    <n v="23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TOROROYA"/>
    <s v="DAR_0020"/>
    <x v="0"/>
    <s v="P4"/>
    <n v="2"/>
    <n v="1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TOROROYA"/>
    <s v="DAR_0020"/>
    <x v="0"/>
    <s v="P5"/>
    <n v="17"/>
    <n v="103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AMTCHOUKOULI"/>
    <s v="FOT_0001"/>
    <x v="0"/>
    <s v="P3"/>
    <n v="6"/>
    <n v="4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BELGUEDE"/>
    <s v="FOT_0031"/>
    <x v="0"/>
    <s v="P5"/>
    <n v="48"/>
    <n v="34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BIDEINE"/>
    <s v="FOT_0038"/>
    <x v="0"/>
    <s v="P5"/>
    <n v="30"/>
    <n v="7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BLANGAFE"/>
    <s v="FOT_0004"/>
    <x v="0"/>
    <s v="P5"/>
    <n v="72"/>
    <n v="402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CHOLOBA"/>
    <s v="FOT_0029"/>
    <x v="0"/>
    <s v="P4"/>
    <n v="10"/>
    <n v="7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FOTOKOL VILLE"/>
    <s v="FOT_0009"/>
    <x v="0"/>
    <s v="P3"/>
    <n v="732"/>
    <n v="3848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FOTOKOL VILLE"/>
    <s v="FOT_0009"/>
    <x v="0"/>
    <s v="P4"/>
    <n v="1524"/>
    <n v="8255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FOTOKOL VILLE"/>
    <s v="FOT_0009"/>
    <x v="0"/>
    <s v="P5"/>
    <n v="85"/>
    <n v="759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GADAFAI"/>
    <s v="FOT_0045"/>
    <x v="0"/>
    <s v="P5"/>
    <n v="45"/>
    <n v="20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GLO KOTOKO"/>
    <s v="FOT_0034"/>
    <x v="0"/>
    <s v="P3"/>
    <n v="47"/>
    <n v="205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GOLMO ARABE"/>
    <s v="FOT_0039"/>
    <x v="0"/>
    <s v="P4"/>
    <n v="10"/>
    <n v="97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GOLMO KOTOKO"/>
    <s v="FOT_0040"/>
    <x v="0"/>
    <s v="P4"/>
    <n v="15"/>
    <n v="35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GUEGUERI"/>
    <s v="FOT_0048"/>
    <x v="0"/>
    <s v="P5"/>
    <n v="12"/>
    <n v="9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HAÏGAYO"/>
    <s v="FOT_0041"/>
    <x v="0"/>
    <s v="P5"/>
    <n v="55"/>
    <n v="44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KALOUE"/>
    <s v="FOT_0010"/>
    <x v="0"/>
    <s v="P3"/>
    <n v="10"/>
    <n v="53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MADINA"/>
    <s v="FOT_0014"/>
    <x v="0"/>
    <s v="P3"/>
    <n v="21"/>
    <n v="215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MAGADI 2"/>
    <s v="FOT_0043"/>
    <x v="0"/>
    <s v="P5"/>
    <n v="18"/>
    <n v="144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MAGAM"/>
    <s v="FOT_0015"/>
    <x v="0"/>
    <s v="P3"/>
    <n v="74"/>
    <n v="34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MARGAMA"/>
    <s v="FOT_0016"/>
    <x v="0"/>
    <s v="P3"/>
    <n v="86"/>
    <n v="421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NGANAWAI"/>
    <s v="FOT_0046"/>
    <x v="0"/>
    <s v="P5"/>
    <n v="7"/>
    <n v="5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NIGUE"/>
    <s v="FOT_0030"/>
    <x v="0"/>
    <s v="P3"/>
    <n v="57"/>
    <n v="253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ROUNDE"/>
    <s v="FOT_0044"/>
    <x v="0"/>
    <s v="P5"/>
    <n v="36"/>
    <n v="15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SAGME"/>
    <s v="FOT_0019"/>
    <x v="0"/>
    <s v="P5"/>
    <n v="8"/>
    <n v="37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WANGARA"/>
    <s v="FOT_0047"/>
    <x v="0"/>
    <s v="P5"/>
    <n v="49"/>
    <n v="225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WAROU"/>
    <s v="FOT_0028"/>
    <x v="0"/>
    <s v="P4"/>
    <n v="9"/>
    <n v="72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WORO KEYME"/>
    <s v="FOT_0037"/>
    <x v="0"/>
    <s v="P5"/>
    <n v="5"/>
    <n v="46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AKMASSIRA"/>
    <s v="GOU_0026"/>
    <x v="0"/>
    <s v="P4"/>
    <n v="28"/>
    <n v="12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AMDANE"/>
    <s v="GOU_0001"/>
    <x v="0"/>
    <s v="P3"/>
    <n v="3"/>
    <n v="1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AMDANE"/>
    <s v="GOU_0001"/>
    <x v="0"/>
    <s v="P5"/>
    <n v="2"/>
    <n v="14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ARDEBE"/>
    <s v="GOU_0002"/>
    <x v="0"/>
    <s v="P3"/>
    <n v="4"/>
    <n v="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ARDEBE"/>
    <s v="GOU_0002"/>
    <x v="0"/>
    <s v="P4"/>
    <n v="3"/>
    <n v="1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DALEB"/>
    <s v="GOU_0003"/>
    <x v="0"/>
    <s v="P3"/>
    <n v="6"/>
    <n v="53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DOUGUYA"/>
    <s v="GOU_0005"/>
    <x v="0"/>
    <s v="P3"/>
    <n v="6"/>
    <n v="4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FADJE"/>
    <s v="GOU_0025"/>
    <x v="0"/>
    <s v="P4"/>
    <n v="3"/>
    <n v="3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GOULFEY"/>
    <s v="GOU_0006"/>
    <x v="0"/>
    <s v="P2"/>
    <n v="16"/>
    <n v="8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GOULFEY"/>
    <s v="GOU_0006"/>
    <x v="0"/>
    <s v="P3"/>
    <n v="45"/>
    <n v="41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GOULFEY"/>
    <s v="GOU_0006"/>
    <x v="0"/>
    <s v="P4"/>
    <n v="27"/>
    <n v="11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GOULFEY-GANA"/>
    <s v="GOU_0007"/>
    <x v="0"/>
    <s v="P3"/>
    <n v="22"/>
    <n v="8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GOULFEY-GANA"/>
    <s v="GOU_0007"/>
    <x v="0"/>
    <s v="P5"/>
    <n v="5"/>
    <n v="3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8"/>
    <s v="CMR004002002"/>
    <s v="HABOBA"/>
    <s v="GOU_0008"/>
    <x v="0"/>
    <s v="P3"/>
    <n v="6"/>
    <n v="3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HILELE"/>
    <s v="GOU_0009"/>
    <x v="0"/>
    <s v="P3"/>
    <n v="13"/>
    <n v="10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HILELE"/>
    <s v="GOU_0009"/>
    <x v="0"/>
    <s v="P5"/>
    <n v="2"/>
    <n v="13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8"/>
    <s v="CMR004002002"/>
    <s v="LABADO"/>
    <s v="GOU_0030"/>
    <x v="0"/>
    <s v="P4"/>
    <n v="3"/>
    <n v="34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MADINA"/>
    <s v="GOU_0031"/>
    <x v="0"/>
    <s v="P5"/>
    <n v="4"/>
    <n v="47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MAFANG"/>
    <s v="GOU_0010"/>
    <x v="0"/>
    <s v="P3"/>
    <n v="10"/>
    <n v="5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HADJIRI"/>
    <s v="GOU_0011"/>
    <x v="0"/>
    <s v="P3"/>
    <n v="2"/>
    <n v="1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HADJIRI"/>
    <s v="GOU_0011"/>
    <x v="0"/>
    <s v="P4"/>
    <n v="2"/>
    <n v="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LA"/>
    <s v="GOU_0032"/>
    <x v="0"/>
    <s v="P5"/>
    <n v="4"/>
    <n v="4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LTAM GOULFEY"/>
    <s v="GOU_0012"/>
    <x v="0"/>
    <s v="P3"/>
    <n v="9"/>
    <n v="6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RA 1"/>
    <s v="GOU_0013"/>
    <x v="0"/>
    <s v="P3"/>
    <n v="11"/>
    <n v="6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RA 2"/>
    <s v="GOU_0014"/>
    <x v="0"/>
    <s v="P3"/>
    <n v="12"/>
    <n v="8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RFAINE"/>
    <s v="GOU_0033"/>
    <x v="0"/>
    <s v="P5"/>
    <n v="4"/>
    <n v="38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MAYA"/>
    <s v="GOU_0015"/>
    <x v="0"/>
    <s v="P3"/>
    <n v="7"/>
    <n v="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ICH-MICH"/>
    <s v="GOU_0016"/>
    <x v="0"/>
    <s v="P3"/>
    <n v="2"/>
    <n v="1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ICH-MICH"/>
    <s v="GOU_0016"/>
    <x v="0"/>
    <s v="P4"/>
    <n v="1"/>
    <n v="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ICHKA-MALE"/>
    <s v="GOU_0027"/>
    <x v="0"/>
    <s v="P4"/>
    <n v="8"/>
    <n v="41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MOLODIA"/>
    <s v="GOU_0017"/>
    <x v="0"/>
    <s v="P3"/>
    <n v="10"/>
    <n v="6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OUGALAM"/>
    <s v="GOU_0018"/>
    <x v="0"/>
    <s v="P2"/>
    <n v="6"/>
    <n v="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OUGALAM"/>
    <s v="GOU_0018"/>
    <x v="0"/>
    <s v="P3"/>
    <n v="10"/>
    <n v="5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OUGALAM"/>
    <s v="GOU_0018"/>
    <x v="0"/>
    <s v="P4"/>
    <n v="6"/>
    <n v="2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OULOUANG"/>
    <s v="GOU_0019"/>
    <x v="0"/>
    <s v="P2"/>
    <n v="2"/>
    <n v="1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OULOUANG"/>
    <s v="GOU_0019"/>
    <x v="0"/>
    <s v="P3"/>
    <n v="8"/>
    <n v="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NGRAN"/>
    <s v="GOU_0020"/>
    <x v="0"/>
    <s v="P3"/>
    <n v="19"/>
    <n v="9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NIMIA"/>
    <s v="GOU_0021"/>
    <x v="0"/>
    <s v="P2"/>
    <n v="4"/>
    <n v="4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SAO"/>
    <s v="GOU_0022"/>
    <x v="0"/>
    <s v="P2"/>
    <n v="2"/>
    <n v="1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SAO"/>
    <s v="GOU_0022"/>
    <x v="0"/>
    <s v="P3"/>
    <n v="28"/>
    <n v="162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SAO"/>
    <s v="GOU_0022"/>
    <x v="0"/>
    <s v="P4"/>
    <n v="6"/>
    <n v="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TILAM 1"/>
    <s v="GOU_0023"/>
    <x v="0"/>
    <s v="P3"/>
    <n v="2"/>
    <n v="1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WALAGA"/>
    <s v="GOU_0024"/>
    <x v="0"/>
    <s v="P3"/>
    <n v="2"/>
    <n v="1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ZALAT DORO-ROYA"/>
    <s v="GOU_0004"/>
    <x v="0"/>
    <s v="P3"/>
    <n v="4"/>
    <n v="2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ABASSOUNI 1"/>
    <s v="HIL_0002"/>
    <x v="0"/>
    <s v="P2"/>
    <n v="10"/>
    <n v="4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ABASSOUNI 1"/>
    <s v="HIL_0002"/>
    <x v="0"/>
    <s v="P3"/>
    <n v="15"/>
    <n v="6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ABASSOUNI 1"/>
    <s v="HIL_0002"/>
    <x v="0"/>
    <s v="P4"/>
    <n v="27"/>
    <n v="135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ABASSOUNI 1"/>
    <s v="HIL_0002"/>
    <x v="0"/>
    <s v="P5"/>
    <n v="199"/>
    <n v="1592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ABASSOUNI 2"/>
    <s v="HIL_0003"/>
    <x v="0"/>
    <s v="P3"/>
    <n v="5"/>
    <n v="2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ABASSOUNI 2"/>
    <s v="HIL_0003"/>
    <x v="0"/>
    <s v="P4"/>
    <n v="9"/>
    <n v="44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ABASSOUNI 2"/>
    <s v="HIL_0003"/>
    <x v="0"/>
    <s v="P5"/>
    <n v="7"/>
    <n v="56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ABASSOUNI 3"/>
    <s v="HIL_0004"/>
    <x v="0"/>
    <s v="P3"/>
    <n v="2"/>
    <n v="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ABASSOUNI 3"/>
    <s v="HIL_0004"/>
    <x v="0"/>
    <s v="P4"/>
    <n v="4"/>
    <n v="20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ABASSOUNI 3"/>
    <s v="HIL_0004"/>
    <x v="0"/>
    <s v="P5"/>
    <n v="10"/>
    <n v="80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BARGARAM"/>
    <s v="HIL_0005"/>
    <x v="0"/>
    <s v="P4"/>
    <n v="15"/>
    <n v="137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BARGARAM"/>
    <s v="HIL_0005"/>
    <x v="0"/>
    <s v="P6"/>
    <n v="10"/>
    <n v="70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DOLE MILIMI"/>
    <s v="HIL_0018"/>
    <x v="0"/>
    <s v="P5"/>
    <n v="15"/>
    <n v="120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DOUGOUMSILIO 1"/>
    <s v="HIL_0019"/>
    <x v="0"/>
    <s v="P5"/>
    <n v="14"/>
    <n v="106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DOUGOUMSILIO 2"/>
    <s v="HIL_0020"/>
    <x v="0"/>
    <s v="P5"/>
    <n v="13"/>
    <n v="104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HILE ALIFA 1"/>
    <s v="HIL_0010"/>
    <x v="0"/>
    <s v="P2"/>
    <n v="6"/>
    <n v="3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HILE ALIFA 1"/>
    <s v="HIL_0010"/>
    <x v="0"/>
    <s v="P3"/>
    <n v="15"/>
    <n v="75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HILE ALIFA 1"/>
    <s v="HIL_0010"/>
    <x v="0"/>
    <s v="P4"/>
    <n v="8"/>
    <n v="40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HILE ALIFA 1"/>
    <s v="HIL_0010"/>
    <x v="0"/>
    <s v="P5"/>
    <n v="100"/>
    <n v="725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9"/>
    <s v="CMR004002010"/>
    <s v="HILE ALIFA 2"/>
    <s v="HIL_0011"/>
    <x v="0"/>
    <s v="P3"/>
    <n v="20"/>
    <n v="100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HILE ALIFA 2"/>
    <s v="HIL_0011"/>
    <x v="0"/>
    <s v="P5"/>
    <n v="10"/>
    <n v="88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MADINA"/>
    <s v="HIL_0013"/>
    <x v="0"/>
    <s v="P2"/>
    <n v="4"/>
    <n v="3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MADINA"/>
    <s v="HIL_0013"/>
    <x v="0"/>
    <s v="P3"/>
    <n v="1"/>
    <n v="4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MADINA"/>
    <s v="HIL_0013"/>
    <x v="0"/>
    <s v="P5"/>
    <n v="2"/>
    <n v="29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MAFOULSO 1"/>
    <s v="HIL_0021"/>
    <x v="0"/>
    <s v="P5"/>
    <n v="20"/>
    <n v="160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MAFOULSO 2"/>
    <s v="HIL_0022"/>
    <x v="0"/>
    <s v="P5"/>
    <n v="9"/>
    <n v="73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MAFOULSO 3"/>
    <s v="HIL_0023"/>
    <x v="0"/>
    <s v="P5"/>
    <n v="3"/>
    <n v="25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TCHIKA"/>
    <s v="HIL_0014"/>
    <x v="0"/>
    <s v="P3"/>
    <n v="52"/>
    <n v="416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TCHIKA"/>
    <s v="HIL_0014"/>
    <x v="0"/>
    <s v="P4"/>
    <n v="16"/>
    <n v="128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TERBOU"/>
    <s v="HIL_0015"/>
    <x v="0"/>
    <s v="P3"/>
    <n v="7"/>
    <n v="28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TERBOU"/>
    <s v="HIL_0015"/>
    <x v="0"/>
    <s v="P4"/>
    <n v="8"/>
    <n v="116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TERBOU"/>
    <s v="HIL_0015"/>
    <x v="0"/>
    <s v="P5"/>
    <n v="10"/>
    <n v="80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WADAK"/>
    <s v="HIL_0024"/>
    <x v="0"/>
    <s v="P5"/>
    <n v="10"/>
    <n v="80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0"/>
    <s v="CMR004002006"/>
    <s v="ALAYA"/>
    <s v="KOU_0001"/>
    <x v="0"/>
    <s v="P2"/>
    <n v="22"/>
    <n v="111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LAYA"/>
    <s v="KOU_0001"/>
    <x v="0"/>
    <s v="P3"/>
    <n v="40"/>
    <n v="202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LAYA"/>
    <s v="KOU_0001"/>
    <x v="0"/>
    <s v="P4"/>
    <n v="7"/>
    <n v="18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MCHEDIRE"/>
    <s v="KOU_0002"/>
    <x v="0"/>
    <s v="P2"/>
    <n v="70"/>
    <n v="35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MCHEDIRE"/>
    <s v="KOU_0002"/>
    <x v="0"/>
    <s v="P3"/>
    <n v="15"/>
    <n v="7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MCHEDIRE"/>
    <s v="KOU_0002"/>
    <x v="0"/>
    <s v="P4"/>
    <n v="10"/>
    <n v="5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MCHEDIRE"/>
    <s v="KOU_0002"/>
    <x v="0"/>
    <s v="P5"/>
    <n v="7"/>
    <n v="6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RDEBE NGADJAM"/>
    <s v="KOU_0042"/>
    <x v="0"/>
    <s v="P3"/>
    <n v="1"/>
    <n v="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ARDEBE NGADJAM"/>
    <s v="KOU_0042"/>
    <x v="0"/>
    <s v="P5"/>
    <n v="1"/>
    <n v="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ARDEBE VILLE"/>
    <s v="KOU_0003"/>
    <x v="0"/>
    <s v="P3"/>
    <n v="39"/>
    <n v="322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RDEBE VILLE"/>
    <s v="KOU_0003"/>
    <x v="0"/>
    <s v="P4"/>
    <n v="6"/>
    <n v="44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RKIS"/>
    <s v="KOU_0004"/>
    <x v="0"/>
    <s v="P3"/>
    <n v="6"/>
    <n v="39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ARKIS"/>
    <s v="KOU_0004"/>
    <x v="0"/>
    <s v="P5"/>
    <n v="3"/>
    <n v="15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BABOU"/>
    <s v="KOU_0005"/>
    <x v="0"/>
    <s v="P2"/>
    <n v="67"/>
    <n v="34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BABOU"/>
    <s v="KOU_0005"/>
    <x v="0"/>
    <s v="P3"/>
    <n v="193"/>
    <n v="967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BABOU"/>
    <s v="KOU_0005"/>
    <x v="0"/>
    <s v="P4"/>
    <n v="3"/>
    <n v="29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BABOU"/>
    <s v="KOU_0005"/>
    <x v="0"/>
    <s v="P5"/>
    <n v="1"/>
    <n v="3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DJAMBAL BAR"/>
    <s v="KOU_0007"/>
    <x v="0"/>
    <s v="P3"/>
    <n v="44"/>
    <n v="2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DJAMBAL BAR"/>
    <s v="KOU_0007"/>
    <x v="0"/>
    <s v="P4"/>
    <n v="49"/>
    <n v="244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DJAMBAL BAR"/>
    <s v="KOU_0007"/>
    <x v="0"/>
    <s v="P5"/>
    <n v="3"/>
    <n v="28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GAROUA"/>
    <s v="KOU_0009"/>
    <x v="0"/>
    <s v="P3"/>
    <n v="175"/>
    <n v="87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GAROUA"/>
    <s v="KOU_0009"/>
    <x v="0"/>
    <s v="P4"/>
    <n v="75"/>
    <n v="37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GAROUA"/>
    <s v="KOU_0009"/>
    <x v="0"/>
    <s v="P5"/>
    <n v="6"/>
    <n v="2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GUERGUE RABAH"/>
    <s v="KOU_0010"/>
    <x v="0"/>
    <s v="P3"/>
    <n v="375"/>
    <n v="187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GUERGUE RABAH"/>
    <s v="KOU_0010"/>
    <x v="0"/>
    <s v="P4"/>
    <n v="64"/>
    <n v="3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GUERGUE RABAH"/>
    <s v="KOU_0010"/>
    <x v="0"/>
    <s v="P5"/>
    <n v="44"/>
    <n v="20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HARAZAYA"/>
    <s v="KOU_0011"/>
    <x v="0"/>
    <s v="P2"/>
    <n v="100"/>
    <n v="503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HARAZAYA"/>
    <s v="KOU_0011"/>
    <x v="0"/>
    <s v="P3"/>
    <n v="25"/>
    <n v="1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HARAZAYA"/>
    <s v="KOU_0011"/>
    <x v="0"/>
    <s v="P5"/>
    <n v="1"/>
    <n v="6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HILE HAOUSSA"/>
    <s v="KOU_0012"/>
    <x v="0"/>
    <s v="P3"/>
    <n v="70"/>
    <n v="35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HILE HAOUSSA"/>
    <s v="KOU_0012"/>
    <x v="0"/>
    <s v="P5"/>
    <n v="4"/>
    <n v="34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IBOU"/>
    <s v="KOU_0013"/>
    <x v="0"/>
    <s v="P3"/>
    <n v="38"/>
    <n v="190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IBOU"/>
    <s v="KOU_0013"/>
    <x v="0"/>
    <s v="P4"/>
    <n v="3"/>
    <n v="15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IBOU"/>
    <s v="KOU_0013"/>
    <x v="0"/>
    <s v="P5"/>
    <n v="26"/>
    <n v="21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AWADJI 1"/>
    <s v="KOU_0040"/>
    <x v="0"/>
    <s v="P3"/>
    <n v="13"/>
    <n v="39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AWADJI 1"/>
    <s v="KOU_0040"/>
    <x v="0"/>
    <s v="P5"/>
    <n v="3"/>
    <n v="25"/>
    <s v="inondations et desastres naturels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KAWADJI 2"/>
    <s v="KOU_0041"/>
    <x v="0"/>
    <s v="P3"/>
    <n v="9"/>
    <n v="2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0"/>
    <s v="CMR004002006"/>
    <s v="KAWADJI 2"/>
    <s v="KOU_0041"/>
    <x v="0"/>
    <s v="P5"/>
    <n v="3"/>
    <n v="15"/>
    <s v="inondations et desastres naturels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KODOGO"/>
    <s v="KOU_0014"/>
    <x v="0"/>
    <s v="P3"/>
    <n v="260"/>
    <n v="130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ODOGO"/>
    <s v="KOU_0014"/>
    <x v="0"/>
    <s v="P4"/>
    <n v="80"/>
    <n v="40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ODOGO"/>
    <s v="KOU_0014"/>
    <x v="0"/>
    <s v="P5"/>
    <n v="9"/>
    <n v="76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OULKADA"/>
    <s v="KOU_0015"/>
    <x v="0"/>
    <s v="P3"/>
    <n v="78"/>
    <n v="48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OULKADA"/>
    <s v="KOU_0015"/>
    <x v="0"/>
    <s v="P4"/>
    <n v="13"/>
    <n v="68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OULKADA"/>
    <s v="KOU_0015"/>
    <x v="0"/>
    <s v="P5"/>
    <n v="8"/>
    <n v="63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OULOUK"/>
    <s v="KOU_0016"/>
    <x v="0"/>
    <s v="P3"/>
    <n v="4"/>
    <n v="4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OULOUK"/>
    <s v="KOU_0016"/>
    <x v="0"/>
    <s v="P4"/>
    <n v="3"/>
    <n v="2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ROUANG 1"/>
    <s v="KOU_0017"/>
    <x v="0"/>
    <s v="P2"/>
    <n v="4"/>
    <n v="3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ROUANG 1"/>
    <s v="KOU_0017"/>
    <x v="0"/>
    <s v="P3"/>
    <n v="7"/>
    <n v="4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ROUANG 1"/>
    <s v="KOU_0017"/>
    <x v="0"/>
    <s v="P4"/>
    <n v="3"/>
    <n v="1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ROUANG 2"/>
    <s v="KOU_0018"/>
    <x v="0"/>
    <s v="P2"/>
    <n v="400"/>
    <n v="200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ROUANG 2"/>
    <s v="KOU_0018"/>
    <x v="0"/>
    <s v="P3"/>
    <n v="87"/>
    <n v="43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ROUANG 2"/>
    <s v="KOU_0018"/>
    <x v="0"/>
    <s v="P4"/>
    <n v="2"/>
    <n v="1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ROUANG 2"/>
    <s v="KOU_0018"/>
    <x v="0"/>
    <s v="P5"/>
    <n v="15"/>
    <n v="134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LACKA"/>
    <s v="KOU_0019"/>
    <x v="0"/>
    <s v="P2"/>
    <n v="30"/>
    <n v="15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LACKA"/>
    <s v="KOU_0019"/>
    <x v="0"/>
    <s v="P5"/>
    <n v="24"/>
    <n v="204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GASCAR 1"/>
    <s v="KOU_0020"/>
    <x v="0"/>
    <s v="P2"/>
    <n v="70"/>
    <n v="35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DAGASCAR 1"/>
    <s v="KOU_0020"/>
    <x v="0"/>
    <s v="P3"/>
    <n v="30"/>
    <n v="15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GASCAR 2"/>
    <s v="KOU_0021"/>
    <x v="0"/>
    <s v="P2"/>
    <n v="183"/>
    <n v="91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GASCAR 2"/>
    <s v="KOU_0021"/>
    <x v="0"/>
    <s v="P3"/>
    <n v="117"/>
    <n v="58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GASCAR 2"/>
    <s v="KOU_0021"/>
    <x v="0"/>
    <s v="P4"/>
    <n v="8"/>
    <n v="68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GASCAR 2"/>
    <s v="KOU_0021"/>
    <x v="0"/>
    <s v="P5"/>
    <n v="8"/>
    <n v="70"/>
    <s v="autre"/>
    <s v="Déplacement à la recherche d'une aide humanitaire.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NA"/>
    <s v="KOU_0022"/>
    <x v="0"/>
    <s v="P2"/>
    <n v="7"/>
    <n v="3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DANA"/>
    <s v="KOU_0022"/>
    <x v="0"/>
    <s v="P3"/>
    <n v="14"/>
    <n v="7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DANA GABAG"/>
    <s v="KOU_0023"/>
    <x v="0"/>
    <s v="P3"/>
    <n v="10"/>
    <n v="3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INANI"/>
    <s v="KOU_0024"/>
    <x v="0"/>
    <s v="P2"/>
    <n v="40"/>
    <n v="20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INANI"/>
    <s v="KOU_0024"/>
    <x v="0"/>
    <s v="P3"/>
    <n v="80"/>
    <n v="40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INANI"/>
    <s v="KOU_0024"/>
    <x v="0"/>
    <s v="P4"/>
    <n v="8"/>
    <n v="53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INANI"/>
    <s v="KOU_0024"/>
    <x v="0"/>
    <s v="P5"/>
    <n v="7"/>
    <n v="5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LACK"/>
    <s v="KOU_0025"/>
    <x v="0"/>
    <s v="P2"/>
    <n v="4"/>
    <n v="25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LACK"/>
    <s v="KOU_0025"/>
    <x v="0"/>
    <s v="P3"/>
    <n v="6"/>
    <n v="30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LACK"/>
    <s v="KOU_0025"/>
    <x v="0"/>
    <s v="P4"/>
    <n v="4"/>
    <n v="34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LACK"/>
    <s v="KOU_0025"/>
    <x v="0"/>
    <s v="P5"/>
    <n v="11"/>
    <n v="52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RAKO"/>
    <s v="KOU_0026"/>
    <x v="0"/>
    <s v="P2"/>
    <n v="2"/>
    <n v="12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RAKO"/>
    <s v="KOU_0026"/>
    <x v="0"/>
    <s v="P3"/>
    <n v="8"/>
    <n v="61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RAKO"/>
    <s v="KOU_0026"/>
    <x v="0"/>
    <s v="P4"/>
    <n v="2"/>
    <n v="9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RAKO"/>
    <s v="KOU_0026"/>
    <x v="0"/>
    <s v="P5"/>
    <n v="7"/>
    <n v="38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SSAKI"/>
    <s v="KOU_0027"/>
    <x v="0"/>
    <s v="P2"/>
    <n v="4"/>
    <n v="31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SSAKI"/>
    <s v="KOU_0027"/>
    <x v="0"/>
    <s v="P3"/>
    <n v="10"/>
    <n v="55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SSAKI"/>
    <s v="KOU_0027"/>
    <x v="0"/>
    <s v="P4"/>
    <n v="5"/>
    <n v="41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SSIL-AL-KANAM"/>
    <s v="KOU_0028"/>
    <x v="0"/>
    <s v="P3"/>
    <n v="4"/>
    <n v="22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SSIL-AL-KANAM"/>
    <s v="KOU_0028"/>
    <x v="0"/>
    <s v="P4"/>
    <n v="2"/>
    <n v="15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WAK"/>
    <s v="KOU_0029"/>
    <x v="0"/>
    <s v="P3"/>
    <n v="55"/>
    <n v="27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WAK"/>
    <s v="KOU_0029"/>
    <x v="0"/>
    <s v="P4"/>
    <n v="15"/>
    <n v="75"/>
    <s v="Conflits EIAO"/>
    <s v=""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0"/>
    <s v="CMR004002006"/>
    <s v="MAWAK"/>
    <s v="KOU_0029"/>
    <x v="0"/>
    <s v="P5"/>
    <n v="6"/>
    <n v="47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NAGA"/>
    <s v="KOU_0030"/>
    <x v="0"/>
    <s v="P2"/>
    <n v="2"/>
    <n v="9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NAGA"/>
    <s v="KOU_0030"/>
    <x v="0"/>
    <s v="P3"/>
    <n v="6"/>
    <n v="33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NDJAMENA"/>
    <s v="KOU_0031"/>
    <x v="0"/>
    <s v="P2"/>
    <n v="55"/>
    <n v="27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NDJAMENA"/>
    <s v="KOU_0031"/>
    <x v="0"/>
    <s v="P3"/>
    <n v="20"/>
    <n v="10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NGALLO"/>
    <s v="KOU_0032"/>
    <x v="0"/>
    <s v="P3"/>
    <n v="32"/>
    <n v="16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NGALLO"/>
    <s v="KOU_0032"/>
    <x v="0"/>
    <s v="P4"/>
    <n v="34"/>
    <n v="22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NGARGOUZO"/>
    <s v="KOU_0033"/>
    <x v="0"/>
    <s v="P2"/>
    <n v="64"/>
    <n v="317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NGARGOUZO"/>
    <s v="KOU_0033"/>
    <x v="0"/>
    <s v="P3"/>
    <n v="35"/>
    <n v="17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PAGUI"/>
    <s v="KOU_0034"/>
    <x v="0"/>
    <s v="P2"/>
    <n v="46"/>
    <n v="22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PAGUI"/>
    <s v="KOU_0034"/>
    <x v="0"/>
    <s v="P4"/>
    <n v="7"/>
    <n v="37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PAR-PAR"/>
    <s v="KOU_0035"/>
    <x v="0"/>
    <s v="P3"/>
    <n v="10"/>
    <n v="6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RIGGIL KOTOKO"/>
    <s v="KOU_0036"/>
    <x v="0"/>
    <s v="P2"/>
    <n v="1"/>
    <n v="9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RIGGIL KOTOKO"/>
    <s v="KOU_0036"/>
    <x v="0"/>
    <s v="P3"/>
    <n v="3"/>
    <n v="41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SEREBA"/>
    <s v="KOU_0037"/>
    <x v="0"/>
    <s v="P2"/>
    <n v="31"/>
    <n v="15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SEREBA"/>
    <s v="KOU_0037"/>
    <x v="0"/>
    <s v="P3"/>
    <n v="10"/>
    <n v="59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SEREBA"/>
    <s v="KOU_0037"/>
    <x v="0"/>
    <s v="P4"/>
    <n v="3"/>
    <n v="19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SOKOTO"/>
    <s v="KOU_0038"/>
    <x v="0"/>
    <s v="P3"/>
    <n v="42"/>
    <n v="23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SOKOTO"/>
    <s v="KOU_0038"/>
    <x v="0"/>
    <s v="P5"/>
    <n v="5"/>
    <n v="43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WALI"/>
    <s v="KOU_0039"/>
    <x v="0"/>
    <s v="P3"/>
    <n v="13"/>
    <n v="8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WALI"/>
    <s v="KOU_0039"/>
    <x v="0"/>
    <s v="P4"/>
    <n v="5"/>
    <n v="3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WALI"/>
    <s v="KOU_0039"/>
    <x v="0"/>
    <s v="P5"/>
    <n v="5"/>
    <n v="42"/>
    <s v="Conflits EIAO"/>
    <s v=""/>
    <s v="meme_arrondissement"/>
    <s v="CMR"/>
    <s v="Cameroon"/>
    <s v="CMR004"/>
    <s v="Extrême-Nord"/>
    <s v="CMR004002"/>
    <s v="Logone-Et-Chari"/>
    <s v="CMR004002006"/>
    <s v="Kousseri"/>
  </r>
  <r>
    <s v="Extrême-Nord"/>
    <s v="CMR004"/>
    <x v="1"/>
    <s v="CMR004002"/>
    <x v="11"/>
    <s v="CMR004002004"/>
    <s v="AMALGOCH"/>
    <s v="LBI_0027"/>
    <x v="0"/>
    <s v="P5"/>
    <n v="34"/>
    <n v="9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1"/>
    <s v="CMR004002004"/>
    <s v="AMREF"/>
    <s v="LBI_0028"/>
    <x v="0"/>
    <s v="P5"/>
    <n v="70"/>
    <n v="15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ANGOCH"/>
    <s v="LBI_0029"/>
    <x v="0"/>
    <s v="P5"/>
    <n v="30"/>
    <n v="15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CHAFOU IDJELIDJE (CAMP)"/>
    <s v="LBI_0009"/>
    <x v="0"/>
    <s v="P3"/>
    <n v="33"/>
    <n v="121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CHAFOU IDJELIDJE (CAMP)"/>
    <s v="LBI_0009"/>
    <x v="0"/>
    <s v="P4"/>
    <n v="2"/>
    <n v="21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DABANGA"/>
    <s v="LBI_0001"/>
    <x v="0"/>
    <s v="P4"/>
    <n v="96"/>
    <n v="759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DEIMA"/>
    <s v="LBI_0030"/>
    <x v="0"/>
    <s v="P5"/>
    <n v="53"/>
    <n v="205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DOUGOUMBRA"/>
    <s v="LBI_0031"/>
    <x v="0"/>
    <s v="P5"/>
    <n v="22"/>
    <n v="100"/>
    <s v="Conflits EIAO"/>
    <s v=""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FADJE (CAMP)"/>
    <s v="LBI_0016"/>
    <x v="0"/>
    <s v="P3"/>
    <n v="19"/>
    <n v="10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GACHALMEDIK"/>
    <s v="LBI_0011"/>
    <x v="0"/>
    <s v="P4"/>
    <n v="60"/>
    <n v="238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GACHALMEDIK"/>
    <s v="LBI_0011"/>
    <x v="0"/>
    <s v="P5"/>
    <n v="10"/>
    <n v="6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GALESS"/>
    <s v="LBI_0032"/>
    <x v="0"/>
    <s v="P5"/>
    <n v="52"/>
    <n v="15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GOURLE"/>
    <s v="LBI_0017"/>
    <x v="0"/>
    <s v="P3"/>
    <n v="50"/>
    <n v="283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GUESH"/>
    <s v="LBI_0033"/>
    <x v="0"/>
    <s v="P5"/>
    <n v="17"/>
    <n v="130"/>
    <s v="Conflits EIAO"/>
    <s v=""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HINALE"/>
    <s v="LBI_0034"/>
    <x v="0"/>
    <s v="P5"/>
    <n v="18"/>
    <n v="130"/>
    <s v="Conflits EIAO"/>
    <s v=""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HOUNANGARE"/>
    <s v="LBI_0035"/>
    <x v="0"/>
    <s v="P5"/>
    <n v="22"/>
    <n v="100"/>
    <s v="Conflits EIAO"/>
    <s v=""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HOUNDOUK"/>
    <s v="LBI_0036"/>
    <x v="0"/>
    <s v="P5"/>
    <n v="100"/>
    <n v="50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KABO"/>
    <s v="LBI_0002"/>
    <x v="0"/>
    <s v="P3"/>
    <n v="173"/>
    <n v="1123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KALAKAFRA"/>
    <s v="LBI_0004"/>
    <x v="0"/>
    <s v="P3"/>
    <n v="191"/>
    <n v="950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KALKOUSSAM"/>
    <s v="LBI_0003"/>
    <x v="0"/>
    <s v="P1"/>
    <n v="18"/>
    <n v="87"/>
    <s v="Conflits EIAO"/>
    <s v=""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KNERACK"/>
    <s v="LBI_0013"/>
    <x v="0"/>
    <s v="P4"/>
    <n v="32"/>
    <n v="128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LABADO"/>
    <s v="LBI_0018"/>
    <x v="0"/>
    <s v="P3"/>
    <n v="35"/>
    <n v="350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LOGONE-BIRNI"/>
    <s v="LBI_0005"/>
    <x v="0"/>
    <s v="P1"/>
    <n v="84"/>
    <n v="519"/>
    <s v="inondations et desastres naturels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LOGONE-BIRNI"/>
    <s v="LBI_0005"/>
    <x v="0"/>
    <s v="P3"/>
    <n v="53"/>
    <n v="295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ACHOKA"/>
    <s v="LBI_0038"/>
    <x v="0"/>
    <s v="P5"/>
    <n v="7"/>
    <n v="45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ADEF"/>
    <s v="LBI_0039"/>
    <x v="0"/>
    <s v="P5"/>
    <n v="4"/>
    <n v="25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AHANA"/>
    <s v="LBI_0040"/>
    <x v="0"/>
    <s v="P5"/>
    <n v="22"/>
    <n v="140"/>
    <s v="Conflits EIAO"/>
    <s v=""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MANNA"/>
    <s v="LBI_0014"/>
    <x v="0"/>
    <s v="P3"/>
    <n v="35"/>
    <n v="147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ELARI"/>
    <s v="LBI_0019"/>
    <x v="0"/>
    <s v="P3"/>
    <n v="10"/>
    <n v="69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ELARI"/>
    <s v="LBI_0019"/>
    <x v="0"/>
    <s v="P5"/>
    <n v="8"/>
    <n v="56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OULADOCK (CAMP)"/>
    <s v="LBI_0022"/>
    <x v="0"/>
    <s v="P3"/>
    <n v="29"/>
    <n v="166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OULADOCK 1"/>
    <s v="LBI_0020"/>
    <x v="0"/>
    <s v="P3"/>
    <n v="6"/>
    <n v="56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OULADOCK 2"/>
    <s v="LBI_0021"/>
    <x v="0"/>
    <s v="P3"/>
    <n v="7"/>
    <n v="49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NDOM"/>
    <s v="LBI_0042"/>
    <x v="0"/>
    <s v="P5"/>
    <n v="6"/>
    <n v="54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NGADA"/>
    <s v="LBI_0023"/>
    <x v="0"/>
    <s v="P3"/>
    <n v="89"/>
    <n v="44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NGOYKOKA"/>
    <s v="LBI_0043"/>
    <x v="0"/>
    <s v="P5"/>
    <n v="35"/>
    <n v="15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SAHABA 3"/>
    <s v="LBI_0024"/>
    <x v="0"/>
    <s v="P3"/>
    <n v="100"/>
    <n v="447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SALERI"/>
    <s v="LBI_0015"/>
    <x v="0"/>
    <s v="P5"/>
    <n v="8"/>
    <n v="71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SKLIO"/>
    <s v="LBI_0025"/>
    <x v="0"/>
    <s v="P3"/>
    <n v="84"/>
    <n v="432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TABOYE"/>
    <s v="LBI_0044"/>
    <x v="0"/>
    <s v="P4"/>
    <n v="82"/>
    <n v="656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TILDE"/>
    <s v="LBI_0006"/>
    <x v="0"/>
    <s v="P3"/>
    <n v="203"/>
    <n v="1513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TILDE"/>
    <s v="LBI_0006"/>
    <x v="0"/>
    <s v="P5"/>
    <n v="10"/>
    <n v="85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TRAYA"/>
    <s v="LBI_0026"/>
    <x v="0"/>
    <s v="P3"/>
    <n v="17"/>
    <n v="128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ZIMADO"/>
    <s v="LBI_0007"/>
    <x v="0"/>
    <s v="P3"/>
    <n v="98"/>
    <n v="869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1"/>
    <s v="CMR004002"/>
    <x v="12"/>
    <s v="CMR004002009"/>
    <s v="ABANKOURI"/>
    <s v="MAK_0223"/>
    <x v="0"/>
    <s v="P2"/>
    <n v="375"/>
    <n v="351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BANKOURI"/>
    <s v="MAK_0223"/>
    <x v="0"/>
    <s v="P5"/>
    <n v="20"/>
    <n v="12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ABBARI"/>
    <s v="MAK_0001"/>
    <x v="0"/>
    <s v="P2"/>
    <n v="6"/>
    <n v="3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BBARI"/>
    <s v="MAK_0001"/>
    <x v="0"/>
    <s v="P3"/>
    <n v="8"/>
    <n v="36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ABBARI"/>
    <s v="MAK_0001"/>
    <x v="0"/>
    <s v="P5"/>
    <n v="3"/>
    <n v="14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ABOKI"/>
    <s v="MAK_0190"/>
    <x v="0"/>
    <s v="P5"/>
    <n v="3"/>
    <n v="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BOUDANGALA"/>
    <s v="MAK_0191"/>
    <x v="0"/>
    <s v="P5"/>
    <n v="12"/>
    <n v="8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BOUSOULTAN"/>
    <s v="MAK_0192"/>
    <x v="0"/>
    <s v="P5"/>
    <n v="10"/>
    <n v="5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BOUYAKOUBA"/>
    <s v="MAK_0002"/>
    <x v="0"/>
    <s v="P2"/>
    <n v="7"/>
    <n v="4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BOUYAKOUBA"/>
    <s v="MAK_0002"/>
    <x v="0"/>
    <s v="P3"/>
    <n v="3"/>
    <n v="1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FADE (VILLAGE)"/>
    <s v="MAK_0003"/>
    <x v="0"/>
    <s v="P2"/>
    <n v="155"/>
    <n v="131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FADE (VILLAGE)"/>
    <s v="MAK_0003"/>
    <x v="0"/>
    <s v="P3"/>
    <n v="388"/>
    <n v="329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FADE (VILLAGE)"/>
    <s v="MAK_0003"/>
    <x v="0"/>
    <s v="P4"/>
    <n v="435"/>
    <n v="369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FADE CAMP"/>
    <s v="MAK_0004"/>
    <x v="0"/>
    <s v="P4"/>
    <n v="154"/>
    <n v="130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FADE CAMP"/>
    <s v="MAK_0004"/>
    <x v="0"/>
    <s v="P5"/>
    <n v="222"/>
    <n v="189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LMITERAP"/>
    <s v="MAK_0194"/>
    <x v="0"/>
    <s v="P5"/>
    <n v="13"/>
    <n v="8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AMCHILGA"/>
    <s v="MAK_0006"/>
    <x v="0"/>
    <s v="P3"/>
    <n v="22"/>
    <n v="8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MCHILGA"/>
    <s v="MAK_0006"/>
    <x v="0"/>
    <s v="P4"/>
    <n v="8"/>
    <n v="3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AMCHILGA"/>
    <s v="MAK_0006"/>
    <x v="0"/>
    <s v="P5"/>
    <n v="6"/>
    <n v="19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AMCHITIRE"/>
    <s v="MAK_0007"/>
    <x v="0"/>
    <s v="P3"/>
    <n v="2"/>
    <n v="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CHITIRE"/>
    <s v="MAK_0007"/>
    <x v="0"/>
    <s v="P4"/>
    <n v="6"/>
    <n v="3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BANG"/>
    <s v="MAK_0008"/>
    <x v="0"/>
    <s v="P2"/>
    <n v="29"/>
    <n v="24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BANG"/>
    <s v="MAK_0008"/>
    <x v="0"/>
    <s v="P3"/>
    <n v="13"/>
    <n v="11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BANG"/>
    <s v="MAK_0008"/>
    <x v="0"/>
    <s v="P4"/>
    <n v="4"/>
    <n v="3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BANG 2"/>
    <s v="MAK_0009"/>
    <x v="0"/>
    <s v="P3"/>
    <n v="5"/>
    <n v="2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BANG 2"/>
    <s v="MAK_0009"/>
    <x v="0"/>
    <s v="P4"/>
    <n v="2"/>
    <n v="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MKA"/>
    <s v="MAK_0222"/>
    <x v="0"/>
    <s v="P5"/>
    <n v="11"/>
    <n v="9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MSAOURA"/>
    <s v="MAK_0195"/>
    <x v="0"/>
    <s v="P5"/>
    <n v="7"/>
    <n v="3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AMSOUFA"/>
    <s v="MAK_0196"/>
    <x v="0"/>
    <s v="P4"/>
    <n v="10"/>
    <n v="8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TCHIKO"/>
    <s v="MAK_0197"/>
    <x v="0"/>
    <s v="P5"/>
    <n v="10"/>
    <n v="4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NAMBARI"/>
    <s v="MAK_0010"/>
    <x v="0"/>
    <s v="P3"/>
    <n v="6"/>
    <n v="4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NAMBARI"/>
    <s v="MAK_0010"/>
    <x v="0"/>
    <s v="P4"/>
    <n v="4"/>
    <n v="1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RDEB 1"/>
    <s v="MAK_0148"/>
    <x v="0"/>
    <s v="P4"/>
    <n v="3"/>
    <n v="1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RDEB 2"/>
    <s v="MAK_0149"/>
    <x v="0"/>
    <s v="P4"/>
    <n v="4"/>
    <n v="1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RDEBE"/>
    <s v="MAK_0198"/>
    <x v="0"/>
    <s v="P5"/>
    <n v="13"/>
    <n v="8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ATTRI-FALATA"/>
    <s v="MAK_0048"/>
    <x v="0"/>
    <s v="P2"/>
    <n v="1"/>
    <n v="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TTRI-FALATA"/>
    <s v="MAK_0048"/>
    <x v="0"/>
    <s v="P3"/>
    <n v="3"/>
    <n v="1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TTRI-FALATA"/>
    <s v="MAK_0048"/>
    <x v="0"/>
    <s v="P4"/>
    <n v="3"/>
    <n v="1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TTRI-SALAMAT"/>
    <s v="MAK_0011"/>
    <x v="0"/>
    <s v="P3"/>
    <n v="2"/>
    <n v="14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TTRI-SALAMAT"/>
    <s v="MAK_0011"/>
    <x v="0"/>
    <s v="P4"/>
    <n v="4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ADRA"/>
    <s v="MAK_0012"/>
    <x v="0"/>
    <s v="P3"/>
    <n v="4"/>
    <n v="3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ADRA"/>
    <s v="MAK_0012"/>
    <x v="0"/>
    <s v="P4"/>
    <n v="3"/>
    <n v="2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AGARA"/>
    <s v="MAK_0013"/>
    <x v="0"/>
    <s v="P2"/>
    <n v="2"/>
    <n v="1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AGARA"/>
    <s v="MAK_0013"/>
    <x v="0"/>
    <s v="P3"/>
    <n v="2"/>
    <n v="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AOURI"/>
    <s v="MAK_0014"/>
    <x v="0"/>
    <s v="P2"/>
    <n v="2"/>
    <n v="16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BAOURI"/>
    <s v="MAK_0014"/>
    <x v="0"/>
    <s v="P3"/>
    <n v="4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AOURI"/>
    <s v="MAK_0014"/>
    <x v="0"/>
    <s v="P4"/>
    <n v="6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EDA (CAMP)"/>
    <s v="MAK_0150"/>
    <x v="0"/>
    <s v="P4"/>
    <n v="31"/>
    <n v="26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EDA (CAMP)"/>
    <s v="MAK_0150"/>
    <x v="0"/>
    <s v="P6"/>
    <n v="34"/>
    <n v="28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EDAT"/>
    <s v="MAK_0105"/>
    <x v="0"/>
    <s v="P3"/>
    <n v="40"/>
    <n v="20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EDAT"/>
    <s v="MAK_0105"/>
    <x v="0"/>
    <s v="P4"/>
    <n v="52"/>
    <n v="26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IAMO"/>
    <s v="MAK_0016"/>
    <x v="0"/>
    <s v="P3"/>
    <n v="41"/>
    <n v="20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IAMO"/>
    <s v="MAK_0016"/>
    <x v="0"/>
    <s v="P4"/>
    <n v="31"/>
    <n v="8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IAMO"/>
    <s v="MAK_0016"/>
    <x v="0"/>
    <s v="P5"/>
    <n v="2"/>
    <n v="1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BIANG"/>
    <s v="MAK_0199"/>
    <x v="0"/>
    <s v="P2"/>
    <n v="7"/>
    <n v="5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IDEINE"/>
    <s v="MAK_0017"/>
    <x v="0"/>
    <s v="P3"/>
    <n v="10"/>
    <n v="4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IDEINE"/>
    <s v="MAK_0017"/>
    <x v="0"/>
    <s v="P4"/>
    <n v="5"/>
    <n v="4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IDEINE"/>
    <s v="MAK_0017"/>
    <x v="0"/>
    <s v="P5"/>
    <n v="1"/>
    <n v="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LABLIN"/>
    <s v="MAK_0018"/>
    <x v="0"/>
    <s v="P3"/>
    <n v="7"/>
    <n v="3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LABLIN"/>
    <s v="MAK_0018"/>
    <x v="0"/>
    <s v="P4"/>
    <n v="200"/>
    <n v="170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LAHE"/>
    <s v="MAK_0019"/>
    <x v="0"/>
    <s v="P2"/>
    <n v="3"/>
    <n v="1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LAHE"/>
    <s v="MAK_0019"/>
    <x v="0"/>
    <s v="P3"/>
    <n v="7"/>
    <n v="2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LAHE"/>
    <s v="MAK_0019"/>
    <x v="0"/>
    <s v="P4"/>
    <n v="4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LOUMTAGUI"/>
    <s v="MAK_0020"/>
    <x v="0"/>
    <s v="P2"/>
    <n v="6"/>
    <n v="2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ODO"/>
    <s v="MAK_0021"/>
    <x v="0"/>
    <s v="P2"/>
    <n v="27"/>
    <n v="20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OMBOYO"/>
    <s v="MAK_0201"/>
    <x v="0"/>
    <s v="P5"/>
    <n v="85"/>
    <n v="42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CHAGAMA 1"/>
    <s v="MAK_0022"/>
    <x v="0"/>
    <s v="P3"/>
    <n v="3"/>
    <n v="1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AGAMA 1"/>
    <s v="MAK_0022"/>
    <x v="0"/>
    <s v="P4"/>
    <n v="10"/>
    <n v="3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AGAMA 2"/>
    <s v="MAK_0023"/>
    <x v="0"/>
    <s v="P2"/>
    <n v="1"/>
    <n v="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AGAMA 2"/>
    <s v="MAK_0023"/>
    <x v="0"/>
    <s v="P3"/>
    <n v="2"/>
    <n v="1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AGAMA 2"/>
    <s v="MAK_0023"/>
    <x v="0"/>
    <s v="P4"/>
    <n v="6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AIBOU"/>
    <s v="MAK_0202"/>
    <x v="0"/>
    <s v="P5"/>
    <n v="10"/>
    <n v="81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CHALAMTINI"/>
    <s v="MAK_0024"/>
    <x v="0"/>
    <s v="P4"/>
    <n v="39"/>
    <n v="33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CHIMTILI"/>
    <s v="MAK_0151"/>
    <x v="0"/>
    <s v="P4"/>
    <n v="7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IMTILI"/>
    <s v="MAK_0151"/>
    <x v="0"/>
    <s v="P5"/>
    <n v="6"/>
    <n v="2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CHOU-SALAMAT"/>
    <s v="MAK_0123"/>
    <x v="0"/>
    <s v="P3"/>
    <n v="25"/>
    <n v="20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CHOU-SALAMAT"/>
    <s v="MAK_0123"/>
    <x v="0"/>
    <s v="P5"/>
    <n v="5"/>
    <n v="4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AMBA 1"/>
    <s v="MAK_0025"/>
    <x v="0"/>
    <s v="P3"/>
    <n v="2"/>
    <n v="1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AMBA 1"/>
    <s v="MAK_0025"/>
    <x v="0"/>
    <s v="P4"/>
    <n v="3"/>
    <n v="1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ARSALAM"/>
    <s v="MAK_0203"/>
    <x v="0"/>
    <s v="P5"/>
    <n v="5"/>
    <n v="3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AM 1"/>
    <s v="MAK_0154"/>
    <x v="0"/>
    <s v="P3"/>
    <n v="17"/>
    <n v="6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AM 1"/>
    <s v="MAK_0154"/>
    <x v="0"/>
    <s v="P5"/>
    <n v="5"/>
    <n v="3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AM 2"/>
    <s v="MAK_0155"/>
    <x v="0"/>
    <s v="P3"/>
    <n v="16"/>
    <n v="7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AM 2"/>
    <s v="MAK_0155"/>
    <x v="0"/>
    <s v="P5"/>
    <n v="4"/>
    <n v="2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AM 2"/>
    <s v="MAK_0155"/>
    <x v="0"/>
    <s v="P6"/>
    <n v="2"/>
    <n v="1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GAM BAR"/>
    <s v="MAK_0107"/>
    <x v="0"/>
    <s v="P3"/>
    <n v="8"/>
    <n v="5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GAM-AFADE"/>
    <s v="MAK_0028"/>
    <x v="0"/>
    <s v="P3"/>
    <n v="6"/>
    <n v="42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DILEBE"/>
    <s v="MAK_0156"/>
    <x v="0"/>
    <s v="P4"/>
    <n v="2"/>
    <n v="1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ILEBE"/>
    <s v="MAK_0156"/>
    <x v="0"/>
    <s v="P5"/>
    <n v="6"/>
    <n v="33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DJADJAYA"/>
    <s v="MAK_0124"/>
    <x v="0"/>
    <s v="P2"/>
    <n v="14"/>
    <n v="53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JADJAYA"/>
    <s v="MAK_0124"/>
    <x v="0"/>
    <s v="P3"/>
    <n v="6"/>
    <n v="30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DJAKDJAKKAYA 2"/>
    <s v="MAK_0157"/>
    <x v="0"/>
    <s v="P4"/>
    <n v="6"/>
    <n v="5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AMOUS"/>
    <s v="MAK_0030"/>
    <x v="0"/>
    <s v="P2"/>
    <n v="41"/>
    <n v="20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AMOUS"/>
    <s v="MAK_0030"/>
    <x v="0"/>
    <s v="P3"/>
    <n v="45"/>
    <n v="22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AMOUS"/>
    <s v="MAK_0030"/>
    <x v="0"/>
    <s v="P4"/>
    <n v="110"/>
    <n v="93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IDANSAMA"/>
    <s v="MAK_0031"/>
    <x v="0"/>
    <s v="P3"/>
    <n v="2"/>
    <n v="1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IDANSAMA"/>
    <s v="MAK_0031"/>
    <x v="0"/>
    <s v="P4"/>
    <n v="4"/>
    <n v="2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IMTILO"/>
    <s v="MAK_0032"/>
    <x v="0"/>
    <s v="P2"/>
    <n v="5"/>
    <n v="2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JIMTILO"/>
    <s v="MAK_0032"/>
    <x v="0"/>
    <s v="P3"/>
    <n v="3"/>
    <n v="2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JIMTILO"/>
    <s v="MAK_0032"/>
    <x v="0"/>
    <s v="P5"/>
    <n v="1"/>
    <n v="4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DOLE-AFADE"/>
    <s v="MAK_0033"/>
    <x v="0"/>
    <s v="P3"/>
    <n v="5"/>
    <n v="4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LE-NAGA"/>
    <s v="MAK_0034"/>
    <x v="0"/>
    <s v="P3"/>
    <n v="13"/>
    <n v="7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DONGOLO"/>
    <s v="MAK_0026"/>
    <x v="0"/>
    <s v="P2"/>
    <n v="12"/>
    <n v="6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ONGOLO"/>
    <s v="MAK_0026"/>
    <x v="0"/>
    <s v="P3"/>
    <n v="3"/>
    <n v="1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ONGOLO"/>
    <s v="MAK_0026"/>
    <x v="0"/>
    <s v="P4"/>
    <n v="2"/>
    <n v="1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OROROYA 1"/>
    <s v="MAK_0035"/>
    <x v="0"/>
    <s v="P3"/>
    <n v="6"/>
    <n v="3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OROROYA 1"/>
    <s v="MAK_0035"/>
    <x v="0"/>
    <s v="P4"/>
    <n v="23"/>
    <n v="11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OUBABEL GOSS"/>
    <s v="MAK_0036"/>
    <x v="0"/>
    <s v="P3"/>
    <n v="33"/>
    <n v="10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UGMO"/>
    <s v="MAK_0158"/>
    <x v="0"/>
    <s v="P3"/>
    <n v="5"/>
    <n v="5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UGMO"/>
    <s v="MAK_0158"/>
    <x v="0"/>
    <s v="P4"/>
    <n v="2"/>
    <n v="1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UGOUM"/>
    <s v="MAK_0159"/>
    <x v="0"/>
    <s v="P3"/>
    <n v="2"/>
    <n v="1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UGOUMMANGO"/>
    <s v="MAK_0108"/>
    <x v="0"/>
    <s v="P3"/>
    <n v="6"/>
    <n v="6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UGOUMMANGO"/>
    <s v="MAK_0108"/>
    <x v="0"/>
    <s v="P4"/>
    <n v="9"/>
    <n v="6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FADJE"/>
    <s v="MAK_0038"/>
    <x v="0"/>
    <s v="P3"/>
    <n v="2"/>
    <n v="1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FADJE"/>
    <s v="MAK_0038"/>
    <x v="0"/>
    <s v="P4"/>
    <n v="9"/>
    <n v="5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FADJE ADOUM"/>
    <s v="MAK_0204"/>
    <x v="0"/>
    <s v="P5"/>
    <n v="13"/>
    <n v="85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FARCH 1"/>
    <s v="MAK_0039"/>
    <x v="0"/>
    <s v="P3"/>
    <n v="6"/>
    <n v="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FARCH 2"/>
    <s v="MAK_0040"/>
    <x v="0"/>
    <s v="P3"/>
    <n v="7"/>
    <n v="2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FARFARA 1"/>
    <s v="MAK_0161"/>
    <x v="0"/>
    <s v="P3"/>
    <n v="5"/>
    <n v="3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FARFARA 1"/>
    <s v="MAK_0161"/>
    <x v="0"/>
    <s v="P5"/>
    <n v="3"/>
    <n v="1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ALE-GALE"/>
    <s v="MAK_0126"/>
    <x v="0"/>
    <s v="P3"/>
    <n v="6"/>
    <n v="5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AMBAROU"/>
    <s v="MAK_0041"/>
    <x v="0"/>
    <s v="P3"/>
    <n v="4"/>
    <n v="1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GAMBAROU"/>
    <s v="MAK_0041"/>
    <x v="0"/>
    <s v="P4"/>
    <n v="2"/>
    <n v="1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GAMBAROU"/>
    <s v="MAK_0041"/>
    <x v="0"/>
    <s v="P5"/>
    <n v="2"/>
    <n v="1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GAWAWA"/>
    <s v="MAK_0205"/>
    <x v="0"/>
    <s v="P5"/>
    <n v="35"/>
    <n v="17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GLAO"/>
    <s v="MAK_0042"/>
    <x v="0"/>
    <s v="P2"/>
    <n v="1"/>
    <n v="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GLAO AFADE"/>
    <s v="MAK_0186"/>
    <x v="0"/>
    <s v="P3"/>
    <n v="36"/>
    <n v="29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LAO BARDAI"/>
    <s v="MAK_0187"/>
    <x v="0"/>
    <s v="P4"/>
    <n v="7"/>
    <n v="6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LESSALAO"/>
    <s v="MAK_0043"/>
    <x v="0"/>
    <s v="P3"/>
    <n v="10"/>
    <n v="5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LESSALAO"/>
    <s v="MAK_0043"/>
    <x v="0"/>
    <s v="P4"/>
    <n v="3"/>
    <n v="1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LALA"/>
    <s v="MAK_0044"/>
    <x v="0"/>
    <s v="P3"/>
    <n v="5"/>
    <n v="4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LALA"/>
    <s v="MAK_0044"/>
    <x v="0"/>
    <s v="P4"/>
    <n v="11"/>
    <n v="5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LALA"/>
    <s v="MAK_0044"/>
    <x v="0"/>
    <s v="P5"/>
    <n v="18"/>
    <n v="10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LGOLO"/>
    <s v="MAK_0206"/>
    <x v="0"/>
    <s v="P5"/>
    <n v="9"/>
    <n v="2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GOUBAGO"/>
    <s v="MAK_0045"/>
    <x v="0"/>
    <s v="P4"/>
    <n v="4"/>
    <n v="4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ULOUMBO"/>
    <s v="MAK_0166"/>
    <x v="0"/>
    <s v="P3"/>
    <n v="11"/>
    <n v="9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URGOURA"/>
    <s v="MAK_0047"/>
    <x v="0"/>
    <s v="P3"/>
    <n v="1"/>
    <n v="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GOURLE 2"/>
    <s v="MAK_0167"/>
    <x v="0"/>
    <s v="P3"/>
    <n v="4"/>
    <n v="3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RELIE"/>
    <s v="MAK_0168"/>
    <x v="0"/>
    <s v="P4"/>
    <n v="13"/>
    <n v="11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UEILALA"/>
    <s v="MAK_0224"/>
    <x v="0"/>
    <s v="P3"/>
    <n v="8"/>
    <n v="7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HABOBA"/>
    <s v="MAK_0207"/>
    <x v="0"/>
    <s v="P5"/>
    <n v="10"/>
    <n v="5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HADAMARI"/>
    <s v="MAK_0169"/>
    <x v="0"/>
    <s v="P3"/>
    <n v="2"/>
    <n v="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HADAMARI"/>
    <s v="MAK_0169"/>
    <x v="0"/>
    <s v="P4"/>
    <n v="2"/>
    <n v="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HELISNA"/>
    <s v="MAK_0127"/>
    <x v="0"/>
    <s v="P5"/>
    <n v="7"/>
    <n v="6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EREDIBE"/>
    <s v="MAK_0049"/>
    <x v="0"/>
    <s v="P3"/>
    <n v="7"/>
    <n v="4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EREDIBE"/>
    <s v="MAK_0049"/>
    <x v="0"/>
    <s v="P4"/>
    <n v="12"/>
    <n v="11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EREDIBE MOUSSA"/>
    <s v="MAK_0226"/>
    <x v="0"/>
    <s v="P5"/>
    <n v="5"/>
    <n v="4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ISSAINIE"/>
    <s v="MAK_0050"/>
    <x v="0"/>
    <s v="P3"/>
    <n v="6"/>
    <n v="2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HISSAINIE"/>
    <s v="MAK_0050"/>
    <x v="0"/>
    <s v="P4"/>
    <n v="4"/>
    <n v="1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HOURAHOURI"/>
    <s v="MAK_0181"/>
    <x v="0"/>
    <s v="P4"/>
    <n v="6"/>
    <n v="4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OURAHOURI"/>
    <s v="MAK_0181"/>
    <x v="0"/>
    <s v="P5"/>
    <n v="5"/>
    <n v="3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OURAHOURI"/>
    <s v="MAK_0181"/>
    <x v="0"/>
    <s v="P6"/>
    <n v="3"/>
    <n v="2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AOSSE"/>
    <s v="MAK_0051"/>
    <x v="0"/>
    <s v="P2"/>
    <n v="4"/>
    <n v="2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AOSSE"/>
    <s v="MAK_0051"/>
    <x v="0"/>
    <s v="P3"/>
    <n v="6"/>
    <n v="3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ARTCHE"/>
    <s v="MAK_0052"/>
    <x v="0"/>
    <s v="P3"/>
    <n v="3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ASIBE"/>
    <s v="MAK_0053"/>
    <x v="0"/>
    <s v="P2"/>
    <n v="23"/>
    <n v="7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ESAWA"/>
    <s v="MAK_0054"/>
    <x v="0"/>
    <s v="P3"/>
    <n v="18"/>
    <n v="15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ESAWA"/>
    <s v="MAK_0054"/>
    <x v="0"/>
    <s v="P4"/>
    <n v="4"/>
    <n v="3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ESSAWA"/>
    <s v="MAK_0109"/>
    <x v="0"/>
    <s v="P2"/>
    <n v="32"/>
    <n v="27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ESSAWA"/>
    <s v="MAK_0109"/>
    <x v="0"/>
    <s v="P3"/>
    <n v="43"/>
    <n v="36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ESSAWA"/>
    <s v="MAK_0109"/>
    <x v="0"/>
    <s v="P4"/>
    <n v="63"/>
    <n v="53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OKIO 1"/>
    <s v="MAK_0055"/>
    <x v="0"/>
    <s v="P3"/>
    <n v="8"/>
    <n v="4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OKIO 1"/>
    <s v="MAK_0055"/>
    <x v="0"/>
    <s v="P4"/>
    <n v="11"/>
    <n v="5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OKIO 2"/>
    <s v="MAK_0113"/>
    <x v="0"/>
    <s v="P3"/>
    <n v="11"/>
    <n v="4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OKIO 2"/>
    <s v="MAK_0113"/>
    <x v="0"/>
    <s v="P4"/>
    <n v="15"/>
    <n v="5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OUMBOULA"/>
    <s v="MAK_0170"/>
    <x v="0"/>
    <s v="P3"/>
    <n v="13"/>
    <n v="11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RENACK"/>
    <s v="MAK_0056"/>
    <x v="0"/>
    <s v="P2"/>
    <n v="5"/>
    <n v="2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RENAK"/>
    <s v="MAK_0057"/>
    <x v="0"/>
    <s v="P3"/>
    <n v="10"/>
    <n v="5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RENAK"/>
    <s v="MAK_0057"/>
    <x v="0"/>
    <s v="P4"/>
    <n v="5"/>
    <n v="3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LAFIA-ARABE"/>
    <s v="MAK_0058"/>
    <x v="0"/>
    <s v="P3"/>
    <n v="4"/>
    <n v="1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LAFIA-ARABE"/>
    <s v="MAK_0058"/>
    <x v="0"/>
    <s v="P4"/>
    <n v="8"/>
    <n v="61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ADA"/>
    <s v="MAK_0059"/>
    <x v="0"/>
    <s v="P3"/>
    <n v="82"/>
    <n v="30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DA"/>
    <s v="MAK_0059"/>
    <x v="0"/>
    <s v="P4"/>
    <n v="103"/>
    <n v="420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MADA"/>
    <s v="MAK_0059"/>
    <x v="0"/>
    <s v="P5"/>
    <n v="15"/>
    <n v="7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ADINA 1"/>
    <s v="MAK_0060"/>
    <x v="0"/>
    <s v="P2"/>
    <n v="5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DINA 2"/>
    <s v="MAK_0061"/>
    <x v="0"/>
    <s v="P2"/>
    <n v="6"/>
    <n v="2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FANDE"/>
    <s v="MAK_0062"/>
    <x v="0"/>
    <s v="P2"/>
    <n v="3"/>
    <n v="1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FANDE"/>
    <s v="MAK_0062"/>
    <x v="0"/>
    <s v="P3"/>
    <n v="5"/>
    <n v="3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FANDE"/>
    <s v="MAK_0062"/>
    <x v="0"/>
    <s v="P4"/>
    <n v="2"/>
    <n v="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KARY"/>
    <s v="MAK_0064"/>
    <x v="0"/>
    <s v="P3"/>
    <n v="879"/>
    <n v="373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KARY"/>
    <s v="MAK_0064"/>
    <x v="0"/>
    <s v="P4"/>
    <n v="1000"/>
    <n v="553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KARY"/>
    <s v="MAK_0064"/>
    <x v="0"/>
    <s v="P5"/>
    <n v="187"/>
    <n v="95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LADI"/>
    <s v="MAK_0065"/>
    <x v="0"/>
    <s v="P3"/>
    <n v="14"/>
    <n v="7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LADI"/>
    <s v="MAK_0065"/>
    <x v="0"/>
    <s v="P4"/>
    <n v="16"/>
    <n v="9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LIE"/>
    <s v="MAK_0066"/>
    <x v="0"/>
    <s v="P3"/>
    <n v="12"/>
    <n v="5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LTAM"/>
    <s v="MAK_0067"/>
    <x v="0"/>
    <s v="P3"/>
    <n v="49"/>
    <n v="25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NAWADJI"/>
    <s v="MAK_0068"/>
    <x v="0"/>
    <s v="P2"/>
    <n v="9"/>
    <n v="10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ANAWADJI"/>
    <s v="MAK_0068"/>
    <x v="0"/>
    <s v="P4"/>
    <n v="6"/>
    <n v="23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ANAWADJI"/>
    <s v="MAK_0068"/>
    <x v="0"/>
    <s v="P5"/>
    <n v="12"/>
    <n v="7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ANDA 1"/>
    <s v="MAK_0069"/>
    <x v="0"/>
    <s v="P2"/>
    <n v="10"/>
    <n v="7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ARGUI"/>
    <s v="MAK_0070"/>
    <x v="0"/>
    <s v="P2"/>
    <n v="3"/>
    <n v="3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ARGUI"/>
    <s v="MAK_0070"/>
    <x v="0"/>
    <s v="P3"/>
    <n v="2"/>
    <n v="22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MASSIO"/>
    <s v="MAK_0071"/>
    <x v="0"/>
    <s v="P3"/>
    <n v="6"/>
    <n v="3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SSIO"/>
    <s v="MAK_0071"/>
    <x v="0"/>
    <s v="P4"/>
    <n v="21"/>
    <n v="19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SSIO"/>
    <s v="MAK_0071"/>
    <x v="0"/>
    <s v="P5"/>
    <n v="20"/>
    <n v="21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BEE"/>
    <s v="MAK_0110"/>
    <x v="0"/>
    <s v="P4"/>
    <n v="24"/>
    <n v="15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EDINA 3"/>
    <s v="MAK_0073"/>
    <x v="0"/>
    <s v="P3"/>
    <n v="5"/>
    <n v="3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EDINA 3"/>
    <s v="MAK_0073"/>
    <x v="0"/>
    <s v="P4"/>
    <n v="3"/>
    <n v="1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EITO"/>
    <s v="MAK_0074"/>
    <x v="0"/>
    <s v="P3"/>
    <n v="7"/>
    <n v="4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ELEKI"/>
    <s v="MAK_0208"/>
    <x v="0"/>
    <s v="P5"/>
    <n v="25"/>
    <n v="10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ERAHA"/>
    <s v="MAK_0211"/>
    <x v="0"/>
    <s v="P5"/>
    <n v="49"/>
    <n v="19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ESSIO"/>
    <s v="MAK_0104"/>
    <x v="0"/>
    <s v="P2"/>
    <n v="10"/>
    <n v="5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ESSIO"/>
    <s v="MAK_0104"/>
    <x v="0"/>
    <s v="P5"/>
    <n v="4"/>
    <n v="2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FLEI"/>
    <s v="MAK_0075"/>
    <x v="0"/>
    <s v="P5"/>
    <n v="3"/>
    <n v="1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ICHKIDIN"/>
    <s v="MAK_0111"/>
    <x v="0"/>
    <s v="P3"/>
    <n v="2"/>
    <n v="2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ICHKIDIN"/>
    <s v="MAK_0111"/>
    <x v="0"/>
    <s v="P4"/>
    <n v="82"/>
    <n v="107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ICHKIDIN"/>
    <s v="MAK_0111"/>
    <x v="0"/>
    <s v="P5"/>
    <n v="39"/>
    <n v="33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INA"/>
    <s v="MAK_0212"/>
    <x v="0"/>
    <s v="P5"/>
    <n v="3"/>
    <n v="2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IREMIE"/>
    <s v="MAK_0213"/>
    <x v="0"/>
    <s v="P5"/>
    <n v="16"/>
    <n v="8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ISKA-AFADE"/>
    <s v="MAK_0076"/>
    <x v="0"/>
    <s v="P3"/>
    <n v="8"/>
    <n v="4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ISKA-AFADE"/>
    <s v="MAK_0076"/>
    <x v="0"/>
    <s v="P4"/>
    <n v="4"/>
    <n v="2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ODEGOUA"/>
    <s v="MAK_0077"/>
    <x v="0"/>
    <s v="P3"/>
    <n v="7"/>
    <n v="68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ODEGOUA"/>
    <s v="MAK_0077"/>
    <x v="0"/>
    <s v="P5"/>
    <n v="9"/>
    <n v="4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OGNOKO"/>
    <s v="MAK_0227"/>
    <x v="0"/>
    <s v="P5"/>
    <n v="20"/>
    <n v="17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OUGRAN"/>
    <s v="MAK_0214"/>
    <x v="0"/>
    <s v="P5"/>
    <n v="6"/>
    <n v="3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AÏRA"/>
    <s v="MAK_0215"/>
    <x v="0"/>
    <s v="P2"/>
    <n v="7"/>
    <n v="5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ANAMI"/>
    <s v="MAK_0078"/>
    <x v="0"/>
    <s v="P2"/>
    <n v="6"/>
    <n v="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AGA"/>
    <s v="MAK_0079"/>
    <x v="0"/>
    <s v="P4"/>
    <n v="7"/>
    <n v="56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DAGALGUI"/>
    <s v="MAK_0080"/>
    <x v="0"/>
    <s v="P2"/>
    <n v="6"/>
    <n v="3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AGALGUI"/>
    <s v="MAK_0080"/>
    <x v="0"/>
    <s v="P3"/>
    <n v="7"/>
    <n v="3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AGALGUI"/>
    <s v="MAK_0080"/>
    <x v="0"/>
    <s v="P5"/>
    <n v="7"/>
    <n v="3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ARKA"/>
    <s v="MAK_0173"/>
    <x v="0"/>
    <s v="P4"/>
    <n v="4"/>
    <n v="3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ARKA"/>
    <s v="MAK_0173"/>
    <x v="0"/>
    <s v="P5"/>
    <n v="4"/>
    <n v="34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DEGO 1"/>
    <s v="MAK_0081"/>
    <x v="0"/>
    <s v="P3"/>
    <n v="8"/>
    <n v="4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EGO 1"/>
    <s v="MAK_0081"/>
    <x v="0"/>
    <s v="P5"/>
    <n v="6"/>
    <n v="33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EGO 3"/>
    <s v="MAK_0083"/>
    <x v="0"/>
    <s v="P2"/>
    <n v="7"/>
    <n v="3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DEGO 3"/>
    <s v="MAK_0083"/>
    <x v="0"/>
    <s v="P5"/>
    <n v="7"/>
    <n v="28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DEGO 4"/>
    <s v="MAK_0082"/>
    <x v="0"/>
    <s v="P2"/>
    <n v="11"/>
    <n v="7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EGO 4"/>
    <s v="MAK_0082"/>
    <x v="0"/>
    <s v="P5"/>
    <n v="14"/>
    <n v="5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IGUINI"/>
    <s v="MAK_0084"/>
    <x v="0"/>
    <s v="P2"/>
    <n v="11"/>
    <n v="6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DIGUINI"/>
    <s v="MAK_0084"/>
    <x v="0"/>
    <s v="P3"/>
    <n v="4"/>
    <n v="2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DIGUINI"/>
    <s v="MAK_0084"/>
    <x v="0"/>
    <s v="P4"/>
    <n v="8"/>
    <n v="6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DJAMENA 3"/>
    <s v="MAK_0085"/>
    <x v="0"/>
    <s v="P5"/>
    <n v="18"/>
    <n v="9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DODOHE KALIA"/>
    <s v="MAK_0086"/>
    <x v="0"/>
    <s v="P3"/>
    <n v="3"/>
    <n v="1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ODOHE KALIA"/>
    <s v="MAK_0086"/>
    <x v="0"/>
    <s v="P4"/>
    <n v="2"/>
    <n v="13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ODOHE KALIA"/>
    <s v="MAK_0086"/>
    <x v="0"/>
    <s v="P5"/>
    <n v="1"/>
    <n v="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ODOHE YOUSSOUF"/>
    <s v="MAK_0087"/>
    <x v="0"/>
    <s v="P3"/>
    <n v="7"/>
    <n v="4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ODOHE YOUSSOUF"/>
    <s v="MAK_0087"/>
    <x v="0"/>
    <s v="P4"/>
    <n v="8"/>
    <n v="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ODOHE YOUSSOUF"/>
    <s v="MAK_0087"/>
    <x v="0"/>
    <s v="P5"/>
    <n v="3"/>
    <n v="1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OLOHE ARABE"/>
    <s v="MAK_0088"/>
    <x v="0"/>
    <s v="P3"/>
    <n v="11"/>
    <n v="6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DOLOHE ARABE"/>
    <s v="MAK_0088"/>
    <x v="0"/>
    <s v="P4"/>
    <n v="9"/>
    <n v="4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IWA"/>
    <s v="MAK_0174"/>
    <x v="0"/>
    <s v="P4"/>
    <n v="3"/>
    <n v="1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GAIWA"/>
    <s v="MAK_0174"/>
    <x v="0"/>
    <s v="P5"/>
    <n v="4"/>
    <n v="21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GAME"/>
    <s v="MAK_0216"/>
    <x v="0"/>
    <s v="P5"/>
    <n v="6"/>
    <n v="3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RDOUGOUM"/>
    <s v="MAK_0089"/>
    <x v="0"/>
    <s v="P2"/>
    <n v="27"/>
    <n v="23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RDOUGOUM"/>
    <s v="MAK_0089"/>
    <x v="0"/>
    <s v="P3"/>
    <n v="5"/>
    <n v="4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RDOUGOUM"/>
    <s v="MAK_0089"/>
    <x v="0"/>
    <s v="P5"/>
    <n v="8"/>
    <n v="6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RDOUKOUM 2"/>
    <s v="MAK_0090"/>
    <x v="0"/>
    <s v="P3"/>
    <n v="7"/>
    <n v="3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RTCHANO 1"/>
    <s v="MAK_0175"/>
    <x v="0"/>
    <s v="P3"/>
    <n v="4"/>
    <n v="3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LEME"/>
    <s v="MAK_0091"/>
    <x v="0"/>
    <s v="P3"/>
    <n v="15"/>
    <n v="12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LEME"/>
    <s v="MAK_0091"/>
    <x v="0"/>
    <s v="P4"/>
    <n v="4"/>
    <n v="5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NFLA 2"/>
    <s v="MAK_0092"/>
    <x v="0"/>
    <s v="P2"/>
    <n v="6"/>
    <n v="3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NFLA 2"/>
    <s v="MAK_0092"/>
    <x v="0"/>
    <s v="P3"/>
    <n v="1"/>
    <n v="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RTCHOLO"/>
    <s v="MAK_0134"/>
    <x v="0"/>
    <s v="P4"/>
    <n v="8"/>
    <n v="6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RTCHOLO"/>
    <s v="MAK_0134"/>
    <x v="0"/>
    <s v="P5"/>
    <n v="6"/>
    <n v="3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MA"/>
    <s v="MAK_0093"/>
    <x v="0"/>
    <s v="P2"/>
    <n v="22"/>
    <n v="16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GOUMA"/>
    <s v="MAK_0093"/>
    <x v="0"/>
    <s v="P3"/>
    <n v="68"/>
    <n v="44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GOUMA"/>
    <s v="MAK_0093"/>
    <x v="0"/>
    <s v="P4"/>
    <n v="6"/>
    <n v="2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GOUMA"/>
    <s v="MAK_0093"/>
    <x v="0"/>
    <s v="P5"/>
    <n v="137"/>
    <n v="44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GOUNG"/>
    <s v="MAK_0176"/>
    <x v="0"/>
    <s v="P3"/>
    <n v="10"/>
    <n v="8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1"/>
    <s v="CMR004002"/>
    <x v="12"/>
    <s v="CMR004002009"/>
    <s v="NGOUNG"/>
    <s v="MAK_0176"/>
    <x v="0"/>
    <s v="P4"/>
    <n v="2"/>
    <n v="24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1"/>
    <s v="CMR004002"/>
    <x v="12"/>
    <s v="CMR004002009"/>
    <s v="NGOURNOU"/>
    <s v="MAK_0112"/>
    <x v="0"/>
    <s v="P3"/>
    <n v="10"/>
    <n v="7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RNOU"/>
    <s v="MAK_0112"/>
    <x v="0"/>
    <s v="P4"/>
    <n v="82"/>
    <n v="68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RNOU"/>
    <s v="MAK_0112"/>
    <x v="0"/>
    <s v="P5"/>
    <n v="38"/>
    <n v="32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SSIRE"/>
    <s v="MAK_0217"/>
    <x v="0"/>
    <s v="P5"/>
    <n v="4"/>
    <n v="2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T"/>
    <s v="MAK_0177"/>
    <x v="0"/>
    <s v="P4"/>
    <n v="6"/>
    <n v="3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T"/>
    <s v="MAK_0177"/>
    <x v="0"/>
    <s v="P5"/>
    <n v="8"/>
    <n v="4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T"/>
    <s v="MAK_0177"/>
    <x v="0"/>
    <s v="P6"/>
    <n v="3"/>
    <n v="1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REE 1"/>
    <s v="MAK_0095"/>
    <x v="0"/>
    <s v="P3"/>
    <n v="28"/>
    <n v="86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2"/>
    <s v="CMR004002009"/>
    <s v="NGREE 1"/>
    <s v="MAK_0095"/>
    <x v="0"/>
    <s v="P5"/>
    <n v="2"/>
    <n v="14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2"/>
    <s v="CMR004002009"/>
    <s v="NGREE 2"/>
    <s v="MAK_0096"/>
    <x v="0"/>
    <s v="P3"/>
    <n v="4"/>
    <n v="49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2"/>
    <s v="CMR004002009"/>
    <s v="NGREE 2"/>
    <s v="MAK_0096"/>
    <x v="0"/>
    <s v="P4"/>
    <n v="2"/>
    <n v="17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2"/>
    <s v="CMR004002009"/>
    <s v="NGREE 2"/>
    <s v="MAK_0096"/>
    <x v="0"/>
    <s v="P5"/>
    <n v="12"/>
    <n v="39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2"/>
    <s v="CMR004002009"/>
    <s v="RINGUE"/>
    <s v="MAK_0136"/>
    <x v="0"/>
    <s v="P2"/>
    <n v="8"/>
    <n v="29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RINGUE"/>
    <s v="MAK_0136"/>
    <x v="0"/>
    <s v="P3"/>
    <n v="3"/>
    <n v="1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SERO 1"/>
    <s v="MAK_0182"/>
    <x v="0"/>
    <s v="P3"/>
    <n v="26"/>
    <n v="17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SERO 1"/>
    <s v="MAK_0182"/>
    <x v="0"/>
    <s v="P5"/>
    <n v="8"/>
    <n v="3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SOULFA"/>
    <s v="MAK_0097"/>
    <x v="0"/>
    <s v="P2"/>
    <n v="5"/>
    <n v="3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SOULFA"/>
    <s v="MAK_0097"/>
    <x v="0"/>
    <s v="P3"/>
    <n v="4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SOULFA"/>
    <s v="MAK_0097"/>
    <x v="0"/>
    <s v="P4"/>
    <n v="8"/>
    <n v="3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SOULFA"/>
    <s v="MAK_0097"/>
    <x v="0"/>
    <s v="P5"/>
    <n v="2"/>
    <n v="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SOUNGOURA 1"/>
    <s v="MAK_0183"/>
    <x v="0"/>
    <s v="P4"/>
    <n v="8"/>
    <n v="6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SOUNGOURA 1"/>
    <s v="MAK_0183"/>
    <x v="0"/>
    <s v="P5"/>
    <n v="8"/>
    <n v="4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SOURDJIE"/>
    <s v="MAK_0218"/>
    <x v="0"/>
    <s v="P5"/>
    <n v="35"/>
    <n v="13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CHABOUTE"/>
    <s v="MAK_0219"/>
    <x v="0"/>
    <s v="P3"/>
    <n v="7"/>
    <n v="4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CAMP"/>
    <s v="MAK_0139"/>
    <x v="0"/>
    <s v="P3"/>
    <n v="80"/>
    <n v="37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CAMP"/>
    <s v="MAK_0139"/>
    <x v="0"/>
    <s v="P4"/>
    <n v="8"/>
    <n v="4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CAMP"/>
    <s v="MAK_0139"/>
    <x v="0"/>
    <s v="P5"/>
    <n v="7"/>
    <n v="4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ECOLE"/>
    <s v="MAK_0098"/>
    <x v="0"/>
    <s v="P3"/>
    <n v="23"/>
    <n v="25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ECOLE"/>
    <s v="MAK_0098"/>
    <x v="0"/>
    <s v="P4"/>
    <n v="19"/>
    <n v="12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ECOLE"/>
    <s v="MAK_0098"/>
    <x v="0"/>
    <s v="P5"/>
    <n v="8"/>
    <n v="3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ECOLE"/>
    <s v="MAK_0098"/>
    <x v="0"/>
    <s v="P6"/>
    <n v="11"/>
    <n v="4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PONT"/>
    <s v="MAK_0099"/>
    <x v="0"/>
    <s v="P2"/>
    <n v="16"/>
    <n v="26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PONT"/>
    <s v="MAK_0099"/>
    <x v="0"/>
    <s v="P3"/>
    <n v="4"/>
    <n v="5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PONT"/>
    <s v="MAK_0099"/>
    <x v="0"/>
    <s v="P4"/>
    <n v="7"/>
    <n v="8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PONT"/>
    <s v="MAK_0099"/>
    <x v="0"/>
    <s v="P5"/>
    <n v="32"/>
    <n v="9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REBOULO 1"/>
    <s v="MAK_0220"/>
    <x v="0"/>
    <s v="P5"/>
    <n v="32"/>
    <n v="16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REBOULO 2"/>
    <s v="MAK_0221"/>
    <x v="0"/>
    <s v="P5"/>
    <n v="36"/>
    <n v="10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WACHAMO"/>
    <s v="MAK_0100"/>
    <x v="0"/>
    <s v="P3"/>
    <n v="13"/>
    <n v="73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WACHAMO"/>
    <s v="MAK_0100"/>
    <x v="0"/>
    <s v="P4"/>
    <n v="1"/>
    <n v="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WACHAMO"/>
    <s v="MAK_0100"/>
    <x v="0"/>
    <s v="P5"/>
    <n v="9"/>
    <n v="54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WERENGOULMO"/>
    <s v="MAK_0179"/>
    <x v="0"/>
    <s v="P3"/>
    <n v="25"/>
    <n v="21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WOSSO"/>
    <s v="MAK_0101"/>
    <x v="0"/>
    <s v="P2"/>
    <n v="4"/>
    <n v="2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WOSSO"/>
    <s v="MAK_0101"/>
    <x v="0"/>
    <s v="P3"/>
    <n v="5"/>
    <n v="2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WOSSO"/>
    <s v="MAK_0101"/>
    <x v="0"/>
    <s v="P4"/>
    <n v="4"/>
    <n v="2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WOULKI"/>
    <s v="MAK_0140"/>
    <x v="0"/>
    <s v="P3"/>
    <n v="7"/>
    <n v="6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WOULKIOKALE"/>
    <s v="MAK_0102"/>
    <x v="0"/>
    <s v="P3"/>
    <n v="15"/>
    <n v="9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ZAMAN"/>
    <s v="MAK_0103"/>
    <x v="0"/>
    <s v="P3"/>
    <n v="7"/>
    <n v="3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ZAMAN"/>
    <s v="MAK_0103"/>
    <x v="0"/>
    <s v="P4"/>
    <n v="3"/>
    <n v="6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ZAMAN"/>
    <s v="MAK_0103"/>
    <x v="0"/>
    <s v="P5"/>
    <n v="2"/>
    <n v="1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3"/>
    <s v="CMR004002001"/>
    <s v="ARDEBE"/>
    <s v="WAZ_0001"/>
    <x v="0"/>
    <s v="P2"/>
    <n v="5"/>
    <n v="20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DJINGUI"/>
    <s v="WAZ_0020"/>
    <x v="0"/>
    <s v="P6"/>
    <n v="37"/>
    <n v="310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GOZOLNANE"/>
    <s v="WAZ_0002"/>
    <x v="0"/>
    <s v="P4"/>
    <n v="6"/>
    <n v="20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KABE 2"/>
    <s v="WAZ_0004"/>
    <x v="0"/>
    <s v="P3"/>
    <n v="4"/>
    <n v="13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KABE 2"/>
    <s v="WAZ_0004"/>
    <x v="0"/>
    <s v="P4"/>
    <n v="6"/>
    <n v="31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MATKOUNA 1"/>
    <s v="WAZ_0026"/>
    <x v="0"/>
    <s v="P3"/>
    <n v="7"/>
    <n v="87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1"/>
    <s v="WAZ_0009"/>
    <x v="0"/>
    <s v="P3"/>
    <n v="3"/>
    <n v="16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2"/>
    <s v="WAZ_0010"/>
    <x v="0"/>
    <s v="P2"/>
    <n v="5"/>
    <n v="36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3"/>
    <s v="WAZ_0011"/>
    <x v="0"/>
    <s v="P3"/>
    <n v="12"/>
    <n v="90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4"/>
    <s v="WAZ_0012"/>
    <x v="0"/>
    <s v="P2"/>
    <n v="2"/>
    <n v="17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4"/>
    <s v="WAZ_0012"/>
    <x v="0"/>
    <s v="P3"/>
    <n v="9"/>
    <n v="49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4"/>
    <s v="WAZ_0012"/>
    <x v="0"/>
    <s v="P5"/>
    <n v="1"/>
    <n v="2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OUNGA"/>
    <s v="WAZ_0030"/>
    <x v="0"/>
    <s v="P3"/>
    <n v="3"/>
    <n v="16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WAZA"/>
    <s v="WAZ_0013"/>
    <x v="0"/>
    <s v="P3"/>
    <n v="97"/>
    <n v="490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WAZA"/>
    <s v="WAZ_0013"/>
    <x v="0"/>
    <s v="P4"/>
    <n v="138"/>
    <n v="725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WAZA"/>
    <s v="WAZ_0013"/>
    <x v="0"/>
    <s v="P5"/>
    <n v="183"/>
    <n v="936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WERA"/>
    <s v="WAZ_0032"/>
    <x v="0"/>
    <s v="P6"/>
    <n v="58"/>
    <n v="483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ZIGAGUE"/>
    <s v="WAZ_0014"/>
    <x v="0"/>
    <s v="P2"/>
    <n v="21"/>
    <n v="122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ZIGAGUE"/>
    <s v="WAZ_0014"/>
    <x v="0"/>
    <s v="P3"/>
    <n v="22"/>
    <n v="124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ZIGAGUE"/>
    <s v="WAZ_0014"/>
    <x v="0"/>
    <s v="P4"/>
    <n v="14"/>
    <n v="92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ZOLZALE"/>
    <s v="WAZ_0019"/>
    <x v="0"/>
    <s v="P5"/>
    <n v="3"/>
    <n v="29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4"/>
    <s v="CMR004002005"/>
    <s v="ALVAKAI"/>
    <s v="ZIN_0001"/>
    <x v="0"/>
    <s v="P4"/>
    <n v="33"/>
    <n v="171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ARAINABA"/>
    <s v="ZIN_0002"/>
    <x v="0"/>
    <s v="P4"/>
    <n v="103"/>
    <n v="595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BALGUE 1"/>
    <s v="ZIN_0003"/>
    <x v="0"/>
    <s v="P4"/>
    <n v="41"/>
    <n v="208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GALA"/>
    <s v="ZIN_0004"/>
    <x v="0"/>
    <s v="P4"/>
    <n v="91"/>
    <n v="459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MALAZINA"/>
    <s v="ZIN_0005"/>
    <x v="0"/>
    <s v="P4"/>
    <n v="102"/>
    <n v="520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MANKA"/>
    <s v="ZIN_0006"/>
    <x v="0"/>
    <s v="P4"/>
    <n v="89"/>
    <n v="455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MARGOUE"/>
    <s v="ZIN_0007"/>
    <x v="0"/>
    <s v="P4"/>
    <n v="90"/>
    <n v="460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NGODENI"/>
    <s v="ZIN_0009"/>
    <x v="0"/>
    <s v="P4"/>
    <n v="99"/>
    <n v="505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PATMANGAI"/>
    <s v="ZIN_0010"/>
    <x v="0"/>
    <s v="P4"/>
    <n v="95"/>
    <n v="480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ZILIM 2"/>
    <s v="ZIN_0011"/>
    <x v="0"/>
    <s v="P4"/>
    <n v="72"/>
    <n v="389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2"/>
    <s v="CMR004003"/>
    <x v="15"/>
    <s v="CMR004003011"/>
    <s v="BASTEBE"/>
    <s v="GOB_0001"/>
    <x v="0"/>
    <s v="P1"/>
    <n v="10"/>
    <n v="62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BASTEBE"/>
    <s v="GOB_0001"/>
    <x v="0"/>
    <s v="P5"/>
    <n v="34"/>
    <n v="251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DABANA"/>
    <s v="GOB_0002"/>
    <x v="0"/>
    <s v="P1"/>
    <n v="9"/>
    <n v="40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DABANA"/>
    <s v="GOB_0002"/>
    <x v="0"/>
    <s v="P2"/>
    <n v="4"/>
    <n v="27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DABANA"/>
    <s v="GOB_0002"/>
    <x v="0"/>
    <s v="P5"/>
    <n v="18"/>
    <n v="86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DJELME"/>
    <s v="GOB_0003"/>
    <x v="0"/>
    <s v="P1"/>
    <n v="18"/>
    <n v="104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1"/>
    <s v="GOB_0006"/>
    <x v="0"/>
    <s v="P1"/>
    <n v="18"/>
    <n v="112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1"/>
    <s v="GOB_0006"/>
    <x v="0"/>
    <s v="P4"/>
    <n v="4"/>
    <n v="32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1"/>
    <s v="GOB_0006"/>
    <x v="0"/>
    <s v="P5"/>
    <n v="15"/>
    <n v="52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2"/>
    <s v="GOB_0005"/>
    <x v="0"/>
    <s v="P1"/>
    <n v="12"/>
    <n v="99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2"/>
    <s v="GOB_0005"/>
    <x v="0"/>
    <s v="P2"/>
    <n v="8"/>
    <n v="29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2"/>
    <s v="GOB_0005"/>
    <x v="0"/>
    <s v="P4"/>
    <n v="6"/>
    <n v="50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2"/>
    <s v="GOB_0005"/>
    <x v="0"/>
    <s v="P5"/>
    <n v="25"/>
    <n v="146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MASSA IKA"/>
    <s v="GOB_0007"/>
    <x v="0"/>
    <s v="P1"/>
    <n v="19"/>
    <n v="114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MASSA IKA"/>
    <s v="GOB_0007"/>
    <x v="0"/>
    <s v="P4"/>
    <n v="5"/>
    <n v="38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MASSA IKA"/>
    <s v="GOB_0007"/>
    <x v="0"/>
    <s v="P5"/>
    <n v="2"/>
    <n v="12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MASSA KOUTWERTA"/>
    <s v="GOB_0008"/>
    <x v="0"/>
    <s v="P1"/>
    <n v="19"/>
    <n v="129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MASSA KOUTWERTA"/>
    <s v="GOB_0008"/>
    <x v="0"/>
    <s v="P5"/>
    <n v="9"/>
    <n v="43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NAYEGUISSIA"/>
    <s v="GOB_0009"/>
    <x v="0"/>
    <s v="P1"/>
    <n v="12"/>
    <n v="73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NAYEGUISSIA"/>
    <s v="GOB_0009"/>
    <x v="0"/>
    <s v="P4"/>
    <n v="2"/>
    <n v="7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NAYEGUISSIA"/>
    <s v="GOB_0009"/>
    <x v="0"/>
    <s v="P5"/>
    <n v="3"/>
    <n v="17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6"/>
    <s v="CMR004003006"/>
    <s v="BANGALA"/>
    <s v="GUM_0001"/>
    <x v="0"/>
    <s v="P1"/>
    <n v="35"/>
    <n v="280"/>
    <s v="inondations et desastres naturels"/>
    <s v=""/>
    <s v="meme_arrondissement"/>
    <s v="CMR"/>
    <s v="Cameroon"/>
    <s v="CMR004"/>
    <s v="Extrême-Nord"/>
    <s v="CMR004003"/>
    <s v="Mayo-Danay"/>
    <s v="CMR004003006"/>
    <s v="Gueme"/>
  </r>
  <r>
    <s v="Extrême-Nord"/>
    <s v="CMR004"/>
    <x v="2"/>
    <s v="CMR004003"/>
    <x v="16"/>
    <s v="CMR004003006"/>
    <s v="GUEME"/>
    <s v="GUM_0003"/>
    <x v="0"/>
    <s v="P1"/>
    <n v="40"/>
    <n v="420"/>
    <s v="inondations et desastres naturels"/>
    <s v=""/>
    <s v="meme_arrondissement"/>
    <s v="CMR"/>
    <s v="Cameroon"/>
    <s v="CMR004"/>
    <s v="Extrême-Nord"/>
    <s v="CMR004003"/>
    <s v="Mayo-Danay"/>
    <s v="CMR004003006"/>
    <s v="Gueme"/>
  </r>
  <r>
    <s v="Extrême-Nord"/>
    <s v="CMR004"/>
    <x v="2"/>
    <s v="CMR004003"/>
    <x v="16"/>
    <s v="CMR004003006"/>
    <s v="KARTOUA"/>
    <s v="GUM_0004"/>
    <x v="0"/>
    <s v="P1"/>
    <n v="50"/>
    <n v="320"/>
    <s v="inondations et desastres naturels"/>
    <s v=""/>
    <s v="meme_arrondissement"/>
    <s v="CMR"/>
    <s v="Cameroon"/>
    <s v="CMR004"/>
    <s v="Extrême-Nord"/>
    <s v="CMR004003"/>
    <s v="Mayo-Danay"/>
    <s v="CMR004003006"/>
    <s v="Gueme"/>
  </r>
  <r>
    <s v="Extrême-Nord"/>
    <s v="CMR004"/>
    <x v="2"/>
    <s v="CMR004003"/>
    <x v="16"/>
    <s v="CMR004003006"/>
    <s v="KARTOUA"/>
    <s v="GUM_0004"/>
    <x v="0"/>
    <s v="P3"/>
    <n v="6"/>
    <n v="50"/>
    <s v="inondations et desastres naturels"/>
    <s v=""/>
    <s v="meme_arrondissement"/>
    <s v="CMR"/>
    <s v="Cameroon"/>
    <s v="CMR004"/>
    <s v="Extrême-Nord"/>
    <s v="CMR004003"/>
    <s v="Mayo-Danay"/>
    <s v="CMR004003006"/>
    <s v="Gueme"/>
  </r>
  <r>
    <s v="Extrême-Nord"/>
    <s v="CMR004"/>
    <x v="2"/>
    <s v="CMR004003"/>
    <x v="16"/>
    <s v="CMR004003006"/>
    <s v="VELE"/>
    <s v="GUM_0005"/>
    <x v="0"/>
    <s v="P1"/>
    <n v="100"/>
    <n v="500"/>
    <s v="inondations et desastres naturels"/>
    <s v=""/>
    <s v="meme_arrondissement"/>
    <s v="CMR"/>
    <s v="Cameroon"/>
    <s v="CMR004"/>
    <s v="Extrême-Nord"/>
    <s v="CMR004003"/>
    <s v="Mayo-Danay"/>
    <s v="CMR004003006"/>
    <s v="Gueme"/>
  </r>
  <r>
    <s v="Extrême-Nord"/>
    <s v="CMR004"/>
    <x v="2"/>
    <s v="CMR004003"/>
    <x v="16"/>
    <s v="CMR004003006"/>
    <s v="VOUNALOUM"/>
    <s v="GUM_0006"/>
    <x v="0"/>
    <s v="P1"/>
    <n v="6"/>
    <n v="48"/>
    <s v="inondations et desastres naturels"/>
    <s v=""/>
    <s v="meme_arrondissement"/>
    <s v="CMR"/>
    <s v="Cameroon"/>
    <s v="CMR004"/>
    <s v="Extrême-Nord"/>
    <s v="CMR004003"/>
    <s v="Mayo-Danay"/>
    <s v="CMR004003006"/>
    <s v="Gueme"/>
  </r>
  <r>
    <s v="Extrême-Nord"/>
    <s v="CMR004"/>
    <x v="2"/>
    <s v="CMR004003"/>
    <x v="17"/>
    <s v="CMR004003010"/>
    <s v="MOUKA"/>
    <s v="GUR_0004"/>
    <x v="0"/>
    <s v="P1"/>
    <n v="7"/>
    <n v="33"/>
    <s v="inondations et desastres naturels"/>
    <s v=""/>
    <s v="meme_arrondissement"/>
    <s v="CMR"/>
    <s v="Cameroon"/>
    <s v="CMR004"/>
    <s v="Extrême-Nord"/>
    <s v="CMR004003"/>
    <s v="Mayo-Danay"/>
    <s v="CMR004003010"/>
    <s v="Guere"/>
  </r>
  <r>
    <s v="Extrême-Nord"/>
    <s v="CMR004"/>
    <x v="2"/>
    <s v="CMR004003"/>
    <x v="18"/>
    <s v="CMR004003001"/>
    <s v="BARKAYA"/>
    <s v="KAI_0002"/>
    <x v="0"/>
    <s v="P1"/>
    <n v="14"/>
    <n v="78"/>
    <s v="inondations et desastres naturels"/>
    <s v=""/>
    <s v="meme_arrondissement"/>
    <s v="CMR"/>
    <s v="Cameroon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BARKAYA"/>
    <s v="KAI_0002"/>
    <x v="0"/>
    <s v="P2"/>
    <n v="1"/>
    <n v="4"/>
    <s v="inondations et desastres naturels"/>
    <s v=""/>
    <s v="meme_arrondissement"/>
    <s v="CMR"/>
    <s v="Cameroon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DOUGUOUI"/>
    <s v="KAI_0004"/>
    <x v="0"/>
    <s v="P2"/>
    <n v="27"/>
    <n v="185"/>
    <s v="inondations et desastres naturels"/>
    <s v=""/>
    <s v="meme_arrondissement"/>
    <s v="CMR"/>
    <s v="Cameroon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KAIKAI"/>
    <s v="KAI_0005"/>
    <x v="0"/>
    <s v="P1"/>
    <n v="33"/>
    <n v="198"/>
    <s v="inondations et desastres naturels"/>
    <s v=""/>
    <s v="meme_arrondissement"/>
    <s v="CMR"/>
    <s v="Cameroon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KAIKAI"/>
    <s v="KAI_0005"/>
    <x v="0"/>
    <s v="P3"/>
    <n v="8"/>
    <n v="48"/>
    <s v="inondations et desastres naturels"/>
    <s v=""/>
    <s v="meme_arrondissement"/>
    <s v="CMR"/>
    <s v="Cameroon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KAIKAI"/>
    <s v="KAI_0005"/>
    <x v="0"/>
    <s v="P5"/>
    <n v="1"/>
    <n v="8"/>
    <s v="inondations et desastres naturels"/>
    <s v=""/>
    <s v="meme_arrondissement"/>
    <s v="CMR"/>
    <s v="Cameroon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LOUGOYE KAMASSE"/>
    <s v="KAI_0007"/>
    <x v="0"/>
    <s v="P1"/>
    <n v="2"/>
    <n v="15"/>
    <s v="inondations et desastres naturels"/>
    <s v=""/>
    <s v="meme_arrondissement"/>
    <s v="CMR"/>
    <s v="Cameroon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MBOUKTANG"/>
    <s v="KAI_0008"/>
    <x v="0"/>
    <s v="P1"/>
    <n v="6"/>
    <n v="38"/>
    <s v="inondations et desastres naturels"/>
    <s v=""/>
    <s v="meme_arrondissement"/>
    <s v="CMR"/>
    <s v="Cameroon"/>
    <s v="CMR004"/>
    <s v="Extrême-Nord"/>
    <s v="CMR004003"/>
    <s v="Mayo-Danay"/>
    <s v="CMR004003001"/>
    <s v="Kai-Kai"/>
  </r>
  <r>
    <s v="Extrême-Nord"/>
    <s v="CMR004"/>
    <x v="2"/>
    <s v="CMR004003"/>
    <x v="19"/>
    <s v="CMR004003002"/>
    <s v="FARAOULOU"/>
    <s v="MAG_0001"/>
    <x v="0"/>
    <s v="P1"/>
    <n v="36"/>
    <n v="190"/>
    <s v="inondations et desastres naturels"/>
    <s v=""/>
    <s v="meme_arrondissement"/>
    <s v="CMR"/>
    <s v="Cameroon"/>
    <s v="CMR004"/>
    <s v="Extrême-Nord"/>
    <s v="CMR004003"/>
    <s v="Mayo-Danay"/>
    <s v="CMR004003002"/>
    <s v="Maga"/>
  </r>
  <r>
    <s v="Extrême-Nord"/>
    <s v="CMR004"/>
    <x v="2"/>
    <s v="CMR004003"/>
    <x v="19"/>
    <s v="CMR004003002"/>
    <s v="GAGRAI"/>
    <s v="MAG_0002"/>
    <x v="0"/>
    <s v="P1"/>
    <n v="102"/>
    <n v="1528"/>
    <s v="inondations et desastres naturels"/>
    <s v=""/>
    <s v="meme_arrondissement"/>
    <s v="CMR"/>
    <s v="Cameroon"/>
    <s v="CMR004"/>
    <s v="Extrême-Nord"/>
    <s v="CMR004003"/>
    <s v="Mayo-Danay"/>
    <s v="CMR004003002"/>
    <s v="Maga"/>
  </r>
  <r>
    <s v="Extrême-Nord"/>
    <s v="CMR004"/>
    <x v="2"/>
    <s v="CMR004003"/>
    <x v="19"/>
    <s v="CMR004003002"/>
    <s v="GUIRVIDIG"/>
    <s v="MAG_0003"/>
    <x v="0"/>
    <s v="P2"/>
    <n v="68"/>
    <n v="578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3"/>
    <x v="19"/>
    <s v="CMR004003002"/>
    <s v="MAHAOUROU"/>
    <s v="MAG_0004"/>
    <x v="0"/>
    <s v="P1"/>
    <n v="52"/>
    <n v="364"/>
    <s v="inondations et desastres naturels"/>
    <s v=""/>
    <s v="meme_arrondissement"/>
    <s v="CMR"/>
    <s v="Cameroon"/>
    <s v="CMR004"/>
    <s v="Extrême-Nord"/>
    <s v="CMR004003"/>
    <s v="Mayo-Danay"/>
    <s v="CMR004003002"/>
    <s v="Maga"/>
  </r>
  <r>
    <s v="Extrême-Nord"/>
    <s v="CMR004"/>
    <x v="2"/>
    <s v="CMR004003"/>
    <x v="19"/>
    <s v="CMR004003002"/>
    <s v="POUSS"/>
    <s v="MAG_0005"/>
    <x v="0"/>
    <s v="P1"/>
    <n v="324"/>
    <n v="2417"/>
    <s v="inondations et desastres naturels"/>
    <s v=""/>
    <s v="meme_arrondissement"/>
    <s v="CMR"/>
    <s v="Cameroon"/>
    <s v="CMR004"/>
    <s v="Extrême-Nord"/>
    <s v="CMR004003"/>
    <s v="Mayo-Danay"/>
    <s v="CMR004003002"/>
    <s v="Maga"/>
  </r>
  <r>
    <s v="Extrême-Nord"/>
    <s v="CMR004"/>
    <x v="2"/>
    <s v="CMR004003"/>
    <x v="19"/>
    <s v="CMR004003002"/>
    <s v="TEKELE"/>
    <s v="MAG_0006"/>
    <x v="0"/>
    <s v="P1"/>
    <n v="33"/>
    <n v="179"/>
    <s v="inondations et desastres naturels"/>
    <s v=""/>
    <s v="meme_arrondissement"/>
    <s v="CMR"/>
    <s v="Cameroon"/>
    <s v="CMR004"/>
    <s v="Extrême-Nord"/>
    <s v="CMR004003"/>
    <s v="Mayo-Danay"/>
    <s v="CMR004003002"/>
    <s v="Maga"/>
  </r>
  <r>
    <s v="Extrême-Nord"/>
    <s v="CMR004"/>
    <x v="2"/>
    <s v="CMR004003"/>
    <x v="20"/>
    <s v="CMR004003009"/>
    <s v="DANA"/>
    <s v="YAG_0001"/>
    <x v="0"/>
    <s v="P2"/>
    <n v="101"/>
    <n v="281"/>
    <s v="inondations et desastres naturels"/>
    <s v=""/>
    <s v="autre_arrondissement"/>
    <s v="CMR"/>
    <s v="Cameroon"/>
    <s v="CMR004"/>
    <s v="Extrême-Nord"/>
    <s v="CMR004003"/>
    <s v="Mayo-Danay"/>
    <s v="CMR004003002"/>
    <s v="Maga"/>
  </r>
  <r>
    <s v="Extrême-Nord"/>
    <s v="CMR004"/>
    <x v="2"/>
    <s v="CMR004003"/>
    <x v="20"/>
    <s v="CMR004003009"/>
    <s v="DANA"/>
    <s v="YAG_0001"/>
    <x v="0"/>
    <s v="P3"/>
    <n v="53"/>
    <n v="212"/>
    <s v="inondations et desastres naturels"/>
    <s v=""/>
    <s v="autre_arrondissement"/>
    <s v="CMR"/>
    <s v="Cameroon"/>
    <s v="CMR004"/>
    <s v="Extrême-Nord"/>
    <s v="CMR004003"/>
    <s v="Mayo-Danay"/>
    <s v="CMR004003002"/>
    <s v="Maga"/>
  </r>
  <r>
    <s v="Extrême-Nord"/>
    <s v="CMR004"/>
    <x v="2"/>
    <s v="CMR004003"/>
    <x v="20"/>
    <s v="CMR004003009"/>
    <s v="DANA"/>
    <s v="YAG_0001"/>
    <x v="0"/>
    <s v="P4"/>
    <n v="23"/>
    <n v="138"/>
    <s v="inondations et desastres naturels"/>
    <s v=""/>
    <s v="autre_arrondissement"/>
    <s v="CMR"/>
    <s v="Cameroon"/>
    <s v="CMR004"/>
    <s v="Extrême-Nord"/>
    <s v="CMR004003"/>
    <s v="Mayo-Danay"/>
    <s v="CMR004003002"/>
    <s v="Maga"/>
  </r>
  <r>
    <s v="Extrême-Nord"/>
    <s v="CMR004"/>
    <x v="2"/>
    <s v="CMR004003"/>
    <x v="20"/>
    <s v="CMR004003009"/>
    <s v="DANA"/>
    <s v="YAG_0001"/>
    <x v="0"/>
    <s v="P5"/>
    <n v="85"/>
    <n v="569"/>
    <s v="inondations et desastres naturels"/>
    <s v=""/>
    <s v="meme_arrondissement"/>
    <s v="CMR"/>
    <s v="Cameroon"/>
    <s v="CMR004"/>
    <s v="Extrême-Nord"/>
    <s v="CMR004003"/>
    <s v="Mayo-Danay"/>
    <s v="CMR004003009"/>
    <s v="Yagoua"/>
  </r>
  <r>
    <s v="Extrême-Nord"/>
    <s v="CMR004"/>
    <x v="2"/>
    <s v="CMR004003"/>
    <x v="20"/>
    <s v="CMR004003009"/>
    <s v="DOMO"/>
    <s v="YAG_0002"/>
    <x v="0"/>
    <s v="P1"/>
    <n v="12"/>
    <n v="60"/>
    <s v="inondations et desastres naturels"/>
    <s v=""/>
    <s v="autre_arrondissement"/>
    <s v="CMR"/>
    <s v="Cameroon"/>
    <s v="CMR004"/>
    <s v="Extrême-Nord"/>
    <s v="CMR004003"/>
    <s v="Mayo-Danay"/>
    <s v="CMR004003010"/>
    <s v="Guere"/>
  </r>
  <r>
    <s v="Extrême-Nord"/>
    <s v="CMR004"/>
    <x v="2"/>
    <s v="CMR004003"/>
    <x v="20"/>
    <s v="CMR004003009"/>
    <s v="MOURI"/>
    <s v="YAG_0003"/>
    <x v="0"/>
    <s v="P1"/>
    <n v="10"/>
    <n v="50"/>
    <s v="inondations et desastres naturels"/>
    <s v=""/>
    <s v="meme_arrondissement"/>
    <s v="CMR"/>
    <s v="Cameroon"/>
    <s v="CMR004"/>
    <s v="Extrême-Nord"/>
    <s v="CMR004003"/>
    <s v="Mayo-Danay"/>
    <s v="CMR004003009"/>
    <s v="Yagoua"/>
  </r>
  <r>
    <s v="Extrême-Nord"/>
    <s v="CMR004"/>
    <x v="3"/>
    <s v="CMR004004"/>
    <x v="21"/>
    <s v="CMR004004006"/>
    <s v="DJIDOMA"/>
    <s v="KAE_0006"/>
    <x v="0"/>
    <s v="P2"/>
    <n v="2"/>
    <n v="18"/>
    <s v="Conflits EIAO"/>
    <s v=""/>
    <s v="meme_arrondissement"/>
    <s v="CMR"/>
    <s v="Cameroon"/>
    <s v="CMR004"/>
    <s v="Extrême-Nord"/>
    <s v="CMR004004"/>
    <s v="Mayo-Kani"/>
    <s v="CMR004004006"/>
    <s v="Kaele"/>
  </r>
  <r>
    <s v="Extrême-Nord"/>
    <s v="CMR004"/>
    <x v="3"/>
    <s v="CMR004004"/>
    <x v="21"/>
    <s v="CMR004004006"/>
    <s v="KAELE"/>
    <s v="KAE_0003"/>
    <x v="0"/>
    <s v="P1"/>
    <n v="1"/>
    <n v="9"/>
    <s v="Conflits EIAO"/>
    <s v=""/>
    <s v="meme_arrondissement"/>
    <s v="CMR"/>
    <s v="Cameroon"/>
    <s v="CMR004"/>
    <s v="Extrême-Nord"/>
    <s v="CMR004004"/>
    <s v="Mayo-Kani"/>
    <s v="CMR004004006"/>
    <s v="Kaele"/>
  </r>
  <r>
    <s v="Extrême-Nord"/>
    <s v="CMR004"/>
    <x v="3"/>
    <s v="CMR004004"/>
    <x v="21"/>
    <s v="CMR004004006"/>
    <s v="KAELE"/>
    <s v="KAE_0003"/>
    <x v="0"/>
    <s v="P2"/>
    <n v="1"/>
    <n v="6"/>
    <s v="Conflits EIAO"/>
    <s v=""/>
    <s v="meme_arrondissement"/>
    <s v="CMR"/>
    <s v="Cameroon"/>
    <s v="CMR004"/>
    <s v="Extrême-Nord"/>
    <s v="CMR004004"/>
    <s v="Mayo-Kani"/>
    <s v="CMR004004006"/>
    <s v="Kaele"/>
  </r>
  <r>
    <s v="Extrême-Nord"/>
    <s v="CMR004"/>
    <x v="3"/>
    <s v="CMR004004"/>
    <x v="21"/>
    <s v="CMR004004006"/>
    <s v="KAELE"/>
    <s v="KAE_0003"/>
    <x v="0"/>
    <s v="P3"/>
    <n v="4"/>
    <n v="22"/>
    <s v="Conflits EIAO"/>
    <s v=""/>
    <s v="meme_arrondissement"/>
    <s v="CMR"/>
    <s v="Cameroon"/>
    <s v="CMR004"/>
    <s v="Extrême-Nord"/>
    <s v="CMR004004"/>
    <s v="Mayo-Kani"/>
    <s v="CMR004004006"/>
    <s v="Kaele"/>
  </r>
  <r>
    <s v="Extrême-Nord"/>
    <s v="CMR004"/>
    <x v="3"/>
    <s v="CMR004004"/>
    <x v="21"/>
    <s v="CMR004004006"/>
    <s v="LARA"/>
    <s v="KAE_0007"/>
    <x v="0"/>
    <s v="P1"/>
    <n v="1"/>
    <n v="8"/>
    <s v="Conflits EIAO"/>
    <s v=""/>
    <s v="meme_arrondissement"/>
    <s v="CMR"/>
    <s v="Cameroon"/>
    <s v="CMR004"/>
    <s v="Extrême-Nord"/>
    <s v="CMR004004"/>
    <s v="Mayo-Kani"/>
    <s v="CMR004004006"/>
    <s v="Kaele"/>
  </r>
  <r>
    <s v="Extrême-Nord"/>
    <s v="CMR004"/>
    <x v="3"/>
    <s v="CMR004004"/>
    <x v="21"/>
    <s v="CMR004004006"/>
    <s v="LARA"/>
    <s v="KAE_0007"/>
    <x v="0"/>
    <s v="P2"/>
    <n v="3"/>
    <n v="14"/>
    <s v="Conflits EIAO"/>
    <s v=""/>
    <s v="meme_arrondissement"/>
    <s v="CMR"/>
    <s v="Cameroon"/>
    <s v="CMR004"/>
    <s v="Extrême-Nord"/>
    <s v="CMR004004"/>
    <s v="Mayo-Kani"/>
    <s v="CMR004004006"/>
    <s v="Kaele"/>
  </r>
  <r>
    <s v="Extrême-Nord"/>
    <s v="CMR004"/>
    <x v="3"/>
    <s v="CMR004004"/>
    <x v="22"/>
    <s v="CMR004004005"/>
    <s v="MOUDA"/>
    <s v="MOT_0002"/>
    <x v="0"/>
    <s v="P2"/>
    <n v="1"/>
    <n v="8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4"/>
    <x v="22"/>
    <s v="CMR004004005"/>
    <s v="MOUDA"/>
    <s v="MOT_0002"/>
    <x v="0"/>
    <s v="P3"/>
    <n v="2"/>
    <n v="8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4"/>
    <x v="22"/>
    <s v="CMR004004005"/>
    <s v="MOUTOUROUA ROOM"/>
    <s v="MOT_0003"/>
    <x v="0"/>
    <s v="P2"/>
    <n v="3"/>
    <n v="14"/>
    <s v="Conflits EIAO"/>
    <s v=""/>
    <s v="autre_departement"/>
    <s v="CMR"/>
    <s v="Cameroon"/>
    <s v="CMR004"/>
    <s v="Extrême-Nord"/>
    <s v="CMR004002"/>
    <s v="Logone-Et-Chari"/>
    <s v="CMR004002001"/>
    <s v="Waza"/>
  </r>
  <r>
    <s v="Extrême-Nord"/>
    <s v="CMR004"/>
    <x v="3"/>
    <s v="CMR004004"/>
    <x v="22"/>
    <s v="CMR004004005"/>
    <s v="MOUTOUROUA ROOM"/>
    <s v="MOT_0003"/>
    <x v="0"/>
    <s v="P3"/>
    <n v="1"/>
    <n v="22"/>
    <s v="Conflits EIAO"/>
    <s v=""/>
    <s v="autre_departement"/>
    <s v="CMR"/>
    <s v="Cameroon"/>
    <s v="CMR004"/>
    <s v="Extrême-Nord"/>
    <s v="CMR004002"/>
    <s v="Logone-Et-Chari"/>
    <s v="CMR004002008"/>
    <s v="Fotokol"/>
  </r>
  <r>
    <s v="Extrême-Nord"/>
    <s v="CMR004"/>
    <x v="4"/>
    <s v="CMR004005"/>
    <x v="23"/>
    <s v="CMR004005001"/>
    <s v="AMCHIDE"/>
    <s v="KOL_0001"/>
    <x v="0"/>
    <s v="P3"/>
    <n v="292"/>
    <n v="2095"/>
    <s v="inondations et desastres naturels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AMCHIDE"/>
    <s v="KOL_0001"/>
    <x v="0"/>
    <s v="P4"/>
    <n v="131"/>
    <n v="90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AMCHIDE"/>
    <s v="KOL_0001"/>
    <x v="0"/>
    <s v="P5"/>
    <n v="143"/>
    <n v="88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GOUZOUDOU"/>
    <s v="KOL_0030"/>
    <x v="0"/>
    <s v="P2"/>
    <n v="23"/>
    <n v="182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ERAWA"/>
    <s v="KOL_0019"/>
    <x v="0"/>
    <s v="P2"/>
    <n v="137"/>
    <n v="1096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ERAWA"/>
    <s v="KOL_0019"/>
    <x v="0"/>
    <s v="P3"/>
    <n v="186"/>
    <n v="1488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ERAWA"/>
    <s v="KOL_0019"/>
    <x v="0"/>
    <s v="P4"/>
    <n v="8"/>
    <n v="64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ERAWA"/>
    <s v="KOL_0019"/>
    <x v="0"/>
    <s v="P5"/>
    <n v="248"/>
    <n v="1976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OLOFATA"/>
    <s v="KOL_0006"/>
    <x v="0"/>
    <s v="P2"/>
    <n v="76"/>
    <n v="427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OLOFATA"/>
    <s v="KOL_0006"/>
    <x v="0"/>
    <s v="P3"/>
    <n v="527"/>
    <n v="2876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OLOFATA"/>
    <s v="KOL_0006"/>
    <x v="0"/>
    <s v="P4"/>
    <n v="211"/>
    <n v="1497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OLOFATA"/>
    <s v="KOL_0006"/>
    <x v="0"/>
    <s v="P5"/>
    <n v="147"/>
    <n v="1027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AMTCHALIE"/>
    <s v="MOR_0001"/>
    <x v="0"/>
    <s v="P1"/>
    <n v="39"/>
    <n v="16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AMTCHALIE"/>
    <s v="MOR_0001"/>
    <x v="0"/>
    <s v="P2"/>
    <n v="50"/>
    <n v="20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AMTCHALIE"/>
    <s v="MOR_0001"/>
    <x v="0"/>
    <s v="P3"/>
    <n v="44"/>
    <n v="19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AMTCHALIE"/>
    <s v="MOR_0001"/>
    <x v="0"/>
    <s v="P4"/>
    <n v="54"/>
    <n v="27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ALDAMA"/>
    <s v="MOR_0002"/>
    <x v="0"/>
    <s v="P1"/>
    <n v="10"/>
    <n v="5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ALDAMA"/>
    <s v="MOR_0002"/>
    <x v="0"/>
    <s v="P2"/>
    <n v="21"/>
    <n v="8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ALDAMA"/>
    <s v="MOR_0002"/>
    <x v="0"/>
    <s v="P3"/>
    <n v="12"/>
    <n v="5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ALDAMA"/>
    <s v="MOR_0002"/>
    <x v="0"/>
    <s v="P4"/>
    <n v="7"/>
    <n v="6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ONDERI"/>
    <s v="MOR_0034"/>
    <x v="0"/>
    <s v="P3"/>
    <n v="19"/>
    <n v="7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ONDERI"/>
    <s v="MOR_0034"/>
    <x v="0"/>
    <s v="P4"/>
    <n v="37"/>
    <n v="21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ARME"/>
    <s v="MOR_0028"/>
    <x v="0"/>
    <s v="P1"/>
    <n v="9"/>
    <n v="6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ARME"/>
    <s v="MOR_0028"/>
    <x v="0"/>
    <s v="P2"/>
    <n v="13"/>
    <n v="10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ARME"/>
    <s v="MOR_0028"/>
    <x v="0"/>
    <s v="P3"/>
    <n v="12"/>
    <n v="8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ARME"/>
    <s v="MOR_0028"/>
    <x v="0"/>
    <s v="P4"/>
    <n v="14"/>
    <n v="6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ARME"/>
    <s v="MOR_0028"/>
    <x v="0"/>
    <s v="P5"/>
    <n v="11"/>
    <n v="4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OUNDE"/>
    <s v="MOR_0004"/>
    <x v="0"/>
    <s v="P1"/>
    <n v="38"/>
    <n v="12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OUNDE"/>
    <s v="MOR_0004"/>
    <x v="0"/>
    <s v="P2"/>
    <n v="59"/>
    <n v="14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OUNDE"/>
    <s v="MOR_0004"/>
    <x v="0"/>
    <s v="P3"/>
    <n v="89"/>
    <n v="16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OUNDE"/>
    <s v="MOR_0004"/>
    <x v="0"/>
    <s v="P4"/>
    <n v="299"/>
    <n v="117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OUNDE"/>
    <s v="MOR_0004"/>
    <x v="0"/>
    <s v="P5"/>
    <n v="33"/>
    <n v="18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OULO"/>
    <s v="MOR_0005"/>
    <x v="0"/>
    <s v="P1"/>
    <n v="30"/>
    <n v="6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OULO"/>
    <s v="MOR_0005"/>
    <x v="0"/>
    <s v="P2"/>
    <n v="39"/>
    <n v="142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DOULO"/>
    <s v="MOR_0005"/>
    <x v="0"/>
    <s v="P3"/>
    <n v="36"/>
    <n v="99"/>
    <s v="Conflits EIAO"/>
    <s v=""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DOULO"/>
    <s v="MOR_0005"/>
    <x v="0"/>
    <s v="P4"/>
    <n v="13"/>
    <n v="36"/>
    <s v="Conflits EIAO"/>
    <s v=""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DOULO"/>
    <s v="MOR_0005"/>
    <x v="0"/>
    <s v="P5"/>
    <n v="9"/>
    <n v="6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1"/>
    <s v="MOR_0006"/>
    <x v="0"/>
    <s v="P1"/>
    <n v="18"/>
    <n v="6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1"/>
    <s v="MOR_0006"/>
    <x v="0"/>
    <s v="P2"/>
    <n v="29"/>
    <n v="12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1"/>
    <s v="MOR_0006"/>
    <x v="0"/>
    <s v="P3"/>
    <n v="26"/>
    <n v="11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1"/>
    <s v="MOR_0006"/>
    <x v="0"/>
    <s v="P4"/>
    <n v="40"/>
    <n v="21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1"/>
    <s v="MOR_0006"/>
    <x v="0"/>
    <s v="P5"/>
    <n v="6"/>
    <n v="2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2"/>
    <s v="MOR_0007"/>
    <x v="0"/>
    <s v="P1"/>
    <n v="25"/>
    <n v="9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2"/>
    <s v="MOR_0007"/>
    <x v="0"/>
    <s v="P2"/>
    <n v="38"/>
    <n v="15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2"/>
    <s v="MOR_0007"/>
    <x v="0"/>
    <s v="P3"/>
    <n v="27"/>
    <n v="110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FIKE 2"/>
    <s v="MOR_0007"/>
    <x v="0"/>
    <s v="P4"/>
    <n v="32"/>
    <n v="13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2"/>
    <s v="MOR_0007"/>
    <x v="0"/>
    <s v="P5"/>
    <n v="7"/>
    <n v="30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GODIGONG"/>
    <s v="MOR_0008"/>
    <x v="0"/>
    <s v="P1"/>
    <n v="12"/>
    <n v="6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DIGONG"/>
    <s v="MOR_0008"/>
    <x v="0"/>
    <s v="P2"/>
    <n v="19"/>
    <n v="8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DIGONG"/>
    <s v="MOR_0008"/>
    <x v="0"/>
    <s v="P3"/>
    <n v="9"/>
    <n v="4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DIGONG"/>
    <s v="MOR_0008"/>
    <x v="0"/>
    <s v="P4"/>
    <n v="6"/>
    <n v="4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UDJOUMDELE"/>
    <s v="MOR_0037"/>
    <x v="0"/>
    <s v="P2"/>
    <n v="7"/>
    <n v="2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UDJOUMDELE"/>
    <s v="MOR_0037"/>
    <x v="0"/>
    <s v="P3"/>
    <n v="5"/>
    <n v="2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UDJOUMDELE"/>
    <s v="MOR_0037"/>
    <x v="0"/>
    <s v="P4"/>
    <n v="3"/>
    <n v="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UDJOUMDELE"/>
    <s v="MOR_0037"/>
    <x v="0"/>
    <s v="P5"/>
    <n v="6"/>
    <n v="2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1"/>
    <s v="MOR_0010"/>
    <x v="0"/>
    <s v="P1"/>
    <n v="22"/>
    <n v="6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1"/>
    <s v="MOR_0010"/>
    <x v="0"/>
    <s v="P2"/>
    <n v="37"/>
    <n v="10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1"/>
    <s v="MOR_0010"/>
    <x v="0"/>
    <s v="P3"/>
    <n v="27"/>
    <n v="8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1"/>
    <s v="MOR_0010"/>
    <x v="0"/>
    <s v="P4"/>
    <n v="93"/>
    <n v="27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2"/>
    <s v="MOR_0009"/>
    <x v="0"/>
    <s v="P1"/>
    <n v="19"/>
    <n v="9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2"/>
    <s v="MOR_0009"/>
    <x v="0"/>
    <s v="P2"/>
    <n v="25"/>
    <n v="9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2"/>
    <s v="MOR_0009"/>
    <x v="0"/>
    <s v="P3"/>
    <n v="25"/>
    <n v="10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2"/>
    <s v="MOR_0009"/>
    <x v="0"/>
    <s v="P4"/>
    <n v="31"/>
    <n v="17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JAJA"/>
    <s v="MOR_0029"/>
    <x v="0"/>
    <s v="P1"/>
    <n v="59"/>
    <n v="29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JAJA"/>
    <s v="MOR_0029"/>
    <x v="0"/>
    <s v="P2"/>
    <n v="192"/>
    <n v="31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JAJA"/>
    <s v="MOR_0029"/>
    <x v="0"/>
    <s v="P3"/>
    <n v="243"/>
    <n v="49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JAJA"/>
    <s v="MOR_0029"/>
    <x v="0"/>
    <s v="P4"/>
    <n v="174"/>
    <n v="41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SSA"/>
    <s v="MOR_0040"/>
    <x v="0"/>
    <s v="P2"/>
    <n v="412"/>
    <n v="202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SSA"/>
    <s v="MOR_0040"/>
    <x v="0"/>
    <s v="P3"/>
    <n v="719"/>
    <n v="567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SSA"/>
    <s v="MOR_0040"/>
    <x v="0"/>
    <s v="P4"/>
    <n v="525"/>
    <n v="2199"/>
    <s v="Conflits EIAO"/>
    <s v=""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KOSSA"/>
    <s v="MOR_0040"/>
    <x v="0"/>
    <s v="P5"/>
    <n v="60"/>
    <n v="512"/>
    <s v="Conflits EIAO"/>
    <s v=""/>
    <s v="autre_departement"/>
    <s v="CMR"/>
    <s v="Cameroon"/>
    <s v="CMR004"/>
    <s v="Extrême-Nord"/>
    <s v="CMR004002"/>
    <s v="Logone-Et-Chari"/>
    <s v="CMR004002001"/>
    <s v="Waza"/>
  </r>
  <r>
    <s v="Extrême-Nord"/>
    <s v="CMR004"/>
    <x v="4"/>
    <s v="CMR004005"/>
    <x v="24"/>
    <s v="CMR004005002"/>
    <s v="KOURGUI"/>
    <s v="MOR_0011"/>
    <x v="0"/>
    <s v="P1"/>
    <n v="32"/>
    <n v="19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URGUI"/>
    <s v="MOR_0011"/>
    <x v="0"/>
    <s v="P2"/>
    <n v="88"/>
    <n v="43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URGUI"/>
    <s v="MOR_0011"/>
    <x v="0"/>
    <s v="P3"/>
    <n v="78"/>
    <n v="254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KOURGUI"/>
    <s v="MOR_0011"/>
    <x v="0"/>
    <s v="P4"/>
    <n v="347"/>
    <n v="216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URGUI"/>
    <s v="MOR_0011"/>
    <x v="0"/>
    <s v="P5"/>
    <n v="9"/>
    <n v="3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LIMANI"/>
    <s v="MOR_0041"/>
    <x v="0"/>
    <s v="P4"/>
    <n v="2"/>
    <n v="1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GDEME"/>
    <s v="MOR_0042"/>
    <x v="0"/>
    <s v="P2"/>
    <n v="6"/>
    <n v="34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AGDEME"/>
    <s v="MOR_0042"/>
    <x v="0"/>
    <s v="P3"/>
    <n v="15"/>
    <n v="13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GDEME"/>
    <s v="MOR_0042"/>
    <x v="0"/>
    <s v="P4"/>
    <n v="10"/>
    <n v="79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AGDEME"/>
    <s v="MOR_0042"/>
    <x v="0"/>
    <s v="P5"/>
    <n v="32"/>
    <n v="277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AHOULA"/>
    <s v="MOR_0012"/>
    <x v="0"/>
    <s v="P1"/>
    <n v="9"/>
    <n v="4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HOULA"/>
    <s v="MOR_0012"/>
    <x v="0"/>
    <s v="P2"/>
    <n v="19"/>
    <n v="11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HOULA"/>
    <s v="MOR_0012"/>
    <x v="0"/>
    <s v="P3"/>
    <n v="12"/>
    <n v="82"/>
    <s v="Conflits EIAO"/>
    <s v=""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AHOULA"/>
    <s v="MOR_0012"/>
    <x v="0"/>
    <s v="P4"/>
    <n v="8"/>
    <n v="3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1"/>
    <s v="MOR_0014"/>
    <x v="0"/>
    <s v="P1"/>
    <n v="28"/>
    <n v="10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1"/>
    <s v="MOR_0014"/>
    <x v="0"/>
    <s v="P2"/>
    <n v="36"/>
    <n v="12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1"/>
    <s v="MOR_0014"/>
    <x v="0"/>
    <s v="P3"/>
    <n v="34"/>
    <n v="11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1"/>
    <s v="MOR_0014"/>
    <x v="0"/>
    <s v="P4"/>
    <n v="38"/>
    <n v="5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1"/>
    <s v="MOR_0014"/>
    <x v="0"/>
    <s v="P5"/>
    <n v="4"/>
    <n v="1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2"/>
    <s v="MOR_0026"/>
    <x v="0"/>
    <s v="P1"/>
    <n v="27"/>
    <n v="6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2"/>
    <s v="MOR_0026"/>
    <x v="0"/>
    <s v="P2"/>
    <n v="78"/>
    <n v="14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2"/>
    <s v="MOR_0026"/>
    <x v="0"/>
    <s v="P3"/>
    <n v="31"/>
    <n v="7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2"/>
    <s v="MOR_0026"/>
    <x v="0"/>
    <s v="P4"/>
    <n v="43"/>
    <n v="71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ASSARE 2"/>
    <s v="MOR_0026"/>
    <x v="0"/>
    <s v="P5"/>
    <n v="9"/>
    <n v="3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BARMA"/>
    <s v="MOR_0015"/>
    <x v="0"/>
    <s v="P1"/>
    <n v="12"/>
    <n v="10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BARMA"/>
    <s v="MOR_0015"/>
    <x v="0"/>
    <s v="P2"/>
    <n v="19"/>
    <n v="16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BARMA"/>
    <s v="MOR_0015"/>
    <x v="0"/>
    <s v="P3"/>
    <n v="36"/>
    <n v="11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BARMA"/>
    <s v="MOR_0015"/>
    <x v="0"/>
    <s v="P4"/>
    <n v="35"/>
    <n v="12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EME"/>
    <s v="MOR_0016"/>
    <x v="0"/>
    <s v="P1"/>
    <n v="145"/>
    <n v="63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EME"/>
    <s v="MOR_0016"/>
    <x v="0"/>
    <s v="P2"/>
    <n v="190"/>
    <n v="95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EME"/>
    <s v="MOR_0016"/>
    <x v="0"/>
    <s v="P3"/>
    <n v="275"/>
    <n v="146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EME"/>
    <s v="MOR_0016"/>
    <x v="0"/>
    <s v="P4"/>
    <n v="1452"/>
    <n v="1319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EME"/>
    <s v="MOR_0016"/>
    <x v="0"/>
    <s v="P5"/>
    <n v="62"/>
    <n v="29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ORA MASSIF"/>
    <s v="MOR_0017"/>
    <x v="0"/>
    <s v="P1"/>
    <n v="17"/>
    <n v="2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ORA MASSIF"/>
    <s v="MOR_0017"/>
    <x v="0"/>
    <s v="P2"/>
    <n v="15"/>
    <n v="2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ORA MASSIF"/>
    <s v="MOR_0017"/>
    <x v="0"/>
    <s v="P3"/>
    <n v="9"/>
    <n v="2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ORA MASSIF"/>
    <s v="MOR_0017"/>
    <x v="0"/>
    <s v="P4"/>
    <n v="10"/>
    <n v="2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ORA MASSIF"/>
    <s v="MOR_0017"/>
    <x v="0"/>
    <s v="P5"/>
    <n v="25"/>
    <n v="5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OUDJILA"/>
    <s v="MOR_0018"/>
    <x v="0"/>
    <s v="P1"/>
    <n v="11"/>
    <n v="7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OUDJILA"/>
    <s v="MOR_0018"/>
    <x v="0"/>
    <s v="P2"/>
    <n v="25"/>
    <n v="15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OUDJILA"/>
    <s v="MOR_0018"/>
    <x v="0"/>
    <s v="P3"/>
    <n v="18"/>
    <n v="10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OUDJILA"/>
    <s v="MOR_0018"/>
    <x v="0"/>
    <s v="P4"/>
    <n v="4"/>
    <n v="1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POUCHE"/>
    <s v="MOR_0020"/>
    <x v="0"/>
    <s v="P1"/>
    <n v="16"/>
    <n v="12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POUCHE"/>
    <s v="MOR_0020"/>
    <x v="0"/>
    <s v="P2"/>
    <n v="16"/>
    <n v="115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POUCHE"/>
    <s v="MOR_0020"/>
    <x v="0"/>
    <s v="P3"/>
    <n v="11"/>
    <n v="109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POUCHE"/>
    <s v="MOR_0020"/>
    <x v="0"/>
    <s v="P4"/>
    <n v="7"/>
    <n v="6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1"/>
    <s v="MOR_0021"/>
    <x v="0"/>
    <s v="P1"/>
    <n v="11"/>
    <n v="7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1"/>
    <s v="MOR_0021"/>
    <x v="0"/>
    <s v="P2"/>
    <n v="21"/>
    <n v="126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SANDALE 1"/>
    <s v="MOR_0021"/>
    <x v="0"/>
    <s v="P3"/>
    <n v="39"/>
    <n v="23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1"/>
    <s v="MOR_0021"/>
    <x v="0"/>
    <s v="P4"/>
    <n v="32"/>
    <n v="20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1"/>
    <s v="MOR_0021"/>
    <x v="0"/>
    <s v="P5"/>
    <n v="15"/>
    <n v="25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SANDALE 2"/>
    <s v="MOR_0022"/>
    <x v="0"/>
    <s v="P1"/>
    <n v="31"/>
    <n v="7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2"/>
    <s v="MOR_0022"/>
    <x v="0"/>
    <s v="P2"/>
    <n v="36"/>
    <n v="10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2"/>
    <s v="MOR_0022"/>
    <x v="0"/>
    <s v="P3"/>
    <n v="33"/>
    <n v="9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2"/>
    <s v="MOR_0022"/>
    <x v="0"/>
    <s v="P4"/>
    <n v="37"/>
    <n v="10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2"/>
    <s v="MOR_0022"/>
    <x v="0"/>
    <s v="P5"/>
    <n v="3"/>
    <n v="1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VOUAWA"/>
    <s v="MOR_0030"/>
    <x v="0"/>
    <s v="P1"/>
    <n v="16"/>
    <n v="11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VOUAWA"/>
    <s v="MOR_0030"/>
    <x v="0"/>
    <s v="P2"/>
    <n v="11"/>
    <n v="5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VOUAWA"/>
    <s v="MOR_0030"/>
    <x v="0"/>
    <s v="P3"/>
    <n v="14"/>
    <n v="8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VOUAWA"/>
    <s v="MOR_0030"/>
    <x v="0"/>
    <s v="P4"/>
    <n v="10"/>
    <n v="4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2"/>
    <s v="MOR_0024"/>
    <x v="0"/>
    <s v="P1"/>
    <n v="25"/>
    <n v="8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2"/>
    <s v="MOR_0024"/>
    <x v="0"/>
    <s v="P2"/>
    <n v="36"/>
    <n v="13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2"/>
    <s v="MOR_0024"/>
    <x v="0"/>
    <s v="P3"/>
    <n v="25"/>
    <n v="8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2"/>
    <s v="MOR_0024"/>
    <x v="0"/>
    <s v="P4"/>
    <n v="30"/>
    <n v="10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2"/>
    <s v="MOR_0024"/>
    <x v="0"/>
    <s v="P5"/>
    <n v="2"/>
    <n v="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3"/>
    <s v="MOR_0025"/>
    <x v="0"/>
    <s v="P1"/>
    <n v="20"/>
    <n v="9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3"/>
    <s v="MOR_0025"/>
    <x v="0"/>
    <s v="P2"/>
    <n v="40"/>
    <n v="14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3"/>
    <s v="MOR_0025"/>
    <x v="0"/>
    <s v="P3"/>
    <n v="30"/>
    <n v="110"/>
    <s v="Conflits EIAO"/>
    <s v=""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WALADE 3"/>
    <s v="MOR_0025"/>
    <x v="0"/>
    <s v="P4"/>
    <n v="36"/>
    <n v="15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3"/>
    <s v="MOR_0025"/>
    <x v="0"/>
    <s v="P5"/>
    <n v="7"/>
    <n v="4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LALAWAI"/>
    <s v="TOK_0001"/>
    <x v="0"/>
    <s v="P2"/>
    <n v="3"/>
    <n v="1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LALAWAI"/>
    <s v="TOK_0001"/>
    <x v="0"/>
    <s v="P3"/>
    <n v="2"/>
    <n v="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LALAWAI"/>
    <s v="TOK_0001"/>
    <x v="0"/>
    <s v="P4"/>
    <n v="1"/>
    <n v="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DA KOLKACH"/>
    <s v="TOK_0002"/>
    <x v="0"/>
    <s v="P2"/>
    <n v="94"/>
    <n v="19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DA KOLKACH"/>
    <s v="TOK_0002"/>
    <x v="0"/>
    <s v="P3"/>
    <n v="50"/>
    <n v="10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DA KOLKACH"/>
    <s v="TOK_0002"/>
    <x v="0"/>
    <s v="P4"/>
    <n v="9"/>
    <n v="29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MADOUVAYA"/>
    <s v="TOK_0003"/>
    <x v="0"/>
    <s v="P2"/>
    <n v="20"/>
    <n v="19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DOUVAYA"/>
    <s v="TOK_0003"/>
    <x v="0"/>
    <s v="P3"/>
    <n v="9"/>
    <n v="98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MADOUVAYA"/>
    <s v="TOK_0003"/>
    <x v="0"/>
    <s v="P4"/>
    <n v="4"/>
    <n v="6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KELINGAI"/>
    <s v="TOK_0004"/>
    <x v="0"/>
    <s v="P2"/>
    <n v="23"/>
    <n v="4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KELINGAI"/>
    <s v="TOK_0004"/>
    <x v="0"/>
    <s v="P3"/>
    <n v="10"/>
    <n v="3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KELINGAI"/>
    <s v="TOK_0004"/>
    <x v="0"/>
    <s v="P4"/>
    <n v="4"/>
    <n v="13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MAKELINGAI"/>
    <s v="TOK_0004"/>
    <x v="0"/>
    <s v="P5"/>
    <n v="1"/>
    <n v="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BZAGABAI"/>
    <s v="TOK_0005"/>
    <x v="0"/>
    <s v="P2"/>
    <n v="9"/>
    <n v="8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BZAGABAI"/>
    <s v="TOK_0005"/>
    <x v="0"/>
    <s v="P3"/>
    <n v="3"/>
    <n v="3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OULDEME"/>
    <s v="TOK_0006"/>
    <x v="0"/>
    <s v="P2"/>
    <n v="13"/>
    <n v="6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OULDEME"/>
    <s v="TOK_0006"/>
    <x v="0"/>
    <s v="P3"/>
    <n v="14"/>
    <n v="4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OULDEME"/>
    <s v="TOK_0006"/>
    <x v="0"/>
    <s v="P4"/>
    <n v="2"/>
    <n v="1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PALBARA"/>
    <s v="TOK_0011"/>
    <x v="0"/>
    <s v="P2"/>
    <n v="26"/>
    <n v="97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PALBARA"/>
    <s v="TOK_0011"/>
    <x v="0"/>
    <s v="P3"/>
    <n v="9"/>
    <n v="6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PALBARA"/>
    <s v="TOK_0011"/>
    <x v="0"/>
    <s v="P4"/>
    <n v="7"/>
    <n v="27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SERAWA"/>
    <s v="TOK_0007"/>
    <x v="0"/>
    <s v="P2"/>
    <n v="34"/>
    <n v="4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SERAWA"/>
    <s v="TOK_0007"/>
    <x v="0"/>
    <s v="P3"/>
    <n v="9"/>
    <n v="1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SERAWA"/>
    <s v="TOK_0007"/>
    <x v="0"/>
    <s v="P4"/>
    <n v="6"/>
    <n v="1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AZANG"/>
    <s v="TOK_0008"/>
    <x v="0"/>
    <s v="P2"/>
    <n v="5"/>
    <n v="3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AZANG"/>
    <s v="TOK_0008"/>
    <x v="0"/>
    <s v="P3"/>
    <n v="2"/>
    <n v="12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TAZANG"/>
    <s v="TOK_0008"/>
    <x v="0"/>
    <s v="P4"/>
    <n v="1"/>
    <n v="8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TINDERME"/>
    <s v="TOK_0010"/>
    <x v="0"/>
    <s v="P3"/>
    <n v="10"/>
    <n v="6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INDERME"/>
    <s v="TOK_0010"/>
    <x v="0"/>
    <s v="P4"/>
    <n v="6"/>
    <n v="3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INDERME"/>
    <s v="TOK_0010"/>
    <x v="0"/>
    <s v="P5"/>
    <n v="5"/>
    <n v="3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OKOMBERE"/>
    <s v="TOK_0009"/>
    <x v="0"/>
    <s v="P2"/>
    <n v="37"/>
    <n v="16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OKOMBERE"/>
    <s v="TOK_0009"/>
    <x v="0"/>
    <s v="P3"/>
    <n v="13"/>
    <n v="8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OKOMBERE"/>
    <s v="TOK_0009"/>
    <x v="0"/>
    <s v="P4"/>
    <n v="2"/>
    <n v="1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6"/>
    <s v="CMR004006007"/>
    <s v="BOUKOULA"/>
    <s v="BOU_0001"/>
    <x v="0"/>
    <s v="P5"/>
    <n v="10"/>
    <n v="78"/>
    <s v="Conflits EIAO"/>
    <s v=""/>
    <s v="autr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6"/>
    <s v="CMR004006007"/>
    <s v="LAMORDE"/>
    <s v="BOU_0004"/>
    <x v="0"/>
    <s v="P2"/>
    <n v="16"/>
    <n v="8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6"/>
    <s v="CMR004006007"/>
    <s v="LAMORDE"/>
    <s v="BOU_0004"/>
    <x v="0"/>
    <s v="P4"/>
    <n v="4"/>
    <n v="3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6"/>
    <s v="CMR004006007"/>
    <s v="LAMORDE"/>
    <s v="BOU_0004"/>
    <x v="0"/>
    <s v="P5"/>
    <n v="3"/>
    <n v="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7"/>
    <s v="CMR004006003"/>
    <s v="BAMGUEL BORORO"/>
    <s v="HIN_0001"/>
    <x v="0"/>
    <s v="P2"/>
    <n v="4"/>
    <n v="18"/>
    <s v="Conflits EIAO"/>
    <s v=""/>
    <s v="autre_arrondissement"/>
    <s v="CMR"/>
    <s v="Cameroon"/>
    <s v="CMR004"/>
    <s v="Extrême-Nord"/>
    <s v="CMR004006"/>
    <s v="Mayo-Tsanaga"/>
    <s v="CMR004006004"/>
    <s v="Koza"/>
  </r>
  <r>
    <s v="Extrême-Nord"/>
    <s v="CMR004"/>
    <x v="5"/>
    <s v="CMR004006"/>
    <x v="27"/>
    <s v="CMR004006003"/>
    <s v="BAMGUEL BORORO"/>
    <s v="HIN_0001"/>
    <x v="0"/>
    <s v="P3"/>
    <n v="1"/>
    <n v="1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7"/>
    <s v="CMR004006003"/>
    <s v="BAMGUEL BORORO"/>
    <s v="HIN_0001"/>
    <x v="0"/>
    <s v="P4"/>
    <n v="2"/>
    <n v="22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7"/>
    <s v="CMR004006003"/>
    <s v="BASSARA"/>
    <s v="HIN_0002"/>
    <x v="0"/>
    <s v="P2"/>
    <n v="8"/>
    <n v="54"/>
    <s v="Conflits EIAO"/>
    <s v=""/>
    <s v="autre_arrondissement"/>
    <s v="CMR"/>
    <s v="Cameroon"/>
    <s v="CMR004"/>
    <s v="Extrême-Nord"/>
    <s v="CMR004006"/>
    <s v="Mayo-Tsanaga"/>
    <s v="CMR004006006"/>
    <s v="Soulede-Roua"/>
  </r>
  <r>
    <s v="Extrême-Nord"/>
    <s v="CMR004"/>
    <x v="5"/>
    <s v="CMR004006"/>
    <x v="27"/>
    <s v="CMR004006003"/>
    <s v="BASSARA"/>
    <s v="HIN_0002"/>
    <x v="0"/>
    <s v="P3"/>
    <n v="6"/>
    <n v="40"/>
    <s v="Conflits EIAO"/>
    <s v=""/>
    <s v="autre_arrondissement"/>
    <s v="CMR"/>
    <s v="Cameroon"/>
    <s v="CMR004"/>
    <s v="Extrême-Nord"/>
    <s v="CMR004006"/>
    <s v="Mayo-Tsanaga"/>
    <s v="CMR004006006"/>
    <s v="Soulede-Roua"/>
  </r>
  <r>
    <s v="Extrême-Nord"/>
    <s v="CMR004"/>
    <x v="5"/>
    <s v="CMR004006"/>
    <x v="27"/>
    <s v="CMR004006003"/>
    <s v="BASSARA"/>
    <s v="HIN_0002"/>
    <x v="0"/>
    <s v="P4"/>
    <n v="5"/>
    <n v="3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7"/>
    <s v="CMR004006003"/>
    <s v="BERING"/>
    <s v="HIN_0003"/>
    <x v="0"/>
    <s v="P2"/>
    <n v="8"/>
    <n v="55"/>
    <s v="Conflits EIAO"/>
    <s v=""/>
    <s v="autre_arrondissement"/>
    <s v="CMR"/>
    <s v="Cameroon"/>
    <s v="CMR004"/>
    <s v="Extrême-Nord"/>
    <s v="CMR004006"/>
    <s v="Mayo-Tsanaga"/>
    <s v="CMR004006001"/>
    <s v="Mogode"/>
  </r>
  <r>
    <s v="Extrême-Nord"/>
    <s v="CMR004"/>
    <x v="5"/>
    <s v="CMR004006"/>
    <x v="27"/>
    <s v="CMR004006003"/>
    <s v="HINA CENTRE"/>
    <s v="HIN_0004"/>
    <x v="0"/>
    <s v="P2"/>
    <n v="16"/>
    <n v="85"/>
    <s v="Conflits EIAO"/>
    <s v=""/>
    <s v="autre_arrondissement"/>
    <s v="CMR"/>
    <s v="Cameroon"/>
    <s v="CMR004"/>
    <s v="Extrême-Nord"/>
    <s v="CMR004006"/>
    <s v="Mayo-Tsanaga"/>
    <s v="CMR004006007"/>
    <s v="Bourha"/>
  </r>
  <r>
    <s v="Extrême-Nord"/>
    <s v="CMR004"/>
    <x v="5"/>
    <s v="CMR004006"/>
    <x v="27"/>
    <s v="CMR004006003"/>
    <s v="HINA CENTRE"/>
    <s v="HIN_0004"/>
    <x v="0"/>
    <s v="P4"/>
    <n v="10"/>
    <n v="63"/>
    <s v="Conflits EIAO"/>
    <s v=""/>
    <s v="autre_arrondissement"/>
    <s v="CMR"/>
    <s v="Cameroon"/>
    <s v="CMR004"/>
    <s v="Extrême-Nord"/>
    <s v="CMR004006"/>
    <s v="Mayo-Tsanaga"/>
    <s v="CMR004006006"/>
    <s v="Soulede-Roua"/>
  </r>
  <r>
    <s v="Extrême-Nord"/>
    <s v="CMR004"/>
    <x v="5"/>
    <s v="CMR004006"/>
    <x v="27"/>
    <s v="CMR004006003"/>
    <s v="MADINA"/>
    <s v="HIN_0005"/>
    <x v="0"/>
    <s v="P2"/>
    <n v="3"/>
    <n v="15"/>
    <s v="Conflits EIAO"/>
    <s v=""/>
    <s v="autre_arrondissement"/>
    <s v="CMR"/>
    <s v="Cameroon"/>
    <s v="CMR004"/>
    <s v="Extrême-Nord"/>
    <s v="CMR004006"/>
    <s v="Mayo-Tsanaga"/>
    <s v="CMR004006004"/>
    <s v="Koza"/>
  </r>
  <r>
    <s v="Extrême-Nord"/>
    <s v="CMR004"/>
    <x v="5"/>
    <s v="CMR004006"/>
    <x v="27"/>
    <s v="CMR004006003"/>
    <s v="MADINA"/>
    <s v="HIN_0005"/>
    <x v="0"/>
    <s v="P5"/>
    <n v="1"/>
    <n v="2"/>
    <s v="Conflits EIAO"/>
    <s v=""/>
    <s v="autre_arrondissement"/>
    <s v="CMR"/>
    <s v="Cameroon"/>
    <s v="CMR004"/>
    <s v="Extrême-Nord"/>
    <s v="CMR004006"/>
    <s v="Mayo-Tsanaga"/>
    <s v="CMR004006001"/>
    <s v="Mogode"/>
  </r>
  <r>
    <s v="Extrême-Nord"/>
    <s v="CMR004"/>
    <x v="5"/>
    <s v="CMR004006"/>
    <x v="28"/>
    <s v="CMR004006004"/>
    <s v="DJENGUE"/>
    <s v="KOZ_0002"/>
    <x v="0"/>
    <s v="P2"/>
    <n v="9"/>
    <n v="4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ENGUE"/>
    <s v="KOZ_0002"/>
    <x v="0"/>
    <s v="P3"/>
    <n v="6"/>
    <n v="31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ENGUE"/>
    <s v="KOZ_0002"/>
    <x v="0"/>
    <s v="P4"/>
    <n v="14"/>
    <n v="7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ENGUE"/>
    <s v="KOZ_0002"/>
    <x v="0"/>
    <s v="P5"/>
    <n v="8"/>
    <n v="3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IYA PLAINE"/>
    <s v="KOZ_0003"/>
    <x v="0"/>
    <s v="P2"/>
    <n v="14"/>
    <n v="8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IYA PLAINE"/>
    <s v="KOZ_0003"/>
    <x v="0"/>
    <s v="P3"/>
    <n v="11"/>
    <n v="7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IYA PLAINE"/>
    <s v="KOZ_0003"/>
    <x v="0"/>
    <s v="P4"/>
    <n v="7"/>
    <n v="3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IYA PLAINE"/>
    <s v="KOZ_0003"/>
    <x v="0"/>
    <s v="P5"/>
    <n v="10"/>
    <n v="3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LIYA MONTAGNE"/>
    <s v="KOZ_0004"/>
    <x v="0"/>
    <s v="P2"/>
    <n v="9"/>
    <n v="78"/>
    <s v="Conflits EIAO"/>
    <s v=""/>
    <s v="autre_arrondissement"/>
    <s v="CMR"/>
    <s v="Cameroon"/>
    <s v="CMR004"/>
    <s v="Extrême-Nord"/>
    <s v="CMR004006"/>
    <s v="Mayo-Tsanaga"/>
    <s v="CMR004006001"/>
    <s v="Mogode"/>
  </r>
  <r>
    <s v="Extrême-Nord"/>
    <s v="CMR004"/>
    <x v="5"/>
    <s v="CMR004006"/>
    <x v="28"/>
    <s v="CMR004006004"/>
    <s v="DJINGLIYA MONTAGNE"/>
    <s v="KOZ_0004"/>
    <x v="0"/>
    <s v="P3"/>
    <n v="8"/>
    <n v="65"/>
    <s v="Conflits EIAO"/>
    <s v=""/>
    <s v="autre_arrondissement"/>
    <s v="CMR"/>
    <s v="Cameroon"/>
    <s v="CMR004"/>
    <s v="Extrême-Nord"/>
    <s v="CMR004006"/>
    <s v="Mayo-Tsanaga"/>
    <s v="CMR004006001"/>
    <s v="Mogode"/>
  </r>
  <r>
    <s v="Extrême-Nord"/>
    <s v="CMR004"/>
    <x v="5"/>
    <s v="CMR004006"/>
    <x v="28"/>
    <s v="CMR004006004"/>
    <s v="DJINGLIYA MONTAGNE"/>
    <s v="KOZ_0004"/>
    <x v="0"/>
    <s v="P4"/>
    <n v="6"/>
    <n v="51"/>
    <s v="Conflits EIAO"/>
    <s v=""/>
    <s v="autre_arrondissement"/>
    <s v="CMR"/>
    <s v="Cameroon"/>
    <s v="CMR004"/>
    <s v="Extrême-Nord"/>
    <s v="CMR004006"/>
    <s v="Mayo-Tsanaga"/>
    <s v="CMR004006001"/>
    <s v="Mogode"/>
  </r>
  <r>
    <s v="Extrême-Nord"/>
    <s v="CMR004"/>
    <x v="5"/>
    <s v="CMR004006"/>
    <x v="28"/>
    <s v="CMR004006004"/>
    <s v="DJINGLIYA MONTAGNE"/>
    <s v="KOZ_0004"/>
    <x v="0"/>
    <s v="P5"/>
    <n v="13"/>
    <n v="6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MBOGO"/>
    <s v="KOZ_0005"/>
    <x v="0"/>
    <s v="P2"/>
    <n v="8"/>
    <n v="4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MBOGO"/>
    <s v="KOZ_0005"/>
    <x v="0"/>
    <s v="P3"/>
    <n v="5"/>
    <n v="3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MBOGO"/>
    <s v="KOZ_0005"/>
    <x v="0"/>
    <s v="P4"/>
    <n v="7"/>
    <n v="4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MBOGO"/>
    <s v="KOZ_0005"/>
    <x v="0"/>
    <s v="P5"/>
    <n v="18"/>
    <n v="10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RWAT"/>
    <s v="KOZ_0006"/>
    <x v="0"/>
    <s v="P2"/>
    <n v="13"/>
    <n v="71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RWAT"/>
    <s v="KOZ_0006"/>
    <x v="0"/>
    <s v="P3"/>
    <n v="6"/>
    <n v="3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RWAT"/>
    <s v="KOZ_0006"/>
    <x v="0"/>
    <s v="P4"/>
    <n v="10"/>
    <n v="6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RWAT"/>
    <s v="KOZ_0006"/>
    <x v="0"/>
    <s v="P5"/>
    <n v="3"/>
    <n v="1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RWAT"/>
    <s v="KOZ_0006"/>
    <x v="0"/>
    <s v="P6"/>
    <n v="1"/>
    <n v="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AS"/>
    <s v="KOZ_0007"/>
    <x v="0"/>
    <s v="P2"/>
    <n v="22"/>
    <n v="15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AS"/>
    <s v="KOZ_0007"/>
    <x v="0"/>
    <s v="P3"/>
    <n v="25"/>
    <n v="171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AS"/>
    <s v="KOZ_0007"/>
    <x v="0"/>
    <s v="P4"/>
    <n v="27"/>
    <n v="13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AS"/>
    <s v="KOZ_0007"/>
    <x v="0"/>
    <s v="P5"/>
    <n v="24"/>
    <n v="18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OUA"/>
    <s v="KOZ_0008"/>
    <x v="0"/>
    <s v="P2"/>
    <n v="9"/>
    <n v="5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OUA"/>
    <s v="KOZ_0008"/>
    <x v="0"/>
    <s v="P3"/>
    <n v="4"/>
    <n v="23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GABOUA"/>
    <s v="KOZ_0008"/>
    <x v="0"/>
    <s v="P4"/>
    <n v="51"/>
    <n v="36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OUA"/>
    <s v="KOZ_0008"/>
    <x v="0"/>
    <s v="P5"/>
    <n v="9"/>
    <n v="4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IVOUKIDA"/>
    <s v="KOZ_0009"/>
    <x v="0"/>
    <s v="P2"/>
    <n v="8"/>
    <n v="4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IVOUKIDA"/>
    <s v="KOZ_0009"/>
    <x v="0"/>
    <s v="P3"/>
    <n v="10"/>
    <n v="6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IVOUKIDA"/>
    <s v="KOZ_0009"/>
    <x v="0"/>
    <s v="P4"/>
    <n v="11"/>
    <n v="6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IVOUKIDA"/>
    <s v="KOZ_0009"/>
    <x v="0"/>
    <s v="P5"/>
    <n v="5"/>
    <n v="2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LDALA"/>
    <s v="KOZ_0010"/>
    <x v="0"/>
    <s v="P2"/>
    <n v="17"/>
    <n v="12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LDALA"/>
    <s v="KOZ_0010"/>
    <x v="0"/>
    <s v="P3"/>
    <n v="7"/>
    <n v="4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LDALA"/>
    <s v="KOZ_0010"/>
    <x v="0"/>
    <s v="P4"/>
    <n v="81"/>
    <n v="65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GALDALA"/>
    <s v="KOZ_0010"/>
    <x v="0"/>
    <s v="P5"/>
    <n v="6"/>
    <n v="1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 MLAIL"/>
    <s v="KOZ_0034"/>
    <x v="0"/>
    <s v="P4"/>
    <n v="7"/>
    <n v="4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 MLAIL"/>
    <s v="KOZ_0034"/>
    <x v="0"/>
    <s v="P5"/>
    <n v="3"/>
    <n v="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GOUSDA MAKANDAI"/>
    <s v="KOZ_0011"/>
    <x v="0"/>
    <s v="P2"/>
    <n v="9"/>
    <n v="7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MAKANDAI"/>
    <s v="KOZ_0011"/>
    <x v="0"/>
    <s v="P3"/>
    <n v="8"/>
    <n v="6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MAKANDAI"/>
    <s v="KOZ_0011"/>
    <x v="0"/>
    <s v="P4"/>
    <n v="6"/>
    <n v="51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MAKANDAI"/>
    <s v="KOZ_0011"/>
    <x v="0"/>
    <s v="P5"/>
    <n v="7"/>
    <n v="2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WAYAM"/>
    <s v="KOZ_0012"/>
    <x v="0"/>
    <s v="P2"/>
    <n v="42"/>
    <n v="28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WAYAM"/>
    <s v="KOZ_0012"/>
    <x v="0"/>
    <s v="P3"/>
    <n v="47"/>
    <n v="35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WAYAM"/>
    <s v="KOZ_0012"/>
    <x v="0"/>
    <s v="P4"/>
    <n v="109"/>
    <n v="73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WAYAM"/>
    <s v="KOZ_0012"/>
    <x v="0"/>
    <s v="P5"/>
    <n v="26"/>
    <n v="5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ETALE"/>
    <s v="KOZ_0013"/>
    <x v="0"/>
    <s v="P2"/>
    <n v="6"/>
    <n v="4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ETALE"/>
    <s v="KOZ_0013"/>
    <x v="0"/>
    <s v="P3"/>
    <n v="4"/>
    <n v="3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GUETALE"/>
    <s v="KOZ_0013"/>
    <x v="0"/>
    <s v="P4"/>
    <n v="10"/>
    <n v="9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ETALE"/>
    <s v="KOZ_0013"/>
    <x v="0"/>
    <s v="P5"/>
    <n v="20"/>
    <n v="10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ID BALA"/>
    <s v="KOZ_0014"/>
    <x v="0"/>
    <s v="P2"/>
    <n v="15"/>
    <n v="11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ID BALA"/>
    <s v="KOZ_0014"/>
    <x v="0"/>
    <s v="P3"/>
    <n v="17"/>
    <n v="13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ID BALA"/>
    <s v="KOZ_0014"/>
    <x v="0"/>
    <s v="P4"/>
    <n v="16"/>
    <n v="12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ID BALA"/>
    <s v="KOZ_0014"/>
    <x v="0"/>
    <s v="P5"/>
    <n v="6"/>
    <n v="3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AMDALA"/>
    <s v="KOZ_0015"/>
    <x v="0"/>
    <s v="P2"/>
    <n v="8"/>
    <n v="7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AMDALA"/>
    <s v="KOZ_0015"/>
    <x v="0"/>
    <s v="P3"/>
    <n v="11"/>
    <n v="10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AMDALA"/>
    <s v="KOZ_0015"/>
    <x v="0"/>
    <s v="P4"/>
    <n v="25"/>
    <n v="21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AMDALA"/>
    <s v="KOZ_0015"/>
    <x v="0"/>
    <s v="P5"/>
    <n v="7"/>
    <n v="4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IRCHE"/>
    <s v="KOZ_0016"/>
    <x v="0"/>
    <s v="P2"/>
    <n v="26"/>
    <n v="29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HIRCHE"/>
    <s v="KOZ_0016"/>
    <x v="0"/>
    <s v="P3"/>
    <n v="56"/>
    <n v="42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HIRCHE"/>
    <s v="KOZ_0016"/>
    <x v="0"/>
    <s v="P4"/>
    <n v="117"/>
    <n v="87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HIRCHE"/>
    <s v="KOZ_0016"/>
    <x v="0"/>
    <s v="P5"/>
    <n v="3"/>
    <n v="12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KAZIER"/>
    <s v="KOZ_0036"/>
    <x v="0"/>
    <s v="P2"/>
    <n v="1"/>
    <n v="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AZIER"/>
    <s v="KOZ_0036"/>
    <x v="0"/>
    <s v="P3"/>
    <n v="4"/>
    <n v="3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AZIER"/>
    <s v="KOZ_0036"/>
    <x v="0"/>
    <s v="P4"/>
    <n v="3"/>
    <n v="2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AZIER"/>
    <s v="KOZ_0036"/>
    <x v="0"/>
    <s v="P5"/>
    <n v="3"/>
    <n v="1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ECHKEME"/>
    <s v="KOZ_0017"/>
    <x v="0"/>
    <s v="P2"/>
    <n v="6"/>
    <n v="4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ECHKEME"/>
    <s v="KOZ_0017"/>
    <x v="0"/>
    <s v="P3"/>
    <n v="4"/>
    <n v="2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ECHKEME"/>
    <s v="KOZ_0017"/>
    <x v="0"/>
    <s v="P4"/>
    <n v="12"/>
    <n v="10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ECHKEME"/>
    <s v="KOZ_0017"/>
    <x v="0"/>
    <s v="P5"/>
    <n v="7"/>
    <n v="1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ILDA"/>
    <s v="KOZ_0018"/>
    <x v="0"/>
    <s v="P2"/>
    <n v="11"/>
    <n v="83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KILDA"/>
    <s v="KOZ_0018"/>
    <x v="0"/>
    <s v="P3"/>
    <n v="9"/>
    <n v="79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KILDA"/>
    <s v="KOZ_0018"/>
    <x v="0"/>
    <s v="P4"/>
    <n v="35"/>
    <n v="28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ILDA"/>
    <s v="KOZ_0018"/>
    <x v="0"/>
    <s v="P5"/>
    <n v="6"/>
    <n v="2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LAMORDE"/>
    <s v="KOZ_0019"/>
    <x v="0"/>
    <s v="P2"/>
    <n v="68"/>
    <n v="506"/>
    <s v="Conflits EIAO"/>
    <s v=""/>
    <s v="meme_arrondissement"/>
    <s v="CMR"/>
    <s v="Cameroon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LAMORDE"/>
    <s v="KOZ_0019"/>
    <x v="0"/>
    <s v="P3"/>
    <n v="36"/>
    <n v="272"/>
    <s v="Conflits EIAO"/>
    <s v=""/>
    <s v="meme_arrondissement"/>
    <s v="CMR"/>
    <s v="Cameroon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LAMORDE"/>
    <s v="KOZ_0019"/>
    <x v="0"/>
    <s v="P4"/>
    <n v="21"/>
    <n v="150"/>
    <s v="Conflits EIAO"/>
    <s v=""/>
    <s v="meme_arrondissement"/>
    <s v="CMR"/>
    <s v="Cameroon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LAMORDE"/>
    <s v="KOZ_0019"/>
    <x v="0"/>
    <s v="P5"/>
    <n v="6"/>
    <n v="20"/>
    <s v="Conflits EIAO"/>
    <s v=""/>
    <s v="meme_arrondissement"/>
    <s v="CMR"/>
    <s v="Cameroon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MALTAMAYA"/>
    <s v="KOZ_0020"/>
    <x v="0"/>
    <s v="P2"/>
    <n v="12"/>
    <n v="82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MALTAMAYA"/>
    <s v="KOZ_0020"/>
    <x v="0"/>
    <s v="P3"/>
    <n v="9"/>
    <n v="63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MALTAMAYA"/>
    <s v="KOZ_0020"/>
    <x v="0"/>
    <s v="P4"/>
    <n v="33"/>
    <n v="19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MALTAMAYA"/>
    <s v="KOZ_0020"/>
    <x v="0"/>
    <s v="P5"/>
    <n v="5"/>
    <n v="2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MATALAM"/>
    <s v="KOZ_0031"/>
    <x v="0"/>
    <s v="P3"/>
    <n v="11"/>
    <n v="8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TALAM"/>
    <s v="KOZ_0031"/>
    <x v="0"/>
    <s v="P4"/>
    <n v="13"/>
    <n v="7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TALAM"/>
    <s v="KOZ_0031"/>
    <x v="0"/>
    <s v="P5"/>
    <n v="8"/>
    <n v="2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VOUMAY"/>
    <s v="KOZ_0037"/>
    <x v="0"/>
    <s v="P5"/>
    <n v="21"/>
    <n v="14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WA"/>
    <s v="KOZ_0021"/>
    <x v="0"/>
    <s v="P2"/>
    <n v="29"/>
    <n v="22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WA"/>
    <s v="KOZ_0021"/>
    <x v="0"/>
    <s v="P3"/>
    <n v="23"/>
    <n v="17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WA"/>
    <s v="KOZ_0021"/>
    <x v="0"/>
    <s v="P4"/>
    <n v="42"/>
    <n v="38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WA"/>
    <s v="KOZ_0021"/>
    <x v="0"/>
    <s v="P5"/>
    <n v="15"/>
    <n v="11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ZI"/>
    <s v="KOZ_0022"/>
    <x v="0"/>
    <s v="P2"/>
    <n v="17"/>
    <n v="11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ZI"/>
    <s v="KOZ_0022"/>
    <x v="0"/>
    <s v="P3"/>
    <n v="12"/>
    <n v="91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ZI"/>
    <s v="KOZ_0022"/>
    <x v="0"/>
    <s v="P4"/>
    <n v="10"/>
    <n v="8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ZI"/>
    <s v="KOZ_0022"/>
    <x v="0"/>
    <s v="P5"/>
    <n v="4"/>
    <n v="1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BARDAM"/>
    <s v="KOZ_0023"/>
    <x v="0"/>
    <s v="P2"/>
    <n v="7"/>
    <n v="5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BARDAM"/>
    <s v="KOZ_0023"/>
    <x v="0"/>
    <s v="P3"/>
    <n v="4"/>
    <n v="34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MBARDAM"/>
    <s v="KOZ_0023"/>
    <x v="0"/>
    <s v="P4"/>
    <n v="3"/>
    <n v="1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BARDAM"/>
    <s v="KOZ_0023"/>
    <x v="0"/>
    <s v="P5"/>
    <n v="7"/>
    <n v="2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DOKO"/>
    <s v="KOZ_0024"/>
    <x v="0"/>
    <s v="P2"/>
    <n v="16"/>
    <n v="10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DOKO"/>
    <s v="KOZ_0024"/>
    <x v="0"/>
    <s v="P3"/>
    <n v="30"/>
    <n v="21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DOKO"/>
    <s v="KOZ_0024"/>
    <x v="0"/>
    <s v="P4"/>
    <n v="23"/>
    <n v="15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DOKO"/>
    <s v="KOZ_0024"/>
    <x v="0"/>
    <s v="P5"/>
    <n v="4"/>
    <n v="1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RGO"/>
    <s v="KOZ_0025"/>
    <x v="0"/>
    <s v="P2"/>
    <n v="20"/>
    <n v="154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MORGO"/>
    <s v="KOZ_0025"/>
    <x v="0"/>
    <s v="P3"/>
    <n v="33"/>
    <n v="246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MORGO"/>
    <s v="KOZ_0025"/>
    <x v="0"/>
    <s v="P4"/>
    <n v="97"/>
    <n v="783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MORGO"/>
    <s v="KOZ_0025"/>
    <x v="0"/>
    <s v="P5"/>
    <n v="23"/>
    <n v="137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PAMBAO"/>
    <s v="KOZ_0026"/>
    <x v="0"/>
    <s v="P2"/>
    <n v="60"/>
    <n v="4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PAMBAO"/>
    <s v="KOZ_0026"/>
    <x v="0"/>
    <s v="P3"/>
    <n v="39"/>
    <n v="30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PAMBAO"/>
    <s v="KOZ_0026"/>
    <x v="0"/>
    <s v="P4"/>
    <n v="36"/>
    <n v="26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PAMBAO"/>
    <s v="KOZ_0026"/>
    <x v="0"/>
    <s v="P5"/>
    <n v="17"/>
    <n v="12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TENDEO"/>
    <s v="KOZ_0027"/>
    <x v="0"/>
    <s v="P2"/>
    <n v="12"/>
    <n v="8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TENDEO"/>
    <s v="KOZ_0027"/>
    <x v="0"/>
    <s v="P3"/>
    <n v="8"/>
    <n v="5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TENDEO"/>
    <s v="KOZ_0027"/>
    <x v="0"/>
    <s v="P4"/>
    <n v="23"/>
    <n v="18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TENDEO"/>
    <s v="KOZ_0027"/>
    <x v="0"/>
    <s v="P5"/>
    <n v="4"/>
    <n v="1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ALADE"/>
    <s v="KOZ_0028"/>
    <x v="0"/>
    <s v="P2"/>
    <n v="44"/>
    <n v="319"/>
    <s v="Conflits EIAO"/>
    <s v=""/>
    <s v="meme_arrondissement"/>
    <s v="CMR"/>
    <s v="Cameroon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WALADE"/>
    <s v="KOZ_0028"/>
    <x v="0"/>
    <s v="P3"/>
    <n v="36"/>
    <n v="274"/>
    <s v="Conflits EIAO"/>
    <s v=""/>
    <s v="meme_arrondissement"/>
    <s v="CMR"/>
    <s v="Cameroon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WALADE"/>
    <s v="KOZ_0028"/>
    <x v="0"/>
    <s v="P4"/>
    <n v="9"/>
    <n v="46"/>
    <s v="Conflits EIAO"/>
    <s v=""/>
    <s v="meme_arrondissement"/>
    <s v="CMR"/>
    <s v="Cameroon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WALADE"/>
    <s v="KOZ_0028"/>
    <x v="0"/>
    <s v="P5"/>
    <n v="3"/>
    <n v="7"/>
    <s v="Conflits EIAO"/>
    <s v=""/>
    <s v="meme_arrondissement"/>
    <s v="CMR"/>
    <s v="Cameroon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WOULAD"/>
    <s v="KOZ_0029"/>
    <x v="0"/>
    <s v="P2"/>
    <n v="18"/>
    <n v="121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OULAD"/>
    <s v="KOZ_0029"/>
    <x v="0"/>
    <s v="P3"/>
    <n v="11"/>
    <n v="8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OULAD"/>
    <s v="KOZ_0029"/>
    <x v="0"/>
    <s v="P4"/>
    <n v="15"/>
    <n v="10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OULAD"/>
    <s v="KOZ_0029"/>
    <x v="0"/>
    <s v="P5"/>
    <n v="5"/>
    <n v="2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YAMEDE"/>
    <s v="KOZ_0038"/>
    <x v="0"/>
    <s v="P2"/>
    <n v="1"/>
    <n v="8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YAMEDE"/>
    <s v="KOZ_0038"/>
    <x v="0"/>
    <s v="P3"/>
    <n v="3"/>
    <n v="14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YAMEDE"/>
    <s v="KOZ_0038"/>
    <x v="0"/>
    <s v="P4"/>
    <n v="6"/>
    <n v="34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YAMEDE"/>
    <s v="KOZ_0038"/>
    <x v="0"/>
    <s v="P5"/>
    <n v="2"/>
    <n v="7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ZILER"/>
    <s v="KOZ_0030"/>
    <x v="0"/>
    <s v="P2"/>
    <n v="24"/>
    <n v="17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ZILER"/>
    <s v="KOZ_0030"/>
    <x v="0"/>
    <s v="P3"/>
    <n v="12"/>
    <n v="9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ZILER"/>
    <s v="KOZ_0030"/>
    <x v="0"/>
    <s v="P4"/>
    <n v="34"/>
    <n v="26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ZILER"/>
    <s v="KOZ_0030"/>
    <x v="0"/>
    <s v="P5"/>
    <n v="3"/>
    <n v="1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BOULA"/>
    <s v="MOK_0036"/>
    <x v="0"/>
    <s v="P3"/>
    <n v="9"/>
    <n v="4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BOUNGUELRE"/>
    <s v="MOK_0001"/>
    <x v="0"/>
    <s v="P3"/>
    <n v="19"/>
    <n v="11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BOUNGUELRE"/>
    <s v="MOK_0001"/>
    <x v="0"/>
    <s v="P4"/>
    <n v="5"/>
    <n v="4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DJALINGO"/>
    <s v="MOK_0003"/>
    <x v="0"/>
    <s v="P4"/>
    <n v="2"/>
    <n v="1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DJIMETA"/>
    <s v="MOK_0004"/>
    <x v="0"/>
    <s v="P2"/>
    <n v="27"/>
    <n v="216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DJIMETA"/>
    <s v="MOK_0004"/>
    <x v="0"/>
    <s v="P3"/>
    <n v="9"/>
    <n v="72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DJIMETA"/>
    <s v="MOK_0004"/>
    <x v="0"/>
    <s v="P4"/>
    <n v="1"/>
    <n v="16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GAWAR"/>
    <s v="MOK_0005"/>
    <x v="0"/>
    <s v="P2"/>
    <n v="50"/>
    <n v="2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GAWAR"/>
    <s v="MOK_0005"/>
    <x v="0"/>
    <s v="P3"/>
    <n v="10"/>
    <n v="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GAWAR"/>
    <s v="MOK_0005"/>
    <x v="0"/>
    <s v="P4"/>
    <n v="10"/>
    <n v="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GOLE KADJOLE"/>
    <s v="MOK_0006"/>
    <x v="0"/>
    <s v="P2"/>
    <n v="6"/>
    <n v="2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GOLE KADJOLE"/>
    <s v="MOK_0006"/>
    <x v="0"/>
    <s v="P3"/>
    <n v="3"/>
    <n v="2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ITAWA"/>
    <s v="MOK_0037"/>
    <x v="0"/>
    <s v="P5"/>
    <n v="256"/>
    <n v="1709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KOSSOHONE"/>
    <s v="MOK_0007"/>
    <x v="0"/>
    <s v="P2"/>
    <n v="103"/>
    <n v="51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KOSSOHONE"/>
    <s v="MOK_0007"/>
    <x v="0"/>
    <s v="P3"/>
    <n v="40"/>
    <n v="20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KOSSOHONE"/>
    <s v="MOK_0007"/>
    <x v="0"/>
    <s v="P4"/>
    <n v="10"/>
    <n v="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KOSSOHONE"/>
    <s v="MOK_0007"/>
    <x v="0"/>
    <s v="P5"/>
    <n v="63"/>
    <n v="31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LAMORDE"/>
    <s v="MOK_0009"/>
    <x v="0"/>
    <s v="P3"/>
    <n v="56"/>
    <n v="448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LAMORDE"/>
    <s v="MOK_0009"/>
    <x v="0"/>
    <s v="P4"/>
    <n v="52"/>
    <n v="416"/>
    <s v="Conflits EIAO"/>
    <s v=""/>
    <s v="autre_arrondissement"/>
    <s v="CMR"/>
    <s v="Cameroon"/>
    <s v="CMR004"/>
    <s v="Extrême-Nord"/>
    <s v="CMR004006"/>
    <s v="Mayo-Tsanaga"/>
    <s v="CMR004006006"/>
    <s v="Soulede-Roua"/>
  </r>
  <r>
    <s v="Extrême-Nord"/>
    <s v="CMR004"/>
    <x v="5"/>
    <s v="CMR004006"/>
    <x v="29"/>
    <s v="CMR004006002"/>
    <s v="LAMORDE"/>
    <s v="MOK_0009"/>
    <x v="0"/>
    <s v="P5"/>
    <n v="5"/>
    <n v="32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29"/>
    <s v="CMR004006002"/>
    <s v="LAMORDE"/>
    <s v="MOK_0009"/>
    <x v="0"/>
    <s v="P6"/>
    <n v="7"/>
    <n v="56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29"/>
    <s v="CMR004006002"/>
    <s v="MAGOUMAZ"/>
    <s v="MOK_0010"/>
    <x v="0"/>
    <s v="P3"/>
    <n v="50"/>
    <n v="30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GOUMAZ"/>
    <s v="MOK_0010"/>
    <x v="0"/>
    <s v="P4"/>
    <n v="41"/>
    <n v="24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GOUMAZ"/>
    <s v="MOK_0010"/>
    <x v="0"/>
    <s v="P5"/>
    <n v="1"/>
    <n v="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INDEZE"/>
    <s v="MOK_0011"/>
    <x v="0"/>
    <s v="P2"/>
    <n v="5"/>
    <n v="3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INDEZE"/>
    <s v="MOK_0011"/>
    <x v="0"/>
    <s v="P3"/>
    <n v="3"/>
    <n v="2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INDEZE"/>
    <s v="MOK_0011"/>
    <x v="0"/>
    <s v="P4"/>
    <n v="2"/>
    <n v="1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INDEZE"/>
    <s v="MOK_0011"/>
    <x v="0"/>
    <s v="P5"/>
    <n v="2"/>
    <n v="1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VOUMAY"/>
    <s v="MOK_0012"/>
    <x v="0"/>
    <s v="P2"/>
    <n v="15"/>
    <n v="7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VOUMAY"/>
    <s v="MOK_0012"/>
    <x v="0"/>
    <s v="P3"/>
    <n v="8"/>
    <n v="4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VOUMAY"/>
    <s v="MOK_0012"/>
    <x v="0"/>
    <s v="P4"/>
    <n v="1"/>
    <n v="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XI MABASS"/>
    <s v="MOK_0013"/>
    <x v="0"/>
    <s v="P2"/>
    <n v="97"/>
    <n v="48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XI MABASS"/>
    <s v="MOK_0013"/>
    <x v="0"/>
    <s v="P3"/>
    <n v="27"/>
    <n v="130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MAXI MABASS"/>
    <s v="MOK_0013"/>
    <x v="0"/>
    <s v="P4"/>
    <n v="18"/>
    <n v="9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BOUA ZIMAGAZAK"/>
    <s v="MOK_0014"/>
    <x v="0"/>
    <s v="P2"/>
    <n v="22"/>
    <n v="13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BOUA ZIMAGAZAK"/>
    <s v="MOK_0014"/>
    <x v="0"/>
    <s v="P3"/>
    <n v="12"/>
    <n v="6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BOUA ZIMAGAZAK"/>
    <s v="MOK_0014"/>
    <x v="0"/>
    <s v="P4"/>
    <n v="6"/>
    <n v="3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OKONG"/>
    <s v="MOK_0016"/>
    <x v="0"/>
    <s v="P2"/>
    <n v="2"/>
    <n v="1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OKONG"/>
    <s v="MOK_0016"/>
    <x v="0"/>
    <s v="P3"/>
    <n v="8"/>
    <n v="4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MOKONG"/>
    <s v="MOK_0016"/>
    <x v="0"/>
    <s v="P4"/>
    <n v="4"/>
    <n v="2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NASSARAO 1"/>
    <s v="MOK_0017"/>
    <x v="0"/>
    <s v="P3"/>
    <n v="17"/>
    <n v="102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NASSARAO 2"/>
    <s v="MOK_0018"/>
    <x v="0"/>
    <s v="P3"/>
    <n v="3"/>
    <n v="1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OURO KESSOUM"/>
    <s v="MOK_0019"/>
    <x v="0"/>
    <s v="P2"/>
    <n v="30"/>
    <n v="18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OURO KESSOUM"/>
    <s v="MOK_0019"/>
    <x v="0"/>
    <s v="P3"/>
    <n v="25"/>
    <n v="1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OURO KESSOUM"/>
    <s v="MOK_0019"/>
    <x v="0"/>
    <s v="P4"/>
    <n v="5"/>
    <n v="3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OURO KESSOUM"/>
    <s v="MOK_0019"/>
    <x v="0"/>
    <s v="P5"/>
    <n v="2"/>
    <n v="1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OURO TADA"/>
    <s v="MOK_0020"/>
    <x v="0"/>
    <s v="P2"/>
    <n v="6"/>
    <n v="48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OURO TADA"/>
    <s v="MOK_0020"/>
    <x v="0"/>
    <s v="P3"/>
    <n v="16"/>
    <n v="128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OURO TADA"/>
    <s v="MOK_0020"/>
    <x v="0"/>
    <s v="P4"/>
    <n v="17"/>
    <n v="136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SABONGARI"/>
    <s v="MOK_0021"/>
    <x v="0"/>
    <s v="P2"/>
    <n v="27"/>
    <n v="13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SABONGARI"/>
    <s v="MOK_0021"/>
    <x v="0"/>
    <s v="P3"/>
    <n v="9"/>
    <n v="4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SARKI FADA"/>
    <s v="MOK_0029"/>
    <x v="0"/>
    <s v="P2"/>
    <n v="15"/>
    <n v="7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SARKI FADA"/>
    <s v="MOK_0029"/>
    <x v="0"/>
    <s v="P3"/>
    <n v="15"/>
    <n v="7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TONGO"/>
    <s v="MOK_0022"/>
    <x v="0"/>
    <s v="P2"/>
    <n v="9"/>
    <n v="6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TONGO"/>
    <s v="MOK_0022"/>
    <x v="0"/>
    <s v="P3"/>
    <n v="8"/>
    <n v="44"/>
    <s v="Conflits EIAO"/>
    <s v=""/>
    <s v="autre_arrondissement"/>
    <s v="CMR"/>
    <s v="Cameroon"/>
    <s v="CMR004"/>
    <s v="Extrême-Nord"/>
    <s v="CMR004006"/>
    <s v="Mayo-Tsanaga"/>
    <s v="CMR004006006"/>
    <s v="Soulede-Roua"/>
  </r>
  <r>
    <s v="Extrême-Nord"/>
    <s v="CMR004"/>
    <x v="5"/>
    <s v="CMR004006"/>
    <x v="29"/>
    <s v="CMR004006002"/>
    <s v="TONGO"/>
    <s v="MOK_0022"/>
    <x v="0"/>
    <s v="P4"/>
    <n v="3"/>
    <n v="22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TOUFOU"/>
    <s v="MOK_0023"/>
    <x v="0"/>
    <s v="P2"/>
    <n v="25"/>
    <n v="13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TOUFOU"/>
    <s v="MOK_0023"/>
    <x v="0"/>
    <s v="P3"/>
    <n v="15"/>
    <n v="6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TOUFOU"/>
    <s v="MOK_0023"/>
    <x v="0"/>
    <s v="P4"/>
    <n v="9"/>
    <n v="4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TOUROU"/>
    <s v="MOK_0024"/>
    <x v="0"/>
    <s v="P2"/>
    <n v="35"/>
    <n v="210"/>
    <s v="Conflits EIAO"/>
    <s v=""/>
    <s v="autr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TOUROU"/>
    <s v="MOK_0024"/>
    <x v="0"/>
    <s v="P3"/>
    <n v="25"/>
    <n v="146"/>
    <s v="Conflits EIAO"/>
    <s v=""/>
    <s v="autr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WANDAI"/>
    <s v="MOK_0025"/>
    <x v="0"/>
    <s v="P2"/>
    <n v="25"/>
    <n v="12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WANDAI"/>
    <s v="MOK_0025"/>
    <x v="0"/>
    <s v="P3"/>
    <n v="5"/>
    <n v="2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WOULA"/>
    <s v="MOK_0026"/>
    <x v="0"/>
    <s v="P2"/>
    <n v="200"/>
    <n v="100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WOULA"/>
    <s v="MOK_0026"/>
    <x v="0"/>
    <s v="P3"/>
    <n v="60"/>
    <n v="30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WOULA"/>
    <s v="MOK_0026"/>
    <x v="0"/>
    <s v="P5"/>
    <n v="3"/>
    <n v="2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ZAMAI"/>
    <s v="MOK_0027"/>
    <x v="0"/>
    <s v="P2"/>
    <n v="39"/>
    <n v="1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ZAMAI"/>
    <s v="MOK_0027"/>
    <x v="0"/>
    <s v="P3"/>
    <n v="15"/>
    <n v="7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ZAMAI"/>
    <s v="MOK_0027"/>
    <x v="0"/>
    <s v="P4"/>
    <n v="69"/>
    <n v="22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ZAMAI"/>
    <s v="MOK_0027"/>
    <x v="0"/>
    <s v="P5"/>
    <n v="30"/>
    <n v="15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ZAMAI"/>
    <s v="MOK_0027"/>
    <x v="0"/>
    <s v="P6"/>
    <n v="57"/>
    <n v="28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ASSIGHASSIA"/>
    <s v="MOZ_0023"/>
    <x v="0"/>
    <s v="P4"/>
    <n v="87"/>
    <n v="49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ASSIGHASSIA"/>
    <s v="MOZ_0023"/>
    <x v="0"/>
    <s v="P5"/>
    <n v="200"/>
    <n v="1467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BAVONGOLA"/>
    <s v="MOZ_0033"/>
    <x v="0"/>
    <s v="P3"/>
    <n v="2"/>
    <n v="13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BAVONGOLA"/>
    <s v="MOZ_0033"/>
    <x v="0"/>
    <s v="P4"/>
    <n v="12"/>
    <n v="63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BAVONGOLA"/>
    <s v="MOZ_0033"/>
    <x v="0"/>
    <s v="P5"/>
    <n v="7"/>
    <n v="34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BAVONGOLA"/>
    <s v="MOZ_0033"/>
    <x v="0"/>
    <s v="P6"/>
    <n v="11"/>
    <n v="58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DEKERE"/>
    <s v="MOZ_0018"/>
    <x v="0"/>
    <s v="P2"/>
    <n v="91"/>
    <n v="45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DEKERE"/>
    <s v="MOZ_0018"/>
    <x v="0"/>
    <s v="P3"/>
    <n v="44"/>
    <n v="22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DEKERE"/>
    <s v="MOZ_0018"/>
    <x v="0"/>
    <s v="P4"/>
    <n v="1"/>
    <n v="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DEKERE"/>
    <s v="MOZ_0018"/>
    <x v="0"/>
    <s v="P5"/>
    <n v="6"/>
    <n v="3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DZAMADZAF"/>
    <s v="MOZ_0017"/>
    <x v="0"/>
    <s v="P2"/>
    <n v="39"/>
    <n v="19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DZAMADZAF"/>
    <s v="MOZ_0017"/>
    <x v="0"/>
    <s v="P3"/>
    <n v="17"/>
    <n v="8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DZAMADZAF"/>
    <s v="MOZ_0017"/>
    <x v="0"/>
    <s v="P4"/>
    <n v="19"/>
    <n v="9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DZAMADZAF"/>
    <s v="MOZ_0017"/>
    <x v="0"/>
    <s v="P5"/>
    <n v="5"/>
    <n v="2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GOKORO"/>
    <s v="MOZ_0001"/>
    <x v="0"/>
    <s v="P2"/>
    <n v="27"/>
    <n v="13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KORO"/>
    <s v="MOZ_0001"/>
    <x v="0"/>
    <s v="P3"/>
    <n v="29"/>
    <n v="14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KORO"/>
    <s v="MOZ_0001"/>
    <x v="0"/>
    <s v="P4"/>
    <n v="10"/>
    <n v="52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KORO"/>
    <s v="MOZ_0001"/>
    <x v="0"/>
    <s v="P5"/>
    <n v="8"/>
    <n v="4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LDAVI"/>
    <s v="MOZ_0026"/>
    <x v="0"/>
    <s v="P2"/>
    <n v="22"/>
    <n v="11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GOLDAVI"/>
    <s v="MOZ_0026"/>
    <x v="0"/>
    <s v="P3"/>
    <n v="14"/>
    <n v="7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LDAVI"/>
    <s v="MOZ_0026"/>
    <x v="0"/>
    <s v="P4"/>
    <n v="3"/>
    <n v="15"/>
    <s v="Conflits EIAO"/>
    <s v=""/>
    <s v="autr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30"/>
    <s v="CMR004006005"/>
    <s v="GOLDAVI"/>
    <s v="MOZ_0026"/>
    <x v="0"/>
    <s v="P5"/>
    <n v="9"/>
    <n v="45"/>
    <s v="Conflits EIAO"/>
    <s v=""/>
    <s v="autre_arrondissement"/>
    <s v="CMR"/>
    <s v="Cameroon"/>
    <s v="CMR004"/>
    <s v="Extrême-Nord"/>
    <s v="CMR004006"/>
    <s v="Mayo-Tsanaga"/>
    <s v="CMR004006004"/>
    <s v="Koza"/>
  </r>
  <r>
    <s v="Extrême-Nord"/>
    <s v="CMR004"/>
    <x v="5"/>
    <s v="CMR004006"/>
    <x v="30"/>
    <s v="CMR004006005"/>
    <s v="GOLKIDAYE"/>
    <s v="MOZ_0002"/>
    <x v="0"/>
    <s v="P2"/>
    <n v="19"/>
    <n v="9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LKIDAYE"/>
    <s v="MOZ_0002"/>
    <x v="0"/>
    <s v="P5"/>
    <n v="8"/>
    <n v="41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HITERE"/>
    <s v="MOZ_0019"/>
    <x v="0"/>
    <s v="P2"/>
    <n v="38"/>
    <n v="213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HITERE"/>
    <s v="MOZ_0019"/>
    <x v="0"/>
    <s v="P3"/>
    <n v="16"/>
    <n v="92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HITERE"/>
    <s v="MOZ_0019"/>
    <x v="0"/>
    <s v="P4"/>
    <n v="19"/>
    <n v="102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HITERE"/>
    <s v="MOZ_0019"/>
    <x v="0"/>
    <s v="P5"/>
    <n v="8"/>
    <n v="4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HITERE"/>
    <s v="MOZ_0019"/>
    <x v="0"/>
    <s v="P6"/>
    <n v="8"/>
    <n v="42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ARAZAWA"/>
    <s v="MOZ_0003"/>
    <x v="0"/>
    <s v="P2"/>
    <n v="6"/>
    <n v="3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ARAZAWA"/>
    <s v="MOZ_0003"/>
    <x v="0"/>
    <s v="P3"/>
    <n v="4"/>
    <n v="2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ARAZAWA"/>
    <s v="MOZ_0003"/>
    <x v="0"/>
    <s v="P4"/>
    <n v="1"/>
    <n v="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ARAZAWA"/>
    <s v="MOZ_0003"/>
    <x v="0"/>
    <s v="P5"/>
    <n v="1"/>
    <n v="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LARI"/>
    <s v="MOZ_0004"/>
    <x v="0"/>
    <s v="P2"/>
    <n v="39"/>
    <n v="19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LARI"/>
    <s v="MOZ_0004"/>
    <x v="0"/>
    <s v="P3"/>
    <n v="18"/>
    <n v="9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LARI"/>
    <s v="MOZ_0004"/>
    <x v="0"/>
    <s v="P4"/>
    <n v="5"/>
    <n v="2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LARI"/>
    <s v="MOZ_0004"/>
    <x v="0"/>
    <s v="P5"/>
    <n v="7"/>
    <n v="3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REWA-MAFA"/>
    <s v="MOZ_0020"/>
    <x v="0"/>
    <s v="P2"/>
    <n v="63"/>
    <n v="334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REWA-MAFA"/>
    <s v="MOZ_0020"/>
    <x v="0"/>
    <s v="P3"/>
    <n v="80"/>
    <n v="439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REWA-MAFA"/>
    <s v="MOZ_0020"/>
    <x v="0"/>
    <s v="P4"/>
    <n v="49"/>
    <n v="239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REWA-MAFA"/>
    <s v="MOZ_0020"/>
    <x v="0"/>
    <s v="P5"/>
    <n v="10"/>
    <n v="5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REWA-MAFA"/>
    <s v="MOZ_0020"/>
    <x v="0"/>
    <s v="P6"/>
    <n v="7"/>
    <n v="34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ORSAMBA"/>
    <s v="MOZ_0005"/>
    <x v="0"/>
    <s v="P2"/>
    <n v="19"/>
    <n v="9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KORSAMBA"/>
    <s v="MOZ_0005"/>
    <x v="0"/>
    <s v="P3"/>
    <n v="14"/>
    <n v="7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ORSAMBA"/>
    <s v="MOZ_0005"/>
    <x v="0"/>
    <s v="P4"/>
    <n v="6"/>
    <n v="3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KORSAMBA"/>
    <s v="MOZ_0005"/>
    <x v="0"/>
    <s v="P5"/>
    <n v="6"/>
    <n v="3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ADAKAR"/>
    <s v="MOZ_0022"/>
    <x v="0"/>
    <s v="P2"/>
    <n v="2"/>
    <n v="1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DAKAR"/>
    <s v="MOZ_0022"/>
    <x v="0"/>
    <s v="P3"/>
    <n v="3"/>
    <n v="1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DAKAR"/>
    <s v="MOZ_0022"/>
    <x v="0"/>
    <s v="P4"/>
    <n v="2"/>
    <n v="1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NDOUSSA"/>
    <s v="MOZ_0014"/>
    <x v="0"/>
    <s v="P2"/>
    <n v="6"/>
    <n v="3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NDOUSSA"/>
    <s v="MOZ_0014"/>
    <x v="0"/>
    <s v="P3"/>
    <n v="8"/>
    <n v="4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NDOUSSA"/>
    <s v="MOZ_0014"/>
    <x v="0"/>
    <s v="P4"/>
    <n v="3"/>
    <n v="1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NDOUSSA"/>
    <s v="MOZ_0014"/>
    <x v="0"/>
    <s v="P5"/>
    <n v="7"/>
    <n v="3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WA"/>
    <s v="MOZ_0006"/>
    <x v="0"/>
    <s v="P2"/>
    <n v="67"/>
    <n v="33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WA"/>
    <s v="MOZ_0006"/>
    <x v="0"/>
    <s v="P3"/>
    <n v="37"/>
    <n v="18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WA"/>
    <s v="MOZ_0006"/>
    <x v="0"/>
    <s v="P4"/>
    <n v="18"/>
    <n v="9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WA"/>
    <s v="MOZ_0006"/>
    <x v="0"/>
    <s v="P5"/>
    <n v="9"/>
    <n v="4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WA"/>
    <s v="MOZ_0006"/>
    <x v="0"/>
    <s v="P6"/>
    <n v="2"/>
    <n v="14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EDEGOUER"/>
    <s v="MOZ_0007"/>
    <x v="0"/>
    <s v="P2"/>
    <n v="5"/>
    <n v="2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EDEGOUER"/>
    <s v="MOZ_0007"/>
    <x v="0"/>
    <s v="P3"/>
    <n v="8"/>
    <n v="4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EDEGOUER"/>
    <s v="MOZ_0007"/>
    <x v="0"/>
    <s v="P5"/>
    <n v="3"/>
    <n v="1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SKOTA"/>
    <s v="MOZ_0008"/>
    <x v="0"/>
    <s v="P2"/>
    <n v="102"/>
    <n v="51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OSKOTA"/>
    <s v="MOZ_0008"/>
    <x v="0"/>
    <s v="P3"/>
    <n v="24"/>
    <n v="12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OSKOTA"/>
    <s v="MOZ_0008"/>
    <x v="0"/>
    <s v="P4"/>
    <n v="12"/>
    <n v="74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SKOTA"/>
    <s v="MOZ_0008"/>
    <x v="0"/>
    <s v="P5"/>
    <n v="14"/>
    <n v="7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SKOTA"/>
    <s v="MOZ_0008"/>
    <x v="0"/>
    <s v="P6"/>
    <n v="32"/>
    <n v="163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GUIDBALA"/>
    <s v="MOZ_0010"/>
    <x v="0"/>
    <s v="P2"/>
    <n v="30"/>
    <n v="15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OZOGO GUIDBALA"/>
    <s v="MOZ_0010"/>
    <x v="0"/>
    <s v="P3"/>
    <n v="45"/>
    <n v="22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GUIDBALA"/>
    <s v="MOZ_0010"/>
    <x v="0"/>
    <s v="P4"/>
    <n v="18"/>
    <n v="94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GUIDBALA"/>
    <s v="MOZ_0010"/>
    <x v="0"/>
    <s v="P5"/>
    <n v="14"/>
    <n v="76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OZOGO QUARTIER HAOUSSA"/>
    <s v="MOZ_0011"/>
    <x v="0"/>
    <s v="P2"/>
    <n v="253"/>
    <n v="126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QUARTIER HAOUSSA"/>
    <s v="MOZ_0011"/>
    <x v="0"/>
    <s v="P3"/>
    <n v="28"/>
    <n v="14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OZOGO QUARTIER HAOUSSA"/>
    <s v="MOZ_0011"/>
    <x v="0"/>
    <s v="P4"/>
    <n v="6"/>
    <n v="31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QUARTIER HAOUSSA"/>
    <s v="MOZ_0011"/>
    <x v="0"/>
    <s v="P5"/>
    <n v="13"/>
    <n v="67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TCHEKODE"/>
    <s v="MOZ_0012"/>
    <x v="0"/>
    <s v="P2"/>
    <n v="42"/>
    <n v="21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TCHEKODE"/>
    <s v="MOZ_0012"/>
    <x v="0"/>
    <s v="P3"/>
    <n v="18"/>
    <n v="9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OZOGO TCHEKODE"/>
    <s v="MOZ_0012"/>
    <x v="0"/>
    <s v="P4"/>
    <n v="29"/>
    <n v="15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TCHEKODE"/>
    <s v="MOZ_0012"/>
    <x v="0"/>
    <s v="P5"/>
    <n v="8"/>
    <n v="41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NGUETCHEWE"/>
    <s v="MOZ_0013"/>
    <x v="0"/>
    <s v="P2"/>
    <n v="85"/>
    <n v="42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NGUETCHEWE"/>
    <s v="MOZ_0013"/>
    <x v="0"/>
    <s v="P3"/>
    <n v="25"/>
    <n v="12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NGUETCHEWE"/>
    <s v="MOZ_0013"/>
    <x v="0"/>
    <s v="P4"/>
    <n v="10"/>
    <n v="59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NGUETCHEWE"/>
    <s v="MOZ_0013"/>
    <x v="0"/>
    <s v="P5"/>
    <n v="18"/>
    <n v="98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OUZAL"/>
    <s v="MOZ_0015"/>
    <x v="0"/>
    <s v="P3"/>
    <n v="37"/>
    <n v="18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OUZAL"/>
    <s v="MOZ_0015"/>
    <x v="0"/>
    <s v="P4"/>
    <n v="2"/>
    <n v="13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OUZAL"/>
    <s v="MOZ_0015"/>
    <x v="0"/>
    <s v="P5"/>
    <n v="1"/>
    <n v="2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OUZAL"/>
    <s v="MOZ_0015"/>
    <x v="0"/>
    <s v="P6"/>
    <n v="2"/>
    <n v="13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VOUZI"/>
    <s v="MOZ_0021"/>
    <x v="0"/>
    <s v="P2"/>
    <n v="6"/>
    <n v="3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VOUZI"/>
    <s v="MOZ_0021"/>
    <x v="0"/>
    <s v="P3"/>
    <n v="3"/>
    <n v="1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VOUZI"/>
    <s v="MOZ_0021"/>
    <x v="0"/>
    <s v="P4"/>
    <n v="3"/>
    <n v="1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WOUDAL"/>
    <s v="MOZ_0034"/>
    <x v="0"/>
    <s v="P3"/>
    <n v="16"/>
    <n v="88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WOUDAL"/>
    <s v="MOZ_0034"/>
    <x v="0"/>
    <s v="P4"/>
    <n v="2"/>
    <n v="9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WOUDAL"/>
    <s v="MOZ_0034"/>
    <x v="0"/>
    <s v="P5"/>
    <n v="3"/>
    <n v="17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YAMGAZAWA"/>
    <s v="MOZ_0016"/>
    <x v="0"/>
    <s v="P5"/>
    <n v="2"/>
    <n v="1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YAMGAZAWA"/>
    <s v="MOZ_0016"/>
    <x v="0"/>
    <s v="P6"/>
    <n v="1"/>
    <n v="6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ZELEWET"/>
    <s v="MOZ_0031"/>
    <x v="0"/>
    <s v="P2"/>
    <n v="3"/>
    <n v="14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ZELEWET"/>
    <s v="MOZ_0031"/>
    <x v="0"/>
    <s v="P4"/>
    <n v="6"/>
    <n v="34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BAO VARA"/>
    <s v="SOU_0001"/>
    <x v="0"/>
    <s v="P2"/>
    <n v="5"/>
    <n v="2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1"/>
    <s v="CMR004006006"/>
    <s v="BAO VARA"/>
    <s v="SOU_0001"/>
    <x v="0"/>
    <s v="P3"/>
    <n v="17"/>
    <n v="7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1"/>
    <s v="CMR004006006"/>
    <s v="BAO VARA"/>
    <s v="SOU_0001"/>
    <x v="0"/>
    <s v="P4"/>
    <n v="11"/>
    <n v="4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BAO VARA"/>
    <s v="SOU_0001"/>
    <x v="0"/>
    <s v="P5"/>
    <n v="7"/>
    <n v="3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DOUMGAR"/>
    <s v="SOU_0009"/>
    <x v="0"/>
    <s v="P3"/>
    <n v="17"/>
    <n v="5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GOLIBAI"/>
    <s v="SOU_0003"/>
    <x v="0"/>
    <s v="P4"/>
    <n v="40"/>
    <n v="18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GOLIBAI"/>
    <s v="SOU_0003"/>
    <x v="0"/>
    <s v="P5"/>
    <n v="4"/>
    <n v="21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MADOKONAI 1"/>
    <s v="SOU_0004"/>
    <x v="0"/>
    <s v="P3"/>
    <n v="8"/>
    <n v="41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MADOKONAI 1"/>
    <s v="SOU_0004"/>
    <x v="0"/>
    <s v="P4"/>
    <n v="3"/>
    <n v="11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OUDOUMDJARAY"/>
    <s v="SOU_0008"/>
    <x v="0"/>
    <s v="P3"/>
    <n v="3"/>
    <n v="18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1"/>
    <s v="CMR004006006"/>
    <s v="ROUA CENTRE"/>
    <s v="SOU_0005"/>
    <x v="0"/>
    <s v="P3"/>
    <n v="26"/>
    <n v="18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ROUA CENTRE"/>
    <s v="SOU_0005"/>
    <x v="0"/>
    <s v="P4"/>
    <n v="9"/>
    <n v="5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SOULEDE"/>
    <s v="SOU_0006"/>
    <x v="0"/>
    <s v="P3"/>
    <n v="4"/>
    <n v="1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1"/>
    <x v="4"/>
    <s v="CMR004001003"/>
    <s v="ALAGARNO"/>
    <s v="PET_0001"/>
    <x v="1"/>
    <s v="P4"/>
    <n v="2"/>
    <n v="11"/>
    <s v="Conflits EIAO"/>
    <s v=""/>
    <s v="autre_pays"/>
    <s v="TCD"/>
    <s v="Chad"/>
    <s v="TCD"/>
    <s v="Mayo Kebbi Est"/>
    <s v=""/>
    <s v=""/>
    <s v=""/>
    <s v=""/>
  </r>
  <r>
    <s v="Extrême-Nord"/>
    <s v="CMR004"/>
    <x v="0"/>
    <s v="CMR004001"/>
    <x v="4"/>
    <s v="CMR004001003"/>
    <s v="DJABIRE"/>
    <s v="PET_0002"/>
    <x v="1"/>
    <s v="P3"/>
    <n v="22"/>
    <n v="218"/>
    <s v="Conflits EIAO"/>
    <s v=""/>
    <s v="autre_pays"/>
    <s v="NGA"/>
    <s v="Nigeria"/>
    <s v="NGA"/>
    <s v="Borno"/>
    <s v=""/>
    <s v=""/>
    <s v=""/>
    <s v=""/>
  </r>
  <r>
    <s v="Extrême-Nord"/>
    <s v="CMR004"/>
    <x v="0"/>
    <s v="CMR004001"/>
    <x v="4"/>
    <s v="CMR004001003"/>
    <s v="DJABIRE"/>
    <s v="PET_0002"/>
    <x v="1"/>
    <s v="P5"/>
    <n v="2"/>
    <n v="2"/>
    <s v="Conflits EIAO"/>
    <s v=""/>
    <s v="autre_pays"/>
    <s v="NGA"/>
    <s v="Nigeria"/>
    <s v="NGA"/>
    <s v="Borno"/>
    <s v=""/>
    <s v=""/>
    <s v=""/>
    <s v=""/>
  </r>
  <r>
    <s v="Extrême-Nord"/>
    <s v="CMR004"/>
    <x v="0"/>
    <s v="CMR004001"/>
    <x v="4"/>
    <s v="CMR004001003"/>
    <s v="HAOUSSARE"/>
    <s v="PET_0009"/>
    <x v="1"/>
    <s v="P6"/>
    <n v="1"/>
    <n v="3"/>
    <s v="Conflits EIAO"/>
    <s v=""/>
    <s v="autre_pays"/>
    <s v="NGA"/>
    <s v="Nigeria"/>
    <s v="NGA"/>
    <s v="Borno"/>
    <s v=""/>
    <s v=""/>
    <s v=""/>
    <s v=""/>
  </r>
  <r>
    <s v="Extrême-Nord"/>
    <s v="CMR004"/>
    <x v="0"/>
    <s v="CMR004001"/>
    <x v="4"/>
    <s v="CMR004001003"/>
    <s v="KLISSAWA"/>
    <s v="PET_0013"/>
    <x v="1"/>
    <s v="P4"/>
    <n v="1"/>
    <n v="6"/>
    <s v="Conflits EIAO"/>
    <s v=""/>
    <s v="autre_pays"/>
    <s v="NGA"/>
    <s v="Nigeria"/>
    <s v="NGA"/>
    <s v="Borno"/>
    <s v=""/>
    <s v=""/>
    <s v=""/>
    <s v=""/>
  </r>
  <r>
    <s v="Extrême-Nord"/>
    <s v="CMR004"/>
    <x v="0"/>
    <s v="CMR004001"/>
    <x v="4"/>
    <s v="CMR004001003"/>
    <s v="MOURGOUT"/>
    <s v="PET_0021"/>
    <x v="1"/>
    <s v="P5"/>
    <n v="2"/>
    <n v="1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BLANGOUA"/>
    <s v="BLA_0002"/>
    <x v="1"/>
    <s v="P2"/>
    <n v="84"/>
    <n v="37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BLANGOUA"/>
    <s v="BLA_0002"/>
    <x v="1"/>
    <s v="P3"/>
    <n v="17"/>
    <n v="7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BLANGOUA"/>
    <s v="BLA_0002"/>
    <x v="1"/>
    <s v="P4"/>
    <n v="2"/>
    <n v="1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BLANGOUA"/>
    <s v="BLA_0002"/>
    <x v="1"/>
    <s v="P5"/>
    <n v="5"/>
    <n v="2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BLARAM"/>
    <s v="BLA_0004"/>
    <x v="1"/>
    <s v="P2"/>
    <n v="1"/>
    <n v="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CHAOUE"/>
    <s v="BLA_0005"/>
    <x v="1"/>
    <s v="P3"/>
    <n v="1"/>
    <n v="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GORE KOUBOU"/>
    <s v="BLA_0006"/>
    <x v="1"/>
    <s v="P2"/>
    <n v="2"/>
    <n v="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INZAYAKOU"/>
    <s v="BLA_0007"/>
    <x v="1"/>
    <s v="P3"/>
    <n v="2"/>
    <n v="1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OFIA"/>
    <s v="BLA_0009"/>
    <x v="1"/>
    <s v="P2"/>
    <n v="7"/>
    <n v="3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OFIA"/>
    <s v="BLA_0009"/>
    <x v="1"/>
    <s v="P3"/>
    <n v="10"/>
    <n v="4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OFIA"/>
    <s v="BLA_0009"/>
    <x v="1"/>
    <s v="P4"/>
    <n v="9"/>
    <n v="7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OFIA"/>
    <s v="BLA_0009"/>
    <x v="1"/>
    <s v="P5"/>
    <n v="7"/>
    <n v="3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OUTOULA"/>
    <s v="BLA_0010"/>
    <x v="1"/>
    <s v="P2"/>
    <n v="2"/>
    <n v="1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OUTOULA"/>
    <s v="BLA_0010"/>
    <x v="1"/>
    <s v="P3"/>
    <n v="1"/>
    <n v="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OUTOULA"/>
    <s v="BLA_0010"/>
    <x v="1"/>
    <s v="P4"/>
    <n v="1"/>
    <n v="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OUTOULA"/>
    <s v="BLA_0010"/>
    <x v="1"/>
    <s v="P5"/>
    <n v="1"/>
    <n v="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TCHOLLORE"/>
    <s v="BLA_0016"/>
    <x v="1"/>
    <s v="P4"/>
    <n v="7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TCHOLLORE"/>
    <s v="BLA_0016"/>
    <x v="1"/>
    <s v="P5"/>
    <n v="2"/>
    <n v="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WAYA-WAYA"/>
    <s v="BLA_0014"/>
    <x v="1"/>
    <s v="P3"/>
    <n v="7"/>
    <n v="5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WAYA-WAYA"/>
    <s v="BLA_0014"/>
    <x v="1"/>
    <s v="P4"/>
    <n v="3"/>
    <n v="2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BOUSSAYA"/>
    <s v="DAR_0002"/>
    <x v="1"/>
    <s v="P3"/>
    <n v="7"/>
    <n v="4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BOUSSAYA"/>
    <s v="DAR_0002"/>
    <x v="1"/>
    <s v="P4"/>
    <n v="4"/>
    <n v="2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DOLE-ABOUNA"/>
    <s v="DAR_0006"/>
    <x v="1"/>
    <s v="P3"/>
    <n v="4"/>
    <n v="1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DOLE-ABOUNA"/>
    <s v="DAR_0006"/>
    <x v="1"/>
    <s v="P4"/>
    <n v="2"/>
    <n v="1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DORO LIMANE"/>
    <s v="DAR_0021"/>
    <x v="1"/>
    <s v="P1"/>
    <n v="3"/>
    <n v="2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DORO LIMANE"/>
    <s v="DAR_0021"/>
    <x v="1"/>
    <s v="P2"/>
    <n v="7"/>
    <n v="5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DORO LIMANE"/>
    <s v="DAR_0021"/>
    <x v="1"/>
    <s v="P3"/>
    <n v="6"/>
    <n v="4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DORO LIMANE"/>
    <s v="DAR_0021"/>
    <x v="1"/>
    <s v="P5"/>
    <n v="2"/>
    <n v="1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GORE TCHANDI"/>
    <s v="DAR_0007"/>
    <x v="1"/>
    <s v="P1"/>
    <n v="4"/>
    <n v="5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GORE TCHANDI"/>
    <s v="DAR_0007"/>
    <x v="1"/>
    <s v="P2"/>
    <n v="16"/>
    <n v="14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GORE TCHANDI"/>
    <s v="DAR_0007"/>
    <x v="1"/>
    <s v="P3"/>
    <n v="4"/>
    <n v="4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HIL-WANZAN"/>
    <s v="DAR_0008"/>
    <x v="1"/>
    <s v="P2"/>
    <n v="11"/>
    <n v="7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KARENA"/>
    <s v="DAR_0011"/>
    <x v="1"/>
    <s v="P3"/>
    <n v="5"/>
    <n v="3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KATIKIME 1"/>
    <s v="DAR_0012"/>
    <x v="1"/>
    <s v="P2"/>
    <n v="2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KATIKIME 2"/>
    <s v="DAR_0023"/>
    <x v="1"/>
    <s v="P2"/>
    <n v="6"/>
    <n v="4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KATIKIME 2"/>
    <s v="DAR_0023"/>
    <x v="1"/>
    <s v="P4"/>
    <n v="1"/>
    <n v="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KOUNDJARA"/>
    <s v="DAR_0013"/>
    <x v="1"/>
    <s v="P2"/>
    <n v="2"/>
    <n v="1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KOUNDJARA"/>
    <s v="DAR_0013"/>
    <x v="1"/>
    <s v="P3"/>
    <n v="4"/>
    <n v="2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MAGALA-KABIR 1"/>
    <s v="DAR_0015"/>
    <x v="1"/>
    <s v="P3"/>
    <n v="4"/>
    <n v="2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MAGALA-KABIR 2"/>
    <s v="DAR_0016"/>
    <x v="1"/>
    <s v="P4"/>
    <n v="3"/>
    <n v="1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TOROROYA"/>
    <s v="DAR_0020"/>
    <x v="1"/>
    <s v="P3"/>
    <n v="4"/>
    <n v="2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TOROROYA"/>
    <s v="DAR_0020"/>
    <x v="1"/>
    <s v="P5"/>
    <n v="2"/>
    <n v="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CHOLOBA"/>
    <s v="FOT_0029"/>
    <x v="1"/>
    <s v="P4"/>
    <n v="15"/>
    <n v="13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FOTOKOL VILLE"/>
    <s v="FOT_0009"/>
    <x v="1"/>
    <s v="P2"/>
    <n v="53"/>
    <n v="51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FOTOKOL VILLE"/>
    <s v="FOT_0009"/>
    <x v="1"/>
    <s v="P4"/>
    <n v="530"/>
    <n v="274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GADAFAI"/>
    <s v="FOT_0045"/>
    <x v="1"/>
    <s v="P5"/>
    <n v="24"/>
    <n v="7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GLO KOTOKO"/>
    <s v="FOT_0034"/>
    <x v="1"/>
    <s v="P3"/>
    <n v="53"/>
    <n v="26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GOLMO ARABE"/>
    <s v="FOT_0039"/>
    <x v="1"/>
    <s v="P4"/>
    <n v="5"/>
    <n v="3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GOLMO KOTOKO"/>
    <s v="FOT_0040"/>
    <x v="1"/>
    <s v="P4"/>
    <n v="25"/>
    <n v="8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GUEGUERI"/>
    <s v="FOT_0048"/>
    <x v="1"/>
    <s v="P5"/>
    <n v="27"/>
    <n v="10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MAGADI 1"/>
    <s v="FOT_0042"/>
    <x v="1"/>
    <s v="P5"/>
    <n v="39"/>
    <n v="31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MAGADI 2"/>
    <s v="FOT_0043"/>
    <x v="1"/>
    <s v="P5"/>
    <n v="12"/>
    <n v="9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NGANAWAI"/>
    <s v="FOT_0046"/>
    <x v="1"/>
    <s v="P5"/>
    <n v="21"/>
    <n v="10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ROUNDE"/>
    <s v="FOT_0044"/>
    <x v="1"/>
    <s v="P3"/>
    <n v="62"/>
    <n v="31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SAGME"/>
    <s v="FOT_0019"/>
    <x v="1"/>
    <s v="P3"/>
    <n v="57"/>
    <n v="23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WANGARA"/>
    <s v="FOT_0047"/>
    <x v="1"/>
    <s v="P5"/>
    <n v="45"/>
    <n v="17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WAROU"/>
    <s v="FOT_0028"/>
    <x v="1"/>
    <s v="P4"/>
    <n v="106"/>
    <n v="34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0"/>
    <s v="CMR004002006"/>
    <s v="KAWADJI 1"/>
    <s v="KOU_0040"/>
    <x v="1"/>
    <s v="P3"/>
    <n v="5"/>
    <n v="2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0"/>
    <s v="CMR004002006"/>
    <s v="NAGA"/>
    <s v="KOU_0030"/>
    <x v="1"/>
    <s v="P4"/>
    <n v="1"/>
    <n v="1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DEIMA"/>
    <s v="LBI_0030"/>
    <x v="1"/>
    <s v="P5"/>
    <n v="20"/>
    <n v="11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FADJE (CAMP)"/>
    <s v="LBI_0016"/>
    <x v="1"/>
    <s v="P3"/>
    <n v="3"/>
    <n v="2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GOURLE"/>
    <s v="LBI_0017"/>
    <x v="1"/>
    <s v="P3"/>
    <n v="5"/>
    <n v="4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MOULADOCK 2"/>
    <s v="LBI_0021"/>
    <x v="1"/>
    <s v="P3"/>
    <n v="44"/>
    <n v="20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NDJAMENA"/>
    <s v="LBI_0041"/>
    <x v="1"/>
    <s v="P5"/>
    <n v="17"/>
    <n v="10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NDOM"/>
    <s v="LBI_0042"/>
    <x v="1"/>
    <s v="P5"/>
    <n v="22"/>
    <n v="16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NGADA"/>
    <s v="LBI_0023"/>
    <x v="1"/>
    <s v="P3"/>
    <n v="66"/>
    <n v="20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SAHABA 3"/>
    <s v="LBI_0024"/>
    <x v="1"/>
    <s v="P3"/>
    <n v="28"/>
    <n v="15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SALERI"/>
    <s v="LBI_0015"/>
    <x v="1"/>
    <s v="P3"/>
    <n v="50"/>
    <n v="42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SKLIO"/>
    <s v="LBI_0025"/>
    <x v="1"/>
    <s v="P3"/>
    <n v="50"/>
    <n v="15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TABOYE"/>
    <s v="LBI_0044"/>
    <x v="1"/>
    <s v="P4"/>
    <n v="25"/>
    <n v="21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TRAYA"/>
    <s v="LBI_0026"/>
    <x v="1"/>
    <s v="P3"/>
    <n v="5"/>
    <n v="2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BOUYAKOUBA"/>
    <s v="MAK_0002"/>
    <x v="1"/>
    <s v="P3"/>
    <n v="4"/>
    <n v="2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BOUYAKOUBA"/>
    <s v="MAK_0002"/>
    <x v="1"/>
    <s v="P4"/>
    <n v="3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FADE (VILLAGE)"/>
    <s v="MAK_0003"/>
    <x v="1"/>
    <s v="P3"/>
    <n v="20"/>
    <n v="19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FADE (VILLAGE)"/>
    <s v="MAK_0003"/>
    <x v="1"/>
    <s v="P4"/>
    <n v="27"/>
    <n v="20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FADE (VILLAGE)"/>
    <s v="MAK_0003"/>
    <x v="1"/>
    <s v="P5"/>
    <n v="5"/>
    <n v="4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FADE CAMP"/>
    <s v="MAK_0004"/>
    <x v="1"/>
    <s v="P4"/>
    <n v="7"/>
    <n v="6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FADE CAMP"/>
    <s v="MAK_0004"/>
    <x v="1"/>
    <s v="P5"/>
    <n v="371"/>
    <n v="315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FADE CAMP"/>
    <s v="MAK_0004"/>
    <x v="1"/>
    <s v="P6"/>
    <n v="3"/>
    <n v="2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LAK 1"/>
    <s v="MAK_0144"/>
    <x v="1"/>
    <s v="P3"/>
    <n v="12"/>
    <n v="5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LAK 1"/>
    <s v="MAK_0144"/>
    <x v="1"/>
    <s v="P4"/>
    <n v="8"/>
    <n v="6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LAK 2"/>
    <s v="MAK_0145"/>
    <x v="1"/>
    <s v="P4"/>
    <n v="13"/>
    <n v="7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MSOUMOU"/>
    <s v="MAK_0147"/>
    <x v="1"/>
    <s v="P4"/>
    <n v="15"/>
    <n v="12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MSOUMOU"/>
    <s v="MAK_0147"/>
    <x v="1"/>
    <s v="P5"/>
    <n v="5"/>
    <n v="4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NAMBARI"/>
    <s v="MAK_0010"/>
    <x v="1"/>
    <s v="P3"/>
    <n v="3"/>
    <n v="2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NAMBARI"/>
    <s v="MAK_0010"/>
    <x v="1"/>
    <s v="P4"/>
    <n v="3"/>
    <n v="1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RDEB 1"/>
    <s v="MAK_0148"/>
    <x v="1"/>
    <s v="P4"/>
    <n v="4"/>
    <n v="2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RDEB 2"/>
    <s v="MAK_0149"/>
    <x v="1"/>
    <s v="P4"/>
    <n v="4"/>
    <n v="1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AGARA"/>
    <s v="MAK_0013"/>
    <x v="1"/>
    <s v="P4"/>
    <n v="4"/>
    <n v="3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AGARA"/>
    <s v="MAK_0013"/>
    <x v="1"/>
    <s v="P5"/>
    <n v="5"/>
    <n v="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EDA (CAMP)"/>
    <s v="MAK_0150"/>
    <x v="1"/>
    <s v="P4"/>
    <n v="15"/>
    <n v="22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EDA (CAMP)"/>
    <s v="MAK_0150"/>
    <x v="1"/>
    <s v="P6"/>
    <n v="8"/>
    <n v="6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IAMO"/>
    <s v="MAK_0016"/>
    <x v="1"/>
    <s v="P3"/>
    <n v="192"/>
    <n v="163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IAMO"/>
    <s v="MAK_0016"/>
    <x v="1"/>
    <s v="P4"/>
    <n v="63"/>
    <n v="53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IAMO"/>
    <s v="MAK_0016"/>
    <x v="1"/>
    <s v="P5"/>
    <n v="12"/>
    <n v="10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LABLIN"/>
    <s v="MAK_0018"/>
    <x v="1"/>
    <s v="P3"/>
    <n v="8"/>
    <n v="4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LABLIN"/>
    <s v="MAK_0018"/>
    <x v="1"/>
    <s v="P5"/>
    <n v="1"/>
    <n v="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LEM (CAMP)"/>
    <s v="MAK_0225"/>
    <x v="1"/>
    <s v="P5"/>
    <n v="47"/>
    <n v="40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LO"/>
    <s v="MAK_0184"/>
    <x v="1"/>
    <s v="P4"/>
    <n v="41"/>
    <n v="34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LO"/>
    <s v="MAK_0184"/>
    <x v="1"/>
    <s v="P5"/>
    <n v="6"/>
    <n v="5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LOUMTAGUI"/>
    <s v="MAK_0020"/>
    <x v="1"/>
    <s v="P2"/>
    <n v="8"/>
    <n v="4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ODO"/>
    <s v="MAK_0021"/>
    <x v="1"/>
    <s v="P2"/>
    <n v="35"/>
    <n v="20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ODO"/>
    <s v="MAK_0021"/>
    <x v="1"/>
    <s v="P4"/>
    <n v="62"/>
    <n v="42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ODO"/>
    <s v="MAK_0021"/>
    <x v="1"/>
    <s v="P5"/>
    <n v="18"/>
    <n v="10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CHALAMTINI"/>
    <s v="MAK_0024"/>
    <x v="1"/>
    <s v="P4"/>
    <n v="3"/>
    <n v="3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CHOU-KOTOKO"/>
    <s v="MAK_0122"/>
    <x v="1"/>
    <s v="P4"/>
    <n v="22"/>
    <n v="18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CHOU-SALAMAT"/>
    <s v="MAK_0123"/>
    <x v="1"/>
    <s v="P4"/>
    <n v="53"/>
    <n v="45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AGLE"/>
    <s v="MAK_0152"/>
    <x v="1"/>
    <s v="P3"/>
    <n v="8"/>
    <n v="5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AGLE"/>
    <s v="MAK_0152"/>
    <x v="1"/>
    <s v="P5"/>
    <n v="3"/>
    <n v="1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IAM 1"/>
    <s v="MAK_0154"/>
    <x v="1"/>
    <s v="P3"/>
    <n v="17"/>
    <n v="6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IAM 1"/>
    <s v="MAK_0154"/>
    <x v="1"/>
    <s v="P4"/>
    <n v="5"/>
    <n v="3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IAM 2"/>
    <s v="MAK_0155"/>
    <x v="1"/>
    <s v="P4"/>
    <n v="11"/>
    <n v="4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IGAM BAR"/>
    <s v="MAK_0107"/>
    <x v="1"/>
    <s v="P3"/>
    <n v="10"/>
    <n v="10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IGAM BAR"/>
    <s v="MAK_0107"/>
    <x v="1"/>
    <s v="P4"/>
    <n v="2"/>
    <n v="1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JADJAYA"/>
    <s v="MAK_0124"/>
    <x v="1"/>
    <s v="P2"/>
    <n v="2"/>
    <n v="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JADJAYA"/>
    <s v="MAK_0124"/>
    <x v="1"/>
    <s v="P3"/>
    <n v="2"/>
    <n v="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JAKDJAKKAYA 2"/>
    <s v="MAK_0157"/>
    <x v="1"/>
    <s v="P4"/>
    <n v="8"/>
    <n v="6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JAMOUS"/>
    <s v="MAK_0030"/>
    <x v="1"/>
    <s v="P4"/>
    <n v="21"/>
    <n v="25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JIDANSAMA"/>
    <s v="MAK_0031"/>
    <x v="1"/>
    <s v="P4"/>
    <n v="3"/>
    <n v="1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OLE-AFADE"/>
    <s v="MAK_0033"/>
    <x v="1"/>
    <s v="P3"/>
    <n v="20"/>
    <n v="7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OUBABEL GOSS"/>
    <s v="MAK_0036"/>
    <x v="1"/>
    <s v="P5"/>
    <n v="12"/>
    <n v="10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OUGOUM"/>
    <s v="MAK_0159"/>
    <x v="1"/>
    <s v="P4"/>
    <n v="4"/>
    <n v="3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DJE"/>
    <s v="MAK_0038"/>
    <x v="1"/>
    <s v="P4"/>
    <n v="5"/>
    <n v="2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RCH 1"/>
    <s v="MAK_0039"/>
    <x v="1"/>
    <s v="P2"/>
    <n v="12"/>
    <n v="5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RCH 2"/>
    <s v="MAK_0040"/>
    <x v="1"/>
    <s v="P3"/>
    <n v="6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RCH 2"/>
    <s v="MAK_0040"/>
    <x v="1"/>
    <s v="P4"/>
    <n v="5"/>
    <n v="2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RCH 2"/>
    <s v="MAK_0040"/>
    <x v="1"/>
    <s v="P5"/>
    <n v="2"/>
    <n v="1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RFARA 1"/>
    <s v="MAK_0161"/>
    <x v="1"/>
    <s v="P2"/>
    <n v="19"/>
    <n v="7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RFARA 1"/>
    <s v="MAK_0161"/>
    <x v="1"/>
    <s v="P3"/>
    <n v="6"/>
    <n v="1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RFARA 1"/>
    <s v="MAK_0161"/>
    <x v="1"/>
    <s v="P4"/>
    <n v="7"/>
    <n v="1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RFARA 1"/>
    <s v="MAK_0161"/>
    <x v="1"/>
    <s v="P5"/>
    <n v="10"/>
    <n v="4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ALE-GALE"/>
    <s v="MAK_0126"/>
    <x v="1"/>
    <s v="P4"/>
    <n v="10"/>
    <n v="8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AMBAROU"/>
    <s v="MAK_0041"/>
    <x v="1"/>
    <s v="P2"/>
    <n v="1"/>
    <n v="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LAO"/>
    <s v="MAK_0042"/>
    <x v="1"/>
    <s v="P3"/>
    <n v="4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LAO"/>
    <s v="MAK_0042"/>
    <x v="1"/>
    <s v="P5"/>
    <n v="5"/>
    <n v="4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LAO AFADE"/>
    <s v="MAK_0186"/>
    <x v="1"/>
    <s v="P4"/>
    <n v="5"/>
    <n v="2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LAO BARDAI"/>
    <s v="MAK_0187"/>
    <x v="1"/>
    <s v="P5"/>
    <n v="11"/>
    <n v="9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OUBAGO"/>
    <s v="MAK_0045"/>
    <x v="1"/>
    <s v="P4"/>
    <n v="3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OULOUMBO"/>
    <s v="MAK_0166"/>
    <x v="1"/>
    <s v="P4"/>
    <n v="7"/>
    <n v="6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OULOUMBO"/>
    <s v="MAK_0166"/>
    <x v="1"/>
    <s v="P5"/>
    <n v="4"/>
    <n v="3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OURGOURA"/>
    <s v="MAK_0047"/>
    <x v="1"/>
    <s v="P3"/>
    <n v="2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UEILALA"/>
    <s v="MAK_0224"/>
    <x v="1"/>
    <s v="P3"/>
    <n v="10"/>
    <n v="8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HADAMARI"/>
    <s v="MAK_0169"/>
    <x v="1"/>
    <s v="P3"/>
    <n v="4"/>
    <n v="4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HADAMARI"/>
    <s v="MAK_0169"/>
    <x v="1"/>
    <s v="P4"/>
    <n v="23"/>
    <n v="10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HADAMARI"/>
    <s v="MAK_0169"/>
    <x v="1"/>
    <s v="P5"/>
    <n v="3"/>
    <n v="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HELISNA"/>
    <s v="MAK_0127"/>
    <x v="1"/>
    <s v="P5"/>
    <n v="9"/>
    <n v="7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HEREDIBE MOUSSA"/>
    <s v="MAK_0226"/>
    <x v="1"/>
    <s v="P5"/>
    <n v="11"/>
    <n v="9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HOURAHOURI"/>
    <s v="MAK_0181"/>
    <x v="1"/>
    <s v="P3"/>
    <n v="11"/>
    <n v="7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ESAWA"/>
    <s v="MAK_0054"/>
    <x v="1"/>
    <s v="P5"/>
    <n v="17"/>
    <n v="14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ESSAWA"/>
    <s v="MAK_0109"/>
    <x v="1"/>
    <s v="P4"/>
    <n v="5"/>
    <n v="4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ESSAWA"/>
    <s v="MAK_0109"/>
    <x v="1"/>
    <s v="P5"/>
    <n v="11"/>
    <n v="9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OKIO 2"/>
    <s v="MAK_0113"/>
    <x v="1"/>
    <s v="P3"/>
    <n v="4"/>
    <n v="2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OUMBOULA"/>
    <s v="MAK_0170"/>
    <x v="1"/>
    <s v="P3"/>
    <n v="10"/>
    <n v="8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OUMBOULA"/>
    <s v="MAK_0170"/>
    <x v="1"/>
    <s v="P5"/>
    <n v="11"/>
    <n v="6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RENACK"/>
    <s v="MAK_0056"/>
    <x v="1"/>
    <s v="P2"/>
    <n v="5"/>
    <n v="2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RENACK"/>
    <s v="MAK_0056"/>
    <x v="1"/>
    <s v="P4"/>
    <n v="3"/>
    <n v="1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RENACK"/>
    <s v="MAK_0056"/>
    <x v="1"/>
    <s v="P5"/>
    <n v="6"/>
    <n v="3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ADINA 1"/>
    <s v="MAK_0060"/>
    <x v="1"/>
    <s v="P2"/>
    <n v="6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ADINA 2"/>
    <s v="MAK_0061"/>
    <x v="1"/>
    <s v="P2"/>
    <n v="7"/>
    <n v="3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ALADI"/>
    <s v="MAK_0065"/>
    <x v="1"/>
    <s v="P4"/>
    <n v="4"/>
    <n v="1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ALTAM"/>
    <s v="MAK_0067"/>
    <x v="1"/>
    <s v="P3"/>
    <n v="11"/>
    <n v="3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EDINA 3"/>
    <s v="MAK_0073"/>
    <x v="1"/>
    <s v="P3"/>
    <n v="8"/>
    <n v="4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EDINA 3"/>
    <s v="MAK_0073"/>
    <x v="1"/>
    <s v="P4"/>
    <n v="4"/>
    <n v="2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EITO"/>
    <s v="MAK_0074"/>
    <x v="1"/>
    <s v="P4"/>
    <n v="7"/>
    <n v="4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EITO"/>
    <s v="MAK_0074"/>
    <x v="1"/>
    <s v="P5"/>
    <n v="6"/>
    <n v="3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ESSIO"/>
    <s v="MAK_0104"/>
    <x v="1"/>
    <s v="P2"/>
    <n v="8"/>
    <n v="4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FLEI"/>
    <s v="MAK_0075"/>
    <x v="1"/>
    <s v="P4"/>
    <n v="3"/>
    <n v="2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ANAMI"/>
    <s v="MAK_0078"/>
    <x v="1"/>
    <s v="P2"/>
    <n v="6"/>
    <n v="2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DODOHE KALIA"/>
    <s v="MAK_0086"/>
    <x v="1"/>
    <s v="P4"/>
    <n v="6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DODOHE KALIA"/>
    <s v="MAK_0086"/>
    <x v="1"/>
    <s v="P5"/>
    <n v="1"/>
    <n v="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DODOHE YOUSSOUF"/>
    <s v="MAK_0087"/>
    <x v="1"/>
    <s v="P4"/>
    <n v="7"/>
    <n v="1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ARDOUGOUM"/>
    <s v="MAK_0089"/>
    <x v="1"/>
    <s v="P4"/>
    <n v="42"/>
    <n v="35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ARDOUGOUM"/>
    <s v="MAK_0089"/>
    <x v="1"/>
    <s v="P5"/>
    <n v="21"/>
    <n v="11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ARDOUKOUM 2"/>
    <s v="MAK_0090"/>
    <x v="1"/>
    <s v="P5"/>
    <n v="41"/>
    <n v="20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ARTCHANO 1"/>
    <s v="MAK_0175"/>
    <x v="1"/>
    <s v="P5"/>
    <n v="29"/>
    <n v="24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ONFLA 2"/>
    <s v="MAK_0092"/>
    <x v="1"/>
    <s v="P4"/>
    <n v="5"/>
    <n v="2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ONFLA 2"/>
    <s v="MAK_0092"/>
    <x v="1"/>
    <s v="P5"/>
    <n v="4"/>
    <n v="1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ORTCHOLO"/>
    <s v="MAK_0134"/>
    <x v="1"/>
    <s v="P4"/>
    <n v="3"/>
    <n v="2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OUMA"/>
    <s v="MAK_0093"/>
    <x v="1"/>
    <s v="P2"/>
    <n v="10"/>
    <n v="5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OUMA"/>
    <s v="MAK_0093"/>
    <x v="1"/>
    <s v="P3"/>
    <n v="8"/>
    <n v="4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OUT"/>
    <s v="MAK_0177"/>
    <x v="1"/>
    <s v="P3"/>
    <n v="6"/>
    <n v="2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SERO 1"/>
    <s v="MAK_0182"/>
    <x v="1"/>
    <s v="P5"/>
    <n v="3"/>
    <n v="2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SOULFA"/>
    <s v="MAK_0097"/>
    <x v="1"/>
    <s v="P2"/>
    <n v="6"/>
    <n v="5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SOULFA"/>
    <s v="MAK_0097"/>
    <x v="1"/>
    <s v="P3"/>
    <n v="5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SOULFA"/>
    <s v="MAK_0097"/>
    <x v="1"/>
    <s v="P4"/>
    <n v="9"/>
    <n v="4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SOUNGOURA 1"/>
    <s v="MAK_0183"/>
    <x v="1"/>
    <s v="P3"/>
    <n v="7"/>
    <n v="4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WERA"/>
    <s v="MAK_0178"/>
    <x v="1"/>
    <s v="P4"/>
    <n v="9"/>
    <n v="7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WERENGOULMO"/>
    <s v="MAK_0179"/>
    <x v="1"/>
    <s v="P4"/>
    <n v="11"/>
    <n v="9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WOSSO"/>
    <s v="MAK_0101"/>
    <x v="1"/>
    <s v="P2"/>
    <n v="1"/>
    <n v="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WOSSO"/>
    <s v="MAK_0101"/>
    <x v="1"/>
    <s v="P4"/>
    <n v="1"/>
    <n v="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WOULKIOKALE"/>
    <s v="MAK_0102"/>
    <x v="1"/>
    <s v="P3"/>
    <n v="8"/>
    <n v="12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ARDEBE"/>
    <s v="WAZ_0001"/>
    <x v="1"/>
    <s v="P2"/>
    <n v="14"/>
    <n v="5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CHAOUDE"/>
    <s v="WAZ_0015"/>
    <x v="1"/>
    <s v="P4"/>
    <n v="43"/>
    <n v="28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CHAOUDE"/>
    <s v="WAZ_0015"/>
    <x v="1"/>
    <s v="P5"/>
    <n v="2"/>
    <n v="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DJINGUI"/>
    <s v="WAZ_0020"/>
    <x v="1"/>
    <s v="P4"/>
    <n v="23"/>
    <n v="9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DJINGUI"/>
    <s v="WAZ_0020"/>
    <x v="1"/>
    <s v="P6"/>
    <n v="33"/>
    <n v="18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GOULOUZIVINI"/>
    <s v="WAZ_0031"/>
    <x v="1"/>
    <s v="P5"/>
    <n v="4"/>
    <n v="2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GOZOLNANE"/>
    <s v="WAZ_0002"/>
    <x v="1"/>
    <s v="P2"/>
    <n v="32"/>
    <n v="12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KABE 1"/>
    <s v="WAZ_0003"/>
    <x v="1"/>
    <s v="P2"/>
    <n v="6"/>
    <n v="2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KABE 2"/>
    <s v="WAZ_0004"/>
    <x v="1"/>
    <s v="P4"/>
    <n v="7"/>
    <n v="1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KABE 2"/>
    <s v="WAZ_0004"/>
    <x v="1"/>
    <s v="P5"/>
    <n v="5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KABE 2"/>
    <s v="WAZ_0004"/>
    <x v="1"/>
    <s v="P6"/>
    <n v="1"/>
    <n v="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KABE 2"/>
    <s v="WAZ_0004"/>
    <x v="1"/>
    <s v="P3"/>
    <n v="5"/>
    <n v="17"/>
    <s v="Conflits EIAO"/>
    <s v=""/>
    <s v="autre_pays"/>
    <s v="NGA"/>
    <s v="Nigeria"/>
    <s v="NGA"/>
    <s v="Cross River"/>
    <s v=""/>
    <s v=""/>
    <s v=""/>
    <s v=""/>
  </r>
  <r>
    <s v="Extrême-Nord"/>
    <s v="CMR004"/>
    <x v="1"/>
    <s v="CMR004002"/>
    <x v="13"/>
    <s v="CMR004002001"/>
    <s v="MADA 1"/>
    <s v="WAZ_0006"/>
    <x v="1"/>
    <s v="P5"/>
    <n v="69"/>
    <n v="35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MADAWAYA"/>
    <s v="WAZ_0025"/>
    <x v="1"/>
    <s v="P4"/>
    <n v="24"/>
    <n v="14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MADAWAYA"/>
    <s v="WAZ_0025"/>
    <x v="1"/>
    <s v="P5"/>
    <n v="3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MATKOUNA 1"/>
    <s v="WAZ_0026"/>
    <x v="1"/>
    <s v="P3"/>
    <n v="12"/>
    <n v="9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NGAME"/>
    <s v="WAZ_0028"/>
    <x v="1"/>
    <s v="P3"/>
    <n v="40"/>
    <n v="26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SALEH"/>
    <s v="WAZ_0008"/>
    <x v="1"/>
    <s v="P5"/>
    <n v="49"/>
    <n v="20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TAGAWA 1"/>
    <s v="WAZ_0009"/>
    <x v="1"/>
    <s v="P5"/>
    <n v="6"/>
    <n v="6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TAGAWA 2"/>
    <s v="WAZ_0010"/>
    <x v="1"/>
    <s v="P2"/>
    <n v="9"/>
    <n v="7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TAGAWA 2"/>
    <s v="WAZ_0010"/>
    <x v="1"/>
    <s v="P3"/>
    <n v="3"/>
    <n v="2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TAGAWA 2"/>
    <s v="WAZ_0010"/>
    <x v="1"/>
    <s v="P5"/>
    <n v="18"/>
    <n v="16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TAGAWA 3"/>
    <s v="WAZ_0011"/>
    <x v="1"/>
    <s v="P5"/>
    <n v="12"/>
    <n v="6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TAGAWA 4"/>
    <s v="WAZ_0012"/>
    <x v="1"/>
    <s v="P5"/>
    <n v="9"/>
    <n v="5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TOUNGA"/>
    <s v="WAZ_0030"/>
    <x v="1"/>
    <s v="P3"/>
    <n v="11"/>
    <n v="4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TOUNGA"/>
    <s v="WAZ_0030"/>
    <x v="1"/>
    <s v="P5"/>
    <n v="2"/>
    <n v="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WAZA"/>
    <s v="WAZ_0013"/>
    <x v="1"/>
    <s v="P3"/>
    <n v="10"/>
    <n v="3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WAZA"/>
    <s v="WAZ_0013"/>
    <x v="1"/>
    <s v="P5"/>
    <n v="66"/>
    <n v="21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WERA"/>
    <s v="WAZ_0032"/>
    <x v="1"/>
    <s v="P6"/>
    <n v="17"/>
    <n v="8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ZIGAGUE"/>
    <s v="WAZ_0014"/>
    <x v="1"/>
    <s v="P2"/>
    <n v="19"/>
    <n v="15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ZIGAGUE"/>
    <s v="WAZ_0014"/>
    <x v="1"/>
    <s v="P3"/>
    <n v="36"/>
    <n v="21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ZIGAGUE"/>
    <s v="WAZ_0014"/>
    <x v="1"/>
    <s v="P4"/>
    <n v="26"/>
    <n v="13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ZOLZALE"/>
    <s v="WAZ_0019"/>
    <x v="1"/>
    <s v="P2"/>
    <n v="19"/>
    <n v="10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ZOLZALE"/>
    <s v="WAZ_0019"/>
    <x v="1"/>
    <s v="P5"/>
    <n v="4"/>
    <n v="18"/>
    <s v="Conflits EIAO"/>
    <s v=""/>
    <s v="autre_pays"/>
    <s v="NGA"/>
    <s v="Nigeria"/>
    <s v="NGA"/>
    <s v="Borno"/>
    <s v=""/>
    <s v=""/>
    <s v=""/>
    <s v=""/>
  </r>
  <r>
    <s v="Extrême-Nord"/>
    <s v="CMR004"/>
    <x v="2"/>
    <s v="CMR004003"/>
    <x v="15"/>
    <s v="CMR004003011"/>
    <s v="GOBOGAIOUA"/>
    <s v="GOB_0004"/>
    <x v="1"/>
    <s v="P3"/>
    <n v="5"/>
    <n v="31"/>
    <s v="autre"/>
    <s v="Conflit intercommunaute"/>
    <s v="autre_pays"/>
    <s v="TCD"/>
    <s v="Chad"/>
    <s v="TCD"/>
    <s v="Mayo Kebbi Est"/>
    <s v=""/>
    <s v=""/>
    <s v=""/>
    <s v=""/>
  </r>
  <r>
    <s v="Extrême-Nord"/>
    <s v="CMR004"/>
    <x v="2"/>
    <s v="CMR004003"/>
    <x v="15"/>
    <s v="CMR004003011"/>
    <s v="GOBOGAIOUA"/>
    <s v="GOB_0004"/>
    <x v="1"/>
    <s v="P5"/>
    <n v="4"/>
    <n v="20"/>
    <s v="Conflits EIAO"/>
    <s v=""/>
    <s v="autre_pays"/>
    <s v="NGA"/>
    <s v="Nigeria"/>
    <s v="NGA"/>
    <s v="Borno"/>
    <s v=""/>
    <s v=""/>
    <s v=""/>
    <s v=""/>
  </r>
  <r>
    <s v="Extrême-Nord"/>
    <s v="CMR004"/>
    <x v="2"/>
    <s v="CMR004003"/>
    <x v="15"/>
    <s v="CMR004003011"/>
    <s v="GOBOGAIOUA"/>
    <s v="GOB_0004"/>
    <x v="1"/>
    <s v="P1"/>
    <n v="16"/>
    <n v="68"/>
    <s v="Conflits EIAO"/>
    <s v=""/>
    <s v="autre_pays"/>
    <s v="NGA"/>
    <s v="Nigeria"/>
    <s v="NGA"/>
    <s v="Kano"/>
    <s v=""/>
    <s v=""/>
    <s v=""/>
    <s v=""/>
  </r>
  <r>
    <s v="Extrême-Nord"/>
    <s v="CMR004"/>
    <x v="3"/>
    <s v="CMR004004"/>
    <x v="32"/>
    <s v="CMR004004007"/>
    <s v="OURO-DOLE"/>
    <s v="MIN_0003"/>
    <x v="1"/>
    <s v="P2"/>
    <n v="2"/>
    <n v="9"/>
    <s v="Conflits EIAO"/>
    <s v=""/>
    <s v="autre_pays"/>
    <s v="NGA"/>
    <s v="Nigeria"/>
    <s v="NGA"/>
    <s v="Adamawa"/>
    <s v=""/>
    <s v=""/>
    <s v=""/>
    <s v=""/>
  </r>
  <r>
    <s v="Extrême-Nord"/>
    <s v="CMR004"/>
    <x v="3"/>
    <s v="CMR004004"/>
    <x v="22"/>
    <s v="CMR004004005"/>
    <s v="BADJAVA TWONGO"/>
    <s v="MOT_0001"/>
    <x v="1"/>
    <s v="P3"/>
    <n v="1"/>
    <n v="11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26"/>
    <s v="CMR004006007"/>
    <s v="TCHEVI"/>
    <s v="BOU_0005"/>
    <x v="1"/>
    <s v="P2"/>
    <n v="10"/>
    <n v="55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26"/>
    <s v="CMR004006007"/>
    <s v="TCHEVI"/>
    <s v="BOU_0005"/>
    <x v="1"/>
    <s v="P3"/>
    <n v="6"/>
    <n v="35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28"/>
    <s v="CMR004006004"/>
    <s v="DOUMBOGO"/>
    <s v="KOZ_0005"/>
    <x v="1"/>
    <s v="P5"/>
    <n v="1"/>
    <n v="3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28"/>
    <s v="CMR004006004"/>
    <s v="GUID BALA"/>
    <s v="KOZ_0014"/>
    <x v="1"/>
    <s v="P5"/>
    <n v="1"/>
    <n v="2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28"/>
    <s v="CMR004006004"/>
    <s v="KILDA"/>
    <s v="KOZ_0018"/>
    <x v="1"/>
    <s v="P5"/>
    <n v="3"/>
    <n v="11"/>
    <s v="Conflits EIAO"/>
    <s v=""/>
    <s v="autre_pays"/>
    <s v="NGA"/>
    <s v="Nigeria"/>
    <s v="NGA"/>
    <s v="Bauchi"/>
    <s v=""/>
    <s v=""/>
    <s v=""/>
    <s v=""/>
  </r>
  <r>
    <s v="Extrême-Nord"/>
    <s v="CMR004"/>
    <x v="5"/>
    <s v="CMR004006"/>
    <x v="28"/>
    <s v="CMR004006004"/>
    <s v="MALTAMAYA"/>
    <s v="KOZ_0020"/>
    <x v="1"/>
    <s v="P5"/>
    <n v="2"/>
    <n v="7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28"/>
    <s v="CMR004006004"/>
    <s v="WOULAD"/>
    <s v="KOZ_0029"/>
    <x v="1"/>
    <s v="P5"/>
    <n v="2"/>
    <n v="4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28"/>
    <s v="CMR004006004"/>
    <s v="ZILER"/>
    <s v="KOZ_0030"/>
    <x v="1"/>
    <s v="P5"/>
    <n v="1"/>
    <n v="3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3"/>
    <s v="CMR004006001"/>
    <s v="GOURIA"/>
    <s v="MOG_0001"/>
    <x v="1"/>
    <s v="P2"/>
    <n v="2"/>
    <n v="10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GOURIA"/>
    <s v="MOG_0001"/>
    <x v="1"/>
    <s v="P3"/>
    <n v="4"/>
    <n v="25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KARANTCHI"/>
    <s v="MOG_0002"/>
    <x v="1"/>
    <s v="P2"/>
    <n v="27"/>
    <n v="130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KARANTCHI"/>
    <s v="MOG_0002"/>
    <x v="1"/>
    <s v="P3"/>
    <n v="3"/>
    <n v="22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KILA"/>
    <s v="MOG_0003"/>
    <x v="1"/>
    <s v="P3"/>
    <n v="4"/>
    <n v="16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KILA"/>
    <s v="MOG_0003"/>
    <x v="1"/>
    <s v="P4"/>
    <n v="1"/>
    <n v="4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KORTCHI"/>
    <s v="MOG_0015"/>
    <x v="1"/>
    <s v="P4"/>
    <n v="2"/>
    <n v="8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KOUFFI"/>
    <s v="MOG_0004"/>
    <x v="1"/>
    <s v="P2"/>
    <n v="4"/>
    <n v="22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KOUFFI"/>
    <s v="MOG_0004"/>
    <x v="1"/>
    <s v="P3"/>
    <n v="5"/>
    <n v="24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MOGODE"/>
    <s v="MOG_0005"/>
    <x v="1"/>
    <s v="P2"/>
    <n v="16"/>
    <n v="137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MOGODE"/>
    <s v="MOG_0005"/>
    <x v="1"/>
    <s v="P3"/>
    <n v="12"/>
    <n v="129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MOGODE"/>
    <s v="MOG_0005"/>
    <x v="1"/>
    <s v="P4"/>
    <n v="2"/>
    <n v="4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NORA"/>
    <s v="MOG_0006"/>
    <x v="1"/>
    <s v="P2"/>
    <n v="6"/>
    <n v="30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NORA"/>
    <s v="MOG_0006"/>
    <x v="1"/>
    <s v="P3"/>
    <n v="3"/>
    <n v="12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OUDAVA"/>
    <s v="MOG_0007"/>
    <x v="1"/>
    <s v="P2"/>
    <n v="10"/>
    <n v="82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OUDAVA"/>
    <s v="MOG_0007"/>
    <x v="1"/>
    <s v="P3"/>
    <n v="5"/>
    <n v="18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RHUMSIKI"/>
    <s v="MOG_0008"/>
    <x v="1"/>
    <s v="P2"/>
    <n v="12"/>
    <n v="58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RHUMSIKI"/>
    <s v="MOG_0008"/>
    <x v="1"/>
    <s v="P3"/>
    <n v="8"/>
    <n v="37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RHUMSIKI"/>
    <s v="MOG_0008"/>
    <x v="1"/>
    <s v="P4"/>
    <n v="2"/>
    <n v="8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RHUMZU"/>
    <s v="MOG_0009"/>
    <x v="1"/>
    <s v="P2"/>
    <n v="19"/>
    <n v="46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RHUMZU"/>
    <s v="MOG_0009"/>
    <x v="1"/>
    <s v="P3"/>
    <n v="7"/>
    <n v="29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RHUMZU"/>
    <s v="MOG_0009"/>
    <x v="1"/>
    <s v="P4"/>
    <n v="4"/>
    <n v="12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SIR"/>
    <s v="MOG_0010"/>
    <x v="1"/>
    <s v="P2"/>
    <n v="20"/>
    <n v="100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SIR"/>
    <s v="MOG_0010"/>
    <x v="1"/>
    <s v="P3"/>
    <n v="10"/>
    <n v="61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TEKI"/>
    <s v="MOG_0011"/>
    <x v="1"/>
    <s v="P2"/>
    <n v="3"/>
    <n v="18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VITTE"/>
    <s v="MOG_0012"/>
    <x v="1"/>
    <s v="P2"/>
    <n v="5"/>
    <n v="35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VITTE"/>
    <s v="MOG_0012"/>
    <x v="1"/>
    <s v="P3"/>
    <n v="4"/>
    <n v="15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VITTE"/>
    <s v="MOG_0012"/>
    <x v="1"/>
    <s v="P4"/>
    <n v="3"/>
    <n v="15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YELLE"/>
    <s v="MOG_0013"/>
    <x v="1"/>
    <s v="P2"/>
    <n v="10"/>
    <n v="98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YELLE"/>
    <s v="MOG_0013"/>
    <x v="1"/>
    <s v="P3"/>
    <n v="10"/>
    <n v="84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YELLE"/>
    <s v="MOG_0013"/>
    <x v="1"/>
    <s v="P4"/>
    <n v="5"/>
    <n v="20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29"/>
    <s v="CMR004006002"/>
    <s v="GAWAR"/>
    <s v="MOK_0005"/>
    <x v="1"/>
    <s v="P5"/>
    <n v="32"/>
    <n v="160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29"/>
    <s v="CMR004006002"/>
    <s v="LDAMANG"/>
    <s v="MOK_0030"/>
    <x v="1"/>
    <s v="P5"/>
    <n v="42"/>
    <n v="271"/>
    <s v="Conflits EIAO"/>
    <s v=""/>
    <s v="autre_pays"/>
    <s v="NGA"/>
    <s v="Nigeria"/>
    <s v="NGA"/>
    <s v="Rivers"/>
    <s v=""/>
    <s v=""/>
    <s v=""/>
    <s v=""/>
  </r>
  <r>
    <s v="Extrême-Nord"/>
    <s v="CMR004"/>
    <x v="5"/>
    <s v="CMR004006"/>
    <x v="30"/>
    <s v="CMR004006005"/>
    <s v="ASSIGHASSIA"/>
    <s v="MOZ_0023"/>
    <x v="1"/>
    <s v="P3"/>
    <n v="476"/>
    <n v="2748"/>
    <s v="Conflits EIAO"/>
    <s v=""/>
    <s v="autre_pays"/>
    <s v="NGA"/>
    <s v="Nigeria"/>
    <s v="NGA"/>
    <s v="Bauchi"/>
    <s v=""/>
    <s v=""/>
    <s v=""/>
    <s v=""/>
  </r>
  <r>
    <s v="Extrême-Nord"/>
    <s v="CMR004"/>
    <x v="5"/>
    <s v="CMR004006"/>
    <x v="30"/>
    <s v="CMR004006005"/>
    <s v="DZAMADZAF"/>
    <s v="MOZ_0017"/>
    <x v="1"/>
    <s v="P2"/>
    <n v="6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DZAMADZAF"/>
    <s v="MOZ_0017"/>
    <x v="1"/>
    <s v="P3"/>
    <n v="3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DZAMADZAF"/>
    <s v="MOZ_0017"/>
    <x v="1"/>
    <s v="P4"/>
    <n v="1"/>
    <n v="5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DZAMADZAF"/>
    <s v="MOZ_0017"/>
    <x v="1"/>
    <s v="P5"/>
    <n v="3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HITERE"/>
    <s v="MOZ_0019"/>
    <x v="1"/>
    <s v="P3"/>
    <n v="13"/>
    <n v="76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HITERE"/>
    <s v="MOZ_0019"/>
    <x v="1"/>
    <s v="P4"/>
    <n v="2"/>
    <n v="13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HITERE"/>
    <s v="MOZ_0019"/>
    <x v="1"/>
    <s v="P5"/>
    <n v="3"/>
    <n v="11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KEREWA-MAFA"/>
    <s v="MOZ_0020"/>
    <x v="1"/>
    <s v="P2"/>
    <n v="13"/>
    <n v="76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KEREWA-MAFA"/>
    <s v="MOZ_0020"/>
    <x v="1"/>
    <s v="P3"/>
    <n v="16"/>
    <n v="87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KEREWA-MAFA"/>
    <s v="MOZ_0020"/>
    <x v="1"/>
    <s v="P5"/>
    <n v="7"/>
    <n v="32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MANDOUSSA"/>
    <s v="MOZ_0014"/>
    <x v="1"/>
    <s v="P2"/>
    <n v="7"/>
    <n v="35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MANDOUSSA"/>
    <s v="MOZ_0014"/>
    <x v="1"/>
    <s v="P3"/>
    <n v="11"/>
    <n v="55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MANDOUSSA"/>
    <s v="MOZ_0014"/>
    <x v="1"/>
    <s v="P4"/>
    <n v="4"/>
    <n v="20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MANDOUSSA"/>
    <s v="MOZ_0014"/>
    <x v="1"/>
    <s v="P5"/>
    <n v="3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OUZAL"/>
    <s v="MOZ_0015"/>
    <x v="1"/>
    <s v="P3"/>
    <n v="14"/>
    <n v="70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OUZAL"/>
    <s v="MOZ_0015"/>
    <x v="1"/>
    <s v="P5"/>
    <n v="3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1"/>
    <s v="CMR004006006"/>
    <s v="OUDOUMDJARAY"/>
    <s v="SOU_0008"/>
    <x v="1"/>
    <s v="P3"/>
    <n v="8"/>
    <n v="13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1"/>
    <s v="CMR004006006"/>
    <s v="SOULEDE"/>
    <s v="SOU_0006"/>
    <x v="1"/>
    <s v="P3"/>
    <n v="1"/>
    <n v="6"/>
    <s v="Conflits EIAO"/>
    <s v=""/>
    <s v="autre_pays"/>
    <s v="NGA"/>
    <s v="Nigeria"/>
    <s v="NGA"/>
    <s v="Kogi"/>
    <s v=""/>
    <s v=""/>
    <s v=""/>
    <s v=""/>
  </r>
  <r>
    <s v="Extrême-Nord"/>
    <s v="CMR004"/>
    <x v="0"/>
    <s v="CMR004001"/>
    <x v="34"/>
    <s v="CMR004001004"/>
    <s v="DARGALA"/>
    <s v="DAG_0001"/>
    <x v="2"/>
    <s v="P2"/>
    <n v="1"/>
    <n v="22"/>
    <s v="autre"/>
    <s v="Migrants économiques"/>
    <s v="autre_pays"/>
    <s v="CAR"/>
    <s v="Central African Republic"/>
    <s v="CAR010"/>
    <s v="Nana-Manbere"/>
    <s v=""/>
    <s v=""/>
    <s v=""/>
    <s v=""/>
  </r>
  <r>
    <s v="Extrême-Nord"/>
    <s v="CMR004"/>
    <x v="0"/>
    <s v="CMR004001"/>
    <x v="34"/>
    <s v="CMR004001004"/>
    <s v="DJOHIRE"/>
    <s v="DAG_0002"/>
    <x v="2"/>
    <s v="P2"/>
    <n v="3"/>
    <n v="45"/>
    <s v="autre"/>
    <s v="Migrants économiques"/>
    <s v="autre_pays"/>
    <s v="CAR"/>
    <s v="Central African Republic"/>
    <s v="CAR010"/>
    <s v="Nana-Manbere"/>
    <s v=""/>
    <s v=""/>
    <s v=""/>
    <s v=""/>
  </r>
  <r>
    <s v="Extrême-Nord"/>
    <s v="CMR004"/>
    <x v="0"/>
    <s v="CMR004001"/>
    <x v="34"/>
    <s v="CMR004001004"/>
    <s v="KALAKI"/>
    <s v="DAG_0003"/>
    <x v="2"/>
    <s v="P2"/>
    <n v="12"/>
    <n v="136"/>
    <s v="autre"/>
    <s v="Migrants économiques"/>
    <s v="autre_pays"/>
    <s v="CAR"/>
    <s v="Central African Republic"/>
    <s v="CAR010"/>
    <s v="Nana-Manbere"/>
    <s v=""/>
    <s v=""/>
    <s v=""/>
    <s v=""/>
  </r>
  <r>
    <s v="Extrême-Nord"/>
    <s v="CMR004"/>
    <x v="0"/>
    <s v="CMR004001"/>
    <x v="34"/>
    <s v="CMR004001004"/>
    <s v="OURO-ZANGUI"/>
    <s v="DAG_0004"/>
    <x v="2"/>
    <s v="P2"/>
    <n v="1"/>
    <n v="17"/>
    <s v="autre"/>
    <s v="Conflit social"/>
    <s v="autre_pays"/>
    <s v="CAR"/>
    <s v="Central African Republic"/>
    <s v="CAR010"/>
    <s v="Nana-Manbere"/>
    <s v=""/>
    <s v=""/>
    <s v=""/>
    <s v=""/>
  </r>
  <r>
    <s v="Extrême-Nord"/>
    <s v="CMR004"/>
    <x v="0"/>
    <s v="CMR004001"/>
    <x v="34"/>
    <s v="CMR004001004"/>
    <s v="WOULMOYE"/>
    <s v="DAG_0005"/>
    <x v="2"/>
    <s v="P2"/>
    <n v="6"/>
    <n v="91"/>
    <s v="autre"/>
    <s v="Migrants économiques"/>
    <s v="autre_pays"/>
    <s v="CAR"/>
    <s v="Central African Republic"/>
    <s v="CAR010"/>
    <s v="Nana-Manbere"/>
    <s v=""/>
    <s v=""/>
    <s v=""/>
    <s v=""/>
  </r>
  <r>
    <s v="Extrême-Nord"/>
    <s v="CMR004"/>
    <x v="0"/>
    <s v="CMR004001"/>
    <x v="4"/>
    <s v="CMR004001003"/>
    <s v="BANDALARE"/>
    <s v="PET_0028"/>
    <x v="2"/>
    <s v="P6"/>
    <n v="1"/>
    <n v="4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0"/>
    <s v="CMR004001"/>
    <x v="4"/>
    <s v="CMR004001003"/>
    <s v="KOURWAMAYEL"/>
    <s v="PET_0019"/>
    <x v="2"/>
    <s v="P5"/>
    <n v="4"/>
    <n v="1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1"/>
    <s v="CMR004002"/>
    <x v="5"/>
    <s v="CMR004002003"/>
    <s v="BLANGOUA"/>
    <s v="BLA_0002"/>
    <x v="2"/>
    <s v="P3"/>
    <n v="67"/>
    <n v="337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5"/>
    <s v="CMR004002003"/>
    <s v="KOFIA"/>
    <s v="BLA_0009"/>
    <x v="2"/>
    <s v="P5"/>
    <n v="4"/>
    <n v="22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5"/>
    <s v="CMR004002003"/>
    <s v="KOUTOULA"/>
    <s v="BLA_0010"/>
    <x v="2"/>
    <s v="P5"/>
    <n v="2"/>
    <n v="2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5"/>
    <s v="CMR004002003"/>
    <s v="KOUTOULA"/>
    <s v="BLA_0010"/>
    <x v="2"/>
    <s v="P2"/>
    <n v="7"/>
    <n v="100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5"/>
    <s v="CMR004002003"/>
    <s v="NDARABAYA"/>
    <s v="BLA_0011"/>
    <x v="2"/>
    <s v="P5"/>
    <n v="1"/>
    <n v="3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5"/>
    <s v="CMR004002003"/>
    <s v="NDARABAYA"/>
    <s v="BLA_0011"/>
    <x v="2"/>
    <s v="P2"/>
    <n v="6"/>
    <n v="64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5"/>
    <s v="CMR004002003"/>
    <s v="SABOURA"/>
    <s v="BLA_0017"/>
    <x v="2"/>
    <s v="P4"/>
    <n v="4"/>
    <n v="15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5"/>
    <s v="CMR004002003"/>
    <s v="SABOURA"/>
    <s v="BLA_0017"/>
    <x v="2"/>
    <s v="P5"/>
    <n v="5"/>
    <n v="2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5"/>
    <s v="CMR004002003"/>
    <s v="SERO ABOU"/>
    <s v="BLA_0013"/>
    <x v="2"/>
    <s v="P3"/>
    <n v="6"/>
    <n v="5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5"/>
    <s v="CMR004002003"/>
    <s v="SERO ABOU"/>
    <s v="BLA_0013"/>
    <x v="2"/>
    <s v="P4"/>
    <n v="1"/>
    <n v="8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6"/>
    <s v="CMR004002007"/>
    <s v="DARAK"/>
    <s v="DAR_0003"/>
    <x v="2"/>
    <s v="P5"/>
    <n v="25"/>
    <n v="21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6"/>
    <s v="CMR004002007"/>
    <s v="KARENA"/>
    <s v="DAR_0011"/>
    <x v="2"/>
    <s v="P3"/>
    <n v="5"/>
    <n v="41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6"/>
    <s v="CMR004002007"/>
    <s v="KARENA"/>
    <s v="DAR_0011"/>
    <x v="2"/>
    <s v="P5"/>
    <n v="3"/>
    <n v="21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6"/>
    <s v="CMR004002007"/>
    <s v="NAGA A"/>
    <s v="DAR_0017"/>
    <x v="2"/>
    <s v="P3"/>
    <n v="22"/>
    <n v="155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7"/>
    <s v="CMR004002008"/>
    <s v="AMTCHOUKOULI"/>
    <s v="FOT_0001"/>
    <x v="2"/>
    <s v="P6"/>
    <n v="11"/>
    <n v="97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7"/>
    <s v="CMR004002008"/>
    <s v="FOTOKOL VILLE"/>
    <s v="FOT_0009"/>
    <x v="2"/>
    <s v="P5"/>
    <n v="981"/>
    <n v="7763"/>
    <s v="autre"/>
    <s v="Le village d'origine est sécurisé et les activités économiques sont relancées 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7"/>
    <s v="CMR004002008"/>
    <s v="MAKAMBARA"/>
    <s v="FOT_0050"/>
    <x v="2"/>
    <s v="P5"/>
    <n v="1"/>
    <n v="8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7"/>
    <s v="CMR004002008"/>
    <s v="SAGME"/>
    <s v="FOT_0019"/>
    <x v="2"/>
    <s v="P5"/>
    <n v="27"/>
    <n v="20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7"/>
    <s v="CMR004002008"/>
    <s v="SAGME"/>
    <s v="FOT_0019"/>
    <x v="2"/>
    <s v="P6"/>
    <n v="169"/>
    <n v="122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9"/>
    <s v="CMR004002010"/>
    <s v="BARGARAM"/>
    <s v="HIL_0005"/>
    <x v="2"/>
    <s v="P6"/>
    <n v="21"/>
    <n v="147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9"/>
    <s v="CMR004002010"/>
    <s v="TCHIKA"/>
    <s v="HIL_0014"/>
    <x v="2"/>
    <s v="P5"/>
    <n v="46"/>
    <n v="368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9"/>
    <s v="CMR004002010"/>
    <s v="TCHIKA"/>
    <s v="HIL_0014"/>
    <x v="2"/>
    <s v="P6"/>
    <n v="55"/>
    <n v="44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9"/>
    <s v="CMR004002010"/>
    <s v="TERBOU"/>
    <s v="HIL_0015"/>
    <x v="2"/>
    <s v="P4"/>
    <n v="96"/>
    <n v="51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0"/>
    <s v="CMR004002006"/>
    <s v="KROUANG 2"/>
    <s v="KOU_0018"/>
    <x v="2"/>
    <s v="P5"/>
    <n v="1"/>
    <n v="13"/>
    <s v="autre"/>
    <s v="La recherche d emploi"/>
    <s v="autre_pays"/>
    <s v="TCD"/>
    <s v="Chad"/>
    <s v="TCD008"/>
    <s v="Logone Occidental"/>
    <s v=""/>
    <s v=""/>
    <s v=""/>
    <s v=""/>
  </r>
  <r>
    <s v="Extrême-Nord"/>
    <s v="CMR004"/>
    <x v="1"/>
    <s v="CMR004002"/>
    <x v="11"/>
    <s v="CMR004002004"/>
    <s v="LOGONE-BIRNI"/>
    <s v="LBI_0005"/>
    <x v="2"/>
    <s v="P1"/>
    <n v="14"/>
    <n v="70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AFADE (VILLAGE)"/>
    <s v="MAK_0003"/>
    <x v="2"/>
    <s v="P3"/>
    <n v="141"/>
    <n v="1199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AFADE (VILLAGE)"/>
    <s v="MAK_0003"/>
    <x v="2"/>
    <s v="P4"/>
    <n v="566"/>
    <n v="451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AFADE (VILLAGE)"/>
    <s v="MAK_0003"/>
    <x v="2"/>
    <s v="P5"/>
    <n v="42"/>
    <n v="656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AMCHILGA"/>
    <s v="MAK_0006"/>
    <x v="2"/>
    <s v="P3"/>
    <n v="4"/>
    <n v="18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12"/>
    <s v="CMR004002009"/>
    <s v="AMCHILGA"/>
    <s v="MAK_0006"/>
    <x v="2"/>
    <s v="P4"/>
    <n v="2"/>
    <n v="14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12"/>
    <s v="CMR004002009"/>
    <s v="BAOURI"/>
    <s v="MAK_0014"/>
    <x v="2"/>
    <s v="P3"/>
    <n v="2"/>
    <n v="1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AOURI"/>
    <s v="MAK_0014"/>
    <x v="2"/>
    <s v="P4"/>
    <n v="4"/>
    <n v="2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EDAT"/>
    <s v="MAK_0105"/>
    <x v="2"/>
    <s v="P3"/>
    <n v="6"/>
    <n v="3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EDAT"/>
    <s v="MAK_0105"/>
    <x v="2"/>
    <s v="P4"/>
    <n v="10"/>
    <n v="5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LAHE"/>
    <s v="MAK_0019"/>
    <x v="2"/>
    <s v="P2"/>
    <n v="8"/>
    <n v="1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LAHE"/>
    <s v="MAK_0019"/>
    <x v="2"/>
    <s v="P3"/>
    <n v="4"/>
    <n v="2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LAHE"/>
    <s v="MAK_0019"/>
    <x v="2"/>
    <s v="P4"/>
    <n v="8"/>
    <n v="48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ODO"/>
    <s v="MAK_0021"/>
    <x v="2"/>
    <s v="P4"/>
    <n v="10"/>
    <n v="5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CHAGAMA 1"/>
    <s v="MAK_0022"/>
    <x v="2"/>
    <s v="P2"/>
    <n v="1"/>
    <n v="13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CHALAMTINI"/>
    <s v="MAK_0024"/>
    <x v="2"/>
    <s v="P4"/>
    <n v="33"/>
    <n v="165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DJADJAYA"/>
    <s v="MAK_0124"/>
    <x v="2"/>
    <s v="P2"/>
    <n v="11"/>
    <n v="36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12"/>
    <s v="CMR004002009"/>
    <s v="DJADJAYA"/>
    <s v="MAK_0124"/>
    <x v="2"/>
    <s v="P3"/>
    <n v="6"/>
    <n v="24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12"/>
    <s v="CMR004002009"/>
    <s v="DJAMOUS"/>
    <s v="MAK_0030"/>
    <x v="2"/>
    <s v="P4"/>
    <n v="70"/>
    <n v="35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DJIDANSAMA"/>
    <s v="MAK_0031"/>
    <x v="2"/>
    <s v="P3"/>
    <n v="2"/>
    <n v="37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FARCH 2"/>
    <s v="MAK_0040"/>
    <x v="2"/>
    <s v="P3"/>
    <n v="7"/>
    <n v="26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HADAMARI"/>
    <s v="MAK_0169"/>
    <x v="2"/>
    <s v="P3"/>
    <n v="7"/>
    <n v="35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HADAMARI"/>
    <s v="MAK_0169"/>
    <x v="2"/>
    <s v="P4"/>
    <n v="8"/>
    <n v="45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HELISNA"/>
    <s v="MAK_0127"/>
    <x v="2"/>
    <s v="P3"/>
    <n v="5"/>
    <n v="43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KAOSSE"/>
    <s v="MAK_0051"/>
    <x v="2"/>
    <s v="P2"/>
    <n v="2"/>
    <n v="8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KAOSSE"/>
    <s v="MAK_0051"/>
    <x v="2"/>
    <s v="P3"/>
    <n v="2"/>
    <n v="5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AFANDE"/>
    <s v="MAK_0062"/>
    <x v="2"/>
    <s v="P2"/>
    <n v="4"/>
    <n v="17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AFANDE"/>
    <s v="MAK_0062"/>
    <x v="2"/>
    <s v="P3"/>
    <n v="3"/>
    <n v="11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ASSIO"/>
    <s v="MAK_0071"/>
    <x v="2"/>
    <s v="P5"/>
    <n v="5"/>
    <n v="56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BEE"/>
    <s v="MAK_0110"/>
    <x v="2"/>
    <s v="P4"/>
    <n v="24"/>
    <n v="12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BLAME"/>
    <s v="MAK_0072"/>
    <x v="2"/>
    <s v="P6"/>
    <n v="148"/>
    <n v="1157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EDINA 3"/>
    <s v="MAK_0073"/>
    <x v="2"/>
    <s v="P4"/>
    <n v="11"/>
    <n v="5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NANAMI"/>
    <s v="MAK_0078"/>
    <x v="2"/>
    <s v="P3"/>
    <n v="8"/>
    <n v="35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NGOUMA"/>
    <s v="MAK_0093"/>
    <x v="2"/>
    <s v="P2"/>
    <n v="10"/>
    <n v="5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NGOUMA"/>
    <s v="MAK_0093"/>
    <x v="2"/>
    <s v="P3"/>
    <n v="8"/>
    <n v="46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RINGUE"/>
    <s v="MAK_0136"/>
    <x v="2"/>
    <s v="P2"/>
    <n v="3"/>
    <n v="8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12"/>
    <s v="CMR004002009"/>
    <s v="WOSSO"/>
    <s v="MAK_0101"/>
    <x v="2"/>
    <s v="P3"/>
    <n v="3"/>
    <n v="1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ZAMAN"/>
    <s v="MAK_0103"/>
    <x v="2"/>
    <s v="P3"/>
    <n v="3"/>
    <n v="10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13"/>
    <s v="CMR004002001"/>
    <s v="ARDEBE"/>
    <s v="WAZ_0001"/>
    <x v="2"/>
    <s v="P3"/>
    <n v="20"/>
    <n v="10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GOULOUZIVINI"/>
    <s v="WAZ_0031"/>
    <x v="2"/>
    <s v="P5"/>
    <n v="25"/>
    <n v="131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GOZOLNANE"/>
    <s v="WAZ_0002"/>
    <x v="2"/>
    <s v="P4"/>
    <n v="15"/>
    <n v="8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GOZOLNANE"/>
    <s v="WAZ_0002"/>
    <x v="2"/>
    <s v="P5"/>
    <n v="2"/>
    <n v="13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KABE 1"/>
    <s v="WAZ_0003"/>
    <x v="2"/>
    <s v="P5"/>
    <n v="62"/>
    <n v="35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KABE 2"/>
    <s v="WAZ_0004"/>
    <x v="2"/>
    <s v="P3"/>
    <n v="5"/>
    <n v="28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KABE 2"/>
    <s v="WAZ_0004"/>
    <x v="2"/>
    <s v="P4"/>
    <n v="4"/>
    <n v="2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MADA 1"/>
    <s v="WAZ_0006"/>
    <x v="2"/>
    <s v="P5"/>
    <n v="100"/>
    <n v="479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13"/>
    <s v="CMR004002001"/>
    <s v="MATKOUNA 1"/>
    <s v="WAZ_0026"/>
    <x v="2"/>
    <s v="P3"/>
    <n v="12"/>
    <n v="76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MATKOUNA 1"/>
    <s v="WAZ_0026"/>
    <x v="2"/>
    <s v="P5"/>
    <n v="2"/>
    <n v="13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MATKOUNA 2"/>
    <s v="WAZ_0027"/>
    <x v="2"/>
    <s v="P4"/>
    <n v="12"/>
    <n v="7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MICHEDIRE"/>
    <s v="WAZ_0007"/>
    <x v="2"/>
    <s v="P4"/>
    <n v="44"/>
    <n v="227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SALEH"/>
    <s v="WAZ_0008"/>
    <x v="2"/>
    <s v="P5"/>
    <n v="101"/>
    <n v="513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TAGAWA 2"/>
    <s v="WAZ_0010"/>
    <x v="2"/>
    <s v="P4"/>
    <n v="5"/>
    <n v="2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TAGAWA 4"/>
    <s v="WAZ_0012"/>
    <x v="2"/>
    <s v="P4"/>
    <n v="3"/>
    <n v="13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TOUNGA"/>
    <s v="WAZ_0030"/>
    <x v="2"/>
    <s v="P4"/>
    <n v="15"/>
    <n v="57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ZIGAGUE"/>
    <s v="WAZ_0014"/>
    <x v="2"/>
    <s v="P2"/>
    <n v="10"/>
    <n v="5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ZIGAGUE"/>
    <s v="WAZ_0014"/>
    <x v="2"/>
    <s v="P3"/>
    <n v="7"/>
    <n v="35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ZIGAGUE"/>
    <s v="WAZ_0014"/>
    <x v="2"/>
    <s v="P4"/>
    <n v="63"/>
    <n v="447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ALVAKAI"/>
    <s v="ZIN_0001"/>
    <x v="2"/>
    <s v="P5"/>
    <n v="15"/>
    <n v="85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ALVAKAI"/>
    <s v="ZIN_0001"/>
    <x v="2"/>
    <s v="P6"/>
    <n v="64"/>
    <n v="498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1"/>
    <s v="CMR004002"/>
    <x v="14"/>
    <s v="CMR004002005"/>
    <s v="ARAINABA"/>
    <s v="ZIN_0002"/>
    <x v="2"/>
    <s v="P5"/>
    <n v="47"/>
    <n v="238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BALGUE 1"/>
    <s v="ZIN_0003"/>
    <x v="2"/>
    <s v="P5"/>
    <n v="53"/>
    <n v="275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GALA"/>
    <s v="ZIN_0004"/>
    <x v="2"/>
    <s v="P5"/>
    <n v="59"/>
    <n v="294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MALAZINA"/>
    <s v="ZIN_0005"/>
    <x v="2"/>
    <s v="P5"/>
    <n v="53"/>
    <n v="270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MANKA"/>
    <s v="ZIN_0006"/>
    <x v="2"/>
    <s v="P5"/>
    <n v="97"/>
    <n v="495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MARGOUE"/>
    <s v="ZIN_0007"/>
    <x v="2"/>
    <s v="P5"/>
    <n v="70"/>
    <n v="360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NGODENI"/>
    <s v="ZIN_0009"/>
    <x v="2"/>
    <s v="P5"/>
    <n v="95"/>
    <n v="495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PATMANGAI"/>
    <s v="ZIN_0010"/>
    <x v="2"/>
    <s v="P5"/>
    <n v="92"/>
    <n v="460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SARA-SARA"/>
    <s v="ZIN_0012"/>
    <x v="2"/>
    <s v="P5"/>
    <n v="96"/>
    <n v="526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ZILIM 2"/>
    <s v="ZIN_0011"/>
    <x v="2"/>
    <s v="P5"/>
    <n v="68"/>
    <n v="350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2"/>
    <s v="CMR004003"/>
    <x v="15"/>
    <s v="CMR004003011"/>
    <s v="GOBOGAIOUA"/>
    <s v="GOB_0004"/>
    <x v="2"/>
    <s v="P2"/>
    <n v="2"/>
    <n v="13"/>
    <s v="Conflits EIAO"/>
    <s v=""/>
    <s v="autre_pays"/>
    <s v="NGA"/>
    <s v="Nigeria"/>
    <s v="NGA008"/>
    <s v="Borno"/>
    <s v=""/>
    <s v=""/>
    <s v=""/>
    <s v=""/>
  </r>
  <r>
    <s v="Extrême-Nord"/>
    <s v="CMR004"/>
    <x v="2"/>
    <s v="CMR004003"/>
    <x v="15"/>
    <s v="CMR004003011"/>
    <s v="GOBOGAIOUA"/>
    <s v="GOB_0004"/>
    <x v="2"/>
    <s v="P3"/>
    <n v="1"/>
    <n v="8"/>
    <s v="Conflits EIAO"/>
    <s v=""/>
    <s v="autre_pays"/>
    <s v="NGA"/>
    <s v="Nigeria"/>
    <s v="NGA016"/>
    <s v="Gombe"/>
    <s v=""/>
    <s v=""/>
    <s v=""/>
    <s v=""/>
  </r>
  <r>
    <s v="Extrême-Nord"/>
    <s v="CMR004"/>
    <x v="2"/>
    <s v="CMR004003"/>
    <x v="15"/>
    <s v="CMR004003011"/>
    <s v="GOBOGAIOUA"/>
    <s v="GOB_0004"/>
    <x v="2"/>
    <s v="P5"/>
    <n v="4"/>
    <n v="20"/>
    <s v="Conflits EIAO"/>
    <s v=""/>
    <s v="autre_pays"/>
    <s v="NGA"/>
    <s v="Nigeria"/>
    <s v="NGA016"/>
    <s v="Gombe"/>
    <s v=""/>
    <s v=""/>
    <s v=""/>
    <s v=""/>
  </r>
  <r>
    <s v="Extrême-Nord"/>
    <s v="CMR004"/>
    <x v="2"/>
    <s v="CMR004003"/>
    <x v="16"/>
    <s v="CMR004003006"/>
    <s v="BANGALA"/>
    <s v="GUM_0001"/>
    <x v="2"/>
    <s v="P3"/>
    <n v="15"/>
    <n v="75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6"/>
    <s v="CMR004003006"/>
    <s v="GUEME"/>
    <s v="GUM_0003"/>
    <x v="2"/>
    <s v="P1"/>
    <n v="24"/>
    <n v="12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6"/>
    <s v="CMR004003006"/>
    <s v="KARTOUA"/>
    <s v="GUM_0004"/>
    <x v="2"/>
    <s v="P3"/>
    <n v="15"/>
    <n v="75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6"/>
    <s v="CMR004003006"/>
    <s v="VELE"/>
    <s v="GUM_0005"/>
    <x v="2"/>
    <s v="P3"/>
    <n v="30"/>
    <n v="15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7"/>
    <s v="CMR004003010"/>
    <s v="DAHAOU"/>
    <s v="GUR_0001"/>
    <x v="2"/>
    <s v="P1"/>
    <n v="50"/>
    <n v="281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7"/>
    <s v="CMR004003010"/>
    <s v="DANGABISSI"/>
    <s v="GUR_0002"/>
    <x v="2"/>
    <s v="P1"/>
    <n v="60"/>
    <n v="30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7"/>
    <s v="CMR004003010"/>
    <s v="DJOUGOUMTA"/>
    <s v="GUR_0005"/>
    <x v="2"/>
    <s v="P1"/>
    <n v="15"/>
    <n v="92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7"/>
    <s v="CMR004003010"/>
    <s v="HOLLOM"/>
    <s v="GUR_0003"/>
    <x v="2"/>
    <s v="P1"/>
    <n v="20"/>
    <n v="20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7"/>
    <s v="CMR004003010"/>
    <s v="MOUKA"/>
    <s v="GUR_0004"/>
    <x v="2"/>
    <s v="P1"/>
    <n v="18"/>
    <n v="227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BARIAGODJO"/>
    <s v="KAI_0001"/>
    <x v="2"/>
    <s v="P1"/>
    <n v="93"/>
    <n v="558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BARIAGODJO"/>
    <s v="KAI_0001"/>
    <x v="2"/>
    <s v="P2"/>
    <n v="100"/>
    <n v="60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BARIAGODJO"/>
    <s v="KAI_0001"/>
    <x v="2"/>
    <s v="P5"/>
    <n v="9"/>
    <n v="54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BARKAYA"/>
    <s v="KAI_0002"/>
    <x v="2"/>
    <s v="P2"/>
    <n v="31"/>
    <n v="186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BARKAYA"/>
    <s v="KAI_0002"/>
    <x v="2"/>
    <s v="P3"/>
    <n v="9"/>
    <n v="54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BARKAYA"/>
    <s v="KAI_0002"/>
    <x v="2"/>
    <s v="P5"/>
    <n v="5"/>
    <n v="35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BEGUEPALAM"/>
    <s v="KAI_0003"/>
    <x v="2"/>
    <s v="P1"/>
    <n v="120"/>
    <n v="722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BEGUEPALAM"/>
    <s v="KAI_0003"/>
    <x v="2"/>
    <s v="P2"/>
    <n v="80"/>
    <n v="48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BEGUEPALAM"/>
    <s v="KAI_0003"/>
    <x v="2"/>
    <s v="P3"/>
    <n v="14"/>
    <n v="88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DOUGUOUI"/>
    <s v="KAI_0004"/>
    <x v="2"/>
    <s v="P5"/>
    <n v="7"/>
    <n v="101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KAIKAI"/>
    <s v="KAI_0005"/>
    <x v="2"/>
    <s v="P3"/>
    <n v="18"/>
    <n v="108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KAIKAI"/>
    <s v="KAI_0005"/>
    <x v="2"/>
    <s v="P5"/>
    <n v="5"/>
    <n v="34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KELEO"/>
    <s v="KAI_0006"/>
    <x v="2"/>
    <s v="P1"/>
    <n v="27"/>
    <n v="19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LOUGOYE KAMASSE"/>
    <s v="KAI_0007"/>
    <x v="2"/>
    <s v="P1"/>
    <n v="42"/>
    <n v="262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LOUGOYE KAMASSE"/>
    <s v="KAI_0007"/>
    <x v="2"/>
    <s v="P5"/>
    <n v="3"/>
    <n v="18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MBOUKTANG"/>
    <s v="KAI_0008"/>
    <x v="2"/>
    <s v="P2"/>
    <n v="10"/>
    <n v="72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MBOUKTANG"/>
    <s v="KAI_0008"/>
    <x v="2"/>
    <s v="P3"/>
    <n v="5"/>
    <n v="35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YANGA"/>
    <s v="KAI_0009"/>
    <x v="2"/>
    <s v="P1"/>
    <n v="13"/>
    <n v="102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9"/>
    <s v="CMR004003002"/>
    <s v="FARAOULOU"/>
    <s v="MAG_0001"/>
    <x v="2"/>
    <s v="P3"/>
    <n v="2"/>
    <n v="13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9"/>
    <s v="CMR004003002"/>
    <s v="MAHAOUROU"/>
    <s v="MAG_0004"/>
    <x v="2"/>
    <s v="P5"/>
    <n v="1"/>
    <n v="4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9"/>
    <s v="CMR004003002"/>
    <s v="TEKELE"/>
    <s v="MAG_0006"/>
    <x v="2"/>
    <s v="P5"/>
    <n v="56"/>
    <n v="352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2"/>
    <s v="CMR004003"/>
    <x v="20"/>
    <s v="CMR004003009"/>
    <s v="DOMO"/>
    <s v="YAG_0002"/>
    <x v="2"/>
    <s v="P1"/>
    <n v="90"/>
    <n v="45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20"/>
    <s v="CMR004003009"/>
    <s v="MOURI"/>
    <s v="YAG_0003"/>
    <x v="2"/>
    <s v="P1"/>
    <n v="70"/>
    <n v="35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3"/>
    <s v="CMR004004"/>
    <x v="35"/>
    <s v="CMR004004001"/>
    <s v="DJANINI"/>
    <s v="GUI_0001"/>
    <x v="2"/>
    <s v="P2"/>
    <n v="1"/>
    <n v="6"/>
    <s v="autre"/>
    <s v="Conflit intercommunautaire"/>
    <s v="autre_pays"/>
    <s v="CAR"/>
    <s v="Central African Republic"/>
    <s v="CAR001"/>
    <s v="Bamingui-Bangoran"/>
    <s v=""/>
    <s v=""/>
    <s v=""/>
    <s v=""/>
  </r>
  <r>
    <s v="Extrême-Nord"/>
    <s v="CMR004"/>
    <x v="3"/>
    <s v="CMR004004"/>
    <x v="35"/>
    <s v="CMR004004001"/>
    <s v="GASSEL"/>
    <s v="GUI_0002"/>
    <x v="2"/>
    <s v="P2"/>
    <n v="1"/>
    <n v="4"/>
    <s v="autre"/>
    <s v="Conflit intercommunautaire. "/>
    <s v="autre_pays"/>
    <s v="CAR"/>
    <s v="Central African Republic"/>
    <s v="CAR001"/>
    <s v="Bamingui-Bangoran"/>
    <s v=""/>
    <s v=""/>
    <s v=""/>
    <s v=""/>
  </r>
  <r>
    <s v="Extrême-Nord"/>
    <s v="CMR004"/>
    <x v="3"/>
    <s v="CMR004004"/>
    <x v="35"/>
    <s v="CMR004004001"/>
    <s v="LARAO"/>
    <s v="GUI_0003"/>
    <x v="2"/>
    <s v="P1"/>
    <n v="2"/>
    <n v="42"/>
    <s v="autre"/>
    <s v="Conflit intercommunautaire. "/>
    <s v="autre_pays"/>
    <s v="CAR"/>
    <s v="Central African Republic"/>
    <s v="CAR001"/>
    <s v="Bamingui-Bangoran"/>
    <s v=""/>
    <s v=""/>
    <s v=""/>
    <s v=""/>
  </r>
  <r>
    <s v="Extrême-Nord"/>
    <s v="CMR004"/>
    <x v="3"/>
    <s v="CMR004004"/>
    <x v="35"/>
    <s v="CMR004004001"/>
    <s v="MENDAIRE"/>
    <s v="GUI_0004"/>
    <x v="2"/>
    <s v="P1"/>
    <n v="2"/>
    <n v="24"/>
    <s v="autre"/>
    <s v="Conflit intercommunautaire. "/>
    <s v="autre_pays"/>
    <s v="CAR"/>
    <s v="Central African Republic"/>
    <s v="CAR001"/>
    <s v="Bamingui-Bangoran"/>
    <s v=""/>
    <s v=""/>
    <s v=""/>
    <s v=""/>
  </r>
  <r>
    <s v="Extrême-Nord"/>
    <s v="CMR004"/>
    <x v="3"/>
    <s v="CMR004004"/>
    <x v="35"/>
    <s v="CMR004004001"/>
    <s v="SIRATARE"/>
    <s v="GUI_0005"/>
    <x v="2"/>
    <s v="P1"/>
    <n v="1"/>
    <n v="6"/>
    <s v="autre"/>
    <s v="Conflit en rca"/>
    <s v="autre_pays"/>
    <s v="CAR"/>
    <s v="Central African Republic"/>
    <s v="CAR001"/>
    <s v="Bamingui-Bangoran"/>
    <s v=""/>
    <s v=""/>
    <s v=""/>
    <s v=""/>
  </r>
  <r>
    <s v="Extrême-Nord"/>
    <s v="CMR004"/>
    <x v="3"/>
    <s v="CMR004004"/>
    <x v="21"/>
    <s v="CMR004004006"/>
    <s v="BOURGOURI"/>
    <s v="KAE_0001"/>
    <x v="2"/>
    <s v="P1"/>
    <n v="2"/>
    <n v="17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3"/>
    <s v="CMR004004"/>
    <x v="21"/>
    <s v="CMR004004006"/>
    <s v="BOURGOURI"/>
    <s v="KAE_0001"/>
    <x v="2"/>
    <s v="P2"/>
    <n v="2"/>
    <n v="7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3"/>
    <s v="CMR004004"/>
    <x v="21"/>
    <s v="CMR004004006"/>
    <s v="GAZARO"/>
    <s v="KAE_0002"/>
    <x v="2"/>
    <s v="P1"/>
    <n v="4"/>
    <n v="58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3"/>
    <s v="CMR004004"/>
    <x v="21"/>
    <s v="CMR004004006"/>
    <s v="KAELE"/>
    <s v="KAE_0003"/>
    <x v="2"/>
    <s v="P2"/>
    <n v="1"/>
    <n v="5"/>
    <s v="autre"/>
    <s v="Conflit intercommunautaire. "/>
    <s v="autre_pays"/>
    <s v="CAR"/>
    <s v="Central African Republic"/>
    <s v="CAR001"/>
    <s v="Bamingui-Bangoran"/>
    <s v=""/>
    <s v=""/>
    <s v=""/>
    <s v=""/>
  </r>
  <r>
    <s v="Extrême-Nord"/>
    <s v="CMR004"/>
    <x v="3"/>
    <s v="CMR004004"/>
    <x v="21"/>
    <s v="CMR004004006"/>
    <s v="ZADILI"/>
    <s v="KAE_0004"/>
    <x v="2"/>
    <s v="P1"/>
    <n v="1"/>
    <n v="6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3"/>
    <s v="CMR004004"/>
    <x v="21"/>
    <s v="CMR004004006"/>
    <s v="ZAKLONG"/>
    <s v="KAE_0005"/>
    <x v="2"/>
    <s v="P2"/>
    <n v="3"/>
    <n v="22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3"/>
    <s v="CMR004004"/>
    <x v="32"/>
    <s v="CMR004004007"/>
    <s v="MOGOM"/>
    <s v="MIN_0002"/>
    <x v="2"/>
    <s v="P2"/>
    <n v="3"/>
    <n v="16"/>
    <s v="Conflits EIAO"/>
    <s v=""/>
    <s v="autre_pays"/>
    <s v="NGA"/>
    <s v="Nigeria"/>
    <s v="NGA008"/>
    <s v="Borno"/>
    <s v=""/>
    <s v=""/>
    <s v=""/>
    <s v=""/>
  </r>
  <r>
    <s v="Extrême-Nord"/>
    <s v="CMR004"/>
    <x v="3"/>
    <s v="CMR004004"/>
    <x v="32"/>
    <s v="CMR004004007"/>
    <s v="SAMA"/>
    <s v="MIN_0004"/>
    <x v="2"/>
    <s v="P2"/>
    <n v="1"/>
    <n v="8"/>
    <s v="autre"/>
    <s v="Conflit inter-communautaire "/>
    <s v="autre_pays"/>
    <s v="CAR"/>
    <s v="Central African Republic"/>
    <s v="CAR005"/>
    <s v="Kémo"/>
    <s v=""/>
    <s v=""/>
    <s v=""/>
    <s v=""/>
  </r>
  <r>
    <s v="Extrême-Nord"/>
    <s v="CMR004"/>
    <x v="3"/>
    <s v="CMR004004"/>
    <x v="32"/>
    <s v="CMR004004007"/>
    <s v="YAKANG"/>
    <s v="MIN_0005"/>
    <x v="2"/>
    <s v="P4"/>
    <n v="4"/>
    <n v="13"/>
    <s v="Conflits EIAO"/>
    <s v=""/>
    <s v="autre_pays"/>
    <s v="NGA"/>
    <s v="Nigeria"/>
    <s v="NGA026"/>
    <s v="Nasarawa"/>
    <s v=""/>
    <s v=""/>
    <s v=""/>
    <s v=""/>
  </r>
  <r>
    <s v="Extrême-Nord"/>
    <s v="CMR004"/>
    <x v="3"/>
    <s v="CMR004004"/>
    <x v="36"/>
    <s v="CMR004004002"/>
    <s v="MOULVOUDAYE CENTRE"/>
    <s v="MOL_0001"/>
    <x v="2"/>
    <s v="P2"/>
    <n v="27"/>
    <n v="163"/>
    <s v="Conflits EIAO"/>
    <s v=""/>
    <s v="autre_pays"/>
    <s v="NGA"/>
    <s v="Nigeria"/>
    <s v="NGA008"/>
    <s v="Borno"/>
    <s v=""/>
    <s v=""/>
    <s v=""/>
    <s v=""/>
  </r>
  <r>
    <s v="Extrême-Nord"/>
    <s v="CMR004"/>
    <x v="3"/>
    <s v="CMR004004"/>
    <x v="36"/>
    <s v="CMR004004002"/>
    <s v="MOULVOUDAYE CENTRE"/>
    <s v="MOL_0001"/>
    <x v="2"/>
    <s v="P3"/>
    <n v="26"/>
    <n v="138"/>
    <s v="Conflits EIAO"/>
    <s v=""/>
    <s v="autre_pays"/>
    <s v="NGA"/>
    <s v="Nigeria"/>
    <s v="NGA008"/>
    <s v="Borno"/>
    <s v=""/>
    <s v=""/>
    <s v=""/>
    <s v=""/>
  </r>
  <r>
    <s v="Extrême-Nord"/>
    <s v="CMR004"/>
    <x v="3"/>
    <s v="CMR004004"/>
    <x v="36"/>
    <s v="CMR004004002"/>
    <s v="MOULVOUDAYE CENTRE"/>
    <s v="MOL_0001"/>
    <x v="2"/>
    <s v="P4"/>
    <n v="11"/>
    <n v="56"/>
    <s v="Conflits EIAO"/>
    <s v=""/>
    <s v="autre_pays"/>
    <s v="NGA"/>
    <s v="Nigeria"/>
    <s v="NGA020"/>
    <s v="Kano"/>
    <s v=""/>
    <s v=""/>
    <s v=""/>
    <s v=""/>
  </r>
  <r>
    <s v="Extrême-Nord"/>
    <s v="CMR004"/>
    <x v="3"/>
    <s v="CMR004004"/>
    <x v="36"/>
    <s v="CMR004004002"/>
    <s v="OURO BELLO"/>
    <s v="MOL_0002"/>
    <x v="2"/>
    <s v="P3"/>
    <n v="15"/>
    <n v="72"/>
    <s v="Conflits EIAO"/>
    <s v=""/>
    <s v="autre_pays"/>
    <s v="NGA"/>
    <s v="Nigeria"/>
    <s v="NGA008"/>
    <s v="Borno"/>
    <s v=""/>
    <s v=""/>
    <s v=""/>
    <s v=""/>
  </r>
  <r>
    <s v="Extrême-Nord"/>
    <s v="CMR004"/>
    <x v="3"/>
    <s v="CMR004004"/>
    <x v="22"/>
    <s v="CMR004004005"/>
    <s v="MOUTOUROUA ROOM"/>
    <s v="MOT_0003"/>
    <x v="2"/>
    <s v="P3"/>
    <n v="1"/>
    <n v="4"/>
    <s v="Conflits EIAO"/>
    <s v=""/>
    <s v="autre_pays"/>
    <s v="NGA"/>
    <s v="Nigeria"/>
    <s v="NGA002"/>
    <s v="Adamawa"/>
    <s v=""/>
    <s v=""/>
    <s v=""/>
    <s v=""/>
  </r>
  <r>
    <s v="Extrême-Nord"/>
    <s v="CMR004"/>
    <x v="4"/>
    <s v="CMR004005"/>
    <x v="23"/>
    <s v="CMR004005001"/>
    <s v="AMCHIDE"/>
    <s v="KOL_0001"/>
    <x v="2"/>
    <s v="P3"/>
    <n v="31"/>
    <n v="19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4"/>
    <s v="CMR004005"/>
    <x v="23"/>
    <s v="CMR004005001"/>
    <s v="AMCHIDE"/>
    <s v="KOL_0001"/>
    <x v="2"/>
    <s v="P4"/>
    <n v="274"/>
    <n v="1876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4"/>
    <s v="CMR004005"/>
    <x v="23"/>
    <s v="CMR004005001"/>
    <s v="AMCHIDE"/>
    <s v="KOL_0001"/>
    <x v="2"/>
    <s v="P5"/>
    <n v="408"/>
    <n v="2521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4"/>
    <s v="CMR004005"/>
    <x v="23"/>
    <s v="CMR004005001"/>
    <s v="AMCHIDE"/>
    <s v="KOL_0001"/>
    <x v="2"/>
    <s v="P6"/>
    <n v="385"/>
    <n v="3375"/>
    <s v="Conflits EIAO"/>
    <s v=""/>
    <s v="autre_pays"/>
    <s v="NGA"/>
    <s v="Nigeria"/>
    <s v="NGA002"/>
    <s v="Adamawa"/>
    <s v=""/>
    <s v=""/>
    <s v=""/>
    <s v=""/>
  </r>
  <r>
    <s v="Extrême-Nord"/>
    <s v="CMR004"/>
    <x v="4"/>
    <s v="CMR004005"/>
    <x v="23"/>
    <s v="CMR004005001"/>
    <s v="GARE"/>
    <s v="KOL_0013"/>
    <x v="2"/>
    <s v="P5"/>
    <n v="16"/>
    <n v="7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3"/>
    <s v="CMR004005001"/>
    <s v="GOUZOUDOU"/>
    <s v="KOL_0030"/>
    <x v="2"/>
    <s v="P4"/>
    <n v="20"/>
    <n v="136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3"/>
    <s v="CMR004005001"/>
    <s v="GOUZOUDOU"/>
    <s v="KOL_0030"/>
    <x v="2"/>
    <s v="P5"/>
    <n v="15"/>
    <n v="76"/>
    <s v="Conflits EIAO"/>
    <s v=""/>
    <s v="meme_pays"/>
    <s v="CMR"/>
    <s v="Cameroon"/>
    <s v="CMR009"/>
    <s v="Sud"/>
    <s v=""/>
    <s v=""/>
    <s v=""/>
    <s v=""/>
  </r>
  <r>
    <s v="Extrême-Nord"/>
    <s v="CMR004"/>
    <x v="4"/>
    <s v="CMR004005"/>
    <x v="23"/>
    <s v="CMR004005001"/>
    <s v="KERAWA"/>
    <s v="KOL_0019"/>
    <x v="2"/>
    <s v="P4"/>
    <n v="3"/>
    <n v="21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3"/>
    <s v="CMR004005001"/>
    <s v="KERAWA"/>
    <s v="KOL_0019"/>
    <x v="2"/>
    <s v="P5"/>
    <n v="14"/>
    <n v="98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3"/>
    <s v="CMR004005001"/>
    <s v="KOLOFATA"/>
    <s v="KOL_0006"/>
    <x v="2"/>
    <s v="P3"/>
    <n v="15"/>
    <n v="87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4"/>
    <s v="CMR004005"/>
    <x v="23"/>
    <s v="CMR004005001"/>
    <s v="KOLOFATA"/>
    <s v="KOL_0006"/>
    <x v="2"/>
    <s v="P4"/>
    <n v="27"/>
    <n v="164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4"/>
    <s v="CMR004005"/>
    <x v="23"/>
    <s v="CMR004005001"/>
    <s v="KOLOFATA"/>
    <s v="KOL_0006"/>
    <x v="2"/>
    <s v="P5"/>
    <n v="73"/>
    <n v="399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3"/>
    <s v="CMR004005001"/>
    <s v="SARE"/>
    <s v="KOL_0012"/>
    <x v="2"/>
    <s v="P5"/>
    <n v="20"/>
    <n v="10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DJAKANA"/>
    <s v="MOR_0035"/>
    <x v="2"/>
    <s v="P4"/>
    <n v="63"/>
    <n v="31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DJAKANA"/>
    <s v="MOR_0035"/>
    <x v="2"/>
    <s v="P5"/>
    <n v="242"/>
    <n v="1407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DJOUNDE"/>
    <s v="MOR_0004"/>
    <x v="2"/>
    <s v="P4"/>
    <n v="14"/>
    <n v="77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DJOUNDE"/>
    <s v="MOR_0004"/>
    <x v="2"/>
    <s v="P5"/>
    <n v="27"/>
    <n v="154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DOULO"/>
    <s v="MOR_0005"/>
    <x v="2"/>
    <s v="P4"/>
    <n v="223"/>
    <n v="1338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DOULO"/>
    <s v="MOR_0005"/>
    <x v="2"/>
    <s v="P5"/>
    <n v="61"/>
    <n v="327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DOULO"/>
    <s v="MOR_0005"/>
    <x v="2"/>
    <s v="P6"/>
    <n v="6"/>
    <n v="32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KOSSA"/>
    <s v="MOR_0040"/>
    <x v="2"/>
    <s v="P3"/>
    <n v="64"/>
    <n v="402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KOSSA"/>
    <s v="MOR_0040"/>
    <x v="2"/>
    <s v="P4"/>
    <n v="78"/>
    <n v="58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KOSSA"/>
    <s v="MOR_0040"/>
    <x v="2"/>
    <s v="P5"/>
    <n v="31"/>
    <n v="190"/>
    <s v="Conflits EIAO"/>
    <s v=""/>
    <s v="meme_pays"/>
    <s v="CMR"/>
    <s v="Cameroon"/>
    <s v="CMR004"/>
    <s v="Extrême-Nord"/>
    <s v="CMR004001"/>
    <s v="Diamare"/>
    <s v=""/>
    <s v=""/>
  </r>
  <r>
    <s v="Extrême-Nord"/>
    <s v="CMR004"/>
    <x v="4"/>
    <s v="CMR004005"/>
    <x v="24"/>
    <s v="CMR004005002"/>
    <s v="LIMANI"/>
    <s v="MOR_0041"/>
    <x v="2"/>
    <s v="P4"/>
    <n v="68"/>
    <n v="461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LIMANI"/>
    <s v="MOR_0041"/>
    <x v="2"/>
    <s v="P5"/>
    <n v="175"/>
    <n v="1138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LIMANI"/>
    <s v="MOR_0041"/>
    <x v="2"/>
    <s v="P6"/>
    <n v="18"/>
    <n v="139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MAGDEME"/>
    <s v="MOR_0042"/>
    <x v="2"/>
    <s v="P4"/>
    <n v="96"/>
    <n v="644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MAGDEME"/>
    <s v="MOR_0042"/>
    <x v="2"/>
    <s v="P5"/>
    <n v="38"/>
    <n v="257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MAGDEME"/>
    <s v="MOR_0042"/>
    <x v="2"/>
    <s v="P6"/>
    <n v="4"/>
    <n v="22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WARAGA"/>
    <s v="MOR_0048"/>
    <x v="2"/>
    <s v="P4"/>
    <n v="28"/>
    <n v="151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WARAGA"/>
    <s v="MOR_0048"/>
    <x v="2"/>
    <s v="P5"/>
    <n v="62"/>
    <n v="361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6"/>
    <s v="CMR004006007"/>
    <s v="BOUKOULA"/>
    <s v="BOU_0001"/>
    <x v="2"/>
    <s v="P2"/>
    <n v="9"/>
    <n v="5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6"/>
    <s v="CMR004006007"/>
    <s v="BOUKOULA"/>
    <s v="BOU_0001"/>
    <x v="2"/>
    <s v="P3"/>
    <n v="8"/>
    <n v="45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6"/>
    <s v="CMR004006007"/>
    <s v="GUILI"/>
    <s v="BOU_0003"/>
    <x v="2"/>
    <s v="P3"/>
    <n v="94"/>
    <n v="47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6"/>
    <s v="CMR004006007"/>
    <s v="GUILI"/>
    <s v="BOU_0003"/>
    <x v="2"/>
    <s v="P4"/>
    <n v="62"/>
    <n v="31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6"/>
    <s v="CMR004006007"/>
    <s v="LAMORDE"/>
    <s v="BOU_0004"/>
    <x v="2"/>
    <s v="P3"/>
    <n v="2"/>
    <n v="9"/>
    <s v="Conflits EIAO"/>
    <s v=""/>
    <s v="meme_pays"/>
    <s v="CMR"/>
    <s v="Cameroon"/>
    <s v="CMR006"/>
    <s v="Nord"/>
    <s v="CMR006003"/>
    <s v="Mayo-Louti"/>
    <s v=""/>
    <s v=""/>
  </r>
  <r>
    <s v="Extrême-Nord"/>
    <s v="CMR004"/>
    <x v="5"/>
    <s v="CMR004006"/>
    <x v="26"/>
    <s v="CMR004006007"/>
    <s v="LAMORDE"/>
    <s v="BOU_0004"/>
    <x v="2"/>
    <s v="P2"/>
    <n v="4"/>
    <n v="1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6"/>
    <s v="CMR004006007"/>
    <s v="LAMORDE"/>
    <s v="BOU_0004"/>
    <x v="2"/>
    <s v="P4"/>
    <n v="115"/>
    <n v="589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6"/>
    <s v="CMR004006007"/>
    <s v="TCHEVI"/>
    <s v="BOU_0005"/>
    <x v="2"/>
    <s v="P2"/>
    <n v="10"/>
    <n v="5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6"/>
    <s v="CMR004006007"/>
    <s v="TCHEVI"/>
    <s v="BOU_0005"/>
    <x v="2"/>
    <s v="P3"/>
    <n v="4"/>
    <n v="25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7"/>
    <s v="CMR004006003"/>
    <s v="BAMGUEL BORORO"/>
    <s v="HIN_0001"/>
    <x v="2"/>
    <s v="P3"/>
    <n v="2"/>
    <n v="16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7"/>
    <s v="CMR004006003"/>
    <s v="BAMGUEL BORORO"/>
    <s v="HIN_0001"/>
    <x v="2"/>
    <s v="P2"/>
    <n v="3"/>
    <n v="19"/>
    <s v="Conflits EIAO"/>
    <s v=""/>
    <s v="autre_pays"/>
    <s v="NGA"/>
    <s v="Nigeria"/>
    <s v="NGA016"/>
    <s v="Gombe"/>
    <s v=""/>
    <s v=""/>
    <s v=""/>
    <s v=""/>
  </r>
  <r>
    <s v="Extrême-Nord"/>
    <s v="CMR004"/>
    <x v="5"/>
    <s v="CMR004006"/>
    <x v="27"/>
    <s v="CMR004006003"/>
    <s v="BASSARA"/>
    <s v="HIN_0002"/>
    <x v="2"/>
    <s v="P4"/>
    <n v="6"/>
    <n v="3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7"/>
    <s v="CMR004006003"/>
    <s v="BASSARA"/>
    <s v="HIN_0002"/>
    <x v="2"/>
    <s v="P3"/>
    <n v="2"/>
    <n v="15"/>
    <s v="Conflits EIAO"/>
    <s v=""/>
    <s v="autre_pays"/>
    <s v="NGA"/>
    <s v="Nigeria"/>
    <s v="NGA016"/>
    <s v="Gombe"/>
    <s v=""/>
    <s v=""/>
    <s v=""/>
    <s v=""/>
  </r>
  <r>
    <s v="Extrême-Nord"/>
    <s v="CMR004"/>
    <x v="5"/>
    <s v="CMR004006"/>
    <x v="27"/>
    <s v="CMR004006003"/>
    <s v="BASSARA"/>
    <s v="HIN_0002"/>
    <x v="2"/>
    <s v="P2"/>
    <n v="3"/>
    <n v="15"/>
    <s v="Conflits EIAO"/>
    <s v=""/>
    <s v="autre_pays"/>
    <s v="NGA"/>
    <s v="Nigeria"/>
    <s v="NGA020"/>
    <s v="Kano"/>
    <s v=""/>
    <s v=""/>
    <s v=""/>
    <s v=""/>
  </r>
  <r>
    <s v="Extrême-Nord"/>
    <s v="CMR004"/>
    <x v="5"/>
    <s v="CMR004006"/>
    <x v="27"/>
    <s v="CMR004006003"/>
    <s v="BERING"/>
    <s v="HIN_0003"/>
    <x v="2"/>
    <s v="P2"/>
    <n v="5"/>
    <n v="35"/>
    <s v="Conflits EIAO"/>
    <s v=""/>
    <s v="autre_pays"/>
    <s v="NGA"/>
    <s v="Nigeria"/>
    <s v="NGA025"/>
    <s v="Lagos"/>
    <s v=""/>
    <s v=""/>
    <s v=""/>
    <s v=""/>
  </r>
  <r>
    <s v="Extrême-Nord"/>
    <s v="CMR004"/>
    <x v="5"/>
    <s v="CMR004006"/>
    <x v="27"/>
    <s v="CMR004006003"/>
    <s v="HINA CENTRE"/>
    <s v="HIN_0004"/>
    <x v="2"/>
    <s v="P2"/>
    <n v="4"/>
    <n v="3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7"/>
    <s v="CMR004006003"/>
    <s v="HINA CENTRE"/>
    <s v="HIN_0004"/>
    <x v="2"/>
    <s v="P3"/>
    <n v="6"/>
    <n v="43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7"/>
    <s v="CMR004006003"/>
    <s v="HINA CENTRE"/>
    <s v="HIN_0004"/>
    <x v="2"/>
    <s v="P4"/>
    <n v="1"/>
    <n v="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7"/>
    <s v="CMR004006003"/>
    <s v="HINA CENTRE"/>
    <s v="HIN_0004"/>
    <x v="2"/>
    <s v="P5"/>
    <n v="1"/>
    <n v="2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7"/>
    <s v="CMR004006003"/>
    <s v="MADINA"/>
    <s v="HIN_0005"/>
    <x v="2"/>
    <s v="P5"/>
    <n v="1"/>
    <n v="3"/>
    <s v="Conflits EIAO"/>
    <s v=""/>
    <s v="autre_pays"/>
    <s v="NGA"/>
    <s v="Nigeria"/>
    <s v="NGA020"/>
    <s v="Kano"/>
    <s v=""/>
    <s v=""/>
    <s v=""/>
    <s v=""/>
  </r>
  <r>
    <s v="Extrême-Nord"/>
    <s v="CMR004"/>
    <x v="5"/>
    <s v="CMR004006"/>
    <x v="27"/>
    <s v="CMR004006003"/>
    <s v="ZOUVOUL"/>
    <s v="HIN_0006"/>
    <x v="2"/>
    <s v="P3"/>
    <n v="4"/>
    <n v="2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7"/>
    <s v="CMR004006003"/>
    <s v="ZOUVOUL"/>
    <s v="HIN_0006"/>
    <x v="2"/>
    <s v="P4"/>
    <n v="2"/>
    <n v="13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8"/>
    <s v="CMR004006004"/>
    <s v="DJENGUE"/>
    <s v="KOZ_0002"/>
    <x v="2"/>
    <s v="P5"/>
    <n v="13"/>
    <n v="4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DJINGIYA PLAINE"/>
    <s v="KOZ_0003"/>
    <x v="2"/>
    <s v="P5"/>
    <n v="11"/>
    <n v="6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DJINGLIYA MONTAGNE"/>
    <s v="KOZ_0004"/>
    <x v="2"/>
    <s v="P5"/>
    <n v="6"/>
    <n v="4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DOUMBOGO"/>
    <s v="KOZ_0005"/>
    <x v="2"/>
    <s v="P5"/>
    <n v="4"/>
    <n v="1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DOURWAT"/>
    <s v="KOZ_0006"/>
    <x v="2"/>
    <s v="P5"/>
    <n v="18"/>
    <n v="121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8"/>
    <s v="CMR004006004"/>
    <s v="GABOUA"/>
    <s v="KOZ_0008"/>
    <x v="2"/>
    <s v="P5"/>
    <n v="20"/>
    <n v="58"/>
    <s v="Conflits EIAO"/>
    <s v=""/>
    <s v="meme_pays"/>
    <s v="CMR"/>
    <s v="Cameroon"/>
    <s v="CMR009"/>
    <s v="Sud"/>
    <s v="CMR004006"/>
    <s v="Mayo-Tsanaga"/>
    <s v=""/>
    <s v=""/>
  </r>
  <r>
    <s v="Extrême-Nord"/>
    <s v="CMR004"/>
    <x v="5"/>
    <s v="CMR004006"/>
    <x v="28"/>
    <s v="CMR004006004"/>
    <s v="GAIVOUKIDA"/>
    <s v="KOZ_0009"/>
    <x v="2"/>
    <s v="P5"/>
    <n v="16"/>
    <n v="5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GALDALA"/>
    <s v="KOZ_0010"/>
    <x v="2"/>
    <s v="P5"/>
    <n v="4"/>
    <n v="2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GOUSD MLAIL"/>
    <s v="KOZ_0034"/>
    <x v="2"/>
    <s v="P5"/>
    <n v="15"/>
    <n v="82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8"/>
    <s v="CMR004006004"/>
    <s v="GOUSDA MAKANDAI"/>
    <s v="KOZ_0011"/>
    <x v="2"/>
    <s v="P5"/>
    <n v="6"/>
    <n v="4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GOUSDA WAYAM"/>
    <s v="KOZ_0012"/>
    <x v="2"/>
    <s v="P5"/>
    <n v="12"/>
    <n v="79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GUID BALA"/>
    <s v="KOZ_0014"/>
    <x v="2"/>
    <s v="P5"/>
    <n v="6"/>
    <n v="3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HAMDALA"/>
    <s v="KOZ_0015"/>
    <x v="2"/>
    <s v="P6"/>
    <n v="11"/>
    <n v="69"/>
    <s v="Conflits EIAO"/>
    <s v=""/>
    <s v="meme_pays"/>
    <s v="CMR"/>
    <s v="Cameroon"/>
    <s v="CMR005"/>
    <s v="Littoral"/>
    <s v="CMR004006"/>
    <s v="Mayo-Tsanaga"/>
    <s v=""/>
    <s v=""/>
  </r>
  <r>
    <s v="Extrême-Nord"/>
    <s v="CMR004"/>
    <x v="5"/>
    <s v="CMR004006"/>
    <x v="28"/>
    <s v="CMR004006004"/>
    <s v="HIRCHE"/>
    <s v="KOZ_0016"/>
    <x v="2"/>
    <s v="P5"/>
    <n v="12"/>
    <n v="8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HOUVA"/>
    <s v="KOZ_0035"/>
    <x v="2"/>
    <s v="P2"/>
    <n v="4"/>
    <n v="17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HOUVA"/>
    <s v="KOZ_0035"/>
    <x v="2"/>
    <s v="P3"/>
    <n v="6"/>
    <n v="29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HOUVA"/>
    <s v="KOZ_0035"/>
    <x v="2"/>
    <s v="P4"/>
    <n v="8"/>
    <n v="3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KILDA"/>
    <s v="KOZ_0018"/>
    <x v="2"/>
    <s v="P5"/>
    <n v="23"/>
    <n v="11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LAMORDE"/>
    <s v="KOZ_0019"/>
    <x v="2"/>
    <s v="P5"/>
    <n v="5"/>
    <n v="32"/>
    <s v="Conflits EIAO"/>
    <s v=""/>
    <s v="meme_pays"/>
    <s v="CMR"/>
    <s v="Cameroon"/>
    <s v="CMR009"/>
    <s v="Sud"/>
    <s v="CMR004006"/>
    <s v="Mayo-Tsanaga"/>
    <s v=""/>
    <s v=""/>
  </r>
  <r>
    <s v="Extrême-Nord"/>
    <s v="CMR004"/>
    <x v="5"/>
    <s v="CMR004006"/>
    <x v="28"/>
    <s v="CMR004006004"/>
    <s v="MALTAMAYA"/>
    <s v="KOZ_0020"/>
    <x v="2"/>
    <s v="P5"/>
    <n v="12"/>
    <n v="67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8"/>
    <s v="CMR004006004"/>
    <s v="MATALAM"/>
    <s v="KOZ_0031"/>
    <x v="2"/>
    <s v="P5"/>
    <n v="7"/>
    <n v="43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MAWA"/>
    <s v="KOZ_0021"/>
    <x v="2"/>
    <s v="P5"/>
    <n v="29"/>
    <n v="193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8"/>
    <s v="CMR004006004"/>
    <s v="MAZI"/>
    <s v="KOZ_0022"/>
    <x v="2"/>
    <s v="P5"/>
    <n v="8"/>
    <n v="4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MBARDAM"/>
    <s v="KOZ_0023"/>
    <x v="2"/>
    <s v="P5"/>
    <n v="21"/>
    <n v="142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8"/>
    <s v="CMR004006004"/>
    <s v="MORGO"/>
    <s v="KOZ_0025"/>
    <x v="2"/>
    <s v="P5"/>
    <n v="53"/>
    <n v="284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PAMBAO"/>
    <s v="KOZ_0026"/>
    <x v="2"/>
    <s v="P6"/>
    <n v="18"/>
    <n v="13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TENDEO"/>
    <s v="KOZ_0027"/>
    <x v="2"/>
    <s v="P5"/>
    <n v="13"/>
    <n v="6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WALADE"/>
    <s v="KOZ_0028"/>
    <x v="2"/>
    <s v="P5"/>
    <n v="16"/>
    <n v="109"/>
    <s v="Conflits EIAO"/>
    <s v=""/>
    <s v="meme_pays"/>
    <s v="CMR"/>
    <s v="Cameroon"/>
    <s v="CMR009"/>
    <s v="Sud"/>
    <s v="CMR004006"/>
    <s v="Mayo-Tsanaga"/>
    <s v=""/>
    <s v=""/>
  </r>
  <r>
    <s v="Extrême-Nord"/>
    <s v="CMR004"/>
    <x v="5"/>
    <s v="CMR004006"/>
    <x v="28"/>
    <s v="CMR004006004"/>
    <s v="WOULAD"/>
    <s v="KOZ_0029"/>
    <x v="2"/>
    <s v="P5"/>
    <n v="6"/>
    <n v="3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YAMEDE"/>
    <s v="KOZ_0038"/>
    <x v="2"/>
    <s v="P4"/>
    <n v="2"/>
    <n v="11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GOURIA"/>
    <s v="MOG_0001"/>
    <x v="2"/>
    <s v="P3"/>
    <n v="2"/>
    <n v="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KARANTCHI"/>
    <s v="MOG_0002"/>
    <x v="2"/>
    <s v="P2"/>
    <n v="7"/>
    <n v="39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33"/>
    <s v="CMR004006001"/>
    <s v="KARANTCHI"/>
    <s v="MOG_0002"/>
    <x v="2"/>
    <s v="P3"/>
    <n v="6"/>
    <n v="34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33"/>
    <s v="CMR004006001"/>
    <s v="KILA"/>
    <s v="MOG_0003"/>
    <x v="2"/>
    <s v="P2"/>
    <n v="2"/>
    <n v="13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KILA"/>
    <s v="MOG_0003"/>
    <x v="2"/>
    <s v="P3"/>
    <n v="3"/>
    <n v="17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MOGODE"/>
    <s v="MOG_0005"/>
    <x v="2"/>
    <s v="P2"/>
    <n v="20"/>
    <n v="9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33"/>
    <s v="CMR004006001"/>
    <s v="MOGODE"/>
    <s v="MOG_0005"/>
    <x v="2"/>
    <s v="P3"/>
    <n v="30"/>
    <n v="21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33"/>
    <s v="CMR004006001"/>
    <s v="NORA"/>
    <s v="MOG_0006"/>
    <x v="2"/>
    <s v="P2"/>
    <n v="5"/>
    <n v="1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NORA"/>
    <s v="MOG_0006"/>
    <x v="2"/>
    <s v="P3"/>
    <n v="7"/>
    <n v="17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NORA"/>
    <s v="MOG_0006"/>
    <x v="2"/>
    <s v="P4"/>
    <n v="2"/>
    <n v="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OUDAVA"/>
    <s v="MOG_0007"/>
    <x v="2"/>
    <s v="P2"/>
    <n v="11"/>
    <n v="41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OUDAVA"/>
    <s v="MOG_0007"/>
    <x v="2"/>
    <s v="P3"/>
    <n v="4"/>
    <n v="2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OUDAVA"/>
    <s v="MOG_0007"/>
    <x v="2"/>
    <s v="P4"/>
    <n v="1"/>
    <n v="3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RHUMSIKI"/>
    <s v="MOG_0008"/>
    <x v="2"/>
    <s v="P2"/>
    <n v="8"/>
    <n v="4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RHUMSIKI"/>
    <s v="MOG_0008"/>
    <x v="2"/>
    <s v="P3"/>
    <n v="7"/>
    <n v="3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RHUMSIKI"/>
    <s v="MOG_0008"/>
    <x v="2"/>
    <s v="P4"/>
    <n v="2"/>
    <n v="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RHUMZU"/>
    <s v="MOG_0009"/>
    <x v="2"/>
    <s v="P2"/>
    <n v="45"/>
    <n v="13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RHUMZU"/>
    <s v="MOG_0009"/>
    <x v="2"/>
    <s v="P3"/>
    <n v="7"/>
    <n v="3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SIR"/>
    <s v="MOG_0010"/>
    <x v="2"/>
    <s v="P2"/>
    <n v="35"/>
    <n v="11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33"/>
    <s v="CMR004006001"/>
    <s v="SIR"/>
    <s v="MOG_0010"/>
    <x v="2"/>
    <s v="P3"/>
    <n v="15"/>
    <n v="4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33"/>
    <s v="CMR004006001"/>
    <s v="VITTE"/>
    <s v="MOG_0012"/>
    <x v="2"/>
    <s v="P2"/>
    <n v="5"/>
    <n v="2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VITTE"/>
    <s v="MOG_0012"/>
    <x v="2"/>
    <s v="P3"/>
    <n v="3"/>
    <n v="1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YELLE"/>
    <s v="MOG_0013"/>
    <x v="2"/>
    <s v="P2"/>
    <n v="2"/>
    <n v="15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33"/>
    <s v="CMR004006001"/>
    <s v="YELLE"/>
    <s v="MOG_0013"/>
    <x v="2"/>
    <s v="P3"/>
    <n v="2"/>
    <n v="13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33"/>
    <s v="CMR004006001"/>
    <s v="YELLE"/>
    <s v="MOG_0013"/>
    <x v="2"/>
    <s v="P6"/>
    <n v="1"/>
    <n v="3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BOULA"/>
    <s v="MOK_0036"/>
    <x v="2"/>
    <s v="P5"/>
    <n v="1"/>
    <n v="4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BOUNGUELRE"/>
    <s v="MOK_0001"/>
    <x v="2"/>
    <s v="P3"/>
    <n v="87"/>
    <n v="669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BOUNGUELRE"/>
    <s v="MOK_0001"/>
    <x v="2"/>
    <s v="P4"/>
    <n v="69"/>
    <n v="55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DEDEP"/>
    <s v="MOK_0002"/>
    <x v="2"/>
    <s v="P2"/>
    <n v="2"/>
    <n v="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DJIMETA"/>
    <s v="MOK_0004"/>
    <x v="2"/>
    <s v="P3"/>
    <n v="2"/>
    <n v="16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DJIMETA"/>
    <s v="MOK_0004"/>
    <x v="2"/>
    <s v="P2"/>
    <n v="4"/>
    <n v="32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29"/>
    <s v="CMR004006002"/>
    <s v="GAWAR"/>
    <s v="MOK_0005"/>
    <x v="2"/>
    <s v="P2"/>
    <n v="12"/>
    <n v="6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GAWAR"/>
    <s v="MOK_0005"/>
    <x v="2"/>
    <s v="P3"/>
    <n v="8"/>
    <n v="4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ITAWA"/>
    <s v="MOK_0037"/>
    <x v="2"/>
    <s v="P2"/>
    <n v="30"/>
    <n v="248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KOSSOHONE"/>
    <s v="MOK_0007"/>
    <x v="2"/>
    <s v="P2"/>
    <n v="60"/>
    <n v="30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KOSSOHONE"/>
    <s v="MOK_0007"/>
    <x v="2"/>
    <s v="P3"/>
    <n v="30"/>
    <n v="15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KOSSOHONE"/>
    <s v="MOK_0007"/>
    <x v="2"/>
    <s v="P5"/>
    <n v="33"/>
    <n v="167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LAIDE"/>
    <s v="MOK_0008"/>
    <x v="2"/>
    <s v="P5"/>
    <n v="2"/>
    <n v="16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LAIDE"/>
    <s v="MOK_0008"/>
    <x v="2"/>
    <s v="P2"/>
    <n v="4"/>
    <n v="32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29"/>
    <s v="CMR004006002"/>
    <s v="LAMORDE"/>
    <s v="MOK_0009"/>
    <x v="2"/>
    <s v="P4"/>
    <n v="13"/>
    <n v="104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LAMORDE"/>
    <s v="MOK_0009"/>
    <x v="2"/>
    <s v="P5"/>
    <n v="2"/>
    <n v="1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LDAMANG"/>
    <s v="MOK_0030"/>
    <x v="2"/>
    <s v="P5"/>
    <n v="36"/>
    <n v="184"/>
    <s v="Conflits EIAO"/>
    <s v=""/>
    <s v="autre_pays"/>
    <s v="NGA"/>
    <s v="Nigeria"/>
    <s v="NGA034"/>
    <s v="Sokoto"/>
    <s v=""/>
    <s v=""/>
    <s v=""/>
    <s v=""/>
  </r>
  <r>
    <s v="Extrême-Nord"/>
    <s v="CMR004"/>
    <x v="5"/>
    <s v="CMR004006"/>
    <x v="29"/>
    <s v="CMR004006002"/>
    <s v="MAGOUMAZ"/>
    <s v="MOK_0010"/>
    <x v="2"/>
    <s v="P5"/>
    <n v="5"/>
    <n v="25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MAINDEZE"/>
    <s v="MOK_0011"/>
    <x v="2"/>
    <s v="P3"/>
    <n v="12"/>
    <n v="62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MAINDEZE"/>
    <s v="MOK_0011"/>
    <x v="2"/>
    <s v="P4"/>
    <n v="4"/>
    <n v="24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MAVOUMAY"/>
    <s v="MOK_0012"/>
    <x v="2"/>
    <s v="P2"/>
    <n v="12"/>
    <n v="6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MAVOUMAY"/>
    <s v="MOK_0012"/>
    <x v="2"/>
    <s v="P3"/>
    <n v="4"/>
    <n v="2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MAVOUMAY"/>
    <s v="MOK_0012"/>
    <x v="2"/>
    <s v="P5"/>
    <n v="3"/>
    <n v="14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MAXI MABASS"/>
    <s v="MOK_0013"/>
    <x v="2"/>
    <s v="P2"/>
    <n v="15"/>
    <n v="75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MBOUA ZIMAGAZAK"/>
    <s v="MOK_0014"/>
    <x v="2"/>
    <s v="P2"/>
    <n v="56"/>
    <n v="336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MBOUA ZIMAGAZAK"/>
    <s v="MOK_0014"/>
    <x v="2"/>
    <s v="P3"/>
    <n v="44"/>
    <n v="220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MBOUA ZIMAGAZAK"/>
    <s v="MOK_0014"/>
    <x v="2"/>
    <s v="P4"/>
    <n v="27"/>
    <n v="13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MOKONG"/>
    <s v="MOK_0016"/>
    <x v="2"/>
    <s v="P3"/>
    <n v="5"/>
    <n v="2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MOKONG"/>
    <s v="MOK_0016"/>
    <x v="2"/>
    <s v="P4"/>
    <n v="3"/>
    <n v="2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MOKONG"/>
    <s v="MOK_0016"/>
    <x v="2"/>
    <s v="P2"/>
    <n v="15"/>
    <n v="75"/>
    <s v="Conflits EIAO"/>
    <s v=""/>
    <s v="autre_pays"/>
    <s v="NGA"/>
    <s v="Nigeria"/>
    <s v="NGA016"/>
    <s v="Gombe"/>
    <s v=""/>
    <s v=""/>
    <s v=""/>
    <s v=""/>
  </r>
  <r>
    <s v="Extrême-Nord"/>
    <s v="CMR004"/>
    <x v="5"/>
    <s v="CMR004006"/>
    <x v="29"/>
    <s v="CMR004006002"/>
    <s v="NASSARAO 1"/>
    <s v="MOK_0017"/>
    <x v="2"/>
    <s v="P3"/>
    <n v="6"/>
    <n v="3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NASSARAO 2"/>
    <s v="MOK_0018"/>
    <x v="2"/>
    <s v="P2"/>
    <n v="5"/>
    <n v="2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NASSARAO 2"/>
    <s v="MOK_0018"/>
    <x v="2"/>
    <s v="P3"/>
    <n v="5"/>
    <n v="3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OURO KESSOUM"/>
    <s v="MOK_0019"/>
    <x v="2"/>
    <s v="P2"/>
    <n v="6"/>
    <n v="37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OURO KESSOUM"/>
    <s v="MOK_0019"/>
    <x v="2"/>
    <s v="P3"/>
    <n v="2"/>
    <n v="14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OURO KESSOUM"/>
    <s v="MOK_0019"/>
    <x v="2"/>
    <s v="P4"/>
    <n v="2"/>
    <n v="11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OURO KESSOUM"/>
    <s v="MOK_0019"/>
    <x v="2"/>
    <s v="P5"/>
    <n v="1"/>
    <n v="5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OURO TADA"/>
    <s v="MOK_0020"/>
    <x v="2"/>
    <s v="P3"/>
    <n v="2"/>
    <n v="14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OURO TADA"/>
    <s v="MOK_0020"/>
    <x v="2"/>
    <s v="P5"/>
    <n v="33"/>
    <n v="264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OURO TADA"/>
    <s v="MOK_0020"/>
    <x v="2"/>
    <s v="P2"/>
    <n v="6"/>
    <n v="48"/>
    <s v="Conflits EIAO"/>
    <s v=""/>
    <s v="autre_pays"/>
    <s v="NGA"/>
    <s v="Nigeria"/>
    <s v="NGA007"/>
    <s v="Benue"/>
    <s v=""/>
    <s v=""/>
    <s v=""/>
    <s v=""/>
  </r>
  <r>
    <s v="Extrême-Nord"/>
    <s v="CMR004"/>
    <x v="5"/>
    <s v="CMR004006"/>
    <x v="29"/>
    <s v="CMR004006002"/>
    <s v="OURO TADA"/>
    <s v="MOK_0020"/>
    <x v="2"/>
    <s v="P4"/>
    <n v="19"/>
    <n v="152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29"/>
    <s v="CMR004006002"/>
    <s v="SABONGARI"/>
    <s v="MOK_0021"/>
    <x v="2"/>
    <s v="P2"/>
    <n v="4"/>
    <n v="25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29"/>
    <s v="CMR004006002"/>
    <s v="SABONGARI"/>
    <s v="MOK_0021"/>
    <x v="2"/>
    <s v="P3"/>
    <n v="2"/>
    <n v="10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29"/>
    <s v="CMR004006002"/>
    <s v="SABONGARI"/>
    <s v="MOK_0021"/>
    <x v="2"/>
    <s v="P4"/>
    <n v="1"/>
    <n v="6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29"/>
    <s v="CMR004006002"/>
    <s v="TONGO"/>
    <s v="MOK_0022"/>
    <x v="2"/>
    <s v="P3"/>
    <n v="8"/>
    <n v="4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TOUFOU"/>
    <s v="MOK_0023"/>
    <x v="2"/>
    <s v="P2"/>
    <n v="3"/>
    <n v="16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TOUFOU"/>
    <s v="MOK_0023"/>
    <x v="2"/>
    <s v="P3"/>
    <n v="4"/>
    <n v="21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TOUROU"/>
    <s v="MOK_0024"/>
    <x v="2"/>
    <s v="P2"/>
    <n v="5"/>
    <n v="25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TOUROU"/>
    <s v="MOK_0024"/>
    <x v="2"/>
    <s v="P3"/>
    <n v="3"/>
    <n v="15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WANDAI"/>
    <s v="MOK_0025"/>
    <x v="2"/>
    <s v="P2"/>
    <n v="20"/>
    <n v="10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WANDAI"/>
    <s v="MOK_0025"/>
    <x v="2"/>
    <s v="P4"/>
    <n v="3"/>
    <n v="16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WANDAI"/>
    <s v="MOK_0025"/>
    <x v="2"/>
    <s v="P5"/>
    <n v="2"/>
    <n v="13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WOULA"/>
    <s v="MOK_0026"/>
    <x v="2"/>
    <s v="P2"/>
    <n v="16"/>
    <n v="8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WOULA"/>
    <s v="MOK_0026"/>
    <x v="2"/>
    <s v="P4"/>
    <n v="6"/>
    <n v="3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WOULA"/>
    <s v="MOK_0026"/>
    <x v="2"/>
    <s v="P5"/>
    <n v="29"/>
    <n v="143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WOULA"/>
    <s v="MOK_0026"/>
    <x v="2"/>
    <s v="P6"/>
    <n v="6"/>
    <n v="3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ZAMAI"/>
    <s v="MOK_0027"/>
    <x v="2"/>
    <s v="P2"/>
    <n v="4"/>
    <n v="20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ZAMAI"/>
    <s v="MOK_0027"/>
    <x v="2"/>
    <s v="P3"/>
    <n v="2"/>
    <n v="10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ZAMAI"/>
    <s v="MOK_0027"/>
    <x v="2"/>
    <s v="P4"/>
    <n v="2"/>
    <n v="1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ZILENG"/>
    <s v="MOK_0028"/>
    <x v="2"/>
    <s v="P1"/>
    <n v="20"/>
    <n v="16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ZILENG"/>
    <s v="MOK_0028"/>
    <x v="2"/>
    <s v="P2"/>
    <n v="90"/>
    <n v="72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ZILENG"/>
    <s v="MOK_0028"/>
    <x v="2"/>
    <s v="P3"/>
    <n v="50"/>
    <n v="400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ZILENG"/>
    <s v="MOK_0028"/>
    <x v="2"/>
    <s v="P4"/>
    <n v="20"/>
    <n v="160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ZILENG"/>
    <s v="MOK_0028"/>
    <x v="2"/>
    <s v="P5"/>
    <n v="3"/>
    <n v="8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30"/>
    <s v="CMR004006005"/>
    <s v="ASSIGHASSIA"/>
    <s v="MOZ_0023"/>
    <x v="2"/>
    <s v="P4"/>
    <n v="90"/>
    <n v="58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BAVONGOLA"/>
    <s v="MOZ_0033"/>
    <x v="2"/>
    <s v="P3"/>
    <n v="6"/>
    <n v="31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0"/>
    <s v="CMR004006005"/>
    <s v="DEKERE"/>
    <s v="MOZ_0018"/>
    <x v="2"/>
    <s v="P2"/>
    <n v="6"/>
    <n v="30"/>
    <s v="Conflits EIAO"/>
    <s v=""/>
    <s v="meme_pays"/>
    <s v="CMR"/>
    <s v="Cameroon"/>
    <s v="CMR006"/>
    <s v="Nord"/>
    <s v="CMR006001"/>
    <s v="Benoue"/>
    <s v=""/>
    <s v=""/>
  </r>
  <r>
    <s v="Extrême-Nord"/>
    <s v="CMR004"/>
    <x v="5"/>
    <s v="CMR004006"/>
    <x v="30"/>
    <s v="CMR004006005"/>
    <s v="DEKERE"/>
    <s v="MOZ_0018"/>
    <x v="2"/>
    <s v="P3"/>
    <n v="8"/>
    <n v="40"/>
    <s v="Conflits EIAO"/>
    <s v=""/>
    <s v="meme_pays"/>
    <s v="CMR"/>
    <s v="Cameroon"/>
    <s v="CMR006"/>
    <s v="Nord"/>
    <s v="CMR006003"/>
    <s v="Mayo-Louti"/>
    <s v=""/>
    <s v=""/>
  </r>
  <r>
    <s v="Extrême-Nord"/>
    <s v="CMR004"/>
    <x v="5"/>
    <s v="CMR004006"/>
    <x v="30"/>
    <s v="CMR004006005"/>
    <s v="DEKERE"/>
    <s v="MOZ_0018"/>
    <x v="2"/>
    <s v="P5"/>
    <n v="2"/>
    <n v="10"/>
    <s v="Conflits EIAO"/>
    <s v=""/>
    <s v="meme_pays"/>
    <s v="CMR"/>
    <s v="Cameroon"/>
    <s v="CMR006"/>
    <s v="Nord"/>
    <s v="CMR006001"/>
    <s v="Benoue"/>
    <s v=""/>
    <s v=""/>
  </r>
  <r>
    <s v="Extrême-Nord"/>
    <s v="CMR004"/>
    <x v="5"/>
    <s v="CMR004006"/>
    <x v="30"/>
    <s v="CMR004006005"/>
    <s v="DEKERE"/>
    <s v="MOZ_0018"/>
    <x v="2"/>
    <s v="P4"/>
    <n v="1"/>
    <n v="5"/>
    <s v="Conflits EIAO"/>
    <s v=""/>
    <s v="meme_pays"/>
    <s v="CMR"/>
    <s v="Cameroon"/>
    <s v="CMR001"/>
    <s v="Adamaoua"/>
    <s v="CMR001001"/>
    <s v="Djerem"/>
    <s v=""/>
    <s v=""/>
  </r>
  <r>
    <s v="Extrême-Nord"/>
    <s v="CMR004"/>
    <x v="5"/>
    <s v="CMR004006"/>
    <x v="30"/>
    <s v="CMR004006005"/>
    <s v="GOKORO"/>
    <s v="MOZ_0001"/>
    <x v="2"/>
    <s v="P4"/>
    <n v="44"/>
    <n v="226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GOKORO"/>
    <s v="MOZ_0001"/>
    <x v="2"/>
    <s v="P5"/>
    <n v="16"/>
    <n v="9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GOLDAVI"/>
    <s v="MOZ_0026"/>
    <x v="2"/>
    <s v="P2"/>
    <n v="17"/>
    <n v="85"/>
    <s v="Conflits EIAO"/>
    <s v=""/>
    <s v="meme_pays"/>
    <s v="CMR"/>
    <s v="Cameroon"/>
    <s v="CMR006"/>
    <s v="Nord"/>
    <s v="CMR006001"/>
    <s v="Benoue"/>
    <s v=""/>
    <s v=""/>
  </r>
  <r>
    <s v="Extrême-Nord"/>
    <s v="CMR004"/>
    <x v="5"/>
    <s v="CMR004006"/>
    <x v="30"/>
    <s v="CMR004006005"/>
    <s v="GOLDAVI"/>
    <s v="MOZ_0026"/>
    <x v="2"/>
    <s v="P3"/>
    <n v="8"/>
    <n v="40"/>
    <s v="Conflits EIAO"/>
    <s v=""/>
    <s v="meme_pays"/>
    <s v="CMR"/>
    <s v="Cameroon"/>
    <s v="CMR006"/>
    <s v="Nord"/>
    <s v="CMR006002"/>
    <s v="Faro"/>
    <s v=""/>
    <s v=""/>
  </r>
  <r>
    <s v="Extrême-Nord"/>
    <s v="CMR004"/>
    <x v="5"/>
    <s v="CMR004006"/>
    <x v="30"/>
    <s v="CMR004006005"/>
    <s v="GOLDAVI"/>
    <s v="MOZ_0026"/>
    <x v="2"/>
    <s v="P4"/>
    <n v="4"/>
    <n v="20"/>
    <s v="Conflits EIAO"/>
    <s v=""/>
    <s v="meme_pays"/>
    <s v="CMR"/>
    <s v="Cameroon"/>
    <s v="CMR006"/>
    <s v="Nord"/>
    <s v="CMR006001"/>
    <s v="Benoue"/>
    <s v=""/>
    <s v=""/>
  </r>
  <r>
    <s v="Extrême-Nord"/>
    <s v="CMR004"/>
    <x v="5"/>
    <s v="CMR004006"/>
    <x v="30"/>
    <s v="CMR004006005"/>
    <s v="GOLDAVI"/>
    <s v="MOZ_0026"/>
    <x v="2"/>
    <s v="P5"/>
    <n v="23"/>
    <n v="12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GOLDAVI"/>
    <s v="MOZ_0026"/>
    <x v="2"/>
    <s v="P6"/>
    <n v="4"/>
    <n v="21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HITERE"/>
    <s v="MOZ_0019"/>
    <x v="2"/>
    <s v="P4"/>
    <n v="14"/>
    <n v="83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HITERE"/>
    <s v="MOZ_0019"/>
    <x v="2"/>
    <s v="P5"/>
    <n v="3"/>
    <n v="19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KARAZAWA"/>
    <s v="MOZ_0003"/>
    <x v="2"/>
    <s v="P2"/>
    <n v="3"/>
    <n v="15"/>
    <s v="autre"/>
    <s v="Réseau familiale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KARAZAWA"/>
    <s v="MOZ_0003"/>
    <x v="2"/>
    <s v="P3"/>
    <n v="1"/>
    <n v="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0"/>
    <s v="CMR004006005"/>
    <s v="KARAZAWA"/>
    <s v="MOZ_0003"/>
    <x v="2"/>
    <s v="P5"/>
    <n v="2"/>
    <n v="10"/>
    <s v="autre"/>
    <s v="Réseau familiale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KELARI"/>
    <s v="MOZ_0004"/>
    <x v="2"/>
    <s v="P2"/>
    <n v="4"/>
    <n v="2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KELARI"/>
    <s v="MOZ_0004"/>
    <x v="2"/>
    <s v="P3"/>
    <n v="2"/>
    <n v="1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KELARI"/>
    <s v="MOZ_0004"/>
    <x v="2"/>
    <s v="P4"/>
    <n v="1"/>
    <n v="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KELARI"/>
    <s v="MOZ_0004"/>
    <x v="2"/>
    <s v="P5"/>
    <n v="4"/>
    <n v="2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KEREWA-MAFA"/>
    <s v="MOZ_0020"/>
    <x v="2"/>
    <s v="P4"/>
    <n v="4"/>
    <n v="23"/>
    <s v="Conflits EIAO"/>
    <s v=""/>
    <s v="meme_pays"/>
    <s v="CMR"/>
    <s v="Cameroon"/>
    <s v="CMR006"/>
    <s v="Nord"/>
    <s v="CMR006001"/>
    <s v="Benoue"/>
    <s v=""/>
    <s v=""/>
  </r>
  <r>
    <s v="Extrême-Nord"/>
    <s v="CMR004"/>
    <x v="5"/>
    <s v="CMR004006"/>
    <x v="30"/>
    <s v="CMR004006005"/>
    <s v="KEREWA-MAFA"/>
    <s v="MOZ_0020"/>
    <x v="2"/>
    <s v="P3"/>
    <n v="13"/>
    <n v="8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KEREWA-MAFA"/>
    <s v="MOZ_0020"/>
    <x v="2"/>
    <s v="P5"/>
    <n v="16"/>
    <n v="80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0"/>
    <s v="CMR004006005"/>
    <s v="KORSAMBA"/>
    <s v="MOZ_0005"/>
    <x v="2"/>
    <s v="P2"/>
    <n v="2"/>
    <n v="10"/>
    <s v="Conflits EIAO"/>
    <s v=""/>
    <s v="meme_pays"/>
    <s v="CMR"/>
    <s v="Cameroon"/>
    <s v="CMR006"/>
    <s v="Nord"/>
    <s v="CMR006001"/>
    <s v="Benoue"/>
    <s v=""/>
    <s v=""/>
  </r>
  <r>
    <s v="Extrême-Nord"/>
    <s v="CMR004"/>
    <x v="5"/>
    <s v="CMR004006"/>
    <x v="30"/>
    <s v="CMR004006005"/>
    <s v="KORSAMBA"/>
    <s v="MOZ_0005"/>
    <x v="2"/>
    <s v="P3"/>
    <n v="14"/>
    <n v="70"/>
    <s v="Conflits EIAO"/>
    <s v=""/>
    <s v="meme_pays"/>
    <s v="CMR"/>
    <s v="Cameroon"/>
    <s v="CMR006"/>
    <s v="Nord"/>
    <s v="CMR006003"/>
    <s v="Mayo-Louti"/>
    <s v=""/>
    <s v=""/>
  </r>
  <r>
    <s v="Extrême-Nord"/>
    <s v="CMR004"/>
    <x v="5"/>
    <s v="CMR004006"/>
    <x v="30"/>
    <s v="CMR004006005"/>
    <s v="KORSAMBA"/>
    <s v="MOZ_0005"/>
    <x v="2"/>
    <s v="P5"/>
    <n v="9"/>
    <n v="45"/>
    <s v="Conflits EIAO"/>
    <s v=""/>
    <s v="meme_pays"/>
    <s v="CMR"/>
    <s v="Cameroon"/>
    <s v="CMR006"/>
    <s v="Nord"/>
    <s v="CMR006002"/>
    <s v="Faro"/>
    <s v=""/>
    <s v=""/>
  </r>
  <r>
    <s v="Extrême-Nord"/>
    <s v="CMR004"/>
    <x v="5"/>
    <s v="CMR004006"/>
    <x v="30"/>
    <s v="CMR004006005"/>
    <s v="KORSAMBA"/>
    <s v="MOZ_0005"/>
    <x v="2"/>
    <s v="P4"/>
    <n v="2"/>
    <n v="10"/>
    <s v="Conflits EIAO"/>
    <s v=""/>
    <s v="meme_pays"/>
    <s v="CMR"/>
    <s v="Cameroon"/>
    <s v="CMR004"/>
    <s v="Extrême-Nord"/>
    <s v="CMR004001"/>
    <s v="Diamare"/>
    <s v=""/>
    <s v=""/>
  </r>
  <r>
    <s v="Extrême-Nord"/>
    <s v="CMR004"/>
    <x v="5"/>
    <s v="CMR004006"/>
    <x v="30"/>
    <s v="CMR004006005"/>
    <s v="MADAKAR"/>
    <s v="MOZ_0022"/>
    <x v="2"/>
    <s v="P3"/>
    <n v="2"/>
    <n v="1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ANDOUSSA"/>
    <s v="MOZ_0014"/>
    <x v="2"/>
    <s v="P2"/>
    <n v="4"/>
    <n v="20"/>
    <s v="inondations et desastres naturels"/>
    <s v=""/>
    <s v="meme_pays"/>
    <s v="CMR"/>
    <s v="Cameroon"/>
    <s v="CMR006"/>
    <s v="Nord"/>
    <s v="CMR006003"/>
    <s v="Mayo-Louti"/>
    <s v=""/>
    <s v=""/>
  </r>
  <r>
    <s v="Extrême-Nord"/>
    <s v="CMR004"/>
    <x v="5"/>
    <s v="CMR004006"/>
    <x v="30"/>
    <s v="CMR004006005"/>
    <s v="MANDOUSSA"/>
    <s v="MOZ_0014"/>
    <x v="2"/>
    <s v="P3"/>
    <n v="10"/>
    <n v="50"/>
    <s v="inondations et desastres naturels"/>
    <s v=""/>
    <s v="meme_pays"/>
    <s v="CMR"/>
    <s v="Cameroon"/>
    <s v="CMR006"/>
    <s v="Nord"/>
    <s v="CMR006003"/>
    <s v="Mayo-Louti"/>
    <s v=""/>
    <s v=""/>
  </r>
  <r>
    <s v="Extrême-Nord"/>
    <s v="CMR004"/>
    <x v="5"/>
    <s v="CMR004006"/>
    <x v="30"/>
    <s v="CMR004006005"/>
    <s v="MANDOUSSA"/>
    <s v="MOZ_0014"/>
    <x v="2"/>
    <s v="P4"/>
    <n v="2"/>
    <n v="10"/>
    <s v="autre"/>
    <s v="Moyen de vie dificile"/>
    <s v="meme_pays"/>
    <s v="CMR"/>
    <s v="Cameroon"/>
    <s v="CMR006"/>
    <s v="Nord"/>
    <s v="CMR006003"/>
    <s v="Mayo-Louti"/>
    <s v=""/>
    <s v=""/>
  </r>
  <r>
    <s v="Extrême-Nord"/>
    <s v="CMR004"/>
    <x v="5"/>
    <s v="CMR004006"/>
    <x v="30"/>
    <s v="CMR004006005"/>
    <s v="MANDOUSSA"/>
    <s v="MOZ_0014"/>
    <x v="2"/>
    <s v="P5"/>
    <n v="1"/>
    <n v="5"/>
    <s v="inondations et desastres naturels"/>
    <s v=""/>
    <s v="meme_pays"/>
    <s v="CMR"/>
    <s v="Cameroon"/>
    <s v="CMR006"/>
    <s v="Nord"/>
    <s v="CMR006003"/>
    <s v="Mayo-Louti"/>
    <s v=""/>
    <s v=""/>
  </r>
  <r>
    <s v="Extrême-Nord"/>
    <s v="CMR004"/>
    <x v="5"/>
    <s v="CMR004006"/>
    <x v="30"/>
    <s v="CMR004006005"/>
    <s v="MAWA"/>
    <s v="MOZ_0006"/>
    <x v="2"/>
    <s v="P4"/>
    <n v="2"/>
    <n v="10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MAWA"/>
    <s v="MOZ_0006"/>
    <x v="2"/>
    <s v="P2"/>
    <n v="1"/>
    <n v="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AWA"/>
    <s v="MOZ_0006"/>
    <x v="2"/>
    <s v="P3"/>
    <n v="2"/>
    <n v="1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AWA"/>
    <s v="MOZ_0006"/>
    <x v="2"/>
    <s v="P5"/>
    <n v="1"/>
    <n v="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EDEGOUER"/>
    <s v="MOZ_0007"/>
    <x v="2"/>
    <s v="P5"/>
    <n v="1"/>
    <n v="3"/>
    <s v="Conflits EIAO"/>
    <s v=""/>
    <s v="meme_pays"/>
    <s v="CMR"/>
    <s v="Cameroon"/>
    <s v="CMR006"/>
    <s v="Nord"/>
    <s v="CMR006003"/>
    <s v="Mayo-Louti"/>
    <s v=""/>
    <s v=""/>
  </r>
  <r>
    <s v="Extrême-Nord"/>
    <s v="CMR004"/>
    <x v="5"/>
    <s v="CMR004006"/>
    <x v="30"/>
    <s v="CMR004006005"/>
    <s v="MEDEGOUER"/>
    <s v="MOZ_0007"/>
    <x v="2"/>
    <s v="P4"/>
    <n v="9"/>
    <n v="45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0"/>
    <s v="CMR004006005"/>
    <s v="MOSKOTA"/>
    <s v="MOZ_0008"/>
    <x v="2"/>
    <s v="P4"/>
    <n v="45"/>
    <n v="231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MOSKOTA"/>
    <s v="MOZ_0008"/>
    <x v="2"/>
    <s v="P5"/>
    <n v="15"/>
    <n v="69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MOSKOTA"/>
    <s v="MOZ_0008"/>
    <x v="2"/>
    <s v="P3"/>
    <n v="80"/>
    <n v="40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OZOGO GUIDBALA"/>
    <s v="MOZ_0010"/>
    <x v="2"/>
    <s v="P5"/>
    <n v="18"/>
    <n v="119"/>
    <s v="Conflits EIAO"/>
    <s v=""/>
    <s v="meme_pays"/>
    <s v="CMR"/>
    <s v="Cameroon"/>
    <s v="CMR006"/>
    <s v="Nord"/>
    <s v="CMR006001"/>
    <s v="Benoue"/>
    <s v=""/>
    <s v=""/>
  </r>
  <r>
    <s v="Extrême-Nord"/>
    <s v="CMR004"/>
    <x v="5"/>
    <s v="CMR004006"/>
    <x v="30"/>
    <s v="CMR004006005"/>
    <s v="MOZOGO GUIDBALA"/>
    <s v="MOZ_0010"/>
    <x v="2"/>
    <s v="P4"/>
    <n v="57"/>
    <n v="309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0"/>
    <s v="CMR004006005"/>
    <s v="MOZOGO QUARTIER HAOUSSA"/>
    <s v="MOZ_0011"/>
    <x v="2"/>
    <s v="P4"/>
    <n v="53"/>
    <n v="289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OZOGO QUARTIER HAOUSSA"/>
    <s v="MOZ_0011"/>
    <x v="2"/>
    <s v="P5"/>
    <n v="22"/>
    <n v="121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OZOGO TCHEKODE"/>
    <s v="MOZ_0012"/>
    <x v="2"/>
    <s v="P5"/>
    <n v="11"/>
    <n v="76"/>
    <s v="Conflits EIAO"/>
    <s v=""/>
    <s v="meme_pays"/>
    <s v="CMR"/>
    <s v="Cameroon"/>
    <s v="CMR006"/>
    <s v="Nord"/>
    <s v="CMR006001"/>
    <s v="Benoue"/>
    <s v=""/>
    <s v=""/>
  </r>
  <r>
    <s v="Extrême-Nord"/>
    <s v="CMR004"/>
    <x v="5"/>
    <s v="CMR004006"/>
    <x v="30"/>
    <s v="CMR004006005"/>
    <s v="MOZOGO TCHEKODE"/>
    <s v="MOZ_0012"/>
    <x v="2"/>
    <s v="P4"/>
    <n v="76"/>
    <n v="398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0"/>
    <s v="CMR004006005"/>
    <s v="NGUETCHEWE"/>
    <s v="MOZ_0013"/>
    <x v="2"/>
    <s v="P4"/>
    <n v="163"/>
    <n v="82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NGUETCHEWE"/>
    <s v="MOZ_0013"/>
    <x v="2"/>
    <s v="P5"/>
    <n v="13"/>
    <n v="77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VOUZI"/>
    <s v="MOZ_0021"/>
    <x v="2"/>
    <s v="P2"/>
    <n v="4"/>
    <n v="20"/>
    <s v="Conflits EIAO"/>
    <s v=""/>
    <s v="meme_pays"/>
    <s v="CMR"/>
    <s v="Cameroon"/>
    <s v="CMR006"/>
    <s v="Nord"/>
    <s v="CMR006001"/>
    <s v="Benoue"/>
    <s v=""/>
    <s v=""/>
  </r>
  <r>
    <s v="Extrême-Nord"/>
    <s v="CMR004"/>
    <x v="5"/>
    <s v="CMR004006"/>
    <x v="30"/>
    <s v="CMR004006005"/>
    <s v="VOUZI"/>
    <s v="MOZ_0021"/>
    <x v="2"/>
    <s v="P3"/>
    <n v="1"/>
    <n v="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VOUZI"/>
    <s v="MOZ_0021"/>
    <x v="2"/>
    <s v="P4"/>
    <n v="1"/>
    <n v="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WOUDAL"/>
    <s v="MOZ_0034"/>
    <x v="2"/>
    <s v="P2"/>
    <n v="18"/>
    <n v="98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0"/>
    <s v="CMR004006005"/>
    <s v="WOUDAL"/>
    <s v="MOZ_0034"/>
    <x v="2"/>
    <s v="P3"/>
    <n v="9"/>
    <n v="48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0"/>
    <s v="CMR004006005"/>
    <s v="WOUDAL"/>
    <s v="MOZ_0034"/>
    <x v="2"/>
    <s v="P4"/>
    <n v="12"/>
    <n v="87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0"/>
    <s v="CMR004006005"/>
    <s v="WOUDAL"/>
    <s v="MOZ_0034"/>
    <x v="2"/>
    <s v="P5"/>
    <n v="7"/>
    <n v="43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0"/>
    <s v="CMR004006005"/>
    <s v="YAMGAZAWA"/>
    <s v="MOZ_0016"/>
    <x v="2"/>
    <s v="P3"/>
    <n v="7"/>
    <n v="43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YAMGAZAWA"/>
    <s v="MOZ_0016"/>
    <x v="2"/>
    <s v="P4"/>
    <n v="18"/>
    <n v="99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0"/>
    <s v="CMR004006005"/>
    <s v="YAMGAZAWA"/>
    <s v="MOZ_0016"/>
    <x v="2"/>
    <s v="P5"/>
    <n v="29"/>
    <n v="208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0"/>
    <s v="CMR004006005"/>
    <s v="ZELEWET"/>
    <s v="MOZ_0031"/>
    <x v="2"/>
    <s v="P2"/>
    <n v="17"/>
    <n v="89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0"/>
    <s v="CMR004006005"/>
    <s v="ZELEWET"/>
    <s v="MOZ_0031"/>
    <x v="2"/>
    <s v="P3"/>
    <n v="12"/>
    <n v="61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0"/>
    <s v="CMR004006005"/>
    <s v="ZELEWET"/>
    <s v="MOZ_0031"/>
    <x v="2"/>
    <s v="P4"/>
    <n v="3"/>
    <n v="17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1"/>
    <s v="CMR004006006"/>
    <s v="BAO VARA"/>
    <s v="SOU_0001"/>
    <x v="2"/>
    <s v="P2"/>
    <n v="6"/>
    <n v="30"/>
    <s v="Conflits EIAO"/>
    <s v=""/>
    <s v="meme_pays"/>
    <s v="CMR"/>
    <s v="Cameroon"/>
    <s v="CMR006"/>
    <s v="Nord"/>
    <s v="CMR006003"/>
    <s v="Mayo-Louti"/>
    <s v=""/>
    <s v=""/>
  </r>
  <r>
    <s v="Extrême-Nord"/>
    <s v="CMR004"/>
    <x v="5"/>
    <s v="CMR004006"/>
    <x v="31"/>
    <s v="CMR004006006"/>
    <s v="DOUMGAR"/>
    <s v="SOU_0009"/>
    <x v="2"/>
    <s v="P4"/>
    <n v="5"/>
    <n v="22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1"/>
    <s v="CMR004006006"/>
    <s v="GOLIBAI"/>
    <s v="SOU_0003"/>
    <x v="2"/>
    <s v="P4"/>
    <n v="3"/>
    <n v="14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1"/>
    <s v="CMR004006006"/>
    <s v="GOLIBAI"/>
    <s v="SOU_0003"/>
    <x v="2"/>
    <s v="P5"/>
    <n v="3"/>
    <n v="17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1"/>
    <s v="CMR004006006"/>
    <s v="MADOKONAI 1"/>
    <s v="SOU_0004"/>
    <x v="2"/>
    <s v="P4"/>
    <n v="4"/>
    <n v="17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1"/>
    <s v="CMR004006006"/>
    <s v="OUDOUMDJARAY"/>
    <s v="SOU_0008"/>
    <x v="2"/>
    <s v="P4"/>
    <n v="4"/>
    <n v="18"/>
    <s v="Conflits EIAO"/>
    <s v=""/>
    <s v="meme_pays"/>
    <s v="CMR"/>
    <s v="Cameroon"/>
    <s v="CMR004"/>
    <s v="Extrême-Nord"/>
    <s v="CMR004006"/>
    <s v="Mayo-Tsanaga"/>
    <s v=""/>
    <s v="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983">
  <r>
    <s v="Extrême-Nord"/>
    <s v="CMR004"/>
    <x v="0"/>
    <s v="CMR004001"/>
    <x v="0"/>
    <s v="CMR004001008"/>
    <s v="BANTADJE"/>
    <x v="0"/>
    <x v="0"/>
    <s v="P2"/>
    <n v="3"/>
    <n v="16"/>
    <x v="0"/>
    <s v=""/>
    <s v="autre_departement"/>
    <s v="CMR"/>
    <x v="0"/>
    <s v="CMR004"/>
    <s v="Extrême-Nord"/>
    <s v="CMR004006"/>
    <s v="Mayo-Tsanaga"/>
    <s v="CMR004006005"/>
    <s v="Mozogo"/>
  </r>
  <r>
    <s v="Extrême-Nord"/>
    <s v="CMR004"/>
    <x v="0"/>
    <s v="CMR004001"/>
    <x v="0"/>
    <s v="CMR004001008"/>
    <s v="CARREFOUR CLIPS"/>
    <x v="1"/>
    <x v="0"/>
    <s v="P2"/>
    <n v="3"/>
    <n v="10"/>
    <x v="0"/>
    <s v=""/>
    <s v="autre_departement"/>
    <s v="CMR"/>
    <x v="0"/>
    <s v="CMR004"/>
    <s v="Extrême-Nord"/>
    <s v="CMR004006"/>
    <s v="Mayo-Tsanaga"/>
    <s v="CMR004006005"/>
    <s v="Mozogo"/>
  </r>
  <r>
    <s v="Extrême-Nord"/>
    <s v="CMR004"/>
    <x v="0"/>
    <s v="CMR004001"/>
    <x v="0"/>
    <s v="CMR004001008"/>
    <s v="DOYANG"/>
    <x v="2"/>
    <x v="0"/>
    <s v="P2"/>
    <n v="3"/>
    <n v="21"/>
    <x v="0"/>
    <s v=""/>
    <s v="autre_departement"/>
    <s v="CMR"/>
    <x v="0"/>
    <s v="CMR004"/>
    <s v="Extrême-Nord"/>
    <s v="CMR004006"/>
    <s v="Mayo-Tsanaga"/>
    <s v="CMR004006005"/>
    <s v="Mozogo"/>
  </r>
  <r>
    <s v="Extrême-Nord"/>
    <s v="CMR004"/>
    <x v="0"/>
    <s v="CMR004001"/>
    <x v="0"/>
    <s v="CMR004001008"/>
    <s v="GOUDOURWO"/>
    <x v="3"/>
    <x v="0"/>
    <s v="P2"/>
    <n v="2"/>
    <n v="8"/>
    <x v="0"/>
    <s v=""/>
    <s v="autre_departement"/>
    <s v="CMR"/>
    <x v="0"/>
    <s v="CMR004"/>
    <s v="Extrême-Nord"/>
    <s v="CMR004006"/>
    <s v="Mayo-Tsanaga"/>
    <s v="CMR004006005"/>
    <s v="Mozogo"/>
  </r>
  <r>
    <s v="Extrême-Nord"/>
    <s v="CMR004"/>
    <x v="0"/>
    <s v="CMR004001"/>
    <x v="0"/>
    <s v="CMR004001008"/>
    <s v="KATOUAL"/>
    <x v="4"/>
    <x v="0"/>
    <s v="P2"/>
    <n v="27"/>
    <n v="151"/>
    <x v="0"/>
    <s v=""/>
    <s v="autre_departement"/>
    <s v="CMR"/>
    <x v="0"/>
    <s v="CMR004"/>
    <s v="Extrême-Nord"/>
    <s v="CMR004006"/>
    <s v="Mayo-Tsanaga"/>
    <s v="CMR004006005"/>
    <s v="Mozogo"/>
  </r>
  <r>
    <s v="Extrême-Nord"/>
    <s v="CMR004"/>
    <x v="0"/>
    <s v="CMR004001"/>
    <x v="0"/>
    <s v="CMR004001008"/>
    <s v="LOMORE"/>
    <x v="5"/>
    <x v="0"/>
    <s v="P2"/>
    <n v="9"/>
    <n v="67"/>
    <x v="0"/>
    <s v=""/>
    <s v="autre_departement"/>
    <s v="CMR"/>
    <x v="0"/>
    <s v="CMR004"/>
    <s v="Extrême-Nord"/>
    <s v="CMR004006"/>
    <s v="Mayo-Tsanaga"/>
    <s v="CMR004006005"/>
    <s v="Mozogo"/>
  </r>
  <r>
    <s v="Extrême-Nord"/>
    <s v="CMR004"/>
    <x v="0"/>
    <s v="CMR004001"/>
    <x v="1"/>
    <s v="CMR004001002"/>
    <s v="DOUALARE 1"/>
    <x v="6"/>
    <x v="0"/>
    <s v="P2"/>
    <n v="50"/>
    <n v="350"/>
    <x v="0"/>
    <s v=""/>
    <s v="autre_arrondissement"/>
    <s v="CMR"/>
    <x v="0"/>
    <s v="CMR004"/>
    <s v="Extrême-Nord"/>
    <s v="CMR004001"/>
    <s v="Diamare"/>
    <s v="CMR004001002"/>
    <s v="Maroua II"/>
  </r>
  <r>
    <s v="Extrême-Nord"/>
    <s v="CMR004"/>
    <x v="0"/>
    <s v="CMR004001"/>
    <x v="1"/>
    <s v="CMR004001002"/>
    <s v="DOUALARE 2"/>
    <x v="7"/>
    <x v="0"/>
    <s v="P2"/>
    <n v="66"/>
    <n v="391"/>
    <x v="0"/>
    <s v=""/>
    <s v="autre_arrondissement"/>
    <s v="CMR"/>
    <x v="0"/>
    <s v="CMR004"/>
    <s v="Extrême-Nord"/>
    <s v="CMR004001"/>
    <s v="Diamare"/>
    <s v="CMR004001002"/>
    <s v="Maroua II"/>
  </r>
  <r>
    <s v="Extrême-Nord"/>
    <s v="CMR004"/>
    <x v="0"/>
    <s v="CMR004001"/>
    <x v="2"/>
    <s v="CMR004001001"/>
    <s v="DOUGOI"/>
    <x v="8"/>
    <x v="0"/>
    <s v="P2"/>
    <n v="71"/>
    <n v="378"/>
    <x v="0"/>
    <s v=""/>
    <s v="meme_arrondissement"/>
    <s v="CMR"/>
    <x v="0"/>
    <s v="CMR004"/>
    <s v="Extrême-Nord"/>
    <s v="CMR004001"/>
    <s v="Diamare"/>
    <s v="CMR004001001"/>
    <s v="Maroua III"/>
  </r>
  <r>
    <s v="Extrême-Nord"/>
    <s v="CMR004"/>
    <x v="0"/>
    <s v="CMR004001"/>
    <x v="2"/>
    <s v="CMR004001001"/>
    <s v="DOURSOUNGO"/>
    <x v="9"/>
    <x v="0"/>
    <s v="P2"/>
    <n v="131"/>
    <n v="672"/>
    <x v="0"/>
    <s v=""/>
    <s v="meme_arrondissement"/>
    <s v="CMR"/>
    <x v="0"/>
    <s v="CMR004"/>
    <s v="Extrême-Nord"/>
    <s v="CMR004001"/>
    <s v="Diamare"/>
    <s v="CMR004001001"/>
    <s v="Maroua III"/>
  </r>
  <r>
    <s v="Extrême-Nord"/>
    <s v="CMR004"/>
    <x v="0"/>
    <s v="CMR004001"/>
    <x v="2"/>
    <s v="CMR004001001"/>
    <s v="LOUGEO"/>
    <x v="10"/>
    <x v="0"/>
    <s v="P2"/>
    <n v="195"/>
    <n v="111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0"/>
    <s v="CMR004001"/>
    <x v="2"/>
    <s v="CMR004001001"/>
    <s v="SARRARE"/>
    <x v="11"/>
    <x v="0"/>
    <s v="P2"/>
    <n v="8"/>
    <n v="79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0"/>
    <s v="CMR004001"/>
    <x v="3"/>
    <s v="CMR004001007"/>
    <s v="MANGAFE"/>
    <x v="12"/>
    <x v="0"/>
    <s v="P2"/>
    <n v="8"/>
    <n v="36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ALAGARNO"/>
    <x v="13"/>
    <x v="0"/>
    <s v="P2"/>
    <n v="3"/>
    <n v="18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BANDALARE"/>
    <x v="14"/>
    <x v="0"/>
    <s v="P2"/>
    <n v="2"/>
    <n v="19"/>
    <x v="0"/>
    <s v=""/>
    <s v="meme_arrondissement"/>
    <s v="CMR"/>
    <x v="0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DJAFGUE"/>
    <x v="15"/>
    <x v="0"/>
    <s v="P2"/>
    <n v="19"/>
    <n v="165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DJAOUDE"/>
    <x v="16"/>
    <x v="0"/>
    <s v="P2"/>
    <n v="39"/>
    <n v="202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DJAOUDE"/>
    <x v="16"/>
    <x v="0"/>
    <s v="P3"/>
    <n v="45"/>
    <n v="216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DJAOUDE"/>
    <x v="16"/>
    <x v="0"/>
    <s v="P4"/>
    <n v="51"/>
    <n v="263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DJAOUDE"/>
    <x v="16"/>
    <x v="0"/>
    <s v="P5"/>
    <n v="9"/>
    <n v="61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DJOUTA-BEMBAL"/>
    <x v="17"/>
    <x v="0"/>
    <s v="P2"/>
    <n v="7"/>
    <n v="36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DOUTAROU"/>
    <x v="18"/>
    <x v="0"/>
    <s v="P3"/>
    <n v="7"/>
    <n v="37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FADARE"/>
    <x v="19"/>
    <x v="0"/>
    <s v="P3"/>
    <n v="3"/>
    <n v="27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HODEMA"/>
    <x v="20"/>
    <x v="0"/>
    <s v="P2"/>
    <n v="2"/>
    <n v="14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HODEMA"/>
    <x v="20"/>
    <x v="0"/>
    <s v="P6"/>
    <n v="2"/>
    <n v="2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ARAL GUIE"/>
    <x v="21"/>
    <x v="0"/>
    <s v="P3"/>
    <n v="2"/>
    <n v="13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ARAL GUIE"/>
    <x v="21"/>
    <x v="0"/>
    <s v="P5"/>
    <n v="3"/>
    <n v="28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ARAL TANNE"/>
    <x v="22"/>
    <x v="0"/>
    <s v="P1"/>
    <n v="11"/>
    <n v="59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LISSAWA"/>
    <x v="23"/>
    <x v="0"/>
    <s v="P2"/>
    <n v="19"/>
    <n v="69"/>
    <x v="0"/>
    <s v=""/>
    <s v="meme_arrondissement"/>
    <s v="CMR"/>
    <x v="0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LISSAWA"/>
    <x v="23"/>
    <x v="0"/>
    <s v="P5"/>
    <n v="7"/>
    <n v="18"/>
    <x v="0"/>
    <s v=""/>
    <s v="meme_arrondissement"/>
    <s v="CMR"/>
    <x v="0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LISSAWA"/>
    <x v="23"/>
    <x v="0"/>
    <s v="P6"/>
    <n v="1"/>
    <n v="11"/>
    <x v="0"/>
    <s v=""/>
    <s v="meme_arrondissement"/>
    <s v="CMR"/>
    <x v="0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ONGHO 1"/>
    <x v="24"/>
    <x v="0"/>
    <s v="P2"/>
    <n v="17"/>
    <n v="85"/>
    <x v="0"/>
    <s v=""/>
    <s v="meme_arrondissement"/>
    <s v="CMR"/>
    <x v="0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ONGHO 1"/>
    <x v="24"/>
    <x v="0"/>
    <s v="P5"/>
    <n v="2"/>
    <n v="5"/>
    <x v="0"/>
    <s v=""/>
    <s v="meme_arrondissement"/>
    <s v="CMR"/>
    <x v="0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ONGHO 2"/>
    <x v="25"/>
    <x v="0"/>
    <s v="P2"/>
    <n v="7"/>
    <n v="35"/>
    <x v="0"/>
    <s v=""/>
    <s v="meme_arrondissement"/>
    <s v="CMR"/>
    <x v="0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ONGHO 2"/>
    <x v="25"/>
    <x v="0"/>
    <s v="P4"/>
    <n v="4"/>
    <n v="27"/>
    <x v="0"/>
    <s v=""/>
    <s v="meme_arrondissement"/>
    <s v="CMR"/>
    <x v="0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ONGHO 2"/>
    <x v="25"/>
    <x v="0"/>
    <s v="P5"/>
    <n v="1"/>
    <n v="2"/>
    <x v="0"/>
    <s v=""/>
    <s v="meme_arrondissement"/>
    <s v="CMR"/>
    <x v="0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ONGHO 2"/>
    <x v="25"/>
    <x v="0"/>
    <s v="P6"/>
    <n v="1"/>
    <n v="4"/>
    <x v="0"/>
    <s v=""/>
    <s v="meme_arrondissement"/>
    <s v="CMR"/>
    <x v="0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KOURGNOUGNOU"/>
    <x v="26"/>
    <x v="0"/>
    <s v="P3"/>
    <n v="28"/>
    <n v="228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OURWAMA ABDOU"/>
    <x v="27"/>
    <x v="0"/>
    <s v="P2"/>
    <n v="4"/>
    <n v="16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OURWAMA NDJIDDA"/>
    <x v="28"/>
    <x v="0"/>
    <s v="P2"/>
    <n v="1"/>
    <n v="6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OURWAMAYEL"/>
    <x v="29"/>
    <x v="0"/>
    <s v="P2"/>
    <n v="5"/>
    <n v="23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LOUBA LOUBA"/>
    <x v="30"/>
    <x v="0"/>
    <s v="P2"/>
    <n v="9"/>
    <n v="44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MOURGOUT"/>
    <x v="31"/>
    <x v="0"/>
    <s v="P2"/>
    <n v="9"/>
    <n v="63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NDJAMENA"/>
    <x v="32"/>
    <x v="0"/>
    <s v="P2"/>
    <n v="4"/>
    <n v="25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NIWADJI"/>
    <x v="33"/>
    <x v="0"/>
    <s v="P3"/>
    <n v="6"/>
    <n v="47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NIWADJI"/>
    <x v="33"/>
    <x v="0"/>
    <s v="P5"/>
    <n v="1"/>
    <n v="1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PETTE CENTRE"/>
    <x v="34"/>
    <x v="0"/>
    <s v="P2"/>
    <n v="22"/>
    <n v="136"/>
    <x v="0"/>
    <s v=""/>
    <s v="meme_arrondissement"/>
    <s v="CMR"/>
    <x v="0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SALAME ALIOUM"/>
    <x v="35"/>
    <x v="0"/>
    <s v="P2"/>
    <n v="3"/>
    <n v="20"/>
    <x v="0"/>
    <s v=""/>
    <s v="meme_arrondissement"/>
    <s v="CMR"/>
    <x v="0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TOUTKA"/>
    <x v="36"/>
    <x v="0"/>
    <s v="P2"/>
    <n v="2"/>
    <n v="11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TOUTKA"/>
    <x v="36"/>
    <x v="0"/>
    <s v="P5"/>
    <n v="1"/>
    <n v="4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1"/>
    <s v="CMR004002"/>
    <x v="5"/>
    <s v="CMR004002003"/>
    <s v="ANDOURMAN"/>
    <x v="37"/>
    <x v="0"/>
    <s v="P3"/>
    <n v="9"/>
    <n v="83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ANDOURMAN"/>
    <x v="37"/>
    <x v="0"/>
    <s v="P4"/>
    <n v="1"/>
    <n v="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BLANGOUA"/>
    <x v="38"/>
    <x v="0"/>
    <s v="P2"/>
    <n v="152"/>
    <n v="999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BLANGOUA"/>
    <x v="38"/>
    <x v="0"/>
    <s v="P3"/>
    <n v="117"/>
    <n v="76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BLANGOUA"/>
    <x v="38"/>
    <x v="0"/>
    <s v="P4"/>
    <n v="318"/>
    <n v="1927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BLANGOUA"/>
    <x v="38"/>
    <x v="0"/>
    <s v="P5"/>
    <n v="22"/>
    <n v="134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BLANGOUA BACHE"/>
    <x v="39"/>
    <x v="0"/>
    <s v="P1"/>
    <n v="196"/>
    <n v="1445"/>
    <x v="1"/>
    <s v=""/>
    <s v="meme_arrondissement"/>
    <s v="CMR"/>
    <x v="0"/>
    <s v="CMR004"/>
    <s v="Extrême-Nord"/>
    <s v="CMR004002"/>
    <s v="Logone-Et-Chari"/>
    <s v="CMR004002003"/>
    <s v="Blangoua"/>
  </r>
  <r>
    <s v="Extrême-Nord"/>
    <s v="CMR004"/>
    <x v="1"/>
    <s v="CMR004002"/>
    <x v="5"/>
    <s v="CMR004002003"/>
    <s v="BLANGOUA BACHE"/>
    <x v="39"/>
    <x v="0"/>
    <s v="P3"/>
    <n v="17"/>
    <n v="90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5"/>
    <s v="CMR004002003"/>
    <s v="BLANGOUA BACHE"/>
    <x v="39"/>
    <x v="0"/>
    <s v="P4"/>
    <n v="49"/>
    <n v="363"/>
    <x v="1"/>
    <s v=""/>
    <s v="meme_arrondissement"/>
    <s v="CMR"/>
    <x v="0"/>
    <s v="CMR004"/>
    <s v="Extrême-Nord"/>
    <s v="CMR004002"/>
    <s v="Logone-Et-Chari"/>
    <s v="CMR004002003"/>
    <s v="Blangoua"/>
  </r>
  <r>
    <s v="Extrême-Nord"/>
    <s v="CMR004"/>
    <x v="1"/>
    <s v="CMR004002"/>
    <x v="5"/>
    <s v="CMR004002003"/>
    <s v="BLANGOUA BACHE"/>
    <x v="39"/>
    <x v="0"/>
    <s v="P5"/>
    <n v="26"/>
    <n v="139"/>
    <x v="1"/>
    <s v=""/>
    <s v="meme_arrondissement"/>
    <s v="CMR"/>
    <x v="0"/>
    <s v="CMR004"/>
    <s v="Extrême-Nord"/>
    <s v="CMR004002"/>
    <s v="Logone-Et-Chari"/>
    <s v="CMR004002003"/>
    <s v="Blangoua"/>
  </r>
  <r>
    <s v="Extrême-Nord"/>
    <s v="CMR004"/>
    <x v="1"/>
    <s v="CMR004002"/>
    <x v="5"/>
    <s v="CMR004002003"/>
    <s v="BLANGOUA BACHE"/>
    <x v="39"/>
    <x v="0"/>
    <s v="P6"/>
    <n v="28"/>
    <n v="154"/>
    <x v="1"/>
    <s v=""/>
    <s v="meme_arrondissement"/>
    <s v="CMR"/>
    <x v="0"/>
    <s v="CMR004"/>
    <s v="Extrême-Nord"/>
    <s v="CMR004002"/>
    <s v="Logone-Et-Chari"/>
    <s v="CMR004002003"/>
    <s v="Blangoua"/>
  </r>
  <r>
    <s v="Extrême-Nord"/>
    <s v="CMR004"/>
    <x v="1"/>
    <s v="CMR004002"/>
    <x v="5"/>
    <s v="CMR004002003"/>
    <s v="BLARAM"/>
    <x v="40"/>
    <x v="0"/>
    <s v="P3"/>
    <n v="3"/>
    <n v="2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BLARAM"/>
    <x v="40"/>
    <x v="0"/>
    <s v="P4"/>
    <n v="4"/>
    <n v="2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CHAOUE"/>
    <x v="41"/>
    <x v="0"/>
    <s v="P3"/>
    <n v="7"/>
    <n v="6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GORE KOUBOU"/>
    <x v="42"/>
    <x v="0"/>
    <s v="P3"/>
    <n v="4"/>
    <n v="38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5"/>
    <s v="CMR004002003"/>
    <s v="GORE KOUBOU"/>
    <x v="42"/>
    <x v="0"/>
    <s v="P4"/>
    <n v="13"/>
    <n v="98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5"/>
    <s v="CMR004002003"/>
    <s v="GORE KOUBOU"/>
    <x v="42"/>
    <x v="0"/>
    <s v="P6"/>
    <n v="1"/>
    <n v="9"/>
    <x v="1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KINZAYAKOU"/>
    <x v="43"/>
    <x v="0"/>
    <s v="P2"/>
    <n v="5"/>
    <n v="31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INZAYAKOU"/>
    <x v="43"/>
    <x v="0"/>
    <s v="P3"/>
    <n v="2"/>
    <n v="1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INZAYAKOU"/>
    <x v="43"/>
    <x v="0"/>
    <s v="P4"/>
    <n v="4"/>
    <n v="31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KOBRO"/>
    <x v="44"/>
    <x v="0"/>
    <s v="P2"/>
    <n v="1"/>
    <n v="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OBRO"/>
    <x v="44"/>
    <x v="0"/>
    <s v="P4"/>
    <n v="2"/>
    <n v="5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KOBRO"/>
    <x v="44"/>
    <x v="0"/>
    <s v="P5"/>
    <n v="1"/>
    <n v="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OFIA"/>
    <x v="45"/>
    <x v="0"/>
    <s v="P2"/>
    <n v="20"/>
    <n v="127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OFIA"/>
    <x v="45"/>
    <x v="0"/>
    <s v="P3"/>
    <n v="17"/>
    <n v="92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KOFIA"/>
    <x v="45"/>
    <x v="0"/>
    <s v="P4"/>
    <n v="25"/>
    <n v="11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OUTOULA"/>
    <x v="46"/>
    <x v="0"/>
    <s v="P2"/>
    <n v="2"/>
    <n v="2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OUTOULA"/>
    <x v="46"/>
    <x v="0"/>
    <s v="P3"/>
    <n v="1"/>
    <n v="12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MADAGASCAR"/>
    <x v="47"/>
    <x v="0"/>
    <s v="P5"/>
    <n v="22"/>
    <n v="126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5"/>
    <s v="CMR004002003"/>
    <s v="NDARABAYA"/>
    <x v="48"/>
    <x v="0"/>
    <s v="P5"/>
    <n v="1"/>
    <n v="7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SABOURA"/>
    <x v="49"/>
    <x v="0"/>
    <s v="P4"/>
    <n v="2"/>
    <n v="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SABOURA"/>
    <x v="49"/>
    <x v="0"/>
    <s v="P5"/>
    <n v="8"/>
    <n v="36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SERO ABOU"/>
    <x v="50"/>
    <x v="0"/>
    <s v="P3"/>
    <n v="1"/>
    <n v="4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5"/>
    <s v="CMR004002003"/>
    <s v="TCHOLLORE"/>
    <x v="51"/>
    <x v="0"/>
    <s v="P4"/>
    <n v="5"/>
    <n v="2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TCHOLLORE"/>
    <x v="51"/>
    <x v="0"/>
    <s v="P5"/>
    <n v="3"/>
    <n v="16"/>
    <x v="1"/>
    <s v=""/>
    <s v="meme_arrondissement"/>
    <s v="CMR"/>
    <x v="0"/>
    <s v="CMR004"/>
    <s v="Extrême-Nord"/>
    <s v="CMR004002"/>
    <s v="Logone-Et-Chari"/>
    <s v="CMR004002003"/>
    <s v="Blangoua"/>
  </r>
  <r>
    <s v="Extrême-Nord"/>
    <s v="CMR004"/>
    <x v="1"/>
    <s v="CMR004002"/>
    <x v="5"/>
    <s v="CMR004002003"/>
    <s v="WAYA-WAYA"/>
    <x v="52"/>
    <x v="0"/>
    <s v="P2"/>
    <n v="5"/>
    <n v="36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5"/>
    <s v="CMR004002003"/>
    <s v="WAYA-WAYA"/>
    <x v="52"/>
    <x v="0"/>
    <s v="P3"/>
    <n v="6"/>
    <n v="4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WAYA-WAYA"/>
    <x v="52"/>
    <x v="0"/>
    <s v="P4"/>
    <n v="5"/>
    <n v="31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BIDEINE 2"/>
    <x v="53"/>
    <x v="0"/>
    <s v="P3"/>
    <n v="12"/>
    <n v="59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BIDEINE 2"/>
    <x v="53"/>
    <x v="0"/>
    <s v="P4"/>
    <n v="8"/>
    <n v="41"/>
    <x v="0"/>
    <s v=""/>
    <s v="mem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BIDEINE 2"/>
    <x v="53"/>
    <x v="0"/>
    <s v="P5"/>
    <n v="13"/>
    <n v="92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BOUARAM"/>
    <x v="54"/>
    <x v="0"/>
    <s v="P3"/>
    <n v="33"/>
    <n v="204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BOUARAM"/>
    <x v="54"/>
    <x v="0"/>
    <s v="P4"/>
    <n v="7"/>
    <n v="43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BOUSSAYA"/>
    <x v="55"/>
    <x v="0"/>
    <s v="P4"/>
    <n v="7"/>
    <n v="49"/>
    <x v="0"/>
    <s v=""/>
    <s v="mem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BOUSSAYA"/>
    <x v="55"/>
    <x v="0"/>
    <s v="P5"/>
    <n v="9"/>
    <n v="63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DARAK"/>
    <x v="56"/>
    <x v="0"/>
    <s v="P1"/>
    <n v="7"/>
    <n v="4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DARAK"/>
    <x v="56"/>
    <x v="0"/>
    <s v="P2"/>
    <n v="21"/>
    <n v="13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DARAK"/>
    <x v="56"/>
    <x v="0"/>
    <s v="P3"/>
    <n v="49"/>
    <n v="317"/>
    <x v="0"/>
    <s v=""/>
    <s v="mem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DARAK"/>
    <x v="56"/>
    <x v="0"/>
    <s v="P4"/>
    <n v="3"/>
    <n v="18"/>
    <x v="0"/>
    <s v=""/>
    <s v="mem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DISMANE"/>
    <x v="57"/>
    <x v="0"/>
    <s v="P3"/>
    <n v="1"/>
    <n v="7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DISMANE"/>
    <x v="57"/>
    <x v="0"/>
    <s v="P4"/>
    <n v="2"/>
    <n v="14"/>
    <x v="0"/>
    <s v=""/>
    <s v="mem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DOLE-ABOUNA"/>
    <x v="58"/>
    <x v="0"/>
    <s v="P5"/>
    <n v="7"/>
    <n v="46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DORO LIMANE"/>
    <x v="59"/>
    <x v="0"/>
    <s v="P2"/>
    <n v="7"/>
    <n v="7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DORO LIMANE"/>
    <x v="59"/>
    <x v="0"/>
    <s v="P3"/>
    <n v="7"/>
    <n v="51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DORO LIMANE"/>
    <x v="59"/>
    <x v="0"/>
    <s v="P4"/>
    <n v="10"/>
    <n v="47"/>
    <x v="0"/>
    <s v=""/>
    <s v="mem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DORO LIMANE"/>
    <x v="59"/>
    <x v="0"/>
    <s v="P5"/>
    <n v="3"/>
    <n v="14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GORE TCHANDI"/>
    <x v="60"/>
    <x v="0"/>
    <s v="P4"/>
    <n v="1"/>
    <n v="8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GORE TCHANDI"/>
    <x v="60"/>
    <x v="0"/>
    <s v="P5"/>
    <n v="5"/>
    <n v="38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HIL-WANZAN"/>
    <x v="61"/>
    <x v="0"/>
    <s v="P4"/>
    <n v="5"/>
    <n v="43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HIL-WANZAN"/>
    <x v="61"/>
    <x v="0"/>
    <s v="P5"/>
    <n v="20"/>
    <n v="142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RAMA 1"/>
    <x v="62"/>
    <x v="0"/>
    <s v="P3"/>
    <n v="8"/>
    <n v="40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RAMA 1"/>
    <x v="62"/>
    <x v="0"/>
    <s v="P4"/>
    <n v="5"/>
    <n v="25"/>
    <x v="0"/>
    <s v=""/>
    <s v="mem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KARENA"/>
    <x v="63"/>
    <x v="0"/>
    <s v="P3"/>
    <n v="27"/>
    <n v="167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RENA"/>
    <x v="63"/>
    <x v="0"/>
    <s v="P4"/>
    <n v="9"/>
    <n v="63"/>
    <x v="0"/>
    <s v=""/>
    <s v="mem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KARENA"/>
    <x v="63"/>
    <x v="0"/>
    <s v="P5"/>
    <n v="15"/>
    <n v="120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1"/>
    <x v="64"/>
    <x v="0"/>
    <s v="P2"/>
    <n v="1"/>
    <n v="4"/>
    <x v="0"/>
    <s v=""/>
    <s v="autre_arrondissement"/>
    <s v="CMR"/>
    <x v="0"/>
    <s v="CMR004"/>
    <s v="Extrême-Nord"/>
    <s v="CMR004002"/>
    <s v="Logone-Et-Chari"/>
    <s v="CMR004002002"/>
    <s v="Goulfey"/>
  </r>
  <r>
    <s v="Extrême-Nord"/>
    <s v="CMR004"/>
    <x v="1"/>
    <s v="CMR004002"/>
    <x v="6"/>
    <s v="CMR004002007"/>
    <s v="KATIKIME 1"/>
    <x v="64"/>
    <x v="0"/>
    <s v="P3"/>
    <n v="1"/>
    <n v="11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1"/>
    <x v="64"/>
    <x v="0"/>
    <s v="P4"/>
    <n v="1"/>
    <n v="5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1"/>
    <x v="64"/>
    <x v="0"/>
    <s v="P5"/>
    <n v="20"/>
    <n v="156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2"/>
    <x v="65"/>
    <x v="0"/>
    <s v="P3"/>
    <n v="1"/>
    <n v="17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2"/>
    <x v="65"/>
    <x v="0"/>
    <s v="P4"/>
    <n v="1"/>
    <n v="16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2"/>
    <x v="65"/>
    <x v="0"/>
    <s v="P5"/>
    <n v="4"/>
    <n v="18"/>
    <x v="0"/>
    <s v=""/>
    <s v="mem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KATIKIME 2"/>
    <x v="65"/>
    <x v="0"/>
    <s v="P6"/>
    <n v="58"/>
    <n v="507"/>
    <x v="1"/>
    <s v=""/>
    <s v="mem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KOUNDJARA"/>
    <x v="66"/>
    <x v="0"/>
    <s v="P2"/>
    <n v="3"/>
    <n v="1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KOUNDJARA"/>
    <x v="66"/>
    <x v="0"/>
    <s v="P3"/>
    <n v="2"/>
    <n v="10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OUNDJARA"/>
    <x v="66"/>
    <x v="0"/>
    <s v="P4"/>
    <n v="5"/>
    <n v="25"/>
    <x v="0"/>
    <s v=""/>
    <s v="mem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MAGALA-DJOUGOUL"/>
    <x v="67"/>
    <x v="0"/>
    <s v="P3"/>
    <n v="3"/>
    <n v="18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MAGALA-DJOUGOUL"/>
    <x v="67"/>
    <x v="0"/>
    <s v="P4"/>
    <n v="1"/>
    <n v="6"/>
    <x v="0"/>
    <s v=""/>
    <s v="mem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MAGALA-KABIR 1"/>
    <x v="68"/>
    <x v="0"/>
    <s v="P4"/>
    <n v="5"/>
    <n v="35"/>
    <x v="0"/>
    <s v=""/>
    <s v="mem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MAGALA-KABIR 2"/>
    <x v="69"/>
    <x v="0"/>
    <s v="P3"/>
    <n v="11"/>
    <n v="66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MAGALA-KABIR 2"/>
    <x v="69"/>
    <x v="0"/>
    <s v="P5"/>
    <n v="1"/>
    <n v="7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NAGA A"/>
    <x v="70"/>
    <x v="0"/>
    <s v="P3"/>
    <n v="19"/>
    <n v="115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NAGA A"/>
    <x v="70"/>
    <x v="0"/>
    <s v="P5"/>
    <n v="58"/>
    <n v="493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NGUEWA"/>
    <x v="71"/>
    <x v="0"/>
    <s v="P3"/>
    <n v="2"/>
    <n v="12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NGUEWA"/>
    <x v="71"/>
    <x v="0"/>
    <s v="P4"/>
    <n v="3"/>
    <n v="23"/>
    <x v="0"/>
    <s v=""/>
    <s v="mem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NGUEWA"/>
    <x v="71"/>
    <x v="0"/>
    <s v="P5"/>
    <n v="6"/>
    <n v="44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RAMIN DORINA"/>
    <x v="72"/>
    <x v="0"/>
    <s v="P3"/>
    <n v="7"/>
    <n v="34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TOROROYA"/>
    <x v="73"/>
    <x v="0"/>
    <s v="P3"/>
    <n v="3"/>
    <n v="23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TOROROYA"/>
    <x v="73"/>
    <x v="0"/>
    <s v="P4"/>
    <n v="2"/>
    <n v="17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TOROROYA"/>
    <x v="73"/>
    <x v="0"/>
    <s v="P5"/>
    <n v="17"/>
    <n v="103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AMTCHOUKOULI"/>
    <x v="74"/>
    <x v="0"/>
    <s v="P3"/>
    <n v="6"/>
    <n v="40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BELGUEDE"/>
    <x v="75"/>
    <x v="0"/>
    <s v="P5"/>
    <n v="48"/>
    <n v="340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BIDEINE"/>
    <x v="76"/>
    <x v="0"/>
    <s v="P5"/>
    <n v="30"/>
    <n v="70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BLANGAFE"/>
    <x v="77"/>
    <x v="0"/>
    <s v="P5"/>
    <n v="72"/>
    <n v="402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CHOLOBA"/>
    <x v="78"/>
    <x v="0"/>
    <s v="P4"/>
    <n v="10"/>
    <n v="70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FOTOKOL VILLE"/>
    <x v="79"/>
    <x v="0"/>
    <s v="P3"/>
    <n v="732"/>
    <n v="3848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FOTOKOL VILLE"/>
    <x v="79"/>
    <x v="0"/>
    <s v="P4"/>
    <n v="1524"/>
    <n v="8255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FOTOKOL VILLE"/>
    <x v="79"/>
    <x v="0"/>
    <s v="P5"/>
    <n v="85"/>
    <n v="759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GADAFAI"/>
    <x v="80"/>
    <x v="0"/>
    <s v="P5"/>
    <n v="45"/>
    <n v="200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GLO KOTOKO"/>
    <x v="81"/>
    <x v="0"/>
    <s v="P3"/>
    <n v="47"/>
    <n v="205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GOLMO ARABE"/>
    <x v="82"/>
    <x v="0"/>
    <s v="P4"/>
    <n v="10"/>
    <n v="97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GOLMO KOTOKO"/>
    <x v="83"/>
    <x v="0"/>
    <s v="P4"/>
    <n v="15"/>
    <n v="35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GUEGUERI"/>
    <x v="84"/>
    <x v="0"/>
    <s v="P5"/>
    <n v="12"/>
    <n v="90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HAÏGAYO"/>
    <x v="85"/>
    <x v="0"/>
    <s v="P5"/>
    <n v="55"/>
    <n v="440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KALOUE"/>
    <x v="86"/>
    <x v="0"/>
    <s v="P3"/>
    <n v="10"/>
    <n v="53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MADINA"/>
    <x v="87"/>
    <x v="0"/>
    <s v="P3"/>
    <n v="21"/>
    <n v="215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MAGADI 2"/>
    <x v="88"/>
    <x v="0"/>
    <s v="P5"/>
    <n v="18"/>
    <n v="144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MAGAM"/>
    <x v="89"/>
    <x v="0"/>
    <s v="P3"/>
    <n v="74"/>
    <n v="340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MARGAMA"/>
    <x v="90"/>
    <x v="0"/>
    <s v="P3"/>
    <n v="86"/>
    <n v="421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NGANAWAI"/>
    <x v="91"/>
    <x v="0"/>
    <s v="P5"/>
    <n v="7"/>
    <n v="50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NIGUE"/>
    <x v="92"/>
    <x v="0"/>
    <s v="P3"/>
    <n v="57"/>
    <n v="253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ROUNDE"/>
    <x v="93"/>
    <x v="0"/>
    <s v="P5"/>
    <n v="36"/>
    <n v="150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SAGME"/>
    <x v="94"/>
    <x v="0"/>
    <s v="P5"/>
    <n v="8"/>
    <n v="37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WANGARA"/>
    <x v="95"/>
    <x v="0"/>
    <s v="P5"/>
    <n v="49"/>
    <n v="225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WAROU"/>
    <x v="96"/>
    <x v="0"/>
    <s v="P4"/>
    <n v="9"/>
    <n v="72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WORO KEYME"/>
    <x v="97"/>
    <x v="0"/>
    <s v="P5"/>
    <n v="5"/>
    <n v="46"/>
    <x v="0"/>
    <s v=""/>
    <s v="mem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AKMASSIRA"/>
    <x v="98"/>
    <x v="0"/>
    <s v="P4"/>
    <n v="28"/>
    <n v="12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AMDANE"/>
    <x v="99"/>
    <x v="0"/>
    <s v="P3"/>
    <n v="3"/>
    <n v="19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AMDANE"/>
    <x v="99"/>
    <x v="0"/>
    <s v="P5"/>
    <n v="2"/>
    <n v="14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ARDEBE"/>
    <x v="100"/>
    <x v="0"/>
    <s v="P3"/>
    <n v="4"/>
    <n v="3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ARDEBE"/>
    <x v="100"/>
    <x v="0"/>
    <s v="P4"/>
    <n v="3"/>
    <n v="1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DALEB"/>
    <x v="101"/>
    <x v="0"/>
    <s v="P3"/>
    <n v="6"/>
    <n v="53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DOUGUYA"/>
    <x v="102"/>
    <x v="0"/>
    <s v="P3"/>
    <n v="6"/>
    <n v="4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FADJE"/>
    <x v="103"/>
    <x v="0"/>
    <s v="P4"/>
    <n v="3"/>
    <n v="30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GOULFEY"/>
    <x v="104"/>
    <x v="0"/>
    <s v="P2"/>
    <n v="16"/>
    <n v="8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GOULFEY"/>
    <x v="104"/>
    <x v="0"/>
    <s v="P3"/>
    <n v="45"/>
    <n v="41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GOULFEY"/>
    <x v="104"/>
    <x v="0"/>
    <s v="P4"/>
    <n v="27"/>
    <n v="114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GOULFEY-GANA"/>
    <x v="105"/>
    <x v="0"/>
    <s v="P3"/>
    <n v="22"/>
    <n v="87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GOULFEY-GANA"/>
    <x v="105"/>
    <x v="0"/>
    <s v="P5"/>
    <n v="5"/>
    <n v="32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8"/>
    <s v="CMR004002002"/>
    <s v="HABOBA"/>
    <x v="106"/>
    <x v="0"/>
    <s v="P3"/>
    <n v="6"/>
    <n v="37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HILELE"/>
    <x v="107"/>
    <x v="0"/>
    <s v="P3"/>
    <n v="13"/>
    <n v="10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HILELE"/>
    <x v="107"/>
    <x v="0"/>
    <s v="P5"/>
    <n v="2"/>
    <n v="13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8"/>
    <s v="CMR004002002"/>
    <s v="LABADO"/>
    <x v="108"/>
    <x v="0"/>
    <s v="P4"/>
    <n v="3"/>
    <n v="34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MADINA"/>
    <x v="109"/>
    <x v="0"/>
    <s v="P5"/>
    <n v="4"/>
    <n v="47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MAFANG"/>
    <x v="110"/>
    <x v="0"/>
    <s v="P3"/>
    <n v="10"/>
    <n v="5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HADJIRI"/>
    <x v="111"/>
    <x v="0"/>
    <s v="P3"/>
    <n v="2"/>
    <n v="17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HADJIRI"/>
    <x v="111"/>
    <x v="0"/>
    <s v="P4"/>
    <n v="2"/>
    <n v="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LA"/>
    <x v="112"/>
    <x v="0"/>
    <s v="P5"/>
    <n v="4"/>
    <n v="47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LTAM GOULFEY"/>
    <x v="113"/>
    <x v="0"/>
    <s v="P3"/>
    <n v="9"/>
    <n v="6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RA 1"/>
    <x v="114"/>
    <x v="0"/>
    <s v="P3"/>
    <n v="11"/>
    <n v="66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RA 2"/>
    <x v="115"/>
    <x v="0"/>
    <s v="P3"/>
    <n v="12"/>
    <n v="81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RFAINE"/>
    <x v="116"/>
    <x v="0"/>
    <s v="P5"/>
    <n v="4"/>
    <n v="38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MAYA"/>
    <x v="117"/>
    <x v="0"/>
    <s v="P3"/>
    <n v="7"/>
    <n v="3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ICH-MICH"/>
    <x v="118"/>
    <x v="0"/>
    <s v="P3"/>
    <n v="2"/>
    <n v="1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ICH-MICH"/>
    <x v="118"/>
    <x v="0"/>
    <s v="P4"/>
    <n v="1"/>
    <n v="7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ICHKA-MALE"/>
    <x v="119"/>
    <x v="0"/>
    <s v="P4"/>
    <n v="8"/>
    <n v="41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MOLODIA"/>
    <x v="120"/>
    <x v="0"/>
    <s v="P3"/>
    <n v="10"/>
    <n v="6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OUGALAM"/>
    <x v="121"/>
    <x v="0"/>
    <s v="P2"/>
    <n v="6"/>
    <n v="3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OUGALAM"/>
    <x v="121"/>
    <x v="0"/>
    <s v="P3"/>
    <n v="10"/>
    <n v="56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OUGALAM"/>
    <x v="121"/>
    <x v="0"/>
    <s v="P4"/>
    <n v="6"/>
    <n v="24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OULOUANG"/>
    <x v="122"/>
    <x v="0"/>
    <s v="P2"/>
    <n v="2"/>
    <n v="19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OULOUANG"/>
    <x v="122"/>
    <x v="0"/>
    <s v="P3"/>
    <n v="8"/>
    <n v="3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NGRAN"/>
    <x v="123"/>
    <x v="0"/>
    <s v="P3"/>
    <n v="19"/>
    <n v="9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NIMIA"/>
    <x v="124"/>
    <x v="0"/>
    <s v="P2"/>
    <n v="4"/>
    <n v="4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SAO"/>
    <x v="125"/>
    <x v="0"/>
    <s v="P2"/>
    <n v="2"/>
    <n v="14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SAO"/>
    <x v="125"/>
    <x v="0"/>
    <s v="P3"/>
    <n v="28"/>
    <n v="162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SAO"/>
    <x v="125"/>
    <x v="0"/>
    <s v="P4"/>
    <n v="6"/>
    <n v="3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TILAM 1"/>
    <x v="126"/>
    <x v="0"/>
    <s v="P3"/>
    <n v="2"/>
    <n v="17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WALAGA"/>
    <x v="127"/>
    <x v="0"/>
    <s v="P3"/>
    <n v="2"/>
    <n v="1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ZALAT DORO-ROYA"/>
    <x v="128"/>
    <x v="0"/>
    <s v="P3"/>
    <n v="4"/>
    <n v="2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ABASSOUNI 1"/>
    <x v="129"/>
    <x v="0"/>
    <s v="P2"/>
    <n v="10"/>
    <n v="4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ABASSOUNI 1"/>
    <x v="129"/>
    <x v="0"/>
    <s v="P3"/>
    <n v="15"/>
    <n v="64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ABASSOUNI 1"/>
    <x v="129"/>
    <x v="0"/>
    <s v="P4"/>
    <n v="27"/>
    <n v="135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ABASSOUNI 1"/>
    <x v="129"/>
    <x v="0"/>
    <s v="P5"/>
    <n v="199"/>
    <n v="1592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ABASSOUNI 2"/>
    <x v="130"/>
    <x v="0"/>
    <s v="P3"/>
    <n v="5"/>
    <n v="26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ABASSOUNI 2"/>
    <x v="130"/>
    <x v="0"/>
    <s v="P4"/>
    <n v="9"/>
    <n v="44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ABASSOUNI 2"/>
    <x v="130"/>
    <x v="0"/>
    <s v="P5"/>
    <n v="7"/>
    <n v="56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ABASSOUNI 3"/>
    <x v="131"/>
    <x v="0"/>
    <s v="P3"/>
    <n v="2"/>
    <n v="9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ABASSOUNI 3"/>
    <x v="131"/>
    <x v="0"/>
    <s v="P4"/>
    <n v="4"/>
    <n v="20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ABASSOUNI 3"/>
    <x v="131"/>
    <x v="0"/>
    <s v="P5"/>
    <n v="10"/>
    <n v="80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BARGARAM"/>
    <x v="132"/>
    <x v="0"/>
    <s v="P4"/>
    <n v="15"/>
    <n v="137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BARGARAM"/>
    <x v="132"/>
    <x v="0"/>
    <s v="P6"/>
    <n v="10"/>
    <n v="70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DOLE MILIMI"/>
    <x v="133"/>
    <x v="0"/>
    <s v="P5"/>
    <n v="15"/>
    <n v="120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DOUGOUMSILIO 1"/>
    <x v="134"/>
    <x v="0"/>
    <s v="P5"/>
    <n v="14"/>
    <n v="106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DOUGOUMSILIO 2"/>
    <x v="135"/>
    <x v="0"/>
    <s v="P5"/>
    <n v="13"/>
    <n v="104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HILE ALIFA 1"/>
    <x v="136"/>
    <x v="0"/>
    <s v="P2"/>
    <n v="6"/>
    <n v="3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HILE ALIFA 1"/>
    <x v="136"/>
    <x v="0"/>
    <s v="P3"/>
    <n v="15"/>
    <n v="75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HILE ALIFA 1"/>
    <x v="136"/>
    <x v="0"/>
    <s v="P4"/>
    <n v="8"/>
    <n v="40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HILE ALIFA 1"/>
    <x v="136"/>
    <x v="0"/>
    <s v="P5"/>
    <n v="100"/>
    <n v="725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9"/>
    <s v="CMR004002010"/>
    <s v="HILE ALIFA 2"/>
    <x v="137"/>
    <x v="0"/>
    <s v="P3"/>
    <n v="20"/>
    <n v="100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HILE ALIFA 2"/>
    <x v="137"/>
    <x v="0"/>
    <s v="P5"/>
    <n v="10"/>
    <n v="88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MADINA"/>
    <x v="138"/>
    <x v="0"/>
    <s v="P2"/>
    <n v="4"/>
    <n v="31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MADINA"/>
    <x v="138"/>
    <x v="0"/>
    <s v="P3"/>
    <n v="1"/>
    <n v="4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MADINA"/>
    <x v="138"/>
    <x v="0"/>
    <s v="P5"/>
    <n v="2"/>
    <n v="29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MAFOULSO 1"/>
    <x v="139"/>
    <x v="0"/>
    <s v="P5"/>
    <n v="20"/>
    <n v="160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MAFOULSO 2"/>
    <x v="140"/>
    <x v="0"/>
    <s v="P5"/>
    <n v="9"/>
    <n v="73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MAFOULSO 3"/>
    <x v="141"/>
    <x v="0"/>
    <s v="P5"/>
    <n v="3"/>
    <n v="25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TCHIKA"/>
    <x v="142"/>
    <x v="0"/>
    <s v="P3"/>
    <n v="52"/>
    <n v="416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TCHIKA"/>
    <x v="142"/>
    <x v="0"/>
    <s v="P4"/>
    <n v="16"/>
    <n v="128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TERBOU"/>
    <x v="143"/>
    <x v="0"/>
    <s v="P3"/>
    <n v="7"/>
    <n v="28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TERBOU"/>
    <x v="143"/>
    <x v="0"/>
    <s v="P4"/>
    <n v="8"/>
    <n v="116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TERBOU"/>
    <x v="143"/>
    <x v="0"/>
    <s v="P5"/>
    <n v="10"/>
    <n v="80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WADAK"/>
    <x v="144"/>
    <x v="0"/>
    <s v="P5"/>
    <n v="10"/>
    <n v="80"/>
    <x v="0"/>
    <s v=""/>
    <s v="mem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0"/>
    <s v="CMR004002006"/>
    <s v="ALAYA"/>
    <x v="145"/>
    <x v="0"/>
    <s v="P2"/>
    <n v="22"/>
    <n v="111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LAYA"/>
    <x v="145"/>
    <x v="0"/>
    <s v="P3"/>
    <n v="40"/>
    <n v="202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LAYA"/>
    <x v="145"/>
    <x v="0"/>
    <s v="P4"/>
    <n v="7"/>
    <n v="18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MCHEDIRE"/>
    <x v="146"/>
    <x v="0"/>
    <s v="P2"/>
    <n v="70"/>
    <n v="350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MCHEDIRE"/>
    <x v="146"/>
    <x v="0"/>
    <s v="P3"/>
    <n v="15"/>
    <n v="75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MCHEDIRE"/>
    <x v="146"/>
    <x v="0"/>
    <s v="P4"/>
    <n v="10"/>
    <n v="55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MCHEDIRE"/>
    <x v="146"/>
    <x v="0"/>
    <s v="P5"/>
    <n v="7"/>
    <n v="60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RDEBE NGADJAM"/>
    <x v="147"/>
    <x v="0"/>
    <s v="P3"/>
    <n v="1"/>
    <n v="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ARDEBE NGADJAM"/>
    <x v="147"/>
    <x v="0"/>
    <s v="P5"/>
    <n v="1"/>
    <n v="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ARDEBE VILLE"/>
    <x v="148"/>
    <x v="0"/>
    <s v="P3"/>
    <n v="39"/>
    <n v="322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RDEBE VILLE"/>
    <x v="148"/>
    <x v="0"/>
    <s v="P4"/>
    <n v="6"/>
    <n v="44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RKIS"/>
    <x v="149"/>
    <x v="0"/>
    <s v="P3"/>
    <n v="6"/>
    <n v="39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ARKIS"/>
    <x v="149"/>
    <x v="0"/>
    <s v="P5"/>
    <n v="3"/>
    <n v="15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BABOU"/>
    <x v="150"/>
    <x v="0"/>
    <s v="P2"/>
    <n v="67"/>
    <n v="340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BABOU"/>
    <x v="150"/>
    <x v="0"/>
    <s v="P3"/>
    <n v="193"/>
    <n v="967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BABOU"/>
    <x v="150"/>
    <x v="0"/>
    <s v="P4"/>
    <n v="3"/>
    <n v="29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BABOU"/>
    <x v="150"/>
    <x v="0"/>
    <s v="P5"/>
    <n v="1"/>
    <n v="3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DJAMBAL BAR"/>
    <x v="151"/>
    <x v="0"/>
    <s v="P3"/>
    <n v="44"/>
    <n v="22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DJAMBAL BAR"/>
    <x v="151"/>
    <x v="0"/>
    <s v="P4"/>
    <n v="49"/>
    <n v="244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DJAMBAL BAR"/>
    <x v="151"/>
    <x v="0"/>
    <s v="P5"/>
    <n v="3"/>
    <n v="28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GAROUA"/>
    <x v="152"/>
    <x v="0"/>
    <s v="P3"/>
    <n v="175"/>
    <n v="875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GAROUA"/>
    <x v="152"/>
    <x v="0"/>
    <s v="P4"/>
    <n v="75"/>
    <n v="375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GAROUA"/>
    <x v="152"/>
    <x v="0"/>
    <s v="P5"/>
    <n v="6"/>
    <n v="24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GUERGUE RABAH"/>
    <x v="153"/>
    <x v="0"/>
    <s v="P3"/>
    <n v="375"/>
    <n v="187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GUERGUE RABAH"/>
    <x v="153"/>
    <x v="0"/>
    <s v="P4"/>
    <n v="64"/>
    <n v="32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GUERGUE RABAH"/>
    <x v="153"/>
    <x v="0"/>
    <s v="P5"/>
    <n v="44"/>
    <n v="205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HARAZAYA"/>
    <x v="154"/>
    <x v="0"/>
    <s v="P2"/>
    <n v="100"/>
    <n v="503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HARAZAYA"/>
    <x v="154"/>
    <x v="0"/>
    <s v="P3"/>
    <n v="25"/>
    <n v="13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HARAZAYA"/>
    <x v="154"/>
    <x v="0"/>
    <s v="P5"/>
    <n v="1"/>
    <n v="6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HILE HAOUSSA"/>
    <x v="155"/>
    <x v="0"/>
    <s v="P3"/>
    <n v="70"/>
    <n v="350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HILE HAOUSSA"/>
    <x v="155"/>
    <x v="0"/>
    <s v="P5"/>
    <n v="4"/>
    <n v="34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IBOU"/>
    <x v="156"/>
    <x v="0"/>
    <s v="P3"/>
    <n v="38"/>
    <n v="190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IBOU"/>
    <x v="156"/>
    <x v="0"/>
    <s v="P4"/>
    <n v="3"/>
    <n v="15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IBOU"/>
    <x v="156"/>
    <x v="0"/>
    <s v="P5"/>
    <n v="26"/>
    <n v="215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AWADJI 1"/>
    <x v="157"/>
    <x v="0"/>
    <s v="P3"/>
    <n v="13"/>
    <n v="39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AWADJI 1"/>
    <x v="157"/>
    <x v="0"/>
    <s v="P5"/>
    <n v="3"/>
    <n v="25"/>
    <x v="1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KAWADJI 2"/>
    <x v="158"/>
    <x v="0"/>
    <s v="P3"/>
    <n v="9"/>
    <n v="27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0"/>
    <s v="CMR004002006"/>
    <s v="KAWADJI 2"/>
    <x v="158"/>
    <x v="0"/>
    <s v="P5"/>
    <n v="3"/>
    <n v="15"/>
    <x v="1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KODOGO"/>
    <x v="159"/>
    <x v="0"/>
    <s v="P3"/>
    <n v="260"/>
    <n v="1300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ODOGO"/>
    <x v="159"/>
    <x v="0"/>
    <s v="P4"/>
    <n v="80"/>
    <n v="400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ODOGO"/>
    <x v="159"/>
    <x v="0"/>
    <s v="P5"/>
    <n v="9"/>
    <n v="76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OULKADA"/>
    <x v="160"/>
    <x v="0"/>
    <s v="P3"/>
    <n v="78"/>
    <n v="48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OULKADA"/>
    <x v="160"/>
    <x v="0"/>
    <s v="P4"/>
    <n v="13"/>
    <n v="68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OULKADA"/>
    <x v="160"/>
    <x v="0"/>
    <s v="P5"/>
    <n v="8"/>
    <n v="63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OULOUK"/>
    <x v="161"/>
    <x v="0"/>
    <s v="P3"/>
    <n v="4"/>
    <n v="4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OULOUK"/>
    <x v="161"/>
    <x v="0"/>
    <s v="P4"/>
    <n v="3"/>
    <n v="27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ROUANG 1"/>
    <x v="162"/>
    <x v="0"/>
    <s v="P2"/>
    <n v="4"/>
    <n v="31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ROUANG 1"/>
    <x v="162"/>
    <x v="0"/>
    <s v="P3"/>
    <n v="7"/>
    <n v="4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ROUANG 1"/>
    <x v="162"/>
    <x v="0"/>
    <s v="P4"/>
    <n v="3"/>
    <n v="1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ROUANG 2"/>
    <x v="163"/>
    <x v="0"/>
    <s v="P2"/>
    <n v="400"/>
    <n v="2000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ROUANG 2"/>
    <x v="163"/>
    <x v="0"/>
    <s v="P3"/>
    <n v="87"/>
    <n v="435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ROUANG 2"/>
    <x v="163"/>
    <x v="0"/>
    <s v="P4"/>
    <n v="2"/>
    <n v="10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ROUANG 2"/>
    <x v="163"/>
    <x v="0"/>
    <s v="P5"/>
    <n v="15"/>
    <n v="134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LACKA"/>
    <x v="164"/>
    <x v="0"/>
    <s v="P2"/>
    <n v="30"/>
    <n v="15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LACKA"/>
    <x v="164"/>
    <x v="0"/>
    <s v="P5"/>
    <n v="24"/>
    <n v="204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GASCAR 1"/>
    <x v="165"/>
    <x v="0"/>
    <s v="P2"/>
    <n v="70"/>
    <n v="35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DAGASCAR 1"/>
    <x v="165"/>
    <x v="0"/>
    <s v="P3"/>
    <n v="30"/>
    <n v="150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GASCAR 2"/>
    <x v="166"/>
    <x v="0"/>
    <s v="P2"/>
    <n v="183"/>
    <n v="915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GASCAR 2"/>
    <x v="166"/>
    <x v="0"/>
    <s v="P3"/>
    <n v="117"/>
    <n v="585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GASCAR 2"/>
    <x v="166"/>
    <x v="0"/>
    <s v="P4"/>
    <n v="8"/>
    <n v="68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GASCAR 2"/>
    <x v="166"/>
    <x v="0"/>
    <s v="P5"/>
    <n v="8"/>
    <n v="70"/>
    <x v="2"/>
    <s v="Déplacement à la recherche d'une aide humanitaire.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NA"/>
    <x v="167"/>
    <x v="0"/>
    <s v="P2"/>
    <n v="7"/>
    <n v="3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DANA"/>
    <x v="167"/>
    <x v="0"/>
    <s v="P3"/>
    <n v="14"/>
    <n v="7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DANA GABAG"/>
    <x v="168"/>
    <x v="0"/>
    <s v="P3"/>
    <n v="10"/>
    <n v="3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INANI"/>
    <x v="169"/>
    <x v="0"/>
    <s v="P2"/>
    <n v="40"/>
    <n v="20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INANI"/>
    <x v="169"/>
    <x v="0"/>
    <s v="P3"/>
    <n v="80"/>
    <n v="40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INANI"/>
    <x v="169"/>
    <x v="0"/>
    <s v="P4"/>
    <n v="8"/>
    <n v="53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INANI"/>
    <x v="169"/>
    <x v="0"/>
    <s v="P5"/>
    <n v="7"/>
    <n v="55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LACK"/>
    <x v="170"/>
    <x v="0"/>
    <s v="P2"/>
    <n v="4"/>
    <n v="25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LACK"/>
    <x v="170"/>
    <x v="0"/>
    <s v="P3"/>
    <n v="6"/>
    <n v="30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LACK"/>
    <x v="170"/>
    <x v="0"/>
    <s v="P4"/>
    <n v="4"/>
    <n v="34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LACK"/>
    <x v="170"/>
    <x v="0"/>
    <s v="P5"/>
    <n v="11"/>
    <n v="52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RAKO"/>
    <x v="171"/>
    <x v="0"/>
    <s v="P2"/>
    <n v="2"/>
    <n v="12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RAKO"/>
    <x v="171"/>
    <x v="0"/>
    <s v="P3"/>
    <n v="8"/>
    <n v="61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RAKO"/>
    <x v="171"/>
    <x v="0"/>
    <s v="P4"/>
    <n v="2"/>
    <n v="9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RAKO"/>
    <x v="171"/>
    <x v="0"/>
    <s v="P5"/>
    <n v="7"/>
    <n v="38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SSAKI"/>
    <x v="172"/>
    <x v="0"/>
    <s v="P2"/>
    <n v="4"/>
    <n v="31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SSAKI"/>
    <x v="172"/>
    <x v="0"/>
    <s v="P3"/>
    <n v="10"/>
    <n v="55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SSAKI"/>
    <x v="172"/>
    <x v="0"/>
    <s v="P4"/>
    <n v="5"/>
    <n v="41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SSIL-AL-KANAM"/>
    <x v="173"/>
    <x v="0"/>
    <s v="P3"/>
    <n v="4"/>
    <n v="22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SSIL-AL-KANAM"/>
    <x v="173"/>
    <x v="0"/>
    <s v="P4"/>
    <n v="2"/>
    <n v="15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WAK"/>
    <x v="174"/>
    <x v="0"/>
    <s v="P3"/>
    <n v="55"/>
    <n v="275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WAK"/>
    <x v="174"/>
    <x v="0"/>
    <s v="P4"/>
    <n v="15"/>
    <n v="75"/>
    <x v="0"/>
    <s v=""/>
    <s v="autr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0"/>
    <s v="CMR004002006"/>
    <s v="MAWAK"/>
    <x v="174"/>
    <x v="0"/>
    <s v="P5"/>
    <n v="6"/>
    <n v="47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NAGA"/>
    <x v="175"/>
    <x v="0"/>
    <s v="P2"/>
    <n v="2"/>
    <n v="9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NAGA"/>
    <x v="175"/>
    <x v="0"/>
    <s v="P3"/>
    <n v="6"/>
    <n v="33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NDJAMENA"/>
    <x v="176"/>
    <x v="0"/>
    <s v="P2"/>
    <n v="55"/>
    <n v="27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NDJAMENA"/>
    <x v="176"/>
    <x v="0"/>
    <s v="P3"/>
    <n v="20"/>
    <n v="100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NGALLO"/>
    <x v="177"/>
    <x v="0"/>
    <s v="P3"/>
    <n v="32"/>
    <n v="160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NGALLO"/>
    <x v="177"/>
    <x v="0"/>
    <s v="P4"/>
    <n v="34"/>
    <n v="220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NGARGOUZO"/>
    <x v="178"/>
    <x v="0"/>
    <s v="P2"/>
    <n v="64"/>
    <n v="317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NGARGOUZO"/>
    <x v="178"/>
    <x v="0"/>
    <s v="P3"/>
    <n v="35"/>
    <n v="175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PAGUI"/>
    <x v="179"/>
    <x v="0"/>
    <s v="P2"/>
    <n v="46"/>
    <n v="22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PAGUI"/>
    <x v="179"/>
    <x v="0"/>
    <s v="P4"/>
    <n v="7"/>
    <n v="37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PAR-PAR"/>
    <x v="180"/>
    <x v="0"/>
    <s v="P3"/>
    <n v="10"/>
    <n v="60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RIGGIL KOTOKO"/>
    <x v="181"/>
    <x v="0"/>
    <s v="P2"/>
    <n v="1"/>
    <n v="9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RIGGIL KOTOKO"/>
    <x v="181"/>
    <x v="0"/>
    <s v="P3"/>
    <n v="3"/>
    <n v="41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SEREBA"/>
    <x v="182"/>
    <x v="0"/>
    <s v="P2"/>
    <n v="31"/>
    <n v="15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SEREBA"/>
    <x v="182"/>
    <x v="0"/>
    <s v="P3"/>
    <n v="10"/>
    <n v="59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SEREBA"/>
    <x v="182"/>
    <x v="0"/>
    <s v="P4"/>
    <n v="3"/>
    <n v="19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SOKOTO"/>
    <x v="183"/>
    <x v="0"/>
    <s v="P3"/>
    <n v="42"/>
    <n v="235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SOKOTO"/>
    <x v="183"/>
    <x v="0"/>
    <s v="P5"/>
    <n v="5"/>
    <n v="43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WALI"/>
    <x v="184"/>
    <x v="0"/>
    <s v="P3"/>
    <n v="13"/>
    <n v="80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WALI"/>
    <x v="184"/>
    <x v="0"/>
    <s v="P4"/>
    <n v="5"/>
    <n v="35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WALI"/>
    <x v="184"/>
    <x v="0"/>
    <s v="P5"/>
    <n v="5"/>
    <n v="42"/>
    <x v="0"/>
    <s v=""/>
    <s v="meme_arrondissement"/>
    <s v="CMR"/>
    <x v="0"/>
    <s v="CMR004"/>
    <s v="Extrême-Nord"/>
    <s v="CMR004002"/>
    <s v="Logone-Et-Chari"/>
    <s v="CMR004002006"/>
    <s v="Kousseri"/>
  </r>
  <r>
    <s v="Extrême-Nord"/>
    <s v="CMR004"/>
    <x v="1"/>
    <s v="CMR004002"/>
    <x v="11"/>
    <s v="CMR004002004"/>
    <s v="AMALGOCH"/>
    <x v="185"/>
    <x v="0"/>
    <s v="P5"/>
    <n v="34"/>
    <n v="9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1"/>
    <s v="CMR004002004"/>
    <s v="AMREF"/>
    <x v="186"/>
    <x v="0"/>
    <s v="P5"/>
    <n v="70"/>
    <n v="150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ANGOCH"/>
    <x v="187"/>
    <x v="0"/>
    <s v="P5"/>
    <n v="30"/>
    <n v="150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CHAFOU IDJELIDJE (CAMP)"/>
    <x v="188"/>
    <x v="0"/>
    <s v="P3"/>
    <n v="33"/>
    <n v="121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CHAFOU IDJELIDJE (CAMP)"/>
    <x v="188"/>
    <x v="0"/>
    <s v="P4"/>
    <n v="2"/>
    <n v="21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DABANGA"/>
    <x v="189"/>
    <x v="0"/>
    <s v="P4"/>
    <n v="96"/>
    <n v="759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DEIMA"/>
    <x v="190"/>
    <x v="0"/>
    <s v="P5"/>
    <n v="53"/>
    <n v="205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DOUGOUMBRA"/>
    <x v="191"/>
    <x v="0"/>
    <s v="P5"/>
    <n v="22"/>
    <n v="100"/>
    <x v="0"/>
    <s v=""/>
    <s v="autr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FADJE (CAMP)"/>
    <x v="192"/>
    <x v="0"/>
    <s v="P3"/>
    <n v="19"/>
    <n v="100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GACHALMEDIK"/>
    <x v="193"/>
    <x v="0"/>
    <s v="P4"/>
    <n v="60"/>
    <n v="238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GACHALMEDIK"/>
    <x v="193"/>
    <x v="0"/>
    <s v="P5"/>
    <n v="10"/>
    <n v="60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GALESS"/>
    <x v="194"/>
    <x v="0"/>
    <s v="P5"/>
    <n v="52"/>
    <n v="150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GOURLE"/>
    <x v="195"/>
    <x v="0"/>
    <s v="P3"/>
    <n v="50"/>
    <n v="283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GUESH"/>
    <x v="196"/>
    <x v="0"/>
    <s v="P5"/>
    <n v="17"/>
    <n v="130"/>
    <x v="0"/>
    <s v=""/>
    <s v="autr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HINALE"/>
    <x v="197"/>
    <x v="0"/>
    <s v="P5"/>
    <n v="18"/>
    <n v="130"/>
    <x v="0"/>
    <s v=""/>
    <s v="autr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HOUNANGARE"/>
    <x v="198"/>
    <x v="0"/>
    <s v="P5"/>
    <n v="22"/>
    <n v="100"/>
    <x v="0"/>
    <s v=""/>
    <s v="autr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HOUNDOUK"/>
    <x v="199"/>
    <x v="0"/>
    <s v="P5"/>
    <n v="100"/>
    <n v="500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KABO"/>
    <x v="200"/>
    <x v="0"/>
    <s v="P3"/>
    <n v="173"/>
    <n v="1123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KALAKAFRA"/>
    <x v="201"/>
    <x v="0"/>
    <s v="P3"/>
    <n v="191"/>
    <n v="950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KALKOUSSAM"/>
    <x v="202"/>
    <x v="0"/>
    <s v="P1"/>
    <n v="18"/>
    <n v="87"/>
    <x v="0"/>
    <s v=""/>
    <s v="autr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KNERACK"/>
    <x v="203"/>
    <x v="0"/>
    <s v="P4"/>
    <n v="32"/>
    <n v="128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LABADO"/>
    <x v="204"/>
    <x v="0"/>
    <s v="P3"/>
    <n v="35"/>
    <n v="350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LOGONE-BIRNI"/>
    <x v="205"/>
    <x v="0"/>
    <s v="P1"/>
    <n v="84"/>
    <n v="519"/>
    <x v="1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LOGONE-BIRNI"/>
    <x v="205"/>
    <x v="0"/>
    <s v="P3"/>
    <n v="53"/>
    <n v="295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ACHOKA"/>
    <x v="206"/>
    <x v="0"/>
    <s v="P5"/>
    <n v="7"/>
    <n v="45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ADEF"/>
    <x v="207"/>
    <x v="0"/>
    <s v="P5"/>
    <n v="4"/>
    <n v="25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AHANA"/>
    <x v="208"/>
    <x v="0"/>
    <s v="P5"/>
    <n v="22"/>
    <n v="140"/>
    <x v="0"/>
    <s v=""/>
    <s v="autr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MANNA"/>
    <x v="209"/>
    <x v="0"/>
    <s v="P3"/>
    <n v="35"/>
    <n v="147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ELARI"/>
    <x v="210"/>
    <x v="0"/>
    <s v="P3"/>
    <n v="10"/>
    <n v="69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ELARI"/>
    <x v="210"/>
    <x v="0"/>
    <s v="P5"/>
    <n v="8"/>
    <n v="56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OULADOCK (CAMP)"/>
    <x v="211"/>
    <x v="0"/>
    <s v="P3"/>
    <n v="29"/>
    <n v="166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OULADOCK 1"/>
    <x v="212"/>
    <x v="0"/>
    <s v="P3"/>
    <n v="6"/>
    <n v="56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OULADOCK 2"/>
    <x v="213"/>
    <x v="0"/>
    <s v="P3"/>
    <n v="7"/>
    <n v="49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NDOM"/>
    <x v="214"/>
    <x v="0"/>
    <s v="P5"/>
    <n v="6"/>
    <n v="54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NGADA"/>
    <x v="215"/>
    <x v="0"/>
    <s v="P3"/>
    <n v="89"/>
    <n v="440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NGOYKOKA"/>
    <x v="216"/>
    <x v="0"/>
    <s v="P5"/>
    <n v="35"/>
    <n v="150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SAHABA 3"/>
    <x v="217"/>
    <x v="0"/>
    <s v="P3"/>
    <n v="100"/>
    <n v="447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SALERI"/>
    <x v="218"/>
    <x v="0"/>
    <s v="P5"/>
    <n v="8"/>
    <n v="71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SKLIO"/>
    <x v="219"/>
    <x v="0"/>
    <s v="P3"/>
    <n v="84"/>
    <n v="432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TABOYE"/>
    <x v="220"/>
    <x v="0"/>
    <s v="P4"/>
    <n v="82"/>
    <n v="656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TILDE"/>
    <x v="221"/>
    <x v="0"/>
    <s v="P3"/>
    <n v="203"/>
    <n v="1513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TILDE"/>
    <x v="221"/>
    <x v="0"/>
    <s v="P5"/>
    <n v="10"/>
    <n v="85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TRAYA"/>
    <x v="222"/>
    <x v="0"/>
    <s v="P3"/>
    <n v="17"/>
    <n v="128"/>
    <x v="0"/>
    <s v=""/>
    <s v="mem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ZIMADO"/>
    <x v="223"/>
    <x v="0"/>
    <s v="P3"/>
    <n v="98"/>
    <n v="869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1"/>
    <s v="CMR004002"/>
    <x v="12"/>
    <s v="CMR004002009"/>
    <s v="ABANKOURI"/>
    <x v="224"/>
    <x v="0"/>
    <s v="P2"/>
    <n v="375"/>
    <n v="351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BANKOURI"/>
    <x v="224"/>
    <x v="0"/>
    <s v="P5"/>
    <n v="20"/>
    <n v="120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ABBARI"/>
    <x v="225"/>
    <x v="0"/>
    <s v="P2"/>
    <n v="6"/>
    <n v="36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BBARI"/>
    <x v="225"/>
    <x v="0"/>
    <s v="P3"/>
    <n v="8"/>
    <n v="36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ABBARI"/>
    <x v="225"/>
    <x v="0"/>
    <s v="P5"/>
    <n v="3"/>
    <n v="14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ABOKI"/>
    <x v="226"/>
    <x v="0"/>
    <s v="P5"/>
    <n v="3"/>
    <n v="9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BOUDANGALA"/>
    <x v="227"/>
    <x v="0"/>
    <s v="P5"/>
    <n v="12"/>
    <n v="87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BOUSOULTAN"/>
    <x v="228"/>
    <x v="0"/>
    <s v="P5"/>
    <n v="10"/>
    <n v="5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BOUYAKOUBA"/>
    <x v="229"/>
    <x v="0"/>
    <s v="P2"/>
    <n v="7"/>
    <n v="4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BOUYAKOUBA"/>
    <x v="229"/>
    <x v="0"/>
    <s v="P3"/>
    <n v="3"/>
    <n v="1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FADE (VILLAGE)"/>
    <x v="230"/>
    <x v="0"/>
    <s v="P2"/>
    <n v="155"/>
    <n v="131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FADE (VILLAGE)"/>
    <x v="230"/>
    <x v="0"/>
    <s v="P3"/>
    <n v="388"/>
    <n v="329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FADE (VILLAGE)"/>
    <x v="230"/>
    <x v="0"/>
    <s v="P4"/>
    <n v="435"/>
    <n v="3698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FADE CAMP"/>
    <x v="231"/>
    <x v="0"/>
    <s v="P4"/>
    <n v="154"/>
    <n v="1309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FADE CAMP"/>
    <x v="231"/>
    <x v="0"/>
    <s v="P5"/>
    <n v="222"/>
    <n v="1893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LMITERAP"/>
    <x v="232"/>
    <x v="0"/>
    <s v="P5"/>
    <n v="13"/>
    <n v="87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AMCHILGA"/>
    <x v="233"/>
    <x v="0"/>
    <s v="P3"/>
    <n v="22"/>
    <n v="8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MCHILGA"/>
    <x v="233"/>
    <x v="0"/>
    <s v="P4"/>
    <n v="8"/>
    <n v="32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AMCHILGA"/>
    <x v="233"/>
    <x v="0"/>
    <s v="P5"/>
    <n v="6"/>
    <n v="19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AMCHITIRE"/>
    <x v="234"/>
    <x v="0"/>
    <s v="P3"/>
    <n v="2"/>
    <n v="6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CHITIRE"/>
    <x v="234"/>
    <x v="0"/>
    <s v="P4"/>
    <n v="6"/>
    <n v="3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BANG"/>
    <x v="235"/>
    <x v="0"/>
    <s v="P2"/>
    <n v="29"/>
    <n v="24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BANG"/>
    <x v="235"/>
    <x v="0"/>
    <s v="P3"/>
    <n v="13"/>
    <n v="111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BANG"/>
    <x v="235"/>
    <x v="0"/>
    <s v="P4"/>
    <n v="4"/>
    <n v="34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BANG 2"/>
    <x v="236"/>
    <x v="0"/>
    <s v="P3"/>
    <n v="5"/>
    <n v="26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BANG 2"/>
    <x v="236"/>
    <x v="0"/>
    <s v="P4"/>
    <n v="2"/>
    <n v="9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MKA"/>
    <x v="237"/>
    <x v="0"/>
    <s v="P5"/>
    <n v="11"/>
    <n v="9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MSAOURA"/>
    <x v="238"/>
    <x v="0"/>
    <s v="P5"/>
    <n v="7"/>
    <n v="32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AMSOUFA"/>
    <x v="239"/>
    <x v="0"/>
    <s v="P4"/>
    <n v="10"/>
    <n v="8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TCHIKO"/>
    <x v="240"/>
    <x v="0"/>
    <s v="P5"/>
    <n v="10"/>
    <n v="4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NAMBARI"/>
    <x v="241"/>
    <x v="0"/>
    <s v="P3"/>
    <n v="6"/>
    <n v="42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NAMBARI"/>
    <x v="241"/>
    <x v="0"/>
    <s v="P4"/>
    <n v="4"/>
    <n v="18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RDEB 1"/>
    <x v="242"/>
    <x v="0"/>
    <s v="P4"/>
    <n v="3"/>
    <n v="1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RDEB 2"/>
    <x v="243"/>
    <x v="0"/>
    <s v="P4"/>
    <n v="4"/>
    <n v="1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RDEBE"/>
    <x v="244"/>
    <x v="0"/>
    <s v="P5"/>
    <n v="13"/>
    <n v="87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ATTRI-FALATA"/>
    <x v="245"/>
    <x v="0"/>
    <s v="P2"/>
    <n v="1"/>
    <n v="6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TTRI-FALATA"/>
    <x v="245"/>
    <x v="0"/>
    <s v="P3"/>
    <n v="3"/>
    <n v="1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TTRI-FALATA"/>
    <x v="245"/>
    <x v="0"/>
    <s v="P4"/>
    <n v="3"/>
    <n v="16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TTRI-SALAMAT"/>
    <x v="246"/>
    <x v="0"/>
    <s v="P3"/>
    <n v="2"/>
    <n v="14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TTRI-SALAMAT"/>
    <x v="246"/>
    <x v="0"/>
    <s v="P4"/>
    <n v="4"/>
    <n v="2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ADRA"/>
    <x v="247"/>
    <x v="0"/>
    <s v="P3"/>
    <n v="4"/>
    <n v="32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ADRA"/>
    <x v="247"/>
    <x v="0"/>
    <s v="P4"/>
    <n v="3"/>
    <n v="2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AGARA"/>
    <x v="248"/>
    <x v="0"/>
    <s v="P2"/>
    <n v="2"/>
    <n v="1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AGARA"/>
    <x v="248"/>
    <x v="0"/>
    <s v="P3"/>
    <n v="2"/>
    <n v="2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AOURI"/>
    <x v="249"/>
    <x v="0"/>
    <s v="P2"/>
    <n v="2"/>
    <n v="16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BAOURI"/>
    <x v="249"/>
    <x v="0"/>
    <s v="P3"/>
    <n v="4"/>
    <n v="2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AOURI"/>
    <x v="249"/>
    <x v="0"/>
    <s v="P4"/>
    <n v="6"/>
    <n v="2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EDA (CAMP)"/>
    <x v="250"/>
    <x v="0"/>
    <s v="P4"/>
    <n v="31"/>
    <n v="262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EDA (CAMP)"/>
    <x v="250"/>
    <x v="0"/>
    <s v="P6"/>
    <n v="34"/>
    <n v="289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EDAT"/>
    <x v="251"/>
    <x v="0"/>
    <s v="P3"/>
    <n v="40"/>
    <n v="20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EDAT"/>
    <x v="251"/>
    <x v="0"/>
    <s v="P4"/>
    <n v="52"/>
    <n v="26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IAMO"/>
    <x v="252"/>
    <x v="0"/>
    <s v="P3"/>
    <n v="41"/>
    <n v="20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IAMO"/>
    <x v="252"/>
    <x v="0"/>
    <s v="P4"/>
    <n v="31"/>
    <n v="8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IAMO"/>
    <x v="252"/>
    <x v="0"/>
    <s v="P5"/>
    <n v="2"/>
    <n v="17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BIANG"/>
    <x v="253"/>
    <x v="0"/>
    <s v="P2"/>
    <n v="7"/>
    <n v="5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IDEINE"/>
    <x v="254"/>
    <x v="0"/>
    <s v="P3"/>
    <n v="10"/>
    <n v="4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IDEINE"/>
    <x v="254"/>
    <x v="0"/>
    <s v="P4"/>
    <n v="5"/>
    <n v="48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IDEINE"/>
    <x v="254"/>
    <x v="0"/>
    <s v="P5"/>
    <n v="1"/>
    <n v="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LABLIN"/>
    <x v="255"/>
    <x v="0"/>
    <s v="P3"/>
    <n v="7"/>
    <n v="36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LABLIN"/>
    <x v="255"/>
    <x v="0"/>
    <s v="P4"/>
    <n v="200"/>
    <n v="170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LAHE"/>
    <x v="256"/>
    <x v="0"/>
    <s v="P2"/>
    <n v="3"/>
    <n v="1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LAHE"/>
    <x v="256"/>
    <x v="0"/>
    <s v="P3"/>
    <n v="7"/>
    <n v="2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LAHE"/>
    <x v="256"/>
    <x v="0"/>
    <s v="P4"/>
    <n v="4"/>
    <n v="2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LOUMTAGUI"/>
    <x v="257"/>
    <x v="0"/>
    <s v="P2"/>
    <n v="6"/>
    <n v="27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ODO"/>
    <x v="258"/>
    <x v="0"/>
    <s v="P2"/>
    <n v="27"/>
    <n v="20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OMBOYO"/>
    <x v="259"/>
    <x v="0"/>
    <s v="P5"/>
    <n v="85"/>
    <n v="425"/>
    <x v="0"/>
    <s v=""/>
    <s v="autr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CHAGAMA 1"/>
    <x v="260"/>
    <x v="0"/>
    <s v="P3"/>
    <n v="3"/>
    <n v="19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AGAMA 1"/>
    <x v="260"/>
    <x v="0"/>
    <s v="P4"/>
    <n v="10"/>
    <n v="3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AGAMA 2"/>
    <x v="261"/>
    <x v="0"/>
    <s v="P2"/>
    <n v="1"/>
    <n v="4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AGAMA 2"/>
    <x v="261"/>
    <x v="0"/>
    <s v="P3"/>
    <n v="2"/>
    <n v="11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AGAMA 2"/>
    <x v="261"/>
    <x v="0"/>
    <s v="P4"/>
    <n v="6"/>
    <n v="2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AIBOU"/>
    <x v="262"/>
    <x v="0"/>
    <s v="P5"/>
    <n v="10"/>
    <n v="81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CHALAMTINI"/>
    <x v="263"/>
    <x v="0"/>
    <s v="P4"/>
    <n v="39"/>
    <n v="33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CHIMTILI"/>
    <x v="264"/>
    <x v="0"/>
    <s v="P4"/>
    <n v="7"/>
    <n v="2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IMTILI"/>
    <x v="264"/>
    <x v="0"/>
    <s v="P5"/>
    <n v="6"/>
    <n v="22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CHOU-SALAMAT"/>
    <x v="265"/>
    <x v="0"/>
    <s v="P3"/>
    <n v="25"/>
    <n v="20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CHOU-SALAMAT"/>
    <x v="265"/>
    <x v="0"/>
    <s v="P5"/>
    <n v="5"/>
    <n v="43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AMBA 1"/>
    <x v="266"/>
    <x v="0"/>
    <s v="P3"/>
    <n v="2"/>
    <n v="12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AMBA 1"/>
    <x v="266"/>
    <x v="0"/>
    <s v="P4"/>
    <n v="3"/>
    <n v="1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ARSALAM"/>
    <x v="267"/>
    <x v="0"/>
    <s v="P5"/>
    <n v="5"/>
    <n v="3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AM 1"/>
    <x v="268"/>
    <x v="0"/>
    <s v="P3"/>
    <n v="17"/>
    <n v="68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AM 1"/>
    <x v="268"/>
    <x v="0"/>
    <s v="P5"/>
    <n v="5"/>
    <n v="34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AM 2"/>
    <x v="269"/>
    <x v="0"/>
    <s v="P3"/>
    <n v="16"/>
    <n v="7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AM 2"/>
    <x v="269"/>
    <x v="0"/>
    <s v="P5"/>
    <n v="4"/>
    <n v="22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AM 2"/>
    <x v="269"/>
    <x v="0"/>
    <s v="P6"/>
    <n v="2"/>
    <n v="14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GAM BAR"/>
    <x v="270"/>
    <x v="0"/>
    <s v="P3"/>
    <n v="8"/>
    <n v="51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GAM-AFADE"/>
    <x v="271"/>
    <x v="0"/>
    <s v="P3"/>
    <n v="6"/>
    <n v="42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DILEBE"/>
    <x v="272"/>
    <x v="0"/>
    <s v="P4"/>
    <n v="2"/>
    <n v="14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ILEBE"/>
    <x v="272"/>
    <x v="0"/>
    <s v="P5"/>
    <n v="6"/>
    <n v="33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DJADJAYA"/>
    <x v="273"/>
    <x v="0"/>
    <s v="P2"/>
    <n v="14"/>
    <n v="53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JADJAYA"/>
    <x v="273"/>
    <x v="0"/>
    <s v="P3"/>
    <n v="6"/>
    <n v="30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DJAKDJAKKAYA 2"/>
    <x v="274"/>
    <x v="0"/>
    <s v="P4"/>
    <n v="6"/>
    <n v="51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AMOUS"/>
    <x v="275"/>
    <x v="0"/>
    <s v="P2"/>
    <n v="41"/>
    <n v="20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AMOUS"/>
    <x v="275"/>
    <x v="0"/>
    <s v="P3"/>
    <n v="45"/>
    <n v="22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AMOUS"/>
    <x v="275"/>
    <x v="0"/>
    <s v="P4"/>
    <n v="110"/>
    <n v="93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IDANSAMA"/>
    <x v="276"/>
    <x v="0"/>
    <s v="P3"/>
    <n v="2"/>
    <n v="11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IDANSAMA"/>
    <x v="276"/>
    <x v="0"/>
    <s v="P4"/>
    <n v="4"/>
    <n v="24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IMTILO"/>
    <x v="277"/>
    <x v="0"/>
    <s v="P2"/>
    <n v="5"/>
    <n v="2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JIMTILO"/>
    <x v="277"/>
    <x v="0"/>
    <s v="P3"/>
    <n v="3"/>
    <n v="2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JIMTILO"/>
    <x v="277"/>
    <x v="0"/>
    <s v="P5"/>
    <n v="1"/>
    <n v="4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DOLE-AFADE"/>
    <x v="278"/>
    <x v="0"/>
    <s v="P3"/>
    <n v="5"/>
    <n v="4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LE-NAGA"/>
    <x v="279"/>
    <x v="0"/>
    <s v="P3"/>
    <n v="13"/>
    <n v="77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DONGOLO"/>
    <x v="280"/>
    <x v="0"/>
    <s v="P2"/>
    <n v="12"/>
    <n v="6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ONGOLO"/>
    <x v="280"/>
    <x v="0"/>
    <s v="P3"/>
    <n v="3"/>
    <n v="1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ONGOLO"/>
    <x v="280"/>
    <x v="0"/>
    <s v="P4"/>
    <n v="2"/>
    <n v="1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OROROYA 1"/>
    <x v="281"/>
    <x v="0"/>
    <s v="P3"/>
    <n v="6"/>
    <n v="37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OROROYA 1"/>
    <x v="281"/>
    <x v="0"/>
    <s v="P4"/>
    <n v="23"/>
    <n v="11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OUBABEL GOSS"/>
    <x v="282"/>
    <x v="0"/>
    <s v="P3"/>
    <n v="33"/>
    <n v="102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UGMO"/>
    <x v="283"/>
    <x v="0"/>
    <s v="P3"/>
    <n v="5"/>
    <n v="52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UGMO"/>
    <x v="283"/>
    <x v="0"/>
    <s v="P4"/>
    <n v="2"/>
    <n v="11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UGOUM"/>
    <x v="284"/>
    <x v="0"/>
    <s v="P3"/>
    <n v="2"/>
    <n v="1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UGOUMMANGO"/>
    <x v="285"/>
    <x v="0"/>
    <s v="P3"/>
    <n v="6"/>
    <n v="6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UGOUMMANGO"/>
    <x v="285"/>
    <x v="0"/>
    <s v="P4"/>
    <n v="9"/>
    <n v="69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FADJE"/>
    <x v="286"/>
    <x v="0"/>
    <s v="P3"/>
    <n v="2"/>
    <n v="1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FADJE"/>
    <x v="286"/>
    <x v="0"/>
    <s v="P4"/>
    <n v="9"/>
    <n v="5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FADJE ADOUM"/>
    <x v="287"/>
    <x v="0"/>
    <s v="P5"/>
    <n v="13"/>
    <n v="85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FARCH 1"/>
    <x v="288"/>
    <x v="0"/>
    <s v="P3"/>
    <n v="6"/>
    <n v="3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FARCH 2"/>
    <x v="289"/>
    <x v="0"/>
    <s v="P3"/>
    <n v="7"/>
    <n v="26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FARFARA 1"/>
    <x v="290"/>
    <x v="0"/>
    <s v="P3"/>
    <n v="5"/>
    <n v="3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FARFARA 1"/>
    <x v="290"/>
    <x v="0"/>
    <s v="P5"/>
    <n v="3"/>
    <n v="1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ALE-GALE"/>
    <x v="291"/>
    <x v="0"/>
    <s v="P3"/>
    <n v="6"/>
    <n v="51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AMBAROU"/>
    <x v="292"/>
    <x v="0"/>
    <s v="P3"/>
    <n v="4"/>
    <n v="1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GAMBAROU"/>
    <x v="292"/>
    <x v="0"/>
    <s v="P4"/>
    <n v="2"/>
    <n v="14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GAMBAROU"/>
    <x v="292"/>
    <x v="0"/>
    <s v="P5"/>
    <n v="2"/>
    <n v="15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GAWAWA"/>
    <x v="293"/>
    <x v="0"/>
    <s v="P5"/>
    <n v="35"/>
    <n v="17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GLAO"/>
    <x v="294"/>
    <x v="0"/>
    <s v="P2"/>
    <n v="1"/>
    <n v="7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GLAO AFADE"/>
    <x v="295"/>
    <x v="0"/>
    <s v="P3"/>
    <n v="36"/>
    <n v="298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LAO BARDAI"/>
    <x v="296"/>
    <x v="0"/>
    <s v="P4"/>
    <n v="7"/>
    <n v="6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LESSALAO"/>
    <x v="297"/>
    <x v="0"/>
    <s v="P3"/>
    <n v="10"/>
    <n v="5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LESSALAO"/>
    <x v="297"/>
    <x v="0"/>
    <s v="P4"/>
    <n v="3"/>
    <n v="1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LALA"/>
    <x v="298"/>
    <x v="0"/>
    <s v="P3"/>
    <n v="5"/>
    <n v="42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LALA"/>
    <x v="298"/>
    <x v="0"/>
    <s v="P4"/>
    <n v="11"/>
    <n v="59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LALA"/>
    <x v="298"/>
    <x v="0"/>
    <s v="P5"/>
    <n v="18"/>
    <n v="101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LGOLO"/>
    <x v="299"/>
    <x v="0"/>
    <s v="P5"/>
    <n v="9"/>
    <n v="27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GOUBAGO"/>
    <x v="300"/>
    <x v="0"/>
    <s v="P4"/>
    <n v="4"/>
    <n v="43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ULOUMBO"/>
    <x v="301"/>
    <x v="0"/>
    <s v="P3"/>
    <n v="11"/>
    <n v="94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URGOURA"/>
    <x v="302"/>
    <x v="0"/>
    <s v="P3"/>
    <n v="1"/>
    <n v="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GOURLE 2"/>
    <x v="303"/>
    <x v="0"/>
    <s v="P3"/>
    <n v="4"/>
    <n v="36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RELIE"/>
    <x v="304"/>
    <x v="0"/>
    <s v="P4"/>
    <n v="13"/>
    <n v="111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UEILALA"/>
    <x v="305"/>
    <x v="0"/>
    <s v="P3"/>
    <n v="8"/>
    <n v="7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HABOBA"/>
    <x v="306"/>
    <x v="0"/>
    <s v="P5"/>
    <n v="10"/>
    <n v="57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HADAMARI"/>
    <x v="307"/>
    <x v="0"/>
    <s v="P3"/>
    <n v="2"/>
    <n v="7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HADAMARI"/>
    <x v="307"/>
    <x v="0"/>
    <s v="P4"/>
    <n v="2"/>
    <n v="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HELISNA"/>
    <x v="308"/>
    <x v="0"/>
    <s v="P5"/>
    <n v="7"/>
    <n v="6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EREDIBE"/>
    <x v="309"/>
    <x v="0"/>
    <s v="P3"/>
    <n v="7"/>
    <n v="49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EREDIBE"/>
    <x v="309"/>
    <x v="0"/>
    <s v="P4"/>
    <n v="12"/>
    <n v="119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EREDIBE MOUSSA"/>
    <x v="310"/>
    <x v="0"/>
    <s v="P5"/>
    <n v="5"/>
    <n v="43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ISSAINIE"/>
    <x v="311"/>
    <x v="0"/>
    <s v="P3"/>
    <n v="6"/>
    <n v="2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HISSAINIE"/>
    <x v="311"/>
    <x v="0"/>
    <s v="P4"/>
    <n v="4"/>
    <n v="12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HOURAHOURI"/>
    <x v="312"/>
    <x v="0"/>
    <s v="P4"/>
    <n v="6"/>
    <n v="41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OURAHOURI"/>
    <x v="312"/>
    <x v="0"/>
    <s v="P5"/>
    <n v="5"/>
    <n v="38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OURAHOURI"/>
    <x v="312"/>
    <x v="0"/>
    <s v="P6"/>
    <n v="3"/>
    <n v="2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AOSSE"/>
    <x v="313"/>
    <x v="0"/>
    <s v="P2"/>
    <n v="4"/>
    <n v="26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AOSSE"/>
    <x v="313"/>
    <x v="0"/>
    <s v="P3"/>
    <n v="6"/>
    <n v="3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ARTCHE"/>
    <x v="314"/>
    <x v="0"/>
    <s v="P3"/>
    <n v="3"/>
    <n v="2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ASIBE"/>
    <x v="315"/>
    <x v="0"/>
    <s v="P2"/>
    <n v="23"/>
    <n v="77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ESAWA"/>
    <x v="316"/>
    <x v="0"/>
    <s v="P3"/>
    <n v="18"/>
    <n v="153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ESAWA"/>
    <x v="316"/>
    <x v="0"/>
    <s v="P4"/>
    <n v="4"/>
    <n v="34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ESSAWA"/>
    <x v="317"/>
    <x v="0"/>
    <s v="P2"/>
    <n v="32"/>
    <n v="272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ESSAWA"/>
    <x v="317"/>
    <x v="0"/>
    <s v="P3"/>
    <n v="43"/>
    <n v="366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ESSAWA"/>
    <x v="317"/>
    <x v="0"/>
    <s v="P4"/>
    <n v="63"/>
    <n v="536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OKIO 1"/>
    <x v="318"/>
    <x v="0"/>
    <s v="P3"/>
    <n v="8"/>
    <n v="43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OKIO 1"/>
    <x v="318"/>
    <x v="0"/>
    <s v="P4"/>
    <n v="11"/>
    <n v="56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OKIO 2"/>
    <x v="319"/>
    <x v="0"/>
    <s v="P3"/>
    <n v="11"/>
    <n v="4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OKIO 2"/>
    <x v="319"/>
    <x v="0"/>
    <s v="P4"/>
    <n v="15"/>
    <n v="5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OUMBOULA"/>
    <x v="320"/>
    <x v="0"/>
    <s v="P3"/>
    <n v="13"/>
    <n v="111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RENACK"/>
    <x v="321"/>
    <x v="0"/>
    <s v="P2"/>
    <n v="5"/>
    <n v="2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RENAK"/>
    <x v="322"/>
    <x v="0"/>
    <s v="P3"/>
    <n v="10"/>
    <n v="56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RENAK"/>
    <x v="322"/>
    <x v="0"/>
    <s v="P4"/>
    <n v="5"/>
    <n v="36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LAFIA-ARABE"/>
    <x v="323"/>
    <x v="0"/>
    <s v="P3"/>
    <n v="4"/>
    <n v="10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LAFIA-ARABE"/>
    <x v="323"/>
    <x v="0"/>
    <s v="P4"/>
    <n v="8"/>
    <n v="61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ADA"/>
    <x v="324"/>
    <x v="0"/>
    <s v="P3"/>
    <n v="82"/>
    <n v="30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DA"/>
    <x v="324"/>
    <x v="0"/>
    <s v="P4"/>
    <n v="103"/>
    <n v="420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MADA"/>
    <x v="324"/>
    <x v="0"/>
    <s v="P5"/>
    <n v="15"/>
    <n v="75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ADINA 1"/>
    <x v="325"/>
    <x v="0"/>
    <s v="P2"/>
    <n v="5"/>
    <n v="2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DINA 2"/>
    <x v="326"/>
    <x v="0"/>
    <s v="P2"/>
    <n v="6"/>
    <n v="27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FANDE"/>
    <x v="327"/>
    <x v="0"/>
    <s v="P2"/>
    <n v="3"/>
    <n v="1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FANDE"/>
    <x v="327"/>
    <x v="0"/>
    <s v="P3"/>
    <n v="5"/>
    <n v="3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FANDE"/>
    <x v="327"/>
    <x v="0"/>
    <s v="P4"/>
    <n v="2"/>
    <n v="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KARY"/>
    <x v="328"/>
    <x v="0"/>
    <s v="P3"/>
    <n v="879"/>
    <n v="373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KARY"/>
    <x v="328"/>
    <x v="0"/>
    <s v="P4"/>
    <n v="1000"/>
    <n v="5539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KARY"/>
    <x v="328"/>
    <x v="0"/>
    <s v="P5"/>
    <n v="187"/>
    <n v="95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LADI"/>
    <x v="329"/>
    <x v="0"/>
    <s v="P3"/>
    <n v="14"/>
    <n v="72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LADI"/>
    <x v="329"/>
    <x v="0"/>
    <s v="P4"/>
    <n v="16"/>
    <n v="9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LIE"/>
    <x v="330"/>
    <x v="0"/>
    <s v="P3"/>
    <n v="12"/>
    <n v="5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LTAM"/>
    <x v="331"/>
    <x v="0"/>
    <s v="P3"/>
    <n v="49"/>
    <n v="25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NAWADJI"/>
    <x v="332"/>
    <x v="0"/>
    <s v="P2"/>
    <n v="9"/>
    <n v="100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ANAWADJI"/>
    <x v="332"/>
    <x v="0"/>
    <s v="P4"/>
    <n v="6"/>
    <n v="23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ANAWADJI"/>
    <x v="332"/>
    <x v="0"/>
    <s v="P5"/>
    <n v="12"/>
    <n v="70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ANDA 1"/>
    <x v="333"/>
    <x v="0"/>
    <s v="P2"/>
    <n v="10"/>
    <n v="72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ARGUI"/>
    <x v="334"/>
    <x v="0"/>
    <s v="P2"/>
    <n v="3"/>
    <n v="37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ARGUI"/>
    <x v="334"/>
    <x v="0"/>
    <s v="P3"/>
    <n v="2"/>
    <n v="22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MASSIO"/>
    <x v="335"/>
    <x v="0"/>
    <s v="P3"/>
    <n v="6"/>
    <n v="32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SSIO"/>
    <x v="335"/>
    <x v="0"/>
    <s v="P4"/>
    <n v="21"/>
    <n v="192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SSIO"/>
    <x v="335"/>
    <x v="0"/>
    <s v="P5"/>
    <n v="20"/>
    <n v="21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BEE"/>
    <x v="336"/>
    <x v="0"/>
    <s v="P4"/>
    <n v="24"/>
    <n v="15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EDINA 3"/>
    <x v="337"/>
    <x v="0"/>
    <s v="P3"/>
    <n v="5"/>
    <n v="36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EDINA 3"/>
    <x v="337"/>
    <x v="0"/>
    <s v="P4"/>
    <n v="3"/>
    <n v="14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EITO"/>
    <x v="338"/>
    <x v="0"/>
    <s v="P3"/>
    <n v="7"/>
    <n v="46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ELEKI"/>
    <x v="339"/>
    <x v="0"/>
    <s v="P5"/>
    <n v="25"/>
    <n v="10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ERAHA"/>
    <x v="340"/>
    <x v="0"/>
    <s v="P5"/>
    <n v="49"/>
    <n v="19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ESSIO"/>
    <x v="341"/>
    <x v="0"/>
    <s v="P2"/>
    <n v="10"/>
    <n v="5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ESSIO"/>
    <x v="341"/>
    <x v="0"/>
    <s v="P5"/>
    <n v="4"/>
    <n v="25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FLEI"/>
    <x v="342"/>
    <x v="0"/>
    <s v="P5"/>
    <n v="3"/>
    <n v="1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ICHKIDIN"/>
    <x v="343"/>
    <x v="0"/>
    <s v="P3"/>
    <n v="2"/>
    <n v="2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ICHKIDIN"/>
    <x v="343"/>
    <x v="0"/>
    <s v="P4"/>
    <n v="82"/>
    <n v="107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ICHKIDIN"/>
    <x v="343"/>
    <x v="0"/>
    <s v="P5"/>
    <n v="39"/>
    <n v="332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INA"/>
    <x v="344"/>
    <x v="0"/>
    <s v="P5"/>
    <n v="3"/>
    <n v="21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IREMIE"/>
    <x v="345"/>
    <x v="0"/>
    <s v="P5"/>
    <n v="16"/>
    <n v="8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ISKA-AFADE"/>
    <x v="346"/>
    <x v="0"/>
    <s v="P3"/>
    <n v="8"/>
    <n v="4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ISKA-AFADE"/>
    <x v="346"/>
    <x v="0"/>
    <s v="P4"/>
    <n v="4"/>
    <n v="23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ODEGOUA"/>
    <x v="347"/>
    <x v="0"/>
    <s v="P3"/>
    <n v="7"/>
    <n v="68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ODEGOUA"/>
    <x v="347"/>
    <x v="0"/>
    <s v="P5"/>
    <n v="9"/>
    <n v="45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OGNOKO"/>
    <x v="348"/>
    <x v="0"/>
    <s v="P5"/>
    <n v="20"/>
    <n v="17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OUGRAN"/>
    <x v="349"/>
    <x v="0"/>
    <s v="P5"/>
    <n v="6"/>
    <n v="3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AÏRA"/>
    <x v="350"/>
    <x v="0"/>
    <s v="P2"/>
    <n v="7"/>
    <n v="5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ANAMI"/>
    <x v="351"/>
    <x v="0"/>
    <s v="P2"/>
    <n v="6"/>
    <n v="3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AGA"/>
    <x v="352"/>
    <x v="0"/>
    <s v="P4"/>
    <n v="7"/>
    <n v="56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DAGALGUI"/>
    <x v="353"/>
    <x v="0"/>
    <s v="P2"/>
    <n v="6"/>
    <n v="3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AGALGUI"/>
    <x v="353"/>
    <x v="0"/>
    <s v="P3"/>
    <n v="7"/>
    <n v="3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AGALGUI"/>
    <x v="353"/>
    <x v="0"/>
    <s v="P5"/>
    <n v="7"/>
    <n v="3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ARKA"/>
    <x v="354"/>
    <x v="0"/>
    <s v="P4"/>
    <n v="4"/>
    <n v="34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ARKA"/>
    <x v="354"/>
    <x v="0"/>
    <s v="P5"/>
    <n v="4"/>
    <n v="34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DEGO 1"/>
    <x v="355"/>
    <x v="0"/>
    <s v="P3"/>
    <n v="8"/>
    <n v="4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EGO 1"/>
    <x v="355"/>
    <x v="0"/>
    <s v="P5"/>
    <n v="6"/>
    <n v="33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EGO 3"/>
    <x v="356"/>
    <x v="0"/>
    <s v="P2"/>
    <n v="7"/>
    <n v="30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DEGO 3"/>
    <x v="356"/>
    <x v="0"/>
    <s v="P5"/>
    <n v="7"/>
    <n v="28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DEGO 4"/>
    <x v="357"/>
    <x v="0"/>
    <s v="P2"/>
    <n v="11"/>
    <n v="7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EGO 4"/>
    <x v="357"/>
    <x v="0"/>
    <s v="P5"/>
    <n v="14"/>
    <n v="56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IGUINI"/>
    <x v="358"/>
    <x v="0"/>
    <s v="P2"/>
    <n v="11"/>
    <n v="64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DIGUINI"/>
    <x v="358"/>
    <x v="0"/>
    <s v="P3"/>
    <n v="4"/>
    <n v="2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DIGUINI"/>
    <x v="358"/>
    <x v="0"/>
    <s v="P4"/>
    <n v="8"/>
    <n v="68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DJAMENA 3"/>
    <x v="359"/>
    <x v="0"/>
    <s v="P5"/>
    <n v="18"/>
    <n v="9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DODOHE KALIA"/>
    <x v="360"/>
    <x v="0"/>
    <s v="P3"/>
    <n v="3"/>
    <n v="17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ODOHE KALIA"/>
    <x v="360"/>
    <x v="0"/>
    <s v="P4"/>
    <n v="2"/>
    <n v="13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ODOHE KALIA"/>
    <x v="360"/>
    <x v="0"/>
    <s v="P5"/>
    <n v="1"/>
    <n v="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ODOHE YOUSSOUF"/>
    <x v="361"/>
    <x v="0"/>
    <s v="P3"/>
    <n v="7"/>
    <n v="4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ODOHE YOUSSOUF"/>
    <x v="361"/>
    <x v="0"/>
    <s v="P4"/>
    <n v="8"/>
    <n v="32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ODOHE YOUSSOUF"/>
    <x v="361"/>
    <x v="0"/>
    <s v="P5"/>
    <n v="3"/>
    <n v="15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OLOHE ARABE"/>
    <x v="362"/>
    <x v="0"/>
    <s v="P3"/>
    <n v="11"/>
    <n v="61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DOLOHE ARABE"/>
    <x v="362"/>
    <x v="0"/>
    <s v="P4"/>
    <n v="9"/>
    <n v="46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IWA"/>
    <x v="363"/>
    <x v="0"/>
    <s v="P4"/>
    <n v="3"/>
    <n v="16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GAIWA"/>
    <x v="363"/>
    <x v="0"/>
    <s v="P5"/>
    <n v="4"/>
    <n v="21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GAME"/>
    <x v="364"/>
    <x v="0"/>
    <s v="P5"/>
    <n v="6"/>
    <n v="32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RDOUGOUM"/>
    <x v="365"/>
    <x v="0"/>
    <s v="P2"/>
    <n v="27"/>
    <n v="23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RDOUGOUM"/>
    <x v="365"/>
    <x v="0"/>
    <s v="P3"/>
    <n v="5"/>
    <n v="43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RDOUGOUM"/>
    <x v="365"/>
    <x v="0"/>
    <s v="P5"/>
    <n v="8"/>
    <n v="6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RDOUKOUM 2"/>
    <x v="366"/>
    <x v="0"/>
    <s v="P3"/>
    <n v="7"/>
    <n v="38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RTCHANO 1"/>
    <x v="367"/>
    <x v="0"/>
    <s v="P3"/>
    <n v="4"/>
    <n v="34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LEME"/>
    <x v="368"/>
    <x v="0"/>
    <s v="P3"/>
    <n v="15"/>
    <n v="12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LEME"/>
    <x v="368"/>
    <x v="0"/>
    <s v="P4"/>
    <n v="4"/>
    <n v="51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NFLA 2"/>
    <x v="369"/>
    <x v="0"/>
    <s v="P2"/>
    <n v="6"/>
    <n v="3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NFLA 2"/>
    <x v="369"/>
    <x v="0"/>
    <s v="P3"/>
    <n v="1"/>
    <n v="6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RTCHOLO"/>
    <x v="370"/>
    <x v="0"/>
    <s v="P4"/>
    <n v="8"/>
    <n v="6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RTCHOLO"/>
    <x v="370"/>
    <x v="0"/>
    <s v="P5"/>
    <n v="6"/>
    <n v="3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MA"/>
    <x v="371"/>
    <x v="0"/>
    <s v="P2"/>
    <n v="22"/>
    <n v="161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GOUMA"/>
    <x v="371"/>
    <x v="0"/>
    <s v="P3"/>
    <n v="68"/>
    <n v="448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GOUMA"/>
    <x v="371"/>
    <x v="0"/>
    <s v="P4"/>
    <n v="6"/>
    <n v="21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GOUMA"/>
    <x v="371"/>
    <x v="0"/>
    <s v="P5"/>
    <n v="137"/>
    <n v="44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GOUNG"/>
    <x v="372"/>
    <x v="0"/>
    <s v="P3"/>
    <n v="10"/>
    <n v="85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1"/>
    <s v="CMR004002"/>
    <x v="12"/>
    <s v="CMR004002009"/>
    <s v="NGOUNG"/>
    <x v="372"/>
    <x v="0"/>
    <s v="P4"/>
    <n v="2"/>
    <n v="24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1"/>
    <s v="CMR004002"/>
    <x v="12"/>
    <s v="CMR004002009"/>
    <s v="NGOURNOU"/>
    <x v="373"/>
    <x v="0"/>
    <s v="P3"/>
    <n v="10"/>
    <n v="7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RNOU"/>
    <x v="373"/>
    <x v="0"/>
    <s v="P4"/>
    <n v="82"/>
    <n v="68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RNOU"/>
    <x v="373"/>
    <x v="0"/>
    <s v="P5"/>
    <n v="38"/>
    <n v="323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SSIRE"/>
    <x v="374"/>
    <x v="0"/>
    <s v="P5"/>
    <n v="4"/>
    <n v="24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T"/>
    <x v="375"/>
    <x v="0"/>
    <s v="P4"/>
    <n v="6"/>
    <n v="3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T"/>
    <x v="375"/>
    <x v="0"/>
    <s v="P5"/>
    <n v="8"/>
    <n v="4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T"/>
    <x v="375"/>
    <x v="0"/>
    <s v="P6"/>
    <n v="3"/>
    <n v="13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REE 1"/>
    <x v="376"/>
    <x v="0"/>
    <s v="P3"/>
    <n v="28"/>
    <n v="86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2"/>
    <s v="CMR004002009"/>
    <s v="NGREE 1"/>
    <x v="376"/>
    <x v="0"/>
    <s v="P5"/>
    <n v="2"/>
    <n v="14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2"/>
    <s v="CMR004002009"/>
    <s v="NGREE 2"/>
    <x v="377"/>
    <x v="0"/>
    <s v="P3"/>
    <n v="4"/>
    <n v="49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2"/>
    <s v="CMR004002009"/>
    <s v="NGREE 2"/>
    <x v="377"/>
    <x v="0"/>
    <s v="P4"/>
    <n v="2"/>
    <n v="17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2"/>
    <s v="CMR004002009"/>
    <s v="NGREE 2"/>
    <x v="377"/>
    <x v="0"/>
    <s v="P5"/>
    <n v="12"/>
    <n v="39"/>
    <x v="0"/>
    <s v=""/>
    <s v="autre_arrondissement"/>
    <s v="CMR"/>
    <x v="0"/>
    <s v="CMR004"/>
    <s v="Extrême-Nord"/>
    <s v="CMR004002"/>
    <s v="Logone-Et-Chari"/>
    <s v="CMR004002004"/>
    <s v="Logone-Birni"/>
  </r>
  <r>
    <s v="Extrême-Nord"/>
    <s v="CMR004"/>
    <x v="1"/>
    <s v="CMR004002"/>
    <x v="12"/>
    <s v="CMR004002009"/>
    <s v="RINGUE"/>
    <x v="378"/>
    <x v="0"/>
    <s v="P2"/>
    <n v="8"/>
    <n v="29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RINGUE"/>
    <x v="378"/>
    <x v="0"/>
    <s v="P3"/>
    <n v="3"/>
    <n v="11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SERO 1"/>
    <x v="379"/>
    <x v="0"/>
    <s v="P3"/>
    <n v="26"/>
    <n v="179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SERO 1"/>
    <x v="379"/>
    <x v="0"/>
    <s v="P5"/>
    <n v="8"/>
    <n v="39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SOULFA"/>
    <x v="380"/>
    <x v="0"/>
    <s v="P2"/>
    <n v="5"/>
    <n v="3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SOULFA"/>
    <x v="380"/>
    <x v="0"/>
    <s v="P3"/>
    <n v="4"/>
    <n v="2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SOULFA"/>
    <x v="380"/>
    <x v="0"/>
    <s v="P4"/>
    <n v="8"/>
    <n v="3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SOULFA"/>
    <x v="380"/>
    <x v="0"/>
    <s v="P5"/>
    <n v="2"/>
    <n v="2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SOUNGOURA 1"/>
    <x v="381"/>
    <x v="0"/>
    <s v="P4"/>
    <n v="8"/>
    <n v="68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SOUNGOURA 1"/>
    <x v="381"/>
    <x v="0"/>
    <s v="P5"/>
    <n v="8"/>
    <n v="43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SOURDJIE"/>
    <x v="382"/>
    <x v="0"/>
    <s v="P5"/>
    <n v="35"/>
    <n v="13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CHABOUTE"/>
    <x v="383"/>
    <x v="0"/>
    <s v="P3"/>
    <n v="7"/>
    <n v="41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CAMP"/>
    <x v="384"/>
    <x v="0"/>
    <s v="P3"/>
    <n v="80"/>
    <n v="37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CAMP"/>
    <x v="384"/>
    <x v="0"/>
    <s v="P4"/>
    <n v="8"/>
    <n v="43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CAMP"/>
    <x v="384"/>
    <x v="0"/>
    <s v="P5"/>
    <n v="7"/>
    <n v="48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ECOLE"/>
    <x v="385"/>
    <x v="0"/>
    <s v="P3"/>
    <n v="23"/>
    <n v="256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ECOLE"/>
    <x v="385"/>
    <x v="0"/>
    <s v="P4"/>
    <n v="19"/>
    <n v="123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ECOLE"/>
    <x v="385"/>
    <x v="0"/>
    <s v="P5"/>
    <n v="8"/>
    <n v="39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ECOLE"/>
    <x v="385"/>
    <x v="0"/>
    <s v="P6"/>
    <n v="11"/>
    <n v="4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PONT"/>
    <x v="386"/>
    <x v="0"/>
    <s v="P2"/>
    <n v="16"/>
    <n v="26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PONT"/>
    <x v="386"/>
    <x v="0"/>
    <s v="P3"/>
    <n v="4"/>
    <n v="59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PONT"/>
    <x v="386"/>
    <x v="0"/>
    <s v="P4"/>
    <n v="7"/>
    <n v="86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PONT"/>
    <x v="386"/>
    <x v="0"/>
    <s v="P5"/>
    <n v="32"/>
    <n v="97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REBOULO 1"/>
    <x v="387"/>
    <x v="0"/>
    <s v="P5"/>
    <n v="32"/>
    <n v="160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REBOULO 2"/>
    <x v="388"/>
    <x v="0"/>
    <s v="P5"/>
    <n v="36"/>
    <n v="100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WACHAMO"/>
    <x v="389"/>
    <x v="0"/>
    <s v="P3"/>
    <n v="13"/>
    <n v="73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WACHAMO"/>
    <x v="389"/>
    <x v="0"/>
    <s v="P4"/>
    <n v="1"/>
    <n v="7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WACHAMO"/>
    <x v="389"/>
    <x v="0"/>
    <s v="P5"/>
    <n v="9"/>
    <n v="54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WERENGOULMO"/>
    <x v="390"/>
    <x v="0"/>
    <s v="P3"/>
    <n v="25"/>
    <n v="213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WOSSO"/>
    <x v="391"/>
    <x v="0"/>
    <s v="P2"/>
    <n v="4"/>
    <n v="28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WOSSO"/>
    <x v="391"/>
    <x v="0"/>
    <s v="P3"/>
    <n v="5"/>
    <n v="25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WOSSO"/>
    <x v="391"/>
    <x v="0"/>
    <s v="P4"/>
    <n v="4"/>
    <n v="22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WOULKI"/>
    <x v="392"/>
    <x v="0"/>
    <s v="P3"/>
    <n v="7"/>
    <n v="6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WOULKIOKALE"/>
    <x v="393"/>
    <x v="0"/>
    <s v="P3"/>
    <n v="15"/>
    <n v="91"/>
    <x v="0"/>
    <s v=""/>
    <s v="meme_arrondissement"/>
    <s v="CMR"/>
    <x v="0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ZAMAN"/>
    <x v="394"/>
    <x v="0"/>
    <s v="P3"/>
    <n v="7"/>
    <n v="30"/>
    <x v="0"/>
    <s v=""/>
    <s v="autre_arrondissement"/>
    <s v="CMR"/>
    <x v="0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ZAMAN"/>
    <x v="394"/>
    <x v="0"/>
    <s v="P4"/>
    <n v="3"/>
    <n v="6"/>
    <x v="0"/>
    <s v=""/>
    <s v="autre_arrondissement"/>
    <s v="CMR"/>
    <x v="0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ZAMAN"/>
    <x v="394"/>
    <x v="0"/>
    <s v="P5"/>
    <n v="2"/>
    <n v="12"/>
    <x v="0"/>
    <s v=""/>
    <s v="autre_arrondissement"/>
    <s v="CMR"/>
    <x v="0"/>
    <s v="CMR004"/>
    <s v="Extrême-Nord"/>
    <s v="CMR004002"/>
    <s v="Logone-Et-Chari"/>
    <s v="CMR004002010"/>
    <s v="Hile-Alifa"/>
  </r>
  <r>
    <s v="Extrême-Nord"/>
    <s v="CMR004"/>
    <x v="1"/>
    <s v="CMR004002"/>
    <x v="13"/>
    <s v="CMR004002001"/>
    <s v="ARDEBE"/>
    <x v="395"/>
    <x v="0"/>
    <s v="P2"/>
    <n v="5"/>
    <n v="20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DJINGUI"/>
    <x v="396"/>
    <x v="0"/>
    <s v="P6"/>
    <n v="37"/>
    <n v="310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GOZOLNANE"/>
    <x v="397"/>
    <x v="0"/>
    <s v="P4"/>
    <n v="6"/>
    <n v="20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KABE 2"/>
    <x v="398"/>
    <x v="0"/>
    <s v="P3"/>
    <n v="4"/>
    <n v="13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KABE 2"/>
    <x v="398"/>
    <x v="0"/>
    <s v="P4"/>
    <n v="6"/>
    <n v="31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MATKOUNA 1"/>
    <x v="399"/>
    <x v="0"/>
    <s v="P3"/>
    <n v="7"/>
    <n v="87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1"/>
    <x v="400"/>
    <x v="0"/>
    <s v="P3"/>
    <n v="3"/>
    <n v="16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2"/>
    <x v="401"/>
    <x v="0"/>
    <s v="P2"/>
    <n v="5"/>
    <n v="36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3"/>
    <x v="402"/>
    <x v="0"/>
    <s v="P3"/>
    <n v="12"/>
    <n v="90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4"/>
    <x v="403"/>
    <x v="0"/>
    <s v="P2"/>
    <n v="2"/>
    <n v="17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4"/>
    <x v="403"/>
    <x v="0"/>
    <s v="P3"/>
    <n v="9"/>
    <n v="49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4"/>
    <x v="403"/>
    <x v="0"/>
    <s v="P5"/>
    <n v="1"/>
    <n v="2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OUNGA"/>
    <x v="404"/>
    <x v="0"/>
    <s v="P3"/>
    <n v="3"/>
    <n v="16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WAZA"/>
    <x v="405"/>
    <x v="0"/>
    <s v="P3"/>
    <n v="97"/>
    <n v="490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WAZA"/>
    <x v="405"/>
    <x v="0"/>
    <s v="P4"/>
    <n v="138"/>
    <n v="725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WAZA"/>
    <x v="405"/>
    <x v="0"/>
    <s v="P5"/>
    <n v="183"/>
    <n v="936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WERA"/>
    <x v="406"/>
    <x v="0"/>
    <s v="P6"/>
    <n v="58"/>
    <n v="483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ZIGAGUE"/>
    <x v="407"/>
    <x v="0"/>
    <s v="P2"/>
    <n v="21"/>
    <n v="122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ZIGAGUE"/>
    <x v="407"/>
    <x v="0"/>
    <s v="P3"/>
    <n v="22"/>
    <n v="124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ZIGAGUE"/>
    <x v="407"/>
    <x v="0"/>
    <s v="P4"/>
    <n v="14"/>
    <n v="92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ZOLZALE"/>
    <x v="408"/>
    <x v="0"/>
    <s v="P5"/>
    <n v="3"/>
    <n v="29"/>
    <x v="0"/>
    <s v=""/>
    <s v="meme_arrondissement"/>
    <s v="CMR"/>
    <x v="0"/>
    <s v="CMR004"/>
    <s v="Extrême-Nord"/>
    <s v="CMR004002"/>
    <s v="Logone-Et-Chari"/>
    <s v="CMR004002001"/>
    <s v="Waza"/>
  </r>
  <r>
    <s v="Extrême-Nord"/>
    <s v="CMR004"/>
    <x v="1"/>
    <s v="CMR004002"/>
    <x v="14"/>
    <s v="CMR004002005"/>
    <s v="ALVAKAI"/>
    <x v="409"/>
    <x v="0"/>
    <s v="P4"/>
    <n v="33"/>
    <n v="171"/>
    <x v="1"/>
    <s v=""/>
    <s v="meme_arrondissement"/>
    <s v="CMR"/>
    <x v="0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ARAINABA"/>
    <x v="410"/>
    <x v="0"/>
    <s v="P4"/>
    <n v="103"/>
    <n v="595"/>
    <x v="1"/>
    <s v=""/>
    <s v="meme_arrondissement"/>
    <s v="CMR"/>
    <x v="0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BALGUE 1"/>
    <x v="411"/>
    <x v="0"/>
    <s v="P4"/>
    <n v="41"/>
    <n v="208"/>
    <x v="1"/>
    <s v=""/>
    <s v="meme_arrondissement"/>
    <s v="CMR"/>
    <x v="0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GALA"/>
    <x v="412"/>
    <x v="0"/>
    <s v="P4"/>
    <n v="91"/>
    <n v="459"/>
    <x v="1"/>
    <s v=""/>
    <s v="meme_arrondissement"/>
    <s v="CMR"/>
    <x v="0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MALAZINA"/>
    <x v="413"/>
    <x v="0"/>
    <s v="P4"/>
    <n v="102"/>
    <n v="520"/>
    <x v="1"/>
    <s v=""/>
    <s v="meme_arrondissement"/>
    <s v="CMR"/>
    <x v="0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MANKA"/>
    <x v="414"/>
    <x v="0"/>
    <s v="P4"/>
    <n v="89"/>
    <n v="455"/>
    <x v="1"/>
    <s v=""/>
    <s v="meme_arrondissement"/>
    <s v="CMR"/>
    <x v="0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MARGOUE"/>
    <x v="415"/>
    <x v="0"/>
    <s v="P4"/>
    <n v="90"/>
    <n v="460"/>
    <x v="1"/>
    <s v=""/>
    <s v="meme_arrondissement"/>
    <s v="CMR"/>
    <x v="0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NGODENI"/>
    <x v="416"/>
    <x v="0"/>
    <s v="P4"/>
    <n v="99"/>
    <n v="505"/>
    <x v="1"/>
    <s v=""/>
    <s v="meme_arrondissement"/>
    <s v="CMR"/>
    <x v="0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PATMANGAI"/>
    <x v="417"/>
    <x v="0"/>
    <s v="P4"/>
    <n v="95"/>
    <n v="480"/>
    <x v="1"/>
    <s v=""/>
    <s v="meme_arrondissement"/>
    <s v="CMR"/>
    <x v="0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ZILIM 2"/>
    <x v="418"/>
    <x v="0"/>
    <s v="P4"/>
    <n v="72"/>
    <n v="389"/>
    <x v="1"/>
    <s v=""/>
    <s v="meme_arrondissement"/>
    <s v="CMR"/>
    <x v="0"/>
    <s v="CMR004"/>
    <s v="Extrême-Nord"/>
    <s v="CMR004002"/>
    <s v="Logone-Et-Chari"/>
    <s v="CMR004002005"/>
    <s v="Zina"/>
  </r>
  <r>
    <s v="Extrême-Nord"/>
    <s v="CMR004"/>
    <x v="2"/>
    <s v="CMR004003"/>
    <x v="15"/>
    <s v="CMR004003011"/>
    <s v="BASTEBE"/>
    <x v="419"/>
    <x v="0"/>
    <s v="P1"/>
    <n v="10"/>
    <n v="62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BASTEBE"/>
    <x v="419"/>
    <x v="0"/>
    <s v="P5"/>
    <n v="34"/>
    <n v="251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DABANA"/>
    <x v="420"/>
    <x v="0"/>
    <s v="P1"/>
    <n v="9"/>
    <n v="40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DABANA"/>
    <x v="420"/>
    <x v="0"/>
    <s v="P2"/>
    <n v="4"/>
    <n v="27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DABANA"/>
    <x v="420"/>
    <x v="0"/>
    <s v="P5"/>
    <n v="18"/>
    <n v="86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DJELME"/>
    <x v="421"/>
    <x v="0"/>
    <s v="P1"/>
    <n v="18"/>
    <n v="104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1"/>
    <x v="422"/>
    <x v="0"/>
    <s v="P1"/>
    <n v="18"/>
    <n v="112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1"/>
    <x v="422"/>
    <x v="0"/>
    <s v="P4"/>
    <n v="4"/>
    <n v="32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1"/>
    <x v="422"/>
    <x v="0"/>
    <s v="P5"/>
    <n v="15"/>
    <n v="52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2"/>
    <x v="423"/>
    <x v="0"/>
    <s v="P1"/>
    <n v="12"/>
    <n v="99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2"/>
    <x v="423"/>
    <x v="0"/>
    <s v="P2"/>
    <n v="8"/>
    <n v="29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2"/>
    <x v="423"/>
    <x v="0"/>
    <s v="P4"/>
    <n v="6"/>
    <n v="50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2"/>
    <x v="423"/>
    <x v="0"/>
    <s v="P5"/>
    <n v="25"/>
    <n v="146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MASSA IKA"/>
    <x v="424"/>
    <x v="0"/>
    <s v="P1"/>
    <n v="19"/>
    <n v="114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MASSA IKA"/>
    <x v="424"/>
    <x v="0"/>
    <s v="P4"/>
    <n v="5"/>
    <n v="38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MASSA IKA"/>
    <x v="424"/>
    <x v="0"/>
    <s v="P5"/>
    <n v="2"/>
    <n v="12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MASSA KOUTWERTA"/>
    <x v="425"/>
    <x v="0"/>
    <s v="P1"/>
    <n v="19"/>
    <n v="129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MASSA KOUTWERTA"/>
    <x v="425"/>
    <x v="0"/>
    <s v="P5"/>
    <n v="9"/>
    <n v="43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NAYEGUISSIA"/>
    <x v="426"/>
    <x v="0"/>
    <s v="P1"/>
    <n v="12"/>
    <n v="73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NAYEGUISSIA"/>
    <x v="426"/>
    <x v="0"/>
    <s v="P4"/>
    <n v="2"/>
    <n v="7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NAYEGUISSIA"/>
    <x v="426"/>
    <x v="0"/>
    <s v="P5"/>
    <n v="3"/>
    <n v="17"/>
    <x v="1"/>
    <s v=""/>
    <s v="meme_arrondissement"/>
    <s v="CMR"/>
    <x v="0"/>
    <s v="CMR004"/>
    <s v="Extrême-Nord"/>
    <s v="CMR004003"/>
    <s v="Mayo-Danay"/>
    <s v="CMR004003011"/>
    <s v="Gobo"/>
  </r>
  <r>
    <s v="Extrême-Nord"/>
    <s v="CMR004"/>
    <x v="2"/>
    <s v="CMR004003"/>
    <x v="16"/>
    <s v="CMR004003006"/>
    <s v="BANGALA"/>
    <x v="427"/>
    <x v="0"/>
    <s v="P1"/>
    <n v="35"/>
    <n v="280"/>
    <x v="1"/>
    <s v=""/>
    <s v="meme_arrondissement"/>
    <s v="CMR"/>
    <x v="0"/>
    <s v="CMR004"/>
    <s v="Extrême-Nord"/>
    <s v="CMR004003"/>
    <s v="Mayo-Danay"/>
    <s v="CMR004003006"/>
    <s v="Gueme"/>
  </r>
  <r>
    <s v="Extrême-Nord"/>
    <s v="CMR004"/>
    <x v="2"/>
    <s v="CMR004003"/>
    <x v="16"/>
    <s v="CMR004003006"/>
    <s v="GUEME"/>
    <x v="428"/>
    <x v="0"/>
    <s v="P1"/>
    <n v="40"/>
    <n v="420"/>
    <x v="1"/>
    <s v=""/>
    <s v="meme_arrondissement"/>
    <s v="CMR"/>
    <x v="0"/>
    <s v="CMR004"/>
    <s v="Extrême-Nord"/>
    <s v="CMR004003"/>
    <s v="Mayo-Danay"/>
    <s v="CMR004003006"/>
    <s v="Gueme"/>
  </r>
  <r>
    <s v="Extrême-Nord"/>
    <s v="CMR004"/>
    <x v="2"/>
    <s v="CMR004003"/>
    <x v="16"/>
    <s v="CMR004003006"/>
    <s v="KARTOUA"/>
    <x v="429"/>
    <x v="0"/>
    <s v="P1"/>
    <n v="50"/>
    <n v="320"/>
    <x v="1"/>
    <s v=""/>
    <s v="meme_arrondissement"/>
    <s v="CMR"/>
    <x v="0"/>
    <s v="CMR004"/>
    <s v="Extrême-Nord"/>
    <s v="CMR004003"/>
    <s v="Mayo-Danay"/>
    <s v="CMR004003006"/>
    <s v="Gueme"/>
  </r>
  <r>
    <s v="Extrême-Nord"/>
    <s v="CMR004"/>
    <x v="2"/>
    <s v="CMR004003"/>
    <x v="16"/>
    <s v="CMR004003006"/>
    <s v="KARTOUA"/>
    <x v="429"/>
    <x v="0"/>
    <s v="P3"/>
    <n v="6"/>
    <n v="50"/>
    <x v="1"/>
    <s v=""/>
    <s v="meme_arrondissement"/>
    <s v="CMR"/>
    <x v="0"/>
    <s v="CMR004"/>
    <s v="Extrême-Nord"/>
    <s v="CMR004003"/>
    <s v="Mayo-Danay"/>
    <s v="CMR004003006"/>
    <s v="Gueme"/>
  </r>
  <r>
    <s v="Extrême-Nord"/>
    <s v="CMR004"/>
    <x v="2"/>
    <s v="CMR004003"/>
    <x v="16"/>
    <s v="CMR004003006"/>
    <s v="VELE"/>
    <x v="430"/>
    <x v="0"/>
    <s v="P1"/>
    <n v="100"/>
    <n v="500"/>
    <x v="1"/>
    <s v=""/>
    <s v="meme_arrondissement"/>
    <s v="CMR"/>
    <x v="0"/>
    <s v="CMR004"/>
    <s v="Extrême-Nord"/>
    <s v="CMR004003"/>
    <s v="Mayo-Danay"/>
    <s v="CMR004003006"/>
    <s v="Gueme"/>
  </r>
  <r>
    <s v="Extrême-Nord"/>
    <s v="CMR004"/>
    <x v="2"/>
    <s v="CMR004003"/>
    <x v="16"/>
    <s v="CMR004003006"/>
    <s v="VOUNALOUM"/>
    <x v="431"/>
    <x v="0"/>
    <s v="P1"/>
    <n v="6"/>
    <n v="48"/>
    <x v="1"/>
    <s v=""/>
    <s v="meme_arrondissement"/>
    <s v="CMR"/>
    <x v="0"/>
    <s v="CMR004"/>
    <s v="Extrême-Nord"/>
    <s v="CMR004003"/>
    <s v="Mayo-Danay"/>
    <s v="CMR004003006"/>
    <s v="Gueme"/>
  </r>
  <r>
    <s v="Extrême-Nord"/>
    <s v="CMR004"/>
    <x v="2"/>
    <s v="CMR004003"/>
    <x v="17"/>
    <s v="CMR004003010"/>
    <s v="MOUKA"/>
    <x v="432"/>
    <x v="0"/>
    <s v="P1"/>
    <n v="7"/>
    <n v="33"/>
    <x v="1"/>
    <s v=""/>
    <s v="meme_arrondissement"/>
    <s v="CMR"/>
    <x v="0"/>
    <s v="CMR004"/>
    <s v="Extrême-Nord"/>
    <s v="CMR004003"/>
    <s v="Mayo-Danay"/>
    <s v="CMR004003010"/>
    <s v="Guere"/>
  </r>
  <r>
    <s v="Extrême-Nord"/>
    <s v="CMR004"/>
    <x v="2"/>
    <s v="CMR004003"/>
    <x v="18"/>
    <s v="CMR004003001"/>
    <s v="BARKAYA"/>
    <x v="433"/>
    <x v="0"/>
    <s v="P1"/>
    <n v="14"/>
    <n v="78"/>
    <x v="1"/>
    <s v=""/>
    <s v="meme_arrondissement"/>
    <s v="CMR"/>
    <x v="0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BARKAYA"/>
    <x v="433"/>
    <x v="0"/>
    <s v="P2"/>
    <n v="1"/>
    <n v="4"/>
    <x v="1"/>
    <s v=""/>
    <s v="meme_arrondissement"/>
    <s v="CMR"/>
    <x v="0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DOUGUOUI"/>
    <x v="434"/>
    <x v="0"/>
    <s v="P2"/>
    <n v="27"/>
    <n v="185"/>
    <x v="1"/>
    <s v=""/>
    <s v="meme_arrondissement"/>
    <s v="CMR"/>
    <x v="0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KAIKAI"/>
    <x v="435"/>
    <x v="0"/>
    <s v="P1"/>
    <n v="33"/>
    <n v="198"/>
    <x v="1"/>
    <s v=""/>
    <s v="meme_arrondissement"/>
    <s v="CMR"/>
    <x v="0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KAIKAI"/>
    <x v="435"/>
    <x v="0"/>
    <s v="P3"/>
    <n v="8"/>
    <n v="48"/>
    <x v="1"/>
    <s v=""/>
    <s v="meme_arrondissement"/>
    <s v="CMR"/>
    <x v="0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KAIKAI"/>
    <x v="435"/>
    <x v="0"/>
    <s v="P5"/>
    <n v="1"/>
    <n v="8"/>
    <x v="1"/>
    <s v=""/>
    <s v="meme_arrondissement"/>
    <s v="CMR"/>
    <x v="0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LOUGOYE KAMASSE"/>
    <x v="436"/>
    <x v="0"/>
    <s v="P1"/>
    <n v="2"/>
    <n v="15"/>
    <x v="1"/>
    <s v=""/>
    <s v="meme_arrondissement"/>
    <s v="CMR"/>
    <x v="0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MBOUKTANG"/>
    <x v="437"/>
    <x v="0"/>
    <s v="P1"/>
    <n v="6"/>
    <n v="38"/>
    <x v="1"/>
    <s v=""/>
    <s v="meme_arrondissement"/>
    <s v="CMR"/>
    <x v="0"/>
    <s v="CMR004"/>
    <s v="Extrême-Nord"/>
    <s v="CMR004003"/>
    <s v="Mayo-Danay"/>
    <s v="CMR004003001"/>
    <s v="Kai-Kai"/>
  </r>
  <r>
    <s v="Extrême-Nord"/>
    <s v="CMR004"/>
    <x v="2"/>
    <s v="CMR004003"/>
    <x v="19"/>
    <s v="CMR004003002"/>
    <s v="FARAOULOU"/>
    <x v="438"/>
    <x v="0"/>
    <s v="P1"/>
    <n v="36"/>
    <n v="190"/>
    <x v="1"/>
    <s v=""/>
    <s v="meme_arrondissement"/>
    <s v="CMR"/>
    <x v="0"/>
    <s v="CMR004"/>
    <s v="Extrême-Nord"/>
    <s v="CMR004003"/>
    <s v="Mayo-Danay"/>
    <s v="CMR004003002"/>
    <s v="Maga"/>
  </r>
  <r>
    <s v="Extrême-Nord"/>
    <s v="CMR004"/>
    <x v="2"/>
    <s v="CMR004003"/>
    <x v="19"/>
    <s v="CMR004003002"/>
    <s v="GAGRAI"/>
    <x v="439"/>
    <x v="0"/>
    <s v="P1"/>
    <n v="102"/>
    <n v="1528"/>
    <x v="1"/>
    <s v=""/>
    <s v="meme_arrondissement"/>
    <s v="CMR"/>
    <x v="0"/>
    <s v="CMR004"/>
    <s v="Extrême-Nord"/>
    <s v="CMR004003"/>
    <s v="Mayo-Danay"/>
    <s v="CMR004003002"/>
    <s v="Maga"/>
  </r>
  <r>
    <s v="Extrême-Nord"/>
    <s v="CMR004"/>
    <x v="2"/>
    <s v="CMR004003"/>
    <x v="19"/>
    <s v="CMR004003002"/>
    <s v="GUIRVIDIG"/>
    <x v="440"/>
    <x v="0"/>
    <s v="P2"/>
    <n v="68"/>
    <n v="578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2"/>
    <s v="CMR004003"/>
    <x v="19"/>
    <s v="CMR004003002"/>
    <s v="MAHAOUROU"/>
    <x v="441"/>
    <x v="0"/>
    <s v="P1"/>
    <n v="52"/>
    <n v="364"/>
    <x v="1"/>
    <s v=""/>
    <s v="meme_arrondissement"/>
    <s v="CMR"/>
    <x v="0"/>
    <s v="CMR004"/>
    <s v="Extrême-Nord"/>
    <s v="CMR004003"/>
    <s v="Mayo-Danay"/>
    <s v="CMR004003002"/>
    <s v="Maga"/>
  </r>
  <r>
    <s v="Extrême-Nord"/>
    <s v="CMR004"/>
    <x v="2"/>
    <s v="CMR004003"/>
    <x v="19"/>
    <s v="CMR004003002"/>
    <s v="POUSS"/>
    <x v="442"/>
    <x v="0"/>
    <s v="P1"/>
    <n v="324"/>
    <n v="2417"/>
    <x v="1"/>
    <s v=""/>
    <s v="meme_arrondissement"/>
    <s v="CMR"/>
    <x v="0"/>
    <s v="CMR004"/>
    <s v="Extrême-Nord"/>
    <s v="CMR004003"/>
    <s v="Mayo-Danay"/>
    <s v="CMR004003002"/>
    <s v="Maga"/>
  </r>
  <r>
    <s v="Extrême-Nord"/>
    <s v="CMR004"/>
    <x v="2"/>
    <s v="CMR004003"/>
    <x v="19"/>
    <s v="CMR004003002"/>
    <s v="TEKELE"/>
    <x v="443"/>
    <x v="0"/>
    <s v="P1"/>
    <n v="33"/>
    <n v="179"/>
    <x v="1"/>
    <s v=""/>
    <s v="meme_arrondissement"/>
    <s v="CMR"/>
    <x v="0"/>
    <s v="CMR004"/>
    <s v="Extrême-Nord"/>
    <s v="CMR004003"/>
    <s v="Mayo-Danay"/>
    <s v="CMR004003002"/>
    <s v="Maga"/>
  </r>
  <r>
    <s v="Extrême-Nord"/>
    <s v="CMR004"/>
    <x v="2"/>
    <s v="CMR004003"/>
    <x v="20"/>
    <s v="CMR004003009"/>
    <s v="DANA"/>
    <x v="444"/>
    <x v="0"/>
    <s v="P2"/>
    <n v="101"/>
    <n v="281"/>
    <x v="1"/>
    <s v=""/>
    <s v="autre_arrondissement"/>
    <s v="CMR"/>
    <x v="0"/>
    <s v="CMR004"/>
    <s v="Extrême-Nord"/>
    <s v="CMR004003"/>
    <s v="Mayo-Danay"/>
    <s v="CMR004003002"/>
    <s v="Maga"/>
  </r>
  <r>
    <s v="Extrême-Nord"/>
    <s v="CMR004"/>
    <x v="2"/>
    <s v="CMR004003"/>
    <x v="20"/>
    <s v="CMR004003009"/>
    <s v="DANA"/>
    <x v="444"/>
    <x v="0"/>
    <s v="P3"/>
    <n v="53"/>
    <n v="212"/>
    <x v="1"/>
    <s v=""/>
    <s v="autre_arrondissement"/>
    <s v="CMR"/>
    <x v="0"/>
    <s v="CMR004"/>
    <s v="Extrême-Nord"/>
    <s v="CMR004003"/>
    <s v="Mayo-Danay"/>
    <s v="CMR004003002"/>
    <s v="Maga"/>
  </r>
  <r>
    <s v="Extrême-Nord"/>
    <s v="CMR004"/>
    <x v="2"/>
    <s v="CMR004003"/>
    <x v="20"/>
    <s v="CMR004003009"/>
    <s v="DANA"/>
    <x v="444"/>
    <x v="0"/>
    <s v="P4"/>
    <n v="23"/>
    <n v="138"/>
    <x v="1"/>
    <s v=""/>
    <s v="autre_arrondissement"/>
    <s v="CMR"/>
    <x v="0"/>
    <s v="CMR004"/>
    <s v="Extrême-Nord"/>
    <s v="CMR004003"/>
    <s v="Mayo-Danay"/>
    <s v="CMR004003002"/>
    <s v="Maga"/>
  </r>
  <r>
    <s v="Extrême-Nord"/>
    <s v="CMR004"/>
    <x v="2"/>
    <s v="CMR004003"/>
    <x v="20"/>
    <s v="CMR004003009"/>
    <s v="DANA"/>
    <x v="444"/>
    <x v="0"/>
    <s v="P5"/>
    <n v="85"/>
    <n v="569"/>
    <x v="1"/>
    <s v=""/>
    <s v="meme_arrondissement"/>
    <s v="CMR"/>
    <x v="0"/>
    <s v="CMR004"/>
    <s v="Extrême-Nord"/>
    <s v="CMR004003"/>
    <s v="Mayo-Danay"/>
    <s v="CMR004003009"/>
    <s v="Yagoua"/>
  </r>
  <r>
    <s v="Extrême-Nord"/>
    <s v="CMR004"/>
    <x v="2"/>
    <s v="CMR004003"/>
    <x v="20"/>
    <s v="CMR004003009"/>
    <s v="DOMO"/>
    <x v="445"/>
    <x v="0"/>
    <s v="P1"/>
    <n v="12"/>
    <n v="60"/>
    <x v="1"/>
    <s v=""/>
    <s v="autre_arrondissement"/>
    <s v="CMR"/>
    <x v="0"/>
    <s v="CMR004"/>
    <s v="Extrême-Nord"/>
    <s v="CMR004003"/>
    <s v="Mayo-Danay"/>
    <s v="CMR004003010"/>
    <s v="Guere"/>
  </r>
  <r>
    <s v="Extrême-Nord"/>
    <s v="CMR004"/>
    <x v="2"/>
    <s v="CMR004003"/>
    <x v="20"/>
    <s v="CMR004003009"/>
    <s v="MOURI"/>
    <x v="446"/>
    <x v="0"/>
    <s v="P1"/>
    <n v="10"/>
    <n v="50"/>
    <x v="1"/>
    <s v=""/>
    <s v="meme_arrondissement"/>
    <s v="CMR"/>
    <x v="0"/>
    <s v="CMR004"/>
    <s v="Extrême-Nord"/>
    <s v="CMR004003"/>
    <s v="Mayo-Danay"/>
    <s v="CMR004003009"/>
    <s v="Yagoua"/>
  </r>
  <r>
    <s v="Extrême-Nord"/>
    <s v="CMR004"/>
    <x v="3"/>
    <s v="CMR004004"/>
    <x v="21"/>
    <s v="CMR004004006"/>
    <s v="DJIDOMA"/>
    <x v="447"/>
    <x v="0"/>
    <s v="P2"/>
    <n v="2"/>
    <n v="18"/>
    <x v="0"/>
    <s v=""/>
    <s v="meme_arrondissement"/>
    <s v="CMR"/>
    <x v="0"/>
    <s v="CMR004"/>
    <s v="Extrême-Nord"/>
    <s v="CMR004004"/>
    <s v="Mayo-Kani"/>
    <s v="CMR004004006"/>
    <s v="Kaele"/>
  </r>
  <r>
    <s v="Extrême-Nord"/>
    <s v="CMR004"/>
    <x v="3"/>
    <s v="CMR004004"/>
    <x v="21"/>
    <s v="CMR004004006"/>
    <s v="KAELE"/>
    <x v="448"/>
    <x v="0"/>
    <s v="P1"/>
    <n v="1"/>
    <n v="9"/>
    <x v="0"/>
    <s v=""/>
    <s v="meme_arrondissement"/>
    <s v="CMR"/>
    <x v="0"/>
    <s v="CMR004"/>
    <s v="Extrême-Nord"/>
    <s v="CMR004004"/>
    <s v="Mayo-Kani"/>
    <s v="CMR004004006"/>
    <s v="Kaele"/>
  </r>
  <r>
    <s v="Extrême-Nord"/>
    <s v="CMR004"/>
    <x v="3"/>
    <s v="CMR004004"/>
    <x v="21"/>
    <s v="CMR004004006"/>
    <s v="KAELE"/>
    <x v="448"/>
    <x v="0"/>
    <s v="P2"/>
    <n v="1"/>
    <n v="6"/>
    <x v="0"/>
    <s v=""/>
    <s v="meme_arrondissement"/>
    <s v="CMR"/>
    <x v="0"/>
    <s v="CMR004"/>
    <s v="Extrême-Nord"/>
    <s v="CMR004004"/>
    <s v="Mayo-Kani"/>
    <s v="CMR004004006"/>
    <s v="Kaele"/>
  </r>
  <r>
    <s v="Extrême-Nord"/>
    <s v="CMR004"/>
    <x v="3"/>
    <s v="CMR004004"/>
    <x v="21"/>
    <s v="CMR004004006"/>
    <s v="KAELE"/>
    <x v="448"/>
    <x v="0"/>
    <s v="P3"/>
    <n v="4"/>
    <n v="22"/>
    <x v="0"/>
    <s v=""/>
    <s v="meme_arrondissement"/>
    <s v="CMR"/>
    <x v="0"/>
    <s v="CMR004"/>
    <s v="Extrême-Nord"/>
    <s v="CMR004004"/>
    <s v="Mayo-Kani"/>
    <s v="CMR004004006"/>
    <s v="Kaele"/>
  </r>
  <r>
    <s v="Extrême-Nord"/>
    <s v="CMR004"/>
    <x v="3"/>
    <s v="CMR004004"/>
    <x v="21"/>
    <s v="CMR004004006"/>
    <s v="LARA"/>
    <x v="449"/>
    <x v="0"/>
    <s v="P1"/>
    <n v="1"/>
    <n v="8"/>
    <x v="0"/>
    <s v=""/>
    <s v="meme_arrondissement"/>
    <s v="CMR"/>
    <x v="0"/>
    <s v="CMR004"/>
    <s v="Extrême-Nord"/>
    <s v="CMR004004"/>
    <s v="Mayo-Kani"/>
    <s v="CMR004004006"/>
    <s v="Kaele"/>
  </r>
  <r>
    <s v="Extrême-Nord"/>
    <s v="CMR004"/>
    <x v="3"/>
    <s v="CMR004004"/>
    <x v="21"/>
    <s v="CMR004004006"/>
    <s v="LARA"/>
    <x v="449"/>
    <x v="0"/>
    <s v="P2"/>
    <n v="3"/>
    <n v="14"/>
    <x v="0"/>
    <s v=""/>
    <s v="meme_arrondissement"/>
    <s v="CMR"/>
    <x v="0"/>
    <s v="CMR004"/>
    <s v="Extrême-Nord"/>
    <s v="CMR004004"/>
    <s v="Mayo-Kani"/>
    <s v="CMR004004006"/>
    <s v="Kaele"/>
  </r>
  <r>
    <s v="Extrême-Nord"/>
    <s v="CMR004"/>
    <x v="3"/>
    <s v="CMR004004"/>
    <x v="22"/>
    <s v="CMR004004005"/>
    <s v="MOUDA"/>
    <x v="450"/>
    <x v="0"/>
    <s v="P2"/>
    <n v="1"/>
    <n v="8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3"/>
    <s v="CMR004004"/>
    <x v="22"/>
    <s v="CMR004004005"/>
    <s v="MOUDA"/>
    <x v="450"/>
    <x v="0"/>
    <s v="P3"/>
    <n v="2"/>
    <n v="8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3"/>
    <s v="CMR004004"/>
    <x v="22"/>
    <s v="CMR004004005"/>
    <s v="MOUTOUROUA ROOM"/>
    <x v="451"/>
    <x v="0"/>
    <s v="P2"/>
    <n v="3"/>
    <n v="14"/>
    <x v="0"/>
    <s v=""/>
    <s v="autre_departement"/>
    <s v="CMR"/>
    <x v="0"/>
    <s v="CMR004"/>
    <s v="Extrême-Nord"/>
    <s v="CMR004002"/>
    <s v="Logone-Et-Chari"/>
    <s v="CMR004002001"/>
    <s v="Waza"/>
  </r>
  <r>
    <s v="Extrême-Nord"/>
    <s v="CMR004"/>
    <x v="3"/>
    <s v="CMR004004"/>
    <x v="22"/>
    <s v="CMR004004005"/>
    <s v="MOUTOUROUA ROOM"/>
    <x v="451"/>
    <x v="0"/>
    <s v="P3"/>
    <n v="1"/>
    <n v="22"/>
    <x v="0"/>
    <s v=""/>
    <s v="autre_departement"/>
    <s v="CMR"/>
    <x v="0"/>
    <s v="CMR004"/>
    <s v="Extrême-Nord"/>
    <s v="CMR004002"/>
    <s v="Logone-Et-Chari"/>
    <s v="CMR004002008"/>
    <s v="Fotokol"/>
  </r>
  <r>
    <s v="Extrême-Nord"/>
    <s v="CMR004"/>
    <x v="4"/>
    <s v="CMR004005"/>
    <x v="23"/>
    <s v="CMR004005001"/>
    <s v="AMCHIDE"/>
    <x v="452"/>
    <x v="0"/>
    <s v="P3"/>
    <n v="292"/>
    <n v="2095"/>
    <x v="1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AMCHIDE"/>
    <x v="452"/>
    <x v="0"/>
    <s v="P4"/>
    <n v="131"/>
    <n v="904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AMCHIDE"/>
    <x v="452"/>
    <x v="0"/>
    <s v="P5"/>
    <n v="143"/>
    <n v="88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GOUZOUDOU"/>
    <x v="453"/>
    <x v="0"/>
    <s v="P2"/>
    <n v="23"/>
    <n v="182"/>
    <x v="0"/>
    <s v=""/>
    <s v="mem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ERAWA"/>
    <x v="454"/>
    <x v="0"/>
    <s v="P2"/>
    <n v="137"/>
    <n v="1096"/>
    <x v="0"/>
    <s v=""/>
    <s v="mem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ERAWA"/>
    <x v="454"/>
    <x v="0"/>
    <s v="P3"/>
    <n v="186"/>
    <n v="1488"/>
    <x v="0"/>
    <s v=""/>
    <s v="mem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ERAWA"/>
    <x v="454"/>
    <x v="0"/>
    <s v="P4"/>
    <n v="8"/>
    <n v="64"/>
    <x v="0"/>
    <s v=""/>
    <s v="mem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ERAWA"/>
    <x v="454"/>
    <x v="0"/>
    <s v="P5"/>
    <n v="248"/>
    <n v="1976"/>
    <x v="0"/>
    <s v=""/>
    <s v="mem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OLOFATA"/>
    <x v="455"/>
    <x v="0"/>
    <s v="P2"/>
    <n v="76"/>
    <n v="427"/>
    <x v="0"/>
    <s v=""/>
    <s v="mem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OLOFATA"/>
    <x v="455"/>
    <x v="0"/>
    <s v="P3"/>
    <n v="527"/>
    <n v="2876"/>
    <x v="0"/>
    <s v=""/>
    <s v="mem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OLOFATA"/>
    <x v="455"/>
    <x v="0"/>
    <s v="P4"/>
    <n v="211"/>
    <n v="1497"/>
    <x v="0"/>
    <s v=""/>
    <s v="mem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OLOFATA"/>
    <x v="455"/>
    <x v="0"/>
    <s v="P5"/>
    <n v="147"/>
    <n v="1027"/>
    <x v="0"/>
    <s v=""/>
    <s v="mem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AMTCHALIE"/>
    <x v="456"/>
    <x v="0"/>
    <s v="P1"/>
    <n v="39"/>
    <n v="162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AMTCHALIE"/>
    <x v="456"/>
    <x v="0"/>
    <s v="P2"/>
    <n v="50"/>
    <n v="20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AMTCHALIE"/>
    <x v="456"/>
    <x v="0"/>
    <s v="P3"/>
    <n v="44"/>
    <n v="19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AMTCHALIE"/>
    <x v="456"/>
    <x v="0"/>
    <s v="P4"/>
    <n v="54"/>
    <n v="274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ALDAMA"/>
    <x v="457"/>
    <x v="0"/>
    <s v="P1"/>
    <n v="10"/>
    <n v="53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ALDAMA"/>
    <x v="457"/>
    <x v="0"/>
    <s v="P2"/>
    <n v="21"/>
    <n v="8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ALDAMA"/>
    <x v="457"/>
    <x v="0"/>
    <s v="P3"/>
    <n v="12"/>
    <n v="50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ALDAMA"/>
    <x v="457"/>
    <x v="0"/>
    <s v="P4"/>
    <n v="7"/>
    <n v="67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ONDERI"/>
    <x v="458"/>
    <x v="0"/>
    <s v="P3"/>
    <n v="19"/>
    <n v="7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ONDERI"/>
    <x v="458"/>
    <x v="0"/>
    <s v="P4"/>
    <n v="37"/>
    <n v="214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ARME"/>
    <x v="459"/>
    <x v="0"/>
    <s v="P1"/>
    <n v="9"/>
    <n v="62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ARME"/>
    <x v="459"/>
    <x v="0"/>
    <s v="P2"/>
    <n v="13"/>
    <n v="10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ARME"/>
    <x v="459"/>
    <x v="0"/>
    <s v="P3"/>
    <n v="12"/>
    <n v="83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ARME"/>
    <x v="459"/>
    <x v="0"/>
    <s v="P4"/>
    <n v="14"/>
    <n v="63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ARME"/>
    <x v="459"/>
    <x v="0"/>
    <s v="P5"/>
    <n v="11"/>
    <n v="48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OUNDE"/>
    <x v="460"/>
    <x v="0"/>
    <s v="P1"/>
    <n v="38"/>
    <n v="12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OUNDE"/>
    <x v="460"/>
    <x v="0"/>
    <s v="P2"/>
    <n v="59"/>
    <n v="142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OUNDE"/>
    <x v="460"/>
    <x v="0"/>
    <s v="P3"/>
    <n v="89"/>
    <n v="164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OUNDE"/>
    <x v="460"/>
    <x v="0"/>
    <s v="P4"/>
    <n v="299"/>
    <n v="1170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OUNDE"/>
    <x v="460"/>
    <x v="0"/>
    <s v="P5"/>
    <n v="33"/>
    <n v="183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OULO"/>
    <x v="461"/>
    <x v="0"/>
    <s v="P1"/>
    <n v="30"/>
    <n v="6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OULO"/>
    <x v="461"/>
    <x v="0"/>
    <s v="P2"/>
    <n v="39"/>
    <n v="142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DOULO"/>
    <x v="461"/>
    <x v="0"/>
    <s v="P3"/>
    <n v="36"/>
    <n v="99"/>
    <x v="0"/>
    <s v=""/>
    <s v="mem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DOULO"/>
    <x v="461"/>
    <x v="0"/>
    <s v="P4"/>
    <n v="13"/>
    <n v="36"/>
    <x v="0"/>
    <s v=""/>
    <s v="mem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DOULO"/>
    <x v="461"/>
    <x v="0"/>
    <s v="P5"/>
    <n v="9"/>
    <n v="66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1"/>
    <x v="462"/>
    <x v="0"/>
    <s v="P1"/>
    <n v="18"/>
    <n v="6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1"/>
    <x v="462"/>
    <x v="0"/>
    <s v="P2"/>
    <n v="29"/>
    <n v="12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1"/>
    <x v="462"/>
    <x v="0"/>
    <s v="P3"/>
    <n v="26"/>
    <n v="115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1"/>
    <x v="462"/>
    <x v="0"/>
    <s v="P4"/>
    <n v="40"/>
    <n v="218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1"/>
    <x v="462"/>
    <x v="0"/>
    <s v="P5"/>
    <n v="6"/>
    <n v="24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2"/>
    <x v="463"/>
    <x v="0"/>
    <s v="P1"/>
    <n v="25"/>
    <n v="96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2"/>
    <x v="463"/>
    <x v="0"/>
    <s v="P2"/>
    <n v="38"/>
    <n v="158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2"/>
    <x v="463"/>
    <x v="0"/>
    <s v="P3"/>
    <n v="27"/>
    <n v="110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FIKE 2"/>
    <x v="463"/>
    <x v="0"/>
    <s v="P4"/>
    <n v="32"/>
    <n v="136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2"/>
    <x v="463"/>
    <x v="0"/>
    <s v="P5"/>
    <n v="7"/>
    <n v="30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GODIGONG"/>
    <x v="464"/>
    <x v="0"/>
    <s v="P1"/>
    <n v="12"/>
    <n v="6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DIGONG"/>
    <x v="464"/>
    <x v="0"/>
    <s v="P2"/>
    <n v="19"/>
    <n v="82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DIGONG"/>
    <x v="464"/>
    <x v="0"/>
    <s v="P3"/>
    <n v="9"/>
    <n v="48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DIGONG"/>
    <x v="464"/>
    <x v="0"/>
    <s v="P4"/>
    <n v="6"/>
    <n v="45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UDJOUMDELE"/>
    <x v="465"/>
    <x v="0"/>
    <s v="P2"/>
    <n v="7"/>
    <n v="2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UDJOUMDELE"/>
    <x v="465"/>
    <x v="0"/>
    <s v="P3"/>
    <n v="5"/>
    <n v="20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UDJOUMDELE"/>
    <x v="465"/>
    <x v="0"/>
    <s v="P4"/>
    <n v="3"/>
    <n v="7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UDJOUMDELE"/>
    <x v="465"/>
    <x v="0"/>
    <s v="P5"/>
    <n v="6"/>
    <n v="2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1"/>
    <x v="466"/>
    <x v="0"/>
    <s v="P1"/>
    <n v="22"/>
    <n v="67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1"/>
    <x v="466"/>
    <x v="0"/>
    <s v="P2"/>
    <n v="37"/>
    <n v="102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1"/>
    <x v="466"/>
    <x v="0"/>
    <s v="P3"/>
    <n v="27"/>
    <n v="8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1"/>
    <x v="466"/>
    <x v="0"/>
    <s v="P4"/>
    <n v="93"/>
    <n v="273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2"/>
    <x v="467"/>
    <x v="0"/>
    <s v="P1"/>
    <n v="19"/>
    <n v="94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2"/>
    <x v="467"/>
    <x v="0"/>
    <s v="P2"/>
    <n v="25"/>
    <n v="97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2"/>
    <x v="467"/>
    <x v="0"/>
    <s v="P3"/>
    <n v="25"/>
    <n v="103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2"/>
    <x v="467"/>
    <x v="0"/>
    <s v="P4"/>
    <n v="31"/>
    <n v="17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JAJA"/>
    <x v="468"/>
    <x v="0"/>
    <s v="P1"/>
    <n v="59"/>
    <n v="29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JAJA"/>
    <x v="468"/>
    <x v="0"/>
    <s v="P2"/>
    <n v="192"/>
    <n v="314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JAJA"/>
    <x v="468"/>
    <x v="0"/>
    <s v="P3"/>
    <n v="243"/>
    <n v="49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JAJA"/>
    <x v="468"/>
    <x v="0"/>
    <s v="P4"/>
    <n v="174"/>
    <n v="416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SSA"/>
    <x v="469"/>
    <x v="0"/>
    <s v="P2"/>
    <n v="412"/>
    <n v="202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SSA"/>
    <x v="469"/>
    <x v="0"/>
    <s v="P3"/>
    <n v="719"/>
    <n v="567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SSA"/>
    <x v="469"/>
    <x v="0"/>
    <s v="P4"/>
    <n v="525"/>
    <n v="2199"/>
    <x v="0"/>
    <s v=""/>
    <s v="mem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KOSSA"/>
    <x v="469"/>
    <x v="0"/>
    <s v="P5"/>
    <n v="60"/>
    <n v="512"/>
    <x v="0"/>
    <s v=""/>
    <s v="autre_departement"/>
    <s v="CMR"/>
    <x v="0"/>
    <s v="CMR004"/>
    <s v="Extrême-Nord"/>
    <s v="CMR004002"/>
    <s v="Logone-Et-Chari"/>
    <s v="CMR004002001"/>
    <s v="Waza"/>
  </r>
  <r>
    <s v="Extrême-Nord"/>
    <s v="CMR004"/>
    <x v="4"/>
    <s v="CMR004005"/>
    <x v="24"/>
    <s v="CMR004005002"/>
    <s v="KOURGUI"/>
    <x v="470"/>
    <x v="0"/>
    <s v="P1"/>
    <n v="32"/>
    <n v="192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URGUI"/>
    <x v="470"/>
    <x v="0"/>
    <s v="P2"/>
    <n v="88"/>
    <n v="43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URGUI"/>
    <x v="470"/>
    <x v="0"/>
    <s v="P3"/>
    <n v="78"/>
    <n v="254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KOURGUI"/>
    <x v="470"/>
    <x v="0"/>
    <s v="P4"/>
    <n v="347"/>
    <n v="2167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URGUI"/>
    <x v="470"/>
    <x v="0"/>
    <s v="P5"/>
    <n v="9"/>
    <n v="37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LIMANI"/>
    <x v="471"/>
    <x v="0"/>
    <s v="P4"/>
    <n v="2"/>
    <n v="17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GDEME"/>
    <x v="472"/>
    <x v="0"/>
    <s v="P2"/>
    <n v="6"/>
    <n v="34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AGDEME"/>
    <x v="472"/>
    <x v="0"/>
    <s v="P3"/>
    <n v="15"/>
    <n v="13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GDEME"/>
    <x v="472"/>
    <x v="0"/>
    <s v="P4"/>
    <n v="10"/>
    <n v="79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AGDEME"/>
    <x v="472"/>
    <x v="0"/>
    <s v="P5"/>
    <n v="32"/>
    <n v="277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AHOULA"/>
    <x v="473"/>
    <x v="0"/>
    <s v="P1"/>
    <n v="9"/>
    <n v="4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HOULA"/>
    <x v="473"/>
    <x v="0"/>
    <s v="P2"/>
    <n v="19"/>
    <n v="11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HOULA"/>
    <x v="473"/>
    <x v="0"/>
    <s v="P3"/>
    <n v="12"/>
    <n v="82"/>
    <x v="0"/>
    <s v=""/>
    <s v="mem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AHOULA"/>
    <x v="473"/>
    <x v="0"/>
    <s v="P4"/>
    <n v="8"/>
    <n v="3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1"/>
    <x v="474"/>
    <x v="0"/>
    <s v="P1"/>
    <n v="28"/>
    <n v="102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1"/>
    <x v="474"/>
    <x v="0"/>
    <s v="P2"/>
    <n v="36"/>
    <n v="12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1"/>
    <x v="474"/>
    <x v="0"/>
    <s v="P3"/>
    <n v="34"/>
    <n v="113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1"/>
    <x v="474"/>
    <x v="0"/>
    <s v="P4"/>
    <n v="38"/>
    <n v="55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1"/>
    <x v="474"/>
    <x v="0"/>
    <s v="P5"/>
    <n v="4"/>
    <n v="10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2"/>
    <x v="475"/>
    <x v="0"/>
    <s v="P1"/>
    <n v="27"/>
    <n v="6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2"/>
    <x v="475"/>
    <x v="0"/>
    <s v="P2"/>
    <n v="78"/>
    <n v="14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2"/>
    <x v="475"/>
    <x v="0"/>
    <s v="P3"/>
    <n v="31"/>
    <n v="76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2"/>
    <x v="475"/>
    <x v="0"/>
    <s v="P4"/>
    <n v="43"/>
    <n v="71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ASSARE 2"/>
    <x v="475"/>
    <x v="0"/>
    <s v="P5"/>
    <n v="9"/>
    <n v="35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BARMA"/>
    <x v="476"/>
    <x v="0"/>
    <s v="P1"/>
    <n v="12"/>
    <n v="100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BARMA"/>
    <x v="476"/>
    <x v="0"/>
    <s v="P2"/>
    <n v="19"/>
    <n v="162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BARMA"/>
    <x v="476"/>
    <x v="0"/>
    <s v="P3"/>
    <n v="36"/>
    <n v="11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BARMA"/>
    <x v="476"/>
    <x v="0"/>
    <s v="P4"/>
    <n v="35"/>
    <n v="126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EME"/>
    <x v="477"/>
    <x v="0"/>
    <s v="P1"/>
    <n v="145"/>
    <n v="63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EME"/>
    <x v="477"/>
    <x v="0"/>
    <s v="P2"/>
    <n v="190"/>
    <n v="954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EME"/>
    <x v="477"/>
    <x v="0"/>
    <s v="P3"/>
    <n v="275"/>
    <n v="146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EME"/>
    <x v="477"/>
    <x v="0"/>
    <s v="P4"/>
    <n v="1452"/>
    <n v="13190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EME"/>
    <x v="477"/>
    <x v="0"/>
    <s v="P5"/>
    <n v="62"/>
    <n v="297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ORA MASSIF"/>
    <x v="478"/>
    <x v="0"/>
    <s v="P1"/>
    <n v="17"/>
    <n v="2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ORA MASSIF"/>
    <x v="478"/>
    <x v="0"/>
    <s v="P2"/>
    <n v="15"/>
    <n v="2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ORA MASSIF"/>
    <x v="478"/>
    <x v="0"/>
    <s v="P3"/>
    <n v="9"/>
    <n v="23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ORA MASSIF"/>
    <x v="478"/>
    <x v="0"/>
    <s v="P4"/>
    <n v="10"/>
    <n v="2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ORA MASSIF"/>
    <x v="478"/>
    <x v="0"/>
    <s v="P5"/>
    <n v="25"/>
    <n v="58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OUDJILA"/>
    <x v="479"/>
    <x v="0"/>
    <s v="P1"/>
    <n v="11"/>
    <n v="70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OUDJILA"/>
    <x v="479"/>
    <x v="0"/>
    <s v="P2"/>
    <n v="25"/>
    <n v="15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OUDJILA"/>
    <x v="479"/>
    <x v="0"/>
    <s v="P3"/>
    <n v="18"/>
    <n v="106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OUDJILA"/>
    <x v="479"/>
    <x v="0"/>
    <s v="P4"/>
    <n v="4"/>
    <n v="14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POUCHE"/>
    <x v="480"/>
    <x v="0"/>
    <s v="P1"/>
    <n v="16"/>
    <n v="123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POUCHE"/>
    <x v="480"/>
    <x v="0"/>
    <s v="P2"/>
    <n v="16"/>
    <n v="115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POUCHE"/>
    <x v="480"/>
    <x v="0"/>
    <s v="P3"/>
    <n v="11"/>
    <n v="109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POUCHE"/>
    <x v="480"/>
    <x v="0"/>
    <s v="P4"/>
    <n v="7"/>
    <n v="66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1"/>
    <x v="481"/>
    <x v="0"/>
    <s v="P1"/>
    <n v="11"/>
    <n v="7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1"/>
    <x v="481"/>
    <x v="0"/>
    <s v="P2"/>
    <n v="21"/>
    <n v="126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SANDALE 1"/>
    <x v="481"/>
    <x v="0"/>
    <s v="P3"/>
    <n v="39"/>
    <n v="234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1"/>
    <x v="481"/>
    <x v="0"/>
    <s v="P4"/>
    <n v="32"/>
    <n v="20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1"/>
    <x v="481"/>
    <x v="0"/>
    <s v="P5"/>
    <n v="15"/>
    <n v="25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SANDALE 2"/>
    <x v="482"/>
    <x v="0"/>
    <s v="P1"/>
    <n v="31"/>
    <n v="78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2"/>
    <x v="482"/>
    <x v="0"/>
    <s v="P2"/>
    <n v="36"/>
    <n v="102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2"/>
    <x v="482"/>
    <x v="0"/>
    <s v="P3"/>
    <n v="33"/>
    <n v="9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2"/>
    <x v="482"/>
    <x v="0"/>
    <s v="P4"/>
    <n v="37"/>
    <n v="105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2"/>
    <x v="482"/>
    <x v="0"/>
    <s v="P5"/>
    <n v="3"/>
    <n v="10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VOUAWA"/>
    <x v="483"/>
    <x v="0"/>
    <s v="P1"/>
    <n v="16"/>
    <n v="117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VOUAWA"/>
    <x v="483"/>
    <x v="0"/>
    <s v="P2"/>
    <n v="11"/>
    <n v="53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VOUAWA"/>
    <x v="483"/>
    <x v="0"/>
    <s v="P3"/>
    <n v="14"/>
    <n v="89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VOUAWA"/>
    <x v="483"/>
    <x v="0"/>
    <s v="P4"/>
    <n v="10"/>
    <n v="4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2"/>
    <x v="484"/>
    <x v="0"/>
    <s v="P1"/>
    <n v="25"/>
    <n v="87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2"/>
    <x v="484"/>
    <x v="0"/>
    <s v="P2"/>
    <n v="36"/>
    <n v="135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2"/>
    <x v="484"/>
    <x v="0"/>
    <s v="P3"/>
    <n v="25"/>
    <n v="85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2"/>
    <x v="484"/>
    <x v="0"/>
    <s v="P4"/>
    <n v="30"/>
    <n v="104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2"/>
    <x v="484"/>
    <x v="0"/>
    <s v="P5"/>
    <n v="2"/>
    <n v="6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3"/>
    <x v="485"/>
    <x v="0"/>
    <s v="P1"/>
    <n v="20"/>
    <n v="92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3"/>
    <x v="485"/>
    <x v="0"/>
    <s v="P2"/>
    <n v="40"/>
    <n v="148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3"/>
    <x v="485"/>
    <x v="0"/>
    <s v="P3"/>
    <n v="30"/>
    <n v="110"/>
    <x v="0"/>
    <s v=""/>
    <s v="mem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WALADE 3"/>
    <x v="485"/>
    <x v="0"/>
    <s v="P4"/>
    <n v="36"/>
    <n v="150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3"/>
    <x v="485"/>
    <x v="0"/>
    <s v="P5"/>
    <n v="7"/>
    <n v="40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LALAWAI"/>
    <x v="486"/>
    <x v="0"/>
    <s v="P2"/>
    <n v="3"/>
    <n v="12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LALAWAI"/>
    <x v="486"/>
    <x v="0"/>
    <s v="P3"/>
    <n v="2"/>
    <n v="6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LALAWAI"/>
    <x v="486"/>
    <x v="0"/>
    <s v="P4"/>
    <n v="1"/>
    <n v="5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DA KOLKACH"/>
    <x v="487"/>
    <x v="0"/>
    <s v="P2"/>
    <n v="94"/>
    <n v="190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DA KOLKACH"/>
    <x v="487"/>
    <x v="0"/>
    <s v="P3"/>
    <n v="50"/>
    <n v="10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DA KOLKACH"/>
    <x v="487"/>
    <x v="0"/>
    <s v="P4"/>
    <n v="9"/>
    <n v="29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MADOUVAYA"/>
    <x v="488"/>
    <x v="0"/>
    <s v="P2"/>
    <n v="20"/>
    <n v="197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DOUVAYA"/>
    <x v="488"/>
    <x v="0"/>
    <s v="P3"/>
    <n v="9"/>
    <n v="98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MADOUVAYA"/>
    <x v="488"/>
    <x v="0"/>
    <s v="P4"/>
    <n v="4"/>
    <n v="6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KELINGAI"/>
    <x v="489"/>
    <x v="0"/>
    <s v="P2"/>
    <n v="23"/>
    <n v="47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KELINGAI"/>
    <x v="489"/>
    <x v="0"/>
    <s v="P3"/>
    <n v="10"/>
    <n v="3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KELINGAI"/>
    <x v="489"/>
    <x v="0"/>
    <s v="P4"/>
    <n v="4"/>
    <n v="13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MAKELINGAI"/>
    <x v="489"/>
    <x v="0"/>
    <s v="P5"/>
    <n v="1"/>
    <n v="2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BZAGABAI"/>
    <x v="490"/>
    <x v="0"/>
    <s v="P2"/>
    <n v="9"/>
    <n v="88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BZAGABAI"/>
    <x v="490"/>
    <x v="0"/>
    <s v="P3"/>
    <n v="3"/>
    <n v="30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OULDEME"/>
    <x v="491"/>
    <x v="0"/>
    <s v="P2"/>
    <n v="13"/>
    <n v="60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OULDEME"/>
    <x v="491"/>
    <x v="0"/>
    <s v="P3"/>
    <n v="14"/>
    <n v="4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OULDEME"/>
    <x v="491"/>
    <x v="0"/>
    <s v="P4"/>
    <n v="2"/>
    <n v="12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PALBARA"/>
    <x v="492"/>
    <x v="0"/>
    <s v="P2"/>
    <n v="26"/>
    <n v="97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PALBARA"/>
    <x v="492"/>
    <x v="0"/>
    <s v="P3"/>
    <n v="9"/>
    <n v="67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PALBARA"/>
    <x v="492"/>
    <x v="0"/>
    <s v="P4"/>
    <n v="7"/>
    <n v="27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SERAWA"/>
    <x v="493"/>
    <x v="0"/>
    <s v="P2"/>
    <n v="34"/>
    <n v="4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SERAWA"/>
    <x v="493"/>
    <x v="0"/>
    <s v="P3"/>
    <n v="9"/>
    <n v="14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SERAWA"/>
    <x v="493"/>
    <x v="0"/>
    <s v="P4"/>
    <n v="6"/>
    <n v="16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AZANG"/>
    <x v="494"/>
    <x v="0"/>
    <s v="P2"/>
    <n v="5"/>
    <n v="31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AZANG"/>
    <x v="494"/>
    <x v="0"/>
    <s v="P3"/>
    <n v="2"/>
    <n v="12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TAZANG"/>
    <x v="494"/>
    <x v="0"/>
    <s v="P4"/>
    <n v="1"/>
    <n v="8"/>
    <x v="0"/>
    <s v=""/>
    <s v="autre_arrondissement"/>
    <s v="CMR"/>
    <x v="0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TINDERME"/>
    <x v="495"/>
    <x v="0"/>
    <s v="P3"/>
    <n v="10"/>
    <n v="60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INDERME"/>
    <x v="495"/>
    <x v="0"/>
    <s v="P4"/>
    <n v="6"/>
    <n v="37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INDERME"/>
    <x v="495"/>
    <x v="0"/>
    <s v="P5"/>
    <n v="5"/>
    <n v="35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OKOMBERE"/>
    <x v="496"/>
    <x v="0"/>
    <s v="P2"/>
    <n v="37"/>
    <n v="165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OKOMBERE"/>
    <x v="496"/>
    <x v="0"/>
    <s v="P3"/>
    <n v="13"/>
    <n v="80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OKOMBERE"/>
    <x v="496"/>
    <x v="0"/>
    <s v="P4"/>
    <n v="2"/>
    <n v="15"/>
    <x v="0"/>
    <s v=""/>
    <s v="autre_arrondiss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6"/>
    <s v="CMR004006007"/>
    <s v="BOUKOULA"/>
    <x v="497"/>
    <x v="0"/>
    <s v="P5"/>
    <n v="10"/>
    <n v="78"/>
    <x v="0"/>
    <s v=""/>
    <s v="autre_arrondissement"/>
    <s v="CMR"/>
    <x v="0"/>
    <s v="CMR004"/>
    <s v="Extrême-Nord"/>
    <s v="CMR004006"/>
    <s v="Mayo-Tsanaga"/>
    <s v="CMR004006002"/>
    <s v="Mokolo"/>
  </r>
  <r>
    <s v="Extrême-Nord"/>
    <s v="CMR004"/>
    <x v="5"/>
    <s v="CMR004006"/>
    <x v="26"/>
    <s v="CMR004006007"/>
    <s v="LAMORDE"/>
    <x v="498"/>
    <x v="0"/>
    <s v="P2"/>
    <n v="16"/>
    <n v="8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6"/>
    <s v="CMR004006007"/>
    <s v="LAMORDE"/>
    <x v="498"/>
    <x v="0"/>
    <s v="P4"/>
    <n v="4"/>
    <n v="33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6"/>
    <s v="CMR004006007"/>
    <s v="LAMORDE"/>
    <x v="498"/>
    <x v="0"/>
    <s v="P5"/>
    <n v="3"/>
    <n v="8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7"/>
    <s v="CMR004006003"/>
    <s v="BAMGUEL BORORO"/>
    <x v="499"/>
    <x v="0"/>
    <s v="P2"/>
    <n v="4"/>
    <n v="18"/>
    <x v="0"/>
    <s v=""/>
    <s v="autre_arrondissement"/>
    <s v="CMR"/>
    <x v="0"/>
    <s v="CMR004"/>
    <s v="Extrême-Nord"/>
    <s v="CMR004006"/>
    <s v="Mayo-Tsanaga"/>
    <s v="CMR004006004"/>
    <s v="Koza"/>
  </r>
  <r>
    <s v="Extrême-Nord"/>
    <s v="CMR004"/>
    <x v="5"/>
    <s v="CMR004006"/>
    <x v="27"/>
    <s v="CMR004006003"/>
    <s v="BAMGUEL BORORO"/>
    <x v="499"/>
    <x v="0"/>
    <s v="P3"/>
    <n v="1"/>
    <n v="1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7"/>
    <s v="CMR004006003"/>
    <s v="BAMGUEL BORORO"/>
    <x v="499"/>
    <x v="0"/>
    <s v="P4"/>
    <n v="2"/>
    <n v="22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7"/>
    <s v="CMR004006003"/>
    <s v="BASSARA"/>
    <x v="500"/>
    <x v="0"/>
    <s v="P2"/>
    <n v="8"/>
    <n v="54"/>
    <x v="0"/>
    <s v=""/>
    <s v="autre_arrondissement"/>
    <s v="CMR"/>
    <x v="0"/>
    <s v="CMR004"/>
    <s v="Extrême-Nord"/>
    <s v="CMR004006"/>
    <s v="Mayo-Tsanaga"/>
    <s v="CMR004006006"/>
    <s v="Soulede-Roua"/>
  </r>
  <r>
    <s v="Extrême-Nord"/>
    <s v="CMR004"/>
    <x v="5"/>
    <s v="CMR004006"/>
    <x v="27"/>
    <s v="CMR004006003"/>
    <s v="BASSARA"/>
    <x v="500"/>
    <x v="0"/>
    <s v="P3"/>
    <n v="6"/>
    <n v="40"/>
    <x v="0"/>
    <s v=""/>
    <s v="autre_arrondissement"/>
    <s v="CMR"/>
    <x v="0"/>
    <s v="CMR004"/>
    <s v="Extrême-Nord"/>
    <s v="CMR004006"/>
    <s v="Mayo-Tsanaga"/>
    <s v="CMR004006006"/>
    <s v="Soulede-Roua"/>
  </r>
  <r>
    <s v="Extrême-Nord"/>
    <s v="CMR004"/>
    <x v="5"/>
    <s v="CMR004006"/>
    <x v="27"/>
    <s v="CMR004006003"/>
    <s v="BASSARA"/>
    <x v="500"/>
    <x v="0"/>
    <s v="P4"/>
    <n v="5"/>
    <n v="3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7"/>
    <s v="CMR004006003"/>
    <s v="BERING"/>
    <x v="501"/>
    <x v="0"/>
    <s v="P2"/>
    <n v="8"/>
    <n v="55"/>
    <x v="0"/>
    <s v=""/>
    <s v="autre_arrondissement"/>
    <s v="CMR"/>
    <x v="0"/>
    <s v="CMR004"/>
    <s v="Extrême-Nord"/>
    <s v="CMR004006"/>
    <s v="Mayo-Tsanaga"/>
    <s v="CMR004006001"/>
    <s v="Mogode"/>
  </r>
  <r>
    <s v="Extrême-Nord"/>
    <s v="CMR004"/>
    <x v="5"/>
    <s v="CMR004006"/>
    <x v="27"/>
    <s v="CMR004006003"/>
    <s v="HINA CENTRE"/>
    <x v="502"/>
    <x v="0"/>
    <s v="P2"/>
    <n v="16"/>
    <n v="85"/>
    <x v="0"/>
    <s v=""/>
    <s v="autre_arrondissement"/>
    <s v="CMR"/>
    <x v="0"/>
    <s v="CMR004"/>
    <s v="Extrême-Nord"/>
    <s v="CMR004006"/>
    <s v="Mayo-Tsanaga"/>
    <s v="CMR004006007"/>
    <s v="Bourha"/>
  </r>
  <r>
    <s v="Extrême-Nord"/>
    <s v="CMR004"/>
    <x v="5"/>
    <s v="CMR004006"/>
    <x v="27"/>
    <s v="CMR004006003"/>
    <s v="HINA CENTRE"/>
    <x v="502"/>
    <x v="0"/>
    <s v="P4"/>
    <n v="10"/>
    <n v="63"/>
    <x v="0"/>
    <s v=""/>
    <s v="autre_arrondissement"/>
    <s v="CMR"/>
    <x v="0"/>
    <s v="CMR004"/>
    <s v="Extrême-Nord"/>
    <s v="CMR004006"/>
    <s v="Mayo-Tsanaga"/>
    <s v="CMR004006006"/>
    <s v="Soulede-Roua"/>
  </r>
  <r>
    <s v="Extrême-Nord"/>
    <s v="CMR004"/>
    <x v="5"/>
    <s v="CMR004006"/>
    <x v="27"/>
    <s v="CMR004006003"/>
    <s v="MADINA"/>
    <x v="503"/>
    <x v="0"/>
    <s v="P2"/>
    <n v="3"/>
    <n v="15"/>
    <x v="0"/>
    <s v=""/>
    <s v="autre_arrondissement"/>
    <s v="CMR"/>
    <x v="0"/>
    <s v="CMR004"/>
    <s v="Extrême-Nord"/>
    <s v="CMR004006"/>
    <s v="Mayo-Tsanaga"/>
    <s v="CMR004006004"/>
    <s v="Koza"/>
  </r>
  <r>
    <s v="Extrême-Nord"/>
    <s v="CMR004"/>
    <x v="5"/>
    <s v="CMR004006"/>
    <x v="27"/>
    <s v="CMR004006003"/>
    <s v="MADINA"/>
    <x v="503"/>
    <x v="0"/>
    <s v="P5"/>
    <n v="1"/>
    <n v="2"/>
    <x v="0"/>
    <s v=""/>
    <s v="autre_arrondissement"/>
    <s v="CMR"/>
    <x v="0"/>
    <s v="CMR004"/>
    <s v="Extrême-Nord"/>
    <s v="CMR004006"/>
    <s v="Mayo-Tsanaga"/>
    <s v="CMR004006001"/>
    <s v="Mogode"/>
  </r>
  <r>
    <s v="Extrême-Nord"/>
    <s v="CMR004"/>
    <x v="5"/>
    <s v="CMR004006"/>
    <x v="28"/>
    <s v="CMR004006004"/>
    <s v="DJENGUE"/>
    <x v="504"/>
    <x v="0"/>
    <s v="P2"/>
    <n v="9"/>
    <n v="49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ENGUE"/>
    <x v="504"/>
    <x v="0"/>
    <s v="P3"/>
    <n v="6"/>
    <n v="31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ENGUE"/>
    <x v="504"/>
    <x v="0"/>
    <s v="P4"/>
    <n v="14"/>
    <n v="78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ENGUE"/>
    <x v="504"/>
    <x v="0"/>
    <s v="P5"/>
    <n v="8"/>
    <n v="34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IYA PLAINE"/>
    <x v="505"/>
    <x v="0"/>
    <s v="P2"/>
    <n v="14"/>
    <n v="88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IYA PLAINE"/>
    <x v="505"/>
    <x v="0"/>
    <s v="P3"/>
    <n v="11"/>
    <n v="76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IYA PLAINE"/>
    <x v="505"/>
    <x v="0"/>
    <s v="P4"/>
    <n v="7"/>
    <n v="3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IYA PLAINE"/>
    <x v="505"/>
    <x v="0"/>
    <s v="P5"/>
    <n v="10"/>
    <n v="3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LIYA MONTAGNE"/>
    <x v="506"/>
    <x v="0"/>
    <s v="P2"/>
    <n v="9"/>
    <n v="78"/>
    <x v="0"/>
    <s v=""/>
    <s v="autre_arrondissement"/>
    <s v="CMR"/>
    <x v="0"/>
    <s v="CMR004"/>
    <s v="Extrême-Nord"/>
    <s v="CMR004006"/>
    <s v="Mayo-Tsanaga"/>
    <s v="CMR004006001"/>
    <s v="Mogode"/>
  </r>
  <r>
    <s v="Extrême-Nord"/>
    <s v="CMR004"/>
    <x v="5"/>
    <s v="CMR004006"/>
    <x v="28"/>
    <s v="CMR004006004"/>
    <s v="DJINGLIYA MONTAGNE"/>
    <x v="506"/>
    <x v="0"/>
    <s v="P3"/>
    <n v="8"/>
    <n v="65"/>
    <x v="0"/>
    <s v=""/>
    <s v="autre_arrondissement"/>
    <s v="CMR"/>
    <x v="0"/>
    <s v="CMR004"/>
    <s v="Extrême-Nord"/>
    <s v="CMR004006"/>
    <s v="Mayo-Tsanaga"/>
    <s v="CMR004006001"/>
    <s v="Mogode"/>
  </r>
  <r>
    <s v="Extrême-Nord"/>
    <s v="CMR004"/>
    <x v="5"/>
    <s v="CMR004006"/>
    <x v="28"/>
    <s v="CMR004006004"/>
    <s v="DJINGLIYA MONTAGNE"/>
    <x v="506"/>
    <x v="0"/>
    <s v="P4"/>
    <n v="6"/>
    <n v="51"/>
    <x v="0"/>
    <s v=""/>
    <s v="autre_arrondissement"/>
    <s v="CMR"/>
    <x v="0"/>
    <s v="CMR004"/>
    <s v="Extrême-Nord"/>
    <s v="CMR004006"/>
    <s v="Mayo-Tsanaga"/>
    <s v="CMR004006001"/>
    <s v="Mogode"/>
  </r>
  <r>
    <s v="Extrême-Nord"/>
    <s v="CMR004"/>
    <x v="5"/>
    <s v="CMR004006"/>
    <x v="28"/>
    <s v="CMR004006004"/>
    <s v="DJINGLIYA MONTAGNE"/>
    <x v="506"/>
    <x v="0"/>
    <s v="P5"/>
    <n v="13"/>
    <n v="66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MBOGO"/>
    <x v="507"/>
    <x v="0"/>
    <s v="P2"/>
    <n v="8"/>
    <n v="48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MBOGO"/>
    <x v="507"/>
    <x v="0"/>
    <s v="P3"/>
    <n v="5"/>
    <n v="38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MBOGO"/>
    <x v="507"/>
    <x v="0"/>
    <s v="P4"/>
    <n v="7"/>
    <n v="43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MBOGO"/>
    <x v="507"/>
    <x v="0"/>
    <s v="P5"/>
    <n v="18"/>
    <n v="109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RWAT"/>
    <x v="508"/>
    <x v="0"/>
    <s v="P2"/>
    <n v="13"/>
    <n v="71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RWAT"/>
    <x v="508"/>
    <x v="0"/>
    <s v="P3"/>
    <n v="6"/>
    <n v="33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RWAT"/>
    <x v="508"/>
    <x v="0"/>
    <s v="P4"/>
    <n v="10"/>
    <n v="66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RWAT"/>
    <x v="508"/>
    <x v="0"/>
    <s v="P5"/>
    <n v="3"/>
    <n v="1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RWAT"/>
    <x v="508"/>
    <x v="0"/>
    <s v="P6"/>
    <n v="1"/>
    <n v="4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AS"/>
    <x v="509"/>
    <x v="0"/>
    <s v="P2"/>
    <n v="22"/>
    <n v="159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AS"/>
    <x v="509"/>
    <x v="0"/>
    <s v="P3"/>
    <n v="25"/>
    <n v="171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AS"/>
    <x v="509"/>
    <x v="0"/>
    <s v="P4"/>
    <n v="27"/>
    <n v="136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AS"/>
    <x v="509"/>
    <x v="0"/>
    <s v="P5"/>
    <n v="24"/>
    <n v="18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OUA"/>
    <x v="510"/>
    <x v="0"/>
    <s v="P2"/>
    <n v="9"/>
    <n v="59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OUA"/>
    <x v="510"/>
    <x v="0"/>
    <s v="P3"/>
    <n v="4"/>
    <n v="23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GABOUA"/>
    <x v="510"/>
    <x v="0"/>
    <s v="P4"/>
    <n v="51"/>
    <n v="369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OUA"/>
    <x v="510"/>
    <x v="0"/>
    <s v="P5"/>
    <n v="9"/>
    <n v="47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IVOUKIDA"/>
    <x v="511"/>
    <x v="0"/>
    <s v="P2"/>
    <n v="8"/>
    <n v="4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IVOUKIDA"/>
    <x v="511"/>
    <x v="0"/>
    <s v="P3"/>
    <n v="10"/>
    <n v="67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IVOUKIDA"/>
    <x v="511"/>
    <x v="0"/>
    <s v="P4"/>
    <n v="11"/>
    <n v="69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IVOUKIDA"/>
    <x v="511"/>
    <x v="0"/>
    <s v="P5"/>
    <n v="5"/>
    <n v="27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LDALA"/>
    <x v="512"/>
    <x v="0"/>
    <s v="P2"/>
    <n v="17"/>
    <n v="12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LDALA"/>
    <x v="512"/>
    <x v="0"/>
    <s v="P3"/>
    <n v="7"/>
    <n v="48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LDALA"/>
    <x v="512"/>
    <x v="0"/>
    <s v="P4"/>
    <n v="81"/>
    <n v="65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GALDALA"/>
    <x v="512"/>
    <x v="0"/>
    <s v="P5"/>
    <n v="6"/>
    <n v="18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 MLAIL"/>
    <x v="513"/>
    <x v="0"/>
    <s v="P4"/>
    <n v="7"/>
    <n v="44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 MLAIL"/>
    <x v="513"/>
    <x v="0"/>
    <s v="P5"/>
    <n v="3"/>
    <n v="5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GOUSDA MAKANDAI"/>
    <x v="514"/>
    <x v="0"/>
    <s v="P2"/>
    <n v="9"/>
    <n v="78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MAKANDAI"/>
    <x v="514"/>
    <x v="0"/>
    <s v="P3"/>
    <n v="8"/>
    <n v="6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MAKANDAI"/>
    <x v="514"/>
    <x v="0"/>
    <s v="P4"/>
    <n v="6"/>
    <n v="51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MAKANDAI"/>
    <x v="514"/>
    <x v="0"/>
    <s v="P5"/>
    <n v="7"/>
    <n v="27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WAYAM"/>
    <x v="515"/>
    <x v="0"/>
    <s v="P2"/>
    <n v="42"/>
    <n v="289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WAYAM"/>
    <x v="515"/>
    <x v="0"/>
    <s v="P3"/>
    <n v="47"/>
    <n v="358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WAYAM"/>
    <x v="515"/>
    <x v="0"/>
    <s v="P4"/>
    <n v="109"/>
    <n v="733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WAYAM"/>
    <x v="515"/>
    <x v="0"/>
    <s v="P5"/>
    <n v="26"/>
    <n v="54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ETALE"/>
    <x v="516"/>
    <x v="0"/>
    <s v="P2"/>
    <n v="6"/>
    <n v="49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ETALE"/>
    <x v="516"/>
    <x v="0"/>
    <s v="P3"/>
    <n v="4"/>
    <n v="35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GUETALE"/>
    <x v="516"/>
    <x v="0"/>
    <s v="P4"/>
    <n v="10"/>
    <n v="94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ETALE"/>
    <x v="516"/>
    <x v="0"/>
    <s v="P5"/>
    <n v="20"/>
    <n v="109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ID BALA"/>
    <x v="517"/>
    <x v="0"/>
    <s v="P2"/>
    <n v="15"/>
    <n v="117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ID BALA"/>
    <x v="517"/>
    <x v="0"/>
    <s v="P3"/>
    <n v="17"/>
    <n v="139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ID BALA"/>
    <x v="517"/>
    <x v="0"/>
    <s v="P4"/>
    <n v="16"/>
    <n v="12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ID BALA"/>
    <x v="517"/>
    <x v="0"/>
    <s v="P5"/>
    <n v="6"/>
    <n v="38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AMDALA"/>
    <x v="518"/>
    <x v="0"/>
    <s v="P2"/>
    <n v="8"/>
    <n v="7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AMDALA"/>
    <x v="518"/>
    <x v="0"/>
    <s v="P3"/>
    <n v="11"/>
    <n v="106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AMDALA"/>
    <x v="518"/>
    <x v="0"/>
    <s v="P4"/>
    <n v="25"/>
    <n v="218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AMDALA"/>
    <x v="518"/>
    <x v="0"/>
    <s v="P5"/>
    <n v="7"/>
    <n v="44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IRCHE"/>
    <x v="519"/>
    <x v="0"/>
    <s v="P2"/>
    <n v="26"/>
    <n v="29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HIRCHE"/>
    <x v="519"/>
    <x v="0"/>
    <s v="P3"/>
    <n v="56"/>
    <n v="42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HIRCHE"/>
    <x v="519"/>
    <x v="0"/>
    <s v="P4"/>
    <n v="117"/>
    <n v="87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HIRCHE"/>
    <x v="519"/>
    <x v="0"/>
    <s v="P5"/>
    <n v="3"/>
    <n v="12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KAZIER"/>
    <x v="520"/>
    <x v="0"/>
    <s v="P2"/>
    <n v="1"/>
    <n v="7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AZIER"/>
    <x v="520"/>
    <x v="0"/>
    <s v="P3"/>
    <n v="4"/>
    <n v="34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AZIER"/>
    <x v="520"/>
    <x v="0"/>
    <s v="P4"/>
    <n v="3"/>
    <n v="27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AZIER"/>
    <x v="520"/>
    <x v="0"/>
    <s v="P5"/>
    <n v="3"/>
    <n v="14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ECHKEME"/>
    <x v="521"/>
    <x v="0"/>
    <s v="P2"/>
    <n v="6"/>
    <n v="4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ECHKEME"/>
    <x v="521"/>
    <x v="0"/>
    <s v="P3"/>
    <n v="4"/>
    <n v="28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ECHKEME"/>
    <x v="521"/>
    <x v="0"/>
    <s v="P4"/>
    <n v="12"/>
    <n v="10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ECHKEME"/>
    <x v="521"/>
    <x v="0"/>
    <s v="P5"/>
    <n v="7"/>
    <n v="17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ILDA"/>
    <x v="522"/>
    <x v="0"/>
    <s v="P2"/>
    <n v="11"/>
    <n v="83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KILDA"/>
    <x v="522"/>
    <x v="0"/>
    <s v="P3"/>
    <n v="9"/>
    <n v="79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KILDA"/>
    <x v="522"/>
    <x v="0"/>
    <s v="P4"/>
    <n v="35"/>
    <n v="283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ILDA"/>
    <x v="522"/>
    <x v="0"/>
    <s v="P5"/>
    <n v="6"/>
    <n v="26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LAMORDE"/>
    <x v="523"/>
    <x v="0"/>
    <s v="P2"/>
    <n v="68"/>
    <n v="506"/>
    <x v="0"/>
    <s v=""/>
    <s v="meme_arrondissement"/>
    <s v="CMR"/>
    <x v="0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LAMORDE"/>
    <x v="523"/>
    <x v="0"/>
    <s v="P3"/>
    <n v="36"/>
    <n v="272"/>
    <x v="0"/>
    <s v=""/>
    <s v="meme_arrondissement"/>
    <s v="CMR"/>
    <x v="0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LAMORDE"/>
    <x v="523"/>
    <x v="0"/>
    <s v="P4"/>
    <n v="21"/>
    <n v="150"/>
    <x v="0"/>
    <s v=""/>
    <s v="meme_arrondissement"/>
    <s v="CMR"/>
    <x v="0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LAMORDE"/>
    <x v="523"/>
    <x v="0"/>
    <s v="P5"/>
    <n v="6"/>
    <n v="20"/>
    <x v="0"/>
    <s v=""/>
    <s v="meme_arrondissement"/>
    <s v="CMR"/>
    <x v="0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MALTAMAYA"/>
    <x v="524"/>
    <x v="0"/>
    <s v="P2"/>
    <n v="12"/>
    <n v="82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MALTAMAYA"/>
    <x v="524"/>
    <x v="0"/>
    <s v="P3"/>
    <n v="9"/>
    <n v="63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MALTAMAYA"/>
    <x v="524"/>
    <x v="0"/>
    <s v="P4"/>
    <n v="33"/>
    <n v="19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MALTAMAYA"/>
    <x v="524"/>
    <x v="0"/>
    <s v="P5"/>
    <n v="5"/>
    <n v="25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MATALAM"/>
    <x v="525"/>
    <x v="0"/>
    <s v="P3"/>
    <n v="11"/>
    <n v="8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TALAM"/>
    <x v="525"/>
    <x v="0"/>
    <s v="P4"/>
    <n v="13"/>
    <n v="7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TALAM"/>
    <x v="525"/>
    <x v="0"/>
    <s v="P5"/>
    <n v="8"/>
    <n v="28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VOUMAY"/>
    <x v="526"/>
    <x v="0"/>
    <s v="P5"/>
    <n v="21"/>
    <n v="14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WA"/>
    <x v="527"/>
    <x v="0"/>
    <s v="P2"/>
    <n v="29"/>
    <n v="224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WA"/>
    <x v="527"/>
    <x v="0"/>
    <s v="P3"/>
    <n v="23"/>
    <n v="176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WA"/>
    <x v="527"/>
    <x v="0"/>
    <s v="P4"/>
    <n v="42"/>
    <n v="38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WA"/>
    <x v="527"/>
    <x v="0"/>
    <s v="P5"/>
    <n v="15"/>
    <n v="116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ZI"/>
    <x v="528"/>
    <x v="0"/>
    <s v="P2"/>
    <n v="17"/>
    <n v="113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ZI"/>
    <x v="528"/>
    <x v="0"/>
    <s v="P3"/>
    <n v="12"/>
    <n v="91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ZI"/>
    <x v="528"/>
    <x v="0"/>
    <s v="P4"/>
    <n v="10"/>
    <n v="8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ZI"/>
    <x v="528"/>
    <x v="0"/>
    <s v="P5"/>
    <n v="4"/>
    <n v="16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BARDAM"/>
    <x v="529"/>
    <x v="0"/>
    <s v="P2"/>
    <n v="7"/>
    <n v="5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BARDAM"/>
    <x v="529"/>
    <x v="0"/>
    <s v="P3"/>
    <n v="4"/>
    <n v="34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MBARDAM"/>
    <x v="529"/>
    <x v="0"/>
    <s v="P4"/>
    <n v="3"/>
    <n v="14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BARDAM"/>
    <x v="529"/>
    <x v="0"/>
    <s v="P5"/>
    <n v="7"/>
    <n v="29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DOKO"/>
    <x v="530"/>
    <x v="0"/>
    <s v="P2"/>
    <n v="16"/>
    <n v="109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DOKO"/>
    <x v="530"/>
    <x v="0"/>
    <s v="P3"/>
    <n v="30"/>
    <n v="21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DOKO"/>
    <x v="530"/>
    <x v="0"/>
    <s v="P4"/>
    <n v="23"/>
    <n v="15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DOKO"/>
    <x v="530"/>
    <x v="0"/>
    <s v="P5"/>
    <n v="4"/>
    <n v="17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RGO"/>
    <x v="531"/>
    <x v="0"/>
    <s v="P2"/>
    <n v="20"/>
    <n v="154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MORGO"/>
    <x v="531"/>
    <x v="0"/>
    <s v="P3"/>
    <n v="33"/>
    <n v="246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MORGO"/>
    <x v="531"/>
    <x v="0"/>
    <s v="P4"/>
    <n v="97"/>
    <n v="783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MORGO"/>
    <x v="531"/>
    <x v="0"/>
    <s v="P5"/>
    <n v="23"/>
    <n v="137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PAMBAO"/>
    <x v="532"/>
    <x v="0"/>
    <s v="P2"/>
    <n v="60"/>
    <n v="45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PAMBAO"/>
    <x v="532"/>
    <x v="0"/>
    <s v="P3"/>
    <n v="39"/>
    <n v="30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PAMBAO"/>
    <x v="532"/>
    <x v="0"/>
    <s v="P4"/>
    <n v="36"/>
    <n v="268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PAMBAO"/>
    <x v="532"/>
    <x v="0"/>
    <s v="P5"/>
    <n v="17"/>
    <n v="12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TENDEO"/>
    <x v="533"/>
    <x v="0"/>
    <s v="P2"/>
    <n v="12"/>
    <n v="88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TENDEO"/>
    <x v="533"/>
    <x v="0"/>
    <s v="P3"/>
    <n v="8"/>
    <n v="5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TENDEO"/>
    <x v="533"/>
    <x v="0"/>
    <s v="P4"/>
    <n v="23"/>
    <n v="184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TENDEO"/>
    <x v="533"/>
    <x v="0"/>
    <s v="P5"/>
    <n v="4"/>
    <n v="16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ALADE"/>
    <x v="534"/>
    <x v="0"/>
    <s v="P2"/>
    <n v="44"/>
    <n v="319"/>
    <x v="0"/>
    <s v=""/>
    <s v="meme_arrondissement"/>
    <s v="CMR"/>
    <x v="0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WALADE"/>
    <x v="534"/>
    <x v="0"/>
    <s v="P3"/>
    <n v="36"/>
    <n v="274"/>
    <x v="0"/>
    <s v=""/>
    <s v="meme_arrondissement"/>
    <s v="CMR"/>
    <x v="0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WALADE"/>
    <x v="534"/>
    <x v="0"/>
    <s v="P4"/>
    <n v="9"/>
    <n v="46"/>
    <x v="0"/>
    <s v=""/>
    <s v="meme_arrondissement"/>
    <s v="CMR"/>
    <x v="0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WALADE"/>
    <x v="534"/>
    <x v="0"/>
    <s v="P5"/>
    <n v="3"/>
    <n v="7"/>
    <x v="0"/>
    <s v=""/>
    <s v="meme_arrondissement"/>
    <s v="CMR"/>
    <x v="0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WOULAD"/>
    <x v="535"/>
    <x v="0"/>
    <s v="P2"/>
    <n v="18"/>
    <n v="121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OULAD"/>
    <x v="535"/>
    <x v="0"/>
    <s v="P3"/>
    <n v="11"/>
    <n v="83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OULAD"/>
    <x v="535"/>
    <x v="0"/>
    <s v="P4"/>
    <n v="15"/>
    <n v="106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OULAD"/>
    <x v="535"/>
    <x v="0"/>
    <s v="P5"/>
    <n v="5"/>
    <n v="26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YAMEDE"/>
    <x v="536"/>
    <x v="0"/>
    <s v="P2"/>
    <n v="1"/>
    <n v="8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YAMEDE"/>
    <x v="536"/>
    <x v="0"/>
    <s v="P3"/>
    <n v="3"/>
    <n v="14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YAMEDE"/>
    <x v="536"/>
    <x v="0"/>
    <s v="P4"/>
    <n v="6"/>
    <n v="34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YAMEDE"/>
    <x v="536"/>
    <x v="0"/>
    <s v="P5"/>
    <n v="2"/>
    <n v="7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ZILER"/>
    <x v="537"/>
    <x v="0"/>
    <s v="P2"/>
    <n v="24"/>
    <n v="177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ZILER"/>
    <x v="537"/>
    <x v="0"/>
    <s v="P3"/>
    <n v="12"/>
    <n v="9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ZILER"/>
    <x v="537"/>
    <x v="0"/>
    <s v="P4"/>
    <n v="34"/>
    <n v="26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ZILER"/>
    <x v="537"/>
    <x v="0"/>
    <s v="P5"/>
    <n v="3"/>
    <n v="17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BOULA"/>
    <x v="538"/>
    <x v="0"/>
    <s v="P3"/>
    <n v="9"/>
    <n v="45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BOUNGUELRE"/>
    <x v="539"/>
    <x v="0"/>
    <s v="P3"/>
    <n v="19"/>
    <n v="11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BOUNGUELRE"/>
    <x v="539"/>
    <x v="0"/>
    <s v="P4"/>
    <n v="5"/>
    <n v="4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DJALINGO"/>
    <x v="540"/>
    <x v="0"/>
    <s v="P4"/>
    <n v="2"/>
    <n v="14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DJIMETA"/>
    <x v="541"/>
    <x v="0"/>
    <s v="P2"/>
    <n v="27"/>
    <n v="216"/>
    <x v="0"/>
    <s v=""/>
    <s v="meme_arrondissement"/>
    <s v="CMR"/>
    <x v="0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DJIMETA"/>
    <x v="541"/>
    <x v="0"/>
    <s v="P3"/>
    <n v="9"/>
    <n v="72"/>
    <x v="0"/>
    <s v=""/>
    <s v="meme_arrondissement"/>
    <s v="CMR"/>
    <x v="0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DJIMETA"/>
    <x v="541"/>
    <x v="0"/>
    <s v="P4"/>
    <n v="1"/>
    <n v="16"/>
    <x v="0"/>
    <s v=""/>
    <s v="meme_arrondissement"/>
    <s v="CMR"/>
    <x v="0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GAWAR"/>
    <x v="542"/>
    <x v="0"/>
    <s v="P2"/>
    <n v="50"/>
    <n v="25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GAWAR"/>
    <x v="542"/>
    <x v="0"/>
    <s v="P3"/>
    <n v="10"/>
    <n v="5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GAWAR"/>
    <x v="542"/>
    <x v="0"/>
    <s v="P4"/>
    <n v="10"/>
    <n v="5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GOLE KADJOLE"/>
    <x v="543"/>
    <x v="0"/>
    <s v="P2"/>
    <n v="6"/>
    <n v="2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GOLE KADJOLE"/>
    <x v="543"/>
    <x v="0"/>
    <s v="P3"/>
    <n v="3"/>
    <n v="23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ITAWA"/>
    <x v="544"/>
    <x v="0"/>
    <s v="P5"/>
    <n v="256"/>
    <n v="1709"/>
    <x v="0"/>
    <s v=""/>
    <s v="meme_arrondissement"/>
    <s v="CMR"/>
    <x v="0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KOSSOHONE"/>
    <x v="545"/>
    <x v="0"/>
    <s v="P2"/>
    <n v="103"/>
    <n v="51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KOSSOHONE"/>
    <x v="545"/>
    <x v="0"/>
    <s v="P3"/>
    <n v="40"/>
    <n v="20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KOSSOHONE"/>
    <x v="545"/>
    <x v="0"/>
    <s v="P4"/>
    <n v="10"/>
    <n v="5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KOSSOHONE"/>
    <x v="545"/>
    <x v="0"/>
    <s v="P5"/>
    <n v="63"/>
    <n v="31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LAMORDE"/>
    <x v="546"/>
    <x v="0"/>
    <s v="P3"/>
    <n v="56"/>
    <n v="448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LAMORDE"/>
    <x v="546"/>
    <x v="0"/>
    <s v="P4"/>
    <n v="52"/>
    <n v="416"/>
    <x v="0"/>
    <s v=""/>
    <s v="autre_arrondissement"/>
    <s v="CMR"/>
    <x v="0"/>
    <s v="CMR004"/>
    <s v="Extrême-Nord"/>
    <s v="CMR004006"/>
    <s v="Mayo-Tsanaga"/>
    <s v="CMR004006006"/>
    <s v="Soulede-Roua"/>
  </r>
  <r>
    <s v="Extrême-Nord"/>
    <s v="CMR004"/>
    <x v="5"/>
    <s v="CMR004006"/>
    <x v="29"/>
    <s v="CMR004006002"/>
    <s v="LAMORDE"/>
    <x v="546"/>
    <x v="0"/>
    <s v="P5"/>
    <n v="5"/>
    <n v="32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5"/>
    <s v="CMR004006"/>
    <x v="29"/>
    <s v="CMR004006002"/>
    <s v="LAMORDE"/>
    <x v="546"/>
    <x v="0"/>
    <s v="P6"/>
    <n v="7"/>
    <n v="56"/>
    <x v="0"/>
    <s v=""/>
    <s v="autre_departement"/>
    <s v="CMR"/>
    <x v="0"/>
    <s v="CMR004"/>
    <s v="Extrême-Nord"/>
    <s v="CMR004005"/>
    <s v="Mayo-Sava"/>
    <s v="CMR004005002"/>
    <s v="Mora"/>
  </r>
  <r>
    <s v="Extrême-Nord"/>
    <s v="CMR004"/>
    <x v="5"/>
    <s v="CMR004006"/>
    <x v="29"/>
    <s v="CMR004006002"/>
    <s v="MAGOUMAZ"/>
    <x v="547"/>
    <x v="0"/>
    <s v="P3"/>
    <n v="50"/>
    <n v="30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GOUMAZ"/>
    <x v="547"/>
    <x v="0"/>
    <s v="P4"/>
    <n v="41"/>
    <n v="24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GOUMAZ"/>
    <x v="547"/>
    <x v="0"/>
    <s v="P5"/>
    <n v="1"/>
    <n v="6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INDEZE"/>
    <x v="548"/>
    <x v="0"/>
    <s v="P2"/>
    <n v="5"/>
    <n v="34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INDEZE"/>
    <x v="548"/>
    <x v="0"/>
    <s v="P3"/>
    <n v="3"/>
    <n v="2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INDEZE"/>
    <x v="548"/>
    <x v="0"/>
    <s v="P4"/>
    <n v="2"/>
    <n v="14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INDEZE"/>
    <x v="548"/>
    <x v="0"/>
    <s v="P5"/>
    <n v="2"/>
    <n v="1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VOUMAY"/>
    <x v="549"/>
    <x v="0"/>
    <s v="P2"/>
    <n v="15"/>
    <n v="7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VOUMAY"/>
    <x v="549"/>
    <x v="0"/>
    <s v="P3"/>
    <n v="8"/>
    <n v="4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VOUMAY"/>
    <x v="549"/>
    <x v="0"/>
    <s v="P4"/>
    <n v="1"/>
    <n v="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XI MABASS"/>
    <x v="550"/>
    <x v="0"/>
    <s v="P2"/>
    <n v="97"/>
    <n v="48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XI MABASS"/>
    <x v="550"/>
    <x v="0"/>
    <s v="P3"/>
    <n v="27"/>
    <n v="130"/>
    <x v="0"/>
    <s v=""/>
    <s v="meme_arrondissement"/>
    <s v="CMR"/>
    <x v="0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MAXI MABASS"/>
    <x v="550"/>
    <x v="0"/>
    <s v="P4"/>
    <n v="18"/>
    <n v="9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BOUA ZIMAGAZAK"/>
    <x v="551"/>
    <x v="0"/>
    <s v="P2"/>
    <n v="22"/>
    <n v="13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BOUA ZIMAGAZAK"/>
    <x v="551"/>
    <x v="0"/>
    <s v="P3"/>
    <n v="12"/>
    <n v="6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BOUA ZIMAGAZAK"/>
    <x v="551"/>
    <x v="0"/>
    <s v="P4"/>
    <n v="6"/>
    <n v="36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OKONG"/>
    <x v="552"/>
    <x v="0"/>
    <s v="P2"/>
    <n v="2"/>
    <n v="1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OKONG"/>
    <x v="552"/>
    <x v="0"/>
    <s v="P3"/>
    <n v="8"/>
    <n v="4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MOKONG"/>
    <x v="552"/>
    <x v="0"/>
    <s v="P4"/>
    <n v="4"/>
    <n v="2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NASSARAO 1"/>
    <x v="553"/>
    <x v="0"/>
    <s v="P3"/>
    <n v="17"/>
    <n v="102"/>
    <x v="0"/>
    <s v=""/>
    <s v="meme_arrondissement"/>
    <s v="CMR"/>
    <x v="0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NASSARAO 2"/>
    <x v="554"/>
    <x v="0"/>
    <s v="P3"/>
    <n v="3"/>
    <n v="1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OURO KESSOUM"/>
    <x v="555"/>
    <x v="0"/>
    <s v="P2"/>
    <n v="30"/>
    <n v="18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OURO KESSOUM"/>
    <x v="555"/>
    <x v="0"/>
    <s v="P3"/>
    <n v="25"/>
    <n v="15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OURO KESSOUM"/>
    <x v="555"/>
    <x v="0"/>
    <s v="P4"/>
    <n v="5"/>
    <n v="3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OURO KESSOUM"/>
    <x v="555"/>
    <x v="0"/>
    <s v="P5"/>
    <n v="2"/>
    <n v="1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OURO TADA"/>
    <x v="556"/>
    <x v="0"/>
    <s v="P2"/>
    <n v="6"/>
    <n v="48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OURO TADA"/>
    <x v="556"/>
    <x v="0"/>
    <s v="P3"/>
    <n v="16"/>
    <n v="128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OURO TADA"/>
    <x v="556"/>
    <x v="0"/>
    <s v="P4"/>
    <n v="17"/>
    <n v="136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SABONGARI"/>
    <x v="557"/>
    <x v="0"/>
    <s v="P2"/>
    <n v="27"/>
    <n v="13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SABONGARI"/>
    <x v="557"/>
    <x v="0"/>
    <s v="P3"/>
    <n v="9"/>
    <n v="4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SARKI FADA"/>
    <x v="558"/>
    <x v="0"/>
    <s v="P2"/>
    <n v="15"/>
    <n v="7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SARKI FADA"/>
    <x v="558"/>
    <x v="0"/>
    <s v="P3"/>
    <n v="15"/>
    <n v="7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TONGO"/>
    <x v="559"/>
    <x v="0"/>
    <s v="P2"/>
    <n v="9"/>
    <n v="6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TONGO"/>
    <x v="559"/>
    <x v="0"/>
    <s v="P3"/>
    <n v="8"/>
    <n v="44"/>
    <x v="0"/>
    <s v=""/>
    <s v="autre_arrondissement"/>
    <s v="CMR"/>
    <x v="0"/>
    <s v="CMR004"/>
    <s v="Extrême-Nord"/>
    <s v="CMR004006"/>
    <s v="Mayo-Tsanaga"/>
    <s v="CMR004006006"/>
    <s v="Soulede-Roua"/>
  </r>
  <r>
    <s v="Extrême-Nord"/>
    <s v="CMR004"/>
    <x v="5"/>
    <s v="CMR004006"/>
    <x v="29"/>
    <s v="CMR004006002"/>
    <s v="TONGO"/>
    <x v="559"/>
    <x v="0"/>
    <s v="P4"/>
    <n v="3"/>
    <n v="22"/>
    <x v="0"/>
    <s v=""/>
    <s v="meme_arrondissement"/>
    <s v="CMR"/>
    <x v="0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TOUFOU"/>
    <x v="560"/>
    <x v="0"/>
    <s v="P2"/>
    <n v="25"/>
    <n v="13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TOUFOU"/>
    <x v="560"/>
    <x v="0"/>
    <s v="P3"/>
    <n v="15"/>
    <n v="6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TOUFOU"/>
    <x v="560"/>
    <x v="0"/>
    <s v="P4"/>
    <n v="9"/>
    <n v="43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TOUROU"/>
    <x v="561"/>
    <x v="0"/>
    <s v="P2"/>
    <n v="35"/>
    <n v="210"/>
    <x v="0"/>
    <s v=""/>
    <s v="autre_arrondissement"/>
    <s v="CMR"/>
    <x v="0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TOUROU"/>
    <x v="561"/>
    <x v="0"/>
    <s v="P3"/>
    <n v="25"/>
    <n v="146"/>
    <x v="0"/>
    <s v=""/>
    <s v="autre_arrondissement"/>
    <s v="CMR"/>
    <x v="0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WANDAI"/>
    <x v="562"/>
    <x v="0"/>
    <s v="P2"/>
    <n v="25"/>
    <n v="12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WANDAI"/>
    <x v="562"/>
    <x v="0"/>
    <s v="P3"/>
    <n v="5"/>
    <n v="2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WOULA"/>
    <x v="563"/>
    <x v="0"/>
    <s v="P2"/>
    <n v="200"/>
    <n v="100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WOULA"/>
    <x v="563"/>
    <x v="0"/>
    <s v="P3"/>
    <n v="60"/>
    <n v="30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WOULA"/>
    <x v="563"/>
    <x v="0"/>
    <s v="P5"/>
    <n v="3"/>
    <n v="26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ZAMAI"/>
    <x v="564"/>
    <x v="0"/>
    <s v="P2"/>
    <n v="39"/>
    <n v="15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ZAMAI"/>
    <x v="564"/>
    <x v="0"/>
    <s v="P3"/>
    <n v="15"/>
    <n v="75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ZAMAI"/>
    <x v="564"/>
    <x v="0"/>
    <s v="P4"/>
    <n v="69"/>
    <n v="229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ZAMAI"/>
    <x v="564"/>
    <x v="0"/>
    <s v="P5"/>
    <n v="30"/>
    <n v="157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ZAMAI"/>
    <x v="564"/>
    <x v="0"/>
    <s v="P6"/>
    <n v="57"/>
    <n v="28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ASSIGHASSIA"/>
    <x v="565"/>
    <x v="0"/>
    <s v="P4"/>
    <n v="87"/>
    <n v="49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ASSIGHASSIA"/>
    <x v="565"/>
    <x v="0"/>
    <s v="P5"/>
    <n v="200"/>
    <n v="1467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BAVONGOLA"/>
    <x v="566"/>
    <x v="0"/>
    <s v="P3"/>
    <n v="2"/>
    <n v="13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BAVONGOLA"/>
    <x v="566"/>
    <x v="0"/>
    <s v="P4"/>
    <n v="12"/>
    <n v="63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BAVONGOLA"/>
    <x v="566"/>
    <x v="0"/>
    <s v="P5"/>
    <n v="7"/>
    <n v="34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BAVONGOLA"/>
    <x v="566"/>
    <x v="0"/>
    <s v="P6"/>
    <n v="11"/>
    <n v="58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DEKERE"/>
    <x v="567"/>
    <x v="0"/>
    <s v="P2"/>
    <n v="91"/>
    <n v="455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DEKERE"/>
    <x v="567"/>
    <x v="0"/>
    <s v="P3"/>
    <n v="44"/>
    <n v="22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DEKERE"/>
    <x v="567"/>
    <x v="0"/>
    <s v="P4"/>
    <n v="1"/>
    <n v="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DEKERE"/>
    <x v="567"/>
    <x v="0"/>
    <s v="P5"/>
    <n v="6"/>
    <n v="3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DZAMADZAF"/>
    <x v="568"/>
    <x v="0"/>
    <s v="P2"/>
    <n v="39"/>
    <n v="195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DZAMADZAF"/>
    <x v="568"/>
    <x v="0"/>
    <s v="P3"/>
    <n v="17"/>
    <n v="8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DZAMADZAF"/>
    <x v="568"/>
    <x v="0"/>
    <s v="P4"/>
    <n v="19"/>
    <n v="95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DZAMADZAF"/>
    <x v="568"/>
    <x v="0"/>
    <s v="P5"/>
    <n v="5"/>
    <n v="25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GOKORO"/>
    <x v="569"/>
    <x v="0"/>
    <s v="P2"/>
    <n v="27"/>
    <n v="13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KORO"/>
    <x v="569"/>
    <x v="0"/>
    <s v="P3"/>
    <n v="29"/>
    <n v="14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KORO"/>
    <x v="569"/>
    <x v="0"/>
    <s v="P4"/>
    <n v="10"/>
    <n v="52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KORO"/>
    <x v="569"/>
    <x v="0"/>
    <s v="P5"/>
    <n v="8"/>
    <n v="4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LDAVI"/>
    <x v="570"/>
    <x v="0"/>
    <s v="P2"/>
    <n v="22"/>
    <n v="11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GOLDAVI"/>
    <x v="570"/>
    <x v="0"/>
    <s v="P3"/>
    <n v="14"/>
    <n v="7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LDAVI"/>
    <x v="570"/>
    <x v="0"/>
    <s v="P4"/>
    <n v="3"/>
    <n v="15"/>
    <x v="0"/>
    <s v=""/>
    <s v="autre_arrondissement"/>
    <s v="CMR"/>
    <x v="0"/>
    <s v="CMR004"/>
    <s v="Extrême-Nord"/>
    <s v="CMR004006"/>
    <s v="Mayo-Tsanaga"/>
    <s v="CMR004006002"/>
    <s v="Mokolo"/>
  </r>
  <r>
    <s v="Extrême-Nord"/>
    <s v="CMR004"/>
    <x v="5"/>
    <s v="CMR004006"/>
    <x v="30"/>
    <s v="CMR004006005"/>
    <s v="GOLDAVI"/>
    <x v="570"/>
    <x v="0"/>
    <s v="P5"/>
    <n v="9"/>
    <n v="45"/>
    <x v="0"/>
    <s v=""/>
    <s v="autre_arrondissement"/>
    <s v="CMR"/>
    <x v="0"/>
    <s v="CMR004"/>
    <s v="Extrême-Nord"/>
    <s v="CMR004006"/>
    <s v="Mayo-Tsanaga"/>
    <s v="CMR004006004"/>
    <s v="Koza"/>
  </r>
  <r>
    <s v="Extrême-Nord"/>
    <s v="CMR004"/>
    <x v="5"/>
    <s v="CMR004006"/>
    <x v="30"/>
    <s v="CMR004006005"/>
    <s v="GOLKIDAYE"/>
    <x v="571"/>
    <x v="0"/>
    <s v="P2"/>
    <n v="19"/>
    <n v="9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LKIDAYE"/>
    <x v="571"/>
    <x v="0"/>
    <s v="P5"/>
    <n v="8"/>
    <n v="41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HITERE"/>
    <x v="572"/>
    <x v="0"/>
    <s v="P2"/>
    <n v="38"/>
    <n v="213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HITERE"/>
    <x v="572"/>
    <x v="0"/>
    <s v="P3"/>
    <n v="16"/>
    <n v="92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HITERE"/>
    <x v="572"/>
    <x v="0"/>
    <s v="P4"/>
    <n v="19"/>
    <n v="102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HITERE"/>
    <x v="572"/>
    <x v="0"/>
    <s v="P5"/>
    <n v="8"/>
    <n v="4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HITERE"/>
    <x v="572"/>
    <x v="0"/>
    <s v="P6"/>
    <n v="8"/>
    <n v="42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ARAZAWA"/>
    <x v="573"/>
    <x v="0"/>
    <s v="P2"/>
    <n v="6"/>
    <n v="3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ARAZAWA"/>
    <x v="573"/>
    <x v="0"/>
    <s v="P3"/>
    <n v="4"/>
    <n v="2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ARAZAWA"/>
    <x v="573"/>
    <x v="0"/>
    <s v="P4"/>
    <n v="1"/>
    <n v="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ARAZAWA"/>
    <x v="573"/>
    <x v="0"/>
    <s v="P5"/>
    <n v="1"/>
    <n v="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LARI"/>
    <x v="574"/>
    <x v="0"/>
    <s v="P2"/>
    <n v="39"/>
    <n v="19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LARI"/>
    <x v="574"/>
    <x v="0"/>
    <s v="P3"/>
    <n v="18"/>
    <n v="9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LARI"/>
    <x v="574"/>
    <x v="0"/>
    <s v="P4"/>
    <n v="5"/>
    <n v="2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LARI"/>
    <x v="574"/>
    <x v="0"/>
    <s v="P5"/>
    <n v="7"/>
    <n v="3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REWA-MAFA"/>
    <x v="575"/>
    <x v="0"/>
    <s v="P2"/>
    <n v="63"/>
    <n v="334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REWA-MAFA"/>
    <x v="575"/>
    <x v="0"/>
    <s v="P3"/>
    <n v="80"/>
    <n v="439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REWA-MAFA"/>
    <x v="575"/>
    <x v="0"/>
    <s v="P4"/>
    <n v="49"/>
    <n v="239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REWA-MAFA"/>
    <x v="575"/>
    <x v="0"/>
    <s v="P5"/>
    <n v="10"/>
    <n v="5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REWA-MAFA"/>
    <x v="575"/>
    <x v="0"/>
    <s v="P6"/>
    <n v="7"/>
    <n v="34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ORSAMBA"/>
    <x v="576"/>
    <x v="0"/>
    <s v="P2"/>
    <n v="19"/>
    <n v="95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KORSAMBA"/>
    <x v="576"/>
    <x v="0"/>
    <s v="P3"/>
    <n v="14"/>
    <n v="7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ORSAMBA"/>
    <x v="576"/>
    <x v="0"/>
    <s v="P4"/>
    <n v="6"/>
    <n v="3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KORSAMBA"/>
    <x v="576"/>
    <x v="0"/>
    <s v="P5"/>
    <n v="6"/>
    <n v="3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ADAKAR"/>
    <x v="577"/>
    <x v="0"/>
    <s v="P2"/>
    <n v="2"/>
    <n v="1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DAKAR"/>
    <x v="577"/>
    <x v="0"/>
    <s v="P3"/>
    <n v="3"/>
    <n v="1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DAKAR"/>
    <x v="577"/>
    <x v="0"/>
    <s v="P4"/>
    <n v="2"/>
    <n v="1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NDOUSSA"/>
    <x v="578"/>
    <x v="0"/>
    <s v="P2"/>
    <n v="6"/>
    <n v="3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NDOUSSA"/>
    <x v="578"/>
    <x v="0"/>
    <s v="P3"/>
    <n v="8"/>
    <n v="4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NDOUSSA"/>
    <x v="578"/>
    <x v="0"/>
    <s v="P4"/>
    <n v="3"/>
    <n v="1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NDOUSSA"/>
    <x v="578"/>
    <x v="0"/>
    <s v="P5"/>
    <n v="7"/>
    <n v="3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WA"/>
    <x v="579"/>
    <x v="0"/>
    <s v="P2"/>
    <n v="67"/>
    <n v="33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WA"/>
    <x v="579"/>
    <x v="0"/>
    <s v="P3"/>
    <n v="37"/>
    <n v="18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WA"/>
    <x v="579"/>
    <x v="0"/>
    <s v="P4"/>
    <n v="18"/>
    <n v="9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WA"/>
    <x v="579"/>
    <x v="0"/>
    <s v="P5"/>
    <n v="9"/>
    <n v="4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WA"/>
    <x v="579"/>
    <x v="0"/>
    <s v="P6"/>
    <n v="2"/>
    <n v="14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EDEGOUER"/>
    <x v="580"/>
    <x v="0"/>
    <s v="P2"/>
    <n v="5"/>
    <n v="2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EDEGOUER"/>
    <x v="580"/>
    <x v="0"/>
    <s v="P3"/>
    <n v="8"/>
    <n v="4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EDEGOUER"/>
    <x v="580"/>
    <x v="0"/>
    <s v="P5"/>
    <n v="3"/>
    <n v="1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SKOTA"/>
    <x v="581"/>
    <x v="0"/>
    <s v="P2"/>
    <n v="102"/>
    <n v="51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OSKOTA"/>
    <x v="581"/>
    <x v="0"/>
    <s v="P3"/>
    <n v="24"/>
    <n v="12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OSKOTA"/>
    <x v="581"/>
    <x v="0"/>
    <s v="P4"/>
    <n v="12"/>
    <n v="74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SKOTA"/>
    <x v="581"/>
    <x v="0"/>
    <s v="P5"/>
    <n v="14"/>
    <n v="7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SKOTA"/>
    <x v="581"/>
    <x v="0"/>
    <s v="P6"/>
    <n v="32"/>
    <n v="163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GUIDBALA"/>
    <x v="582"/>
    <x v="0"/>
    <s v="P2"/>
    <n v="30"/>
    <n v="15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OZOGO GUIDBALA"/>
    <x v="582"/>
    <x v="0"/>
    <s v="P3"/>
    <n v="45"/>
    <n v="22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GUIDBALA"/>
    <x v="582"/>
    <x v="0"/>
    <s v="P4"/>
    <n v="18"/>
    <n v="94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GUIDBALA"/>
    <x v="582"/>
    <x v="0"/>
    <s v="P5"/>
    <n v="14"/>
    <n v="76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OZOGO QUARTIER HAOUSSA"/>
    <x v="583"/>
    <x v="0"/>
    <s v="P2"/>
    <n v="253"/>
    <n v="126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QUARTIER HAOUSSA"/>
    <x v="583"/>
    <x v="0"/>
    <s v="P3"/>
    <n v="28"/>
    <n v="14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OZOGO QUARTIER HAOUSSA"/>
    <x v="583"/>
    <x v="0"/>
    <s v="P4"/>
    <n v="6"/>
    <n v="31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QUARTIER HAOUSSA"/>
    <x v="583"/>
    <x v="0"/>
    <s v="P5"/>
    <n v="13"/>
    <n v="67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TCHEKODE"/>
    <x v="584"/>
    <x v="0"/>
    <s v="P2"/>
    <n v="42"/>
    <n v="21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TCHEKODE"/>
    <x v="584"/>
    <x v="0"/>
    <s v="P3"/>
    <n v="18"/>
    <n v="9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OZOGO TCHEKODE"/>
    <x v="584"/>
    <x v="0"/>
    <s v="P4"/>
    <n v="29"/>
    <n v="15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TCHEKODE"/>
    <x v="584"/>
    <x v="0"/>
    <s v="P5"/>
    <n v="8"/>
    <n v="41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NGUETCHEWE"/>
    <x v="585"/>
    <x v="0"/>
    <s v="P2"/>
    <n v="85"/>
    <n v="42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NGUETCHEWE"/>
    <x v="585"/>
    <x v="0"/>
    <s v="P3"/>
    <n v="25"/>
    <n v="12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NGUETCHEWE"/>
    <x v="585"/>
    <x v="0"/>
    <s v="P4"/>
    <n v="10"/>
    <n v="59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NGUETCHEWE"/>
    <x v="585"/>
    <x v="0"/>
    <s v="P5"/>
    <n v="18"/>
    <n v="98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OUZAL"/>
    <x v="586"/>
    <x v="0"/>
    <s v="P3"/>
    <n v="37"/>
    <n v="18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OUZAL"/>
    <x v="586"/>
    <x v="0"/>
    <s v="P4"/>
    <n v="2"/>
    <n v="13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OUZAL"/>
    <x v="586"/>
    <x v="0"/>
    <s v="P5"/>
    <n v="1"/>
    <n v="2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OUZAL"/>
    <x v="586"/>
    <x v="0"/>
    <s v="P6"/>
    <n v="2"/>
    <n v="13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VOUZI"/>
    <x v="587"/>
    <x v="0"/>
    <s v="P2"/>
    <n v="6"/>
    <n v="30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VOUZI"/>
    <x v="587"/>
    <x v="0"/>
    <s v="P3"/>
    <n v="3"/>
    <n v="1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VOUZI"/>
    <x v="587"/>
    <x v="0"/>
    <s v="P4"/>
    <n v="3"/>
    <n v="15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WOUDAL"/>
    <x v="588"/>
    <x v="0"/>
    <s v="P3"/>
    <n v="16"/>
    <n v="88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WOUDAL"/>
    <x v="588"/>
    <x v="0"/>
    <s v="P4"/>
    <n v="2"/>
    <n v="9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WOUDAL"/>
    <x v="588"/>
    <x v="0"/>
    <s v="P5"/>
    <n v="3"/>
    <n v="17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YAMGAZAWA"/>
    <x v="589"/>
    <x v="0"/>
    <s v="P5"/>
    <n v="2"/>
    <n v="1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YAMGAZAWA"/>
    <x v="589"/>
    <x v="0"/>
    <s v="P6"/>
    <n v="1"/>
    <n v="6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ZELEWET"/>
    <x v="590"/>
    <x v="0"/>
    <s v="P2"/>
    <n v="3"/>
    <n v="14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ZELEWET"/>
    <x v="590"/>
    <x v="0"/>
    <s v="P4"/>
    <n v="6"/>
    <n v="34"/>
    <x v="0"/>
    <s v=""/>
    <s v="mem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BAO VARA"/>
    <x v="591"/>
    <x v="0"/>
    <s v="P2"/>
    <n v="5"/>
    <n v="2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1"/>
    <s v="CMR004006006"/>
    <s v="BAO VARA"/>
    <x v="591"/>
    <x v="0"/>
    <s v="P3"/>
    <n v="17"/>
    <n v="70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1"/>
    <s v="CMR004006006"/>
    <s v="BAO VARA"/>
    <x v="591"/>
    <x v="0"/>
    <s v="P4"/>
    <n v="11"/>
    <n v="40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BAO VARA"/>
    <x v="591"/>
    <x v="0"/>
    <s v="P5"/>
    <n v="7"/>
    <n v="37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DOUMGAR"/>
    <x v="592"/>
    <x v="0"/>
    <s v="P3"/>
    <n v="17"/>
    <n v="53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GOLIBAI"/>
    <x v="593"/>
    <x v="0"/>
    <s v="P4"/>
    <n v="40"/>
    <n v="187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GOLIBAI"/>
    <x v="593"/>
    <x v="0"/>
    <s v="P5"/>
    <n v="4"/>
    <n v="21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MADOKONAI 1"/>
    <x v="594"/>
    <x v="0"/>
    <s v="P3"/>
    <n v="8"/>
    <n v="41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MADOKONAI 1"/>
    <x v="594"/>
    <x v="0"/>
    <s v="P4"/>
    <n v="3"/>
    <n v="11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OUDOUMDJARAY"/>
    <x v="595"/>
    <x v="0"/>
    <s v="P3"/>
    <n v="3"/>
    <n v="18"/>
    <x v="0"/>
    <s v=""/>
    <s v="autre_departement"/>
    <s v="CMR"/>
    <x v="0"/>
    <s v="CMR004"/>
    <s v="Extrême-Nord"/>
    <s v="CMR004005"/>
    <s v="Mayo-Sava"/>
    <s v="CMR004005001"/>
    <s v="Kolofata"/>
  </r>
  <r>
    <s v="Extrême-Nord"/>
    <s v="CMR004"/>
    <x v="5"/>
    <s v="CMR004006"/>
    <x v="31"/>
    <s v="CMR004006006"/>
    <s v="ROUA CENTRE"/>
    <x v="596"/>
    <x v="0"/>
    <s v="P3"/>
    <n v="26"/>
    <n v="186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ROUA CENTRE"/>
    <x v="596"/>
    <x v="0"/>
    <s v="P4"/>
    <n v="9"/>
    <n v="5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SOULEDE"/>
    <x v="597"/>
    <x v="0"/>
    <s v="P3"/>
    <n v="4"/>
    <n v="12"/>
    <x v="0"/>
    <s v=""/>
    <s v="autre_arrondissement"/>
    <s v="CMR"/>
    <x v="0"/>
    <s v="CMR004"/>
    <s v="Extrême-Nord"/>
    <s v="CMR004006"/>
    <s v="Mayo-Tsanaga"/>
    <s v="CMR004006005"/>
    <s v="Mozogo"/>
  </r>
  <r>
    <s v="Extrême-Nord"/>
    <s v="CMR004"/>
    <x v="0"/>
    <s v="CMR004001"/>
    <x v="4"/>
    <s v="CMR004001003"/>
    <s v="ALAGARNO"/>
    <x v="13"/>
    <x v="1"/>
    <s v="P4"/>
    <n v="2"/>
    <n v="11"/>
    <x v="0"/>
    <s v=""/>
    <s v="autre_pays"/>
    <s v="TCD"/>
    <x v="1"/>
    <s v="TCD"/>
    <s v="Mayo Kebbi Est"/>
    <s v=""/>
    <s v=""/>
    <s v=""/>
    <s v=""/>
  </r>
  <r>
    <s v="Extrême-Nord"/>
    <s v="CMR004"/>
    <x v="0"/>
    <s v="CMR004001"/>
    <x v="4"/>
    <s v="CMR004001003"/>
    <s v="DJABIRE"/>
    <x v="598"/>
    <x v="1"/>
    <s v="P3"/>
    <n v="22"/>
    <n v="218"/>
    <x v="0"/>
    <s v=""/>
    <s v="autre_pays"/>
    <s v="NGA"/>
    <x v="2"/>
    <s v="NGA"/>
    <s v="Borno"/>
    <s v=""/>
    <s v=""/>
    <s v=""/>
    <s v=""/>
  </r>
  <r>
    <s v="Extrême-Nord"/>
    <s v="CMR004"/>
    <x v="0"/>
    <s v="CMR004001"/>
    <x v="4"/>
    <s v="CMR004001003"/>
    <s v="DJABIRE"/>
    <x v="598"/>
    <x v="1"/>
    <s v="P5"/>
    <n v="2"/>
    <n v="2"/>
    <x v="0"/>
    <s v=""/>
    <s v="autre_pays"/>
    <s v="NGA"/>
    <x v="2"/>
    <s v="NGA"/>
    <s v="Borno"/>
    <s v=""/>
    <s v=""/>
    <s v=""/>
    <s v=""/>
  </r>
  <r>
    <s v="Extrême-Nord"/>
    <s v="CMR004"/>
    <x v="0"/>
    <s v="CMR004001"/>
    <x v="4"/>
    <s v="CMR004001003"/>
    <s v="HAOUSSARE"/>
    <x v="599"/>
    <x v="1"/>
    <s v="P6"/>
    <n v="1"/>
    <n v="3"/>
    <x v="0"/>
    <s v=""/>
    <s v="autre_pays"/>
    <s v="NGA"/>
    <x v="2"/>
    <s v="NGA"/>
    <s v="Borno"/>
    <s v=""/>
    <s v=""/>
    <s v=""/>
    <s v=""/>
  </r>
  <r>
    <s v="Extrême-Nord"/>
    <s v="CMR004"/>
    <x v="0"/>
    <s v="CMR004001"/>
    <x v="4"/>
    <s v="CMR004001003"/>
    <s v="KLISSAWA"/>
    <x v="23"/>
    <x v="1"/>
    <s v="P4"/>
    <n v="1"/>
    <n v="6"/>
    <x v="0"/>
    <s v=""/>
    <s v="autre_pays"/>
    <s v="NGA"/>
    <x v="2"/>
    <s v="NGA"/>
    <s v="Borno"/>
    <s v=""/>
    <s v=""/>
    <s v=""/>
    <s v=""/>
  </r>
  <r>
    <s v="Extrême-Nord"/>
    <s v="CMR004"/>
    <x v="0"/>
    <s v="CMR004001"/>
    <x v="4"/>
    <s v="CMR004001003"/>
    <s v="MOURGOUT"/>
    <x v="31"/>
    <x v="1"/>
    <s v="P5"/>
    <n v="2"/>
    <n v="13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BLANGOUA"/>
    <x v="38"/>
    <x v="1"/>
    <s v="P2"/>
    <n v="84"/>
    <n v="371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BLANGOUA"/>
    <x v="38"/>
    <x v="1"/>
    <s v="P3"/>
    <n v="17"/>
    <n v="7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BLANGOUA"/>
    <x v="38"/>
    <x v="1"/>
    <s v="P4"/>
    <n v="2"/>
    <n v="1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BLANGOUA"/>
    <x v="38"/>
    <x v="1"/>
    <s v="P5"/>
    <n v="5"/>
    <n v="23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BLARAM"/>
    <x v="40"/>
    <x v="1"/>
    <s v="P2"/>
    <n v="1"/>
    <n v="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CHAOUE"/>
    <x v="41"/>
    <x v="1"/>
    <s v="P3"/>
    <n v="1"/>
    <n v="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GORE KOUBOU"/>
    <x v="42"/>
    <x v="1"/>
    <s v="P2"/>
    <n v="2"/>
    <n v="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KINZAYAKOU"/>
    <x v="43"/>
    <x v="1"/>
    <s v="P3"/>
    <n v="2"/>
    <n v="1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KOFIA"/>
    <x v="45"/>
    <x v="1"/>
    <s v="P2"/>
    <n v="7"/>
    <n v="3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KOFIA"/>
    <x v="45"/>
    <x v="1"/>
    <s v="P3"/>
    <n v="10"/>
    <n v="4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KOFIA"/>
    <x v="45"/>
    <x v="1"/>
    <s v="P4"/>
    <n v="9"/>
    <n v="73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KOFIA"/>
    <x v="45"/>
    <x v="1"/>
    <s v="P5"/>
    <n v="7"/>
    <n v="3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KOUTOULA"/>
    <x v="46"/>
    <x v="1"/>
    <s v="P2"/>
    <n v="2"/>
    <n v="19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KOUTOULA"/>
    <x v="46"/>
    <x v="1"/>
    <s v="P3"/>
    <n v="1"/>
    <n v="9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KOUTOULA"/>
    <x v="46"/>
    <x v="1"/>
    <s v="P4"/>
    <n v="1"/>
    <n v="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KOUTOULA"/>
    <x v="46"/>
    <x v="1"/>
    <s v="P5"/>
    <n v="1"/>
    <n v="3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TCHOLLORE"/>
    <x v="51"/>
    <x v="1"/>
    <s v="P4"/>
    <n v="7"/>
    <n v="3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TCHOLLORE"/>
    <x v="51"/>
    <x v="1"/>
    <s v="P5"/>
    <n v="2"/>
    <n v="9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WAYA-WAYA"/>
    <x v="52"/>
    <x v="1"/>
    <s v="P3"/>
    <n v="7"/>
    <n v="5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5"/>
    <s v="CMR004002003"/>
    <s v="WAYA-WAYA"/>
    <x v="52"/>
    <x v="1"/>
    <s v="P4"/>
    <n v="3"/>
    <n v="2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BOUSSAYA"/>
    <x v="55"/>
    <x v="1"/>
    <s v="P3"/>
    <n v="7"/>
    <n v="4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BOUSSAYA"/>
    <x v="55"/>
    <x v="1"/>
    <s v="P4"/>
    <n v="4"/>
    <n v="2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DOLE-ABOUNA"/>
    <x v="58"/>
    <x v="1"/>
    <s v="P3"/>
    <n v="4"/>
    <n v="1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DOLE-ABOUNA"/>
    <x v="58"/>
    <x v="1"/>
    <s v="P4"/>
    <n v="2"/>
    <n v="1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DORO LIMANE"/>
    <x v="59"/>
    <x v="1"/>
    <s v="P1"/>
    <n v="3"/>
    <n v="2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DORO LIMANE"/>
    <x v="59"/>
    <x v="1"/>
    <s v="P2"/>
    <n v="7"/>
    <n v="5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DORO LIMANE"/>
    <x v="59"/>
    <x v="1"/>
    <s v="P3"/>
    <n v="6"/>
    <n v="4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DORO LIMANE"/>
    <x v="59"/>
    <x v="1"/>
    <s v="P5"/>
    <n v="2"/>
    <n v="11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GORE TCHANDI"/>
    <x v="60"/>
    <x v="1"/>
    <s v="P1"/>
    <n v="4"/>
    <n v="5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GORE TCHANDI"/>
    <x v="60"/>
    <x v="1"/>
    <s v="P2"/>
    <n v="16"/>
    <n v="14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GORE TCHANDI"/>
    <x v="60"/>
    <x v="1"/>
    <s v="P3"/>
    <n v="4"/>
    <n v="43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HIL-WANZAN"/>
    <x v="61"/>
    <x v="1"/>
    <s v="P2"/>
    <n v="11"/>
    <n v="7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KARENA"/>
    <x v="63"/>
    <x v="1"/>
    <s v="P3"/>
    <n v="5"/>
    <n v="3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KATIKIME 1"/>
    <x v="64"/>
    <x v="1"/>
    <s v="P2"/>
    <n v="2"/>
    <n v="1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KATIKIME 2"/>
    <x v="65"/>
    <x v="1"/>
    <s v="P2"/>
    <n v="6"/>
    <n v="4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KATIKIME 2"/>
    <x v="65"/>
    <x v="1"/>
    <s v="P4"/>
    <n v="1"/>
    <n v="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KOUNDJARA"/>
    <x v="66"/>
    <x v="1"/>
    <s v="P2"/>
    <n v="2"/>
    <n v="1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KOUNDJARA"/>
    <x v="66"/>
    <x v="1"/>
    <s v="P3"/>
    <n v="4"/>
    <n v="2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MAGALA-KABIR 1"/>
    <x v="68"/>
    <x v="1"/>
    <s v="P3"/>
    <n v="4"/>
    <n v="2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MAGALA-KABIR 2"/>
    <x v="69"/>
    <x v="1"/>
    <s v="P4"/>
    <n v="3"/>
    <n v="1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TOROROYA"/>
    <x v="73"/>
    <x v="1"/>
    <s v="P3"/>
    <n v="4"/>
    <n v="2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6"/>
    <s v="CMR004002007"/>
    <s v="TOROROYA"/>
    <x v="73"/>
    <x v="1"/>
    <s v="P5"/>
    <n v="2"/>
    <n v="9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7"/>
    <s v="CMR004002008"/>
    <s v="CHOLOBA"/>
    <x v="78"/>
    <x v="1"/>
    <s v="P4"/>
    <n v="15"/>
    <n v="13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7"/>
    <s v="CMR004002008"/>
    <s v="FOTOKOL VILLE"/>
    <x v="79"/>
    <x v="1"/>
    <s v="P2"/>
    <n v="53"/>
    <n v="51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7"/>
    <s v="CMR004002008"/>
    <s v="FOTOKOL VILLE"/>
    <x v="79"/>
    <x v="1"/>
    <s v="P4"/>
    <n v="530"/>
    <n v="2749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7"/>
    <s v="CMR004002008"/>
    <s v="GADAFAI"/>
    <x v="80"/>
    <x v="1"/>
    <s v="P5"/>
    <n v="24"/>
    <n v="7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7"/>
    <s v="CMR004002008"/>
    <s v="GLO KOTOKO"/>
    <x v="81"/>
    <x v="1"/>
    <s v="P3"/>
    <n v="53"/>
    <n v="26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7"/>
    <s v="CMR004002008"/>
    <s v="GOLMO ARABE"/>
    <x v="82"/>
    <x v="1"/>
    <s v="P4"/>
    <n v="5"/>
    <n v="3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7"/>
    <s v="CMR004002008"/>
    <s v="GOLMO KOTOKO"/>
    <x v="83"/>
    <x v="1"/>
    <s v="P4"/>
    <n v="25"/>
    <n v="8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7"/>
    <s v="CMR004002008"/>
    <s v="GUEGUERI"/>
    <x v="84"/>
    <x v="1"/>
    <s v="P5"/>
    <n v="27"/>
    <n v="10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7"/>
    <s v="CMR004002008"/>
    <s v="MAGADI 1"/>
    <x v="600"/>
    <x v="1"/>
    <s v="P5"/>
    <n v="39"/>
    <n v="31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7"/>
    <s v="CMR004002008"/>
    <s v="MAGADI 2"/>
    <x v="88"/>
    <x v="1"/>
    <s v="P5"/>
    <n v="12"/>
    <n v="9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7"/>
    <s v="CMR004002008"/>
    <s v="NGANAWAI"/>
    <x v="91"/>
    <x v="1"/>
    <s v="P5"/>
    <n v="21"/>
    <n v="10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7"/>
    <s v="CMR004002008"/>
    <s v="ROUNDE"/>
    <x v="93"/>
    <x v="1"/>
    <s v="P3"/>
    <n v="62"/>
    <n v="31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7"/>
    <s v="CMR004002008"/>
    <s v="SAGME"/>
    <x v="94"/>
    <x v="1"/>
    <s v="P3"/>
    <n v="57"/>
    <n v="23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7"/>
    <s v="CMR004002008"/>
    <s v="WANGARA"/>
    <x v="95"/>
    <x v="1"/>
    <s v="P5"/>
    <n v="45"/>
    <n v="17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7"/>
    <s v="CMR004002008"/>
    <s v="WAROU"/>
    <x v="96"/>
    <x v="1"/>
    <s v="P4"/>
    <n v="106"/>
    <n v="34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0"/>
    <s v="CMR004002006"/>
    <s v="KAWADJI 1"/>
    <x v="157"/>
    <x v="1"/>
    <s v="P3"/>
    <n v="5"/>
    <n v="21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0"/>
    <s v="CMR004002006"/>
    <s v="NAGA"/>
    <x v="175"/>
    <x v="1"/>
    <s v="P4"/>
    <n v="1"/>
    <n v="1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1"/>
    <s v="CMR004002004"/>
    <s v="DEIMA"/>
    <x v="190"/>
    <x v="1"/>
    <s v="P5"/>
    <n v="20"/>
    <n v="11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1"/>
    <s v="CMR004002004"/>
    <s v="FADJE (CAMP)"/>
    <x v="192"/>
    <x v="1"/>
    <s v="P3"/>
    <n v="3"/>
    <n v="23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1"/>
    <s v="CMR004002004"/>
    <s v="GOURLE"/>
    <x v="195"/>
    <x v="1"/>
    <s v="P3"/>
    <n v="5"/>
    <n v="49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1"/>
    <s v="CMR004002004"/>
    <s v="MOULADOCK 2"/>
    <x v="213"/>
    <x v="1"/>
    <s v="P3"/>
    <n v="44"/>
    <n v="20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1"/>
    <s v="CMR004002004"/>
    <s v="NDJAMENA"/>
    <x v="601"/>
    <x v="1"/>
    <s v="P5"/>
    <n v="17"/>
    <n v="10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1"/>
    <s v="CMR004002004"/>
    <s v="NDOM"/>
    <x v="214"/>
    <x v="1"/>
    <s v="P5"/>
    <n v="22"/>
    <n v="16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1"/>
    <s v="CMR004002004"/>
    <s v="NGADA"/>
    <x v="215"/>
    <x v="1"/>
    <s v="P3"/>
    <n v="66"/>
    <n v="20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1"/>
    <s v="CMR004002004"/>
    <s v="SAHABA 3"/>
    <x v="217"/>
    <x v="1"/>
    <s v="P3"/>
    <n v="28"/>
    <n v="15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1"/>
    <s v="CMR004002004"/>
    <s v="SALERI"/>
    <x v="218"/>
    <x v="1"/>
    <s v="P3"/>
    <n v="50"/>
    <n v="42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1"/>
    <s v="CMR004002004"/>
    <s v="SKLIO"/>
    <x v="219"/>
    <x v="1"/>
    <s v="P3"/>
    <n v="50"/>
    <n v="15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1"/>
    <s v="CMR004002004"/>
    <s v="TABOYE"/>
    <x v="220"/>
    <x v="1"/>
    <s v="P4"/>
    <n v="25"/>
    <n v="21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1"/>
    <s v="CMR004002004"/>
    <s v="TRAYA"/>
    <x v="222"/>
    <x v="1"/>
    <s v="P3"/>
    <n v="5"/>
    <n v="2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BOUYAKOUBA"/>
    <x v="229"/>
    <x v="1"/>
    <s v="P3"/>
    <n v="4"/>
    <n v="2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BOUYAKOUBA"/>
    <x v="229"/>
    <x v="1"/>
    <s v="P4"/>
    <n v="3"/>
    <n v="1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FADE (VILLAGE)"/>
    <x v="230"/>
    <x v="1"/>
    <s v="P3"/>
    <n v="20"/>
    <n v="19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FADE (VILLAGE)"/>
    <x v="230"/>
    <x v="1"/>
    <s v="P4"/>
    <n v="27"/>
    <n v="20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FADE (VILLAGE)"/>
    <x v="230"/>
    <x v="1"/>
    <s v="P5"/>
    <n v="5"/>
    <n v="4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FADE CAMP"/>
    <x v="231"/>
    <x v="1"/>
    <s v="P4"/>
    <n v="7"/>
    <n v="6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FADE CAMP"/>
    <x v="231"/>
    <x v="1"/>
    <s v="P5"/>
    <n v="371"/>
    <n v="315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FADE CAMP"/>
    <x v="231"/>
    <x v="1"/>
    <s v="P6"/>
    <n v="3"/>
    <n v="2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LAK 1"/>
    <x v="602"/>
    <x v="1"/>
    <s v="P3"/>
    <n v="12"/>
    <n v="5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LAK 1"/>
    <x v="602"/>
    <x v="1"/>
    <s v="P4"/>
    <n v="8"/>
    <n v="6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LAK 2"/>
    <x v="603"/>
    <x v="1"/>
    <s v="P4"/>
    <n v="13"/>
    <n v="7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MSOUMOU"/>
    <x v="604"/>
    <x v="1"/>
    <s v="P4"/>
    <n v="15"/>
    <n v="12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MSOUMOU"/>
    <x v="604"/>
    <x v="1"/>
    <s v="P5"/>
    <n v="5"/>
    <n v="4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NAMBARI"/>
    <x v="241"/>
    <x v="1"/>
    <s v="P3"/>
    <n v="3"/>
    <n v="21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NAMBARI"/>
    <x v="241"/>
    <x v="1"/>
    <s v="P4"/>
    <n v="3"/>
    <n v="19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RDEB 1"/>
    <x v="242"/>
    <x v="1"/>
    <s v="P4"/>
    <n v="4"/>
    <n v="2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ARDEB 2"/>
    <x v="243"/>
    <x v="1"/>
    <s v="P4"/>
    <n v="4"/>
    <n v="1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BAGARA"/>
    <x v="248"/>
    <x v="1"/>
    <s v="P4"/>
    <n v="4"/>
    <n v="3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BAGARA"/>
    <x v="248"/>
    <x v="1"/>
    <s v="P5"/>
    <n v="5"/>
    <n v="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BEDA (CAMP)"/>
    <x v="250"/>
    <x v="1"/>
    <s v="P4"/>
    <n v="15"/>
    <n v="22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BEDA (CAMP)"/>
    <x v="250"/>
    <x v="1"/>
    <s v="P6"/>
    <n v="8"/>
    <n v="6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BIAMO"/>
    <x v="252"/>
    <x v="1"/>
    <s v="P3"/>
    <n v="192"/>
    <n v="163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BIAMO"/>
    <x v="252"/>
    <x v="1"/>
    <s v="P4"/>
    <n v="63"/>
    <n v="53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BIAMO"/>
    <x v="252"/>
    <x v="1"/>
    <s v="P5"/>
    <n v="12"/>
    <n v="10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BLABLIN"/>
    <x v="255"/>
    <x v="1"/>
    <s v="P3"/>
    <n v="8"/>
    <n v="4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BLABLIN"/>
    <x v="255"/>
    <x v="1"/>
    <s v="P5"/>
    <n v="1"/>
    <n v="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BLEM (CAMP)"/>
    <x v="605"/>
    <x v="1"/>
    <s v="P5"/>
    <n v="47"/>
    <n v="40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BLO"/>
    <x v="606"/>
    <x v="1"/>
    <s v="P4"/>
    <n v="41"/>
    <n v="349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BLO"/>
    <x v="606"/>
    <x v="1"/>
    <s v="P5"/>
    <n v="6"/>
    <n v="51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BLOUMTAGUI"/>
    <x v="257"/>
    <x v="1"/>
    <s v="P2"/>
    <n v="8"/>
    <n v="4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BODO"/>
    <x v="258"/>
    <x v="1"/>
    <s v="P2"/>
    <n v="35"/>
    <n v="20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BODO"/>
    <x v="258"/>
    <x v="1"/>
    <s v="P4"/>
    <n v="62"/>
    <n v="421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BODO"/>
    <x v="258"/>
    <x v="1"/>
    <s v="P5"/>
    <n v="18"/>
    <n v="10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CHALAMTINI"/>
    <x v="263"/>
    <x v="1"/>
    <s v="P4"/>
    <n v="3"/>
    <n v="3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CHOU-KOTOKO"/>
    <x v="607"/>
    <x v="1"/>
    <s v="P4"/>
    <n v="22"/>
    <n v="18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CHOU-SALAMAT"/>
    <x v="265"/>
    <x v="1"/>
    <s v="P4"/>
    <n v="53"/>
    <n v="451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DAGLE"/>
    <x v="608"/>
    <x v="1"/>
    <s v="P3"/>
    <n v="8"/>
    <n v="51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DAGLE"/>
    <x v="608"/>
    <x v="1"/>
    <s v="P5"/>
    <n v="3"/>
    <n v="11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DIAM 1"/>
    <x v="268"/>
    <x v="1"/>
    <s v="P3"/>
    <n v="17"/>
    <n v="6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DIAM 1"/>
    <x v="268"/>
    <x v="1"/>
    <s v="P4"/>
    <n v="5"/>
    <n v="3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DIAM 2"/>
    <x v="269"/>
    <x v="1"/>
    <s v="P4"/>
    <n v="11"/>
    <n v="49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DIGAM BAR"/>
    <x v="270"/>
    <x v="1"/>
    <s v="P3"/>
    <n v="10"/>
    <n v="10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DIGAM BAR"/>
    <x v="270"/>
    <x v="1"/>
    <s v="P4"/>
    <n v="2"/>
    <n v="1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DJADJAYA"/>
    <x v="273"/>
    <x v="1"/>
    <s v="P2"/>
    <n v="2"/>
    <n v="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DJADJAYA"/>
    <x v="273"/>
    <x v="1"/>
    <s v="P3"/>
    <n v="2"/>
    <n v="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DJAKDJAKKAYA 2"/>
    <x v="274"/>
    <x v="1"/>
    <s v="P4"/>
    <n v="8"/>
    <n v="6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DJAMOUS"/>
    <x v="275"/>
    <x v="1"/>
    <s v="P4"/>
    <n v="21"/>
    <n v="25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DJIDANSAMA"/>
    <x v="276"/>
    <x v="1"/>
    <s v="P4"/>
    <n v="3"/>
    <n v="1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DOLE-AFADE"/>
    <x v="278"/>
    <x v="1"/>
    <s v="P3"/>
    <n v="20"/>
    <n v="7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DOUBABEL GOSS"/>
    <x v="282"/>
    <x v="1"/>
    <s v="P5"/>
    <n v="12"/>
    <n v="10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DOUGOUM"/>
    <x v="284"/>
    <x v="1"/>
    <s v="P4"/>
    <n v="4"/>
    <n v="3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FADJE"/>
    <x v="286"/>
    <x v="1"/>
    <s v="P4"/>
    <n v="5"/>
    <n v="2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FARCH 1"/>
    <x v="288"/>
    <x v="1"/>
    <s v="P2"/>
    <n v="12"/>
    <n v="53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FARCH 2"/>
    <x v="289"/>
    <x v="1"/>
    <s v="P3"/>
    <n v="6"/>
    <n v="3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FARCH 2"/>
    <x v="289"/>
    <x v="1"/>
    <s v="P4"/>
    <n v="5"/>
    <n v="23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FARCH 2"/>
    <x v="289"/>
    <x v="1"/>
    <s v="P5"/>
    <n v="2"/>
    <n v="11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FARFARA 1"/>
    <x v="290"/>
    <x v="1"/>
    <s v="P2"/>
    <n v="19"/>
    <n v="7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FARFARA 1"/>
    <x v="290"/>
    <x v="1"/>
    <s v="P3"/>
    <n v="6"/>
    <n v="1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FARFARA 1"/>
    <x v="290"/>
    <x v="1"/>
    <s v="P4"/>
    <n v="7"/>
    <n v="13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FARFARA 1"/>
    <x v="290"/>
    <x v="1"/>
    <s v="P5"/>
    <n v="10"/>
    <n v="43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GALE-GALE"/>
    <x v="291"/>
    <x v="1"/>
    <s v="P4"/>
    <n v="10"/>
    <n v="8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GAMBAROU"/>
    <x v="292"/>
    <x v="1"/>
    <s v="P2"/>
    <n v="1"/>
    <n v="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GLAO"/>
    <x v="294"/>
    <x v="1"/>
    <s v="P3"/>
    <n v="4"/>
    <n v="3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GLAO"/>
    <x v="294"/>
    <x v="1"/>
    <s v="P5"/>
    <n v="5"/>
    <n v="4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GLAO AFADE"/>
    <x v="295"/>
    <x v="1"/>
    <s v="P4"/>
    <n v="5"/>
    <n v="2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GLAO BARDAI"/>
    <x v="296"/>
    <x v="1"/>
    <s v="P5"/>
    <n v="11"/>
    <n v="9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GOUBAGO"/>
    <x v="300"/>
    <x v="1"/>
    <s v="P4"/>
    <n v="3"/>
    <n v="1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GOULOUMBO"/>
    <x v="301"/>
    <x v="1"/>
    <s v="P4"/>
    <n v="7"/>
    <n v="6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GOULOUMBO"/>
    <x v="301"/>
    <x v="1"/>
    <s v="P5"/>
    <n v="4"/>
    <n v="3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GOURGOURA"/>
    <x v="302"/>
    <x v="1"/>
    <s v="P3"/>
    <n v="2"/>
    <n v="1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GUEILALA"/>
    <x v="305"/>
    <x v="1"/>
    <s v="P3"/>
    <n v="10"/>
    <n v="8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HADAMARI"/>
    <x v="307"/>
    <x v="1"/>
    <s v="P3"/>
    <n v="4"/>
    <n v="4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HADAMARI"/>
    <x v="307"/>
    <x v="1"/>
    <s v="P4"/>
    <n v="23"/>
    <n v="10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HADAMARI"/>
    <x v="307"/>
    <x v="1"/>
    <s v="P5"/>
    <n v="3"/>
    <n v="3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HELISNA"/>
    <x v="308"/>
    <x v="1"/>
    <s v="P5"/>
    <n v="9"/>
    <n v="7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HEREDIBE MOUSSA"/>
    <x v="310"/>
    <x v="1"/>
    <s v="P5"/>
    <n v="11"/>
    <n v="9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HOURAHOURI"/>
    <x v="312"/>
    <x v="1"/>
    <s v="P3"/>
    <n v="11"/>
    <n v="7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KESAWA"/>
    <x v="316"/>
    <x v="1"/>
    <s v="P5"/>
    <n v="17"/>
    <n v="14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KESSAWA"/>
    <x v="317"/>
    <x v="1"/>
    <s v="P4"/>
    <n v="5"/>
    <n v="43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KESSAWA"/>
    <x v="317"/>
    <x v="1"/>
    <s v="P5"/>
    <n v="11"/>
    <n v="9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KOKIO 2"/>
    <x v="319"/>
    <x v="1"/>
    <s v="P3"/>
    <n v="4"/>
    <n v="2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KOUMBOULA"/>
    <x v="320"/>
    <x v="1"/>
    <s v="P3"/>
    <n v="10"/>
    <n v="8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KOUMBOULA"/>
    <x v="320"/>
    <x v="1"/>
    <s v="P5"/>
    <n v="11"/>
    <n v="6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KRENACK"/>
    <x v="321"/>
    <x v="1"/>
    <s v="P2"/>
    <n v="5"/>
    <n v="2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KRENACK"/>
    <x v="321"/>
    <x v="1"/>
    <s v="P4"/>
    <n v="3"/>
    <n v="1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KRENACK"/>
    <x v="321"/>
    <x v="1"/>
    <s v="P5"/>
    <n v="6"/>
    <n v="3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MADINA 1"/>
    <x v="325"/>
    <x v="1"/>
    <s v="P2"/>
    <n v="6"/>
    <n v="3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MADINA 2"/>
    <x v="326"/>
    <x v="1"/>
    <s v="P2"/>
    <n v="7"/>
    <n v="31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MALADI"/>
    <x v="329"/>
    <x v="1"/>
    <s v="P4"/>
    <n v="4"/>
    <n v="1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MALTAM"/>
    <x v="331"/>
    <x v="1"/>
    <s v="P3"/>
    <n v="11"/>
    <n v="33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MEDINA 3"/>
    <x v="337"/>
    <x v="1"/>
    <s v="P3"/>
    <n v="8"/>
    <n v="4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MEDINA 3"/>
    <x v="337"/>
    <x v="1"/>
    <s v="P4"/>
    <n v="4"/>
    <n v="2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MEITO"/>
    <x v="338"/>
    <x v="1"/>
    <s v="P4"/>
    <n v="7"/>
    <n v="4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MEITO"/>
    <x v="338"/>
    <x v="1"/>
    <s v="P5"/>
    <n v="6"/>
    <n v="31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MESSIO"/>
    <x v="341"/>
    <x v="1"/>
    <s v="P2"/>
    <n v="8"/>
    <n v="42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MFLEI"/>
    <x v="342"/>
    <x v="1"/>
    <s v="P4"/>
    <n v="3"/>
    <n v="2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NANAMI"/>
    <x v="351"/>
    <x v="1"/>
    <s v="P2"/>
    <n v="6"/>
    <n v="2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NDODOHE KALIA"/>
    <x v="360"/>
    <x v="1"/>
    <s v="P4"/>
    <n v="6"/>
    <n v="3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NDODOHE KALIA"/>
    <x v="360"/>
    <x v="1"/>
    <s v="P5"/>
    <n v="1"/>
    <n v="3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NDODOHE YOUSSOUF"/>
    <x v="361"/>
    <x v="1"/>
    <s v="P4"/>
    <n v="7"/>
    <n v="1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NGARDOUGOUM"/>
    <x v="365"/>
    <x v="1"/>
    <s v="P4"/>
    <n v="42"/>
    <n v="35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NGARDOUGOUM"/>
    <x v="365"/>
    <x v="1"/>
    <s v="P5"/>
    <n v="21"/>
    <n v="11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NGARDOUKOUM 2"/>
    <x v="366"/>
    <x v="1"/>
    <s v="P5"/>
    <n v="41"/>
    <n v="20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NGARTCHANO 1"/>
    <x v="367"/>
    <x v="1"/>
    <s v="P5"/>
    <n v="29"/>
    <n v="24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NGONFLA 2"/>
    <x v="369"/>
    <x v="1"/>
    <s v="P4"/>
    <n v="5"/>
    <n v="2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NGONFLA 2"/>
    <x v="369"/>
    <x v="1"/>
    <s v="P5"/>
    <n v="4"/>
    <n v="1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NGORTCHOLO"/>
    <x v="370"/>
    <x v="1"/>
    <s v="P4"/>
    <n v="3"/>
    <n v="2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NGOUMA"/>
    <x v="371"/>
    <x v="1"/>
    <s v="P2"/>
    <n v="10"/>
    <n v="5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NGOUMA"/>
    <x v="371"/>
    <x v="1"/>
    <s v="P3"/>
    <n v="8"/>
    <n v="4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NGOUT"/>
    <x v="375"/>
    <x v="1"/>
    <s v="P3"/>
    <n v="6"/>
    <n v="2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SERO 1"/>
    <x v="379"/>
    <x v="1"/>
    <s v="P5"/>
    <n v="3"/>
    <n v="23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SOULFA"/>
    <x v="380"/>
    <x v="1"/>
    <s v="P2"/>
    <n v="6"/>
    <n v="5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SOULFA"/>
    <x v="380"/>
    <x v="1"/>
    <s v="P3"/>
    <n v="5"/>
    <n v="3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SOULFA"/>
    <x v="380"/>
    <x v="1"/>
    <s v="P4"/>
    <n v="9"/>
    <n v="4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SOUNGOURA 1"/>
    <x v="381"/>
    <x v="1"/>
    <s v="P3"/>
    <n v="7"/>
    <n v="49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WERA"/>
    <x v="609"/>
    <x v="1"/>
    <s v="P4"/>
    <n v="9"/>
    <n v="7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WERENGOULMO"/>
    <x v="390"/>
    <x v="1"/>
    <s v="P4"/>
    <n v="11"/>
    <n v="9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WOSSO"/>
    <x v="391"/>
    <x v="1"/>
    <s v="P2"/>
    <n v="1"/>
    <n v="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WOSSO"/>
    <x v="391"/>
    <x v="1"/>
    <s v="P4"/>
    <n v="1"/>
    <n v="9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2"/>
    <s v="CMR004002009"/>
    <s v="WOULKIOKALE"/>
    <x v="393"/>
    <x v="1"/>
    <s v="P3"/>
    <n v="8"/>
    <n v="12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ARDEBE"/>
    <x v="395"/>
    <x v="1"/>
    <s v="P2"/>
    <n v="14"/>
    <n v="5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CHAOUDE"/>
    <x v="610"/>
    <x v="1"/>
    <s v="P4"/>
    <n v="43"/>
    <n v="28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CHAOUDE"/>
    <x v="610"/>
    <x v="1"/>
    <s v="P5"/>
    <n v="2"/>
    <n v="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DJINGUI"/>
    <x v="396"/>
    <x v="1"/>
    <s v="P4"/>
    <n v="23"/>
    <n v="9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DJINGUI"/>
    <x v="396"/>
    <x v="1"/>
    <s v="P6"/>
    <n v="33"/>
    <n v="18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GOULOUZIVINI"/>
    <x v="611"/>
    <x v="1"/>
    <s v="P5"/>
    <n v="4"/>
    <n v="2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GOZOLNANE"/>
    <x v="397"/>
    <x v="1"/>
    <s v="P2"/>
    <n v="32"/>
    <n v="12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KABE 1"/>
    <x v="612"/>
    <x v="1"/>
    <s v="P2"/>
    <n v="6"/>
    <n v="2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KABE 2"/>
    <x v="398"/>
    <x v="1"/>
    <s v="P4"/>
    <n v="7"/>
    <n v="1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KABE 2"/>
    <x v="398"/>
    <x v="1"/>
    <s v="P5"/>
    <n v="5"/>
    <n v="3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KABE 2"/>
    <x v="398"/>
    <x v="1"/>
    <s v="P6"/>
    <n v="1"/>
    <n v="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KABE 2"/>
    <x v="398"/>
    <x v="1"/>
    <s v="P3"/>
    <n v="5"/>
    <n v="17"/>
    <x v="0"/>
    <s v=""/>
    <s v="autre_pays"/>
    <s v="NGA"/>
    <x v="2"/>
    <s v="NGA"/>
    <s v="Cross River"/>
    <s v=""/>
    <s v=""/>
    <s v=""/>
    <s v=""/>
  </r>
  <r>
    <s v="Extrême-Nord"/>
    <s v="CMR004"/>
    <x v="1"/>
    <s v="CMR004002"/>
    <x v="13"/>
    <s v="CMR004002001"/>
    <s v="MADA 1"/>
    <x v="613"/>
    <x v="1"/>
    <s v="P5"/>
    <n v="69"/>
    <n v="35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MADAWAYA"/>
    <x v="614"/>
    <x v="1"/>
    <s v="P4"/>
    <n v="24"/>
    <n v="14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MADAWAYA"/>
    <x v="614"/>
    <x v="1"/>
    <s v="P5"/>
    <n v="3"/>
    <n v="1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MATKOUNA 1"/>
    <x v="399"/>
    <x v="1"/>
    <s v="P3"/>
    <n v="12"/>
    <n v="91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NGAME"/>
    <x v="615"/>
    <x v="1"/>
    <s v="P3"/>
    <n v="40"/>
    <n v="26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SALEH"/>
    <x v="616"/>
    <x v="1"/>
    <s v="P5"/>
    <n v="49"/>
    <n v="209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TAGAWA 1"/>
    <x v="400"/>
    <x v="1"/>
    <s v="P5"/>
    <n v="6"/>
    <n v="68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TAGAWA 2"/>
    <x v="401"/>
    <x v="1"/>
    <s v="P2"/>
    <n v="9"/>
    <n v="7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TAGAWA 2"/>
    <x v="401"/>
    <x v="1"/>
    <s v="P3"/>
    <n v="3"/>
    <n v="21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TAGAWA 2"/>
    <x v="401"/>
    <x v="1"/>
    <s v="P5"/>
    <n v="18"/>
    <n v="16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TAGAWA 3"/>
    <x v="402"/>
    <x v="1"/>
    <s v="P5"/>
    <n v="12"/>
    <n v="67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TAGAWA 4"/>
    <x v="403"/>
    <x v="1"/>
    <s v="P5"/>
    <n v="9"/>
    <n v="54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TOUNGA"/>
    <x v="404"/>
    <x v="1"/>
    <s v="P3"/>
    <n v="11"/>
    <n v="49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TOUNGA"/>
    <x v="404"/>
    <x v="1"/>
    <s v="P5"/>
    <n v="2"/>
    <n v="9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WAZA"/>
    <x v="405"/>
    <x v="1"/>
    <s v="P3"/>
    <n v="10"/>
    <n v="3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WAZA"/>
    <x v="405"/>
    <x v="1"/>
    <s v="P5"/>
    <n v="66"/>
    <n v="21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WERA"/>
    <x v="406"/>
    <x v="1"/>
    <s v="P6"/>
    <n v="17"/>
    <n v="85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ZIGAGUE"/>
    <x v="407"/>
    <x v="1"/>
    <s v="P2"/>
    <n v="19"/>
    <n v="150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ZIGAGUE"/>
    <x v="407"/>
    <x v="1"/>
    <s v="P3"/>
    <n v="36"/>
    <n v="216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ZIGAGUE"/>
    <x v="407"/>
    <x v="1"/>
    <s v="P4"/>
    <n v="26"/>
    <n v="131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ZOLZALE"/>
    <x v="408"/>
    <x v="1"/>
    <s v="P2"/>
    <n v="19"/>
    <n v="109"/>
    <x v="0"/>
    <s v=""/>
    <s v="autre_pays"/>
    <s v="NGA"/>
    <x v="2"/>
    <s v="NGA"/>
    <s v="Borno"/>
    <s v=""/>
    <s v=""/>
    <s v=""/>
    <s v=""/>
  </r>
  <r>
    <s v="Extrême-Nord"/>
    <s v="CMR004"/>
    <x v="1"/>
    <s v="CMR004002"/>
    <x v="13"/>
    <s v="CMR004002001"/>
    <s v="ZOLZALE"/>
    <x v="408"/>
    <x v="1"/>
    <s v="P5"/>
    <n v="4"/>
    <n v="18"/>
    <x v="0"/>
    <s v=""/>
    <s v="autre_pays"/>
    <s v="NGA"/>
    <x v="2"/>
    <s v="NGA"/>
    <s v="Borno"/>
    <s v=""/>
    <s v=""/>
    <s v=""/>
    <s v=""/>
  </r>
  <r>
    <s v="Extrême-Nord"/>
    <s v="CMR004"/>
    <x v="2"/>
    <s v="CMR004003"/>
    <x v="15"/>
    <s v="CMR004003011"/>
    <s v="GOBOGAIOUA"/>
    <x v="617"/>
    <x v="1"/>
    <s v="P3"/>
    <n v="5"/>
    <n v="31"/>
    <x v="2"/>
    <s v="Conflit intercommunaute"/>
    <s v="autre_pays"/>
    <s v="TCD"/>
    <x v="1"/>
    <s v="TCD"/>
    <s v="Mayo Kebbi Est"/>
    <s v=""/>
    <s v=""/>
    <s v=""/>
    <s v=""/>
  </r>
  <r>
    <s v="Extrême-Nord"/>
    <s v="CMR004"/>
    <x v="2"/>
    <s v="CMR004003"/>
    <x v="15"/>
    <s v="CMR004003011"/>
    <s v="GOBOGAIOUA"/>
    <x v="617"/>
    <x v="1"/>
    <s v="P5"/>
    <n v="4"/>
    <n v="20"/>
    <x v="0"/>
    <s v=""/>
    <s v="autre_pays"/>
    <s v="NGA"/>
    <x v="2"/>
    <s v="NGA"/>
    <s v="Borno"/>
    <s v=""/>
    <s v=""/>
    <s v=""/>
    <s v=""/>
  </r>
  <r>
    <s v="Extrême-Nord"/>
    <s v="CMR004"/>
    <x v="2"/>
    <s v="CMR004003"/>
    <x v="15"/>
    <s v="CMR004003011"/>
    <s v="GOBOGAIOUA"/>
    <x v="617"/>
    <x v="1"/>
    <s v="P1"/>
    <n v="16"/>
    <n v="68"/>
    <x v="0"/>
    <s v=""/>
    <s v="autre_pays"/>
    <s v="NGA"/>
    <x v="2"/>
    <s v="NGA"/>
    <s v="Kano"/>
    <s v=""/>
    <s v=""/>
    <s v=""/>
    <s v=""/>
  </r>
  <r>
    <s v="Extrême-Nord"/>
    <s v="CMR004"/>
    <x v="3"/>
    <s v="CMR004004"/>
    <x v="32"/>
    <s v="CMR004004007"/>
    <s v="OURO-DOLE"/>
    <x v="618"/>
    <x v="1"/>
    <s v="P2"/>
    <n v="2"/>
    <n v="9"/>
    <x v="0"/>
    <s v=""/>
    <s v="autre_pays"/>
    <s v="NGA"/>
    <x v="2"/>
    <s v="NGA"/>
    <s v="Adamawa"/>
    <s v=""/>
    <s v=""/>
    <s v=""/>
    <s v=""/>
  </r>
  <r>
    <s v="Extrême-Nord"/>
    <s v="CMR004"/>
    <x v="3"/>
    <s v="CMR004004"/>
    <x v="22"/>
    <s v="CMR004004005"/>
    <s v="BADJAVA TWONGO"/>
    <x v="619"/>
    <x v="1"/>
    <s v="P3"/>
    <n v="1"/>
    <n v="11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26"/>
    <s v="CMR004006007"/>
    <s v="TCHEVI"/>
    <x v="620"/>
    <x v="1"/>
    <s v="P2"/>
    <n v="10"/>
    <n v="55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26"/>
    <s v="CMR004006007"/>
    <s v="TCHEVI"/>
    <x v="620"/>
    <x v="1"/>
    <s v="P3"/>
    <n v="6"/>
    <n v="35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28"/>
    <s v="CMR004006004"/>
    <s v="DOUMBOGO"/>
    <x v="507"/>
    <x v="1"/>
    <s v="P5"/>
    <n v="1"/>
    <n v="3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28"/>
    <s v="CMR004006004"/>
    <s v="GUID BALA"/>
    <x v="517"/>
    <x v="1"/>
    <s v="P5"/>
    <n v="1"/>
    <n v="2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28"/>
    <s v="CMR004006004"/>
    <s v="KILDA"/>
    <x v="522"/>
    <x v="1"/>
    <s v="P5"/>
    <n v="3"/>
    <n v="11"/>
    <x v="0"/>
    <s v=""/>
    <s v="autre_pays"/>
    <s v="NGA"/>
    <x v="2"/>
    <s v="NGA"/>
    <s v="Bauchi"/>
    <s v=""/>
    <s v=""/>
    <s v=""/>
    <s v=""/>
  </r>
  <r>
    <s v="Extrême-Nord"/>
    <s v="CMR004"/>
    <x v="5"/>
    <s v="CMR004006"/>
    <x v="28"/>
    <s v="CMR004006004"/>
    <s v="MALTAMAYA"/>
    <x v="524"/>
    <x v="1"/>
    <s v="P5"/>
    <n v="2"/>
    <n v="7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28"/>
    <s v="CMR004006004"/>
    <s v="WOULAD"/>
    <x v="535"/>
    <x v="1"/>
    <s v="P5"/>
    <n v="2"/>
    <n v="4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28"/>
    <s v="CMR004006004"/>
    <s v="ZILER"/>
    <x v="537"/>
    <x v="1"/>
    <s v="P5"/>
    <n v="1"/>
    <n v="3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3"/>
    <s v="CMR004006001"/>
    <s v="GOURIA"/>
    <x v="621"/>
    <x v="1"/>
    <s v="P2"/>
    <n v="2"/>
    <n v="10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GOURIA"/>
    <x v="621"/>
    <x v="1"/>
    <s v="P3"/>
    <n v="4"/>
    <n v="25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KARANTCHI"/>
    <x v="622"/>
    <x v="1"/>
    <s v="P2"/>
    <n v="27"/>
    <n v="130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KARANTCHI"/>
    <x v="622"/>
    <x v="1"/>
    <s v="P3"/>
    <n v="3"/>
    <n v="22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KILA"/>
    <x v="623"/>
    <x v="1"/>
    <s v="P3"/>
    <n v="4"/>
    <n v="16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KILA"/>
    <x v="623"/>
    <x v="1"/>
    <s v="P4"/>
    <n v="1"/>
    <n v="4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KORTCHI"/>
    <x v="624"/>
    <x v="1"/>
    <s v="P4"/>
    <n v="2"/>
    <n v="8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KOUFFI"/>
    <x v="625"/>
    <x v="1"/>
    <s v="P2"/>
    <n v="4"/>
    <n v="22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KOUFFI"/>
    <x v="625"/>
    <x v="1"/>
    <s v="P3"/>
    <n v="5"/>
    <n v="24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MOGODE"/>
    <x v="626"/>
    <x v="1"/>
    <s v="P2"/>
    <n v="16"/>
    <n v="137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MOGODE"/>
    <x v="626"/>
    <x v="1"/>
    <s v="P3"/>
    <n v="12"/>
    <n v="129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MOGODE"/>
    <x v="626"/>
    <x v="1"/>
    <s v="P4"/>
    <n v="2"/>
    <n v="4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NORA"/>
    <x v="627"/>
    <x v="1"/>
    <s v="P2"/>
    <n v="6"/>
    <n v="30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NORA"/>
    <x v="627"/>
    <x v="1"/>
    <s v="P3"/>
    <n v="3"/>
    <n v="12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OUDAVA"/>
    <x v="628"/>
    <x v="1"/>
    <s v="P2"/>
    <n v="10"/>
    <n v="82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OUDAVA"/>
    <x v="628"/>
    <x v="1"/>
    <s v="P3"/>
    <n v="5"/>
    <n v="18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RHUMSIKI"/>
    <x v="629"/>
    <x v="1"/>
    <s v="P2"/>
    <n v="12"/>
    <n v="58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RHUMSIKI"/>
    <x v="629"/>
    <x v="1"/>
    <s v="P3"/>
    <n v="8"/>
    <n v="37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RHUMSIKI"/>
    <x v="629"/>
    <x v="1"/>
    <s v="P4"/>
    <n v="2"/>
    <n v="8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RHUMZU"/>
    <x v="630"/>
    <x v="1"/>
    <s v="P2"/>
    <n v="19"/>
    <n v="46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RHUMZU"/>
    <x v="630"/>
    <x v="1"/>
    <s v="P3"/>
    <n v="7"/>
    <n v="29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RHUMZU"/>
    <x v="630"/>
    <x v="1"/>
    <s v="P4"/>
    <n v="4"/>
    <n v="12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SIR"/>
    <x v="631"/>
    <x v="1"/>
    <s v="P2"/>
    <n v="20"/>
    <n v="100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SIR"/>
    <x v="631"/>
    <x v="1"/>
    <s v="P3"/>
    <n v="10"/>
    <n v="61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TEKI"/>
    <x v="632"/>
    <x v="1"/>
    <s v="P2"/>
    <n v="3"/>
    <n v="18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VITTE"/>
    <x v="633"/>
    <x v="1"/>
    <s v="P2"/>
    <n v="5"/>
    <n v="35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VITTE"/>
    <x v="633"/>
    <x v="1"/>
    <s v="P3"/>
    <n v="4"/>
    <n v="15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VITTE"/>
    <x v="633"/>
    <x v="1"/>
    <s v="P4"/>
    <n v="3"/>
    <n v="15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YELLE"/>
    <x v="634"/>
    <x v="1"/>
    <s v="P2"/>
    <n v="10"/>
    <n v="98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YELLE"/>
    <x v="634"/>
    <x v="1"/>
    <s v="P3"/>
    <n v="10"/>
    <n v="84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33"/>
    <s v="CMR004006001"/>
    <s v="YELLE"/>
    <x v="634"/>
    <x v="1"/>
    <s v="P4"/>
    <n v="5"/>
    <n v="20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29"/>
    <s v="CMR004006002"/>
    <s v="GAWAR"/>
    <x v="542"/>
    <x v="1"/>
    <s v="P5"/>
    <n v="32"/>
    <n v="160"/>
    <x v="0"/>
    <s v=""/>
    <s v="autre_pays"/>
    <s v="NGA"/>
    <x v="2"/>
    <s v="NGA"/>
    <s v="Adamawa"/>
    <s v=""/>
    <s v=""/>
    <s v=""/>
    <s v=""/>
  </r>
  <r>
    <s v="Extrême-Nord"/>
    <s v="CMR004"/>
    <x v="5"/>
    <s v="CMR004006"/>
    <x v="29"/>
    <s v="CMR004006002"/>
    <s v="LDAMANG"/>
    <x v="635"/>
    <x v="1"/>
    <s v="P5"/>
    <n v="42"/>
    <n v="271"/>
    <x v="0"/>
    <s v=""/>
    <s v="autre_pays"/>
    <s v="NGA"/>
    <x v="2"/>
    <s v="NGA"/>
    <s v="Rivers"/>
    <s v=""/>
    <s v=""/>
    <s v=""/>
    <s v=""/>
  </r>
  <r>
    <s v="Extrême-Nord"/>
    <s v="CMR004"/>
    <x v="5"/>
    <s v="CMR004006"/>
    <x v="30"/>
    <s v="CMR004006005"/>
    <s v="ASSIGHASSIA"/>
    <x v="565"/>
    <x v="1"/>
    <s v="P3"/>
    <n v="476"/>
    <n v="2748"/>
    <x v="0"/>
    <s v=""/>
    <s v="autre_pays"/>
    <s v="NGA"/>
    <x v="2"/>
    <s v="NGA"/>
    <s v="Bauchi"/>
    <s v=""/>
    <s v=""/>
    <s v=""/>
    <s v=""/>
  </r>
  <r>
    <s v="Extrême-Nord"/>
    <s v="CMR004"/>
    <x v="5"/>
    <s v="CMR004006"/>
    <x v="30"/>
    <s v="CMR004006005"/>
    <s v="DZAMADZAF"/>
    <x v="568"/>
    <x v="1"/>
    <s v="P2"/>
    <n v="6"/>
    <n v="30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0"/>
    <s v="CMR004006005"/>
    <s v="DZAMADZAF"/>
    <x v="568"/>
    <x v="1"/>
    <s v="P3"/>
    <n v="3"/>
    <n v="15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0"/>
    <s v="CMR004006005"/>
    <s v="DZAMADZAF"/>
    <x v="568"/>
    <x v="1"/>
    <s v="P4"/>
    <n v="1"/>
    <n v="5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0"/>
    <s v="CMR004006005"/>
    <s v="DZAMADZAF"/>
    <x v="568"/>
    <x v="1"/>
    <s v="P5"/>
    <n v="3"/>
    <n v="15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0"/>
    <s v="CMR004006005"/>
    <s v="HITERE"/>
    <x v="572"/>
    <x v="1"/>
    <s v="P3"/>
    <n v="13"/>
    <n v="76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0"/>
    <s v="CMR004006005"/>
    <s v="HITERE"/>
    <x v="572"/>
    <x v="1"/>
    <s v="P4"/>
    <n v="2"/>
    <n v="13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0"/>
    <s v="CMR004006005"/>
    <s v="HITERE"/>
    <x v="572"/>
    <x v="1"/>
    <s v="P5"/>
    <n v="3"/>
    <n v="11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0"/>
    <s v="CMR004006005"/>
    <s v="KEREWA-MAFA"/>
    <x v="575"/>
    <x v="1"/>
    <s v="P2"/>
    <n v="13"/>
    <n v="76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0"/>
    <s v="CMR004006005"/>
    <s v="KEREWA-MAFA"/>
    <x v="575"/>
    <x v="1"/>
    <s v="P3"/>
    <n v="16"/>
    <n v="87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0"/>
    <s v="CMR004006005"/>
    <s v="KEREWA-MAFA"/>
    <x v="575"/>
    <x v="1"/>
    <s v="P5"/>
    <n v="7"/>
    <n v="32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0"/>
    <s v="CMR004006005"/>
    <s v="MANDOUSSA"/>
    <x v="578"/>
    <x v="1"/>
    <s v="P2"/>
    <n v="7"/>
    <n v="35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0"/>
    <s v="CMR004006005"/>
    <s v="MANDOUSSA"/>
    <x v="578"/>
    <x v="1"/>
    <s v="P3"/>
    <n v="11"/>
    <n v="55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0"/>
    <s v="CMR004006005"/>
    <s v="MANDOUSSA"/>
    <x v="578"/>
    <x v="1"/>
    <s v="P4"/>
    <n v="4"/>
    <n v="20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0"/>
    <s v="CMR004006005"/>
    <s v="MANDOUSSA"/>
    <x v="578"/>
    <x v="1"/>
    <s v="P5"/>
    <n v="3"/>
    <n v="15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0"/>
    <s v="CMR004006005"/>
    <s v="OUZAL"/>
    <x v="586"/>
    <x v="1"/>
    <s v="P3"/>
    <n v="14"/>
    <n v="70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0"/>
    <s v="CMR004006005"/>
    <s v="OUZAL"/>
    <x v="586"/>
    <x v="1"/>
    <s v="P5"/>
    <n v="3"/>
    <n v="15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1"/>
    <s v="CMR004006006"/>
    <s v="OUDOUMDJARAY"/>
    <x v="595"/>
    <x v="1"/>
    <s v="P3"/>
    <n v="8"/>
    <n v="13"/>
    <x v="0"/>
    <s v=""/>
    <s v="autre_pays"/>
    <s v="NGA"/>
    <x v="2"/>
    <s v="NGA"/>
    <s v="Borno"/>
    <s v=""/>
    <s v=""/>
    <s v=""/>
    <s v=""/>
  </r>
  <r>
    <s v="Extrême-Nord"/>
    <s v="CMR004"/>
    <x v="5"/>
    <s v="CMR004006"/>
    <x v="31"/>
    <s v="CMR004006006"/>
    <s v="SOULEDE"/>
    <x v="597"/>
    <x v="1"/>
    <s v="P3"/>
    <n v="1"/>
    <n v="6"/>
    <x v="0"/>
    <s v=""/>
    <s v="autre_pays"/>
    <s v="NGA"/>
    <x v="2"/>
    <s v="NGA"/>
    <s v="Kogi"/>
    <s v=""/>
    <s v=""/>
    <s v=""/>
    <s v=""/>
  </r>
  <r>
    <s v="Extrême-Nord"/>
    <s v="CMR004"/>
    <x v="0"/>
    <s v="CMR004001"/>
    <x v="34"/>
    <s v="CMR004001004"/>
    <s v="DARGALA"/>
    <x v="636"/>
    <x v="2"/>
    <s v="P2"/>
    <n v="1"/>
    <n v="22"/>
    <x v="2"/>
    <s v="Migrants économiques"/>
    <s v="autre_pays"/>
    <s v="CAR"/>
    <x v="3"/>
    <s v="CAR010"/>
    <s v="Nana-Manbere"/>
    <s v=""/>
    <s v=""/>
    <s v=""/>
    <s v=""/>
  </r>
  <r>
    <s v="Extrême-Nord"/>
    <s v="CMR004"/>
    <x v="0"/>
    <s v="CMR004001"/>
    <x v="34"/>
    <s v="CMR004001004"/>
    <s v="DJOHIRE"/>
    <x v="637"/>
    <x v="2"/>
    <s v="P2"/>
    <n v="3"/>
    <n v="45"/>
    <x v="2"/>
    <s v="Migrants économiques"/>
    <s v="autre_pays"/>
    <s v="CAR"/>
    <x v="3"/>
    <s v="CAR010"/>
    <s v="Nana-Manbere"/>
    <s v=""/>
    <s v=""/>
    <s v=""/>
    <s v=""/>
  </r>
  <r>
    <s v="Extrême-Nord"/>
    <s v="CMR004"/>
    <x v="0"/>
    <s v="CMR004001"/>
    <x v="34"/>
    <s v="CMR004001004"/>
    <s v="KALAKI"/>
    <x v="638"/>
    <x v="2"/>
    <s v="P2"/>
    <n v="12"/>
    <n v="136"/>
    <x v="2"/>
    <s v="Migrants économiques"/>
    <s v="autre_pays"/>
    <s v="CAR"/>
    <x v="3"/>
    <s v="CAR010"/>
    <s v="Nana-Manbere"/>
    <s v=""/>
    <s v=""/>
    <s v=""/>
    <s v=""/>
  </r>
  <r>
    <s v="Extrême-Nord"/>
    <s v="CMR004"/>
    <x v="0"/>
    <s v="CMR004001"/>
    <x v="34"/>
    <s v="CMR004001004"/>
    <s v="OURO-ZANGUI"/>
    <x v="639"/>
    <x v="2"/>
    <s v="P2"/>
    <n v="1"/>
    <n v="17"/>
    <x v="2"/>
    <s v="Conflit social"/>
    <s v="autre_pays"/>
    <s v="CAR"/>
    <x v="3"/>
    <s v="CAR010"/>
    <s v="Nana-Manbere"/>
    <s v=""/>
    <s v=""/>
    <s v=""/>
    <s v=""/>
  </r>
  <r>
    <s v="Extrême-Nord"/>
    <s v="CMR004"/>
    <x v="0"/>
    <s v="CMR004001"/>
    <x v="34"/>
    <s v="CMR004001004"/>
    <s v="WOULMOYE"/>
    <x v="640"/>
    <x v="2"/>
    <s v="P2"/>
    <n v="6"/>
    <n v="91"/>
    <x v="2"/>
    <s v="Migrants économiques"/>
    <s v="autre_pays"/>
    <s v="CAR"/>
    <x v="3"/>
    <s v="CAR010"/>
    <s v="Nana-Manbere"/>
    <s v=""/>
    <s v=""/>
    <s v=""/>
    <s v=""/>
  </r>
  <r>
    <s v="Extrême-Nord"/>
    <s v="CMR004"/>
    <x v="0"/>
    <s v="CMR004001"/>
    <x v="4"/>
    <s v="CMR004001003"/>
    <s v="BANDALARE"/>
    <x v="14"/>
    <x v="2"/>
    <s v="P6"/>
    <n v="1"/>
    <n v="4"/>
    <x v="0"/>
    <s v=""/>
    <s v="meme_pays"/>
    <s v="CMR"/>
    <x v="0"/>
    <s v="CMR004"/>
    <s v="Extrême-Nord"/>
    <s v="CMR004005"/>
    <s v="Mayo-Sava"/>
    <s v=""/>
    <s v=""/>
  </r>
  <r>
    <s v="Extrême-Nord"/>
    <s v="CMR004"/>
    <x v="0"/>
    <s v="CMR004001"/>
    <x v="4"/>
    <s v="CMR004001003"/>
    <s v="KOURWAMAYEL"/>
    <x v="29"/>
    <x v="2"/>
    <s v="P5"/>
    <n v="4"/>
    <n v="15"/>
    <x v="0"/>
    <s v=""/>
    <s v="meme_pays"/>
    <s v="CMR"/>
    <x v="0"/>
    <s v="CMR004"/>
    <s v="Extrême-Nord"/>
    <s v="CMR004005"/>
    <s v="Mayo-Sava"/>
    <s v=""/>
    <s v=""/>
  </r>
  <r>
    <s v="Extrême-Nord"/>
    <s v="CMR004"/>
    <x v="1"/>
    <s v="CMR004002"/>
    <x v="5"/>
    <s v="CMR004002003"/>
    <s v="BLANGOUA"/>
    <x v="38"/>
    <x v="2"/>
    <s v="P3"/>
    <n v="67"/>
    <n v="337"/>
    <x v="0"/>
    <s v=""/>
    <s v="autre_pays"/>
    <s v="NGA"/>
    <x v="2"/>
    <s v="NGA008"/>
    <s v="Borno"/>
    <s v=""/>
    <s v=""/>
    <s v=""/>
    <s v=""/>
  </r>
  <r>
    <s v="Extrême-Nord"/>
    <s v="CMR004"/>
    <x v="1"/>
    <s v="CMR004002"/>
    <x v="5"/>
    <s v="CMR004002003"/>
    <s v="KOFIA"/>
    <x v="45"/>
    <x v="2"/>
    <s v="P5"/>
    <n v="4"/>
    <n v="22"/>
    <x v="0"/>
    <s v=""/>
    <s v="autre_pays"/>
    <s v="NGA"/>
    <x v="2"/>
    <s v="NGA008"/>
    <s v="Borno"/>
    <s v=""/>
    <s v=""/>
    <s v=""/>
    <s v=""/>
  </r>
  <r>
    <s v="Extrême-Nord"/>
    <s v="CMR004"/>
    <x v="1"/>
    <s v="CMR004002"/>
    <x v="5"/>
    <s v="CMR004002003"/>
    <s v="KOUTOULA"/>
    <x v="46"/>
    <x v="2"/>
    <s v="P5"/>
    <n v="2"/>
    <n v="22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5"/>
    <s v="CMR004002003"/>
    <s v="KOUTOULA"/>
    <x v="46"/>
    <x v="2"/>
    <s v="P2"/>
    <n v="7"/>
    <n v="100"/>
    <x v="0"/>
    <s v=""/>
    <s v="autre_pays"/>
    <s v="NGA"/>
    <x v="2"/>
    <s v="NGA008"/>
    <s v="Borno"/>
    <s v=""/>
    <s v=""/>
    <s v=""/>
    <s v=""/>
  </r>
  <r>
    <s v="Extrême-Nord"/>
    <s v="CMR004"/>
    <x v="1"/>
    <s v="CMR004002"/>
    <x v="5"/>
    <s v="CMR004002003"/>
    <s v="NDARABAYA"/>
    <x v="48"/>
    <x v="2"/>
    <s v="P5"/>
    <n v="1"/>
    <n v="3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5"/>
    <s v="CMR004002003"/>
    <s v="NDARABAYA"/>
    <x v="48"/>
    <x v="2"/>
    <s v="P2"/>
    <n v="6"/>
    <n v="64"/>
    <x v="0"/>
    <s v=""/>
    <s v="autre_pays"/>
    <s v="NGA"/>
    <x v="2"/>
    <s v="NGA008"/>
    <s v="Borno"/>
    <s v=""/>
    <s v=""/>
    <s v=""/>
    <s v=""/>
  </r>
  <r>
    <s v="Extrême-Nord"/>
    <s v="CMR004"/>
    <x v="1"/>
    <s v="CMR004002"/>
    <x v="5"/>
    <s v="CMR004002003"/>
    <s v="SABOURA"/>
    <x v="49"/>
    <x v="2"/>
    <s v="P4"/>
    <n v="4"/>
    <n v="15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5"/>
    <s v="CMR004002003"/>
    <s v="SABOURA"/>
    <x v="49"/>
    <x v="2"/>
    <s v="P5"/>
    <n v="5"/>
    <n v="22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5"/>
    <s v="CMR004002003"/>
    <s v="SERO ABOU"/>
    <x v="50"/>
    <x v="2"/>
    <s v="P3"/>
    <n v="6"/>
    <n v="5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5"/>
    <s v="CMR004002003"/>
    <s v="SERO ABOU"/>
    <x v="50"/>
    <x v="2"/>
    <s v="P4"/>
    <n v="1"/>
    <n v="8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6"/>
    <s v="CMR004002007"/>
    <s v="DARAK"/>
    <x v="56"/>
    <x v="2"/>
    <s v="P5"/>
    <n v="25"/>
    <n v="212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6"/>
    <s v="CMR004002007"/>
    <s v="KARENA"/>
    <x v="63"/>
    <x v="2"/>
    <s v="P3"/>
    <n v="5"/>
    <n v="41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6"/>
    <s v="CMR004002007"/>
    <s v="KARENA"/>
    <x v="63"/>
    <x v="2"/>
    <s v="P5"/>
    <n v="3"/>
    <n v="21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6"/>
    <s v="CMR004002007"/>
    <s v="NAGA A"/>
    <x v="70"/>
    <x v="2"/>
    <s v="P3"/>
    <n v="22"/>
    <n v="155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7"/>
    <s v="CMR004002008"/>
    <s v="AMTCHOUKOULI"/>
    <x v="74"/>
    <x v="2"/>
    <s v="P6"/>
    <n v="11"/>
    <n v="97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7"/>
    <s v="CMR004002008"/>
    <s v="FOTOKOL VILLE"/>
    <x v="79"/>
    <x v="2"/>
    <s v="P5"/>
    <n v="981"/>
    <n v="7763"/>
    <x v="0"/>
    <s v="Le village d'origine est sécurisé et les activités économiques sont relancées 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7"/>
    <s v="CMR004002008"/>
    <s v="MAKAMBARA"/>
    <x v="641"/>
    <x v="2"/>
    <s v="P5"/>
    <n v="1"/>
    <n v="8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7"/>
    <s v="CMR004002008"/>
    <s v="SAGME"/>
    <x v="94"/>
    <x v="2"/>
    <s v="P5"/>
    <n v="27"/>
    <n v="20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7"/>
    <s v="CMR004002008"/>
    <s v="SAGME"/>
    <x v="94"/>
    <x v="2"/>
    <s v="P6"/>
    <n v="169"/>
    <n v="122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9"/>
    <s v="CMR004002010"/>
    <s v="BARGARAM"/>
    <x v="132"/>
    <x v="2"/>
    <s v="P6"/>
    <n v="21"/>
    <n v="147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9"/>
    <s v="CMR004002010"/>
    <s v="TCHIKA"/>
    <x v="142"/>
    <x v="2"/>
    <s v="P5"/>
    <n v="46"/>
    <n v="368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9"/>
    <s v="CMR004002010"/>
    <s v="TCHIKA"/>
    <x v="142"/>
    <x v="2"/>
    <s v="P6"/>
    <n v="55"/>
    <n v="44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9"/>
    <s v="CMR004002010"/>
    <s v="TERBOU"/>
    <x v="143"/>
    <x v="2"/>
    <s v="P4"/>
    <n v="96"/>
    <n v="512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0"/>
    <s v="CMR004002006"/>
    <s v="KROUANG 2"/>
    <x v="163"/>
    <x v="2"/>
    <s v="P5"/>
    <n v="1"/>
    <n v="13"/>
    <x v="2"/>
    <s v="La recherche d emploi"/>
    <s v="autre_pays"/>
    <s v="TCD"/>
    <x v="1"/>
    <s v="TCD008"/>
    <s v="Logone Occidental"/>
    <s v=""/>
    <s v=""/>
    <s v=""/>
    <s v=""/>
  </r>
  <r>
    <s v="Extrême-Nord"/>
    <s v="CMR004"/>
    <x v="1"/>
    <s v="CMR004002"/>
    <x v="11"/>
    <s v="CMR004002004"/>
    <s v="LOGONE-BIRNI"/>
    <x v="205"/>
    <x v="2"/>
    <s v="P1"/>
    <n v="14"/>
    <n v="70"/>
    <x v="1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AFADE (VILLAGE)"/>
    <x v="230"/>
    <x v="2"/>
    <s v="P3"/>
    <n v="141"/>
    <n v="1199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AFADE (VILLAGE)"/>
    <x v="230"/>
    <x v="2"/>
    <s v="P4"/>
    <n v="566"/>
    <n v="4512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AFADE (VILLAGE)"/>
    <x v="230"/>
    <x v="2"/>
    <s v="P5"/>
    <n v="42"/>
    <n v="656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AMCHILGA"/>
    <x v="233"/>
    <x v="2"/>
    <s v="P3"/>
    <n v="4"/>
    <n v="18"/>
    <x v="0"/>
    <s v=""/>
    <s v="autre_pays"/>
    <s v="NGA"/>
    <x v="2"/>
    <s v="NGA008"/>
    <s v="Borno"/>
    <s v=""/>
    <s v=""/>
    <s v=""/>
    <s v=""/>
  </r>
  <r>
    <s v="Extrême-Nord"/>
    <s v="CMR004"/>
    <x v="1"/>
    <s v="CMR004002"/>
    <x v="12"/>
    <s v="CMR004002009"/>
    <s v="AMCHILGA"/>
    <x v="233"/>
    <x v="2"/>
    <s v="P4"/>
    <n v="2"/>
    <n v="14"/>
    <x v="0"/>
    <s v=""/>
    <s v="autre_pays"/>
    <s v="NGA"/>
    <x v="2"/>
    <s v="NGA008"/>
    <s v="Borno"/>
    <s v=""/>
    <s v=""/>
    <s v=""/>
    <s v=""/>
  </r>
  <r>
    <s v="Extrême-Nord"/>
    <s v="CMR004"/>
    <x v="1"/>
    <s v="CMR004002"/>
    <x v="12"/>
    <s v="CMR004002009"/>
    <s v="BAOURI"/>
    <x v="249"/>
    <x v="2"/>
    <s v="P3"/>
    <n v="2"/>
    <n v="1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AOURI"/>
    <x v="249"/>
    <x v="2"/>
    <s v="P4"/>
    <n v="4"/>
    <n v="2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EDAT"/>
    <x v="251"/>
    <x v="2"/>
    <s v="P3"/>
    <n v="6"/>
    <n v="3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EDAT"/>
    <x v="251"/>
    <x v="2"/>
    <s v="P4"/>
    <n v="10"/>
    <n v="5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LAHE"/>
    <x v="256"/>
    <x v="2"/>
    <s v="P2"/>
    <n v="8"/>
    <n v="12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LAHE"/>
    <x v="256"/>
    <x v="2"/>
    <s v="P3"/>
    <n v="4"/>
    <n v="2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LAHE"/>
    <x v="256"/>
    <x v="2"/>
    <s v="P4"/>
    <n v="8"/>
    <n v="48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ODO"/>
    <x v="258"/>
    <x v="2"/>
    <s v="P4"/>
    <n v="10"/>
    <n v="5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CHAGAMA 1"/>
    <x v="260"/>
    <x v="2"/>
    <s v="P2"/>
    <n v="1"/>
    <n v="13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CHALAMTINI"/>
    <x v="263"/>
    <x v="2"/>
    <s v="P4"/>
    <n v="33"/>
    <n v="165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DJADJAYA"/>
    <x v="273"/>
    <x v="2"/>
    <s v="P2"/>
    <n v="11"/>
    <n v="36"/>
    <x v="0"/>
    <s v=""/>
    <s v="autre_pays"/>
    <s v="NGA"/>
    <x v="2"/>
    <s v="NGA008"/>
    <s v="Borno"/>
    <s v=""/>
    <s v=""/>
    <s v=""/>
    <s v=""/>
  </r>
  <r>
    <s v="Extrême-Nord"/>
    <s v="CMR004"/>
    <x v="1"/>
    <s v="CMR004002"/>
    <x v="12"/>
    <s v="CMR004002009"/>
    <s v="DJADJAYA"/>
    <x v="273"/>
    <x v="2"/>
    <s v="P3"/>
    <n v="6"/>
    <n v="24"/>
    <x v="0"/>
    <s v=""/>
    <s v="autre_pays"/>
    <s v="NGA"/>
    <x v="2"/>
    <s v="NGA008"/>
    <s v="Borno"/>
    <s v=""/>
    <s v=""/>
    <s v=""/>
    <s v=""/>
  </r>
  <r>
    <s v="Extrême-Nord"/>
    <s v="CMR004"/>
    <x v="1"/>
    <s v="CMR004002"/>
    <x v="12"/>
    <s v="CMR004002009"/>
    <s v="DJAMOUS"/>
    <x v="275"/>
    <x v="2"/>
    <s v="P4"/>
    <n v="70"/>
    <n v="35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DJIDANSAMA"/>
    <x v="276"/>
    <x v="2"/>
    <s v="P3"/>
    <n v="2"/>
    <n v="37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FARCH 2"/>
    <x v="289"/>
    <x v="2"/>
    <s v="P3"/>
    <n v="7"/>
    <n v="26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HADAMARI"/>
    <x v="307"/>
    <x v="2"/>
    <s v="P3"/>
    <n v="7"/>
    <n v="35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HADAMARI"/>
    <x v="307"/>
    <x v="2"/>
    <s v="P4"/>
    <n v="8"/>
    <n v="45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HELISNA"/>
    <x v="308"/>
    <x v="2"/>
    <s v="P3"/>
    <n v="5"/>
    <n v="43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KAOSSE"/>
    <x v="313"/>
    <x v="2"/>
    <s v="P2"/>
    <n v="2"/>
    <n v="8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KAOSSE"/>
    <x v="313"/>
    <x v="2"/>
    <s v="P3"/>
    <n v="2"/>
    <n v="5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AFANDE"/>
    <x v="327"/>
    <x v="2"/>
    <s v="P2"/>
    <n v="4"/>
    <n v="17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AFANDE"/>
    <x v="327"/>
    <x v="2"/>
    <s v="P3"/>
    <n v="3"/>
    <n v="11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ASSIO"/>
    <x v="335"/>
    <x v="2"/>
    <s v="P5"/>
    <n v="5"/>
    <n v="56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BEE"/>
    <x v="336"/>
    <x v="2"/>
    <s v="P4"/>
    <n v="24"/>
    <n v="12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BLAME"/>
    <x v="642"/>
    <x v="2"/>
    <s v="P6"/>
    <n v="148"/>
    <n v="1157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EDINA 3"/>
    <x v="337"/>
    <x v="2"/>
    <s v="P4"/>
    <n v="11"/>
    <n v="5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NANAMI"/>
    <x v="351"/>
    <x v="2"/>
    <s v="P3"/>
    <n v="8"/>
    <n v="35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NGOUMA"/>
    <x v="371"/>
    <x v="2"/>
    <s v="P2"/>
    <n v="10"/>
    <n v="5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NGOUMA"/>
    <x v="371"/>
    <x v="2"/>
    <s v="P3"/>
    <n v="8"/>
    <n v="46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RINGUE"/>
    <x v="378"/>
    <x v="2"/>
    <s v="P2"/>
    <n v="3"/>
    <n v="8"/>
    <x v="0"/>
    <s v=""/>
    <s v="autre_pays"/>
    <s v="NGA"/>
    <x v="2"/>
    <s v="NGA008"/>
    <s v="Borno"/>
    <s v=""/>
    <s v=""/>
    <s v=""/>
    <s v=""/>
  </r>
  <r>
    <s v="Extrême-Nord"/>
    <s v="CMR004"/>
    <x v="1"/>
    <s v="CMR004002"/>
    <x v="12"/>
    <s v="CMR004002009"/>
    <s v="WOSSO"/>
    <x v="391"/>
    <x v="2"/>
    <s v="P3"/>
    <n v="3"/>
    <n v="1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ZAMAN"/>
    <x v="394"/>
    <x v="2"/>
    <s v="P3"/>
    <n v="3"/>
    <n v="10"/>
    <x v="0"/>
    <s v=""/>
    <s v="autre_pays"/>
    <s v="NGA"/>
    <x v="2"/>
    <s v="NGA008"/>
    <s v="Borno"/>
    <s v=""/>
    <s v=""/>
    <s v=""/>
    <s v=""/>
  </r>
  <r>
    <s v="Extrême-Nord"/>
    <s v="CMR004"/>
    <x v="1"/>
    <s v="CMR004002"/>
    <x v="13"/>
    <s v="CMR004002001"/>
    <s v="ARDEBE"/>
    <x v="395"/>
    <x v="2"/>
    <s v="P3"/>
    <n v="20"/>
    <n v="102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GOULOUZIVINI"/>
    <x v="611"/>
    <x v="2"/>
    <s v="P5"/>
    <n v="25"/>
    <n v="131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GOZOLNANE"/>
    <x v="397"/>
    <x v="2"/>
    <s v="P4"/>
    <n v="15"/>
    <n v="8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GOZOLNANE"/>
    <x v="397"/>
    <x v="2"/>
    <s v="P5"/>
    <n v="2"/>
    <n v="13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KABE 1"/>
    <x v="612"/>
    <x v="2"/>
    <s v="P5"/>
    <n v="62"/>
    <n v="35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KABE 2"/>
    <x v="398"/>
    <x v="2"/>
    <s v="P3"/>
    <n v="5"/>
    <n v="28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KABE 2"/>
    <x v="398"/>
    <x v="2"/>
    <s v="P4"/>
    <n v="4"/>
    <n v="22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MADA 1"/>
    <x v="613"/>
    <x v="2"/>
    <s v="P5"/>
    <n v="100"/>
    <n v="479"/>
    <x v="0"/>
    <s v=""/>
    <s v="autre_pays"/>
    <s v="NGA"/>
    <x v="2"/>
    <s v="NGA008"/>
    <s v="Borno"/>
    <s v=""/>
    <s v=""/>
    <s v=""/>
    <s v=""/>
  </r>
  <r>
    <s v="Extrême-Nord"/>
    <s v="CMR004"/>
    <x v="1"/>
    <s v="CMR004002"/>
    <x v="13"/>
    <s v="CMR004002001"/>
    <s v="MATKOUNA 1"/>
    <x v="399"/>
    <x v="2"/>
    <s v="P3"/>
    <n v="12"/>
    <n v="76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MATKOUNA 1"/>
    <x v="399"/>
    <x v="2"/>
    <s v="P5"/>
    <n v="2"/>
    <n v="13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MATKOUNA 2"/>
    <x v="643"/>
    <x v="2"/>
    <s v="P4"/>
    <n v="12"/>
    <n v="7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MICHEDIRE"/>
    <x v="644"/>
    <x v="2"/>
    <s v="P4"/>
    <n v="44"/>
    <n v="227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SALEH"/>
    <x v="616"/>
    <x v="2"/>
    <s v="P5"/>
    <n v="101"/>
    <n v="513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TAGAWA 2"/>
    <x v="401"/>
    <x v="2"/>
    <s v="P4"/>
    <n v="5"/>
    <n v="22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TAGAWA 4"/>
    <x v="403"/>
    <x v="2"/>
    <s v="P4"/>
    <n v="3"/>
    <n v="13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TOUNGA"/>
    <x v="404"/>
    <x v="2"/>
    <s v="P4"/>
    <n v="15"/>
    <n v="57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ZIGAGUE"/>
    <x v="407"/>
    <x v="2"/>
    <s v="P2"/>
    <n v="10"/>
    <n v="50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ZIGAGUE"/>
    <x v="407"/>
    <x v="2"/>
    <s v="P3"/>
    <n v="7"/>
    <n v="35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ZIGAGUE"/>
    <x v="407"/>
    <x v="2"/>
    <s v="P4"/>
    <n v="63"/>
    <n v="447"/>
    <x v="0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ALVAKAI"/>
    <x v="409"/>
    <x v="2"/>
    <s v="P5"/>
    <n v="15"/>
    <n v="85"/>
    <x v="1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ALVAKAI"/>
    <x v="409"/>
    <x v="2"/>
    <s v="P6"/>
    <n v="64"/>
    <n v="498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1"/>
    <s v="CMR004002"/>
    <x v="14"/>
    <s v="CMR004002005"/>
    <s v="ARAINABA"/>
    <x v="410"/>
    <x v="2"/>
    <s v="P5"/>
    <n v="47"/>
    <n v="238"/>
    <x v="1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BALGUE 1"/>
    <x v="411"/>
    <x v="2"/>
    <s v="P5"/>
    <n v="53"/>
    <n v="275"/>
    <x v="1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GALA"/>
    <x v="412"/>
    <x v="2"/>
    <s v="P5"/>
    <n v="59"/>
    <n v="294"/>
    <x v="1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MALAZINA"/>
    <x v="413"/>
    <x v="2"/>
    <s v="P5"/>
    <n v="53"/>
    <n v="270"/>
    <x v="1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MANKA"/>
    <x v="414"/>
    <x v="2"/>
    <s v="P5"/>
    <n v="97"/>
    <n v="495"/>
    <x v="1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MARGOUE"/>
    <x v="415"/>
    <x v="2"/>
    <s v="P5"/>
    <n v="70"/>
    <n v="360"/>
    <x v="1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NGODENI"/>
    <x v="416"/>
    <x v="2"/>
    <s v="P5"/>
    <n v="95"/>
    <n v="495"/>
    <x v="1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PATMANGAI"/>
    <x v="417"/>
    <x v="2"/>
    <s v="P5"/>
    <n v="92"/>
    <n v="460"/>
    <x v="1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SARA-SARA"/>
    <x v="645"/>
    <x v="2"/>
    <s v="P5"/>
    <n v="96"/>
    <n v="526"/>
    <x v="1"/>
    <s v=""/>
    <s v="meme_pays"/>
    <s v="CMR"/>
    <x v="0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ZILIM 2"/>
    <x v="418"/>
    <x v="2"/>
    <s v="P5"/>
    <n v="68"/>
    <n v="350"/>
    <x v="1"/>
    <s v=""/>
    <s v="meme_pays"/>
    <s v="CMR"/>
    <x v="0"/>
    <s v="CMR004"/>
    <s v="Extrême-Nord"/>
    <s v="CMR004002"/>
    <s v="Logone-Et-Chari"/>
    <s v=""/>
    <s v=""/>
  </r>
  <r>
    <s v="Extrême-Nord"/>
    <s v="CMR004"/>
    <x v="2"/>
    <s v="CMR004003"/>
    <x v="15"/>
    <s v="CMR004003011"/>
    <s v="GOBOGAIOUA"/>
    <x v="617"/>
    <x v="2"/>
    <s v="P2"/>
    <n v="2"/>
    <n v="13"/>
    <x v="0"/>
    <s v=""/>
    <s v="autre_pays"/>
    <s v="NGA"/>
    <x v="2"/>
    <s v="NGA008"/>
    <s v="Borno"/>
    <s v=""/>
    <s v=""/>
    <s v=""/>
    <s v=""/>
  </r>
  <r>
    <s v="Extrême-Nord"/>
    <s v="CMR004"/>
    <x v="2"/>
    <s v="CMR004003"/>
    <x v="15"/>
    <s v="CMR004003011"/>
    <s v="GOBOGAIOUA"/>
    <x v="617"/>
    <x v="2"/>
    <s v="P3"/>
    <n v="1"/>
    <n v="8"/>
    <x v="0"/>
    <s v=""/>
    <s v="autre_pays"/>
    <s v="NGA"/>
    <x v="2"/>
    <s v="NGA016"/>
    <s v="Gombe"/>
    <s v=""/>
    <s v=""/>
    <s v=""/>
    <s v=""/>
  </r>
  <r>
    <s v="Extrême-Nord"/>
    <s v="CMR004"/>
    <x v="2"/>
    <s v="CMR004003"/>
    <x v="15"/>
    <s v="CMR004003011"/>
    <s v="GOBOGAIOUA"/>
    <x v="617"/>
    <x v="2"/>
    <s v="P5"/>
    <n v="4"/>
    <n v="20"/>
    <x v="0"/>
    <s v=""/>
    <s v="autre_pays"/>
    <s v="NGA"/>
    <x v="2"/>
    <s v="NGA016"/>
    <s v="Gombe"/>
    <s v=""/>
    <s v=""/>
    <s v=""/>
    <s v=""/>
  </r>
  <r>
    <s v="Extrême-Nord"/>
    <s v="CMR004"/>
    <x v="2"/>
    <s v="CMR004003"/>
    <x v="16"/>
    <s v="CMR004003006"/>
    <s v="BANGALA"/>
    <x v="427"/>
    <x v="2"/>
    <s v="P3"/>
    <n v="15"/>
    <n v="75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6"/>
    <s v="CMR004003006"/>
    <s v="GUEME"/>
    <x v="428"/>
    <x v="2"/>
    <s v="P1"/>
    <n v="24"/>
    <n v="120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6"/>
    <s v="CMR004003006"/>
    <s v="KARTOUA"/>
    <x v="429"/>
    <x v="2"/>
    <s v="P3"/>
    <n v="15"/>
    <n v="75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6"/>
    <s v="CMR004003006"/>
    <s v="VELE"/>
    <x v="430"/>
    <x v="2"/>
    <s v="P3"/>
    <n v="30"/>
    <n v="150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7"/>
    <s v="CMR004003010"/>
    <s v="DAHAOU"/>
    <x v="646"/>
    <x v="2"/>
    <s v="P1"/>
    <n v="50"/>
    <n v="281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7"/>
    <s v="CMR004003010"/>
    <s v="DANGABISSI"/>
    <x v="647"/>
    <x v="2"/>
    <s v="P1"/>
    <n v="60"/>
    <n v="300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7"/>
    <s v="CMR004003010"/>
    <s v="DJOUGOUMTA"/>
    <x v="648"/>
    <x v="2"/>
    <s v="P1"/>
    <n v="15"/>
    <n v="92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7"/>
    <s v="CMR004003010"/>
    <s v="HOLLOM"/>
    <x v="649"/>
    <x v="2"/>
    <s v="P1"/>
    <n v="20"/>
    <n v="200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7"/>
    <s v="CMR004003010"/>
    <s v="MOUKA"/>
    <x v="432"/>
    <x v="2"/>
    <s v="P1"/>
    <n v="18"/>
    <n v="227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BARIAGODJO"/>
    <x v="650"/>
    <x v="2"/>
    <s v="P1"/>
    <n v="93"/>
    <n v="558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BARIAGODJO"/>
    <x v="650"/>
    <x v="2"/>
    <s v="P2"/>
    <n v="100"/>
    <n v="600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BARIAGODJO"/>
    <x v="650"/>
    <x v="2"/>
    <s v="P5"/>
    <n v="9"/>
    <n v="54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BARKAYA"/>
    <x v="433"/>
    <x v="2"/>
    <s v="P2"/>
    <n v="31"/>
    <n v="186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BARKAYA"/>
    <x v="433"/>
    <x v="2"/>
    <s v="P3"/>
    <n v="9"/>
    <n v="54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BARKAYA"/>
    <x v="433"/>
    <x v="2"/>
    <s v="P5"/>
    <n v="5"/>
    <n v="35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BEGUEPALAM"/>
    <x v="651"/>
    <x v="2"/>
    <s v="P1"/>
    <n v="120"/>
    <n v="722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BEGUEPALAM"/>
    <x v="651"/>
    <x v="2"/>
    <s v="P2"/>
    <n v="80"/>
    <n v="480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BEGUEPALAM"/>
    <x v="651"/>
    <x v="2"/>
    <s v="P3"/>
    <n v="14"/>
    <n v="88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DOUGUOUI"/>
    <x v="434"/>
    <x v="2"/>
    <s v="P5"/>
    <n v="7"/>
    <n v="101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KAIKAI"/>
    <x v="435"/>
    <x v="2"/>
    <s v="P3"/>
    <n v="18"/>
    <n v="108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KAIKAI"/>
    <x v="435"/>
    <x v="2"/>
    <s v="P5"/>
    <n v="5"/>
    <n v="34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KELEO"/>
    <x v="652"/>
    <x v="2"/>
    <s v="P1"/>
    <n v="27"/>
    <n v="190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LOUGOYE KAMASSE"/>
    <x v="436"/>
    <x v="2"/>
    <s v="P1"/>
    <n v="42"/>
    <n v="262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LOUGOYE KAMASSE"/>
    <x v="436"/>
    <x v="2"/>
    <s v="P5"/>
    <n v="3"/>
    <n v="18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MBOUKTANG"/>
    <x v="437"/>
    <x v="2"/>
    <s v="P2"/>
    <n v="10"/>
    <n v="72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MBOUKTANG"/>
    <x v="437"/>
    <x v="2"/>
    <s v="P3"/>
    <n v="5"/>
    <n v="35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8"/>
    <s v="CMR004003001"/>
    <s v="YANGA"/>
    <x v="653"/>
    <x v="2"/>
    <s v="P1"/>
    <n v="13"/>
    <n v="102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9"/>
    <s v="CMR004003002"/>
    <s v="FARAOULOU"/>
    <x v="438"/>
    <x v="2"/>
    <s v="P3"/>
    <n v="2"/>
    <n v="13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9"/>
    <s v="CMR004003002"/>
    <s v="MAHAOUROU"/>
    <x v="441"/>
    <x v="2"/>
    <s v="P5"/>
    <n v="1"/>
    <n v="4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19"/>
    <s v="CMR004003002"/>
    <s v="TEKELE"/>
    <x v="443"/>
    <x v="2"/>
    <s v="P5"/>
    <n v="56"/>
    <n v="352"/>
    <x v="1"/>
    <s v=""/>
    <s v="meme_pays"/>
    <s v="CMR"/>
    <x v="0"/>
    <s v="CMR004"/>
    <s v="Extrême-Nord"/>
    <s v="CMR004002"/>
    <s v="Logone-Et-Chari"/>
    <s v=""/>
    <s v=""/>
  </r>
  <r>
    <s v="Extrême-Nord"/>
    <s v="CMR004"/>
    <x v="2"/>
    <s v="CMR004003"/>
    <x v="20"/>
    <s v="CMR004003009"/>
    <s v="DOMO"/>
    <x v="445"/>
    <x v="2"/>
    <s v="P1"/>
    <n v="90"/>
    <n v="450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2"/>
    <s v="CMR004003"/>
    <x v="20"/>
    <s v="CMR004003009"/>
    <s v="MOURI"/>
    <x v="446"/>
    <x v="2"/>
    <s v="P1"/>
    <n v="70"/>
    <n v="350"/>
    <x v="1"/>
    <s v=""/>
    <s v="meme_pays"/>
    <s v="CMR"/>
    <x v="0"/>
    <s v="CMR004"/>
    <s v="Extrême-Nord"/>
    <s v="CMR004003"/>
    <s v="Mayo-Danay"/>
    <s v=""/>
    <s v=""/>
  </r>
  <r>
    <s v="Extrême-Nord"/>
    <s v="CMR004"/>
    <x v="3"/>
    <s v="CMR004004"/>
    <x v="35"/>
    <s v="CMR004004001"/>
    <s v="DJANINI"/>
    <x v="654"/>
    <x v="2"/>
    <s v="P2"/>
    <n v="1"/>
    <n v="6"/>
    <x v="2"/>
    <s v="Conflit intercommunautaire"/>
    <s v="autre_pays"/>
    <s v="CAR"/>
    <x v="3"/>
    <s v="CAR001"/>
    <s v="Bamingui-Bangoran"/>
    <s v=""/>
    <s v=""/>
    <s v=""/>
    <s v=""/>
  </r>
  <r>
    <s v="Extrême-Nord"/>
    <s v="CMR004"/>
    <x v="3"/>
    <s v="CMR004004"/>
    <x v="35"/>
    <s v="CMR004004001"/>
    <s v="GASSEL"/>
    <x v="655"/>
    <x v="2"/>
    <s v="P2"/>
    <n v="1"/>
    <n v="4"/>
    <x v="2"/>
    <s v="Conflit intercommunautaire. "/>
    <s v="autre_pays"/>
    <s v="CAR"/>
    <x v="3"/>
    <s v="CAR001"/>
    <s v="Bamingui-Bangoran"/>
    <s v=""/>
    <s v=""/>
    <s v=""/>
    <s v=""/>
  </r>
  <r>
    <s v="Extrême-Nord"/>
    <s v="CMR004"/>
    <x v="3"/>
    <s v="CMR004004"/>
    <x v="35"/>
    <s v="CMR004004001"/>
    <s v="LARAO"/>
    <x v="656"/>
    <x v="2"/>
    <s v="P1"/>
    <n v="2"/>
    <n v="42"/>
    <x v="2"/>
    <s v="Conflit intercommunautaire. "/>
    <s v="autre_pays"/>
    <s v="CAR"/>
    <x v="3"/>
    <s v="CAR001"/>
    <s v="Bamingui-Bangoran"/>
    <s v=""/>
    <s v=""/>
    <s v=""/>
    <s v=""/>
  </r>
  <r>
    <s v="Extrême-Nord"/>
    <s v="CMR004"/>
    <x v="3"/>
    <s v="CMR004004"/>
    <x v="35"/>
    <s v="CMR004004001"/>
    <s v="MENDAIRE"/>
    <x v="657"/>
    <x v="2"/>
    <s v="P1"/>
    <n v="2"/>
    <n v="24"/>
    <x v="2"/>
    <s v="Conflit intercommunautaire. "/>
    <s v="autre_pays"/>
    <s v="CAR"/>
    <x v="3"/>
    <s v="CAR001"/>
    <s v="Bamingui-Bangoran"/>
    <s v=""/>
    <s v=""/>
    <s v=""/>
    <s v=""/>
  </r>
  <r>
    <s v="Extrême-Nord"/>
    <s v="CMR004"/>
    <x v="3"/>
    <s v="CMR004004"/>
    <x v="35"/>
    <s v="CMR004004001"/>
    <s v="SIRATARE"/>
    <x v="658"/>
    <x v="2"/>
    <s v="P1"/>
    <n v="1"/>
    <n v="6"/>
    <x v="2"/>
    <s v="Conflit en rca"/>
    <s v="autre_pays"/>
    <s v="CAR"/>
    <x v="3"/>
    <s v="CAR001"/>
    <s v="Bamingui-Bangoran"/>
    <s v=""/>
    <s v=""/>
    <s v=""/>
    <s v=""/>
  </r>
  <r>
    <s v="Extrême-Nord"/>
    <s v="CMR004"/>
    <x v="3"/>
    <s v="CMR004004"/>
    <x v="21"/>
    <s v="CMR004004006"/>
    <s v="BOURGOURI"/>
    <x v="659"/>
    <x v="2"/>
    <s v="P1"/>
    <n v="2"/>
    <n v="17"/>
    <x v="0"/>
    <s v=""/>
    <s v="meme_pays"/>
    <s v="CMR"/>
    <x v="0"/>
    <s v="CMR004"/>
    <s v="Extrême-Nord"/>
    <s v="CMR004005"/>
    <s v="Mayo-Sava"/>
    <s v=""/>
    <s v=""/>
  </r>
  <r>
    <s v="Extrême-Nord"/>
    <s v="CMR004"/>
    <x v="3"/>
    <s v="CMR004004"/>
    <x v="21"/>
    <s v="CMR004004006"/>
    <s v="BOURGOURI"/>
    <x v="659"/>
    <x v="2"/>
    <s v="P2"/>
    <n v="2"/>
    <n v="7"/>
    <x v="0"/>
    <s v=""/>
    <s v="meme_pays"/>
    <s v="CMR"/>
    <x v="0"/>
    <s v="CMR004"/>
    <s v="Extrême-Nord"/>
    <s v="CMR004005"/>
    <s v="Mayo-Sava"/>
    <s v=""/>
    <s v=""/>
  </r>
  <r>
    <s v="Extrême-Nord"/>
    <s v="CMR004"/>
    <x v="3"/>
    <s v="CMR004004"/>
    <x v="21"/>
    <s v="CMR004004006"/>
    <s v="GAZARO"/>
    <x v="660"/>
    <x v="2"/>
    <s v="P1"/>
    <n v="4"/>
    <n v="58"/>
    <x v="0"/>
    <s v=""/>
    <s v="meme_pays"/>
    <s v="CMR"/>
    <x v="0"/>
    <s v="CMR004"/>
    <s v="Extrême-Nord"/>
    <s v="CMR004005"/>
    <s v="Mayo-Sava"/>
    <s v=""/>
    <s v=""/>
  </r>
  <r>
    <s v="Extrême-Nord"/>
    <s v="CMR004"/>
    <x v="3"/>
    <s v="CMR004004"/>
    <x v="21"/>
    <s v="CMR004004006"/>
    <s v="KAELE"/>
    <x v="448"/>
    <x v="2"/>
    <s v="P2"/>
    <n v="1"/>
    <n v="5"/>
    <x v="2"/>
    <s v="Conflit intercommunautaire. "/>
    <s v="autre_pays"/>
    <s v="CAR"/>
    <x v="3"/>
    <s v="CAR001"/>
    <s v="Bamingui-Bangoran"/>
    <s v=""/>
    <s v=""/>
    <s v=""/>
    <s v=""/>
  </r>
  <r>
    <s v="Extrême-Nord"/>
    <s v="CMR004"/>
    <x v="3"/>
    <s v="CMR004004"/>
    <x v="21"/>
    <s v="CMR004004006"/>
    <s v="ZADILI"/>
    <x v="661"/>
    <x v="2"/>
    <s v="P1"/>
    <n v="1"/>
    <n v="6"/>
    <x v="0"/>
    <s v=""/>
    <s v="meme_pays"/>
    <s v="CMR"/>
    <x v="0"/>
    <s v="CMR004"/>
    <s v="Extrême-Nord"/>
    <s v="CMR004005"/>
    <s v="Mayo-Sava"/>
    <s v=""/>
    <s v=""/>
  </r>
  <r>
    <s v="Extrême-Nord"/>
    <s v="CMR004"/>
    <x v="3"/>
    <s v="CMR004004"/>
    <x v="21"/>
    <s v="CMR004004006"/>
    <s v="ZAKLONG"/>
    <x v="662"/>
    <x v="2"/>
    <s v="P2"/>
    <n v="3"/>
    <n v="22"/>
    <x v="0"/>
    <s v=""/>
    <s v="meme_pays"/>
    <s v="CMR"/>
    <x v="0"/>
    <s v="CMR004"/>
    <s v="Extrême-Nord"/>
    <s v="CMR004005"/>
    <s v="Mayo-Sava"/>
    <s v=""/>
    <s v=""/>
  </r>
  <r>
    <s v="Extrême-Nord"/>
    <s v="CMR004"/>
    <x v="3"/>
    <s v="CMR004004"/>
    <x v="32"/>
    <s v="CMR004004007"/>
    <s v="MOGOM"/>
    <x v="663"/>
    <x v="2"/>
    <s v="P2"/>
    <n v="3"/>
    <n v="16"/>
    <x v="0"/>
    <s v=""/>
    <s v="autre_pays"/>
    <s v="NGA"/>
    <x v="2"/>
    <s v="NGA008"/>
    <s v="Borno"/>
    <s v=""/>
    <s v=""/>
    <s v=""/>
    <s v=""/>
  </r>
  <r>
    <s v="Extrême-Nord"/>
    <s v="CMR004"/>
    <x v="3"/>
    <s v="CMR004004"/>
    <x v="32"/>
    <s v="CMR004004007"/>
    <s v="SAMA"/>
    <x v="664"/>
    <x v="2"/>
    <s v="P2"/>
    <n v="1"/>
    <n v="8"/>
    <x v="2"/>
    <s v="Conflit inter-communautaire "/>
    <s v="autre_pays"/>
    <s v="CAR"/>
    <x v="3"/>
    <s v="CAR005"/>
    <s v="Kémo"/>
    <s v=""/>
    <s v=""/>
    <s v=""/>
    <s v=""/>
  </r>
  <r>
    <s v="Extrême-Nord"/>
    <s v="CMR004"/>
    <x v="3"/>
    <s v="CMR004004"/>
    <x v="32"/>
    <s v="CMR004004007"/>
    <s v="YAKANG"/>
    <x v="665"/>
    <x v="2"/>
    <s v="P4"/>
    <n v="4"/>
    <n v="13"/>
    <x v="0"/>
    <s v=""/>
    <s v="autre_pays"/>
    <s v="NGA"/>
    <x v="2"/>
    <s v="NGA026"/>
    <s v="Nasarawa"/>
    <s v=""/>
    <s v=""/>
    <s v=""/>
    <s v=""/>
  </r>
  <r>
    <s v="Extrême-Nord"/>
    <s v="CMR004"/>
    <x v="3"/>
    <s v="CMR004004"/>
    <x v="36"/>
    <s v="CMR004004002"/>
    <s v="MOULVOUDAYE CENTRE"/>
    <x v="666"/>
    <x v="2"/>
    <s v="P2"/>
    <n v="27"/>
    <n v="163"/>
    <x v="0"/>
    <s v=""/>
    <s v="autre_pays"/>
    <s v="NGA"/>
    <x v="2"/>
    <s v="NGA008"/>
    <s v="Borno"/>
    <s v=""/>
    <s v=""/>
    <s v=""/>
    <s v=""/>
  </r>
  <r>
    <s v="Extrême-Nord"/>
    <s v="CMR004"/>
    <x v="3"/>
    <s v="CMR004004"/>
    <x v="36"/>
    <s v="CMR004004002"/>
    <s v="MOULVOUDAYE CENTRE"/>
    <x v="666"/>
    <x v="2"/>
    <s v="P3"/>
    <n v="26"/>
    <n v="138"/>
    <x v="0"/>
    <s v=""/>
    <s v="autre_pays"/>
    <s v="NGA"/>
    <x v="2"/>
    <s v="NGA008"/>
    <s v="Borno"/>
    <s v=""/>
    <s v=""/>
    <s v=""/>
    <s v=""/>
  </r>
  <r>
    <s v="Extrême-Nord"/>
    <s v="CMR004"/>
    <x v="3"/>
    <s v="CMR004004"/>
    <x v="36"/>
    <s v="CMR004004002"/>
    <s v="MOULVOUDAYE CENTRE"/>
    <x v="666"/>
    <x v="2"/>
    <s v="P4"/>
    <n v="11"/>
    <n v="56"/>
    <x v="0"/>
    <s v=""/>
    <s v="autre_pays"/>
    <s v="NGA"/>
    <x v="2"/>
    <s v="NGA020"/>
    <s v="Kano"/>
    <s v=""/>
    <s v=""/>
    <s v=""/>
    <s v=""/>
  </r>
  <r>
    <s v="Extrême-Nord"/>
    <s v="CMR004"/>
    <x v="3"/>
    <s v="CMR004004"/>
    <x v="36"/>
    <s v="CMR004004002"/>
    <s v="OURO BELLO"/>
    <x v="667"/>
    <x v="2"/>
    <s v="P3"/>
    <n v="15"/>
    <n v="72"/>
    <x v="0"/>
    <s v=""/>
    <s v="autre_pays"/>
    <s v="NGA"/>
    <x v="2"/>
    <s v="NGA008"/>
    <s v="Borno"/>
    <s v=""/>
    <s v=""/>
    <s v=""/>
    <s v=""/>
  </r>
  <r>
    <s v="Extrême-Nord"/>
    <s v="CMR004"/>
    <x v="3"/>
    <s v="CMR004004"/>
    <x v="22"/>
    <s v="CMR004004005"/>
    <s v="MOUTOUROUA ROOM"/>
    <x v="451"/>
    <x v="2"/>
    <s v="P3"/>
    <n v="1"/>
    <n v="4"/>
    <x v="0"/>
    <s v=""/>
    <s v="autre_pays"/>
    <s v="NGA"/>
    <x v="2"/>
    <s v="NGA002"/>
    <s v="Adamawa"/>
    <s v=""/>
    <s v=""/>
    <s v=""/>
    <s v=""/>
  </r>
  <r>
    <s v="Extrême-Nord"/>
    <s v="CMR004"/>
    <x v="4"/>
    <s v="CMR004005"/>
    <x v="23"/>
    <s v="CMR004005001"/>
    <s v="AMCHIDE"/>
    <x v="452"/>
    <x v="2"/>
    <s v="P3"/>
    <n v="31"/>
    <n v="195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4"/>
    <s v="CMR004005"/>
    <x v="23"/>
    <s v="CMR004005001"/>
    <s v="AMCHIDE"/>
    <x v="452"/>
    <x v="2"/>
    <s v="P4"/>
    <n v="274"/>
    <n v="1876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4"/>
    <s v="CMR004005"/>
    <x v="23"/>
    <s v="CMR004005001"/>
    <s v="AMCHIDE"/>
    <x v="452"/>
    <x v="2"/>
    <s v="P5"/>
    <n v="408"/>
    <n v="2521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4"/>
    <s v="CMR004005"/>
    <x v="23"/>
    <s v="CMR004005001"/>
    <s v="AMCHIDE"/>
    <x v="452"/>
    <x v="2"/>
    <s v="P6"/>
    <n v="385"/>
    <n v="3375"/>
    <x v="0"/>
    <s v=""/>
    <s v="autre_pays"/>
    <s v="NGA"/>
    <x v="2"/>
    <s v="NGA002"/>
    <s v="Adamawa"/>
    <s v=""/>
    <s v=""/>
    <s v=""/>
    <s v=""/>
  </r>
  <r>
    <s v="Extrême-Nord"/>
    <s v="CMR004"/>
    <x v="4"/>
    <s v="CMR004005"/>
    <x v="23"/>
    <s v="CMR004005001"/>
    <s v="GARE"/>
    <x v="668"/>
    <x v="2"/>
    <s v="P5"/>
    <n v="16"/>
    <n v="75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3"/>
    <s v="CMR004005001"/>
    <s v="GOUZOUDOU"/>
    <x v="453"/>
    <x v="2"/>
    <s v="P4"/>
    <n v="20"/>
    <n v="136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3"/>
    <s v="CMR004005001"/>
    <s v="GOUZOUDOU"/>
    <x v="453"/>
    <x v="2"/>
    <s v="P5"/>
    <n v="15"/>
    <n v="76"/>
    <x v="0"/>
    <s v=""/>
    <s v="meme_pays"/>
    <s v="CMR"/>
    <x v="0"/>
    <s v="CMR009"/>
    <s v="Sud"/>
    <s v=""/>
    <s v=""/>
    <s v=""/>
    <s v=""/>
  </r>
  <r>
    <s v="Extrême-Nord"/>
    <s v="CMR004"/>
    <x v="4"/>
    <s v="CMR004005"/>
    <x v="23"/>
    <s v="CMR004005001"/>
    <s v="KERAWA"/>
    <x v="454"/>
    <x v="2"/>
    <s v="P4"/>
    <n v="3"/>
    <n v="21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3"/>
    <s v="CMR004005001"/>
    <s v="KERAWA"/>
    <x v="454"/>
    <x v="2"/>
    <s v="P5"/>
    <n v="14"/>
    <n v="98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3"/>
    <s v="CMR004005001"/>
    <s v="KOLOFATA"/>
    <x v="455"/>
    <x v="2"/>
    <s v="P3"/>
    <n v="15"/>
    <n v="87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4"/>
    <s v="CMR004005"/>
    <x v="23"/>
    <s v="CMR004005001"/>
    <s v="KOLOFATA"/>
    <x v="455"/>
    <x v="2"/>
    <s v="P4"/>
    <n v="27"/>
    <n v="164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4"/>
    <s v="CMR004005"/>
    <x v="23"/>
    <s v="CMR004005001"/>
    <s v="KOLOFATA"/>
    <x v="455"/>
    <x v="2"/>
    <s v="P5"/>
    <n v="73"/>
    <n v="399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3"/>
    <s v="CMR004005001"/>
    <s v="SARE"/>
    <x v="669"/>
    <x v="2"/>
    <s v="P5"/>
    <n v="20"/>
    <n v="105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DJAKANA"/>
    <x v="670"/>
    <x v="2"/>
    <s v="P4"/>
    <n v="63"/>
    <n v="315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DJAKANA"/>
    <x v="670"/>
    <x v="2"/>
    <s v="P5"/>
    <n v="242"/>
    <n v="1407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DJOUNDE"/>
    <x v="460"/>
    <x v="2"/>
    <s v="P4"/>
    <n v="14"/>
    <n v="77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DJOUNDE"/>
    <x v="460"/>
    <x v="2"/>
    <s v="P5"/>
    <n v="27"/>
    <n v="154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DOULO"/>
    <x v="461"/>
    <x v="2"/>
    <s v="P4"/>
    <n v="223"/>
    <n v="1338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DOULO"/>
    <x v="461"/>
    <x v="2"/>
    <s v="P5"/>
    <n v="61"/>
    <n v="327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DOULO"/>
    <x v="461"/>
    <x v="2"/>
    <s v="P6"/>
    <n v="6"/>
    <n v="32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KOSSA"/>
    <x v="469"/>
    <x v="2"/>
    <s v="P3"/>
    <n v="64"/>
    <n v="402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KOSSA"/>
    <x v="469"/>
    <x v="2"/>
    <s v="P4"/>
    <n v="78"/>
    <n v="585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KOSSA"/>
    <x v="469"/>
    <x v="2"/>
    <s v="P5"/>
    <n v="31"/>
    <n v="190"/>
    <x v="0"/>
    <s v=""/>
    <s v="meme_pays"/>
    <s v="CMR"/>
    <x v="0"/>
    <s v="CMR004"/>
    <s v="Extrême-Nord"/>
    <s v="CMR004001"/>
    <s v="Diamare"/>
    <s v=""/>
    <s v=""/>
  </r>
  <r>
    <s v="Extrême-Nord"/>
    <s v="CMR004"/>
    <x v="4"/>
    <s v="CMR004005"/>
    <x v="24"/>
    <s v="CMR004005002"/>
    <s v="LIMANI"/>
    <x v="471"/>
    <x v="2"/>
    <s v="P4"/>
    <n v="68"/>
    <n v="461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LIMANI"/>
    <x v="471"/>
    <x v="2"/>
    <s v="P5"/>
    <n v="175"/>
    <n v="1138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LIMANI"/>
    <x v="471"/>
    <x v="2"/>
    <s v="P6"/>
    <n v="18"/>
    <n v="139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MAGDEME"/>
    <x v="472"/>
    <x v="2"/>
    <s v="P4"/>
    <n v="96"/>
    <n v="644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MAGDEME"/>
    <x v="472"/>
    <x v="2"/>
    <s v="P5"/>
    <n v="38"/>
    <n v="257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MAGDEME"/>
    <x v="472"/>
    <x v="2"/>
    <s v="P6"/>
    <n v="4"/>
    <n v="22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WARAGA"/>
    <x v="671"/>
    <x v="2"/>
    <s v="P4"/>
    <n v="28"/>
    <n v="151"/>
    <x v="0"/>
    <s v=""/>
    <s v="meme_pays"/>
    <s v="CMR"/>
    <x v="0"/>
    <s v="CMR004"/>
    <s v="Extrême-Nord"/>
    <s v="CMR004005"/>
    <s v="Mayo-Sava"/>
    <s v=""/>
    <s v=""/>
  </r>
  <r>
    <s v="Extrême-Nord"/>
    <s v="CMR004"/>
    <x v="4"/>
    <s v="CMR004005"/>
    <x v="24"/>
    <s v="CMR004005002"/>
    <s v="WARAGA"/>
    <x v="671"/>
    <x v="2"/>
    <s v="P5"/>
    <n v="62"/>
    <n v="361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6"/>
    <s v="CMR004006007"/>
    <s v="BOUKOULA"/>
    <x v="497"/>
    <x v="2"/>
    <s v="P2"/>
    <n v="9"/>
    <n v="5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6"/>
    <s v="CMR004006007"/>
    <s v="BOUKOULA"/>
    <x v="497"/>
    <x v="2"/>
    <s v="P3"/>
    <n v="8"/>
    <n v="45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6"/>
    <s v="CMR004006007"/>
    <s v="GUILI"/>
    <x v="672"/>
    <x v="2"/>
    <s v="P3"/>
    <n v="94"/>
    <n v="47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6"/>
    <s v="CMR004006007"/>
    <s v="GUILI"/>
    <x v="672"/>
    <x v="2"/>
    <s v="P4"/>
    <n v="62"/>
    <n v="31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6"/>
    <s v="CMR004006007"/>
    <s v="LAMORDE"/>
    <x v="498"/>
    <x v="2"/>
    <s v="P3"/>
    <n v="2"/>
    <n v="9"/>
    <x v="0"/>
    <s v=""/>
    <s v="meme_pays"/>
    <s v="CMR"/>
    <x v="0"/>
    <s v="CMR006"/>
    <s v="Nord"/>
    <s v="CMR006003"/>
    <s v="Mayo-Louti"/>
    <s v=""/>
    <s v=""/>
  </r>
  <r>
    <s v="Extrême-Nord"/>
    <s v="CMR004"/>
    <x v="5"/>
    <s v="CMR004006"/>
    <x v="26"/>
    <s v="CMR004006007"/>
    <s v="LAMORDE"/>
    <x v="498"/>
    <x v="2"/>
    <s v="P2"/>
    <n v="4"/>
    <n v="18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6"/>
    <s v="CMR004006007"/>
    <s v="LAMORDE"/>
    <x v="498"/>
    <x v="2"/>
    <s v="P4"/>
    <n v="115"/>
    <n v="589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6"/>
    <s v="CMR004006007"/>
    <s v="TCHEVI"/>
    <x v="620"/>
    <x v="2"/>
    <s v="P2"/>
    <n v="10"/>
    <n v="5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6"/>
    <s v="CMR004006007"/>
    <s v="TCHEVI"/>
    <x v="620"/>
    <x v="2"/>
    <s v="P3"/>
    <n v="4"/>
    <n v="25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7"/>
    <s v="CMR004006003"/>
    <s v="BAMGUEL BORORO"/>
    <x v="499"/>
    <x v="2"/>
    <s v="P3"/>
    <n v="2"/>
    <n v="16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7"/>
    <s v="CMR004006003"/>
    <s v="BAMGUEL BORORO"/>
    <x v="499"/>
    <x v="2"/>
    <s v="P2"/>
    <n v="3"/>
    <n v="19"/>
    <x v="0"/>
    <s v=""/>
    <s v="autre_pays"/>
    <s v="NGA"/>
    <x v="2"/>
    <s v="NGA016"/>
    <s v="Gombe"/>
    <s v=""/>
    <s v=""/>
    <s v=""/>
    <s v=""/>
  </r>
  <r>
    <s v="Extrême-Nord"/>
    <s v="CMR004"/>
    <x v="5"/>
    <s v="CMR004006"/>
    <x v="27"/>
    <s v="CMR004006003"/>
    <s v="BASSARA"/>
    <x v="500"/>
    <x v="2"/>
    <s v="P4"/>
    <n v="6"/>
    <n v="35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7"/>
    <s v="CMR004006003"/>
    <s v="BASSARA"/>
    <x v="500"/>
    <x v="2"/>
    <s v="P3"/>
    <n v="2"/>
    <n v="15"/>
    <x v="0"/>
    <s v=""/>
    <s v="autre_pays"/>
    <s v="NGA"/>
    <x v="2"/>
    <s v="NGA016"/>
    <s v="Gombe"/>
    <s v=""/>
    <s v=""/>
    <s v=""/>
    <s v=""/>
  </r>
  <r>
    <s v="Extrême-Nord"/>
    <s v="CMR004"/>
    <x v="5"/>
    <s v="CMR004006"/>
    <x v="27"/>
    <s v="CMR004006003"/>
    <s v="BASSARA"/>
    <x v="500"/>
    <x v="2"/>
    <s v="P2"/>
    <n v="3"/>
    <n v="15"/>
    <x v="0"/>
    <s v=""/>
    <s v="autre_pays"/>
    <s v="NGA"/>
    <x v="2"/>
    <s v="NGA020"/>
    <s v="Kano"/>
    <s v=""/>
    <s v=""/>
    <s v=""/>
    <s v=""/>
  </r>
  <r>
    <s v="Extrême-Nord"/>
    <s v="CMR004"/>
    <x v="5"/>
    <s v="CMR004006"/>
    <x v="27"/>
    <s v="CMR004006003"/>
    <s v="BERING"/>
    <x v="501"/>
    <x v="2"/>
    <s v="P2"/>
    <n v="5"/>
    <n v="35"/>
    <x v="0"/>
    <s v=""/>
    <s v="autre_pays"/>
    <s v="NGA"/>
    <x v="2"/>
    <s v="NGA025"/>
    <s v="Lagos"/>
    <s v=""/>
    <s v=""/>
    <s v=""/>
    <s v=""/>
  </r>
  <r>
    <s v="Extrême-Nord"/>
    <s v="CMR004"/>
    <x v="5"/>
    <s v="CMR004006"/>
    <x v="27"/>
    <s v="CMR004006003"/>
    <s v="HINA CENTRE"/>
    <x v="502"/>
    <x v="2"/>
    <s v="P2"/>
    <n v="4"/>
    <n v="3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7"/>
    <s v="CMR004006003"/>
    <s v="HINA CENTRE"/>
    <x v="502"/>
    <x v="2"/>
    <s v="P3"/>
    <n v="6"/>
    <n v="43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7"/>
    <s v="CMR004006003"/>
    <s v="HINA CENTRE"/>
    <x v="502"/>
    <x v="2"/>
    <s v="P4"/>
    <n v="1"/>
    <n v="5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7"/>
    <s v="CMR004006003"/>
    <s v="HINA CENTRE"/>
    <x v="502"/>
    <x v="2"/>
    <s v="P5"/>
    <n v="1"/>
    <n v="2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7"/>
    <s v="CMR004006003"/>
    <s v="MADINA"/>
    <x v="503"/>
    <x v="2"/>
    <s v="P5"/>
    <n v="1"/>
    <n v="3"/>
    <x v="0"/>
    <s v=""/>
    <s v="autre_pays"/>
    <s v="NGA"/>
    <x v="2"/>
    <s v="NGA020"/>
    <s v="Kano"/>
    <s v=""/>
    <s v=""/>
    <s v=""/>
    <s v=""/>
  </r>
  <r>
    <s v="Extrême-Nord"/>
    <s v="CMR004"/>
    <x v="5"/>
    <s v="CMR004006"/>
    <x v="27"/>
    <s v="CMR004006003"/>
    <s v="ZOUVOUL"/>
    <x v="673"/>
    <x v="2"/>
    <s v="P3"/>
    <n v="4"/>
    <n v="22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7"/>
    <s v="CMR004006003"/>
    <s v="ZOUVOUL"/>
    <x v="673"/>
    <x v="2"/>
    <s v="P4"/>
    <n v="2"/>
    <n v="13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8"/>
    <s v="CMR004006004"/>
    <s v="DJENGUE"/>
    <x v="504"/>
    <x v="2"/>
    <s v="P5"/>
    <n v="13"/>
    <n v="42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DJINGIYA PLAINE"/>
    <x v="505"/>
    <x v="2"/>
    <s v="P5"/>
    <n v="11"/>
    <n v="62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DJINGLIYA MONTAGNE"/>
    <x v="506"/>
    <x v="2"/>
    <s v="P5"/>
    <n v="6"/>
    <n v="48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DOUMBOGO"/>
    <x v="507"/>
    <x v="2"/>
    <s v="P5"/>
    <n v="4"/>
    <n v="18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DOURWAT"/>
    <x v="508"/>
    <x v="2"/>
    <s v="P5"/>
    <n v="18"/>
    <n v="121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8"/>
    <s v="CMR004006004"/>
    <s v="GABOUA"/>
    <x v="510"/>
    <x v="2"/>
    <s v="P5"/>
    <n v="20"/>
    <n v="58"/>
    <x v="0"/>
    <s v=""/>
    <s v="meme_pays"/>
    <s v="CMR"/>
    <x v="0"/>
    <s v="CMR009"/>
    <s v="Sud"/>
    <s v="CMR004006"/>
    <s v="Mayo-Tsanaga"/>
    <s v=""/>
    <s v=""/>
  </r>
  <r>
    <s v="Extrême-Nord"/>
    <s v="CMR004"/>
    <x v="5"/>
    <s v="CMR004006"/>
    <x v="28"/>
    <s v="CMR004006004"/>
    <s v="GAIVOUKIDA"/>
    <x v="511"/>
    <x v="2"/>
    <s v="P5"/>
    <n v="16"/>
    <n v="58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GALDALA"/>
    <x v="512"/>
    <x v="2"/>
    <s v="P5"/>
    <n v="4"/>
    <n v="28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GOUSD MLAIL"/>
    <x v="513"/>
    <x v="2"/>
    <s v="P5"/>
    <n v="15"/>
    <n v="82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8"/>
    <s v="CMR004006004"/>
    <s v="GOUSDA MAKANDAI"/>
    <x v="514"/>
    <x v="2"/>
    <s v="P5"/>
    <n v="6"/>
    <n v="48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GOUSDA WAYAM"/>
    <x v="515"/>
    <x v="2"/>
    <s v="P5"/>
    <n v="12"/>
    <n v="79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GUID BALA"/>
    <x v="517"/>
    <x v="2"/>
    <s v="P5"/>
    <n v="6"/>
    <n v="32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HAMDALA"/>
    <x v="518"/>
    <x v="2"/>
    <s v="P6"/>
    <n v="11"/>
    <n v="69"/>
    <x v="0"/>
    <s v=""/>
    <s v="meme_pays"/>
    <s v="CMR"/>
    <x v="0"/>
    <s v="CMR005"/>
    <s v="Littoral"/>
    <s v="CMR004006"/>
    <s v="Mayo-Tsanaga"/>
    <s v=""/>
    <s v=""/>
  </r>
  <r>
    <s v="Extrême-Nord"/>
    <s v="CMR004"/>
    <x v="5"/>
    <s v="CMR004006"/>
    <x v="28"/>
    <s v="CMR004006004"/>
    <s v="HIRCHE"/>
    <x v="519"/>
    <x v="2"/>
    <s v="P5"/>
    <n v="12"/>
    <n v="8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HOUVA"/>
    <x v="674"/>
    <x v="2"/>
    <s v="P2"/>
    <n v="4"/>
    <n v="17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HOUVA"/>
    <x v="674"/>
    <x v="2"/>
    <s v="P3"/>
    <n v="6"/>
    <n v="29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HOUVA"/>
    <x v="674"/>
    <x v="2"/>
    <s v="P4"/>
    <n v="8"/>
    <n v="38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KILDA"/>
    <x v="522"/>
    <x v="2"/>
    <s v="P5"/>
    <n v="23"/>
    <n v="115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LAMORDE"/>
    <x v="523"/>
    <x v="2"/>
    <s v="P5"/>
    <n v="5"/>
    <n v="32"/>
    <x v="0"/>
    <s v=""/>
    <s v="meme_pays"/>
    <s v="CMR"/>
    <x v="0"/>
    <s v="CMR009"/>
    <s v="Sud"/>
    <s v="CMR004006"/>
    <s v="Mayo-Tsanaga"/>
    <s v=""/>
    <s v=""/>
  </r>
  <r>
    <s v="Extrême-Nord"/>
    <s v="CMR004"/>
    <x v="5"/>
    <s v="CMR004006"/>
    <x v="28"/>
    <s v="CMR004006004"/>
    <s v="MALTAMAYA"/>
    <x v="524"/>
    <x v="2"/>
    <s v="P5"/>
    <n v="12"/>
    <n v="67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8"/>
    <s v="CMR004006004"/>
    <s v="MATALAM"/>
    <x v="525"/>
    <x v="2"/>
    <s v="P5"/>
    <n v="7"/>
    <n v="43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MAWA"/>
    <x v="527"/>
    <x v="2"/>
    <s v="P5"/>
    <n v="29"/>
    <n v="193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8"/>
    <s v="CMR004006004"/>
    <s v="MAZI"/>
    <x v="528"/>
    <x v="2"/>
    <s v="P5"/>
    <n v="8"/>
    <n v="48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MBARDAM"/>
    <x v="529"/>
    <x v="2"/>
    <s v="P5"/>
    <n v="21"/>
    <n v="142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8"/>
    <s v="CMR004006004"/>
    <s v="MORGO"/>
    <x v="531"/>
    <x v="2"/>
    <s v="P5"/>
    <n v="53"/>
    <n v="284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PAMBAO"/>
    <x v="532"/>
    <x v="2"/>
    <s v="P6"/>
    <n v="18"/>
    <n v="135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TENDEO"/>
    <x v="533"/>
    <x v="2"/>
    <s v="P5"/>
    <n v="13"/>
    <n v="62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WALADE"/>
    <x v="534"/>
    <x v="2"/>
    <s v="P5"/>
    <n v="16"/>
    <n v="109"/>
    <x v="0"/>
    <s v=""/>
    <s v="meme_pays"/>
    <s v="CMR"/>
    <x v="0"/>
    <s v="CMR009"/>
    <s v="Sud"/>
    <s v="CMR004006"/>
    <s v="Mayo-Tsanaga"/>
    <s v=""/>
    <s v=""/>
  </r>
  <r>
    <s v="Extrême-Nord"/>
    <s v="CMR004"/>
    <x v="5"/>
    <s v="CMR004006"/>
    <x v="28"/>
    <s v="CMR004006004"/>
    <s v="WOULAD"/>
    <x v="535"/>
    <x v="2"/>
    <s v="P5"/>
    <n v="6"/>
    <n v="32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8"/>
    <s v="CMR004006004"/>
    <s v="YAMEDE"/>
    <x v="536"/>
    <x v="2"/>
    <s v="P4"/>
    <n v="2"/>
    <n v="11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GOURIA"/>
    <x v="621"/>
    <x v="2"/>
    <s v="P3"/>
    <n v="2"/>
    <n v="8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KARANTCHI"/>
    <x v="622"/>
    <x v="2"/>
    <s v="P2"/>
    <n v="7"/>
    <n v="39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33"/>
    <s v="CMR004006001"/>
    <s v="KARANTCHI"/>
    <x v="622"/>
    <x v="2"/>
    <s v="P3"/>
    <n v="6"/>
    <n v="34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33"/>
    <s v="CMR004006001"/>
    <s v="KILA"/>
    <x v="623"/>
    <x v="2"/>
    <s v="P2"/>
    <n v="2"/>
    <n v="13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KILA"/>
    <x v="623"/>
    <x v="2"/>
    <s v="P3"/>
    <n v="3"/>
    <n v="17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MOGODE"/>
    <x v="626"/>
    <x v="2"/>
    <s v="P2"/>
    <n v="20"/>
    <n v="9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33"/>
    <s v="CMR004006001"/>
    <s v="MOGODE"/>
    <x v="626"/>
    <x v="2"/>
    <s v="P3"/>
    <n v="30"/>
    <n v="21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33"/>
    <s v="CMR004006001"/>
    <s v="NORA"/>
    <x v="627"/>
    <x v="2"/>
    <s v="P2"/>
    <n v="5"/>
    <n v="15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NORA"/>
    <x v="627"/>
    <x v="2"/>
    <s v="P3"/>
    <n v="7"/>
    <n v="17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NORA"/>
    <x v="627"/>
    <x v="2"/>
    <s v="P4"/>
    <n v="2"/>
    <n v="5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OUDAVA"/>
    <x v="628"/>
    <x v="2"/>
    <s v="P2"/>
    <n v="11"/>
    <n v="41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OUDAVA"/>
    <x v="628"/>
    <x v="2"/>
    <s v="P3"/>
    <n v="4"/>
    <n v="25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OUDAVA"/>
    <x v="628"/>
    <x v="2"/>
    <s v="P4"/>
    <n v="1"/>
    <n v="3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RHUMSIKI"/>
    <x v="629"/>
    <x v="2"/>
    <s v="P2"/>
    <n v="8"/>
    <n v="42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RHUMSIKI"/>
    <x v="629"/>
    <x v="2"/>
    <s v="P3"/>
    <n v="7"/>
    <n v="3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RHUMSIKI"/>
    <x v="629"/>
    <x v="2"/>
    <s v="P4"/>
    <n v="2"/>
    <n v="8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RHUMZU"/>
    <x v="630"/>
    <x v="2"/>
    <s v="P2"/>
    <n v="45"/>
    <n v="135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RHUMZU"/>
    <x v="630"/>
    <x v="2"/>
    <s v="P3"/>
    <n v="7"/>
    <n v="35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SIR"/>
    <x v="631"/>
    <x v="2"/>
    <s v="P2"/>
    <n v="35"/>
    <n v="11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33"/>
    <s v="CMR004006001"/>
    <s v="SIR"/>
    <x v="631"/>
    <x v="2"/>
    <s v="P3"/>
    <n v="15"/>
    <n v="4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33"/>
    <s v="CMR004006001"/>
    <s v="VITTE"/>
    <x v="633"/>
    <x v="2"/>
    <s v="P2"/>
    <n v="5"/>
    <n v="25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VITTE"/>
    <x v="633"/>
    <x v="2"/>
    <s v="P3"/>
    <n v="3"/>
    <n v="1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3"/>
    <s v="CMR004006001"/>
    <s v="YELLE"/>
    <x v="634"/>
    <x v="2"/>
    <s v="P2"/>
    <n v="2"/>
    <n v="15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33"/>
    <s v="CMR004006001"/>
    <s v="YELLE"/>
    <x v="634"/>
    <x v="2"/>
    <s v="P3"/>
    <n v="2"/>
    <n v="13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33"/>
    <s v="CMR004006001"/>
    <s v="YELLE"/>
    <x v="634"/>
    <x v="2"/>
    <s v="P6"/>
    <n v="1"/>
    <n v="3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BOULA"/>
    <x v="538"/>
    <x v="2"/>
    <s v="P5"/>
    <n v="1"/>
    <n v="4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BOUNGUELRE"/>
    <x v="539"/>
    <x v="2"/>
    <s v="P3"/>
    <n v="87"/>
    <n v="669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9"/>
    <s v="CMR004006002"/>
    <s v="BOUNGUELRE"/>
    <x v="539"/>
    <x v="2"/>
    <s v="P4"/>
    <n v="69"/>
    <n v="552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9"/>
    <s v="CMR004006002"/>
    <s v="DEDEP"/>
    <x v="675"/>
    <x v="2"/>
    <s v="P2"/>
    <n v="2"/>
    <n v="8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9"/>
    <s v="CMR004006002"/>
    <s v="DJIMETA"/>
    <x v="541"/>
    <x v="2"/>
    <s v="P3"/>
    <n v="2"/>
    <n v="16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9"/>
    <s v="CMR004006002"/>
    <s v="DJIMETA"/>
    <x v="541"/>
    <x v="2"/>
    <s v="P2"/>
    <n v="4"/>
    <n v="32"/>
    <x v="0"/>
    <s v=""/>
    <s v="autre_pays"/>
    <s v="NGA"/>
    <x v="2"/>
    <s v="NGA008"/>
    <s v="Borno"/>
    <s v=""/>
    <s v=""/>
    <s v=""/>
    <s v=""/>
  </r>
  <r>
    <s v="Extrême-Nord"/>
    <s v="CMR004"/>
    <x v="5"/>
    <s v="CMR004006"/>
    <x v="29"/>
    <s v="CMR004006002"/>
    <s v="GAWAR"/>
    <x v="542"/>
    <x v="2"/>
    <s v="P2"/>
    <n v="12"/>
    <n v="6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GAWAR"/>
    <x v="542"/>
    <x v="2"/>
    <s v="P3"/>
    <n v="8"/>
    <n v="4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ITAWA"/>
    <x v="544"/>
    <x v="2"/>
    <s v="P2"/>
    <n v="30"/>
    <n v="248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KOSSOHONE"/>
    <x v="545"/>
    <x v="2"/>
    <s v="P2"/>
    <n v="60"/>
    <n v="30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KOSSOHONE"/>
    <x v="545"/>
    <x v="2"/>
    <s v="P3"/>
    <n v="30"/>
    <n v="15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KOSSOHONE"/>
    <x v="545"/>
    <x v="2"/>
    <s v="P5"/>
    <n v="33"/>
    <n v="167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LAIDE"/>
    <x v="676"/>
    <x v="2"/>
    <s v="P5"/>
    <n v="2"/>
    <n v="16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9"/>
    <s v="CMR004006002"/>
    <s v="LAIDE"/>
    <x v="676"/>
    <x v="2"/>
    <s v="P2"/>
    <n v="4"/>
    <n v="32"/>
    <x v="0"/>
    <s v=""/>
    <s v="autre_pays"/>
    <s v="NGA"/>
    <x v="2"/>
    <s v="NGA008"/>
    <s v="Borno"/>
    <s v=""/>
    <s v=""/>
    <s v=""/>
    <s v=""/>
  </r>
  <r>
    <s v="Extrême-Nord"/>
    <s v="CMR004"/>
    <x v="5"/>
    <s v="CMR004006"/>
    <x v="29"/>
    <s v="CMR004006002"/>
    <s v="LAMORDE"/>
    <x v="546"/>
    <x v="2"/>
    <s v="P4"/>
    <n v="13"/>
    <n v="104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9"/>
    <s v="CMR004006002"/>
    <s v="LAMORDE"/>
    <x v="546"/>
    <x v="2"/>
    <s v="P5"/>
    <n v="2"/>
    <n v="1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LDAMANG"/>
    <x v="635"/>
    <x v="2"/>
    <s v="P5"/>
    <n v="36"/>
    <n v="184"/>
    <x v="0"/>
    <s v=""/>
    <s v="autre_pays"/>
    <s v="NGA"/>
    <x v="2"/>
    <s v="NGA034"/>
    <s v="Sokoto"/>
    <s v=""/>
    <s v=""/>
    <s v=""/>
    <s v=""/>
  </r>
  <r>
    <s v="Extrême-Nord"/>
    <s v="CMR004"/>
    <x v="5"/>
    <s v="CMR004006"/>
    <x v="29"/>
    <s v="CMR004006002"/>
    <s v="MAGOUMAZ"/>
    <x v="547"/>
    <x v="2"/>
    <s v="P5"/>
    <n v="5"/>
    <n v="25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MAINDEZE"/>
    <x v="548"/>
    <x v="2"/>
    <s v="P3"/>
    <n v="12"/>
    <n v="62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9"/>
    <s v="CMR004006002"/>
    <s v="MAINDEZE"/>
    <x v="548"/>
    <x v="2"/>
    <s v="P4"/>
    <n v="4"/>
    <n v="24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9"/>
    <s v="CMR004006002"/>
    <s v="MAVOUMAY"/>
    <x v="549"/>
    <x v="2"/>
    <s v="P2"/>
    <n v="12"/>
    <n v="6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MAVOUMAY"/>
    <x v="549"/>
    <x v="2"/>
    <s v="P3"/>
    <n v="4"/>
    <n v="2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MAVOUMAY"/>
    <x v="549"/>
    <x v="2"/>
    <s v="P5"/>
    <n v="3"/>
    <n v="14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MAXI MABASS"/>
    <x v="550"/>
    <x v="2"/>
    <s v="P2"/>
    <n v="15"/>
    <n v="75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MBOUA ZIMAGAZAK"/>
    <x v="551"/>
    <x v="2"/>
    <s v="P2"/>
    <n v="56"/>
    <n v="336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9"/>
    <s v="CMR004006002"/>
    <s v="MBOUA ZIMAGAZAK"/>
    <x v="551"/>
    <x v="2"/>
    <s v="P3"/>
    <n v="44"/>
    <n v="220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9"/>
    <s v="CMR004006002"/>
    <s v="MBOUA ZIMAGAZAK"/>
    <x v="551"/>
    <x v="2"/>
    <s v="P4"/>
    <n v="27"/>
    <n v="13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9"/>
    <s v="CMR004006002"/>
    <s v="MOKONG"/>
    <x v="552"/>
    <x v="2"/>
    <s v="P3"/>
    <n v="5"/>
    <n v="25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9"/>
    <s v="CMR004006002"/>
    <s v="MOKONG"/>
    <x v="552"/>
    <x v="2"/>
    <s v="P4"/>
    <n v="3"/>
    <n v="2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9"/>
    <s v="CMR004006002"/>
    <s v="MOKONG"/>
    <x v="552"/>
    <x v="2"/>
    <s v="P2"/>
    <n v="15"/>
    <n v="75"/>
    <x v="0"/>
    <s v=""/>
    <s v="autre_pays"/>
    <s v="NGA"/>
    <x v="2"/>
    <s v="NGA016"/>
    <s v="Gombe"/>
    <s v=""/>
    <s v=""/>
    <s v=""/>
    <s v=""/>
  </r>
  <r>
    <s v="Extrême-Nord"/>
    <s v="CMR004"/>
    <x v="5"/>
    <s v="CMR004006"/>
    <x v="29"/>
    <s v="CMR004006002"/>
    <s v="NASSARAO 1"/>
    <x v="553"/>
    <x v="2"/>
    <s v="P3"/>
    <n v="6"/>
    <n v="32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9"/>
    <s v="CMR004006002"/>
    <s v="NASSARAO 2"/>
    <x v="554"/>
    <x v="2"/>
    <s v="P2"/>
    <n v="5"/>
    <n v="25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9"/>
    <s v="CMR004006002"/>
    <s v="NASSARAO 2"/>
    <x v="554"/>
    <x v="2"/>
    <s v="P3"/>
    <n v="5"/>
    <n v="3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9"/>
    <s v="CMR004006002"/>
    <s v="OURO KESSOUM"/>
    <x v="555"/>
    <x v="2"/>
    <s v="P2"/>
    <n v="6"/>
    <n v="37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OURO KESSOUM"/>
    <x v="555"/>
    <x v="2"/>
    <s v="P3"/>
    <n v="2"/>
    <n v="14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OURO KESSOUM"/>
    <x v="555"/>
    <x v="2"/>
    <s v="P4"/>
    <n v="2"/>
    <n v="11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OURO KESSOUM"/>
    <x v="555"/>
    <x v="2"/>
    <s v="P5"/>
    <n v="1"/>
    <n v="5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OURO TADA"/>
    <x v="556"/>
    <x v="2"/>
    <s v="P3"/>
    <n v="2"/>
    <n v="14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OURO TADA"/>
    <x v="556"/>
    <x v="2"/>
    <s v="P5"/>
    <n v="33"/>
    <n v="264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OURO TADA"/>
    <x v="556"/>
    <x v="2"/>
    <s v="P2"/>
    <n v="6"/>
    <n v="48"/>
    <x v="0"/>
    <s v=""/>
    <s v="autre_pays"/>
    <s v="NGA"/>
    <x v="2"/>
    <s v="NGA007"/>
    <s v="Benue"/>
    <s v=""/>
    <s v=""/>
    <s v=""/>
    <s v=""/>
  </r>
  <r>
    <s v="Extrême-Nord"/>
    <s v="CMR004"/>
    <x v="5"/>
    <s v="CMR004006"/>
    <x v="29"/>
    <s v="CMR004006002"/>
    <s v="OURO TADA"/>
    <x v="556"/>
    <x v="2"/>
    <s v="P4"/>
    <n v="19"/>
    <n v="152"/>
    <x v="0"/>
    <s v=""/>
    <s v="autre_pays"/>
    <s v="NGA"/>
    <x v="2"/>
    <s v="NGA008"/>
    <s v="Borno"/>
    <s v=""/>
    <s v=""/>
    <s v=""/>
    <s v=""/>
  </r>
  <r>
    <s v="Extrême-Nord"/>
    <s v="CMR004"/>
    <x v="5"/>
    <s v="CMR004006"/>
    <x v="29"/>
    <s v="CMR004006002"/>
    <s v="SABONGARI"/>
    <x v="557"/>
    <x v="2"/>
    <s v="P2"/>
    <n v="4"/>
    <n v="25"/>
    <x v="0"/>
    <s v=""/>
    <s v="autre_pays"/>
    <s v="NGA"/>
    <x v="2"/>
    <s v="NGA008"/>
    <s v="Borno"/>
    <s v=""/>
    <s v=""/>
    <s v=""/>
    <s v=""/>
  </r>
  <r>
    <s v="Extrême-Nord"/>
    <s v="CMR004"/>
    <x v="5"/>
    <s v="CMR004006"/>
    <x v="29"/>
    <s v="CMR004006002"/>
    <s v="SABONGARI"/>
    <x v="557"/>
    <x v="2"/>
    <s v="P3"/>
    <n v="2"/>
    <n v="10"/>
    <x v="0"/>
    <s v=""/>
    <s v="autre_pays"/>
    <s v="NGA"/>
    <x v="2"/>
    <s v="NGA008"/>
    <s v="Borno"/>
    <s v=""/>
    <s v=""/>
    <s v=""/>
    <s v=""/>
  </r>
  <r>
    <s v="Extrême-Nord"/>
    <s v="CMR004"/>
    <x v="5"/>
    <s v="CMR004006"/>
    <x v="29"/>
    <s v="CMR004006002"/>
    <s v="SABONGARI"/>
    <x v="557"/>
    <x v="2"/>
    <s v="P4"/>
    <n v="1"/>
    <n v="6"/>
    <x v="0"/>
    <s v=""/>
    <s v="autre_pays"/>
    <s v="NGA"/>
    <x v="2"/>
    <s v="NGA008"/>
    <s v="Borno"/>
    <s v=""/>
    <s v=""/>
    <s v=""/>
    <s v=""/>
  </r>
  <r>
    <s v="Extrême-Nord"/>
    <s v="CMR004"/>
    <x v="5"/>
    <s v="CMR004006"/>
    <x v="29"/>
    <s v="CMR004006002"/>
    <s v="TONGO"/>
    <x v="559"/>
    <x v="2"/>
    <s v="P3"/>
    <n v="8"/>
    <n v="4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TOUFOU"/>
    <x v="560"/>
    <x v="2"/>
    <s v="P2"/>
    <n v="3"/>
    <n v="16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9"/>
    <s v="CMR004006002"/>
    <s v="TOUFOU"/>
    <x v="560"/>
    <x v="2"/>
    <s v="P3"/>
    <n v="4"/>
    <n v="21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9"/>
    <s v="CMR004006002"/>
    <s v="TOUROU"/>
    <x v="561"/>
    <x v="2"/>
    <s v="P2"/>
    <n v="5"/>
    <n v="25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TOUROU"/>
    <x v="561"/>
    <x v="2"/>
    <s v="P3"/>
    <n v="3"/>
    <n v="15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WANDAI"/>
    <x v="562"/>
    <x v="2"/>
    <s v="P2"/>
    <n v="20"/>
    <n v="10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WANDAI"/>
    <x v="562"/>
    <x v="2"/>
    <s v="P4"/>
    <n v="3"/>
    <n v="16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WANDAI"/>
    <x v="562"/>
    <x v="2"/>
    <s v="P5"/>
    <n v="2"/>
    <n v="13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WOULA"/>
    <x v="563"/>
    <x v="2"/>
    <s v="P2"/>
    <n v="16"/>
    <n v="8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WOULA"/>
    <x v="563"/>
    <x v="2"/>
    <s v="P4"/>
    <n v="6"/>
    <n v="3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WOULA"/>
    <x v="563"/>
    <x v="2"/>
    <s v="P5"/>
    <n v="29"/>
    <n v="143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WOULA"/>
    <x v="563"/>
    <x v="2"/>
    <s v="P6"/>
    <n v="6"/>
    <n v="30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29"/>
    <s v="CMR004006002"/>
    <s v="ZAMAI"/>
    <x v="564"/>
    <x v="2"/>
    <s v="P2"/>
    <n v="4"/>
    <n v="20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9"/>
    <s v="CMR004006002"/>
    <s v="ZAMAI"/>
    <x v="564"/>
    <x v="2"/>
    <s v="P3"/>
    <n v="2"/>
    <n v="10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9"/>
    <s v="CMR004006002"/>
    <s v="ZAMAI"/>
    <x v="564"/>
    <x v="2"/>
    <s v="P4"/>
    <n v="2"/>
    <n v="1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9"/>
    <s v="CMR004006002"/>
    <s v="ZILENG"/>
    <x v="677"/>
    <x v="2"/>
    <s v="P1"/>
    <n v="20"/>
    <n v="16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9"/>
    <s v="CMR004006002"/>
    <s v="ZILENG"/>
    <x v="677"/>
    <x v="2"/>
    <s v="P2"/>
    <n v="90"/>
    <n v="72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29"/>
    <s v="CMR004006002"/>
    <s v="ZILENG"/>
    <x v="677"/>
    <x v="2"/>
    <s v="P3"/>
    <n v="50"/>
    <n v="400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9"/>
    <s v="CMR004006002"/>
    <s v="ZILENG"/>
    <x v="677"/>
    <x v="2"/>
    <s v="P4"/>
    <n v="20"/>
    <n v="160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29"/>
    <s v="CMR004006002"/>
    <s v="ZILENG"/>
    <x v="677"/>
    <x v="2"/>
    <s v="P5"/>
    <n v="3"/>
    <n v="8"/>
    <x v="0"/>
    <s v=""/>
    <s v="autre_pays"/>
    <s v="NGA"/>
    <x v="2"/>
    <s v="NGA002"/>
    <s v="Adamawa"/>
    <s v=""/>
    <s v=""/>
    <s v=""/>
    <s v=""/>
  </r>
  <r>
    <s v="Extrême-Nord"/>
    <s v="CMR004"/>
    <x v="5"/>
    <s v="CMR004006"/>
    <x v="30"/>
    <s v="CMR004006005"/>
    <s v="ASSIGHASSIA"/>
    <x v="565"/>
    <x v="2"/>
    <s v="P4"/>
    <n v="90"/>
    <n v="58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BAVONGOLA"/>
    <x v="566"/>
    <x v="2"/>
    <s v="P3"/>
    <n v="6"/>
    <n v="31"/>
    <x v="0"/>
    <s v=""/>
    <s v="autre_pays"/>
    <s v="NGA"/>
    <x v="2"/>
    <s v="NGA008"/>
    <s v="Borno"/>
    <s v=""/>
    <s v=""/>
    <s v=""/>
    <s v=""/>
  </r>
  <r>
    <s v="Extrême-Nord"/>
    <s v="CMR004"/>
    <x v="5"/>
    <s v="CMR004006"/>
    <x v="30"/>
    <s v="CMR004006005"/>
    <s v="DEKERE"/>
    <x v="567"/>
    <x v="2"/>
    <s v="P2"/>
    <n v="6"/>
    <n v="30"/>
    <x v="0"/>
    <s v=""/>
    <s v="meme_pays"/>
    <s v="CMR"/>
    <x v="0"/>
    <s v="CMR006"/>
    <s v="Nord"/>
    <s v="CMR006001"/>
    <s v="Benoue"/>
    <s v=""/>
    <s v=""/>
  </r>
  <r>
    <s v="Extrême-Nord"/>
    <s v="CMR004"/>
    <x v="5"/>
    <s v="CMR004006"/>
    <x v="30"/>
    <s v="CMR004006005"/>
    <s v="DEKERE"/>
    <x v="567"/>
    <x v="2"/>
    <s v="P3"/>
    <n v="8"/>
    <n v="40"/>
    <x v="0"/>
    <s v=""/>
    <s v="meme_pays"/>
    <s v="CMR"/>
    <x v="0"/>
    <s v="CMR006"/>
    <s v="Nord"/>
    <s v="CMR006003"/>
    <s v="Mayo-Louti"/>
    <s v=""/>
    <s v=""/>
  </r>
  <r>
    <s v="Extrême-Nord"/>
    <s v="CMR004"/>
    <x v="5"/>
    <s v="CMR004006"/>
    <x v="30"/>
    <s v="CMR004006005"/>
    <s v="DEKERE"/>
    <x v="567"/>
    <x v="2"/>
    <s v="P5"/>
    <n v="2"/>
    <n v="10"/>
    <x v="0"/>
    <s v=""/>
    <s v="meme_pays"/>
    <s v="CMR"/>
    <x v="0"/>
    <s v="CMR006"/>
    <s v="Nord"/>
    <s v="CMR006001"/>
    <s v="Benoue"/>
    <s v=""/>
    <s v=""/>
  </r>
  <r>
    <s v="Extrême-Nord"/>
    <s v="CMR004"/>
    <x v="5"/>
    <s v="CMR004006"/>
    <x v="30"/>
    <s v="CMR004006005"/>
    <s v="DEKERE"/>
    <x v="567"/>
    <x v="2"/>
    <s v="P4"/>
    <n v="1"/>
    <n v="5"/>
    <x v="0"/>
    <s v=""/>
    <s v="meme_pays"/>
    <s v="CMR"/>
    <x v="0"/>
    <s v="CMR001"/>
    <s v="Adamaoua"/>
    <s v="CMR001001"/>
    <s v="Djerem"/>
    <s v=""/>
    <s v=""/>
  </r>
  <r>
    <s v="Extrême-Nord"/>
    <s v="CMR004"/>
    <x v="5"/>
    <s v="CMR004006"/>
    <x v="30"/>
    <s v="CMR004006005"/>
    <s v="GOKORO"/>
    <x v="569"/>
    <x v="2"/>
    <s v="P4"/>
    <n v="44"/>
    <n v="226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GOKORO"/>
    <x v="569"/>
    <x v="2"/>
    <s v="P5"/>
    <n v="16"/>
    <n v="98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GOLDAVI"/>
    <x v="570"/>
    <x v="2"/>
    <s v="P2"/>
    <n v="17"/>
    <n v="85"/>
    <x v="0"/>
    <s v=""/>
    <s v="meme_pays"/>
    <s v="CMR"/>
    <x v="0"/>
    <s v="CMR006"/>
    <s v="Nord"/>
    <s v="CMR006001"/>
    <s v="Benoue"/>
    <s v=""/>
    <s v=""/>
  </r>
  <r>
    <s v="Extrême-Nord"/>
    <s v="CMR004"/>
    <x v="5"/>
    <s v="CMR004006"/>
    <x v="30"/>
    <s v="CMR004006005"/>
    <s v="GOLDAVI"/>
    <x v="570"/>
    <x v="2"/>
    <s v="P3"/>
    <n v="8"/>
    <n v="40"/>
    <x v="0"/>
    <s v=""/>
    <s v="meme_pays"/>
    <s v="CMR"/>
    <x v="0"/>
    <s v="CMR006"/>
    <s v="Nord"/>
    <s v="CMR006002"/>
    <s v="Faro"/>
    <s v=""/>
    <s v=""/>
  </r>
  <r>
    <s v="Extrême-Nord"/>
    <s v="CMR004"/>
    <x v="5"/>
    <s v="CMR004006"/>
    <x v="30"/>
    <s v="CMR004006005"/>
    <s v="GOLDAVI"/>
    <x v="570"/>
    <x v="2"/>
    <s v="P4"/>
    <n v="4"/>
    <n v="20"/>
    <x v="0"/>
    <s v=""/>
    <s v="meme_pays"/>
    <s v="CMR"/>
    <x v="0"/>
    <s v="CMR006"/>
    <s v="Nord"/>
    <s v="CMR006001"/>
    <s v="Benoue"/>
    <s v=""/>
    <s v=""/>
  </r>
  <r>
    <s v="Extrême-Nord"/>
    <s v="CMR004"/>
    <x v="5"/>
    <s v="CMR004006"/>
    <x v="30"/>
    <s v="CMR004006005"/>
    <s v="GOLDAVI"/>
    <x v="570"/>
    <x v="2"/>
    <s v="P5"/>
    <n v="23"/>
    <n v="12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GOLDAVI"/>
    <x v="570"/>
    <x v="2"/>
    <s v="P6"/>
    <n v="4"/>
    <n v="21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HITERE"/>
    <x v="572"/>
    <x v="2"/>
    <s v="P4"/>
    <n v="14"/>
    <n v="83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HITERE"/>
    <x v="572"/>
    <x v="2"/>
    <s v="P5"/>
    <n v="3"/>
    <n v="19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KARAZAWA"/>
    <x v="573"/>
    <x v="2"/>
    <s v="P2"/>
    <n v="3"/>
    <n v="15"/>
    <x v="2"/>
    <s v="Réseau familiale"/>
    <s v="meme_pays"/>
    <s v="CMR"/>
    <x v="0"/>
    <s v="CMR006"/>
    <s v="Nord"/>
    <s v="CMR006004"/>
    <s v="Mayo-Rey"/>
    <s v=""/>
    <s v=""/>
  </r>
  <r>
    <s v="Extrême-Nord"/>
    <s v="CMR004"/>
    <x v="5"/>
    <s v="CMR004006"/>
    <x v="30"/>
    <s v="CMR004006005"/>
    <s v="KARAZAWA"/>
    <x v="573"/>
    <x v="2"/>
    <s v="P3"/>
    <n v="1"/>
    <n v="5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30"/>
    <s v="CMR004006005"/>
    <s v="KARAZAWA"/>
    <x v="573"/>
    <x v="2"/>
    <s v="P5"/>
    <n v="2"/>
    <n v="10"/>
    <x v="2"/>
    <s v="Réseau familiale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KELARI"/>
    <x v="574"/>
    <x v="2"/>
    <s v="P2"/>
    <n v="4"/>
    <n v="2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KELARI"/>
    <x v="574"/>
    <x v="2"/>
    <s v="P3"/>
    <n v="2"/>
    <n v="1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KELARI"/>
    <x v="574"/>
    <x v="2"/>
    <s v="P4"/>
    <n v="1"/>
    <n v="5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KELARI"/>
    <x v="574"/>
    <x v="2"/>
    <s v="P5"/>
    <n v="4"/>
    <n v="2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KEREWA-MAFA"/>
    <x v="575"/>
    <x v="2"/>
    <s v="P4"/>
    <n v="4"/>
    <n v="23"/>
    <x v="0"/>
    <s v=""/>
    <s v="meme_pays"/>
    <s v="CMR"/>
    <x v="0"/>
    <s v="CMR006"/>
    <s v="Nord"/>
    <s v="CMR006001"/>
    <s v="Benoue"/>
    <s v=""/>
    <s v=""/>
  </r>
  <r>
    <s v="Extrême-Nord"/>
    <s v="CMR004"/>
    <x v="5"/>
    <s v="CMR004006"/>
    <x v="30"/>
    <s v="CMR004006005"/>
    <s v="KEREWA-MAFA"/>
    <x v="575"/>
    <x v="2"/>
    <s v="P3"/>
    <n v="13"/>
    <n v="82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KEREWA-MAFA"/>
    <x v="575"/>
    <x v="2"/>
    <s v="P5"/>
    <n v="16"/>
    <n v="80"/>
    <x v="0"/>
    <s v=""/>
    <s v="autre_pays"/>
    <s v="NGA"/>
    <x v="2"/>
    <s v="NGA008"/>
    <s v="Borno"/>
    <s v=""/>
    <s v=""/>
    <s v=""/>
    <s v=""/>
  </r>
  <r>
    <s v="Extrême-Nord"/>
    <s v="CMR004"/>
    <x v="5"/>
    <s v="CMR004006"/>
    <x v="30"/>
    <s v="CMR004006005"/>
    <s v="KORSAMBA"/>
    <x v="576"/>
    <x v="2"/>
    <s v="P2"/>
    <n v="2"/>
    <n v="10"/>
    <x v="0"/>
    <s v=""/>
    <s v="meme_pays"/>
    <s v="CMR"/>
    <x v="0"/>
    <s v="CMR006"/>
    <s v="Nord"/>
    <s v="CMR006001"/>
    <s v="Benoue"/>
    <s v=""/>
    <s v=""/>
  </r>
  <r>
    <s v="Extrême-Nord"/>
    <s v="CMR004"/>
    <x v="5"/>
    <s v="CMR004006"/>
    <x v="30"/>
    <s v="CMR004006005"/>
    <s v="KORSAMBA"/>
    <x v="576"/>
    <x v="2"/>
    <s v="P3"/>
    <n v="14"/>
    <n v="70"/>
    <x v="0"/>
    <s v=""/>
    <s v="meme_pays"/>
    <s v="CMR"/>
    <x v="0"/>
    <s v="CMR006"/>
    <s v="Nord"/>
    <s v="CMR006003"/>
    <s v="Mayo-Louti"/>
    <s v=""/>
    <s v=""/>
  </r>
  <r>
    <s v="Extrême-Nord"/>
    <s v="CMR004"/>
    <x v="5"/>
    <s v="CMR004006"/>
    <x v="30"/>
    <s v="CMR004006005"/>
    <s v="KORSAMBA"/>
    <x v="576"/>
    <x v="2"/>
    <s v="P5"/>
    <n v="9"/>
    <n v="45"/>
    <x v="0"/>
    <s v=""/>
    <s v="meme_pays"/>
    <s v="CMR"/>
    <x v="0"/>
    <s v="CMR006"/>
    <s v="Nord"/>
    <s v="CMR006002"/>
    <s v="Faro"/>
    <s v=""/>
    <s v=""/>
  </r>
  <r>
    <s v="Extrême-Nord"/>
    <s v="CMR004"/>
    <x v="5"/>
    <s v="CMR004006"/>
    <x v="30"/>
    <s v="CMR004006005"/>
    <s v="KORSAMBA"/>
    <x v="576"/>
    <x v="2"/>
    <s v="P4"/>
    <n v="2"/>
    <n v="10"/>
    <x v="0"/>
    <s v=""/>
    <s v="meme_pays"/>
    <s v="CMR"/>
    <x v="0"/>
    <s v="CMR004"/>
    <s v="Extrême-Nord"/>
    <s v="CMR004001"/>
    <s v="Diamare"/>
    <s v=""/>
    <s v=""/>
  </r>
  <r>
    <s v="Extrême-Nord"/>
    <s v="CMR004"/>
    <x v="5"/>
    <s v="CMR004006"/>
    <x v="30"/>
    <s v="CMR004006005"/>
    <s v="MADAKAR"/>
    <x v="577"/>
    <x v="2"/>
    <s v="P3"/>
    <n v="2"/>
    <n v="1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MANDOUSSA"/>
    <x v="578"/>
    <x v="2"/>
    <s v="P2"/>
    <n v="4"/>
    <n v="20"/>
    <x v="1"/>
    <s v=""/>
    <s v="meme_pays"/>
    <s v="CMR"/>
    <x v="0"/>
    <s v="CMR006"/>
    <s v="Nord"/>
    <s v="CMR006003"/>
    <s v="Mayo-Louti"/>
    <s v=""/>
    <s v=""/>
  </r>
  <r>
    <s v="Extrême-Nord"/>
    <s v="CMR004"/>
    <x v="5"/>
    <s v="CMR004006"/>
    <x v="30"/>
    <s v="CMR004006005"/>
    <s v="MANDOUSSA"/>
    <x v="578"/>
    <x v="2"/>
    <s v="P3"/>
    <n v="10"/>
    <n v="50"/>
    <x v="1"/>
    <s v=""/>
    <s v="meme_pays"/>
    <s v="CMR"/>
    <x v="0"/>
    <s v="CMR006"/>
    <s v="Nord"/>
    <s v="CMR006003"/>
    <s v="Mayo-Louti"/>
    <s v=""/>
    <s v=""/>
  </r>
  <r>
    <s v="Extrême-Nord"/>
    <s v="CMR004"/>
    <x v="5"/>
    <s v="CMR004006"/>
    <x v="30"/>
    <s v="CMR004006005"/>
    <s v="MANDOUSSA"/>
    <x v="578"/>
    <x v="2"/>
    <s v="P4"/>
    <n v="2"/>
    <n v="10"/>
    <x v="2"/>
    <s v="Moyen de vie dificile"/>
    <s v="meme_pays"/>
    <s v="CMR"/>
    <x v="0"/>
    <s v="CMR006"/>
    <s v="Nord"/>
    <s v="CMR006003"/>
    <s v="Mayo-Louti"/>
    <s v=""/>
    <s v=""/>
  </r>
  <r>
    <s v="Extrême-Nord"/>
    <s v="CMR004"/>
    <x v="5"/>
    <s v="CMR004006"/>
    <x v="30"/>
    <s v="CMR004006005"/>
    <s v="MANDOUSSA"/>
    <x v="578"/>
    <x v="2"/>
    <s v="P5"/>
    <n v="1"/>
    <n v="5"/>
    <x v="1"/>
    <s v=""/>
    <s v="meme_pays"/>
    <s v="CMR"/>
    <x v="0"/>
    <s v="CMR006"/>
    <s v="Nord"/>
    <s v="CMR006003"/>
    <s v="Mayo-Louti"/>
    <s v=""/>
    <s v=""/>
  </r>
  <r>
    <s v="Extrême-Nord"/>
    <s v="CMR004"/>
    <x v="5"/>
    <s v="CMR004006"/>
    <x v="30"/>
    <s v="CMR004006005"/>
    <s v="MAWA"/>
    <x v="579"/>
    <x v="2"/>
    <s v="P4"/>
    <n v="2"/>
    <n v="10"/>
    <x v="0"/>
    <s v=""/>
    <s v="meme_pays"/>
    <s v="CMR"/>
    <x v="0"/>
    <s v="CMR006"/>
    <s v="Nord"/>
    <s v="CMR006004"/>
    <s v="Mayo-Rey"/>
    <s v=""/>
    <s v=""/>
  </r>
  <r>
    <s v="Extrême-Nord"/>
    <s v="CMR004"/>
    <x v="5"/>
    <s v="CMR004006"/>
    <x v="30"/>
    <s v="CMR004006005"/>
    <s v="MAWA"/>
    <x v="579"/>
    <x v="2"/>
    <s v="P2"/>
    <n v="1"/>
    <n v="5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MAWA"/>
    <x v="579"/>
    <x v="2"/>
    <s v="P3"/>
    <n v="2"/>
    <n v="1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MAWA"/>
    <x v="579"/>
    <x v="2"/>
    <s v="P5"/>
    <n v="1"/>
    <n v="5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MEDEGOUER"/>
    <x v="580"/>
    <x v="2"/>
    <s v="P5"/>
    <n v="1"/>
    <n v="3"/>
    <x v="0"/>
    <s v=""/>
    <s v="meme_pays"/>
    <s v="CMR"/>
    <x v="0"/>
    <s v="CMR006"/>
    <s v="Nord"/>
    <s v="CMR006003"/>
    <s v="Mayo-Louti"/>
    <s v=""/>
    <s v=""/>
  </r>
  <r>
    <s v="Extrême-Nord"/>
    <s v="CMR004"/>
    <x v="5"/>
    <s v="CMR004006"/>
    <x v="30"/>
    <s v="CMR004006005"/>
    <s v="MEDEGOUER"/>
    <x v="580"/>
    <x v="2"/>
    <s v="P4"/>
    <n v="9"/>
    <n v="45"/>
    <x v="0"/>
    <s v=""/>
    <s v="autre_pays"/>
    <s v="NGA"/>
    <x v="2"/>
    <s v="NGA008"/>
    <s v="Borno"/>
    <s v=""/>
    <s v=""/>
    <s v=""/>
    <s v=""/>
  </r>
  <r>
    <s v="Extrême-Nord"/>
    <s v="CMR004"/>
    <x v="5"/>
    <s v="CMR004006"/>
    <x v="30"/>
    <s v="CMR004006005"/>
    <s v="MOSKOTA"/>
    <x v="581"/>
    <x v="2"/>
    <s v="P4"/>
    <n v="45"/>
    <n v="231"/>
    <x v="0"/>
    <s v=""/>
    <s v="meme_pays"/>
    <s v="CMR"/>
    <x v="0"/>
    <s v="CMR006"/>
    <s v="Nord"/>
    <s v="CMR006004"/>
    <s v="Mayo-Rey"/>
    <s v=""/>
    <s v=""/>
  </r>
  <r>
    <s v="Extrême-Nord"/>
    <s v="CMR004"/>
    <x v="5"/>
    <s v="CMR004006"/>
    <x v="30"/>
    <s v="CMR004006005"/>
    <s v="MOSKOTA"/>
    <x v="581"/>
    <x v="2"/>
    <s v="P5"/>
    <n v="15"/>
    <n v="69"/>
    <x v="0"/>
    <s v=""/>
    <s v="meme_pays"/>
    <s v="CMR"/>
    <x v="0"/>
    <s v="CMR006"/>
    <s v="Nord"/>
    <s v="CMR006004"/>
    <s v="Mayo-Rey"/>
    <s v=""/>
    <s v=""/>
  </r>
  <r>
    <s v="Extrême-Nord"/>
    <s v="CMR004"/>
    <x v="5"/>
    <s v="CMR004006"/>
    <x v="30"/>
    <s v="CMR004006005"/>
    <s v="MOSKOTA"/>
    <x v="581"/>
    <x v="2"/>
    <s v="P3"/>
    <n v="80"/>
    <n v="400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MOZOGO GUIDBALA"/>
    <x v="582"/>
    <x v="2"/>
    <s v="P5"/>
    <n v="18"/>
    <n v="119"/>
    <x v="0"/>
    <s v=""/>
    <s v="meme_pays"/>
    <s v="CMR"/>
    <x v="0"/>
    <s v="CMR006"/>
    <s v="Nord"/>
    <s v="CMR006001"/>
    <s v="Benoue"/>
    <s v=""/>
    <s v=""/>
  </r>
  <r>
    <s v="Extrême-Nord"/>
    <s v="CMR004"/>
    <x v="5"/>
    <s v="CMR004006"/>
    <x v="30"/>
    <s v="CMR004006005"/>
    <s v="MOZOGO GUIDBALA"/>
    <x v="582"/>
    <x v="2"/>
    <s v="P4"/>
    <n v="57"/>
    <n v="309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30"/>
    <s v="CMR004006005"/>
    <s v="MOZOGO QUARTIER HAOUSSA"/>
    <x v="583"/>
    <x v="2"/>
    <s v="P4"/>
    <n v="53"/>
    <n v="289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MOZOGO QUARTIER HAOUSSA"/>
    <x v="583"/>
    <x v="2"/>
    <s v="P5"/>
    <n v="22"/>
    <n v="121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MOZOGO TCHEKODE"/>
    <x v="584"/>
    <x v="2"/>
    <s v="P5"/>
    <n v="11"/>
    <n v="76"/>
    <x v="0"/>
    <s v=""/>
    <s v="meme_pays"/>
    <s v="CMR"/>
    <x v="0"/>
    <s v="CMR006"/>
    <s v="Nord"/>
    <s v="CMR006001"/>
    <s v="Benoue"/>
    <s v=""/>
    <s v=""/>
  </r>
  <r>
    <s v="Extrême-Nord"/>
    <s v="CMR004"/>
    <x v="5"/>
    <s v="CMR004006"/>
    <x v="30"/>
    <s v="CMR004006005"/>
    <s v="MOZOGO TCHEKODE"/>
    <x v="584"/>
    <x v="2"/>
    <s v="P4"/>
    <n v="76"/>
    <n v="398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30"/>
    <s v="CMR004006005"/>
    <s v="NGUETCHEWE"/>
    <x v="585"/>
    <x v="2"/>
    <s v="P4"/>
    <n v="163"/>
    <n v="828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NGUETCHEWE"/>
    <x v="585"/>
    <x v="2"/>
    <s v="P5"/>
    <n v="13"/>
    <n v="77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VOUZI"/>
    <x v="587"/>
    <x v="2"/>
    <s v="P2"/>
    <n v="4"/>
    <n v="20"/>
    <x v="0"/>
    <s v=""/>
    <s v="meme_pays"/>
    <s v="CMR"/>
    <x v="0"/>
    <s v="CMR006"/>
    <s v="Nord"/>
    <s v="CMR006001"/>
    <s v="Benoue"/>
    <s v=""/>
    <s v=""/>
  </r>
  <r>
    <s v="Extrême-Nord"/>
    <s v="CMR004"/>
    <x v="5"/>
    <s v="CMR004006"/>
    <x v="30"/>
    <s v="CMR004006005"/>
    <s v="VOUZI"/>
    <x v="587"/>
    <x v="2"/>
    <s v="P3"/>
    <n v="1"/>
    <n v="5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VOUZI"/>
    <x v="587"/>
    <x v="2"/>
    <s v="P4"/>
    <n v="1"/>
    <n v="5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WOUDAL"/>
    <x v="588"/>
    <x v="2"/>
    <s v="P2"/>
    <n v="18"/>
    <n v="98"/>
    <x v="0"/>
    <s v=""/>
    <s v="autre_pays"/>
    <s v="NGA"/>
    <x v="2"/>
    <s v="NGA008"/>
    <s v="Borno"/>
    <s v=""/>
    <s v=""/>
    <s v=""/>
    <s v=""/>
  </r>
  <r>
    <s v="Extrême-Nord"/>
    <s v="CMR004"/>
    <x v="5"/>
    <s v="CMR004006"/>
    <x v="30"/>
    <s v="CMR004006005"/>
    <s v="WOUDAL"/>
    <x v="588"/>
    <x v="2"/>
    <s v="P3"/>
    <n v="9"/>
    <n v="48"/>
    <x v="0"/>
    <s v=""/>
    <s v="autre_pays"/>
    <s v="NGA"/>
    <x v="2"/>
    <s v="NGA008"/>
    <s v="Borno"/>
    <s v=""/>
    <s v=""/>
    <s v=""/>
    <s v=""/>
  </r>
  <r>
    <s v="Extrême-Nord"/>
    <s v="CMR004"/>
    <x v="5"/>
    <s v="CMR004006"/>
    <x v="30"/>
    <s v="CMR004006005"/>
    <s v="WOUDAL"/>
    <x v="588"/>
    <x v="2"/>
    <s v="P4"/>
    <n v="12"/>
    <n v="87"/>
    <x v="0"/>
    <s v=""/>
    <s v="autre_pays"/>
    <s v="NGA"/>
    <x v="2"/>
    <s v="NGA008"/>
    <s v="Borno"/>
    <s v=""/>
    <s v=""/>
    <s v=""/>
    <s v=""/>
  </r>
  <r>
    <s v="Extrême-Nord"/>
    <s v="CMR004"/>
    <x v="5"/>
    <s v="CMR004006"/>
    <x v="30"/>
    <s v="CMR004006005"/>
    <s v="WOUDAL"/>
    <x v="588"/>
    <x v="2"/>
    <s v="P5"/>
    <n v="7"/>
    <n v="43"/>
    <x v="0"/>
    <s v=""/>
    <s v="autre_pays"/>
    <s v="NGA"/>
    <x v="2"/>
    <s v="NGA008"/>
    <s v="Borno"/>
    <s v=""/>
    <s v=""/>
    <s v=""/>
    <s v=""/>
  </r>
  <r>
    <s v="Extrême-Nord"/>
    <s v="CMR004"/>
    <x v="5"/>
    <s v="CMR004006"/>
    <x v="30"/>
    <s v="CMR004006005"/>
    <s v="YAMGAZAWA"/>
    <x v="589"/>
    <x v="2"/>
    <s v="P3"/>
    <n v="7"/>
    <n v="43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0"/>
    <s v="CMR004006005"/>
    <s v="YAMGAZAWA"/>
    <x v="589"/>
    <x v="2"/>
    <s v="P4"/>
    <n v="18"/>
    <n v="99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30"/>
    <s v="CMR004006005"/>
    <s v="YAMGAZAWA"/>
    <x v="589"/>
    <x v="2"/>
    <s v="P5"/>
    <n v="29"/>
    <n v="208"/>
    <x v="0"/>
    <s v=""/>
    <s v="meme_pays"/>
    <s v="CMR"/>
    <x v="0"/>
    <s v="CMR004"/>
    <s v="Extrême-Nord"/>
    <s v="CMR004005"/>
    <s v="Mayo-Sava"/>
    <s v=""/>
    <s v=""/>
  </r>
  <r>
    <s v="Extrême-Nord"/>
    <s v="CMR004"/>
    <x v="5"/>
    <s v="CMR004006"/>
    <x v="30"/>
    <s v="CMR004006005"/>
    <s v="ZELEWET"/>
    <x v="590"/>
    <x v="2"/>
    <s v="P2"/>
    <n v="17"/>
    <n v="89"/>
    <x v="0"/>
    <s v=""/>
    <s v="autre_pays"/>
    <s v="NGA"/>
    <x v="2"/>
    <s v="NGA008"/>
    <s v="Borno"/>
    <s v=""/>
    <s v=""/>
    <s v=""/>
    <s v=""/>
  </r>
  <r>
    <s v="Extrême-Nord"/>
    <s v="CMR004"/>
    <x v="5"/>
    <s v="CMR004006"/>
    <x v="30"/>
    <s v="CMR004006005"/>
    <s v="ZELEWET"/>
    <x v="590"/>
    <x v="2"/>
    <s v="P3"/>
    <n v="12"/>
    <n v="61"/>
    <x v="0"/>
    <s v=""/>
    <s v="autre_pays"/>
    <s v="NGA"/>
    <x v="2"/>
    <s v="NGA008"/>
    <s v="Borno"/>
    <s v=""/>
    <s v=""/>
    <s v=""/>
    <s v=""/>
  </r>
  <r>
    <s v="Extrême-Nord"/>
    <s v="CMR004"/>
    <x v="5"/>
    <s v="CMR004006"/>
    <x v="30"/>
    <s v="CMR004006005"/>
    <s v="ZELEWET"/>
    <x v="590"/>
    <x v="2"/>
    <s v="P4"/>
    <n v="3"/>
    <n v="17"/>
    <x v="0"/>
    <s v=""/>
    <s v="autre_pays"/>
    <s v="NGA"/>
    <x v="2"/>
    <s v="NGA008"/>
    <s v="Borno"/>
    <s v=""/>
    <s v=""/>
    <s v=""/>
    <s v=""/>
  </r>
  <r>
    <s v="Extrême-Nord"/>
    <s v="CMR004"/>
    <x v="5"/>
    <s v="CMR004006"/>
    <x v="31"/>
    <s v="CMR004006006"/>
    <s v="BAO VARA"/>
    <x v="591"/>
    <x v="2"/>
    <s v="P2"/>
    <n v="6"/>
    <n v="30"/>
    <x v="0"/>
    <s v=""/>
    <s v="meme_pays"/>
    <s v="CMR"/>
    <x v="0"/>
    <s v="CMR006"/>
    <s v="Nord"/>
    <s v="CMR006003"/>
    <s v="Mayo-Louti"/>
    <s v=""/>
    <s v=""/>
  </r>
  <r>
    <s v="Extrême-Nord"/>
    <s v="CMR004"/>
    <x v="5"/>
    <s v="CMR004006"/>
    <x v="31"/>
    <s v="CMR004006006"/>
    <s v="DOUMGAR"/>
    <x v="592"/>
    <x v="2"/>
    <s v="P4"/>
    <n v="5"/>
    <n v="22"/>
    <x v="0"/>
    <s v=""/>
    <s v="meme_pays"/>
    <s v="CMR"/>
    <x v="0"/>
    <s v="CMR006"/>
    <s v="Nord"/>
    <s v="CMR006004"/>
    <s v="Mayo-Rey"/>
    <s v=""/>
    <s v=""/>
  </r>
  <r>
    <s v="Extrême-Nord"/>
    <s v="CMR004"/>
    <x v="5"/>
    <s v="CMR004006"/>
    <x v="31"/>
    <s v="CMR004006006"/>
    <s v="GOLIBAI"/>
    <x v="593"/>
    <x v="2"/>
    <s v="P4"/>
    <n v="3"/>
    <n v="14"/>
    <x v="0"/>
    <s v=""/>
    <s v="meme_pays"/>
    <s v="CMR"/>
    <x v="0"/>
    <s v="CMR006"/>
    <s v="Nord"/>
    <s v="CMR006004"/>
    <s v="Mayo-Rey"/>
    <s v=""/>
    <s v=""/>
  </r>
  <r>
    <s v="Extrême-Nord"/>
    <s v="CMR004"/>
    <x v="5"/>
    <s v="CMR004006"/>
    <x v="31"/>
    <s v="CMR004006006"/>
    <s v="GOLIBAI"/>
    <x v="593"/>
    <x v="2"/>
    <s v="P5"/>
    <n v="3"/>
    <n v="17"/>
    <x v="0"/>
    <s v=""/>
    <s v="meme_pays"/>
    <s v="CMR"/>
    <x v="0"/>
    <s v="CMR004"/>
    <s v="Extrême-Nord"/>
    <s v="CMR004006"/>
    <s v="Mayo-Tsanaga"/>
    <s v=""/>
    <s v=""/>
  </r>
  <r>
    <s v="Extrême-Nord"/>
    <s v="CMR004"/>
    <x v="5"/>
    <s v="CMR004006"/>
    <x v="31"/>
    <s v="CMR004006006"/>
    <s v="MADOKONAI 1"/>
    <x v="594"/>
    <x v="2"/>
    <s v="P4"/>
    <n v="4"/>
    <n v="17"/>
    <x v="0"/>
    <s v=""/>
    <s v="meme_pays"/>
    <s v="CMR"/>
    <x v="0"/>
    <s v="CMR006"/>
    <s v="Nord"/>
    <s v="CMR006004"/>
    <s v="Mayo-Rey"/>
    <s v=""/>
    <s v=""/>
  </r>
  <r>
    <s v="Extrême-Nord"/>
    <s v="CMR004"/>
    <x v="5"/>
    <s v="CMR004006"/>
    <x v="31"/>
    <s v="CMR004006006"/>
    <s v="OUDOUMDJARAY"/>
    <x v="595"/>
    <x v="2"/>
    <s v="P4"/>
    <n v="4"/>
    <n v="18"/>
    <x v="0"/>
    <s v=""/>
    <s v="meme_pays"/>
    <s v="CMR"/>
    <x v="0"/>
    <s v="CMR004"/>
    <s v="Extrême-Nord"/>
    <s v="CMR004006"/>
    <s v="Mayo-Tsanaga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47" firstHeaderRow="1" firstDataRow="1" firstDataCol="1"/>
  <pivotFields count="78">
    <pivotField showAll="0"/>
    <pivotField showAll="0"/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>
      <items count="38">
        <item x="8"/>
        <item x="36"/>
        <item x="12"/>
        <item x="3"/>
        <item x="13"/>
        <item x="5"/>
        <item x="21"/>
        <item x="7"/>
        <item x="18"/>
        <item x="20"/>
        <item x="22"/>
        <item x="15"/>
        <item x="32"/>
        <item x="25"/>
        <item x="16"/>
        <item x="27"/>
        <item x="11"/>
        <item x="33"/>
        <item x="9"/>
        <item x="17"/>
        <item x="14"/>
        <item x="1"/>
        <item x="0"/>
        <item x="4"/>
        <item x="26"/>
        <item x="30"/>
        <item x="31"/>
        <item x="28"/>
        <item x="23"/>
        <item x="24"/>
        <item x="34"/>
        <item x="2"/>
        <item x="35"/>
        <item x="29"/>
        <item x="6"/>
        <item x="1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5"/>
  </rowFields>
  <rowItems count="44">
    <i>
      <x/>
    </i>
    <i r="1">
      <x v="3"/>
    </i>
    <i r="1">
      <x v="5"/>
    </i>
    <i r="1">
      <x v="21"/>
    </i>
    <i r="1">
      <x v="22"/>
    </i>
    <i r="1">
      <x v="23"/>
    </i>
    <i r="1">
      <x v="31"/>
    </i>
    <i>
      <x v="1"/>
    </i>
    <i r="1">
      <x/>
    </i>
    <i r="1">
      <x v="2"/>
    </i>
    <i r="1">
      <x v="4"/>
    </i>
    <i r="1">
      <x v="7"/>
    </i>
    <i r="1">
      <x v="11"/>
    </i>
    <i r="1">
      <x v="16"/>
    </i>
    <i r="1">
      <x v="18"/>
    </i>
    <i r="1">
      <x v="20"/>
    </i>
    <i r="1">
      <x v="34"/>
    </i>
    <i r="1">
      <x v="36"/>
    </i>
    <i>
      <x v="2"/>
    </i>
    <i r="1">
      <x v="6"/>
    </i>
    <i r="1">
      <x v="8"/>
    </i>
    <i r="1">
      <x v="9"/>
    </i>
    <i r="1">
      <x v="14"/>
    </i>
    <i r="1">
      <x v="19"/>
    </i>
    <i r="1">
      <x v="35"/>
    </i>
    <i>
      <x v="3"/>
    </i>
    <i r="1">
      <x v="10"/>
    </i>
    <i r="1">
      <x v="13"/>
    </i>
    <i r="1">
      <x v="24"/>
    </i>
    <i r="1">
      <x v="28"/>
    </i>
    <i r="1">
      <x v="29"/>
    </i>
    <i>
      <x v="4"/>
    </i>
    <i r="1">
      <x v="15"/>
    </i>
    <i r="1">
      <x v="27"/>
    </i>
    <i r="1">
      <x v="33"/>
    </i>
    <i>
      <x v="5"/>
    </i>
    <i r="1">
      <x v="1"/>
    </i>
    <i r="1">
      <x v="12"/>
    </i>
    <i r="1">
      <x v="17"/>
    </i>
    <i r="1">
      <x v="25"/>
    </i>
    <i r="1">
      <x v="26"/>
    </i>
    <i r="1">
      <x v="30"/>
    </i>
    <i r="1">
      <x v="32"/>
    </i>
    <i t="grand">
      <x/>
    </i>
  </rowItems>
  <colItems count="1">
    <i/>
  </colItems>
  <dataFields count="1">
    <dataField name="Sum of ret_ind" fld="5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Q50:U78" firstHeaderRow="1" firstDataRow="2" firstDataCol="1" rowPageCount="1" colPageCount="1"/>
  <pivotFields count="23">
    <pivotField showAll="0"/>
    <pivotField showAll="0"/>
    <pivotField showAll="0"/>
    <pivotField showAll="0"/>
    <pivotField axis="axisPage" multipleItemSelectionAllowed="1" showAll="0">
      <items count="38">
        <item h="1" x="5"/>
        <item h="1" x="26"/>
        <item h="1" x="6"/>
        <item h="1" x="34"/>
        <item x="7"/>
        <item h="1" x="0"/>
        <item h="1" x="15"/>
        <item h="1" x="8"/>
        <item h="1" x="16"/>
        <item h="1" x="17"/>
        <item h="1" x="35"/>
        <item h="1" x="9"/>
        <item h="1" x="27"/>
        <item h="1" x="21"/>
        <item h="1" x="18"/>
        <item h="1" x="23"/>
        <item h="1" x="10"/>
        <item h="1" x="28"/>
        <item h="1" x="11"/>
        <item h="1" x="19"/>
        <item h="1" x="12"/>
        <item h="1" x="1"/>
        <item h="1" x="2"/>
        <item h="1" x="3"/>
        <item h="1" x="32"/>
        <item h="1" x="33"/>
        <item h="1" x="29"/>
        <item h="1" x="24"/>
        <item h="1" x="36"/>
        <item h="1" x="22"/>
        <item h="1" x="30"/>
        <item h="1" x="4"/>
        <item h="1" x="31"/>
        <item h="1" x="25"/>
        <item h="1" x="13"/>
        <item h="1" x="20"/>
        <item h="1" x="14"/>
        <item t="default"/>
      </items>
    </pivotField>
    <pivotField showAll="0"/>
    <pivotField showAll="0"/>
    <pivotField axis="axisRow" showAll="0">
      <items count="690">
        <item x="37"/>
        <item x="38"/>
        <item x="39"/>
        <item x="40"/>
        <item x="41"/>
        <item x="42"/>
        <item x="43"/>
        <item x="44"/>
        <item x="45"/>
        <item x="46"/>
        <item x="48"/>
        <item x="50"/>
        <item x="52"/>
        <item x="47"/>
        <item x="51"/>
        <item x="49"/>
        <item x="497"/>
        <item x="672"/>
        <item x="498"/>
        <item x="620"/>
        <item x="636"/>
        <item x="637"/>
        <item x="638"/>
        <item x="639"/>
        <item x="640"/>
        <item x="53"/>
        <item x="55"/>
        <item x="56"/>
        <item x="57"/>
        <item m="1" x="686"/>
        <item x="58"/>
        <item x="60"/>
        <item x="61"/>
        <item x="62"/>
        <item m="1" x="679"/>
        <item x="63"/>
        <item x="64"/>
        <item x="66"/>
        <item x="67"/>
        <item x="68"/>
        <item x="69"/>
        <item x="70"/>
        <item x="71"/>
        <item x="72"/>
        <item x="73"/>
        <item x="59"/>
        <item x="54"/>
        <item x="65"/>
        <item x="74"/>
        <item x="77"/>
        <item x="79"/>
        <item x="86"/>
        <item x="87"/>
        <item x="89"/>
        <item x="90"/>
        <item x="94"/>
        <item x="96"/>
        <item x="78"/>
        <item x="92"/>
        <item x="75"/>
        <item x="81"/>
        <item x="97"/>
        <item x="76"/>
        <item x="82"/>
        <item x="83"/>
        <item x="85"/>
        <item x="600"/>
        <item x="88"/>
        <item x="93"/>
        <item x="80"/>
        <item x="91"/>
        <item x="95"/>
        <item x="84"/>
        <item m="1" x="681"/>
        <item x="641"/>
        <item x="0"/>
        <item x="1"/>
        <item x="2"/>
        <item x="3"/>
        <item x="4"/>
        <item x="5"/>
        <item x="419"/>
        <item x="420"/>
        <item x="421"/>
        <item x="617"/>
        <item x="423"/>
        <item x="422"/>
        <item x="424"/>
        <item x="425"/>
        <item x="426"/>
        <item x="99"/>
        <item x="100"/>
        <item x="101"/>
        <item x="128"/>
        <item x="102"/>
        <item x="104"/>
        <item x="105"/>
        <item x="106"/>
        <item x="107"/>
        <item x="110"/>
        <item x="111"/>
        <item x="113"/>
        <item x="114"/>
        <item x="115"/>
        <item x="117"/>
        <item x="118"/>
        <item x="120"/>
        <item x="121"/>
        <item x="122"/>
        <item x="123"/>
        <item x="124"/>
        <item x="125"/>
        <item x="126"/>
        <item x="127"/>
        <item x="103"/>
        <item x="98"/>
        <item x="119"/>
        <item x="108"/>
        <item x="109"/>
        <item x="112"/>
        <item x="116"/>
        <item x="654"/>
        <item x="655"/>
        <item x="656"/>
        <item x="657"/>
        <item x="658"/>
        <item x="427"/>
        <item x="428"/>
        <item x="429"/>
        <item x="430"/>
        <item x="431"/>
        <item x="646"/>
        <item x="647"/>
        <item x="649"/>
        <item x="432"/>
        <item x="648"/>
        <item x="129"/>
        <item x="130"/>
        <item x="131"/>
        <item x="132"/>
        <item m="1" x="687"/>
        <item x="136"/>
        <item x="137"/>
        <item x="138"/>
        <item x="142"/>
        <item x="143"/>
        <item x="133"/>
        <item x="134"/>
        <item x="135"/>
        <item x="139"/>
        <item x="140"/>
        <item x="141"/>
        <item x="144"/>
        <item x="499"/>
        <item x="500"/>
        <item x="501"/>
        <item x="502"/>
        <item x="503"/>
        <item x="673"/>
        <item x="659"/>
        <item x="660"/>
        <item x="448"/>
        <item x="661"/>
        <item x="662"/>
        <item x="447"/>
        <item x="449"/>
        <item x="650"/>
        <item x="433"/>
        <item x="651"/>
        <item x="434"/>
        <item x="435"/>
        <item x="652"/>
        <item x="436"/>
        <item x="437"/>
        <item x="653"/>
        <item x="452"/>
        <item x="455"/>
        <item x="669"/>
        <item x="668"/>
        <item x="454"/>
        <item x="453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57"/>
        <item x="158"/>
        <item x="147"/>
        <item x="504"/>
        <item x="505"/>
        <item x="506"/>
        <item x="507"/>
        <item x="508"/>
        <item x="509"/>
        <item x="510"/>
        <item x="511"/>
        <item x="512"/>
        <item x="514"/>
        <item x="515"/>
        <item x="516"/>
        <item x="517"/>
        <item x="518"/>
        <item x="519"/>
        <item x="521"/>
        <item x="522"/>
        <item x="523"/>
        <item x="524"/>
        <item x="527"/>
        <item x="528"/>
        <item x="529"/>
        <item x="530"/>
        <item x="531"/>
        <item x="532"/>
        <item x="533"/>
        <item x="534"/>
        <item x="535"/>
        <item x="537"/>
        <item x="525"/>
        <item x="513"/>
        <item x="674"/>
        <item x="520"/>
        <item x="526"/>
        <item x="536"/>
        <item x="189"/>
        <item x="200"/>
        <item x="202"/>
        <item x="201"/>
        <item x="205"/>
        <item x="221"/>
        <item x="223"/>
        <item x="188"/>
        <item x="193"/>
        <item x="203"/>
        <item x="209"/>
        <item x="218"/>
        <item x="192"/>
        <item x="195"/>
        <item x="204"/>
        <item x="210"/>
        <item x="212"/>
        <item x="213"/>
        <item x="211"/>
        <item x="215"/>
        <item x="217"/>
        <item x="219"/>
        <item x="222"/>
        <item x="185"/>
        <item x="186"/>
        <item x="187"/>
        <item x="190"/>
        <item x="191"/>
        <item x="194"/>
        <item x="196"/>
        <item x="197"/>
        <item x="198"/>
        <item x="199"/>
        <item x="206"/>
        <item x="207"/>
        <item x="208"/>
        <item x="601"/>
        <item x="214"/>
        <item x="216"/>
        <item x="220"/>
        <item x="6"/>
        <item x="7"/>
        <item x="8"/>
        <item x="9"/>
        <item x="10"/>
        <item x="11"/>
        <item x="438"/>
        <item x="439"/>
        <item x="440"/>
        <item x="441"/>
        <item x="442"/>
        <item x="443"/>
        <item x="225"/>
        <item x="229"/>
        <item x="230"/>
        <item x="231"/>
        <item x="233"/>
        <item x="234"/>
        <item x="235"/>
        <item x="236"/>
        <item x="241"/>
        <item x="246"/>
        <item x="247"/>
        <item x="248"/>
        <item x="249"/>
        <item x="252"/>
        <item x="254"/>
        <item x="255"/>
        <item x="256"/>
        <item x="257"/>
        <item x="258"/>
        <item x="260"/>
        <item x="261"/>
        <item x="263"/>
        <item x="266"/>
        <item x="280"/>
        <item x="271"/>
        <item x="275"/>
        <item x="276"/>
        <item x="277"/>
        <item x="278"/>
        <item x="279"/>
        <item x="281"/>
        <item x="282"/>
        <item x="286"/>
        <item x="288"/>
        <item x="289"/>
        <item x="292"/>
        <item x="294"/>
        <item x="297"/>
        <item x="298"/>
        <item x="300"/>
        <item x="302"/>
        <item x="245"/>
        <item x="309"/>
        <item x="311"/>
        <item x="313"/>
        <item x="314"/>
        <item x="315"/>
        <item x="316"/>
        <item x="318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7"/>
        <item x="338"/>
        <item x="342"/>
        <item x="346"/>
        <item x="347"/>
        <item x="351"/>
        <item x="352"/>
        <item x="353"/>
        <item x="355"/>
        <item x="357"/>
        <item x="356"/>
        <item x="358"/>
        <item x="359"/>
        <item x="360"/>
        <item x="361"/>
        <item x="362"/>
        <item x="365"/>
        <item x="366"/>
        <item x="368"/>
        <item x="369"/>
        <item x="371"/>
        <item x="376"/>
        <item x="377"/>
        <item x="380"/>
        <item x="385"/>
        <item x="386"/>
        <item x="389"/>
        <item x="391"/>
        <item x="393"/>
        <item x="394"/>
        <item x="341"/>
        <item x="251"/>
        <item x="270"/>
        <item x="285"/>
        <item x="317"/>
        <item x="336"/>
        <item x="343"/>
        <item x="373"/>
        <item x="319"/>
        <item x="607"/>
        <item x="265"/>
        <item x="273"/>
        <item x="291"/>
        <item x="308"/>
        <item m="1" x="683"/>
        <item m="1" x="685"/>
        <item x="370"/>
        <item x="378"/>
        <item x="384"/>
        <item x="392"/>
        <item x="602"/>
        <item x="603"/>
        <item x="604"/>
        <item x="242"/>
        <item x="243"/>
        <item x="250"/>
        <item x="264"/>
        <item x="608"/>
        <item x="268"/>
        <item x="269"/>
        <item x="272"/>
        <item x="274"/>
        <item x="283"/>
        <item x="284"/>
        <item x="290"/>
        <item x="301"/>
        <item x="303"/>
        <item x="304"/>
        <item x="307"/>
        <item x="320"/>
        <item m="1" x="682"/>
        <item x="354"/>
        <item x="363"/>
        <item x="367"/>
        <item x="372"/>
        <item x="375"/>
        <item x="609"/>
        <item x="390"/>
        <item x="312"/>
        <item x="379"/>
        <item x="381"/>
        <item x="606"/>
        <item x="295"/>
        <item x="296"/>
        <item m="1" x="688"/>
        <item x="226"/>
        <item x="227"/>
        <item x="228"/>
        <item x="232"/>
        <item x="238"/>
        <item x="239"/>
        <item x="240"/>
        <item x="244"/>
        <item x="253"/>
        <item x="259"/>
        <item x="262"/>
        <item x="267"/>
        <item x="287"/>
        <item x="293"/>
        <item x="299"/>
        <item x="306"/>
        <item x="339"/>
        <item x="340"/>
        <item x="344"/>
        <item x="345"/>
        <item x="349"/>
        <item x="350"/>
        <item x="364"/>
        <item x="374"/>
        <item x="382"/>
        <item x="383"/>
        <item x="387"/>
        <item x="388"/>
        <item x="237"/>
        <item x="224"/>
        <item x="305"/>
        <item x="605"/>
        <item x="12"/>
        <item x="663"/>
        <item x="618"/>
        <item x="664"/>
        <item x="665"/>
        <item x="621"/>
        <item x="622"/>
        <item x="623"/>
        <item x="625"/>
        <item x="626"/>
        <item x="627"/>
        <item x="628"/>
        <item x="629"/>
        <item x="630"/>
        <item x="631"/>
        <item x="632"/>
        <item x="633"/>
        <item x="634"/>
        <item x="624"/>
        <item x="539"/>
        <item x="675"/>
        <item x="540"/>
        <item x="541"/>
        <item x="542"/>
        <item x="543"/>
        <item x="545"/>
        <item x="676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563"/>
        <item x="564"/>
        <item x="677"/>
        <item x="558"/>
        <item x="635"/>
        <item x="538"/>
        <item x="544"/>
        <item x="666"/>
        <item x="667"/>
        <item x="456"/>
        <item x="457"/>
        <item x="460"/>
        <item x="461"/>
        <item x="462"/>
        <item x="463"/>
        <item x="464"/>
        <item x="467"/>
        <item x="466"/>
        <item x="470"/>
        <item x="473"/>
        <item x="474"/>
        <item x="476"/>
        <item x="477"/>
        <item x="478"/>
        <item x="479"/>
        <item x="480"/>
        <item x="481"/>
        <item x="482"/>
        <item x="484"/>
        <item x="485"/>
        <item x="475"/>
        <item x="459"/>
        <item x="468"/>
        <item x="483"/>
        <item x="458"/>
        <item x="670"/>
        <item x="465"/>
        <item x="469"/>
        <item x="471"/>
        <item x="472"/>
        <item x="671"/>
        <item x="619"/>
        <item x="450"/>
        <item x="451"/>
        <item x="569"/>
        <item x="571"/>
        <item x="573"/>
        <item x="574"/>
        <item x="576"/>
        <item x="579"/>
        <item x="580"/>
        <item x="581"/>
        <item x="582"/>
        <item x="583"/>
        <item x="584"/>
        <item x="585"/>
        <item x="578"/>
        <item x="586"/>
        <item x="589"/>
        <item x="568"/>
        <item x="567"/>
        <item x="572"/>
        <item x="575"/>
        <item x="587"/>
        <item x="577"/>
        <item x="570"/>
        <item x="590"/>
        <item x="566"/>
        <item x="588"/>
        <item x="13"/>
        <item x="598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14"/>
        <item x="591"/>
        <item m="1" x="684"/>
        <item x="593"/>
        <item x="594"/>
        <item x="596"/>
        <item x="597"/>
        <item x="595"/>
        <item x="592"/>
        <item x="486"/>
        <item x="487"/>
        <item x="488"/>
        <item x="489"/>
        <item x="490"/>
        <item x="491"/>
        <item x="493"/>
        <item x="494"/>
        <item x="496"/>
        <item x="495"/>
        <item x="492"/>
        <item x="395"/>
        <item x="397"/>
        <item x="612"/>
        <item x="398"/>
        <item m="1" x="678"/>
        <item x="613"/>
        <item x="644"/>
        <item x="616"/>
        <item x="400"/>
        <item x="401"/>
        <item x="402"/>
        <item x="403"/>
        <item x="405"/>
        <item x="407"/>
        <item x="610"/>
        <item m="1" x="680"/>
        <item x="408"/>
        <item x="396"/>
        <item x="614"/>
        <item x="399"/>
        <item x="643"/>
        <item x="615"/>
        <item x="404"/>
        <item x="611"/>
        <item x="444"/>
        <item x="445"/>
        <item x="446"/>
        <item x="409"/>
        <item x="410"/>
        <item x="411"/>
        <item x="412"/>
        <item x="413"/>
        <item x="414"/>
        <item x="415"/>
        <item x="416"/>
        <item x="417"/>
        <item x="418"/>
        <item x="645"/>
        <item x="310"/>
        <item x="348"/>
        <item x="406"/>
        <item x="565"/>
        <item x="599"/>
        <item x="642"/>
        <item t="default"/>
      </items>
    </pivotField>
    <pivotField axis="axisCol" multipleItemSelectionAllowed="1" showAll="0">
      <items count="4">
        <item x="0"/>
        <item x="1"/>
        <item x="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27"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4"/>
    </i>
    <i t="grand">
      <x/>
    </i>
  </rowItems>
  <colFields count="1">
    <field x="8"/>
  </colFields>
  <colItems count="4">
    <i>
      <x/>
    </i>
    <i>
      <x v="1"/>
    </i>
    <i>
      <x v="2"/>
    </i>
    <i t="grand">
      <x/>
    </i>
  </colItems>
  <pageFields count="1">
    <pageField fld="4" hier="-1"/>
  </pageFields>
  <dataFields count="1">
    <dataField name="Sum of ind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4" cacheId="2" applyNumberFormats="0" applyBorderFormats="0" applyFontFormats="0" applyPatternFormats="0" applyAlignmentFormats="0" applyWidthHeightFormats="1" dataCaption="Valeurs" grandTotalCaption="Total" updatedVersion="5" minRefreshableVersion="3" useAutoFormatting="1" itemPrintTitles="1" createdVersion="4" indent="0" outline="1" outlineData="1" multipleFieldFilters="0" rowHeaderCaption="Départements" colHeaderCaption="Raisons">
  <location ref="D7:H52" firstHeaderRow="1" firstDataRow="2" firstDataCol="1" rowPageCount="1" colPageCount="1"/>
  <pivotFields count="23">
    <pivotField showAll="0"/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>
      <items count="38">
        <item x="5"/>
        <item x="26"/>
        <item x="6"/>
        <item x="34"/>
        <item x="7"/>
        <item x="0"/>
        <item x="15"/>
        <item x="8"/>
        <item x="16"/>
        <item x="17"/>
        <item x="35"/>
        <item x="9"/>
        <item x="27"/>
        <item x="21"/>
        <item x="18"/>
        <item x="23"/>
        <item x="10"/>
        <item x="28"/>
        <item x="11"/>
        <item x="19"/>
        <item x="12"/>
        <item x="1"/>
        <item x="2"/>
        <item x="3"/>
        <item x="32"/>
        <item x="33"/>
        <item x="29"/>
        <item x="24"/>
        <item x="36"/>
        <item x="22"/>
        <item x="30"/>
        <item x="4"/>
        <item x="31"/>
        <item x="25"/>
        <item x="13"/>
        <item x="20"/>
        <item x="14"/>
        <item t="default"/>
      </items>
    </pivotField>
    <pivotField showAll="0"/>
    <pivotField showAll="0"/>
    <pivotField showAll="0"/>
    <pivotField name="Déplacement" axis="axisPage" showAll="0">
      <items count="4">
        <item x="0"/>
        <item x="1"/>
        <item x="2"/>
        <item t="default"/>
      </items>
    </pivotField>
    <pivotField showAll="0"/>
    <pivotField showAll="0"/>
    <pivotField dataField="1" showAll="0"/>
    <pivotField axis="axisCol" showAll="0">
      <items count="6">
        <item m="1" x="4"/>
        <item x="0"/>
        <item n="Climat" x="1"/>
        <item m="1" x="3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4"/>
  </rowFields>
  <rowItems count="44">
    <i>
      <x/>
    </i>
    <i r="1">
      <x v="3"/>
    </i>
    <i r="1">
      <x v="5"/>
    </i>
    <i r="1">
      <x v="21"/>
    </i>
    <i r="1">
      <x v="22"/>
    </i>
    <i r="1">
      <x v="23"/>
    </i>
    <i r="1">
      <x v="31"/>
    </i>
    <i>
      <x v="1"/>
    </i>
    <i r="1">
      <x/>
    </i>
    <i r="1">
      <x v="2"/>
    </i>
    <i r="1">
      <x v="4"/>
    </i>
    <i r="1">
      <x v="7"/>
    </i>
    <i r="1">
      <x v="11"/>
    </i>
    <i r="1">
      <x v="16"/>
    </i>
    <i r="1">
      <x v="18"/>
    </i>
    <i r="1">
      <x v="20"/>
    </i>
    <i r="1">
      <x v="34"/>
    </i>
    <i r="1">
      <x v="36"/>
    </i>
    <i>
      <x v="2"/>
    </i>
    <i r="1">
      <x v="6"/>
    </i>
    <i r="1">
      <x v="8"/>
    </i>
    <i r="1">
      <x v="9"/>
    </i>
    <i r="1">
      <x v="14"/>
    </i>
    <i r="1">
      <x v="19"/>
    </i>
    <i r="1">
      <x v="35"/>
    </i>
    <i>
      <x v="3"/>
    </i>
    <i r="1">
      <x v="10"/>
    </i>
    <i r="1">
      <x v="13"/>
    </i>
    <i r="1">
      <x v="24"/>
    </i>
    <i r="1">
      <x v="28"/>
    </i>
    <i r="1">
      <x v="29"/>
    </i>
    <i>
      <x v="4"/>
    </i>
    <i r="1">
      <x v="15"/>
    </i>
    <i r="1">
      <x v="27"/>
    </i>
    <i r="1">
      <x v="33"/>
    </i>
    <i>
      <x v="5"/>
    </i>
    <i r="1">
      <x v="1"/>
    </i>
    <i r="1">
      <x v="12"/>
    </i>
    <i r="1">
      <x v="17"/>
    </i>
    <i r="1">
      <x v="25"/>
    </i>
    <i r="1">
      <x v="26"/>
    </i>
    <i r="1">
      <x v="30"/>
    </i>
    <i r="1">
      <x v="32"/>
    </i>
    <i t="grand">
      <x/>
    </i>
  </rowItems>
  <colFields count="1">
    <field x="12"/>
  </colFields>
  <colItems count="4">
    <i>
      <x v="1"/>
    </i>
    <i>
      <x v="2"/>
    </i>
    <i>
      <x v="4"/>
    </i>
    <i t="grand">
      <x/>
    </i>
  </colItems>
  <pageFields count="1">
    <pageField fld="8" hier="-1"/>
  </pageFields>
  <dataFields count="1">
    <dataField name="Individus" fld="11" baseField="0" baseItem="0" numFmtId="3"/>
  </dataFields>
  <formats count="10">
    <format dxfId="1072">
      <pivotArea type="all" dataOnly="0" outline="0" fieldPosition="0"/>
    </format>
    <format dxfId="1071">
      <pivotArea type="all" dataOnly="0" outline="0" fieldPosition="0"/>
    </format>
    <format dxfId="1070">
      <pivotArea outline="0" collapsedLevelsAreSubtotals="1" fieldPosition="0"/>
    </format>
    <format dxfId="1069">
      <pivotArea dataOnly="0" labelOnly="1" fieldPosition="0">
        <references count="1">
          <reference field="2" count="0"/>
        </references>
      </pivotArea>
    </format>
    <format dxfId="1068">
      <pivotArea dataOnly="0" labelOnly="1" grandRow="1" outline="0" fieldPosition="0"/>
    </format>
    <format dxfId="1067">
      <pivotArea dataOnly="0" labelOnly="1" fieldPosition="0">
        <references count="2">
          <reference field="2" count="1" selected="0">
            <x v="0"/>
          </reference>
          <reference field="4" count="0"/>
        </references>
      </pivotArea>
    </format>
    <format dxfId="1066">
      <pivotArea dataOnly="0" labelOnly="1" fieldPosition="0">
        <references count="1">
          <reference field="12" count="0"/>
        </references>
      </pivotArea>
    </format>
    <format dxfId="1065">
      <pivotArea dataOnly="0" labelOnly="1" grandCol="1" outline="0" fieldPosition="0"/>
    </format>
    <format dxfId="1064">
      <pivotArea dataOnly="0" labelOnly="1" outline="0" fieldPosition="0">
        <references count="1">
          <reference field="8" count="0"/>
        </references>
      </pivotArea>
    </format>
    <format dxfId="1063">
      <pivotArea field="8" type="button" dataOnly="0" labelOnly="1" outline="0" axis="axisPage" fieldPosition="0"/>
    </format>
  </formats>
  <pivotTableStyleInfo name="PivotStyleLight16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5" cacheId="2" applyNumberFormats="0" applyBorderFormats="0" applyFontFormats="0" applyPatternFormats="0" applyAlignmentFormats="0" applyWidthHeightFormats="1" dataCaption="Valeurs" grandTotalCaption="Total" updatedVersion="5" minRefreshableVersion="3" useAutoFormatting="1" itemPrintTitles="1" createdVersion="4" indent="0" outline="1" outlineData="1" multipleFieldFilters="0" rowHeaderCaption="Department" colHeaderCaption="Reasons">
  <location ref="N7:R52" firstHeaderRow="1" firstDataRow="2" firstDataCol="1" rowPageCount="1" colPageCount="1"/>
  <pivotFields count="23">
    <pivotField showAll="0"/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>
      <items count="38">
        <item x="5"/>
        <item x="26"/>
        <item x="6"/>
        <item x="34"/>
        <item x="7"/>
        <item x="0"/>
        <item x="15"/>
        <item x="8"/>
        <item x="16"/>
        <item x="17"/>
        <item x="35"/>
        <item x="9"/>
        <item x="27"/>
        <item x="21"/>
        <item x="18"/>
        <item x="23"/>
        <item x="10"/>
        <item x="28"/>
        <item x="11"/>
        <item x="19"/>
        <item x="12"/>
        <item x="1"/>
        <item x="2"/>
        <item x="3"/>
        <item x="32"/>
        <item x="33"/>
        <item x="29"/>
        <item x="24"/>
        <item x="36"/>
        <item x="22"/>
        <item x="30"/>
        <item x="4"/>
        <item x="31"/>
        <item x="25"/>
        <item x="13"/>
        <item x="20"/>
        <item x="14"/>
        <item t="default"/>
      </items>
    </pivotField>
    <pivotField showAll="0"/>
    <pivotField showAll="0"/>
    <pivotField showAll="0"/>
    <pivotField name="Displacement" axis="axisPage" showAll="0">
      <items count="4">
        <item x="0"/>
        <item x="1"/>
        <item x="2"/>
        <item t="default"/>
      </items>
    </pivotField>
    <pivotField showAll="0"/>
    <pivotField showAll="0"/>
    <pivotField dataField="1" showAll="0"/>
    <pivotField axis="axisCol" showAll="0">
      <items count="6">
        <item m="1" x="4"/>
        <item n="ISWA Conflict" x="0"/>
        <item n="Flood/Natural disaster" x="1"/>
        <item m="1" x="3"/>
        <item n="Other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4"/>
  </rowFields>
  <rowItems count="44">
    <i>
      <x/>
    </i>
    <i r="1">
      <x v="3"/>
    </i>
    <i r="1">
      <x v="5"/>
    </i>
    <i r="1">
      <x v="21"/>
    </i>
    <i r="1">
      <x v="22"/>
    </i>
    <i r="1">
      <x v="23"/>
    </i>
    <i r="1">
      <x v="31"/>
    </i>
    <i>
      <x v="1"/>
    </i>
    <i r="1">
      <x/>
    </i>
    <i r="1">
      <x v="2"/>
    </i>
    <i r="1">
      <x v="4"/>
    </i>
    <i r="1">
      <x v="7"/>
    </i>
    <i r="1">
      <x v="11"/>
    </i>
    <i r="1">
      <x v="16"/>
    </i>
    <i r="1">
      <x v="18"/>
    </i>
    <i r="1">
      <x v="20"/>
    </i>
    <i r="1">
      <x v="34"/>
    </i>
    <i r="1">
      <x v="36"/>
    </i>
    <i>
      <x v="2"/>
    </i>
    <i r="1">
      <x v="6"/>
    </i>
    <i r="1">
      <x v="8"/>
    </i>
    <i r="1">
      <x v="9"/>
    </i>
    <i r="1">
      <x v="14"/>
    </i>
    <i r="1">
      <x v="19"/>
    </i>
    <i r="1">
      <x v="35"/>
    </i>
    <i>
      <x v="3"/>
    </i>
    <i r="1">
      <x v="10"/>
    </i>
    <i r="1">
      <x v="13"/>
    </i>
    <i r="1">
      <x v="24"/>
    </i>
    <i r="1">
      <x v="28"/>
    </i>
    <i r="1">
      <x v="29"/>
    </i>
    <i>
      <x v="4"/>
    </i>
    <i r="1">
      <x v="15"/>
    </i>
    <i r="1">
      <x v="27"/>
    </i>
    <i r="1">
      <x v="33"/>
    </i>
    <i>
      <x v="5"/>
    </i>
    <i r="1">
      <x v="1"/>
    </i>
    <i r="1">
      <x v="12"/>
    </i>
    <i r="1">
      <x v="17"/>
    </i>
    <i r="1">
      <x v="25"/>
    </i>
    <i r="1">
      <x v="26"/>
    </i>
    <i r="1">
      <x v="30"/>
    </i>
    <i r="1">
      <x v="32"/>
    </i>
    <i t="grand">
      <x/>
    </i>
  </rowItems>
  <colFields count="1">
    <field x="12"/>
  </colFields>
  <colItems count="4">
    <i>
      <x v="1"/>
    </i>
    <i>
      <x v="2"/>
    </i>
    <i>
      <x v="4"/>
    </i>
    <i t="grand">
      <x/>
    </i>
  </colItems>
  <pageFields count="1">
    <pageField fld="8" hier="-1"/>
  </pageFields>
  <dataFields count="1">
    <dataField name="Individuals" fld="11" baseField="0" baseItem="0" numFmtId="3"/>
  </dataFields>
  <formats count="8">
    <format dxfId="1080">
      <pivotArea type="all" dataOnly="0" outline="0" fieldPosition="0"/>
    </format>
    <format dxfId="1079">
      <pivotArea type="all" dataOnly="0" outline="0" fieldPosition="0"/>
    </format>
    <format dxfId="1078">
      <pivotArea outline="0" collapsedLevelsAreSubtotals="1" fieldPosition="0"/>
    </format>
    <format dxfId="1077">
      <pivotArea dataOnly="0" labelOnly="1" fieldPosition="0">
        <references count="1">
          <reference field="2" count="0"/>
        </references>
      </pivotArea>
    </format>
    <format dxfId="1076">
      <pivotArea dataOnly="0" labelOnly="1" grandRow="1" outline="0" fieldPosition="0"/>
    </format>
    <format dxfId="1075">
      <pivotArea dataOnly="0" labelOnly="1" fieldPosition="0">
        <references count="2">
          <reference field="2" count="1" selected="0">
            <x v="0"/>
          </reference>
          <reference field="4" count="0"/>
        </references>
      </pivotArea>
    </format>
    <format dxfId="1074">
      <pivotArea dataOnly="0" labelOnly="1" fieldPosition="0">
        <references count="1">
          <reference field="12" count="0"/>
        </references>
      </pivotArea>
    </format>
    <format dxfId="1073">
      <pivotArea dataOnly="0" labelOnly="1" grandCol="1" outline="0" fieldPosition="0"/>
    </format>
  </formats>
  <pivotTableStyleInfo name="PivotStyleLight16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15" cacheId="1" applyNumberFormats="0" applyBorderFormats="0" applyFontFormats="0" applyPatternFormats="0" applyAlignmentFormats="0" applyWidthHeightFormats="1" dataCaption="Valeurs" grandTotalCaption="Total" updatedVersion="5" minRefreshableVersion="3" useAutoFormatting="1" itemPrintTitles="1" createdVersion="4" indent="0" outline="1" outlineData="1" multipleFieldFilters="0" rowHeaderCaption="Departments" colHeaderCaption="Displacements">
  <location ref="M108:Q153" firstHeaderRow="1" firstDataRow="2" firstDataCol="1"/>
  <pivotFields count="23">
    <pivotField showAll="0" defaultSubtotal="0"/>
    <pivotField showAll="0" defaultSubtotal="0"/>
    <pivotField axis="axisRow" showAll="0" defaultSubtotal="0">
      <items count="6">
        <item x="0"/>
        <item x="1"/>
        <item x="2"/>
        <item x="3"/>
        <item x="4"/>
        <item x="5"/>
      </items>
    </pivotField>
    <pivotField showAll="0" defaultSubtotal="0"/>
    <pivotField axis="axisRow" showAll="0" sortType="ascending" defaultSubtotal="0">
      <items count="37">
        <item x="5"/>
        <item x="26"/>
        <item x="6"/>
        <item x="34"/>
        <item x="7"/>
        <item x="0"/>
        <item x="15"/>
        <item x="8"/>
        <item x="16"/>
        <item x="17"/>
        <item x="35"/>
        <item x="9"/>
        <item x="27"/>
        <item x="21"/>
        <item x="18"/>
        <item x="23"/>
        <item x="10"/>
        <item x="28"/>
        <item x="11"/>
        <item x="19"/>
        <item x="12"/>
        <item x="1"/>
        <item x="2"/>
        <item x="3"/>
        <item x="32"/>
        <item x="33"/>
        <item x="29"/>
        <item x="24"/>
        <item x="36"/>
        <item x="22"/>
        <item x="30"/>
        <item x="4"/>
        <item x="31"/>
        <item x="25"/>
        <item x="13"/>
        <item x="20"/>
        <item x="14"/>
      </items>
    </pivotField>
    <pivotField showAll="0" defaultSubtotal="0"/>
    <pivotField showAll="0" defaultSubtotal="0"/>
    <pivotField showAll="0" defaultSubtotal="0"/>
    <pivotField axis="axisCol" showAll="0" defaultSubtotal="0">
      <items count="3">
        <item n="Internal displaced" x="0"/>
        <item n="Returnees" x="2"/>
        <item n="Unregistered Refugees" x="1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2"/>
    <field x="4"/>
  </rowFields>
  <rowItems count="44">
    <i>
      <x/>
    </i>
    <i r="1">
      <x v="3"/>
    </i>
    <i r="1">
      <x v="5"/>
    </i>
    <i r="1">
      <x v="21"/>
    </i>
    <i r="1">
      <x v="22"/>
    </i>
    <i r="1">
      <x v="23"/>
    </i>
    <i r="1">
      <x v="31"/>
    </i>
    <i>
      <x v="1"/>
    </i>
    <i r="1">
      <x/>
    </i>
    <i r="1">
      <x v="2"/>
    </i>
    <i r="1">
      <x v="4"/>
    </i>
    <i r="1">
      <x v="7"/>
    </i>
    <i r="1">
      <x v="11"/>
    </i>
    <i r="1">
      <x v="16"/>
    </i>
    <i r="1">
      <x v="18"/>
    </i>
    <i r="1">
      <x v="20"/>
    </i>
    <i r="1">
      <x v="34"/>
    </i>
    <i r="1">
      <x v="36"/>
    </i>
    <i>
      <x v="2"/>
    </i>
    <i r="1">
      <x v="6"/>
    </i>
    <i r="1">
      <x v="8"/>
    </i>
    <i r="1">
      <x v="9"/>
    </i>
    <i r="1">
      <x v="14"/>
    </i>
    <i r="1">
      <x v="19"/>
    </i>
    <i r="1">
      <x v="35"/>
    </i>
    <i>
      <x v="3"/>
    </i>
    <i r="1">
      <x v="10"/>
    </i>
    <i r="1">
      <x v="13"/>
    </i>
    <i r="1">
      <x v="24"/>
    </i>
    <i r="1">
      <x v="28"/>
    </i>
    <i r="1">
      <x v="29"/>
    </i>
    <i>
      <x v="4"/>
    </i>
    <i r="1">
      <x v="15"/>
    </i>
    <i r="1">
      <x v="27"/>
    </i>
    <i r="1">
      <x v="33"/>
    </i>
    <i>
      <x v="5"/>
    </i>
    <i r="1">
      <x v="1"/>
    </i>
    <i r="1">
      <x v="12"/>
    </i>
    <i r="1">
      <x v="17"/>
    </i>
    <i r="1">
      <x v="25"/>
    </i>
    <i r="1">
      <x v="26"/>
    </i>
    <i r="1">
      <x v="30"/>
    </i>
    <i r="1">
      <x v="32"/>
    </i>
    <i t="grand">
      <x/>
    </i>
  </rowItems>
  <colFields count="1">
    <field x="8"/>
  </colFields>
  <colItems count="4">
    <i>
      <x/>
    </i>
    <i>
      <x v="1"/>
    </i>
    <i>
      <x v="2"/>
    </i>
    <i t="grand">
      <x/>
    </i>
  </colItems>
  <dataFields count="1">
    <dataField name="Individuals" fld="11" baseField="0" baseItem="0" numFmtId="3"/>
  </dataFields>
  <formats count="35">
    <format dxfId="591">
      <pivotArea collapsedLevelsAreSubtotals="1" fieldPosition="0">
        <references count="1">
          <reference field="2" count="1">
            <x v="0"/>
          </reference>
        </references>
      </pivotArea>
    </format>
    <format dxfId="590">
      <pivotArea collapsedLevelsAreSubtotals="1" fieldPosition="0">
        <references count="1">
          <reference field="2" count="1">
            <x v="1"/>
          </reference>
        </references>
      </pivotArea>
    </format>
    <format dxfId="589">
      <pivotArea collapsedLevelsAreSubtotals="1" fieldPosition="0">
        <references count="1">
          <reference field="2" count="1">
            <x v="2"/>
          </reference>
        </references>
      </pivotArea>
    </format>
    <format dxfId="588">
      <pivotArea collapsedLevelsAreSubtotals="1" fieldPosition="0">
        <references count="1">
          <reference field="2" count="1">
            <x v="3"/>
          </reference>
        </references>
      </pivotArea>
    </format>
    <format dxfId="587">
      <pivotArea collapsedLevelsAreSubtotals="1" fieldPosition="0">
        <references count="1">
          <reference field="2" count="1">
            <x v="4"/>
          </reference>
        </references>
      </pivotArea>
    </format>
    <format dxfId="586">
      <pivotArea collapsedLevelsAreSubtotals="1" fieldPosition="0">
        <references count="1">
          <reference field="2" count="1">
            <x v="5"/>
          </reference>
        </references>
      </pivotArea>
    </format>
    <format dxfId="585">
      <pivotArea grandRow="1" outline="0" collapsedLevelsAreSubtotals="1" fieldPosition="0"/>
    </format>
    <format dxfId="584">
      <pivotArea dataOnly="0" labelOnly="1" grandRow="1" outline="0" fieldPosition="0"/>
    </format>
    <format dxfId="583">
      <pivotArea grandRow="1" outline="0" collapsedLevelsAreSubtotals="1" fieldPosition="0"/>
    </format>
    <format dxfId="582">
      <pivotArea dataOnly="0" labelOnly="1" grandRow="1" outline="0" fieldPosition="0"/>
    </format>
    <format dxfId="581">
      <pivotArea grandRow="1" outline="0" collapsedLevelsAreSubtotals="1" fieldPosition="0"/>
    </format>
    <format dxfId="580">
      <pivotArea field="2" type="button" dataOnly="0" labelOnly="1" outline="0" axis="axisRow" fieldPosition="0"/>
    </format>
    <format dxfId="579">
      <pivotArea dataOnly="0" labelOnly="1" fieldPosition="0">
        <references count="1">
          <reference field="8" count="0"/>
        </references>
      </pivotArea>
    </format>
    <format dxfId="578">
      <pivotArea dataOnly="0" labelOnly="1" grandCol="1" outline="0" fieldPosition="0"/>
    </format>
    <format dxfId="577">
      <pivotArea type="all" dataOnly="0" outline="0" fieldPosition="0"/>
    </format>
    <format dxfId="576">
      <pivotArea outline="0" collapsedLevelsAreSubtotals="1" fieldPosition="0"/>
    </format>
    <format dxfId="575">
      <pivotArea collapsedLevelsAreSubtotals="1" fieldPosition="0">
        <references count="1">
          <reference field="2" count="1">
            <x v="0"/>
          </reference>
        </references>
      </pivotArea>
    </format>
    <format dxfId="574">
      <pivotArea type="origin" dataOnly="0" labelOnly="1" outline="0" fieldPosition="0"/>
    </format>
    <format dxfId="573">
      <pivotArea field="2" type="button" dataOnly="0" labelOnly="1" outline="0" axis="axisRow" fieldPosition="0"/>
    </format>
    <format dxfId="572">
      <pivotArea field="8" type="button" dataOnly="0" labelOnly="1" outline="0" axis="axisCol" fieldPosition="0"/>
    </format>
    <format dxfId="571">
      <pivotArea type="topRight" dataOnly="0" labelOnly="1" outline="0" fieldPosition="0"/>
    </format>
    <format dxfId="570">
      <pivotArea collapsedLevelsAreSubtotals="1" fieldPosition="0">
        <references count="1">
          <reference field="2" count="1">
            <x v="1"/>
          </reference>
        </references>
      </pivotArea>
    </format>
    <format dxfId="569">
      <pivotArea collapsedLevelsAreSubtotals="1" fieldPosition="0">
        <references count="1">
          <reference field="2" count="1">
            <x v="2"/>
          </reference>
        </references>
      </pivotArea>
    </format>
    <format dxfId="568">
      <pivotArea collapsedLevelsAreSubtotals="1" fieldPosition="0">
        <references count="1">
          <reference field="2" count="1">
            <x v="3"/>
          </reference>
        </references>
      </pivotArea>
    </format>
    <format dxfId="567">
      <pivotArea collapsedLevelsAreSubtotals="1" fieldPosition="0">
        <references count="1">
          <reference field="2" count="1">
            <x v="4"/>
          </reference>
        </references>
      </pivotArea>
    </format>
    <format dxfId="566">
      <pivotArea collapsedLevelsAreSubtotals="1" fieldPosition="0">
        <references count="1">
          <reference field="2" count="1">
            <x v="5"/>
          </reference>
        </references>
      </pivotArea>
    </format>
    <format dxfId="565">
      <pivotArea grandRow="1" outline="0" collapsedLevelsAreSubtotals="1" fieldPosition="0"/>
    </format>
    <format dxfId="564">
      <pivotArea type="all" dataOnly="0" outline="0" fieldPosition="0"/>
    </format>
    <format dxfId="563">
      <pivotArea type="all" dataOnly="0" outline="0" fieldPosition="0"/>
    </format>
    <format dxfId="562">
      <pivotArea outline="0" collapsedLevelsAreSubtotals="1" fieldPosition="0"/>
    </format>
    <format dxfId="561">
      <pivotArea dataOnly="0" labelOnly="1" fieldPosition="0">
        <references count="1">
          <reference field="2" count="0"/>
        </references>
      </pivotArea>
    </format>
    <format dxfId="560">
      <pivotArea dataOnly="0" labelOnly="1" grandRow="1" outline="0" fieldPosition="0"/>
    </format>
    <format dxfId="559">
      <pivotArea dataOnly="0" labelOnly="1" fieldPosition="0">
        <references count="2">
          <reference field="2" count="1" selected="0">
            <x v="0"/>
          </reference>
          <reference field="4" count="0"/>
        </references>
      </pivotArea>
    </format>
    <format dxfId="558">
      <pivotArea dataOnly="0" labelOnly="1" fieldPosition="0">
        <references count="1">
          <reference field="8" count="0"/>
        </references>
      </pivotArea>
    </format>
    <format dxfId="557">
      <pivotArea dataOnly="0" labelOnly="1" grandCol="1" outline="0" fieldPosition="0"/>
    </format>
  </formats>
  <pivotTableStyleInfo name="PivotStyleLight16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14" cacheId="1" applyNumberFormats="0" applyBorderFormats="0" applyFontFormats="0" applyPatternFormats="0" applyAlignmentFormats="0" applyWidthHeightFormats="1" dataCaption="Valeurs" grandTotalCaption="Total" updatedVersion="5" minRefreshableVersion="3" useAutoFormatting="1" itemPrintTitles="1" createdVersion="4" indent="0" outline="1" outlineData="1" multipleFieldFilters="0" rowHeaderCaption="Département" colHeaderCaption="Déplacements">
  <location ref="C108:G153" firstHeaderRow="1" firstDataRow="2" firstDataCol="1"/>
  <pivotFields count="23">
    <pivotField showAll="0" defaultSubtotal="0"/>
    <pivotField showAll="0" defaultSubtotal="0"/>
    <pivotField axis="axisRow" showAll="0" defaultSubtotal="0">
      <items count="6">
        <item x="0"/>
        <item x="1"/>
        <item x="2"/>
        <item x="3"/>
        <item x="4"/>
        <item x="5"/>
      </items>
    </pivotField>
    <pivotField showAll="0" defaultSubtotal="0"/>
    <pivotField axis="axisRow" showAll="0" sortType="ascending" defaultSubtotal="0">
      <items count="37">
        <item x="5"/>
        <item x="26"/>
        <item x="6"/>
        <item x="34"/>
        <item x="7"/>
        <item x="0"/>
        <item x="15"/>
        <item x="8"/>
        <item x="16"/>
        <item x="17"/>
        <item x="35"/>
        <item x="9"/>
        <item x="27"/>
        <item x="21"/>
        <item x="18"/>
        <item x="23"/>
        <item x="10"/>
        <item x="28"/>
        <item x="11"/>
        <item x="19"/>
        <item x="12"/>
        <item x="1"/>
        <item x="2"/>
        <item x="3"/>
        <item x="32"/>
        <item x="33"/>
        <item x="29"/>
        <item x="24"/>
        <item x="36"/>
        <item x="22"/>
        <item x="30"/>
        <item x="4"/>
        <item x="31"/>
        <item x="25"/>
        <item x="13"/>
        <item x="20"/>
        <item x="14"/>
      </items>
    </pivotField>
    <pivotField showAll="0" defaultSubtotal="0"/>
    <pivotField showAll="0" defaultSubtotal="0"/>
    <pivotField showAll="0" defaultSubtotal="0"/>
    <pivotField axis="axisCol" showAll="0" defaultSubtotal="0">
      <items count="3">
        <item n="PDI" x="0"/>
        <item n="Retournés" x="2"/>
        <item n="réfugiés non-enregistrés" x="1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2"/>
    <field x="4"/>
  </rowFields>
  <rowItems count="44">
    <i>
      <x/>
    </i>
    <i r="1">
      <x v="3"/>
    </i>
    <i r="1">
      <x v="5"/>
    </i>
    <i r="1">
      <x v="21"/>
    </i>
    <i r="1">
      <x v="22"/>
    </i>
    <i r="1">
      <x v="23"/>
    </i>
    <i r="1">
      <x v="31"/>
    </i>
    <i>
      <x v="1"/>
    </i>
    <i r="1">
      <x/>
    </i>
    <i r="1">
      <x v="2"/>
    </i>
    <i r="1">
      <x v="4"/>
    </i>
    <i r="1">
      <x v="7"/>
    </i>
    <i r="1">
      <x v="11"/>
    </i>
    <i r="1">
      <x v="16"/>
    </i>
    <i r="1">
      <x v="18"/>
    </i>
    <i r="1">
      <x v="20"/>
    </i>
    <i r="1">
      <x v="34"/>
    </i>
    <i r="1">
      <x v="36"/>
    </i>
    <i>
      <x v="2"/>
    </i>
    <i r="1">
      <x v="6"/>
    </i>
    <i r="1">
      <x v="8"/>
    </i>
    <i r="1">
      <x v="9"/>
    </i>
    <i r="1">
      <x v="14"/>
    </i>
    <i r="1">
      <x v="19"/>
    </i>
    <i r="1">
      <x v="35"/>
    </i>
    <i>
      <x v="3"/>
    </i>
    <i r="1">
      <x v="10"/>
    </i>
    <i r="1">
      <x v="13"/>
    </i>
    <i r="1">
      <x v="24"/>
    </i>
    <i r="1">
      <x v="28"/>
    </i>
    <i r="1">
      <x v="29"/>
    </i>
    <i>
      <x v="4"/>
    </i>
    <i r="1">
      <x v="15"/>
    </i>
    <i r="1">
      <x v="27"/>
    </i>
    <i r="1">
      <x v="33"/>
    </i>
    <i>
      <x v="5"/>
    </i>
    <i r="1">
      <x v="1"/>
    </i>
    <i r="1">
      <x v="12"/>
    </i>
    <i r="1">
      <x v="17"/>
    </i>
    <i r="1">
      <x v="25"/>
    </i>
    <i r="1">
      <x v="26"/>
    </i>
    <i r="1">
      <x v="30"/>
    </i>
    <i r="1">
      <x v="32"/>
    </i>
    <i t="grand">
      <x/>
    </i>
  </rowItems>
  <colFields count="1">
    <field x="8"/>
  </colFields>
  <colItems count="4">
    <i>
      <x/>
    </i>
    <i>
      <x v="1"/>
    </i>
    <i>
      <x v="2"/>
    </i>
    <i t="grand">
      <x/>
    </i>
  </colItems>
  <dataFields count="1">
    <dataField name="Individus" fld="11" baseField="0" baseItem="0" numFmtId="3"/>
  </dataFields>
  <formats count="35">
    <format dxfId="626">
      <pivotArea collapsedLevelsAreSubtotals="1" fieldPosition="0">
        <references count="1">
          <reference field="2" count="1">
            <x v="0"/>
          </reference>
        </references>
      </pivotArea>
    </format>
    <format dxfId="625">
      <pivotArea collapsedLevelsAreSubtotals="1" fieldPosition="0">
        <references count="1">
          <reference field="2" count="1">
            <x v="1"/>
          </reference>
        </references>
      </pivotArea>
    </format>
    <format dxfId="624">
      <pivotArea collapsedLevelsAreSubtotals="1" fieldPosition="0">
        <references count="1">
          <reference field="2" count="1">
            <x v="2"/>
          </reference>
        </references>
      </pivotArea>
    </format>
    <format dxfId="623">
      <pivotArea collapsedLevelsAreSubtotals="1" fieldPosition="0">
        <references count="1">
          <reference field="2" count="1">
            <x v="3"/>
          </reference>
        </references>
      </pivotArea>
    </format>
    <format dxfId="622">
      <pivotArea collapsedLevelsAreSubtotals="1" fieldPosition="0">
        <references count="1">
          <reference field="2" count="1">
            <x v="4"/>
          </reference>
        </references>
      </pivotArea>
    </format>
    <format dxfId="621">
      <pivotArea collapsedLevelsAreSubtotals="1" fieldPosition="0">
        <references count="1">
          <reference field="2" count="1">
            <x v="5"/>
          </reference>
        </references>
      </pivotArea>
    </format>
    <format dxfId="620">
      <pivotArea grandRow="1" outline="0" collapsedLevelsAreSubtotals="1" fieldPosition="0"/>
    </format>
    <format dxfId="619">
      <pivotArea dataOnly="0" labelOnly="1" grandRow="1" outline="0" fieldPosition="0"/>
    </format>
    <format dxfId="618">
      <pivotArea grandRow="1" outline="0" collapsedLevelsAreSubtotals="1" fieldPosition="0"/>
    </format>
    <format dxfId="617">
      <pivotArea dataOnly="0" labelOnly="1" grandRow="1" outline="0" fieldPosition="0"/>
    </format>
    <format dxfId="616">
      <pivotArea grandRow="1" outline="0" collapsedLevelsAreSubtotals="1" fieldPosition="0"/>
    </format>
    <format dxfId="615">
      <pivotArea field="2" type="button" dataOnly="0" labelOnly="1" outline="0" axis="axisRow" fieldPosition="0"/>
    </format>
    <format dxfId="614">
      <pivotArea dataOnly="0" labelOnly="1" fieldPosition="0">
        <references count="1">
          <reference field="8" count="0"/>
        </references>
      </pivotArea>
    </format>
    <format dxfId="613">
      <pivotArea dataOnly="0" labelOnly="1" grandCol="1" outline="0" fieldPosition="0"/>
    </format>
    <format dxfId="612">
      <pivotArea type="all" dataOnly="0" outline="0" fieldPosition="0"/>
    </format>
    <format dxfId="611">
      <pivotArea outline="0" collapsedLevelsAreSubtotals="1" fieldPosition="0"/>
    </format>
    <format dxfId="610">
      <pivotArea collapsedLevelsAreSubtotals="1" fieldPosition="0">
        <references count="1">
          <reference field="2" count="1">
            <x v="0"/>
          </reference>
        </references>
      </pivotArea>
    </format>
    <format dxfId="609">
      <pivotArea type="origin" dataOnly="0" labelOnly="1" outline="0" fieldPosition="0"/>
    </format>
    <format dxfId="608">
      <pivotArea field="2" type="button" dataOnly="0" labelOnly="1" outline="0" axis="axisRow" fieldPosition="0"/>
    </format>
    <format dxfId="607">
      <pivotArea field="8" type="button" dataOnly="0" labelOnly="1" outline="0" axis="axisCol" fieldPosition="0"/>
    </format>
    <format dxfId="606">
      <pivotArea type="topRight" dataOnly="0" labelOnly="1" outline="0" fieldPosition="0"/>
    </format>
    <format dxfId="605">
      <pivotArea collapsedLevelsAreSubtotals="1" fieldPosition="0">
        <references count="1">
          <reference field="2" count="1">
            <x v="1"/>
          </reference>
        </references>
      </pivotArea>
    </format>
    <format dxfId="604">
      <pivotArea collapsedLevelsAreSubtotals="1" fieldPosition="0">
        <references count="1">
          <reference field="2" count="1">
            <x v="2"/>
          </reference>
        </references>
      </pivotArea>
    </format>
    <format dxfId="603">
      <pivotArea collapsedLevelsAreSubtotals="1" fieldPosition="0">
        <references count="1">
          <reference field="2" count="1">
            <x v="3"/>
          </reference>
        </references>
      </pivotArea>
    </format>
    <format dxfId="602">
      <pivotArea collapsedLevelsAreSubtotals="1" fieldPosition="0">
        <references count="1">
          <reference field="2" count="1">
            <x v="4"/>
          </reference>
        </references>
      </pivotArea>
    </format>
    <format dxfId="601">
      <pivotArea collapsedLevelsAreSubtotals="1" fieldPosition="0">
        <references count="1">
          <reference field="2" count="1">
            <x v="5"/>
          </reference>
        </references>
      </pivotArea>
    </format>
    <format dxfId="600">
      <pivotArea grandRow="1" outline="0" collapsedLevelsAreSubtotals="1" fieldPosition="0"/>
    </format>
    <format dxfId="599">
      <pivotArea type="all" dataOnly="0" outline="0" fieldPosition="0"/>
    </format>
    <format dxfId="598">
      <pivotArea type="all" dataOnly="0" outline="0" fieldPosition="0"/>
    </format>
    <format dxfId="597">
      <pivotArea outline="0" collapsedLevelsAreSubtotals="1" fieldPosition="0"/>
    </format>
    <format dxfId="596">
      <pivotArea dataOnly="0" labelOnly="1" fieldPosition="0">
        <references count="1">
          <reference field="2" count="0"/>
        </references>
      </pivotArea>
    </format>
    <format dxfId="595">
      <pivotArea dataOnly="0" labelOnly="1" grandRow="1" outline="0" fieldPosition="0"/>
    </format>
    <format dxfId="594">
      <pivotArea dataOnly="0" labelOnly="1" fieldPosition="0">
        <references count="2">
          <reference field="2" count="1" selected="0">
            <x v="0"/>
          </reference>
          <reference field="4" count="0"/>
        </references>
      </pivotArea>
    </format>
    <format dxfId="593">
      <pivotArea dataOnly="0" labelOnly="1" fieldPosition="0">
        <references count="1">
          <reference field="8" count="0"/>
        </references>
      </pivotArea>
    </format>
    <format dxfId="592">
      <pivotArea dataOnly="0" labelOnly="1" grandCol="1" outline="0" fieldPosition="0"/>
    </format>
  </formats>
  <pivotTableStyleInfo name="PivotStyleLight16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DonnéesExternes_1" connectionId="5" autoFormatId="0" applyNumberFormats="0" applyBorderFormats="0" applyFontFormats="1" applyPatternFormats="1" applyAlignmentFormats="0" applyWidthHeightFormats="0">
  <queryTableRefresh preserveSortFilterLayout="0" nextId="85" unboundColumnsRight="7">
    <queryTableFields count="84">
      <queryTableField id="1" name="_index" tableColumnId="253"/>
      <queryTableField id="2" name="Adm1" tableColumnId="254"/>
      <queryTableField id="3" name="adm1_code" tableColumnId="255"/>
      <queryTableField id="4" name="evaluation_adm2_name" tableColumnId="256"/>
      <queryTableField id="5" name="evaluation_adm2_code" tableColumnId="257"/>
      <queryTableField id="6" name="evaluation_adm3_name" tableColumnId="258"/>
      <queryTableField id="7" name="evaluation_adm3_code" tableColumnId="259"/>
      <queryTableField id="8" name="village_SSID" tableColumnId="260"/>
      <queryTableField id="9" name="evaluation_village_name" tableColumnId="261"/>
      <queryTableField id="10" name="evaluation_village_long" tableColumnId="262"/>
      <queryTableField id="11" name="evaluation_village_lat" tableColumnId="263"/>
      <queryTableField id="12" name="evaluation_village_acurate" tableColumnId="264"/>
      <queryTableField id="13" name="population_globale" tableColumnId="265"/>
      <queryTableField id="14" name="idp" tableColumnId="266"/>
      <queryTableField id="15" name="idp_hh" tableColumnId="267"/>
      <queryTableField id="16" name="idp_ind" tableColumnId="268"/>
      <queryTableField id="17" name="idp_fa" tableColumnId="269"/>
      <queryTableField id="18" name="idp_fa_hh" tableColumnId="270"/>
      <queryTableField id="19" name="idp_loc" tableColumnId="271"/>
      <queryTableField id="20" name="idp_loc_hh" tableColumnId="272"/>
      <queryTableField id="21" name="idp_loc_details" tableColumnId="273"/>
      <queryTableField id="22" name="idp_loc_autre" tableColumnId="274"/>
      <queryTableField id="23" name="idp_cc" tableColumnId="275"/>
      <queryTableField id="24" name="idp_cc_hh" tableColumnId="276"/>
      <queryTableField id="25" name="idp_cc_details" tableColumnId="277"/>
      <queryTableField id="26" name="idp_cc_autre" tableColumnId="278"/>
      <queryTableField id="27" name="idp_as" tableColumnId="279"/>
      <queryTableField id="28" name="idp_as_hh" tableColumnId="280"/>
      <queryTableField id="29" name="idp_al" tableColumnId="281"/>
      <queryTableField id="30" name="idp_al_hh" tableColumnId="282"/>
      <queryTableField id="31" name="refugees" tableColumnId="283"/>
      <queryTableField id="32" name="ref_hh" tableColumnId="284"/>
      <queryTableField id="33" name="ref_ind" tableColumnId="285"/>
      <queryTableField id="34" name="ancien_refugees" tableColumnId="286"/>
      <queryTableField id="35" name="ancien_departement" tableColumnId="287"/>
      <queryTableField id="36" name="ancien_arrondissement" tableColumnId="288"/>
      <queryTableField id="37" name="ancien_village" tableColumnId="289"/>
      <queryTableField id="38" name="ref_fa" tableColumnId="290"/>
      <queryTableField id="39" name="ref_fa_hh" tableColumnId="291"/>
      <queryTableField id="40" name="ref_loc" tableColumnId="292"/>
      <queryTableField id="41" name="ref_loc_hh" tableColumnId="293"/>
      <queryTableField id="42" name="ref_loc_details" tableColumnId="294"/>
      <queryTableField id="43" name="ref_loc_autre" tableColumnId="295"/>
      <queryTableField id="44" name="ref_cc" tableColumnId="296"/>
      <queryTableField id="45" name="ref_cc_hh" tableColumnId="297"/>
      <queryTableField id="46" name="ref_cc_details" tableColumnId="298"/>
      <queryTableField id="47" name="ref_cc_autre" tableColumnId="299"/>
      <queryTableField id="48" name="ref_as" tableColumnId="300"/>
      <queryTableField id="49" name="ref_as_hh" tableColumnId="301"/>
      <queryTableField id="50" name="ref_al" tableColumnId="302"/>
      <queryTableField id="51" name="ref_al_hh" tableColumnId="303"/>
      <queryTableField id="52" name="returnees" tableColumnId="304"/>
      <queryTableField id="53" name="ret_hh" tableColumnId="305"/>
      <queryTableField id="54" name="ret_ind" tableColumnId="306"/>
      <queryTableField id="55" name="ret_hi" tableColumnId="307"/>
      <queryTableField id="56" name="ret_hi_hh" tableColumnId="308"/>
      <queryTableField id="57" name="ret_fa" tableColumnId="309"/>
      <queryTableField id="58" name="ret_fa_hh" tableColumnId="310"/>
      <queryTableField id="59" name="ret_loc" tableColumnId="311"/>
      <queryTableField id="60" name="ret_loc_hh" tableColumnId="312"/>
      <queryTableField id="61" name="ret_loc_details" tableColumnId="313"/>
      <queryTableField id="62" name="ret_loc_autre" tableColumnId="314"/>
      <queryTableField id="63" name="ret_cc" tableColumnId="315"/>
      <queryTableField id="64" name="ret_cc_hh" tableColumnId="316"/>
      <queryTableField id="65" name="ret_cc_details" tableColumnId="317"/>
      <queryTableField id="66" name="ret_cc_autre" tableColumnId="318"/>
      <queryTableField id="67" name="ret_as" tableColumnId="319"/>
      <queryTableField id="68" name="ret_as_hh" tableColumnId="320"/>
      <queryTableField id="69" name="ret_al" tableColumnId="321"/>
      <queryTableField id="70" name="ret_al_hh" tableColumnId="322"/>
      <queryTableField id="71" name="deplaces_locaux" tableColumnId="323"/>
      <queryTableField id="72" name="E_depart_sans_retour_hh" tableColumnId="324"/>
      <queryTableField id="73" name="E_depart_sans_retour_ind" tableColumnId="325"/>
      <queryTableField id="74" name="rapatriements" tableColumnId="326"/>
      <queryTableField id="75" name="rapatries_hh" tableColumnId="327"/>
      <queryTableField id="76" name="rapatries_ind" tableColumnId="328"/>
      <queryTableField id="77" name="nouveau" tableColumnId="329"/>
      <queryTableField id="84" dataBound="0" tableColumnId="330"/>
      <queryTableField id="83" dataBound="0" tableColumnId="331"/>
      <queryTableField id="82" dataBound="0" tableColumnId="332"/>
      <queryTableField id="81" dataBound="0" tableColumnId="333"/>
      <queryTableField id="80" dataBound="0" tableColumnId="334"/>
      <queryTableField id="79" dataBound="0" tableColumnId="335"/>
      <queryTableField id="78" dataBound="0" tableColumnId="336"/>
    </queryTableFields>
  </queryTableRefresh>
</queryTable>
</file>

<file path=xl/queryTables/queryTable10.xml><?xml version="1.0" encoding="utf-8"?>
<queryTable xmlns="http://schemas.openxmlformats.org/spreadsheetml/2006/main" name="DonnéesExternes_5" connectionId="3" autoFormatId="0" applyNumberFormats="0" applyBorderFormats="0" applyFontFormats="1" applyPatternFormats="1" applyAlignmentFormats="0" applyWidthHeightFormats="0">
  <queryTableRefresh preserveSortFilterLayout="0" nextId="20">
    <queryTableFields count="19">
      <queryTableField id="1" name="evaluation_adm2_name" tableColumnId="39"/>
      <queryTableField id="2" name="evaluation_adm3_name" tableColumnId="40"/>
      <queryTableField id="3" name="evaluation_village_name" tableColumnId="41"/>
      <queryTableField id="4" name="village_SSID" tableColumnId="42"/>
      <queryTableField id="5" name="act_idp_hh" tableColumnId="43"/>
      <queryTableField id="6" name="act_idp_ind" tableColumnId="44"/>
      <queryTableField id="7" name="act_ref_hh" tableColumnId="45"/>
      <queryTableField id="8" name="act_ref_ind" tableColumnId="46"/>
      <queryTableField id="9" name="act_ret_hh" tableColumnId="47"/>
      <queryTableField id="10" name="act_ret_ind" tableColumnId="48"/>
      <queryTableField id="11" name="prev_idp_hh" tableColumnId="49"/>
      <queryTableField id="12" name="prev_idp_ind" tableColumnId="50"/>
      <queryTableField id="13" name="prev_ref_hh" tableColumnId="51"/>
      <queryTableField id="14" name="prev_ref_ind" tableColumnId="52"/>
      <queryTableField id="15" name="prev_ret_hh" tableColumnId="53"/>
      <queryTableField id="16" name="prev_ret_ind" tableColumnId="54"/>
      <queryTableField id="17" name="var_idp" tableColumnId="55"/>
      <queryTableField id="18" name="var_ref" tableColumnId="56"/>
      <queryTableField id="19" name="var_ret" tableColumnId="57"/>
    </queryTableFields>
  </queryTableRefresh>
</queryTable>
</file>

<file path=xl/queryTables/queryTable11.xml><?xml version="1.0" encoding="utf-8"?>
<queryTable xmlns="http://schemas.openxmlformats.org/spreadsheetml/2006/main" name="ExternalData_1" connectionId="4" autoFormatId="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adm2_name" tableColumnId="14"/>
      <queryTableField id="2" name="adm2_code" tableColumnId="15"/>
      <queryTableField id="3" name="adm3_name" tableColumnId="16"/>
      <queryTableField id="4" name="adm3_code" tableColumnId="17"/>
      <queryTableField id="5" name="raison" tableColumnId="18"/>
      <queryTableField id="6" name="Actual_Ind" tableColumnId="19"/>
      <queryTableField id="7" name="Previous_ind" tableColumnId="20"/>
    </queryTableFields>
  </queryTableRefresh>
</queryTable>
</file>

<file path=xl/queryTables/queryTable2.xml><?xml version="1.0" encoding="utf-8"?>
<queryTable xmlns="http://schemas.openxmlformats.org/spreadsheetml/2006/main" name="DonnéesExternes_1" connectionId="8" autoFormatId="0" applyNumberFormats="0" applyBorderFormats="0" applyFontFormats="1" applyPatternFormats="1" applyAlignmentFormats="0" applyWidthHeightFormats="0">
  <queryTableRefresh preserveSortFilterLayout="0" nextId="19">
    <queryTableFields count="18">
      <queryTableField id="1" name="#" tableColumnId="37"/>
      <queryTableField id="2" name="Adm1_Name" tableColumnId="38"/>
      <queryTableField id="3" name="Adm1_code" tableColumnId="39"/>
      <queryTableField id="4" name="Adm2_Name" tableColumnId="40"/>
      <queryTableField id="5" name="Adm2_code" tableColumnId="41"/>
      <queryTableField id="6" name="Adm3_Name" tableColumnId="42"/>
      <queryTableField id="7" name="Adm3_code" tableColumnId="43"/>
      <queryTableField id="8" name="Village_code" tableColumnId="44"/>
      <queryTableField id="9" name="Village_name" tableColumnId="45"/>
      <queryTableField id="10" name="Gps_long" tableColumnId="46"/>
      <queryTableField id="11" name="Gps_lat" tableColumnId="47"/>
      <queryTableField id="12" name="Ind_IDPs" tableColumnId="48"/>
      <queryTableField id="13" name="HH_IDPs" tableColumnId="49"/>
      <queryTableField id="14" name="Ind_Unregistered_Refugees" tableColumnId="50"/>
      <queryTableField id="15" name="HH_Unregistered_Refugees" tableColumnId="51"/>
      <queryTableField id="16" name="Ind_Returnees" tableColumnId="52"/>
      <queryTableField id="17" name="HH_Returnees" tableColumnId="53"/>
      <queryTableField id="18" name="New" tableColumnId="54"/>
    </queryTableFields>
  </queryTableRefresh>
</queryTable>
</file>

<file path=xl/queryTables/queryTable3.xml><?xml version="1.0" encoding="utf-8"?>
<queryTable xmlns="http://schemas.openxmlformats.org/spreadsheetml/2006/main" name="DonnéesExternes_1" connectionId="6" autoFormatId="0" applyNumberFormats="0" applyBorderFormats="0" applyFontFormats="1" applyPatternFormats="1" applyAlignmentFormats="0" applyWidthHeightFormats="0">
  <queryTableRefresh preserveSortFilterLayout="0" nextId="24">
    <queryTableFields count="23">
      <queryTableField id="1" name="adm1_name" tableColumnId="1"/>
      <queryTableField id="2" name="adm1_code" tableColumnId="2"/>
      <queryTableField id="3" name="adm2_name" tableColumnId="3"/>
      <queryTableField id="4" name="adm2_code" tableColumnId="4"/>
      <queryTableField id="5" name="adm3_name" tableColumnId="5"/>
      <queryTableField id="6" name="adm3_code" tableColumnId="6"/>
      <queryTableField id="7" name="village_name" tableColumnId="7"/>
      <queryTableField id="8" name="village_code" tableColumnId="8"/>
      <queryTableField id="9" name="deplacement" tableColumnId="9"/>
      <queryTableField id="10" name="periode" tableColumnId="10"/>
      <queryTableField id="11" name="hh" tableColumnId="11"/>
      <queryTableField id="12" name="ind" tableColumnId="12"/>
      <queryTableField id="13" name="raison" tableColumnId="13"/>
      <queryTableField id="14" name="autre_raison" tableColumnId="14"/>
      <queryTableField id="15" name="provenance" tableColumnId="15"/>
      <queryTableField id="16" name="provenance_adm0" tableColumnId="16"/>
      <queryTableField id="17" name="provenance_adm0_nom" tableColumnId="17"/>
      <queryTableField id="18" name="provenance_adm1" tableColumnId="18"/>
      <queryTableField id="19" name="provenance_adm1_nom" tableColumnId="19"/>
      <queryTableField id="20" name="provenance_adm2" tableColumnId="20"/>
      <queryTableField id="21" name="provenance_adm2_nom" tableColumnId="21"/>
      <queryTableField id="22" name="provenance_adm3" tableColumnId="22"/>
      <queryTableField id="23" name="provenance_adm3_nom" tableColumnId="23"/>
    </queryTableFields>
  </queryTableRefresh>
</queryTable>
</file>

<file path=xl/queryTables/queryTable4.xml><?xml version="1.0" encoding="utf-8"?>
<queryTable xmlns="http://schemas.openxmlformats.org/spreadsheetml/2006/main" name="DonnéesExternes_1" connectionId="1" autoFormatId="0" applyNumberFormats="0" applyBorderFormats="0" applyFontFormats="1" applyPatternFormats="1" applyAlignmentFormats="0" applyWidthHeightFormats="0">
  <queryTableRefresh preserveSortFilterLayout="0" nextId="31">
    <queryTableFields count="30">
      <queryTableField id="1" name="Admin1_Code" tableColumnId="61"/>
      <queryTableField id="2" name="evaluation_adm2_name" tableColumnId="62"/>
      <queryTableField id="3" name="evaluation_adm2_code" tableColumnId="63"/>
      <queryTableField id="4" name="evaluation_adm3_name" tableColumnId="64"/>
      <queryTableField id="5" name="evaluation_adm3_code" tableColumnId="65"/>
      <queryTableField id="6" name="evaluation_village_name" tableColumnId="66"/>
      <queryTableField id="7" name="evaluation_village_code" tableColumnId="67"/>
      <queryTableField id="8" name="evaluation_village_long" tableColumnId="68"/>
      <queryTableField id="9" name="evaluation_village_lat" tableColumnId="69"/>
      <queryTableField id="10" name="evaluation_village_acurate" tableColumnId="70"/>
      <queryTableField id="11" name="Autre" tableColumnId="71"/>
      <queryTableField id="12" name="Argent" tableColumnId="72"/>
      <queryTableField id="13" name="Cereales" tableColumnId="73"/>
      <queryTableField id="14" name="Information" tableColumnId="74"/>
      <queryTableField id="15" name="cadastre" tableColumnId="75"/>
      <queryTableField id="16" name="Education" tableColumnId="76"/>
      <queryTableField id="17" name="Finances" tableColumnId="77"/>
      <queryTableField id="18" name="Forage" tableColumnId="78"/>
      <queryTableField id="19" name="FournitureScolaire" tableColumnId="79"/>
      <queryTableField id="20" name="KitHygiene" tableColumnId="80"/>
      <queryTableField id="21" name="Latrines" tableColumnId="81"/>
      <queryTableField id="22" name="Materiel" tableColumnId="82"/>
      <queryTableField id="23" name="KitAgricole" tableColumnId="83"/>
      <queryTableField id="24" name="KitCouchage" tableColumnId="84"/>
      <queryTableField id="25" name="KitSanitaire" tableColumnId="85"/>
      <queryTableField id="26" name="StructuresSanitaire" tableColumnId="86"/>
      <queryTableField id="27" name="Medicaments" tableColumnId="87"/>
      <queryTableField id="28" name="NFI" tableColumnId="88"/>
      <queryTableField id="29" name="Sensibilisation" tableColumnId="89"/>
      <queryTableField id="30" name="Vivres" tableColumnId="90"/>
    </queryTableFields>
  </queryTableRefresh>
</queryTable>
</file>

<file path=xl/queryTables/queryTable5.xml><?xml version="1.0" encoding="utf-8"?>
<queryTable xmlns="http://schemas.openxmlformats.org/spreadsheetml/2006/main" name="ExternalData_1" connectionId="7" autoFormatId="0" applyNumberFormats="0" applyBorderFormats="0" applyFontFormats="1" applyPatternFormats="1" applyAlignmentFormats="0" applyWidthHeightFormats="0">
  <queryTableRefresh preserveSortFilterLayout="0" nextId="12">
    <queryTableFields count="11">
      <queryTableField id="1" name="Adm2_Name" tableColumnId="23"/>
      <queryTableField id="2" name="Adm3_Name" tableColumnId="24"/>
      <queryTableField id="3" name="Village_name" tableColumnId="25"/>
      <queryTableField id="4" name="Gps_long" tableColumnId="26"/>
      <queryTableField id="5" name="Gps_lat" tableColumnId="27"/>
      <queryTableField id="6" name="Ind_IDPs" tableColumnId="28"/>
      <queryTableField id="7" name="HH_IDPs" tableColumnId="29"/>
      <queryTableField id="8" name="Ind_Unregistered_Refugees" tableColumnId="30"/>
      <queryTableField id="9" name="HH_Unregistered_Refugees" tableColumnId="31"/>
      <queryTableField id="10" name="Ind_Returnees" tableColumnId="32"/>
      <queryTableField id="11" name="HH_Returnees" tableColumnId="33"/>
    </queryTableFields>
  </queryTableRefresh>
</queryTable>
</file>

<file path=xl/queryTables/queryTable6.xml><?xml version="1.0" encoding="utf-8"?>
<queryTable xmlns="http://schemas.openxmlformats.org/spreadsheetml/2006/main" name="DonnéesExternes_1" connectionId="11" autoFormatId="0" applyNumberFormats="0" applyBorderFormats="0" applyFontFormats="1" applyPatternFormats="1" applyAlignmentFormats="0" applyWidthHeightFormats="0">
  <queryTableRefresh preserveSortFilterLayout="0" nextId="24">
    <queryTableFields count="23">
      <queryTableField id="1" name="adm1_name" tableColumnId="1"/>
      <queryTableField id="2" name="adm1_code" tableColumnId="2"/>
      <queryTableField id="3" name="adm2_name" tableColumnId="3"/>
      <queryTableField id="4" name="adm2_code" tableColumnId="4"/>
      <queryTableField id="5" name="adm3_name" tableColumnId="5"/>
      <queryTableField id="6" name="adm3_code" tableColumnId="6"/>
      <queryTableField id="7" name="village_name" tableColumnId="7"/>
      <queryTableField id="8" name="village_code" tableColumnId="8"/>
      <queryTableField id="9" name="deplacement" tableColumnId="9"/>
      <queryTableField id="10" name="periode" tableColumnId="10"/>
      <queryTableField id="11" name="hh" tableColumnId="11"/>
      <queryTableField id="12" name="ind" tableColumnId="12"/>
      <queryTableField id="13" name="raison" tableColumnId="13"/>
      <queryTableField id="14" name="autre_raison" tableColumnId="14"/>
      <queryTableField id="15" name="provenance" tableColumnId="15"/>
      <queryTableField id="16" name="provenance_adm0" tableColumnId="16"/>
      <queryTableField id="17" name="provenance_adm0_nom" tableColumnId="17"/>
      <queryTableField id="18" name="provenance_adm1" tableColumnId="18"/>
      <queryTableField id="19" name="provenance_adm1_nom" tableColumnId="19"/>
      <queryTableField id="20" name="provenance_adm2" tableColumnId="20"/>
      <queryTableField id="21" name="provenance_adm2_nom" tableColumnId="21"/>
      <queryTableField id="22" name="provenance_adm3" tableColumnId="22"/>
      <queryTableField id="23" name="provenance_adm3_nom" tableColumnId="23"/>
    </queryTableFields>
  </queryTableRefresh>
</queryTable>
</file>

<file path=xl/queryTables/queryTable7.xml><?xml version="1.0" encoding="utf-8"?>
<queryTable xmlns="http://schemas.openxmlformats.org/spreadsheetml/2006/main" name="DonnéesExternes_2" connectionId="10" autoFormatId="0" applyNumberFormats="0" applyBorderFormats="0" applyFontFormats="1" applyPatternFormats="1" applyAlignmentFormats="0" applyWidthHeightFormats="0">
  <queryTableRefresh preserveSortFilterLayout="0" nextId="19">
    <queryTableFields count="18">
      <queryTableField id="1" name="evaluation_adm2_code" tableColumnId="1"/>
      <queryTableField id="2" name="evaluation_adm2_name" tableColumnId="2"/>
      <queryTableField id="3" name="evaluation_adm3_code" tableColumnId="3"/>
      <queryTableField id="4" name="evaluation_adm3_name" tableColumnId="4"/>
      <queryTableField id="5" name="village" tableColumnId="5"/>
      <queryTableField id="6" name="periode_depart" tableColumnId="6"/>
      <queryTableField id="7" name="hh" tableColumnId="7"/>
      <queryTableField id="8" name="ind" tableColumnId="8"/>
      <queryTableField id="9" name="destinations" tableColumnId="9"/>
      <queryTableField id="10" name="code_pays" tableColumnId="10"/>
      <queryTableField id="11" name="pays_destination" tableColumnId="11"/>
      <queryTableField id="12" name="code_region" tableColumnId="12"/>
      <queryTableField id="13" name="region_destination" tableColumnId="13"/>
      <queryTableField id="14" name="code_departement" tableColumnId="14"/>
      <queryTableField id="15" name="departement_destination" tableColumnId="15"/>
      <queryTableField id="16" name="code_arrondissement" tableColumnId="16"/>
      <queryTableField id="17" name="arrondissement_destination" tableColumnId="17"/>
      <queryTableField id="18" name="Lieu_precis" tableColumnId="18"/>
    </queryTableFields>
  </queryTableRefresh>
</queryTable>
</file>

<file path=xl/queryTables/queryTable8.xml><?xml version="1.0" encoding="utf-8"?>
<queryTable xmlns="http://schemas.openxmlformats.org/spreadsheetml/2006/main" name="DonnéesExternes_3" connectionId="9" autoFormatId="0" applyNumberFormats="0" applyBorderFormats="0" applyFontFormats="1" applyPatternFormats="1" applyAlignmentFormats="0" applyWidthHeightFormats="0">
  <queryTableRefresh preserveSortFilterLayout="0" nextId="4">
    <queryTableFields count="3">
      <queryTableField id="1" name="Periodes" tableColumnId="7"/>
      <queryTableField id="2" name="Valeurs" tableColumnId="8"/>
      <queryTableField id="3" name="Values" tableColumnId="9"/>
    </queryTableFields>
  </queryTableRefresh>
</queryTable>
</file>

<file path=xl/queryTables/queryTable9.xml><?xml version="1.0" encoding="utf-8"?>
<queryTable xmlns="http://schemas.openxmlformats.org/spreadsheetml/2006/main" name="DonnéesExternes_4" connectionId="2" autoFormatId="0" applyNumberFormats="0" applyBorderFormats="0" applyFontFormats="1" applyPatternFormats="1" applyAlignmentFormats="0" applyWidthHeightFormats="0">
  <queryTableRefresh preserveSortFilterLayout="0" nextId="14">
    <queryTableFields count="13">
      <queryTableField id="1" name="departement" tableColumnId="27"/>
      <queryTableField id="2" name="arrondissement" tableColumnId="28"/>
      <queryTableField id="3" name="A_location_team_a_village" tableColumnId="29"/>
      <queryTableField id="4" name="Village" tableColumnId="30"/>
      <queryTableField id="5" name="Accessibilite" tableColumnId="31"/>
      <queryTableField id="6" name="idps" tableColumnId="32"/>
      <queryTableField id="7" name="refugees" tableColumnId="33"/>
      <queryTableField id="8" name="returnees" tableColumnId="34"/>
      <queryTableField id="9" name="motif_retour" tableColumnId="35"/>
      <queryTableField id="10" name="autre_motif" tableColumnId="36"/>
      <queryTableField id="11" name="Village_Pdi" tableColumnId="37"/>
      <queryTableField id="12" name="mois" tableColumnId="38"/>
      <queryTableField id="13" name="annee" tableColumnId="3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9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9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_rels/table9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9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table1.xml><?xml version="1.0" encoding="utf-8"?>
<table xmlns="http://schemas.openxmlformats.org/spreadsheetml/2006/main" id="7" name="Dashboard" displayName="Dashboard" ref="A1:CF748" tableType="queryTable" totalsRowShown="0" headerRowDxfId="1399" dataDxfId="1398">
  <autoFilter ref="A1:CF748">
    <filterColumn colId="82">
      <filters blank="1">
        <filter val="10"/>
        <filter val="102"/>
        <filter val="103"/>
        <filter val="107"/>
        <filter val="11"/>
        <filter val="115"/>
        <filter val="128"/>
        <filter val="13"/>
        <filter val="134"/>
        <filter val="138"/>
        <filter val="1502"/>
        <filter val="154"/>
        <filter val="155"/>
        <filter val="16"/>
        <filter val="1675"/>
        <filter val="17"/>
        <filter val="173"/>
        <filter val="18"/>
        <filter val="19"/>
        <filter val="191"/>
        <filter val="2"/>
        <filter val="20"/>
        <filter val="200"/>
        <filter val="201"/>
        <filter val="21"/>
        <filter val="22"/>
        <filter val="23"/>
        <filter val="237"/>
        <filter val="24"/>
        <filter val="26"/>
        <filter val="27"/>
        <filter val="28"/>
        <filter val="29"/>
        <filter val="297"/>
        <filter val="3"/>
        <filter val="30"/>
        <filter val="31"/>
        <filter val="316"/>
        <filter val="32"/>
        <filter val="324"/>
        <filter val="35"/>
        <filter val="361"/>
        <filter val="37"/>
        <filter val="38"/>
        <filter val="395"/>
        <filter val="4"/>
        <filter val="40"/>
        <filter val="41"/>
        <filter val="45"/>
        <filter val="47"/>
        <filter val="49"/>
        <filter val="494"/>
        <filter val="5"/>
        <filter val="50"/>
        <filter val="51"/>
        <filter val="52"/>
        <filter val="53"/>
        <filter val="55"/>
        <filter val="58"/>
        <filter val="6"/>
        <filter val="62"/>
        <filter val="64"/>
        <filter val="69"/>
        <filter val="7"/>
        <filter val="70"/>
        <filter val="71"/>
        <filter val="75"/>
        <filter val="757"/>
        <filter val="8"/>
        <filter val="807"/>
        <filter val="84"/>
        <filter val="85"/>
        <filter val="86"/>
        <filter val="88"/>
        <filter val="9"/>
        <filter val="93"/>
        <filter val="95"/>
        <filter val="98"/>
      </filters>
    </filterColumn>
  </autoFilter>
  <sortState ref="A9:BV695">
    <sortCondition ref="D2:D713"/>
    <sortCondition ref="F2:F713"/>
    <sortCondition ref="H2:H713"/>
  </sortState>
  <tableColumns count="84">
    <tableColumn id="253" uniqueName="253" name="_index" queryTableFieldId="1" dataDxfId="1397"/>
    <tableColumn id="254" uniqueName="254" name="Adm1" queryTableFieldId="2" dataDxfId="1396"/>
    <tableColumn id="255" uniqueName="255" name="adm1_code" queryTableFieldId="3" dataDxfId="1395"/>
    <tableColumn id="256" uniqueName="256" name="evaluation_adm2_name" queryTableFieldId="4" dataDxfId="1394"/>
    <tableColumn id="257" uniqueName="257" name="evaluation_adm2_code" queryTableFieldId="5" dataDxfId="1393"/>
    <tableColumn id="258" uniqueName="258" name="evaluation_adm3_name" queryTableFieldId="6" dataDxfId="1392"/>
    <tableColumn id="259" uniqueName="259" name="evaluation_adm3_code" queryTableFieldId="7" dataDxfId="1391"/>
    <tableColumn id="260" uniqueName="260" name="village_SSID" queryTableFieldId="8" dataDxfId="1390"/>
    <tableColumn id="261" uniqueName="261" name="evaluation_village_name" queryTableFieldId="9" dataDxfId="1389"/>
    <tableColumn id="262" uniqueName="262" name="evaluation_village_long" queryTableFieldId="10" dataDxfId="1388"/>
    <tableColumn id="263" uniqueName="263" name="evaluation_village_lat" queryTableFieldId="11" dataDxfId="1387"/>
    <tableColumn id="264" uniqueName="264" name="evaluation_village_acurate" queryTableFieldId="12" dataDxfId="1386"/>
    <tableColumn id="265" uniqueName="265" name="population_globale" queryTableFieldId="13" dataDxfId="1385"/>
    <tableColumn id="266" uniqueName="266" name="idp" queryTableFieldId="14" dataDxfId="1384"/>
    <tableColumn id="267" uniqueName="267" name="idp_hh" queryTableFieldId="15" dataDxfId="1383"/>
    <tableColumn id="268" uniqueName="268" name="idp_ind" queryTableFieldId="16" dataDxfId="1382"/>
    <tableColumn id="269" uniqueName="269" name="idp_fa" queryTableFieldId="17" dataDxfId="1381"/>
    <tableColumn id="270" uniqueName="270" name="idp_fa_hh" queryTableFieldId="18" dataDxfId="1380"/>
    <tableColumn id="271" uniqueName="271" name="idp_loc" queryTableFieldId="19" dataDxfId="1379"/>
    <tableColumn id="272" uniqueName="272" name="idp_loc_hh" queryTableFieldId="20" dataDxfId="1378"/>
    <tableColumn id="273" uniqueName="273" name="idp_loc_details" queryTableFieldId="21" dataDxfId="1377"/>
    <tableColumn id="274" uniqueName="274" name="idp_loc_autre" queryTableFieldId="22" dataDxfId="1376"/>
    <tableColumn id="275" uniqueName="275" name="idp_cc" queryTableFieldId="23" dataDxfId="1375"/>
    <tableColumn id="276" uniqueName="276" name="idp_cc_hh" queryTableFieldId="24" dataDxfId="1374"/>
    <tableColumn id="277" uniqueName="277" name="idp_cc_details" queryTableFieldId="25" dataDxfId="1373"/>
    <tableColumn id="278" uniqueName="278" name="idp_cc_autre" queryTableFieldId="26" dataDxfId="1372"/>
    <tableColumn id="279" uniqueName="279" name="idp_as" queryTableFieldId="27" dataDxfId="1371"/>
    <tableColumn id="280" uniqueName="280" name="idp_as_hh" queryTableFieldId="28" dataDxfId="1370"/>
    <tableColumn id="281" uniqueName="281" name="idp_al" queryTableFieldId="29" dataDxfId="1369"/>
    <tableColumn id="282" uniqueName="282" name="idp_al_hh" queryTableFieldId="30" dataDxfId="1368"/>
    <tableColumn id="283" uniqueName="283" name="refugees" queryTableFieldId="31" dataDxfId="1367"/>
    <tableColumn id="284" uniqueName="284" name="ref_hh" queryTableFieldId="32" dataDxfId="1366"/>
    <tableColumn id="285" uniqueName="285" name="ref_ind" queryTableFieldId="33" dataDxfId="1365"/>
    <tableColumn id="286" uniqueName="286" name="ancien_refugees" queryTableFieldId="34" dataDxfId="1364"/>
    <tableColumn id="287" uniqueName="287" name="ancien_departement" queryTableFieldId="35" dataDxfId="1363"/>
    <tableColumn id="288" uniqueName="288" name="ancien_arrondissement" queryTableFieldId="36" dataDxfId="1362"/>
    <tableColumn id="289" uniqueName="289" name="ancien_village" queryTableFieldId="37" dataDxfId="1361"/>
    <tableColumn id="290" uniqueName="290" name="ref_fa" queryTableFieldId="38" dataDxfId="1360"/>
    <tableColumn id="291" uniqueName="291" name="ref_fa_hh" queryTableFieldId="39" dataDxfId="1359"/>
    <tableColumn id="292" uniqueName="292" name="ref_loc" queryTableFieldId="40" dataDxfId="1358"/>
    <tableColumn id="293" uniqueName="293" name="ref_loc_hh" queryTableFieldId="41" dataDxfId="1357"/>
    <tableColumn id="294" uniqueName="294" name="ref_loc_details" queryTableFieldId="42" dataDxfId="1356"/>
    <tableColumn id="295" uniqueName="295" name="ref_loc_autre" queryTableFieldId="43" dataDxfId="1355"/>
    <tableColumn id="296" uniqueName="296" name="ref_cc" queryTableFieldId="44" dataDxfId="1354"/>
    <tableColumn id="297" uniqueName="297" name="ref_cc_hh" queryTableFieldId="45" dataDxfId="1353"/>
    <tableColumn id="298" uniqueName="298" name="ref_cc_details" queryTableFieldId="46" dataDxfId="1352"/>
    <tableColumn id="299" uniqueName="299" name="ref_cc_autre" queryTableFieldId="47" dataDxfId="1351"/>
    <tableColumn id="300" uniqueName="300" name="ref_as" queryTableFieldId="48" dataDxfId="1350"/>
    <tableColumn id="301" uniqueName="301" name="ref_as_hh" queryTableFieldId="49" dataDxfId="1349"/>
    <tableColumn id="302" uniqueName="302" name="ref_al" queryTableFieldId="50" dataDxfId="1348"/>
    <tableColumn id="303" uniqueName="303" name="ref_al_hh" queryTableFieldId="51" dataDxfId="1347"/>
    <tableColumn id="304" uniqueName="304" name="returnees" queryTableFieldId="52" dataDxfId="1346"/>
    <tableColumn id="305" uniqueName="305" name="ret_hh" queryTableFieldId="53" dataDxfId="1345"/>
    <tableColumn id="306" uniqueName="306" name="ret_ind" queryTableFieldId="54" dataDxfId="1344"/>
    <tableColumn id="307" uniqueName="307" name="ret_hi" queryTableFieldId="55" dataDxfId="1343"/>
    <tableColumn id="308" uniqueName="308" name="ret_hi_hh" queryTableFieldId="56" dataDxfId="1342"/>
    <tableColumn id="309" uniqueName="309" name="ret_fa" queryTableFieldId="57" dataDxfId="1341"/>
    <tableColumn id="310" uniqueName="310" name="ret_fa_hh" queryTableFieldId="58" dataDxfId="1340"/>
    <tableColumn id="311" uniqueName="311" name="ret_loc" queryTableFieldId="59" dataDxfId="1339"/>
    <tableColumn id="312" uniqueName="312" name="ret_loc_hh" queryTableFieldId="60" dataDxfId="1338"/>
    <tableColumn id="313" uniqueName="313" name="ret_loc_details" queryTableFieldId="61" dataDxfId="1337"/>
    <tableColumn id="314" uniqueName="314" name="ret_loc_autre" queryTableFieldId="62" dataDxfId="1336"/>
    <tableColumn id="315" uniqueName="315" name="ret_cc" queryTableFieldId="63" dataDxfId="1335"/>
    <tableColumn id="316" uniqueName="316" name="ret_cc_hh" queryTableFieldId="64" dataDxfId="1334"/>
    <tableColumn id="317" uniqueName="317" name="ret_cc_details" queryTableFieldId="65" dataDxfId="1333"/>
    <tableColumn id="318" uniqueName="318" name="ret_cc_autre" queryTableFieldId="66" dataDxfId="1332"/>
    <tableColumn id="319" uniqueName="319" name="ret_as" queryTableFieldId="67" dataDxfId="1331"/>
    <tableColumn id="320" uniqueName="320" name="ret_as_hh" queryTableFieldId="68" dataDxfId="1330"/>
    <tableColumn id="321" uniqueName="321" name="ret_al" queryTableFieldId="69" dataDxfId="1329"/>
    <tableColumn id="322" uniqueName="322" name="ret_al_hh" queryTableFieldId="70" dataDxfId="1328"/>
    <tableColumn id="323" uniqueName="323" name="deplaces_locaux" queryTableFieldId="71" dataDxfId="1327"/>
    <tableColumn id="324" uniqueName="324" name="E_depart_sans_retour_hh" queryTableFieldId="72" dataDxfId="1326"/>
    <tableColumn id="325" uniqueName="325" name="E_depart_sans_retour_ind" queryTableFieldId="73" dataDxfId="1325"/>
    <tableColumn id="326" uniqueName="326" name="rapatriements" queryTableFieldId="74" dataDxfId="1324"/>
    <tableColumn id="327" uniqueName="327" name="rapatries_hh" queryTableFieldId="75" dataDxfId="1323"/>
    <tableColumn id="328" uniqueName="328" name="rapatries_ind" queryTableFieldId="76" dataDxfId="1322"/>
    <tableColumn id="329" uniqueName="329" name="nouveau" queryTableFieldId="77" dataDxfId="1321"/>
    <tableColumn id="330" uniqueName="330" name="test" queryTableFieldId="84" dataDxfId="1320"/>
    <tableColumn id="331" uniqueName="331" name="Logement_initial" queryTableFieldId="83" dataDxfId="1319"/>
    <tableColumn id="332" uniqueName="332" name="Famille_accueil" queryTableFieldId="82" dataDxfId="1318"/>
    <tableColumn id="333" uniqueName="333" name="Location" queryTableFieldId="81" dataDxfId="1317"/>
    <tableColumn id="334" uniqueName="334" name="Abris_collectifs" queryTableFieldId="80" dataDxfId="1316"/>
    <tableColumn id="335" uniqueName="335" name="Abris_spontanes" queryTableFieldId="79" dataDxfId="1315"/>
    <tableColumn id="336" uniqueName="336" name="Air_libre" queryTableFieldId="78" dataDxfId="1314"/>
  </tableColumns>
  <tableStyleInfo name="TableStyleQueryPreview" showFirstColumn="0" showLastColumn="0" showRowStripes="1" showColumnStripes="0"/>
</table>
</file>

<file path=xl/tables/table10.xml><?xml version="1.0" encoding="utf-8"?>
<table xmlns="http://schemas.openxmlformats.org/spreadsheetml/2006/main" id="69" name="Tableau6670" displayName="Tableau6670" ref="O5:U11" totalsRowShown="0" headerRowDxfId="1203" dataDxfId="1202">
  <autoFilter ref="O5:U11"/>
  <tableColumns count="7">
    <tableColumn id="1" name="Départements" dataDxfId="1201"/>
    <tableColumn id="2" name="Sites spontanés" dataDxfId="1200">
      <calculatedColumnFormula>Tableau66[[#This Row],[Sites spontanés]]/Tableau66[[#This Row],[Total]]</calculatedColumnFormula>
    </tableColumn>
    <tableColumn id="3" name="Location" dataDxfId="1199">
      <calculatedColumnFormula>Tableau66[[#This Row],[Location]]/Tableau66[[#This Row],[Total]]</calculatedColumnFormula>
    </tableColumn>
    <tableColumn id="4" name="Collectif" dataDxfId="1198">
      <calculatedColumnFormula>Tableau66[[#This Row],[Collectif]]/Tableau66[[#This Row],[Total]]</calculatedColumnFormula>
    </tableColumn>
    <tableColumn id="5" name="Air Libre" dataDxfId="1197">
      <calculatedColumnFormula>Tableau66[[#This Row],[Air Libre]]/Tableau66[[#This Row],[Total]]</calculatedColumnFormula>
    </tableColumn>
    <tableColumn id="6" name="Familles d accueil" dataDxfId="1196">
      <calculatedColumnFormula>Tableau66[[#This Row],[Familles d accueil]]/Tableau66[[#This Row],[Total]]</calculatedColumnFormula>
    </tableColumn>
    <tableColumn id="7" name="Total" dataDxfId="1195">
      <calculatedColumnFormula>SUM(P6:T6)</calculatedColumnFormula>
    </tableColumn>
  </tableColumns>
  <tableStyleInfo name="TableStyleOIM IDP" showFirstColumn="0" showLastColumn="0" showRowStripes="1" showColumnStripes="0"/>
</table>
</file>

<file path=xl/tables/table11.xml><?xml version="1.0" encoding="utf-8"?>
<table xmlns="http://schemas.openxmlformats.org/spreadsheetml/2006/main" id="70" name="Tableau70" displayName="Tableau70" ref="F49:L56" totalsRowCount="1" headerRowDxfId="1194" dataDxfId="1193" totalsRowDxfId="1192">
  <autoFilter ref="F49:L55"/>
  <tableColumns count="7">
    <tableColumn id="1" name="Départements" dataDxfId="1191" totalsRowDxfId="1190"/>
    <tableColumn id="2" name="Spontané" totalsRowFunction="sum" dataDxfId="1189" totalsRowDxfId="1188">
      <calculatedColumnFormula>SUMIFS(Dashboard[ref_as_hh],Dashboard[evaluation_adm2_name],Tableau70[[#This Row],[Départements]])</calculatedColumnFormula>
    </tableColumn>
    <tableColumn id="3" name="Location" totalsRowFunction="sum" dataDxfId="1187" totalsRowDxfId="1186">
      <calculatedColumnFormula>SUMIFS(Dashboard[ref_loc_hh],Dashboard[evaluation_adm2_name],Tableau70[[#This Row],[Départements]])</calculatedColumnFormula>
    </tableColumn>
    <tableColumn id="4" name="Collectif" totalsRowFunction="sum" dataDxfId="1185" totalsRowDxfId="1184">
      <calculatedColumnFormula>SUMIFS(Dashboard[ref_cc_hh],Dashboard[evaluation_adm2_name],Tableau70[[#This Row],[Départements]])</calculatedColumnFormula>
    </tableColumn>
    <tableColumn id="5" name="Air Libre" totalsRowFunction="sum" dataDxfId="1183" totalsRowDxfId="1182">
      <calculatedColumnFormula>SUMIFS(Dashboard[ref_al_hh],Dashboard[evaluation_adm2_name],Tableau70[[#This Row],[Départements]])</calculatedColumnFormula>
    </tableColumn>
    <tableColumn id="6" name="Familles d accueil" totalsRowFunction="sum" dataDxfId="1181" totalsRowDxfId="1180">
      <calculatedColumnFormula>SUMIFS(Dashboard[ref_fa_hh],Dashboard[evaluation_adm2_name],Tableau70[[#This Row],[Départements]])</calculatedColumnFormula>
    </tableColumn>
    <tableColumn id="7" name="Total" totalsRowFunction="sum" dataDxfId="1179" totalsRowDxfId="1178">
      <calculatedColumnFormula>SUM(Tableau70[[#This Row],[Spontané]:[Familles d accueil]])</calculatedColumnFormula>
    </tableColumn>
  </tableColumns>
  <tableStyleInfo name="TableStyleOIM REF 2" showFirstColumn="0" showLastColumn="0" showRowStripes="1" showColumnStripes="0"/>
</table>
</file>

<file path=xl/tables/table12.xml><?xml version="1.0" encoding="utf-8"?>
<table xmlns="http://schemas.openxmlformats.org/spreadsheetml/2006/main" id="71" name="Tableau71" displayName="Tableau71" ref="O49:U55" totalsRowShown="0" headerRowDxfId="1177" dataDxfId="1176">
  <autoFilter ref="O49:U55"/>
  <tableColumns count="7">
    <tableColumn id="1" name="Départements" dataDxfId="1175"/>
    <tableColumn id="2" name="Spontané" dataDxfId="1174">
      <calculatedColumnFormula>Tableau70[[#This Row],[Spontané]]/Tableau70[[#This Row],[Total]]</calculatedColumnFormula>
    </tableColumn>
    <tableColumn id="3" name="Location" dataDxfId="1173">
      <calculatedColumnFormula>Tableau70[[#This Row],[Location]]/Tableau70[[#This Row],[Total]]</calculatedColumnFormula>
    </tableColumn>
    <tableColumn id="4" name="Collectif" dataDxfId="1172">
      <calculatedColumnFormula>Tableau70[[#This Row],[Collectif]]/Tableau70[[#This Row],[Total]]</calculatedColumnFormula>
    </tableColumn>
    <tableColumn id="5" name="Air Libre" dataDxfId="1171">
      <calculatedColumnFormula>Tableau70[[#This Row],[Air Libre]]/Tableau70[[#This Row],[Total]]</calculatedColumnFormula>
    </tableColumn>
    <tableColumn id="6" name="Familles d accueil" dataDxfId="1170">
      <calculatedColumnFormula>Tableau70[[#This Row],[Familles d accueil]]/Tableau70[[#This Row],[Total]]</calculatedColumnFormula>
    </tableColumn>
    <tableColumn id="7" name="Total" dataDxfId="1169">
      <calculatedColumnFormula>SUM(Tableau71[[#This Row],[Spontané]:[Familles d accueil]])</calculatedColumnFormula>
    </tableColumn>
  </tableColumns>
  <tableStyleInfo name="TableStyleOIM REF 2" showFirstColumn="0" showLastColumn="0" showRowStripes="1" showColumnStripes="0"/>
</table>
</file>

<file path=xl/tables/table13.xml><?xml version="1.0" encoding="utf-8"?>
<table xmlns="http://schemas.openxmlformats.org/spreadsheetml/2006/main" id="72" name="Tableau72" displayName="Tableau72" ref="F67:L74" totalsRowCount="1" headerRowDxfId="1168" dataDxfId="1167" totalsRowDxfId="1166">
  <autoFilter ref="F67:L73"/>
  <tableColumns count="7">
    <tableColumn id="1" name="Departments" dataDxfId="1165" totalsRowDxfId="1164"/>
    <tableColumn id="2" name="Spontaneous sites" totalsRowFunction="custom" dataDxfId="1163" totalsRowDxfId="1162">
      <calculatedColumnFormula>SUMIFS(Dashboard[ref_as_hh],Dashboard[evaluation_adm2_name],Tableau72[[#This Row],[Departments]])</calculatedColumnFormula>
      <totalsRowFormula>SUM(G68:G73)</totalsRowFormula>
    </tableColumn>
    <tableColumn id="3" name="Rental" totalsRowFunction="sum" dataDxfId="1161" totalsRowDxfId="1160">
      <calculatedColumnFormula>SUMIFS(Dashboard[ref_loc_hh],Dashboard[evaluation_adm2_name],Tableau72[[#This Row],[Departments]])</calculatedColumnFormula>
    </tableColumn>
    <tableColumn id="4" name="Collective" totalsRowFunction="sum" dataDxfId="1159" totalsRowDxfId="1158">
      <calculatedColumnFormula>SUMIFS(Dashboard[ref_cc_hh],Dashboard[evaluation_adm2_name],Tableau72[[#This Row],[Departments]])</calculatedColumnFormula>
    </tableColumn>
    <tableColumn id="5" name="Open air" totalsRowFunction="sum" dataDxfId="1157" totalsRowDxfId="1156">
      <calculatedColumnFormula>SUMIFS(Dashboard[ref_al_hh],Dashboard[evaluation_adm2_name],Tableau72[[#This Row],[Departments]])</calculatedColumnFormula>
    </tableColumn>
    <tableColumn id="6" name="Host Families" totalsRowFunction="sum" dataDxfId="1155" totalsRowDxfId="1154">
      <calculatedColumnFormula>SUMIFS(Dashboard[ref_fa_hh],Dashboard[evaluation_adm2_name],Tableau72[[#This Row],[Departments]])</calculatedColumnFormula>
    </tableColumn>
    <tableColumn id="7" name="Total" totalsRowFunction="sum" dataDxfId="1153" totalsRowDxfId="1152">
      <calculatedColumnFormula>SUM(Tableau72[[#This Row],[Spontaneous sites]:[Host Families]])</calculatedColumnFormula>
    </tableColumn>
  </tableColumns>
  <tableStyleInfo name="TableStyleOIM REF 2" showFirstColumn="0" showLastColumn="0" showRowStripes="1" showColumnStripes="0"/>
</table>
</file>

<file path=xl/tables/table14.xml><?xml version="1.0" encoding="utf-8"?>
<table xmlns="http://schemas.openxmlformats.org/spreadsheetml/2006/main" id="73" name="Tableau73" displayName="Tableau73" ref="O67:U73" totalsRowShown="0" headerRowDxfId="1151" dataDxfId="1150">
  <autoFilter ref="O67:U73"/>
  <tableColumns count="7">
    <tableColumn id="1" name="Departments" dataDxfId="1149"/>
    <tableColumn id="2" name="Spontaneous sites" dataDxfId="1148">
      <calculatedColumnFormula>Tableau72[[#This Row],[Spontaneous sites]]/Tableau72[[#This Row],[Total]]</calculatedColumnFormula>
    </tableColumn>
    <tableColumn id="3" name="Rental" dataDxfId="1147">
      <calculatedColumnFormula>Tableau72[[#This Row],[Rental]]/Tableau72[[#This Row],[Total]]</calculatedColumnFormula>
    </tableColumn>
    <tableColumn id="4" name="Collective" dataDxfId="1146">
      <calculatedColumnFormula>Tableau72[[#This Row],[Collective]]/Tableau72[[#This Row],[Total]]</calculatedColumnFormula>
    </tableColumn>
    <tableColumn id="5" name="Open air" dataDxfId="1145">
      <calculatedColumnFormula>Tableau72[[#This Row],[Open air]]/Tableau72[[#This Row],[Total]]</calculatedColumnFormula>
    </tableColumn>
    <tableColumn id="6" name="Host Families" dataDxfId="1144">
      <calculatedColumnFormula>Tableau72[[#This Row],[Host Families]]/Tableau72[[#This Row],[Total]]</calculatedColumnFormula>
    </tableColumn>
    <tableColumn id="7" name="Total" dataDxfId="1143">
      <calculatedColumnFormula>SUM(Tableau73[[#This Row],[Spontaneous sites]:[Host Families]])</calculatedColumnFormula>
    </tableColumn>
  </tableColumns>
  <tableStyleInfo name="TableStyleOIM REF 2" showFirstColumn="0" showLastColumn="0" showRowStripes="1" showColumnStripes="0"/>
</table>
</file>

<file path=xl/tables/table15.xml><?xml version="1.0" encoding="utf-8"?>
<table xmlns="http://schemas.openxmlformats.org/spreadsheetml/2006/main" id="74" name="Tableau74" displayName="Tableau74" ref="F97:M103" totalsRowShown="0" headerRowDxfId="1142" dataDxfId="1141">
  <autoFilter ref="F97:M103"/>
  <tableColumns count="8">
    <tableColumn id="1" name="Départements" dataDxfId="1140"/>
    <tableColumn id="2" name="Spontané" dataDxfId="1139">
      <calculatedColumnFormula>SUMIFS(Dashboard[ret_as_hh],Dashboard[evaluation_adm2_name],Tableau74[[#This Row],[Départements]])</calculatedColumnFormula>
    </tableColumn>
    <tableColumn id="3" name="Location" dataDxfId="1138">
      <calculatedColumnFormula>SUMIFS(Dashboard[ret_loc_hh],Dashboard[evaluation_adm2_name],Tableau74[[#This Row],[Départements]])</calculatedColumnFormula>
    </tableColumn>
    <tableColumn id="4" name="Collectif" dataDxfId="1137">
      <calculatedColumnFormula>SUMIFS(Dashboard[ret_cc_hh],Dashboard[evaluation_adm2_name],Tableau74[[#This Row],[Départements]])</calculatedColumnFormula>
    </tableColumn>
    <tableColumn id="5" name="Plein-air" dataDxfId="1136">
      <calculatedColumnFormula>SUMIFS(Dashboard[ret_al_hh],Dashboard[evaluation_adm2_name],Tableau74[[#This Row],[Départements]])</calculatedColumnFormula>
    </tableColumn>
    <tableColumn id="6" name="Famille d'accueil" dataDxfId="1135">
      <calculatedColumnFormula>SUMIFS(Dashboard[ret_fa_hh],Dashboard[evaluation_adm2_name],Tableau74[[#This Row],[Départements]])</calculatedColumnFormula>
    </tableColumn>
    <tableColumn id="7" name="Domicile Personnel" dataDxfId="1134">
      <calculatedColumnFormula>SUMIFS(Dashboard[ret_hi_hh],Dashboard[evaluation_adm2_name],Tableau74[[#This Row],[Départements]])</calculatedColumnFormula>
    </tableColumn>
    <tableColumn id="8" name="Total" dataDxfId="1133">
      <calculatedColumnFormula>SUM(G98:L98)</calculatedColumnFormula>
    </tableColumn>
  </tableColumns>
  <tableStyleInfo name="TableStyleOIM RET 2" showFirstColumn="0" showLastColumn="0" showRowStripes="1" showColumnStripes="0"/>
</table>
</file>

<file path=xl/tables/table16.xml><?xml version="1.0" encoding="utf-8"?>
<table xmlns="http://schemas.openxmlformats.org/spreadsheetml/2006/main" id="75" name="Tableau75" displayName="Tableau75" ref="F115:M121" totalsRowShown="0" headerRowDxfId="1132" dataDxfId="1131">
  <autoFilter ref="F115:M121"/>
  <tableColumns count="8">
    <tableColumn id="1" name="Departments" dataDxfId="1130"/>
    <tableColumn id="2" name="Spontaneous sites" dataDxfId="1129">
      <calculatedColumnFormula>SUMIFS(Dashboard[ret_as_hh],Dashboard[evaluation_adm2_name],Tableau75[[#This Row],[Departments]])</calculatedColumnFormula>
    </tableColumn>
    <tableColumn id="3" name="Rental" dataDxfId="1128">
      <calculatedColumnFormula>SUMIFS(Dashboard[ret_loc_hh],Dashboard[evaluation_adm2_name],Tableau75[[#This Row],[Departments]])</calculatedColumnFormula>
    </tableColumn>
    <tableColumn id="4" name="Collective" dataDxfId="1127">
      <calculatedColumnFormula>SUMIFS(Dashboard[ret_cc_hh],Dashboard[evaluation_adm2_name],Tableau75[[#This Row],[Departments]])</calculatedColumnFormula>
    </tableColumn>
    <tableColumn id="5" name="Open air" dataDxfId="1126">
      <calculatedColumnFormula>SUMIFS(Dashboard[ret_al_hh],Dashboard[evaluation_adm2_name],Tableau75[[#This Row],[Departments]])</calculatedColumnFormula>
    </tableColumn>
    <tableColumn id="6" name="Host Families" dataDxfId="1125">
      <calculatedColumnFormula>SUMIFS(Dashboard[ret_fa_hh],Dashboard[evaluation_adm2_name],Tableau75[[#This Row],[Departments]])</calculatedColumnFormula>
    </tableColumn>
    <tableColumn id="7" name="Back Home" dataDxfId="1124">
      <calculatedColumnFormula>SUMIFS(Dashboard[ret_hi_hh],Dashboard[evaluation_adm2_name],Tableau75[[#This Row],[Departments]])</calculatedColumnFormula>
    </tableColumn>
    <tableColumn id="8" name="Total" dataDxfId="1123">
      <calculatedColumnFormula>SUM(Tableau75[[#This Row],[Spontaneous sites]:[Back Home]])</calculatedColumnFormula>
    </tableColumn>
  </tableColumns>
  <tableStyleInfo name="TableStyleOIM RET 2" showFirstColumn="0" showLastColumn="0" showRowStripes="1" showColumnStripes="0"/>
</table>
</file>

<file path=xl/tables/table17.xml><?xml version="1.0" encoding="utf-8"?>
<table xmlns="http://schemas.openxmlformats.org/spreadsheetml/2006/main" id="76" name="Tableau76" displayName="Tableau76" ref="O97:V103" totalsRowShown="0" headerRowDxfId="1122" dataDxfId="1121">
  <autoFilter ref="O97:V103"/>
  <tableColumns count="8">
    <tableColumn id="1" name="Département" dataDxfId="1120"/>
    <tableColumn id="2" name="Spontané" dataDxfId="1119">
      <calculatedColumnFormula>Tableau74[[#This Row],[Spontané]]/Tableau74[[#This Row],[Total]]</calculatedColumnFormula>
    </tableColumn>
    <tableColumn id="3" name="Location" dataDxfId="1118">
      <calculatedColumnFormula>Tableau74[[#This Row],[Location]]/Tableau74[[#This Row],[Total]]</calculatedColumnFormula>
    </tableColumn>
    <tableColumn id="4" name="Collectif" dataDxfId="1117">
      <calculatedColumnFormula>Tableau74[[#This Row],[Collectif]]/Tableau74[[#This Row],[Total]]</calculatedColumnFormula>
    </tableColumn>
    <tableColumn id="5" name="Plein-air" dataDxfId="1116">
      <calculatedColumnFormula>Tableau74[[#This Row],[Plein-air]]/Tableau74[[#This Row],[Total]]</calculatedColumnFormula>
    </tableColumn>
    <tableColumn id="6" name="Famille d'accueil" dataDxfId="1115">
      <calculatedColumnFormula>Tableau74[[#This Row],[Famille d''accueil]]/Tableau74[[#This Row],[Total]]</calculatedColumnFormula>
    </tableColumn>
    <tableColumn id="7" name="Domicile Personnel" dataDxfId="1114">
      <calculatedColumnFormula>Tableau74[[#This Row],[Domicile Personnel]]/Tableau74[[#This Row],[Total]]</calculatedColumnFormula>
    </tableColumn>
    <tableColumn id="8" name="Total" dataDxfId="1113">
      <calculatedColumnFormula>SUM(Tableau76[[#This Row],[Spontané]:[Domicile Personnel]])</calculatedColumnFormula>
    </tableColumn>
  </tableColumns>
  <tableStyleInfo name="TableStyleOIM RET 2" showFirstColumn="0" showLastColumn="0" showRowStripes="1" showColumnStripes="0"/>
</table>
</file>

<file path=xl/tables/table18.xml><?xml version="1.0" encoding="utf-8"?>
<table xmlns="http://schemas.openxmlformats.org/spreadsheetml/2006/main" id="77" name="Tableau77" displayName="Tableau77" ref="O115:V121" totalsRowShown="0" headerRowDxfId="1112" dataDxfId="1111">
  <autoFilter ref="O115:V121"/>
  <tableColumns count="8">
    <tableColumn id="1" name="Departments" dataDxfId="1110"/>
    <tableColumn id="2" name="Spontaneous sites" dataDxfId="1109">
      <calculatedColumnFormula>Tableau75[[#This Row],[Spontaneous sites]]/Tableau75[[#This Row],[Total]]</calculatedColumnFormula>
    </tableColumn>
    <tableColumn id="3" name="Rental" dataDxfId="1108">
      <calculatedColumnFormula>Tableau75[[#This Row],[Rental]]/Tableau75[[#This Row],[Total]]</calculatedColumnFormula>
    </tableColumn>
    <tableColumn id="4" name="Collective" dataDxfId="1107">
      <calculatedColumnFormula>Tableau75[[#This Row],[Collective]]/Tableau75[[#This Row],[Total]]</calculatedColumnFormula>
    </tableColumn>
    <tableColumn id="5" name="Open air" dataDxfId="1106">
      <calculatedColumnFormula>Tableau75[[#This Row],[Open air]]/Tableau75[[#This Row],[Total]]</calculatedColumnFormula>
    </tableColumn>
    <tableColumn id="6" name="Host Families" dataDxfId="1105">
      <calculatedColumnFormula>Tableau75[[#This Row],[Host Families]]/Tableau75[[#This Row],[Total]]</calculatedColumnFormula>
    </tableColumn>
    <tableColumn id="7" name="Back Home" dataDxfId="1104">
      <calculatedColumnFormula>Tableau75[[#This Row],[Back Home]]/Tableau75[[#This Row],[Total]]</calculatedColumnFormula>
    </tableColumn>
    <tableColumn id="8" name="Total" dataDxfId="1103">
      <calculatedColumnFormula>SUM(Tableau77[[#This Row],[Spontaneous sites]:[Back Home]])</calculatedColumnFormula>
    </tableColumn>
  </tableColumns>
  <tableStyleInfo name="TableStyleOIM RET 2" showFirstColumn="0" showLastColumn="0" showRowStripes="1" showColumnStripes="0"/>
</table>
</file>

<file path=xl/tables/table19.xml><?xml version="1.0" encoding="utf-8"?>
<table xmlns="http://schemas.openxmlformats.org/spreadsheetml/2006/main" id="79" name="Tableau79" displayName="Tableau79" ref="O143:V149" totalsRowShown="0" headerRowDxfId="1102" dataDxfId="1101" tableBorderDxfId="1100">
  <autoFilter ref="O143:V149"/>
  <tableColumns count="8">
    <tableColumn id="1" name="Départements" dataDxfId="1099"/>
    <tableColumn id="2" name="Spontané" dataDxfId="1098">
      <calculatedColumnFormula>Tableau53[[#This Row],[Site spontané]]/Tableau53[[#This Row],[Total]]</calculatedColumnFormula>
    </tableColumn>
    <tableColumn id="3" name="Location" dataDxfId="1097">
      <calculatedColumnFormula>Tableau53[[#This Row],[Location]]/Tableau53[[#This Row],[Total]]</calculatedColumnFormula>
    </tableColumn>
    <tableColumn id="4" name="Collectif" dataDxfId="1096">
      <calculatedColumnFormula>Tableau53[[#This Row],[Collectif]]/Tableau53[[#This Row],[Total]]</calculatedColumnFormula>
    </tableColumn>
    <tableColumn id="5" name="Plein-air" dataDxfId="1095">
      <calculatedColumnFormula>Tableau53[[#This Row],[Plein-air]]/Tableau53[[#This Row],[Total]]</calculatedColumnFormula>
    </tableColumn>
    <tableColumn id="6" name="Famille d'accueil" dataDxfId="1094">
      <calculatedColumnFormula>Tableau53[[#This Row],[Famille d''accueil]]/Tableau53[[#This Row],[Total]]</calculatedColumnFormula>
    </tableColumn>
    <tableColumn id="7" name="Domicile Personnel" dataDxfId="1093">
      <calculatedColumnFormula>Tableau53[[#This Row],[Domicile Personnel]]/Tableau53[[#This Row],[Total]]</calculatedColumnFormula>
    </tableColumn>
    <tableColumn id="8" name="Total" dataDxfId="1092">
      <calculatedColumnFormula>SUM(Tableau79[[#This Row],[Spontané]:[Domicile Personnel]])</calculatedColumnFormula>
    </tableColumn>
  </tableColumns>
  <tableStyleInfo name="TableStyleOIM" showFirstColumn="0" showLastColumn="0" showRowStripes="1" showColumnStripes="0"/>
</table>
</file>

<file path=xl/tables/table2.xml><?xml version="1.0" encoding="utf-8"?>
<table xmlns="http://schemas.openxmlformats.org/spreadsheetml/2006/main" id="53" name="Tableau53" displayName="Tableau53" ref="F143:M150" totalsRowCount="1" headerRowDxfId="1313" dataDxfId="1312" totalsRowDxfId="1311">
  <autoFilter ref="F143:M149"/>
  <tableColumns count="8">
    <tableColumn id="1" name="Départements" dataDxfId="1310" totalsRowDxfId="1309"/>
    <tableColumn id="2" name="Site spontané" totalsRowFunction="sum" dataDxfId="1308" totalsRowDxfId="1307">
      <calculatedColumnFormula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calculatedColumnFormula>
    </tableColumn>
    <tableColumn id="3" name="Location" totalsRowFunction="sum" dataDxfId="1306" totalsRowDxfId="1305">
      <calculatedColumnFormula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calculatedColumnFormula>
    </tableColumn>
    <tableColumn id="4" name="Collectif" totalsRowFunction="sum" dataDxfId="1304" totalsRowDxfId="1303">
      <calculatedColumnFormula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calculatedColumnFormula>
    </tableColumn>
    <tableColumn id="5" name="Plein-air" totalsRowFunction="sum" dataDxfId="1302" totalsRowDxfId="1301">
      <calculatedColumnFormula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calculatedColumnFormula>
    </tableColumn>
    <tableColumn id="6" name="Famille d'accueil" totalsRowFunction="sum" dataDxfId="1300" totalsRowDxfId="1299">
      <calculatedColumnFormula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calculatedColumnFormula>
    </tableColumn>
    <tableColumn id="7" name="Domicile Personnel" totalsRowFunction="sum" dataDxfId="1298" totalsRowDxfId="1297">
      <calculatedColumnFormula>SUMIFS(Dashboard[ret_hi_hh],Dashboard[evaluation_adm2_name],Tableau53[[#This Row],[Départements]])</calculatedColumnFormula>
    </tableColumn>
    <tableColumn id="8" name="Total" totalsRowFunction="sum" dataDxfId="1296" totalsRowDxfId="1295">
      <calculatedColumnFormula>SUM(G144:L144)</calculatedColumnFormula>
    </tableColumn>
  </tableColumns>
  <tableStyleInfo name="TableStyleOIM" showFirstColumn="0" showLastColumn="0" showRowStripes="1" showColumnStripes="0"/>
</table>
</file>

<file path=xl/tables/table20.xml><?xml version="1.0" encoding="utf-8"?>
<table xmlns="http://schemas.openxmlformats.org/spreadsheetml/2006/main" id="80" name="Tableau80" displayName="Tableau80" ref="O158:V164" totalsRowShown="0" headerRowDxfId="1091" dataDxfId="1090" tableBorderDxfId="1089">
  <autoFilter ref="O158:V164"/>
  <tableColumns count="8">
    <tableColumn id="1" name="Departments" dataDxfId="1088"/>
    <tableColumn id="2" name="Spontaneous sites" dataDxfId="1087">
      <calculatedColumnFormula>Tableau55[[#This Row],[Spontaneous sites]]/Tableau55[[#This Row],[Total]]</calculatedColumnFormula>
    </tableColumn>
    <tableColumn id="3" name="Rental" dataDxfId="1086">
      <calculatedColumnFormula>Tableau55[[#This Row],[Rental]]/Tableau55[[#This Row],[Total]]</calculatedColumnFormula>
    </tableColumn>
    <tableColumn id="4" name="Collective" dataDxfId="1085">
      <calculatedColumnFormula>Tableau55[[#This Row],[Collective]]/Tableau55[[#This Row],[Total]]</calculatedColumnFormula>
    </tableColumn>
    <tableColumn id="5" name="Open air" dataDxfId="1084">
      <calculatedColumnFormula>Tableau55[[#This Row],[Open air]]/Tableau55[[#This Row],[Total]]</calculatedColumnFormula>
    </tableColumn>
    <tableColumn id="6" name="Host Families" dataDxfId="1083">
      <calculatedColumnFormula>Tableau55[[#This Row],[Host Families]]/Tableau55[[#This Row],[Total]]</calculatedColumnFormula>
    </tableColumn>
    <tableColumn id="7" name="Back Home" dataDxfId="1082">
      <calculatedColumnFormula>Tableau55[[#This Row],[Back Home]]/Tableau55[[#This Row],[Total]]</calculatedColumnFormula>
    </tableColumn>
    <tableColumn id="8" name="Total" dataDxfId="1081">
      <calculatedColumnFormula>SUM(Tableau80[[#This Row],[Spontaneous sites]:[Back Home]])</calculatedColumnFormula>
    </tableColumn>
  </tableColumns>
  <tableStyleInfo name="TableStyleOIM" showFirstColumn="0" showLastColumn="0" showRowStripes="1" showColumnStripes="0"/>
</table>
</file>

<file path=xl/tables/table21.xml><?xml version="1.0" encoding="utf-8"?>
<table xmlns="http://schemas.openxmlformats.org/spreadsheetml/2006/main" id="81" name="Tableau81" displayName="Tableau81" ref="D99:H106" totalsRowCount="1" headerRowDxfId="1062" dataDxfId="1061" totalsRowDxfId="1060">
  <autoFilter ref="D99:H105"/>
  <tableColumns count="5">
    <tableColumn id="1" name="Départements" dataDxfId="1059" totalsRowDxfId="1058"/>
    <tableColumn id="2" name="Conflits" totalsRowFunction="custom" dataDxfId="1057" totalsRowDxfId="1056">
      <calculatedColumnFormula>SUMIFS(DisplacementPeriod[ind],DisplacementPeriod[adm2_name],Tableau81[[#This Row],[Départements]],DisplacementPeriod[raison],"Conflits EIAO")</calculatedColumnFormula>
      <totalsRowFormula>SUM(E100:E105)</totalsRowFormula>
    </tableColumn>
    <tableColumn id="3" name="Climat" totalsRowFunction="custom" dataDxfId="1055" totalsRowDxfId="1054">
      <calculatedColumnFormula>SUMIFS(DisplacementPeriod[ind],DisplacementPeriod[adm2_name],Tableau81[[#This Row],[Départements]],DisplacementPeriod[raison],"inondations et desastres naturels")</calculatedColumnFormula>
      <totalsRowFormula>SUM(F100:F105)</totalsRowFormula>
    </tableColumn>
    <tableColumn id="4" name="Autre" totalsRowFunction="custom" dataDxfId="1053" totalsRowDxfId="1052">
      <calculatedColumnFormula>SUMIFS(DisplacementPeriod[ind],DisplacementPeriod[adm2_name],Tableau81[[#This Row],[Départements]],DisplacementPeriod[raison],"autre")</calculatedColumnFormula>
      <totalsRowFormula>SUM(G100:G105)</totalsRowFormula>
    </tableColumn>
    <tableColumn id="5" name="Total" totalsRowFunction="sum" dataDxfId="1051" totalsRowDxfId="1050">
      <calculatedColumnFormula>SUM(Tableau81[[#This Row],[Conflits]:[Autre]])</calculatedColumnFormula>
    </tableColumn>
  </tableColumns>
  <tableStyleInfo name="TableStyleOIM" showFirstColumn="0" showLastColumn="0" showRowStripes="1" showColumnStripes="0"/>
</table>
</file>

<file path=xl/tables/table22.xml><?xml version="1.0" encoding="utf-8"?>
<table xmlns="http://schemas.openxmlformats.org/spreadsheetml/2006/main" id="82" name="Tableau82" displayName="Tableau82" ref="D64:H71" totalsRowCount="1" headerRowDxfId="1049" dataDxfId="1048" totalsRowDxfId="1047">
  <autoFilter ref="D64:H70"/>
  <tableColumns count="5">
    <tableColumn id="1" name="Périodes" dataDxfId="1046" totalsRowDxfId="1045"/>
    <tableColumn id="2" name="Conflits EIAO" totalsRowFunction="custom" dataDxfId="1044" totalsRowDxfId="1043">
      <calculatedColumnFormula>SUMIFS(DisplacementPeriod[ind],DisplacementPeriod[periode],Tableau82[[#This Row],[Périodes]],DisplacementPeriod[raison],"Conflits EIAO")</calculatedColumnFormula>
      <totalsRowFormula>SUM(E65:E70)</totalsRowFormula>
    </tableColumn>
    <tableColumn id="3" name="Climat" totalsRowFunction="custom" dataDxfId="1042" totalsRowDxfId="1041">
      <calculatedColumnFormula>SUMIFS(DisplacementPeriod[ind],DisplacementPeriod[periode],Tableau82[[#This Row],[Périodes]],DisplacementPeriod[raison],"inondations et desastres naturels")</calculatedColumnFormula>
      <totalsRowFormula>SUM(F65:F70)</totalsRowFormula>
    </tableColumn>
    <tableColumn id="4" name="Autre" totalsRowFunction="custom" dataDxfId="1040" totalsRowDxfId="1039">
      <calculatedColumnFormula>SUMIFS(DisplacementPeriod[ind],DisplacementPeriod[periode],Tableau82[[#This Row],[Périodes]],DisplacementPeriod[raison],"autre")</calculatedColumnFormula>
      <totalsRowFormula>SUM(G65:G70)</totalsRowFormula>
    </tableColumn>
    <tableColumn id="5" name="Total" totalsRowFunction="sum" dataDxfId="1038" totalsRowDxfId="1037">
      <calculatedColumnFormula>SUM(Tableau82[[#This Row],[Conflits EIAO]:[Autre]])</calculatedColumnFormula>
    </tableColumn>
  </tableColumns>
  <tableStyleInfo name="TableStyleOIM" showFirstColumn="0" showLastColumn="0" showRowStripes="1" showColumnStripes="0"/>
</table>
</file>

<file path=xl/tables/table23.xml><?xml version="1.0" encoding="utf-8"?>
<table xmlns="http://schemas.openxmlformats.org/spreadsheetml/2006/main" id="83" name="Tableau83" displayName="Tableau83" ref="N64:R71" totalsRowCount="1" headerRowDxfId="1036" dataDxfId="1035" totalsRowDxfId="1034">
  <autoFilter ref="N64:R70"/>
  <tableColumns count="5">
    <tableColumn id="1" name="Periods" dataDxfId="1033" totalsRowDxfId="1032"/>
    <tableColumn id="2" name="Conflicts_ISWA" totalsRowFunction="custom" dataDxfId="1031" totalsRowDxfId="1030">
      <calculatedColumnFormula>SUMIFS(DisplacementPeriod[ind],DisplacementPeriod[periode],Tableau83[[#This Row],[Periods]],DisplacementPeriod[raison],"Conflits EIAO")</calculatedColumnFormula>
      <totalsRowFormula>SUM(O65:O70)</totalsRowFormula>
    </tableColumn>
    <tableColumn id="3" name="Climate" totalsRowFunction="custom" dataDxfId="1029" totalsRowDxfId="1028">
      <calculatedColumnFormula>SUMIFS(DisplacementPeriod[ind],DisplacementPeriod[periode],Tableau83[[#This Row],[Periods]],DisplacementPeriod[raison],"inondations et desastres naturels")</calculatedColumnFormula>
      <totalsRowFormula>SUM(P65:P70)</totalsRowFormula>
    </tableColumn>
    <tableColumn id="4" name="Other" totalsRowFunction="custom" dataDxfId="1027" totalsRowDxfId="1026">
      <calculatedColumnFormula>SUMIFS(DisplacementPeriod[ind],DisplacementPeriod[periode],Tableau83[[#This Row],[Periods]],DisplacementPeriod[raison],"autre")</calculatedColumnFormula>
      <totalsRowFormula>SUM(Q65:Q70)</totalsRowFormula>
    </tableColumn>
    <tableColumn id="5" name="Total" totalsRowFunction="sum" dataDxfId="1025" totalsRowDxfId="1024">
      <calculatedColumnFormula>SUM(Tableau83[[#This Row],[Conflicts_ISWA]:[Other]])</calculatedColumnFormula>
    </tableColumn>
  </tableColumns>
  <tableStyleInfo name="TableStyleOIM" showFirstColumn="0" showLastColumn="0" showRowStripes="1" showColumnStripes="0"/>
</table>
</file>

<file path=xl/tables/table24.xml><?xml version="1.0" encoding="utf-8"?>
<table xmlns="http://schemas.openxmlformats.org/spreadsheetml/2006/main" id="84" name="Tableau84" displayName="Tableau84" ref="N99:R106" totalsRowCount="1" headerRowDxfId="1023" dataDxfId="1022" totalsRowDxfId="1021">
  <autoFilter ref="N99:R105"/>
  <tableColumns count="5">
    <tableColumn id="1" name="Departments" dataDxfId="1020" totalsRowDxfId="1019"/>
    <tableColumn id="2" name="Conflicts" totalsRowFunction="custom" dataDxfId="1018" totalsRowDxfId="1017">
      <calculatedColumnFormula>SUMIFS(DisplacementPeriod[ind],DisplacementPeriod[adm2_name],Tableau84[[#This Row],[Departments]],DisplacementPeriod[raison],"Conflits EIAO")</calculatedColumnFormula>
      <totalsRowFormula>SUM(O100:O105)</totalsRowFormula>
    </tableColumn>
    <tableColumn id="3" name="Climate" totalsRowFunction="custom" dataDxfId="1016" totalsRowDxfId="1015">
      <calculatedColumnFormula>SUMIFS(DisplacementPeriod[ind],DisplacementPeriod[adm2_name],Tableau84[[#This Row],[Departments]],DisplacementPeriod[raison],"inondations et desastres naturels")</calculatedColumnFormula>
      <totalsRowFormula>SUM(P100:P105)</totalsRowFormula>
    </tableColumn>
    <tableColumn id="4" name="Other" totalsRowFunction="custom" dataDxfId="1014" totalsRowDxfId="1013">
      <calculatedColumnFormula>SUMIFS(DisplacementPeriod[ind],DisplacementPeriod[adm2_name],Tableau84[[#This Row],[Departments]],DisplacementPeriod[raison],"autre")</calculatedColumnFormula>
      <totalsRowFormula>SUM(Q100:Q105)</totalsRowFormula>
    </tableColumn>
    <tableColumn id="5" name="Total" totalsRowFunction="sum" dataDxfId="1012" totalsRowDxfId="1011">
      <calculatedColumnFormula>SUM(Tableau84[[#This Row],[Conflicts]:[Other]])</calculatedColumnFormula>
    </tableColumn>
  </tableColumns>
  <tableStyleInfo name="TableStyleOIM" showFirstColumn="0" showLastColumn="0" showRowStripes="1" showColumnStripes="0"/>
</table>
</file>

<file path=xl/tables/table25.xml><?xml version="1.0" encoding="utf-8"?>
<table xmlns="http://schemas.openxmlformats.org/spreadsheetml/2006/main" id="85" name="Tableau8286" displayName="Tableau8286" ref="D78:H85" totalsRowCount="1" headerRowDxfId="1010" dataDxfId="1009" totalsRowDxfId="1008">
  <autoFilter ref="D78:H84"/>
  <tableColumns count="5">
    <tableColumn id="1" name="Périodes" dataDxfId="1007" totalsRowDxfId="1006"/>
    <tableColumn id="2" name="Conflits" dataDxfId="1005" totalsRowDxfId="1004">
      <calculatedColumnFormula>E65/H65</calculatedColumnFormula>
    </tableColumn>
    <tableColumn id="3" name="Climat" dataDxfId="1003" totalsRowDxfId="1002">
      <calculatedColumnFormula>F65/H65</calculatedColumnFormula>
    </tableColumn>
    <tableColumn id="4" name="Autre" dataDxfId="1001" totalsRowDxfId="1000">
      <calculatedColumnFormula>G65/H65</calculatedColumnFormula>
    </tableColumn>
    <tableColumn id="5" name="Total" dataDxfId="999" totalsRowDxfId="998">
      <calculatedColumnFormula>SUM(Tableau8286[[#This Row],[Conflits]:[Autre]])</calculatedColumnFormula>
    </tableColumn>
  </tableColumns>
  <tableStyleInfo name="TableStyleOIM" showFirstColumn="0" showLastColumn="0" showRowStripes="1" showColumnStripes="0"/>
</table>
</file>

<file path=xl/tables/table26.xml><?xml version="1.0" encoding="utf-8"?>
<table xmlns="http://schemas.openxmlformats.org/spreadsheetml/2006/main" id="86" name="Tableau8387" displayName="Tableau8387" ref="N78:R85" totalsRowCount="1" headerRowDxfId="997" dataDxfId="996" totalsRowDxfId="995">
  <autoFilter ref="N78:R84"/>
  <tableColumns count="5">
    <tableColumn id="1" name="Periods" dataDxfId="994" totalsRowDxfId="993"/>
    <tableColumn id="2" name="Conflicts related" dataDxfId="992" totalsRowDxfId="991">
      <calculatedColumnFormula>O65/R65</calculatedColumnFormula>
    </tableColumn>
    <tableColumn id="3" name="Climate related" dataDxfId="990" totalsRowDxfId="989">
      <calculatedColumnFormula>P65/R65</calculatedColumnFormula>
    </tableColumn>
    <tableColumn id="4" name="Other" dataDxfId="988" totalsRowDxfId="987">
      <calculatedColumnFormula>Q65/R65</calculatedColumnFormula>
    </tableColumn>
    <tableColumn id="5" name="Total" dataDxfId="986" totalsRowDxfId="985">
      <calculatedColumnFormula>SUM(Tableau8387[[#This Row],[Conflicts related]:[Other]])</calculatedColumnFormula>
    </tableColumn>
  </tableColumns>
  <tableStyleInfo name="TableStyleOIM" showFirstColumn="0" showLastColumn="0" showRowStripes="1" showColumnStripes="0"/>
</table>
</file>

<file path=xl/tables/table27.xml><?xml version="1.0" encoding="utf-8"?>
<table xmlns="http://schemas.openxmlformats.org/spreadsheetml/2006/main" id="87" name="Tableau8188" displayName="Tableau8188" ref="D112:H119" totalsRowCount="1" headerRowDxfId="984" dataDxfId="983" totalsRowDxfId="982">
  <autoFilter ref="D112:H118"/>
  <tableColumns count="5">
    <tableColumn id="1" name="Départements" dataDxfId="981" totalsRowDxfId="980"/>
    <tableColumn id="2" name="Conflits" dataDxfId="979" totalsRowDxfId="978">
      <calculatedColumnFormula>E100/H100</calculatedColumnFormula>
    </tableColumn>
    <tableColumn id="3" name="Climat" dataDxfId="977" totalsRowDxfId="976">
      <calculatedColumnFormula>F100/H100</calculatedColumnFormula>
    </tableColumn>
    <tableColumn id="4" name="Autre" dataDxfId="975" totalsRowDxfId="974">
      <calculatedColumnFormula>G100/H100</calculatedColumnFormula>
    </tableColumn>
    <tableColumn id="5" name="Total" dataDxfId="973" totalsRowDxfId="972">
      <calculatedColumnFormula>SUM(Tableau8188[[#This Row],[Conflits]:[Autre]])</calculatedColumnFormula>
    </tableColumn>
  </tableColumns>
  <tableStyleInfo name="TableStyleOIM" showFirstColumn="0" showLastColumn="0" showRowStripes="1" showColumnStripes="0"/>
</table>
</file>

<file path=xl/tables/table28.xml><?xml version="1.0" encoding="utf-8"?>
<table xmlns="http://schemas.openxmlformats.org/spreadsheetml/2006/main" id="88" name="Tableau8489" displayName="Tableau8489" ref="N112:R119" totalsRowCount="1" headerRowDxfId="971" dataDxfId="970" totalsRowDxfId="969">
  <autoFilter ref="N112:R118"/>
  <tableColumns count="5">
    <tableColumn id="1" name="Departments" dataDxfId="968" totalsRowDxfId="967"/>
    <tableColumn id="2" name="Conflicts" dataDxfId="966" totalsRowDxfId="965">
      <calculatedColumnFormula>O100/R100</calculatedColumnFormula>
    </tableColumn>
    <tableColumn id="3" name="Climate" dataDxfId="964" totalsRowDxfId="963">
      <calculatedColumnFormula>P100/R100</calculatedColumnFormula>
    </tableColumn>
    <tableColumn id="4" name="Other" dataDxfId="962" totalsRowDxfId="961">
      <calculatedColumnFormula>Q100/R100</calculatedColumnFormula>
    </tableColumn>
    <tableColumn id="5" name="Total" dataDxfId="960" totalsRowDxfId="959">
      <calculatedColumnFormula>SUM(Tableau8489[[#This Row],[Conflicts]:[Other]])</calculatedColumnFormula>
    </tableColumn>
  </tableColumns>
  <tableStyleInfo name="TableStyleOIM" showFirstColumn="0" showLastColumn="0" showRowStripes="1" showColumnStripes="0"/>
</table>
</file>

<file path=xl/tables/table29.xml><?xml version="1.0" encoding="utf-8"?>
<table xmlns="http://schemas.openxmlformats.org/spreadsheetml/2006/main" id="4" name="Tableau4" displayName="Tableau4" ref="N150:R157" totalsRowCount="1" headerRowDxfId="958" dataDxfId="957" totalsRowDxfId="956">
  <autoFilter ref="N150:R156"/>
  <tableColumns count="5">
    <tableColumn id="1" name="Departments" dataDxfId="955" totalsRowDxfId="954"/>
    <tableColumn id="2" name="Conflicts" totalsRowFunction="custom" dataDxfId="953" totalsRowDxfId="952">
      <calculatedColumnFormula>SUMIFS(DisplacementPeriod[ind],DisplacementPeriod[adm2_name],Tableau4[[#This Row],[Departments]],DisplacementPeriod[raison],"Conflits EIAO",DisplacementPeriod[deplacement],"idp")</calculatedColumnFormula>
      <totalsRowFormula>SUM(O151:O156)</totalsRowFormula>
    </tableColumn>
    <tableColumn id="3" name="Climate related" totalsRowFunction="custom" dataDxfId="951" totalsRowDxfId="950">
      <calculatedColumnFormula>SUMIFS(DisplacementPeriod[ind],DisplacementPeriod[adm2_name],Tableau4[[#This Row],[Departments]],DisplacementPeriod[raison],"inondations et desastres naturels",DisplacementPeriod[deplacement],"idp")</calculatedColumnFormula>
      <totalsRowFormula>SUM(P151:P156)</totalsRowFormula>
    </tableColumn>
    <tableColumn id="4" name="Other" totalsRowFunction="custom" dataDxfId="949" totalsRowDxfId="948">
      <calculatedColumnFormula>SUMIFS(DisplacementPeriod[ind],DisplacementPeriod[adm2_name],Tableau4[[#This Row],[Departments]],DisplacementPeriod[raison],"autre",DisplacementPeriod[deplacement],"idp")</calculatedColumnFormula>
      <totalsRowFormula>SUM(Q151:Q156)</totalsRowFormula>
    </tableColumn>
    <tableColumn id="5" name="Total" totalsRowFunction="sum" dataDxfId="947" totalsRowDxfId="946">
      <calculatedColumnFormula>SUM(Tableau4[[#This Row],[Conflicts]:[Other]])</calculatedColumnFormula>
    </tableColumn>
  </tableColumns>
  <tableStyleInfo name="TableStyleOIM IDP" showFirstColumn="0" showLastColumn="0" showRowStripes="1" showColumnStripes="0"/>
</table>
</file>

<file path=xl/tables/table3.xml><?xml version="1.0" encoding="utf-8"?>
<table xmlns="http://schemas.openxmlformats.org/spreadsheetml/2006/main" id="55" name="Tableau55" displayName="Tableau55" ref="F158:M165" totalsRowCount="1" headerRowDxfId="1294" dataDxfId="1293" totalsRowDxfId="1292">
  <autoFilter ref="F158:M164"/>
  <tableColumns count="8">
    <tableColumn id="1" name="Departments" dataDxfId="1291" totalsRowDxfId="1290"/>
    <tableColumn id="2" name="Spontaneous sites" totalsRowFunction="custom" dataDxfId="1289" totalsRowDxfId="1288">
      <calculatedColumnFormula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calculatedColumnFormula>
      <totalsRowFormula>SUM(G159:G164)</totalsRowFormula>
    </tableColumn>
    <tableColumn id="3" name="Rental" totalsRowFunction="custom" dataDxfId="1287" totalsRowDxfId="1286">
      <calculatedColumnFormula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calculatedColumnFormula>
      <totalsRowFormula>SUM(H159:H164)</totalsRowFormula>
    </tableColumn>
    <tableColumn id="4" name="Collective" totalsRowFunction="custom" dataDxfId="1285" totalsRowDxfId="1284">
      <calculatedColumnFormula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calculatedColumnFormula>
      <totalsRowFormula>SUM(I159:I164)</totalsRowFormula>
    </tableColumn>
    <tableColumn id="5" name="Open air" totalsRowFunction="custom" dataDxfId="1283" totalsRowDxfId="1282">
      <calculatedColumnFormula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calculatedColumnFormula>
      <totalsRowFormula>SUM(J159:J164)</totalsRowFormula>
    </tableColumn>
    <tableColumn id="6" name="Host Families" totalsRowFunction="custom" dataDxfId="1281" totalsRowDxfId="1280">
      <calculatedColumnFormula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calculatedColumnFormula>
      <totalsRowFormula>SUM(K159:K164)</totalsRowFormula>
    </tableColumn>
    <tableColumn id="7" name="Back Home" totalsRowFunction="custom" dataDxfId="1279" totalsRowDxfId="1278">
      <calculatedColumnFormula>SUMIFS(Dashboard[ret_hi_hh],Dashboard[evaluation_adm2_name],Tableau55[[#This Row],[Departments]])</calculatedColumnFormula>
      <totalsRowFormula>SUM(L159:L164)</totalsRowFormula>
    </tableColumn>
    <tableColumn id="8" name="Total" totalsRowFunction="custom" dataDxfId="1277" totalsRowDxfId="1276">
      <calculatedColumnFormula>SUM(G159:L159)</calculatedColumnFormula>
      <totalsRowFormula>SUM(Tableau55[Total])</totalsRowFormula>
    </tableColumn>
  </tableColumns>
  <tableStyleInfo name="TableStyleOIM" showFirstColumn="0" showLastColumn="0" showRowStripes="1" showColumnStripes="0"/>
</table>
</file>

<file path=xl/tables/table30.xml><?xml version="1.0" encoding="utf-8"?>
<table xmlns="http://schemas.openxmlformats.org/spreadsheetml/2006/main" id="39" name="Tableau39" displayName="Tableau39" ref="D150:H157" totalsRowCount="1" headerRowDxfId="945" dataDxfId="944" totalsRowDxfId="943">
  <autoFilter ref="D150:H156"/>
  <tableColumns count="5">
    <tableColumn id="1" name="Départements" dataDxfId="942" totalsRowDxfId="941"/>
    <tableColumn id="2" name="Conflits" totalsRowFunction="custom" dataDxfId="940" totalsRowDxfId="939">
      <calculatedColumnFormula>SUMIFS(DisplacementPeriod[ind],DisplacementPeriod[adm2_name],Tableau39[[#This Row],[Départements]],DisplacementPeriod[raison],"Conflits EIAO",DisplacementPeriod[deplacement],"idp")</calculatedColumnFormula>
      <totalsRowFormula>SUM(E151:E156)</totalsRowFormula>
    </tableColumn>
    <tableColumn id="3" name="Aléas climatiques" totalsRowFunction="custom" dataDxfId="938" totalsRowDxfId="937">
      <calculatedColumnFormula>SUMIFS(DisplacementPeriod[ind],DisplacementPeriod[adm2_name],Tableau39[[#This Row],[Départements]],DisplacementPeriod[raison],"inondations et desastres naturels",DisplacementPeriod[deplacement],"idp")</calculatedColumnFormula>
      <totalsRowFormula>SUM(F151:F156)</totalsRowFormula>
    </tableColumn>
    <tableColumn id="4" name="Autre" totalsRowFunction="custom" dataDxfId="936" totalsRowDxfId="935">
      <calculatedColumnFormula>SUMIFS(DisplacementPeriod[ind],DisplacementPeriod[adm2_name],Tableau39[[#This Row],[Départements]],DisplacementPeriod[raison],"autre",DisplacementPeriod[deplacement],"idp")</calculatedColumnFormula>
      <totalsRowFormula>SUM(G151:G156)</totalsRowFormula>
    </tableColumn>
    <tableColumn id="5" name="Total" totalsRowFunction="sum" dataDxfId="934" totalsRowDxfId="933">
      <calculatedColumnFormula>SUM(Tableau39[[#This Row],[Conflits]:[Autre]])</calculatedColumnFormula>
    </tableColumn>
  </tableColumns>
  <tableStyleInfo name="TableStyleOIM IDP" showFirstColumn="0" showLastColumn="0" showRowStripes="1" showColumnStripes="0"/>
</table>
</file>

<file path=xl/tables/table31.xml><?xml version="1.0" encoding="utf-8"?>
<table xmlns="http://schemas.openxmlformats.org/spreadsheetml/2006/main" id="40" name="Tableau40" displayName="Tableau40" ref="N162:R168" totalsRowShown="0" headerRowDxfId="932" dataDxfId="931">
  <autoFilter ref="N162:R168"/>
  <tableColumns count="5">
    <tableColumn id="1" name="Departments" dataDxfId="930"/>
    <tableColumn id="2" name="Conflicts" dataDxfId="929">
      <calculatedColumnFormula>O151/R151</calculatedColumnFormula>
    </tableColumn>
    <tableColumn id="3" name="Climate related" dataDxfId="928">
      <calculatedColumnFormula>P151/R151</calculatedColumnFormula>
    </tableColumn>
    <tableColumn id="4" name="Other" dataDxfId="927">
      <calculatedColumnFormula>Q151/R151</calculatedColumnFormula>
    </tableColumn>
    <tableColumn id="5" name="Total" dataDxfId="926">
      <calculatedColumnFormula>SUM(Tableau40[[#This Row],[Conflicts]:[Other]])</calculatedColumnFormula>
    </tableColumn>
  </tableColumns>
  <tableStyleInfo name="TableStyleOIM IDP" showFirstColumn="0" showLastColumn="0" showRowStripes="1" showColumnStripes="0"/>
</table>
</file>

<file path=xl/tables/table32.xml><?xml version="1.0" encoding="utf-8"?>
<table xmlns="http://schemas.openxmlformats.org/spreadsheetml/2006/main" id="41" name="Tableau41" displayName="Tableau41" ref="D162:H168" totalsRowShown="0" headerRowDxfId="925" dataDxfId="924">
  <autoFilter ref="D162:H168"/>
  <tableColumns count="5">
    <tableColumn id="1" name="Départements" dataDxfId="923"/>
    <tableColumn id="2" name="Conflits" dataDxfId="922">
      <calculatedColumnFormula>E151/H151</calculatedColumnFormula>
    </tableColumn>
    <tableColumn id="3" name="Climat" dataDxfId="921">
      <calculatedColumnFormula>F151/H151</calculatedColumnFormula>
    </tableColumn>
    <tableColumn id="4" name="Autre" dataDxfId="920">
      <calculatedColumnFormula>G151/H151</calculatedColumnFormula>
    </tableColumn>
    <tableColumn id="5" name="Total" dataDxfId="919">
      <calculatedColumnFormula>SUM(Tableau41[[#This Row],[Conflits]:[Autre]])</calculatedColumnFormula>
    </tableColumn>
  </tableColumns>
  <tableStyleInfo name="TableStyleOIM IDP" showFirstColumn="0" showLastColumn="0" showRowStripes="1" showColumnStripes="0"/>
</table>
</file>

<file path=xl/tables/table33.xml><?xml version="1.0" encoding="utf-8"?>
<table xmlns="http://schemas.openxmlformats.org/spreadsheetml/2006/main" id="42" name="Tableau443" displayName="Tableau443" ref="N191:R198" totalsRowCount="1" headerRowDxfId="918" dataDxfId="917" totalsRowDxfId="916">
  <autoFilter ref="N191:R197"/>
  <tableColumns count="5">
    <tableColumn id="1" name="Departments" dataDxfId="915" totalsRowDxfId="914"/>
    <tableColumn id="2" name="Conflicts_ISWA" totalsRowFunction="custom" dataDxfId="913" totalsRowDxfId="912">
      <calculatedColumnFormula>SUMIFS(DisplacementPeriod[ind],DisplacementPeriod[adm2_name],Tableau443[[#This Row],[Departments]],DisplacementPeriod[raison],"Conflits EIAO",DisplacementPeriod[deplacement],"refugies non enregistres")</calculatedColumnFormula>
      <totalsRowFormula>SUM(O192:O197)</totalsRowFormula>
    </tableColumn>
    <tableColumn id="3" name="Climate" totalsRowFunction="custom" dataDxfId="911" totalsRowDxfId="910">
      <calculatedColumnFormula>SUMIFS(DisplacementPeriod[ind],DisplacementPeriod[adm2_name],Tableau443[[#This Row],[Departments]],DisplacementPeriod[raison],"inondations et desastres naturels",DisplacementPeriod[deplacement],"refugies non enregistres")</calculatedColumnFormula>
      <totalsRowFormula>SUM(P192:P197)</totalsRowFormula>
    </tableColumn>
    <tableColumn id="4" name="Other" totalsRowFunction="custom" dataDxfId="909" totalsRowDxfId="908">
      <calculatedColumnFormula>SUMIFS(DisplacementPeriod[ind],DisplacementPeriod[adm2_name],Tableau443[[#This Row],[Departments]],DisplacementPeriod[raison],"autre",DisplacementPeriod[deplacement],"refugies non enregistres")</calculatedColumnFormula>
      <totalsRowFormula>SUM(Q192:Q197)</totalsRowFormula>
    </tableColumn>
    <tableColumn id="5" name="Total" totalsRowFunction="sum" dataDxfId="907" totalsRowDxfId="906">
      <calculatedColumnFormula>SUM(Tableau443[[#This Row],[Conflicts_ISWA]:[Other]])</calculatedColumnFormula>
    </tableColumn>
  </tableColumns>
  <tableStyleInfo name="TableStyleOIM REF 2" showFirstColumn="0" showLastColumn="0" showRowStripes="1" showColumnStripes="0"/>
</table>
</file>

<file path=xl/tables/table34.xml><?xml version="1.0" encoding="utf-8"?>
<table xmlns="http://schemas.openxmlformats.org/spreadsheetml/2006/main" id="45" name="Tableau3946" displayName="Tableau3946" ref="D191:H198" totalsRowCount="1" headerRowDxfId="905" dataDxfId="904" totalsRowDxfId="903">
  <autoFilter ref="D191:H197"/>
  <tableColumns count="5">
    <tableColumn id="1" name="Départements" dataDxfId="902" totalsRowDxfId="901"/>
    <tableColumn id="2" name="Conflits" totalsRowFunction="custom" dataDxfId="900" totalsRowDxfId="899">
      <calculatedColumnFormula>SUMIFS(DisplacementPeriod[ind],DisplacementPeriod[adm2_name],Tableau3946[[#This Row],[Départements]],DisplacementPeriod[raison],"Conflits EIAO",DisplacementPeriod[deplacement],"refugies non enregistres")</calculatedColumnFormula>
      <totalsRowFormula>SUM(E192:E197)</totalsRowFormula>
    </tableColumn>
    <tableColumn id="3" name="Climat" totalsRowFunction="custom" dataDxfId="898" totalsRowDxfId="897">
      <calculatedColumnFormula>SUMIFS(DisplacementPeriod[ind],DisplacementPeriod[adm2_name],Tableau3946[[#This Row],[Départements]],DisplacementPeriod[raison],"inondations et desastres naturels",DisplacementPeriod[deplacement],"refugies non enregistres")</calculatedColumnFormula>
      <totalsRowFormula>SUM(F192:F197)</totalsRowFormula>
    </tableColumn>
    <tableColumn id="4" name="Autre" totalsRowFunction="custom" dataDxfId="896" totalsRowDxfId="895">
      <calculatedColumnFormula>SUMIFS(DisplacementPeriod[ind],DisplacementPeriod[adm2_name],Tableau3946[[#This Row],[Départements]],DisplacementPeriod[raison],"autre",DisplacementPeriod[deplacement],"refugies non enregistres")</calculatedColumnFormula>
      <totalsRowFormula>SUM(G192:G197)</totalsRowFormula>
    </tableColumn>
    <tableColumn id="5" name="Total" totalsRowFunction="sum" dataDxfId="894" totalsRowDxfId="893">
      <calculatedColumnFormula>SUM(Tableau3946[[#This Row],[Conflits]:[Autre]])</calculatedColumnFormula>
    </tableColumn>
  </tableColumns>
  <tableStyleInfo name="TableStyleOIM REF 2" showFirstColumn="0" showLastColumn="0" showRowStripes="1" showColumnStripes="0"/>
</table>
</file>

<file path=xl/tables/table35.xml><?xml version="1.0" encoding="utf-8"?>
<table xmlns="http://schemas.openxmlformats.org/spreadsheetml/2006/main" id="47" name="Tableau4048" displayName="Tableau4048" ref="N203:R209" totalsRowShown="0" headerRowDxfId="892" dataDxfId="891">
  <autoFilter ref="N203:R209"/>
  <tableColumns count="5">
    <tableColumn id="1" name="Departments" dataDxfId="890"/>
    <tableColumn id="2" name="Conflicts_ISWA" dataDxfId="889">
      <calculatedColumnFormula>O192/R192</calculatedColumnFormula>
    </tableColumn>
    <tableColumn id="3" name="Climate" dataDxfId="888">
      <calculatedColumnFormula>P192/R192</calculatedColumnFormula>
    </tableColumn>
    <tableColumn id="4" name="Other" dataDxfId="887">
      <calculatedColumnFormula>Q192/R192</calculatedColumnFormula>
    </tableColumn>
    <tableColumn id="5" name="Total" dataDxfId="886">
      <calculatedColumnFormula>SUM(Tableau4048[[#This Row],[Conflicts_ISWA]:[Other]])</calculatedColumnFormula>
    </tableColumn>
  </tableColumns>
  <tableStyleInfo name="TableStyleOIM REF 2" showFirstColumn="0" showLastColumn="0" showRowStripes="1" showColumnStripes="0"/>
</table>
</file>

<file path=xl/tables/table36.xml><?xml version="1.0" encoding="utf-8"?>
<table xmlns="http://schemas.openxmlformats.org/spreadsheetml/2006/main" id="54" name="Tableau4155" displayName="Tableau4155" ref="D203:H209" totalsRowShown="0" headerRowDxfId="885" dataDxfId="884">
  <autoFilter ref="D203:H209"/>
  <tableColumns count="5">
    <tableColumn id="1" name="Départements" dataDxfId="883"/>
    <tableColumn id="2" name="Conflits" dataDxfId="882">
      <calculatedColumnFormula>E192/H192</calculatedColumnFormula>
    </tableColumn>
    <tableColumn id="3" name="Climat" dataDxfId="881">
      <calculatedColumnFormula>F192/H192</calculatedColumnFormula>
    </tableColumn>
    <tableColumn id="4" name="Autre" dataDxfId="880">
      <calculatedColumnFormula>G192/H192</calculatedColumnFormula>
    </tableColumn>
    <tableColumn id="5" name="Total" dataDxfId="879">
      <calculatedColumnFormula>SUM(Tableau4155[[#This Row],[Conflits]:[Autre]])</calculatedColumnFormula>
    </tableColumn>
  </tableColumns>
  <tableStyleInfo name="TableStyleOIM REF 2" showFirstColumn="0" showLastColumn="0" showRowStripes="1" showColumnStripes="0"/>
</table>
</file>

<file path=xl/tables/table37.xml><?xml version="1.0" encoding="utf-8"?>
<table xmlns="http://schemas.openxmlformats.org/spreadsheetml/2006/main" id="61" name="Tableau462" displayName="Tableau462" ref="N234:R241" totalsRowCount="1" headerRowDxfId="878" dataDxfId="877" totalsRowDxfId="876">
  <autoFilter ref="N234:R240"/>
  <tableColumns count="5">
    <tableColumn id="1" name="Departments" dataDxfId="875" totalsRowDxfId="874"/>
    <tableColumn id="2" name="Conflicts" totalsRowFunction="custom" dataDxfId="873" totalsRowDxfId="872">
      <calculatedColumnFormula>SUMIFS(DisplacementPeriod[ind],DisplacementPeriod[adm2_name],Tableau462[[#This Row],[Departments]],DisplacementPeriod[raison],"Conflits EIAO",DisplacementPeriod[deplacement],"retournes")</calculatedColumnFormula>
      <totalsRowFormula>SUM(O235:O240)</totalsRowFormula>
    </tableColumn>
    <tableColumn id="3" name="Climate related" totalsRowFunction="custom" dataDxfId="871" totalsRowDxfId="870">
      <calculatedColumnFormula>SUMIFS(DisplacementPeriod[ind],DisplacementPeriod[adm2_name],Tableau462[[#This Row],[Departments]],DisplacementPeriod[raison],"inondations et desastres naturels",DisplacementPeriod[deplacement],"retournes")</calculatedColumnFormula>
      <totalsRowFormula>SUM(P235:P240)</totalsRowFormula>
    </tableColumn>
    <tableColumn id="4" name="Other" totalsRowFunction="custom" dataDxfId="869" totalsRowDxfId="868">
      <calculatedColumnFormula>SUMIFS(DisplacementPeriod[ind],DisplacementPeriod[adm2_name],Tableau462[[#This Row],[Departments]],DisplacementPeriod[raison],"autre",DisplacementPeriod[deplacement],"retournes")</calculatedColumnFormula>
      <totalsRowFormula>SUM(Q235:Q240)</totalsRowFormula>
    </tableColumn>
    <tableColumn id="5" name="Total" totalsRowFunction="sum" dataDxfId="867" totalsRowDxfId="866">
      <calculatedColumnFormula>SUM(Tableau462[[#This Row],[Conflicts]:[Other]])</calculatedColumnFormula>
    </tableColumn>
  </tableColumns>
  <tableStyleInfo name="TableStyleOIM RET 2" showFirstColumn="0" showLastColumn="0" showRowStripes="1" showColumnStripes="0"/>
</table>
</file>

<file path=xl/tables/table38.xml><?xml version="1.0" encoding="utf-8"?>
<table xmlns="http://schemas.openxmlformats.org/spreadsheetml/2006/main" id="78" name="Tableau3979" displayName="Tableau3979" ref="D234:H241" totalsRowCount="1" headerRowDxfId="865" dataDxfId="864" totalsRowDxfId="863">
  <autoFilter ref="D234:H240"/>
  <tableColumns count="5">
    <tableColumn id="1" name="Départements" dataDxfId="862" totalsRowDxfId="861"/>
    <tableColumn id="2" name="Conflits" totalsRowFunction="custom" dataDxfId="860" totalsRowDxfId="859">
      <calculatedColumnFormula>SUMIFS(DisplacementPeriod[ind],DisplacementPeriod[adm2_name],Tableau3979[[#This Row],[Départements]],DisplacementPeriod[raison],"Conflits EIAO",DisplacementPeriod[deplacement],"retournes")</calculatedColumnFormula>
      <totalsRowFormula>SUM(E235:E240)</totalsRowFormula>
    </tableColumn>
    <tableColumn id="3" name="Climat" totalsRowFunction="custom" dataDxfId="858" totalsRowDxfId="857">
      <calculatedColumnFormula>SUMIFS(DisplacementPeriod[ind],DisplacementPeriod[adm2_name],Tableau3979[[#This Row],[Départements]],DisplacementPeriod[raison],"inondations et desastres naturels",DisplacementPeriod[deplacement],"retournes")</calculatedColumnFormula>
      <totalsRowFormula>SUM(F235:F240)</totalsRowFormula>
    </tableColumn>
    <tableColumn id="4" name="Autre" totalsRowFunction="custom" dataDxfId="856" totalsRowDxfId="855">
      <calculatedColumnFormula>SUMIFS(DisplacementPeriod[ind],DisplacementPeriod[adm2_name],Tableau3979[[#This Row],[Départements]],DisplacementPeriod[raison],"autre",DisplacementPeriod[deplacement],"retournes")</calculatedColumnFormula>
      <totalsRowFormula>SUM(G235:G240)</totalsRowFormula>
    </tableColumn>
    <tableColumn id="5" name="Total" totalsRowFunction="sum" dataDxfId="854" totalsRowDxfId="853">
      <calculatedColumnFormula>SUM(Tableau3979[[#This Row],[Conflits]:[Autre]])</calculatedColumnFormula>
    </tableColumn>
  </tableColumns>
  <tableStyleInfo name="TableStyleOIM RET 2" showFirstColumn="0" showLastColumn="0" showRowStripes="1" showColumnStripes="0"/>
</table>
</file>

<file path=xl/tables/table39.xml><?xml version="1.0" encoding="utf-8"?>
<table xmlns="http://schemas.openxmlformats.org/spreadsheetml/2006/main" id="90" name="Tableau4091" displayName="Tableau4091" ref="N246:R252" totalsRowShown="0" headerRowDxfId="852" dataDxfId="851">
  <autoFilter ref="N246:R252"/>
  <tableColumns count="5">
    <tableColumn id="1" name="Departments" dataDxfId="850"/>
    <tableColumn id="2" name="Conflicts" dataDxfId="849">
      <calculatedColumnFormula>O235/R235</calculatedColumnFormula>
    </tableColumn>
    <tableColumn id="3" name="Climate related" dataDxfId="848">
      <calculatedColumnFormula>P235/R235</calculatedColumnFormula>
    </tableColumn>
    <tableColumn id="4" name="Other" dataDxfId="847">
      <calculatedColumnFormula>Q235/R235</calculatedColumnFormula>
    </tableColumn>
    <tableColumn id="5" name="Total" dataDxfId="846">
      <calculatedColumnFormula>SUM(Tableau4091[[#This Row],[Conflicts]:[Other]])</calculatedColumnFormula>
    </tableColumn>
  </tableColumns>
  <tableStyleInfo name="TableStyleOIM RET 2" showFirstColumn="0" showLastColumn="0" showRowStripes="1" showColumnStripes="0"/>
</table>
</file>

<file path=xl/tables/table4.xml><?xml version="1.0" encoding="utf-8"?>
<table xmlns="http://schemas.openxmlformats.org/spreadsheetml/2006/main" id="63" name="Tableau63" displayName="Tableau63" ref="C97:D104" totalsRowCount="1" headerRowDxfId="1275" dataDxfId="1274" totalsRowDxfId="1273">
  <autoFilter ref="C97:D103"/>
  <tableColumns count="2">
    <tableColumn id="1" name="Départements" dataDxfId="1272" totalsRowDxfId="1271"/>
    <tableColumn id="2" name="villages" totalsRowFunction="custom" dataDxfId="1270" totalsRowDxfId="1269">
      <calculatedColumnFormula>COUNTIFS(Dashboard[evaluation_adm2_name],Tableau63[[#This Row],[Départements]],Dashboard[nouveau],"*", Dashboard[ret_ind],"&gt;"&amp;0)</calculatedColumnFormula>
      <totalsRowFormula>SUM(D98:D103)</totalsRowFormula>
    </tableColumn>
  </tableColumns>
  <tableStyleInfo name="TableStyleOIM RET 2" showFirstColumn="0" showLastColumn="0" showRowStripes="1" showColumnStripes="0"/>
</table>
</file>

<file path=xl/tables/table40.xml><?xml version="1.0" encoding="utf-8"?>
<table xmlns="http://schemas.openxmlformats.org/spreadsheetml/2006/main" id="91" name="Tableau4192" displayName="Tableau4192" ref="D246:H252" totalsRowShown="0" headerRowDxfId="845" dataDxfId="844">
  <autoFilter ref="D246:H252"/>
  <tableColumns count="5">
    <tableColumn id="1" name="Départements" dataDxfId="843"/>
    <tableColumn id="2" name="Conflits" dataDxfId="842">
      <calculatedColumnFormula>E235/H235</calculatedColumnFormula>
    </tableColumn>
    <tableColumn id="3" name="Climat" dataDxfId="841">
      <calculatedColumnFormula>F235/H235</calculatedColumnFormula>
    </tableColumn>
    <tableColumn id="4" name="Autre" dataDxfId="840">
      <calculatedColumnFormula>G235/H235</calculatedColumnFormula>
    </tableColumn>
    <tableColumn id="5" name="Total" dataDxfId="839">
      <calculatedColumnFormula>SUM(Tableau4192[[#This Row],[Conflits]:[Autre]])</calculatedColumnFormula>
    </tableColumn>
  </tableColumns>
  <tableStyleInfo name="TableStyleOIM RET 2" showFirstColumn="0" showLastColumn="0" showRowStripes="1" showColumnStripes="0"/>
</table>
</file>

<file path=xl/tables/table41.xml><?xml version="1.0" encoding="utf-8"?>
<table xmlns="http://schemas.openxmlformats.org/spreadsheetml/2006/main" id="102" name="Table102" displayName="Table102" ref="J161:K167" totalsRowShown="0" headerRowDxfId="838" dataDxfId="837">
  <autoFilter ref="J161:K167"/>
  <tableColumns count="2">
    <tableColumn id="1" name="Départements" dataDxfId="836"/>
    <tableColumn id="2" name="Aléas climatiques" dataDxfId="835"/>
  </tableColumns>
  <tableStyleInfo name="TableStyleOIM IDP" showFirstColumn="0" showLastColumn="0" showRowStripes="1" showColumnStripes="0"/>
</table>
</file>

<file path=xl/tables/table42.xml><?xml version="1.0" encoding="utf-8"?>
<table xmlns="http://schemas.openxmlformats.org/spreadsheetml/2006/main" id="103" name="Table103" displayName="Table103" ref="J150:K156" totalsRowShown="0" headerRowDxfId="834" dataDxfId="833">
  <autoFilter ref="J150:K156"/>
  <sortState ref="J151:K156">
    <sortCondition ref="K150:K156"/>
  </sortState>
  <tableColumns count="2">
    <tableColumn id="1" name="Départements" dataDxfId="832"/>
    <tableColumn id="2" name="Conflits" dataDxfId="831"/>
  </tableColumns>
  <tableStyleInfo name="TableStyleOIM IDP" showFirstColumn="0" showLastColumn="0" showRowStripes="1" showColumnStripes="0"/>
</table>
</file>

<file path=xl/tables/table43.xml><?xml version="1.0" encoding="utf-8"?>
<table xmlns="http://schemas.openxmlformats.org/spreadsheetml/2006/main" id="6" name="Locations" displayName="Locations" ref="A1:R748" tableType="queryTable" totalsRowShown="0" headerRowDxfId="830" dataDxfId="829">
  <autoFilter ref="A1:R748"/>
  <tableColumns count="18">
    <tableColumn id="37" uniqueName="37" name="#" queryTableFieldId="1" dataDxfId="828"/>
    <tableColumn id="38" uniqueName="38" name="Adm1_Name" queryTableFieldId="2" dataDxfId="827"/>
    <tableColumn id="39" uniqueName="39" name="Adm1_code" queryTableFieldId="3" dataDxfId="826"/>
    <tableColumn id="40" uniqueName="40" name="Adm2_Name" queryTableFieldId="4" dataDxfId="825"/>
    <tableColumn id="41" uniqueName="41" name="Adm2_code" queryTableFieldId="5" dataDxfId="824"/>
    <tableColumn id="42" uniqueName="42" name="Adm3_Name" queryTableFieldId="6" dataDxfId="823"/>
    <tableColumn id="43" uniqueName="43" name="Adm3_code" queryTableFieldId="7" dataDxfId="822"/>
    <tableColumn id="44" uniqueName="44" name="Village_code" queryTableFieldId="8" dataDxfId="821"/>
    <tableColumn id="45" uniqueName="45" name="Village_name" queryTableFieldId="9" dataDxfId="820"/>
    <tableColumn id="46" uniqueName="46" name="Gps_long" queryTableFieldId="10" dataDxfId="819"/>
    <tableColumn id="47" uniqueName="47" name="Gps_lat" queryTableFieldId="11" dataDxfId="818"/>
    <tableColumn id="48" uniqueName="48" name="Ind_IDPs" queryTableFieldId="12" dataDxfId="817"/>
    <tableColumn id="49" uniqueName="49" name="HH_IDPs" queryTableFieldId="13" dataDxfId="816"/>
    <tableColumn id="50" uniqueName="50" name="Ind_Unregistered_Refugees" queryTableFieldId="14" dataDxfId="815"/>
    <tableColumn id="51" uniqueName="51" name="HH_Unregistered_Refugees" queryTableFieldId="15" dataDxfId="814"/>
    <tableColumn id="52" uniqueName="52" name="Ind_Returnees" queryTableFieldId="16" dataDxfId="813"/>
    <tableColumn id="53" uniqueName="53" name="HH_Returnees" queryTableFieldId="17" dataDxfId="812"/>
    <tableColumn id="54" uniqueName="54" name="New" queryTableFieldId="18" dataDxfId="811"/>
  </tableColumns>
  <tableStyleInfo name="TableStyleQueryPreview" showFirstColumn="0" showLastColumn="0" showRowStripes="1" showColumnStripes="0"/>
</table>
</file>

<file path=xl/tables/table44.xml><?xml version="1.0" encoding="utf-8"?>
<table xmlns="http://schemas.openxmlformats.org/spreadsheetml/2006/main" id="8" name="DisplacementPeriod" displayName="DisplacementPeriod" ref="A1:W1984" tableType="queryTable" totalsRowShown="0" headerRowDxfId="810" dataDxfId="809">
  <autoFilter ref="A1:W1984"/>
  <tableColumns count="23">
    <tableColumn id="1" uniqueName="1" name="adm1_name" queryTableFieldId="1" dataDxfId="808"/>
    <tableColumn id="2" uniqueName="2" name="adm1_code" queryTableFieldId="2" dataDxfId="807"/>
    <tableColumn id="3" uniqueName="3" name="adm2_name" queryTableFieldId="3" dataDxfId="806"/>
    <tableColumn id="4" uniqueName="4" name="adm2_code" queryTableFieldId="4" dataDxfId="805"/>
    <tableColumn id="5" uniqueName="5" name="adm3_name" queryTableFieldId="5" dataDxfId="804"/>
    <tableColumn id="6" uniqueName="6" name="adm3_code" queryTableFieldId="6" dataDxfId="803"/>
    <tableColumn id="7" uniqueName="7" name="village_name" queryTableFieldId="7" dataDxfId="802"/>
    <tableColumn id="8" uniqueName="8" name="village_code" queryTableFieldId="8" dataDxfId="801"/>
    <tableColumn id="9" uniqueName="9" name="deplacement" queryTableFieldId="9" dataDxfId="800"/>
    <tableColumn id="10" uniqueName="10" name="periode" queryTableFieldId="10" dataDxfId="799"/>
    <tableColumn id="11" uniqueName="11" name="hh" queryTableFieldId="11" dataDxfId="798"/>
    <tableColumn id="12" uniqueName="12" name="ind" queryTableFieldId="12" dataDxfId="797"/>
    <tableColumn id="13" uniqueName="13" name="raison" queryTableFieldId="13" dataDxfId="796"/>
    <tableColumn id="14" uniqueName="14" name="autre_raison" queryTableFieldId="14" dataDxfId="795"/>
    <tableColumn id="15" uniqueName="15" name="provenance" queryTableFieldId="15" dataDxfId="794"/>
    <tableColumn id="16" uniqueName="16" name="provenance_adm0" queryTableFieldId="16" dataDxfId="793"/>
    <tableColumn id="17" uniqueName="17" name="provenance_adm0_nom" queryTableFieldId="17" dataDxfId="792"/>
    <tableColumn id="18" uniqueName="18" name="provenance_adm1" queryTableFieldId="18" dataDxfId="791"/>
    <tableColumn id="19" uniqueName="19" name="provenance_adm1_nom" queryTableFieldId="19" dataDxfId="790"/>
    <tableColumn id="20" uniqueName="20" name="provenance_adm2" queryTableFieldId="20" dataDxfId="789"/>
    <tableColumn id="21" uniqueName="21" name="provenance_adm2_nom" queryTableFieldId="21" dataDxfId="788"/>
    <tableColumn id="22" uniqueName="22" name="provenance_adm3" queryTableFieldId="22" dataDxfId="787"/>
    <tableColumn id="23" uniqueName="23" name="provenance_adm3_nom" queryTableFieldId="23" dataDxfId="786"/>
  </tableColumns>
  <tableStyleInfo name="TableStyleQueryPreview" showFirstColumn="0" showLastColumn="0" showRowStripes="1" showColumnStripes="0"/>
</table>
</file>

<file path=xl/tables/table45.xml><?xml version="1.0" encoding="utf-8"?>
<table xmlns="http://schemas.openxmlformats.org/spreadsheetml/2006/main" id="2" name="Assistances" displayName="Assistances" ref="A1:AD475" tableType="queryTable" totalsRowShown="0" headerRowDxfId="785" dataDxfId="784">
  <autoFilter ref="A1:AD475"/>
  <tableColumns count="30">
    <tableColumn id="61" uniqueName="61" name="Admin1_Code" queryTableFieldId="1" dataDxfId="783"/>
    <tableColumn id="62" uniqueName="62" name="evaluation_adm2_name" queryTableFieldId="2" dataDxfId="782"/>
    <tableColumn id="63" uniqueName="63" name="evaluation_adm2_code" queryTableFieldId="3" dataDxfId="781"/>
    <tableColumn id="64" uniqueName="64" name="evaluation_adm3_name" queryTableFieldId="4" dataDxfId="780"/>
    <tableColumn id="65" uniqueName="65" name="evaluation_adm3_code" queryTableFieldId="5" dataDxfId="779"/>
    <tableColumn id="66" uniqueName="66" name="evaluation_village_name" queryTableFieldId="6" dataDxfId="778"/>
    <tableColumn id="67" uniqueName="67" name="evaluation_village_code" queryTableFieldId="7" dataDxfId="777"/>
    <tableColumn id="68" uniqueName="68" name="evaluation_village_long" queryTableFieldId="8" dataDxfId="776"/>
    <tableColumn id="69" uniqueName="69" name="evaluation_village_lat" queryTableFieldId="9" dataDxfId="775"/>
    <tableColumn id="70" uniqueName="70" name="evaluation_village_acurate" queryTableFieldId="10" dataDxfId="774"/>
    <tableColumn id="71" uniqueName="71" name="Autre" queryTableFieldId="11" dataDxfId="773"/>
    <tableColumn id="72" uniqueName="72" name="Argent" queryTableFieldId="12" dataDxfId="772"/>
    <tableColumn id="73" uniqueName="73" name="Cereales" queryTableFieldId="13" dataDxfId="771"/>
    <tableColumn id="74" uniqueName="74" name="Information" queryTableFieldId="14" dataDxfId="770"/>
    <tableColumn id="75" uniqueName="75" name="cadastre" queryTableFieldId="15" dataDxfId="769"/>
    <tableColumn id="76" uniqueName="76" name="Education" queryTableFieldId="16" dataDxfId="768"/>
    <tableColumn id="77" uniqueName="77" name="Finances" queryTableFieldId="17" dataDxfId="767"/>
    <tableColumn id="78" uniqueName="78" name="Forage" queryTableFieldId="18" dataDxfId="766"/>
    <tableColumn id="79" uniqueName="79" name="FournitureScolaire" queryTableFieldId="19" dataDxfId="765"/>
    <tableColumn id="80" uniqueName="80" name="KitHygiene" queryTableFieldId="20" dataDxfId="764"/>
    <tableColumn id="81" uniqueName="81" name="Latrines" queryTableFieldId="21" dataDxfId="763"/>
    <tableColumn id="82" uniqueName="82" name="Materiel" queryTableFieldId="22" dataDxfId="762"/>
    <tableColumn id="83" uniqueName="83" name="KitAgricole" queryTableFieldId="23" dataDxfId="761"/>
    <tableColumn id="84" uniqueName="84" name="KitCouchage" queryTableFieldId="24" dataDxfId="760"/>
    <tableColumn id="85" uniqueName="85" name="KitSanitaire" queryTableFieldId="25" dataDxfId="759"/>
    <tableColumn id="86" uniqueName="86" name="StructuresSanitaire" queryTableFieldId="26" dataDxfId="758"/>
    <tableColumn id="87" uniqueName="87" name="Medicaments" queryTableFieldId="27" dataDxfId="757"/>
    <tableColumn id="88" uniqueName="88" name="NFI" queryTableFieldId="28" dataDxfId="756"/>
    <tableColumn id="89" uniqueName="89" name="Sensibilisation" queryTableFieldId="29" dataDxfId="755"/>
    <tableColumn id="90" uniqueName="90" name="Vivres" queryTableFieldId="30" dataDxfId="754"/>
  </tableColumns>
  <tableStyleInfo name="TableStyleQueryPreview" showFirstColumn="0" showLastColumn="0" showRowStripes="1" showColumnStripes="0"/>
</table>
</file>

<file path=xl/tables/table46.xml><?xml version="1.0" encoding="utf-8"?>
<table xmlns="http://schemas.openxmlformats.org/spreadsheetml/2006/main" id="22" name="Tableau22" displayName="Tableau22" ref="S3:Y10" totalsRowCount="1" headerRowDxfId="753" dataDxfId="752" totalsRowDxfId="751">
  <autoFilter ref="S3:Y9"/>
  <tableColumns count="7">
    <tableColumn id="1" name="Departments" totalsRowLabel="Total" dataDxfId="750" totalsRowDxfId="749"/>
    <tableColumn id="2" name="Round 8" totalsRowFunction="custom" dataDxfId="748" totalsRowDxfId="747">
      <calculatedColumnFormula>C4</calculatedColumnFormula>
      <totalsRowFormula>SUM(T4:T9)</totalsRowFormula>
    </tableColumn>
    <tableColumn id="3" name="Round 9" totalsRowFunction="custom" dataDxfId="746" totalsRowDxfId="745">
      <calculatedColumnFormula>D4</calculatedColumnFormula>
      <totalsRowFormula>SUM(U4:U9)</totalsRowFormula>
    </tableColumn>
    <tableColumn id="4" name="Round 10" totalsRowFunction="custom" dataDxfId="744" totalsRowDxfId="743">
      <calculatedColumnFormula>E4</calculatedColumnFormula>
      <totalsRowFormula>SUM(V4:V9)</totalsRowFormula>
    </tableColumn>
    <tableColumn id="7" name="Round 11" totalsRowFunction="sum" dataDxfId="742" totalsRowDxfId="741">
      <calculatedColumnFormula>F4</calculatedColumnFormula>
    </tableColumn>
    <tableColumn id="6" name="Round 12" totalsRowFunction="sum" dataDxfId="740" totalsRowDxfId="739">
      <calculatedColumnFormula>G4</calculatedColumnFormula>
    </tableColumn>
    <tableColumn id="5" name="Variation 12 - 11" dataDxfId="738" totalsRowDxfId="737">
      <calculatedColumnFormula>(Tableau22[[#This Row],[Round 12]]-Tableau22[[#This Row],[Round 11]])/Tableau22[[#This Row],[Round 11]]</calculatedColumnFormula>
    </tableColumn>
  </tableColumns>
  <tableStyleInfo name="TableStyleOIM" showFirstColumn="0" showLastColumn="0" showRowStripes="1" showColumnStripes="0"/>
</table>
</file>

<file path=xl/tables/table47.xml><?xml version="1.0" encoding="utf-8"?>
<table xmlns="http://schemas.openxmlformats.org/spreadsheetml/2006/main" id="30" name="Tableau2231" displayName="Tableau2231" ref="AF3:AL10" totalsRowCount="1" headerRowDxfId="736" dataDxfId="735" totalsRowDxfId="734">
  <autoFilter ref="AF3:AL9"/>
  <tableColumns count="7">
    <tableColumn id="1" name="Départements" totalsRowLabel="Total" dataDxfId="733" totalsRowDxfId="732"/>
    <tableColumn id="2" name="Round 8" totalsRowFunction="custom" dataDxfId="731" totalsRowDxfId="730">
      <calculatedColumnFormula>C4</calculatedColumnFormula>
      <totalsRowFormula>SUM(AG4:AG9)</totalsRowFormula>
    </tableColumn>
    <tableColumn id="3" name="Round 9" totalsRowFunction="custom" dataDxfId="729" totalsRowDxfId="728">
      <calculatedColumnFormula>D4</calculatedColumnFormula>
      <totalsRowFormula>SUM(AH4:AH9)</totalsRowFormula>
    </tableColumn>
    <tableColumn id="4" name="Round 10" totalsRowFunction="custom" dataDxfId="727" totalsRowDxfId="726">
      <calculatedColumnFormula>E4</calculatedColumnFormula>
      <totalsRowFormula>SUM(AI4:AI9)</totalsRowFormula>
    </tableColumn>
    <tableColumn id="7" name="Round 11" totalsRowFunction="sum" dataDxfId="725" totalsRowDxfId="724">
      <calculatedColumnFormula>F4</calculatedColumnFormula>
    </tableColumn>
    <tableColumn id="6" name="Round 12" totalsRowFunction="sum" dataDxfId="723" totalsRowDxfId="722">
      <calculatedColumnFormula>G4</calculatedColumnFormula>
    </tableColumn>
    <tableColumn id="5" name="Variation 12 - 11" dataDxfId="721" totalsRowDxfId="720">
      <calculatedColumnFormula>(Tableau2231[[#This Row],[Round 12]]-Tableau2231[[#This Row],[Round 10]])/Tableau2231[[#This Row],[Round 10]]</calculatedColumnFormula>
    </tableColumn>
  </tableColumns>
  <tableStyleInfo name="TableStyleOIM" showFirstColumn="0" showLastColumn="0" showRowStripes="1" showColumnStripes="0"/>
</table>
</file>

<file path=xl/tables/table48.xml><?xml version="1.0" encoding="utf-8"?>
<table xmlns="http://schemas.openxmlformats.org/spreadsheetml/2006/main" id="31" name="Tableau31" displayName="Tableau31" ref="S39:Y46" totalsRowCount="1" headerRowDxfId="719" dataDxfId="718" totalsRowDxfId="717">
  <autoFilter ref="S39:Y45"/>
  <tableColumns count="7">
    <tableColumn id="1" name="Departments" totalsRowLabel="Total" dataDxfId="716" totalsRowDxfId="715"/>
    <tableColumn id="2" name="Round 8" totalsRowFunction="custom" dataDxfId="714" totalsRowDxfId="713">
      <calculatedColumnFormula>H4</calculatedColumnFormula>
      <totalsRowFormula>SUM(T40:T45)</totalsRowFormula>
    </tableColumn>
    <tableColumn id="3" name="Round 9" totalsRowFunction="custom" dataDxfId="712" totalsRowDxfId="711">
      <calculatedColumnFormula>I4</calculatedColumnFormula>
      <totalsRowFormula>SUM(U40:U45)</totalsRowFormula>
    </tableColumn>
    <tableColumn id="4" name="Round 10" totalsRowFunction="custom" dataDxfId="710" totalsRowDxfId="709">
      <calculatedColumnFormula>J4</calculatedColumnFormula>
      <totalsRowFormula>SUM(V40:V45)</totalsRowFormula>
    </tableColumn>
    <tableColumn id="7" name="Round 11" totalsRowFunction="sum" dataDxfId="708" totalsRowDxfId="707">
      <calculatedColumnFormula>K4</calculatedColumnFormula>
    </tableColumn>
    <tableColumn id="6" name="Round 12" totalsRowFunction="sum" dataDxfId="706" totalsRowDxfId="705">
      <calculatedColumnFormula>L4</calculatedColumnFormula>
    </tableColumn>
    <tableColumn id="5" name="Variation 12 - 11" totalsRowFunction="custom" dataDxfId="704" totalsRowDxfId="703">
      <calculatedColumnFormula>(Tableau31[[#This Row],[Round 12]]-Tableau31[[#This Row],[Round 11]])/Tableau31[[#This Row],[Round 11]]</calculatedColumnFormula>
      <totalsRowFormula>(Tableau31[[#Totals],[Round 12]]-Tableau31[[#Totals],[Round 11]])/Tableau31[[#Totals],[Round 11]]</totalsRowFormula>
    </tableColumn>
  </tableColumns>
  <tableStyleInfo name="TableStyleOIM RET 2" showFirstColumn="0" showLastColumn="0" showRowStripes="1" showColumnStripes="0"/>
</table>
</file>

<file path=xl/tables/table49.xml><?xml version="1.0" encoding="utf-8"?>
<table xmlns="http://schemas.openxmlformats.org/spreadsheetml/2006/main" id="32" name="Tableau32" displayName="Tableau32" ref="AG39:AM46" totalsRowCount="1" headerRowDxfId="702" dataDxfId="701" totalsRowDxfId="700">
  <autoFilter ref="AG39:AM45"/>
  <tableColumns count="7">
    <tableColumn id="1" name="Départements" totalsRowLabel="Total" totalsRowDxfId="699"/>
    <tableColumn id="2" name="Round 8" totalsRowFunction="custom" dataDxfId="698" totalsRowDxfId="697">
      <calculatedColumnFormula>H4</calculatedColumnFormula>
      <totalsRowFormula>SUM(AH40:AH45)</totalsRowFormula>
    </tableColumn>
    <tableColumn id="3" name="Round 9" totalsRowFunction="custom" dataDxfId="696" totalsRowDxfId="695">
      <calculatedColumnFormula>I4</calculatedColumnFormula>
      <totalsRowFormula>SUM(AI40:AI45)</totalsRowFormula>
    </tableColumn>
    <tableColumn id="4" name="Round 10" totalsRowFunction="custom" dataDxfId="694" totalsRowDxfId="693">
      <calculatedColumnFormula>J4</calculatedColumnFormula>
      <totalsRowFormula>SUM(AJ40:AJ45)</totalsRowFormula>
    </tableColumn>
    <tableColumn id="7" name="Round 11" totalsRowFunction="sum" dataDxfId="692" totalsRowDxfId="691">
      <calculatedColumnFormula>K4</calculatedColumnFormula>
    </tableColumn>
    <tableColumn id="6" name="Round 12" totalsRowFunction="sum" dataDxfId="690" totalsRowDxfId="689">
      <calculatedColumnFormula>L4</calculatedColumnFormula>
    </tableColumn>
    <tableColumn id="5" name="Variation 12 - 11" totalsRowDxfId="688">
      <calculatedColumnFormula>(Tableau32[[#This Row],[Round 12]]-Tableau32[[#This Row],[Round 10]])/Tableau32[[#This Row],[Round 10]]</calculatedColumnFormula>
    </tableColumn>
  </tableColumns>
  <tableStyleInfo name="TableStyleOIM RET 2" showFirstColumn="0" showLastColumn="0" showRowStripes="1" showColumnStripes="0"/>
</table>
</file>

<file path=xl/tables/table5.xml><?xml version="1.0" encoding="utf-8"?>
<table xmlns="http://schemas.openxmlformats.org/spreadsheetml/2006/main" id="64" name="Tableau6365" displayName="Tableau6365" ref="C49:D56" totalsRowCount="1" headerRowDxfId="1268" dataDxfId="1267" totalsRowDxfId="1266">
  <autoFilter ref="C49:D55"/>
  <tableColumns count="2">
    <tableColumn id="1" name="Départements" dataDxfId="1265" totalsRowDxfId="1264"/>
    <tableColumn id="2" name="villages" totalsRowFunction="custom" dataDxfId="1263" totalsRowDxfId="1262">
      <calculatedColumnFormula>COUNTIFS(Dashboard[evaluation_adm2_name],Tableau6365[[#This Row],[Départements]],Dashboard[nouveau],"*", Dashboard[ref_ind], "&gt;"&amp;0)</calculatedColumnFormula>
      <totalsRowFormula>SUM(D50:D55)</totalsRowFormula>
    </tableColumn>
  </tableColumns>
  <tableStyleInfo name="TableStyleOIM REF 2" showFirstColumn="0" showLastColumn="0" showRowStripes="1" showColumnStripes="0"/>
</table>
</file>

<file path=xl/tables/table50.xml><?xml version="1.0" encoding="utf-8"?>
<table xmlns="http://schemas.openxmlformats.org/spreadsheetml/2006/main" id="33" name="Tableau33" displayName="Tableau33" ref="S74:Y81" totalsRowCount="1" headerRowDxfId="687" dataDxfId="686" totalsRowDxfId="685">
  <autoFilter ref="S74:Y80"/>
  <tableColumns count="7">
    <tableColumn id="1" name="Departments" totalsRowLabel="Total" dataDxfId="684" totalsRowDxfId="683"/>
    <tableColumn id="2" name="Round 8" totalsRowFunction="custom" dataDxfId="682" totalsRowDxfId="681">
      <calculatedColumnFormula>M4</calculatedColumnFormula>
      <totalsRowFormula>SUM(T75:T80)</totalsRowFormula>
    </tableColumn>
    <tableColumn id="3" name="Round 9" totalsRowFunction="custom" dataDxfId="680" totalsRowDxfId="679">
      <calculatedColumnFormula>N4</calculatedColumnFormula>
      <totalsRowFormula>SUM(U75:U80)</totalsRowFormula>
    </tableColumn>
    <tableColumn id="4" name="Round 10" totalsRowFunction="custom" dataDxfId="678" totalsRowDxfId="677">
      <calculatedColumnFormula>O4</calculatedColumnFormula>
      <totalsRowFormula>SUM(V75:V80)</totalsRowFormula>
    </tableColumn>
    <tableColumn id="7" name="Round 11" totalsRowFunction="sum" dataDxfId="676" totalsRowDxfId="675">
      <calculatedColumnFormula>P4</calculatedColumnFormula>
    </tableColumn>
    <tableColumn id="6" name="Round 12" totalsRowFunction="sum" dataDxfId="674" totalsRowDxfId="673">
      <calculatedColumnFormula>Q4</calculatedColumnFormula>
    </tableColumn>
    <tableColumn id="5" name="Variation 12 - 11" dataDxfId="672" totalsRowDxfId="671">
      <calculatedColumnFormula>(Tableau33[[#This Row],[Round 12]]-Tableau33[[#This Row],[Round 11]])/Tableau33[[#This Row],[Round 11]]</calculatedColumnFormula>
    </tableColumn>
  </tableColumns>
  <tableStyleInfo name="TableStyleOIM REF 2" showFirstColumn="0" showLastColumn="0" showRowStripes="1" showColumnStripes="0"/>
</table>
</file>

<file path=xl/tables/table51.xml><?xml version="1.0" encoding="utf-8"?>
<table xmlns="http://schemas.openxmlformats.org/spreadsheetml/2006/main" id="34" name="Tableau34" displayName="Tableau34" ref="AF74:AL81" totalsRowCount="1" headerRowDxfId="670" dataDxfId="669" totalsRowDxfId="668">
  <autoFilter ref="AF74:AL80"/>
  <tableColumns count="7">
    <tableColumn id="1" name="Départements" totalsRowLabel="Total" dataDxfId="667" totalsRowDxfId="666"/>
    <tableColumn id="2" name="Round 8" totalsRowFunction="custom" dataDxfId="665" totalsRowDxfId="664">
      <calculatedColumnFormula>M4</calculatedColumnFormula>
      <totalsRowFormula>SUM(AG75:AG80)</totalsRowFormula>
    </tableColumn>
    <tableColumn id="3" name="Round 9" totalsRowFunction="custom" dataDxfId="663" totalsRowDxfId="662">
      <calculatedColumnFormula>N4</calculatedColumnFormula>
      <totalsRowFormula>SUM(AH75:AH80)</totalsRowFormula>
    </tableColumn>
    <tableColumn id="4" name="Round 10" totalsRowFunction="custom" dataDxfId="661" totalsRowDxfId="660">
      <calculatedColumnFormula>O4</calculatedColumnFormula>
      <totalsRowFormula>SUM(AI75:AI80)</totalsRowFormula>
    </tableColumn>
    <tableColumn id="7" name="Round 11" totalsRowFunction="sum" dataDxfId="659" totalsRowDxfId="658">
      <calculatedColumnFormula>P4</calculatedColumnFormula>
    </tableColumn>
    <tableColumn id="6" name="Round 12" totalsRowFunction="sum" dataDxfId="657" totalsRowDxfId="656">
      <calculatedColumnFormula>Q4</calculatedColumnFormula>
    </tableColumn>
    <tableColumn id="5" name="Variation 12 - 11" dataDxfId="655" totalsRowDxfId="654">
      <calculatedColumnFormula>(Tableau34[[#This Row],[Round 12]]-Tableau34[[#This Row],[Round 10]])/Tableau34[[#This Row],[Round 10]]</calculatedColumnFormula>
    </tableColumn>
  </tableColumns>
  <tableStyleInfo name="TableStyleOIM REF 2" showFirstColumn="0" showLastColumn="0" showRowStripes="1" showColumnStripes="0"/>
</table>
</file>

<file path=xl/tables/table52.xml><?xml version="1.0" encoding="utf-8"?>
<table xmlns="http://schemas.openxmlformats.org/spreadsheetml/2006/main" id="101" name="Table101" displayName="Table101" ref="H154:L161" totalsRowShown="0">
  <autoFilter ref="H154:L161"/>
  <tableColumns count="5">
    <tableColumn id="5" name="Départements" dataDxfId="653"/>
    <tableColumn id="1" name="Actuel" dataDxfId="652">
      <calculatedColumnFormula>SUMIFS(comparaison_samebasis_villages[act_ret_ind],comparaison_samebasis_villages[evaluation_adm2_name],Table101[[#This Row],[Départements]])</calculatedColumnFormula>
    </tableColumn>
    <tableColumn id="2" name="Précédent" dataDxfId="651">
      <calculatedColumnFormula>SUMIFS(comparaison_samebasis_villages[prev_ret_ind],comparaison_samebasis_villages[evaluation_adm2_name],Table101[[#This Row],[Départements]])</calculatedColumnFormula>
    </tableColumn>
    <tableColumn id="3" name="variation (%)" dataDxfId="650" dataCellStyle="Percent">
      <calculatedColumnFormula>(I155-J155)/J155</calculatedColumnFormula>
    </tableColumn>
    <tableColumn id="4" name="variation (#)" dataDxfId="649">
      <calculatedColumnFormula>I155-J155</calculatedColumnFormula>
    </tableColumn>
  </tableColumns>
  <tableStyleInfo name="TableStyleQueryPreview" showFirstColumn="0" showLastColumn="0" showRowStripes="1" showColumnStripes="0"/>
</table>
</file>

<file path=xl/tables/table53.xml><?xml version="1.0" encoding="utf-8"?>
<table xmlns="http://schemas.openxmlformats.org/spreadsheetml/2006/main" id="104" name="Table104" displayName="Table104" ref="H140:L147" totalsRowShown="0">
  <autoFilter ref="H140:L147"/>
  <tableColumns count="5">
    <tableColumn id="5" name="Départements" dataDxfId="648"/>
    <tableColumn id="1" name="Actuel" dataDxfId="647">
      <calculatedColumnFormula>SUMIFS(comparaison_samebasis_villages[act_ref_ind],comparaison_samebasis_villages[evaluation_adm2_name],Table104[[#This Row],[Départements]])</calculatedColumnFormula>
    </tableColumn>
    <tableColumn id="2" name="Précédent" dataDxfId="646">
      <calculatedColumnFormula>SUMIFS(comparaison_samebasis_villages[prev_ref_ind],comparaison_samebasis_villages[evaluation_adm2_name],Table104[[#This Row],[Départements]])</calculatedColumnFormula>
    </tableColumn>
    <tableColumn id="3" name="variation (%)" dataDxfId="645" dataCellStyle="Percent">
      <calculatedColumnFormula>(I141-J141)/J141</calculatedColumnFormula>
    </tableColumn>
    <tableColumn id="4" name="variation (#)" dataDxfId="644">
      <calculatedColumnFormula>I141-J141</calculatedColumnFormula>
    </tableColumn>
  </tableColumns>
  <tableStyleInfo name="TableStyleQueryPreview" showFirstColumn="0" showLastColumn="0" showRowStripes="1" showColumnStripes="0"/>
</table>
</file>

<file path=xl/tables/table54.xml><?xml version="1.0" encoding="utf-8"?>
<table xmlns="http://schemas.openxmlformats.org/spreadsheetml/2006/main" id="105" name="Table105" displayName="Table105" ref="H125:L132" totalsRowShown="0">
  <autoFilter ref="H125:L132"/>
  <tableColumns count="5">
    <tableColumn id="1" name="Départements"/>
    <tableColumn id="2" name="Actuel" dataDxfId="643">
      <calculatedColumnFormula>SUMIFS(comparaison_samebasis_villages[act_idp_ind],comparaison_samebasis_villages[evaluation_adm2_name],Table105[[#This Row],[Départements]])</calculatedColumnFormula>
    </tableColumn>
    <tableColumn id="3" name="Précédent" dataDxfId="642">
      <calculatedColumnFormula>SUMIFS(comparaison_samebasis_villages[prev_idp_ind],comparaison_samebasis_villages[evaluation_adm2_name],Table105[[#This Row],[Départements]])</calculatedColumnFormula>
    </tableColumn>
    <tableColumn id="4" name="variation (%)" dataDxfId="641" dataCellStyle="Percent">
      <calculatedColumnFormula>(I126-J126)/J126</calculatedColumnFormula>
    </tableColumn>
    <tableColumn id="5" name="variation (#)" dataDxfId="640" dataCellStyle="Percent">
      <calculatedColumnFormula>I126-J126</calculatedColumnFormula>
    </tableColumn>
  </tableColumns>
  <tableStyleInfo name="TableStyleQueryPreview" showFirstColumn="0" showLastColumn="0" showRowStripes="1" showColumnStripes="0"/>
</table>
</file>

<file path=xl/tables/table55.xml><?xml version="1.0" encoding="utf-8"?>
<table xmlns="http://schemas.openxmlformats.org/spreadsheetml/2006/main" id="37" name="dtm_new_villages" displayName="dtm_new_villages" ref="A2:K6" tableType="queryTable" totalsRowShown="0" headerRowDxfId="639" dataDxfId="638">
  <autoFilter ref="A2:K6"/>
  <tableColumns count="11">
    <tableColumn id="23" uniqueName="23" name="Adm2_Name" queryTableFieldId="1" dataDxfId="637"/>
    <tableColumn id="24" uniqueName="24" name="Adm3_Name" queryTableFieldId="2" dataDxfId="636"/>
    <tableColumn id="25" uniqueName="25" name="Village_name" queryTableFieldId="3" dataDxfId="635"/>
    <tableColumn id="26" uniqueName="26" name="Gps_long" queryTableFieldId="4" dataDxfId="634"/>
    <tableColumn id="27" uniqueName="27" name="Gps_lat" queryTableFieldId="5" dataDxfId="633"/>
    <tableColumn id="28" uniqueName="28" name="Ind_IDPs" queryTableFieldId="6" dataDxfId="632"/>
    <tableColumn id="29" uniqueName="29" name="HH_IDPs" queryTableFieldId="7" dataDxfId="631"/>
    <tableColumn id="30" uniqueName="30" name="Ind_Unregistered_Refugees" queryTableFieldId="8" dataDxfId="630"/>
    <tableColumn id="31" uniqueName="31" name="HH_Unregistered_Refugees" queryTableFieldId="9" dataDxfId="629"/>
    <tableColumn id="32" uniqueName="32" name="Ind_Returnees" queryTableFieldId="10" dataDxfId="628"/>
    <tableColumn id="33" uniqueName="33" name="HH_Returnees" queryTableFieldId="11" dataDxfId="627"/>
  </tableColumns>
  <tableStyleInfo name="TableStyleOIM" showFirstColumn="0" showLastColumn="0" showRowStripes="1" showColumnStripes="0"/>
</table>
</file>

<file path=xl/tables/table56.xml><?xml version="1.0" encoding="utf-8"?>
<table xmlns="http://schemas.openxmlformats.org/spreadsheetml/2006/main" id="11" name="Tableau11" displayName="Tableau11" ref="C5:G12" totalsRowCount="1" headerRowDxfId="556" dataDxfId="555" totalsRowDxfId="553" tableBorderDxfId="554">
  <autoFilter ref="C5:G11"/>
  <tableColumns count="5">
    <tableColumn id="1" name="Individus" dataDxfId="552" totalsRowDxfId="551"/>
    <tableColumn id="2" name="Population déplacée interne" totalsRowFunction="custom" dataDxfId="550" totalsRowDxfId="549">
      <calculatedColumnFormula>SUMIF(Dashboard[evaluation_adm2_name],""&amp;Tableau11[[#This Row],[Individus]],Dashboard[idp_ind])</calculatedColumnFormula>
      <totalsRowFormula>SUM(D6:D11)</totalsRowFormula>
    </tableColumn>
    <tableColumn id="3" name="Réfugiés non-enregistrés" totalsRowFunction="custom" dataDxfId="548" totalsRowDxfId="547">
      <calculatedColumnFormula>SUMIF(Dashboard[evaluation_adm2_name],""&amp;Tableau11[[#This Row],[Individus]],Dashboard[ref_ind])</calculatedColumnFormula>
      <totalsRowFormula>SUM(E6:E11)</totalsRowFormula>
    </tableColumn>
    <tableColumn id="4" name="Retournés" totalsRowFunction="custom" dataDxfId="546" totalsRowDxfId="545">
      <calculatedColumnFormula>SUMIF(Dashboard[evaluation_adm2_name],""&amp;Tableau11[[#This Row],[Individus]],Dashboard[ret_ind])</calculatedColumnFormula>
      <totalsRowFormula>SUM(F6:F11)</totalsRowFormula>
    </tableColumn>
    <tableColumn id="5" name="Total" totalsRowFunction="custom" dataDxfId="544" totalsRowDxfId="543">
      <calculatedColumnFormula>Tableau11[[#This Row],[Population déplacée interne]]+Tableau11[[#This Row],[Réfugiés non-enregistrés]]+Tableau11[[#This Row],[Retournés]]</calculatedColumnFormula>
      <totalsRowFormula>SUM(G6:G11)</totalsRowFormula>
    </tableColumn>
  </tableColumns>
  <tableStyleInfo name="TableStyleOIM" showFirstColumn="0" showLastColumn="0" showRowStripes="1" showColumnStripes="0"/>
</table>
</file>

<file path=xl/tables/table57.xml><?xml version="1.0" encoding="utf-8"?>
<table xmlns="http://schemas.openxmlformats.org/spreadsheetml/2006/main" id="12" name="Tableau12" displayName="Tableau12" ref="M5:Q12" totalsRowCount="1" headerRowDxfId="542" dataDxfId="541" totalsRowDxfId="539" tableBorderDxfId="540">
  <autoFilter ref="M5:Q11"/>
  <tableColumns count="5">
    <tableColumn id="1" name="Individuals" dataDxfId="538" totalsRowDxfId="537"/>
    <tableColumn id="2" name="Internally displaced people" totalsRowFunction="custom" dataDxfId="536" totalsRowDxfId="535">
      <calculatedColumnFormula>SUMIF(Dashboard[evaluation_adm2_name],""&amp;Tableau12[[#This Row],[Individuals]],Dashboard[idp_ind])</calculatedColumnFormula>
      <totalsRowFormula>SUM(N6:N11)</totalsRowFormula>
    </tableColumn>
    <tableColumn id="3" name="Unregistered refugees" totalsRowFunction="custom" dataDxfId="534" totalsRowDxfId="533">
      <calculatedColumnFormula>SUMIF(Dashboard[evaluation_adm2_name],""&amp;Tableau12[[#This Row],[Individuals]],Dashboard[ref_ind])</calculatedColumnFormula>
      <totalsRowFormula>SUM(O6:O11)</totalsRowFormula>
    </tableColumn>
    <tableColumn id="4" name="Returnees" totalsRowFunction="custom" dataDxfId="532" totalsRowDxfId="531">
      <calculatedColumnFormula>SUMIF(Dashboard[evaluation_adm2_name],""&amp;Tableau12[[#This Row],[Individuals]],Dashboard[ret_ind])</calculatedColumnFormula>
      <totalsRowFormula>SUM(P6:P11)</totalsRowFormula>
    </tableColumn>
    <tableColumn id="5" name="Total" totalsRowFunction="custom" dataDxfId="530" totalsRowDxfId="529">
      <calculatedColumnFormula>Tableau12[[#This Row],[Internally displaced people]]+Tableau12[[#This Row],[Unregistered refugees]]+Tableau12[[#This Row],[Returnees]]</calculatedColumnFormula>
      <totalsRowFormula>SUM(Q6:Q11)</totalsRowFormula>
    </tableColumn>
  </tableColumns>
  <tableStyleInfo name="TableStyleOIM" showFirstColumn="0" showLastColumn="0" showRowStripes="1" showColumnStripes="0"/>
</table>
</file>

<file path=xl/tables/table58.xml><?xml version="1.0" encoding="utf-8"?>
<table xmlns="http://schemas.openxmlformats.org/spreadsheetml/2006/main" id="13" name="Tableau1114" displayName="Tableau1114" ref="C17:G24" totalsRowCount="1" headerRowDxfId="528" dataDxfId="527" totalsRowDxfId="525" tableBorderDxfId="526">
  <autoFilter ref="C17:G23"/>
  <tableColumns count="5">
    <tableColumn id="1" name="Ménages" dataDxfId="524" totalsRowDxfId="523"/>
    <tableColumn id="2" name="Population déplacée interne" totalsRowFunction="custom" dataDxfId="522" totalsRowDxfId="521">
      <calculatedColumnFormula>SUMIF(Dashboard[evaluation_adm2_name],""&amp;Tableau1114[[#This Row],[Ménages]],Dashboard[idp_hh])</calculatedColumnFormula>
      <totalsRowFormula>SUM(D18:D23)</totalsRowFormula>
    </tableColumn>
    <tableColumn id="3" name="Réfugiés non-enregistrés" totalsRowFunction="custom" dataDxfId="520" totalsRowDxfId="519">
      <calculatedColumnFormula>SUMIF(Dashboard[evaluation_adm2_name],""&amp;Tableau1114[[#This Row],[Ménages]],Dashboard[ref_hh])</calculatedColumnFormula>
      <totalsRowFormula>SUM(E18:E23)</totalsRowFormula>
    </tableColumn>
    <tableColumn id="4" name="Retournés" totalsRowFunction="custom" dataDxfId="518" totalsRowDxfId="517">
      <calculatedColumnFormula>SUMIF(Dashboard[evaluation_adm2_name],""&amp;Tableau1114[[#This Row],[Ménages]],Dashboard[ret_hh])</calculatedColumnFormula>
      <totalsRowFormula>SUM(F18:F23)</totalsRowFormula>
    </tableColumn>
    <tableColumn id="5" name="Total" totalsRowFunction="custom" dataDxfId="516" totalsRowDxfId="515">
      <calculatedColumnFormula>Tableau1114[[#This Row],[Population déplacée interne]]+Tableau1114[[#This Row],[Réfugiés non-enregistrés]]+Tableau1114[[#This Row],[Retournés]]</calculatedColumnFormula>
      <totalsRowFormula>SUM(G18:G23)</totalsRowFormula>
    </tableColumn>
  </tableColumns>
  <tableStyleInfo name="TableStyleOIM" showFirstColumn="0" showLastColumn="0" showRowStripes="1" showColumnStripes="0"/>
</table>
</file>

<file path=xl/tables/table59.xml><?xml version="1.0" encoding="utf-8"?>
<table xmlns="http://schemas.openxmlformats.org/spreadsheetml/2006/main" id="14" name="Tableau1215" displayName="Tableau1215" ref="M17:Q24" totalsRowCount="1" headerRowDxfId="514" dataDxfId="513" totalsRowDxfId="511" tableBorderDxfId="512">
  <autoFilter ref="M17:Q23"/>
  <tableColumns count="5">
    <tableColumn id="1" name="Households" dataDxfId="510" totalsRowDxfId="509"/>
    <tableColumn id="2" name="Internal displaced populations" totalsRowFunction="custom" dataDxfId="508" totalsRowDxfId="507">
      <calculatedColumnFormula>SUMIF(Dashboard[evaluation_adm2_name],""&amp;Tableau1215[[#This Row],[Households]],Dashboard[idp_hh])</calculatedColumnFormula>
      <totalsRowFormula>SUM(N18:N23)</totalsRowFormula>
    </tableColumn>
    <tableColumn id="3" name="Unregistered Refugees" totalsRowFunction="custom" dataDxfId="506" totalsRowDxfId="505">
      <calculatedColumnFormula>SUMIF(Dashboard[evaluation_adm2_name],""&amp;Tableau1215[[#This Row],[Households]],Dashboard[ref_hh])</calculatedColumnFormula>
      <totalsRowFormula>SUM(O18:O23)</totalsRowFormula>
    </tableColumn>
    <tableColumn id="4" name="Returnees" totalsRowFunction="custom" dataDxfId="504" totalsRowDxfId="503">
      <calculatedColumnFormula>SUMIF(Dashboard[evaluation_adm2_name],""&amp;Tableau1215[[#This Row],[Households]],Dashboard[ret_hh])</calculatedColumnFormula>
      <totalsRowFormula>SUM(P18:P23)</totalsRowFormula>
    </tableColumn>
    <tableColumn id="5" name="Total" totalsRowFunction="custom" dataDxfId="502" totalsRowDxfId="501">
      <calculatedColumnFormula>Tableau1215[[#This Row],[Internal displaced populations]]+Tableau1215[[#This Row],[Unregistered Refugees]]+Tableau1215[[#This Row],[Returnees]]</calculatedColumnFormula>
      <totalsRowFormula>SUM(Q18:Q23)</totalsRowFormula>
    </tableColumn>
  </tableColumns>
  <tableStyleInfo name="TableStyleOIM" showFirstColumn="0" showLastColumn="0" showRowStripes="1" showColumnStripes="0"/>
</table>
</file>

<file path=xl/tables/table6.xml><?xml version="1.0" encoding="utf-8"?>
<table xmlns="http://schemas.openxmlformats.org/spreadsheetml/2006/main" id="65" name="Tableau6366" displayName="Tableau6366" ref="C5:D12" totalsRowCount="1" headerRowDxfId="1261" dataDxfId="1260" totalsRowDxfId="1259">
  <autoFilter ref="C5:D11"/>
  <tableColumns count="2">
    <tableColumn id="1" name="Départements" dataDxfId="1258" totalsRowDxfId="1257"/>
    <tableColumn id="2" name="villages" totalsRowFunction="custom" dataDxfId="1256" totalsRowDxfId="1255">
      <calculatedColumnFormula>COUNTIFS(Dashboard[evaluation_adm2_name],Tableau6366[[#This Row],[Départements]],Dashboard[nouveau],"*",Dashboard[idp_ind],"&gt;"&amp;0)</calculatedColumnFormula>
      <totalsRowFormula>SUM(D6:D11)</totalsRowFormula>
    </tableColumn>
  </tableColumns>
  <tableStyleInfo name="TableStyleOIM IDP" showFirstColumn="0" showLastColumn="0" showRowStripes="1" showColumnStripes="0"/>
</table>
</file>

<file path=xl/tables/table60.xml><?xml version="1.0" encoding="utf-8"?>
<table xmlns="http://schemas.openxmlformats.org/spreadsheetml/2006/main" id="15" name="Tableau15" displayName="Tableau15" ref="C60:G67" totalsRowCount="1" headerRowDxfId="500" dataDxfId="499" totalsRowDxfId="498">
  <autoFilter ref="C60:G66"/>
  <tableColumns count="5">
    <tableColumn id="1" name="Periodes" dataDxfId="497" totalsRowDxfId="496"/>
    <tableColumn id="2" name="Population déplacée interne" totalsRowFunction="custom" dataDxfId="495" totalsRowDxfId="494">
      <calculatedColumnFormula>SUMIFS(DisplacementPeriod[ind],DisplacementPeriod[deplacement],"idp",DisplacementPeriod[periode],Tableau15[[#This Row],[Periodes]])</calculatedColumnFormula>
      <totalsRowFormula>SUM(D61:D66)</totalsRowFormula>
    </tableColumn>
    <tableColumn id="3" name="Réfugiés non-enregistrés" totalsRowFunction="custom" dataDxfId="493" totalsRowDxfId="492">
      <calculatedColumnFormula>SUMIFS(DisplacementPeriod[ind],DisplacementPeriod[deplacement],"refugies non enregistres",DisplacementPeriod[periode],Tableau15[[#This Row],[Periodes]])</calculatedColumnFormula>
      <totalsRowFormula>SUM(E61:E66)</totalsRowFormula>
    </tableColumn>
    <tableColumn id="4" name="Retournés" totalsRowFunction="custom" dataDxfId="491" totalsRowDxfId="490">
      <calculatedColumnFormula>SUMIFS(DisplacementPeriod[ind],DisplacementPeriod[deplacement],"retournes",DisplacementPeriod[periode],Tableau15[[#This Row],[Periodes]])</calculatedColumnFormula>
      <totalsRowFormula>SUM(F61:F66)</totalsRowFormula>
    </tableColumn>
    <tableColumn id="5" name="Total" totalsRowFunction="custom" dataDxfId="489" totalsRowDxfId="488">
      <calculatedColumnFormula>Tableau15[[#This Row],[Population déplacée interne]]+Tableau15[[#This Row],[Réfugiés non-enregistrés]]+Tableau15[[#This Row],[Retournés]]</calculatedColumnFormula>
      <totalsRowFormula>SUM(G61:G66)</totalsRowFormula>
    </tableColumn>
  </tableColumns>
  <tableStyleInfo name="TableStyleOIM" showFirstColumn="0" showLastColumn="0" showRowStripes="1" showColumnStripes="0"/>
</table>
</file>

<file path=xl/tables/table61.xml><?xml version="1.0" encoding="utf-8"?>
<table xmlns="http://schemas.openxmlformats.org/spreadsheetml/2006/main" id="16" name="Tableau16" displayName="Tableau16" ref="M60:Q67" totalsRowCount="1" headerRowDxfId="487" dataDxfId="486" totalsRowDxfId="485">
  <autoFilter ref="M60:Q66"/>
  <tableColumns count="5">
    <tableColumn id="1" name="Periods" dataDxfId="484" totalsRowDxfId="483"/>
    <tableColumn id="2" name="Internal displaced populations" totalsRowFunction="custom" dataDxfId="482" totalsRowDxfId="481">
      <calculatedColumnFormula>SUMIFS(DisplacementPeriod[ind],DisplacementPeriod[deplacement],"idp",DisplacementPeriod[periode],Tableau16[[#This Row],[Periods]])</calculatedColumnFormula>
      <totalsRowFormula>SUM(N61:N66)</totalsRowFormula>
    </tableColumn>
    <tableColumn id="3" name="Unregistered Refugees" totalsRowFunction="custom" dataDxfId="480" totalsRowDxfId="479">
      <calculatedColumnFormula>SUMIFS(DisplacementPeriod[ind],DisplacementPeriod[deplacement],"refugies non enregistres",DisplacementPeriod[periode],Tableau16[[#This Row],[Periods]])</calculatedColumnFormula>
      <totalsRowFormula>SUM(O61:O66)</totalsRowFormula>
    </tableColumn>
    <tableColumn id="4" name="Returnees" totalsRowFunction="custom" dataDxfId="478" totalsRowDxfId="477">
      <calculatedColumnFormula>SUMIFS(DisplacementPeriod[ind],DisplacementPeriod[deplacement],"retournes",DisplacementPeriod[periode],Tableau16[[#This Row],[Periods]])</calculatedColumnFormula>
      <totalsRowFormula>SUM(P61:P66)</totalsRowFormula>
    </tableColumn>
    <tableColumn id="5" name="Total" totalsRowFunction="custom" dataDxfId="476" totalsRowDxfId="475">
      <calculatedColumnFormula>Tableau16[[#This Row],[Unregistered Refugees]]+Tableau16[[#This Row],[Internal displaced populations]]+Tableau16[[#This Row],[Returnees]]</calculatedColumnFormula>
      <totalsRowFormula>SUM(Q61:Q66)</totalsRowFormula>
    </tableColumn>
  </tableColumns>
  <tableStyleInfo name="TableStyleOIM" showFirstColumn="0" showLastColumn="0" showRowStripes="1" showColumnStripes="0"/>
</table>
</file>

<file path=xl/tables/table62.xml><?xml version="1.0" encoding="utf-8"?>
<table xmlns="http://schemas.openxmlformats.org/spreadsheetml/2006/main" id="17" name="Tableau17" displayName="Tableau17" ref="C72:G79" totalsRowCount="1" headerRowDxfId="474" dataDxfId="473" totalsRowDxfId="472">
  <autoFilter ref="C72:G78"/>
  <tableColumns count="5">
    <tableColumn id="1" name="Periodes" dataDxfId="471" totalsRowDxfId="470"/>
    <tableColumn id="2" name="Population déplacée interne" totalsRowFunction="custom" dataDxfId="469" totalsRowDxfId="468">
      <calculatedColumnFormula>D61/Tableau15[[#Totals],[Total]]</calculatedColumnFormula>
      <totalsRowFormula>SUM(D73:D78)</totalsRowFormula>
    </tableColumn>
    <tableColumn id="3" name="Réfugiés non-enregistrés" totalsRowFunction="custom" dataDxfId="467" totalsRowDxfId="466">
      <calculatedColumnFormula>E61/Tableau15[[#Totals],[Total]]</calculatedColumnFormula>
      <totalsRowFormula>SUM(E73:E78)</totalsRowFormula>
    </tableColumn>
    <tableColumn id="4" name="Retournés" totalsRowFunction="custom" dataDxfId="465" totalsRowDxfId="464">
      <calculatedColumnFormula>F61/Tableau15[[#Totals],[Total]]</calculatedColumnFormula>
      <totalsRowFormula>SUM(F73:F78)</totalsRowFormula>
    </tableColumn>
    <tableColumn id="5" name="Total" totalsRowFunction="custom" dataDxfId="463" totalsRowDxfId="462">
      <calculatedColumnFormula>Tableau17[[#This Row],[Population déplacée interne]]+Tableau17[[#This Row],[Réfugiés non-enregistrés]]+Tableau17[[#This Row],[Retournés]]</calculatedColumnFormula>
      <totalsRowFormula>SUM(G73:G78)</totalsRowFormula>
    </tableColumn>
  </tableColumns>
  <tableStyleInfo name="TableStyleOIM" showFirstColumn="0" showLastColumn="0" showRowStripes="1" showColumnStripes="0"/>
</table>
</file>

<file path=xl/tables/table63.xml><?xml version="1.0" encoding="utf-8"?>
<table xmlns="http://schemas.openxmlformats.org/spreadsheetml/2006/main" id="18" name="Tableau18" displayName="Tableau18" ref="M72:Q79" totalsRowCount="1" headerRowDxfId="461" dataDxfId="460" totalsRowDxfId="459">
  <autoFilter ref="M72:Q78"/>
  <tableColumns count="5">
    <tableColumn id="1" name="Periods" dataDxfId="458" totalsRowDxfId="457"/>
    <tableColumn id="2" name="Internal displaced populations" totalsRowFunction="custom" dataDxfId="456" totalsRowDxfId="455">
      <calculatedColumnFormula>N61/Tableau16[[#Totals],[Total]]</calculatedColumnFormula>
      <totalsRowFormula>SUM(Tableau18[Internal displaced populations])</totalsRowFormula>
    </tableColumn>
    <tableColumn id="3" name="Unregistered Refugees" totalsRowFunction="sum" dataDxfId="454" totalsRowDxfId="453">
      <calculatedColumnFormula>O61/Tableau16[[#Totals],[Total]]</calculatedColumnFormula>
    </tableColumn>
    <tableColumn id="4" name="Returnees" totalsRowFunction="sum" dataDxfId="452" totalsRowDxfId="451">
      <calculatedColumnFormula>P61/Tableau16[[#Totals],[Total]]</calculatedColumnFormula>
    </tableColumn>
    <tableColumn id="5" name="Total" totalsRowFunction="sum" dataDxfId="450" totalsRowDxfId="449">
      <calculatedColumnFormula>SUM(Tableau18[[#This Row],[Internal displaced populations]:[Returnees]])</calculatedColumnFormula>
    </tableColumn>
  </tableColumns>
  <tableStyleInfo name="TableStyleOIM" showFirstColumn="0" showLastColumn="0" showRowStripes="1" showColumnStripes="0"/>
</table>
</file>

<file path=xl/tables/table64.xml><?xml version="1.0" encoding="utf-8"?>
<table xmlns="http://schemas.openxmlformats.org/spreadsheetml/2006/main" id="21" name="Tableau21" displayName="Tableau21" ref="C84:G91" totalsRowCount="1" headerRowDxfId="448" dataDxfId="447" totalsRowDxfId="446">
  <autoFilter ref="C84:G90"/>
  <tableColumns count="5">
    <tableColumn id="1" name="Periodes" dataDxfId="445" totalsRowDxfId="444"/>
    <tableColumn id="2" name="Population déplacée interne" totalsRowFunction="custom" dataDxfId="443" totalsRowDxfId="442">
      <calculatedColumnFormula>D61/Tableau15[[#Totals],[Population déplacée interne]]</calculatedColumnFormula>
      <totalsRowFormula>SUM(D85:D90)</totalsRowFormula>
    </tableColumn>
    <tableColumn id="3" name="Réfugiés non-enregistrés" totalsRowFunction="custom" dataDxfId="441" totalsRowDxfId="440">
      <calculatedColumnFormula>E61/Tableau15[[#Totals],[Réfugiés non-enregistrés]]</calculatedColumnFormula>
      <totalsRowFormula>SUM(E85:E90)</totalsRowFormula>
    </tableColumn>
    <tableColumn id="4" name="Retournés" totalsRowFunction="custom" dataDxfId="439" totalsRowDxfId="438">
      <calculatedColumnFormula>F61/Tableau15[[#Totals],[Retournés]]</calculatedColumnFormula>
      <totalsRowFormula>SUM(F85:F90)</totalsRowFormula>
    </tableColumn>
    <tableColumn id="5" name="Total" totalsRowFunction="custom" dataDxfId="437" totalsRowDxfId="436">
      <calculatedColumnFormula>G61/Tableau15[[#Totals],[Total]]</calculatedColumnFormula>
      <totalsRowFormula>SUM(G85:G90)</totalsRowFormula>
    </tableColumn>
  </tableColumns>
  <tableStyleInfo name="TableStyleOIM" showFirstColumn="0" showLastColumn="0" showRowStripes="1" showColumnStripes="0"/>
</table>
</file>

<file path=xl/tables/table65.xml><?xml version="1.0" encoding="utf-8"?>
<table xmlns="http://schemas.openxmlformats.org/spreadsheetml/2006/main" id="23" name="Tableau23" displayName="Tableau23" ref="C96:G102" totalsRowShown="0" headerRowDxfId="435" dataDxfId="434">
  <autoFilter ref="C96:G102"/>
  <tableColumns count="5">
    <tableColumn id="1" name="Periodes" dataDxfId="433"/>
    <tableColumn id="2" name="Population déplacée interne" dataDxfId="432">
      <calculatedColumnFormula>D61/G61</calculatedColumnFormula>
    </tableColumn>
    <tableColumn id="3" name="Réfugiés non-enregistrés" dataDxfId="431">
      <calculatedColumnFormula>E61/G61</calculatedColumnFormula>
    </tableColumn>
    <tableColumn id="4" name="Retournés" dataDxfId="430">
      <calculatedColumnFormula>F61/G61</calculatedColumnFormula>
    </tableColumn>
    <tableColumn id="5" name="Total" dataDxfId="429">
      <calculatedColumnFormula>SUM(Tableau23[[#This Row],[Population déplacée interne]:[Retournés]])</calculatedColumnFormula>
    </tableColumn>
  </tableColumns>
  <tableStyleInfo name="TableStyleOIM" showFirstColumn="0" showLastColumn="0" showRowStripes="1" showColumnStripes="0"/>
</table>
</file>

<file path=xl/tables/table66.xml><?xml version="1.0" encoding="utf-8"?>
<table xmlns="http://schemas.openxmlformats.org/spreadsheetml/2006/main" id="24" name="Tableau24" displayName="Tableau24" ref="M84:Q91" totalsRowCount="1" headerRowDxfId="428" dataDxfId="427" totalsRowDxfId="426">
  <autoFilter ref="M84:Q90"/>
  <tableColumns count="5">
    <tableColumn id="1" name="Periods" dataDxfId="425" totalsRowDxfId="424"/>
    <tableColumn id="2" name="Internal displaced populations" totalsRowFunction="sum" dataDxfId="423" totalsRowDxfId="422">
      <calculatedColumnFormula>N61/Tableau16[[#Totals],[Internal displaced populations]]</calculatedColumnFormula>
    </tableColumn>
    <tableColumn id="3" name="Unregistered Refugees" totalsRowFunction="custom" dataDxfId="421" totalsRowDxfId="420">
      <calculatedColumnFormula>O61/Tableau16[[#Totals],[Unregistered Refugees]]</calculatedColumnFormula>
      <totalsRowFormula>SUM(O85:O90)</totalsRowFormula>
    </tableColumn>
    <tableColumn id="4" name="Returnees" totalsRowFunction="custom" dataDxfId="419" totalsRowDxfId="418">
      <calculatedColumnFormula>P61/Tableau16[[#Totals],[Returnees]]</calculatedColumnFormula>
      <totalsRowFormula>SUM(P85:P90)</totalsRowFormula>
    </tableColumn>
    <tableColumn id="5" name="Total" totalsRowFunction="custom" dataDxfId="417" totalsRowDxfId="416">
      <calculatedColumnFormula>Q61/Tableau16[[#Totals],[Total]]</calculatedColumnFormula>
      <totalsRowFormula>SUM(Q85:Q90)</totalsRowFormula>
    </tableColumn>
  </tableColumns>
  <tableStyleInfo name="TableStyleOIM" showFirstColumn="0" showLastColumn="0" showRowStripes="1" showColumnStripes="0"/>
</table>
</file>

<file path=xl/tables/table67.xml><?xml version="1.0" encoding="utf-8"?>
<table xmlns="http://schemas.openxmlformats.org/spreadsheetml/2006/main" id="25" name="Tableau25" displayName="Tableau25" ref="M96:Q102" totalsRowShown="0" headerRowDxfId="415" dataDxfId="414">
  <autoFilter ref="M96:Q102"/>
  <tableColumns count="5">
    <tableColumn id="1" name="Periods" dataDxfId="413"/>
    <tableColumn id="2" name="Internal displaced populations" dataDxfId="412">
      <calculatedColumnFormula>N61/Q61</calculatedColumnFormula>
    </tableColumn>
    <tableColumn id="3" name="Unregistered Refugees" dataDxfId="411">
      <calculatedColumnFormula>O61/Q61</calculatedColumnFormula>
    </tableColumn>
    <tableColumn id="4" name="Returnees" dataDxfId="410">
      <calculatedColumnFormula>P61/Q61</calculatedColumnFormula>
    </tableColumn>
    <tableColumn id="5" name="Total" dataDxfId="409">
      <calculatedColumnFormula>SUM(Tableau25[[#This Row],[Internal displaced populations]:[Returnees]])</calculatedColumnFormula>
    </tableColumn>
  </tableColumns>
  <tableStyleInfo name="TableStyleOIM" showFirstColumn="0" showLastColumn="0" showRowStripes="1" showColumnStripes="0"/>
</table>
</file>

<file path=xl/tables/table68.xml><?xml version="1.0" encoding="utf-8"?>
<table xmlns="http://schemas.openxmlformats.org/spreadsheetml/2006/main" id="26" name="Tableau26" displayName="Tableau26" ref="C159:G171" totalsRowShown="0" headerRowDxfId="408" dataDxfId="407">
  <autoFilter ref="C159:G171"/>
  <tableColumns count="5">
    <tableColumn id="1" name="Individus" dataDxfId="406"/>
    <tableColumn id="2" name="Personnes déplacées internes" dataDxfId="405"/>
    <tableColumn id="3" name="réfugiés non-enregistrés" dataDxfId="404"/>
    <tableColumn id="4" name="Retournés" dataDxfId="403"/>
    <tableColumn id="5" name="Total" dataDxfId="402"/>
  </tableColumns>
  <tableStyleInfo name="TableStyleOIM" showFirstColumn="0" showLastColumn="0" showRowStripes="1" showColumnStripes="0"/>
</table>
</file>

<file path=xl/tables/table69.xml><?xml version="1.0" encoding="utf-8"?>
<table xmlns="http://schemas.openxmlformats.org/spreadsheetml/2006/main" id="27" name="Tableau27" displayName="Tableau27" ref="M159:Q171" totalsRowShown="0" headerRowDxfId="401" dataDxfId="400">
  <autoFilter ref="M159:Q171"/>
  <tableColumns count="5">
    <tableColumn id="1" name="Individuals" dataDxfId="399"/>
    <tableColumn id="2" name="Internal displaced" dataDxfId="398"/>
    <tableColumn id="3" name="Unregistered Refugees" dataDxfId="397"/>
    <tableColumn id="4" name="Returnees" dataDxfId="396"/>
    <tableColumn id="5" name="Total" dataDxfId="395"/>
  </tableColumns>
  <tableStyleInfo name="TableStyleOIM" showFirstColumn="0" showLastColumn="0" showRowStripes="1" showColumnStripes="0"/>
</table>
</file>

<file path=xl/tables/table7.xml><?xml version="1.0" encoding="utf-8"?>
<table xmlns="http://schemas.openxmlformats.org/spreadsheetml/2006/main" id="66" name="Tableau66" displayName="Tableau66" ref="F5:L12" totalsRowCount="1" headerRowDxfId="1254" dataDxfId="1253" totalsRowDxfId="1252">
  <autoFilter ref="F5:L11"/>
  <tableColumns count="7">
    <tableColumn id="1" name="Départements" dataDxfId="1251" totalsRowDxfId="1250"/>
    <tableColumn id="2" name="Sites spontanés" totalsRowFunction="custom" dataDxfId="1249" totalsRowDxfId="1248">
      <calculatedColumnFormula>SUMIFS(Dashboard[idp_as_hh],Dashboard[evaluation_adm2_name],Tableau66[[#This Row],[Départements]])</calculatedColumnFormula>
      <totalsRowFormula>SUM(G6:G11)</totalsRowFormula>
    </tableColumn>
    <tableColumn id="3" name="Location" totalsRowFunction="sum" dataDxfId="1247" totalsRowDxfId="1246">
      <calculatedColumnFormula>SUMIFS(Dashboard[idp_loc_hh],Dashboard[evaluation_adm2_name],Tableau66[[#This Row],[Départements]])</calculatedColumnFormula>
    </tableColumn>
    <tableColumn id="4" name="Collectif" totalsRowFunction="sum" dataDxfId="1245" totalsRowDxfId="1244">
      <calculatedColumnFormula>SUMIFS(Dashboard[idp_cc_hh],Dashboard[evaluation_adm2_name],Tableau66[[#This Row],[Départements]])</calculatedColumnFormula>
    </tableColumn>
    <tableColumn id="5" name="Air Libre" totalsRowFunction="sum" dataDxfId="1243" totalsRowDxfId="1242">
      <calculatedColumnFormula>SUMIFS(Dashboard[idp_al_hh],Dashboard[evaluation_adm2_name],Tableau66[[#This Row],[Départements]])</calculatedColumnFormula>
    </tableColumn>
    <tableColumn id="6" name="Familles d accueil" totalsRowFunction="sum" dataDxfId="1241" totalsRowDxfId="1240">
      <calculatedColumnFormula>SUMIFS(Dashboard[idp_fa_hh],Dashboard[evaluation_adm2_name],Tableau66[[#This Row],[Départements]])</calculatedColumnFormula>
    </tableColumn>
    <tableColumn id="7" name="Total" totalsRowFunction="sum" dataDxfId="1239" totalsRowDxfId="1238">
      <calculatedColumnFormula>SUM(G6:K6)</calculatedColumnFormula>
    </tableColumn>
  </tableColumns>
  <tableStyleInfo name="TableStyleOIM IDP" showFirstColumn="0" showLastColumn="0" showRowStripes="1" showColumnStripes="0"/>
</table>
</file>

<file path=xl/tables/table70.xml><?xml version="1.0" encoding="utf-8"?>
<table xmlns="http://schemas.openxmlformats.org/spreadsheetml/2006/main" id="28" name="Tableau28" displayName="Tableau28" ref="C176:G188" totalsRowShown="0" headerRowDxfId="394" dataDxfId="393">
  <autoFilter ref="C176:G188"/>
  <tableColumns count="5">
    <tableColumn id="1" name="Individus (%)" dataDxfId="392"/>
    <tableColumn id="2" name="Personnes déplacées internes" dataDxfId="391">
      <calculatedColumnFormula>D160/G160</calculatedColumnFormula>
    </tableColumn>
    <tableColumn id="3" name="réfugiés non-enregistrés" dataDxfId="390">
      <calculatedColumnFormula>E160/G160</calculatedColumnFormula>
    </tableColumn>
    <tableColumn id="4" name="Retournés" dataDxfId="389">
      <calculatedColumnFormula>F160/G160</calculatedColumnFormula>
    </tableColumn>
    <tableColumn id="5" name="Total" dataDxfId="388">
      <calculatedColumnFormula>SUM(Tableau28[[#This Row],[Personnes déplacées internes]:[Retournés]])</calculatedColumnFormula>
    </tableColumn>
  </tableColumns>
  <tableStyleInfo name="TableStyleOIM" showFirstColumn="0" showLastColumn="0" showRowStripes="1" showColumnStripes="0"/>
</table>
</file>

<file path=xl/tables/table71.xml><?xml version="1.0" encoding="utf-8"?>
<table xmlns="http://schemas.openxmlformats.org/spreadsheetml/2006/main" id="29" name="Tableau29" displayName="Tableau29" ref="M176:Q188" totalsRowShown="0" headerRowDxfId="387" dataDxfId="386">
  <autoFilter ref="M176:Q188"/>
  <tableColumns count="5">
    <tableColumn id="1" name="Individuals (%)" dataDxfId="385"/>
    <tableColumn id="2" name="Internal displaced" dataDxfId="384">
      <calculatedColumnFormula>N160/Q160</calculatedColumnFormula>
    </tableColumn>
    <tableColumn id="3" name="Unregistered Refugees" dataDxfId="383">
      <calculatedColumnFormula>O160/Q160</calculatedColumnFormula>
    </tableColumn>
    <tableColumn id="4" name="Returnees" dataDxfId="382">
      <calculatedColumnFormula>P160/Q160</calculatedColumnFormula>
    </tableColumn>
    <tableColumn id="5" name="Total" dataDxfId="381">
      <calculatedColumnFormula>SUM(Tableau29[[#This Row],[Internal displaced]:[Returnees]])</calculatedColumnFormula>
    </tableColumn>
  </tableColumns>
  <tableStyleInfo name="TableStyleOIM" showFirstColumn="0" showLastColumn="0" showRowStripes="1" showColumnStripes="0"/>
</table>
</file>

<file path=xl/tables/table72.xml><?xml version="1.0" encoding="utf-8"?>
<table xmlns="http://schemas.openxmlformats.org/spreadsheetml/2006/main" id="35" name="Tableau35" displayName="Tableau35" ref="P30:Q37" totalsRowCount="1" headerRowDxfId="380" dataDxfId="379" totalsRowDxfId="378">
  <autoFilter ref="P30:Q36"/>
  <tableColumns count="2">
    <tableColumn id="1" name="Departments" dataDxfId="377" totalsRowDxfId="376"/>
    <tableColumn id="2" name="Villages" totalsRowFunction="custom" dataDxfId="375" totalsRowDxfId="374">
      <calculatedColumnFormula>COUNTIFS(Dashboard[evaluation_adm2_name],'Displacement &amp; Returns'!P31,Dashboard[nouveau],"oui")</calculatedColumnFormula>
      <totalsRowFormula>SUM(Q31:Q36)</totalsRowFormula>
    </tableColumn>
  </tableColumns>
  <tableStyleInfo name="TableStyleOIM" showFirstColumn="0" showLastColumn="0" showRowStripes="1" showColumnStripes="0"/>
</table>
</file>

<file path=xl/tables/table73.xml><?xml version="1.0" encoding="utf-8"?>
<table xmlns="http://schemas.openxmlformats.org/spreadsheetml/2006/main" id="38" name="Tableau38" displayName="Tableau38" ref="M30:N37" totalsRowCount="1" headerRowDxfId="373" dataDxfId="372" totalsRowDxfId="371">
  <autoFilter ref="M30:N36"/>
  <tableColumns count="2">
    <tableColumn id="1" name="Departments" dataDxfId="370" totalsRowDxfId="369"/>
    <tableColumn id="2" name="Villages" totalsRowFunction="custom" dataDxfId="368" totalsRowDxfId="367">
      <calculatedColumnFormula>COUNTIFS(Dashboard[evaluation_adm2_name],'Displacement &amp; Returns'!M31,Dashboard[nouveau],"*")</calculatedColumnFormula>
      <totalsRowFormula>SUM(N31:N36)</totalsRowFormula>
    </tableColumn>
  </tableColumns>
  <tableStyleInfo name="TableStyleOIM" showFirstColumn="0" showLastColumn="0" showRowStripes="1" showColumnStripes="0"/>
</table>
</file>

<file path=xl/tables/table74.xml><?xml version="1.0" encoding="utf-8"?>
<table xmlns="http://schemas.openxmlformats.org/spreadsheetml/2006/main" id="43" name="Tableau43" displayName="Tableau43" ref="M42:P49" totalsRowCount="1" headerRowDxfId="366" dataDxfId="365" totalsRowDxfId="364">
  <autoFilter ref="M42:P48"/>
  <tableColumns count="4">
    <tableColumn id="1" name="Departments" dataDxfId="363" totalsRowDxfId="362"/>
    <tableColumn id="2" name="Only IDP" totalsRowFunction="custom" dataDxfId="361" totalsRowDxfId="360">
      <calculatedColumnFormula>COUNTIFS(Dashboard[evaluation_adm2_name],'Displacement &amp; Returns'!M43,Dashboard[nouveau],"*",Dashboard[idp_ind],"&gt;"&amp;0, Dashboard[ref_ind],0,Dashboard[ret_ind],0)</calculatedColumnFormula>
      <totalsRowFormula>SUM(N43:N48)</totalsRowFormula>
    </tableColumn>
    <tableColumn id="3" name="Only Unreg. Refugees" totalsRowFunction="custom" dataDxfId="359" totalsRowDxfId="358">
      <calculatedColumnFormula>COUNTIFS(Dashboard[evaluation_adm2_name],'Displacement &amp; Returns'!M43,Dashboard[nouveau],"*",Dashboard[idp_ind],0, Dashboard[ref_ind],"&gt;"&amp;0,Dashboard[ret_ind],0)</calculatedColumnFormula>
      <totalsRowFormula>SUM(O43:O48)</totalsRowFormula>
    </tableColumn>
    <tableColumn id="4" name="Only Returnees" totalsRowFunction="custom" dataDxfId="357" totalsRowDxfId="356">
      <calculatedColumnFormula>COUNTIFS(Dashboard[evaluation_adm2_name],'Displacement &amp; Returns'!M43,Dashboard[nouveau],"*",Dashboard[idp_ind],0, Dashboard[ref_ind],0,Dashboard[ret_ind],"&gt;"&amp;0)</calculatedColumnFormula>
      <totalsRowFormula>SUM(P43:P48)</totalsRowFormula>
    </tableColumn>
  </tableColumns>
  <tableStyleInfo name="TableStyleOIM" showFirstColumn="0" showLastColumn="0" showRowStripes="1" showColumnStripes="0"/>
</table>
</file>

<file path=xl/tables/table75.xml><?xml version="1.0" encoding="utf-8"?>
<table xmlns="http://schemas.openxmlformats.org/spreadsheetml/2006/main" id="44" name="Tableau44" displayName="Tableau44" ref="C30:D37" totalsRowCount="1" headerRowDxfId="355" dataDxfId="354" totalsRowDxfId="353">
  <autoFilter ref="C30:D36"/>
  <tableColumns count="2">
    <tableColumn id="1" name="Départements" dataDxfId="352" totalsRowDxfId="351"/>
    <tableColumn id="2" name="Villages" totalsRowFunction="custom" dataDxfId="350" totalsRowDxfId="349">
      <calculatedColumnFormula>COUNTIFS(Dashboard[evaluation_adm2_name],'Displacement &amp; Returns'!C31,Dashboard[nouveau],"*")</calculatedColumnFormula>
      <totalsRowFormula>SUM(D31:D36)</totalsRowFormula>
    </tableColumn>
  </tableColumns>
  <tableStyleInfo name="TableStyleOIM" showFirstColumn="0" showLastColumn="0" showRowStripes="1" showColumnStripes="0"/>
</table>
</file>

<file path=xl/tables/table76.xml><?xml version="1.0" encoding="utf-8"?>
<table xmlns="http://schemas.openxmlformats.org/spreadsheetml/2006/main" id="46" name="Tableau46" displayName="Tableau46" ref="F30:G37" totalsRowCount="1" headerRowDxfId="348" dataDxfId="347" totalsRowDxfId="346">
  <autoFilter ref="F30:G36"/>
  <tableColumns count="2">
    <tableColumn id="1" name="Départements" dataDxfId="345" totalsRowDxfId="344"/>
    <tableColumn id="2" name="Villages" totalsRowFunction="custom" dataDxfId="343" totalsRowDxfId="342">
      <calculatedColumnFormula>COUNTIFS(Dashboard[evaluation_adm2_name],'Displacement &amp; Returns'!F31,Dashboard[nouveau],"oui")</calculatedColumnFormula>
      <totalsRowFormula>SUM(G31:G36)</totalsRowFormula>
    </tableColumn>
  </tableColumns>
  <tableStyleInfo name="TableStyleOIM" showFirstColumn="0" showLastColumn="0" showRowStripes="1" showColumnStripes="0"/>
</table>
</file>

<file path=xl/tables/table77.xml><?xml version="1.0" encoding="utf-8"?>
<table xmlns="http://schemas.openxmlformats.org/spreadsheetml/2006/main" id="48" name="Tableau48" displayName="Tableau48" ref="C42:F49" totalsRowCount="1" headerRowDxfId="341" dataDxfId="340" totalsRowDxfId="339">
  <autoFilter ref="C42:F48"/>
  <tableColumns count="4">
    <tableColumn id="1" name="Départements" dataDxfId="338" totalsRowDxfId="337"/>
    <tableColumn id="2" name="villages PDI" totalsRowFunction="custom" dataDxfId="336" totalsRowDxfId="335">
      <calculatedColumnFormula>COUNTIFS(Dashboard[evaluation_adm2_name],'Displacement &amp; Returns'!C43,Dashboard[nouveau],"*",Dashboard[idp_ind],"&gt;"&amp;0, Dashboard[ref_ind],0,Dashboard[ret_ind],0)</calculatedColumnFormula>
      <totalsRowFormula>SUM(D43:D48)</totalsRowFormula>
    </tableColumn>
    <tableColumn id="3" name="Villages avec Ref non enregistres" totalsRowFunction="custom" dataDxfId="334" totalsRowDxfId="333">
      <calculatedColumnFormula>COUNTIFS(Dashboard[evaluation_adm2_name],'Displacement &amp; Returns'!C43,Dashboard[nouveau],"*",Dashboard[idp_ind],0, Dashboard[ref_ind],"&gt;"&amp;0,Dashboard[ret_ind],0)</calculatedColumnFormula>
      <totalsRowFormula>SUM(E43:E48)</totalsRowFormula>
    </tableColumn>
    <tableColumn id="4" name="Villages avec Retournés" totalsRowFunction="custom" dataDxfId="332" totalsRowDxfId="331">
      <calculatedColumnFormula>COUNTIFS(Dashboard[evaluation_adm2_name],'Displacement &amp; Returns'!C43,Dashboard[nouveau],"*",Dashboard[idp_ind],0, Dashboard[ref_ind],0,Dashboard[ret_ind],"&gt;"&amp;0)</calculatedColumnFormula>
      <totalsRowFormula>SUM(F43:F48)</totalsRowFormula>
    </tableColumn>
  </tableColumns>
  <tableStyleInfo name="TableStyleOIM" showFirstColumn="0" showLastColumn="0" showRowStripes="1" showColumnStripes="0"/>
</table>
</file>

<file path=xl/tables/table78.xml><?xml version="1.0" encoding="utf-8"?>
<table xmlns="http://schemas.openxmlformats.org/spreadsheetml/2006/main" id="49" name="Tableau49" displayName="Tableau49" ref="D259:H266" totalsRowCount="1" headerRowDxfId="330" dataDxfId="329" totalsRowDxfId="328">
  <autoFilter ref="D259:H265"/>
  <tableColumns count="5">
    <tableColumn id="1" name="Périodes" dataDxfId="327" totalsRowDxfId="326"/>
    <tableColumn id="2" name="Nigéria" totalsRowFunction="custom" dataDxfId="325" totalsRowDxfId="324">
      <calculatedColumnFormula>SUMIFS(DisplacementPeriod[ind],DisplacementPeriod[deplacement],"refugies non enregistres",DisplacementPeriod[periode],Tableau49[[#This Row],[Périodes]],DisplacementPeriod[provenance_adm0],'Displacement &amp; Returns'!E$258)</calculatedColumnFormula>
      <totalsRowFormula>SUM(E260:E265)</totalsRowFormula>
    </tableColumn>
    <tableColumn id="3" name="Tchad" totalsRowFunction="custom" dataDxfId="323" totalsRowDxfId="322">
      <calculatedColumnFormula>SUMIFS(DisplacementPeriod[ind],DisplacementPeriod[deplacement],"refugies non enregistres",DisplacementPeriod[periode],Tableau49[[#This Row],[Périodes]],DisplacementPeriod[provenance_adm0],'Displacement &amp; Returns'!F$258)</calculatedColumnFormula>
      <totalsRowFormula>SUM(F260:F265)</totalsRowFormula>
    </tableColumn>
    <tableColumn id="4" name="Autre" totalsRowFunction="custom" dataDxfId="321" totalsRowDxfId="320">
      <calculatedColumnFormula>(SUMIFS(DisplacementPeriod[ind],DisplacementPeriod[deplacement],"refugies non enregistres",DisplacementPeriod[periode],Tableau49[[#This Row],[Périodes]],DisplacementPeriod[provenance_adm0],"*") - Tableau49[[#This Row],[Tchad]]-Tableau49[[#This Row],[Nigéria]])</calculatedColumnFormula>
      <totalsRowFormula>SUM(G260:G265)</totalsRowFormula>
    </tableColumn>
    <tableColumn id="5" name="Total" totalsRowFunction="sum" dataDxfId="319" totalsRowDxfId="318">
      <calculatedColumnFormula>SUM(E260:G260)</calculatedColumnFormula>
    </tableColumn>
  </tableColumns>
  <tableStyleInfo name="TableStyleOIM" showFirstColumn="0" showLastColumn="0" showRowStripes="1" showColumnStripes="0"/>
</table>
</file>

<file path=xl/tables/table79.xml><?xml version="1.0" encoding="utf-8"?>
<table xmlns="http://schemas.openxmlformats.org/spreadsheetml/2006/main" id="50" name="Tableau50" displayName="Tableau50" ref="D220:K227" totalsRowCount="1" headerRowDxfId="317" dataDxfId="316" totalsRowDxfId="315">
  <autoFilter ref="D220:K226"/>
  <tableColumns count="8">
    <tableColumn id="1" name="Départements" dataDxfId="314" totalsRowDxfId="313"/>
    <tableColumn id="2" name="Diamare" totalsRowFunction="sum" dataDxfId="312" totalsRowDxfId="311">
      <calculatedColumnFormula>SUMIFS(DisplacementPeriod[ind],DisplacementPeriod[deplacement],"idp",DisplacementPeriod[adm2_name],Tableau50[[#This Row],[Départements]], DisplacementPeriod[provenance_adm2_nom],Tableau50[[#Headers],[Diamare]])</calculatedColumnFormula>
    </tableColumn>
    <tableColumn id="3" name="Logone-Et-Chari" totalsRowFunction="sum" dataDxfId="310" totalsRowDxfId="309">
      <calculatedColumnFormula>SUMIFS(DisplacementPeriod[ind],DisplacementPeriod[deplacement],"idp",DisplacementPeriod[adm2_name],Tableau50[[#This Row],[Départements]], DisplacementPeriod[provenance_adm2_nom],Tableau50[[#Headers],[Logone-Et-Chari]])</calculatedColumnFormula>
    </tableColumn>
    <tableColumn id="4" name="Mayo-Danay" totalsRowFunction="sum" dataDxfId="308" totalsRowDxfId="307">
      <calculatedColumnFormula>SUMIFS(DisplacementPeriod[ind],DisplacementPeriod[deplacement],"idp",DisplacementPeriod[adm2_name],Tableau50[[#This Row],[Départements]], DisplacementPeriod[provenance_adm2_nom],Tableau50[[#Headers],[Mayo-Danay]])</calculatedColumnFormula>
    </tableColumn>
    <tableColumn id="5" name="Mayo-Kani" totalsRowFunction="sum" dataDxfId="306" totalsRowDxfId="305">
      <calculatedColumnFormula>SUMIFS(DisplacementPeriod[ind],DisplacementPeriod[deplacement],"idp",DisplacementPeriod[adm2_name],Tableau50[[#This Row],[Départements]], DisplacementPeriod[provenance_adm2_nom],Tableau50[[#Headers],[Mayo-Kani]])</calculatedColumnFormula>
    </tableColumn>
    <tableColumn id="6" name="Mayo-Sava" totalsRowFunction="sum" dataDxfId="304" totalsRowDxfId="303">
      <calculatedColumnFormula>SUMIFS(DisplacementPeriod[ind],DisplacementPeriod[deplacement],"idp",DisplacementPeriod[adm2_name],Tableau50[[#This Row],[Départements]], DisplacementPeriod[provenance_adm2_nom],Tableau50[[#Headers],[Mayo-Sava]])</calculatedColumnFormula>
    </tableColumn>
    <tableColumn id="7" name="Mayo-Tsanaga" totalsRowFunction="sum" dataDxfId="302" totalsRowDxfId="301">
      <calculatedColumnFormula>SUMIFS(DisplacementPeriod[ind],DisplacementPeriod[deplacement],"idp",DisplacementPeriod[adm2_name],Tableau50[[#This Row],[Départements]], DisplacementPeriod[provenance_adm2_nom],Tableau50[[#Headers],[Mayo-Tsanaga]])</calculatedColumnFormula>
    </tableColumn>
    <tableColumn id="8" name="Total" totalsRowFunction="custom" dataDxfId="300" totalsRowDxfId="299">
      <calculatedColumnFormula>SUM(E221:J221)</calculatedColumnFormula>
      <totalsRowFormula>SUM(Tableau50[Total])</totalsRowFormula>
    </tableColumn>
  </tableColumns>
  <tableStyleInfo name="TableStyleOIM" showFirstColumn="0" showLastColumn="0" showRowStripes="1" showColumnStripes="0"/>
</table>
</file>

<file path=xl/tables/table8.xml><?xml version="1.0" encoding="utf-8"?>
<table xmlns="http://schemas.openxmlformats.org/spreadsheetml/2006/main" id="67" name="Tableau67" displayName="Tableau67" ref="F28:L35" totalsRowCount="1" headerRowDxfId="1237" dataDxfId="1236" totalsRowDxfId="1235">
  <autoFilter ref="F28:L34"/>
  <tableColumns count="7">
    <tableColumn id="1" name="Departments" dataDxfId="1234" totalsRowDxfId="1233"/>
    <tableColumn id="2" name="Spontaneous sites" totalsRowFunction="custom" dataDxfId="1232" totalsRowDxfId="1231">
      <calculatedColumnFormula>SUMIFS(Dashboard[idp_as_hh],Dashboard[evaluation_adm2_name],Tableau67[[#This Row],[Departments]])</calculatedColumnFormula>
      <totalsRowFormula>SUM(G29:G34)</totalsRowFormula>
    </tableColumn>
    <tableColumn id="3" name="Rental" totalsRowFunction="sum" dataDxfId="1230" totalsRowDxfId="1229">
      <calculatedColumnFormula>SUMIFS(Dashboard[idp_loc_hh],Dashboard[evaluation_adm2_name],Tableau67[[#This Row],[Departments]])</calculatedColumnFormula>
    </tableColumn>
    <tableColumn id="4" name="Collective" totalsRowFunction="sum" dataDxfId="1228" totalsRowDxfId="1227">
      <calculatedColumnFormula>SUMIFS(Dashboard[idp_cc_hh],Dashboard[evaluation_adm2_name],Tableau67[[#This Row],[Departments]])</calculatedColumnFormula>
    </tableColumn>
    <tableColumn id="5" name="Open air" totalsRowFunction="sum" dataDxfId="1226" totalsRowDxfId="1225">
      <calculatedColumnFormula>SUMIFS(Dashboard[idp_al_hh],Dashboard[evaluation_adm2_name],Tableau67[[#This Row],[Departments]])</calculatedColumnFormula>
    </tableColumn>
    <tableColumn id="6" name="Host Families" totalsRowFunction="sum" dataDxfId="1224" totalsRowDxfId="1223">
      <calculatedColumnFormula>SUMIFS(Dashboard[idp_fa_hh],Dashboard[evaluation_adm2_name],Tableau67[[#This Row],[Departments]])</calculatedColumnFormula>
    </tableColumn>
    <tableColumn id="7" name="Total" totalsRowFunction="sum" dataDxfId="1222" totalsRowDxfId="1221">
      <calculatedColumnFormula>SUM(Tableau67[[#This Row],[Spontaneous sites]:[Host Families]])</calculatedColumnFormula>
    </tableColumn>
  </tableColumns>
  <tableStyleInfo name="TableStyleOIM IDP" showFirstColumn="0" showLastColumn="0" showRowStripes="1" showColumnStripes="0"/>
</table>
</file>

<file path=xl/tables/table80.xml><?xml version="1.0" encoding="utf-8"?>
<table xmlns="http://schemas.openxmlformats.org/spreadsheetml/2006/main" id="51" name="Tableau5052" displayName="Tableau5052" ref="N220:U227" totalsRowCount="1" headerRowDxfId="298" dataDxfId="297" totalsRowDxfId="296">
  <autoFilter ref="N220:U226"/>
  <tableColumns count="8">
    <tableColumn id="1" name="Registration Departments" dataDxfId="295" totalsRowDxfId="294"/>
    <tableColumn id="2" name="Diamare" totalsRowFunction="sum" dataDxfId="293" totalsRowDxfId="292">
      <calculatedColumnFormula>SUMIFS(DisplacementPeriod[ind],DisplacementPeriod[deplacement],"idp",DisplacementPeriod[adm2_name],Tableau5052[[#This Row],[Registration Departments]], DisplacementPeriod[provenance_adm2_nom],Tableau5052[[#Headers],[Diamare]])</calculatedColumnFormula>
    </tableColumn>
    <tableColumn id="3" name="Logone-Et-Chari" totalsRowFunction="sum" dataDxfId="291" totalsRowDxfId="290">
      <calculatedColumnFormula>SUMIFS(DisplacementPeriod[ind],DisplacementPeriod[deplacement],"idp",DisplacementPeriod[adm2_name],Tableau5052[[#This Row],[Registration Departments]], DisplacementPeriod[provenance_adm2_nom],Tableau5052[[#Headers],[Logone-Et-Chari]])</calculatedColumnFormula>
    </tableColumn>
    <tableColumn id="4" name="Mayo-Danay" totalsRowFunction="sum" dataDxfId="289" totalsRowDxfId="288">
      <calculatedColumnFormula>SUMIFS(DisplacementPeriod[ind],DisplacementPeriod[deplacement],"idp",DisplacementPeriod[adm2_name],Tableau5052[[#This Row],[Registration Departments]], DisplacementPeriod[provenance_adm2_nom],Tableau5052[[#Headers],[Mayo-Danay]])</calculatedColumnFormula>
    </tableColumn>
    <tableColumn id="5" name="Mayo-Kani" totalsRowFunction="sum" dataDxfId="287" totalsRowDxfId="286">
      <calculatedColumnFormula>SUMIFS(DisplacementPeriod[ind],DisplacementPeriod[deplacement],"idp",DisplacementPeriod[adm2_name],Tableau5052[[#This Row],[Registration Departments]], DisplacementPeriod[provenance_adm2_nom],Tableau5052[[#Headers],[Mayo-Kani]])</calculatedColumnFormula>
    </tableColumn>
    <tableColumn id="6" name="Mayo-Sava" totalsRowFunction="sum" dataDxfId="285" totalsRowDxfId="284">
      <calculatedColumnFormula>SUMIFS(DisplacementPeriod[ind],DisplacementPeriod[deplacement],"idp",DisplacementPeriod[adm2_name],Tableau5052[[#This Row],[Registration Departments]], DisplacementPeriod[provenance_adm2_nom],Tableau5052[[#Headers],[Mayo-Sava]])</calculatedColumnFormula>
    </tableColumn>
    <tableColumn id="7" name="Mayo-Tsanaga" totalsRowFunction="sum" dataDxfId="283" totalsRowDxfId="282">
      <calculatedColumnFormula>SUMIFS(DisplacementPeriod[ind],DisplacementPeriod[deplacement],"idp",DisplacementPeriod[adm2_name],Tableau5052[[#This Row],[Registration Departments]], DisplacementPeriod[provenance_adm2_nom],Tableau5052[[#Headers],[Mayo-Tsanaga]])</calculatedColumnFormula>
    </tableColumn>
    <tableColumn id="8" name="Total" totalsRowFunction="custom" dataDxfId="281" totalsRowDxfId="280">
      <calculatedColumnFormula>SUM(O221:T221)</calculatedColumnFormula>
      <totalsRowFormula>SUM(Tableau5052[Total])</totalsRowFormula>
    </tableColumn>
  </tableColumns>
  <tableStyleInfo name="TableStyleOIM" showFirstColumn="0" showLastColumn="0" showRowStripes="1" showColumnStripes="0"/>
</table>
</file>

<file path=xl/tables/table81.xml><?xml version="1.0" encoding="utf-8"?>
<table xmlns="http://schemas.openxmlformats.org/spreadsheetml/2006/main" id="52" name="Tableau52" displayName="Tableau52" ref="D272:K278" totalsRowShown="0" headerRowDxfId="279" dataDxfId="278">
  <autoFilter ref="D272:K278"/>
  <tableColumns count="8">
    <tableColumn id="1" name="Départements" dataDxfId="277"/>
    <tableColumn id="2" name="Diamare" dataDxfId="276">
      <calculatedColumnFormula>SUMIFS(Dashboard[idp_ind],Dashboard[evaluation_adm2_name],Tableau52[[#This Row],[Départements]],Dashboard[ancien_refugees],"oui",Dashboard[ancien_departement],Tableau52[[#Headers],[Diamare]])</calculatedColumnFormula>
    </tableColumn>
    <tableColumn id="3" name="Logone-Et-Chari" dataDxfId="275">
      <calculatedColumnFormula>SUMIFS(Dashboard[idp_ind],Dashboard[evaluation_adm2_name],Tableau52[[#This Row],[Départements]],Dashboard[ancien_refugees],"oui",Dashboard[ancien_departement],Tableau52[[#Headers],[Logone-Et-Chari]])</calculatedColumnFormula>
    </tableColumn>
    <tableColumn id="4" name="Mayo-Danay" dataDxfId="274">
      <calculatedColumnFormula>SUMIFS(Dashboard[idp_ind],Dashboard[evaluation_adm2_name],Tableau52[[#This Row],[Départements]],Dashboard[ancien_refugees],"oui",Dashboard[ancien_departement],Tableau52[[#Headers],[Mayo-Danay]])</calculatedColumnFormula>
    </tableColumn>
    <tableColumn id="5" name="Mayo-Kani" dataDxfId="273">
      <calculatedColumnFormula>SUMIFS(Dashboard[idp_ind],Dashboard[evaluation_adm2_name],Tableau52[[#This Row],[Départements]],Dashboard[ancien_refugees],"oui",Dashboard[ancien_departement],Tableau52[[#Headers],[Mayo-Kani]])</calculatedColumnFormula>
    </tableColumn>
    <tableColumn id="6" name="Mayo-Sava" dataDxfId="272">
      <calculatedColumnFormula>SUMIFS(Dashboard[idp_ind],Dashboard[evaluation_adm2_name],Tableau52[[#This Row],[Départements]],Dashboard[ancien_refugees],"oui",Dashboard[ancien_departement],Tableau52[[#Headers],[Mayo-Sava]])</calculatedColumnFormula>
    </tableColumn>
    <tableColumn id="7" name="Mayo-Tsanaga" dataDxfId="271">
      <calculatedColumnFormula>SUMIFS(Dashboard[idp_ind],Dashboard[evaluation_adm2_name],Tableau52[[#This Row],[Départements]],Dashboard[ancien_refugees],"oui",Dashboard[ancien_departement],Tableau52[[#Headers],[Mayo-Tsanaga]])</calculatedColumnFormula>
    </tableColumn>
    <tableColumn id="8" name="Venus Direct dailleurs" dataDxfId="270">
      <calculatedColumnFormula>(SUMIFS(DisplacementPeriod[ind], DisplacementPeriod[adm2_name], Tableau52[[#This Row],[Départements]], DisplacementPeriod[deplacement], "refugies non enregistres"))-SUM(Tableau52[[#This Row],[Diamare]:[Mayo-Tsanaga]])</calculatedColumnFormula>
    </tableColumn>
  </tableColumns>
  <tableStyleInfo name="TableStyleOIM" showFirstColumn="0" showLastColumn="0" showRowStripes="1" showColumnStripes="0"/>
</table>
</file>

<file path=xl/tables/table82.xml><?xml version="1.0" encoding="utf-8"?>
<table xmlns="http://schemas.openxmlformats.org/spreadsheetml/2006/main" id="56" name="Tableau56" displayName="Tableau56" ref="D244:K251" totalsRowCount="1" headerRowDxfId="269" dataDxfId="268" totalsRowDxfId="267">
  <autoFilter ref="D244:K250"/>
  <tableColumns count="8">
    <tableColumn id="1" name="Périodes" dataDxfId="266" totalsRowDxfId="265"/>
    <tableColumn id="2" name="Diamare" totalsRowFunction="custom" dataDxfId="264" totalsRowDxfId="263">
      <calculatedColumnFormula>SUMIFS(DisplacementPeriod[ind],DisplacementPeriod[adm2_name],Tableau56[[#Headers],[Diamare]],DisplacementPeriod[periode],Tableau56[[#This Row],[Périodes]],DisplacementPeriod[deplacement],"idp")</calculatedColumnFormula>
      <totalsRowFormula>SUM(E245:E250)</totalsRowFormula>
    </tableColumn>
    <tableColumn id="3" name="Logone-Et-Chari" totalsRowFunction="custom" dataDxfId="262" totalsRowDxfId="261">
      <calculatedColumnFormula>SUMIFS(DisplacementPeriod[ind],DisplacementPeriod[adm2_name],Tableau56[[#Headers],[Logone-Et-Chari]],DisplacementPeriod[periode],Tableau56[[#This Row],[Périodes]],DisplacementPeriod[deplacement],"idp")</calculatedColumnFormula>
      <totalsRowFormula>SUM(F245:F250)</totalsRowFormula>
    </tableColumn>
    <tableColumn id="4" name="Mayo-Danay" totalsRowFunction="custom" dataDxfId="260" totalsRowDxfId="259">
      <calculatedColumnFormula>SUMIFS(DisplacementPeriod[ind],DisplacementPeriod[adm2_name],Tableau56[[#Headers],[Mayo-Danay]],DisplacementPeriod[periode],Tableau56[[#This Row],[Périodes]],DisplacementPeriod[deplacement],"idp")</calculatedColumnFormula>
      <totalsRowFormula>SUM(G245:G250)</totalsRowFormula>
    </tableColumn>
    <tableColumn id="5" name="Mayo-Kani" totalsRowFunction="custom" dataDxfId="258" totalsRowDxfId="257">
      <calculatedColumnFormula>SUMIFS(DisplacementPeriod[ind],DisplacementPeriod[adm2_name],Tableau56[[#Headers],[Mayo-Kani]],DisplacementPeriod[periode],Tableau56[[#This Row],[Périodes]],DisplacementPeriod[deplacement],"idp")</calculatedColumnFormula>
      <totalsRowFormula>SUM(H245:H250)</totalsRowFormula>
    </tableColumn>
    <tableColumn id="6" name="Mayo-Sava" totalsRowFunction="custom" dataDxfId="256" totalsRowDxfId="255">
      <calculatedColumnFormula>SUMIFS(DisplacementPeriod[ind],DisplacementPeriod[adm2_name],Tableau56[[#Headers],[Mayo-Sava]],DisplacementPeriod[periode],Tableau56[[#This Row],[Périodes]],DisplacementPeriod[deplacement],"idp")</calculatedColumnFormula>
      <totalsRowFormula>SUM(I245:I250)</totalsRowFormula>
    </tableColumn>
    <tableColumn id="7" name="Mayo-Tsanaga" totalsRowFunction="custom" dataDxfId="254" totalsRowDxfId="253">
      <calculatedColumnFormula>SUMIFS(DisplacementPeriod[ind],DisplacementPeriod[adm2_name],Tableau56[[#Headers],[Mayo-Tsanaga]],DisplacementPeriod[periode],Tableau56[[#This Row],[Périodes]],DisplacementPeriod[deplacement],"idp")</calculatedColumnFormula>
      <totalsRowFormula>SUM(J245:J250)</totalsRowFormula>
    </tableColumn>
    <tableColumn id="8" name="Total" totalsRowFunction="sum" dataDxfId="252" totalsRowDxfId="251">
      <calculatedColumnFormula>SUM(Tableau56[[#This Row],[Diamare]:[Mayo-Tsanaga]])</calculatedColumnFormula>
    </tableColumn>
  </tableColumns>
  <tableStyleInfo name="TableStyleOIM" showFirstColumn="0" showLastColumn="0" showRowStripes="1" showColumnStripes="0"/>
</table>
</file>

<file path=xl/tables/table83.xml><?xml version="1.0" encoding="utf-8"?>
<table xmlns="http://schemas.openxmlformats.org/spreadsheetml/2006/main" id="57" name="Tableau5658" displayName="Tableau5658" ref="N244:U251" totalsRowCount="1" headerRowDxfId="250" dataDxfId="249" totalsRowDxfId="248">
  <autoFilter ref="N244:U250"/>
  <tableColumns count="8">
    <tableColumn id="1" name="Periods" dataDxfId="247" totalsRowDxfId="246"/>
    <tableColumn id="2" name="Diamare" totalsRowFunction="custom" dataDxfId="245" totalsRowDxfId="244">
      <calculatedColumnFormula>SUMIFS(DisplacementPeriod[ind],DisplacementPeriod[adm2_name],Tableau5658[[#Headers],[Diamare]],DisplacementPeriod[periode],Tableau5658[[#This Row],[Periods]],DisplacementPeriod[deplacement],"idp")</calculatedColumnFormula>
      <totalsRowFormula>SUM(O245:O250)</totalsRowFormula>
    </tableColumn>
    <tableColumn id="3" name="Logone-Et-Chari" totalsRowFunction="sum" dataDxfId="243" totalsRowDxfId="242">
      <calculatedColumnFormula>SUMIFS(DisplacementPeriod[ind],DisplacementPeriod[adm2_name],Tableau5658[[#Headers],[Logone-Et-Chari]],DisplacementPeriod[periode],Tableau5658[[#This Row],[Periods]],DisplacementPeriod[deplacement],"idp")</calculatedColumnFormula>
    </tableColumn>
    <tableColumn id="4" name="Mayo-Danay" totalsRowFunction="sum" dataDxfId="241" totalsRowDxfId="240">
      <calculatedColumnFormula>SUMIFS(DisplacementPeriod[ind],DisplacementPeriod[adm2_name],Tableau5658[[#Headers],[Mayo-Danay]],DisplacementPeriod[periode],Tableau5658[[#This Row],[Periods]],DisplacementPeriod[deplacement],"idp")</calculatedColumnFormula>
    </tableColumn>
    <tableColumn id="5" name="Mayo-Kani" totalsRowFunction="sum" dataDxfId="239" totalsRowDxfId="238">
      <calculatedColumnFormula>SUMIFS(DisplacementPeriod[ind],DisplacementPeriod[adm2_name],Tableau5658[[#Headers],[Mayo-Kani]],DisplacementPeriod[periode],Tableau5658[[#This Row],[Periods]],DisplacementPeriod[deplacement],"idp")</calculatedColumnFormula>
    </tableColumn>
    <tableColumn id="6" name="Mayo-Sava" totalsRowFunction="sum" dataDxfId="237" totalsRowDxfId="236">
      <calculatedColumnFormula>SUMIFS(DisplacementPeriod[ind],DisplacementPeriod[adm2_name],Tableau5658[[#Headers],[Mayo-Sava]],DisplacementPeriod[periode],Tableau5658[[#This Row],[Periods]],DisplacementPeriod[deplacement],"idp")</calculatedColumnFormula>
    </tableColumn>
    <tableColumn id="7" name="Mayo-Tsanaga" totalsRowFunction="sum" dataDxfId="235" totalsRowDxfId="234">
      <calculatedColumnFormula>SUMIFS(DisplacementPeriod[ind],DisplacementPeriod[adm2_name],Tableau5658[[#Headers],[Mayo-Tsanaga]],DisplacementPeriod[periode],Tableau5658[[#This Row],[Periods]],DisplacementPeriod[deplacement],"idp")</calculatedColumnFormula>
    </tableColumn>
    <tableColumn id="8" name="Total" totalsRowFunction="sum" dataDxfId="233" totalsRowDxfId="232">
      <calculatedColumnFormula>SUM(Tableau5658[[#This Row],[Diamare]:[Mayo-Tsanaga]])</calculatedColumnFormula>
    </tableColumn>
  </tableColumns>
  <tableStyleInfo name="TableStyleOIM" showFirstColumn="0" showLastColumn="0" showRowStripes="1" showColumnStripes="0"/>
</table>
</file>

<file path=xl/tables/table84.xml><?xml version="1.0" encoding="utf-8"?>
<table xmlns="http://schemas.openxmlformats.org/spreadsheetml/2006/main" id="58" name="Tableau58" displayName="Tableau58" ref="D286:H293" totalsRowCount="1" headerRowDxfId="231" dataDxfId="230" totalsRowDxfId="229">
  <autoFilter ref="D286:H292"/>
  <tableColumns count="5">
    <tableColumn id="1" name="Départements" dataDxfId="228" totalsRowDxfId="227"/>
    <tableColumn id="2" name="Cameroun" totalsRowFunction="custom" dataDxfId="226" totalsRowDxfId="225">
      <calculatedColumnFormula>SUMIFS(DisplacementPeriod[ind],DisplacementPeriod[deplacement],"retournes",DisplacementPeriod[adm2_name],Tableau58[[#This Row],[Départements]],DisplacementPeriod[provenance_adm0],'Displacement &amp; Returns'!E$285)</calculatedColumnFormula>
      <totalsRowFormula>SUM(E287:E292)</totalsRowFormula>
    </tableColumn>
    <tableColumn id="3" name="Nigéria" totalsRowFunction="custom" dataDxfId="224" totalsRowDxfId="223">
      <calculatedColumnFormula>SUMIFS(DisplacementPeriod[ind],DisplacementPeriod[deplacement],"retournes",DisplacementPeriod[adm2_name],Tableau58[[#This Row],[Départements]],DisplacementPeriod[provenance_adm0],'Displacement &amp; Returns'!F$285)</calculatedColumnFormula>
      <totalsRowFormula>SUM(F287:F292)</totalsRowFormula>
    </tableColumn>
    <tableColumn id="4" name="Tchad" totalsRowFunction="sum" dataDxfId="222" totalsRowDxfId="221">
      <calculatedColumnFormula>SUMIFS(DisplacementPeriod[ind],DisplacementPeriod[deplacement],"retournes",DisplacementPeriod[adm2_name],Tableau58[[#This Row],[Départements]],DisplacementPeriod[provenance_adm0],'Displacement &amp; Returns'!G$285)</calculatedColumnFormula>
    </tableColumn>
    <tableColumn id="5" name="Centrafrique" totalsRowFunction="sum" dataDxfId="220" totalsRowDxfId="219">
      <calculatedColumnFormula>SUMIFS(DisplacementPeriod[ind],DisplacementPeriod[deplacement],"retournes",DisplacementPeriod[adm2_name],Tableau58[[#This Row],[Départements]],DisplacementPeriod[provenance_adm0],'Displacement &amp; Returns'!H$285)</calculatedColumnFormula>
    </tableColumn>
  </tableColumns>
  <tableStyleInfo name="TableStyleOIM" showFirstColumn="0" showLastColumn="0" showRowStripes="1" showColumnStripes="0"/>
</table>
</file>

<file path=xl/tables/table85.xml><?xml version="1.0" encoding="utf-8"?>
<table xmlns="http://schemas.openxmlformats.org/spreadsheetml/2006/main" id="59" name="Tableau59" displayName="Tableau59" ref="D299:K306" totalsRowCount="1" headerRowDxfId="218" dataDxfId="217" totalsRowDxfId="216">
  <autoFilter ref="D299:K305"/>
  <tableColumns count="8">
    <tableColumn id="1" name="Départements" dataDxfId="215" totalsRowDxfId="214"/>
    <tableColumn id="2" name="Diamare" totalsRowFunction="custom" dataDxfId="213" totalsRowDxfId="212">
      <calculatedColumnFormula>SUMIFS(DisplacementPeriod[ind],DisplacementPeriod[adm2_name],Tableau59[[#This Row],[Départements]],DisplacementPeriod[deplacement],"retournes",DisplacementPeriod[provenance_adm2_nom],Tableau59[[#Headers],[Diamare]])</calculatedColumnFormula>
      <totalsRowFormula>SUM(E300:E305)</totalsRowFormula>
    </tableColumn>
    <tableColumn id="3" name="Logone-Et-Chari" totalsRowFunction="custom" dataDxfId="211" totalsRowDxfId="210">
      <calculatedColumnFormula>SUMIFS(DisplacementPeriod[ind],DisplacementPeriod[adm2_name],Tableau59[[#This Row],[Départements]],DisplacementPeriod[deplacement],"retournes",DisplacementPeriod[provenance_adm2_nom],Tableau59[[#Headers],[Logone-Et-Chari]])</calculatedColumnFormula>
      <totalsRowFormula>SUM(F300:F305)</totalsRowFormula>
    </tableColumn>
    <tableColumn id="4" name="Mayo-Danay" totalsRowFunction="custom" dataDxfId="209" totalsRowDxfId="208">
      <calculatedColumnFormula>SUMIFS(DisplacementPeriod[ind],DisplacementPeriod[adm2_name],Tableau59[[#This Row],[Départements]],DisplacementPeriod[deplacement],"retournes",DisplacementPeriod[provenance_adm2_nom],Tableau59[[#Headers],[Mayo-Danay]])</calculatedColumnFormula>
      <totalsRowFormula>SUM(G300:G305)</totalsRowFormula>
    </tableColumn>
    <tableColumn id="5" name="Mayo-Kani" totalsRowFunction="custom" dataDxfId="207" totalsRowDxfId="206">
      <calculatedColumnFormula>SUMIFS(DisplacementPeriod[ind],DisplacementPeriod[adm2_name],Tableau59[[#This Row],[Départements]],DisplacementPeriod[deplacement],"retournes",DisplacementPeriod[provenance_adm2_nom],Tableau59[[#Headers],[Mayo-Kani]])</calculatedColumnFormula>
      <totalsRowFormula>SUM(H300:H305)</totalsRowFormula>
    </tableColumn>
    <tableColumn id="6" name="Mayo-Sava" totalsRowFunction="custom" dataDxfId="205" totalsRowDxfId="204">
      <calculatedColumnFormula>SUMIFS(DisplacementPeriod[ind],DisplacementPeriod[adm2_name],Tableau59[[#This Row],[Départements]],DisplacementPeriod[deplacement],"retournes",DisplacementPeriod[provenance_adm2_nom],Tableau59[[#Headers],[Mayo-Sava]])</calculatedColumnFormula>
      <totalsRowFormula>SUM(I300:I305)</totalsRowFormula>
    </tableColumn>
    <tableColumn id="7" name="Mayo-Tsanaga" totalsRowFunction="custom" dataDxfId="203" totalsRowDxfId="202">
      <calculatedColumnFormula>SUMIFS(DisplacementPeriod[ind],DisplacementPeriod[adm2_name],Tableau59[[#This Row],[Départements]],DisplacementPeriod[deplacement],"retournes",DisplacementPeriod[provenance_adm2_nom],Tableau59[[#Headers],[Mayo-Tsanaga]])</calculatedColumnFormula>
      <totalsRowFormula>SUM(J300:J305)</totalsRowFormula>
    </tableColumn>
    <tableColumn id="8" name="Total" totalsRowFunction="sum" dataDxfId="201" totalsRowDxfId="200">
      <calculatedColumnFormula>SUM(Tableau59[[#This Row],[Diamare]:[Mayo-Tsanaga]])</calculatedColumnFormula>
    </tableColumn>
  </tableColumns>
  <tableStyleInfo name="TableStyleOIM" showFirstColumn="0" showLastColumn="0" showRowStripes="1" showColumnStripes="0"/>
</table>
</file>

<file path=xl/tables/table86.xml><?xml version="1.0" encoding="utf-8"?>
<table xmlns="http://schemas.openxmlformats.org/spreadsheetml/2006/main" id="60" name="Tableau60" displayName="Tableau60" ref="H42:I49" totalsRowCount="1" headerRowDxfId="199" dataDxfId="198" totalsRowDxfId="197">
  <autoFilter ref="H42:I48"/>
  <tableColumns count="2">
    <tableColumn id="1" name="Départements" dataDxfId="196" totalsRowDxfId="195"/>
    <tableColumn id="2" name="villages Vides" totalsRowFunction="custom" dataDxfId="194" totalsRowDxfId="193">
      <calculatedColumnFormula>COUNTIFS(Locations[Adm2_Name],Tableau60[[#This Row],[Départements]],Locations[Ind_IDPs],0,Locations[Ind_Unregistered_Refugees],0,Locations[Ind_Returnees],0)</calculatedColumnFormula>
      <totalsRowFormula>SUM(I43:I48)</totalsRowFormula>
    </tableColumn>
  </tableColumns>
  <tableStyleInfo name="TableStyleOIM" showFirstColumn="0" showLastColumn="0" showRowStripes="1" showColumnStripes="0"/>
</table>
</file>

<file path=xl/tables/table87.xml><?xml version="1.0" encoding="utf-8"?>
<table xmlns="http://schemas.openxmlformats.org/spreadsheetml/2006/main" id="62" name="Tableau6063" displayName="Tableau6063" ref="R42:S49" totalsRowCount="1" headerRowDxfId="192" dataDxfId="191" totalsRowDxfId="190">
  <autoFilter ref="R42:S48"/>
  <tableColumns count="2">
    <tableColumn id="1" name="Departments" dataDxfId="189" totalsRowDxfId="188"/>
    <tableColumn id="2" name="Empty villages" totalsRowFunction="custom" dataDxfId="187" totalsRowDxfId="186">
      <calculatedColumnFormula>COUNTIFS(Locations[Adm2_Name],Tableau6063[[#This Row],[Departments]],Locations[Ind_IDPs],0,Locations[Ind_Unregistered_Refugees],0,Locations[Ind_Returnees],0)</calculatedColumnFormula>
      <totalsRowFormula>SUM(S43:S48)</totalsRowFormula>
    </tableColumn>
  </tableColumns>
  <tableStyleInfo name="TableStyleOIM" showFirstColumn="0" showLastColumn="0" showRowStripes="1" showColumnStripes="0"/>
</table>
</file>

<file path=xl/tables/table88.xml><?xml version="1.0" encoding="utf-8"?>
<table xmlns="http://schemas.openxmlformats.org/spreadsheetml/2006/main" id="89" name="Tableau5090" displayName="Tableau5090" ref="D231:K237" totalsRowShown="0" headerRowDxfId="185" dataDxfId="184">
  <autoFilter ref="D231:K237"/>
  <tableColumns count="8">
    <tableColumn id="1" name="Départements" dataDxfId="183" totalsRowDxfId="182"/>
    <tableColumn id="2" name="Diamare" dataDxfId="181" totalsRowDxfId="180">
      <calculatedColumnFormula>E221/$K221</calculatedColumnFormula>
    </tableColumn>
    <tableColumn id="3" name="Logone-Et-Chari" dataDxfId="179" totalsRowDxfId="178">
      <calculatedColumnFormula>F221/$K221</calculatedColumnFormula>
    </tableColumn>
    <tableColumn id="4" name="Mayo-Danay" dataDxfId="177" totalsRowDxfId="176">
      <calculatedColumnFormula>G221/$K221</calculatedColumnFormula>
    </tableColumn>
    <tableColumn id="5" name="Mayo-Kani" dataDxfId="175" totalsRowDxfId="174">
      <calculatedColumnFormula>H221/$K221</calculatedColumnFormula>
    </tableColumn>
    <tableColumn id="6" name="Mayo-Sava" dataDxfId="173" totalsRowDxfId="172">
      <calculatedColumnFormula>I221/$K221</calculatedColumnFormula>
    </tableColumn>
    <tableColumn id="7" name="Mayo-Tsanaga" dataDxfId="171" totalsRowDxfId="170">
      <calculatedColumnFormula>J221/$K221</calculatedColumnFormula>
    </tableColumn>
    <tableColumn id="8" name="Total" dataDxfId="169" totalsRowDxfId="168">
      <calculatedColumnFormula>SUM(E232:J232)</calculatedColumnFormula>
    </tableColumn>
  </tableColumns>
  <tableStyleInfo name="TableStyleOIM" showFirstColumn="0" showLastColumn="0" showRowStripes="1" showColumnStripes="0"/>
</table>
</file>

<file path=xl/tables/table89.xml><?xml version="1.0" encoding="utf-8"?>
<table xmlns="http://schemas.openxmlformats.org/spreadsheetml/2006/main" id="9" name="Tableau5810" displayName="Tableau5810" ref="N286:R293" totalsRowCount="1" headerRowDxfId="167" dataDxfId="166" totalsRowDxfId="165">
  <autoFilter ref="N286:R292"/>
  <tableColumns count="5">
    <tableColumn id="1" name="Departments" dataDxfId="164" totalsRowDxfId="163"/>
    <tableColumn id="2" name="Cameroon" totalsRowFunction="custom" dataDxfId="162" totalsRowDxfId="161">
      <calculatedColumnFormula>SUMIFS(DisplacementPeriod[ind],DisplacementPeriod[deplacement],"retournes",DisplacementPeriod[adm2_name],Tableau5810[[#This Row],[Departments]],DisplacementPeriod[provenance_adm0],'Displacement &amp; Returns'!O$285)</calculatedColumnFormula>
      <totalsRowFormula>SUM(O287:O292)</totalsRowFormula>
    </tableColumn>
    <tableColumn id="3" name="Nigeria" totalsRowFunction="sum" dataDxfId="160" totalsRowDxfId="159">
      <calculatedColumnFormula>SUMIFS(DisplacementPeriod[ind],DisplacementPeriod[deplacement],"retournes",DisplacementPeriod[adm2_name],Tableau5810[[#This Row],[Departments]],DisplacementPeriod[provenance_adm0],'Displacement &amp; Returns'!P$285)</calculatedColumnFormula>
    </tableColumn>
    <tableColumn id="4" name="Chad" totalsRowFunction="custom" dataDxfId="158" totalsRowDxfId="157">
      <calculatedColumnFormula>SUMIFS(DisplacementPeriod[ind],DisplacementPeriod[deplacement],"retournes",DisplacementPeriod[adm2_name],Tableau5810[[#This Row],[Departments]],DisplacementPeriod[provenance_adm0],'Displacement &amp; Returns'!Q$285)</calculatedColumnFormula>
      <totalsRowFormula>SUM(Q287:Q292)</totalsRowFormula>
    </tableColumn>
    <tableColumn id="5" name="Centrafric" totalsRowFunction="sum" dataDxfId="156" totalsRowDxfId="155">
      <calculatedColumnFormula>SUMIFS(DisplacementPeriod[ind],DisplacementPeriod[deplacement],"retournes",DisplacementPeriod[adm2_name],Tableau5810[[#This Row],[Departments]],DisplacementPeriod[provenance_adm0],'Displacement &amp; Returns'!R$285)</calculatedColumnFormula>
    </tableColumn>
  </tableColumns>
  <tableStyleInfo name="TableStyleOIM" showFirstColumn="0" showLastColumn="0" showRowStripes="1" showColumnStripes="0"/>
</table>
</file>

<file path=xl/tables/table9.xml><?xml version="1.0" encoding="utf-8"?>
<table xmlns="http://schemas.openxmlformats.org/spreadsheetml/2006/main" id="68" name="Tableau6769" displayName="Tableau6769" ref="O28:U35" totalsRowCount="1" headerRowDxfId="1220" dataDxfId="1219" totalsRowDxfId="1218">
  <autoFilter ref="O28:U34"/>
  <tableColumns count="7">
    <tableColumn id="1" name="Departments" dataDxfId="1217" totalsRowDxfId="1216"/>
    <tableColumn id="2" name="Spontaneous sites" dataDxfId="1215" totalsRowDxfId="1214">
      <calculatedColumnFormula>Tableau67[[#This Row],[Spontaneous sites]]/Tableau67[[#This Row],[Total]]</calculatedColumnFormula>
    </tableColumn>
    <tableColumn id="3" name="Rental" dataDxfId="1213" totalsRowDxfId="1212">
      <calculatedColumnFormula>Tableau67[[#This Row],[Rental]]/Tableau67[[#This Row],[Total]]</calculatedColumnFormula>
    </tableColumn>
    <tableColumn id="4" name="Collective" dataDxfId="1211" totalsRowDxfId="1210">
      <calculatedColumnFormula>Tableau67[[#This Row],[Collective]]/Tableau67[[#This Row],[Total]]</calculatedColumnFormula>
    </tableColumn>
    <tableColumn id="5" name="Open air" dataDxfId="1209" totalsRowDxfId="1208">
      <calculatedColumnFormula>Tableau67[[#This Row],[Open air]]/Tableau67[[#This Row],[Total]]</calculatedColumnFormula>
    </tableColumn>
    <tableColumn id="6" name="Host Families" dataDxfId="1207" totalsRowDxfId="1206">
      <calculatedColumnFormula>Tableau67[[#This Row],[Host Families]]/Tableau67[[#This Row],[Total]]</calculatedColumnFormula>
    </tableColumn>
    <tableColumn id="7" name="Total" dataDxfId="1205" totalsRowDxfId="1204">
      <calculatedColumnFormula>SUM(Tableau6769[[#This Row],[Spontaneous sites]:[Host Families]])</calculatedColumnFormula>
    </tableColumn>
  </tableColumns>
  <tableStyleInfo name="TableStyleOIM IDP" showFirstColumn="0" showLastColumn="0" showRowStripes="1" showColumnStripes="0"/>
</table>
</file>

<file path=xl/tables/table90.xml><?xml version="1.0" encoding="utf-8"?>
<table xmlns="http://schemas.openxmlformats.org/spreadsheetml/2006/main" id="10" name="Tableau5911" displayName="Tableau5911" ref="N299:U306" totalsRowCount="1" headerRowDxfId="154" dataDxfId="153" totalsRowDxfId="152">
  <autoFilter ref="N299:U305"/>
  <tableColumns count="8">
    <tableColumn id="1" name="Departments" dataDxfId="151" totalsRowDxfId="150"/>
    <tableColumn id="2" name="Diamare" totalsRowFunction="custom" dataDxfId="149" totalsRowDxfId="148">
      <calculatedColumnFormula>SUMIFS(DisplacementPeriod[ind],DisplacementPeriod[adm2_name],Tableau5911[[#This Row],[Departments]],DisplacementPeriod[deplacement],"retournes",DisplacementPeriod[provenance_adm2_nom],Tableau5911[[#Headers],[Diamare]])</calculatedColumnFormula>
      <totalsRowFormula>SUM(O300:O305)</totalsRowFormula>
    </tableColumn>
    <tableColumn id="3" name="Logone-Et-Chari" totalsRowFunction="custom" dataDxfId="147" totalsRowDxfId="146">
      <calculatedColumnFormula>SUMIFS(DisplacementPeriod[ind],DisplacementPeriod[adm2_name],Tableau5911[[#This Row],[Departments]],DisplacementPeriod[deplacement],"retournes",DisplacementPeriod[provenance_adm2_nom],Tableau5911[[#Headers],[Logone-Et-Chari]])</calculatedColumnFormula>
      <totalsRowFormula>SUM(P300:P305)</totalsRowFormula>
    </tableColumn>
    <tableColumn id="4" name="Mayo-Danay" totalsRowFunction="custom" dataDxfId="145" totalsRowDxfId="144">
      <calculatedColumnFormula>SUMIFS(DisplacementPeriod[ind],DisplacementPeriod[adm2_name],Tableau5911[[#This Row],[Departments]],DisplacementPeriod[deplacement],"retournes",DisplacementPeriod[provenance_adm2_nom],Tableau5911[[#Headers],[Mayo-Danay]])</calculatedColumnFormula>
      <totalsRowFormula>SUM(Q300:Q305)</totalsRowFormula>
    </tableColumn>
    <tableColumn id="5" name="Mayo-Kani" totalsRowFunction="custom" dataDxfId="143" totalsRowDxfId="142">
      <calculatedColumnFormula>SUMIFS(DisplacementPeriod[ind],DisplacementPeriod[adm2_name],Tableau5911[[#This Row],[Departments]],DisplacementPeriod[deplacement],"retournes",DisplacementPeriod[provenance_adm2_nom],Tableau5911[[#Headers],[Mayo-Kani]])</calculatedColumnFormula>
      <totalsRowFormula>SUM(R300:R305)</totalsRowFormula>
    </tableColumn>
    <tableColumn id="6" name="Mayo-Sava" totalsRowFunction="custom" dataDxfId="141" totalsRowDxfId="140">
      <calculatedColumnFormula>SUMIFS(DisplacementPeriod[ind],DisplacementPeriod[adm2_name],Tableau5911[[#This Row],[Departments]],DisplacementPeriod[deplacement],"retournes",DisplacementPeriod[provenance_adm2_nom],Tableau5911[[#Headers],[Mayo-Sava]])</calculatedColumnFormula>
      <totalsRowFormula>SUM(S300:S305)</totalsRowFormula>
    </tableColumn>
    <tableColumn id="7" name="Mayo-Tsanaga" totalsRowFunction="custom" dataDxfId="139" totalsRowDxfId="138">
      <calculatedColumnFormula>SUMIFS(DisplacementPeriod[ind],DisplacementPeriod[adm2_name],Tableau5911[[#This Row],[Departments]],DisplacementPeriod[deplacement],"retournes",DisplacementPeriod[provenance_adm2_nom],Tableau5911[[#Headers],[Mayo-Tsanaga]])</calculatedColumnFormula>
      <totalsRowFormula>SUM(T300:T305)</totalsRowFormula>
    </tableColumn>
    <tableColumn id="8" name="Total" totalsRowFunction="sum" dataDxfId="137" totalsRowDxfId="136">
      <calculatedColumnFormula>SUM(Tableau5911[[#This Row],[Diamare]:[Mayo-Tsanaga]])</calculatedColumnFormula>
    </tableColumn>
  </tableColumns>
  <tableStyleInfo name="TableStyleOIM" showFirstColumn="0" showLastColumn="0" showRowStripes="1" showColumnStripes="0"/>
</table>
</file>

<file path=xl/tables/table91.xml><?xml version="1.0" encoding="utf-8"?>
<table xmlns="http://schemas.openxmlformats.org/spreadsheetml/2006/main" id="19" name="Tableau4920" displayName="Tableau4920" ref="N259:R266" totalsRowCount="1" headerRowDxfId="135" dataDxfId="134" totalsRowDxfId="133">
  <autoFilter ref="N259:R265"/>
  <tableColumns count="5">
    <tableColumn id="1" name="Periods" dataDxfId="132" totalsRowDxfId="131"/>
    <tableColumn id="2" name="Nigeria" totalsRowFunction="custom" dataDxfId="130" totalsRowDxfId="129">
      <calculatedColumnFormula>SUMIFS(DisplacementPeriod[ind],DisplacementPeriod[deplacement],"refugies non enregistres",DisplacementPeriod[periode],Tableau4920[[#This Row],[Periods]],DisplacementPeriod[provenance_adm0],'Displacement &amp; Returns'!O$258)</calculatedColumnFormula>
      <totalsRowFormula>SUM(O260:O265)</totalsRowFormula>
    </tableColumn>
    <tableColumn id="3" name="Chad" totalsRowFunction="custom" dataDxfId="128" totalsRowDxfId="127">
      <calculatedColumnFormula>SUMIFS(DisplacementPeriod[ind],DisplacementPeriod[deplacement],"refugies non enregistres",DisplacementPeriod[periode],Tableau4920[[#This Row],[Periods]],DisplacementPeriod[provenance_adm0],'Displacement &amp; Returns'!P$258)</calculatedColumnFormula>
      <totalsRowFormula>SUM(P260:P265)</totalsRowFormula>
    </tableColumn>
    <tableColumn id="4" name="Other" totalsRowFunction="custom" dataDxfId="126" totalsRowDxfId="125">
      <calculatedColumnFormula>(SUMIFS(DisplacementPeriod[ind],DisplacementPeriod[deplacement],"refugies non enregistres",DisplacementPeriod[periode],Tableau4920[[#This Row],[Periods]],DisplacementPeriod[provenance_adm0],"*") - Tableau4920[[#This Row],[Chad]]-Tableau4920[[#This Row],[Nigeria]])</calculatedColumnFormula>
      <totalsRowFormula>SUM(Q260:Q265)</totalsRowFormula>
    </tableColumn>
    <tableColumn id="5" name="Total" totalsRowFunction="sum" dataDxfId="124" totalsRowDxfId="123">
      <calculatedColumnFormula>SUM(O260:Q260)</calculatedColumnFormula>
    </tableColumn>
  </tableColumns>
  <tableStyleInfo name="TableStyleOIM" showFirstColumn="0" showLastColumn="0" showRowStripes="1" showColumnStripes="0"/>
</table>
</file>

<file path=xl/tables/table92.xml><?xml version="1.0" encoding="utf-8"?>
<table xmlns="http://schemas.openxmlformats.org/spreadsheetml/2006/main" id="20" name="Tableau5221" displayName="Tableau5221" ref="N272:U278" totalsRowShown="0" headerRowDxfId="122" dataDxfId="121">
  <autoFilter ref="N272:U278"/>
  <tableColumns count="8">
    <tableColumn id="1" name="Départements" dataDxfId="120"/>
    <tableColumn id="2" name="Diamare" dataDxfId="119">
      <calculatedColumnFormula>SUMIFS(Dashboard[idp_ind],Dashboard[evaluation_adm2_name],Tableau5221[[#This Row],[Départements]],Dashboard[ancien_refugees],"oui",Dashboard[ancien_departement],Tableau5221[[#Headers],[Diamare]])</calculatedColumnFormula>
    </tableColumn>
    <tableColumn id="3" name="Logone-Et-Chari" dataDxfId="118">
      <calculatedColumnFormula>SUMIFS(Dashboard[idp_ind],Dashboard[evaluation_adm2_name],Tableau5221[[#This Row],[Départements]],Dashboard[ancien_refugees],"oui",Dashboard[ancien_departement],Tableau5221[[#Headers],[Logone-Et-Chari]])</calculatedColumnFormula>
    </tableColumn>
    <tableColumn id="4" name="Mayo-Danay" dataDxfId="117">
      <calculatedColumnFormula>SUMIFS(Dashboard[idp_ind],Dashboard[evaluation_adm2_name],Tableau5221[[#This Row],[Départements]],Dashboard[ancien_refugees],"oui",Dashboard[ancien_departement],Tableau5221[[#Headers],[Mayo-Danay]])</calculatedColumnFormula>
    </tableColumn>
    <tableColumn id="5" name="Mayo-Kani" dataDxfId="116">
      <calculatedColumnFormula>SUMIFS(Dashboard[idp_ind],Dashboard[evaluation_adm2_name],Tableau5221[[#This Row],[Départements]],Dashboard[ancien_refugees],"oui",Dashboard[ancien_departement],Tableau5221[[#Headers],[Mayo-Kani]])</calculatedColumnFormula>
    </tableColumn>
    <tableColumn id="6" name="Mayo-Sava" dataDxfId="115">
      <calculatedColumnFormula>SUMIFS(Dashboard[idp_ind],Dashboard[evaluation_adm2_name],Tableau5221[[#This Row],[Départements]],Dashboard[ancien_refugees],"oui",Dashboard[ancien_departement],Tableau5221[[#Headers],[Mayo-Sava]])</calculatedColumnFormula>
    </tableColumn>
    <tableColumn id="7" name="Mayo-Tsanaga" dataDxfId="114">
      <calculatedColumnFormula>SUMIFS(Dashboard[idp_ind],Dashboard[evaluation_adm2_name],Tableau5221[[#This Row],[Départements]],Dashboard[ancien_refugees],"oui",Dashboard[ancien_departement],Tableau5221[[#Headers],[Mayo-Tsanaga]])</calculatedColumnFormula>
    </tableColumn>
    <tableColumn id="8" name="Directly from abroad" dataDxfId="113">
      <calculatedColumnFormula>(SUMIFS(DisplacementPeriod[ind], DisplacementPeriod[adm2_name], Tableau5221[[#This Row],[Départements]], DisplacementPeriod[deplacement], "refugies non enregistres"))-SUM(Tableau5221[[#This Row],[Diamare]:[Mayo-Tsanaga]])</calculatedColumnFormula>
    </tableColumn>
  </tableColumns>
  <tableStyleInfo name="TableStyleOIM" showFirstColumn="0" showLastColumn="0" showRowStripes="1" showColumnStripes="0"/>
</table>
</file>

<file path=xl/tables/table93.xml><?xml version="1.0" encoding="utf-8"?>
<table xmlns="http://schemas.openxmlformats.org/spreadsheetml/2006/main" id="36" name="Tableau509037" displayName="Tableau509037" ref="N231:U237" totalsRowShown="0" headerRowDxfId="112" dataDxfId="111">
  <autoFilter ref="N231:U237"/>
  <tableColumns count="8">
    <tableColumn id="1" name="Departments" dataDxfId="110" totalsRowDxfId="109"/>
    <tableColumn id="2" name="Diamare" dataDxfId="108" totalsRowDxfId="107">
      <calculatedColumnFormula>O221/U221</calculatedColumnFormula>
    </tableColumn>
    <tableColumn id="3" name="Logone-Et-Chari" dataDxfId="106" totalsRowDxfId="105">
      <calculatedColumnFormula>P221/U221</calculatedColumnFormula>
    </tableColumn>
    <tableColumn id="4" name="Mayo-Danay" dataDxfId="104" totalsRowDxfId="103">
      <calculatedColumnFormula>Q221/U221</calculatedColumnFormula>
    </tableColumn>
    <tableColumn id="5" name="Mayo-Kani" dataDxfId="102" totalsRowDxfId="101">
      <calculatedColumnFormula>R221/U221</calculatedColumnFormula>
    </tableColumn>
    <tableColumn id="6" name="Mayo-Sava" dataDxfId="100" totalsRowDxfId="99">
      <calculatedColumnFormula>S221/U221</calculatedColumnFormula>
    </tableColumn>
    <tableColumn id="7" name="Mayo-Tsanaga" dataDxfId="98" totalsRowDxfId="97">
      <calculatedColumnFormula>T221/U221</calculatedColumnFormula>
    </tableColumn>
    <tableColumn id="8" name="Total" dataDxfId="96" totalsRowDxfId="95">
      <calculatedColumnFormula>SUM(Tableau509037[[#This Row],[Diamare]:[Mayo-Tsanaga]])</calculatedColumnFormula>
    </tableColumn>
  </tableColumns>
  <tableStyleInfo name="TableStyleOIM" showFirstColumn="0" showLastColumn="0" showRowStripes="1" showColumnStripes="0"/>
</table>
</file>

<file path=xl/tables/table94.xml><?xml version="1.0" encoding="utf-8"?>
<table xmlns="http://schemas.openxmlformats.org/spreadsheetml/2006/main" id="1" name="TotalData_DetailPeriods" displayName="TotalData_DetailPeriods" ref="A1:W1984" tableType="queryTable" totalsRowShown="0" headerRowDxfId="94" dataDxfId="93">
  <autoFilter ref="A1:W1984"/>
  <tableColumns count="23">
    <tableColumn id="1" uniqueName="1" name="adm1_name" queryTableFieldId="1" dataDxfId="92"/>
    <tableColumn id="2" uniqueName="2" name="adm1_code" queryTableFieldId="2" dataDxfId="91"/>
    <tableColumn id="3" uniqueName="3" name="adm2_name" queryTableFieldId="3" dataDxfId="90"/>
    <tableColumn id="4" uniqueName="4" name="adm2_code" queryTableFieldId="4" dataDxfId="89"/>
    <tableColumn id="5" uniqueName="5" name="adm3_name" queryTableFieldId="5" dataDxfId="88"/>
    <tableColumn id="6" uniqueName="6" name="adm3_code" queryTableFieldId="6" dataDxfId="87"/>
    <tableColumn id="7" uniqueName="7" name="village_name" queryTableFieldId="7" dataDxfId="86"/>
    <tableColumn id="8" uniqueName="8" name="village_code" queryTableFieldId="8" dataDxfId="85"/>
    <tableColumn id="9" uniqueName="9" name="deplacement" queryTableFieldId="9" dataDxfId="84"/>
    <tableColumn id="10" uniqueName="10" name="periode" queryTableFieldId="10" dataDxfId="83"/>
    <tableColumn id="11" uniqueName="11" name="hh" queryTableFieldId="11" dataDxfId="82"/>
    <tableColumn id="12" uniqueName="12" name="ind" queryTableFieldId="12" dataDxfId="81"/>
    <tableColumn id="13" uniqueName="13" name="raison" queryTableFieldId="13" dataDxfId="80"/>
    <tableColumn id="14" uniqueName="14" name="autre_raison" queryTableFieldId="14" dataDxfId="79"/>
    <tableColumn id="15" uniqueName="15" name="provenance" queryTableFieldId="15" dataDxfId="78"/>
    <tableColumn id="16" uniqueName="16" name="provenance_adm0" queryTableFieldId="16" dataDxfId="77"/>
    <tableColumn id="17" uniqueName="17" name="provenance_adm0_nom" queryTableFieldId="17" dataDxfId="76"/>
    <tableColumn id="18" uniqueName="18" name="provenance_adm1" queryTableFieldId="18" dataDxfId="75"/>
    <tableColumn id="19" uniqueName="19" name="provenance_adm1_nom" queryTableFieldId="19" dataDxfId="74"/>
    <tableColumn id="20" uniqueName="20" name="provenance_adm2" queryTableFieldId="20" dataDxfId="73"/>
    <tableColumn id="21" uniqueName="21" name="provenance_adm2_nom" queryTableFieldId="21" dataDxfId="72"/>
    <tableColumn id="22" uniqueName="22" name="provenance_adm3" queryTableFieldId="22" dataDxfId="71"/>
    <tableColumn id="23" uniqueName="23" name="provenance_adm3_nom" queryTableFieldId="23" dataDxfId="70"/>
  </tableColumns>
  <tableStyleInfo name="TableStyleQueryPreview" showFirstColumn="0" showLastColumn="0" showRowStripes="1" showColumnStripes="0"/>
</table>
</file>

<file path=xl/tables/table95.xml><?xml version="1.0" encoding="utf-8"?>
<table xmlns="http://schemas.openxmlformats.org/spreadsheetml/2006/main" id="3" name="TotalData_Departures" displayName="TotalData_Departures" ref="AD1:AU125" tableType="queryTable" totalsRowShown="0" headerRowDxfId="69" dataDxfId="68">
  <autoFilter ref="AD1:AU125"/>
  <tableColumns count="18">
    <tableColumn id="1" uniqueName="1" name="evaluation_adm2_code" queryTableFieldId="1" dataDxfId="67"/>
    <tableColumn id="2" uniqueName="2" name="evaluation_adm2_name" queryTableFieldId="2" dataDxfId="66"/>
    <tableColumn id="3" uniqueName="3" name="evaluation_adm3_code" queryTableFieldId="3" dataDxfId="65"/>
    <tableColumn id="4" uniqueName="4" name="evaluation_adm3_name" queryTableFieldId="4" dataDxfId="64"/>
    <tableColumn id="5" uniqueName="5" name="village" queryTableFieldId="5" dataDxfId="63"/>
    <tableColumn id="6" uniqueName="6" name="periode_depart" queryTableFieldId="6" dataDxfId="62"/>
    <tableColumn id="7" uniqueName="7" name="hh" queryTableFieldId="7" dataDxfId="61"/>
    <tableColumn id="8" uniqueName="8" name="ind" queryTableFieldId="8" dataDxfId="60"/>
    <tableColumn id="9" uniqueName="9" name="destinations" queryTableFieldId="9" dataDxfId="59"/>
    <tableColumn id="10" uniqueName="10" name="code_pays" queryTableFieldId="10" dataDxfId="58"/>
    <tableColumn id="11" uniqueName="11" name="pays_destination" queryTableFieldId="11" dataDxfId="57"/>
    <tableColumn id="12" uniqueName="12" name="code_region" queryTableFieldId="12" dataDxfId="56"/>
    <tableColumn id="13" uniqueName="13" name="region_destination" queryTableFieldId="13" dataDxfId="55"/>
    <tableColumn id="14" uniqueName="14" name="code_departement" queryTableFieldId="14" dataDxfId="54"/>
    <tableColumn id="15" uniqueName="15" name="departement_destination" queryTableFieldId="15" dataDxfId="53"/>
    <tableColumn id="16" uniqueName="16" name="code_arrondissement" queryTableFieldId="16" dataDxfId="52"/>
    <tableColumn id="17" uniqueName="17" name="arrondissement_destination" queryTableFieldId="17" dataDxfId="51"/>
    <tableColumn id="18" uniqueName="18" name="Lieu_precis" queryTableFieldId="18" dataDxfId="50"/>
  </tableColumns>
  <tableStyleInfo name="TableStyleQueryPreview" showFirstColumn="0" showLastColumn="0" showRowStripes="1" showColumnStripes="0"/>
</table>
</file>

<file path=xl/tables/table96.xml><?xml version="1.0" encoding="utf-8"?>
<table xmlns="http://schemas.openxmlformats.org/spreadsheetml/2006/main" id="5" name="periods" displayName="periods" ref="AX1:AZ7" tableType="queryTable" totalsRowShown="0" headerRowDxfId="49" dataDxfId="48">
  <autoFilter ref="AX1:AZ7"/>
  <tableColumns count="3">
    <tableColumn id="7" uniqueName="7" name="Periodes" queryTableFieldId="1" dataDxfId="47"/>
    <tableColumn id="8" uniqueName="8" name="Valeurs" queryTableFieldId="2" dataDxfId="46"/>
    <tableColumn id="9" uniqueName="9" name="Values" queryTableFieldId="3" dataDxfId="45"/>
  </tableColumns>
  <tableStyleInfo name="TableStyleQueryPreview" showFirstColumn="0" showLastColumn="0" showRowStripes="1" showColumnStripes="0"/>
</table>
</file>

<file path=xl/tables/table97.xml><?xml version="1.0" encoding="utf-8"?>
<table xmlns="http://schemas.openxmlformats.org/spreadsheetml/2006/main" id="99" name="autres_details" displayName="autres_details" ref="BC1:BO748" tableType="queryTable" totalsRowShown="0" headerRowDxfId="44" dataDxfId="43">
  <autoFilter ref="BC1:BO748"/>
  <tableColumns count="13">
    <tableColumn id="27" uniqueName="27" name="departement" queryTableFieldId="1" dataDxfId="42"/>
    <tableColumn id="28" uniqueName="28" name="arrondissement" queryTableFieldId="2" dataDxfId="41"/>
    <tableColumn id="29" uniqueName="29" name="A_location_team_a_village" queryTableFieldId="3" dataDxfId="40"/>
    <tableColumn id="30" uniqueName="30" name="Village" queryTableFieldId="4" dataDxfId="39"/>
    <tableColumn id="31" uniqueName="31" name="Accessibilite" queryTableFieldId="5" dataDxfId="38"/>
    <tableColumn id="32" uniqueName="32" name="idps" queryTableFieldId="6" dataDxfId="37"/>
    <tableColumn id="33" uniqueName="33" name="refugees" queryTableFieldId="7" dataDxfId="36"/>
    <tableColumn id="34" uniqueName="34" name="returnees" queryTableFieldId="8" dataDxfId="35"/>
    <tableColumn id="35" uniqueName="35" name="motif_retour" queryTableFieldId="9" dataDxfId="34"/>
    <tableColumn id="36" uniqueName="36" name="autre_motif" queryTableFieldId="10" dataDxfId="33"/>
    <tableColumn id="37" uniqueName="37" name="Village_Pdi" queryTableFieldId="11" dataDxfId="32"/>
    <tableColumn id="38" uniqueName="38" name="mois" queryTableFieldId="12" dataDxfId="31"/>
    <tableColumn id="39" uniqueName="39" name="annee" queryTableFieldId="13" dataDxfId="30"/>
  </tableColumns>
  <tableStyleInfo name="TableStyleQueryPreview" showFirstColumn="0" showLastColumn="0" showRowStripes="1" showColumnStripes="0"/>
</table>
</file>

<file path=xl/tables/table98.xml><?xml version="1.0" encoding="utf-8"?>
<table xmlns="http://schemas.openxmlformats.org/spreadsheetml/2006/main" id="100" name="comparaison_samebasis_villages" displayName="comparaison_samebasis_villages" ref="BR1:CJ744" tableType="queryTable" totalsRowShown="0" headerRowDxfId="29" dataDxfId="28">
  <autoFilter ref="BR1:CJ744"/>
  <tableColumns count="19">
    <tableColumn id="39" uniqueName="39" name="evaluation_adm2_name" queryTableFieldId="1" dataDxfId="27"/>
    <tableColumn id="40" uniqueName="40" name="evaluation_adm3_name" queryTableFieldId="2" dataDxfId="26"/>
    <tableColumn id="41" uniqueName="41" name="evaluation_village_name" queryTableFieldId="3" dataDxfId="25"/>
    <tableColumn id="42" uniqueName="42" name="village_SSID" queryTableFieldId="4" dataDxfId="24"/>
    <tableColumn id="43" uniqueName="43" name="act_idp_hh" queryTableFieldId="5" dataDxfId="23"/>
    <tableColumn id="44" uniqueName="44" name="act_idp_ind" queryTableFieldId="6" dataDxfId="22"/>
    <tableColumn id="45" uniqueName="45" name="act_ref_hh" queryTableFieldId="7" dataDxfId="21"/>
    <tableColumn id="46" uniqueName="46" name="act_ref_ind" queryTableFieldId="8" dataDxfId="20"/>
    <tableColumn id="47" uniqueName="47" name="act_ret_hh" queryTableFieldId="9" dataDxfId="19"/>
    <tableColumn id="48" uniqueName="48" name="act_ret_ind" queryTableFieldId="10" dataDxfId="18"/>
    <tableColumn id="49" uniqueName="49" name="prev_idp_hh" queryTableFieldId="11" dataDxfId="17"/>
    <tableColumn id="50" uniqueName="50" name="prev_idp_ind" queryTableFieldId="12" dataDxfId="16"/>
    <tableColumn id="51" uniqueName="51" name="prev_ref_hh" queryTableFieldId="13" dataDxfId="15"/>
    <tableColumn id="52" uniqueName="52" name="prev_ref_ind" queryTableFieldId="14" dataDxfId="14"/>
    <tableColumn id="53" uniqueName="53" name="prev_ret_hh" queryTableFieldId="15" dataDxfId="13"/>
    <tableColumn id="54" uniqueName="54" name="prev_ret_ind" queryTableFieldId="16" dataDxfId="12"/>
    <tableColumn id="55" uniqueName="55" name="var_idp" queryTableFieldId="17" dataDxfId="11"/>
    <tableColumn id="56" uniqueName="56" name="var_ref" queryTableFieldId="18" dataDxfId="10"/>
    <tableColumn id="57" uniqueName="57" name="var_ret" queryTableFieldId="19" dataDxfId="9"/>
  </tableColumns>
  <tableStyleInfo name="TableStyleQueryPreview" showFirstColumn="0" showLastColumn="0" showRowStripes="1" showColumnStripes="0"/>
</table>
</file>

<file path=xl/tables/table99.xml><?xml version="1.0" encoding="utf-8"?>
<table xmlns="http://schemas.openxmlformats.org/spreadsheetml/2006/main" id="114" name="comparative_displacement_reasons_adm3" displayName="comparative_displacement_reasons_adm3" ref="CM1:CS46" tableType="queryTable" totalsRowShown="0" headerRowDxfId="8" dataDxfId="7">
  <autoFilter ref="CM1:CS46"/>
  <tableColumns count="7">
    <tableColumn id="14" uniqueName="14" name="adm2_name" queryTableFieldId="1" dataDxfId="6"/>
    <tableColumn id="15" uniqueName="15" name="adm2_code" queryTableFieldId="2" dataDxfId="5"/>
    <tableColumn id="16" uniqueName="16" name="adm3_name" queryTableFieldId="3" dataDxfId="4"/>
    <tableColumn id="17" uniqueName="17" name="adm3_code" queryTableFieldId="4" dataDxfId="3"/>
    <tableColumn id="18" uniqueName="18" name="raison" queryTableFieldId="5" dataDxfId="2"/>
    <tableColumn id="19" uniqueName="19" name="Actual_Ind" queryTableFieldId="6" dataDxfId="1"/>
    <tableColumn id="20" uniqueName="20" name="Previous_ind" queryTableFieldId="7" dataDxfId="0"/>
  </tableColumns>
  <tableStyleInfo name="TableStyleQueryPreview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5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9.xml"/><Relationship Id="rId13" Type="http://schemas.openxmlformats.org/officeDocument/2006/relationships/table" Target="../tables/table64.xml"/><Relationship Id="rId18" Type="http://schemas.openxmlformats.org/officeDocument/2006/relationships/table" Target="../tables/table69.xml"/><Relationship Id="rId26" Type="http://schemas.openxmlformats.org/officeDocument/2006/relationships/table" Target="../tables/table77.xml"/><Relationship Id="rId39" Type="http://schemas.openxmlformats.org/officeDocument/2006/relationships/table" Target="../tables/table90.xml"/><Relationship Id="rId3" Type="http://schemas.openxmlformats.org/officeDocument/2006/relationships/printerSettings" Target="../printerSettings/printerSettings10.bin"/><Relationship Id="rId21" Type="http://schemas.openxmlformats.org/officeDocument/2006/relationships/table" Target="../tables/table72.xml"/><Relationship Id="rId34" Type="http://schemas.openxmlformats.org/officeDocument/2006/relationships/table" Target="../tables/table85.xml"/><Relationship Id="rId42" Type="http://schemas.openxmlformats.org/officeDocument/2006/relationships/table" Target="../tables/table93.xml"/><Relationship Id="rId7" Type="http://schemas.openxmlformats.org/officeDocument/2006/relationships/table" Target="../tables/table58.xml"/><Relationship Id="rId12" Type="http://schemas.openxmlformats.org/officeDocument/2006/relationships/table" Target="../tables/table63.xml"/><Relationship Id="rId17" Type="http://schemas.openxmlformats.org/officeDocument/2006/relationships/table" Target="../tables/table68.xml"/><Relationship Id="rId25" Type="http://schemas.openxmlformats.org/officeDocument/2006/relationships/table" Target="../tables/table76.xml"/><Relationship Id="rId33" Type="http://schemas.openxmlformats.org/officeDocument/2006/relationships/table" Target="../tables/table84.xml"/><Relationship Id="rId38" Type="http://schemas.openxmlformats.org/officeDocument/2006/relationships/table" Target="../tables/table89.xml"/><Relationship Id="rId2" Type="http://schemas.openxmlformats.org/officeDocument/2006/relationships/pivotTable" Target="../pivotTables/pivotTable6.xml"/><Relationship Id="rId16" Type="http://schemas.openxmlformats.org/officeDocument/2006/relationships/table" Target="../tables/table67.xml"/><Relationship Id="rId20" Type="http://schemas.openxmlformats.org/officeDocument/2006/relationships/table" Target="../tables/table71.xml"/><Relationship Id="rId29" Type="http://schemas.openxmlformats.org/officeDocument/2006/relationships/table" Target="../tables/table80.xml"/><Relationship Id="rId41" Type="http://schemas.openxmlformats.org/officeDocument/2006/relationships/table" Target="../tables/table92.xml"/><Relationship Id="rId1" Type="http://schemas.openxmlformats.org/officeDocument/2006/relationships/pivotTable" Target="../pivotTables/pivotTable5.xml"/><Relationship Id="rId6" Type="http://schemas.openxmlformats.org/officeDocument/2006/relationships/table" Target="../tables/table57.xml"/><Relationship Id="rId11" Type="http://schemas.openxmlformats.org/officeDocument/2006/relationships/table" Target="../tables/table62.xml"/><Relationship Id="rId24" Type="http://schemas.openxmlformats.org/officeDocument/2006/relationships/table" Target="../tables/table75.xml"/><Relationship Id="rId32" Type="http://schemas.openxmlformats.org/officeDocument/2006/relationships/table" Target="../tables/table83.xml"/><Relationship Id="rId37" Type="http://schemas.openxmlformats.org/officeDocument/2006/relationships/table" Target="../tables/table88.xml"/><Relationship Id="rId40" Type="http://schemas.openxmlformats.org/officeDocument/2006/relationships/table" Target="../tables/table91.xml"/><Relationship Id="rId5" Type="http://schemas.openxmlformats.org/officeDocument/2006/relationships/table" Target="../tables/table56.xml"/><Relationship Id="rId15" Type="http://schemas.openxmlformats.org/officeDocument/2006/relationships/table" Target="../tables/table66.xml"/><Relationship Id="rId23" Type="http://schemas.openxmlformats.org/officeDocument/2006/relationships/table" Target="../tables/table74.xml"/><Relationship Id="rId28" Type="http://schemas.openxmlformats.org/officeDocument/2006/relationships/table" Target="../tables/table79.xml"/><Relationship Id="rId36" Type="http://schemas.openxmlformats.org/officeDocument/2006/relationships/table" Target="../tables/table87.xml"/><Relationship Id="rId10" Type="http://schemas.openxmlformats.org/officeDocument/2006/relationships/table" Target="../tables/table61.xml"/><Relationship Id="rId19" Type="http://schemas.openxmlformats.org/officeDocument/2006/relationships/table" Target="../tables/table70.xml"/><Relationship Id="rId31" Type="http://schemas.openxmlformats.org/officeDocument/2006/relationships/table" Target="../tables/table82.xml"/><Relationship Id="rId4" Type="http://schemas.openxmlformats.org/officeDocument/2006/relationships/drawing" Target="../drawings/drawing5.xml"/><Relationship Id="rId9" Type="http://schemas.openxmlformats.org/officeDocument/2006/relationships/table" Target="../tables/table60.xml"/><Relationship Id="rId14" Type="http://schemas.openxmlformats.org/officeDocument/2006/relationships/table" Target="../tables/table65.xml"/><Relationship Id="rId22" Type="http://schemas.openxmlformats.org/officeDocument/2006/relationships/table" Target="../tables/table73.xml"/><Relationship Id="rId27" Type="http://schemas.openxmlformats.org/officeDocument/2006/relationships/table" Target="../tables/table78.xml"/><Relationship Id="rId30" Type="http://schemas.openxmlformats.org/officeDocument/2006/relationships/table" Target="../tables/table81.xml"/><Relationship Id="rId35" Type="http://schemas.openxmlformats.org/officeDocument/2006/relationships/table" Target="../tables/table8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5.xml"/><Relationship Id="rId7" Type="http://schemas.openxmlformats.org/officeDocument/2006/relationships/table" Target="../tables/table99.xml"/><Relationship Id="rId2" Type="http://schemas.openxmlformats.org/officeDocument/2006/relationships/table" Target="../tables/table94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98.xml"/><Relationship Id="rId5" Type="http://schemas.openxmlformats.org/officeDocument/2006/relationships/table" Target="../tables/table97.xml"/><Relationship Id="rId4" Type="http://schemas.openxmlformats.org/officeDocument/2006/relationships/table" Target="../tables/table9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" Type="http://schemas.openxmlformats.org/officeDocument/2006/relationships/drawing" Target="../drawings/drawing2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4.xml"/><Relationship Id="rId13" Type="http://schemas.openxmlformats.org/officeDocument/2006/relationships/table" Target="../tables/table29.xml"/><Relationship Id="rId18" Type="http://schemas.openxmlformats.org/officeDocument/2006/relationships/table" Target="../tables/table34.xml"/><Relationship Id="rId26" Type="http://schemas.openxmlformats.org/officeDocument/2006/relationships/table" Target="../tables/table42.xml"/><Relationship Id="rId3" Type="http://schemas.openxmlformats.org/officeDocument/2006/relationships/printerSettings" Target="../printerSettings/printerSettings4.bin"/><Relationship Id="rId21" Type="http://schemas.openxmlformats.org/officeDocument/2006/relationships/table" Target="../tables/table37.xml"/><Relationship Id="rId7" Type="http://schemas.openxmlformats.org/officeDocument/2006/relationships/table" Target="../tables/table23.xml"/><Relationship Id="rId12" Type="http://schemas.openxmlformats.org/officeDocument/2006/relationships/table" Target="../tables/table28.xml"/><Relationship Id="rId17" Type="http://schemas.openxmlformats.org/officeDocument/2006/relationships/table" Target="../tables/table33.xml"/><Relationship Id="rId25" Type="http://schemas.openxmlformats.org/officeDocument/2006/relationships/table" Target="../tables/table41.xml"/><Relationship Id="rId2" Type="http://schemas.openxmlformats.org/officeDocument/2006/relationships/pivotTable" Target="../pivotTables/pivotTable4.xml"/><Relationship Id="rId16" Type="http://schemas.openxmlformats.org/officeDocument/2006/relationships/table" Target="../tables/table32.xml"/><Relationship Id="rId20" Type="http://schemas.openxmlformats.org/officeDocument/2006/relationships/table" Target="../tables/table36.xml"/><Relationship Id="rId1" Type="http://schemas.openxmlformats.org/officeDocument/2006/relationships/pivotTable" Target="../pivotTables/pivotTable3.xml"/><Relationship Id="rId6" Type="http://schemas.openxmlformats.org/officeDocument/2006/relationships/table" Target="../tables/table22.xml"/><Relationship Id="rId11" Type="http://schemas.openxmlformats.org/officeDocument/2006/relationships/table" Target="../tables/table27.xml"/><Relationship Id="rId24" Type="http://schemas.openxmlformats.org/officeDocument/2006/relationships/table" Target="../tables/table40.xml"/><Relationship Id="rId5" Type="http://schemas.openxmlformats.org/officeDocument/2006/relationships/table" Target="../tables/table21.xml"/><Relationship Id="rId15" Type="http://schemas.openxmlformats.org/officeDocument/2006/relationships/table" Target="../tables/table31.xml"/><Relationship Id="rId23" Type="http://schemas.openxmlformats.org/officeDocument/2006/relationships/table" Target="../tables/table39.xml"/><Relationship Id="rId10" Type="http://schemas.openxmlformats.org/officeDocument/2006/relationships/table" Target="../tables/table26.xml"/><Relationship Id="rId19" Type="http://schemas.openxmlformats.org/officeDocument/2006/relationships/table" Target="../tables/table35.xml"/><Relationship Id="rId4" Type="http://schemas.openxmlformats.org/officeDocument/2006/relationships/drawing" Target="../drawings/drawing3.xml"/><Relationship Id="rId9" Type="http://schemas.openxmlformats.org/officeDocument/2006/relationships/table" Target="../tables/table25.xml"/><Relationship Id="rId14" Type="http://schemas.openxmlformats.org/officeDocument/2006/relationships/table" Target="../tables/table30.xml"/><Relationship Id="rId22" Type="http://schemas.openxmlformats.org/officeDocument/2006/relationships/table" Target="../tables/table3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1.xml"/><Relationship Id="rId3" Type="http://schemas.openxmlformats.org/officeDocument/2006/relationships/table" Target="../tables/table46.xml"/><Relationship Id="rId7" Type="http://schemas.openxmlformats.org/officeDocument/2006/relationships/table" Target="../tables/table5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49.xml"/><Relationship Id="rId11" Type="http://schemas.openxmlformats.org/officeDocument/2006/relationships/table" Target="../tables/table54.xml"/><Relationship Id="rId5" Type="http://schemas.openxmlformats.org/officeDocument/2006/relationships/table" Target="../tables/table48.xml"/><Relationship Id="rId10" Type="http://schemas.openxmlformats.org/officeDocument/2006/relationships/table" Target="../tables/table53.xml"/><Relationship Id="rId4" Type="http://schemas.openxmlformats.org/officeDocument/2006/relationships/table" Target="../tables/table47.xml"/><Relationship Id="rId9" Type="http://schemas.openxmlformats.org/officeDocument/2006/relationships/table" Target="../tables/table5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4"/>
  <sheetViews>
    <sheetView workbookViewId="0">
      <selection activeCell="I85" activeCellId="1" sqref="A78:I79 A85:I85"/>
    </sheetView>
  </sheetViews>
  <sheetFormatPr defaultRowHeight="15" x14ac:dyDescent="0.25"/>
  <cols>
    <col min="1" max="1" width="17.28515625" bestFit="1" customWidth="1"/>
    <col min="2" max="2" width="14.140625" bestFit="1" customWidth="1"/>
    <col min="3" max="3" width="14" bestFit="1" customWidth="1"/>
    <col min="17" max="17" width="13.140625" bestFit="1" customWidth="1"/>
    <col min="18" max="18" width="16.28515625" customWidth="1"/>
    <col min="19" max="19" width="23" bestFit="1" customWidth="1"/>
    <col min="20" max="20" width="9.7109375" bestFit="1" customWidth="1"/>
    <col min="21" max="21" width="11.28515625" bestFit="1" customWidth="1"/>
  </cols>
  <sheetData>
    <row r="1" spans="1:20" x14ac:dyDescent="0.25">
      <c r="S1" t="s">
        <v>2117</v>
      </c>
    </row>
    <row r="2" spans="1:20" x14ac:dyDescent="0.25">
      <c r="Q2" t="s">
        <v>2116</v>
      </c>
      <c r="R2" t="s">
        <v>731</v>
      </c>
      <c r="S2" t="s">
        <v>1634</v>
      </c>
      <c r="T2" t="s">
        <v>1635</v>
      </c>
    </row>
    <row r="3" spans="1:20" x14ac:dyDescent="0.25">
      <c r="A3" s="330" t="s">
        <v>2113</v>
      </c>
      <c r="B3" t="s">
        <v>2115</v>
      </c>
      <c r="E3" s="313" t="s">
        <v>1781</v>
      </c>
      <c r="F3" s="314" t="s">
        <v>1940</v>
      </c>
      <c r="G3" s="314" t="s">
        <v>1765</v>
      </c>
      <c r="H3" s="314" t="s">
        <v>1780</v>
      </c>
      <c r="I3" s="315" t="s">
        <v>715</v>
      </c>
      <c r="Q3" t="s">
        <v>1817</v>
      </c>
      <c r="R3" t="s">
        <v>1818</v>
      </c>
      <c r="S3">
        <v>0</v>
      </c>
      <c r="T3">
        <v>0</v>
      </c>
    </row>
    <row r="4" spans="1:20" x14ac:dyDescent="0.25">
      <c r="A4" s="6" t="s">
        <v>24</v>
      </c>
      <c r="B4" s="332">
        <v>415</v>
      </c>
      <c r="E4" s="316" t="s">
        <v>24</v>
      </c>
      <c r="F4" s="317"/>
      <c r="G4" s="317"/>
      <c r="H4" s="317"/>
      <c r="I4" s="318"/>
      <c r="Q4" t="s">
        <v>945</v>
      </c>
      <c r="R4" t="s">
        <v>276</v>
      </c>
      <c r="S4">
        <v>0</v>
      </c>
      <c r="T4">
        <v>0</v>
      </c>
    </row>
    <row r="5" spans="1:20" x14ac:dyDescent="0.25">
      <c r="A5" s="331" t="s">
        <v>656</v>
      </c>
      <c r="B5" s="332">
        <v>321</v>
      </c>
      <c r="E5" s="166" t="s">
        <v>656</v>
      </c>
      <c r="F5" s="33"/>
      <c r="G5" s="33"/>
      <c r="H5" s="33"/>
      <c r="I5" s="92">
        <v>321</v>
      </c>
      <c r="Q5" t="s">
        <v>2027</v>
      </c>
      <c r="R5" t="s">
        <v>2028</v>
      </c>
      <c r="S5">
        <v>0</v>
      </c>
      <c r="T5">
        <v>0</v>
      </c>
    </row>
    <row r="6" spans="1:20" x14ac:dyDescent="0.25">
      <c r="A6" s="331" t="s">
        <v>26</v>
      </c>
      <c r="B6" s="332">
        <v>0</v>
      </c>
      <c r="E6" s="166" t="s">
        <v>26</v>
      </c>
      <c r="F6" s="33">
        <v>279</v>
      </c>
      <c r="G6" s="33"/>
      <c r="H6" s="33"/>
      <c r="I6" s="92">
        <v>279</v>
      </c>
      <c r="Q6" t="s">
        <v>963</v>
      </c>
      <c r="R6" t="s">
        <v>287</v>
      </c>
      <c r="S6">
        <v>0</v>
      </c>
      <c r="T6">
        <v>0</v>
      </c>
    </row>
    <row r="7" spans="1:20" x14ac:dyDescent="0.25">
      <c r="A7" s="331" t="s">
        <v>44</v>
      </c>
      <c r="B7" s="332">
        <v>0</v>
      </c>
      <c r="E7" s="166" t="s">
        <v>44</v>
      </c>
      <c r="F7" s="33">
        <v>741</v>
      </c>
      <c r="G7" s="33"/>
      <c r="H7" s="33"/>
      <c r="I7" s="92">
        <v>741</v>
      </c>
      <c r="Q7" t="s">
        <v>971</v>
      </c>
      <c r="R7" t="s">
        <v>770</v>
      </c>
      <c r="S7">
        <v>0</v>
      </c>
      <c r="T7">
        <v>0</v>
      </c>
    </row>
    <row r="8" spans="1:20" x14ac:dyDescent="0.25">
      <c r="A8" s="331" t="s">
        <v>50</v>
      </c>
      <c r="B8" s="332">
        <v>79</v>
      </c>
      <c r="E8" s="166" t="s">
        <v>50</v>
      </c>
      <c r="F8" s="33">
        <v>2289</v>
      </c>
      <c r="G8" s="33"/>
      <c r="H8" s="33"/>
      <c r="I8" s="92">
        <v>2368</v>
      </c>
      <c r="Q8" t="s">
        <v>942</v>
      </c>
      <c r="R8" t="s">
        <v>769</v>
      </c>
      <c r="S8">
        <v>0</v>
      </c>
      <c r="T8">
        <v>0</v>
      </c>
    </row>
    <row r="9" spans="1:20" x14ac:dyDescent="0.25">
      <c r="A9" s="331" t="s">
        <v>665</v>
      </c>
      <c r="B9" s="332">
        <v>0</v>
      </c>
      <c r="E9" s="166" t="s">
        <v>665</v>
      </c>
      <c r="F9" s="33">
        <v>82</v>
      </c>
      <c r="G9" s="33"/>
      <c r="H9" s="33"/>
      <c r="I9" s="92">
        <v>82</v>
      </c>
      <c r="Q9" t="s">
        <v>965</v>
      </c>
      <c r="R9" t="s">
        <v>289</v>
      </c>
      <c r="S9">
        <v>0</v>
      </c>
      <c r="T9">
        <v>0</v>
      </c>
    </row>
    <row r="10" spans="1:20" x14ac:dyDescent="0.25">
      <c r="A10" s="331" t="s">
        <v>56</v>
      </c>
      <c r="B10" s="332">
        <v>15</v>
      </c>
      <c r="E10" s="166" t="s">
        <v>56</v>
      </c>
      <c r="F10" s="33">
        <v>2025</v>
      </c>
      <c r="G10" s="33"/>
      <c r="H10" s="33"/>
      <c r="I10" s="92">
        <v>2290</v>
      </c>
      <c r="Q10" t="s">
        <v>1813</v>
      </c>
      <c r="R10" t="s">
        <v>1814</v>
      </c>
      <c r="S10">
        <v>0</v>
      </c>
      <c r="T10">
        <v>0</v>
      </c>
    </row>
    <row r="11" spans="1:20" x14ac:dyDescent="0.25">
      <c r="A11" s="6" t="s">
        <v>85</v>
      </c>
      <c r="B11" s="332">
        <v>25496</v>
      </c>
      <c r="E11" s="316" t="s">
        <v>85</v>
      </c>
      <c r="F11" s="317"/>
      <c r="G11" s="317"/>
      <c r="H11" s="317"/>
      <c r="I11" s="318"/>
      <c r="Q11" t="s">
        <v>1815</v>
      </c>
      <c r="R11" t="s">
        <v>1816</v>
      </c>
      <c r="S11">
        <v>0</v>
      </c>
      <c r="T11">
        <v>0</v>
      </c>
    </row>
    <row r="12" spans="1:20" x14ac:dyDescent="0.25">
      <c r="A12" s="331" t="s">
        <v>88</v>
      </c>
      <c r="B12" s="332">
        <v>643</v>
      </c>
      <c r="E12" s="166" t="s">
        <v>88</v>
      </c>
      <c r="F12" s="33">
        <v>7005</v>
      </c>
      <c r="G12" s="33"/>
      <c r="H12" s="33"/>
      <c r="I12" s="92">
        <v>8509</v>
      </c>
      <c r="Q12" t="s">
        <v>943</v>
      </c>
      <c r="R12" t="s">
        <v>385</v>
      </c>
      <c r="S12">
        <v>0</v>
      </c>
      <c r="T12">
        <v>0</v>
      </c>
    </row>
    <row r="13" spans="1:20" x14ac:dyDescent="0.25">
      <c r="A13" s="331" t="s">
        <v>95</v>
      </c>
      <c r="B13" s="332">
        <v>493</v>
      </c>
      <c r="E13" s="166" t="s">
        <v>95</v>
      </c>
      <c r="F13" s="33">
        <v>3574</v>
      </c>
      <c r="G13" s="33"/>
      <c r="H13" s="33"/>
      <c r="I13" s="92">
        <v>5032</v>
      </c>
      <c r="Q13" t="s">
        <v>1501</v>
      </c>
      <c r="R13" t="s">
        <v>1500</v>
      </c>
      <c r="S13">
        <v>0</v>
      </c>
      <c r="T13">
        <v>0</v>
      </c>
    </row>
    <row r="14" spans="1:20" x14ac:dyDescent="0.25">
      <c r="A14" s="331" t="s">
        <v>92</v>
      </c>
      <c r="B14" s="332">
        <v>7963</v>
      </c>
      <c r="E14" s="166" t="s">
        <v>92</v>
      </c>
      <c r="F14" s="33">
        <v>18347</v>
      </c>
      <c r="G14" s="33">
        <v>8813</v>
      </c>
      <c r="H14" s="33"/>
      <c r="I14" s="92">
        <v>32702</v>
      </c>
      <c r="K14" s="335">
        <f>G14-GETPIVOTDATA("ret_ind",$A$3,"evaluation_adm2_name","Logone-Et-Chari","evaluation_adm3_name","Fotokol")</f>
        <v>850</v>
      </c>
      <c r="Q14" t="s">
        <v>941</v>
      </c>
      <c r="R14" t="s">
        <v>274</v>
      </c>
      <c r="S14">
        <v>0</v>
      </c>
      <c r="T14">
        <v>0</v>
      </c>
    </row>
    <row r="15" spans="1:20" x14ac:dyDescent="0.25">
      <c r="A15" s="331" t="s">
        <v>173</v>
      </c>
      <c r="B15" s="332">
        <v>0</v>
      </c>
      <c r="E15" s="166" t="s">
        <v>173</v>
      </c>
      <c r="F15" s="33">
        <v>2385</v>
      </c>
      <c r="G15" s="33"/>
      <c r="H15" s="33"/>
      <c r="I15" s="92">
        <v>2385</v>
      </c>
      <c r="Q15" t="s">
        <v>956</v>
      </c>
      <c r="R15" t="s">
        <v>281</v>
      </c>
      <c r="S15">
        <v>0</v>
      </c>
      <c r="T15">
        <v>0</v>
      </c>
    </row>
    <row r="16" spans="1:20" x14ac:dyDescent="0.25">
      <c r="A16" s="331" t="s">
        <v>110</v>
      </c>
      <c r="B16" s="332">
        <v>880</v>
      </c>
      <c r="E16" s="166" t="s">
        <v>110</v>
      </c>
      <c r="F16" s="33">
        <v>5113</v>
      </c>
      <c r="G16" s="33"/>
      <c r="H16" s="33"/>
      <c r="I16" s="92">
        <v>5993</v>
      </c>
      <c r="Q16" t="s">
        <v>944</v>
      </c>
      <c r="R16" t="s">
        <v>275</v>
      </c>
      <c r="S16">
        <v>0</v>
      </c>
      <c r="T16">
        <v>0</v>
      </c>
    </row>
    <row r="17" spans="1:20" x14ac:dyDescent="0.25">
      <c r="A17" s="331" t="s">
        <v>157</v>
      </c>
      <c r="B17" s="332">
        <v>13</v>
      </c>
      <c r="E17" s="166" t="s">
        <v>157</v>
      </c>
      <c r="F17" s="33">
        <v>20129</v>
      </c>
      <c r="G17" s="33"/>
      <c r="H17" s="33"/>
      <c r="I17" s="92">
        <v>20173</v>
      </c>
      <c r="Q17" t="s">
        <v>1811</v>
      </c>
      <c r="R17" t="s">
        <v>1812</v>
      </c>
      <c r="S17">
        <v>0</v>
      </c>
      <c r="T17">
        <v>0</v>
      </c>
    </row>
    <row r="18" spans="1:20" x14ac:dyDescent="0.25">
      <c r="A18" s="331" t="s">
        <v>151</v>
      </c>
      <c r="B18" s="332">
        <v>70</v>
      </c>
      <c r="E18" s="166" t="s">
        <v>151</v>
      </c>
      <c r="F18" s="33">
        <v>12275</v>
      </c>
      <c r="G18" s="33"/>
      <c r="H18" s="33"/>
      <c r="I18" s="92">
        <v>14245</v>
      </c>
      <c r="Q18" t="s">
        <v>967</v>
      </c>
      <c r="R18" t="s">
        <v>966</v>
      </c>
      <c r="S18">
        <v>0</v>
      </c>
      <c r="T18">
        <v>0</v>
      </c>
    </row>
    <row r="19" spans="1:20" x14ac:dyDescent="0.25">
      <c r="A19" s="331" t="s">
        <v>98</v>
      </c>
      <c r="B19" s="332">
        <v>8110</v>
      </c>
      <c r="E19" s="166" t="s">
        <v>98</v>
      </c>
      <c r="F19" s="33">
        <v>51233</v>
      </c>
      <c r="G19" s="33"/>
      <c r="H19" s="33"/>
      <c r="I19" s="92">
        <v>73113</v>
      </c>
      <c r="Q19" t="s">
        <v>953</v>
      </c>
      <c r="R19" t="s">
        <v>952</v>
      </c>
      <c r="S19">
        <v>0</v>
      </c>
      <c r="T19">
        <v>0</v>
      </c>
    </row>
    <row r="20" spans="1:20" x14ac:dyDescent="0.25">
      <c r="A20" s="331" t="s">
        <v>175</v>
      </c>
      <c r="B20" s="332">
        <v>3476</v>
      </c>
      <c r="E20" s="166" t="s">
        <v>175</v>
      </c>
      <c r="F20" s="33">
        <v>2961</v>
      </c>
      <c r="G20" s="33"/>
      <c r="H20" s="33"/>
      <c r="I20" s="92">
        <v>9822</v>
      </c>
      <c r="Q20" t="s">
        <v>955</v>
      </c>
      <c r="R20" t="s">
        <v>954</v>
      </c>
      <c r="S20">
        <v>0</v>
      </c>
      <c r="T20">
        <v>0</v>
      </c>
    </row>
    <row r="21" spans="1:20" x14ac:dyDescent="0.25">
      <c r="A21" s="331" t="s">
        <v>181</v>
      </c>
      <c r="B21" s="332">
        <v>3848</v>
      </c>
      <c r="E21" s="166" t="s">
        <v>181</v>
      </c>
      <c r="F21" s="33">
        <v>4242</v>
      </c>
      <c r="G21" s="33"/>
      <c r="H21" s="33"/>
      <c r="I21" s="92">
        <v>8090</v>
      </c>
      <c r="Q21" t="s">
        <v>961</v>
      </c>
      <c r="R21" t="s">
        <v>960</v>
      </c>
      <c r="S21">
        <v>0</v>
      </c>
      <c r="T21">
        <v>0</v>
      </c>
    </row>
    <row r="22" spans="1:20" x14ac:dyDescent="0.25">
      <c r="A22" s="6" t="s">
        <v>184</v>
      </c>
      <c r="B22" s="332">
        <v>6901</v>
      </c>
      <c r="E22" s="316" t="s">
        <v>184</v>
      </c>
      <c r="F22" s="317"/>
      <c r="G22" s="317"/>
      <c r="H22" s="317"/>
      <c r="I22" s="318"/>
      <c r="Q22" t="s">
        <v>1670</v>
      </c>
      <c r="R22" t="s">
        <v>282</v>
      </c>
      <c r="S22">
        <v>0</v>
      </c>
      <c r="T22">
        <v>0</v>
      </c>
    </row>
    <row r="23" spans="1:20" x14ac:dyDescent="0.25">
      <c r="A23" s="331" t="s">
        <v>471</v>
      </c>
      <c r="B23" s="332">
        <v>50</v>
      </c>
      <c r="E23" s="166" t="s">
        <v>471</v>
      </c>
      <c r="F23" s="33">
        <v>1523</v>
      </c>
      <c r="G23" s="33"/>
      <c r="H23" s="33"/>
      <c r="I23" s="92">
        <v>1698</v>
      </c>
      <c r="Q23" t="s">
        <v>959</v>
      </c>
      <c r="R23" t="s">
        <v>285</v>
      </c>
      <c r="S23">
        <v>0</v>
      </c>
      <c r="T23">
        <v>0</v>
      </c>
    </row>
    <row r="24" spans="1:20" x14ac:dyDescent="0.25">
      <c r="A24" s="331" t="s">
        <v>196</v>
      </c>
      <c r="B24" s="332">
        <v>420</v>
      </c>
      <c r="E24" s="166" t="s">
        <v>196</v>
      </c>
      <c r="F24" s="33">
        <v>1618</v>
      </c>
      <c r="G24" s="33"/>
      <c r="H24" s="33"/>
      <c r="I24" s="92">
        <v>2038</v>
      </c>
      <c r="Q24" t="s">
        <v>962</v>
      </c>
      <c r="R24" t="s">
        <v>286</v>
      </c>
      <c r="S24">
        <v>0</v>
      </c>
      <c r="T24">
        <v>0</v>
      </c>
    </row>
    <row r="25" spans="1:20" x14ac:dyDescent="0.25">
      <c r="A25" s="331" t="s">
        <v>203</v>
      </c>
      <c r="B25" s="332">
        <v>1069</v>
      </c>
      <c r="E25" s="166" t="s">
        <v>203</v>
      </c>
      <c r="F25" s="33">
        <v>33</v>
      </c>
      <c r="G25" s="33"/>
      <c r="H25" s="33"/>
      <c r="I25" s="92">
        <v>1102</v>
      </c>
      <c r="Q25" t="s">
        <v>949</v>
      </c>
      <c r="R25" t="s">
        <v>768</v>
      </c>
      <c r="S25">
        <v>0</v>
      </c>
      <c r="T25">
        <v>0</v>
      </c>
    </row>
    <row r="26" spans="1:20" x14ac:dyDescent="0.25">
      <c r="A26" s="331" t="s">
        <v>206</v>
      </c>
      <c r="B26" s="332">
        <v>3699</v>
      </c>
      <c r="E26" s="166" t="s">
        <v>206</v>
      </c>
      <c r="F26" s="33">
        <v>574</v>
      </c>
      <c r="G26" s="33"/>
      <c r="H26" s="33"/>
      <c r="I26" s="92">
        <v>4273</v>
      </c>
      <c r="Q26" t="s">
        <v>2029</v>
      </c>
      <c r="R26" t="s">
        <v>2030</v>
      </c>
      <c r="S26">
        <v>0</v>
      </c>
      <c r="T26">
        <v>0</v>
      </c>
    </row>
    <row r="27" spans="1:20" x14ac:dyDescent="0.25">
      <c r="A27" s="331" t="s">
        <v>215</v>
      </c>
      <c r="B27" s="332">
        <v>863</v>
      </c>
      <c r="E27" s="166" t="s">
        <v>215</v>
      </c>
      <c r="F27" s="33">
        <v>5239</v>
      </c>
      <c r="G27" s="33">
        <v>13</v>
      </c>
      <c r="H27" s="33"/>
      <c r="I27" s="92">
        <v>5252</v>
      </c>
      <c r="Q27" t="s">
        <v>970</v>
      </c>
      <c r="R27" t="s">
        <v>292</v>
      </c>
      <c r="S27">
        <v>0</v>
      </c>
      <c r="T27">
        <v>0</v>
      </c>
    </row>
    <row r="28" spans="1:20" x14ac:dyDescent="0.25">
      <c r="A28" s="331" t="s">
        <v>213</v>
      </c>
      <c r="B28" s="332">
        <v>800</v>
      </c>
      <c r="E28" s="166" t="s">
        <v>213</v>
      </c>
      <c r="F28" s="33">
        <v>1310</v>
      </c>
      <c r="G28" s="33"/>
      <c r="H28" s="33"/>
      <c r="I28" s="92">
        <v>2110</v>
      </c>
      <c r="Q28" t="s">
        <v>951</v>
      </c>
      <c r="R28" t="s">
        <v>950</v>
      </c>
      <c r="S28">
        <v>0</v>
      </c>
      <c r="T28">
        <v>0</v>
      </c>
    </row>
    <row r="29" spans="1:20" x14ac:dyDescent="0.25">
      <c r="A29" s="6" t="s">
        <v>218</v>
      </c>
      <c r="B29" s="332">
        <v>668</v>
      </c>
      <c r="E29" s="316" t="s">
        <v>218</v>
      </c>
      <c r="F29" s="317"/>
      <c r="G29" s="317"/>
      <c r="H29" s="317"/>
      <c r="I29" s="318"/>
      <c r="Q29" t="s">
        <v>1669</v>
      </c>
      <c r="R29" t="s">
        <v>693</v>
      </c>
      <c r="S29">
        <v>0</v>
      </c>
      <c r="T29">
        <v>0</v>
      </c>
    </row>
    <row r="30" spans="1:20" x14ac:dyDescent="0.25">
      <c r="A30" s="331" t="s">
        <v>676</v>
      </c>
      <c r="B30" s="332">
        <v>77</v>
      </c>
      <c r="E30" s="166" t="s">
        <v>676</v>
      </c>
      <c r="F30" s="33"/>
      <c r="G30" s="33"/>
      <c r="H30" s="33"/>
      <c r="I30" s="92">
        <v>77</v>
      </c>
      <c r="Q30" t="s">
        <v>947</v>
      </c>
      <c r="R30" t="s">
        <v>278</v>
      </c>
      <c r="S30">
        <v>0</v>
      </c>
      <c r="T30">
        <v>0</v>
      </c>
    </row>
    <row r="31" spans="1:20" x14ac:dyDescent="0.25">
      <c r="A31" s="331" t="s">
        <v>224</v>
      </c>
      <c r="B31" s="332">
        <v>106</v>
      </c>
      <c r="E31" s="166" t="s">
        <v>224</v>
      </c>
      <c r="F31" s="33">
        <v>80</v>
      </c>
      <c r="G31" s="33"/>
      <c r="H31" s="33"/>
      <c r="I31" s="92">
        <v>186</v>
      </c>
      <c r="Q31" t="s">
        <v>957</v>
      </c>
      <c r="R31" t="s">
        <v>283</v>
      </c>
      <c r="S31">
        <v>0</v>
      </c>
      <c r="T31">
        <v>0</v>
      </c>
    </row>
    <row r="32" spans="1:20" x14ac:dyDescent="0.25">
      <c r="A32" s="331" t="s">
        <v>220</v>
      </c>
      <c r="B32" s="332">
        <v>37</v>
      </c>
      <c r="E32" s="166" t="s">
        <v>220</v>
      </c>
      <c r="F32" s="33"/>
      <c r="G32" s="33"/>
      <c r="H32" s="33"/>
      <c r="I32" s="92">
        <v>46</v>
      </c>
      <c r="Q32" t="s">
        <v>958</v>
      </c>
      <c r="R32" t="s">
        <v>284</v>
      </c>
      <c r="S32">
        <v>0</v>
      </c>
      <c r="T32">
        <v>0</v>
      </c>
    </row>
    <row r="33" spans="1:22" x14ac:dyDescent="0.25">
      <c r="A33" s="331" t="s">
        <v>228</v>
      </c>
      <c r="B33" s="332">
        <v>444</v>
      </c>
      <c r="E33" s="166" t="s">
        <v>228</v>
      </c>
      <c r="F33" s="33"/>
      <c r="G33" s="33"/>
      <c r="H33" s="33"/>
      <c r="I33" s="92">
        <v>444</v>
      </c>
      <c r="Q33" t="s">
        <v>969</v>
      </c>
      <c r="R33" t="s">
        <v>291</v>
      </c>
      <c r="S33">
        <v>0</v>
      </c>
      <c r="T33">
        <v>0</v>
      </c>
    </row>
    <row r="34" spans="1:22" x14ac:dyDescent="0.25">
      <c r="A34" s="331" t="s">
        <v>497</v>
      </c>
      <c r="B34" s="332">
        <v>4</v>
      </c>
      <c r="E34" s="166" t="s">
        <v>497</v>
      </c>
      <c r="F34" s="33">
        <v>52</v>
      </c>
      <c r="G34" s="33"/>
      <c r="H34" s="33"/>
      <c r="I34" s="92">
        <v>67</v>
      </c>
      <c r="Q34" t="s">
        <v>2013</v>
      </c>
      <c r="R34" t="s">
        <v>2012</v>
      </c>
      <c r="S34">
        <v>0</v>
      </c>
      <c r="T34">
        <v>0</v>
      </c>
    </row>
    <row r="35" spans="1:22" x14ac:dyDescent="0.25">
      <c r="A35" s="6" t="s">
        <v>48</v>
      </c>
      <c r="B35" s="332">
        <v>13467</v>
      </c>
      <c r="E35" s="316" t="s">
        <v>48</v>
      </c>
      <c r="F35" s="317"/>
      <c r="G35" s="317"/>
      <c r="H35" s="317"/>
      <c r="I35" s="318"/>
      <c r="Q35" t="s">
        <v>946</v>
      </c>
      <c r="R35" t="s">
        <v>277</v>
      </c>
      <c r="S35">
        <v>0</v>
      </c>
      <c r="T35">
        <v>0</v>
      </c>
    </row>
    <row r="36" spans="1:22" x14ac:dyDescent="0.25">
      <c r="A36" s="331" t="s">
        <v>232</v>
      </c>
      <c r="B36" s="332">
        <v>5682</v>
      </c>
      <c r="E36" s="166" t="s">
        <v>232</v>
      </c>
      <c r="F36" s="33">
        <v>14448</v>
      </c>
      <c r="G36" s="33"/>
      <c r="H36" s="33"/>
      <c r="I36" s="92">
        <v>20130</v>
      </c>
      <c r="Q36" t="s">
        <v>1672</v>
      </c>
      <c r="R36" t="s">
        <v>1673</v>
      </c>
      <c r="S36">
        <v>0</v>
      </c>
      <c r="T36">
        <v>0</v>
      </c>
    </row>
    <row r="37" spans="1:22" x14ac:dyDescent="0.25">
      <c r="A37" s="331" t="s">
        <v>62</v>
      </c>
      <c r="B37" s="332">
        <v>7785</v>
      </c>
      <c r="E37" s="166" t="s">
        <v>62</v>
      </c>
      <c r="F37" s="33">
        <v>43697</v>
      </c>
      <c r="G37" s="33"/>
      <c r="H37" s="33"/>
      <c r="I37" s="92">
        <v>51482</v>
      </c>
      <c r="Q37" t="s">
        <v>964</v>
      </c>
      <c r="R37" t="s">
        <v>288</v>
      </c>
      <c r="S37">
        <v>0</v>
      </c>
      <c r="T37">
        <v>0</v>
      </c>
    </row>
    <row r="38" spans="1:22" x14ac:dyDescent="0.25">
      <c r="A38" s="331" t="s">
        <v>527</v>
      </c>
      <c r="B38" s="332">
        <v>0</v>
      </c>
      <c r="E38" s="166" t="s">
        <v>527</v>
      </c>
      <c r="F38" s="33">
        <v>1822</v>
      </c>
      <c r="G38" s="33"/>
      <c r="H38" s="33"/>
      <c r="I38" s="92">
        <v>1822</v>
      </c>
      <c r="Q38" t="s">
        <v>968</v>
      </c>
      <c r="R38" t="s">
        <v>290</v>
      </c>
      <c r="S38">
        <v>27</v>
      </c>
      <c r="T38">
        <v>200</v>
      </c>
      <c r="V38">
        <v>1050</v>
      </c>
    </row>
    <row r="39" spans="1:22" x14ac:dyDescent="0.25">
      <c r="A39" s="6" t="s">
        <v>37</v>
      </c>
      <c r="B39" s="332">
        <v>16745</v>
      </c>
      <c r="E39" s="316" t="s">
        <v>37</v>
      </c>
      <c r="F39" s="317"/>
      <c r="G39" s="317"/>
      <c r="H39" s="317"/>
      <c r="I39" s="318"/>
      <c r="Q39" t="s">
        <v>948</v>
      </c>
      <c r="R39" t="s">
        <v>280</v>
      </c>
      <c r="S39">
        <v>981</v>
      </c>
      <c r="T39">
        <v>7763</v>
      </c>
      <c r="V39" t="s">
        <v>2120</v>
      </c>
    </row>
    <row r="40" spans="1:22" x14ac:dyDescent="0.25">
      <c r="A40" s="331" t="s">
        <v>236</v>
      </c>
      <c r="B40" s="332">
        <v>1566</v>
      </c>
      <c r="E40" s="166" t="s">
        <v>236</v>
      </c>
      <c r="F40" s="33">
        <v>208</v>
      </c>
      <c r="G40" s="33"/>
      <c r="H40" s="33"/>
      <c r="I40" s="92">
        <v>1864</v>
      </c>
      <c r="Q40" t="s">
        <v>1674</v>
      </c>
      <c r="R40" t="s">
        <v>279</v>
      </c>
      <c r="S40">
        <v>0</v>
      </c>
      <c r="T40">
        <v>0</v>
      </c>
    </row>
    <row r="41" spans="1:22" x14ac:dyDescent="0.25">
      <c r="A41" s="331" t="s">
        <v>540</v>
      </c>
      <c r="B41" s="332">
        <v>258</v>
      </c>
      <c r="E41" s="166" t="s">
        <v>540</v>
      </c>
      <c r="F41" s="33">
        <v>404</v>
      </c>
      <c r="G41" s="33"/>
      <c r="H41" s="33"/>
      <c r="I41" s="92">
        <v>662</v>
      </c>
      <c r="Q41" t="s">
        <v>1671</v>
      </c>
      <c r="R41" t="s">
        <v>295</v>
      </c>
      <c r="S41">
        <v>0</v>
      </c>
      <c r="T41">
        <v>0</v>
      </c>
    </row>
    <row r="42" spans="1:22" x14ac:dyDescent="0.25">
      <c r="A42" s="331" t="s">
        <v>547</v>
      </c>
      <c r="B42" s="332">
        <v>2182</v>
      </c>
      <c r="E42" s="166" t="s">
        <v>547</v>
      </c>
      <c r="F42" s="33">
        <v>16244</v>
      </c>
      <c r="G42" s="33"/>
      <c r="H42" s="33"/>
      <c r="I42" s="92">
        <v>18456</v>
      </c>
    </row>
    <row r="43" spans="1:22" x14ac:dyDescent="0.25">
      <c r="A43" s="331" t="s">
        <v>244</v>
      </c>
      <c r="B43" s="332">
        <v>980</v>
      </c>
      <c r="E43" s="166" t="s">
        <v>244</v>
      </c>
      <c r="F43" s="33"/>
      <c r="G43" s="33"/>
      <c r="H43" s="33"/>
      <c r="I43" s="92">
        <v>2315</v>
      </c>
    </row>
    <row r="44" spans="1:22" x14ac:dyDescent="0.25">
      <c r="A44" s="331" t="s">
        <v>247</v>
      </c>
      <c r="B44" s="332">
        <v>6232</v>
      </c>
      <c r="E44" s="166" t="s">
        <v>247</v>
      </c>
      <c r="F44" s="33">
        <v>10297</v>
      </c>
      <c r="G44" s="33"/>
      <c r="H44" s="33"/>
      <c r="I44" s="92">
        <v>16992</v>
      </c>
    </row>
    <row r="45" spans="1:22" x14ac:dyDescent="0.25">
      <c r="A45" s="331" t="s">
        <v>250</v>
      </c>
      <c r="B45" s="332">
        <v>5146</v>
      </c>
      <c r="E45" s="166" t="s">
        <v>250</v>
      </c>
      <c r="F45" s="33">
        <v>9776</v>
      </c>
      <c r="G45" s="33"/>
      <c r="H45" s="33"/>
      <c r="I45" s="92">
        <v>15492</v>
      </c>
    </row>
    <row r="46" spans="1:22" x14ac:dyDescent="0.25">
      <c r="A46" s="331" t="s">
        <v>608</v>
      </c>
      <c r="B46" s="332">
        <v>381</v>
      </c>
      <c r="E46" s="166" t="s">
        <v>608</v>
      </c>
      <c r="F46" s="33">
        <v>1982</v>
      </c>
      <c r="G46" s="33"/>
      <c r="H46" s="33"/>
      <c r="I46" s="92">
        <v>2363</v>
      </c>
    </row>
    <row r="47" spans="1:22" x14ac:dyDescent="0.25">
      <c r="A47" s="6" t="s">
        <v>2114</v>
      </c>
      <c r="B47" s="332">
        <v>63692</v>
      </c>
      <c r="E47" s="319" t="s">
        <v>715</v>
      </c>
      <c r="F47" s="320">
        <v>241987</v>
      </c>
      <c r="G47" s="320">
        <v>63692</v>
      </c>
      <c r="H47" s="320">
        <v>29337</v>
      </c>
      <c r="I47" s="321">
        <v>335016</v>
      </c>
    </row>
    <row r="48" spans="1:22" x14ac:dyDescent="0.25">
      <c r="Q48" s="330" t="s">
        <v>4</v>
      </c>
      <c r="R48" s="5" t="s">
        <v>92</v>
      </c>
    </row>
    <row r="50" spans="1:21" x14ac:dyDescent="0.25">
      <c r="Q50" s="330" t="s">
        <v>2118</v>
      </c>
      <c r="R50" s="330" t="s">
        <v>2119</v>
      </c>
    </row>
    <row r="51" spans="1:21" x14ac:dyDescent="0.25">
      <c r="Q51" s="330" t="s">
        <v>2113</v>
      </c>
      <c r="R51" s="5" t="s">
        <v>29</v>
      </c>
      <c r="S51" s="5" t="s">
        <v>616</v>
      </c>
      <c r="T51" s="5" t="s">
        <v>659</v>
      </c>
      <c r="U51" s="5" t="s">
        <v>2114</v>
      </c>
    </row>
    <row r="52" spans="1:21" x14ac:dyDescent="0.25">
      <c r="Q52" s="6" t="s">
        <v>941</v>
      </c>
      <c r="R52" s="332">
        <v>40</v>
      </c>
      <c r="S52" s="332"/>
      <c r="T52" s="332">
        <v>97</v>
      </c>
      <c r="U52" s="332">
        <v>137</v>
      </c>
    </row>
    <row r="53" spans="1:21" x14ac:dyDescent="0.25">
      <c r="Q53" s="6" t="s">
        <v>944</v>
      </c>
      <c r="R53" s="332">
        <v>402</v>
      </c>
      <c r="S53" s="332"/>
      <c r="T53" s="332"/>
      <c r="U53" s="332">
        <v>402</v>
      </c>
    </row>
    <row r="54" spans="1:21" x14ac:dyDescent="0.25">
      <c r="Q54" s="6" t="s">
        <v>948</v>
      </c>
      <c r="R54" s="332">
        <v>12862</v>
      </c>
      <c r="S54" s="332">
        <v>3266</v>
      </c>
      <c r="T54" s="332">
        <v>7763</v>
      </c>
      <c r="U54" s="332">
        <v>23891</v>
      </c>
    </row>
    <row r="55" spans="1:21" x14ac:dyDescent="0.25">
      <c r="Q55" s="6" t="s">
        <v>956</v>
      </c>
      <c r="R55" s="332">
        <v>53</v>
      </c>
      <c r="S55" s="332"/>
      <c r="T55" s="332"/>
      <c r="U55" s="332">
        <v>53</v>
      </c>
    </row>
    <row r="56" spans="1:21" x14ac:dyDescent="0.25">
      <c r="Q56" s="6" t="s">
        <v>959</v>
      </c>
      <c r="R56" s="332">
        <v>215</v>
      </c>
      <c r="S56" s="332"/>
      <c r="T56" s="332"/>
      <c r="U56" s="332">
        <v>215</v>
      </c>
    </row>
    <row r="57" spans="1:21" x14ac:dyDescent="0.25">
      <c r="Q57" s="6" t="s">
        <v>962</v>
      </c>
      <c r="R57" s="332">
        <v>340</v>
      </c>
      <c r="S57" s="332"/>
      <c r="T57" s="332"/>
      <c r="U57" s="332">
        <v>340</v>
      </c>
    </row>
    <row r="58" spans="1:21" x14ac:dyDescent="0.25">
      <c r="Q58" s="6" t="s">
        <v>963</v>
      </c>
      <c r="R58" s="332">
        <v>421</v>
      </c>
      <c r="S58" s="332"/>
      <c r="T58" s="332"/>
      <c r="U58" s="332">
        <v>421</v>
      </c>
    </row>
    <row r="59" spans="1:21" x14ac:dyDescent="0.25">
      <c r="Q59" s="6" t="s">
        <v>968</v>
      </c>
      <c r="R59" s="332">
        <v>37</v>
      </c>
      <c r="S59" s="332">
        <v>237</v>
      </c>
      <c r="T59" s="332">
        <v>1420</v>
      </c>
      <c r="U59" s="332">
        <v>1694</v>
      </c>
    </row>
    <row r="60" spans="1:21" x14ac:dyDescent="0.25">
      <c r="Q60" s="6" t="s">
        <v>970</v>
      </c>
      <c r="R60" s="332">
        <v>72</v>
      </c>
      <c r="S60" s="332">
        <v>340</v>
      </c>
      <c r="T60" s="332"/>
      <c r="U60" s="332">
        <v>412</v>
      </c>
    </row>
    <row r="61" spans="1:21" x14ac:dyDescent="0.25">
      <c r="A61" t="s">
        <v>2124</v>
      </c>
      <c r="Q61" s="6" t="s">
        <v>945</v>
      </c>
      <c r="R61" s="332">
        <v>70</v>
      </c>
      <c r="S61" s="332">
        <v>137</v>
      </c>
      <c r="T61" s="332"/>
      <c r="U61" s="332">
        <v>207</v>
      </c>
    </row>
    <row r="62" spans="1:21" x14ac:dyDescent="0.25">
      <c r="Q62" s="6" t="s">
        <v>965</v>
      </c>
      <c r="R62" s="332">
        <v>253</v>
      </c>
      <c r="S62" s="332"/>
      <c r="T62" s="332"/>
      <c r="U62" s="332">
        <v>253</v>
      </c>
    </row>
    <row r="63" spans="1:21" x14ac:dyDescent="0.25">
      <c r="Q63" s="6" t="s">
        <v>942</v>
      </c>
      <c r="R63" s="332">
        <v>340</v>
      </c>
      <c r="S63" s="332"/>
      <c r="T63" s="332"/>
      <c r="U63" s="332">
        <v>340</v>
      </c>
    </row>
    <row r="64" spans="1:21" x14ac:dyDescent="0.25">
      <c r="Q64" s="6" t="s">
        <v>949</v>
      </c>
      <c r="R64" s="332">
        <v>205</v>
      </c>
      <c r="S64" s="332">
        <v>265</v>
      </c>
      <c r="T64" s="332"/>
      <c r="U64" s="332">
        <v>470</v>
      </c>
    </row>
    <row r="65" spans="1:21" x14ac:dyDescent="0.25">
      <c r="Q65" s="6" t="s">
        <v>971</v>
      </c>
      <c r="R65" s="332">
        <v>46</v>
      </c>
      <c r="S65" s="332"/>
      <c r="T65" s="332"/>
      <c r="U65" s="332">
        <v>46</v>
      </c>
    </row>
    <row r="66" spans="1:21" x14ac:dyDescent="0.25">
      <c r="Q66" s="6" t="s">
        <v>943</v>
      </c>
      <c r="R66" s="332">
        <v>70</v>
      </c>
      <c r="S66" s="332"/>
      <c r="T66" s="332"/>
      <c r="U66" s="332">
        <v>70</v>
      </c>
    </row>
    <row r="67" spans="1:21" x14ac:dyDescent="0.25">
      <c r="Q67" s="6" t="s">
        <v>951</v>
      </c>
      <c r="R67" s="332">
        <v>97</v>
      </c>
      <c r="S67" s="332">
        <v>38</v>
      </c>
      <c r="T67" s="332"/>
      <c r="U67" s="332">
        <v>135</v>
      </c>
    </row>
    <row r="68" spans="1:21" x14ac:dyDescent="0.25">
      <c r="Q68" s="6" t="s">
        <v>953</v>
      </c>
      <c r="R68" s="332">
        <v>35</v>
      </c>
      <c r="S68" s="332">
        <v>80</v>
      </c>
      <c r="T68" s="332"/>
      <c r="U68" s="332">
        <v>115</v>
      </c>
    </row>
    <row r="69" spans="1:21" x14ac:dyDescent="0.25">
      <c r="Q69" s="6" t="s">
        <v>955</v>
      </c>
      <c r="R69" s="332">
        <v>440</v>
      </c>
      <c r="S69" s="332"/>
      <c r="T69" s="332"/>
      <c r="U69" s="332">
        <v>440</v>
      </c>
    </row>
    <row r="70" spans="1:21" x14ac:dyDescent="0.25">
      <c r="Q70" s="6" t="s">
        <v>1501</v>
      </c>
      <c r="R70" s="332"/>
      <c r="S70" s="332">
        <v>315</v>
      </c>
      <c r="T70" s="332"/>
      <c r="U70" s="332">
        <v>315</v>
      </c>
    </row>
    <row r="71" spans="1:21" x14ac:dyDescent="0.25">
      <c r="Q71" s="6" t="s">
        <v>961</v>
      </c>
      <c r="R71" s="332">
        <v>144</v>
      </c>
      <c r="S71" s="332">
        <v>96</v>
      </c>
      <c r="T71" s="332"/>
      <c r="U71" s="332">
        <v>240</v>
      </c>
    </row>
    <row r="72" spans="1:21" x14ac:dyDescent="0.25">
      <c r="Q72" s="6" t="s">
        <v>967</v>
      </c>
      <c r="R72" s="332">
        <v>150</v>
      </c>
      <c r="S72" s="332">
        <v>310</v>
      </c>
      <c r="T72" s="332"/>
      <c r="U72" s="332">
        <v>460</v>
      </c>
    </row>
    <row r="73" spans="1:21" x14ac:dyDescent="0.25">
      <c r="Q73" s="6" t="s">
        <v>1815</v>
      </c>
      <c r="R73" s="332">
        <v>200</v>
      </c>
      <c r="S73" s="332">
        <v>70</v>
      </c>
      <c r="T73" s="332"/>
      <c r="U73" s="332">
        <v>270</v>
      </c>
    </row>
    <row r="74" spans="1:21" x14ac:dyDescent="0.25">
      <c r="Q74" s="6" t="s">
        <v>1811</v>
      </c>
      <c r="R74" s="332">
        <v>50</v>
      </c>
      <c r="S74" s="332">
        <v>106</v>
      </c>
      <c r="T74" s="332"/>
      <c r="U74" s="332">
        <v>156</v>
      </c>
    </row>
    <row r="75" spans="1:21" x14ac:dyDescent="0.25">
      <c r="A75" t="s">
        <v>2125</v>
      </c>
      <c r="Q75" s="6" t="s">
        <v>1817</v>
      </c>
      <c r="R75" s="332">
        <v>225</v>
      </c>
      <c r="S75" s="332">
        <v>175</v>
      </c>
      <c r="T75" s="332"/>
      <c r="U75" s="332">
        <v>400</v>
      </c>
    </row>
    <row r="76" spans="1:21" x14ac:dyDescent="0.25">
      <c r="Q76" s="6" t="s">
        <v>1813</v>
      </c>
      <c r="R76" s="332">
        <v>90</v>
      </c>
      <c r="S76" s="332">
        <v>107</v>
      </c>
      <c r="T76" s="332"/>
      <c r="U76" s="332">
        <v>197</v>
      </c>
    </row>
    <row r="77" spans="1:21" x14ac:dyDescent="0.25">
      <c r="Q77" s="6" t="s">
        <v>2029</v>
      </c>
      <c r="R77" s="332"/>
      <c r="S77" s="332"/>
      <c r="T77" s="332">
        <v>8</v>
      </c>
      <c r="U77" s="332">
        <v>8</v>
      </c>
    </row>
    <row r="78" spans="1:21" x14ac:dyDescent="0.25">
      <c r="Q78" s="6" t="s">
        <v>2114</v>
      </c>
      <c r="R78" s="332">
        <v>16857</v>
      </c>
      <c r="S78" s="332">
        <v>5542</v>
      </c>
      <c r="T78" s="332">
        <v>9288</v>
      </c>
      <c r="U78" s="332">
        <v>31687</v>
      </c>
    </row>
    <row r="80" spans="1:21" x14ac:dyDescent="0.25">
      <c r="A80" t="s">
        <v>24</v>
      </c>
      <c r="B80" t="s">
        <v>656</v>
      </c>
      <c r="C80" t="s">
        <v>658</v>
      </c>
      <c r="D80" t="s">
        <v>1553</v>
      </c>
      <c r="E80" t="s">
        <v>659</v>
      </c>
      <c r="F80" t="s">
        <v>1855</v>
      </c>
      <c r="G80">
        <v>1</v>
      </c>
      <c r="H80">
        <v>22</v>
      </c>
      <c r="I80" t="s">
        <v>637</v>
      </c>
    </row>
    <row r="81" spans="1:9" x14ac:dyDescent="0.25">
      <c r="A81" t="s">
        <v>24</v>
      </c>
      <c r="B81" t="s">
        <v>656</v>
      </c>
      <c r="C81" t="s">
        <v>661</v>
      </c>
      <c r="D81" t="s">
        <v>1554</v>
      </c>
      <c r="E81" t="s">
        <v>659</v>
      </c>
      <c r="F81" t="s">
        <v>1855</v>
      </c>
      <c r="G81">
        <v>3</v>
      </c>
      <c r="H81">
        <v>45</v>
      </c>
      <c r="I81" t="s">
        <v>637</v>
      </c>
    </row>
    <row r="82" spans="1:9" x14ac:dyDescent="0.25">
      <c r="A82" t="s">
        <v>24</v>
      </c>
      <c r="B82" t="s">
        <v>656</v>
      </c>
      <c r="C82" t="s">
        <v>662</v>
      </c>
      <c r="D82" t="s">
        <v>1555</v>
      </c>
      <c r="E82" t="s">
        <v>659</v>
      </c>
      <c r="F82" t="s">
        <v>1855</v>
      </c>
      <c r="G82">
        <v>14</v>
      </c>
      <c r="H82">
        <v>145</v>
      </c>
      <c r="I82" t="s">
        <v>637</v>
      </c>
    </row>
    <row r="83" spans="1:9" x14ac:dyDescent="0.25">
      <c r="A83" t="s">
        <v>24</v>
      </c>
      <c r="B83" t="s">
        <v>656</v>
      </c>
      <c r="C83" t="s">
        <v>663</v>
      </c>
      <c r="D83" t="s">
        <v>1556</v>
      </c>
      <c r="E83" t="s">
        <v>659</v>
      </c>
      <c r="F83" t="s">
        <v>1855</v>
      </c>
      <c r="G83">
        <v>1</v>
      </c>
      <c r="H83">
        <v>17</v>
      </c>
      <c r="I83" t="s">
        <v>637</v>
      </c>
    </row>
    <row r="84" spans="1:9" x14ac:dyDescent="0.25">
      <c r="A84" t="s">
        <v>24</v>
      </c>
      <c r="B84" t="s">
        <v>656</v>
      </c>
      <c r="C84" t="s">
        <v>664</v>
      </c>
      <c r="D84" t="s">
        <v>1557</v>
      </c>
      <c r="E84" t="s">
        <v>659</v>
      </c>
      <c r="F84" t="s">
        <v>1855</v>
      </c>
      <c r="G84">
        <v>6</v>
      </c>
      <c r="H84">
        <v>90</v>
      </c>
      <c r="I84" t="s">
        <v>637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Z202"/>
  <sheetViews>
    <sheetView topLeftCell="Z1" zoomScale="70" zoomScaleNormal="70" workbookViewId="0">
      <selection activeCell="AN49" sqref="AN49"/>
    </sheetView>
  </sheetViews>
  <sheetFormatPr defaultColWidth="11.42578125" defaultRowHeight="15" x14ac:dyDescent="0.25"/>
  <cols>
    <col min="1" max="1" width="8.42578125" style="96" customWidth="1"/>
    <col min="2" max="2" width="17.140625" style="96" bestFit="1" customWidth="1"/>
    <col min="3" max="3" width="16.85546875" style="96" customWidth="1"/>
    <col min="4" max="4" width="11.42578125" style="96"/>
    <col min="5" max="5" width="21.7109375" style="96" bestFit="1" customWidth="1"/>
    <col min="6" max="6" width="11.42578125" style="96"/>
    <col min="7" max="7" width="15.140625" style="96" bestFit="1" customWidth="1"/>
    <col min="8" max="9" width="11.42578125" style="96"/>
    <col min="10" max="10" width="21.7109375" style="96" bestFit="1" customWidth="1"/>
    <col min="11" max="11" width="17.85546875" style="96" customWidth="1"/>
    <col min="12" max="12" width="11.42578125" style="96"/>
    <col min="13" max="13" width="15.140625" style="96" bestFit="1" customWidth="1"/>
    <col min="14" max="18" width="11.42578125" style="96"/>
    <col min="19" max="19" width="15.140625" style="96" bestFit="1" customWidth="1"/>
    <col min="20" max="21" width="11.42578125" style="96"/>
    <col min="22" max="22" width="13.42578125" style="96" customWidth="1"/>
    <col min="23" max="23" width="17.85546875" style="96" customWidth="1"/>
    <col min="24" max="30" width="11.42578125" style="96"/>
    <col min="31" max="31" width="15.140625" style="96" bestFit="1" customWidth="1"/>
    <col min="32" max="33" width="11.42578125" style="96"/>
    <col min="34" max="34" width="13.42578125" style="96" customWidth="1"/>
    <col min="35" max="35" width="17.85546875" style="96" customWidth="1"/>
    <col min="36" max="36" width="11.42578125" style="96"/>
    <col min="37" max="37" width="15.140625" style="96" bestFit="1" customWidth="1"/>
    <col min="38" max="39" width="11.42578125" style="96"/>
    <col min="40" max="40" width="13.42578125" style="96" customWidth="1"/>
    <col min="41" max="41" width="17.85546875" style="96" customWidth="1"/>
    <col min="42" max="42" width="11.42578125" style="96"/>
    <col min="43" max="43" width="15.140625" style="96" bestFit="1" customWidth="1"/>
    <col min="44" max="44" width="11.42578125" style="96"/>
    <col min="45" max="45" width="12.42578125" style="96" customWidth="1"/>
    <col min="46" max="46" width="13.42578125" style="96" customWidth="1"/>
    <col min="47" max="47" width="17.85546875" style="96" customWidth="1"/>
    <col min="48" max="49" width="11.42578125" style="96"/>
    <col min="50" max="50" width="18.28515625" style="96" customWidth="1"/>
    <col min="51" max="51" width="22" style="96" customWidth="1"/>
    <col min="52" max="52" width="19.85546875" style="96" customWidth="1"/>
    <col min="53" max="16384" width="11.42578125" style="96"/>
  </cols>
  <sheetData>
    <row r="2" spans="2:52" ht="15.75" thickBot="1" x14ac:dyDescent="0.3"/>
    <row r="3" spans="2:52" ht="15.75" customHeight="1" thickBot="1" x14ac:dyDescent="0.3">
      <c r="B3" s="391" t="s">
        <v>762</v>
      </c>
      <c r="C3" s="392"/>
      <c r="D3" s="392"/>
      <c r="E3" s="392"/>
      <c r="F3" s="393"/>
      <c r="G3" s="391" t="s">
        <v>763</v>
      </c>
      <c r="H3" s="392"/>
      <c r="I3" s="392"/>
      <c r="J3" s="392"/>
      <c r="K3" s="393"/>
      <c r="L3" s="394" t="s">
        <v>764</v>
      </c>
      <c r="M3" s="409" t="s">
        <v>765</v>
      </c>
      <c r="N3" s="410"/>
      <c r="O3" s="410"/>
      <c r="P3" s="410"/>
      <c r="Q3" s="411"/>
      <c r="R3" s="255"/>
      <c r="S3" s="396" t="s">
        <v>1737</v>
      </c>
      <c r="T3" s="397"/>
      <c r="U3" s="397"/>
      <c r="V3" s="397"/>
      <c r="W3" s="398"/>
      <c r="X3" s="394" t="s">
        <v>1739</v>
      </c>
      <c r="Y3" s="404" t="s">
        <v>1862</v>
      </c>
      <c r="Z3" s="405"/>
      <c r="AA3" s="405"/>
      <c r="AB3" s="405"/>
      <c r="AC3" s="406"/>
      <c r="AD3" s="407" t="s">
        <v>1863</v>
      </c>
      <c r="AE3" s="399" t="s">
        <v>1982</v>
      </c>
      <c r="AF3" s="400"/>
      <c r="AG3" s="400"/>
      <c r="AH3" s="400"/>
      <c r="AI3" s="401"/>
      <c r="AJ3" s="402" t="s">
        <v>1983</v>
      </c>
      <c r="AK3" s="399" t="s">
        <v>2026</v>
      </c>
      <c r="AL3" s="400"/>
      <c r="AM3" s="400"/>
      <c r="AN3" s="400"/>
      <c r="AO3" s="401"/>
      <c r="AP3" s="402" t="s">
        <v>2091</v>
      </c>
      <c r="AQ3" s="399" t="s">
        <v>3745</v>
      </c>
      <c r="AR3" s="400"/>
      <c r="AS3" s="400"/>
      <c r="AT3" s="400"/>
      <c r="AU3" s="401"/>
      <c r="AV3" s="402" t="s">
        <v>3746</v>
      </c>
      <c r="AX3" s="388" t="s">
        <v>2092</v>
      </c>
      <c r="AY3" s="389"/>
      <c r="AZ3" s="390"/>
    </row>
    <row r="4" spans="2:52" ht="45" x14ac:dyDescent="0.25">
      <c r="B4" s="256" t="s">
        <v>719</v>
      </c>
      <c r="C4" s="257" t="s">
        <v>29</v>
      </c>
      <c r="D4" s="257" t="s">
        <v>721</v>
      </c>
      <c r="E4" s="257" t="s">
        <v>720</v>
      </c>
      <c r="F4" s="258" t="s">
        <v>715</v>
      </c>
      <c r="G4" s="256" t="s">
        <v>719</v>
      </c>
      <c r="H4" s="257" t="s">
        <v>29</v>
      </c>
      <c r="I4" s="257" t="s">
        <v>721</v>
      </c>
      <c r="J4" s="257" t="s">
        <v>720</v>
      </c>
      <c r="K4" s="258" t="s">
        <v>715</v>
      </c>
      <c r="L4" s="395"/>
      <c r="M4" s="259" t="s">
        <v>719</v>
      </c>
      <c r="N4" s="260" t="s">
        <v>29</v>
      </c>
      <c r="O4" s="260" t="s">
        <v>721</v>
      </c>
      <c r="P4" s="260" t="s">
        <v>720</v>
      </c>
      <c r="Q4" s="261" t="s">
        <v>715</v>
      </c>
      <c r="R4" s="262" t="s">
        <v>1738</v>
      </c>
      <c r="S4" s="263" t="s">
        <v>719</v>
      </c>
      <c r="T4" s="264" t="s">
        <v>29</v>
      </c>
      <c r="U4" s="264" t="s">
        <v>721</v>
      </c>
      <c r="V4" s="265" t="s">
        <v>720</v>
      </c>
      <c r="W4" s="266" t="s">
        <v>715</v>
      </c>
      <c r="X4" s="395"/>
      <c r="Y4" s="267" t="s">
        <v>719</v>
      </c>
      <c r="Z4" s="268" t="s">
        <v>29</v>
      </c>
      <c r="AA4" s="268" t="s">
        <v>721</v>
      </c>
      <c r="AB4" s="268" t="s">
        <v>720</v>
      </c>
      <c r="AC4" s="269" t="s">
        <v>715</v>
      </c>
      <c r="AD4" s="408"/>
      <c r="AE4" s="256" t="s">
        <v>719</v>
      </c>
      <c r="AF4" s="257" t="s">
        <v>29</v>
      </c>
      <c r="AG4" s="257" t="s">
        <v>721</v>
      </c>
      <c r="AH4" s="268" t="s">
        <v>720</v>
      </c>
      <c r="AI4" s="258" t="s">
        <v>715</v>
      </c>
      <c r="AJ4" s="403"/>
      <c r="AK4" s="256" t="s">
        <v>719</v>
      </c>
      <c r="AL4" s="257" t="s">
        <v>29</v>
      </c>
      <c r="AM4" s="257" t="s">
        <v>721</v>
      </c>
      <c r="AN4" s="268" t="s">
        <v>720</v>
      </c>
      <c r="AO4" s="258" t="s">
        <v>715</v>
      </c>
      <c r="AP4" s="403"/>
      <c r="AQ4" s="256" t="s">
        <v>719</v>
      </c>
      <c r="AR4" s="257" t="s">
        <v>29</v>
      </c>
      <c r="AS4" s="257" t="s">
        <v>721</v>
      </c>
      <c r="AT4" s="268" t="s">
        <v>720</v>
      </c>
      <c r="AU4" s="258" t="s">
        <v>715</v>
      </c>
      <c r="AV4" s="403"/>
      <c r="AX4" s="267" t="s">
        <v>723</v>
      </c>
      <c r="AY4" s="268" t="s">
        <v>1754</v>
      </c>
      <c r="AZ4" s="269" t="s">
        <v>1755</v>
      </c>
    </row>
    <row r="5" spans="2:52" x14ac:dyDescent="0.25">
      <c r="B5" s="36" t="s">
        <v>24</v>
      </c>
      <c r="C5" s="12"/>
      <c r="D5" s="12"/>
      <c r="E5" s="12"/>
      <c r="F5" s="13"/>
      <c r="G5" s="36" t="s">
        <v>24</v>
      </c>
      <c r="H5" s="12"/>
      <c r="I5" s="12"/>
      <c r="J5" s="12"/>
      <c r="K5" s="13"/>
      <c r="L5" s="12">
        <f>SUM(K6:K11)-SUM(F6:F11)</f>
        <v>136</v>
      </c>
      <c r="M5" s="36" t="s">
        <v>24</v>
      </c>
      <c r="N5" s="12"/>
      <c r="O5" s="12"/>
      <c r="P5" s="12"/>
      <c r="Q5" s="13"/>
      <c r="R5" s="12">
        <v>558</v>
      </c>
      <c r="S5" s="36" t="s">
        <v>24</v>
      </c>
      <c r="T5" s="28"/>
      <c r="U5" s="28"/>
      <c r="V5" s="28"/>
      <c r="W5" s="29"/>
      <c r="X5" s="28">
        <f>SUM(W6:W11)-SUM(Q6:Q11)</f>
        <v>-168</v>
      </c>
      <c r="Y5" s="86" t="s">
        <v>24</v>
      </c>
      <c r="Z5" s="28"/>
      <c r="AA5" s="28"/>
      <c r="AB5" s="28"/>
      <c r="AC5" s="29"/>
      <c r="AD5" s="28">
        <f>SUM(AC6:AC11)-SUM(W6:W11)</f>
        <v>24</v>
      </c>
      <c r="AE5" s="36" t="s">
        <v>24</v>
      </c>
      <c r="AF5" s="28"/>
      <c r="AG5" s="28"/>
      <c r="AH5" s="28"/>
      <c r="AI5" s="29"/>
      <c r="AJ5" s="32">
        <f>SUM(AB6:AB11)-SUM(P6:P11)</f>
        <v>3</v>
      </c>
      <c r="AK5" s="36" t="s">
        <v>24</v>
      </c>
      <c r="AL5" s="28"/>
      <c r="AM5" s="28"/>
      <c r="AN5" s="28"/>
      <c r="AO5" s="29"/>
      <c r="AP5" s="32">
        <f>SUM(AO6:AO11)-SUM(AI6:AI11)</f>
        <v>28</v>
      </c>
      <c r="AQ5" s="36" t="s">
        <v>24</v>
      </c>
      <c r="AR5" s="28"/>
      <c r="AS5" s="28"/>
      <c r="AT5" s="28"/>
      <c r="AU5" s="29"/>
      <c r="AV5" s="32">
        <f>SUM(AU6:AU11)-SUM(AO6:AO11)</f>
        <v>-169</v>
      </c>
      <c r="AX5" s="280">
        <f>SUM(AR6:AR11)-SUM(AL6:AL11)</f>
        <v>-87</v>
      </c>
      <c r="AY5" s="281">
        <f>SUM(AS6:AS11)-SUM(AM6:AM11)</f>
        <v>-85</v>
      </c>
      <c r="AZ5" s="282">
        <f>SUM(AT6:AT11)-SUM(AN6:AN11)</f>
        <v>3</v>
      </c>
    </row>
    <row r="6" spans="2:52" x14ac:dyDescent="0.25">
      <c r="B6" s="270" t="s">
        <v>656</v>
      </c>
      <c r="C6" s="98"/>
      <c r="D6" s="98">
        <v>305</v>
      </c>
      <c r="E6" s="98"/>
      <c r="F6" s="271">
        <v>305</v>
      </c>
      <c r="G6" s="270" t="s">
        <v>656</v>
      </c>
      <c r="H6" s="98"/>
      <c r="I6" s="98">
        <v>305</v>
      </c>
      <c r="J6" s="98"/>
      <c r="K6" s="271">
        <v>305</v>
      </c>
      <c r="L6" s="98">
        <f>K6-F6</f>
        <v>0</v>
      </c>
      <c r="M6" s="270" t="s">
        <v>656</v>
      </c>
      <c r="N6" s="101">
        <v>0</v>
      </c>
      <c r="O6" s="101">
        <v>343</v>
      </c>
      <c r="P6" s="101">
        <v>0</v>
      </c>
      <c r="Q6" s="272">
        <v>343</v>
      </c>
      <c r="R6" s="101">
        <v>38</v>
      </c>
      <c r="S6" s="270" t="s">
        <v>656</v>
      </c>
      <c r="T6" s="101">
        <v>0</v>
      </c>
      <c r="U6" s="101">
        <v>237</v>
      </c>
      <c r="V6" s="101">
        <v>0</v>
      </c>
      <c r="W6" s="272">
        <v>237</v>
      </c>
      <c r="X6" s="101">
        <f>W6-Q6</f>
        <v>-106</v>
      </c>
      <c r="Y6" s="273" t="s">
        <v>656</v>
      </c>
      <c r="Z6" s="101">
        <v>0</v>
      </c>
      <c r="AA6" s="101">
        <v>312</v>
      </c>
      <c r="AB6" s="101">
        <v>0</v>
      </c>
      <c r="AC6" s="272">
        <v>312</v>
      </c>
      <c r="AD6" s="101">
        <f>AC6-W6</f>
        <v>75</v>
      </c>
      <c r="AE6" s="270" t="s">
        <v>656</v>
      </c>
      <c r="AF6" s="101">
        <v>0</v>
      </c>
      <c r="AG6" s="101">
        <v>319</v>
      </c>
      <c r="AH6" s="101">
        <v>0</v>
      </c>
      <c r="AI6" s="272">
        <v>319</v>
      </c>
      <c r="AJ6" s="137">
        <f>AB6-P6</f>
        <v>0</v>
      </c>
      <c r="AK6" s="270" t="s">
        <v>656</v>
      </c>
      <c r="AL6" s="101">
        <v>0</v>
      </c>
      <c r="AM6" s="101">
        <v>321</v>
      </c>
      <c r="AN6" s="101">
        <v>0</v>
      </c>
      <c r="AO6" s="272">
        <v>321</v>
      </c>
      <c r="AP6" s="137">
        <f>AO6-AI6</f>
        <v>2</v>
      </c>
      <c r="AQ6" s="270" t="s">
        <v>656</v>
      </c>
      <c r="AR6" s="101">
        <f>GETPIVOTDATA("ind",'Displacement &amp; Returns'!$C$108,"adm2_name",AQ$5,"adm3_name",AQ6,"deplacement","PDI")</f>
        <v>0</v>
      </c>
      <c r="AS6" s="101">
        <f>GETPIVOTDATA("ind",'Displacement &amp; Returns'!$C$108,"adm2_name","Diamare","adm3_name",AQ6,"deplacement","Retournés")</f>
        <v>311</v>
      </c>
      <c r="AT6" s="101">
        <f>GETPIVOTDATA("ind",'Displacement &amp; Returns'!$C$108,"adm2_name","Diamare","adm3_name",AQ6,"deplacement","réfugiés non-enregistrés")</f>
        <v>0</v>
      </c>
      <c r="AU6" s="272">
        <f>GETPIVOTDATA("ind",'Displacement &amp; Returns'!$C$108,"adm2_name","Diamare","adm3_name",AQ6)</f>
        <v>311</v>
      </c>
      <c r="AV6" s="137">
        <f>AU6-AO6</f>
        <v>-10</v>
      </c>
      <c r="AX6" s="273">
        <f>AR6-AL6</f>
        <v>0</v>
      </c>
      <c r="AY6" s="274">
        <f>AS6-AM6</f>
        <v>-10</v>
      </c>
      <c r="AZ6" s="283">
        <f>AT6-AN6</f>
        <v>0</v>
      </c>
    </row>
    <row r="7" spans="2:52" x14ac:dyDescent="0.25">
      <c r="B7" s="270" t="s">
        <v>26</v>
      </c>
      <c r="C7" s="98">
        <v>481</v>
      </c>
      <c r="D7" s="98">
        <v>26</v>
      </c>
      <c r="E7" s="98"/>
      <c r="F7" s="271">
        <v>507</v>
      </c>
      <c r="G7" s="270" t="s">
        <v>26</v>
      </c>
      <c r="H7" s="98">
        <v>481</v>
      </c>
      <c r="I7" s="98">
        <v>26</v>
      </c>
      <c r="J7" s="98"/>
      <c r="K7" s="271">
        <v>507</v>
      </c>
      <c r="L7" s="98">
        <f t="shared" ref="L7:L48" si="0">K7-F7</f>
        <v>0</v>
      </c>
      <c r="M7" s="270" t="s">
        <v>26</v>
      </c>
      <c r="N7" s="101">
        <v>481</v>
      </c>
      <c r="O7" s="101">
        <v>26</v>
      </c>
      <c r="P7" s="101">
        <v>0</v>
      </c>
      <c r="Q7" s="272">
        <v>507</v>
      </c>
      <c r="R7" s="101">
        <v>0</v>
      </c>
      <c r="S7" s="270" t="s">
        <v>26</v>
      </c>
      <c r="T7" s="101">
        <v>491</v>
      </c>
      <c r="U7" s="101">
        <v>0</v>
      </c>
      <c r="V7" s="101">
        <v>0</v>
      </c>
      <c r="W7" s="272">
        <v>491</v>
      </c>
      <c r="X7" s="101">
        <f t="shared" ref="X7:X11" si="1">W7-Q7</f>
        <v>-16</v>
      </c>
      <c r="Y7" s="273" t="s">
        <v>26</v>
      </c>
      <c r="Z7" s="101">
        <v>339</v>
      </c>
      <c r="AA7" s="101">
        <v>0</v>
      </c>
      <c r="AB7" s="101">
        <v>0</v>
      </c>
      <c r="AC7" s="272">
        <v>339</v>
      </c>
      <c r="AD7" s="101">
        <f t="shared" ref="AD7:AD11" si="2">AC7-W7</f>
        <v>-152</v>
      </c>
      <c r="AE7" s="270" t="s">
        <v>26</v>
      </c>
      <c r="AF7" s="101">
        <v>336</v>
      </c>
      <c r="AG7" s="101">
        <v>0</v>
      </c>
      <c r="AH7" s="101">
        <v>0</v>
      </c>
      <c r="AI7" s="272">
        <v>336</v>
      </c>
      <c r="AJ7" s="137">
        <f>AB7-P7</f>
        <v>0</v>
      </c>
      <c r="AK7" s="270" t="s">
        <v>26</v>
      </c>
      <c r="AL7" s="101">
        <v>279</v>
      </c>
      <c r="AM7" s="101">
        <v>0</v>
      </c>
      <c r="AN7" s="101">
        <v>0</v>
      </c>
      <c r="AO7" s="272">
        <v>279</v>
      </c>
      <c r="AP7" s="137">
        <f t="shared" ref="AP7:AP11" si="3">AO7-AI7</f>
        <v>-57</v>
      </c>
      <c r="AQ7" s="270" t="s">
        <v>26</v>
      </c>
      <c r="AR7" s="101">
        <f>GETPIVOTDATA("ind",'Displacement &amp; Returns'!$C$108,"adm2_name",AQ$5,"adm3_name",AQ7,"deplacement","PDI")</f>
        <v>273</v>
      </c>
      <c r="AS7" s="101">
        <f>GETPIVOTDATA("ind",'Displacement &amp; Returns'!$C$108,"adm2_name","Diamare","adm3_name",AQ7,"deplacement","Retournés")</f>
        <v>0</v>
      </c>
      <c r="AT7" s="101">
        <f>GETPIVOTDATA("ind",'Displacement &amp; Returns'!$C$108,"adm2_name","Diamare","adm3_name",AQ7,"deplacement","réfugiés non-enregistrés")</f>
        <v>0</v>
      </c>
      <c r="AU7" s="272">
        <f>GETPIVOTDATA("ind",'Displacement &amp; Returns'!$C$108,"adm2_name","Diamare","adm3_name",AQ7)</f>
        <v>273</v>
      </c>
      <c r="AV7" s="137">
        <f t="shared" ref="AV7:AV11" si="4">AU7-AO7</f>
        <v>-6</v>
      </c>
      <c r="AX7" s="273">
        <f t="shared" ref="AX7:AX11" si="5">AR7-AL7</f>
        <v>-6</v>
      </c>
      <c r="AY7" s="274">
        <f t="shared" ref="AY7:AY11" si="6">AS7-AM7</f>
        <v>0</v>
      </c>
      <c r="AZ7" s="283">
        <f t="shared" ref="AZ7:AZ11" si="7">AT7-AN7</f>
        <v>0</v>
      </c>
    </row>
    <row r="8" spans="2:52" x14ac:dyDescent="0.25">
      <c r="B8" s="270" t="s">
        <v>44</v>
      </c>
      <c r="C8" s="98">
        <v>741</v>
      </c>
      <c r="D8" s="98"/>
      <c r="E8" s="98"/>
      <c r="F8" s="271">
        <v>741</v>
      </c>
      <c r="G8" s="270" t="s">
        <v>44</v>
      </c>
      <c r="H8" s="98">
        <v>706</v>
      </c>
      <c r="I8" s="98"/>
      <c r="J8" s="98"/>
      <c r="K8" s="271">
        <v>706</v>
      </c>
      <c r="L8" s="98">
        <f t="shared" si="0"/>
        <v>-35</v>
      </c>
      <c r="M8" s="270" t="s">
        <v>44</v>
      </c>
      <c r="N8" s="101">
        <v>741</v>
      </c>
      <c r="O8" s="101">
        <v>0</v>
      </c>
      <c r="P8" s="101">
        <v>0</v>
      </c>
      <c r="Q8" s="272">
        <v>741</v>
      </c>
      <c r="R8" s="101">
        <v>35</v>
      </c>
      <c r="S8" s="270" t="s">
        <v>44</v>
      </c>
      <c r="T8" s="101">
        <v>741</v>
      </c>
      <c r="U8" s="101">
        <v>0</v>
      </c>
      <c r="V8" s="101">
        <v>0</v>
      </c>
      <c r="W8" s="272">
        <v>741</v>
      </c>
      <c r="X8" s="101">
        <f t="shared" si="1"/>
        <v>0</v>
      </c>
      <c r="Y8" s="273" t="s">
        <v>44</v>
      </c>
      <c r="Z8" s="101">
        <v>741</v>
      </c>
      <c r="AA8" s="101">
        <v>0</v>
      </c>
      <c r="AB8" s="101">
        <v>0</v>
      </c>
      <c r="AC8" s="272">
        <v>741</v>
      </c>
      <c r="AD8" s="101">
        <f t="shared" si="2"/>
        <v>0</v>
      </c>
      <c r="AE8" s="270" t="s">
        <v>44</v>
      </c>
      <c r="AF8" s="101">
        <v>741</v>
      </c>
      <c r="AG8" s="101">
        <v>0</v>
      </c>
      <c r="AH8" s="101">
        <v>0</v>
      </c>
      <c r="AI8" s="272">
        <v>741</v>
      </c>
      <c r="AJ8" s="137">
        <f>AB8-P8</f>
        <v>0</v>
      </c>
      <c r="AK8" s="270" t="s">
        <v>44</v>
      </c>
      <c r="AL8" s="101">
        <v>741</v>
      </c>
      <c r="AM8" s="101">
        <v>0</v>
      </c>
      <c r="AN8" s="101">
        <v>0</v>
      </c>
      <c r="AO8" s="272">
        <v>741</v>
      </c>
      <c r="AP8" s="137">
        <f t="shared" si="3"/>
        <v>0</v>
      </c>
      <c r="AQ8" s="270" t="s">
        <v>44</v>
      </c>
      <c r="AR8" s="101">
        <f>GETPIVOTDATA("ind",'Displacement &amp; Returns'!$C$108,"adm2_name",AQ$5,"adm3_name",AQ8,"deplacement","PDI")</f>
        <v>741</v>
      </c>
      <c r="AS8" s="101">
        <f>GETPIVOTDATA("ind",'Displacement &amp; Returns'!$C$108,"adm2_name","Diamare","adm3_name",AQ8,"deplacement","Retournés")</f>
        <v>0</v>
      </c>
      <c r="AT8" s="101">
        <f>GETPIVOTDATA("ind",'Displacement &amp; Returns'!$C$108,"adm2_name","Diamare","adm3_name",AQ8,"deplacement","réfugiés non-enregistrés")</f>
        <v>0</v>
      </c>
      <c r="AU8" s="272">
        <f>GETPIVOTDATA("ind",'Displacement &amp; Returns'!$C$108,"adm2_name","Diamare","adm3_name",AQ8)</f>
        <v>741</v>
      </c>
      <c r="AV8" s="137">
        <f t="shared" si="4"/>
        <v>0</v>
      </c>
      <c r="AX8" s="273">
        <f t="shared" si="5"/>
        <v>0</v>
      </c>
      <c r="AY8" s="274">
        <f t="shared" si="6"/>
        <v>0</v>
      </c>
      <c r="AZ8" s="283">
        <f t="shared" si="7"/>
        <v>0</v>
      </c>
    </row>
    <row r="9" spans="2:52" x14ac:dyDescent="0.25">
      <c r="B9" s="270" t="s">
        <v>50</v>
      </c>
      <c r="C9" s="98">
        <v>2204</v>
      </c>
      <c r="D9" s="98"/>
      <c r="E9" s="98"/>
      <c r="F9" s="271">
        <v>2204</v>
      </c>
      <c r="G9" s="270" t="s">
        <v>50</v>
      </c>
      <c r="H9" s="98">
        <v>2204</v>
      </c>
      <c r="I9" s="98"/>
      <c r="J9" s="98"/>
      <c r="K9" s="271">
        <v>2204</v>
      </c>
      <c r="L9" s="98">
        <f t="shared" si="0"/>
        <v>0</v>
      </c>
      <c r="M9" s="270" t="s">
        <v>50</v>
      </c>
      <c r="N9" s="101">
        <v>2259</v>
      </c>
      <c r="O9" s="101">
        <v>0</v>
      </c>
      <c r="P9" s="101">
        <v>0</v>
      </c>
      <c r="Q9" s="272">
        <v>2259</v>
      </c>
      <c r="R9" s="101">
        <v>55</v>
      </c>
      <c r="S9" s="270" t="s">
        <v>50</v>
      </c>
      <c r="T9" s="101">
        <v>2259</v>
      </c>
      <c r="U9" s="101">
        <v>0</v>
      </c>
      <c r="V9" s="101">
        <v>0</v>
      </c>
      <c r="W9" s="272">
        <v>2259</v>
      </c>
      <c r="X9" s="101">
        <f t="shared" si="1"/>
        <v>0</v>
      </c>
      <c r="Y9" s="273" t="s">
        <v>50</v>
      </c>
      <c r="Z9" s="101">
        <v>2259</v>
      </c>
      <c r="AA9" s="101">
        <v>0</v>
      </c>
      <c r="AB9" s="101">
        <v>0</v>
      </c>
      <c r="AC9" s="272">
        <v>2259</v>
      </c>
      <c r="AD9" s="101">
        <f t="shared" si="2"/>
        <v>0</v>
      </c>
      <c r="AE9" s="270" t="s">
        <v>50</v>
      </c>
      <c r="AF9" s="101">
        <v>2289</v>
      </c>
      <c r="AG9" s="101">
        <v>0</v>
      </c>
      <c r="AH9" s="101">
        <v>0</v>
      </c>
      <c r="AI9" s="272">
        <v>2289</v>
      </c>
      <c r="AJ9" s="137">
        <f t="shared" ref="AJ9:AJ10" si="8">AB9-P9</f>
        <v>0</v>
      </c>
      <c r="AK9" s="270" t="s">
        <v>50</v>
      </c>
      <c r="AL9" s="101">
        <v>2289</v>
      </c>
      <c r="AM9" s="101">
        <v>79</v>
      </c>
      <c r="AN9" s="101">
        <v>0</v>
      </c>
      <c r="AO9" s="272">
        <v>2368</v>
      </c>
      <c r="AP9" s="137">
        <f t="shared" si="3"/>
        <v>79</v>
      </c>
      <c r="AQ9" s="270" t="s">
        <v>50</v>
      </c>
      <c r="AR9" s="101">
        <f>GETPIVOTDATA("ind",'Displacement &amp; Returns'!$C$108,"adm2_name",AQ$5,"adm3_name",AQ9,"deplacement","PDI")</f>
        <v>2239</v>
      </c>
      <c r="AS9" s="101">
        <f>GETPIVOTDATA("ind",'Displacement &amp; Returns'!$C$108,"adm2_name","Diamare","adm3_name",AQ9,"deplacement","Retournés")</f>
        <v>0</v>
      </c>
      <c r="AT9" s="101">
        <f>GETPIVOTDATA("ind",'Displacement &amp; Returns'!$C$108,"adm2_name","Diamare","adm3_name",AQ9,"deplacement","réfugiés non-enregistrés")</f>
        <v>0</v>
      </c>
      <c r="AU9" s="272">
        <f>GETPIVOTDATA("ind",'Displacement &amp; Returns'!$C$108,"adm2_name","Diamare","adm3_name",AQ9)</f>
        <v>2239</v>
      </c>
      <c r="AV9" s="137">
        <f t="shared" si="4"/>
        <v>-129</v>
      </c>
      <c r="AX9" s="273">
        <f t="shared" si="5"/>
        <v>-50</v>
      </c>
      <c r="AY9" s="274">
        <f t="shared" si="6"/>
        <v>-79</v>
      </c>
      <c r="AZ9" s="283">
        <f t="shared" si="7"/>
        <v>0</v>
      </c>
    </row>
    <row r="10" spans="2:52" x14ac:dyDescent="0.25">
      <c r="B10" s="270" t="s">
        <v>665</v>
      </c>
      <c r="C10" s="98"/>
      <c r="D10" s="98">
        <v>50</v>
      </c>
      <c r="E10" s="98"/>
      <c r="F10" s="271">
        <v>50</v>
      </c>
      <c r="G10" s="270" t="s">
        <v>665</v>
      </c>
      <c r="H10" s="98"/>
      <c r="I10" s="98">
        <v>30</v>
      </c>
      <c r="J10" s="98"/>
      <c r="K10" s="271">
        <v>30</v>
      </c>
      <c r="L10" s="98">
        <f t="shared" si="0"/>
        <v>-20</v>
      </c>
      <c r="M10" s="270" t="s">
        <v>665</v>
      </c>
      <c r="N10" s="101">
        <v>0</v>
      </c>
      <c r="O10" s="101">
        <v>40</v>
      </c>
      <c r="P10" s="101">
        <v>0</v>
      </c>
      <c r="Q10" s="272">
        <v>40</v>
      </c>
      <c r="R10" s="101">
        <v>10</v>
      </c>
      <c r="S10" s="270" t="s">
        <v>665</v>
      </c>
      <c r="T10" s="101">
        <v>75</v>
      </c>
      <c r="U10" s="101">
        <v>0</v>
      </c>
      <c r="V10" s="101">
        <v>0</v>
      </c>
      <c r="W10" s="272">
        <v>75</v>
      </c>
      <c r="X10" s="101">
        <f t="shared" si="1"/>
        <v>35</v>
      </c>
      <c r="Y10" s="273" t="s">
        <v>665</v>
      </c>
      <c r="Z10" s="101">
        <v>82</v>
      </c>
      <c r="AA10" s="101">
        <v>0</v>
      </c>
      <c r="AB10" s="101">
        <v>0</v>
      </c>
      <c r="AC10" s="272">
        <v>82</v>
      </c>
      <c r="AD10" s="101">
        <f t="shared" si="2"/>
        <v>7</v>
      </c>
      <c r="AE10" s="270" t="s">
        <v>665</v>
      </c>
      <c r="AF10" s="101">
        <v>82</v>
      </c>
      <c r="AG10" s="101">
        <v>0</v>
      </c>
      <c r="AH10" s="101">
        <v>0</v>
      </c>
      <c r="AI10" s="272">
        <v>82</v>
      </c>
      <c r="AJ10" s="137">
        <f t="shared" si="8"/>
        <v>0</v>
      </c>
      <c r="AK10" s="270" t="s">
        <v>665</v>
      </c>
      <c r="AL10" s="101">
        <v>82</v>
      </c>
      <c r="AM10" s="101">
        <v>0</v>
      </c>
      <c r="AN10" s="101">
        <v>0</v>
      </c>
      <c r="AO10" s="272">
        <v>82</v>
      </c>
      <c r="AP10" s="137">
        <f t="shared" si="3"/>
        <v>0</v>
      </c>
      <c r="AQ10" s="270" t="s">
        <v>665</v>
      </c>
      <c r="AR10" s="101">
        <f>GETPIVOTDATA("ind",'Displacement &amp; Returns'!$C$108,"adm2_name",AQ$5,"adm3_name",AQ10,"deplacement","PDI")</f>
        <v>36</v>
      </c>
      <c r="AS10" s="101">
        <f>GETPIVOTDATA("ind",'Displacement &amp; Returns'!$C$108,"adm2_name","Diamare","adm3_name",AQ10,"deplacement","Retournés")</f>
        <v>0</v>
      </c>
      <c r="AT10" s="101">
        <f>GETPIVOTDATA("ind",'Displacement &amp; Returns'!$C$108,"adm2_name","Diamare","adm3_name",AQ10,"deplacement","réfugiés non-enregistrés")</f>
        <v>0</v>
      </c>
      <c r="AU10" s="272">
        <f>GETPIVOTDATA("ind",'Displacement &amp; Returns'!$C$108,"adm2_name","Diamare","adm3_name",AQ10)</f>
        <v>36</v>
      </c>
      <c r="AV10" s="137">
        <f t="shared" si="4"/>
        <v>-46</v>
      </c>
      <c r="AX10" s="273">
        <f t="shared" si="5"/>
        <v>-46</v>
      </c>
      <c r="AY10" s="274">
        <f t="shared" si="6"/>
        <v>0</v>
      </c>
      <c r="AZ10" s="283">
        <f t="shared" si="7"/>
        <v>0</v>
      </c>
    </row>
    <row r="11" spans="2:52" x14ac:dyDescent="0.25">
      <c r="B11" s="270" t="s">
        <v>56</v>
      </c>
      <c r="C11" s="98">
        <v>1537</v>
      </c>
      <c r="D11" s="98">
        <v>5</v>
      </c>
      <c r="E11" s="98">
        <v>128</v>
      </c>
      <c r="F11" s="271">
        <v>1670</v>
      </c>
      <c r="G11" s="270" t="s">
        <v>56</v>
      </c>
      <c r="H11" s="98">
        <v>1608</v>
      </c>
      <c r="I11" s="98">
        <v>83</v>
      </c>
      <c r="J11" s="98">
        <v>170</v>
      </c>
      <c r="K11" s="271">
        <v>1861</v>
      </c>
      <c r="L11" s="98">
        <f t="shared" si="0"/>
        <v>191</v>
      </c>
      <c r="M11" s="270" t="s">
        <v>56</v>
      </c>
      <c r="N11" s="101">
        <v>2009</v>
      </c>
      <c r="O11" s="101">
        <v>4</v>
      </c>
      <c r="P11" s="101">
        <v>268</v>
      </c>
      <c r="Q11" s="272">
        <v>2281</v>
      </c>
      <c r="R11" s="101">
        <v>420</v>
      </c>
      <c r="S11" s="270" t="s">
        <v>56</v>
      </c>
      <c r="T11" s="101">
        <v>2030</v>
      </c>
      <c r="U11" s="101">
        <v>4</v>
      </c>
      <c r="V11" s="101">
        <v>166</v>
      </c>
      <c r="W11" s="272">
        <v>2200</v>
      </c>
      <c r="X11" s="101">
        <f t="shared" si="1"/>
        <v>-81</v>
      </c>
      <c r="Y11" s="273" t="s">
        <v>56</v>
      </c>
      <c r="Z11" s="101">
        <v>2019</v>
      </c>
      <c r="AA11" s="101">
        <v>4</v>
      </c>
      <c r="AB11" s="101">
        <v>271</v>
      </c>
      <c r="AC11" s="272">
        <v>2294</v>
      </c>
      <c r="AD11" s="101">
        <f t="shared" si="2"/>
        <v>94</v>
      </c>
      <c r="AE11" s="270" t="s">
        <v>56</v>
      </c>
      <c r="AF11" s="101">
        <v>2021</v>
      </c>
      <c r="AG11" s="101">
        <v>15</v>
      </c>
      <c r="AH11" s="101">
        <v>250</v>
      </c>
      <c r="AI11" s="272">
        <v>2286</v>
      </c>
      <c r="AJ11" s="137">
        <f>AB11-P11</f>
        <v>3</v>
      </c>
      <c r="AK11" s="270" t="s">
        <v>56</v>
      </c>
      <c r="AL11" s="101">
        <v>2025</v>
      </c>
      <c r="AM11" s="101">
        <v>15</v>
      </c>
      <c r="AN11" s="101">
        <v>250</v>
      </c>
      <c r="AO11" s="272">
        <v>2290</v>
      </c>
      <c r="AP11" s="137">
        <f t="shared" si="3"/>
        <v>4</v>
      </c>
      <c r="AQ11" s="270" t="s">
        <v>56</v>
      </c>
      <c r="AR11" s="101">
        <f>GETPIVOTDATA("ind",'Displacement &amp; Returns'!$C$108,"adm2_name",AQ$5,"adm3_name",AQ11,"deplacement","PDI")</f>
        <v>2040</v>
      </c>
      <c r="AS11" s="101">
        <f>GETPIVOTDATA("ind",'Displacement &amp; Returns'!$C$108,"adm2_name","Diamare","adm3_name",AQ11,"deplacement","Retournés")</f>
        <v>19</v>
      </c>
      <c r="AT11" s="101">
        <f>GETPIVOTDATA("ind",'Displacement &amp; Returns'!$C$108,"adm2_name","Diamare","adm3_name",AQ11,"deplacement","réfugiés non-enregistrés")</f>
        <v>253</v>
      </c>
      <c r="AU11" s="272">
        <f>GETPIVOTDATA("ind",'Displacement &amp; Returns'!$C$108,"adm2_name","Diamare","adm3_name",AQ11)</f>
        <v>2312</v>
      </c>
      <c r="AV11" s="137">
        <f t="shared" si="4"/>
        <v>22</v>
      </c>
      <c r="AX11" s="273">
        <f t="shared" si="5"/>
        <v>15</v>
      </c>
      <c r="AY11" s="274">
        <f t="shared" si="6"/>
        <v>4</v>
      </c>
      <c r="AZ11" s="283">
        <f t="shared" si="7"/>
        <v>3</v>
      </c>
    </row>
    <row r="12" spans="2:52" x14ac:dyDescent="0.25">
      <c r="B12" s="36" t="s">
        <v>85</v>
      </c>
      <c r="C12" s="12"/>
      <c r="D12" s="12"/>
      <c r="E12" s="12"/>
      <c r="F12" s="13"/>
      <c r="G12" s="36" t="s">
        <v>85</v>
      </c>
      <c r="H12" s="12"/>
      <c r="I12" s="12"/>
      <c r="J12" s="12"/>
      <c r="K12" s="13"/>
      <c r="L12" s="12">
        <f>SUM(K13:K22)-SUM(F13:F22)</f>
        <v>18220</v>
      </c>
      <c r="M12" s="36" t="s">
        <v>85</v>
      </c>
      <c r="N12" s="28"/>
      <c r="O12" s="28"/>
      <c r="P12" s="28"/>
      <c r="Q12" s="29"/>
      <c r="R12" s="28">
        <v>14654</v>
      </c>
      <c r="S12" s="36" t="s">
        <v>85</v>
      </c>
      <c r="T12" s="28"/>
      <c r="U12" s="28"/>
      <c r="V12" s="28"/>
      <c r="W12" s="29"/>
      <c r="X12" s="28">
        <f>SUM(W13:W22)-SUM(Q13:Q22)</f>
        <v>14940</v>
      </c>
      <c r="Y12" s="86" t="s">
        <v>85</v>
      </c>
      <c r="Z12" s="28"/>
      <c r="AA12" s="28"/>
      <c r="AB12" s="28"/>
      <c r="AC12" s="29"/>
      <c r="AD12" s="28">
        <f>SUM(AC13:AC22)-SUM(W13:W22)</f>
        <v>4478</v>
      </c>
      <c r="AE12" s="36" t="s">
        <v>85</v>
      </c>
      <c r="AF12" s="28"/>
      <c r="AG12" s="28"/>
      <c r="AH12" s="28"/>
      <c r="AI12" s="29"/>
      <c r="AJ12" s="32">
        <f>SUM(AB13:AB22)-SUM(P13:P22)</f>
        <v>924</v>
      </c>
      <c r="AK12" s="36" t="s">
        <v>85</v>
      </c>
      <c r="AL12" s="28"/>
      <c r="AM12" s="28"/>
      <c r="AN12" s="28"/>
      <c r="AO12" s="29"/>
      <c r="AP12" s="32">
        <f>SUM(AO13:AO22)-SUM(AI13:AI22)</f>
        <v>-698</v>
      </c>
      <c r="AQ12" s="36" t="s">
        <v>85</v>
      </c>
      <c r="AR12" s="28"/>
      <c r="AS12" s="28"/>
      <c r="AT12" s="28"/>
      <c r="AU12" s="29"/>
      <c r="AV12" s="32">
        <f>SUM(AU13:AU22)-SUM(AO13:AO22)</f>
        <v>544</v>
      </c>
      <c r="AX12" s="284">
        <f>SUM(AR13:AR22)-SUM(AL13:AL22)</f>
        <v>-1553</v>
      </c>
      <c r="AY12" s="80">
        <f>SUM(AS13:AS22)-SUM(AM13:AM22)</f>
        <v>2484</v>
      </c>
      <c r="AZ12" s="285">
        <f>SUM(AT13:AT22)-SUM(AN13:AN22)</f>
        <v>-387</v>
      </c>
    </row>
    <row r="13" spans="2:52" x14ac:dyDescent="0.25">
      <c r="B13" s="270" t="s">
        <v>88</v>
      </c>
      <c r="C13" s="98">
        <v>6217</v>
      </c>
      <c r="D13" s="98">
        <v>328</v>
      </c>
      <c r="E13" s="98">
        <v>1132</v>
      </c>
      <c r="F13" s="271">
        <v>7677</v>
      </c>
      <c r="G13" s="270" t="s">
        <v>88</v>
      </c>
      <c r="H13" s="98">
        <v>7852</v>
      </c>
      <c r="I13" s="98">
        <v>559</v>
      </c>
      <c r="J13" s="98">
        <v>1210</v>
      </c>
      <c r="K13" s="271">
        <v>9621</v>
      </c>
      <c r="L13" s="98">
        <f t="shared" si="0"/>
        <v>1944</v>
      </c>
      <c r="M13" s="270" t="s">
        <v>88</v>
      </c>
      <c r="N13" s="101">
        <v>7564</v>
      </c>
      <c r="O13" s="101">
        <v>559</v>
      </c>
      <c r="P13" s="101">
        <v>1261</v>
      </c>
      <c r="Q13" s="272">
        <v>9384</v>
      </c>
      <c r="R13" s="101">
        <v>-237</v>
      </c>
      <c r="S13" s="270" t="s">
        <v>88</v>
      </c>
      <c r="T13" s="101">
        <v>7309</v>
      </c>
      <c r="U13" s="101">
        <v>576</v>
      </c>
      <c r="V13" s="101">
        <v>1234</v>
      </c>
      <c r="W13" s="272">
        <v>9119</v>
      </c>
      <c r="X13" s="101">
        <f>W13-Q13</f>
        <v>-265</v>
      </c>
      <c r="Y13" s="273" t="s">
        <v>88</v>
      </c>
      <c r="Z13" s="101">
        <v>7566</v>
      </c>
      <c r="AA13" s="101">
        <v>643</v>
      </c>
      <c r="AB13" s="101">
        <v>1298</v>
      </c>
      <c r="AC13" s="272">
        <v>9507</v>
      </c>
      <c r="AD13" s="101">
        <f>AC13-W13</f>
        <v>388</v>
      </c>
      <c r="AE13" s="270" t="s">
        <v>88</v>
      </c>
      <c r="AF13" s="101">
        <v>7585</v>
      </c>
      <c r="AG13" s="101">
        <v>643</v>
      </c>
      <c r="AH13" s="101">
        <v>1298</v>
      </c>
      <c r="AI13" s="272">
        <v>9526</v>
      </c>
      <c r="AJ13" s="137">
        <f>AB13-P13</f>
        <v>37</v>
      </c>
      <c r="AK13" s="270" t="s">
        <v>88</v>
      </c>
      <c r="AL13" s="101">
        <v>7005</v>
      </c>
      <c r="AM13" s="101">
        <v>643</v>
      </c>
      <c r="AN13" s="101">
        <v>861</v>
      </c>
      <c r="AO13" s="272">
        <v>8509</v>
      </c>
      <c r="AP13" s="137">
        <f>AO13-AI13</f>
        <v>-1017</v>
      </c>
      <c r="AQ13" s="270" t="s">
        <v>88</v>
      </c>
      <c r="AR13" s="101">
        <f>GETPIVOTDATA("ind",'Displacement &amp; Returns'!$C$108,"adm2_name","Logone-Et-Chari","adm3_name",AQ13,"deplacement","PDI")</f>
        <v>7153</v>
      </c>
      <c r="AS13" s="101">
        <f>GETPIVOTDATA("ind",'Displacement &amp; Returns'!$C$108,"adm2_name","Logone-Et-Chari","adm3_name",AQ13,"deplacement","Retournés")</f>
        <v>643</v>
      </c>
      <c r="AT13" s="101">
        <f>GETPIVOTDATA("ind",'Displacement &amp; Returns'!$C$108,"adm2_name","Logone-Et-Chari","adm3_name",AQ13,"deplacement","réfugiés non-enregistrés")</f>
        <v>861</v>
      </c>
      <c r="AU13" s="272">
        <f>GETPIVOTDATA("ind",'Displacement &amp; Returns'!$C$108,"adm2_name","Logone-Et-Chari","adm3_name",AQ13)</f>
        <v>8657</v>
      </c>
      <c r="AV13" s="137">
        <f>AU13-AO13</f>
        <v>148</v>
      </c>
      <c r="AX13" s="273">
        <f>AR13-AL13</f>
        <v>148</v>
      </c>
      <c r="AY13" s="274">
        <f>AS13-AM13</f>
        <v>0</v>
      </c>
      <c r="AZ13" s="283">
        <f>AT13-AN13</f>
        <v>0</v>
      </c>
    </row>
    <row r="14" spans="2:52" x14ac:dyDescent="0.25">
      <c r="B14" s="270" t="s">
        <v>95</v>
      </c>
      <c r="C14" s="98">
        <v>1583</v>
      </c>
      <c r="D14" s="98">
        <v>196</v>
      </c>
      <c r="E14" s="98">
        <v>1140</v>
      </c>
      <c r="F14" s="271">
        <v>2919</v>
      </c>
      <c r="G14" s="270" t="s">
        <v>95</v>
      </c>
      <c r="H14" s="98">
        <v>2314</v>
      </c>
      <c r="I14" s="98">
        <v>247</v>
      </c>
      <c r="J14" s="98">
        <v>1131</v>
      </c>
      <c r="K14" s="271">
        <v>3692</v>
      </c>
      <c r="L14" s="98">
        <f t="shared" si="0"/>
        <v>773</v>
      </c>
      <c r="M14" s="270" t="s">
        <v>95</v>
      </c>
      <c r="N14" s="101">
        <v>2384</v>
      </c>
      <c r="O14" s="101">
        <v>217</v>
      </c>
      <c r="P14" s="101">
        <v>1161</v>
      </c>
      <c r="Q14" s="272">
        <v>3762</v>
      </c>
      <c r="R14" s="101">
        <v>70</v>
      </c>
      <c r="S14" s="270" t="s">
        <v>95</v>
      </c>
      <c r="T14" s="101">
        <v>2468</v>
      </c>
      <c r="U14" s="101">
        <v>429</v>
      </c>
      <c r="V14" s="101">
        <v>1174</v>
      </c>
      <c r="W14" s="272">
        <v>4071</v>
      </c>
      <c r="X14" s="101">
        <f t="shared" ref="X14:X22" si="9">W14-Q14</f>
        <v>309</v>
      </c>
      <c r="Y14" s="273" t="s">
        <v>95</v>
      </c>
      <c r="Z14" s="101">
        <v>3466</v>
      </c>
      <c r="AA14" s="101">
        <v>429</v>
      </c>
      <c r="AB14" s="101">
        <v>1158</v>
      </c>
      <c r="AC14" s="272">
        <v>5053</v>
      </c>
      <c r="AD14" s="101">
        <f t="shared" ref="AD14:AD22" si="10">AC14-W14</f>
        <v>982</v>
      </c>
      <c r="AE14" s="270" t="s">
        <v>95</v>
      </c>
      <c r="AF14" s="101">
        <v>3494</v>
      </c>
      <c r="AG14" s="101">
        <v>429</v>
      </c>
      <c r="AH14" s="101">
        <v>1123</v>
      </c>
      <c r="AI14" s="272">
        <v>5046</v>
      </c>
      <c r="AJ14" s="137">
        <f>AB14-P14</f>
        <v>-3</v>
      </c>
      <c r="AK14" s="270" t="s">
        <v>95</v>
      </c>
      <c r="AL14" s="101">
        <v>3574</v>
      </c>
      <c r="AM14" s="101">
        <v>493</v>
      </c>
      <c r="AN14" s="101">
        <v>965</v>
      </c>
      <c r="AO14" s="272">
        <v>5032</v>
      </c>
      <c r="AP14" s="137">
        <f t="shared" ref="AP14:AP22" si="11">AO14-AI14</f>
        <v>-14</v>
      </c>
      <c r="AQ14" s="270" t="s">
        <v>95</v>
      </c>
      <c r="AR14" s="101">
        <f>GETPIVOTDATA("ind",'Displacement &amp; Returns'!$C$108,"adm2_name","Logone-Et-Chari","adm3_name",AQ14,"deplacement","PDI")</f>
        <v>3737</v>
      </c>
      <c r="AS14" s="101">
        <f>GETPIVOTDATA("ind",'Displacement &amp; Returns'!$C$108,"adm2_name","Logone-Et-Chari","adm3_name",AQ14,"deplacement","Retournés")</f>
        <v>429</v>
      </c>
      <c r="AT14" s="101">
        <f>GETPIVOTDATA("ind",'Displacement &amp; Returns'!$C$108,"adm2_name","Logone-Et-Chari","adm3_name",AQ14,"deplacement","réfugiés non-enregistrés")</f>
        <v>764</v>
      </c>
      <c r="AU14" s="272">
        <f>GETPIVOTDATA("ind",'Displacement &amp; Returns'!$C$108,"adm2_name","Logone-Et-Chari","adm3_name",AQ14)</f>
        <v>4930</v>
      </c>
      <c r="AV14" s="137">
        <f t="shared" ref="AV14:AV22" si="12">AU14-AO14</f>
        <v>-102</v>
      </c>
      <c r="AX14" s="273">
        <f t="shared" ref="AX14:AX22" si="13">AR14-AL14</f>
        <v>163</v>
      </c>
      <c r="AY14" s="274">
        <f t="shared" ref="AY14:AY22" si="14">AS14-AM14</f>
        <v>-64</v>
      </c>
      <c r="AZ14" s="283">
        <f t="shared" ref="AZ14:AZ22" si="15">AT14-AN14</f>
        <v>-201</v>
      </c>
    </row>
    <row r="15" spans="2:52" x14ac:dyDescent="0.25">
      <c r="B15" s="270" t="s">
        <v>92</v>
      </c>
      <c r="C15" s="98">
        <v>15306</v>
      </c>
      <c r="D15" s="98"/>
      <c r="E15" s="98">
        <v>3824</v>
      </c>
      <c r="F15" s="271">
        <v>19130</v>
      </c>
      <c r="G15" s="270" t="s">
        <v>92</v>
      </c>
      <c r="H15" s="98">
        <v>19751</v>
      </c>
      <c r="I15" s="98"/>
      <c r="J15" s="98">
        <v>4794</v>
      </c>
      <c r="K15" s="271">
        <v>24545</v>
      </c>
      <c r="L15" s="98">
        <f t="shared" si="0"/>
        <v>5415</v>
      </c>
      <c r="M15" s="270" t="s">
        <v>92</v>
      </c>
      <c r="N15" s="101">
        <v>18700</v>
      </c>
      <c r="O15" s="101">
        <v>300</v>
      </c>
      <c r="P15" s="101">
        <v>5059</v>
      </c>
      <c r="Q15" s="272">
        <v>24059</v>
      </c>
      <c r="R15" s="101">
        <v>-486</v>
      </c>
      <c r="S15" s="270" t="s">
        <v>92</v>
      </c>
      <c r="T15" s="101">
        <v>18591</v>
      </c>
      <c r="U15" s="101">
        <v>7637</v>
      </c>
      <c r="V15" s="101">
        <v>5082</v>
      </c>
      <c r="W15" s="272">
        <v>31310</v>
      </c>
      <c r="X15" s="101">
        <f t="shared" si="9"/>
        <v>7251</v>
      </c>
      <c r="Y15" s="273" t="s">
        <v>92</v>
      </c>
      <c r="Z15" s="101">
        <v>18581</v>
      </c>
      <c r="AA15" s="101">
        <v>7637</v>
      </c>
      <c r="AB15" s="101">
        <v>5540</v>
      </c>
      <c r="AC15" s="272">
        <v>31758</v>
      </c>
      <c r="AD15" s="101">
        <f t="shared" si="10"/>
        <v>448</v>
      </c>
      <c r="AE15" s="270" t="s">
        <v>92</v>
      </c>
      <c r="AF15" s="101">
        <v>17631</v>
      </c>
      <c r="AG15" s="101">
        <v>7637</v>
      </c>
      <c r="AH15" s="101">
        <v>5128</v>
      </c>
      <c r="AI15" s="272">
        <v>30396</v>
      </c>
      <c r="AJ15" s="137">
        <f t="shared" ref="AJ15:AJ19" si="16">AB15-P15</f>
        <v>481</v>
      </c>
      <c r="AK15" s="270" t="s">
        <v>92</v>
      </c>
      <c r="AL15" s="101">
        <v>18347</v>
      </c>
      <c r="AM15" s="101">
        <v>7963</v>
      </c>
      <c r="AN15" s="101">
        <v>5542</v>
      </c>
      <c r="AO15" s="272">
        <v>31852</v>
      </c>
      <c r="AP15" s="137">
        <f t="shared" si="11"/>
        <v>1456</v>
      </c>
      <c r="AQ15" s="270" t="s">
        <v>92</v>
      </c>
      <c r="AR15" s="101">
        <f>GETPIVOTDATA("ind",'Displacement &amp; Returns'!$C$108,"adm2_name","Logone-Et-Chari","adm3_name",AQ15,"deplacement","PDI")</f>
        <v>16857</v>
      </c>
      <c r="AS15" s="101">
        <f>GETPIVOTDATA("ind",'Displacement &amp; Returns'!$C$108,"adm2_name","Logone-Et-Chari","adm3_name",AQ15,"deplacement","Retournés")</f>
        <v>9288</v>
      </c>
      <c r="AT15" s="101">
        <f>GETPIVOTDATA("ind",'Displacement &amp; Returns'!$C$108,"adm2_name","Logone-Et-Chari","adm3_name",AQ15,"deplacement","réfugiés non-enregistrés")</f>
        <v>5542</v>
      </c>
      <c r="AU15" s="272">
        <f>GETPIVOTDATA("ind",'Displacement &amp; Returns'!$C$108,"adm2_name","Logone-Et-Chari","adm3_name",AQ15)</f>
        <v>31687</v>
      </c>
      <c r="AV15" s="137">
        <f t="shared" si="12"/>
        <v>-165</v>
      </c>
      <c r="AX15" s="273">
        <f t="shared" si="13"/>
        <v>-1490</v>
      </c>
      <c r="AY15" s="274">
        <f t="shared" si="14"/>
        <v>1325</v>
      </c>
      <c r="AZ15" s="283">
        <f t="shared" si="15"/>
        <v>0</v>
      </c>
    </row>
    <row r="16" spans="2:52" x14ac:dyDescent="0.25">
      <c r="B16" s="270" t="s">
        <v>173</v>
      </c>
      <c r="C16" s="98">
        <v>3008</v>
      </c>
      <c r="D16" s="98"/>
      <c r="E16" s="98"/>
      <c r="F16" s="271">
        <v>3008</v>
      </c>
      <c r="G16" s="270" t="s">
        <v>173</v>
      </c>
      <c r="H16" s="98">
        <v>3487</v>
      </c>
      <c r="I16" s="98"/>
      <c r="J16" s="98"/>
      <c r="K16" s="271">
        <v>3487</v>
      </c>
      <c r="L16" s="98">
        <f t="shared" si="0"/>
        <v>479</v>
      </c>
      <c r="M16" s="270" t="s">
        <v>173</v>
      </c>
      <c r="N16" s="101">
        <v>3616</v>
      </c>
      <c r="O16" s="101">
        <v>0</v>
      </c>
      <c r="P16" s="101">
        <v>0</v>
      </c>
      <c r="Q16" s="272">
        <v>3616</v>
      </c>
      <c r="R16" s="101">
        <v>129</v>
      </c>
      <c r="S16" s="270" t="s">
        <v>173</v>
      </c>
      <c r="T16" s="101">
        <v>2704</v>
      </c>
      <c r="U16" s="101">
        <v>0</v>
      </c>
      <c r="V16" s="101">
        <v>0</v>
      </c>
      <c r="W16" s="272">
        <v>2704</v>
      </c>
      <c r="X16" s="101">
        <f t="shared" si="9"/>
        <v>-912</v>
      </c>
      <c r="Y16" s="273" t="s">
        <v>173</v>
      </c>
      <c r="Z16" s="101">
        <v>2322</v>
      </c>
      <c r="AA16" s="101">
        <v>0</v>
      </c>
      <c r="AB16" s="101">
        <v>0</v>
      </c>
      <c r="AC16" s="272">
        <v>2322</v>
      </c>
      <c r="AD16" s="101">
        <f t="shared" si="10"/>
        <v>-382</v>
      </c>
      <c r="AE16" s="270" t="s">
        <v>173</v>
      </c>
      <c r="AF16" s="101">
        <v>2436</v>
      </c>
      <c r="AG16" s="101">
        <v>0</v>
      </c>
      <c r="AH16" s="101">
        <v>0</v>
      </c>
      <c r="AI16" s="272">
        <v>2436</v>
      </c>
      <c r="AJ16" s="137">
        <f t="shared" si="16"/>
        <v>0</v>
      </c>
      <c r="AK16" s="270" t="s">
        <v>173</v>
      </c>
      <c r="AL16" s="101">
        <v>2385</v>
      </c>
      <c r="AM16" s="101">
        <v>0</v>
      </c>
      <c r="AN16" s="101">
        <v>0</v>
      </c>
      <c r="AO16" s="272">
        <v>2385</v>
      </c>
      <c r="AP16" s="137">
        <f t="shared" si="11"/>
        <v>-51</v>
      </c>
      <c r="AQ16" s="270" t="s">
        <v>173</v>
      </c>
      <c r="AR16" s="101">
        <f>GETPIVOTDATA("ind",'Displacement &amp; Returns'!$C$108,"adm2_name","Logone-Et-Chari","adm3_name",AQ16,"deplacement","PDI")</f>
        <v>2381</v>
      </c>
      <c r="AS16" s="101">
        <f>GETPIVOTDATA("ind",'Displacement &amp; Returns'!$C$108,"adm2_name","Logone-Et-Chari","adm3_name",AQ16,"deplacement","Retournés")</f>
        <v>0</v>
      </c>
      <c r="AT16" s="101">
        <f>GETPIVOTDATA("ind",'Displacement &amp; Returns'!$C$108,"adm2_name","Logone-Et-Chari","adm3_name",AQ16,"deplacement","réfugiés non-enregistrés")</f>
        <v>0</v>
      </c>
      <c r="AU16" s="272">
        <f>GETPIVOTDATA("ind",'Displacement &amp; Returns'!$C$108,"adm2_name","Logone-Et-Chari","adm3_name",AQ16)</f>
        <v>2381</v>
      </c>
      <c r="AV16" s="137">
        <f t="shared" si="12"/>
        <v>-4</v>
      </c>
      <c r="AX16" s="273">
        <f t="shared" si="13"/>
        <v>-4</v>
      </c>
      <c r="AY16" s="274">
        <f t="shared" si="14"/>
        <v>0</v>
      </c>
      <c r="AZ16" s="283">
        <f t="shared" si="15"/>
        <v>0</v>
      </c>
    </row>
    <row r="17" spans="2:52" x14ac:dyDescent="0.25">
      <c r="B17" s="270" t="s">
        <v>110</v>
      </c>
      <c r="C17" s="98">
        <v>3205</v>
      </c>
      <c r="D17" s="98">
        <v>1815</v>
      </c>
      <c r="E17" s="98"/>
      <c r="F17" s="271">
        <v>5020</v>
      </c>
      <c r="G17" s="270" t="s">
        <v>110</v>
      </c>
      <c r="H17" s="98">
        <v>4136</v>
      </c>
      <c r="I17" s="98">
        <v>2578</v>
      </c>
      <c r="J17" s="98"/>
      <c r="K17" s="271">
        <v>6714</v>
      </c>
      <c r="L17" s="98">
        <f t="shared" si="0"/>
        <v>1694</v>
      </c>
      <c r="M17" s="270" t="s">
        <v>110</v>
      </c>
      <c r="N17" s="101">
        <v>3948</v>
      </c>
      <c r="O17" s="101">
        <v>2780</v>
      </c>
      <c r="P17" s="101">
        <v>0</v>
      </c>
      <c r="Q17" s="272">
        <v>6728</v>
      </c>
      <c r="R17" s="101">
        <v>14</v>
      </c>
      <c r="S17" s="270" t="s">
        <v>110</v>
      </c>
      <c r="T17" s="101">
        <v>3279</v>
      </c>
      <c r="U17" s="101">
        <v>3093</v>
      </c>
      <c r="V17" s="101">
        <v>0</v>
      </c>
      <c r="W17" s="272">
        <v>6372</v>
      </c>
      <c r="X17" s="101">
        <f t="shared" si="9"/>
        <v>-356</v>
      </c>
      <c r="Y17" s="273" t="s">
        <v>110</v>
      </c>
      <c r="Z17" s="101">
        <v>5336</v>
      </c>
      <c r="AA17" s="101">
        <v>512</v>
      </c>
      <c r="AB17" s="101">
        <v>0</v>
      </c>
      <c r="AC17" s="272">
        <v>5848</v>
      </c>
      <c r="AD17" s="101">
        <f t="shared" si="10"/>
        <v>-524</v>
      </c>
      <c r="AE17" s="270" t="s">
        <v>110</v>
      </c>
      <c r="AF17" s="101">
        <v>5332</v>
      </c>
      <c r="AG17" s="101">
        <v>880</v>
      </c>
      <c r="AH17" s="101">
        <v>0</v>
      </c>
      <c r="AI17" s="272">
        <v>6212</v>
      </c>
      <c r="AJ17" s="137">
        <f t="shared" si="16"/>
        <v>0</v>
      </c>
      <c r="AK17" s="270" t="s">
        <v>110</v>
      </c>
      <c r="AL17" s="101">
        <v>5113</v>
      </c>
      <c r="AM17" s="101">
        <v>880</v>
      </c>
      <c r="AN17" s="101">
        <v>0</v>
      </c>
      <c r="AO17" s="272">
        <v>5993</v>
      </c>
      <c r="AP17" s="137">
        <f t="shared" si="11"/>
        <v>-219</v>
      </c>
      <c r="AQ17" s="270" t="s">
        <v>110</v>
      </c>
      <c r="AR17" s="101">
        <f>GETPIVOTDATA("ind",'Displacement &amp; Returns'!$C$108,"adm2_name","Logone-Et-Chari","adm3_name",AQ17,"deplacement","PDI")</f>
        <v>4836</v>
      </c>
      <c r="AS17" s="101">
        <f>GETPIVOTDATA("ind",'Displacement &amp; Returns'!$C$108,"adm2_name","Logone-Et-Chari","adm3_name",AQ17,"deplacement","Retournés")</f>
        <v>1467</v>
      </c>
      <c r="AT17" s="101">
        <f>GETPIVOTDATA("ind",'Displacement &amp; Returns'!$C$108,"adm2_name","Logone-Et-Chari","adm3_name",AQ17,"deplacement","réfugiés non-enregistrés")</f>
        <v>0</v>
      </c>
      <c r="AU17" s="272">
        <f>GETPIVOTDATA("ind",'Displacement &amp; Returns'!$C$108,"adm2_name","Logone-Et-Chari","adm3_name",AQ17)</f>
        <v>6303</v>
      </c>
      <c r="AV17" s="137">
        <f t="shared" si="12"/>
        <v>310</v>
      </c>
      <c r="AX17" s="273">
        <f t="shared" si="13"/>
        <v>-277</v>
      </c>
      <c r="AY17" s="274">
        <f t="shared" si="14"/>
        <v>587</v>
      </c>
      <c r="AZ17" s="283">
        <f t="shared" si="15"/>
        <v>0</v>
      </c>
    </row>
    <row r="18" spans="2:52" x14ac:dyDescent="0.25">
      <c r="B18" s="270" t="s">
        <v>157</v>
      </c>
      <c r="C18" s="98">
        <v>18078</v>
      </c>
      <c r="D18" s="98"/>
      <c r="E18" s="98">
        <v>32</v>
      </c>
      <c r="F18" s="271">
        <v>18110</v>
      </c>
      <c r="G18" s="270" t="s">
        <v>157</v>
      </c>
      <c r="H18" s="98">
        <v>18837</v>
      </c>
      <c r="I18" s="98">
        <v>6</v>
      </c>
      <c r="J18" s="98">
        <v>32</v>
      </c>
      <c r="K18" s="271">
        <v>18875</v>
      </c>
      <c r="L18" s="98">
        <f t="shared" si="0"/>
        <v>765</v>
      </c>
      <c r="M18" s="270" t="s">
        <v>157</v>
      </c>
      <c r="N18" s="101">
        <v>19634</v>
      </c>
      <c r="O18" s="101">
        <v>6</v>
      </c>
      <c r="P18" s="101">
        <v>32</v>
      </c>
      <c r="Q18" s="272">
        <v>19672</v>
      </c>
      <c r="R18" s="101">
        <v>797</v>
      </c>
      <c r="S18" s="270" t="s">
        <v>157</v>
      </c>
      <c r="T18" s="101">
        <v>19610</v>
      </c>
      <c r="U18" s="101">
        <v>6</v>
      </c>
      <c r="V18" s="101">
        <v>41</v>
      </c>
      <c r="W18" s="272">
        <v>19657</v>
      </c>
      <c r="X18" s="101">
        <f t="shared" si="9"/>
        <v>-15</v>
      </c>
      <c r="Y18" s="273" t="s">
        <v>157</v>
      </c>
      <c r="Z18" s="101">
        <v>19792</v>
      </c>
      <c r="AA18" s="101">
        <v>6</v>
      </c>
      <c r="AB18" s="101">
        <v>59</v>
      </c>
      <c r="AC18" s="272">
        <v>19857</v>
      </c>
      <c r="AD18" s="101">
        <f t="shared" si="10"/>
        <v>200</v>
      </c>
      <c r="AE18" s="270" t="s">
        <v>157</v>
      </c>
      <c r="AF18" s="101">
        <v>20090</v>
      </c>
      <c r="AG18" s="101">
        <v>6</v>
      </c>
      <c r="AH18" s="101">
        <v>30</v>
      </c>
      <c r="AI18" s="272">
        <v>20126</v>
      </c>
      <c r="AJ18" s="137">
        <f t="shared" si="16"/>
        <v>27</v>
      </c>
      <c r="AK18" s="270" t="s">
        <v>157</v>
      </c>
      <c r="AL18" s="101">
        <v>20129</v>
      </c>
      <c r="AM18" s="101">
        <v>13</v>
      </c>
      <c r="AN18" s="101">
        <v>31</v>
      </c>
      <c r="AO18" s="272">
        <v>20173</v>
      </c>
      <c r="AP18" s="137">
        <f t="shared" si="11"/>
        <v>47</v>
      </c>
      <c r="AQ18" s="270" t="s">
        <v>157</v>
      </c>
      <c r="AR18" s="101">
        <f>GETPIVOTDATA("ind",'Displacement &amp; Returns'!$C$108,"adm2_name","Logone-Et-Chari","adm3_name",AQ18,"deplacement","PDI")</f>
        <v>19975</v>
      </c>
      <c r="AS18" s="101">
        <f>GETPIVOTDATA("ind",'Displacement &amp; Returns'!$C$108,"adm2_name","Logone-Et-Chari","adm3_name",AQ18,"deplacement","Retournés")</f>
        <v>13</v>
      </c>
      <c r="AT18" s="101">
        <f>GETPIVOTDATA("ind",'Displacement &amp; Returns'!$C$108,"adm2_name","Logone-Et-Chari","adm3_name",AQ18,"deplacement","réfugiés non-enregistrés")</f>
        <v>31</v>
      </c>
      <c r="AU18" s="272">
        <f>GETPIVOTDATA("ind",'Displacement &amp; Returns'!$C$108,"adm2_name","Logone-Et-Chari","adm3_name",AQ18)</f>
        <v>20019</v>
      </c>
      <c r="AV18" s="137">
        <f t="shared" si="12"/>
        <v>-154</v>
      </c>
      <c r="AX18" s="273">
        <f t="shared" si="13"/>
        <v>-154</v>
      </c>
      <c r="AY18" s="274">
        <f t="shared" si="14"/>
        <v>0</v>
      </c>
      <c r="AZ18" s="283">
        <f t="shared" si="15"/>
        <v>0</v>
      </c>
    </row>
    <row r="19" spans="2:52" x14ac:dyDescent="0.25">
      <c r="B19" s="270" t="s">
        <v>151</v>
      </c>
      <c r="C19" s="98">
        <v>6381</v>
      </c>
      <c r="D19" s="98">
        <v>70</v>
      </c>
      <c r="E19" s="98"/>
      <c r="F19" s="271">
        <v>6451</v>
      </c>
      <c r="G19" s="270" t="s">
        <v>151</v>
      </c>
      <c r="H19" s="98">
        <v>6381</v>
      </c>
      <c r="I19" s="98">
        <v>70</v>
      </c>
      <c r="J19" s="98"/>
      <c r="K19" s="271">
        <v>6451</v>
      </c>
      <c r="L19" s="98">
        <f t="shared" si="0"/>
        <v>0</v>
      </c>
      <c r="M19" s="270" t="s">
        <v>151</v>
      </c>
      <c r="N19" s="101">
        <v>9900</v>
      </c>
      <c r="O19" s="101">
        <v>70</v>
      </c>
      <c r="P19" s="101">
        <v>1433</v>
      </c>
      <c r="Q19" s="272">
        <v>11403</v>
      </c>
      <c r="R19" s="101">
        <v>4952</v>
      </c>
      <c r="S19" s="270" t="s">
        <v>151</v>
      </c>
      <c r="T19" s="101">
        <v>12077</v>
      </c>
      <c r="U19" s="101">
        <v>40</v>
      </c>
      <c r="V19" s="101">
        <v>1724</v>
      </c>
      <c r="W19" s="272">
        <v>13841</v>
      </c>
      <c r="X19" s="101">
        <f t="shared" si="9"/>
        <v>2438</v>
      </c>
      <c r="Y19" s="273" t="s">
        <v>151</v>
      </c>
      <c r="Z19" s="101">
        <v>12190</v>
      </c>
      <c r="AA19" s="101">
        <v>70</v>
      </c>
      <c r="AB19" s="101">
        <v>1720</v>
      </c>
      <c r="AC19" s="272">
        <v>13980</v>
      </c>
      <c r="AD19" s="101">
        <f t="shared" si="10"/>
        <v>139</v>
      </c>
      <c r="AE19" s="270" t="s">
        <v>151</v>
      </c>
      <c r="AF19" s="101">
        <v>12295</v>
      </c>
      <c r="AG19" s="101">
        <v>70</v>
      </c>
      <c r="AH19" s="101">
        <v>1900</v>
      </c>
      <c r="AI19" s="272">
        <v>14265</v>
      </c>
      <c r="AJ19" s="137">
        <f t="shared" si="16"/>
        <v>287</v>
      </c>
      <c r="AK19" s="270" t="s">
        <v>151</v>
      </c>
      <c r="AL19" s="101">
        <v>12275</v>
      </c>
      <c r="AM19" s="101">
        <v>70</v>
      </c>
      <c r="AN19" s="101">
        <v>1900</v>
      </c>
      <c r="AO19" s="272">
        <v>14245</v>
      </c>
      <c r="AP19" s="137">
        <f t="shared" si="11"/>
        <v>-20</v>
      </c>
      <c r="AQ19" s="270" t="s">
        <v>151</v>
      </c>
      <c r="AR19" s="101">
        <f>GETPIVOTDATA("ind",'Displacement &amp; Returns'!$C$108,"adm2_name","Logone-Et-Chari","adm3_name",AQ19,"deplacement","PDI")</f>
        <v>12345</v>
      </c>
      <c r="AS19" s="101">
        <f>GETPIVOTDATA("ind",'Displacement &amp; Returns'!$C$108,"adm2_name","Logone-Et-Chari","adm3_name",AQ19,"deplacement","Retournés")</f>
        <v>70</v>
      </c>
      <c r="AT19" s="101">
        <f>GETPIVOTDATA("ind",'Displacement &amp; Returns'!$C$108,"adm2_name","Logone-Et-Chari","adm3_name",AQ19,"deplacement","réfugiés non-enregistrés")</f>
        <v>1830</v>
      </c>
      <c r="AU19" s="272">
        <f>GETPIVOTDATA("ind",'Displacement &amp; Returns'!$C$108,"adm2_name","Logone-Et-Chari","adm3_name",AQ19)</f>
        <v>14245</v>
      </c>
      <c r="AV19" s="137">
        <f t="shared" si="12"/>
        <v>0</v>
      </c>
      <c r="AX19" s="273">
        <f t="shared" si="13"/>
        <v>70</v>
      </c>
      <c r="AY19" s="274">
        <f t="shared" si="14"/>
        <v>0</v>
      </c>
      <c r="AZ19" s="283">
        <f t="shared" si="15"/>
        <v>-70</v>
      </c>
    </row>
    <row r="20" spans="2:52" x14ac:dyDescent="0.25">
      <c r="B20" s="270" t="s">
        <v>98</v>
      </c>
      <c r="C20" s="98">
        <v>34533</v>
      </c>
      <c r="D20" s="98">
        <v>7454</v>
      </c>
      <c r="E20" s="98">
        <v>3602</v>
      </c>
      <c r="F20" s="271">
        <v>45589</v>
      </c>
      <c r="G20" s="270" t="s">
        <v>98</v>
      </c>
      <c r="H20" s="98">
        <v>35979</v>
      </c>
      <c r="I20" s="98">
        <v>7161</v>
      </c>
      <c r="J20" s="98">
        <v>8972</v>
      </c>
      <c r="K20" s="271">
        <v>52112</v>
      </c>
      <c r="L20" s="98">
        <f t="shared" si="0"/>
        <v>6523</v>
      </c>
      <c r="M20" s="270" t="s">
        <v>98</v>
      </c>
      <c r="N20" s="101">
        <v>39715</v>
      </c>
      <c r="O20" s="101">
        <v>7192</v>
      </c>
      <c r="P20" s="101">
        <v>13728</v>
      </c>
      <c r="Q20" s="272">
        <v>60635</v>
      </c>
      <c r="R20" s="101">
        <v>8523</v>
      </c>
      <c r="S20" s="270" t="s">
        <v>98</v>
      </c>
      <c r="T20" s="101">
        <v>42873</v>
      </c>
      <c r="U20" s="101">
        <v>7396</v>
      </c>
      <c r="V20" s="101">
        <v>15477</v>
      </c>
      <c r="W20" s="272">
        <v>65746</v>
      </c>
      <c r="X20" s="101">
        <f t="shared" si="9"/>
        <v>5111</v>
      </c>
      <c r="Y20" s="273" t="s">
        <v>98</v>
      </c>
      <c r="Z20" s="101">
        <v>48337</v>
      </c>
      <c r="AA20" s="101">
        <v>7649</v>
      </c>
      <c r="AB20" s="101">
        <v>14560</v>
      </c>
      <c r="AC20" s="272">
        <v>70546</v>
      </c>
      <c r="AD20" s="101">
        <f t="shared" si="10"/>
        <v>4800</v>
      </c>
      <c r="AE20" s="270" t="s">
        <v>98</v>
      </c>
      <c r="AF20" s="101">
        <v>51098</v>
      </c>
      <c r="AG20" s="101">
        <v>8158</v>
      </c>
      <c r="AH20" s="101">
        <v>14039</v>
      </c>
      <c r="AI20" s="272">
        <v>73295</v>
      </c>
      <c r="AJ20" s="137">
        <f>AB20-P20</f>
        <v>832</v>
      </c>
      <c r="AK20" s="270" t="s">
        <v>98</v>
      </c>
      <c r="AL20" s="101">
        <v>51233</v>
      </c>
      <c r="AM20" s="101">
        <v>8110</v>
      </c>
      <c r="AN20" s="101">
        <v>13770</v>
      </c>
      <c r="AO20" s="272">
        <v>73113</v>
      </c>
      <c r="AP20" s="137">
        <f t="shared" si="11"/>
        <v>-182</v>
      </c>
      <c r="AQ20" s="270" t="s">
        <v>98</v>
      </c>
      <c r="AR20" s="101">
        <f>GETPIVOTDATA("ind",'Displacement &amp; Returns'!$C$108,"adm2_name","Logone-Et-Chari","adm3_name",AQ20,"deplacement","PDI")</f>
        <v>50477</v>
      </c>
      <c r="AS20" s="101">
        <f>GETPIVOTDATA("ind",'Displacement &amp; Returns'!$C$108,"adm2_name","Logone-Et-Chari","adm3_name",AQ20,"deplacement","Retournés")</f>
        <v>8996</v>
      </c>
      <c r="AT20" s="101">
        <f>GETPIVOTDATA("ind",'Displacement &amp; Returns'!$C$108,"adm2_name","Logone-Et-Chari","adm3_name",AQ20,"deplacement","réfugiés non-enregistrés")</f>
        <v>13645</v>
      </c>
      <c r="AU20" s="272">
        <f>GETPIVOTDATA("ind",'Displacement &amp; Returns'!$C$108,"adm2_name","Logone-Et-Chari","adm3_name",AQ20)</f>
        <v>73118</v>
      </c>
      <c r="AV20" s="137">
        <f t="shared" si="12"/>
        <v>5</v>
      </c>
      <c r="AX20" s="273">
        <f t="shared" si="13"/>
        <v>-756</v>
      </c>
      <c r="AY20" s="274">
        <f t="shared" si="14"/>
        <v>886</v>
      </c>
      <c r="AZ20" s="283">
        <f t="shared" si="15"/>
        <v>-125</v>
      </c>
    </row>
    <row r="21" spans="2:52" x14ac:dyDescent="0.25">
      <c r="B21" s="270" t="s">
        <v>175</v>
      </c>
      <c r="C21" s="98">
        <v>2041</v>
      </c>
      <c r="D21" s="98">
        <v>3215</v>
      </c>
      <c r="E21" s="98">
        <v>3040</v>
      </c>
      <c r="F21" s="271">
        <v>8296</v>
      </c>
      <c r="G21" s="270" t="s">
        <v>175</v>
      </c>
      <c r="H21" s="98">
        <v>2657</v>
      </c>
      <c r="I21" s="98">
        <v>2700</v>
      </c>
      <c r="J21" s="98">
        <v>3430</v>
      </c>
      <c r="K21" s="271">
        <v>8787</v>
      </c>
      <c r="L21" s="98">
        <f t="shared" si="0"/>
        <v>491</v>
      </c>
      <c r="M21" s="270" t="s">
        <v>175</v>
      </c>
      <c r="N21" s="101">
        <v>2726</v>
      </c>
      <c r="O21" s="101">
        <v>2896</v>
      </c>
      <c r="P21" s="101">
        <v>4057</v>
      </c>
      <c r="Q21" s="272">
        <v>9679</v>
      </c>
      <c r="R21" s="101">
        <v>892</v>
      </c>
      <c r="S21" s="270" t="s">
        <v>175</v>
      </c>
      <c r="T21" s="101">
        <v>3667</v>
      </c>
      <c r="U21" s="101">
        <v>2916</v>
      </c>
      <c r="V21" s="101">
        <v>4041</v>
      </c>
      <c r="W21" s="272">
        <v>10624</v>
      </c>
      <c r="X21" s="101">
        <f t="shared" si="9"/>
        <v>945</v>
      </c>
      <c r="Y21" s="273" t="s">
        <v>175</v>
      </c>
      <c r="Z21" s="101">
        <v>3046</v>
      </c>
      <c r="AA21" s="101">
        <v>3334</v>
      </c>
      <c r="AB21" s="101">
        <v>3320</v>
      </c>
      <c r="AC21" s="272">
        <v>9700</v>
      </c>
      <c r="AD21" s="101">
        <f t="shared" si="10"/>
        <v>-924</v>
      </c>
      <c r="AE21" s="270" t="s">
        <v>175</v>
      </c>
      <c r="AF21" s="101">
        <v>3445</v>
      </c>
      <c r="AG21" s="101">
        <v>3442</v>
      </c>
      <c r="AH21" s="101">
        <v>3375</v>
      </c>
      <c r="AI21" s="272">
        <v>10262</v>
      </c>
      <c r="AJ21" s="137">
        <f t="shared" ref="AJ21:AJ22" si="17">AB21-P21</f>
        <v>-737</v>
      </c>
      <c r="AK21" s="270" t="s">
        <v>175</v>
      </c>
      <c r="AL21" s="101">
        <v>2961</v>
      </c>
      <c r="AM21" s="101">
        <v>3476</v>
      </c>
      <c r="AN21" s="101">
        <v>3385</v>
      </c>
      <c r="AO21" s="272">
        <v>9822</v>
      </c>
      <c r="AP21" s="137">
        <f t="shared" si="11"/>
        <v>-440</v>
      </c>
      <c r="AQ21" s="270" t="s">
        <v>175</v>
      </c>
      <c r="AR21" s="101">
        <f>GETPIVOTDATA("ind",'Displacement &amp; Returns'!$C$108,"adm2_name","Logone-Et-Chari","adm3_name",AQ21,"deplacement","PDI")</f>
        <v>3708</v>
      </c>
      <c r="AS21" s="101">
        <f>GETPIVOTDATA("ind",'Displacement &amp; Returns'!$C$108,"adm2_name","Logone-Et-Chari","adm3_name",AQ21,"deplacement","Retournés")</f>
        <v>2728</v>
      </c>
      <c r="AT21" s="101">
        <f>GETPIVOTDATA("ind",'Displacement &amp; Returns'!$C$108,"adm2_name","Logone-Et-Chari","adm3_name",AQ21,"deplacement","réfugiés non-enregistrés")</f>
        <v>3394</v>
      </c>
      <c r="AU21" s="272">
        <f>GETPIVOTDATA("ind",'Displacement &amp; Returns'!$C$108,"adm2_name","Logone-Et-Chari","adm3_name",AQ21)</f>
        <v>9830</v>
      </c>
      <c r="AV21" s="137">
        <f t="shared" si="12"/>
        <v>8</v>
      </c>
      <c r="AX21" s="273">
        <f t="shared" si="13"/>
        <v>747</v>
      </c>
      <c r="AY21" s="274">
        <f t="shared" si="14"/>
        <v>-748</v>
      </c>
      <c r="AZ21" s="283">
        <f t="shared" si="15"/>
        <v>9</v>
      </c>
    </row>
    <row r="22" spans="2:52" x14ac:dyDescent="0.25">
      <c r="B22" s="270" t="s">
        <v>181</v>
      </c>
      <c r="C22" s="98">
        <v>5559</v>
      </c>
      <c r="D22" s="98">
        <v>3526</v>
      </c>
      <c r="E22" s="98"/>
      <c r="F22" s="271">
        <v>9085</v>
      </c>
      <c r="G22" s="270" t="s">
        <v>181</v>
      </c>
      <c r="H22" s="98">
        <v>5324</v>
      </c>
      <c r="I22" s="98">
        <v>3897</v>
      </c>
      <c r="J22" s="98"/>
      <c r="K22" s="271">
        <v>9221</v>
      </c>
      <c r="L22" s="98">
        <f t="shared" si="0"/>
        <v>136</v>
      </c>
      <c r="M22" s="270" t="s">
        <v>181</v>
      </c>
      <c r="N22" s="101">
        <v>5324</v>
      </c>
      <c r="O22" s="101">
        <v>3897</v>
      </c>
      <c r="P22" s="101">
        <v>0</v>
      </c>
      <c r="Q22" s="272">
        <v>9221</v>
      </c>
      <c r="R22" s="101">
        <v>0</v>
      </c>
      <c r="S22" s="270" t="s">
        <v>181</v>
      </c>
      <c r="T22" s="101">
        <v>5758</v>
      </c>
      <c r="U22" s="101">
        <v>3897</v>
      </c>
      <c r="V22" s="101">
        <v>0</v>
      </c>
      <c r="W22" s="272">
        <v>9655</v>
      </c>
      <c r="X22" s="101">
        <f t="shared" si="9"/>
        <v>434</v>
      </c>
      <c r="Y22" s="273" t="s">
        <v>181</v>
      </c>
      <c r="Z22" s="101">
        <v>5109</v>
      </c>
      <c r="AA22" s="101">
        <v>3897</v>
      </c>
      <c r="AB22" s="101">
        <v>0</v>
      </c>
      <c r="AC22" s="272">
        <v>9006</v>
      </c>
      <c r="AD22" s="101">
        <f t="shared" si="10"/>
        <v>-649</v>
      </c>
      <c r="AE22" s="270" t="s">
        <v>181</v>
      </c>
      <c r="AF22" s="101">
        <v>4370</v>
      </c>
      <c r="AG22" s="101">
        <v>3978</v>
      </c>
      <c r="AH22" s="101">
        <v>0</v>
      </c>
      <c r="AI22" s="272">
        <v>8348</v>
      </c>
      <c r="AJ22" s="137">
        <f t="shared" si="17"/>
        <v>0</v>
      </c>
      <c r="AK22" s="270" t="s">
        <v>181</v>
      </c>
      <c r="AL22" s="101">
        <v>4242</v>
      </c>
      <c r="AM22" s="101">
        <v>3848</v>
      </c>
      <c r="AN22" s="101">
        <v>0</v>
      </c>
      <c r="AO22" s="272">
        <v>8090</v>
      </c>
      <c r="AP22" s="137">
        <f t="shared" si="11"/>
        <v>-258</v>
      </c>
      <c r="AQ22" s="270" t="s">
        <v>181</v>
      </c>
      <c r="AR22" s="101">
        <f>GETPIVOTDATA("ind",'Displacement &amp; Returns'!$C$108,"adm2_name","Logone-Et-Chari","adm3_name",AQ22,"deplacement","PDI")</f>
        <v>4242</v>
      </c>
      <c r="AS22" s="101">
        <f>GETPIVOTDATA("ind",'Displacement &amp; Returns'!$C$108,"adm2_name","Logone-Et-Chari","adm3_name",AQ22,"deplacement","Retournés")</f>
        <v>4346</v>
      </c>
      <c r="AT22" s="101">
        <f>GETPIVOTDATA("ind",'Displacement &amp; Returns'!$C$108,"adm2_name","Logone-Et-Chari","adm3_name",AQ22,"deplacement","réfugiés non-enregistrés")</f>
        <v>0</v>
      </c>
      <c r="AU22" s="272">
        <f>GETPIVOTDATA("ind",'Displacement &amp; Returns'!$C$108,"adm2_name","Logone-Et-Chari","adm3_name",AQ22)</f>
        <v>8588</v>
      </c>
      <c r="AV22" s="137">
        <f t="shared" si="12"/>
        <v>498</v>
      </c>
      <c r="AX22" s="273">
        <f t="shared" si="13"/>
        <v>0</v>
      </c>
      <c r="AY22" s="274">
        <f t="shared" si="14"/>
        <v>498</v>
      </c>
      <c r="AZ22" s="283">
        <f t="shared" si="15"/>
        <v>0</v>
      </c>
    </row>
    <row r="23" spans="2:52" x14ac:dyDescent="0.25">
      <c r="B23" s="36" t="s">
        <v>184</v>
      </c>
      <c r="C23" s="12"/>
      <c r="D23" s="12"/>
      <c r="E23" s="12"/>
      <c r="F23" s="13"/>
      <c r="G23" s="36" t="s">
        <v>184</v>
      </c>
      <c r="H23" s="12"/>
      <c r="I23" s="12"/>
      <c r="J23" s="12"/>
      <c r="K23" s="13"/>
      <c r="L23" s="12">
        <f>SUM(K24:K29)-SUM(F24:F29)</f>
        <v>-767</v>
      </c>
      <c r="M23" s="36" t="s">
        <v>184</v>
      </c>
      <c r="N23" s="28"/>
      <c r="O23" s="28"/>
      <c r="P23" s="28"/>
      <c r="Q23" s="29"/>
      <c r="R23" s="28">
        <v>-2897</v>
      </c>
      <c r="S23" s="36" t="s">
        <v>184</v>
      </c>
      <c r="T23" s="28"/>
      <c r="U23" s="28"/>
      <c r="V23" s="28"/>
      <c r="W23" s="29"/>
      <c r="X23" s="28">
        <f>SUM(W24:W29)-SUM(Q24:Q29)</f>
        <v>-116</v>
      </c>
      <c r="Y23" s="86" t="s">
        <v>184</v>
      </c>
      <c r="Z23" s="28"/>
      <c r="AA23" s="28"/>
      <c r="AB23" s="28"/>
      <c r="AC23" s="29"/>
      <c r="AD23" s="28">
        <f>SUM(AC24:AC29)-SUM(W24:W29)</f>
        <v>78</v>
      </c>
      <c r="AE23" s="36" t="s">
        <v>184</v>
      </c>
      <c r="AF23" s="28"/>
      <c r="AG23" s="28"/>
      <c r="AH23" s="28"/>
      <c r="AI23" s="29"/>
      <c r="AJ23" s="32">
        <f>SUM(AB24:AB29)-SUM(P24:P29)</f>
        <v>-66</v>
      </c>
      <c r="AK23" s="36" t="s">
        <v>184</v>
      </c>
      <c r="AL23" s="28"/>
      <c r="AM23" s="28"/>
      <c r="AN23" s="28"/>
      <c r="AO23" s="29"/>
      <c r="AP23" s="32">
        <f>SUM(AO24:AO29)-SUM(AI24:AI29)</f>
        <v>1926</v>
      </c>
      <c r="AQ23" s="36" t="s">
        <v>184</v>
      </c>
      <c r="AR23" s="28"/>
      <c r="AS23" s="28"/>
      <c r="AT23" s="28"/>
      <c r="AU23" s="29"/>
      <c r="AV23" s="32">
        <f>SUM(AU24:AU29)-SUM(AO24:AO29)</f>
        <v>-461</v>
      </c>
      <c r="AX23" s="284">
        <f>SUM(AR24:AR29)-SUM(AL24:AL29)</f>
        <v>17</v>
      </c>
      <c r="AY23" s="80">
        <f>SUM(AS24:AS29)-SUM(AM24:AM29)</f>
        <v>-472</v>
      </c>
      <c r="AZ23" s="285">
        <f>SUM(AT24:AT29)-SUM(AN24:AN29)</f>
        <v>-6</v>
      </c>
    </row>
    <row r="24" spans="2:52" x14ac:dyDescent="0.25">
      <c r="B24" s="270" t="s">
        <v>471</v>
      </c>
      <c r="C24" s="98">
        <v>921</v>
      </c>
      <c r="D24" s="98">
        <v>30</v>
      </c>
      <c r="E24" s="98">
        <v>104</v>
      </c>
      <c r="F24" s="271">
        <v>1055</v>
      </c>
      <c r="G24" s="270" t="s">
        <v>471</v>
      </c>
      <c r="H24" s="98">
        <v>921</v>
      </c>
      <c r="I24" s="98">
        <v>30</v>
      </c>
      <c r="J24" s="98">
        <v>113</v>
      </c>
      <c r="K24" s="271">
        <v>1064</v>
      </c>
      <c r="L24" s="98">
        <f t="shared" si="0"/>
        <v>9</v>
      </c>
      <c r="M24" s="270" t="s">
        <v>471</v>
      </c>
      <c r="N24" s="101">
        <v>1285</v>
      </c>
      <c r="O24" s="101">
        <v>50</v>
      </c>
      <c r="P24" s="101">
        <v>129</v>
      </c>
      <c r="Q24" s="272">
        <v>1464</v>
      </c>
      <c r="R24" s="101">
        <v>400</v>
      </c>
      <c r="S24" s="270" t="s">
        <v>471</v>
      </c>
      <c r="T24" s="101">
        <v>1301</v>
      </c>
      <c r="U24" s="101">
        <v>62</v>
      </c>
      <c r="V24" s="101">
        <v>133</v>
      </c>
      <c r="W24" s="272">
        <v>1496</v>
      </c>
      <c r="X24" s="101">
        <f>W24-Q24</f>
        <v>32</v>
      </c>
      <c r="Y24" s="273" t="s">
        <v>471</v>
      </c>
      <c r="Z24" s="101">
        <v>1296</v>
      </c>
      <c r="AA24" s="101">
        <v>50</v>
      </c>
      <c r="AB24" s="101">
        <v>130</v>
      </c>
      <c r="AC24" s="272">
        <v>1476</v>
      </c>
      <c r="AD24" s="101">
        <f>AC24-W24</f>
        <v>-20</v>
      </c>
      <c r="AE24" s="270" t="s">
        <v>471</v>
      </c>
      <c r="AF24" s="101">
        <v>1296</v>
      </c>
      <c r="AG24" s="101">
        <v>50</v>
      </c>
      <c r="AH24" s="101">
        <v>133</v>
      </c>
      <c r="AI24" s="272">
        <v>1479</v>
      </c>
      <c r="AJ24" s="137">
        <f>AB24-P24</f>
        <v>1</v>
      </c>
      <c r="AK24" s="270" t="s">
        <v>471</v>
      </c>
      <c r="AL24" s="101">
        <v>1523</v>
      </c>
      <c r="AM24" s="101">
        <v>50</v>
      </c>
      <c r="AN24" s="101">
        <v>125</v>
      </c>
      <c r="AO24" s="272">
        <v>1698</v>
      </c>
      <c r="AP24" s="137">
        <f>AO24-AI24</f>
        <v>219</v>
      </c>
      <c r="AQ24" s="270" t="s">
        <v>471</v>
      </c>
      <c r="AR24" s="101">
        <f>GETPIVOTDATA("ind",'Displacement &amp; Returns'!$C$108,"adm2_name","Mayo-Danay","adm3_name",AQ24,"deplacement","PDI")</f>
        <v>1523</v>
      </c>
      <c r="AS24" s="101">
        <f>GETPIVOTDATA("ind",'Displacement &amp; Returns'!$C$108,"adm2_name","Mayo-Danay","adm3_name",AQ24,"deplacement","Retournés")</f>
        <v>41</v>
      </c>
      <c r="AT24" s="101">
        <f>GETPIVOTDATA("ind",'Displacement &amp; Returns'!$C$108,"adm2_name","Mayo-Danay","adm3_name",AQ24,"deplacement","réfugiés non-enregistrés")</f>
        <v>119</v>
      </c>
      <c r="AU24" s="272">
        <f>GETPIVOTDATA("ind",'Displacement &amp; Returns'!$C$108,"adm2_name","Mayo-Danay","adm3_name",AQ24)</f>
        <v>1683</v>
      </c>
      <c r="AV24" s="137">
        <f>AU24-AO24</f>
        <v>-15</v>
      </c>
      <c r="AX24" s="273">
        <f>AR24-AL24</f>
        <v>0</v>
      </c>
      <c r="AY24" s="274">
        <f>AS24-AM24</f>
        <v>-9</v>
      </c>
      <c r="AZ24" s="283">
        <f>AT24-AN24</f>
        <v>-6</v>
      </c>
    </row>
    <row r="25" spans="2:52" x14ac:dyDescent="0.25">
      <c r="B25" s="270" t="s">
        <v>196</v>
      </c>
      <c r="C25" s="98">
        <v>813</v>
      </c>
      <c r="D25" s="98">
        <v>42</v>
      </c>
      <c r="E25" s="98"/>
      <c r="F25" s="271">
        <v>855</v>
      </c>
      <c r="G25" s="270" t="s">
        <v>196</v>
      </c>
      <c r="H25" s="98">
        <v>996</v>
      </c>
      <c r="I25" s="98">
        <v>50</v>
      </c>
      <c r="J25" s="98"/>
      <c r="K25" s="271">
        <v>1046</v>
      </c>
      <c r="L25" s="98">
        <f t="shared" si="0"/>
        <v>191</v>
      </c>
      <c r="M25" s="270" t="s">
        <v>196</v>
      </c>
      <c r="N25" s="101">
        <v>1618</v>
      </c>
      <c r="O25" s="101">
        <v>420</v>
      </c>
      <c r="P25" s="101">
        <v>0</v>
      </c>
      <c r="Q25" s="272">
        <v>2038</v>
      </c>
      <c r="R25" s="101">
        <v>992</v>
      </c>
      <c r="S25" s="270" t="s">
        <v>196</v>
      </c>
      <c r="T25" s="101">
        <v>1618</v>
      </c>
      <c r="U25" s="101">
        <v>425</v>
      </c>
      <c r="V25" s="101">
        <v>0</v>
      </c>
      <c r="W25" s="272">
        <v>2043</v>
      </c>
      <c r="X25" s="101">
        <f t="shared" ref="X25:X29" si="18">W25-Q25</f>
        <v>5</v>
      </c>
      <c r="Y25" s="273" t="s">
        <v>196</v>
      </c>
      <c r="Z25" s="101">
        <v>1618</v>
      </c>
      <c r="AA25" s="101">
        <v>420</v>
      </c>
      <c r="AB25" s="101">
        <v>0</v>
      </c>
      <c r="AC25" s="272">
        <v>2038</v>
      </c>
      <c r="AD25" s="101">
        <f t="shared" ref="AD25:AD29" si="19">AC25-W25</f>
        <v>-5</v>
      </c>
      <c r="AE25" s="270" t="s">
        <v>196</v>
      </c>
      <c r="AF25" s="101">
        <v>1618</v>
      </c>
      <c r="AG25" s="101">
        <v>420</v>
      </c>
      <c r="AH25" s="101">
        <v>0</v>
      </c>
      <c r="AI25" s="272">
        <v>2038</v>
      </c>
      <c r="AJ25" s="137">
        <f>AB25-P25</f>
        <v>0</v>
      </c>
      <c r="AK25" s="270" t="s">
        <v>196</v>
      </c>
      <c r="AL25" s="101">
        <v>1618</v>
      </c>
      <c r="AM25" s="101">
        <v>420</v>
      </c>
      <c r="AN25" s="101">
        <v>0</v>
      </c>
      <c r="AO25" s="272">
        <v>2038</v>
      </c>
      <c r="AP25" s="137">
        <f t="shared" ref="AP25:AP29" si="20">AO25-AI25</f>
        <v>0</v>
      </c>
      <c r="AQ25" s="270" t="s">
        <v>196</v>
      </c>
      <c r="AR25" s="101">
        <f>GETPIVOTDATA("ind",'Displacement &amp; Returns'!$C$108,"adm2_name","Mayo-Danay","adm3_name",AQ25,"deplacement","PDI")</f>
        <v>1618</v>
      </c>
      <c r="AS25" s="101">
        <f>GETPIVOTDATA("ind",'Displacement &amp; Returns'!$C$108,"adm2_name","Mayo-Danay","adm3_name",AQ25,"deplacement","Retournés")</f>
        <v>420</v>
      </c>
      <c r="AT25" s="101">
        <f>GETPIVOTDATA("ind",'Displacement &amp; Returns'!$C$108,"adm2_name","Mayo-Danay","adm3_name",AQ25,"deplacement","réfugiés non-enregistrés")</f>
        <v>0</v>
      </c>
      <c r="AU25" s="272">
        <f>GETPIVOTDATA("ind",'Displacement &amp; Returns'!$C$108,"adm2_name","Mayo-Danay","adm3_name",AQ25)</f>
        <v>2038</v>
      </c>
      <c r="AV25" s="137">
        <f t="shared" ref="AV25:AV29" si="21">AU25-AO25</f>
        <v>0</v>
      </c>
      <c r="AX25" s="273">
        <f t="shared" ref="AX25:AX29" si="22">AR25-AL25</f>
        <v>0</v>
      </c>
      <c r="AY25" s="274">
        <f t="shared" ref="AY25:AY29" si="23">AS25-AM25</f>
        <v>0</v>
      </c>
      <c r="AZ25" s="283">
        <f t="shared" ref="AZ25:AZ29" si="24">AT25-AN25</f>
        <v>0</v>
      </c>
    </row>
    <row r="26" spans="2:52" x14ac:dyDescent="0.25">
      <c r="B26" s="270" t="s">
        <v>203</v>
      </c>
      <c r="C26" s="98">
        <v>227</v>
      </c>
      <c r="D26" s="98">
        <v>942</v>
      </c>
      <c r="E26" s="98"/>
      <c r="F26" s="271">
        <v>1169</v>
      </c>
      <c r="G26" s="270" t="s">
        <v>203</v>
      </c>
      <c r="H26" s="98">
        <v>227</v>
      </c>
      <c r="I26" s="98">
        <v>977</v>
      </c>
      <c r="J26" s="98"/>
      <c r="K26" s="271">
        <v>1204</v>
      </c>
      <c r="L26" s="98">
        <f t="shared" si="0"/>
        <v>35</v>
      </c>
      <c r="M26" s="270" t="s">
        <v>203</v>
      </c>
      <c r="N26" s="101">
        <v>227</v>
      </c>
      <c r="O26" s="101">
        <v>975</v>
      </c>
      <c r="P26" s="101">
        <v>0</v>
      </c>
      <c r="Q26" s="272">
        <v>1202</v>
      </c>
      <c r="R26" s="101">
        <v>-2</v>
      </c>
      <c r="S26" s="270" t="s">
        <v>203</v>
      </c>
      <c r="T26" s="101">
        <v>227</v>
      </c>
      <c r="U26" s="101">
        <v>963</v>
      </c>
      <c r="V26" s="101">
        <v>0</v>
      </c>
      <c r="W26" s="272">
        <v>1190</v>
      </c>
      <c r="X26" s="101">
        <f t="shared" si="18"/>
        <v>-12</v>
      </c>
      <c r="Y26" s="273" t="s">
        <v>203</v>
      </c>
      <c r="Z26" s="101">
        <v>33</v>
      </c>
      <c r="AA26" s="101">
        <v>1069</v>
      </c>
      <c r="AB26" s="101">
        <v>0</v>
      </c>
      <c r="AC26" s="272">
        <v>1102</v>
      </c>
      <c r="AD26" s="101">
        <f t="shared" si="19"/>
        <v>-88</v>
      </c>
      <c r="AE26" s="270" t="s">
        <v>203</v>
      </c>
      <c r="AF26" s="101">
        <v>33</v>
      </c>
      <c r="AG26" s="101">
        <v>1100</v>
      </c>
      <c r="AH26" s="101">
        <v>0</v>
      </c>
      <c r="AI26" s="272">
        <v>1133</v>
      </c>
      <c r="AJ26" s="137">
        <f t="shared" ref="AJ26:AJ29" si="25">AB26-P26</f>
        <v>0</v>
      </c>
      <c r="AK26" s="270" t="s">
        <v>203</v>
      </c>
      <c r="AL26" s="101">
        <v>33</v>
      </c>
      <c r="AM26" s="101">
        <v>1069</v>
      </c>
      <c r="AN26" s="101">
        <v>0</v>
      </c>
      <c r="AO26" s="272">
        <v>1102</v>
      </c>
      <c r="AP26" s="137">
        <f t="shared" si="20"/>
        <v>-31</v>
      </c>
      <c r="AQ26" s="270" t="s">
        <v>203</v>
      </c>
      <c r="AR26" s="101">
        <f>GETPIVOTDATA("ind",'Displacement &amp; Returns'!$C$108,"adm2_name","Mayo-Danay","adm3_name",AQ26,"deplacement","PDI")</f>
        <v>33</v>
      </c>
      <c r="AS26" s="101">
        <f>GETPIVOTDATA("ind",'Displacement &amp; Returns'!$C$108,"adm2_name","Mayo-Danay","adm3_name",AQ26,"deplacement","Retournés")</f>
        <v>1100</v>
      </c>
      <c r="AT26" s="101">
        <f>GETPIVOTDATA("ind",'Displacement &amp; Returns'!$C$108,"adm2_name","Mayo-Danay","adm3_name",AQ26,"deplacement","réfugiés non-enregistrés")</f>
        <v>0</v>
      </c>
      <c r="AU26" s="272">
        <f>GETPIVOTDATA("ind",'Displacement &amp; Returns'!$C$108,"adm2_name","Mayo-Danay","adm3_name",AQ26)</f>
        <v>1133</v>
      </c>
      <c r="AV26" s="137">
        <f t="shared" si="21"/>
        <v>31</v>
      </c>
      <c r="AX26" s="273">
        <f t="shared" si="22"/>
        <v>0</v>
      </c>
      <c r="AY26" s="274">
        <f t="shared" si="23"/>
        <v>31</v>
      </c>
      <c r="AZ26" s="283">
        <f t="shared" si="24"/>
        <v>0</v>
      </c>
    </row>
    <row r="27" spans="2:52" x14ac:dyDescent="0.25">
      <c r="B27" s="270" t="s">
        <v>206</v>
      </c>
      <c r="C27" s="98">
        <v>3738</v>
      </c>
      <c r="D27" s="98">
        <v>4131</v>
      </c>
      <c r="E27" s="98">
        <v>52</v>
      </c>
      <c r="F27" s="271">
        <v>7921</v>
      </c>
      <c r="G27" s="270" t="s">
        <v>206</v>
      </c>
      <c r="H27" s="98">
        <v>3713</v>
      </c>
      <c r="I27" s="98">
        <v>4136</v>
      </c>
      <c r="J27" s="98">
        <v>28</v>
      </c>
      <c r="K27" s="271">
        <v>7877</v>
      </c>
      <c r="L27" s="98">
        <f t="shared" si="0"/>
        <v>-44</v>
      </c>
      <c r="M27" s="270" t="s">
        <v>206</v>
      </c>
      <c r="N27" s="101">
        <v>1343</v>
      </c>
      <c r="O27" s="101">
        <v>1537</v>
      </c>
      <c r="P27" s="101">
        <v>77</v>
      </c>
      <c r="Q27" s="272">
        <v>2957</v>
      </c>
      <c r="R27" s="101">
        <v>-4920</v>
      </c>
      <c r="S27" s="270" t="s">
        <v>206</v>
      </c>
      <c r="T27" s="101">
        <v>582</v>
      </c>
      <c r="U27" s="101">
        <v>3646</v>
      </c>
      <c r="V27" s="101">
        <v>10</v>
      </c>
      <c r="W27" s="272">
        <v>4238</v>
      </c>
      <c r="X27" s="101">
        <f t="shared" si="18"/>
        <v>1281</v>
      </c>
      <c r="Y27" s="273" t="s">
        <v>206</v>
      </c>
      <c r="Z27" s="101">
        <v>574</v>
      </c>
      <c r="AA27" s="101">
        <v>3726</v>
      </c>
      <c r="AB27" s="101">
        <v>10</v>
      </c>
      <c r="AC27" s="272">
        <v>4310</v>
      </c>
      <c r="AD27" s="101">
        <f t="shared" si="19"/>
        <v>72</v>
      </c>
      <c r="AE27" s="270" t="s">
        <v>206</v>
      </c>
      <c r="AF27" s="101">
        <v>574</v>
      </c>
      <c r="AG27" s="101">
        <v>3699</v>
      </c>
      <c r="AH27" s="101">
        <v>10</v>
      </c>
      <c r="AI27" s="272">
        <v>4283</v>
      </c>
      <c r="AJ27" s="137">
        <f t="shared" si="25"/>
        <v>-67</v>
      </c>
      <c r="AK27" s="270" t="s">
        <v>206</v>
      </c>
      <c r="AL27" s="101">
        <v>574</v>
      </c>
      <c r="AM27" s="101">
        <v>3699</v>
      </c>
      <c r="AN27" s="101">
        <v>0</v>
      </c>
      <c r="AO27" s="272">
        <v>4273</v>
      </c>
      <c r="AP27" s="137">
        <f t="shared" si="20"/>
        <v>-10</v>
      </c>
      <c r="AQ27" s="270" t="s">
        <v>206</v>
      </c>
      <c r="AR27" s="101">
        <f>GETPIVOTDATA("ind",'Displacement &amp; Returns'!$C$108,"adm2_name","Mayo-Danay","adm3_name",AQ27,"deplacement","PDI")</f>
        <v>574</v>
      </c>
      <c r="AS27" s="101">
        <f>GETPIVOTDATA("ind",'Displacement &amp; Returns'!$C$108,"adm2_name","Mayo-Danay","adm3_name",AQ27,"deplacement","Retournés")</f>
        <v>3699</v>
      </c>
      <c r="AT27" s="101">
        <f>GETPIVOTDATA("ind",'Displacement &amp; Returns'!$C$108,"adm2_name","Mayo-Danay","adm3_name",AQ27,"deplacement","réfugiés non-enregistrés")</f>
        <v>0</v>
      </c>
      <c r="AU27" s="272">
        <f>GETPIVOTDATA("ind",'Displacement &amp; Returns'!$C$108,"adm2_name","Mayo-Danay","adm3_name",AQ27)</f>
        <v>4273</v>
      </c>
      <c r="AV27" s="137">
        <f t="shared" si="21"/>
        <v>0</v>
      </c>
      <c r="AX27" s="273">
        <f t="shared" si="22"/>
        <v>0</v>
      </c>
      <c r="AY27" s="274">
        <f t="shared" si="23"/>
        <v>0</v>
      </c>
      <c r="AZ27" s="283">
        <f t="shared" si="24"/>
        <v>0</v>
      </c>
    </row>
    <row r="28" spans="2:52" x14ac:dyDescent="0.25">
      <c r="B28" s="270" t="s">
        <v>215</v>
      </c>
      <c r="C28" s="98">
        <v>7660</v>
      </c>
      <c r="D28" s="98"/>
      <c r="E28" s="98"/>
      <c r="F28" s="271">
        <v>7660</v>
      </c>
      <c r="G28" s="270" t="s">
        <v>215</v>
      </c>
      <c r="H28" s="98">
        <v>6702</v>
      </c>
      <c r="I28" s="98"/>
      <c r="J28" s="98"/>
      <c r="K28" s="271">
        <v>6702</v>
      </c>
      <c r="L28" s="98">
        <f t="shared" si="0"/>
        <v>-958</v>
      </c>
      <c r="M28" s="270" t="s">
        <v>215</v>
      </c>
      <c r="N28" s="101">
        <v>6704</v>
      </c>
      <c r="O28" s="101">
        <v>0</v>
      </c>
      <c r="P28" s="101">
        <v>0</v>
      </c>
      <c r="Q28" s="272">
        <v>6704</v>
      </c>
      <c r="R28" s="101">
        <v>2</v>
      </c>
      <c r="S28" s="270" t="s">
        <v>215</v>
      </c>
      <c r="T28" s="101">
        <v>5217</v>
      </c>
      <c r="U28" s="101">
        <v>0</v>
      </c>
      <c r="V28" s="101">
        <v>0</v>
      </c>
      <c r="W28" s="272">
        <v>5217</v>
      </c>
      <c r="X28" s="101">
        <f t="shared" si="18"/>
        <v>-1487</v>
      </c>
      <c r="Y28" s="273" t="s">
        <v>215</v>
      </c>
      <c r="Z28" s="101">
        <v>5247</v>
      </c>
      <c r="AA28" s="101">
        <v>17</v>
      </c>
      <c r="AB28" s="101">
        <v>0</v>
      </c>
      <c r="AC28" s="272">
        <v>5264</v>
      </c>
      <c r="AD28" s="101">
        <f t="shared" si="19"/>
        <v>47</v>
      </c>
      <c r="AE28" s="270" t="s">
        <v>215</v>
      </c>
      <c r="AF28" s="101">
        <v>5247</v>
      </c>
      <c r="AG28" s="101">
        <v>17</v>
      </c>
      <c r="AH28" s="101">
        <v>0</v>
      </c>
      <c r="AI28" s="272">
        <v>5264</v>
      </c>
      <c r="AJ28" s="137">
        <f t="shared" si="25"/>
        <v>0</v>
      </c>
      <c r="AK28" s="270" t="s">
        <v>215</v>
      </c>
      <c r="AL28" s="101">
        <v>5239</v>
      </c>
      <c r="AM28" s="101">
        <v>863</v>
      </c>
      <c r="AN28" s="101">
        <v>0</v>
      </c>
      <c r="AO28" s="272">
        <v>6102</v>
      </c>
      <c r="AP28" s="137">
        <f t="shared" si="20"/>
        <v>838</v>
      </c>
      <c r="AQ28" s="270" t="s">
        <v>215</v>
      </c>
      <c r="AR28" s="101">
        <f>GETPIVOTDATA("ind",'Displacement &amp; Returns'!$C$108,"adm2_name","Mayo-Danay","adm3_name",AQ28,"deplacement","PDI")</f>
        <v>5256</v>
      </c>
      <c r="AS28" s="101">
        <f>GETPIVOTDATA("ind",'Displacement &amp; Returns'!$C$108,"adm2_name","Mayo-Danay","adm3_name",AQ28,"deplacement","Retournés")</f>
        <v>369</v>
      </c>
      <c r="AT28" s="101">
        <f>GETPIVOTDATA("ind",'Displacement &amp; Returns'!$C$108,"adm2_name","Mayo-Danay","adm3_name",AQ28,"deplacement","réfugiés non-enregistrés")</f>
        <v>0</v>
      </c>
      <c r="AU28" s="272">
        <f>GETPIVOTDATA("ind",'Displacement &amp; Returns'!$C$108,"adm2_name","Mayo-Danay","adm3_name",AQ28)</f>
        <v>5625</v>
      </c>
      <c r="AV28" s="137">
        <f t="shared" si="21"/>
        <v>-477</v>
      </c>
      <c r="AX28" s="273">
        <f t="shared" si="22"/>
        <v>17</v>
      </c>
      <c r="AY28" s="274">
        <f>AS28-AM28</f>
        <v>-494</v>
      </c>
      <c r="AZ28" s="283">
        <f t="shared" si="24"/>
        <v>0</v>
      </c>
    </row>
    <row r="29" spans="2:52" x14ac:dyDescent="0.25">
      <c r="B29" s="270" t="s">
        <v>213</v>
      </c>
      <c r="C29" s="98">
        <v>432</v>
      </c>
      <c r="D29" s="98"/>
      <c r="E29" s="98"/>
      <c r="F29" s="271">
        <v>432</v>
      </c>
      <c r="G29" s="270" t="s">
        <v>213</v>
      </c>
      <c r="H29" s="98">
        <v>432</v>
      </c>
      <c r="I29" s="98"/>
      <c r="J29" s="98"/>
      <c r="K29" s="271">
        <v>432</v>
      </c>
      <c r="L29" s="98">
        <f t="shared" si="0"/>
        <v>0</v>
      </c>
      <c r="M29" s="270" t="s">
        <v>213</v>
      </c>
      <c r="N29" s="101">
        <v>1063</v>
      </c>
      <c r="O29" s="101">
        <v>0</v>
      </c>
      <c r="P29" s="101">
        <v>0</v>
      </c>
      <c r="Q29" s="272">
        <v>1063</v>
      </c>
      <c r="R29" s="101">
        <v>631</v>
      </c>
      <c r="S29" s="270" t="s">
        <v>213</v>
      </c>
      <c r="T29" s="101">
        <v>1128</v>
      </c>
      <c r="U29" s="101">
        <v>0</v>
      </c>
      <c r="V29" s="101">
        <v>0</v>
      </c>
      <c r="W29" s="272">
        <v>1128</v>
      </c>
      <c r="X29" s="101">
        <f t="shared" si="18"/>
        <v>65</v>
      </c>
      <c r="Y29" s="273" t="s">
        <v>213</v>
      </c>
      <c r="Z29" s="101">
        <v>1200</v>
      </c>
      <c r="AA29" s="101">
        <v>0</v>
      </c>
      <c r="AB29" s="101">
        <v>0</v>
      </c>
      <c r="AC29" s="272">
        <v>1200</v>
      </c>
      <c r="AD29" s="101">
        <f t="shared" si="19"/>
        <v>72</v>
      </c>
      <c r="AE29" s="270" t="s">
        <v>213</v>
      </c>
      <c r="AF29" s="101">
        <v>1200</v>
      </c>
      <c r="AG29" s="101">
        <v>0</v>
      </c>
      <c r="AH29" s="101">
        <v>0</v>
      </c>
      <c r="AI29" s="272">
        <v>1200</v>
      </c>
      <c r="AJ29" s="137">
        <f t="shared" si="25"/>
        <v>0</v>
      </c>
      <c r="AK29" s="270" t="s">
        <v>213</v>
      </c>
      <c r="AL29" s="101">
        <v>1310</v>
      </c>
      <c r="AM29" s="101">
        <v>800</v>
      </c>
      <c r="AN29" s="101">
        <v>0</v>
      </c>
      <c r="AO29" s="272">
        <v>2110</v>
      </c>
      <c r="AP29" s="137">
        <f t="shared" si="20"/>
        <v>910</v>
      </c>
      <c r="AQ29" s="270" t="s">
        <v>213</v>
      </c>
      <c r="AR29" s="101">
        <f>GETPIVOTDATA("ind",'Displacement &amp; Returns'!$C$108,"adm2_name","Mayo-Danay","adm3_name",AQ29,"deplacement","PDI")</f>
        <v>1310</v>
      </c>
      <c r="AS29" s="101">
        <f>GETPIVOTDATA("ind",'Displacement &amp; Returns'!$C$108,"adm2_name","Mayo-Danay","adm3_name",AQ29,"deplacement","Retournés")</f>
        <v>800</v>
      </c>
      <c r="AT29" s="101">
        <f>GETPIVOTDATA("ind",'Displacement &amp; Returns'!$C$108,"adm2_name","Mayo-Danay","adm3_name",AQ29,"deplacement","réfugiés non-enregistrés")</f>
        <v>0</v>
      </c>
      <c r="AU29" s="272">
        <f>GETPIVOTDATA("ind",'Displacement &amp; Returns'!$C$108,"adm2_name","Mayo-Danay","adm3_name",AQ29)</f>
        <v>2110</v>
      </c>
      <c r="AV29" s="137">
        <f t="shared" si="21"/>
        <v>0</v>
      </c>
      <c r="AX29" s="273">
        <f t="shared" si="22"/>
        <v>0</v>
      </c>
      <c r="AY29" s="274">
        <f t="shared" si="23"/>
        <v>0</v>
      </c>
      <c r="AZ29" s="283">
        <f t="shared" si="24"/>
        <v>0</v>
      </c>
    </row>
    <row r="30" spans="2:52" x14ac:dyDescent="0.25">
      <c r="B30" s="36" t="s">
        <v>218</v>
      </c>
      <c r="C30" s="12"/>
      <c r="D30" s="12"/>
      <c r="E30" s="12"/>
      <c r="F30" s="13"/>
      <c r="G30" s="36" t="s">
        <v>218</v>
      </c>
      <c r="H30" s="12"/>
      <c r="I30" s="12"/>
      <c r="J30" s="12"/>
      <c r="K30" s="13"/>
      <c r="L30" s="12">
        <f>SUM(K31:K35)-SUM(F31:F35)</f>
        <v>46</v>
      </c>
      <c r="M30" s="36" t="s">
        <v>218</v>
      </c>
      <c r="N30" s="28"/>
      <c r="O30" s="28"/>
      <c r="P30" s="28"/>
      <c r="Q30" s="29"/>
      <c r="R30" s="28">
        <v>-19</v>
      </c>
      <c r="S30" s="36" t="s">
        <v>218</v>
      </c>
      <c r="T30" s="28"/>
      <c r="U30" s="28"/>
      <c r="V30" s="28"/>
      <c r="W30" s="29"/>
      <c r="X30" s="28">
        <f>SUM(W31:W35)-SUM(Q31:Q35)</f>
        <v>-44</v>
      </c>
      <c r="Y30" s="86" t="s">
        <v>218</v>
      </c>
      <c r="Z30" s="28"/>
      <c r="AA30" s="28"/>
      <c r="AB30" s="28"/>
      <c r="AC30" s="29"/>
      <c r="AD30" s="28">
        <f>SUM(AC31:AC35)-SUM(W31:W35)</f>
        <v>22</v>
      </c>
      <c r="AE30" s="36" t="s">
        <v>218</v>
      </c>
      <c r="AF30" s="28"/>
      <c r="AG30" s="28"/>
      <c r="AH30" s="28"/>
      <c r="AI30" s="29"/>
      <c r="AJ30" s="32">
        <f>SUM(AB31:AB35)-SUM(P31:P35)</f>
        <v>18</v>
      </c>
      <c r="AK30" s="36" t="s">
        <v>218</v>
      </c>
      <c r="AL30" s="28"/>
      <c r="AM30" s="28"/>
      <c r="AN30" s="28"/>
      <c r="AO30" s="29"/>
      <c r="AP30" s="32">
        <f>SUM(AO31:AO35)-SUM(AI31:AI35)</f>
        <v>-61</v>
      </c>
      <c r="AQ30" s="36" t="s">
        <v>218</v>
      </c>
      <c r="AR30" s="28"/>
      <c r="AS30" s="28"/>
      <c r="AT30" s="28"/>
      <c r="AU30" s="29"/>
      <c r="AV30" s="32">
        <f>SUM(AU31:AU35)-SUM(AO31:AO35)</f>
        <v>-4</v>
      </c>
      <c r="AX30" s="284">
        <f>SUM(AR31:AR35)-SUM(AL31:AL35)</f>
        <v>-3</v>
      </c>
      <c r="AY30" s="80">
        <f>SUM(AS31:AS35)-SUM(AM31:AM35)</f>
        <v>-1</v>
      </c>
      <c r="AZ30" s="285">
        <f>SUM(AT31:AT35)-SUM(AN31:AN35)</f>
        <v>0</v>
      </c>
    </row>
    <row r="31" spans="2:52" x14ac:dyDescent="0.25">
      <c r="B31" s="270" t="s">
        <v>676</v>
      </c>
      <c r="C31" s="98"/>
      <c r="D31" s="98">
        <v>94</v>
      </c>
      <c r="E31" s="98"/>
      <c r="F31" s="271">
        <v>94</v>
      </c>
      <c r="G31" s="270" t="s">
        <v>676</v>
      </c>
      <c r="H31" s="98"/>
      <c r="I31" s="98">
        <v>98</v>
      </c>
      <c r="J31" s="98"/>
      <c r="K31" s="271">
        <v>98</v>
      </c>
      <c r="L31" s="98">
        <f t="shared" si="0"/>
        <v>4</v>
      </c>
      <c r="M31" s="270" t="s">
        <v>676</v>
      </c>
      <c r="N31" s="101">
        <v>0</v>
      </c>
      <c r="O31" s="101">
        <v>88</v>
      </c>
      <c r="P31" s="101">
        <v>0</v>
      </c>
      <c r="Q31" s="272">
        <v>88</v>
      </c>
      <c r="R31" s="101">
        <v>-10</v>
      </c>
      <c r="S31" s="270" t="s">
        <v>676</v>
      </c>
      <c r="T31" s="98">
        <v>0</v>
      </c>
      <c r="U31" s="98">
        <v>48</v>
      </c>
      <c r="V31" s="98">
        <v>0</v>
      </c>
      <c r="W31" s="271">
        <v>48</v>
      </c>
      <c r="X31" s="101">
        <f>W31-Q31</f>
        <v>-40</v>
      </c>
      <c r="Y31" s="273" t="s">
        <v>676</v>
      </c>
      <c r="Z31" s="101">
        <v>0</v>
      </c>
      <c r="AA31" s="101">
        <v>78</v>
      </c>
      <c r="AB31" s="101">
        <v>0</v>
      </c>
      <c r="AC31" s="272">
        <v>78</v>
      </c>
      <c r="AD31" s="101">
        <f>AC31-W31</f>
        <v>30</v>
      </c>
      <c r="AE31" s="270" t="s">
        <v>676</v>
      </c>
      <c r="AF31" s="98">
        <v>0</v>
      </c>
      <c r="AG31" s="98">
        <v>79</v>
      </c>
      <c r="AH31" s="98">
        <v>0</v>
      </c>
      <c r="AI31" s="271">
        <v>79</v>
      </c>
      <c r="AJ31" s="137">
        <f>AB31-P31</f>
        <v>0</v>
      </c>
      <c r="AK31" s="270" t="s">
        <v>676</v>
      </c>
      <c r="AL31" s="98">
        <v>0</v>
      </c>
      <c r="AM31" s="98">
        <v>77</v>
      </c>
      <c r="AN31" s="98">
        <v>0</v>
      </c>
      <c r="AO31" s="271">
        <v>77</v>
      </c>
      <c r="AP31" s="137">
        <f>AO31-AI31</f>
        <v>-2</v>
      </c>
      <c r="AQ31" s="270" t="s">
        <v>676</v>
      </c>
      <c r="AR31" s="98">
        <f>GETPIVOTDATA("ind",'Displacement &amp; Returns'!$C$108,"adm2_name","Mayo-Kani","adm3_name",AQ31,"deplacement","PDI")</f>
        <v>0</v>
      </c>
      <c r="AS31" s="98">
        <f>GETPIVOTDATA("ind",'Displacement &amp; Returns'!$C$108,"adm2_name","Mayo-Kani","adm3_name",AQ31,"deplacement","Retournés")</f>
        <v>82</v>
      </c>
      <c r="AT31" s="98">
        <f>GETPIVOTDATA("ind",'Displacement &amp; Returns'!$C$108,"adm2_name","Mayo-Kani","adm3_name",AQ31,"deplacement","réfugiés non-enregistrés")</f>
        <v>0</v>
      </c>
      <c r="AU31" s="271">
        <f>GETPIVOTDATA("ind",'Displacement &amp; Returns'!$C$108,"adm2_name","Mayo-Kani","adm3_name",AQ31)</f>
        <v>82</v>
      </c>
      <c r="AV31" s="137">
        <f>AU31-AO31</f>
        <v>5</v>
      </c>
      <c r="AX31" s="273">
        <f>AR31-AL31</f>
        <v>0</v>
      </c>
      <c r="AY31" s="274">
        <f>AS31-AM31</f>
        <v>5</v>
      </c>
      <c r="AZ31" s="283">
        <f>AT31-AN31</f>
        <v>0</v>
      </c>
    </row>
    <row r="32" spans="2:52" x14ac:dyDescent="0.25">
      <c r="B32" s="270" t="s">
        <v>224</v>
      </c>
      <c r="C32" s="98">
        <v>110</v>
      </c>
      <c r="D32" s="98"/>
      <c r="E32" s="98"/>
      <c r="F32" s="271">
        <v>110</v>
      </c>
      <c r="G32" s="270" t="s">
        <v>224</v>
      </c>
      <c r="H32" s="98">
        <v>178</v>
      </c>
      <c r="I32" s="98"/>
      <c r="J32" s="98"/>
      <c r="K32" s="271">
        <v>178</v>
      </c>
      <c r="L32" s="98">
        <f t="shared" si="0"/>
        <v>68</v>
      </c>
      <c r="M32" s="270" t="s">
        <v>224</v>
      </c>
      <c r="N32" s="101">
        <v>175</v>
      </c>
      <c r="O32" s="101">
        <v>0</v>
      </c>
      <c r="P32" s="101">
        <v>0</v>
      </c>
      <c r="Q32" s="272">
        <v>175</v>
      </c>
      <c r="R32" s="101">
        <v>-3</v>
      </c>
      <c r="S32" s="270" t="s">
        <v>224</v>
      </c>
      <c r="T32" s="98">
        <v>182</v>
      </c>
      <c r="U32" s="98">
        <v>0</v>
      </c>
      <c r="V32" s="98">
        <v>0</v>
      </c>
      <c r="W32" s="271">
        <v>182</v>
      </c>
      <c r="X32" s="101">
        <f t="shared" ref="X32:X35" si="26">W32-Q32</f>
        <v>7</v>
      </c>
      <c r="Y32" s="273" t="s">
        <v>224</v>
      </c>
      <c r="Z32" s="101">
        <v>83</v>
      </c>
      <c r="AA32" s="101">
        <v>108</v>
      </c>
      <c r="AB32" s="101">
        <v>0</v>
      </c>
      <c r="AC32" s="272">
        <v>191</v>
      </c>
      <c r="AD32" s="101">
        <f t="shared" ref="AD32:AD35" si="27">AC32-W32</f>
        <v>9</v>
      </c>
      <c r="AE32" s="270" t="s">
        <v>224</v>
      </c>
      <c r="AF32" s="98">
        <v>83</v>
      </c>
      <c r="AG32" s="98">
        <v>109</v>
      </c>
      <c r="AH32" s="98">
        <v>0</v>
      </c>
      <c r="AI32" s="271">
        <v>192</v>
      </c>
      <c r="AJ32" s="137">
        <f>AB32-P32</f>
        <v>0</v>
      </c>
      <c r="AK32" s="270" t="s">
        <v>224</v>
      </c>
      <c r="AL32" s="98">
        <v>80</v>
      </c>
      <c r="AM32" s="98">
        <v>106</v>
      </c>
      <c r="AN32" s="98">
        <v>0</v>
      </c>
      <c r="AO32" s="271">
        <v>186</v>
      </c>
      <c r="AP32" s="137">
        <f t="shared" ref="AP32:AP35" si="28">AO32-AI32</f>
        <v>-6</v>
      </c>
      <c r="AQ32" s="270" t="s">
        <v>224</v>
      </c>
      <c r="AR32" s="98">
        <f>GETPIVOTDATA("ind",'Displacement &amp; Returns'!$C$108,"adm2_name","Mayo-Kani","adm3_name",AQ32,"deplacement","PDI")</f>
        <v>77</v>
      </c>
      <c r="AS32" s="98">
        <f>GETPIVOTDATA("ind",'Displacement &amp; Returns'!$C$108,"adm2_name","Mayo-Kani","adm3_name",AQ32,"deplacement","Retournés")</f>
        <v>115</v>
      </c>
      <c r="AT32" s="98">
        <f>GETPIVOTDATA("ind",'Displacement &amp; Returns'!$C$108,"adm2_name","Mayo-Kani","adm3_name",AQ32,"deplacement","réfugiés non-enregistrés")</f>
        <v>0</v>
      </c>
      <c r="AU32" s="271">
        <f>GETPIVOTDATA("ind",'Displacement &amp; Returns'!$C$108,"adm2_name","Mayo-Kani","adm3_name",AQ32)</f>
        <v>192</v>
      </c>
      <c r="AV32" s="137">
        <f t="shared" ref="AV32:AV35" si="29">AU32-AO32</f>
        <v>6</v>
      </c>
      <c r="AX32" s="273">
        <f>AR32-AL32</f>
        <v>-3</v>
      </c>
      <c r="AY32" s="274">
        <f t="shared" ref="AY32:AY35" si="30">AS32-AM32</f>
        <v>9</v>
      </c>
      <c r="AZ32" s="283">
        <f t="shared" ref="AZ32:AZ35" si="31">AT32-AN32</f>
        <v>0</v>
      </c>
    </row>
    <row r="33" spans="2:52" x14ac:dyDescent="0.25">
      <c r="B33" s="270" t="s">
        <v>220</v>
      </c>
      <c r="C33" s="98">
        <v>53</v>
      </c>
      <c r="D33" s="98">
        <v>64</v>
      </c>
      <c r="E33" s="98"/>
      <c r="F33" s="271">
        <v>117</v>
      </c>
      <c r="G33" s="270" t="s">
        <v>220</v>
      </c>
      <c r="H33" s="98">
        <v>46</v>
      </c>
      <c r="I33" s="98">
        <v>51</v>
      </c>
      <c r="J33" s="98"/>
      <c r="K33" s="271">
        <v>97</v>
      </c>
      <c r="L33" s="98">
        <f t="shared" si="0"/>
        <v>-20</v>
      </c>
      <c r="M33" s="270" t="s">
        <v>220</v>
      </c>
      <c r="N33" s="101">
        <v>45</v>
      </c>
      <c r="O33" s="101">
        <v>57</v>
      </c>
      <c r="P33" s="101">
        <v>0</v>
      </c>
      <c r="Q33" s="272">
        <v>102</v>
      </c>
      <c r="R33" s="101">
        <v>5</v>
      </c>
      <c r="S33" s="270" t="s">
        <v>220</v>
      </c>
      <c r="T33" s="98">
        <v>0</v>
      </c>
      <c r="U33" s="98">
        <v>39</v>
      </c>
      <c r="V33" s="98">
        <v>9</v>
      </c>
      <c r="W33" s="271">
        <v>48</v>
      </c>
      <c r="X33" s="101">
        <f t="shared" si="26"/>
        <v>-54</v>
      </c>
      <c r="Y33" s="273" t="s">
        <v>220</v>
      </c>
      <c r="Z33" s="101">
        <v>0</v>
      </c>
      <c r="AA33" s="101">
        <v>37</v>
      </c>
      <c r="AB33" s="101">
        <v>9</v>
      </c>
      <c r="AC33" s="272">
        <v>46</v>
      </c>
      <c r="AD33" s="101">
        <f t="shared" si="27"/>
        <v>-2</v>
      </c>
      <c r="AE33" s="270" t="s">
        <v>220</v>
      </c>
      <c r="AF33" s="98">
        <v>0</v>
      </c>
      <c r="AG33" s="98">
        <v>37</v>
      </c>
      <c r="AH33" s="98">
        <v>9</v>
      </c>
      <c r="AI33" s="271">
        <v>46</v>
      </c>
      <c r="AJ33" s="137">
        <f t="shared" ref="AJ33:AJ35" si="32">AB33-P33</f>
        <v>9</v>
      </c>
      <c r="AK33" s="270" t="s">
        <v>220</v>
      </c>
      <c r="AL33" s="98">
        <v>0</v>
      </c>
      <c r="AM33" s="98">
        <v>37</v>
      </c>
      <c r="AN33" s="98">
        <v>9</v>
      </c>
      <c r="AO33" s="271">
        <v>46</v>
      </c>
      <c r="AP33" s="137">
        <f t="shared" si="28"/>
        <v>0</v>
      </c>
      <c r="AQ33" s="270" t="s">
        <v>220</v>
      </c>
      <c r="AR33" s="98">
        <f>GETPIVOTDATA("ind",'Displacement &amp; Returns'!$C$108,"adm2_name","Mayo-Kani","adm3_name",AQ33,"deplacement","PDI")</f>
        <v>0</v>
      </c>
      <c r="AS33" s="98">
        <f>GETPIVOTDATA("ind",'Displacement &amp; Returns'!$C$108,"adm2_name","Mayo-Kani","adm3_name",AQ33,"deplacement","Retournés")</f>
        <v>37</v>
      </c>
      <c r="AT33" s="98">
        <f>GETPIVOTDATA("ind",'Displacement &amp; Returns'!$C$108,"adm2_name","Mayo-Kani","adm3_name",AQ33,"deplacement","réfugiés non-enregistrés")</f>
        <v>9</v>
      </c>
      <c r="AU33" s="271">
        <f>GETPIVOTDATA("ind",'Displacement &amp; Returns'!$C$108,"adm2_name","Mayo-Kani","adm3_name",AQ33)</f>
        <v>46</v>
      </c>
      <c r="AV33" s="137">
        <f t="shared" si="29"/>
        <v>0</v>
      </c>
      <c r="AX33" s="273">
        <f t="shared" ref="AX33:AX35" si="33">AR33-AL33</f>
        <v>0</v>
      </c>
      <c r="AY33" s="274">
        <f t="shared" si="30"/>
        <v>0</v>
      </c>
      <c r="AZ33" s="283">
        <f t="shared" si="31"/>
        <v>0</v>
      </c>
    </row>
    <row r="34" spans="2:52" x14ac:dyDescent="0.25">
      <c r="B34" s="270" t="s">
        <v>228</v>
      </c>
      <c r="C34" s="98"/>
      <c r="D34" s="98">
        <v>496</v>
      </c>
      <c r="E34" s="98"/>
      <c r="F34" s="271">
        <v>496</v>
      </c>
      <c r="G34" s="270" t="s">
        <v>228</v>
      </c>
      <c r="H34" s="98"/>
      <c r="I34" s="98">
        <v>496</v>
      </c>
      <c r="J34" s="98"/>
      <c r="K34" s="271">
        <v>496</v>
      </c>
      <c r="L34" s="98">
        <f t="shared" si="0"/>
        <v>0</v>
      </c>
      <c r="M34" s="270" t="s">
        <v>228</v>
      </c>
      <c r="N34" s="101">
        <v>0</v>
      </c>
      <c r="O34" s="101">
        <v>500</v>
      </c>
      <c r="P34" s="101">
        <v>0</v>
      </c>
      <c r="Q34" s="272">
        <v>500</v>
      </c>
      <c r="R34" s="101">
        <v>4</v>
      </c>
      <c r="S34" s="270" t="s">
        <v>228</v>
      </c>
      <c r="T34" s="98">
        <v>0</v>
      </c>
      <c r="U34" s="98">
        <v>543</v>
      </c>
      <c r="V34" s="98">
        <v>0</v>
      </c>
      <c r="W34" s="271">
        <v>543</v>
      </c>
      <c r="X34" s="101">
        <f t="shared" si="26"/>
        <v>43</v>
      </c>
      <c r="Y34" s="273" t="s">
        <v>228</v>
      </c>
      <c r="Z34" s="101">
        <v>0</v>
      </c>
      <c r="AA34" s="101">
        <v>528</v>
      </c>
      <c r="AB34" s="101">
        <v>0</v>
      </c>
      <c r="AC34" s="272">
        <v>528</v>
      </c>
      <c r="AD34" s="101">
        <f t="shared" si="27"/>
        <v>-15</v>
      </c>
      <c r="AE34" s="270" t="s">
        <v>228</v>
      </c>
      <c r="AF34" s="98">
        <v>0</v>
      </c>
      <c r="AG34" s="98">
        <v>497</v>
      </c>
      <c r="AH34" s="98">
        <v>0</v>
      </c>
      <c r="AI34" s="271">
        <v>497</v>
      </c>
      <c r="AJ34" s="137">
        <f t="shared" si="32"/>
        <v>0</v>
      </c>
      <c r="AK34" s="270" t="s">
        <v>228</v>
      </c>
      <c r="AL34" s="98">
        <v>0</v>
      </c>
      <c r="AM34" s="98">
        <v>444</v>
      </c>
      <c r="AN34" s="98">
        <v>0</v>
      </c>
      <c r="AO34" s="271">
        <v>444</v>
      </c>
      <c r="AP34" s="137">
        <f t="shared" si="28"/>
        <v>-53</v>
      </c>
      <c r="AQ34" s="270" t="s">
        <v>228</v>
      </c>
      <c r="AR34" s="98">
        <f>GETPIVOTDATA("ind",'Displacement &amp; Returns'!$C$108,"adm2_name","Mayo-Kani","adm3_name",AQ34,"deplacement","PDI")</f>
        <v>0</v>
      </c>
      <c r="AS34" s="98">
        <f>GETPIVOTDATA("ind",'Displacement &amp; Returns'!$C$108,"adm2_name","Mayo-Kani","adm3_name",AQ34,"deplacement","Retournés")</f>
        <v>429</v>
      </c>
      <c r="AT34" s="98">
        <f>GETPIVOTDATA("ind",'Displacement &amp; Returns'!$C$108,"adm2_name","Mayo-Kani","adm3_name",AQ34,"deplacement","réfugiés non-enregistrés")</f>
        <v>0</v>
      </c>
      <c r="AU34" s="271">
        <f>GETPIVOTDATA("ind",'Displacement &amp; Returns'!$C$108,"adm2_name","Mayo-Kani","adm3_name",AQ34)</f>
        <v>429</v>
      </c>
      <c r="AV34" s="137">
        <f t="shared" si="29"/>
        <v>-15</v>
      </c>
      <c r="AX34" s="273">
        <f t="shared" si="33"/>
        <v>0</v>
      </c>
      <c r="AY34" s="274">
        <f t="shared" si="30"/>
        <v>-15</v>
      </c>
      <c r="AZ34" s="283">
        <f t="shared" si="31"/>
        <v>0</v>
      </c>
    </row>
    <row r="35" spans="2:52" x14ac:dyDescent="0.25">
      <c r="B35" s="270" t="s">
        <v>497</v>
      </c>
      <c r="C35" s="98">
        <v>84</v>
      </c>
      <c r="D35" s="98">
        <v>3</v>
      </c>
      <c r="E35" s="98">
        <v>3</v>
      </c>
      <c r="F35" s="271">
        <v>90</v>
      </c>
      <c r="G35" s="270" t="s">
        <v>497</v>
      </c>
      <c r="H35" s="98">
        <v>79</v>
      </c>
      <c r="I35" s="98">
        <v>3</v>
      </c>
      <c r="J35" s="98">
        <v>2</v>
      </c>
      <c r="K35" s="271">
        <v>84</v>
      </c>
      <c r="L35" s="98">
        <f t="shared" si="0"/>
        <v>-6</v>
      </c>
      <c r="M35" s="270" t="s">
        <v>497</v>
      </c>
      <c r="N35" s="101">
        <v>64</v>
      </c>
      <c r="O35" s="101">
        <v>3</v>
      </c>
      <c r="P35" s="101">
        <v>2</v>
      </c>
      <c r="Q35" s="272">
        <v>69</v>
      </c>
      <c r="R35" s="101">
        <v>-15</v>
      </c>
      <c r="S35" s="270" t="s">
        <v>497</v>
      </c>
      <c r="T35" s="98">
        <v>64</v>
      </c>
      <c r="U35" s="98">
        <v>3</v>
      </c>
      <c r="V35" s="98">
        <v>2</v>
      </c>
      <c r="W35" s="271">
        <v>69</v>
      </c>
      <c r="X35" s="101">
        <f t="shared" si="26"/>
        <v>0</v>
      </c>
      <c r="Y35" s="273" t="s">
        <v>497</v>
      </c>
      <c r="Z35" s="101">
        <v>54</v>
      </c>
      <c r="AA35" s="101">
        <v>4</v>
      </c>
      <c r="AB35" s="101">
        <v>11</v>
      </c>
      <c r="AC35" s="272">
        <v>69</v>
      </c>
      <c r="AD35" s="101">
        <f t="shared" si="27"/>
        <v>0</v>
      </c>
      <c r="AE35" s="270" t="s">
        <v>497</v>
      </c>
      <c r="AF35" s="98">
        <v>52</v>
      </c>
      <c r="AG35" s="98">
        <v>4</v>
      </c>
      <c r="AH35" s="98">
        <v>11</v>
      </c>
      <c r="AI35" s="271">
        <v>67</v>
      </c>
      <c r="AJ35" s="137">
        <f t="shared" si="32"/>
        <v>9</v>
      </c>
      <c r="AK35" s="270" t="s">
        <v>497</v>
      </c>
      <c r="AL35" s="98">
        <v>52</v>
      </c>
      <c r="AM35" s="98">
        <v>4</v>
      </c>
      <c r="AN35" s="98">
        <v>11</v>
      </c>
      <c r="AO35" s="271">
        <v>67</v>
      </c>
      <c r="AP35" s="137">
        <f t="shared" si="28"/>
        <v>0</v>
      </c>
      <c r="AQ35" s="270" t="s">
        <v>497</v>
      </c>
      <c r="AR35" s="98">
        <f>GETPIVOTDATA("ind",'Displacement &amp; Returns'!$C$108,"adm2_name","Mayo-Kani","adm3_name",AQ35,"deplacement","PDI")</f>
        <v>52</v>
      </c>
      <c r="AS35" s="98">
        <f>GETPIVOTDATA("ind",'Displacement &amp; Returns'!$C$108,"adm2_name","Mayo-Kani","adm3_name",AQ35,"deplacement","Retournés")</f>
        <v>4</v>
      </c>
      <c r="AT35" s="98">
        <f>GETPIVOTDATA("ind",'Displacement &amp; Returns'!$C$108,"adm2_name","Mayo-Kani","adm3_name",AQ35,"deplacement","réfugiés non-enregistrés")</f>
        <v>11</v>
      </c>
      <c r="AU35" s="271">
        <f>GETPIVOTDATA("ind",'Displacement &amp; Returns'!$C$108,"adm2_name","Mayo-Kani","adm3_name",AQ35)</f>
        <v>67</v>
      </c>
      <c r="AV35" s="137">
        <f t="shared" si="29"/>
        <v>0</v>
      </c>
      <c r="AX35" s="273">
        <f t="shared" si="33"/>
        <v>0</v>
      </c>
      <c r="AY35" s="274">
        <f t="shared" si="30"/>
        <v>0</v>
      </c>
      <c r="AZ35" s="283">
        <f t="shared" si="31"/>
        <v>0</v>
      </c>
    </row>
    <row r="36" spans="2:52" x14ac:dyDescent="0.25">
      <c r="B36" s="36" t="s">
        <v>48</v>
      </c>
      <c r="C36" s="12"/>
      <c r="D36" s="12"/>
      <c r="E36" s="12"/>
      <c r="F36" s="13"/>
      <c r="G36" s="36" t="s">
        <v>48</v>
      </c>
      <c r="H36" s="12"/>
      <c r="I36" s="12"/>
      <c r="J36" s="12"/>
      <c r="K36" s="13"/>
      <c r="L36" s="12">
        <f>SUM(K37:K39)-SUM(F37:F39)</f>
        <v>-15961</v>
      </c>
      <c r="M36" s="36" t="s">
        <v>48</v>
      </c>
      <c r="N36" s="28"/>
      <c r="O36" s="28"/>
      <c r="P36" s="28"/>
      <c r="Q36" s="29"/>
      <c r="R36" s="28">
        <v>26673</v>
      </c>
      <c r="S36" s="36" t="s">
        <v>48</v>
      </c>
      <c r="T36" s="12"/>
      <c r="U36" s="12"/>
      <c r="V36" s="12"/>
      <c r="W36" s="13"/>
      <c r="X36" s="28">
        <f>SUM(W37:W39)-SUM(Q37:Q39)</f>
        <v>2548</v>
      </c>
      <c r="Y36" s="86" t="s">
        <v>48</v>
      </c>
      <c r="Z36" s="28"/>
      <c r="AA36" s="28"/>
      <c r="AB36" s="28"/>
      <c r="AC36" s="29"/>
      <c r="AD36" s="28">
        <f>SUM(AC37:AC39)-SUM(W37:W39)</f>
        <v>2384</v>
      </c>
      <c r="AE36" s="36" t="s">
        <v>48</v>
      </c>
      <c r="AF36" s="12"/>
      <c r="AG36" s="12"/>
      <c r="AH36" s="12"/>
      <c r="AI36" s="13"/>
      <c r="AJ36" s="32">
        <f>SUM(AB37:AB39)-SUM(P37:P39)</f>
        <v>0</v>
      </c>
      <c r="AK36" s="36" t="s">
        <v>48</v>
      </c>
      <c r="AL36" s="12"/>
      <c r="AM36" s="12"/>
      <c r="AN36" s="12"/>
      <c r="AO36" s="13"/>
      <c r="AP36" s="32">
        <f>SUM(AO37:AO39)-SUM(AI37:AI39)</f>
        <v>1453</v>
      </c>
      <c r="AQ36" s="36" t="s">
        <v>48</v>
      </c>
      <c r="AR36" s="12"/>
      <c r="AS36" s="12"/>
      <c r="AT36" s="12"/>
      <c r="AU36" s="13"/>
      <c r="AV36" s="32">
        <f>SUM(AU37:AU39)-SUM(AO37:AO39)</f>
        <v>3200</v>
      </c>
      <c r="AX36" s="284">
        <f>SUM(AR37:AR39)-SUM(AL37:AL39)</f>
        <v>-461</v>
      </c>
      <c r="AY36" s="80">
        <f>SUM(AS37:AS39)-SUM(AM37:AM39)</f>
        <v>3661</v>
      </c>
      <c r="AZ36" s="285">
        <f>SUM(AT37:AT39)-SUM(AN37:AN39)</f>
        <v>0</v>
      </c>
    </row>
    <row r="37" spans="2:52" x14ac:dyDescent="0.25">
      <c r="B37" s="270" t="s">
        <v>232</v>
      </c>
      <c r="C37" s="98">
        <v>23360</v>
      </c>
      <c r="D37" s="98">
        <v>38</v>
      </c>
      <c r="E37" s="98">
        <v>700</v>
      </c>
      <c r="F37" s="271">
        <v>24098</v>
      </c>
      <c r="G37" s="270" t="s">
        <v>232</v>
      </c>
      <c r="H37" s="98">
        <v>4421</v>
      </c>
      <c r="I37" s="98">
        <v>1602</v>
      </c>
      <c r="J37" s="98"/>
      <c r="K37" s="271">
        <v>6023</v>
      </c>
      <c r="L37" s="98">
        <f t="shared" si="0"/>
        <v>-18075</v>
      </c>
      <c r="M37" s="270" t="s">
        <v>232</v>
      </c>
      <c r="N37" s="101">
        <v>6870</v>
      </c>
      <c r="O37" s="101">
        <v>4158</v>
      </c>
      <c r="P37" s="101">
        <v>0</v>
      </c>
      <c r="Q37" s="272">
        <v>11028</v>
      </c>
      <c r="R37" s="101">
        <v>5005</v>
      </c>
      <c r="S37" s="270" t="s">
        <v>232</v>
      </c>
      <c r="T37" s="98">
        <v>11841</v>
      </c>
      <c r="U37" s="98">
        <v>4610</v>
      </c>
      <c r="V37" s="98">
        <v>204</v>
      </c>
      <c r="W37" s="271">
        <v>16655</v>
      </c>
      <c r="X37" s="101">
        <f>W37-Q37</f>
        <v>5627</v>
      </c>
      <c r="Y37" s="273" t="s">
        <v>232</v>
      </c>
      <c r="Z37" s="101">
        <v>12364</v>
      </c>
      <c r="AA37" s="101">
        <v>5593</v>
      </c>
      <c r="AB37" s="101">
        <v>0</v>
      </c>
      <c r="AC37" s="272">
        <v>17957</v>
      </c>
      <c r="AD37" s="101">
        <f>AC37-W37</f>
        <v>1302</v>
      </c>
      <c r="AE37" s="270" t="s">
        <v>232</v>
      </c>
      <c r="AF37" s="98">
        <v>12436</v>
      </c>
      <c r="AG37" s="98">
        <v>5730</v>
      </c>
      <c r="AH37" s="98">
        <v>0</v>
      </c>
      <c r="AI37" s="271">
        <v>18166</v>
      </c>
      <c r="AJ37" s="137">
        <f>AB37-P37</f>
        <v>0</v>
      </c>
      <c r="AK37" s="270" t="s">
        <v>232</v>
      </c>
      <c r="AL37" s="98">
        <v>14448</v>
      </c>
      <c r="AM37" s="98">
        <v>5682</v>
      </c>
      <c r="AN37" s="98">
        <v>0</v>
      </c>
      <c r="AO37" s="271">
        <v>20130</v>
      </c>
      <c r="AP37" s="137">
        <f>AO37-AI37</f>
        <v>1964</v>
      </c>
      <c r="AQ37" s="270" t="s">
        <v>232</v>
      </c>
      <c r="AR37" s="98">
        <f>GETPIVOTDATA("ind",'Displacement &amp; Returns'!$C$108,"adm2_name","Mayo-Sava","adm3_name",AQ37,"deplacement","PDI")</f>
        <v>14521</v>
      </c>
      <c r="AS37" s="98">
        <f>GETPIVOTDATA("ind",'Displacement &amp; Returns'!$C$108,"adm2_name","Mayo-Sava","adm3_name",AQ37,"deplacement","Retournés")</f>
        <v>9128</v>
      </c>
      <c r="AT37" s="98">
        <f>GETPIVOTDATA("ind",'Displacement &amp; Returns'!$C$108,"adm2_name","Mayo-Sava","adm3_name",AQ37,"deplacement","réfugiés non-enregistrés")</f>
        <v>0</v>
      </c>
      <c r="AU37" s="271">
        <f>GETPIVOTDATA("ind",'Displacement &amp; Returns'!$C$108,"adm2_name","Mayo-Sava","adm3_name",AQ37)</f>
        <v>23649</v>
      </c>
      <c r="AV37" s="137">
        <f>AU37-AO37</f>
        <v>3519</v>
      </c>
      <c r="AX37" s="273">
        <f>AR37-AL37</f>
        <v>73</v>
      </c>
      <c r="AY37" s="274">
        <f>AS37-AM37</f>
        <v>3446</v>
      </c>
      <c r="AZ37" s="283">
        <f>AT37-AN37</f>
        <v>0</v>
      </c>
    </row>
    <row r="38" spans="2:52" x14ac:dyDescent="0.25">
      <c r="B38" s="270" t="s">
        <v>62</v>
      </c>
      <c r="C38" s="98">
        <v>30188</v>
      </c>
      <c r="D38" s="98"/>
      <c r="E38" s="98"/>
      <c r="F38" s="271">
        <v>30188</v>
      </c>
      <c r="G38" s="270" t="s">
        <v>62</v>
      </c>
      <c r="H38" s="98">
        <v>32231</v>
      </c>
      <c r="I38" s="98"/>
      <c r="J38" s="98"/>
      <c r="K38" s="271">
        <v>32231</v>
      </c>
      <c r="L38" s="98">
        <f t="shared" si="0"/>
        <v>2043</v>
      </c>
      <c r="M38" s="270" t="s">
        <v>62</v>
      </c>
      <c r="N38" s="101">
        <v>48130</v>
      </c>
      <c r="O38" s="101">
        <v>5693</v>
      </c>
      <c r="P38" s="101">
        <v>0</v>
      </c>
      <c r="Q38" s="272">
        <v>53823</v>
      </c>
      <c r="R38" s="101">
        <v>21592</v>
      </c>
      <c r="S38" s="270" t="s">
        <v>62</v>
      </c>
      <c r="T38" s="98">
        <v>43143</v>
      </c>
      <c r="U38" s="98">
        <v>7655</v>
      </c>
      <c r="V38" s="98">
        <v>0</v>
      </c>
      <c r="W38" s="271">
        <v>50798</v>
      </c>
      <c r="X38" s="101">
        <f t="shared" ref="X38:X39" si="34">W38-Q38</f>
        <v>-3025</v>
      </c>
      <c r="Y38" s="273" t="s">
        <v>62</v>
      </c>
      <c r="Z38" s="101">
        <v>44459</v>
      </c>
      <c r="AA38" s="101">
        <v>7472</v>
      </c>
      <c r="AB38" s="101">
        <v>0</v>
      </c>
      <c r="AC38" s="272">
        <v>51931</v>
      </c>
      <c r="AD38" s="101">
        <f t="shared" ref="AD38:AD39" si="35">AC38-W38</f>
        <v>1133</v>
      </c>
      <c r="AE38" s="270" t="s">
        <v>62</v>
      </c>
      <c r="AF38" s="98">
        <v>44288</v>
      </c>
      <c r="AG38" s="98">
        <v>7707</v>
      </c>
      <c r="AH38" s="98">
        <v>0</v>
      </c>
      <c r="AI38" s="271">
        <v>51995</v>
      </c>
      <c r="AJ38" s="137">
        <f>AB38-P38</f>
        <v>0</v>
      </c>
      <c r="AK38" s="270" t="s">
        <v>62</v>
      </c>
      <c r="AL38" s="98">
        <v>43697</v>
      </c>
      <c r="AM38" s="98">
        <v>7785</v>
      </c>
      <c r="AN38" s="98">
        <v>0</v>
      </c>
      <c r="AO38" s="271">
        <v>51482</v>
      </c>
      <c r="AP38" s="137">
        <f t="shared" ref="AP38:AP39" si="36">AO38-AI38</f>
        <v>-513</v>
      </c>
      <c r="AQ38" s="270" t="s">
        <v>62</v>
      </c>
      <c r="AR38" s="98">
        <f>GETPIVOTDATA("ind",'Displacement &amp; Returns'!$C$108,"adm2_name","Mayo-Sava","adm3_name",AQ38,"deplacement","PDI")</f>
        <v>43257</v>
      </c>
      <c r="AS38" s="98">
        <f>GETPIVOTDATA("ind",'Displacement &amp; Returns'!$C$108,"adm2_name","Mayo-Sava","adm3_name",AQ38,"deplacement","Retournés")</f>
        <v>8000</v>
      </c>
      <c r="AT38" s="98">
        <f>GETPIVOTDATA("ind",'Displacement &amp; Returns'!$C$108,"adm2_name","Mayo-Sava","adm3_name",AQ38,"deplacement","réfugiés non-enregistrés")</f>
        <v>0</v>
      </c>
      <c r="AU38" s="271">
        <f>GETPIVOTDATA("ind",'Displacement &amp; Returns'!$C$108,"adm2_name","Mayo-Sava","adm3_name",AQ38)</f>
        <v>51257</v>
      </c>
      <c r="AV38" s="137">
        <f t="shared" ref="AV38:AV39" si="37">AU38-AO38</f>
        <v>-225</v>
      </c>
      <c r="AX38" s="273">
        <f t="shared" ref="AX38:AX39" si="38">AR38-AL38</f>
        <v>-440</v>
      </c>
      <c r="AY38" s="274">
        <f t="shared" ref="AY38:AY39" si="39">AS38-AM38</f>
        <v>215</v>
      </c>
      <c r="AZ38" s="283">
        <f t="shared" ref="AZ38:AZ39" si="40">AT38-AN38</f>
        <v>0</v>
      </c>
    </row>
    <row r="39" spans="2:52" s="228" customFormat="1" x14ac:dyDescent="0.25">
      <c r="B39" s="275" t="s">
        <v>527</v>
      </c>
      <c r="C39" s="229">
        <v>1788</v>
      </c>
      <c r="D39" s="229"/>
      <c r="E39" s="229"/>
      <c r="F39" s="276">
        <v>1788</v>
      </c>
      <c r="G39" s="275" t="s">
        <v>527</v>
      </c>
      <c r="H39" s="229">
        <v>1859</v>
      </c>
      <c r="I39" s="229"/>
      <c r="J39" s="229"/>
      <c r="K39" s="276">
        <v>1859</v>
      </c>
      <c r="L39" s="229">
        <f t="shared" si="0"/>
        <v>71</v>
      </c>
      <c r="M39" s="275" t="s">
        <v>527</v>
      </c>
      <c r="N39" s="277">
        <v>1935</v>
      </c>
      <c r="O39" s="277">
        <v>0</v>
      </c>
      <c r="P39" s="277">
        <v>0</v>
      </c>
      <c r="Q39" s="278">
        <v>1935</v>
      </c>
      <c r="R39" s="277">
        <v>76</v>
      </c>
      <c r="S39" s="275" t="s">
        <v>527</v>
      </c>
      <c r="T39" s="229">
        <v>1881</v>
      </c>
      <c r="U39" s="98">
        <v>0</v>
      </c>
      <c r="V39" s="98">
        <v>0</v>
      </c>
      <c r="W39" s="271">
        <v>1881</v>
      </c>
      <c r="X39" s="101">
        <f t="shared" si="34"/>
        <v>-54</v>
      </c>
      <c r="Y39" s="273" t="s">
        <v>527</v>
      </c>
      <c r="Z39" s="101">
        <v>1830</v>
      </c>
      <c r="AA39" s="101">
        <v>0</v>
      </c>
      <c r="AB39" s="101">
        <v>0</v>
      </c>
      <c r="AC39" s="272">
        <v>1830</v>
      </c>
      <c r="AD39" s="101">
        <f t="shared" si="35"/>
        <v>-51</v>
      </c>
      <c r="AE39" s="275" t="s">
        <v>527</v>
      </c>
      <c r="AF39" s="229">
        <v>1820</v>
      </c>
      <c r="AG39" s="98">
        <v>0</v>
      </c>
      <c r="AH39" s="98">
        <v>0</v>
      </c>
      <c r="AI39" s="271">
        <v>1820</v>
      </c>
      <c r="AJ39" s="137">
        <f>AB39-P39</f>
        <v>0</v>
      </c>
      <c r="AK39" s="275" t="s">
        <v>527</v>
      </c>
      <c r="AL39" s="229">
        <v>1822</v>
      </c>
      <c r="AM39" s="98">
        <v>0</v>
      </c>
      <c r="AN39" s="98">
        <v>0</v>
      </c>
      <c r="AO39" s="271">
        <v>1822</v>
      </c>
      <c r="AP39" s="137">
        <f t="shared" si="36"/>
        <v>2</v>
      </c>
      <c r="AQ39" s="275" t="s">
        <v>527</v>
      </c>
      <c r="AR39" s="229">
        <f>GETPIVOTDATA("ind",'Displacement &amp; Returns'!$C$108,"adm2_name","Mayo-Sava","adm3_name",AQ39,"deplacement","PDI")</f>
        <v>1728</v>
      </c>
      <c r="AS39" s="98">
        <f>GETPIVOTDATA("ind",'Displacement &amp; Returns'!$C$108,"adm2_name","Mayo-Sava","adm3_name",AQ39,"deplacement","Retournés")</f>
        <v>0</v>
      </c>
      <c r="AT39" s="98">
        <f>GETPIVOTDATA("ind",'Displacement &amp; Returns'!$C$108,"adm2_name","Mayo-Sava","adm3_name",AQ39,"deplacement","réfugiés non-enregistrés")</f>
        <v>0</v>
      </c>
      <c r="AU39" s="271">
        <f>GETPIVOTDATA("ind",'Displacement &amp; Returns'!$C$108,"adm2_name","Mayo-Sava","adm3_name",AQ39)</f>
        <v>1728</v>
      </c>
      <c r="AV39" s="137">
        <f t="shared" si="37"/>
        <v>-94</v>
      </c>
      <c r="AX39" s="273">
        <f t="shared" si="38"/>
        <v>-94</v>
      </c>
      <c r="AY39" s="274">
        <f t="shared" si="39"/>
        <v>0</v>
      </c>
      <c r="AZ39" s="283">
        <f t="shared" si="40"/>
        <v>0</v>
      </c>
    </row>
    <row r="40" spans="2:52" x14ac:dyDescent="0.25">
      <c r="B40" s="36" t="s">
        <v>37</v>
      </c>
      <c r="C40" s="12"/>
      <c r="D40" s="12"/>
      <c r="E40" s="12"/>
      <c r="F40" s="13"/>
      <c r="G40" s="36" t="s">
        <v>37</v>
      </c>
      <c r="H40" s="12"/>
      <c r="I40" s="12"/>
      <c r="J40" s="12"/>
      <c r="K40" s="13"/>
      <c r="L40" s="12">
        <f>SUM(K41:K47)-SUM(F41:F47)</f>
        <v>-12371</v>
      </c>
      <c r="M40" s="36" t="s">
        <v>37</v>
      </c>
      <c r="N40" s="28"/>
      <c r="O40" s="28"/>
      <c r="P40" s="28"/>
      <c r="Q40" s="29"/>
      <c r="R40" s="28">
        <v>7698</v>
      </c>
      <c r="S40" s="36" t="s">
        <v>37</v>
      </c>
      <c r="T40" s="12"/>
      <c r="U40" s="12"/>
      <c r="V40" s="12"/>
      <c r="W40" s="13"/>
      <c r="X40" s="28">
        <f>SUM(W41:W47)-SUM(Q41:Q47)</f>
        <v>4099</v>
      </c>
      <c r="Y40" s="86" t="s">
        <v>37</v>
      </c>
      <c r="Z40" s="28"/>
      <c r="AA40" s="28"/>
      <c r="AB40" s="28"/>
      <c r="AC40" s="29"/>
      <c r="AD40" s="28">
        <f>SUM(AC41:AC47)-SUM(W41:W47)</f>
        <v>-326</v>
      </c>
      <c r="AE40" s="36" t="s">
        <v>37</v>
      </c>
      <c r="AF40" s="12"/>
      <c r="AG40" s="12"/>
      <c r="AH40" s="12"/>
      <c r="AI40" s="13"/>
      <c r="AJ40" s="32">
        <f>SUM(AB41:AB47)-SUM(P41:P47)</f>
        <v>-1194</v>
      </c>
      <c r="AK40" s="36" t="s">
        <v>37</v>
      </c>
      <c r="AL40" s="12"/>
      <c r="AM40" s="12"/>
      <c r="AN40" s="12"/>
      <c r="AO40" s="13"/>
      <c r="AP40" s="32">
        <f>SUM(AO41:AO47)-SUM(AI41:AI47)</f>
        <v>3583</v>
      </c>
      <c r="AQ40" s="36" t="s">
        <v>37</v>
      </c>
      <c r="AR40" s="12"/>
      <c r="AS40" s="12"/>
      <c r="AT40" s="12"/>
      <c r="AU40" s="13"/>
      <c r="AV40" s="32">
        <f>SUM(AU41:AU47)-SUM(AO41:AO47)</f>
        <v>4290</v>
      </c>
      <c r="AX40" s="284">
        <f>(SUM(AR41:AR47)-SUM(AL41:AL47))</f>
        <v>1130</v>
      </c>
      <c r="AY40" s="80">
        <f>(SUM(AS41:AS47)-SUM(AM41:AM47))</f>
        <v>451</v>
      </c>
      <c r="AZ40" s="285">
        <f>(SUM(AT41:AT47)-SUM(AN41:AN47))</f>
        <v>2709</v>
      </c>
    </row>
    <row r="41" spans="2:52" x14ac:dyDescent="0.25">
      <c r="B41" s="270" t="s">
        <v>236</v>
      </c>
      <c r="C41" s="98">
        <v>89</v>
      </c>
      <c r="D41" s="98">
        <v>1447</v>
      </c>
      <c r="E41" s="98">
        <v>214</v>
      </c>
      <c r="F41" s="271">
        <v>1750</v>
      </c>
      <c r="G41" s="270" t="s">
        <v>236</v>
      </c>
      <c r="H41" s="98">
        <v>115</v>
      </c>
      <c r="I41" s="98">
        <v>1684</v>
      </c>
      <c r="J41" s="98">
        <v>196</v>
      </c>
      <c r="K41" s="271">
        <v>1995</v>
      </c>
      <c r="L41" s="98">
        <f t="shared" si="0"/>
        <v>245</v>
      </c>
      <c r="M41" s="270" t="s">
        <v>236</v>
      </c>
      <c r="N41" s="101">
        <v>115</v>
      </c>
      <c r="O41" s="101">
        <v>1684</v>
      </c>
      <c r="P41" s="101">
        <v>130</v>
      </c>
      <c r="Q41" s="272">
        <v>1929</v>
      </c>
      <c r="R41" s="101">
        <v>-66</v>
      </c>
      <c r="S41" s="270" t="s">
        <v>236</v>
      </c>
      <c r="T41" s="98">
        <v>115</v>
      </c>
      <c r="U41" s="98">
        <v>1566</v>
      </c>
      <c r="V41" s="98">
        <v>90</v>
      </c>
      <c r="W41" s="271">
        <v>1771</v>
      </c>
      <c r="X41" s="101">
        <f>W41-Q41</f>
        <v>-158</v>
      </c>
      <c r="Y41" s="273" t="s">
        <v>236</v>
      </c>
      <c r="Z41" s="101">
        <v>208</v>
      </c>
      <c r="AA41" s="101">
        <v>1566</v>
      </c>
      <c r="AB41" s="101">
        <v>90</v>
      </c>
      <c r="AC41" s="272">
        <v>1864</v>
      </c>
      <c r="AD41" s="101">
        <f>AC41-W41</f>
        <v>93</v>
      </c>
      <c r="AE41" s="270" t="s">
        <v>236</v>
      </c>
      <c r="AF41" s="98">
        <v>208</v>
      </c>
      <c r="AG41" s="98">
        <v>1566</v>
      </c>
      <c r="AH41" s="98">
        <v>90</v>
      </c>
      <c r="AI41" s="271">
        <v>1864</v>
      </c>
      <c r="AJ41" s="137">
        <f>AB41-P41</f>
        <v>-40</v>
      </c>
      <c r="AK41" s="270" t="s">
        <v>236</v>
      </c>
      <c r="AL41" s="98">
        <v>208</v>
      </c>
      <c r="AM41" s="98">
        <v>1566</v>
      </c>
      <c r="AN41" s="98">
        <v>90</v>
      </c>
      <c r="AO41" s="271">
        <v>1864</v>
      </c>
      <c r="AP41" s="137">
        <f>AO41-AI41</f>
        <v>0</v>
      </c>
      <c r="AQ41" s="270" t="s">
        <v>236</v>
      </c>
      <c r="AR41" s="98">
        <f>GETPIVOTDATA("ind",'Displacement &amp; Returns'!$C$108,"adm2_name","Mayo-Tsanaga","adm3_name",AQ41,"deplacement","PDI")</f>
        <v>201</v>
      </c>
      <c r="AS41" s="98">
        <f>GETPIVOTDATA("ind",'Displacement &amp; Returns'!$C$108,"adm2_name","Mayo-Tsanaga","adm3_name",AQ41,"deplacement","Retournés")</f>
        <v>1566</v>
      </c>
      <c r="AT41" s="98">
        <f>GETPIVOTDATA("ind",'Displacement &amp; Returns'!$C$108,"adm2_name","Mayo-Tsanaga","adm3_name",AQ41,"deplacement","réfugiés non-enregistrés")</f>
        <v>90</v>
      </c>
      <c r="AU41" s="271">
        <f>GETPIVOTDATA("ind",'Displacement &amp; Returns'!$C$108,"adm2_name","Mayo-Tsanaga","adm3_name",AQ41)</f>
        <v>1857</v>
      </c>
      <c r="AV41" s="137">
        <f>AU41-AO41</f>
        <v>-7</v>
      </c>
      <c r="AX41" s="273">
        <f>AR41-AL41</f>
        <v>-7</v>
      </c>
      <c r="AY41" s="274">
        <f>AS41-AM41</f>
        <v>0</v>
      </c>
      <c r="AZ41" s="283">
        <f>AT41-AN41</f>
        <v>0</v>
      </c>
    </row>
    <row r="42" spans="2:52" x14ac:dyDescent="0.25">
      <c r="B42" s="270" t="s">
        <v>540</v>
      </c>
      <c r="C42" s="98">
        <v>645</v>
      </c>
      <c r="D42" s="98">
        <v>311</v>
      </c>
      <c r="E42" s="98">
        <v>2</v>
      </c>
      <c r="F42" s="271">
        <v>958</v>
      </c>
      <c r="G42" s="270" t="s">
        <v>540</v>
      </c>
      <c r="H42" s="98">
        <v>645</v>
      </c>
      <c r="I42" s="98">
        <v>271</v>
      </c>
      <c r="J42" s="98"/>
      <c r="K42" s="271">
        <v>916</v>
      </c>
      <c r="L42" s="98">
        <f t="shared" si="0"/>
        <v>-42</v>
      </c>
      <c r="M42" s="270" t="s">
        <v>540</v>
      </c>
      <c r="N42" s="101">
        <v>645</v>
      </c>
      <c r="O42" s="101">
        <v>286</v>
      </c>
      <c r="P42" s="101">
        <v>0</v>
      </c>
      <c r="Q42" s="272">
        <v>931</v>
      </c>
      <c r="R42" s="101">
        <v>15</v>
      </c>
      <c r="S42" s="270" t="s">
        <v>540</v>
      </c>
      <c r="T42" s="98">
        <v>645</v>
      </c>
      <c r="U42" s="98">
        <v>289</v>
      </c>
      <c r="V42" s="98">
        <v>0</v>
      </c>
      <c r="W42" s="271">
        <v>934</v>
      </c>
      <c r="X42" s="101">
        <f t="shared" ref="X42:X47" si="41">W42-Q42</f>
        <v>3</v>
      </c>
      <c r="Y42" s="273" t="s">
        <v>540</v>
      </c>
      <c r="Z42" s="101">
        <v>404</v>
      </c>
      <c r="AA42" s="101">
        <v>251</v>
      </c>
      <c r="AB42" s="101">
        <v>0</v>
      </c>
      <c r="AC42" s="272">
        <v>655</v>
      </c>
      <c r="AD42" s="101">
        <f t="shared" ref="AD42:AD47" si="42">AC42-W42</f>
        <v>-279</v>
      </c>
      <c r="AE42" s="270" t="s">
        <v>540</v>
      </c>
      <c r="AF42" s="98">
        <v>404</v>
      </c>
      <c r="AG42" s="98">
        <v>253</v>
      </c>
      <c r="AH42" s="98">
        <v>0</v>
      </c>
      <c r="AI42" s="271">
        <v>657</v>
      </c>
      <c r="AJ42" s="137">
        <f>AB42-P42</f>
        <v>0</v>
      </c>
      <c r="AK42" s="270" t="s">
        <v>540</v>
      </c>
      <c r="AL42" s="98">
        <v>404</v>
      </c>
      <c r="AM42" s="98">
        <v>258</v>
      </c>
      <c r="AN42" s="98">
        <v>0</v>
      </c>
      <c r="AO42" s="271">
        <v>662</v>
      </c>
      <c r="AP42" s="137">
        <f t="shared" ref="AP42:AP47" si="43">AO42-AI42</f>
        <v>5</v>
      </c>
      <c r="AQ42" s="270" t="s">
        <v>540</v>
      </c>
      <c r="AR42" s="98">
        <f>GETPIVOTDATA("ind",'Displacement &amp; Returns'!$C$108,"adm2_name","Mayo-Tsanaga","adm3_name",AQ42,"deplacement","PDI")</f>
        <v>404</v>
      </c>
      <c r="AS42" s="98">
        <f>GETPIVOTDATA("ind",'Displacement &amp; Returns'!$C$108,"adm2_name","Mayo-Tsanaga","adm3_name",AQ42,"deplacement","Retournés")</f>
        <v>253</v>
      </c>
      <c r="AT42" s="98">
        <f>GETPIVOTDATA("ind",'Displacement &amp; Returns'!$C$108,"adm2_name","Mayo-Tsanaga","adm3_name",AQ42,"deplacement","réfugiés non-enregistrés")</f>
        <v>0</v>
      </c>
      <c r="AU42" s="271">
        <f>GETPIVOTDATA("ind",'Displacement &amp; Returns'!$C$108,"adm2_name","Mayo-Tsanaga","adm3_name",AQ42)</f>
        <v>657</v>
      </c>
      <c r="AV42" s="137">
        <f t="shared" ref="AV42:AV47" si="44">AU42-AO42</f>
        <v>-5</v>
      </c>
      <c r="AX42" s="273">
        <f t="shared" ref="AX42:AX47" si="45">AR42-AL42</f>
        <v>0</v>
      </c>
      <c r="AY42" s="274">
        <f t="shared" ref="AY42:AY47" si="46">AS42-AM42</f>
        <v>-5</v>
      </c>
      <c r="AZ42" s="283">
        <f t="shared" ref="AZ42:AZ47" si="47">AT42-AN42</f>
        <v>0</v>
      </c>
    </row>
    <row r="43" spans="2:52" x14ac:dyDescent="0.25">
      <c r="B43" s="270" t="s">
        <v>547</v>
      </c>
      <c r="C43" s="98">
        <v>12304</v>
      </c>
      <c r="D43" s="98"/>
      <c r="E43" s="98"/>
      <c r="F43" s="271">
        <v>12304</v>
      </c>
      <c r="G43" s="270" t="s">
        <v>547</v>
      </c>
      <c r="H43" s="98">
        <v>10373</v>
      </c>
      <c r="I43" s="98"/>
      <c r="J43" s="98"/>
      <c r="K43" s="271">
        <v>10373</v>
      </c>
      <c r="L43" s="98">
        <f t="shared" si="0"/>
        <v>-1931</v>
      </c>
      <c r="M43" s="270" t="s">
        <v>547</v>
      </c>
      <c r="N43" s="101">
        <v>16287</v>
      </c>
      <c r="O43" s="101">
        <v>0</v>
      </c>
      <c r="P43" s="101">
        <v>0</v>
      </c>
      <c r="Q43" s="272">
        <v>16287</v>
      </c>
      <c r="R43" s="101">
        <v>5914</v>
      </c>
      <c r="S43" s="270" t="s">
        <v>547</v>
      </c>
      <c r="T43" s="98">
        <v>17677</v>
      </c>
      <c r="U43" s="98">
        <v>0</v>
      </c>
      <c r="V43" s="98">
        <v>0</v>
      </c>
      <c r="W43" s="271">
        <v>17677</v>
      </c>
      <c r="X43" s="101">
        <f t="shared" si="41"/>
        <v>1390</v>
      </c>
      <c r="Y43" s="273" t="s">
        <v>547</v>
      </c>
      <c r="Z43" s="101">
        <v>15890</v>
      </c>
      <c r="AA43" s="101">
        <v>2083</v>
      </c>
      <c r="AB43" s="101">
        <v>35</v>
      </c>
      <c r="AC43" s="272">
        <v>18008</v>
      </c>
      <c r="AD43" s="101">
        <f t="shared" si="42"/>
        <v>331</v>
      </c>
      <c r="AE43" s="270" t="s">
        <v>547</v>
      </c>
      <c r="AF43" s="98">
        <v>15923</v>
      </c>
      <c r="AG43" s="98">
        <v>2083</v>
      </c>
      <c r="AH43" s="98">
        <v>30</v>
      </c>
      <c r="AI43" s="271">
        <v>18036</v>
      </c>
      <c r="AJ43" s="137">
        <f t="shared" ref="AJ43:AJ47" si="48">AB43-P43</f>
        <v>35</v>
      </c>
      <c r="AK43" s="270" t="s">
        <v>547</v>
      </c>
      <c r="AL43" s="98">
        <v>16244</v>
      </c>
      <c r="AM43" s="98">
        <v>2182</v>
      </c>
      <c r="AN43" s="98">
        <v>30</v>
      </c>
      <c r="AO43" s="271">
        <v>18456</v>
      </c>
      <c r="AP43" s="137">
        <f t="shared" si="43"/>
        <v>420</v>
      </c>
      <c r="AQ43" s="270" t="s">
        <v>547</v>
      </c>
      <c r="AR43" s="98">
        <f>GETPIVOTDATA("ind",'Displacement &amp; Returns'!$C$108,"adm2_name","Mayo-Tsanaga","adm3_name",AQ43,"deplacement","PDI")</f>
        <v>16314</v>
      </c>
      <c r="AS43" s="98">
        <f>GETPIVOTDATA("ind",'Displacement &amp; Returns'!$C$108,"adm2_name","Mayo-Tsanaga","adm3_name",AQ43,"deplacement","Retournés")</f>
        <v>2182</v>
      </c>
      <c r="AT43" s="98">
        <f>GETPIVOTDATA("ind",'Displacement &amp; Returns'!$C$108,"adm2_name","Mayo-Tsanaga","adm3_name",AQ43,"deplacement","réfugiés non-enregistrés")</f>
        <v>30</v>
      </c>
      <c r="AU43" s="271">
        <f>GETPIVOTDATA("ind",'Displacement &amp; Returns'!$C$108,"adm2_name","Mayo-Tsanaga","adm3_name",AQ43)</f>
        <v>18526</v>
      </c>
      <c r="AV43" s="137">
        <f t="shared" si="44"/>
        <v>70</v>
      </c>
      <c r="AX43" s="273">
        <f t="shared" si="45"/>
        <v>70</v>
      </c>
      <c r="AY43" s="274">
        <f t="shared" si="46"/>
        <v>0</v>
      </c>
      <c r="AZ43" s="283">
        <f t="shared" si="47"/>
        <v>0</v>
      </c>
    </row>
    <row r="44" spans="2:52" x14ac:dyDescent="0.25">
      <c r="B44" s="270" t="s">
        <v>244</v>
      </c>
      <c r="C44" s="98"/>
      <c r="D44" s="98">
        <v>3863</v>
      </c>
      <c r="E44" s="98">
        <v>12298</v>
      </c>
      <c r="F44" s="271">
        <v>16161</v>
      </c>
      <c r="G44" s="270" t="s">
        <v>244</v>
      </c>
      <c r="H44" s="98"/>
      <c r="I44" s="98">
        <v>929</v>
      </c>
      <c r="J44" s="98">
        <v>2885</v>
      </c>
      <c r="K44" s="271">
        <v>3814</v>
      </c>
      <c r="L44" s="98">
        <f t="shared" si="0"/>
        <v>-12347</v>
      </c>
      <c r="M44" s="270" t="s">
        <v>244</v>
      </c>
      <c r="N44" s="101">
        <v>0</v>
      </c>
      <c r="O44" s="101">
        <v>947</v>
      </c>
      <c r="P44" s="101">
        <v>2748</v>
      </c>
      <c r="Q44" s="272">
        <v>3695</v>
      </c>
      <c r="R44" s="101">
        <v>-119</v>
      </c>
      <c r="S44" s="270" t="s">
        <v>244</v>
      </c>
      <c r="T44" s="98">
        <v>0</v>
      </c>
      <c r="U44" s="98">
        <v>797</v>
      </c>
      <c r="V44" s="98">
        <v>2319</v>
      </c>
      <c r="W44" s="271">
        <v>3116</v>
      </c>
      <c r="X44" s="101">
        <f t="shared" si="41"/>
        <v>-579</v>
      </c>
      <c r="Y44" s="273" t="s">
        <v>244</v>
      </c>
      <c r="Z44" s="101">
        <v>0</v>
      </c>
      <c r="AA44" s="101">
        <v>979</v>
      </c>
      <c r="AB44" s="101">
        <v>1303</v>
      </c>
      <c r="AC44" s="272">
        <v>2282</v>
      </c>
      <c r="AD44" s="101">
        <f t="shared" si="42"/>
        <v>-834</v>
      </c>
      <c r="AE44" s="270" t="s">
        <v>244</v>
      </c>
      <c r="AF44" s="98">
        <v>0</v>
      </c>
      <c r="AG44" s="98">
        <v>980</v>
      </c>
      <c r="AH44" s="98">
        <v>1327</v>
      </c>
      <c r="AI44" s="271">
        <v>2307</v>
      </c>
      <c r="AJ44" s="137">
        <f t="shared" si="48"/>
        <v>-1445</v>
      </c>
      <c r="AK44" s="270" t="s">
        <v>244</v>
      </c>
      <c r="AL44" s="98">
        <v>0</v>
      </c>
      <c r="AM44" s="98">
        <v>980</v>
      </c>
      <c r="AN44" s="98">
        <v>1335</v>
      </c>
      <c r="AO44" s="271">
        <v>2315</v>
      </c>
      <c r="AP44" s="137">
        <f t="shared" si="43"/>
        <v>8</v>
      </c>
      <c r="AQ44" s="270" t="s">
        <v>244</v>
      </c>
      <c r="AR44" s="98">
        <f>GETPIVOTDATA("ind",'Displacement &amp; Returns'!$C$108,"adm2_name","Mayo-Tsanaga","adm3_name",AQ44,"deplacement","PDI")</f>
        <v>0</v>
      </c>
      <c r="AS44" s="98">
        <f>GETPIVOTDATA("ind",'Displacement &amp; Returns'!$C$108,"adm2_name","Mayo-Tsanaga","adm3_name",AQ44,"deplacement","Retournés")</f>
        <v>983</v>
      </c>
      <c r="AT44" s="98">
        <f>GETPIVOTDATA("ind",'Displacement &amp; Returns'!$C$108,"adm2_name","Mayo-Tsanaga","adm3_name",AQ44,"deplacement","réfugiés non-enregistrés")</f>
        <v>1309</v>
      </c>
      <c r="AU44" s="271">
        <f>GETPIVOTDATA("ind",'Displacement &amp; Returns'!$C$108,"adm2_name","Mayo-Tsanaga","adm3_name",AQ44)</f>
        <v>2292</v>
      </c>
      <c r="AV44" s="137">
        <f t="shared" si="44"/>
        <v>-23</v>
      </c>
      <c r="AX44" s="273">
        <f t="shared" si="45"/>
        <v>0</v>
      </c>
      <c r="AY44" s="274">
        <f t="shared" si="46"/>
        <v>3</v>
      </c>
      <c r="AZ44" s="283">
        <f t="shared" si="47"/>
        <v>-26</v>
      </c>
    </row>
    <row r="45" spans="2:52" x14ac:dyDescent="0.25">
      <c r="B45" s="270" t="s">
        <v>247</v>
      </c>
      <c r="C45" s="98">
        <v>6894</v>
      </c>
      <c r="D45" s="98">
        <v>3807</v>
      </c>
      <c r="E45" s="98"/>
      <c r="F45" s="271">
        <v>10701</v>
      </c>
      <c r="G45" s="270" t="s">
        <v>247</v>
      </c>
      <c r="H45" s="98">
        <v>7314</v>
      </c>
      <c r="I45" s="98">
        <v>3905</v>
      </c>
      <c r="J45" s="98"/>
      <c r="K45" s="271">
        <v>11219</v>
      </c>
      <c r="L45" s="98">
        <f t="shared" si="0"/>
        <v>518</v>
      </c>
      <c r="M45" s="270" t="s">
        <v>247</v>
      </c>
      <c r="N45" s="101">
        <v>7500</v>
      </c>
      <c r="O45" s="101">
        <v>3963</v>
      </c>
      <c r="P45" s="101">
        <v>16</v>
      </c>
      <c r="Q45" s="272">
        <v>11479</v>
      </c>
      <c r="R45" s="101">
        <v>260</v>
      </c>
      <c r="S45" s="270" t="s">
        <v>247</v>
      </c>
      <c r="T45" s="98">
        <v>8306</v>
      </c>
      <c r="U45" s="98">
        <v>6055</v>
      </c>
      <c r="V45" s="98">
        <v>201</v>
      </c>
      <c r="W45" s="271">
        <v>14562</v>
      </c>
      <c r="X45" s="101">
        <f t="shared" si="41"/>
        <v>3083</v>
      </c>
      <c r="Y45" s="273" t="s">
        <v>247</v>
      </c>
      <c r="Z45" s="101">
        <v>8444</v>
      </c>
      <c r="AA45" s="101">
        <v>5913</v>
      </c>
      <c r="AB45" s="101">
        <v>199</v>
      </c>
      <c r="AC45" s="272">
        <v>14556</v>
      </c>
      <c r="AD45" s="101">
        <f t="shared" si="42"/>
        <v>-6</v>
      </c>
      <c r="AE45" s="270" t="s">
        <v>247</v>
      </c>
      <c r="AF45" s="98">
        <v>8459</v>
      </c>
      <c r="AG45" s="98">
        <v>6151</v>
      </c>
      <c r="AH45" s="98">
        <v>405</v>
      </c>
      <c r="AI45" s="271">
        <v>15015</v>
      </c>
      <c r="AJ45" s="137">
        <f t="shared" si="48"/>
        <v>183</v>
      </c>
      <c r="AK45" s="270" t="s">
        <v>247</v>
      </c>
      <c r="AL45" s="98">
        <v>10297</v>
      </c>
      <c r="AM45" s="98">
        <v>6232</v>
      </c>
      <c r="AN45" s="98">
        <v>463</v>
      </c>
      <c r="AO45" s="271">
        <v>16992</v>
      </c>
      <c r="AP45" s="137">
        <f t="shared" si="43"/>
        <v>1977</v>
      </c>
      <c r="AQ45" s="270" t="s">
        <v>247</v>
      </c>
      <c r="AR45" s="98">
        <f>GETPIVOTDATA("ind",'Displacement &amp; Returns'!$C$108,"adm2_name","Mayo-Tsanaga","adm3_name",AQ45,"deplacement","PDI")</f>
        <v>10638</v>
      </c>
      <c r="AS45" s="98">
        <f>GETPIVOTDATA("ind",'Displacement &amp; Returns'!$C$108,"adm2_name","Mayo-Tsanaga","adm3_name",AQ45,"deplacement","Retournés")</f>
        <v>6368</v>
      </c>
      <c r="AT45" s="98">
        <f>GETPIVOTDATA("ind",'Displacement &amp; Returns'!$C$108,"adm2_name","Mayo-Tsanaga","adm3_name",AQ45,"deplacement","réfugiés non-enregistrés")</f>
        <v>431</v>
      </c>
      <c r="AU45" s="271">
        <f>GETPIVOTDATA("ind",'Displacement &amp; Returns'!$C$108,"adm2_name","Mayo-Tsanaga","adm3_name",AQ45)</f>
        <v>17437</v>
      </c>
      <c r="AV45" s="137">
        <f t="shared" si="44"/>
        <v>445</v>
      </c>
      <c r="AX45" s="273">
        <f t="shared" si="45"/>
        <v>341</v>
      </c>
      <c r="AY45" s="274">
        <f t="shared" si="46"/>
        <v>136</v>
      </c>
      <c r="AZ45" s="283">
        <f t="shared" si="47"/>
        <v>-32</v>
      </c>
    </row>
    <row r="46" spans="2:52" x14ac:dyDescent="0.25">
      <c r="B46" s="270" t="s">
        <v>250</v>
      </c>
      <c r="C46" s="98">
        <v>7272</v>
      </c>
      <c r="D46" s="98">
        <v>3552</v>
      </c>
      <c r="E46" s="98">
        <v>472</v>
      </c>
      <c r="F46" s="271">
        <v>11296</v>
      </c>
      <c r="G46" s="270" t="s">
        <v>250</v>
      </c>
      <c r="H46" s="98">
        <v>8385</v>
      </c>
      <c r="I46" s="98">
        <v>3460</v>
      </c>
      <c r="J46" s="98">
        <v>467</v>
      </c>
      <c r="K46" s="271">
        <v>12312</v>
      </c>
      <c r="L46" s="98">
        <f t="shared" si="0"/>
        <v>1016</v>
      </c>
      <c r="M46" s="270" t="s">
        <v>250</v>
      </c>
      <c r="N46" s="101">
        <v>9003</v>
      </c>
      <c r="O46" s="101">
        <v>4385</v>
      </c>
      <c r="P46" s="101">
        <v>492</v>
      </c>
      <c r="Q46" s="272">
        <v>13880</v>
      </c>
      <c r="R46" s="101">
        <v>1568</v>
      </c>
      <c r="S46" s="270" t="s">
        <v>250</v>
      </c>
      <c r="T46" s="98">
        <v>8760</v>
      </c>
      <c r="U46" s="98">
        <v>4744</v>
      </c>
      <c r="V46" s="98">
        <v>552</v>
      </c>
      <c r="W46" s="271">
        <v>14056</v>
      </c>
      <c r="X46" s="101">
        <f t="shared" si="41"/>
        <v>176</v>
      </c>
      <c r="Y46" s="273" t="s">
        <v>250</v>
      </c>
      <c r="Z46" s="101">
        <v>9135</v>
      </c>
      <c r="AA46" s="101">
        <v>4631</v>
      </c>
      <c r="AB46" s="101">
        <v>565</v>
      </c>
      <c r="AC46" s="272">
        <v>14331</v>
      </c>
      <c r="AD46" s="101">
        <f t="shared" si="42"/>
        <v>275</v>
      </c>
      <c r="AE46" s="270" t="s">
        <v>250</v>
      </c>
      <c r="AF46" s="98">
        <v>9170</v>
      </c>
      <c r="AG46" s="98">
        <v>4651</v>
      </c>
      <c r="AH46" s="98">
        <v>570</v>
      </c>
      <c r="AI46" s="271">
        <v>14391</v>
      </c>
      <c r="AJ46" s="137">
        <f t="shared" si="48"/>
        <v>73</v>
      </c>
      <c r="AK46" s="270" t="s">
        <v>250</v>
      </c>
      <c r="AL46" s="98">
        <v>9776</v>
      </c>
      <c r="AM46" s="98">
        <v>5146</v>
      </c>
      <c r="AN46" s="98">
        <v>570</v>
      </c>
      <c r="AO46" s="271">
        <v>15492</v>
      </c>
      <c r="AP46" s="137">
        <f t="shared" si="43"/>
        <v>1101</v>
      </c>
      <c r="AQ46" s="270" t="s">
        <v>250</v>
      </c>
      <c r="AR46" s="98">
        <f>GETPIVOTDATA("ind",'Displacement &amp; Returns'!$C$108,"adm2_name","Mayo-Tsanaga","adm3_name",AQ46,"deplacement","PDI")</f>
        <v>11736</v>
      </c>
      <c r="AS46" s="98">
        <f>GETPIVOTDATA("ind",'Displacement &amp; Returns'!$C$108,"adm2_name","Mayo-Tsanaga","adm3_name",AQ46,"deplacement","Retournés")</f>
        <v>5726</v>
      </c>
      <c r="AT46" s="98">
        <f>GETPIVOTDATA("ind",'Displacement &amp; Returns'!$C$108,"adm2_name","Mayo-Tsanaga","adm3_name",AQ46,"deplacement","réfugiés non-enregistrés")</f>
        <v>3318</v>
      </c>
      <c r="AU46" s="271">
        <f>GETPIVOTDATA("ind",'Displacement &amp; Returns'!$C$108,"adm2_name","Mayo-Tsanaga","adm3_name",AQ46)</f>
        <v>20780</v>
      </c>
      <c r="AV46" s="137">
        <f t="shared" si="44"/>
        <v>5288</v>
      </c>
      <c r="AX46" s="273">
        <f t="shared" si="45"/>
        <v>1960</v>
      </c>
      <c r="AY46" s="274">
        <f t="shared" si="46"/>
        <v>580</v>
      </c>
      <c r="AZ46" s="283">
        <f t="shared" si="47"/>
        <v>2748</v>
      </c>
    </row>
    <row r="47" spans="2:52" x14ac:dyDescent="0.25">
      <c r="B47" s="270" t="s">
        <v>761</v>
      </c>
      <c r="C47" s="98">
        <v>1437</v>
      </c>
      <c r="D47" s="98">
        <v>258</v>
      </c>
      <c r="E47" s="98"/>
      <c r="F47" s="271">
        <v>1695</v>
      </c>
      <c r="G47" s="270" t="s">
        <v>608</v>
      </c>
      <c r="H47" s="98">
        <v>1554</v>
      </c>
      <c r="I47" s="98">
        <v>311</v>
      </c>
      <c r="J47" s="98"/>
      <c r="K47" s="271">
        <v>1865</v>
      </c>
      <c r="L47" s="98">
        <f t="shared" si="0"/>
        <v>170</v>
      </c>
      <c r="M47" s="270" t="s">
        <v>608</v>
      </c>
      <c r="N47" s="101">
        <v>1632</v>
      </c>
      <c r="O47" s="101">
        <v>359</v>
      </c>
      <c r="P47" s="101">
        <v>0</v>
      </c>
      <c r="Q47" s="272">
        <v>1991</v>
      </c>
      <c r="R47" s="101">
        <v>126</v>
      </c>
      <c r="S47" s="270" t="s">
        <v>608</v>
      </c>
      <c r="T47" s="98">
        <v>1824</v>
      </c>
      <c r="U47" s="98">
        <v>351</v>
      </c>
      <c r="V47" s="98">
        <v>0</v>
      </c>
      <c r="W47" s="271">
        <v>2175</v>
      </c>
      <c r="X47" s="101">
        <f t="shared" si="41"/>
        <v>184</v>
      </c>
      <c r="Y47" s="273" t="s">
        <v>608</v>
      </c>
      <c r="Z47" s="101">
        <v>1889</v>
      </c>
      <c r="AA47" s="101">
        <v>380</v>
      </c>
      <c r="AB47" s="101">
        <v>0</v>
      </c>
      <c r="AC47" s="272">
        <v>2269</v>
      </c>
      <c r="AD47" s="101">
        <f t="shared" si="42"/>
        <v>94</v>
      </c>
      <c r="AE47" s="270" t="s">
        <v>608</v>
      </c>
      <c r="AF47" s="98">
        <v>1911</v>
      </c>
      <c r="AG47" s="98">
        <v>380</v>
      </c>
      <c r="AH47" s="98">
        <v>0</v>
      </c>
      <c r="AI47" s="271">
        <v>2291</v>
      </c>
      <c r="AJ47" s="137">
        <f t="shared" si="48"/>
        <v>0</v>
      </c>
      <c r="AK47" s="270" t="s">
        <v>608</v>
      </c>
      <c r="AL47" s="98">
        <v>1982</v>
      </c>
      <c r="AM47" s="98">
        <v>381</v>
      </c>
      <c r="AN47" s="98">
        <v>0</v>
      </c>
      <c r="AO47" s="271">
        <v>2363</v>
      </c>
      <c r="AP47" s="137">
        <f t="shared" si="43"/>
        <v>72</v>
      </c>
      <c r="AQ47" s="270" t="s">
        <v>608</v>
      </c>
      <c r="AR47" s="98">
        <f>GETPIVOTDATA("ind",'Displacement &amp; Returns'!$C$108,"adm2_name","Mayo-Tsanaga","adm3_name",AQ47,"deplacement","PDI")</f>
        <v>748</v>
      </c>
      <c r="AS47" s="98">
        <f>GETPIVOTDATA("ind",'Displacement &amp; Returns'!$C$108,"adm2_name","Mayo-Tsanaga","adm3_name",AQ47,"deplacement","Retournés")</f>
        <v>118</v>
      </c>
      <c r="AT47" s="98">
        <f>GETPIVOTDATA("ind",'Displacement &amp; Returns'!$C$108,"adm2_name","Mayo-Tsanaga","adm3_name",AQ47,"deplacement","réfugiés non-enregistrés")</f>
        <v>19</v>
      </c>
      <c r="AU47" s="271">
        <f>GETPIVOTDATA("ind",'Displacement &amp; Returns'!$C$108,"adm2_name","Mayo-Tsanaga","adm3_name",AQ47)</f>
        <v>885</v>
      </c>
      <c r="AV47" s="137">
        <f t="shared" si="44"/>
        <v>-1478</v>
      </c>
      <c r="AX47" s="273">
        <f t="shared" si="45"/>
        <v>-1234</v>
      </c>
      <c r="AY47" s="274">
        <f t="shared" si="46"/>
        <v>-263</v>
      </c>
      <c r="AZ47" s="283">
        <f t="shared" si="47"/>
        <v>19</v>
      </c>
    </row>
    <row r="48" spans="2:52" ht="15.75" thickBot="1" x14ac:dyDescent="0.3">
      <c r="B48" s="14" t="s">
        <v>715</v>
      </c>
      <c r="C48" s="15">
        <v>198889</v>
      </c>
      <c r="D48" s="15">
        <v>36068</v>
      </c>
      <c r="E48" s="15">
        <v>26743</v>
      </c>
      <c r="F48" s="16">
        <v>261700</v>
      </c>
      <c r="G48" s="14" t="s">
        <v>715</v>
      </c>
      <c r="H48" s="17">
        <v>191908</v>
      </c>
      <c r="I48" s="17">
        <v>35665</v>
      </c>
      <c r="J48" s="17">
        <v>23430</v>
      </c>
      <c r="K48" s="18">
        <v>251003</v>
      </c>
      <c r="L48" s="21">
        <f t="shared" si="0"/>
        <v>-10697</v>
      </c>
      <c r="M48" s="22" t="s">
        <v>715</v>
      </c>
      <c r="N48" s="30">
        <v>223642</v>
      </c>
      <c r="O48" s="30">
        <v>43435</v>
      </c>
      <c r="P48" s="30">
        <v>30593</v>
      </c>
      <c r="Q48" s="31">
        <v>297670</v>
      </c>
      <c r="R48" s="64">
        <v>46667</v>
      </c>
      <c r="S48" s="14" t="s">
        <v>715</v>
      </c>
      <c r="T48" s="17">
        <v>228443</v>
      </c>
      <c r="U48" s="17">
        <v>58027</v>
      </c>
      <c r="V48" s="17">
        <v>32459</v>
      </c>
      <c r="W48" s="18">
        <v>318929</v>
      </c>
      <c r="X48" s="28">
        <f>W48-Q48</f>
        <v>21259</v>
      </c>
      <c r="Y48" s="87" t="s">
        <v>715</v>
      </c>
      <c r="Z48" s="17">
        <v>235913</v>
      </c>
      <c r="AA48" s="17">
        <v>59398</v>
      </c>
      <c r="AB48" s="17">
        <v>30278</v>
      </c>
      <c r="AC48" s="18">
        <v>325589</v>
      </c>
      <c r="AD48" s="28">
        <f>AC48-W48</f>
        <v>6660</v>
      </c>
      <c r="AE48" s="14" t="s">
        <v>715</v>
      </c>
      <c r="AF48" s="17">
        <v>237967</v>
      </c>
      <c r="AG48" s="17">
        <v>61090</v>
      </c>
      <c r="AH48" s="17">
        <v>29728</v>
      </c>
      <c r="AI48" s="18">
        <v>328785</v>
      </c>
      <c r="AJ48" s="32">
        <f>AB48-P48</f>
        <v>-315</v>
      </c>
      <c r="AK48" s="14" t="s">
        <v>715</v>
      </c>
      <c r="AL48" s="17">
        <f>SUM(AL5:AL47)</f>
        <v>241987</v>
      </c>
      <c r="AM48" s="17">
        <f t="shared" ref="AM48:AO48" si="49">SUM(AM5:AM47)</f>
        <v>63692</v>
      </c>
      <c r="AN48" s="17">
        <f>SUM(AN5:AN47)</f>
        <v>29337</v>
      </c>
      <c r="AO48" s="17">
        <f t="shared" si="49"/>
        <v>335016</v>
      </c>
      <c r="AP48" s="32">
        <f>AO48-V48</f>
        <v>302557</v>
      </c>
      <c r="AQ48" s="14" t="s">
        <v>715</v>
      </c>
      <c r="AR48" s="17">
        <f>GETPIVOTDATA("ind",'Displacement &amp; Returns'!$C$108,"deplacement","PDI")</f>
        <v>241030</v>
      </c>
      <c r="AS48" s="17">
        <f>GETPIVOTDATA("ind",'Displacement &amp; Returns'!$C$108,"deplacement","Retournés")</f>
        <v>69730</v>
      </c>
      <c r="AT48" s="17">
        <f>GETPIVOTDATA("ind",'Displacement &amp; Returns'!$C$108,"deplacement","réfugiés non-enregistrés")</f>
        <v>31656</v>
      </c>
      <c r="AU48" s="18">
        <f>GETPIVOTDATA("ind",'Displacement &amp; Returns'!$C$108)</f>
        <v>342416</v>
      </c>
      <c r="AV48" s="32">
        <f>AU48-AC48</f>
        <v>16827</v>
      </c>
      <c r="AX48" s="87">
        <f>AR48-AL48</f>
        <v>-957</v>
      </c>
      <c r="AY48" s="17">
        <f>AS48-AM48</f>
        <v>6038</v>
      </c>
      <c r="AZ48" s="18">
        <f>AT48-AN48</f>
        <v>2319</v>
      </c>
    </row>
    <row r="52" spans="14:44" x14ac:dyDescent="0.25">
      <c r="N52" s="216"/>
      <c r="O52" s="216"/>
      <c r="P52" s="216"/>
      <c r="Q52" s="216"/>
      <c r="R52" s="216"/>
      <c r="S52" s="216"/>
      <c r="T52" s="216"/>
      <c r="AE52" s="216"/>
      <c r="AF52" s="216"/>
      <c r="AK52" s="216"/>
      <c r="AL52" s="216"/>
      <c r="AQ52" s="216"/>
      <c r="AR52" s="216"/>
    </row>
    <row r="54" spans="14:44" x14ac:dyDescent="0.25">
      <c r="T54" s="279"/>
      <c r="AF54" s="216"/>
      <c r="AG54" s="216"/>
      <c r="AH54" s="216"/>
      <c r="AI54" s="216"/>
      <c r="AL54" s="279"/>
      <c r="AR54" s="279"/>
    </row>
    <row r="55" spans="14:44" x14ac:dyDescent="0.25">
      <c r="AF55" s="216"/>
      <c r="AG55" s="216"/>
      <c r="AH55" s="216"/>
      <c r="AI55" s="216"/>
    </row>
    <row r="56" spans="14:44" x14ac:dyDescent="0.25">
      <c r="AF56" s="216"/>
      <c r="AG56" s="216"/>
      <c r="AH56" s="216"/>
      <c r="AI56" s="216"/>
    </row>
    <row r="57" spans="14:44" x14ac:dyDescent="0.25">
      <c r="AF57" s="216"/>
      <c r="AG57" s="216"/>
      <c r="AH57" s="216"/>
      <c r="AI57" s="216"/>
    </row>
    <row r="58" spans="14:44" x14ac:dyDescent="0.25">
      <c r="AF58" s="216"/>
      <c r="AG58" s="216"/>
      <c r="AH58" s="216"/>
      <c r="AI58" s="216"/>
    </row>
    <row r="59" spans="14:44" x14ac:dyDescent="0.25">
      <c r="AF59" s="216"/>
      <c r="AG59" s="216"/>
      <c r="AH59" s="216"/>
      <c r="AI59" s="216"/>
    </row>
    <row r="60" spans="14:44" x14ac:dyDescent="0.25">
      <c r="AF60" s="216"/>
      <c r="AG60" s="216"/>
      <c r="AH60" s="216"/>
      <c r="AI60" s="216"/>
    </row>
    <row r="165" spans="1:6" x14ac:dyDescent="0.25">
      <c r="A165" s="98"/>
      <c r="B165" s="98"/>
      <c r="C165" s="101"/>
      <c r="D165" s="101"/>
      <c r="E165" s="101"/>
      <c r="F165" s="101"/>
    </row>
    <row r="166" spans="1:6" x14ac:dyDescent="0.25">
      <c r="A166" s="98"/>
      <c r="B166" s="98"/>
      <c r="C166" s="101"/>
      <c r="D166" s="101"/>
      <c r="E166" s="101"/>
      <c r="F166" s="101"/>
    </row>
    <row r="167" spans="1:6" x14ac:dyDescent="0.25">
      <c r="A167" s="98"/>
      <c r="B167" s="98"/>
      <c r="C167" s="101"/>
      <c r="D167" s="101"/>
      <c r="E167" s="101"/>
      <c r="F167" s="101"/>
    </row>
    <row r="168" spans="1:6" x14ac:dyDescent="0.25">
      <c r="A168" s="98"/>
      <c r="B168" s="98"/>
      <c r="C168" s="101"/>
      <c r="D168" s="101"/>
      <c r="E168" s="101"/>
      <c r="F168" s="101"/>
    </row>
    <row r="169" spans="1:6" x14ac:dyDescent="0.25">
      <c r="A169" s="98"/>
      <c r="B169" s="98"/>
      <c r="C169" s="101"/>
      <c r="D169" s="101"/>
      <c r="E169" s="101"/>
      <c r="F169" s="101"/>
    </row>
    <row r="170" spans="1:6" x14ac:dyDescent="0.25">
      <c r="A170" s="98"/>
      <c r="B170" s="98"/>
      <c r="C170" s="101"/>
      <c r="D170" s="101"/>
      <c r="E170" s="101"/>
      <c r="F170" s="101"/>
    </row>
    <row r="171" spans="1:6" x14ac:dyDescent="0.25">
      <c r="A171" s="98"/>
      <c r="B171" s="98"/>
      <c r="C171" s="101"/>
      <c r="D171" s="101"/>
      <c r="E171" s="101"/>
      <c r="F171" s="101"/>
    </row>
    <row r="172" spans="1:6" x14ac:dyDescent="0.25">
      <c r="A172" s="98"/>
      <c r="B172" s="98"/>
      <c r="C172" s="101"/>
      <c r="D172" s="101"/>
      <c r="E172" s="101"/>
      <c r="F172" s="101"/>
    </row>
    <row r="173" spans="1:6" x14ac:dyDescent="0.25">
      <c r="A173" s="98"/>
      <c r="B173" s="98"/>
      <c r="C173" s="101"/>
      <c r="D173" s="101"/>
      <c r="E173" s="101"/>
      <c r="F173" s="101"/>
    </row>
    <row r="174" spans="1:6" x14ac:dyDescent="0.25">
      <c r="A174" s="98"/>
      <c r="B174" s="98"/>
      <c r="C174" s="101"/>
      <c r="D174" s="101"/>
      <c r="E174" s="101"/>
      <c r="F174" s="101"/>
    </row>
    <row r="175" spans="1:6" x14ac:dyDescent="0.25">
      <c r="A175" s="98"/>
      <c r="B175" s="98"/>
      <c r="C175" s="101"/>
      <c r="D175" s="101"/>
      <c r="E175" s="101"/>
      <c r="F175" s="101"/>
    </row>
    <row r="176" spans="1:6" x14ac:dyDescent="0.25">
      <c r="A176" s="98"/>
      <c r="B176" s="98"/>
      <c r="C176" s="101"/>
      <c r="D176" s="101"/>
      <c r="E176" s="101"/>
      <c r="F176" s="101"/>
    </row>
    <row r="177" spans="1:6" x14ac:dyDescent="0.25">
      <c r="A177" s="98"/>
      <c r="B177" s="98"/>
      <c r="C177" s="101"/>
      <c r="D177" s="101"/>
      <c r="E177" s="101"/>
      <c r="F177" s="101"/>
    </row>
    <row r="178" spans="1:6" x14ac:dyDescent="0.25">
      <c r="A178" s="98"/>
      <c r="B178" s="98"/>
      <c r="C178" s="101"/>
      <c r="D178" s="101"/>
      <c r="E178" s="101"/>
      <c r="F178" s="101"/>
    </row>
    <row r="179" spans="1:6" x14ac:dyDescent="0.25">
      <c r="A179" s="98"/>
      <c r="B179" s="98"/>
      <c r="C179" s="101"/>
      <c r="D179" s="101"/>
      <c r="E179" s="101"/>
      <c r="F179" s="101"/>
    </row>
    <row r="180" spans="1:6" x14ac:dyDescent="0.25">
      <c r="A180" s="98"/>
      <c r="B180" s="98"/>
      <c r="C180" s="101"/>
      <c r="D180" s="101"/>
      <c r="E180" s="101"/>
      <c r="F180" s="101"/>
    </row>
    <row r="181" spans="1:6" x14ac:dyDescent="0.25">
      <c r="A181" s="98"/>
      <c r="B181" s="98"/>
      <c r="C181" s="101"/>
      <c r="D181" s="101"/>
      <c r="E181" s="101"/>
      <c r="F181" s="101"/>
    </row>
    <row r="182" spans="1:6" x14ac:dyDescent="0.25">
      <c r="A182" s="98"/>
      <c r="B182" s="98"/>
      <c r="C182" s="101"/>
      <c r="D182" s="101"/>
      <c r="E182" s="101"/>
      <c r="F182" s="101"/>
    </row>
    <row r="183" spans="1:6" x14ac:dyDescent="0.25">
      <c r="A183" s="98"/>
      <c r="B183" s="98"/>
      <c r="C183" s="101"/>
      <c r="D183" s="101"/>
      <c r="E183" s="101"/>
      <c r="F183" s="101"/>
    </row>
    <row r="184" spans="1:6" x14ac:dyDescent="0.25">
      <c r="A184" s="98"/>
      <c r="B184" s="98"/>
      <c r="C184" s="101"/>
      <c r="D184" s="101"/>
      <c r="E184" s="101"/>
      <c r="F184" s="101"/>
    </row>
    <row r="185" spans="1:6" x14ac:dyDescent="0.25">
      <c r="A185" s="98"/>
      <c r="B185" s="98"/>
      <c r="C185" s="101"/>
      <c r="D185" s="101"/>
      <c r="E185" s="101"/>
      <c r="F185" s="101"/>
    </row>
    <row r="186" spans="1:6" x14ac:dyDescent="0.25">
      <c r="A186" s="98"/>
      <c r="B186" s="98"/>
      <c r="C186" s="101"/>
      <c r="D186" s="101"/>
      <c r="E186" s="101"/>
      <c r="F186" s="101"/>
    </row>
    <row r="187" spans="1:6" x14ac:dyDescent="0.25">
      <c r="A187" s="98"/>
      <c r="B187" s="98"/>
      <c r="C187" s="101"/>
      <c r="D187" s="101"/>
      <c r="E187" s="101"/>
      <c r="F187" s="101"/>
    </row>
    <row r="188" spans="1:6" x14ac:dyDescent="0.25">
      <c r="A188" s="98"/>
      <c r="B188" s="98"/>
      <c r="C188" s="101"/>
      <c r="D188" s="101"/>
      <c r="E188" s="101"/>
      <c r="F188" s="101"/>
    </row>
    <row r="189" spans="1:6" x14ac:dyDescent="0.25">
      <c r="A189" s="98"/>
      <c r="B189" s="98"/>
      <c r="C189" s="101"/>
      <c r="D189" s="101"/>
      <c r="E189" s="101"/>
      <c r="F189" s="101"/>
    </row>
    <row r="190" spans="1:6" x14ac:dyDescent="0.25">
      <c r="A190" s="98"/>
      <c r="B190" s="98"/>
      <c r="C190" s="101"/>
      <c r="D190" s="101"/>
      <c r="E190" s="101"/>
      <c r="F190" s="101"/>
    </row>
    <row r="191" spans="1:6" x14ac:dyDescent="0.25">
      <c r="A191" s="98"/>
      <c r="B191" s="98"/>
      <c r="C191" s="101"/>
      <c r="D191" s="101"/>
      <c r="E191" s="101"/>
      <c r="F191" s="101"/>
    </row>
    <row r="192" spans="1:6" x14ac:dyDescent="0.25">
      <c r="A192" s="98"/>
      <c r="B192" s="98"/>
      <c r="C192" s="101"/>
      <c r="D192" s="101"/>
      <c r="E192" s="101"/>
      <c r="F192" s="101"/>
    </row>
    <row r="193" spans="1:6" x14ac:dyDescent="0.25">
      <c r="A193" s="98"/>
      <c r="B193" s="98"/>
      <c r="C193" s="101"/>
      <c r="D193" s="101"/>
      <c r="E193" s="101"/>
      <c r="F193" s="101"/>
    </row>
    <row r="194" spans="1:6" x14ac:dyDescent="0.25">
      <c r="A194" s="98"/>
      <c r="B194" s="229"/>
      <c r="C194" s="277"/>
      <c r="D194" s="277"/>
      <c r="E194" s="277"/>
      <c r="F194" s="101"/>
    </row>
    <row r="195" spans="1:6" x14ac:dyDescent="0.25">
      <c r="A195" s="98"/>
      <c r="B195" s="98"/>
      <c r="C195" s="101"/>
      <c r="D195" s="101"/>
      <c r="E195" s="101"/>
      <c r="F195" s="101"/>
    </row>
    <row r="196" spans="1:6" x14ac:dyDescent="0.25">
      <c r="A196" s="98"/>
      <c r="B196" s="98"/>
      <c r="C196" s="101"/>
      <c r="D196" s="101"/>
      <c r="E196" s="101"/>
      <c r="F196" s="101"/>
    </row>
    <row r="197" spans="1:6" x14ac:dyDescent="0.25">
      <c r="A197" s="98"/>
      <c r="B197" s="98"/>
      <c r="C197" s="101"/>
      <c r="D197" s="101"/>
      <c r="E197" s="101"/>
      <c r="F197" s="101"/>
    </row>
    <row r="198" spans="1:6" x14ac:dyDescent="0.25">
      <c r="A198" s="98"/>
      <c r="B198" s="98"/>
      <c r="C198" s="101"/>
      <c r="D198" s="101"/>
      <c r="E198" s="101"/>
      <c r="F198" s="101"/>
    </row>
    <row r="199" spans="1:6" x14ac:dyDescent="0.25">
      <c r="A199" s="98"/>
      <c r="B199" s="98"/>
      <c r="C199" s="101"/>
      <c r="D199" s="101"/>
      <c r="E199" s="101"/>
      <c r="F199" s="101"/>
    </row>
    <row r="200" spans="1:6" x14ac:dyDescent="0.25">
      <c r="A200" s="98"/>
      <c r="B200" s="98"/>
      <c r="C200" s="101"/>
      <c r="D200" s="101"/>
      <c r="E200" s="101"/>
      <c r="F200" s="101"/>
    </row>
    <row r="201" spans="1:6" x14ac:dyDescent="0.25">
      <c r="A201" s="98"/>
      <c r="B201" s="98"/>
      <c r="C201" s="101"/>
      <c r="D201" s="101"/>
      <c r="E201" s="101"/>
      <c r="F201" s="101"/>
    </row>
    <row r="202" spans="1:6" x14ac:dyDescent="0.25">
      <c r="A202" s="98"/>
    </row>
  </sheetData>
  <mergeCells count="15">
    <mergeCell ref="AX3:AZ3"/>
    <mergeCell ref="G3:K3"/>
    <mergeCell ref="B3:F3"/>
    <mergeCell ref="L3:L4"/>
    <mergeCell ref="S3:W3"/>
    <mergeCell ref="X3:X4"/>
    <mergeCell ref="AQ3:AU3"/>
    <mergeCell ref="AV3:AV4"/>
    <mergeCell ref="Y3:AC3"/>
    <mergeCell ref="AD3:AD4"/>
    <mergeCell ref="AE3:AI3"/>
    <mergeCell ref="AJ3:AJ4"/>
    <mergeCell ref="AK3:AO3"/>
    <mergeCell ref="AP3:AP4"/>
    <mergeCell ref="M3:Q3"/>
  </mergeCell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62D1A77A-E270-4412-9F74-9C48CB1CE2F0}">
            <x14:iconSet custom="1">
              <x14:cfvo type="percent">
                <xm:f>0</xm:f>
              </x14:cfvo>
              <x14:cfvo type="num">
                <xm:f>-990000</xm:f>
              </x14:cfvo>
              <x14:cfvo type="num">
                <xm:f>1</xm:f>
              </x14:cfvo>
              <x14:cfIcon iconSet="3TrafficLights1" iconId="0"/>
              <x14:cfIcon iconSet="3Arrows" iconId="0"/>
              <x14:cfIcon iconSet="3Arrows" iconId="2"/>
            </x14:iconSet>
          </x14:cfRule>
          <xm:sqref>L40:R40 L36:R36 L30:R30 L23:R23 L12:R12 L5:R5</xm:sqref>
        </x14:conditionalFormatting>
        <x14:conditionalFormatting xmlns:xm="http://schemas.microsoft.com/office/excel/2006/main">
          <x14:cfRule type="iconSet" priority="5" id="{09AECD40-0093-4EFA-976E-63E0E2B9EE77}">
            <x14:iconSet custom="1">
              <x14:cfvo type="percent">
                <xm:f>0</xm:f>
              </x14:cfvo>
              <x14:cfvo type="num">
                <xm:f>-990000</xm:f>
              </x14:cfvo>
              <x14:cfvo type="num">
                <xm:f>1</xm:f>
              </x14:cfvo>
              <x14:cfIcon iconSet="3TrafficLights1" iconId="0"/>
              <x14:cfIcon iconSet="3Arrows" iconId="0"/>
              <x14:cfIcon iconSet="3Arrows" iconId="2"/>
            </x14:iconSet>
          </x14:cfRule>
          <xm:sqref>X40:AD40 X36:AD36 X30:AD30 X23:AD23 X12:AD12 X5:AD5</xm:sqref>
        </x14:conditionalFormatting>
        <x14:conditionalFormatting xmlns:xm="http://schemas.microsoft.com/office/excel/2006/main">
          <x14:cfRule type="iconSet" priority="4" id="{B826DB78-EB4A-46A2-8C37-72ADD2048686}">
            <x14:iconSet custom="1">
              <x14:cfvo type="percent">
                <xm:f>0</xm:f>
              </x14:cfvo>
              <x14:cfvo type="num">
                <xm:f>-990000</xm:f>
              </x14:cfvo>
              <x14:cfvo type="num">
                <xm:f>1</xm:f>
              </x14:cfvo>
              <x14:cfIcon iconSet="3TrafficLights1" iconId="0"/>
              <x14:cfIcon iconSet="3Arrows" iconId="0"/>
              <x14:cfIcon iconSet="3Arrows" iconId="2"/>
            </x14:iconSet>
          </x14:cfRule>
          <xm:sqref>AV40 AV36 AV30 AV23 AV12 AV5</xm:sqref>
        </x14:conditionalFormatting>
        <x14:conditionalFormatting xmlns:xm="http://schemas.microsoft.com/office/excel/2006/main">
          <x14:cfRule type="iconSet" priority="2" id="{426B4B79-001D-4F54-9AF1-73DCC0935E30}">
            <x14:iconSet custom="1">
              <x14:cfvo type="percent">
                <xm:f>0</xm:f>
              </x14:cfvo>
              <x14:cfvo type="num">
                <xm:f>-990000</xm:f>
              </x14:cfvo>
              <x14:cfvo type="num">
                <xm:f>1</xm:f>
              </x14:cfvo>
              <x14:cfIcon iconSet="3TrafficLights1" iconId="0"/>
              <x14:cfIcon iconSet="3Arrows" iconId="0"/>
              <x14:cfIcon iconSet="3Arrows" iconId="2"/>
            </x14:iconSet>
          </x14:cfRule>
          <xm:sqref>AP40 AP36 AP30 AP23 AP12 AP5</xm:sqref>
        </x14:conditionalFormatting>
        <x14:conditionalFormatting xmlns:xm="http://schemas.microsoft.com/office/excel/2006/main">
          <x14:cfRule type="iconSet" priority="1" id="{B94B689E-C51F-46E0-855C-D57A822D3BC0}">
            <x14:iconSet custom="1">
              <x14:cfvo type="percent">
                <xm:f>0</xm:f>
              </x14:cfvo>
              <x14:cfvo type="num">
                <xm:f>-990000</xm:f>
              </x14:cfvo>
              <x14:cfvo type="num">
                <xm:f>1</xm:f>
              </x14:cfvo>
              <x14:cfIcon iconSet="3TrafficLights1" iconId="0"/>
              <x14:cfIcon iconSet="3Arrows" iconId="0"/>
              <x14:cfIcon iconSet="3Arrows" iconId="2"/>
            </x14:iconSet>
          </x14:cfRule>
          <xm:sqref>AJ40 AJ36 AJ30 AJ23 AJ12 AJ5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"/>
  <sheetViews>
    <sheetView workbookViewId="0">
      <selection activeCell="G23" sqref="G23"/>
    </sheetView>
  </sheetViews>
  <sheetFormatPr defaultColWidth="11.42578125" defaultRowHeight="15" x14ac:dyDescent="0.25"/>
  <cols>
    <col min="1" max="1" width="15.28515625" style="96" bestFit="1" customWidth="1"/>
    <col min="2" max="2" width="14.7109375" style="96" bestFit="1" customWidth="1"/>
    <col min="3" max="3" width="17.85546875" style="96" bestFit="1" customWidth="1"/>
    <col min="4" max="4" width="11.5703125" style="96" bestFit="1" customWidth="1"/>
    <col min="5" max="5" width="10.5703125" style="96" bestFit="1" customWidth="1"/>
    <col min="6" max="6" width="11" style="96" bestFit="1" customWidth="1"/>
    <col min="7" max="7" width="10.7109375" style="96" bestFit="1" customWidth="1"/>
    <col min="8" max="8" width="28.7109375" style="96" bestFit="1" customWidth="1"/>
    <col min="9" max="9" width="28.42578125" style="96" bestFit="1" customWidth="1"/>
    <col min="10" max="10" width="16.42578125" style="96" bestFit="1" customWidth="1"/>
    <col min="11" max="11" width="16.140625" style="96" bestFit="1" customWidth="1"/>
    <col min="12" max="12" width="14.7109375" style="96" bestFit="1" customWidth="1"/>
    <col min="13" max="13" width="15.5703125" style="96" bestFit="1" customWidth="1"/>
    <col min="14" max="14" width="11.5703125" style="96" bestFit="1" customWidth="1"/>
    <col min="15" max="15" width="10.5703125" style="96" bestFit="1" customWidth="1"/>
    <col min="16" max="16" width="11" style="96" bestFit="1" customWidth="1"/>
    <col min="17" max="17" width="10.7109375" style="96" bestFit="1" customWidth="1"/>
    <col min="18" max="18" width="28.7109375" style="96" bestFit="1" customWidth="1"/>
    <col min="19" max="19" width="28.42578125" style="96" bestFit="1" customWidth="1"/>
    <col min="20" max="20" width="16.42578125" style="96" bestFit="1" customWidth="1"/>
    <col min="21" max="21" width="16.140625" style="96" bestFit="1" customWidth="1"/>
    <col min="22" max="23" width="11.42578125" style="96"/>
    <col min="24" max="24" width="19" style="96" bestFit="1" customWidth="1"/>
    <col min="25" max="16384" width="11.42578125" style="96"/>
  </cols>
  <sheetData>
    <row r="2" spans="1:11" x14ac:dyDescent="0.25">
      <c r="A2" s="217" t="s">
        <v>688</v>
      </c>
      <c r="B2" s="217" t="s">
        <v>689</v>
      </c>
      <c r="C2" s="217" t="s">
        <v>690</v>
      </c>
      <c r="D2" s="217" t="s">
        <v>1729</v>
      </c>
      <c r="E2" s="217" t="s">
        <v>1730</v>
      </c>
      <c r="F2" s="217" t="s">
        <v>1731</v>
      </c>
      <c r="G2" s="217" t="s">
        <v>1732</v>
      </c>
      <c r="H2" s="217" t="s">
        <v>1733</v>
      </c>
      <c r="I2" s="217" t="s">
        <v>1734</v>
      </c>
      <c r="J2" s="217" t="s">
        <v>1735</v>
      </c>
      <c r="K2" s="218" t="s">
        <v>1736</v>
      </c>
    </row>
    <row r="3" spans="1:11" x14ac:dyDescent="0.25">
      <c r="A3" s="217" t="s">
        <v>85</v>
      </c>
      <c r="B3" s="217" t="s">
        <v>98</v>
      </c>
      <c r="C3" s="217" t="s">
        <v>2137</v>
      </c>
      <c r="D3" s="217" t="s">
        <v>2922</v>
      </c>
      <c r="E3" s="217" t="s">
        <v>2923</v>
      </c>
      <c r="F3" s="217">
        <v>43</v>
      </c>
      <c r="G3" s="217">
        <v>5</v>
      </c>
      <c r="H3" s="217">
        <v>94</v>
      </c>
      <c r="I3" s="217">
        <v>11</v>
      </c>
      <c r="J3" s="217">
        <v>0</v>
      </c>
      <c r="K3" s="218">
        <v>0</v>
      </c>
    </row>
    <row r="4" spans="1:11" x14ac:dyDescent="0.25">
      <c r="A4" s="217" t="s">
        <v>85</v>
      </c>
      <c r="B4" s="217" t="s">
        <v>98</v>
      </c>
      <c r="C4" s="217" t="s">
        <v>2139</v>
      </c>
      <c r="D4" s="217" t="s">
        <v>3024</v>
      </c>
      <c r="E4" s="217" t="s">
        <v>3025</v>
      </c>
      <c r="F4" s="217">
        <v>170</v>
      </c>
      <c r="G4" s="217">
        <v>20</v>
      </c>
      <c r="H4" s="217">
        <v>0</v>
      </c>
      <c r="I4" s="217">
        <v>0</v>
      </c>
      <c r="J4" s="217">
        <v>0</v>
      </c>
      <c r="K4" s="218">
        <v>0</v>
      </c>
    </row>
    <row r="5" spans="1:11" x14ac:dyDescent="0.25">
      <c r="A5" s="217" t="s">
        <v>85</v>
      </c>
      <c r="B5" s="217" t="s">
        <v>175</v>
      </c>
      <c r="C5" s="217" t="s">
        <v>815</v>
      </c>
      <c r="D5" s="217" t="s">
        <v>3174</v>
      </c>
      <c r="E5" s="217" t="s">
        <v>3175</v>
      </c>
      <c r="F5" s="217">
        <v>483</v>
      </c>
      <c r="G5" s="217">
        <v>58</v>
      </c>
      <c r="H5" s="217">
        <v>85</v>
      </c>
      <c r="I5" s="217">
        <v>17</v>
      </c>
      <c r="J5" s="217">
        <v>0</v>
      </c>
      <c r="K5" s="218">
        <v>0</v>
      </c>
    </row>
    <row r="6" spans="1:11" x14ac:dyDescent="0.25">
      <c r="A6" s="217" t="s">
        <v>37</v>
      </c>
      <c r="B6" s="217" t="s">
        <v>250</v>
      </c>
      <c r="C6" s="217" t="s">
        <v>2142</v>
      </c>
      <c r="D6" s="217" t="s">
        <v>3624</v>
      </c>
      <c r="E6" s="217" t="s">
        <v>3625</v>
      </c>
      <c r="F6" s="217">
        <v>1957</v>
      </c>
      <c r="G6" s="217">
        <v>287</v>
      </c>
      <c r="H6" s="217">
        <v>2748</v>
      </c>
      <c r="I6" s="217">
        <v>476</v>
      </c>
      <c r="J6" s="217">
        <v>580</v>
      </c>
      <c r="K6" s="218">
        <v>90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B2:X316"/>
  <sheetViews>
    <sheetView zoomScale="80" zoomScaleNormal="80" workbookViewId="0">
      <selection activeCell="I26" sqref="I26"/>
    </sheetView>
  </sheetViews>
  <sheetFormatPr defaultColWidth="11.42578125" defaultRowHeight="15" x14ac:dyDescent="0.25"/>
  <cols>
    <col min="1" max="1" width="3.42578125" style="96" customWidth="1"/>
    <col min="2" max="2" width="16" style="96" customWidth="1"/>
    <col min="3" max="3" width="18.42578125" style="96" customWidth="1"/>
    <col min="4" max="4" width="16.7109375" style="96" customWidth="1"/>
    <col min="5" max="5" width="10.140625" style="96" customWidth="1"/>
    <col min="6" max="6" width="23.28515625" style="96" customWidth="1"/>
    <col min="7" max="7" width="8.140625" style="96" customWidth="1"/>
    <col min="8" max="8" width="18.140625" style="96" customWidth="1"/>
    <col min="9" max="9" width="16.85546875" style="96" customWidth="1"/>
    <col min="10" max="10" width="26.42578125" style="96" customWidth="1"/>
    <col min="11" max="11" width="20.140625" style="96" customWidth="1"/>
    <col min="12" max="12" width="10.85546875" style="96" customWidth="1"/>
    <col min="13" max="13" width="18.42578125" style="96" customWidth="1"/>
    <col min="14" max="14" width="17.28515625" style="96" customWidth="1"/>
    <col min="15" max="15" width="10.140625" style="96" customWidth="1"/>
    <col min="16" max="16" width="21.85546875" style="96" bestFit="1" customWidth="1"/>
    <col min="17" max="17" width="8.140625" style="96" customWidth="1"/>
    <col min="18" max="18" width="17" style="96" customWidth="1"/>
    <col min="19" max="19" width="12.5703125" style="96" customWidth="1"/>
    <col min="20" max="20" width="30" style="96" customWidth="1"/>
    <col min="21" max="21" width="28" style="96" customWidth="1"/>
    <col min="22" max="22" width="7" style="96" customWidth="1"/>
    <col min="23" max="23" width="8.42578125" style="96" customWidth="1"/>
    <col min="24" max="24" width="15.140625" style="96" customWidth="1"/>
    <col min="25" max="25" width="12.140625" style="96" customWidth="1"/>
    <col min="26" max="26" width="10.7109375" style="96" customWidth="1"/>
    <col min="27" max="27" width="13.7109375" style="96" customWidth="1"/>
    <col min="28" max="28" width="10" style="96" customWidth="1"/>
    <col min="29" max="29" width="7.140625" style="96" customWidth="1"/>
    <col min="30" max="30" width="6.28515625" style="96" customWidth="1"/>
    <col min="31" max="31" width="8.28515625" style="96" customWidth="1"/>
    <col min="32" max="32" width="7.5703125" style="96" customWidth="1"/>
    <col min="33" max="33" width="9.42578125" style="96" customWidth="1"/>
    <col min="34" max="34" width="10" style="96" customWidth="1"/>
    <col min="35" max="35" width="5.28515625" style="96" customWidth="1"/>
    <col min="36" max="36" width="7" style="96" customWidth="1"/>
    <col min="37" max="37" width="8.42578125" style="96" customWidth="1"/>
    <col min="38" max="38" width="7.85546875" style="96" customWidth="1"/>
    <col min="39" max="39" width="5.7109375" style="96" customWidth="1"/>
    <col min="40" max="40" width="13.28515625" style="96" bestFit="1" customWidth="1"/>
    <col min="41" max="41" width="11.42578125" style="96"/>
    <col min="42" max="42" width="8.140625" style="96" customWidth="1"/>
    <col min="43" max="43" width="6" style="96" customWidth="1"/>
    <col min="44" max="44" width="13.42578125" style="96" bestFit="1" customWidth="1"/>
    <col min="45" max="45" width="11.140625" style="96" customWidth="1"/>
    <col min="46" max="46" width="5.85546875" style="96" customWidth="1"/>
    <col min="47" max="47" width="7.42578125" style="96" customWidth="1"/>
    <col min="48" max="48" width="4.7109375" style="96" customWidth="1"/>
    <col min="49" max="49" width="12.5703125" style="96" bestFit="1" customWidth="1"/>
    <col min="50" max="16384" width="11.42578125" style="96"/>
  </cols>
  <sheetData>
    <row r="2" spans="2:21" ht="15.75" x14ac:dyDescent="0.25">
      <c r="B2" s="418" t="s">
        <v>1864</v>
      </c>
      <c r="C2" s="419"/>
      <c r="D2" s="419"/>
      <c r="E2" s="419"/>
      <c r="F2" s="419"/>
      <c r="G2" s="419"/>
      <c r="H2" s="419"/>
      <c r="I2" s="419"/>
      <c r="J2" s="419"/>
      <c r="K2" s="419"/>
      <c r="L2" s="420"/>
      <c r="M2" s="418" t="s">
        <v>754</v>
      </c>
      <c r="N2" s="419"/>
      <c r="O2" s="419"/>
      <c r="P2" s="419"/>
      <c r="Q2" s="419"/>
      <c r="R2" s="419"/>
      <c r="S2" s="419"/>
      <c r="T2" s="419"/>
      <c r="U2" s="420"/>
    </row>
    <row r="3" spans="2:21" x14ac:dyDescent="0.25">
      <c r="B3" s="97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9"/>
    </row>
    <row r="4" spans="2:21" x14ac:dyDescent="0.25">
      <c r="B4" s="97"/>
      <c r="C4" s="100"/>
      <c r="D4" s="100"/>
      <c r="E4" s="100"/>
      <c r="F4" s="100"/>
      <c r="G4" s="100"/>
      <c r="H4" s="98"/>
      <c r="I4" s="98"/>
      <c r="J4" s="98"/>
      <c r="K4" s="98"/>
      <c r="L4" s="100"/>
      <c r="M4" s="100"/>
      <c r="N4" s="100"/>
      <c r="O4" s="100"/>
      <c r="P4" s="100"/>
      <c r="Q4" s="98"/>
      <c r="R4" s="98"/>
      <c r="S4" s="98"/>
      <c r="T4" s="98"/>
      <c r="U4" s="99"/>
    </row>
    <row r="5" spans="2:21" x14ac:dyDescent="0.25">
      <c r="B5" s="97"/>
      <c r="C5" s="37" t="s">
        <v>1766</v>
      </c>
      <c r="D5" s="37" t="s">
        <v>1763</v>
      </c>
      <c r="E5" s="37" t="s">
        <v>1764</v>
      </c>
      <c r="F5" s="37" t="s">
        <v>1765</v>
      </c>
      <c r="G5" s="37" t="s">
        <v>715</v>
      </c>
      <c r="H5" s="98"/>
      <c r="I5" s="98"/>
      <c r="J5" s="98"/>
      <c r="K5" s="98"/>
      <c r="L5" s="98"/>
      <c r="M5" s="37" t="s">
        <v>714</v>
      </c>
      <c r="N5" s="37" t="s">
        <v>1967</v>
      </c>
      <c r="O5" s="37" t="s">
        <v>1801</v>
      </c>
      <c r="P5" s="37" t="s">
        <v>721</v>
      </c>
      <c r="Q5" s="37" t="s">
        <v>715</v>
      </c>
      <c r="R5" s="98"/>
      <c r="S5" s="98"/>
      <c r="T5" s="98"/>
      <c r="U5" s="99"/>
    </row>
    <row r="6" spans="2:21" x14ac:dyDescent="0.25">
      <c r="B6" s="97"/>
      <c r="C6" s="159" t="s">
        <v>24</v>
      </c>
      <c r="D6" s="33">
        <f>SUMIF(Dashboard[evaluation_adm2_name],""&amp;Tableau11[[#This Row],[Individus]],Dashboard[idp_ind])</f>
        <v>5329</v>
      </c>
      <c r="E6" s="33">
        <f>SUMIF(Dashboard[evaluation_adm2_name],""&amp;Tableau11[[#This Row],[Individus]],Dashboard[ref_ind])</f>
        <v>253</v>
      </c>
      <c r="F6" s="33">
        <f>SUMIF(Dashboard[evaluation_adm2_name],""&amp;Tableau11[[#This Row],[Individus]],Dashboard[ret_ind])</f>
        <v>330</v>
      </c>
      <c r="G6" s="33">
        <f>Tableau11[[#This Row],[Population déplacée interne]]+Tableau11[[#This Row],[Réfugiés non-enregistrés]]+Tableau11[[#This Row],[Retournés]]</f>
        <v>5912</v>
      </c>
      <c r="H6" s="98"/>
      <c r="I6" s="98"/>
      <c r="J6" s="98"/>
      <c r="K6" s="98"/>
      <c r="L6" s="98"/>
      <c r="M6" s="159" t="s">
        <v>24</v>
      </c>
      <c r="N6" s="33">
        <f>SUMIF(Dashboard[evaluation_adm2_name],""&amp;Tableau12[[#This Row],[Individuals]],Dashboard[idp_ind])</f>
        <v>5329</v>
      </c>
      <c r="O6" s="33">
        <f>SUMIF(Dashboard[evaluation_adm2_name],""&amp;Tableau12[[#This Row],[Individuals]],Dashboard[ref_ind])</f>
        <v>253</v>
      </c>
      <c r="P6" s="33">
        <f>SUMIF(Dashboard[evaluation_adm2_name],""&amp;Tableau12[[#This Row],[Individuals]],Dashboard[ret_ind])</f>
        <v>330</v>
      </c>
      <c r="Q6" s="33">
        <f>Tableau12[[#This Row],[Internally displaced people]]+Tableau12[[#This Row],[Unregistered refugees]]+Tableau12[[#This Row],[Returnees]]</f>
        <v>5912</v>
      </c>
      <c r="R6" s="98"/>
      <c r="S6" s="98"/>
      <c r="T6" s="98"/>
      <c r="U6" s="99"/>
    </row>
    <row r="7" spans="2:21" x14ac:dyDescent="0.25">
      <c r="B7" s="97"/>
      <c r="C7" s="159" t="s">
        <v>85</v>
      </c>
      <c r="D7" s="33">
        <f>SUMIF(Dashboard[evaluation_adm2_name],""&amp;Tableau11[[#This Row],[Individus]],Dashboard[idp_ind])</f>
        <v>125711</v>
      </c>
      <c r="E7" s="33">
        <f>SUMIF(Dashboard[evaluation_adm2_name],""&amp;Tableau11[[#This Row],[Individus]],Dashboard[ref_ind])</f>
        <v>26067</v>
      </c>
      <c r="F7" s="33">
        <f>SUMIF(Dashboard[evaluation_adm2_name],""&amp;Tableau11[[#This Row],[Individus]],Dashboard[ret_ind])</f>
        <v>27980</v>
      </c>
      <c r="G7" s="33">
        <f>Tableau11[[#This Row],[Population déplacée interne]]+Tableau11[[#This Row],[Réfugiés non-enregistrés]]+Tableau11[[#This Row],[Retournés]]</f>
        <v>179758</v>
      </c>
      <c r="H7" s="98"/>
      <c r="I7" s="98"/>
      <c r="J7" s="98"/>
      <c r="K7" s="98"/>
      <c r="L7" s="98"/>
      <c r="M7" s="159" t="s">
        <v>85</v>
      </c>
      <c r="N7" s="33">
        <f>SUMIF(Dashboard[evaluation_adm2_name],""&amp;Tableau12[[#This Row],[Individuals]],Dashboard[idp_ind])</f>
        <v>125711</v>
      </c>
      <c r="O7" s="33">
        <f>SUMIF(Dashboard[evaluation_adm2_name],""&amp;Tableau12[[#This Row],[Individuals]],Dashboard[ref_ind])</f>
        <v>26067</v>
      </c>
      <c r="P7" s="33">
        <f>SUMIF(Dashboard[evaluation_adm2_name],""&amp;Tableau12[[#This Row],[Individuals]],Dashboard[ret_ind])</f>
        <v>27980</v>
      </c>
      <c r="Q7" s="33">
        <f>Tableau12[[#This Row],[Internally displaced people]]+Tableau12[[#This Row],[Unregistered refugees]]+Tableau12[[#This Row],[Returnees]]</f>
        <v>179758</v>
      </c>
      <c r="R7" s="98"/>
      <c r="S7" s="98"/>
      <c r="T7" s="98"/>
      <c r="U7" s="99"/>
    </row>
    <row r="8" spans="2:21" x14ac:dyDescent="0.25">
      <c r="B8" s="97"/>
      <c r="C8" s="159" t="s">
        <v>184</v>
      </c>
      <c r="D8" s="33">
        <f>SUMIF(Dashboard[evaluation_adm2_name],""&amp;Tableau11[[#This Row],[Individus]],Dashboard[idp_ind])</f>
        <v>10314</v>
      </c>
      <c r="E8" s="33">
        <f>SUMIF(Dashboard[evaluation_adm2_name],""&amp;Tableau11[[#This Row],[Individus]],Dashboard[ref_ind])</f>
        <v>119</v>
      </c>
      <c r="F8" s="33">
        <f>SUMIF(Dashboard[evaluation_adm2_name],""&amp;Tableau11[[#This Row],[Individus]],Dashboard[ret_ind])</f>
        <v>6429</v>
      </c>
      <c r="G8" s="33">
        <f>Tableau11[[#This Row],[Population déplacée interne]]+Tableau11[[#This Row],[Réfugiés non-enregistrés]]+Tableau11[[#This Row],[Retournés]]</f>
        <v>16862</v>
      </c>
      <c r="H8" s="98"/>
      <c r="I8" s="98"/>
      <c r="J8" s="98"/>
      <c r="K8" s="98"/>
      <c r="L8" s="98"/>
      <c r="M8" s="159" t="s">
        <v>184</v>
      </c>
      <c r="N8" s="33">
        <f>SUMIF(Dashboard[evaluation_adm2_name],""&amp;Tableau12[[#This Row],[Individuals]],Dashboard[idp_ind])</f>
        <v>10314</v>
      </c>
      <c r="O8" s="33">
        <f>SUMIF(Dashboard[evaluation_adm2_name],""&amp;Tableau12[[#This Row],[Individuals]],Dashboard[ref_ind])</f>
        <v>119</v>
      </c>
      <c r="P8" s="33">
        <f>SUMIF(Dashboard[evaluation_adm2_name],""&amp;Tableau12[[#This Row],[Individuals]],Dashboard[ret_ind])</f>
        <v>6429</v>
      </c>
      <c r="Q8" s="33">
        <f>Tableau12[[#This Row],[Internally displaced people]]+Tableau12[[#This Row],[Unregistered refugees]]+Tableau12[[#This Row],[Returnees]]</f>
        <v>16862</v>
      </c>
      <c r="R8" s="98"/>
      <c r="S8" s="98"/>
      <c r="T8" s="98"/>
      <c r="U8" s="99"/>
    </row>
    <row r="9" spans="2:21" x14ac:dyDescent="0.25">
      <c r="B9" s="97"/>
      <c r="C9" s="159" t="s">
        <v>218</v>
      </c>
      <c r="D9" s="33">
        <f>SUMIF(Dashboard[evaluation_adm2_name],""&amp;Tableau11[[#This Row],[Individus]],Dashboard[idp_ind])</f>
        <v>129</v>
      </c>
      <c r="E9" s="33">
        <f>SUMIF(Dashboard[evaluation_adm2_name],""&amp;Tableau11[[#This Row],[Individus]],Dashboard[ref_ind])</f>
        <v>20</v>
      </c>
      <c r="F9" s="33">
        <f>SUMIF(Dashboard[evaluation_adm2_name],""&amp;Tableau11[[#This Row],[Individus]],Dashboard[ret_ind])</f>
        <v>667</v>
      </c>
      <c r="G9" s="33">
        <f>Tableau11[[#This Row],[Population déplacée interne]]+Tableau11[[#This Row],[Réfugiés non-enregistrés]]+Tableau11[[#This Row],[Retournés]]</f>
        <v>816</v>
      </c>
      <c r="H9" s="98"/>
      <c r="I9" s="98"/>
      <c r="J9" s="98"/>
      <c r="K9" s="98"/>
      <c r="L9" s="98"/>
      <c r="M9" s="159" t="s">
        <v>218</v>
      </c>
      <c r="N9" s="33">
        <f>SUMIF(Dashboard[evaluation_adm2_name],""&amp;Tableau12[[#This Row],[Individuals]],Dashboard[idp_ind])</f>
        <v>129</v>
      </c>
      <c r="O9" s="33">
        <f>SUMIF(Dashboard[evaluation_adm2_name],""&amp;Tableau12[[#This Row],[Individuals]],Dashboard[ref_ind])</f>
        <v>20</v>
      </c>
      <c r="P9" s="33">
        <f>SUMIF(Dashboard[evaluation_adm2_name],""&amp;Tableau12[[#This Row],[Individuals]],Dashboard[ret_ind])</f>
        <v>667</v>
      </c>
      <c r="Q9" s="33">
        <f>Tableau12[[#This Row],[Internally displaced people]]+Tableau12[[#This Row],[Unregistered refugees]]+Tableau12[[#This Row],[Returnees]]</f>
        <v>816</v>
      </c>
      <c r="R9" s="98"/>
      <c r="S9" s="98"/>
      <c r="T9" s="98"/>
      <c r="U9" s="99"/>
    </row>
    <row r="10" spans="2:21" x14ac:dyDescent="0.25">
      <c r="B10" s="97"/>
      <c r="C10" s="159" t="s">
        <v>48</v>
      </c>
      <c r="D10" s="33">
        <f>SUMIF(Dashboard[evaluation_adm2_name],""&amp;Tableau11[[#This Row],[Individus]],Dashboard[idp_ind])</f>
        <v>59506</v>
      </c>
      <c r="E10" s="33">
        <f>SUMIF(Dashboard[evaluation_adm2_name],""&amp;Tableau11[[#This Row],[Individus]],Dashboard[ref_ind])</f>
        <v>0</v>
      </c>
      <c r="F10" s="33">
        <f>SUMIF(Dashboard[evaluation_adm2_name],""&amp;Tableau11[[#This Row],[Individus]],Dashboard[ret_ind])</f>
        <v>17128</v>
      </c>
      <c r="G10" s="33">
        <f>Tableau11[[#This Row],[Population déplacée interne]]+Tableau11[[#This Row],[Réfugiés non-enregistrés]]+Tableau11[[#This Row],[Retournés]]</f>
        <v>76634</v>
      </c>
      <c r="H10" s="98"/>
      <c r="I10" s="98"/>
      <c r="J10" s="98"/>
      <c r="K10" s="98"/>
      <c r="L10" s="98"/>
      <c r="M10" s="159" t="s">
        <v>48</v>
      </c>
      <c r="N10" s="33">
        <f>SUMIF(Dashboard[evaluation_adm2_name],""&amp;Tableau12[[#This Row],[Individuals]],Dashboard[idp_ind])</f>
        <v>59506</v>
      </c>
      <c r="O10" s="33">
        <f>SUMIF(Dashboard[evaluation_adm2_name],""&amp;Tableau12[[#This Row],[Individuals]],Dashboard[ref_ind])</f>
        <v>0</v>
      </c>
      <c r="P10" s="33">
        <f>SUMIF(Dashboard[evaluation_adm2_name],""&amp;Tableau12[[#This Row],[Individuals]],Dashboard[ret_ind])</f>
        <v>17128</v>
      </c>
      <c r="Q10" s="33">
        <f>Tableau12[[#This Row],[Internally displaced people]]+Tableau12[[#This Row],[Unregistered refugees]]+Tableau12[[#This Row],[Returnees]]</f>
        <v>76634</v>
      </c>
      <c r="R10" s="98"/>
      <c r="S10" s="98"/>
      <c r="T10" s="98"/>
      <c r="U10" s="99"/>
    </row>
    <row r="11" spans="2:21" x14ac:dyDescent="0.25">
      <c r="B11" s="97"/>
      <c r="C11" s="159" t="s">
        <v>37</v>
      </c>
      <c r="D11" s="33">
        <f>SUMIF(Dashboard[evaluation_adm2_name],""&amp;Tableau11[[#This Row],[Individus]],Dashboard[idp_ind])</f>
        <v>40041</v>
      </c>
      <c r="E11" s="33">
        <f>SUMIF(Dashboard[evaluation_adm2_name],""&amp;Tableau11[[#This Row],[Individus]],Dashboard[ref_ind])</f>
        <v>5197</v>
      </c>
      <c r="F11" s="33">
        <f>SUMIF(Dashboard[evaluation_adm2_name],""&amp;Tableau11[[#This Row],[Individus]],Dashboard[ret_ind])</f>
        <v>17196</v>
      </c>
      <c r="G11" s="33">
        <f>Tableau11[[#This Row],[Population déplacée interne]]+Tableau11[[#This Row],[Réfugiés non-enregistrés]]+Tableau11[[#This Row],[Retournés]]</f>
        <v>62434</v>
      </c>
      <c r="H11" s="98"/>
      <c r="I11" s="98"/>
      <c r="J11" s="98"/>
      <c r="K11" s="98"/>
      <c r="L11" s="98"/>
      <c r="M11" s="159" t="s">
        <v>37</v>
      </c>
      <c r="N11" s="33">
        <f>SUMIF(Dashboard[evaluation_adm2_name],""&amp;Tableau12[[#This Row],[Individuals]],Dashboard[idp_ind])</f>
        <v>40041</v>
      </c>
      <c r="O11" s="33">
        <f>SUMIF(Dashboard[evaluation_adm2_name],""&amp;Tableau12[[#This Row],[Individuals]],Dashboard[ref_ind])</f>
        <v>5197</v>
      </c>
      <c r="P11" s="33">
        <f>SUMIF(Dashboard[evaluation_adm2_name],""&amp;Tableau12[[#This Row],[Individuals]],Dashboard[ret_ind])</f>
        <v>17196</v>
      </c>
      <c r="Q11" s="33">
        <f>Tableau12[[#This Row],[Internally displaced people]]+Tableau12[[#This Row],[Unregistered refugees]]+Tableau12[[#This Row],[Returnees]]</f>
        <v>62434</v>
      </c>
      <c r="R11" s="98"/>
      <c r="S11" s="98"/>
      <c r="T11" s="98"/>
      <c r="U11" s="99"/>
    </row>
    <row r="12" spans="2:21" x14ac:dyDescent="0.25">
      <c r="B12" s="97"/>
      <c r="C12" s="159"/>
      <c r="D12" s="33">
        <f>SUM(D6:D11)</f>
        <v>241030</v>
      </c>
      <c r="E12" s="33">
        <f>SUM(E6:E11)</f>
        <v>31656</v>
      </c>
      <c r="F12" s="33">
        <f>SUM(F6:F11)</f>
        <v>69730</v>
      </c>
      <c r="G12" s="33">
        <f>SUM(G6:G11)</f>
        <v>342416</v>
      </c>
      <c r="H12" s="98"/>
      <c r="I12" s="98"/>
      <c r="J12" s="98"/>
      <c r="K12" s="98"/>
      <c r="L12" s="98"/>
      <c r="M12" s="159"/>
      <c r="N12" s="33">
        <f>SUM(N6:N11)</f>
        <v>241030</v>
      </c>
      <c r="O12" s="33">
        <f>SUM(O6:O11)</f>
        <v>31656</v>
      </c>
      <c r="P12" s="33">
        <f>SUM(P6:P11)</f>
        <v>69730</v>
      </c>
      <c r="Q12" s="33">
        <f>SUM(Q6:Q11)</f>
        <v>342416</v>
      </c>
      <c r="R12" s="98"/>
      <c r="S12" s="98"/>
      <c r="T12" s="98"/>
      <c r="U12" s="99"/>
    </row>
    <row r="13" spans="2:21" x14ac:dyDescent="0.25">
      <c r="B13" s="97"/>
      <c r="C13" s="98"/>
      <c r="D13" s="102">
        <v>0.73</v>
      </c>
      <c r="E13" s="102">
        <f>Tableau11[[#Totals],[Réfugiés non-enregistrés]]/Tableau11[[#Totals],[Total]]</f>
        <v>9.2448950983598899E-2</v>
      </c>
      <c r="F13" s="102">
        <f>Tableau11[[#Totals],[Retournés]]/Tableau11[[#Totals],[Total]]</f>
        <v>0.20364118499135556</v>
      </c>
      <c r="G13" s="102">
        <f>SUM(D13:F13)</f>
        <v>1.0260901359749544</v>
      </c>
      <c r="H13" s="98"/>
      <c r="I13" s="98"/>
      <c r="J13" s="98"/>
      <c r="K13" s="98"/>
      <c r="L13" s="98"/>
      <c r="M13" s="98"/>
      <c r="N13" s="102">
        <f>Tableau12[[#Totals],[Internally displaced people]]/Tableau12[[#Totals],[Total]]</f>
        <v>0.70390986402504552</v>
      </c>
      <c r="O13" s="102">
        <f>Tableau12[[#Totals],[Unregistered refugees]]/Tableau12[[#Totals],[Total]]</f>
        <v>9.2448950983598899E-2</v>
      </c>
      <c r="P13" s="102">
        <f>Tableau12[[#Totals],[Returnees]]/Tableau12[[#Totals],[Total]]</f>
        <v>0.20364118499135556</v>
      </c>
      <c r="Q13" s="103">
        <f>SUM(N13:P13)</f>
        <v>1</v>
      </c>
      <c r="R13" s="98"/>
      <c r="S13" s="98"/>
      <c r="T13" s="98"/>
      <c r="U13" s="99"/>
    </row>
    <row r="14" spans="2:21" x14ac:dyDescent="0.25">
      <c r="B14" s="97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9"/>
    </row>
    <row r="15" spans="2:21" x14ac:dyDescent="0.25">
      <c r="B15" s="97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9"/>
    </row>
    <row r="16" spans="2:21" x14ac:dyDescent="0.25">
      <c r="B16" s="97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9"/>
    </row>
    <row r="17" spans="2:21" x14ac:dyDescent="0.25">
      <c r="B17" s="97"/>
      <c r="C17" s="37" t="s">
        <v>1768</v>
      </c>
      <c r="D17" s="37" t="s">
        <v>1763</v>
      </c>
      <c r="E17" s="37" t="s">
        <v>1764</v>
      </c>
      <c r="F17" s="37" t="s">
        <v>1765</v>
      </c>
      <c r="G17" s="37" t="s">
        <v>715</v>
      </c>
      <c r="H17" s="98"/>
      <c r="I17" s="98"/>
      <c r="J17" s="98"/>
      <c r="K17" s="98"/>
      <c r="L17" s="98"/>
      <c r="M17" s="37" t="s">
        <v>716</v>
      </c>
      <c r="N17" s="37" t="s">
        <v>1767</v>
      </c>
      <c r="O17" s="37" t="s">
        <v>720</v>
      </c>
      <c r="P17" s="37" t="s">
        <v>721</v>
      </c>
      <c r="Q17" s="37" t="s">
        <v>715</v>
      </c>
      <c r="R17" s="98"/>
      <c r="S17" s="98"/>
      <c r="T17" s="98"/>
      <c r="U17" s="99"/>
    </row>
    <row r="18" spans="2:21" x14ac:dyDescent="0.25">
      <c r="B18" s="97"/>
      <c r="C18" s="159" t="s">
        <v>24</v>
      </c>
      <c r="D18" s="33">
        <f>SUMIF(Dashboard[evaluation_adm2_name],""&amp;Tableau1114[[#This Row],[Ménages]],Dashboard[idp_hh])</f>
        <v>935</v>
      </c>
      <c r="E18" s="33">
        <f>SUMIF(Dashboard[evaluation_adm2_name],""&amp;Tableau1114[[#This Row],[Ménages]],Dashboard[ref_hh])</f>
        <v>30</v>
      </c>
      <c r="F18" s="33">
        <f>SUMIF(Dashboard[evaluation_adm2_name],""&amp;Tableau1114[[#This Row],[Ménages]],Dashboard[ret_hh])</f>
        <v>28</v>
      </c>
      <c r="G18" s="33">
        <f>Tableau1114[[#This Row],[Population déplacée interne]]+Tableau1114[[#This Row],[Réfugiés non-enregistrés]]+Tableau1114[[#This Row],[Retournés]]</f>
        <v>993</v>
      </c>
      <c r="H18" s="98"/>
      <c r="I18" s="98"/>
      <c r="J18" s="98"/>
      <c r="K18" s="98"/>
      <c r="L18" s="98"/>
      <c r="M18" s="159" t="s">
        <v>24</v>
      </c>
      <c r="N18" s="33">
        <f>SUMIF(Dashboard[evaluation_adm2_name],""&amp;Tableau1215[[#This Row],[Households]],Dashboard[idp_hh])</f>
        <v>935</v>
      </c>
      <c r="O18" s="33">
        <f>SUMIF(Dashboard[evaluation_adm2_name],""&amp;Tableau1215[[#This Row],[Households]],Dashboard[ref_hh])</f>
        <v>30</v>
      </c>
      <c r="P18" s="33">
        <f>SUMIF(Dashboard[evaluation_adm2_name],""&amp;Tableau1215[[#This Row],[Households]],Dashboard[ret_hh])</f>
        <v>28</v>
      </c>
      <c r="Q18" s="33">
        <f>Tableau1215[[#This Row],[Internal displaced populations]]+Tableau1215[[#This Row],[Unregistered Refugees]]+Tableau1215[[#This Row],[Returnees]]</f>
        <v>993</v>
      </c>
      <c r="R18" s="98"/>
      <c r="S18" s="98"/>
      <c r="T18" s="98"/>
      <c r="U18" s="99"/>
    </row>
    <row r="19" spans="2:21" x14ac:dyDescent="0.25">
      <c r="B19" s="97"/>
      <c r="C19" s="159" t="s">
        <v>85</v>
      </c>
      <c r="D19" s="33">
        <f>SUMIF(Dashboard[evaluation_adm2_name],""&amp;Tableau1114[[#This Row],[Ménages]],Dashboard[idp_hh])</f>
        <v>20909</v>
      </c>
      <c r="E19" s="33">
        <f>SUMIF(Dashboard[evaluation_adm2_name],""&amp;Tableau1114[[#This Row],[Ménages]],Dashboard[ref_hh])</f>
        <v>4146</v>
      </c>
      <c r="F19" s="33">
        <f>SUMIF(Dashboard[evaluation_adm2_name],""&amp;Tableau1114[[#This Row],[Ménages]],Dashboard[ret_hh])</f>
        <v>4087</v>
      </c>
      <c r="G19" s="33">
        <f>Tableau1114[[#This Row],[Population déplacée interne]]+Tableau1114[[#This Row],[Réfugiés non-enregistrés]]+Tableau1114[[#This Row],[Retournés]]</f>
        <v>29142</v>
      </c>
      <c r="H19" s="98"/>
      <c r="I19" s="98"/>
      <c r="J19" s="98"/>
      <c r="K19" s="98"/>
      <c r="L19" s="98"/>
      <c r="M19" s="159" t="s">
        <v>85</v>
      </c>
      <c r="N19" s="33">
        <f>SUMIF(Dashboard[evaluation_adm2_name],""&amp;Tableau1215[[#This Row],[Households]],Dashboard[idp_hh])</f>
        <v>20909</v>
      </c>
      <c r="O19" s="33">
        <f>SUMIF(Dashboard[evaluation_adm2_name],""&amp;Tableau1215[[#This Row],[Households]],Dashboard[ref_hh])</f>
        <v>4146</v>
      </c>
      <c r="P19" s="33">
        <f>SUMIF(Dashboard[evaluation_adm2_name],""&amp;Tableau1215[[#This Row],[Households]],Dashboard[ret_hh])</f>
        <v>4087</v>
      </c>
      <c r="Q19" s="33">
        <f>Tableau1215[[#This Row],[Internal displaced populations]]+Tableau1215[[#This Row],[Unregistered Refugees]]+Tableau1215[[#This Row],[Returnees]]</f>
        <v>29142</v>
      </c>
      <c r="R19" s="98"/>
      <c r="S19" s="98"/>
      <c r="T19" s="98"/>
      <c r="U19" s="99"/>
    </row>
    <row r="20" spans="2:21" x14ac:dyDescent="0.25">
      <c r="B20" s="97"/>
      <c r="C20" s="159" t="s">
        <v>184</v>
      </c>
      <c r="D20" s="33">
        <f>SUMIF(Dashboard[evaluation_adm2_name],""&amp;Tableau1114[[#This Row],[Ménages]],Dashboard[idp_hh])</f>
        <v>1487</v>
      </c>
      <c r="E20" s="33">
        <f>SUMIF(Dashboard[evaluation_adm2_name],""&amp;Tableau1114[[#This Row],[Ménages]],Dashboard[ref_hh])</f>
        <v>25</v>
      </c>
      <c r="F20" s="33">
        <f>SUMIF(Dashboard[evaluation_adm2_name],""&amp;Tableau1114[[#This Row],[Ménages]],Dashboard[ret_hh])</f>
        <v>1064</v>
      </c>
      <c r="G20" s="33">
        <f>Tableau1114[[#This Row],[Population déplacée interne]]+Tableau1114[[#This Row],[Réfugiés non-enregistrés]]+Tableau1114[[#This Row],[Retournés]]</f>
        <v>2576</v>
      </c>
      <c r="H20" s="98"/>
      <c r="I20" s="98"/>
      <c r="J20" s="98"/>
      <c r="K20" s="98"/>
      <c r="L20" s="98"/>
      <c r="M20" s="159" t="s">
        <v>184</v>
      </c>
      <c r="N20" s="33">
        <f>SUMIF(Dashboard[evaluation_adm2_name],""&amp;Tableau1215[[#This Row],[Households]],Dashboard[idp_hh])</f>
        <v>1487</v>
      </c>
      <c r="O20" s="33">
        <f>SUMIF(Dashboard[evaluation_adm2_name],""&amp;Tableau1215[[#This Row],[Households]],Dashboard[ref_hh])</f>
        <v>25</v>
      </c>
      <c r="P20" s="33">
        <f>SUMIF(Dashboard[evaluation_adm2_name],""&amp;Tableau1215[[#This Row],[Households]],Dashboard[ret_hh])</f>
        <v>1064</v>
      </c>
      <c r="Q20" s="33">
        <f>Tableau1215[[#This Row],[Internal displaced populations]]+Tableau1215[[#This Row],[Unregistered Refugees]]+Tableau1215[[#This Row],[Returnees]]</f>
        <v>2576</v>
      </c>
      <c r="R20" s="98"/>
      <c r="S20" s="98"/>
      <c r="T20" s="98"/>
      <c r="U20" s="99"/>
    </row>
    <row r="21" spans="2:21" x14ac:dyDescent="0.25">
      <c r="B21" s="97"/>
      <c r="C21" s="159" t="s">
        <v>218</v>
      </c>
      <c r="D21" s="33">
        <f>SUMIF(Dashboard[evaluation_adm2_name],""&amp;Tableau1114[[#This Row],[Ménages]],Dashboard[idp_hh])</f>
        <v>19</v>
      </c>
      <c r="E21" s="33">
        <f>SUMIF(Dashboard[evaluation_adm2_name],""&amp;Tableau1114[[#This Row],[Ménages]],Dashboard[ref_hh])</f>
        <v>3</v>
      </c>
      <c r="F21" s="33">
        <f>SUMIF(Dashboard[evaluation_adm2_name],""&amp;Tableau1114[[#This Row],[Ménages]],Dashboard[ret_hh])</f>
        <v>108</v>
      </c>
      <c r="G21" s="33">
        <f>Tableau1114[[#This Row],[Population déplacée interne]]+Tableau1114[[#This Row],[Réfugiés non-enregistrés]]+Tableau1114[[#This Row],[Retournés]]</f>
        <v>130</v>
      </c>
      <c r="H21" s="98"/>
      <c r="I21" s="98"/>
      <c r="J21" s="98"/>
      <c r="K21" s="98"/>
      <c r="L21" s="98"/>
      <c r="M21" s="159" t="s">
        <v>218</v>
      </c>
      <c r="N21" s="33">
        <f>SUMIF(Dashboard[evaluation_adm2_name],""&amp;Tableau1215[[#This Row],[Households]],Dashboard[idp_hh])</f>
        <v>19</v>
      </c>
      <c r="O21" s="33">
        <f>SUMIF(Dashboard[evaluation_adm2_name],""&amp;Tableau1215[[#This Row],[Households]],Dashboard[ref_hh])</f>
        <v>3</v>
      </c>
      <c r="P21" s="33">
        <f>SUMIF(Dashboard[evaluation_adm2_name],""&amp;Tableau1215[[#This Row],[Households]],Dashboard[ret_hh])</f>
        <v>108</v>
      </c>
      <c r="Q21" s="33">
        <f>Tableau1215[[#This Row],[Internal displaced populations]]+Tableau1215[[#This Row],[Unregistered Refugees]]+Tableau1215[[#This Row],[Returnees]]</f>
        <v>130</v>
      </c>
      <c r="R21" s="98"/>
      <c r="S21" s="98"/>
      <c r="T21" s="98"/>
      <c r="U21" s="99"/>
    </row>
    <row r="22" spans="2:21" x14ac:dyDescent="0.25">
      <c r="B22" s="97"/>
      <c r="C22" s="159" t="s">
        <v>48</v>
      </c>
      <c r="D22" s="33">
        <f>SUMIF(Dashboard[evaluation_adm2_name],""&amp;Tableau1114[[#This Row],[Ménages]],Dashboard[idp_hh])</f>
        <v>10512</v>
      </c>
      <c r="E22" s="33">
        <f>SUMIF(Dashboard[evaluation_adm2_name],""&amp;Tableau1114[[#This Row],[Ménages]],Dashboard[ref_hh])</f>
        <v>0</v>
      </c>
      <c r="F22" s="33">
        <f>SUMIF(Dashboard[evaluation_adm2_name],""&amp;Tableau1114[[#This Row],[Ménages]],Dashboard[ret_hh])</f>
        <v>2599</v>
      </c>
      <c r="G22" s="33">
        <f>Tableau1114[[#This Row],[Population déplacée interne]]+Tableau1114[[#This Row],[Réfugiés non-enregistrés]]+Tableau1114[[#This Row],[Retournés]]</f>
        <v>13111</v>
      </c>
      <c r="H22" s="98"/>
      <c r="I22" s="98"/>
      <c r="J22" s="98"/>
      <c r="K22" s="98"/>
      <c r="L22" s="98"/>
      <c r="M22" s="159" t="s">
        <v>48</v>
      </c>
      <c r="N22" s="33">
        <f>SUMIF(Dashboard[evaluation_adm2_name],""&amp;Tableau1215[[#This Row],[Households]],Dashboard[idp_hh])</f>
        <v>10512</v>
      </c>
      <c r="O22" s="33">
        <f>SUMIF(Dashboard[evaluation_adm2_name],""&amp;Tableau1215[[#This Row],[Households]],Dashboard[ref_hh])</f>
        <v>0</v>
      </c>
      <c r="P22" s="33">
        <f>SUMIF(Dashboard[evaluation_adm2_name],""&amp;Tableau1215[[#This Row],[Households]],Dashboard[ret_hh])</f>
        <v>2599</v>
      </c>
      <c r="Q22" s="33">
        <f>Tableau1215[[#This Row],[Internal displaced populations]]+Tableau1215[[#This Row],[Unregistered Refugees]]+Tableau1215[[#This Row],[Returnees]]</f>
        <v>13111</v>
      </c>
      <c r="R22" s="98"/>
      <c r="S22" s="98"/>
      <c r="T22" s="98"/>
      <c r="U22" s="99"/>
    </row>
    <row r="23" spans="2:21" x14ac:dyDescent="0.25">
      <c r="B23" s="97"/>
      <c r="C23" s="159" t="s">
        <v>37</v>
      </c>
      <c r="D23" s="33">
        <f>SUMIF(Dashboard[evaluation_adm2_name],""&amp;Tableau1114[[#This Row],[Ménages]],Dashboard[idp_hh])</f>
        <v>6645</v>
      </c>
      <c r="E23" s="33">
        <f>SUMIF(Dashboard[evaluation_adm2_name],""&amp;Tableau1114[[#This Row],[Ménages]],Dashboard[ref_hh])</f>
        <v>922</v>
      </c>
      <c r="F23" s="33">
        <f>SUMIF(Dashboard[evaluation_adm2_name],""&amp;Tableau1114[[#This Row],[Ménages]],Dashboard[ret_hh])</f>
        <v>3029</v>
      </c>
      <c r="G23" s="33">
        <f>Tableau1114[[#This Row],[Population déplacée interne]]+Tableau1114[[#This Row],[Réfugiés non-enregistrés]]+Tableau1114[[#This Row],[Retournés]]</f>
        <v>10596</v>
      </c>
      <c r="H23" s="98"/>
      <c r="I23" s="98"/>
      <c r="J23" s="98"/>
      <c r="K23" s="98"/>
      <c r="L23" s="98"/>
      <c r="M23" s="159" t="s">
        <v>37</v>
      </c>
      <c r="N23" s="33">
        <f>SUMIF(Dashboard[evaluation_adm2_name],""&amp;Tableau1215[[#This Row],[Households]],Dashboard[idp_hh])</f>
        <v>6645</v>
      </c>
      <c r="O23" s="33">
        <f>SUMIF(Dashboard[evaluation_adm2_name],""&amp;Tableau1215[[#This Row],[Households]],Dashboard[ref_hh])</f>
        <v>922</v>
      </c>
      <c r="P23" s="33">
        <f>SUMIF(Dashboard[evaluation_adm2_name],""&amp;Tableau1215[[#This Row],[Households]],Dashboard[ret_hh])</f>
        <v>3029</v>
      </c>
      <c r="Q23" s="33">
        <f>Tableau1215[[#This Row],[Internal displaced populations]]+Tableau1215[[#This Row],[Unregistered Refugees]]+Tableau1215[[#This Row],[Returnees]]</f>
        <v>10596</v>
      </c>
      <c r="R23" s="98"/>
      <c r="S23" s="98"/>
      <c r="T23" s="98"/>
      <c r="U23" s="99"/>
    </row>
    <row r="24" spans="2:21" x14ac:dyDescent="0.25">
      <c r="B24" s="97"/>
      <c r="C24" s="159"/>
      <c r="D24" s="33">
        <f>SUM(D18:D23)</f>
        <v>40507</v>
      </c>
      <c r="E24" s="33">
        <f>SUM(E18:E23)</f>
        <v>5126</v>
      </c>
      <c r="F24" s="33">
        <f>SUM(F18:F23)</f>
        <v>10915</v>
      </c>
      <c r="G24" s="33">
        <f>SUM(G18:G23)</f>
        <v>56548</v>
      </c>
      <c r="H24" s="98"/>
      <c r="I24" s="98"/>
      <c r="J24" s="98"/>
      <c r="K24" s="98"/>
      <c r="L24" s="98"/>
      <c r="M24" s="159"/>
      <c r="N24" s="33">
        <f>SUM(N18:N23)</f>
        <v>40507</v>
      </c>
      <c r="O24" s="33">
        <f>SUM(O18:O23)</f>
        <v>5126</v>
      </c>
      <c r="P24" s="33">
        <f>SUM(P18:P23)</f>
        <v>10915</v>
      </c>
      <c r="Q24" s="33">
        <f>SUM(Q18:Q23)</f>
        <v>56548</v>
      </c>
      <c r="R24" s="98"/>
      <c r="S24" s="98"/>
      <c r="T24" s="98"/>
      <c r="U24" s="99"/>
    </row>
    <row r="25" spans="2:21" x14ac:dyDescent="0.25">
      <c r="B25" s="97"/>
      <c r="C25" s="98"/>
      <c r="D25" s="104">
        <f>Tableau1114[[#Totals],[Population déplacée interne]]/Tableau1114[[#Totals],[Total]]</f>
        <v>0.71632948999080426</v>
      </c>
      <c r="E25" s="104">
        <f>Tableau1114[[#Totals],[Réfugiés non-enregistrés]]/Tableau1114[[#Totals],[Total]]</f>
        <v>9.0648652472235983E-2</v>
      </c>
      <c r="F25" s="104">
        <f>Tableau1114[[#Totals],[Retournés]]/Tableau1114[[#Totals],[Total]]</f>
        <v>0.19302185753695975</v>
      </c>
      <c r="G25" s="104">
        <f>SUM(D25:F25)</f>
        <v>1</v>
      </c>
      <c r="H25" s="98"/>
      <c r="I25" s="98"/>
      <c r="J25" s="98" t="s">
        <v>139</v>
      </c>
      <c r="K25" s="98" t="s">
        <v>139</v>
      </c>
      <c r="L25" s="98"/>
      <c r="M25" s="98"/>
      <c r="N25" s="104">
        <f>Tableau1215[[#Totals],[Internal displaced populations]]/Tableau1215[[#Totals],[Total]]</f>
        <v>0.71632948999080426</v>
      </c>
      <c r="O25" s="104">
        <f>Tableau1215[[#Totals],[Unregistered Refugees]]/Tableau1215[[#Totals],[Total]]</f>
        <v>9.0648652472235983E-2</v>
      </c>
      <c r="P25" s="104">
        <f>Tableau1215[[#Totals],[Returnees]]/Tableau1215[[#Totals],[Total]]</f>
        <v>0.19302185753695975</v>
      </c>
      <c r="Q25" s="104">
        <f>SUM(N25:P25)</f>
        <v>1</v>
      </c>
      <c r="R25" s="98"/>
      <c r="S25" s="98"/>
      <c r="T25" s="98"/>
      <c r="U25" s="99"/>
    </row>
    <row r="26" spans="2:21" x14ac:dyDescent="0.25">
      <c r="B26" s="97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9"/>
    </row>
    <row r="27" spans="2:21" x14ac:dyDescent="0.25">
      <c r="B27" s="97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9"/>
    </row>
    <row r="28" spans="2:21" x14ac:dyDescent="0.25">
      <c r="B28" s="97"/>
      <c r="C28" s="105" t="s">
        <v>1875</v>
      </c>
      <c r="D28" s="98"/>
      <c r="E28" s="98"/>
      <c r="F28" s="105" t="s">
        <v>1876</v>
      </c>
      <c r="G28" s="98"/>
      <c r="H28" s="98"/>
      <c r="I28" s="98"/>
      <c r="J28" s="98"/>
      <c r="K28" s="98"/>
      <c r="L28" s="98"/>
      <c r="M28" s="105" t="s">
        <v>1881</v>
      </c>
      <c r="N28" s="98"/>
      <c r="O28" s="98"/>
      <c r="P28" s="105" t="s">
        <v>1885</v>
      </c>
      <c r="Q28" s="98"/>
      <c r="R28" s="98"/>
      <c r="S28" s="98"/>
      <c r="T28" s="98"/>
      <c r="U28" s="99"/>
    </row>
    <row r="29" spans="2:21" x14ac:dyDescent="0.25">
      <c r="B29" s="97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9"/>
    </row>
    <row r="30" spans="2:21" x14ac:dyDescent="0.25">
      <c r="B30" s="97"/>
      <c r="C30" s="9" t="s">
        <v>1795</v>
      </c>
      <c r="D30" s="9" t="s">
        <v>731</v>
      </c>
      <c r="E30" s="98"/>
      <c r="F30" s="9" t="s">
        <v>1795</v>
      </c>
      <c r="G30" s="9" t="s">
        <v>731</v>
      </c>
      <c r="H30" s="98"/>
      <c r="I30" s="98"/>
      <c r="J30" s="98"/>
      <c r="K30" s="98"/>
      <c r="L30" s="98"/>
      <c r="M30" s="9" t="s">
        <v>719</v>
      </c>
      <c r="N30" s="9" t="s">
        <v>731</v>
      </c>
      <c r="O30" s="98"/>
      <c r="P30" s="9" t="s">
        <v>719</v>
      </c>
      <c r="Q30" s="9" t="s">
        <v>731</v>
      </c>
      <c r="R30" s="98"/>
      <c r="S30" s="98"/>
      <c r="T30" s="98"/>
      <c r="U30" s="99"/>
    </row>
    <row r="31" spans="2:21" x14ac:dyDescent="0.25">
      <c r="B31" s="97"/>
      <c r="C31" s="9" t="s">
        <v>24</v>
      </c>
      <c r="D31" s="9">
        <f>COUNTIFS(Dashboard[evaluation_adm2_name],'Displacement &amp; Returns'!C31,Dashboard[nouveau],"*")</f>
        <v>46</v>
      </c>
      <c r="E31" s="98"/>
      <c r="F31" s="9" t="s">
        <v>24</v>
      </c>
      <c r="G31" s="9">
        <f>COUNTIFS(Dashboard[evaluation_adm2_name],'Displacement &amp; Returns'!F31,Dashboard[nouveau],"oui")</f>
        <v>0</v>
      </c>
      <c r="H31" s="98"/>
      <c r="I31" s="98"/>
      <c r="J31" s="98"/>
      <c r="K31" s="98"/>
      <c r="L31" s="98"/>
      <c r="M31" s="9" t="s">
        <v>24</v>
      </c>
      <c r="N31" s="9">
        <f>COUNTIFS(Dashboard[evaluation_adm2_name],'Displacement &amp; Returns'!M31,Dashboard[nouveau],"*")</f>
        <v>46</v>
      </c>
      <c r="O31" s="98"/>
      <c r="P31" s="9" t="s">
        <v>24</v>
      </c>
      <c r="Q31" s="9">
        <f>COUNTIFS(Dashboard[evaluation_adm2_name],'Displacement &amp; Returns'!P31,Dashboard[nouveau],"oui")</f>
        <v>0</v>
      </c>
      <c r="R31" s="98"/>
      <c r="S31" s="98"/>
      <c r="T31" s="98"/>
      <c r="U31" s="99"/>
    </row>
    <row r="32" spans="2:21" x14ac:dyDescent="0.25">
      <c r="B32" s="97"/>
      <c r="C32" s="9" t="s">
        <v>85</v>
      </c>
      <c r="D32" s="9">
        <f>COUNTIFS(Dashboard[evaluation_adm2_name],'Displacement &amp; Returns'!C32,Dashboard[nouveau],"*")</f>
        <v>457</v>
      </c>
      <c r="E32" s="98"/>
      <c r="F32" s="9" t="s">
        <v>85</v>
      </c>
      <c r="G32" s="9">
        <f>COUNTIFS(Dashboard[evaluation_adm2_name],'Displacement &amp; Returns'!F32,Dashboard[nouveau],"oui")</f>
        <v>3</v>
      </c>
      <c r="H32" s="98"/>
      <c r="I32" s="98"/>
      <c r="J32" s="98"/>
      <c r="K32" s="98"/>
      <c r="L32" s="98"/>
      <c r="M32" s="9" t="s">
        <v>85</v>
      </c>
      <c r="N32" s="9">
        <f>COUNTIFS(Dashboard[evaluation_adm2_name],'Displacement &amp; Returns'!M32,Dashboard[nouveau],"*")</f>
        <v>457</v>
      </c>
      <c r="O32" s="98"/>
      <c r="P32" s="9" t="s">
        <v>85</v>
      </c>
      <c r="Q32" s="9">
        <f>COUNTIFS(Dashboard[evaluation_adm2_name],'Displacement &amp; Returns'!P32,Dashboard[nouveau],"oui")</f>
        <v>3</v>
      </c>
      <c r="R32" s="98"/>
      <c r="S32" s="98"/>
      <c r="T32" s="98"/>
      <c r="U32" s="99"/>
    </row>
    <row r="33" spans="2:21" x14ac:dyDescent="0.25">
      <c r="B33" s="97"/>
      <c r="C33" s="9" t="s">
        <v>184</v>
      </c>
      <c r="D33" s="9">
        <f>COUNTIFS(Dashboard[evaluation_adm2_name],'Displacement &amp; Returns'!C33,Dashboard[nouveau],"*")</f>
        <v>37</v>
      </c>
      <c r="E33" s="98"/>
      <c r="F33" s="9" t="s">
        <v>184</v>
      </c>
      <c r="G33" s="9">
        <f>COUNTIFS(Dashboard[evaluation_adm2_name],'Displacement &amp; Returns'!F33,Dashboard[nouveau],"oui")</f>
        <v>0</v>
      </c>
      <c r="H33" s="98"/>
      <c r="I33" s="98"/>
      <c r="J33" s="98"/>
      <c r="K33" s="98"/>
      <c r="L33" s="98"/>
      <c r="M33" s="9" t="s">
        <v>184</v>
      </c>
      <c r="N33" s="9">
        <f>COUNTIFS(Dashboard[evaluation_adm2_name],'Displacement &amp; Returns'!M33,Dashboard[nouveau],"*")</f>
        <v>37</v>
      </c>
      <c r="O33" s="98"/>
      <c r="P33" s="9" t="s">
        <v>184</v>
      </c>
      <c r="Q33" s="9">
        <f>COUNTIFS(Dashboard[evaluation_adm2_name],'Displacement &amp; Returns'!P33,Dashboard[nouveau],"oui")</f>
        <v>0</v>
      </c>
      <c r="R33" s="98"/>
      <c r="S33" s="98"/>
      <c r="T33" s="98"/>
      <c r="U33" s="99"/>
    </row>
    <row r="34" spans="2:21" x14ac:dyDescent="0.25">
      <c r="B34" s="97"/>
      <c r="C34" s="9" t="s">
        <v>218</v>
      </c>
      <c r="D34" s="9">
        <f>COUNTIFS(Dashboard[evaluation_adm2_name],'Displacement &amp; Returns'!C34,Dashboard[nouveau],"*")</f>
        <v>22</v>
      </c>
      <c r="E34" s="98"/>
      <c r="F34" s="9" t="s">
        <v>218</v>
      </c>
      <c r="G34" s="9">
        <f>COUNTIFS(Dashboard[evaluation_adm2_name],'Displacement &amp; Returns'!F34,Dashboard[nouveau],"oui")</f>
        <v>0</v>
      </c>
      <c r="H34" s="98"/>
      <c r="I34" s="98"/>
      <c r="J34" s="98"/>
      <c r="K34" s="98"/>
      <c r="L34" s="98"/>
      <c r="M34" s="9" t="s">
        <v>218</v>
      </c>
      <c r="N34" s="9">
        <f>COUNTIFS(Dashboard[evaluation_adm2_name],'Displacement &amp; Returns'!M34,Dashboard[nouveau],"*")</f>
        <v>22</v>
      </c>
      <c r="O34" s="98"/>
      <c r="P34" s="9" t="s">
        <v>218</v>
      </c>
      <c r="Q34" s="9">
        <f>COUNTIFS(Dashboard[evaluation_adm2_name],'Displacement &amp; Returns'!P34,Dashboard[nouveau],"oui")</f>
        <v>0</v>
      </c>
      <c r="R34" s="98"/>
      <c r="S34" s="98"/>
      <c r="T34" s="98"/>
      <c r="U34" s="99"/>
    </row>
    <row r="35" spans="2:21" x14ac:dyDescent="0.25">
      <c r="B35" s="97"/>
      <c r="C35" s="9" t="s">
        <v>48</v>
      </c>
      <c r="D35" s="9">
        <f>COUNTIFS(Dashboard[evaluation_adm2_name],'Displacement &amp; Returns'!C35,Dashboard[nouveau],"*")</f>
        <v>60</v>
      </c>
      <c r="E35" s="98"/>
      <c r="F35" s="9" t="s">
        <v>48</v>
      </c>
      <c r="G35" s="9">
        <f>COUNTIFS(Dashboard[evaluation_adm2_name],'Displacement &amp; Returns'!F35,Dashboard[nouveau],"oui")</f>
        <v>0</v>
      </c>
      <c r="H35" s="98"/>
      <c r="I35" s="98"/>
      <c r="J35" s="98"/>
      <c r="K35" s="98"/>
      <c r="L35" s="98"/>
      <c r="M35" s="9" t="s">
        <v>48</v>
      </c>
      <c r="N35" s="9">
        <f>COUNTIFS(Dashboard[evaluation_adm2_name],'Displacement &amp; Returns'!M35,Dashboard[nouveau],"*")</f>
        <v>60</v>
      </c>
      <c r="O35" s="98"/>
      <c r="P35" s="9" t="s">
        <v>48</v>
      </c>
      <c r="Q35" s="9">
        <f>COUNTIFS(Dashboard[evaluation_adm2_name],'Displacement &amp; Returns'!P35,Dashboard[nouveau],"oui")</f>
        <v>0</v>
      </c>
      <c r="R35" s="98"/>
      <c r="S35" s="98"/>
      <c r="T35" s="98"/>
      <c r="U35" s="99"/>
    </row>
    <row r="36" spans="2:21" x14ac:dyDescent="0.25">
      <c r="B36" s="97"/>
      <c r="C36" s="9" t="s">
        <v>37</v>
      </c>
      <c r="D36" s="9">
        <f>COUNTIFS(Dashboard[evaluation_adm2_name],'Displacement &amp; Returns'!C36,Dashboard[nouveau],"*")</f>
        <v>125</v>
      </c>
      <c r="E36" s="98"/>
      <c r="F36" s="9" t="s">
        <v>37</v>
      </c>
      <c r="G36" s="9">
        <f>COUNTIFS(Dashboard[evaluation_adm2_name],'Displacement &amp; Returns'!F36,Dashboard[nouveau],"oui")</f>
        <v>1</v>
      </c>
      <c r="H36" s="98"/>
      <c r="I36" s="98"/>
      <c r="J36" s="98"/>
      <c r="K36" s="98"/>
      <c r="L36" s="98"/>
      <c r="M36" s="9" t="s">
        <v>37</v>
      </c>
      <c r="N36" s="9">
        <f>COUNTIFS(Dashboard[evaluation_adm2_name],'Displacement &amp; Returns'!M36,Dashboard[nouveau],"*")</f>
        <v>125</v>
      </c>
      <c r="O36" s="98"/>
      <c r="P36" s="9" t="s">
        <v>37</v>
      </c>
      <c r="Q36" s="9">
        <f>COUNTIFS(Dashboard[evaluation_adm2_name],'Displacement &amp; Returns'!P36,Dashboard[nouveau],"oui")</f>
        <v>1</v>
      </c>
      <c r="R36" s="98"/>
      <c r="S36" s="98"/>
      <c r="T36" s="98"/>
      <c r="U36" s="99"/>
    </row>
    <row r="37" spans="2:21" x14ac:dyDescent="0.25">
      <c r="B37" s="97"/>
      <c r="C37" s="9"/>
      <c r="D37" s="9">
        <f>SUM(D31:D36)</f>
        <v>747</v>
      </c>
      <c r="E37" s="98"/>
      <c r="F37" s="9"/>
      <c r="G37" s="9">
        <f>SUM(G31:G36)</f>
        <v>4</v>
      </c>
      <c r="H37" s="98"/>
      <c r="I37" s="98"/>
      <c r="J37" s="98"/>
      <c r="K37" s="98"/>
      <c r="L37" s="98"/>
      <c r="M37" s="9"/>
      <c r="N37" s="9">
        <f>SUM(N31:N36)</f>
        <v>747</v>
      </c>
      <c r="O37" s="98"/>
      <c r="P37" s="9"/>
      <c r="Q37" s="9">
        <f>SUM(Q31:Q36)</f>
        <v>4</v>
      </c>
      <c r="R37" s="98"/>
      <c r="S37" s="98"/>
      <c r="T37" s="98"/>
      <c r="U37" s="99"/>
    </row>
    <row r="38" spans="2:2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9"/>
    </row>
    <row r="39" spans="2:2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9"/>
    </row>
    <row r="40" spans="2:21" x14ac:dyDescent="0.25">
      <c r="B40" s="97"/>
      <c r="C40" s="105" t="s">
        <v>1877</v>
      </c>
      <c r="D40" s="98"/>
      <c r="E40" s="98"/>
      <c r="F40" s="98"/>
      <c r="G40" s="98"/>
      <c r="H40" s="105" t="s">
        <v>1903</v>
      </c>
      <c r="I40" s="98"/>
      <c r="J40" s="98"/>
      <c r="K40" s="98"/>
      <c r="L40" s="98"/>
      <c r="M40" s="105" t="s">
        <v>1882</v>
      </c>
      <c r="N40" s="98"/>
      <c r="O40" s="98"/>
      <c r="P40" s="98"/>
      <c r="Q40" s="98"/>
      <c r="R40" s="105" t="s">
        <v>1904</v>
      </c>
      <c r="S40" s="98"/>
      <c r="T40" s="98"/>
      <c r="U40" s="99"/>
    </row>
    <row r="41" spans="2:2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9"/>
    </row>
    <row r="42" spans="2:21" x14ac:dyDescent="0.25">
      <c r="B42" s="97"/>
      <c r="C42" s="9" t="s">
        <v>1795</v>
      </c>
      <c r="D42" s="9" t="s">
        <v>1880</v>
      </c>
      <c r="E42" s="9" t="s">
        <v>1878</v>
      </c>
      <c r="F42" s="9" t="s">
        <v>1879</v>
      </c>
      <c r="G42" s="98"/>
      <c r="H42" s="9" t="s">
        <v>1795</v>
      </c>
      <c r="I42" s="9" t="s">
        <v>1902</v>
      </c>
      <c r="J42" s="98"/>
      <c r="K42" s="98"/>
      <c r="L42" s="98"/>
      <c r="M42" s="9" t="s">
        <v>719</v>
      </c>
      <c r="N42" s="9" t="s">
        <v>1740</v>
      </c>
      <c r="O42" s="9" t="s">
        <v>1883</v>
      </c>
      <c r="P42" s="9" t="s">
        <v>1884</v>
      </c>
      <c r="Q42" s="98"/>
      <c r="R42" s="9" t="s">
        <v>719</v>
      </c>
      <c r="S42" s="9" t="s">
        <v>1904</v>
      </c>
      <c r="T42" s="99"/>
    </row>
    <row r="43" spans="2:21" x14ac:dyDescent="0.25">
      <c r="B43" s="97"/>
      <c r="C43" s="9" t="s">
        <v>24</v>
      </c>
      <c r="D43" s="9">
        <f>COUNTIFS(Dashboard[evaluation_adm2_name],'Displacement &amp; Returns'!C43,Dashboard[nouveau],"*",Dashboard[idp_ind],"&gt;"&amp;0, Dashboard[ref_ind],0,Dashboard[ret_ind],0)</f>
        <v>32</v>
      </c>
      <c r="E43" s="9">
        <f>COUNTIFS(Dashboard[evaluation_adm2_name],'Displacement &amp; Returns'!C43,Dashboard[nouveau],"*",Dashboard[idp_ind],0, Dashboard[ref_ind],"&gt;"&amp;0,Dashboard[ret_ind],0)</f>
        <v>2</v>
      </c>
      <c r="F43" s="9">
        <f>COUNTIFS(Dashboard[evaluation_adm2_name],'Displacement &amp; Returns'!C43,Dashboard[nouveau],"*",Dashboard[idp_ind],0, Dashboard[ref_ind],0,Dashboard[ret_ind],"&gt;"&amp;0)</f>
        <v>5</v>
      </c>
      <c r="G43" s="98"/>
      <c r="H43" s="9" t="s">
        <v>24</v>
      </c>
      <c r="I43" s="9">
        <f>COUNTIFS(Locations[Adm2_Name],Tableau60[[#This Row],[Départements]],Locations[Ind_IDPs],0,Locations[Ind_Unregistered_Refugees],0,Locations[Ind_Returnees],0)</f>
        <v>2</v>
      </c>
      <c r="J43" s="98"/>
      <c r="K43" s="98"/>
      <c r="L43" s="98"/>
      <c r="M43" s="9" t="s">
        <v>24</v>
      </c>
      <c r="N43" s="9">
        <f>COUNTIFS(Dashboard[evaluation_adm2_name],'Displacement &amp; Returns'!M43,Dashboard[nouveau],"*",Dashboard[idp_ind],"&gt;"&amp;0, Dashboard[ref_ind],0,Dashboard[ret_ind],0)</f>
        <v>32</v>
      </c>
      <c r="O43" s="9">
        <f>COUNTIFS(Dashboard[evaluation_adm2_name],'Displacement &amp; Returns'!M43,Dashboard[nouveau],"*",Dashboard[idp_ind],0, Dashboard[ref_ind],"&gt;"&amp;0,Dashboard[ret_ind],0)</f>
        <v>2</v>
      </c>
      <c r="P43" s="9">
        <f>COUNTIFS(Dashboard[evaluation_adm2_name],'Displacement &amp; Returns'!M43,Dashboard[nouveau],"*",Dashboard[idp_ind],0, Dashboard[ref_ind],0,Dashboard[ret_ind],"&gt;"&amp;0)</f>
        <v>5</v>
      </c>
      <c r="Q43" s="98"/>
      <c r="R43" s="9" t="s">
        <v>24</v>
      </c>
      <c r="S43" s="9">
        <f>COUNTIFS(Locations[Adm2_Name],Tableau6063[[#This Row],[Departments]],Locations[Ind_IDPs],0,Locations[Ind_Unregistered_Refugees],0,Locations[Ind_Returnees],0)</f>
        <v>2</v>
      </c>
    </row>
    <row r="44" spans="2:21" x14ac:dyDescent="0.25">
      <c r="B44" s="97"/>
      <c r="C44" s="9" t="s">
        <v>85</v>
      </c>
      <c r="D44" s="9">
        <f>COUNTIFS(Dashboard[evaluation_adm2_name],'Displacement &amp; Returns'!C44,Dashboard[nouveau],"*",Dashboard[idp_ind],"&gt;"&amp;0, Dashboard[ref_ind],0,Dashboard[ret_ind],0)</f>
        <v>219</v>
      </c>
      <c r="E44" s="9">
        <f>COUNTIFS(Dashboard[evaluation_adm2_name],'Displacement &amp; Returns'!C44,Dashboard[nouveau],"*",Dashboard[idp_ind],0, Dashboard[ref_ind],"&gt;"&amp;0,Dashboard[ret_ind],0)</f>
        <v>13</v>
      </c>
      <c r="F44" s="9">
        <f>COUNTIFS(Dashboard[evaluation_adm2_name],'Displacement &amp; Returns'!C44,Dashboard[nouveau],"*",Dashboard[idp_ind],0, Dashboard[ref_ind],0,Dashboard[ret_ind],"&gt;"&amp;0)</f>
        <v>5</v>
      </c>
      <c r="G44" s="98"/>
      <c r="H44" s="9" t="s">
        <v>85</v>
      </c>
      <c r="I44" s="9">
        <f>COUNTIFS(Locations[Adm2_Name],Tableau60[[#This Row],[Départements]],Locations[Ind_IDPs],0,Locations[Ind_Unregistered_Refugees],0,Locations[Ind_Returnees],0)</f>
        <v>53</v>
      </c>
      <c r="J44" s="98"/>
      <c r="K44" s="98"/>
      <c r="L44" s="98"/>
      <c r="M44" s="9" t="s">
        <v>85</v>
      </c>
      <c r="N44" s="9">
        <f>COUNTIFS(Dashboard[evaluation_adm2_name],'Displacement &amp; Returns'!M44,Dashboard[nouveau],"*",Dashboard[idp_ind],"&gt;"&amp;0, Dashboard[ref_ind],0,Dashboard[ret_ind],0)</f>
        <v>219</v>
      </c>
      <c r="O44" s="9">
        <f>COUNTIFS(Dashboard[evaluation_adm2_name],'Displacement &amp; Returns'!M44,Dashboard[nouveau],"*",Dashboard[idp_ind],0, Dashboard[ref_ind],"&gt;"&amp;0,Dashboard[ret_ind],0)</f>
        <v>13</v>
      </c>
      <c r="P44" s="9">
        <f>COUNTIFS(Dashboard[evaluation_adm2_name],'Displacement &amp; Returns'!M44,Dashboard[nouveau],"*",Dashboard[idp_ind],0, Dashboard[ref_ind],0,Dashboard[ret_ind],"&gt;"&amp;0)</f>
        <v>5</v>
      </c>
      <c r="Q44" s="98"/>
      <c r="R44" s="9" t="s">
        <v>85</v>
      </c>
      <c r="S44" s="9">
        <f>COUNTIFS(Locations[Adm2_Name],Tableau6063[[#This Row],[Departments]],Locations[Ind_IDPs],0,Locations[Ind_Unregistered_Refugees],0,Locations[Ind_Returnees],0)</f>
        <v>53</v>
      </c>
      <c r="T44" s="98"/>
      <c r="U44" s="99"/>
    </row>
    <row r="45" spans="2:21" x14ac:dyDescent="0.25">
      <c r="B45" s="97"/>
      <c r="C45" s="9" t="s">
        <v>184</v>
      </c>
      <c r="D45" s="9">
        <f>COUNTIFS(Dashboard[evaluation_adm2_name],'Displacement &amp; Returns'!C45,Dashboard[nouveau],"*",Dashboard[idp_ind],"&gt;"&amp;0, Dashboard[ref_ind],0,Dashboard[ret_ind],0)</f>
        <v>13</v>
      </c>
      <c r="E45" s="9">
        <f>COUNTIFS(Dashboard[evaluation_adm2_name],'Displacement &amp; Returns'!C45,Dashboard[nouveau],"*",Dashboard[idp_ind],0, Dashboard[ref_ind],"&gt;"&amp;0,Dashboard[ret_ind],0)</f>
        <v>0</v>
      </c>
      <c r="F45" s="9">
        <f>COUNTIFS(Dashboard[evaluation_adm2_name],'Displacement &amp; Returns'!C45,Dashboard[nouveau],"*",Dashboard[idp_ind],0, Dashboard[ref_ind],0,Dashboard[ret_ind],"&gt;"&amp;0)</f>
        <v>8</v>
      </c>
      <c r="G45" s="98"/>
      <c r="H45" s="9" t="s">
        <v>184</v>
      </c>
      <c r="I45" s="9">
        <f>COUNTIFS(Locations[Adm2_Name],Tableau60[[#This Row],[Départements]],Locations[Ind_IDPs],0,Locations[Ind_Unregistered_Refugees],0,Locations[Ind_Returnees],0)</f>
        <v>0</v>
      </c>
      <c r="J45" s="98"/>
      <c r="K45" s="98"/>
      <c r="L45" s="98"/>
      <c r="M45" s="9" t="s">
        <v>184</v>
      </c>
      <c r="N45" s="9">
        <f>COUNTIFS(Dashboard[evaluation_adm2_name],'Displacement &amp; Returns'!M45,Dashboard[nouveau],"*",Dashboard[idp_ind],"&gt;"&amp;0, Dashboard[ref_ind],0,Dashboard[ret_ind],0)</f>
        <v>13</v>
      </c>
      <c r="O45" s="9">
        <f>COUNTIFS(Dashboard[evaluation_adm2_name],'Displacement &amp; Returns'!M45,Dashboard[nouveau],"*",Dashboard[idp_ind],0, Dashboard[ref_ind],"&gt;"&amp;0,Dashboard[ret_ind],0)</f>
        <v>0</v>
      </c>
      <c r="P45" s="9">
        <f>COUNTIFS(Dashboard[evaluation_adm2_name],'Displacement &amp; Returns'!M45,Dashboard[nouveau],"*",Dashboard[idp_ind],0, Dashboard[ref_ind],0,Dashboard[ret_ind],"&gt;"&amp;0)</f>
        <v>8</v>
      </c>
      <c r="Q45" s="98"/>
      <c r="R45" s="9" t="s">
        <v>184</v>
      </c>
      <c r="S45" s="9">
        <f>COUNTIFS(Locations[Adm2_Name],Tableau6063[[#This Row],[Departments]],Locations[Ind_IDPs],0,Locations[Ind_Unregistered_Refugees],0,Locations[Ind_Returnees],0)</f>
        <v>0</v>
      </c>
      <c r="T45" s="98"/>
      <c r="U45" s="99"/>
    </row>
    <row r="46" spans="2:21" x14ac:dyDescent="0.25">
      <c r="B46" s="97"/>
      <c r="C46" s="9" t="s">
        <v>218</v>
      </c>
      <c r="D46" s="9">
        <f>COUNTIFS(Dashboard[evaluation_adm2_name],'Displacement &amp; Returns'!C46,Dashboard[nouveau],"*",Dashboard[idp_ind],"&gt;"&amp;0, Dashboard[ref_ind],0,Dashboard[ret_ind],0)</f>
        <v>3</v>
      </c>
      <c r="E46" s="9">
        <f>COUNTIFS(Dashboard[evaluation_adm2_name],'Displacement &amp; Returns'!C46,Dashboard[nouveau],"*",Dashboard[idp_ind],0, Dashboard[ref_ind],"&gt;"&amp;0,Dashboard[ret_ind],0)</f>
        <v>2</v>
      </c>
      <c r="F46" s="9">
        <f>COUNTIFS(Dashboard[evaluation_adm2_name],'Displacement &amp; Returns'!C46,Dashboard[nouveau],"*",Dashboard[idp_ind],0, Dashboard[ref_ind],0,Dashboard[ret_ind],"&gt;"&amp;0)</f>
        <v>14</v>
      </c>
      <c r="G46" s="98"/>
      <c r="H46" s="9" t="s">
        <v>218</v>
      </c>
      <c r="I46" s="9">
        <f>COUNTIFS(Locations[Adm2_Name],Tableau60[[#This Row],[Départements]],Locations[Ind_IDPs],0,Locations[Ind_Unregistered_Refugees],0,Locations[Ind_Returnees],0)</f>
        <v>1</v>
      </c>
      <c r="J46" s="98"/>
      <c r="K46" s="98"/>
      <c r="L46" s="98"/>
      <c r="M46" s="9" t="s">
        <v>218</v>
      </c>
      <c r="N46" s="9">
        <f>COUNTIFS(Dashboard[evaluation_adm2_name],'Displacement &amp; Returns'!M46,Dashboard[nouveau],"*",Dashboard[idp_ind],"&gt;"&amp;0, Dashboard[ref_ind],0,Dashboard[ret_ind],0)</f>
        <v>3</v>
      </c>
      <c r="O46" s="9">
        <f>COUNTIFS(Dashboard[evaluation_adm2_name],'Displacement &amp; Returns'!M46,Dashboard[nouveau],"*",Dashboard[idp_ind],0, Dashboard[ref_ind],"&gt;"&amp;0,Dashboard[ret_ind],0)</f>
        <v>2</v>
      </c>
      <c r="P46" s="9">
        <f>COUNTIFS(Dashboard[evaluation_adm2_name],'Displacement &amp; Returns'!M46,Dashboard[nouveau],"*",Dashboard[idp_ind],0, Dashboard[ref_ind],0,Dashboard[ret_ind],"&gt;"&amp;0)</f>
        <v>14</v>
      </c>
      <c r="Q46" s="98"/>
      <c r="R46" s="9" t="s">
        <v>218</v>
      </c>
      <c r="S46" s="9">
        <f>COUNTIFS(Locations[Adm2_Name],Tableau6063[[#This Row],[Departments]],Locations[Ind_IDPs],0,Locations[Ind_Unregistered_Refugees],0,Locations[Ind_Returnees],0)</f>
        <v>1</v>
      </c>
      <c r="T46" s="98"/>
      <c r="U46" s="99"/>
    </row>
    <row r="47" spans="2:21" x14ac:dyDescent="0.25">
      <c r="B47" s="97"/>
      <c r="C47" s="9" t="s">
        <v>48</v>
      </c>
      <c r="D47" s="9">
        <f>COUNTIFS(Dashboard[evaluation_adm2_name],'Displacement &amp; Returns'!C47,Dashboard[nouveau],"*",Dashboard[idp_ind],"&gt;"&amp;0, Dashboard[ref_ind],0,Dashboard[ret_ind],0)</f>
        <v>36</v>
      </c>
      <c r="E47" s="9">
        <f>COUNTIFS(Dashboard[evaluation_adm2_name],'Displacement &amp; Returns'!C47,Dashboard[nouveau],"*",Dashboard[idp_ind],0, Dashboard[ref_ind],"&gt;"&amp;0,Dashboard[ret_ind],0)</f>
        <v>0</v>
      </c>
      <c r="F47" s="9">
        <f>COUNTIFS(Dashboard[evaluation_adm2_name],'Displacement &amp; Returns'!C47,Dashboard[nouveau],"*",Dashboard[idp_ind],0, Dashboard[ref_ind],0,Dashboard[ret_ind],"&gt;"&amp;0)</f>
        <v>4</v>
      </c>
      <c r="G47" s="98"/>
      <c r="H47" s="9" t="s">
        <v>48</v>
      </c>
      <c r="I47" s="9">
        <f>COUNTIFS(Locations[Adm2_Name],Tableau60[[#This Row],[Départements]],Locations[Ind_IDPs],0,Locations[Ind_Unregistered_Refugees],0,Locations[Ind_Returnees],0)</f>
        <v>11</v>
      </c>
      <c r="J47" s="98"/>
      <c r="K47" s="98"/>
      <c r="L47" s="98"/>
      <c r="M47" s="9" t="s">
        <v>48</v>
      </c>
      <c r="N47" s="9">
        <f>COUNTIFS(Dashboard[evaluation_adm2_name],'Displacement &amp; Returns'!M47,Dashboard[nouveau],"*",Dashboard[idp_ind],"&gt;"&amp;0, Dashboard[ref_ind],0,Dashboard[ret_ind],0)</f>
        <v>36</v>
      </c>
      <c r="O47" s="9">
        <f>COUNTIFS(Dashboard[evaluation_adm2_name],'Displacement &amp; Returns'!M47,Dashboard[nouveau],"*",Dashboard[idp_ind],0, Dashboard[ref_ind],"&gt;"&amp;0,Dashboard[ret_ind],0)</f>
        <v>0</v>
      </c>
      <c r="P47" s="9">
        <f>COUNTIFS(Dashboard[evaluation_adm2_name],'Displacement &amp; Returns'!M47,Dashboard[nouveau],"*",Dashboard[idp_ind],0, Dashboard[ref_ind],0,Dashboard[ret_ind],"&gt;"&amp;0)</f>
        <v>4</v>
      </c>
      <c r="Q47" s="98"/>
      <c r="R47" s="9" t="s">
        <v>48</v>
      </c>
      <c r="S47" s="9">
        <f>COUNTIFS(Locations[Adm2_Name],Tableau6063[[#This Row],[Departments]],Locations[Ind_IDPs],0,Locations[Ind_Unregistered_Refugees],0,Locations[Ind_Returnees],0)</f>
        <v>11</v>
      </c>
      <c r="T47" s="98"/>
      <c r="U47" s="99"/>
    </row>
    <row r="48" spans="2:21" x14ac:dyDescent="0.25">
      <c r="B48" s="97"/>
      <c r="C48" s="9" t="s">
        <v>37</v>
      </c>
      <c r="D48" s="9">
        <f>COUNTIFS(Dashboard[evaluation_adm2_name],'Displacement &amp; Returns'!C48,Dashboard[nouveau],"*",Dashboard[idp_ind],"&gt;"&amp;0, Dashboard[ref_ind],0,Dashboard[ret_ind],0)</f>
        <v>11</v>
      </c>
      <c r="E48" s="9">
        <f>COUNTIFS(Dashboard[evaluation_adm2_name],'Displacement &amp; Returns'!C48,Dashboard[nouveau],"*",Dashboard[idp_ind],0, Dashboard[ref_ind],"&gt;"&amp;0,Dashboard[ret_ind],0)</f>
        <v>3</v>
      </c>
      <c r="F48" s="9">
        <f>COUNTIFS(Dashboard[evaluation_adm2_name],'Displacement &amp; Returns'!C48,Dashboard[nouveau],"*",Dashboard[idp_ind],0, Dashboard[ref_ind],0,Dashboard[ret_ind],"&gt;"&amp;0)</f>
        <v>6</v>
      </c>
      <c r="G48" s="98"/>
      <c r="H48" s="9" t="s">
        <v>37</v>
      </c>
      <c r="I48" s="9">
        <f>COUNTIFS(Locations[Adm2_Name],Tableau60[[#This Row],[Départements]],Locations[Ind_IDPs],0,Locations[Ind_Unregistered_Refugees],0,Locations[Ind_Returnees],0)</f>
        <v>2</v>
      </c>
      <c r="J48" s="98"/>
      <c r="K48" s="98"/>
      <c r="L48" s="98"/>
      <c r="M48" s="9" t="s">
        <v>37</v>
      </c>
      <c r="N48" s="9">
        <f>COUNTIFS(Dashboard[evaluation_adm2_name],'Displacement &amp; Returns'!M48,Dashboard[nouveau],"*",Dashboard[idp_ind],"&gt;"&amp;0, Dashboard[ref_ind],0,Dashboard[ret_ind],0)</f>
        <v>11</v>
      </c>
      <c r="O48" s="9">
        <f>COUNTIFS(Dashboard[evaluation_adm2_name],'Displacement &amp; Returns'!M48,Dashboard[nouveau],"*",Dashboard[idp_ind],0, Dashboard[ref_ind],"&gt;"&amp;0,Dashboard[ret_ind],0)</f>
        <v>3</v>
      </c>
      <c r="P48" s="9">
        <f>COUNTIFS(Dashboard[evaluation_adm2_name],'Displacement &amp; Returns'!M48,Dashboard[nouveau],"*",Dashboard[idp_ind],0, Dashboard[ref_ind],0,Dashboard[ret_ind],"&gt;"&amp;0)</f>
        <v>6</v>
      </c>
      <c r="Q48" s="98"/>
      <c r="R48" s="9" t="s">
        <v>37</v>
      </c>
      <c r="S48" s="9">
        <f>COUNTIFS(Locations[Adm2_Name],Tableau6063[[#This Row],[Departments]],Locations[Ind_IDPs],0,Locations[Ind_Unregistered_Refugees],0,Locations[Ind_Returnees],0)</f>
        <v>2</v>
      </c>
      <c r="T48" s="98"/>
      <c r="U48" s="99"/>
    </row>
    <row r="49" spans="2:21" x14ac:dyDescent="0.25">
      <c r="B49" s="97"/>
      <c r="C49" s="9"/>
      <c r="D49" s="9">
        <f>SUM(D43:D48)</f>
        <v>314</v>
      </c>
      <c r="E49" s="9">
        <f>SUM(E43:E48)</f>
        <v>20</v>
      </c>
      <c r="F49" s="9">
        <f>SUM(F43:F48)</f>
        <v>42</v>
      </c>
      <c r="G49" s="98"/>
      <c r="H49" s="9"/>
      <c r="I49" s="160">
        <f>SUM(I43:I48)</f>
        <v>69</v>
      </c>
      <c r="J49" s="98"/>
      <c r="K49" s="98"/>
      <c r="L49" s="98"/>
      <c r="M49" s="9"/>
      <c r="N49" s="9">
        <f>SUM(N43:N48)</f>
        <v>314</v>
      </c>
      <c r="O49" s="9">
        <f>SUM(O43:O48)</f>
        <v>20</v>
      </c>
      <c r="P49" s="9">
        <f>SUM(P43:P48)</f>
        <v>42</v>
      </c>
      <c r="Q49" s="98"/>
      <c r="R49" s="9"/>
      <c r="S49" s="160">
        <f>SUM(S43:S48)</f>
        <v>69</v>
      </c>
      <c r="T49" s="98"/>
      <c r="U49" s="99"/>
    </row>
    <row r="50" spans="2:2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9"/>
    </row>
    <row r="51" spans="2:21" x14ac:dyDescent="0.25">
      <c r="B51" s="106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8"/>
    </row>
    <row r="52" spans="2:21" x14ac:dyDescent="0.25"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</row>
    <row r="56" spans="2:21" ht="15.75" x14ac:dyDescent="0.25">
      <c r="B56" s="416" t="s">
        <v>1777</v>
      </c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21" t="s">
        <v>1778</v>
      </c>
      <c r="N56" s="421"/>
      <c r="O56" s="421"/>
      <c r="P56" s="421"/>
      <c r="Q56" s="421"/>
      <c r="R56" s="421"/>
      <c r="S56" s="421"/>
      <c r="T56" s="421"/>
      <c r="U56" s="422"/>
    </row>
    <row r="57" spans="2:21" ht="15.75" x14ac:dyDescent="0.25">
      <c r="B57" s="111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98"/>
      <c r="T57" s="98"/>
      <c r="U57" s="99"/>
    </row>
    <row r="58" spans="2:21" ht="15.75" x14ac:dyDescent="0.25">
      <c r="B58" s="111"/>
      <c r="C58" s="113" t="s">
        <v>1772</v>
      </c>
      <c r="D58" s="112"/>
      <c r="E58" s="112"/>
      <c r="F58" s="112"/>
      <c r="G58" s="112"/>
      <c r="H58" s="112"/>
      <c r="I58" s="112"/>
      <c r="J58" s="112"/>
      <c r="K58" s="112"/>
      <c r="L58" s="112"/>
      <c r="M58" s="113" t="s">
        <v>1773</v>
      </c>
      <c r="N58" s="112"/>
      <c r="O58" s="112"/>
      <c r="P58" s="112"/>
      <c r="Q58" s="112"/>
      <c r="R58" s="112"/>
      <c r="S58" s="98"/>
      <c r="T58" s="98"/>
      <c r="U58" s="99"/>
    </row>
    <row r="59" spans="2:2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9"/>
    </row>
    <row r="60" spans="2:21" x14ac:dyDescent="0.25">
      <c r="B60" s="97"/>
      <c r="C60" s="9" t="s">
        <v>1752</v>
      </c>
      <c r="D60" s="9" t="s">
        <v>1763</v>
      </c>
      <c r="E60" s="9" t="s">
        <v>1764</v>
      </c>
      <c r="F60" s="9" t="s">
        <v>1765</v>
      </c>
      <c r="G60" s="9" t="s">
        <v>715</v>
      </c>
      <c r="H60" s="98"/>
      <c r="I60" s="98"/>
      <c r="J60" s="98"/>
      <c r="K60" s="98"/>
      <c r="L60" s="98"/>
      <c r="M60" s="9" t="s">
        <v>717</v>
      </c>
      <c r="N60" s="9" t="s">
        <v>1767</v>
      </c>
      <c r="O60" s="9" t="s">
        <v>720</v>
      </c>
      <c r="P60" s="9" t="s">
        <v>721</v>
      </c>
      <c r="Q60" s="9" t="s">
        <v>715</v>
      </c>
      <c r="R60" s="98"/>
      <c r="S60" s="98"/>
      <c r="T60" s="98"/>
      <c r="U60" s="99"/>
    </row>
    <row r="61" spans="2:21" x14ac:dyDescent="0.25">
      <c r="B61" s="97" t="str">
        <f>VLOOKUP(Tableau15[[#This Row],[Periodes]],periods[],2)</f>
        <v>Avant 2014</v>
      </c>
      <c r="C61" s="43" t="s">
        <v>1854</v>
      </c>
      <c r="D61" s="33">
        <f>SUMIFS(DisplacementPeriod[ind],DisplacementPeriod[deplacement],"idp",DisplacementPeriod[periode],Tableau15[[#This Row],[Periodes]])</f>
        <v>12591</v>
      </c>
      <c r="E61" s="33">
        <f>SUMIFS(DisplacementPeriod[ind],DisplacementPeriod[deplacement],"refugies non enregistres",DisplacementPeriod[periode],Tableau15[[#This Row],[Periodes]])</f>
        <v>151</v>
      </c>
      <c r="F61" s="33">
        <f>SUMIFS(DisplacementPeriod[ind],DisplacementPeriod[deplacement],"retournes",DisplacementPeriod[periode],Tableau15[[#This Row],[Periodes]])</f>
        <v>4237</v>
      </c>
      <c r="G61" s="33">
        <f>Tableau15[[#This Row],[Population déplacée interne]]+Tableau15[[#This Row],[Réfugiés non-enregistrés]]+Tableau15[[#This Row],[Retournés]]</f>
        <v>16979</v>
      </c>
      <c r="H61" s="98"/>
      <c r="I61" s="98"/>
      <c r="J61" s="98"/>
      <c r="K61" s="98"/>
      <c r="L61" s="115" t="str">
        <f>VLOOKUP(Tableau16[[#This Row],[Periods]],periods[],3)</f>
        <v>Before 2014</v>
      </c>
      <c r="M61" s="43" t="s">
        <v>1854</v>
      </c>
      <c r="N61" s="33">
        <f>SUMIFS(DisplacementPeriod[ind],DisplacementPeriod[deplacement],"idp",DisplacementPeriod[periode],Tableau16[[#This Row],[Periods]])</f>
        <v>12591</v>
      </c>
      <c r="O61" s="33">
        <f>SUMIFS(DisplacementPeriod[ind],DisplacementPeriod[deplacement],"refugies non enregistres",DisplacementPeriod[periode],Tableau16[[#This Row],[Periods]])</f>
        <v>151</v>
      </c>
      <c r="P61" s="33">
        <f>SUMIFS(DisplacementPeriod[ind],DisplacementPeriod[deplacement],"retournes",DisplacementPeriod[periode],Tableau16[[#This Row],[Periods]])</f>
        <v>4237</v>
      </c>
      <c r="Q61" s="33">
        <f>Tableau16[[#This Row],[Unregistered Refugees]]+Tableau16[[#This Row],[Internal displaced populations]]+Tableau16[[#This Row],[Returnees]]</f>
        <v>16979</v>
      </c>
      <c r="R61" s="98"/>
      <c r="S61" s="98"/>
      <c r="T61" s="98"/>
      <c r="U61" s="99"/>
    </row>
    <row r="62" spans="2:21" x14ac:dyDescent="0.25">
      <c r="B62" s="97" t="str">
        <f>VLOOKUP(Tableau15[[#This Row],[Periodes]],periods[],2)</f>
        <v>2014</v>
      </c>
      <c r="C62" s="43" t="s">
        <v>1855</v>
      </c>
      <c r="D62" s="33">
        <f>SUMIFS(DisplacementPeriod[ind],DisplacementPeriod[deplacement],"idp",DisplacementPeriod[periode],Tableau15[[#This Row],[Periodes]])</f>
        <v>43356</v>
      </c>
      <c r="E62" s="33">
        <f>SUMIFS(DisplacementPeriod[ind],DisplacementPeriod[deplacement],"refugies non enregistres",DisplacementPeriod[periode],Tableau15[[#This Row],[Periodes]])</f>
        <v>3442</v>
      </c>
      <c r="F62" s="33">
        <f>SUMIFS(DisplacementPeriod[ind],DisplacementPeriod[deplacement],"retournes",DisplacementPeriod[periode],Tableau15[[#This Row],[Periodes]])</f>
        <v>5754</v>
      </c>
      <c r="G62" s="33">
        <f>Tableau15[[#This Row],[Population déplacée interne]]+Tableau15[[#This Row],[Réfugiés non-enregistrés]]+Tableau15[[#This Row],[Retournés]]</f>
        <v>52552</v>
      </c>
      <c r="H62" s="98"/>
      <c r="I62" s="98"/>
      <c r="J62" s="98"/>
      <c r="K62" s="98"/>
      <c r="L62" s="115" t="str">
        <f>VLOOKUP(Tableau16[[#This Row],[Periods]],periods[],3)</f>
        <v>2014</v>
      </c>
      <c r="M62" s="43" t="s">
        <v>1855</v>
      </c>
      <c r="N62" s="33">
        <f>SUMIFS(DisplacementPeriod[ind],DisplacementPeriod[deplacement],"idp",DisplacementPeriod[periode],Tableau16[[#This Row],[Periods]])</f>
        <v>43356</v>
      </c>
      <c r="O62" s="33">
        <f>SUMIFS(DisplacementPeriod[ind],DisplacementPeriod[deplacement],"refugies non enregistres",DisplacementPeriod[periode],Tableau16[[#This Row],[Periods]])</f>
        <v>3442</v>
      </c>
      <c r="P62" s="33">
        <f>SUMIFS(DisplacementPeriod[ind],DisplacementPeriod[deplacement],"retournes",DisplacementPeriod[periode],Tableau16[[#This Row],[Periods]])</f>
        <v>5754</v>
      </c>
      <c r="Q62" s="33">
        <f>Tableau16[[#This Row],[Unregistered Refugees]]+Tableau16[[#This Row],[Internal displaced populations]]+Tableau16[[#This Row],[Returnees]]</f>
        <v>52552</v>
      </c>
      <c r="R62" s="98"/>
      <c r="S62" s="98"/>
      <c r="T62" s="98"/>
      <c r="U62" s="99"/>
    </row>
    <row r="63" spans="2:21" x14ac:dyDescent="0.25">
      <c r="B63" s="97" t="str">
        <f>VLOOKUP(Tableau15[[#This Row],[Periodes]],periods[],2)</f>
        <v>2015</v>
      </c>
      <c r="C63" s="43" t="s">
        <v>1856</v>
      </c>
      <c r="D63" s="33">
        <f>SUMIFS(DisplacementPeriod[ind],DisplacementPeriod[deplacement],"idp",DisplacementPeriod[periode],Tableau15[[#This Row],[Periodes]])</f>
        <v>70950</v>
      </c>
      <c r="E63" s="33">
        <f>SUMIFS(DisplacementPeriod[ind],DisplacementPeriod[deplacement],"refugies non enregistres",DisplacementPeriod[periode],Tableau15[[#This Row],[Periodes]])</f>
        <v>10071</v>
      </c>
      <c r="F63" s="33">
        <f>SUMIFS(DisplacementPeriod[ind],DisplacementPeriod[deplacement],"retournes",DisplacementPeriod[periode],Tableau15[[#This Row],[Periodes]])</f>
        <v>7693</v>
      </c>
      <c r="G63" s="33">
        <f>Tableau15[[#This Row],[Population déplacée interne]]+Tableau15[[#This Row],[Réfugiés non-enregistrés]]+Tableau15[[#This Row],[Retournés]]</f>
        <v>88714</v>
      </c>
      <c r="H63" s="98"/>
      <c r="I63" s="98"/>
      <c r="J63" s="98"/>
      <c r="K63" s="98"/>
      <c r="L63" s="115" t="str">
        <f>VLOOKUP(Tableau16[[#This Row],[Periods]],periods[],3)</f>
        <v>2015</v>
      </c>
      <c r="M63" s="43" t="s">
        <v>1856</v>
      </c>
      <c r="N63" s="33">
        <f>SUMIFS(DisplacementPeriod[ind],DisplacementPeriod[deplacement],"idp",DisplacementPeriod[periode],Tableau16[[#This Row],[Periods]])</f>
        <v>70950</v>
      </c>
      <c r="O63" s="33">
        <f>SUMIFS(DisplacementPeriod[ind],DisplacementPeriod[deplacement],"refugies non enregistres",DisplacementPeriod[periode],Tableau16[[#This Row],[Periods]])</f>
        <v>10071</v>
      </c>
      <c r="P63" s="33">
        <f>SUMIFS(DisplacementPeriod[ind],DisplacementPeriod[deplacement],"retournes",DisplacementPeriod[periode],Tableau16[[#This Row],[Periods]])</f>
        <v>7693</v>
      </c>
      <c r="Q63" s="33">
        <f>Tableau16[[#This Row],[Unregistered Refugees]]+Tableau16[[#This Row],[Internal displaced populations]]+Tableau16[[#This Row],[Returnees]]</f>
        <v>88714</v>
      </c>
      <c r="R63" s="98"/>
      <c r="S63" s="98"/>
      <c r="T63" s="98"/>
      <c r="U63" s="99"/>
    </row>
    <row r="64" spans="2:21" x14ac:dyDescent="0.25">
      <c r="B64" s="97" t="str">
        <f>VLOOKUP(Tableau15[[#This Row],[Periodes]],periods[],2)</f>
        <v>2016</v>
      </c>
      <c r="C64" s="43" t="s">
        <v>1857</v>
      </c>
      <c r="D64" s="33">
        <f>SUMIFS(DisplacementPeriod[ind],DisplacementPeriod[deplacement],"idp",DisplacementPeriod[periode],Tableau15[[#This Row],[Periodes]])</f>
        <v>76931</v>
      </c>
      <c r="E64" s="33">
        <f>SUMIFS(DisplacementPeriod[ind],DisplacementPeriod[deplacement],"refugies non enregistres",DisplacementPeriod[periode],Tableau15[[#This Row],[Periodes]])</f>
        <v>9071</v>
      </c>
      <c r="F64" s="33">
        <f>SUMIFS(DisplacementPeriod[ind],DisplacementPeriod[deplacement],"retournes",DisplacementPeriod[periode],Tableau15[[#This Row],[Periodes]])</f>
        <v>18317</v>
      </c>
      <c r="G64" s="33">
        <f>Tableau15[[#This Row],[Population déplacée interne]]+Tableau15[[#This Row],[Réfugiés non-enregistrés]]+Tableau15[[#This Row],[Retournés]]</f>
        <v>104319</v>
      </c>
      <c r="H64" s="98"/>
      <c r="I64" s="98"/>
      <c r="J64" s="98"/>
      <c r="K64" s="98"/>
      <c r="L64" s="115" t="str">
        <f>VLOOKUP(Tableau16[[#This Row],[Periods]],periods[],3)</f>
        <v>2016</v>
      </c>
      <c r="M64" s="43" t="s">
        <v>1857</v>
      </c>
      <c r="N64" s="33">
        <f>SUMIFS(DisplacementPeriod[ind],DisplacementPeriod[deplacement],"idp",DisplacementPeriod[periode],Tableau16[[#This Row],[Periods]])</f>
        <v>76931</v>
      </c>
      <c r="O64" s="33">
        <f>SUMIFS(DisplacementPeriod[ind],DisplacementPeriod[deplacement],"refugies non enregistres",DisplacementPeriod[periode],Tableau16[[#This Row],[Periods]])</f>
        <v>9071</v>
      </c>
      <c r="P64" s="33">
        <f>SUMIFS(DisplacementPeriod[ind],DisplacementPeriod[deplacement],"retournes",DisplacementPeriod[periode],Tableau16[[#This Row],[Periods]])</f>
        <v>18317</v>
      </c>
      <c r="Q64" s="33">
        <f>Tableau16[[#This Row],[Unregistered Refugees]]+Tableau16[[#This Row],[Internal displaced populations]]+Tableau16[[#This Row],[Returnees]]</f>
        <v>104319</v>
      </c>
      <c r="R64" s="98"/>
      <c r="S64" s="98"/>
      <c r="T64" s="98"/>
      <c r="U64" s="99"/>
    </row>
    <row r="65" spans="2:21" x14ac:dyDescent="0.25">
      <c r="B65" s="97" t="str">
        <f>VLOOKUP(Tableau15[[#This Row],[Periodes]],periods[],2)</f>
        <v>Janv-Oct 2017</v>
      </c>
      <c r="C65" s="43" t="s">
        <v>1858</v>
      </c>
      <c r="D65" s="33">
        <f>SUMIFS(DisplacementPeriod[ind],DisplacementPeriod[deplacement],"idp",DisplacementPeriod[periode],Tableau15[[#This Row],[Periodes]])</f>
        <v>34589</v>
      </c>
      <c r="E65" s="33">
        <f>SUMIFS(DisplacementPeriod[ind],DisplacementPeriod[deplacement],"refugies non enregistres",DisplacementPeriod[periode],Tableau15[[#This Row],[Periodes]])</f>
        <v>8555</v>
      </c>
      <c r="F65" s="33">
        <f>SUMIFS(DisplacementPeriod[ind],DisplacementPeriod[deplacement],"retournes",DisplacementPeriod[periode],Tableau15[[#This Row],[Periodes]])</f>
        <v>26340</v>
      </c>
      <c r="G65" s="33">
        <f>Tableau15[[#This Row],[Population déplacée interne]]+Tableau15[[#This Row],[Réfugiés non-enregistrés]]+Tableau15[[#This Row],[Retournés]]</f>
        <v>69484</v>
      </c>
      <c r="H65" s="98"/>
      <c r="I65" s="98"/>
      <c r="J65" s="98"/>
      <c r="K65" s="98"/>
      <c r="L65" s="115" t="str">
        <f>VLOOKUP(Tableau16[[#This Row],[Periods]],periods[],3)</f>
        <v>Jan-Oct 2017</v>
      </c>
      <c r="M65" s="43" t="s">
        <v>1858</v>
      </c>
      <c r="N65" s="33">
        <f>SUMIFS(DisplacementPeriod[ind],DisplacementPeriod[deplacement],"idp",DisplacementPeriod[periode],Tableau16[[#This Row],[Periods]])</f>
        <v>34589</v>
      </c>
      <c r="O65" s="33">
        <f>SUMIFS(DisplacementPeriod[ind],DisplacementPeriod[deplacement],"refugies non enregistres",DisplacementPeriod[periode],Tableau16[[#This Row],[Periods]])</f>
        <v>8555</v>
      </c>
      <c r="P65" s="33">
        <f>SUMIFS(DisplacementPeriod[ind],DisplacementPeriod[deplacement],"retournes",DisplacementPeriod[periode],Tableau16[[#This Row],[Periods]])</f>
        <v>26340</v>
      </c>
      <c r="Q65" s="33">
        <f>Tableau16[[#This Row],[Unregistered Refugees]]+Tableau16[[#This Row],[Internal displaced populations]]+Tableau16[[#This Row],[Returnees]]</f>
        <v>69484</v>
      </c>
      <c r="R65" s="98"/>
      <c r="S65" s="98"/>
      <c r="T65" s="98"/>
      <c r="U65" s="99"/>
    </row>
    <row r="66" spans="2:21" x14ac:dyDescent="0.25">
      <c r="B66" s="97" t="str">
        <f>VLOOKUP(Tableau15[[#This Row],[Periodes]],periods[],2)</f>
        <v>Oct-Dec 2017</v>
      </c>
      <c r="C66" s="43" t="s">
        <v>1859</v>
      </c>
      <c r="D66" s="33">
        <f>SUMIFS(DisplacementPeriod[ind],DisplacementPeriod[deplacement],"idp",DisplacementPeriod[periode],Tableau15[[#This Row],[Periodes]])</f>
        <v>2613</v>
      </c>
      <c r="E66" s="33">
        <f>SUMIFS(DisplacementPeriod[ind],DisplacementPeriod[deplacement],"refugies non enregistres",DisplacementPeriod[periode],Tableau15[[#This Row],[Periodes]])</f>
        <v>366</v>
      </c>
      <c r="F66" s="33">
        <f>SUMIFS(DisplacementPeriod[ind],DisplacementPeriod[deplacement],"retournes",DisplacementPeriod[periode],Tableau15[[#This Row],[Periodes]])</f>
        <v>7389</v>
      </c>
      <c r="G66" s="33">
        <f>Tableau15[[#This Row],[Population déplacée interne]]+Tableau15[[#This Row],[Réfugiés non-enregistrés]]+Tableau15[[#This Row],[Retournés]]</f>
        <v>10368</v>
      </c>
      <c r="H66" s="98"/>
      <c r="I66" s="98"/>
      <c r="J66" s="98"/>
      <c r="K66" s="98"/>
      <c r="L66" s="115" t="str">
        <f>VLOOKUP(Tableau16[[#This Row],[Periods]],periods[],3)</f>
        <v>Oct-Dec 2017</v>
      </c>
      <c r="M66" s="43" t="s">
        <v>1859</v>
      </c>
      <c r="N66" s="33">
        <f>SUMIFS(DisplacementPeriod[ind],DisplacementPeriod[deplacement],"idp",DisplacementPeriod[periode],Tableau16[[#This Row],[Periods]])</f>
        <v>2613</v>
      </c>
      <c r="O66" s="33">
        <f>SUMIFS(DisplacementPeriod[ind],DisplacementPeriod[deplacement],"refugies non enregistres",DisplacementPeriod[periode],Tableau16[[#This Row],[Periods]])</f>
        <v>366</v>
      </c>
      <c r="P66" s="33">
        <f>SUMIFS(DisplacementPeriod[ind],DisplacementPeriod[deplacement],"retournes",DisplacementPeriod[periode],Tableau16[[#This Row],[Periods]])</f>
        <v>7389</v>
      </c>
      <c r="Q66" s="33">
        <f>Tableau16[[#This Row],[Unregistered Refugees]]+Tableau16[[#This Row],[Internal displaced populations]]+Tableau16[[#This Row],[Returnees]]</f>
        <v>10368</v>
      </c>
      <c r="R66" s="98"/>
      <c r="S66" s="98"/>
      <c r="T66" s="98"/>
      <c r="U66" s="99"/>
    </row>
    <row r="67" spans="2:21" x14ac:dyDescent="0.25">
      <c r="B67" s="97"/>
      <c r="C67" s="43"/>
      <c r="D67" s="33">
        <f>SUM(D61:D66)</f>
        <v>241030</v>
      </c>
      <c r="E67" s="33">
        <f>SUM(E61:E66)</f>
        <v>31656</v>
      </c>
      <c r="F67" s="33">
        <f>SUM(F61:F66)</f>
        <v>69730</v>
      </c>
      <c r="G67" s="33">
        <f>SUM(G61:G66)</f>
        <v>342416</v>
      </c>
      <c r="H67" s="98"/>
      <c r="I67" s="98"/>
      <c r="J67" s="98"/>
      <c r="K67" s="98"/>
      <c r="L67" s="98"/>
      <c r="M67" s="43"/>
      <c r="N67" s="33">
        <f>SUM(N61:N66)</f>
        <v>241030</v>
      </c>
      <c r="O67" s="33">
        <f>SUM(O61:O66)</f>
        <v>31656</v>
      </c>
      <c r="P67" s="33">
        <f>SUM(P61:P66)</f>
        <v>69730</v>
      </c>
      <c r="Q67" s="33">
        <f>SUM(Q61:Q66)</f>
        <v>342416</v>
      </c>
      <c r="R67" s="98"/>
      <c r="S67" s="98"/>
      <c r="T67" s="98"/>
      <c r="U67" s="99"/>
    </row>
    <row r="68" spans="2:21" x14ac:dyDescent="0.25">
      <c r="B68" s="97"/>
      <c r="C68" s="116"/>
      <c r="D68" s="117"/>
      <c r="E68" s="117"/>
      <c r="F68" s="117"/>
      <c r="G68" s="117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9"/>
    </row>
    <row r="69" spans="2:2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9"/>
    </row>
    <row r="70" spans="2:21" x14ac:dyDescent="0.25">
      <c r="B70" s="97"/>
      <c r="C70" s="118" t="s">
        <v>1771</v>
      </c>
      <c r="D70" s="98"/>
      <c r="E70" s="98"/>
      <c r="F70" s="98"/>
      <c r="G70" s="98"/>
      <c r="H70" s="98"/>
      <c r="I70" s="98"/>
      <c r="J70" s="98"/>
      <c r="K70" s="98"/>
      <c r="L70" s="98"/>
      <c r="M70" s="118" t="s">
        <v>1774</v>
      </c>
      <c r="N70" s="98"/>
      <c r="O70" s="98"/>
      <c r="P70" s="98"/>
      <c r="Q70" s="98"/>
      <c r="R70" s="98"/>
      <c r="S70" s="98"/>
      <c r="T70" s="98"/>
      <c r="U70" s="99"/>
    </row>
    <row r="71" spans="2:21" x14ac:dyDescent="0.25">
      <c r="B71" s="97"/>
      <c r="C71" s="119"/>
      <c r="D71" s="119"/>
      <c r="E71" s="119"/>
      <c r="F71" s="119"/>
      <c r="G71" s="119"/>
      <c r="H71" s="119"/>
      <c r="I71" s="119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9"/>
    </row>
    <row r="72" spans="2:21" x14ac:dyDescent="0.25">
      <c r="B72" s="97"/>
      <c r="C72" s="42" t="s">
        <v>1752</v>
      </c>
      <c r="D72" s="42" t="s">
        <v>1763</v>
      </c>
      <c r="E72" s="42" t="s">
        <v>1764</v>
      </c>
      <c r="F72" s="42" t="s">
        <v>1765</v>
      </c>
      <c r="G72" s="42" t="s">
        <v>715</v>
      </c>
      <c r="H72" s="120"/>
      <c r="I72" s="120"/>
      <c r="J72" s="98"/>
      <c r="K72" s="98"/>
      <c r="L72" s="98"/>
      <c r="M72" s="42" t="s">
        <v>717</v>
      </c>
      <c r="N72" s="42" t="s">
        <v>1767</v>
      </c>
      <c r="O72" s="42" t="s">
        <v>720</v>
      </c>
      <c r="P72" s="42" t="s">
        <v>721</v>
      </c>
      <c r="Q72" s="42" t="s">
        <v>715</v>
      </c>
      <c r="R72" s="98"/>
      <c r="S72" s="98"/>
      <c r="T72" s="98"/>
      <c r="U72" s="99"/>
    </row>
    <row r="73" spans="2:21" x14ac:dyDescent="0.25">
      <c r="B73" s="121" t="str">
        <f>VLOOKUP(Tableau17[[#This Row],[Periodes]],periods[],2)</f>
        <v>Avant 2014</v>
      </c>
      <c r="C73" s="43" t="s">
        <v>1854</v>
      </c>
      <c r="D73" s="44">
        <f>D61/Tableau15[[#Totals],[Total]]</f>
        <v>3.6771062099901872E-2</v>
      </c>
      <c r="E73" s="44">
        <f>E61/Tableau15[[#Totals],[Total]]</f>
        <v>4.4098406616513246E-4</v>
      </c>
      <c r="F73" s="44">
        <f>F61/Tableau15[[#Totals],[Total]]</f>
        <v>1.2373837671136863E-2</v>
      </c>
      <c r="G73" s="85">
        <f>Tableau17[[#This Row],[Population déplacée interne]]+Tableau17[[#This Row],[Réfugiés non-enregistrés]]+Tableau17[[#This Row],[Retournés]]</f>
        <v>4.9585883837203873E-2</v>
      </c>
      <c r="H73" s="122"/>
      <c r="I73" s="122"/>
      <c r="J73" s="98"/>
      <c r="K73" s="98"/>
      <c r="L73" s="115" t="str">
        <f>VLOOKUP(Tableau18[[#This Row],[Periods]],periods[],3)</f>
        <v>Before 2014</v>
      </c>
      <c r="M73" s="43" t="s">
        <v>1854</v>
      </c>
      <c r="N73" s="44">
        <f>N61/Tableau16[[#Totals],[Total]]</f>
        <v>3.6771062099901872E-2</v>
      </c>
      <c r="O73" s="44">
        <f>O61/Tableau16[[#Totals],[Total]]</f>
        <v>4.4098406616513246E-4</v>
      </c>
      <c r="P73" s="44">
        <f>P61/Tableau16[[#Totals],[Total]]</f>
        <v>1.2373837671136863E-2</v>
      </c>
      <c r="Q73" s="85">
        <f>SUM(Tableau18[[#This Row],[Internal displaced populations]:[Returnees]])</f>
        <v>4.9585883837203873E-2</v>
      </c>
      <c r="R73" s="98"/>
      <c r="S73" s="98"/>
      <c r="T73" s="98"/>
      <c r="U73" s="99"/>
    </row>
    <row r="74" spans="2:21" x14ac:dyDescent="0.25">
      <c r="B74" s="121" t="str">
        <f>VLOOKUP(Tableau17[[#This Row],[Periodes]],periods[],2)</f>
        <v>2014</v>
      </c>
      <c r="C74" s="43" t="s">
        <v>1855</v>
      </c>
      <c r="D74" s="44">
        <f>D62/Tableau15[[#Totals],[Total]]</f>
        <v>0.12661791505069855</v>
      </c>
      <c r="E74" s="44">
        <f>E62/Tableau15[[#Totals],[Total]]</f>
        <v>1.0052100369141628E-2</v>
      </c>
      <c r="F74" s="44">
        <f>F62/Tableau15[[#Totals],[Total]]</f>
        <v>1.6804121302742864E-2</v>
      </c>
      <c r="G74" s="85">
        <f>Tableau17[[#This Row],[Population déplacée interne]]+Tableau17[[#This Row],[Réfugiés non-enregistrés]]+Tableau17[[#This Row],[Retournés]]</f>
        <v>0.15347413672258306</v>
      </c>
      <c r="H74" s="101"/>
      <c r="I74" s="123"/>
      <c r="J74" s="98"/>
      <c r="K74" s="98"/>
      <c r="L74" s="115" t="str">
        <f>VLOOKUP(Tableau18[[#This Row],[Periods]],periods[],3)</f>
        <v>2014</v>
      </c>
      <c r="M74" s="43" t="s">
        <v>1855</v>
      </c>
      <c r="N74" s="44">
        <f>N62/Tableau16[[#Totals],[Total]]</f>
        <v>0.12661791505069855</v>
      </c>
      <c r="O74" s="44">
        <f>O62/Tableau16[[#Totals],[Total]]</f>
        <v>1.0052100369141628E-2</v>
      </c>
      <c r="P74" s="44">
        <f>P62/Tableau16[[#Totals],[Total]]</f>
        <v>1.6804121302742864E-2</v>
      </c>
      <c r="Q74" s="85">
        <f>SUM(Tableau18[[#This Row],[Internal displaced populations]:[Returnees]])</f>
        <v>0.15347413672258306</v>
      </c>
      <c r="R74" s="98"/>
      <c r="S74" s="98"/>
      <c r="T74" s="98"/>
      <c r="U74" s="99"/>
    </row>
    <row r="75" spans="2:21" x14ac:dyDescent="0.25">
      <c r="B75" s="121" t="str">
        <f>VLOOKUP(Tableau17[[#This Row],[Periodes]],periods[],2)</f>
        <v>2015</v>
      </c>
      <c r="C75" s="43" t="s">
        <v>1856</v>
      </c>
      <c r="D75" s="44">
        <f>D63/Tableau15[[#Totals],[Total]]</f>
        <v>0.20720410261202749</v>
      </c>
      <c r="E75" s="44">
        <f>E63/Tableau15[[#Totals],[Total]]</f>
        <v>2.9411592916218868E-2</v>
      </c>
      <c r="F75" s="44">
        <f>F63/Tableau15[[#Totals],[Total]]</f>
        <v>2.2466823980187841E-2</v>
      </c>
      <c r="G75" s="85">
        <f>Tableau17[[#This Row],[Population déplacée interne]]+Tableau17[[#This Row],[Réfugiés non-enregistrés]]+Tableau17[[#This Row],[Retournés]]</f>
        <v>0.25908251950843419</v>
      </c>
      <c r="H75" s="101"/>
      <c r="I75" s="123"/>
      <c r="J75" s="98"/>
      <c r="K75" s="98"/>
      <c r="L75" s="115" t="str">
        <f>VLOOKUP(Tableau18[[#This Row],[Periods]],periods[],3)</f>
        <v>2015</v>
      </c>
      <c r="M75" s="43" t="s">
        <v>1856</v>
      </c>
      <c r="N75" s="44">
        <f>N63/Tableau16[[#Totals],[Total]]</f>
        <v>0.20720410261202749</v>
      </c>
      <c r="O75" s="44">
        <f>O63/Tableau16[[#Totals],[Total]]</f>
        <v>2.9411592916218868E-2</v>
      </c>
      <c r="P75" s="44">
        <f>P63/Tableau16[[#Totals],[Total]]</f>
        <v>2.2466823980187841E-2</v>
      </c>
      <c r="Q75" s="85">
        <f>SUM(Tableau18[[#This Row],[Internal displaced populations]:[Returnees]])</f>
        <v>0.25908251950843419</v>
      </c>
      <c r="R75" s="98"/>
      <c r="S75" s="98"/>
      <c r="T75" s="98"/>
      <c r="U75" s="99"/>
    </row>
    <row r="76" spans="2:21" x14ac:dyDescent="0.25">
      <c r="B76" s="121" t="str">
        <f>VLOOKUP(Tableau17[[#This Row],[Periodes]],periods[],2)</f>
        <v>2016</v>
      </c>
      <c r="C76" s="43" t="s">
        <v>1857</v>
      </c>
      <c r="D76" s="44">
        <f>D64/Tableau15[[#Totals],[Total]]</f>
        <v>0.22467116022615766</v>
      </c>
      <c r="E76" s="44">
        <f>E64/Tableau15[[#Totals],[Total]]</f>
        <v>2.6491168636979579E-2</v>
      </c>
      <c r="F76" s="44">
        <f>F64/Tableau15[[#Totals],[Total]]</f>
        <v>5.3493411522826037E-2</v>
      </c>
      <c r="G76" s="85">
        <f>Tableau17[[#This Row],[Population déplacée interne]]+Tableau17[[#This Row],[Réfugiés non-enregistrés]]+Tableau17[[#This Row],[Retournés]]</f>
        <v>0.30465574038596327</v>
      </c>
      <c r="H76" s="101"/>
      <c r="I76" s="123"/>
      <c r="J76" s="98"/>
      <c r="K76" s="98"/>
      <c r="L76" s="115" t="str">
        <f>VLOOKUP(Tableau18[[#This Row],[Periods]],periods[],3)</f>
        <v>2016</v>
      </c>
      <c r="M76" s="43" t="s">
        <v>1857</v>
      </c>
      <c r="N76" s="44">
        <f>N64/Tableau16[[#Totals],[Total]]</f>
        <v>0.22467116022615766</v>
      </c>
      <c r="O76" s="44">
        <f>O64/Tableau16[[#Totals],[Total]]</f>
        <v>2.6491168636979579E-2</v>
      </c>
      <c r="P76" s="44">
        <f>P64/Tableau16[[#Totals],[Total]]</f>
        <v>5.3493411522826037E-2</v>
      </c>
      <c r="Q76" s="85">
        <f>SUM(Tableau18[[#This Row],[Internal displaced populations]:[Returnees]])</f>
        <v>0.30465574038596327</v>
      </c>
      <c r="R76" s="98"/>
      <c r="S76" s="98"/>
      <c r="T76" s="98"/>
      <c r="U76" s="99"/>
    </row>
    <row r="77" spans="2:21" x14ac:dyDescent="0.25">
      <c r="B77" s="121" t="str">
        <f>VLOOKUP(Tableau17[[#This Row],[Periodes]],periods[],2)</f>
        <v>Janv-Oct 2017</v>
      </c>
      <c r="C77" s="43" t="s">
        <v>1858</v>
      </c>
      <c r="D77" s="44">
        <f>D65/Tableau15[[#Totals],[Total]]</f>
        <v>0.10101455539460773</v>
      </c>
      <c r="E77" s="44">
        <f>E65/Tableau15[[#Totals],[Total]]</f>
        <v>2.4984229708892108E-2</v>
      </c>
      <c r="F77" s="44">
        <f>F65/Tableau15[[#Totals],[Total]]</f>
        <v>7.6923975515162848E-2</v>
      </c>
      <c r="G77" s="85">
        <f>Tableau17[[#This Row],[Population déplacée interne]]+Tableau17[[#This Row],[Réfugiés non-enregistrés]]+Tableau17[[#This Row],[Retournés]]</f>
        <v>0.20292276061866266</v>
      </c>
      <c r="H77" s="101"/>
      <c r="I77" s="123"/>
      <c r="J77" s="98"/>
      <c r="K77" s="98"/>
      <c r="L77" s="115" t="str">
        <f>VLOOKUP(Tableau18[[#This Row],[Periods]],periods[],3)</f>
        <v>Jan-Oct 2017</v>
      </c>
      <c r="M77" s="43" t="s">
        <v>1858</v>
      </c>
      <c r="N77" s="44">
        <f>N65/Tableau16[[#Totals],[Total]]</f>
        <v>0.10101455539460773</v>
      </c>
      <c r="O77" s="44">
        <f>O65/Tableau16[[#Totals],[Total]]</f>
        <v>2.4984229708892108E-2</v>
      </c>
      <c r="P77" s="44">
        <f>P65/Tableau16[[#Totals],[Total]]</f>
        <v>7.6923975515162848E-2</v>
      </c>
      <c r="Q77" s="85">
        <f>SUM(Tableau18[[#This Row],[Internal displaced populations]:[Returnees]])</f>
        <v>0.20292276061866266</v>
      </c>
      <c r="R77" s="98"/>
      <c r="S77" s="98"/>
      <c r="T77" s="98"/>
      <c r="U77" s="99"/>
    </row>
    <row r="78" spans="2:21" x14ac:dyDescent="0.25">
      <c r="B78" s="121" t="str">
        <f>VLOOKUP(Tableau17[[#This Row],[Periodes]],periods[],2)</f>
        <v>Oct-Dec 2017</v>
      </c>
      <c r="C78" s="43" t="s">
        <v>1859</v>
      </c>
      <c r="D78" s="44">
        <f>D66/Tableau15[[#Totals],[Total]]</f>
        <v>7.6310686416522595E-3</v>
      </c>
      <c r="E78" s="44">
        <f>E66/Tableau15[[#Totals],[Total]]</f>
        <v>1.0688752862015793E-3</v>
      </c>
      <c r="F78" s="44">
        <f>F66/Tableau15[[#Totals],[Total]]</f>
        <v>2.1579014999299099E-2</v>
      </c>
      <c r="G78" s="85">
        <f>Tableau17[[#This Row],[Population déplacée interne]]+Tableau17[[#This Row],[Réfugiés non-enregistrés]]+Tableau17[[#This Row],[Retournés]]</f>
        <v>3.0278958927152939E-2</v>
      </c>
      <c r="H78" s="101"/>
      <c r="I78" s="123"/>
      <c r="J78" s="98"/>
      <c r="K78" s="98"/>
      <c r="L78" s="115" t="str">
        <f>VLOOKUP(Tableau18[[#This Row],[Periods]],periods[],3)</f>
        <v>Oct-Dec 2017</v>
      </c>
      <c r="M78" s="43" t="s">
        <v>1859</v>
      </c>
      <c r="N78" s="44">
        <f>N66/Tableau16[[#Totals],[Total]]</f>
        <v>7.6310686416522595E-3</v>
      </c>
      <c r="O78" s="44">
        <f>O66/Tableau16[[#Totals],[Total]]</f>
        <v>1.0688752862015793E-3</v>
      </c>
      <c r="P78" s="44">
        <f>P66/Tableau16[[#Totals],[Total]]</f>
        <v>2.1579014999299099E-2</v>
      </c>
      <c r="Q78" s="85">
        <f>SUM(Tableau18[[#This Row],[Internal displaced populations]:[Returnees]])</f>
        <v>3.0278958927152939E-2</v>
      </c>
      <c r="R78" s="98"/>
      <c r="S78" s="98"/>
      <c r="T78" s="98"/>
      <c r="U78" s="99"/>
    </row>
    <row r="79" spans="2:21" x14ac:dyDescent="0.25">
      <c r="B79" s="97"/>
      <c r="C79" s="43"/>
      <c r="D79" s="44">
        <f>SUM(D73:D78)</f>
        <v>0.70390986402504552</v>
      </c>
      <c r="E79" s="44">
        <f>SUM(E73:E78)</f>
        <v>9.2448950983598885E-2</v>
      </c>
      <c r="F79" s="44">
        <f>SUM(F73:F78)</f>
        <v>0.20364118499135553</v>
      </c>
      <c r="G79" s="44">
        <f>SUM(G73:G78)</f>
        <v>1</v>
      </c>
      <c r="H79" s="101"/>
      <c r="I79" s="123"/>
      <c r="J79" s="98"/>
      <c r="K79" s="98"/>
      <c r="L79" s="98"/>
      <c r="M79" s="43"/>
      <c r="N79" s="44">
        <f>SUM(Tableau18[Internal displaced populations])</f>
        <v>0.70390986402504552</v>
      </c>
      <c r="O79" s="65">
        <f>SUBTOTAL(109,Tableau18[Unregistered Refugees])</f>
        <v>9.2448950983598885E-2</v>
      </c>
      <c r="P79" s="65">
        <f>SUBTOTAL(109,Tableau18[Returnees])</f>
        <v>0.20364118499135553</v>
      </c>
      <c r="Q79" s="66">
        <f>SUBTOTAL(109,Tableau18[Total])</f>
        <v>1</v>
      </c>
      <c r="R79" s="98"/>
      <c r="S79" s="98"/>
      <c r="T79" s="98"/>
      <c r="U79" s="99"/>
    </row>
    <row r="80" spans="2:21" x14ac:dyDescent="0.25">
      <c r="B80" s="97"/>
      <c r="C80" s="124"/>
      <c r="D80" s="125"/>
      <c r="E80" s="126"/>
      <c r="F80" s="125"/>
      <c r="G80" s="126"/>
      <c r="H80" s="127"/>
      <c r="I80" s="12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9"/>
    </row>
    <row r="81" spans="2:21" x14ac:dyDescent="0.25">
      <c r="B81" s="97"/>
      <c r="C81" s="124"/>
      <c r="D81" s="125"/>
      <c r="E81" s="126"/>
      <c r="F81" s="125"/>
      <c r="G81" s="126"/>
      <c r="H81" s="127"/>
      <c r="I81" s="12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9"/>
    </row>
    <row r="82" spans="2:21" x14ac:dyDescent="0.25">
      <c r="B82" s="97"/>
      <c r="C82" s="113" t="s">
        <v>1769</v>
      </c>
      <c r="D82" s="125"/>
      <c r="E82" s="126"/>
      <c r="F82" s="125"/>
      <c r="G82" s="126"/>
      <c r="H82" s="127"/>
      <c r="I82" s="128"/>
      <c r="J82" s="98"/>
      <c r="K82" s="98"/>
      <c r="L82" s="98"/>
      <c r="M82" s="113" t="s">
        <v>1775</v>
      </c>
      <c r="N82" s="98"/>
      <c r="O82" s="98"/>
      <c r="P82" s="98"/>
      <c r="Q82" s="98"/>
      <c r="R82" s="98"/>
      <c r="S82" s="98"/>
      <c r="T82" s="98"/>
      <c r="U82" s="99"/>
    </row>
    <row r="83" spans="2:21" x14ac:dyDescent="0.25">
      <c r="B83" s="97"/>
      <c r="C83" s="124"/>
      <c r="D83" s="125"/>
      <c r="E83" s="126"/>
      <c r="F83" s="125"/>
      <c r="G83" s="126"/>
      <c r="H83" s="127"/>
      <c r="I83" s="12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9"/>
    </row>
    <row r="84" spans="2:21" x14ac:dyDescent="0.25">
      <c r="B84" s="97"/>
      <c r="C84" s="50" t="s">
        <v>1752</v>
      </c>
      <c r="D84" s="51" t="s">
        <v>1763</v>
      </c>
      <c r="E84" s="52" t="s">
        <v>1764</v>
      </c>
      <c r="F84" s="51" t="s">
        <v>1765</v>
      </c>
      <c r="G84" s="52" t="s">
        <v>715</v>
      </c>
      <c r="H84" s="127"/>
      <c r="I84" s="128"/>
      <c r="J84" s="98"/>
      <c r="K84" s="98"/>
      <c r="L84" s="98"/>
      <c r="M84" s="39" t="s">
        <v>717</v>
      </c>
      <c r="N84" s="40" t="s">
        <v>1767</v>
      </c>
      <c r="O84" s="41" t="s">
        <v>720</v>
      </c>
      <c r="P84" s="40" t="s">
        <v>721</v>
      </c>
      <c r="Q84" s="41" t="s">
        <v>715</v>
      </c>
      <c r="R84" s="98"/>
      <c r="S84" s="98"/>
      <c r="T84" s="98"/>
      <c r="U84" s="99"/>
    </row>
    <row r="85" spans="2:21" x14ac:dyDescent="0.25">
      <c r="B85" s="121" t="str">
        <f>VLOOKUP(Tableau21[[#This Row],[Periodes]],periods[],2)</f>
        <v>Avant 2014</v>
      </c>
      <c r="C85" s="46" t="s">
        <v>1854</v>
      </c>
      <c r="D85" s="49">
        <f>D61/Tableau15[[#Totals],[Population déplacée interne]]</f>
        <v>5.2238310583744764E-2</v>
      </c>
      <c r="E85" s="48">
        <f>E61/Tableau15[[#Totals],[Réfugiés non-enregistrés]]</f>
        <v>4.7700277988375036E-3</v>
      </c>
      <c r="F85" s="49">
        <f>F61/Tableau15[[#Totals],[Retournés]]</f>
        <v>6.0762942779291555E-2</v>
      </c>
      <c r="G85" s="48">
        <f>G61/Tableau15[[#Totals],[Total]]</f>
        <v>4.9585883837203866E-2</v>
      </c>
      <c r="H85" s="127"/>
      <c r="I85" s="128"/>
      <c r="J85" s="98"/>
      <c r="K85" s="98"/>
      <c r="L85" s="115" t="str">
        <f>VLOOKUP(Tableau24[[#This Row],[Periods]],periods[],3)</f>
        <v>Before 2014</v>
      </c>
      <c r="M85" s="46" t="s">
        <v>1854</v>
      </c>
      <c r="N85" s="49">
        <f>N61/Tableau16[[#Totals],[Internal displaced populations]]</f>
        <v>5.2238310583744764E-2</v>
      </c>
      <c r="O85" s="49">
        <f>O61/Tableau16[[#Totals],[Unregistered Refugees]]</f>
        <v>4.7700277988375036E-3</v>
      </c>
      <c r="P85" s="49">
        <f>P61/Tableau16[[#Totals],[Returnees]]</f>
        <v>6.0762942779291555E-2</v>
      </c>
      <c r="Q85" s="48">
        <f>Q61/Tableau16[[#Totals],[Total]]</f>
        <v>4.9585883837203866E-2</v>
      </c>
      <c r="R85" s="98"/>
      <c r="S85" s="98"/>
      <c r="T85" s="98"/>
      <c r="U85" s="99"/>
    </row>
    <row r="86" spans="2:21" x14ac:dyDescent="0.25">
      <c r="B86" s="121" t="str">
        <f>VLOOKUP(Tableau21[[#This Row],[Periodes]],periods[],2)</f>
        <v>2014</v>
      </c>
      <c r="C86" s="46" t="s">
        <v>1855</v>
      </c>
      <c r="D86" s="49">
        <f>D62/Tableau15[[#Totals],[Population déplacée interne]]</f>
        <v>0.17987802348255405</v>
      </c>
      <c r="E86" s="48">
        <f>E62/Tableau15[[#Totals],[Réfugiés non-enregistrés]]</f>
        <v>0.10873136214303765</v>
      </c>
      <c r="F86" s="49">
        <f>F62/Tableau15[[#Totals],[Retournés]]</f>
        <v>8.2518284812849563E-2</v>
      </c>
      <c r="G86" s="48">
        <f>G62/Tableau15[[#Totals],[Total]]</f>
        <v>0.15347413672258306</v>
      </c>
      <c r="H86" s="127"/>
      <c r="I86" s="128"/>
      <c r="J86" s="98"/>
      <c r="K86" s="98"/>
      <c r="L86" s="115" t="str">
        <f>VLOOKUP(Tableau24[[#This Row],[Periods]],periods[],3)</f>
        <v>2014</v>
      </c>
      <c r="M86" s="46" t="s">
        <v>1855</v>
      </c>
      <c r="N86" s="49">
        <f>N62/Tableau16[[#Totals],[Internal displaced populations]]</f>
        <v>0.17987802348255405</v>
      </c>
      <c r="O86" s="49">
        <f>O62/Tableau16[[#Totals],[Unregistered Refugees]]</f>
        <v>0.10873136214303765</v>
      </c>
      <c r="P86" s="49">
        <f>P62/Tableau16[[#Totals],[Returnees]]</f>
        <v>8.2518284812849563E-2</v>
      </c>
      <c r="Q86" s="48">
        <f>Q62/Tableau16[[#Totals],[Total]]</f>
        <v>0.15347413672258306</v>
      </c>
      <c r="R86" s="98"/>
      <c r="S86" s="98"/>
      <c r="T86" s="98"/>
      <c r="U86" s="99"/>
    </row>
    <row r="87" spans="2:21" x14ac:dyDescent="0.25">
      <c r="B87" s="121" t="str">
        <f>VLOOKUP(Tableau21[[#This Row],[Periodes]],periods[],2)</f>
        <v>2015</v>
      </c>
      <c r="C87" s="46" t="s">
        <v>1856</v>
      </c>
      <c r="D87" s="49">
        <f>D63/Tableau15[[#Totals],[Population déplacée interne]]</f>
        <v>0.29436169771397752</v>
      </c>
      <c r="E87" s="48">
        <f>E63/Tableau15[[#Totals],[Réfugiés non-enregistrés]]</f>
        <v>0.31813874147081123</v>
      </c>
      <c r="F87" s="49">
        <f>F63/Tableau15[[#Totals],[Retournés]]</f>
        <v>0.11032554137387064</v>
      </c>
      <c r="G87" s="48">
        <f>G63/Tableau15[[#Totals],[Total]]</f>
        <v>0.25908251950843419</v>
      </c>
      <c r="H87" s="127"/>
      <c r="I87" s="128"/>
      <c r="J87" s="98"/>
      <c r="K87" s="98"/>
      <c r="L87" s="115" t="str">
        <f>VLOOKUP(Tableau24[[#This Row],[Periods]],periods[],3)</f>
        <v>2015</v>
      </c>
      <c r="M87" s="46" t="s">
        <v>1856</v>
      </c>
      <c r="N87" s="49">
        <f>N63/Tableau16[[#Totals],[Internal displaced populations]]</f>
        <v>0.29436169771397752</v>
      </c>
      <c r="O87" s="49">
        <f>O63/Tableau16[[#Totals],[Unregistered Refugees]]</f>
        <v>0.31813874147081123</v>
      </c>
      <c r="P87" s="49">
        <f>P63/Tableau16[[#Totals],[Returnees]]</f>
        <v>0.11032554137387064</v>
      </c>
      <c r="Q87" s="48">
        <f>Q63/Tableau16[[#Totals],[Total]]</f>
        <v>0.25908251950843419</v>
      </c>
      <c r="R87" s="98"/>
      <c r="S87" s="98"/>
      <c r="T87" s="98"/>
      <c r="U87" s="99"/>
    </row>
    <row r="88" spans="2:21" x14ac:dyDescent="0.25">
      <c r="B88" s="121" t="str">
        <f>VLOOKUP(Tableau21[[#This Row],[Periodes]],periods[],2)</f>
        <v>2016</v>
      </c>
      <c r="C88" s="46" t="s">
        <v>1857</v>
      </c>
      <c r="D88" s="49">
        <f>D64/Tableau15[[#Totals],[Population déplacée interne]]</f>
        <v>0.31917603617806911</v>
      </c>
      <c r="E88" s="48">
        <f>E64/Tableau15[[#Totals],[Réfugiés non-enregistrés]]</f>
        <v>0.28654915339903969</v>
      </c>
      <c r="F88" s="49">
        <f>F64/Tableau15[[#Totals],[Retournés]]</f>
        <v>0.26268464075720638</v>
      </c>
      <c r="G88" s="48">
        <f>G64/Tableau15[[#Totals],[Total]]</f>
        <v>0.30465574038596327</v>
      </c>
      <c r="H88" s="127"/>
      <c r="I88" s="128"/>
      <c r="J88" s="98"/>
      <c r="K88" s="98"/>
      <c r="L88" s="115" t="str">
        <f>VLOOKUP(Tableau24[[#This Row],[Periods]],periods[],3)</f>
        <v>2016</v>
      </c>
      <c r="M88" s="46" t="s">
        <v>1857</v>
      </c>
      <c r="N88" s="49">
        <f>N64/Tableau16[[#Totals],[Internal displaced populations]]</f>
        <v>0.31917603617806911</v>
      </c>
      <c r="O88" s="49">
        <f>O64/Tableau16[[#Totals],[Unregistered Refugees]]</f>
        <v>0.28654915339903969</v>
      </c>
      <c r="P88" s="49">
        <f>P64/Tableau16[[#Totals],[Returnees]]</f>
        <v>0.26268464075720638</v>
      </c>
      <c r="Q88" s="48">
        <f>Q64/Tableau16[[#Totals],[Total]]</f>
        <v>0.30465574038596327</v>
      </c>
      <c r="R88" s="98"/>
      <c r="S88" s="98"/>
      <c r="T88" s="98"/>
      <c r="U88" s="99"/>
    </row>
    <row r="89" spans="2:21" x14ac:dyDescent="0.25">
      <c r="B89" s="121" t="str">
        <f>VLOOKUP(Tableau21[[#This Row],[Periodes]],periods[],2)</f>
        <v>Janv-Oct 2017</v>
      </c>
      <c r="C89" s="46" t="s">
        <v>1858</v>
      </c>
      <c r="D89" s="49">
        <f>D65/Tableau15[[#Totals],[Population déplacée interne]]</f>
        <v>0.14350495788905945</v>
      </c>
      <c r="E89" s="48">
        <f>E65/Tableau15[[#Totals],[Réfugiés non-enregistrés]]</f>
        <v>0.27024892595400557</v>
      </c>
      <c r="F89" s="49">
        <f>F65/Tableau15[[#Totals],[Retournés]]</f>
        <v>0.37774272192743441</v>
      </c>
      <c r="G89" s="48">
        <f>G65/Tableau15[[#Totals],[Total]]</f>
        <v>0.20292276061866268</v>
      </c>
      <c r="H89" s="127"/>
      <c r="I89" s="128"/>
      <c r="J89" s="98"/>
      <c r="K89" s="98"/>
      <c r="L89" s="115" t="str">
        <f>VLOOKUP(Tableau24[[#This Row],[Periods]],periods[],3)</f>
        <v>Jan-Oct 2017</v>
      </c>
      <c r="M89" s="46" t="s">
        <v>1858</v>
      </c>
      <c r="N89" s="49">
        <f>N65/Tableau16[[#Totals],[Internal displaced populations]]</f>
        <v>0.14350495788905945</v>
      </c>
      <c r="O89" s="49">
        <f>O65/Tableau16[[#Totals],[Unregistered Refugees]]</f>
        <v>0.27024892595400557</v>
      </c>
      <c r="P89" s="49">
        <f>P65/Tableau16[[#Totals],[Returnees]]</f>
        <v>0.37774272192743441</v>
      </c>
      <c r="Q89" s="48">
        <f>Q65/Tableau16[[#Totals],[Total]]</f>
        <v>0.20292276061866268</v>
      </c>
      <c r="R89" s="98"/>
      <c r="S89" s="98"/>
      <c r="T89" s="98"/>
      <c r="U89" s="99"/>
    </row>
    <row r="90" spans="2:21" x14ac:dyDescent="0.25">
      <c r="B90" s="121" t="str">
        <f>VLOOKUP(Tableau21[[#This Row],[Periodes]],periods[],2)</f>
        <v>Oct-Dec 2017</v>
      </c>
      <c r="C90" s="46" t="s">
        <v>1859</v>
      </c>
      <c r="D90" s="49">
        <f>D66/Tableau15[[#Totals],[Population déplacée interne]]</f>
        <v>1.0840974152595113E-2</v>
      </c>
      <c r="E90" s="48">
        <f>E66/Tableau15[[#Totals],[Réfugiés non-enregistrés]]</f>
        <v>1.1561789234268385E-2</v>
      </c>
      <c r="F90" s="49">
        <f>F66/Tableau15[[#Totals],[Retournés]]</f>
        <v>0.10596586834934749</v>
      </c>
      <c r="G90" s="48">
        <f>G66/Tableau15[[#Totals],[Total]]</f>
        <v>3.0278958927152936E-2</v>
      </c>
      <c r="H90" s="127"/>
      <c r="I90" s="128"/>
      <c r="J90" s="98"/>
      <c r="K90" s="98"/>
      <c r="L90" s="115" t="str">
        <f>VLOOKUP(Tableau24[[#This Row],[Periods]],periods[],3)</f>
        <v>Oct-Dec 2017</v>
      </c>
      <c r="M90" s="46" t="s">
        <v>1859</v>
      </c>
      <c r="N90" s="49">
        <f>N66/Tableau16[[#Totals],[Internal displaced populations]]</f>
        <v>1.0840974152595113E-2</v>
      </c>
      <c r="O90" s="49">
        <f>O66/Tableau16[[#Totals],[Unregistered Refugees]]</f>
        <v>1.1561789234268385E-2</v>
      </c>
      <c r="P90" s="49">
        <f>P66/Tableau16[[#Totals],[Returnees]]</f>
        <v>0.10596586834934749</v>
      </c>
      <c r="Q90" s="48">
        <f>Q66/Tableau16[[#Totals],[Total]]</f>
        <v>3.0278958927152936E-2</v>
      </c>
      <c r="R90" s="98"/>
      <c r="S90" s="98"/>
      <c r="T90" s="98"/>
      <c r="U90" s="99"/>
    </row>
    <row r="91" spans="2:21" x14ac:dyDescent="0.25">
      <c r="B91" s="97"/>
      <c r="C91" s="46"/>
      <c r="D91" s="53">
        <f>SUM(D85:D90)</f>
        <v>1</v>
      </c>
      <c r="E91" s="52">
        <f>SUM(E85:E90)</f>
        <v>1</v>
      </c>
      <c r="F91" s="53">
        <f>SUM(F85:F90)</f>
        <v>1</v>
      </c>
      <c r="G91" s="52">
        <f>SUM(G85:G90)</f>
        <v>1</v>
      </c>
      <c r="H91" s="127"/>
      <c r="I91" s="128"/>
      <c r="J91" s="98"/>
      <c r="K91" s="98"/>
      <c r="L91" s="98"/>
      <c r="M91" s="46"/>
      <c r="N91" s="67">
        <f>SUBTOTAL(109,Tableau24[Internal displaced populations])</f>
        <v>1</v>
      </c>
      <c r="O91" s="68">
        <f>SUM(O85:O90)</f>
        <v>1</v>
      </c>
      <c r="P91" s="68">
        <f>SUM(P85:P90)</f>
        <v>1</v>
      </c>
      <c r="Q91" s="41">
        <f>SUM(Q85:Q90)</f>
        <v>1</v>
      </c>
      <c r="R91" s="98"/>
      <c r="S91" s="98"/>
      <c r="T91" s="98"/>
      <c r="U91" s="99"/>
    </row>
    <row r="92" spans="2:21" x14ac:dyDescent="0.25">
      <c r="B92" s="97"/>
      <c r="C92" s="116"/>
      <c r="D92" s="127"/>
      <c r="E92" s="128"/>
      <c r="F92" s="127"/>
      <c r="G92" s="128"/>
      <c r="H92" s="127"/>
      <c r="I92" s="12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9"/>
    </row>
    <row r="93" spans="2:21" x14ac:dyDescent="0.25">
      <c r="B93" s="97"/>
      <c r="C93" s="116"/>
      <c r="D93" s="127"/>
      <c r="E93" s="128"/>
      <c r="F93" s="127"/>
      <c r="G93" s="128"/>
      <c r="H93" s="127"/>
      <c r="I93" s="12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9"/>
    </row>
    <row r="94" spans="2:21" x14ac:dyDescent="0.25">
      <c r="B94" s="97"/>
      <c r="C94" s="113" t="s">
        <v>1770</v>
      </c>
      <c r="D94" s="127"/>
      <c r="E94" s="128"/>
      <c r="F94" s="127"/>
      <c r="G94" s="128"/>
      <c r="H94" s="127"/>
      <c r="I94" s="128"/>
      <c r="J94" s="98"/>
      <c r="K94" s="98"/>
      <c r="L94" s="98"/>
      <c r="M94" s="113" t="s">
        <v>1776</v>
      </c>
      <c r="N94" s="98"/>
      <c r="O94" s="98"/>
      <c r="P94" s="98"/>
      <c r="Q94" s="98"/>
      <c r="R94" s="98"/>
      <c r="S94" s="98"/>
      <c r="T94" s="98"/>
      <c r="U94" s="99"/>
    </row>
    <row r="95" spans="2:21" x14ac:dyDescent="0.25">
      <c r="B95" s="97"/>
      <c r="C95" s="116"/>
      <c r="D95" s="127"/>
      <c r="E95" s="128"/>
      <c r="F95" s="127"/>
      <c r="G95" s="128"/>
      <c r="H95" s="127"/>
      <c r="I95" s="12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9"/>
    </row>
    <row r="96" spans="2:21" x14ac:dyDescent="0.25">
      <c r="B96" s="97"/>
      <c r="C96" s="50" t="s">
        <v>1752</v>
      </c>
      <c r="D96" s="51" t="s">
        <v>1763</v>
      </c>
      <c r="E96" s="52" t="s">
        <v>1764</v>
      </c>
      <c r="F96" s="51" t="s">
        <v>1765</v>
      </c>
      <c r="G96" s="52" t="s">
        <v>715</v>
      </c>
      <c r="H96" s="127"/>
      <c r="I96" s="128"/>
      <c r="J96" s="98"/>
      <c r="K96" s="98"/>
      <c r="L96" s="98"/>
      <c r="M96" s="39" t="s">
        <v>717</v>
      </c>
      <c r="N96" s="40" t="s">
        <v>1767</v>
      </c>
      <c r="O96" s="41" t="s">
        <v>720</v>
      </c>
      <c r="P96" s="40" t="s">
        <v>721</v>
      </c>
      <c r="Q96" s="41" t="s">
        <v>715</v>
      </c>
      <c r="R96" s="98"/>
      <c r="S96" s="98"/>
      <c r="T96" s="98"/>
      <c r="U96" s="99"/>
    </row>
    <row r="97" spans="2:21" x14ac:dyDescent="0.25">
      <c r="B97" s="121" t="str">
        <f>VLOOKUP(Tableau23[[#This Row],[Periodes]],periods[],2)</f>
        <v>Avant 2014</v>
      </c>
      <c r="C97" s="46" t="s">
        <v>1854</v>
      </c>
      <c r="D97" s="49">
        <f t="shared" ref="D97:D102" si="0">D61/G61</f>
        <v>0.74156310736792508</v>
      </c>
      <c r="E97" s="49">
        <f t="shared" ref="E97:E102" si="1">E61/G61</f>
        <v>8.8933388303198066E-3</v>
      </c>
      <c r="F97" s="49">
        <f t="shared" ref="F97:F102" si="2">F61/G61</f>
        <v>0.24954355380175511</v>
      </c>
      <c r="G97" s="48">
        <f>SUM(Tableau23[[#This Row],[Population déplacée interne]:[Retournés]])</f>
        <v>1</v>
      </c>
      <c r="H97" s="127"/>
      <c r="I97" s="128"/>
      <c r="J97" s="98"/>
      <c r="K97" s="98"/>
      <c r="L97" s="115" t="str">
        <f>VLOOKUP(Tableau25[[#This Row],[Periods]],periods[],3)</f>
        <v>Before 2014</v>
      </c>
      <c r="M97" s="46" t="s">
        <v>1854</v>
      </c>
      <c r="N97" s="49">
        <f t="shared" ref="N97:N102" si="3">N61/Q61</f>
        <v>0.74156310736792508</v>
      </c>
      <c r="O97" s="49">
        <f t="shared" ref="O97:O102" si="4">O61/Q61</f>
        <v>8.8933388303198066E-3</v>
      </c>
      <c r="P97" s="49">
        <f t="shared" ref="P97:P102" si="5">P61/Q61</f>
        <v>0.24954355380175511</v>
      </c>
      <c r="Q97" s="48">
        <f>SUM(Tableau25[[#This Row],[Internal displaced populations]:[Returnees]])</f>
        <v>1</v>
      </c>
      <c r="R97" s="98"/>
      <c r="S97" s="98"/>
      <c r="T97" s="98"/>
      <c r="U97" s="99"/>
    </row>
    <row r="98" spans="2:21" x14ac:dyDescent="0.25">
      <c r="B98" s="121" t="str">
        <f>VLOOKUP(Tableau23[[#This Row],[Periodes]],periods[],2)</f>
        <v>2014</v>
      </c>
      <c r="C98" s="46" t="s">
        <v>1855</v>
      </c>
      <c r="D98" s="49">
        <f t="shared" si="0"/>
        <v>0.8250114172629015</v>
      </c>
      <c r="E98" s="49">
        <f t="shared" si="1"/>
        <v>6.5497031511645612E-2</v>
      </c>
      <c r="F98" s="49">
        <f t="shared" si="2"/>
        <v>0.10949155122545288</v>
      </c>
      <c r="G98" s="48">
        <f>SUM(Tableau23[[#This Row],[Population déplacée interne]:[Retournés]])</f>
        <v>1</v>
      </c>
      <c r="H98" s="127"/>
      <c r="I98" s="128"/>
      <c r="J98" s="98"/>
      <c r="K98" s="98"/>
      <c r="L98" s="115" t="str">
        <f>VLOOKUP(Tableau25[[#This Row],[Periods]],periods[],3)</f>
        <v>2014</v>
      </c>
      <c r="M98" s="46" t="s">
        <v>1855</v>
      </c>
      <c r="N98" s="49">
        <f t="shared" si="3"/>
        <v>0.8250114172629015</v>
      </c>
      <c r="O98" s="49">
        <f t="shared" si="4"/>
        <v>6.5497031511645612E-2</v>
      </c>
      <c r="P98" s="49">
        <f t="shared" si="5"/>
        <v>0.10949155122545288</v>
      </c>
      <c r="Q98" s="48">
        <f>SUM(Tableau25[[#This Row],[Internal displaced populations]:[Returnees]])</f>
        <v>1</v>
      </c>
      <c r="R98" s="98"/>
      <c r="S98" s="98"/>
      <c r="T98" s="98"/>
      <c r="U98" s="99"/>
    </row>
    <row r="99" spans="2:21" x14ac:dyDescent="0.25">
      <c r="B99" s="121" t="str">
        <f>VLOOKUP(Tableau23[[#This Row],[Periodes]],periods[],2)</f>
        <v>2015</v>
      </c>
      <c r="C99" s="46" t="s">
        <v>1856</v>
      </c>
      <c r="D99" s="49">
        <f t="shared" si="0"/>
        <v>0.79976102982618302</v>
      </c>
      <c r="E99" s="49">
        <f t="shared" si="1"/>
        <v>0.11352210474107807</v>
      </c>
      <c r="F99" s="49">
        <f t="shared" si="2"/>
        <v>8.6716865432738918E-2</v>
      </c>
      <c r="G99" s="48">
        <f>SUM(Tableau23[[#This Row],[Population déplacée interne]:[Retournés]])</f>
        <v>1</v>
      </c>
      <c r="H99" s="127"/>
      <c r="I99" s="128"/>
      <c r="J99" s="98"/>
      <c r="K99" s="98"/>
      <c r="L99" s="115" t="str">
        <f>VLOOKUP(Tableau25[[#This Row],[Periods]],periods[],3)</f>
        <v>2015</v>
      </c>
      <c r="M99" s="46" t="s">
        <v>1856</v>
      </c>
      <c r="N99" s="49">
        <f t="shared" si="3"/>
        <v>0.79976102982618302</v>
      </c>
      <c r="O99" s="49">
        <f t="shared" si="4"/>
        <v>0.11352210474107807</v>
      </c>
      <c r="P99" s="49">
        <f t="shared" si="5"/>
        <v>8.6716865432738918E-2</v>
      </c>
      <c r="Q99" s="48">
        <f>SUM(Tableau25[[#This Row],[Internal displaced populations]:[Returnees]])</f>
        <v>1</v>
      </c>
      <c r="R99" s="98"/>
      <c r="S99" s="98"/>
      <c r="T99" s="98"/>
      <c r="U99" s="99"/>
    </row>
    <row r="100" spans="2:21" x14ac:dyDescent="0.25">
      <c r="B100" s="121" t="str">
        <f>VLOOKUP(Tableau23[[#This Row],[Periodes]],periods[],2)</f>
        <v>2016</v>
      </c>
      <c r="C100" s="46" t="s">
        <v>1857</v>
      </c>
      <c r="D100" s="49">
        <f t="shared" si="0"/>
        <v>0.73745913975402366</v>
      </c>
      <c r="E100" s="49">
        <f t="shared" si="1"/>
        <v>8.6954437830117234E-2</v>
      </c>
      <c r="F100" s="49">
        <f t="shared" si="2"/>
        <v>0.17558642241585906</v>
      </c>
      <c r="G100" s="48">
        <f>SUM(Tableau23[[#This Row],[Population déplacée interne]:[Retournés]])</f>
        <v>1</v>
      </c>
      <c r="H100" s="127"/>
      <c r="I100" s="128"/>
      <c r="J100" s="98"/>
      <c r="K100" s="98"/>
      <c r="L100" s="115" t="str">
        <f>VLOOKUP(Tableau25[[#This Row],[Periods]],periods[],3)</f>
        <v>2016</v>
      </c>
      <c r="M100" s="46" t="s">
        <v>1857</v>
      </c>
      <c r="N100" s="49">
        <f t="shared" si="3"/>
        <v>0.73745913975402366</v>
      </c>
      <c r="O100" s="49">
        <f t="shared" si="4"/>
        <v>8.6954437830117234E-2</v>
      </c>
      <c r="P100" s="49">
        <f t="shared" si="5"/>
        <v>0.17558642241585906</v>
      </c>
      <c r="Q100" s="48">
        <f>SUM(Tableau25[[#This Row],[Internal displaced populations]:[Returnees]])</f>
        <v>1</v>
      </c>
      <c r="R100" s="98"/>
      <c r="S100" s="98"/>
      <c r="T100" s="98"/>
      <c r="U100" s="99"/>
    </row>
    <row r="101" spans="2:21" x14ac:dyDescent="0.25">
      <c r="B101" s="121" t="str">
        <f>VLOOKUP(Tableau23[[#This Row],[Periodes]],periods[],2)</f>
        <v>Janv-Oct 2017</v>
      </c>
      <c r="C101" s="46" t="s">
        <v>1858</v>
      </c>
      <c r="D101" s="49">
        <f t="shared" si="0"/>
        <v>0.49779805422831153</v>
      </c>
      <c r="E101" s="49">
        <f t="shared" si="1"/>
        <v>0.12312186978297161</v>
      </c>
      <c r="F101" s="49">
        <f t="shared" si="2"/>
        <v>0.37908007598871685</v>
      </c>
      <c r="G101" s="48">
        <f>SUM(Tableau23[[#This Row],[Population déplacée interne]:[Retournés]])</f>
        <v>1</v>
      </c>
      <c r="H101" s="127"/>
      <c r="I101" s="128"/>
      <c r="J101" s="98"/>
      <c r="K101" s="98"/>
      <c r="L101" s="115" t="str">
        <f>VLOOKUP(Tableau25[[#This Row],[Periods]],periods[],3)</f>
        <v>Jan-Oct 2017</v>
      </c>
      <c r="M101" s="46" t="s">
        <v>1858</v>
      </c>
      <c r="N101" s="49">
        <f t="shared" si="3"/>
        <v>0.49779805422831153</v>
      </c>
      <c r="O101" s="49">
        <f t="shared" si="4"/>
        <v>0.12312186978297161</v>
      </c>
      <c r="P101" s="49">
        <f t="shared" si="5"/>
        <v>0.37908007598871685</v>
      </c>
      <c r="Q101" s="48">
        <f>SUM(Tableau25[[#This Row],[Internal displaced populations]:[Returnees]])</f>
        <v>1</v>
      </c>
      <c r="R101" s="98"/>
      <c r="S101" s="98"/>
      <c r="T101" s="98"/>
      <c r="U101" s="99"/>
    </row>
    <row r="102" spans="2:21" x14ac:dyDescent="0.25">
      <c r="B102" s="121" t="str">
        <f>VLOOKUP(Tableau23[[#This Row],[Periodes]],periods[],2)</f>
        <v>Oct-Dec 2017</v>
      </c>
      <c r="C102" s="46" t="s">
        <v>1859</v>
      </c>
      <c r="D102" s="49">
        <f t="shared" si="0"/>
        <v>0.25202546296296297</v>
      </c>
      <c r="E102" s="49">
        <f t="shared" si="1"/>
        <v>3.5300925925925923E-2</v>
      </c>
      <c r="F102" s="49">
        <f t="shared" si="2"/>
        <v>0.71267361111111116</v>
      </c>
      <c r="G102" s="48">
        <f>SUM(Tableau23[[#This Row],[Population déplacée interne]:[Retournés]])</f>
        <v>1</v>
      </c>
      <c r="H102" s="127"/>
      <c r="I102" s="128"/>
      <c r="J102" s="98"/>
      <c r="K102" s="98"/>
      <c r="L102" s="115" t="str">
        <f>VLOOKUP(Tableau25[[#This Row],[Periods]],periods[],3)</f>
        <v>Oct-Dec 2017</v>
      </c>
      <c r="M102" s="46" t="s">
        <v>1859</v>
      </c>
      <c r="N102" s="49">
        <f t="shared" si="3"/>
        <v>0.25202546296296297</v>
      </c>
      <c r="O102" s="49">
        <f t="shared" si="4"/>
        <v>3.5300925925925923E-2</v>
      </c>
      <c r="P102" s="49">
        <f t="shared" si="5"/>
        <v>0.71267361111111116</v>
      </c>
      <c r="Q102" s="48">
        <f>SUM(Tableau25[[#This Row],[Internal displaced populations]:[Returnees]])</f>
        <v>1</v>
      </c>
      <c r="R102" s="98"/>
      <c r="S102" s="98"/>
      <c r="T102" s="98"/>
      <c r="U102" s="99"/>
    </row>
    <row r="103" spans="2:21" x14ac:dyDescent="0.25">
      <c r="B103" s="97"/>
      <c r="C103" s="124"/>
      <c r="D103" s="125"/>
      <c r="E103" s="126"/>
      <c r="F103" s="125"/>
      <c r="G103" s="126"/>
      <c r="H103" s="127"/>
      <c r="I103" s="12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9"/>
    </row>
    <row r="104" spans="2:21" x14ac:dyDescent="0.25">
      <c r="B104" s="106"/>
      <c r="C104" s="129"/>
      <c r="D104" s="130"/>
      <c r="E104" s="131"/>
      <c r="F104" s="130"/>
      <c r="G104" s="131"/>
      <c r="H104" s="130"/>
      <c r="I104" s="131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8"/>
    </row>
    <row r="105" spans="2:21" x14ac:dyDescent="0.25">
      <c r="B105" s="98"/>
      <c r="C105" s="116"/>
      <c r="D105" s="127"/>
      <c r="E105" s="128"/>
      <c r="F105" s="127"/>
      <c r="G105" s="128"/>
      <c r="H105" s="127"/>
      <c r="I105" s="128"/>
      <c r="J105" s="98"/>
      <c r="K105" s="98"/>
      <c r="L105" s="98"/>
      <c r="M105" s="98"/>
      <c r="N105" s="98"/>
      <c r="O105" s="98"/>
      <c r="P105" s="98"/>
      <c r="Q105" s="98"/>
      <c r="R105" s="98"/>
    </row>
    <row r="106" spans="2:21" x14ac:dyDescent="0.25">
      <c r="B106" s="132"/>
      <c r="C106" s="133"/>
      <c r="D106" s="134"/>
      <c r="E106" s="135"/>
      <c r="F106" s="134"/>
      <c r="G106" s="135"/>
      <c r="H106" s="134"/>
      <c r="I106" s="135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10"/>
    </row>
    <row r="107" spans="2:21" x14ac:dyDescent="0.25">
      <c r="B107" s="97"/>
      <c r="C107" s="116"/>
      <c r="D107" s="127"/>
      <c r="E107" s="128"/>
      <c r="F107" s="127"/>
      <c r="G107" s="128"/>
      <c r="H107" s="127"/>
      <c r="I107" s="12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9"/>
    </row>
    <row r="108" spans="2:21" x14ac:dyDescent="0.25">
      <c r="B108" s="97"/>
      <c r="C108" s="162" t="s">
        <v>1766</v>
      </c>
      <c r="D108" s="163" t="s">
        <v>1782</v>
      </c>
      <c r="E108" s="163"/>
      <c r="F108" s="163"/>
      <c r="G108" s="164"/>
      <c r="H108" s="127"/>
      <c r="I108" s="128"/>
      <c r="J108" s="98"/>
      <c r="K108" s="98"/>
      <c r="L108" s="98"/>
      <c r="M108" s="162" t="s">
        <v>714</v>
      </c>
      <c r="N108" s="163" t="s">
        <v>722</v>
      </c>
      <c r="O108" s="163"/>
      <c r="P108" s="163"/>
      <c r="Q108" s="164"/>
      <c r="R108" s="98"/>
      <c r="S108" s="98"/>
      <c r="T108" s="98"/>
      <c r="U108" s="99"/>
    </row>
    <row r="109" spans="2:21" x14ac:dyDescent="0.25">
      <c r="B109" s="97"/>
      <c r="C109" s="79" t="s">
        <v>1781</v>
      </c>
      <c r="D109" s="4" t="s">
        <v>1940</v>
      </c>
      <c r="E109" s="4" t="s">
        <v>1765</v>
      </c>
      <c r="F109" s="4" t="s">
        <v>1780</v>
      </c>
      <c r="G109" s="165" t="s">
        <v>715</v>
      </c>
      <c r="H109" s="127"/>
      <c r="I109" s="128"/>
      <c r="J109" s="98"/>
      <c r="K109" s="98"/>
      <c r="L109" s="98"/>
      <c r="M109" s="79" t="s">
        <v>719</v>
      </c>
      <c r="N109" s="4" t="s">
        <v>1783</v>
      </c>
      <c r="O109" s="4" t="s">
        <v>721</v>
      </c>
      <c r="P109" s="4" t="s">
        <v>720</v>
      </c>
      <c r="Q109" s="165" t="s">
        <v>715</v>
      </c>
      <c r="R109" s="98"/>
      <c r="S109" s="98"/>
      <c r="T109" s="98"/>
      <c r="U109" s="99"/>
    </row>
    <row r="110" spans="2:21" x14ac:dyDescent="0.25">
      <c r="B110" s="97"/>
      <c r="C110" s="89" t="s">
        <v>24</v>
      </c>
      <c r="D110" s="33"/>
      <c r="E110" s="33"/>
      <c r="F110" s="33"/>
      <c r="G110" s="92"/>
      <c r="H110" s="127"/>
      <c r="I110" s="128"/>
      <c r="J110" s="98"/>
      <c r="K110" s="98"/>
      <c r="L110" s="98"/>
      <c r="M110" s="89" t="s">
        <v>24</v>
      </c>
      <c r="N110" s="33"/>
      <c r="O110" s="33"/>
      <c r="P110" s="33"/>
      <c r="Q110" s="92"/>
      <c r="R110" s="98"/>
      <c r="S110" s="98"/>
      <c r="T110" s="98"/>
      <c r="U110" s="99"/>
    </row>
    <row r="111" spans="2:21" x14ac:dyDescent="0.25">
      <c r="B111" s="97"/>
      <c r="C111" s="166" t="s">
        <v>656</v>
      </c>
      <c r="D111" s="33"/>
      <c r="E111" s="33">
        <v>311</v>
      </c>
      <c r="F111" s="33"/>
      <c r="G111" s="92">
        <v>311</v>
      </c>
      <c r="H111" s="127"/>
      <c r="I111" s="128"/>
      <c r="J111" s="98"/>
      <c r="K111" s="98"/>
      <c r="L111" s="98"/>
      <c r="M111" s="166" t="s">
        <v>656</v>
      </c>
      <c r="N111" s="33"/>
      <c r="O111" s="33">
        <v>311</v>
      </c>
      <c r="P111" s="33"/>
      <c r="Q111" s="92">
        <v>311</v>
      </c>
      <c r="R111" s="98"/>
      <c r="S111" s="98"/>
      <c r="T111" s="98"/>
      <c r="U111" s="99"/>
    </row>
    <row r="112" spans="2:21" x14ac:dyDescent="0.25">
      <c r="B112" s="97"/>
      <c r="C112" s="166" t="s">
        <v>26</v>
      </c>
      <c r="D112" s="33">
        <v>273</v>
      </c>
      <c r="E112" s="33"/>
      <c r="F112" s="33"/>
      <c r="G112" s="92">
        <v>273</v>
      </c>
      <c r="H112" s="127"/>
      <c r="I112" s="128"/>
      <c r="J112" s="98"/>
      <c r="K112" s="98"/>
      <c r="L112" s="98"/>
      <c r="M112" s="166" t="s">
        <v>26</v>
      </c>
      <c r="N112" s="33">
        <v>273</v>
      </c>
      <c r="O112" s="33"/>
      <c r="P112" s="33"/>
      <c r="Q112" s="92">
        <v>273</v>
      </c>
      <c r="R112" s="98"/>
      <c r="S112" s="98"/>
      <c r="T112" s="98"/>
      <c r="U112" s="99"/>
    </row>
    <row r="113" spans="2:21" x14ac:dyDescent="0.25">
      <c r="B113" s="97"/>
      <c r="C113" s="166" t="s">
        <v>44</v>
      </c>
      <c r="D113" s="33">
        <v>741</v>
      </c>
      <c r="E113" s="33"/>
      <c r="F113" s="33"/>
      <c r="G113" s="92">
        <v>741</v>
      </c>
      <c r="H113" s="127"/>
      <c r="I113" s="128"/>
      <c r="J113" s="98"/>
      <c r="K113" s="98"/>
      <c r="L113" s="98"/>
      <c r="M113" s="166" t="s">
        <v>44</v>
      </c>
      <c r="N113" s="33">
        <v>741</v>
      </c>
      <c r="O113" s="33"/>
      <c r="P113" s="33"/>
      <c r="Q113" s="92">
        <v>741</v>
      </c>
      <c r="R113" s="98"/>
      <c r="S113" s="98"/>
      <c r="T113" s="98"/>
      <c r="U113" s="99"/>
    </row>
    <row r="114" spans="2:21" x14ac:dyDescent="0.25">
      <c r="B114" s="97"/>
      <c r="C114" s="166" t="s">
        <v>50</v>
      </c>
      <c r="D114" s="33">
        <v>2239</v>
      </c>
      <c r="E114" s="33"/>
      <c r="F114" s="33"/>
      <c r="G114" s="92">
        <v>2239</v>
      </c>
      <c r="H114" s="127"/>
      <c r="I114" s="128"/>
      <c r="J114" s="98"/>
      <c r="K114" s="98"/>
      <c r="L114" s="98"/>
      <c r="M114" s="166" t="s">
        <v>50</v>
      </c>
      <c r="N114" s="33">
        <v>2239</v>
      </c>
      <c r="O114" s="33"/>
      <c r="P114" s="33"/>
      <c r="Q114" s="92">
        <v>2239</v>
      </c>
      <c r="R114" s="98"/>
      <c r="S114" s="98"/>
      <c r="T114" s="98"/>
      <c r="U114" s="99"/>
    </row>
    <row r="115" spans="2:21" x14ac:dyDescent="0.25">
      <c r="B115" s="97"/>
      <c r="C115" s="166" t="s">
        <v>665</v>
      </c>
      <c r="D115" s="33">
        <v>36</v>
      </c>
      <c r="E115" s="33"/>
      <c r="F115" s="33"/>
      <c r="G115" s="92">
        <v>36</v>
      </c>
      <c r="H115" s="127"/>
      <c r="I115" s="128"/>
      <c r="J115" s="98"/>
      <c r="K115" s="98"/>
      <c r="L115" s="98"/>
      <c r="M115" s="166" t="s">
        <v>665</v>
      </c>
      <c r="N115" s="33">
        <v>36</v>
      </c>
      <c r="O115" s="33"/>
      <c r="P115" s="33"/>
      <c r="Q115" s="92">
        <v>36</v>
      </c>
      <c r="R115" s="98"/>
      <c r="S115" s="98"/>
      <c r="T115" s="98"/>
      <c r="U115" s="99"/>
    </row>
    <row r="116" spans="2:21" x14ac:dyDescent="0.25">
      <c r="B116" s="97"/>
      <c r="C116" s="166" t="s">
        <v>56</v>
      </c>
      <c r="D116" s="33">
        <v>2040</v>
      </c>
      <c r="E116" s="33">
        <v>19</v>
      </c>
      <c r="F116" s="33">
        <v>253</v>
      </c>
      <c r="G116" s="92">
        <v>2312</v>
      </c>
      <c r="H116" s="127"/>
      <c r="I116" s="128"/>
      <c r="J116" s="98"/>
      <c r="K116" s="98"/>
      <c r="L116" s="98"/>
      <c r="M116" s="166" t="s">
        <v>56</v>
      </c>
      <c r="N116" s="33">
        <v>2040</v>
      </c>
      <c r="O116" s="33">
        <v>19</v>
      </c>
      <c r="P116" s="33">
        <v>253</v>
      </c>
      <c r="Q116" s="92">
        <v>2312</v>
      </c>
      <c r="R116" s="98"/>
      <c r="S116" s="98"/>
      <c r="T116" s="98"/>
      <c r="U116" s="99"/>
    </row>
    <row r="117" spans="2:21" x14ac:dyDescent="0.25">
      <c r="B117" s="97"/>
      <c r="C117" s="89" t="s">
        <v>85</v>
      </c>
      <c r="D117" s="33"/>
      <c r="E117" s="33"/>
      <c r="F117" s="33"/>
      <c r="G117" s="92"/>
      <c r="H117" s="127"/>
      <c r="I117" s="128"/>
      <c r="J117" s="98"/>
      <c r="K117" s="98"/>
      <c r="L117" s="98"/>
      <c r="M117" s="89" t="s">
        <v>85</v>
      </c>
      <c r="N117" s="33"/>
      <c r="O117" s="33"/>
      <c r="P117" s="33"/>
      <c r="Q117" s="92"/>
      <c r="R117" s="98"/>
      <c r="S117" s="98"/>
      <c r="T117" s="98"/>
      <c r="U117" s="99"/>
    </row>
    <row r="118" spans="2:21" x14ac:dyDescent="0.25">
      <c r="B118" s="97"/>
      <c r="C118" s="166" t="s">
        <v>88</v>
      </c>
      <c r="D118" s="33">
        <v>7153</v>
      </c>
      <c r="E118" s="33">
        <v>643</v>
      </c>
      <c r="F118" s="33">
        <v>861</v>
      </c>
      <c r="G118" s="92">
        <v>8657</v>
      </c>
      <c r="H118" s="127"/>
      <c r="I118" s="128"/>
      <c r="J118" s="98"/>
      <c r="K118" s="98"/>
      <c r="L118" s="98"/>
      <c r="M118" s="166" t="s">
        <v>88</v>
      </c>
      <c r="N118" s="33">
        <v>7153</v>
      </c>
      <c r="O118" s="33">
        <v>643</v>
      </c>
      <c r="P118" s="33">
        <v>861</v>
      </c>
      <c r="Q118" s="92">
        <v>8657</v>
      </c>
      <c r="R118" s="98"/>
      <c r="S118" s="98"/>
      <c r="T118" s="98"/>
      <c r="U118" s="99"/>
    </row>
    <row r="119" spans="2:21" x14ac:dyDescent="0.25">
      <c r="B119" s="97"/>
      <c r="C119" s="166" t="s">
        <v>95</v>
      </c>
      <c r="D119" s="33">
        <v>3737</v>
      </c>
      <c r="E119" s="33">
        <v>429</v>
      </c>
      <c r="F119" s="33">
        <v>764</v>
      </c>
      <c r="G119" s="92">
        <v>4930</v>
      </c>
      <c r="H119" s="127"/>
      <c r="I119" s="128"/>
      <c r="J119" s="98"/>
      <c r="K119" s="98"/>
      <c r="L119" s="98"/>
      <c r="M119" s="166" t="s">
        <v>95</v>
      </c>
      <c r="N119" s="33">
        <v>3737</v>
      </c>
      <c r="O119" s="33">
        <v>429</v>
      </c>
      <c r="P119" s="33">
        <v>764</v>
      </c>
      <c r="Q119" s="92">
        <v>4930</v>
      </c>
      <c r="R119" s="98"/>
      <c r="S119" s="98"/>
      <c r="T119" s="98"/>
      <c r="U119" s="99"/>
    </row>
    <row r="120" spans="2:21" x14ac:dyDescent="0.25">
      <c r="B120" s="97"/>
      <c r="C120" s="166" t="s">
        <v>92</v>
      </c>
      <c r="D120" s="33">
        <v>16857</v>
      </c>
      <c r="E120" s="33">
        <v>9288</v>
      </c>
      <c r="F120" s="33">
        <v>5542</v>
      </c>
      <c r="G120" s="92">
        <v>31687</v>
      </c>
      <c r="H120" s="127"/>
      <c r="I120" s="128"/>
      <c r="J120" s="98"/>
      <c r="K120" s="98"/>
      <c r="L120" s="98"/>
      <c r="M120" s="166" t="s">
        <v>92</v>
      </c>
      <c r="N120" s="33">
        <v>16857</v>
      </c>
      <c r="O120" s="33">
        <v>9288</v>
      </c>
      <c r="P120" s="33">
        <v>5542</v>
      </c>
      <c r="Q120" s="92">
        <v>31687</v>
      </c>
      <c r="R120" s="98"/>
      <c r="S120" s="98"/>
      <c r="T120" s="98"/>
      <c r="U120" s="99"/>
    </row>
    <row r="121" spans="2:21" x14ac:dyDescent="0.25">
      <c r="B121" s="97"/>
      <c r="C121" s="166" t="s">
        <v>173</v>
      </c>
      <c r="D121" s="33">
        <v>2381</v>
      </c>
      <c r="E121" s="33"/>
      <c r="F121" s="33"/>
      <c r="G121" s="92">
        <v>2381</v>
      </c>
      <c r="H121" s="127"/>
      <c r="I121" s="128"/>
      <c r="J121" s="98"/>
      <c r="K121" s="98"/>
      <c r="L121" s="98"/>
      <c r="M121" s="166" t="s">
        <v>173</v>
      </c>
      <c r="N121" s="33">
        <v>2381</v>
      </c>
      <c r="O121" s="33"/>
      <c r="P121" s="33"/>
      <c r="Q121" s="92">
        <v>2381</v>
      </c>
      <c r="R121" s="98"/>
      <c r="S121" s="98"/>
      <c r="T121" s="98"/>
      <c r="U121" s="99"/>
    </row>
    <row r="122" spans="2:21" x14ac:dyDescent="0.25">
      <c r="B122" s="97"/>
      <c r="C122" s="166" t="s">
        <v>110</v>
      </c>
      <c r="D122" s="33">
        <v>4836</v>
      </c>
      <c r="E122" s="33">
        <v>1467</v>
      </c>
      <c r="F122" s="33"/>
      <c r="G122" s="92">
        <v>6303</v>
      </c>
      <c r="H122" s="127"/>
      <c r="I122" s="128"/>
      <c r="J122" s="98"/>
      <c r="K122" s="98"/>
      <c r="L122" s="98"/>
      <c r="M122" s="166" t="s">
        <v>110</v>
      </c>
      <c r="N122" s="33">
        <v>4836</v>
      </c>
      <c r="O122" s="33">
        <v>1467</v>
      </c>
      <c r="P122" s="33"/>
      <c r="Q122" s="92">
        <v>6303</v>
      </c>
      <c r="R122" s="98"/>
      <c r="S122" s="98"/>
      <c r="T122" s="98"/>
      <c r="U122" s="99"/>
    </row>
    <row r="123" spans="2:21" x14ac:dyDescent="0.25">
      <c r="B123" s="97"/>
      <c r="C123" s="166" t="s">
        <v>157</v>
      </c>
      <c r="D123" s="33">
        <v>19975</v>
      </c>
      <c r="E123" s="33">
        <v>13</v>
      </c>
      <c r="F123" s="33">
        <v>31</v>
      </c>
      <c r="G123" s="92">
        <v>20019</v>
      </c>
      <c r="H123" s="127"/>
      <c r="I123" s="128"/>
      <c r="J123" s="98"/>
      <c r="K123" s="98"/>
      <c r="L123" s="98"/>
      <c r="M123" s="166" t="s">
        <v>157</v>
      </c>
      <c r="N123" s="33">
        <v>19975</v>
      </c>
      <c r="O123" s="33">
        <v>13</v>
      </c>
      <c r="P123" s="33">
        <v>31</v>
      </c>
      <c r="Q123" s="92">
        <v>20019</v>
      </c>
      <c r="R123" s="98"/>
      <c r="S123" s="98"/>
      <c r="T123" s="98"/>
      <c r="U123" s="99"/>
    </row>
    <row r="124" spans="2:21" x14ac:dyDescent="0.25">
      <c r="B124" s="97"/>
      <c r="C124" s="166" t="s">
        <v>151</v>
      </c>
      <c r="D124" s="33">
        <v>12345</v>
      </c>
      <c r="E124" s="33">
        <v>70</v>
      </c>
      <c r="F124" s="33">
        <v>1830</v>
      </c>
      <c r="G124" s="92">
        <v>14245</v>
      </c>
      <c r="H124" s="127"/>
      <c r="I124" s="128"/>
      <c r="J124" s="98"/>
      <c r="K124" s="98"/>
      <c r="L124" s="98"/>
      <c r="M124" s="166" t="s">
        <v>151</v>
      </c>
      <c r="N124" s="33">
        <v>12345</v>
      </c>
      <c r="O124" s="33">
        <v>70</v>
      </c>
      <c r="P124" s="33">
        <v>1830</v>
      </c>
      <c r="Q124" s="92">
        <v>14245</v>
      </c>
      <c r="R124" s="98"/>
      <c r="S124" s="98"/>
      <c r="T124" s="98"/>
      <c r="U124" s="99"/>
    </row>
    <row r="125" spans="2:21" x14ac:dyDescent="0.25">
      <c r="B125" s="97"/>
      <c r="C125" s="166" t="s">
        <v>98</v>
      </c>
      <c r="D125" s="33">
        <v>50477</v>
      </c>
      <c r="E125" s="33">
        <v>8996</v>
      </c>
      <c r="F125" s="33">
        <v>13645</v>
      </c>
      <c r="G125" s="92">
        <v>73118</v>
      </c>
      <c r="H125" s="127"/>
      <c r="I125" s="128"/>
      <c r="J125" s="98"/>
      <c r="K125" s="98"/>
      <c r="L125" s="98"/>
      <c r="M125" s="166" t="s">
        <v>98</v>
      </c>
      <c r="N125" s="33">
        <v>50477</v>
      </c>
      <c r="O125" s="33">
        <v>8996</v>
      </c>
      <c r="P125" s="33">
        <v>13645</v>
      </c>
      <c r="Q125" s="92">
        <v>73118</v>
      </c>
      <c r="R125" s="98"/>
      <c r="S125" s="98"/>
      <c r="T125" s="98"/>
      <c r="U125" s="99"/>
    </row>
    <row r="126" spans="2:21" x14ac:dyDescent="0.25">
      <c r="B126" s="97"/>
      <c r="C126" s="166" t="s">
        <v>175</v>
      </c>
      <c r="D126" s="33">
        <v>3708</v>
      </c>
      <c r="E126" s="33">
        <v>2728</v>
      </c>
      <c r="F126" s="33">
        <v>3394</v>
      </c>
      <c r="G126" s="92">
        <v>9830</v>
      </c>
      <c r="H126" s="127"/>
      <c r="I126" s="128"/>
      <c r="J126" s="98"/>
      <c r="K126" s="98"/>
      <c r="L126" s="98"/>
      <c r="M126" s="166" t="s">
        <v>175</v>
      </c>
      <c r="N126" s="33">
        <v>3708</v>
      </c>
      <c r="O126" s="33">
        <v>2728</v>
      </c>
      <c r="P126" s="33">
        <v>3394</v>
      </c>
      <c r="Q126" s="92">
        <v>9830</v>
      </c>
      <c r="R126" s="98"/>
      <c r="S126" s="98"/>
      <c r="T126" s="98"/>
      <c r="U126" s="99"/>
    </row>
    <row r="127" spans="2:21" x14ac:dyDescent="0.25">
      <c r="B127" s="97"/>
      <c r="C127" s="166" t="s">
        <v>181</v>
      </c>
      <c r="D127" s="33">
        <v>4242</v>
      </c>
      <c r="E127" s="33">
        <v>4346</v>
      </c>
      <c r="F127" s="33"/>
      <c r="G127" s="92">
        <v>8588</v>
      </c>
      <c r="H127" s="127"/>
      <c r="I127" s="128"/>
      <c r="J127" s="98"/>
      <c r="K127" s="98"/>
      <c r="L127" s="98"/>
      <c r="M127" s="166" t="s">
        <v>181</v>
      </c>
      <c r="N127" s="33">
        <v>4242</v>
      </c>
      <c r="O127" s="33">
        <v>4346</v>
      </c>
      <c r="P127" s="33"/>
      <c r="Q127" s="92">
        <v>8588</v>
      </c>
      <c r="R127" s="98"/>
      <c r="S127" s="98"/>
      <c r="T127" s="98"/>
      <c r="U127" s="99"/>
    </row>
    <row r="128" spans="2:21" x14ac:dyDescent="0.25">
      <c r="B128" s="97"/>
      <c r="C128" s="89" t="s">
        <v>184</v>
      </c>
      <c r="D128" s="33"/>
      <c r="E128" s="33"/>
      <c r="F128" s="33"/>
      <c r="G128" s="92"/>
      <c r="H128" s="127"/>
      <c r="I128" s="128"/>
      <c r="J128" s="98"/>
      <c r="K128" s="98"/>
      <c r="L128" s="98"/>
      <c r="M128" s="89" t="s">
        <v>184</v>
      </c>
      <c r="N128" s="33"/>
      <c r="O128" s="33"/>
      <c r="P128" s="33"/>
      <c r="Q128" s="92"/>
      <c r="R128" s="98"/>
      <c r="S128" s="98"/>
      <c r="T128" s="98"/>
      <c r="U128" s="99"/>
    </row>
    <row r="129" spans="2:21" x14ac:dyDescent="0.25">
      <c r="B129" s="97"/>
      <c r="C129" s="166" t="s">
        <v>471</v>
      </c>
      <c r="D129" s="33">
        <v>1523</v>
      </c>
      <c r="E129" s="33">
        <v>41</v>
      </c>
      <c r="F129" s="33">
        <v>119</v>
      </c>
      <c r="G129" s="92">
        <v>1683</v>
      </c>
      <c r="H129" s="127"/>
      <c r="I129" s="128"/>
      <c r="J129" s="98"/>
      <c r="K129" s="98"/>
      <c r="L129" s="98"/>
      <c r="M129" s="166" t="s">
        <v>471</v>
      </c>
      <c r="N129" s="33">
        <v>1523</v>
      </c>
      <c r="O129" s="33">
        <v>41</v>
      </c>
      <c r="P129" s="33">
        <v>119</v>
      </c>
      <c r="Q129" s="92">
        <v>1683</v>
      </c>
      <c r="R129" s="98"/>
      <c r="S129" s="98"/>
      <c r="T129" s="98"/>
      <c r="U129" s="99"/>
    </row>
    <row r="130" spans="2:21" x14ac:dyDescent="0.25">
      <c r="B130" s="97"/>
      <c r="C130" s="166" t="s">
        <v>196</v>
      </c>
      <c r="D130" s="33">
        <v>1618</v>
      </c>
      <c r="E130" s="33">
        <v>420</v>
      </c>
      <c r="F130" s="33"/>
      <c r="G130" s="92">
        <v>2038</v>
      </c>
      <c r="H130" s="127"/>
      <c r="I130" s="128"/>
      <c r="J130" s="98"/>
      <c r="K130" s="98"/>
      <c r="L130" s="98"/>
      <c r="M130" s="166" t="s">
        <v>196</v>
      </c>
      <c r="N130" s="33">
        <v>1618</v>
      </c>
      <c r="O130" s="33">
        <v>420</v>
      </c>
      <c r="P130" s="33"/>
      <c r="Q130" s="92">
        <v>2038</v>
      </c>
      <c r="R130" s="98"/>
      <c r="S130" s="98"/>
      <c r="T130" s="98"/>
      <c r="U130" s="99"/>
    </row>
    <row r="131" spans="2:21" x14ac:dyDescent="0.25">
      <c r="B131" s="97"/>
      <c r="C131" s="166" t="s">
        <v>203</v>
      </c>
      <c r="D131" s="33">
        <v>33</v>
      </c>
      <c r="E131" s="33">
        <v>1100</v>
      </c>
      <c r="F131" s="33"/>
      <c r="G131" s="92">
        <v>1133</v>
      </c>
      <c r="H131" s="127"/>
      <c r="I131" s="128"/>
      <c r="J131" s="98"/>
      <c r="K131" s="98"/>
      <c r="L131" s="98"/>
      <c r="M131" s="166" t="s">
        <v>203</v>
      </c>
      <c r="N131" s="33">
        <v>33</v>
      </c>
      <c r="O131" s="33">
        <v>1100</v>
      </c>
      <c r="P131" s="33"/>
      <c r="Q131" s="92">
        <v>1133</v>
      </c>
      <c r="R131" s="98"/>
      <c r="S131" s="98"/>
      <c r="T131" s="98"/>
      <c r="U131" s="99"/>
    </row>
    <row r="132" spans="2:21" x14ac:dyDescent="0.25">
      <c r="B132" s="97"/>
      <c r="C132" s="166" t="s">
        <v>206</v>
      </c>
      <c r="D132" s="33">
        <v>574</v>
      </c>
      <c r="E132" s="33">
        <v>3699</v>
      </c>
      <c r="F132" s="33"/>
      <c r="G132" s="92">
        <v>4273</v>
      </c>
      <c r="H132" s="127"/>
      <c r="I132" s="128"/>
      <c r="J132" s="98"/>
      <c r="K132" s="98"/>
      <c r="L132" s="98"/>
      <c r="M132" s="166" t="s">
        <v>206</v>
      </c>
      <c r="N132" s="33">
        <v>574</v>
      </c>
      <c r="O132" s="33">
        <v>3699</v>
      </c>
      <c r="P132" s="33"/>
      <c r="Q132" s="92">
        <v>4273</v>
      </c>
      <c r="R132" s="98"/>
      <c r="S132" s="98"/>
      <c r="T132" s="98"/>
      <c r="U132" s="99"/>
    </row>
    <row r="133" spans="2:21" x14ac:dyDescent="0.25">
      <c r="B133" s="97"/>
      <c r="C133" s="166" t="s">
        <v>215</v>
      </c>
      <c r="D133" s="33">
        <v>5256</v>
      </c>
      <c r="E133" s="33">
        <v>369</v>
      </c>
      <c r="F133" s="33"/>
      <c r="G133" s="92">
        <v>5625</v>
      </c>
      <c r="H133" s="127"/>
      <c r="I133" s="128"/>
      <c r="J133" s="98"/>
      <c r="K133" s="98"/>
      <c r="L133" s="98"/>
      <c r="M133" s="166" t="s">
        <v>215</v>
      </c>
      <c r="N133" s="33">
        <v>5256</v>
      </c>
      <c r="O133" s="33">
        <v>369</v>
      </c>
      <c r="P133" s="33"/>
      <c r="Q133" s="92">
        <v>5625</v>
      </c>
      <c r="R133" s="98"/>
      <c r="S133" s="98"/>
      <c r="T133" s="98"/>
      <c r="U133" s="99"/>
    </row>
    <row r="134" spans="2:21" x14ac:dyDescent="0.25">
      <c r="B134" s="97"/>
      <c r="C134" s="166" t="s">
        <v>213</v>
      </c>
      <c r="D134" s="33">
        <v>1310</v>
      </c>
      <c r="E134" s="33">
        <v>800</v>
      </c>
      <c r="F134" s="33"/>
      <c r="G134" s="92">
        <v>2110</v>
      </c>
      <c r="H134" s="127"/>
      <c r="I134" s="128"/>
      <c r="J134" s="98"/>
      <c r="K134" s="98"/>
      <c r="L134" s="98"/>
      <c r="M134" s="166" t="s">
        <v>213</v>
      </c>
      <c r="N134" s="33">
        <v>1310</v>
      </c>
      <c r="O134" s="33">
        <v>800</v>
      </c>
      <c r="P134" s="33"/>
      <c r="Q134" s="92">
        <v>2110</v>
      </c>
      <c r="R134" s="98"/>
      <c r="S134" s="98"/>
      <c r="T134" s="98"/>
      <c r="U134" s="99"/>
    </row>
    <row r="135" spans="2:21" x14ac:dyDescent="0.25">
      <c r="B135" s="97"/>
      <c r="C135" s="89" t="s">
        <v>218</v>
      </c>
      <c r="D135" s="33"/>
      <c r="E135" s="33"/>
      <c r="F135" s="33"/>
      <c r="G135" s="92"/>
      <c r="H135" s="127"/>
      <c r="I135" s="128"/>
      <c r="J135" s="98"/>
      <c r="K135" s="98"/>
      <c r="L135" s="98"/>
      <c r="M135" s="89" t="s">
        <v>218</v>
      </c>
      <c r="N135" s="33"/>
      <c r="O135" s="33"/>
      <c r="P135" s="33"/>
      <c r="Q135" s="92"/>
      <c r="R135" s="98"/>
      <c r="S135" s="98"/>
      <c r="T135" s="98"/>
      <c r="U135" s="99"/>
    </row>
    <row r="136" spans="2:21" x14ac:dyDescent="0.25">
      <c r="B136" s="97"/>
      <c r="C136" s="166" t="s">
        <v>676</v>
      </c>
      <c r="D136" s="33"/>
      <c r="E136" s="33">
        <v>82</v>
      </c>
      <c r="F136" s="33"/>
      <c r="G136" s="92">
        <v>82</v>
      </c>
      <c r="H136" s="127"/>
      <c r="I136" s="128"/>
      <c r="J136" s="98"/>
      <c r="K136" s="98"/>
      <c r="L136" s="98"/>
      <c r="M136" s="166" t="s">
        <v>676</v>
      </c>
      <c r="N136" s="33"/>
      <c r="O136" s="33">
        <v>82</v>
      </c>
      <c r="P136" s="33"/>
      <c r="Q136" s="92">
        <v>82</v>
      </c>
      <c r="R136" s="98"/>
      <c r="S136" s="98"/>
      <c r="T136" s="98"/>
      <c r="U136" s="99"/>
    </row>
    <row r="137" spans="2:21" x14ac:dyDescent="0.25">
      <c r="B137" s="97"/>
      <c r="C137" s="166" t="s">
        <v>224</v>
      </c>
      <c r="D137" s="33">
        <v>77</v>
      </c>
      <c r="E137" s="33">
        <v>115</v>
      </c>
      <c r="F137" s="33"/>
      <c r="G137" s="92">
        <v>192</v>
      </c>
      <c r="H137" s="127"/>
      <c r="I137" s="128"/>
      <c r="J137" s="98"/>
      <c r="K137" s="98"/>
      <c r="L137" s="98"/>
      <c r="M137" s="166" t="s">
        <v>224</v>
      </c>
      <c r="N137" s="33">
        <v>77</v>
      </c>
      <c r="O137" s="33">
        <v>115</v>
      </c>
      <c r="P137" s="33"/>
      <c r="Q137" s="92">
        <v>192</v>
      </c>
      <c r="R137" s="98"/>
      <c r="S137" s="98"/>
      <c r="T137" s="98"/>
      <c r="U137" s="99"/>
    </row>
    <row r="138" spans="2:21" x14ac:dyDescent="0.25">
      <c r="B138" s="97"/>
      <c r="C138" s="166" t="s">
        <v>220</v>
      </c>
      <c r="D138" s="33"/>
      <c r="E138" s="33">
        <v>37</v>
      </c>
      <c r="F138" s="33">
        <v>9</v>
      </c>
      <c r="G138" s="92">
        <v>46</v>
      </c>
      <c r="H138" s="127"/>
      <c r="I138" s="128"/>
      <c r="J138" s="98"/>
      <c r="K138" s="98"/>
      <c r="L138" s="98"/>
      <c r="M138" s="166" t="s">
        <v>220</v>
      </c>
      <c r="N138" s="33"/>
      <c r="O138" s="33">
        <v>37</v>
      </c>
      <c r="P138" s="33">
        <v>9</v>
      </c>
      <c r="Q138" s="92">
        <v>46</v>
      </c>
      <c r="R138" s="98"/>
      <c r="S138" s="98"/>
      <c r="T138" s="98"/>
      <c r="U138" s="99"/>
    </row>
    <row r="139" spans="2:21" x14ac:dyDescent="0.25">
      <c r="B139" s="97"/>
      <c r="C139" s="166" t="s">
        <v>228</v>
      </c>
      <c r="D139" s="33"/>
      <c r="E139" s="33">
        <v>429</v>
      </c>
      <c r="F139" s="33"/>
      <c r="G139" s="92">
        <v>429</v>
      </c>
      <c r="H139" s="127"/>
      <c r="I139" s="128"/>
      <c r="J139" s="98"/>
      <c r="K139" s="98"/>
      <c r="L139" s="98"/>
      <c r="M139" s="166" t="s">
        <v>228</v>
      </c>
      <c r="N139" s="33"/>
      <c r="O139" s="33">
        <v>429</v>
      </c>
      <c r="P139" s="33"/>
      <c r="Q139" s="92">
        <v>429</v>
      </c>
      <c r="R139" s="98"/>
      <c r="S139" s="98"/>
      <c r="T139" s="98"/>
      <c r="U139" s="99"/>
    </row>
    <row r="140" spans="2:21" x14ac:dyDescent="0.25">
      <c r="B140" s="97"/>
      <c r="C140" s="166" t="s">
        <v>497</v>
      </c>
      <c r="D140" s="33">
        <v>52</v>
      </c>
      <c r="E140" s="33">
        <v>4</v>
      </c>
      <c r="F140" s="33">
        <v>11</v>
      </c>
      <c r="G140" s="92">
        <v>67</v>
      </c>
      <c r="H140" s="127"/>
      <c r="I140" s="128"/>
      <c r="J140" s="98"/>
      <c r="K140" s="98"/>
      <c r="L140" s="98"/>
      <c r="M140" s="166" t="s">
        <v>497</v>
      </c>
      <c r="N140" s="33">
        <v>52</v>
      </c>
      <c r="O140" s="33">
        <v>4</v>
      </c>
      <c r="P140" s="33">
        <v>11</v>
      </c>
      <c r="Q140" s="92">
        <v>67</v>
      </c>
      <c r="R140" s="98"/>
      <c r="S140" s="98"/>
      <c r="T140" s="98"/>
      <c r="U140" s="99"/>
    </row>
    <row r="141" spans="2:21" x14ac:dyDescent="0.25">
      <c r="B141" s="97"/>
      <c r="C141" s="89" t="s">
        <v>48</v>
      </c>
      <c r="D141" s="33"/>
      <c r="E141" s="33"/>
      <c r="F141" s="33"/>
      <c r="G141" s="92"/>
      <c r="H141" s="127"/>
      <c r="I141" s="128"/>
      <c r="J141" s="98"/>
      <c r="K141" s="98"/>
      <c r="L141" s="98"/>
      <c r="M141" s="89" t="s">
        <v>48</v>
      </c>
      <c r="N141" s="33"/>
      <c r="O141" s="33"/>
      <c r="P141" s="33"/>
      <c r="Q141" s="92"/>
      <c r="R141" s="98"/>
      <c r="S141" s="98"/>
      <c r="T141" s="98"/>
      <c r="U141" s="99"/>
    </row>
    <row r="142" spans="2:21" x14ac:dyDescent="0.25">
      <c r="B142" s="97"/>
      <c r="C142" s="166" t="s">
        <v>232</v>
      </c>
      <c r="D142" s="33">
        <v>14521</v>
      </c>
      <c r="E142" s="33">
        <v>9128</v>
      </c>
      <c r="F142" s="33"/>
      <c r="G142" s="92">
        <v>23649</v>
      </c>
      <c r="H142" s="127"/>
      <c r="I142" s="128"/>
      <c r="J142" s="98"/>
      <c r="K142" s="98"/>
      <c r="L142" s="98"/>
      <c r="M142" s="166" t="s">
        <v>232</v>
      </c>
      <c r="N142" s="33">
        <v>14521</v>
      </c>
      <c r="O142" s="33">
        <v>9128</v>
      </c>
      <c r="P142" s="33"/>
      <c r="Q142" s="92">
        <v>23649</v>
      </c>
      <c r="R142" s="98"/>
      <c r="S142" s="98"/>
      <c r="T142" s="98"/>
      <c r="U142" s="99"/>
    </row>
    <row r="143" spans="2:21" x14ac:dyDescent="0.25">
      <c r="B143" s="97"/>
      <c r="C143" s="166" t="s">
        <v>62</v>
      </c>
      <c r="D143" s="33">
        <v>43257</v>
      </c>
      <c r="E143" s="33">
        <v>8000</v>
      </c>
      <c r="F143" s="33"/>
      <c r="G143" s="92">
        <v>51257</v>
      </c>
      <c r="H143" s="127"/>
      <c r="I143" s="128"/>
      <c r="J143" s="98"/>
      <c r="K143" s="98"/>
      <c r="L143" s="98"/>
      <c r="M143" s="166" t="s">
        <v>62</v>
      </c>
      <c r="N143" s="33">
        <v>43257</v>
      </c>
      <c r="O143" s="33">
        <v>8000</v>
      </c>
      <c r="P143" s="33"/>
      <c r="Q143" s="92">
        <v>51257</v>
      </c>
      <c r="R143" s="98"/>
      <c r="S143" s="98"/>
      <c r="T143" s="98"/>
      <c r="U143" s="99"/>
    </row>
    <row r="144" spans="2:21" x14ac:dyDescent="0.25">
      <c r="B144" s="97"/>
      <c r="C144" s="166" t="s">
        <v>527</v>
      </c>
      <c r="D144" s="33">
        <v>1728</v>
      </c>
      <c r="E144" s="33"/>
      <c r="F144" s="33"/>
      <c r="G144" s="92">
        <v>1728</v>
      </c>
      <c r="H144" s="127"/>
      <c r="I144" s="128"/>
      <c r="J144" s="98"/>
      <c r="K144" s="98"/>
      <c r="L144" s="98"/>
      <c r="M144" s="166" t="s">
        <v>527</v>
      </c>
      <c r="N144" s="33">
        <v>1728</v>
      </c>
      <c r="O144" s="33"/>
      <c r="P144" s="33"/>
      <c r="Q144" s="92">
        <v>1728</v>
      </c>
      <c r="R144" s="98"/>
      <c r="S144" s="98"/>
      <c r="T144" s="98"/>
      <c r="U144" s="99"/>
    </row>
    <row r="145" spans="2:21" x14ac:dyDescent="0.25">
      <c r="B145" s="97"/>
      <c r="C145" s="89" t="s">
        <v>37</v>
      </c>
      <c r="D145" s="33"/>
      <c r="E145" s="33"/>
      <c r="F145" s="33"/>
      <c r="G145" s="92"/>
      <c r="H145" s="127"/>
      <c r="I145" s="128"/>
      <c r="J145" s="98"/>
      <c r="K145" s="98"/>
      <c r="L145" s="98"/>
      <c r="M145" s="89" t="s">
        <v>37</v>
      </c>
      <c r="N145" s="33"/>
      <c r="O145" s="33"/>
      <c r="P145" s="33"/>
      <c r="Q145" s="92"/>
      <c r="R145" s="98"/>
      <c r="S145" s="98"/>
      <c r="T145" s="98"/>
      <c r="U145" s="99"/>
    </row>
    <row r="146" spans="2:21" x14ac:dyDescent="0.25">
      <c r="B146" s="97"/>
      <c r="C146" s="166" t="s">
        <v>236</v>
      </c>
      <c r="D146" s="33">
        <v>201</v>
      </c>
      <c r="E146" s="33">
        <v>1566</v>
      </c>
      <c r="F146" s="33">
        <v>90</v>
      </c>
      <c r="G146" s="92">
        <v>1857</v>
      </c>
      <c r="H146" s="127"/>
      <c r="I146" s="128"/>
      <c r="J146" s="98"/>
      <c r="K146" s="98"/>
      <c r="L146" s="98"/>
      <c r="M146" s="166" t="s">
        <v>236</v>
      </c>
      <c r="N146" s="33">
        <v>201</v>
      </c>
      <c r="O146" s="33">
        <v>1566</v>
      </c>
      <c r="P146" s="33">
        <v>90</v>
      </c>
      <c r="Q146" s="92">
        <v>1857</v>
      </c>
      <c r="R146" s="98"/>
      <c r="S146" s="98"/>
      <c r="T146" s="98"/>
      <c r="U146" s="99"/>
    </row>
    <row r="147" spans="2:21" x14ac:dyDescent="0.25">
      <c r="B147" s="97"/>
      <c r="C147" s="166" t="s">
        <v>540</v>
      </c>
      <c r="D147" s="33">
        <v>404</v>
      </c>
      <c r="E147" s="33">
        <v>253</v>
      </c>
      <c r="F147" s="33"/>
      <c r="G147" s="92">
        <v>657</v>
      </c>
      <c r="H147" s="127"/>
      <c r="I147" s="128"/>
      <c r="J147" s="98"/>
      <c r="K147" s="98"/>
      <c r="L147" s="98"/>
      <c r="M147" s="166" t="s">
        <v>540</v>
      </c>
      <c r="N147" s="33">
        <v>404</v>
      </c>
      <c r="O147" s="33">
        <v>253</v>
      </c>
      <c r="P147" s="33"/>
      <c r="Q147" s="92">
        <v>657</v>
      </c>
      <c r="R147" s="98"/>
      <c r="S147" s="98"/>
      <c r="T147" s="98"/>
      <c r="U147" s="99"/>
    </row>
    <row r="148" spans="2:21" x14ac:dyDescent="0.25">
      <c r="B148" s="97"/>
      <c r="C148" s="166" t="s">
        <v>547</v>
      </c>
      <c r="D148" s="33">
        <v>16314</v>
      </c>
      <c r="E148" s="33">
        <v>2182</v>
      </c>
      <c r="F148" s="33">
        <v>30</v>
      </c>
      <c r="G148" s="92">
        <v>18526</v>
      </c>
      <c r="H148" s="127"/>
      <c r="I148" s="128"/>
      <c r="J148" s="98"/>
      <c r="K148" s="98"/>
      <c r="L148" s="98"/>
      <c r="M148" s="166" t="s">
        <v>547</v>
      </c>
      <c r="N148" s="33">
        <v>16314</v>
      </c>
      <c r="O148" s="33">
        <v>2182</v>
      </c>
      <c r="P148" s="33">
        <v>30</v>
      </c>
      <c r="Q148" s="92">
        <v>18526</v>
      </c>
      <c r="R148" s="98"/>
      <c r="S148" s="98"/>
      <c r="T148" s="98"/>
      <c r="U148" s="99"/>
    </row>
    <row r="149" spans="2:21" x14ac:dyDescent="0.25">
      <c r="B149" s="97"/>
      <c r="C149" s="166" t="s">
        <v>244</v>
      </c>
      <c r="D149" s="33"/>
      <c r="E149" s="33">
        <v>983</v>
      </c>
      <c r="F149" s="33">
        <v>1309</v>
      </c>
      <c r="G149" s="92">
        <v>2292</v>
      </c>
      <c r="H149" s="127"/>
      <c r="I149" s="128"/>
      <c r="J149" s="98"/>
      <c r="K149" s="98"/>
      <c r="L149" s="98"/>
      <c r="M149" s="166" t="s">
        <v>244</v>
      </c>
      <c r="N149" s="33"/>
      <c r="O149" s="33">
        <v>983</v>
      </c>
      <c r="P149" s="33">
        <v>1309</v>
      </c>
      <c r="Q149" s="92">
        <v>2292</v>
      </c>
      <c r="R149" s="98"/>
      <c r="S149" s="98"/>
      <c r="T149" s="98"/>
      <c r="U149" s="99"/>
    </row>
    <row r="150" spans="2:21" x14ac:dyDescent="0.25">
      <c r="B150" s="97"/>
      <c r="C150" s="166" t="s">
        <v>247</v>
      </c>
      <c r="D150" s="33">
        <v>10638</v>
      </c>
      <c r="E150" s="33">
        <v>6368</v>
      </c>
      <c r="F150" s="33">
        <v>431</v>
      </c>
      <c r="G150" s="92">
        <v>17437</v>
      </c>
      <c r="H150" s="127"/>
      <c r="I150" s="128"/>
      <c r="J150" s="98"/>
      <c r="K150" s="98"/>
      <c r="L150" s="98"/>
      <c r="M150" s="166" t="s">
        <v>247</v>
      </c>
      <c r="N150" s="33">
        <v>10638</v>
      </c>
      <c r="O150" s="33">
        <v>6368</v>
      </c>
      <c r="P150" s="33">
        <v>431</v>
      </c>
      <c r="Q150" s="92">
        <v>17437</v>
      </c>
      <c r="R150" s="98"/>
      <c r="S150" s="98"/>
      <c r="T150" s="98"/>
      <c r="U150" s="99"/>
    </row>
    <row r="151" spans="2:21" x14ac:dyDescent="0.25">
      <c r="B151" s="97"/>
      <c r="C151" s="166" t="s">
        <v>250</v>
      </c>
      <c r="D151" s="33">
        <v>11736</v>
      </c>
      <c r="E151" s="33">
        <v>5726</v>
      </c>
      <c r="F151" s="33">
        <v>3318</v>
      </c>
      <c r="G151" s="92">
        <v>20780</v>
      </c>
      <c r="H151" s="127"/>
      <c r="I151" s="128"/>
      <c r="J151" s="98"/>
      <c r="K151" s="98"/>
      <c r="L151" s="98"/>
      <c r="M151" s="166" t="s">
        <v>250</v>
      </c>
      <c r="N151" s="33">
        <v>11736</v>
      </c>
      <c r="O151" s="33">
        <v>5726</v>
      </c>
      <c r="P151" s="33">
        <v>3318</v>
      </c>
      <c r="Q151" s="92">
        <v>20780</v>
      </c>
      <c r="R151" s="98"/>
      <c r="S151" s="98"/>
      <c r="T151" s="98"/>
      <c r="U151" s="99"/>
    </row>
    <row r="152" spans="2:21" x14ac:dyDescent="0.25">
      <c r="B152" s="97"/>
      <c r="C152" s="166" t="s">
        <v>608</v>
      </c>
      <c r="D152" s="33">
        <v>748</v>
      </c>
      <c r="E152" s="33">
        <v>118</v>
      </c>
      <c r="F152" s="33">
        <v>19</v>
      </c>
      <c r="G152" s="92">
        <v>885</v>
      </c>
      <c r="H152" s="127"/>
      <c r="I152" s="128"/>
      <c r="J152" s="98"/>
      <c r="K152" s="98"/>
      <c r="L152" s="98"/>
      <c r="M152" s="166" t="s">
        <v>608</v>
      </c>
      <c r="N152" s="33">
        <v>748</v>
      </c>
      <c r="O152" s="33">
        <v>118</v>
      </c>
      <c r="P152" s="33">
        <v>19</v>
      </c>
      <c r="Q152" s="92">
        <v>885</v>
      </c>
      <c r="R152" s="98"/>
      <c r="S152" s="98"/>
      <c r="T152" s="98"/>
      <c r="U152" s="99"/>
    </row>
    <row r="153" spans="2:21" x14ac:dyDescent="0.25">
      <c r="B153" s="97"/>
      <c r="C153" s="167" t="s">
        <v>715</v>
      </c>
      <c r="D153" s="168">
        <v>241030</v>
      </c>
      <c r="E153" s="168">
        <v>69730</v>
      </c>
      <c r="F153" s="168">
        <v>31656</v>
      </c>
      <c r="G153" s="169">
        <v>342416</v>
      </c>
      <c r="H153" s="127"/>
      <c r="I153" s="128"/>
      <c r="J153" s="98"/>
      <c r="K153" s="98"/>
      <c r="L153" s="98"/>
      <c r="M153" s="167" t="s">
        <v>715</v>
      </c>
      <c r="N153" s="168">
        <v>241030</v>
      </c>
      <c r="O153" s="168">
        <v>69730</v>
      </c>
      <c r="P153" s="168">
        <v>31656</v>
      </c>
      <c r="Q153" s="169">
        <v>342416</v>
      </c>
      <c r="R153" s="98"/>
      <c r="S153" s="98"/>
      <c r="T153" s="98"/>
      <c r="U153" s="99"/>
    </row>
    <row r="154" spans="2:21" x14ac:dyDescent="0.25">
      <c r="B154" s="97"/>
      <c r="C154" s="116"/>
      <c r="D154" s="127"/>
      <c r="E154" s="128"/>
      <c r="F154" s="127"/>
      <c r="G154" s="128"/>
      <c r="H154" s="127"/>
      <c r="I154" s="128"/>
      <c r="J154" s="98"/>
      <c r="K154" s="98"/>
      <c r="L154" s="98"/>
      <c r="M154" s="9"/>
      <c r="N154" s="9"/>
      <c r="O154" s="9"/>
      <c r="P154" s="9"/>
      <c r="Q154" s="9"/>
      <c r="R154" s="98"/>
      <c r="S154" s="98"/>
      <c r="T154" s="98"/>
      <c r="U154" s="99"/>
    </row>
    <row r="155" spans="2:21" x14ac:dyDescent="0.25">
      <c r="B155" s="97"/>
      <c r="C155" s="116"/>
      <c r="D155" s="127"/>
      <c r="E155" s="128"/>
      <c r="F155" s="127"/>
      <c r="G155" s="128"/>
      <c r="H155" s="127"/>
      <c r="I155" s="12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9"/>
    </row>
    <row r="156" spans="2:21" x14ac:dyDescent="0.25">
      <c r="B156" s="97"/>
      <c r="C156" s="116"/>
      <c r="D156" s="127"/>
      <c r="E156" s="128"/>
      <c r="F156" s="127"/>
      <c r="G156" s="128"/>
      <c r="H156" s="127"/>
      <c r="I156" s="12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9"/>
    </row>
    <row r="157" spans="2:21" x14ac:dyDescent="0.25">
      <c r="B157" s="97"/>
      <c r="C157" s="113" t="s">
        <v>1786</v>
      </c>
      <c r="D157" s="127"/>
      <c r="E157" s="98"/>
      <c r="F157" s="127"/>
      <c r="G157" s="128"/>
      <c r="H157" s="127"/>
      <c r="I157" s="128"/>
      <c r="J157" s="98"/>
      <c r="K157" s="98"/>
      <c r="L157" s="98"/>
      <c r="M157" s="113" t="s">
        <v>1785</v>
      </c>
      <c r="N157" s="98"/>
      <c r="O157" s="98"/>
      <c r="P157" s="98"/>
      <c r="Q157" s="98"/>
      <c r="R157" s="98"/>
      <c r="S157" s="98"/>
      <c r="T157" s="98"/>
      <c r="U157" s="99"/>
    </row>
    <row r="158" spans="2:21" x14ac:dyDescent="0.25">
      <c r="B158" s="97"/>
      <c r="C158" s="116"/>
      <c r="D158" s="127"/>
      <c r="E158" s="128"/>
      <c r="F158" s="127"/>
      <c r="G158" s="128"/>
      <c r="H158" s="127"/>
      <c r="I158" s="12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9"/>
    </row>
    <row r="159" spans="2:21" x14ac:dyDescent="0.25">
      <c r="B159" s="97"/>
      <c r="C159" s="9" t="s">
        <v>1766</v>
      </c>
      <c r="D159" s="9" t="s">
        <v>1779</v>
      </c>
      <c r="E159" s="9" t="s">
        <v>1780</v>
      </c>
      <c r="F159" s="9" t="s">
        <v>1765</v>
      </c>
      <c r="G159" s="9" t="s">
        <v>715</v>
      </c>
      <c r="H159" s="127"/>
      <c r="I159" s="128"/>
      <c r="J159" s="98"/>
      <c r="K159" s="98"/>
      <c r="L159" s="98"/>
      <c r="M159" s="9" t="s">
        <v>714</v>
      </c>
      <c r="N159" s="9" t="s">
        <v>1783</v>
      </c>
      <c r="O159" s="9" t="s">
        <v>720</v>
      </c>
      <c r="P159" s="9" t="s">
        <v>721</v>
      </c>
      <c r="Q159" s="9" t="s">
        <v>715</v>
      </c>
      <c r="R159" s="98"/>
      <c r="S159" s="98"/>
      <c r="T159" s="98"/>
      <c r="U159" s="99"/>
    </row>
    <row r="160" spans="2:21" x14ac:dyDescent="0.25">
      <c r="B160" s="97"/>
      <c r="C160" s="9" t="s">
        <v>1873</v>
      </c>
      <c r="D160" s="33">
        <v>158316</v>
      </c>
      <c r="E160" s="33">
        <v>11482</v>
      </c>
      <c r="F160" s="33">
        <v>30585</v>
      </c>
      <c r="G160" s="33">
        <v>200383</v>
      </c>
      <c r="H160" s="127"/>
      <c r="I160" s="128"/>
      <c r="J160" s="98"/>
      <c r="K160" s="98"/>
      <c r="L160" s="98"/>
      <c r="M160" s="9" t="s">
        <v>1873</v>
      </c>
      <c r="N160" s="33">
        <v>158316</v>
      </c>
      <c r="O160" s="33">
        <v>11482</v>
      </c>
      <c r="P160" s="33">
        <v>30585</v>
      </c>
      <c r="Q160" s="33">
        <v>200383</v>
      </c>
      <c r="R160" s="98"/>
      <c r="S160" s="98"/>
      <c r="T160" s="98"/>
      <c r="U160" s="99"/>
    </row>
    <row r="161" spans="2:21" x14ac:dyDescent="0.25">
      <c r="B161" s="97"/>
      <c r="C161" s="9" t="s">
        <v>1874</v>
      </c>
      <c r="D161" s="33">
        <v>169970</v>
      </c>
      <c r="E161" s="33">
        <v>8108</v>
      </c>
      <c r="F161" s="33">
        <v>35434</v>
      </c>
      <c r="G161" s="33">
        <v>213512</v>
      </c>
      <c r="H161" s="127"/>
      <c r="I161" s="128"/>
      <c r="J161" s="98"/>
      <c r="K161" s="98"/>
      <c r="L161" s="98"/>
      <c r="M161" s="9" t="s">
        <v>725</v>
      </c>
      <c r="N161" s="33">
        <v>169970</v>
      </c>
      <c r="O161" s="33">
        <v>8108</v>
      </c>
      <c r="P161" s="33">
        <v>35434</v>
      </c>
      <c r="Q161" s="33">
        <v>213512</v>
      </c>
      <c r="R161" s="98"/>
      <c r="S161" s="98"/>
      <c r="T161" s="98"/>
      <c r="U161" s="99"/>
    </row>
    <row r="162" spans="2:21" x14ac:dyDescent="0.25">
      <c r="B162" s="97"/>
      <c r="C162" s="9" t="s">
        <v>1865</v>
      </c>
      <c r="D162" s="33">
        <v>190591</v>
      </c>
      <c r="E162" s="33">
        <v>8251</v>
      </c>
      <c r="F162" s="33">
        <v>39833</v>
      </c>
      <c r="G162" s="33">
        <v>238675</v>
      </c>
      <c r="H162" s="127"/>
      <c r="I162" s="128"/>
      <c r="J162" s="98"/>
      <c r="K162" s="98"/>
      <c r="L162" s="98"/>
      <c r="M162" s="9" t="s">
        <v>1870</v>
      </c>
      <c r="N162" s="33">
        <v>190591</v>
      </c>
      <c r="O162" s="33">
        <v>8251</v>
      </c>
      <c r="P162" s="33">
        <v>39833</v>
      </c>
      <c r="Q162" s="33">
        <v>238675</v>
      </c>
      <c r="R162" s="98"/>
      <c r="S162" s="98"/>
      <c r="T162" s="98"/>
      <c r="U162" s="99"/>
    </row>
    <row r="163" spans="2:21" x14ac:dyDescent="0.25">
      <c r="B163" s="97"/>
      <c r="C163" s="9" t="s">
        <v>1866</v>
      </c>
      <c r="D163" s="33">
        <v>181215</v>
      </c>
      <c r="E163" s="33">
        <v>14871</v>
      </c>
      <c r="F163" s="33">
        <v>32023</v>
      </c>
      <c r="G163" s="33">
        <v>228109</v>
      </c>
      <c r="H163" s="127"/>
      <c r="I163" s="128"/>
      <c r="J163" s="98"/>
      <c r="K163" s="98"/>
      <c r="L163" s="98"/>
      <c r="M163" s="9" t="s">
        <v>1871</v>
      </c>
      <c r="N163" s="33">
        <v>181215</v>
      </c>
      <c r="O163" s="33">
        <v>14871</v>
      </c>
      <c r="P163" s="33">
        <v>32023</v>
      </c>
      <c r="Q163" s="33">
        <v>228109</v>
      </c>
      <c r="R163" s="98"/>
      <c r="S163" s="98"/>
      <c r="T163" s="98"/>
      <c r="U163" s="99"/>
    </row>
    <row r="164" spans="2:21" x14ac:dyDescent="0.25">
      <c r="B164" s="97"/>
      <c r="C164" s="9" t="s">
        <v>1872</v>
      </c>
      <c r="D164" s="33">
        <v>198889</v>
      </c>
      <c r="E164" s="33">
        <v>26743</v>
      </c>
      <c r="F164" s="33">
        <v>36068</v>
      </c>
      <c r="G164" s="33">
        <v>261700</v>
      </c>
      <c r="H164" s="127"/>
      <c r="I164" s="128"/>
      <c r="J164" s="98"/>
      <c r="K164" s="98"/>
      <c r="L164" s="98"/>
      <c r="M164" s="9" t="s">
        <v>1872</v>
      </c>
      <c r="N164" s="33">
        <v>198889</v>
      </c>
      <c r="O164" s="33">
        <v>26743</v>
      </c>
      <c r="P164" s="33">
        <v>36068</v>
      </c>
      <c r="Q164" s="33">
        <v>261700</v>
      </c>
      <c r="R164" s="98"/>
      <c r="S164" s="98"/>
      <c r="T164" s="98"/>
      <c r="U164" s="99"/>
    </row>
    <row r="165" spans="2:21" x14ac:dyDescent="0.25">
      <c r="B165" s="97"/>
      <c r="C165" s="9" t="s">
        <v>1867</v>
      </c>
      <c r="D165" s="33">
        <v>191908</v>
      </c>
      <c r="E165" s="33">
        <v>23430</v>
      </c>
      <c r="F165" s="33">
        <v>35665</v>
      </c>
      <c r="G165" s="33">
        <v>251003</v>
      </c>
      <c r="H165" s="127"/>
      <c r="I165" s="128"/>
      <c r="J165" s="98"/>
      <c r="K165" s="98"/>
      <c r="L165" s="98"/>
      <c r="M165" s="9" t="s">
        <v>729</v>
      </c>
      <c r="N165" s="33">
        <v>191908</v>
      </c>
      <c r="O165" s="33">
        <v>23430</v>
      </c>
      <c r="P165" s="33">
        <v>35665</v>
      </c>
      <c r="Q165" s="33">
        <v>251003</v>
      </c>
      <c r="R165" s="98"/>
      <c r="S165" s="98"/>
      <c r="T165" s="98"/>
      <c r="U165" s="99"/>
    </row>
    <row r="166" spans="2:21" x14ac:dyDescent="0.25">
      <c r="B166" s="97"/>
      <c r="C166" s="9" t="s">
        <v>1868</v>
      </c>
      <c r="D166" s="33">
        <v>223642</v>
      </c>
      <c r="E166" s="33">
        <v>30593</v>
      </c>
      <c r="F166" s="33">
        <v>43435</v>
      </c>
      <c r="G166" s="33">
        <v>297670</v>
      </c>
      <c r="H166" s="127"/>
      <c r="I166" s="128"/>
      <c r="J166" s="98"/>
      <c r="K166" s="98"/>
      <c r="L166" s="98"/>
      <c r="M166" s="9" t="s">
        <v>851</v>
      </c>
      <c r="N166" s="33">
        <v>223642</v>
      </c>
      <c r="O166" s="33">
        <v>30593</v>
      </c>
      <c r="P166" s="33">
        <v>43435</v>
      </c>
      <c r="Q166" s="33">
        <v>297670</v>
      </c>
      <c r="R166" s="98"/>
      <c r="S166" s="98"/>
      <c r="T166" s="98"/>
      <c r="U166" s="99"/>
    </row>
    <row r="167" spans="2:21" x14ac:dyDescent="0.25">
      <c r="B167" s="97"/>
      <c r="C167" s="9" t="s">
        <v>1869</v>
      </c>
      <c r="D167" s="33">
        <v>228443</v>
      </c>
      <c r="E167" s="33">
        <v>32459</v>
      </c>
      <c r="F167" s="33">
        <v>58027</v>
      </c>
      <c r="G167" s="33">
        <v>318929</v>
      </c>
      <c r="H167" s="127"/>
      <c r="I167" s="128"/>
      <c r="J167" s="98"/>
      <c r="K167" s="98"/>
      <c r="L167" s="98"/>
      <c r="M167" s="9" t="s">
        <v>1753</v>
      </c>
      <c r="N167" s="33">
        <v>228443</v>
      </c>
      <c r="O167" s="33">
        <v>32459</v>
      </c>
      <c r="P167" s="33">
        <v>58027</v>
      </c>
      <c r="Q167" s="33">
        <v>318929</v>
      </c>
      <c r="R167" s="98"/>
      <c r="S167" s="98"/>
      <c r="T167" s="98"/>
      <c r="U167" s="99"/>
    </row>
    <row r="168" spans="2:21" x14ac:dyDescent="0.25">
      <c r="B168" s="97"/>
      <c r="C168" s="9" t="s">
        <v>2086</v>
      </c>
      <c r="D168" s="33">
        <f>Tableau11[[#Totals],[Population déplacée interne]]</f>
        <v>241030</v>
      </c>
      <c r="E168" s="33">
        <f>Tableau11[[#Totals],[Réfugiés non-enregistrés]]</f>
        <v>31656</v>
      </c>
      <c r="F168" s="33">
        <f>Tableau11[[#Totals],[Retournés]]</f>
        <v>69730</v>
      </c>
      <c r="G168" s="33">
        <f>Tableau11[[#Totals],[Total]]</f>
        <v>342416</v>
      </c>
      <c r="H168" s="127"/>
      <c r="I168" s="128"/>
      <c r="J168" s="98"/>
      <c r="K168" s="98"/>
      <c r="L168" s="98"/>
      <c r="M168" s="9" t="s">
        <v>2084</v>
      </c>
      <c r="N168" s="33">
        <f>Tableau12[[#Totals],[Internally displaced people]]</f>
        <v>241030</v>
      </c>
      <c r="O168" s="33">
        <f>Tableau12[[#Totals],[Unregistered refugees]]</f>
        <v>31656</v>
      </c>
      <c r="P168" s="33">
        <f>Tableau12[[#Totals],[Returnees]]</f>
        <v>69730</v>
      </c>
      <c r="Q168" s="33">
        <f>Tableau12[[#Totals],[Total]]</f>
        <v>342416</v>
      </c>
      <c r="R168" s="98"/>
      <c r="S168" s="98"/>
      <c r="T168" s="98"/>
      <c r="U168" s="99"/>
    </row>
    <row r="169" spans="2:21" x14ac:dyDescent="0.25">
      <c r="B169" s="97"/>
      <c r="C169" s="9" t="s">
        <v>2087</v>
      </c>
      <c r="D169" s="33">
        <v>237967</v>
      </c>
      <c r="E169" s="33">
        <v>29728</v>
      </c>
      <c r="F169" s="33">
        <v>61090</v>
      </c>
      <c r="G169" s="33">
        <f>SUM(Tableau26[[#This Row],[Personnes déplacées internes]:[Retournés]])</f>
        <v>328785</v>
      </c>
      <c r="H169" s="127"/>
      <c r="I169" s="128"/>
      <c r="J169" s="98"/>
      <c r="K169" s="98"/>
      <c r="L169" s="98"/>
      <c r="M169" s="9" t="s">
        <v>2085</v>
      </c>
      <c r="N169" s="33">
        <v>237967</v>
      </c>
      <c r="O169" s="33">
        <v>29728</v>
      </c>
      <c r="P169" s="33">
        <v>61090</v>
      </c>
      <c r="Q169" s="33">
        <f>SUM(Tableau27[[#This Row],[Internal displaced]:[Returnees]])</f>
        <v>328785</v>
      </c>
      <c r="R169" s="98"/>
      <c r="S169" s="98"/>
      <c r="T169" s="98"/>
      <c r="U169" s="99"/>
    </row>
    <row r="170" spans="2:21" x14ac:dyDescent="0.25">
      <c r="B170" s="97"/>
      <c r="C170" s="9" t="s">
        <v>2088</v>
      </c>
      <c r="D170" s="33">
        <v>241987</v>
      </c>
      <c r="E170" s="33">
        <v>29337</v>
      </c>
      <c r="F170" s="33">
        <v>63692</v>
      </c>
      <c r="G170" s="33">
        <f>SUM(Tableau26[[#This Row],[Personnes déplacées internes]:[Retournés]])</f>
        <v>335016</v>
      </c>
      <c r="H170" s="127"/>
      <c r="I170" s="128"/>
      <c r="J170" s="98"/>
      <c r="K170" s="98"/>
      <c r="L170" s="98"/>
      <c r="M170" s="9" t="s">
        <v>2088</v>
      </c>
      <c r="N170" s="33">
        <v>241987</v>
      </c>
      <c r="O170" s="33">
        <v>29337</v>
      </c>
      <c r="P170" s="33">
        <v>63692</v>
      </c>
      <c r="Q170" s="33">
        <f>SUM(Tableau27[[#This Row],[Internal displaced]:[Returnees]])</f>
        <v>335016</v>
      </c>
      <c r="R170" s="98"/>
      <c r="S170" s="98"/>
      <c r="T170" s="98"/>
      <c r="U170" s="99"/>
    </row>
    <row r="171" spans="2:21" x14ac:dyDescent="0.25">
      <c r="B171" s="97"/>
      <c r="C171" s="9" t="s">
        <v>3741</v>
      </c>
      <c r="D171" s="33">
        <f>Tableau11[[#Totals],[Population déplacée interne]]</f>
        <v>241030</v>
      </c>
      <c r="E171" s="33">
        <f>Tableau11[[#Totals],[Réfugiés non-enregistrés]]</f>
        <v>31656</v>
      </c>
      <c r="F171" s="33">
        <f>Tableau11[[#Totals],[Retournés]]</f>
        <v>69730</v>
      </c>
      <c r="G171" s="33">
        <f>SUM(Tableau26[[#This Row],[Personnes déplacées internes]:[Retournés]])</f>
        <v>342416</v>
      </c>
      <c r="H171" s="127"/>
      <c r="I171" s="128"/>
      <c r="J171" s="98"/>
      <c r="K171" s="98"/>
      <c r="L171" s="98"/>
      <c r="M171" s="9" t="s">
        <v>3741</v>
      </c>
      <c r="N171" s="33">
        <f>Tableau12[[#Totals],[Internally displaced people]]</f>
        <v>241030</v>
      </c>
      <c r="O171" s="33">
        <f>Tableau12[[#Totals],[Unregistered refugees]]</f>
        <v>31656</v>
      </c>
      <c r="P171" s="33">
        <f>Tableau12[[#Totals],[Returnees]]</f>
        <v>69730</v>
      </c>
      <c r="Q171" s="33">
        <f>SUM(Tableau27[[#This Row],[Internal displaced]:[Returnees]])</f>
        <v>342416</v>
      </c>
      <c r="R171" s="98"/>
      <c r="S171" s="98"/>
      <c r="T171" s="98"/>
      <c r="U171" s="99"/>
    </row>
    <row r="172" spans="2:21" x14ac:dyDescent="0.25">
      <c r="B172" s="97"/>
      <c r="C172" s="98"/>
      <c r="D172" s="98"/>
      <c r="E172" s="98"/>
      <c r="F172" s="98"/>
      <c r="G172" s="98"/>
      <c r="H172" s="127"/>
      <c r="I172" s="12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9"/>
    </row>
    <row r="173" spans="2:21" x14ac:dyDescent="0.25">
      <c r="B173" s="97"/>
      <c r="C173" s="98"/>
      <c r="D173" s="98"/>
      <c r="E173" s="98"/>
      <c r="F173" s="98"/>
      <c r="G173" s="98"/>
      <c r="H173" s="127"/>
      <c r="I173" s="12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9"/>
    </row>
    <row r="174" spans="2:21" x14ac:dyDescent="0.25">
      <c r="B174" s="97"/>
      <c r="C174" s="98"/>
      <c r="D174" s="98"/>
      <c r="E174" s="98"/>
      <c r="F174" s="98"/>
      <c r="G174" s="98"/>
      <c r="H174" s="127"/>
      <c r="I174" s="12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9"/>
    </row>
    <row r="175" spans="2:21" x14ac:dyDescent="0.25">
      <c r="B175" s="97"/>
      <c r="C175" s="98"/>
      <c r="D175" s="98"/>
      <c r="E175" s="98"/>
      <c r="F175" s="98"/>
      <c r="G175" s="98"/>
      <c r="H175" s="127"/>
      <c r="I175" s="12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9"/>
    </row>
    <row r="176" spans="2:21" x14ac:dyDescent="0.25">
      <c r="B176" s="97"/>
      <c r="C176" s="9" t="s">
        <v>1784</v>
      </c>
      <c r="D176" s="9" t="s">
        <v>1779</v>
      </c>
      <c r="E176" s="9" t="s">
        <v>1780</v>
      </c>
      <c r="F176" s="9" t="s">
        <v>1765</v>
      </c>
      <c r="G176" s="9" t="s">
        <v>715</v>
      </c>
      <c r="H176" s="127"/>
      <c r="I176" s="128"/>
      <c r="J176" s="98"/>
      <c r="K176" s="98"/>
      <c r="L176" s="98"/>
      <c r="M176" s="9" t="s">
        <v>730</v>
      </c>
      <c r="N176" s="9" t="s">
        <v>1783</v>
      </c>
      <c r="O176" s="9" t="s">
        <v>720</v>
      </c>
      <c r="P176" s="9" t="s">
        <v>721</v>
      </c>
      <c r="Q176" s="9" t="s">
        <v>715</v>
      </c>
      <c r="R176" s="98"/>
      <c r="S176" s="98"/>
      <c r="T176" s="98"/>
      <c r="U176" s="99"/>
    </row>
    <row r="177" spans="2:21" x14ac:dyDescent="0.25">
      <c r="B177" s="97"/>
      <c r="C177" s="9" t="s">
        <v>724</v>
      </c>
      <c r="D177" s="44">
        <f t="shared" ref="D177:D188" si="6">D160/G160</f>
        <v>0.79006702165353349</v>
      </c>
      <c r="E177" s="44">
        <f t="shared" ref="E177:E188" si="7">E160/G160</f>
        <v>5.7300269982982585E-2</v>
      </c>
      <c r="F177" s="44">
        <f t="shared" ref="F177:F188" si="8">F160/G160</f>
        <v>0.15263270836348392</v>
      </c>
      <c r="G177" s="44">
        <f>SUM(Tableau28[[#This Row],[Personnes déplacées internes]:[Retournés]])</f>
        <v>1</v>
      </c>
      <c r="H177" s="127"/>
      <c r="I177" s="128"/>
      <c r="J177" s="98"/>
      <c r="K177" s="98"/>
      <c r="L177" s="98"/>
      <c r="M177" s="9" t="s">
        <v>1873</v>
      </c>
      <c r="N177" s="95">
        <f t="shared" ref="N177:N188" si="9">N160/Q160</f>
        <v>0.79006702165353349</v>
      </c>
      <c r="O177" s="95">
        <f t="shared" ref="O177:O188" si="10">O160/Q160</f>
        <v>5.7300269982982585E-2</v>
      </c>
      <c r="P177" s="95">
        <f t="shared" ref="P177:P188" si="11">P160/Q160</f>
        <v>0.15263270836348392</v>
      </c>
      <c r="Q177" s="44">
        <f>SUM(Tableau29[[#This Row],[Internal displaced]:[Returnees]])</f>
        <v>1</v>
      </c>
      <c r="R177" s="98"/>
      <c r="S177" s="98"/>
      <c r="T177" s="98"/>
      <c r="U177" s="99"/>
    </row>
    <row r="178" spans="2:21" x14ac:dyDescent="0.25">
      <c r="B178" s="97"/>
      <c r="C178" s="9" t="s">
        <v>725</v>
      </c>
      <c r="D178" s="44">
        <f t="shared" si="6"/>
        <v>0.79606766832777553</v>
      </c>
      <c r="E178" s="44">
        <f t="shared" si="7"/>
        <v>3.7974446401139048E-2</v>
      </c>
      <c r="F178" s="44">
        <f t="shared" si="8"/>
        <v>0.16595788527108546</v>
      </c>
      <c r="G178" s="44">
        <f>SUM(Tableau28[[#This Row],[Personnes déplacées internes]:[Retournés]])</f>
        <v>1</v>
      </c>
      <c r="H178" s="127"/>
      <c r="I178" s="128"/>
      <c r="J178" s="98"/>
      <c r="K178" s="98"/>
      <c r="L178" s="98"/>
      <c r="M178" s="9" t="s">
        <v>725</v>
      </c>
      <c r="N178" s="95">
        <f t="shared" si="9"/>
        <v>0.79606766832777553</v>
      </c>
      <c r="O178" s="95">
        <f t="shared" si="10"/>
        <v>3.7974446401139048E-2</v>
      </c>
      <c r="P178" s="95">
        <f t="shared" si="11"/>
        <v>0.16595788527108546</v>
      </c>
      <c r="Q178" s="44">
        <f>SUM(Tableau29[[#This Row],[Internal displaced]:[Returnees]])</f>
        <v>1</v>
      </c>
      <c r="R178" s="98"/>
      <c r="S178" s="98"/>
      <c r="T178" s="98"/>
      <c r="U178" s="99"/>
    </row>
    <row r="179" spans="2:21" x14ac:dyDescent="0.25">
      <c r="B179" s="97"/>
      <c r="C179" s="9" t="s">
        <v>726</v>
      </c>
      <c r="D179" s="44">
        <f t="shared" si="6"/>
        <v>0.79853776055305337</v>
      </c>
      <c r="E179" s="44">
        <f t="shared" si="7"/>
        <v>3.4570021996438674E-2</v>
      </c>
      <c r="F179" s="44">
        <f t="shared" si="8"/>
        <v>0.166892217450508</v>
      </c>
      <c r="G179" s="44">
        <f>SUM(Tableau28[[#This Row],[Personnes déplacées internes]:[Retournés]])</f>
        <v>1</v>
      </c>
      <c r="H179" s="127"/>
      <c r="I179" s="128"/>
      <c r="J179" s="98"/>
      <c r="K179" s="98"/>
      <c r="L179" s="98"/>
      <c r="M179" s="9" t="s">
        <v>1870</v>
      </c>
      <c r="N179" s="95">
        <f t="shared" si="9"/>
        <v>0.79853776055305337</v>
      </c>
      <c r="O179" s="95">
        <f t="shared" si="10"/>
        <v>3.4570021996438674E-2</v>
      </c>
      <c r="P179" s="95">
        <f t="shared" si="11"/>
        <v>0.166892217450508</v>
      </c>
      <c r="Q179" s="44">
        <f>SUM(Tableau29[[#This Row],[Internal displaced]:[Returnees]])</f>
        <v>1</v>
      </c>
      <c r="R179" s="98"/>
      <c r="S179" s="98"/>
      <c r="T179" s="98"/>
      <c r="U179" s="99"/>
    </row>
    <row r="180" spans="2:21" x14ac:dyDescent="0.25">
      <c r="B180" s="97"/>
      <c r="C180" s="9" t="s">
        <v>727</v>
      </c>
      <c r="D180" s="44">
        <f t="shared" si="6"/>
        <v>0.79442284171163791</v>
      </c>
      <c r="E180" s="44">
        <f t="shared" si="7"/>
        <v>6.5192517612194176E-2</v>
      </c>
      <c r="F180" s="44">
        <f t="shared" si="8"/>
        <v>0.14038464067616796</v>
      </c>
      <c r="G180" s="44">
        <f>SUM(Tableau28[[#This Row],[Personnes déplacées internes]:[Retournés]])</f>
        <v>1</v>
      </c>
      <c r="H180" s="127"/>
      <c r="I180" s="128"/>
      <c r="J180" s="98"/>
      <c r="K180" s="98"/>
      <c r="L180" s="98"/>
      <c r="M180" s="9" t="s">
        <v>1871</v>
      </c>
      <c r="N180" s="95">
        <f t="shared" si="9"/>
        <v>0.79442284171163791</v>
      </c>
      <c r="O180" s="95">
        <f t="shared" si="10"/>
        <v>6.5192517612194176E-2</v>
      </c>
      <c r="P180" s="95">
        <f t="shared" si="11"/>
        <v>0.14038464067616796</v>
      </c>
      <c r="Q180" s="44">
        <f>SUM(Tableau29[[#This Row],[Internal displaced]:[Returnees]])</f>
        <v>1</v>
      </c>
      <c r="R180" s="98"/>
      <c r="S180" s="98"/>
      <c r="T180" s="98"/>
      <c r="U180" s="99"/>
    </row>
    <row r="181" spans="2:21" x14ac:dyDescent="0.25">
      <c r="B181" s="97"/>
      <c r="C181" s="9" t="s">
        <v>728</v>
      </c>
      <c r="D181" s="44">
        <f t="shared" si="6"/>
        <v>0.75998853649216658</v>
      </c>
      <c r="E181" s="44">
        <f t="shared" si="7"/>
        <v>0.10218952999617884</v>
      </c>
      <c r="F181" s="44">
        <f t="shared" si="8"/>
        <v>0.13782193351165456</v>
      </c>
      <c r="G181" s="44">
        <f>SUM(Tableau28[[#This Row],[Personnes déplacées internes]:[Retournés]])</f>
        <v>1</v>
      </c>
      <c r="H181" s="127"/>
      <c r="I181" s="128"/>
      <c r="J181" s="98"/>
      <c r="K181" s="98"/>
      <c r="L181" s="98"/>
      <c r="M181" s="9" t="s">
        <v>1872</v>
      </c>
      <c r="N181" s="95">
        <f t="shared" si="9"/>
        <v>0.75998853649216658</v>
      </c>
      <c r="O181" s="95">
        <f t="shared" si="10"/>
        <v>0.10218952999617884</v>
      </c>
      <c r="P181" s="95">
        <f t="shared" si="11"/>
        <v>0.13782193351165456</v>
      </c>
      <c r="Q181" s="44">
        <f>SUM(Tableau29[[#This Row],[Internal displaced]:[Returnees]])</f>
        <v>1</v>
      </c>
      <c r="R181" s="98"/>
      <c r="S181" s="98"/>
      <c r="T181" s="98"/>
      <c r="U181" s="99"/>
    </row>
    <row r="182" spans="2:21" x14ac:dyDescent="0.25">
      <c r="B182" s="97"/>
      <c r="C182" s="9" t="s">
        <v>729</v>
      </c>
      <c r="D182" s="44">
        <f t="shared" si="6"/>
        <v>0.76456456695736708</v>
      </c>
      <c r="E182" s="44">
        <f t="shared" si="7"/>
        <v>9.3345497862575344E-2</v>
      </c>
      <c r="F182" s="44">
        <f t="shared" si="8"/>
        <v>0.14208993518005761</v>
      </c>
      <c r="G182" s="44">
        <f>SUM(Tableau28[[#This Row],[Personnes déplacées internes]:[Retournés]])</f>
        <v>1</v>
      </c>
      <c r="H182" s="127"/>
      <c r="I182" s="128"/>
      <c r="J182" s="98"/>
      <c r="K182" s="98"/>
      <c r="L182" s="98"/>
      <c r="M182" s="9" t="s">
        <v>729</v>
      </c>
      <c r="N182" s="95">
        <f t="shared" si="9"/>
        <v>0.76456456695736708</v>
      </c>
      <c r="O182" s="95">
        <f t="shared" si="10"/>
        <v>9.3345497862575344E-2</v>
      </c>
      <c r="P182" s="95">
        <f t="shared" si="11"/>
        <v>0.14208993518005761</v>
      </c>
      <c r="Q182" s="44">
        <f>SUM(Tableau29[[#This Row],[Internal displaced]:[Returnees]])</f>
        <v>1</v>
      </c>
      <c r="R182" s="98"/>
      <c r="S182" s="98"/>
      <c r="T182" s="98"/>
      <c r="U182" s="99"/>
    </row>
    <row r="183" spans="2:21" x14ac:dyDescent="0.25">
      <c r="B183" s="97"/>
      <c r="C183" s="9" t="s">
        <v>860</v>
      </c>
      <c r="D183" s="44">
        <f t="shared" si="6"/>
        <v>0.75130849598548732</v>
      </c>
      <c r="E183" s="44">
        <f t="shared" si="7"/>
        <v>0.10277488493969833</v>
      </c>
      <c r="F183" s="44">
        <f t="shared" si="8"/>
        <v>0.1459166190748144</v>
      </c>
      <c r="G183" s="44">
        <f>SUM(Tableau28[[#This Row],[Personnes déplacées internes]:[Retournés]])</f>
        <v>1</v>
      </c>
      <c r="H183" s="127"/>
      <c r="I183" s="128"/>
      <c r="J183" s="98"/>
      <c r="K183" s="98"/>
      <c r="L183" s="98"/>
      <c r="M183" s="9" t="s">
        <v>851</v>
      </c>
      <c r="N183" s="95">
        <f t="shared" si="9"/>
        <v>0.75130849598548732</v>
      </c>
      <c r="O183" s="95">
        <f t="shared" si="10"/>
        <v>0.10277488493969833</v>
      </c>
      <c r="P183" s="95">
        <f t="shared" si="11"/>
        <v>0.1459166190748144</v>
      </c>
      <c r="Q183" s="44">
        <f>SUM(Tableau29[[#This Row],[Internal displaced]:[Returnees]])</f>
        <v>1</v>
      </c>
      <c r="R183" s="98"/>
      <c r="S183" s="98"/>
      <c r="T183" s="98"/>
      <c r="U183" s="99"/>
    </row>
    <row r="184" spans="2:21" x14ac:dyDescent="0.25">
      <c r="B184" s="97"/>
      <c r="C184" s="9" t="s">
        <v>1869</v>
      </c>
      <c r="D184" s="44">
        <f t="shared" si="6"/>
        <v>0.71628168024858196</v>
      </c>
      <c r="E184" s="44">
        <f t="shared" si="7"/>
        <v>0.10177500321388146</v>
      </c>
      <c r="F184" s="44">
        <f t="shared" si="8"/>
        <v>0.18194331653753656</v>
      </c>
      <c r="G184" s="44">
        <f>SUM(Tableau28[[#This Row],[Personnes déplacées internes]:[Retournés]])</f>
        <v>1</v>
      </c>
      <c r="H184" s="127"/>
      <c r="I184" s="128"/>
      <c r="J184" s="98"/>
      <c r="K184" s="98"/>
      <c r="L184" s="98"/>
      <c r="M184" s="9" t="s">
        <v>1753</v>
      </c>
      <c r="N184" s="95">
        <f t="shared" si="9"/>
        <v>0.71628168024858196</v>
      </c>
      <c r="O184" s="95">
        <f t="shared" si="10"/>
        <v>0.10177500321388146</v>
      </c>
      <c r="P184" s="95">
        <f t="shared" si="11"/>
        <v>0.18194331653753656</v>
      </c>
      <c r="Q184" s="44">
        <f>SUM(Tableau29[[#This Row],[Internal displaced]:[Returnees]])</f>
        <v>1</v>
      </c>
      <c r="R184" s="98"/>
      <c r="S184" s="98"/>
      <c r="T184" s="98"/>
      <c r="U184" s="99"/>
    </row>
    <row r="185" spans="2:21" x14ac:dyDescent="0.25">
      <c r="B185" s="97"/>
      <c r="C185" s="55" t="s">
        <v>2086</v>
      </c>
      <c r="D185" s="44">
        <f t="shared" si="6"/>
        <v>0.70390986402504552</v>
      </c>
      <c r="E185" s="44">
        <f t="shared" si="7"/>
        <v>9.2448950983598899E-2</v>
      </c>
      <c r="F185" s="44">
        <f t="shared" si="8"/>
        <v>0.20364118499135556</v>
      </c>
      <c r="G185" s="44">
        <f>SUM(Tableau28[[#This Row],[Personnes déplacées internes]:[Retournés]])</f>
        <v>1</v>
      </c>
      <c r="H185" s="127"/>
      <c r="I185" s="128"/>
      <c r="J185" s="98"/>
      <c r="K185" s="98"/>
      <c r="L185" s="98"/>
      <c r="M185" s="9" t="s">
        <v>2084</v>
      </c>
      <c r="N185" s="95">
        <f t="shared" si="9"/>
        <v>0.70390986402504552</v>
      </c>
      <c r="O185" s="95">
        <f t="shared" si="10"/>
        <v>9.2448950983598899E-2</v>
      </c>
      <c r="P185" s="95">
        <f t="shared" si="11"/>
        <v>0.20364118499135556</v>
      </c>
      <c r="Q185" s="44">
        <f>SUM(Tableau29[[#This Row],[Internal displaced]:[Returnees]])</f>
        <v>1</v>
      </c>
      <c r="R185" s="98"/>
      <c r="S185" s="98"/>
      <c r="T185" s="98"/>
      <c r="U185" s="99"/>
    </row>
    <row r="186" spans="2:21" x14ac:dyDescent="0.25">
      <c r="B186" s="97"/>
      <c r="C186" s="46" t="s">
        <v>2087</v>
      </c>
      <c r="D186" s="49">
        <f t="shared" si="6"/>
        <v>0.72377693629575557</v>
      </c>
      <c r="E186" s="49">
        <f t="shared" si="7"/>
        <v>9.0417750201499461E-2</v>
      </c>
      <c r="F186" s="49">
        <f t="shared" si="8"/>
        <v>0.18580531350274496</v>
      </c>
      <c r="G186" s="48">
        <f>SUM(Tableau28[[#This Row],[Personnes déplacées internes]:[Retournés]])</f>
        <v>1</v>
      </c>
      <c r="H186" s="127"/>
      <c r="I186" s="128"/>
      <c r="J186" s="98"/>
      <c r="K186" s="98"/>
      <c r="L186" s="98"/>
      <c r="M186" s="9" t="s">
        <v>2085</v>
      </c>
      <c r="N186" s="95">
        <f t="shared" si="9"/>
        <v>0.72377693629575557</v>
      </c>
      <c r="O186" s="95">
        <f t="shared" si="10"/>
        <v>9.0417750201499461E-2</v>
      </c>
      <c r="P186" s="95">
        <f t="shared" si="11"/>
        <v>0.18580531350274496</v>
      </c>
      <c r="Q186" s="85">
        <f>SUM(Tableau29[[#This Row],[Internal displaced]:[Returnees]])</f>
        <v>1</v>
      </c>
      <c r="R186" s="98"/>
      <c r="S186" s="98"/>
      <c r="T186" s="98"/>
      <c r="U186" s="99"/>
    </row>
    <row r="187" spans="2:21" x14ac:dyDescent="0.25">
      <c r="B187" s="97"/>
      <c r="C187" s="46" t="s">
        <v>2088</v>
      </c>
      <c r="D187" s="49">
        <f t="shared" si="6"/>
        <v>0.7223147551161736</v>
      </c>
      <c r="E187" s="49">
        <f t="shared" si="7"/>
        <v>8.756895193065406E-2</v>
      </c>
      <c r="F187" s="49">
        <f t="shared" si="8"/>
        <v>0.19011629295317239</v>
      </c>
      <c r="G187" s="48">
        <f>SUM(Tableau28[[#This Row],[Personnes déplacées internes]:[Retournés]])</f>
        <v>1</v>
      </c>
      <c r="H187" s="127"/>
      <c r="I187" s="128"/>
      <c r="J187" s="98"/>
      <c r="K187" s="98"/>
      <c r="L187" s="98"/>
      <c r="M187" s="9" t="s">
        <v>2088</v>
      </c>
      <c r="N187" s="95">
        <f t="shared" si="9"/>
        <v>0.7223147551161736</v>
      </c>
      <c r="O187" s="95">
        <f t="shared" si="10"/>
        <v>8.756895193065406E-2</v>
      </c>
      <c r="P187" s="95">
        <f t="shared" si="11"/>
        <v>0.19011629295317239</v>
      </c>
      <c r="Q187" s="85">
        <f>SUM(Tableau29[[#This Row],[Internal displaced]:[Returnees]])</f>
        <v>1</v>
      </c>
      <c r="R187" s="98"/>
      <c r="S187" s="98"/>
      <c r="T187" s="98"/>
      <c r="U187" s="99"/>
    </row>
    <row r="188" spans="2:21" x14ac:dyDescent="0.25">
      <c r="B188" s="97"/>
      <c r="C188" s="46" t="s">
        <v>3741</v>
      </c>
      <c r="D188" s="49">
        <f t="shared" si="6"/>
        <v>0.70390986402504552</v>
      </c>
      <c r="E188" s="49">
        <f t="shared" si="7"/>
        <v>9.2448950983598899E-2</v>
      </c>
      <c r="F188" s="49">
        <f t="shared" si="8"/>
        <v>0.20364118499135556</v>
      </c>
      <c r="G188" s="48">
        <f>SUM(Tableau28[[#This Row],[Personnes déplacées internes]:[Retournés]])</f>
        <v>1</v>
      </c>
      <c r="H188" s="127"/>
      <c r="I188" s="128"/>
      <c r="J188" s="98"/>
      <c r="K188" s="98"/>
      <c r="L188" s="98"/>
      <c r="M188" s="9" t="s">
        <v>3741</v>
      </c>
      <c r="N188" s="95">
        <f t="shared" si="9"/>
        <v>0.70390986402504552</v>
      </c>
      <c r="O188" s="95">
        <f t="shared" si="10"/>
        <v>9.2448950983598899E-2</v>
      </c>
      <c r="P188" s="95">
        <f t="shared" si="11"/>
        <v>0.20364118499135556</v>
      </c>
      <c r="Q188" s="85">
        <f>SUM(Tableau29[[#This Row],[Internal displaced]:[Returnees]])</f>
        <v>1</v>
      </c>
      <c r="R188" s="98"/>
      <c r="S188" s="98"/>
      <c r="T188" s="98"/>
      <c r="U188" s="99"/>
    </row>
    <row r="189" spans="2:21" x14ac:dyDescent="0.25">
      <c r="B189" s="97"/>
      <c r="C189" s="116"/>
      <c r="D189" s="127"/>
      <c r="E189" s="128"/>
      <c r="F189" s="127"/>
      <c r="G189" s="128"/>
      <c r="H189" s="127"/>
      <c r="I189" s="12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9"/>
    </row>
    <row r="190" spans="2:21" x14ac:dyDescent="0.25">
      <c r="B190" s="97"/>
      <c r="C190" s="116"/>
      <c r="D190" s="127"/>
      <c r="E190" s="128"/>
      <c r="F190" s="127"/>
      <c r="G190" s="128"/>
      <c r="H190" s="127"/>
      <c r="I190" s="12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9"/>
    </row>
    <row r="191" spans="2:21" x14ac:dyDescent="0.25">
      <c r="B191" s="97"/>
      <c r="C191" s="116"/>
      <c r="D191" s="127"/>
      <c r="E191" s="128"/>
      <c r="F191" s="127"/>
      <c r="G191" s="128"/>
      <c r="H191" s="127"/>
      <c r="I191" s="12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9"/>
    </row>
    <row r="192" spans="2:21" x14ac:dyDescent="0.25">
      <c r="B192" s="97"/>
      <c r="C192" s="116"/>
      <c r="D192" s="127"/>
      <c r="E192" s="128"/>
      <c r="F192" s="127"/>
      <c r="G192" s="128"/>
      <c r="H192" s="127"/>
      <c r="I192" s="12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9"/>
    </row>
    <row r="193" spans="2:21" x14ac:dyDescent="0.25">
      <c r="B193" s="97"/>
      <c r="C193" s="116"/>
      <c r="D193" s="127"/>
      <c r="E193" s="128"/>
      <c r="F193" s="127"/>
      <c r="G193" s="128"/>
      <c r="H193" s="127"/>
      <c r="I193" s="12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9"/>
    </row>
    <row r="194" spans="2:21" x14ac:dyDescent="0.25">
      <c r="B194" s="97"/>
      <c r="C194" s="98"/>
      <c r="D194" s="98"/>
      <c r="E194" s="98"/>
      <c r="F194" s="98"/>
      <c r="G194" s="98"/>
      <c r="H194" s="127"/>
      <c r="I194" s="12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9"/>
    </row>
    <row r="195" spans="2:21" x14ac:dyDescent="0.25">
      <c r="B195" s="97"/>
      <c r="C195" s="98"/>
      <c r="D195" s="98"/>
      <c r="E195" s="98"/>
      <c r="F195" s="98"/>
      <c r="G195" s="98"/>
      <c r="H195" s="127"/>
      <c r="I195" s="12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9"/>
    </row>
    <row r="196" spans="2:21" x14ac:dyDescent="0.25">
      <c r="B196" s="97"/>
      <c r="C196" s="98"/>
      <c r="D196" s="98"/>
      <c r="E196" s="98"/>
      <c r="F196" s="98"/>
      <c r="G196" s="98"/>
      <c r="H196" s="127"/>
      <c r="I196" s="12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9"/>
    </row>
    <row r="197" spans="2:21" x14ac:dyDescent="0.25">
      <c r="B197" s="97"/>
      <c r="C197" s="98"/>
      <c r="D197" s="98"/>
      <c r="E197" s="98"/>
      <c r="F197" s="98"/>
      <c r="G197" s="98"/>
      <c r="H197" s="127"/>
      <c r="I197" s="12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9"/>
    </row>
    <row r="198" spans="2:21" x14ac:dyDescent="0.25">
      <c r="B198" s="97"/>
      <c r="C198" s="98"/>
      <c r="D198" s="98"/>
      <c r="E198" s="98"/>
      <c r="F198" s="98"/>
      <c r="G198" s="98"/>
      <c r="H198" s="127"/>
      <c r="I198" s="12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9"/>
    </row>
    <row r="199" spans="2:21" x14ac:dyDescent="0.25">
      <c r="B199" s="97"/>
      <c r="C199" s="98"/>
      <c r="D199" s="98"/>
      <c r="E199" s="98"/>
      <c r="F199" s="98"/>
      <c r="G199" s="98"/>
      <c r="H199" s="127"/>
      <c r="I199" s="12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9"/>
    </row>
    <row r="200" spans="2:21" x14ac:dyDescent="0.25">
      <c r="B200" s="97"/>
      <c r="C200" s="98"/>
      <c r="D200" s="98"/>
      <c r="E200" s="98"/>
      <c r="F200" s="98"/>
      <c r="G200" s="98"/>
      <c r="H200" s="127"/>
      <c r="I200" s="12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9"/>
    </row>
    <row r="201" spans="2:21" x14ac:dyDescent="0.25">
      <c r="B201" s="97"/>
      <c r="C201" s="98"/>
      <c r="D201" s="98"/>
      <c r="E201" s="98"/>
      <c r="F201" s="98"/>
      <c r="G201" s="98"/>
      <c r="H201" s="127"/>
      <c r="I201" s="12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9"/>
    </row>
    <row r="202" spans="2:21" x14ac:dyDescent="0.25">
      <c r="B202" s="97"/>
      <c r="C202" s="98"/>
      <c r="D202" s="98"/>
      <c r="E202" s="98"/>
      <c r="F202" s="98"/>
      <c r="G202" s="98"/>
      <c r="H202" s="127"/>
      <c r="I202" s="12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9"/>
    </row>
    <row r="203" spans="2:21" x14ac:dyDescent="0.25">
      <c r="B203" s="97"/>
      <c r="C203" s="98"/>
      <c r="D203" s="98"/>
      <c r="E203" s="98"/>
      <c r="F203" s="98"/>
      <c r="G203" s="98"/>
      <c r="H203" s="127"/>
      <c r="I203" s="12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9"/>
    </row>
    <row r="204" spans="2:21" x14ac:dyDescent="0.25">
      <c r="B204" s="97"/>
      <c r="C204" s="98"/>
      <c r="D204" s="98"/>
      <c r="E204" s="98"/>
      <c r="F204" s="98"/>
      <c r="G204" s="98"/>
      <c r="H204" s="127"/>
      <c r="I204" s="12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9"/>
    </row>
    <row r="205" spans="2:21" x14ac:dyDescent="0.25">
      <c r="B205" s="97"/>
      <c r="C205" s="98"/>
      <c r="D205" s="98"/>
      <c r="E205" s="98"/>
      <c r="F205" s="98"/>
      <c r="G205" s="98"/>
      <c r="H205" s="127"/>
      <c r="I205" s="12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9"/>
    </row>
    <row r="206" spans="2:21" x14ac:dyDescent="0.25">
      <c r="B206" s="97"/>
      <c r="C206" s="98"/>
      <c r="D206" s="98"/>
      <c r="E206" s="98"/>
      <c r="F206" s="98"/>
      <c r="G206" s="98"/>
      <c r="H206" s="127"/>
      <c r="I206" s="12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9"/>
    </row>
    <row r="207" spans="2:21" x14ac:dyDescent="0.25">
      <c r="B207" s="97"/>
      <c r="C207" s="98"/>
      <c r="D207" s="101"/>
      <c r="E207" s="101"/>
      <c r="F207" s="101"/>
      <c r="G207" s="101"/>
      <c r="H207" s="127"/>
      <c r="I207" s="12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9"/>
    </row>
    <row r="208" spans="2:21" x14ac:dyDescent="0.25">
      <c r="B208" s="97"/>
      <c r="C208" s="116"/>
      <c r="D208" s="127"/>
      <c r="E208" s="128"/>
      <c r="F208" s="127"/>
      <c r="G208" s="128"/>
      <c r="H208" s="127"/>
      <c r="I208" s="12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9"/>
    </row>
    <row r="209" spans="2:22" x14ac:dyDescent="0.25">
      <c r="B209" s="97"/>
      <c r="C209" s="116"/>
      <c r="D209" s="127"/>
      <c r="E209" s="128"/>
      <c r="F209" s="127"/>
      <c r="G209" s="128"/>
      <c r="H209" s="127"/>
      <c r="I209" s="12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9"/>
    </row>
    <row r="210" spans="2:22" x14ac:dyDescent="0.25">
      <c r="B210" s="97"/>
      <c r="C210" s="116"/>
      <c r="D210" s="127"/>
      <c r="E210" s="128"/>
      <c r="F210" s="127"/>
      <c r="G210" s="128"/>
      <c r="H210" s="127"/>
      <c r="I210" s="12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9"/>
    </row>
    <row r="211" spans="2:22" x14ac:dyDescent="0.25">
      <c r="B211" s="97"/>
      <c r="C211" s="116"/>
      <c r="D211" s="127"/>
      <c r="E211" s="128"/>
      <c r="F211" s="127"/>
      <c r="G211" s="128"/>
      <c r="H211" s="127"/>
      <c r="I211" s="12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9"/>
    </row>
    <row r="212" spans="2:22" x14ac:dyDescent="0.25">
      <c r="B212" s="106"/>
      <c r="C212" s="129"/>
      <c r="D212" s="130"/>
      <c r="E212" s="131"/>
      <c r="F212" s="130"/>
      <c r="G212" s="131"/>
      <c r="H212" s="130"/>
      <c r="I212" s="131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8"/>
    </row>
    <row r="213" spans="2:22" x14ac:dyDescent="0.25">
      <c r="B213" s="98"/>
      <c r="C213" s="116"/>
      <c r="D213" s="127"/>
      <c r="E213" s="128"/>
      <c r="F213" s="127"/>
      <c r="G213" s="128"/>
      <c r="H213" s="127"/>
      <c r="I213" s="128"/>
      <c r="J213" s="98"/>
      <c r="K213" s="98"/>
      <c r="L213" s="98"/>
      <c r="M213" s="98"/>
      <c r="N213" s="98"/>
      <c r="O213" s="98"/>
      <c r="P213" s="98"/>
      <c r="Q213" s="98"/>
      <c r="R213" s="98"/>
    </row>
    <row r="214" spans="2:22" s="139" customFormat="1" x14ac:dyDescent="0.25">
      <c r="B214" s="138"/>
      <c r="C214" s="124"/>
      <c r="D214" s="125"/>
      <c r="E214" s="126"/>
      <c r="F214" s="125"/>
      <c r="G214" s="126"/>
      <c r="H214" s="125"/>
      <c r="I214" s="126"/>
      <c r="J214" s="138"/>
      <c r="K214" s="138"/>
      <c r="L214" s="138"/>
      <c r="M214" s="138"/>
      <c r="N214" s="138"/>
      <c r="O214" s="138"/>
      <c r="P214" s="138"/>
      <c r="Q214" s="138"/>
      <c r="R214" s="138"/>
    </row>
    <row r="215" spans="2:22" s="139" customFormat="1" x14ac:dyDescent="0.25">
      <c r="B215" s="138"/>
      <c r="C215" s="124"/>
      <c r="D215" s="125"/>
      <c r="E215" s="126"/>
      <c r="F215" s="125"/>
      <c r="G215" s="126"/>
      <c r="H215" s="125"/>
      <c r="I215" s="126"/>
      <c r="J215" s="138"/>
      <c r="K215" s="138"/>
      <c r="L215" s="138"/>
      <c r="M215" s="138"/>
      <c r="N215" s="138"/>
      <c r="O215" s="138"/>
      <c r="P215" s="138"/>
      <c r="Q215" s="138"/>
      <c r="R215" s="138"/>
    </row>
    <row r="216" spans="2:22" s="139" customFormat="1" x14ac:dyDescent="0.25">
      <c r="B216" s="140"/>
      <c r="C216" s="141"/>
      <c r="D216" s="142"/>
      <c r="E216" s="143"/>
      <c r="F216" s="142"/>
      <c r="G216" s="143"/>
      <c r="H216" s="142"/>
      <c r="I216" s="143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5"/>
    </row>
    <row r="217" spans="2:22" s="139" customFormat="1" x14ac:dyDescent="0.25">
      <c r="B217" s="146"/>
      <c r="C217" s="124"/>
      <c r="D217" s="147" t="s">
        <v>1895</v>
      </c>
      <c r="E217" s="126"/>
      <c r="F217" s="125"/>
      <c r="G217" s="126"/>
      <c r="H217" s="125"/>
      <c r="I217" s="126"/>
      <c r="J217" s="138"/>
      <c r="K217" s="138"/>
      <c r="L217" s="138"/>
      <c r="M217" s="138"/>
      <c r="N217" s="147" t="s">
        <v>1896</v>
      </c>
      <c r="O217" s="126"/>
      <c r="P217" s="125"/>
      <c r="Q217" s="126"/>
      <c r="R217" s="125"/>
      <c r="S217" s="126"/>
      <c r="T217" s="138"/>
      <c r="U217" s="138"/>
      <c r="V217" s="148"/>
    </row>
    <row r="218" spans="2:22" s="139" customFormat="1" x14ac:dyDescent="0.25">
      <c r="B218" s="146"/>
      <c r="C218" s="124"/>
      <c r="D218" s="125"/>
      <c r="E218" s="126"/>
      <c r="F218" s="125"/>
      <c r="G218" s="126"/>
      <c r="H218" s="125"/>
      <c r="I218" s="126"/>
      <c r="J218" s="138"/>
      <c r="K218" s="138"/>
      <c r="L218" s="138"/>
      <c r="M218" s="138"/>
      <c r="N218" s="125"/>
      <c r="O218" s="126"/>
      <c r="P218" s="125"/>
      <c r="Q218" s="126"/>
      <c r="R218" s="125"/>
      <c r="S218" s="126"/>
      <c r="T218" s="138"/>
      <c r="U218" s="138"/>
      <c r="V218" s="148"/>
    </row>
    <row r="219" spans="2:22" s="139" customFormat="1" x14ac:dyDescent="0.25">
      <c r="B219" s="146"/>
      <c r="C219" s="124"/>
      <c r="D219" s="125"/>
      <c r="E219" s="412" t="s">
        <v>1892</v>
      </c>
      <c r="F219" s="413"/>
      <c r="G219" s="413"/>
      <c r="H219" s="413"/>
      <c r="I219" s="413"/>
      <c r="J219" s="414"/>
      <c r="K219" s="138"/>
      <c r="L219" s="138"/>
      <c r="M219" s="138"/>
      <c r="N219" s="125"/>
      <c r="O219" s="412" t="s">
        <v>1894</v>
      </c>
      <c r="P219" s="413"/>
      <c r="Q219" s="413"/>
      <c r="R219" s="413"/>
      <c r="S219" s="413"/>
      <c r="T219" s="414"/>
      <c r="U219" s="138"/>
      <c r="V219" s="148"/>
    </row>
    <row r="220" spans="2:22" s="139" customFormat="1" x14ac:dyDescent="0.25">
      <c r="B220" s="146"/>
      <c r="C220" s="124"/>
      <c r="D220" s="40" t="s">
        <v>1795</v>
      </c>
      <c r="E220" s="41" t="s">
        <v>24</v>
      </c>
      <c r="F220" s="40" t="s">
        <v>85</v>
      </c>
      <c r="G220" s="41" t="s">
        <v>184</v>
      </c>
      <c r="H220" s="40" t="s">
        <v>218</v>
      </c>
      <c r="I220" s="41" t="s">
        <v>48</v>
      </c>
      <c r="J220" s="37" t="s">
        <v>37</v>
      </c>
      <c r="K220" s="37" t="s">
        <v>715</v>
      </c>
      <c r="L220" s="138"/>
      <c r="M220" s="138"/>
      <c r="N220" s="40" t="s">
        <v>1897</v>
      </c>
      <c r="O220" s="41" t="s">
        <v>24</v>
      </c>
      <c r="P220" s="40" t="s">
        <v>85</v>
      </c>
      <c r="Q220" s="41" t="s">
        <v>184</v>
      </c>
      <c r="R220" s="40" t="s">
        <v>218</v>
      </c>
      <c r="S220" s="41" t="s">
        <v>48</v>
      </c>
      <c r="T220" s="37" t="s">
        <v>37</v>
      </c>
      <c r="U220" s="37" t="s">
        <v>715</v>
      </c>
      <c r="V220" s="148"/>
    </row>
    <row r="221" spans="2:22" s="139" customFormat="1" x14ac:dyDescent="0.25">
      <c r="B221" s="146"/>
      <c r="C221" s="124"/>
      <c r="D221" s="47" t="s">
        <v>24</v>
      </c>
      <c r="E221" s="47">
        <f>SUMIFS(DisplacementPeriod[ind],DisplacementPeriod[deplacement],"idp",DisplacementPeriod[adm2_name],Tableau50[[#This Row],[Départements]], DisplacementPeriod[provenance_adm2_nom],Tableau50[[#Headers],[Diamare]])</f>
        <v>2222</v>
      </c>
      <c r="F221" s="47">
        <f>SUMIFS(DisplacementPeriod[ind],DisplacementPeriod[deplacement],"idp",DisplacementPeriod[adm2_name],Tableau50[[#This Row],[Départements]], DisplacementPeriod[provenance_adm2_nom],Tableau50[[#Headers],[Logone-Et-Chari]])</f>
        <v>0</v>
      </c>
      <c r="G221" s="47">
        <f>SUMIFS(DisplacementPeriod[ind],DisplacementPeriod[deplacement],"idp",DisplacementPeriod[adm2_name],Tableau50[[#This Row],[Départements]], DisplacementPeriod[provenance_adm2_nom],Tableau50[[#Headers],[Mayo-Danay]])</f>
        <v>0</v>
      </c>
      <c r="H221" s="47">
        <f>SUMIFS(DisplacementPeriod[ind],DisplacementPeriod[deplacement],"idp",DisplacementPeriod[adm2_name],Tableau50[[#This Row],[Départements]], DisplacementPeriod[provenance_adm2_nom],Tableau50[[#Headers],[Mayo-Kani]])</f>
        <v>0</v>
      </c>
      <c r="I221" s="47">
        <f>SUMIFS(DisplacementPeriod[ind],DisplacementPeriod[deplacement],"idp",DisplacementPeriod[adm2_name],Tableau50[[#This Row],[Départements]], DisplacementPeriod[provenance_adm2_nom],Tableau50[[#Headers],[Mayo-Sava]])</f>
        <v>2834</v>
      </c>
      <c r="J221" s="47">
        <f>SUMIFS(DisplacementPeriod[ind],DisplacementPeriod[deplacement],"idp",DisplacementPeriod[adm2_name],Tableau50[[#This Row],[Départements]], DisplacementPeriod[provenance_adm2_nom],Tableau50[[#Headers],[Mayo-Tsanaga]])</f>
        <v>273</v>
      </c>
      <c r="K221" s="47">
        <f t="shared" ref="K221:K226" si="12">SUM(E221:J221)</f>
        <v>5329</v>
      </c>
      <c r="L221" s="138"/>
      <c r="M221" s="138"/>
      <c r="N221" s="47" t="s">
        <v>24</v>
      </c>
      <c r="O221" s="47">
        <f>SUMIFS(DisplacementPeriod[ind],DisplacementPeriod[deplacement],"idp",DisplacementPeriod[adm2_name],Tableau5052[[#This Row],[Registration Departments]], DisplacementPeriod[provenance_adm2_nom],Tableau5052[[#Headers],[Diamare]])</f>
        <v>2222</v>
      </c>
      <c r="P221" s="47">
        <f>SUMIFS(DisplacementPeriod[ind],DisplacementPeriod[deplacement],"idp",DisplacementPeriod[adm2_name],Tableau5052[[#This Row],[Registration Departments]], DisplacementPeriod[provenance_adm2_nom],Tableau5052[[#Headers],[Logone-Et-Chari]])</f>
        <v>0</v>
      </c>
      <c r="Q221" s="47">
        <f>SUMIFS(DisplacementPeriod[ind],DisplacementPeriod[deplacement],"idp",DisplacementPeriod[adm2_name],Tableau5052[[#This Row],[Registration Departments]], DisplacementPeriod[provenance_adm2_nom],Tableau5052[[#Headers],[Mayo-Danay]])</f>
        <v>0</v>
      </c>
      <c r="R221" s="47">
        <f>SUMIFS(DisplacementPeriod[ind],DisplacementPeriod[deplacement],"idp",DisplacementPeriod[adm2_name],Tableau5052[[#This Row],[Registration Departments]], DisplacementPeriod[provenance_adm2_nom],Tableau5052[[#Headers],[Mayo-Kani]])</f>
        <v>0</v>
      </c>
      <c r="S221" s="47">
        <f>SUMIFS(DisplacementPeriod[ind],DisplacementPeriod[deplacement],"idp",DisplacementPeriod[adm2_name],Tableau5052[[#This Row],[Registration Departments]], DisplacementPeriod[provenance_adm2_nom],Tableau5052[[#Headers],[Mayo-Sava]])</f>
        <v>2834</v>
      </c>
      <c r="T221" s="47">
        <f>SUMIFS(DisplacementPeriod[ind],DisplacementPeriod[deplacement],"idp",DisplacementPeriod[adm2_name],Tableau5052[[#This Row],[Registration Departments]], DisplacementPeriod[provenance_adm2_nom],Tableau5052[[#Headers],[Mayo-Tsanaga]])</f>
        <v>273</v>
      </c>
      <c r="U221" s="47">
        <f t="shared" ref="U221:U226" si="13">SUM(O221:T221)</f>
        <v>5329</v>
      </c>
      <c r="V221" s="148"/>
    </row>
    <row r="222" spans="2:22" s="139" customFormat="1" x14ac:dyDescent="0.25">
      <c r="B222" s="146"/>
      <c r="C222" s="124"/>
      <c r="D222" s="47" t="s">
        <v>85</v>
      </c>
      <c r="E222" s="47">
        <f>SUMIFS(DisplacementPeriod[ind],DisplacementPeriod[deplacement],"idp",DisplacementPeriod[adm2_name],Tableau50[[#This Row],[Départements]], DisplacementPeriod[provenance_adm2_nom],Tableau50[[#Headers],[Diamare]])</f>
        <v>0</v>
      </c>
      <c r="F222" s="47">
        <f>SUMIFS(DisplacementPeriod[ind],DisplacementPeriod[deplacement],"idp",DisplacementPeriod[adm2_name],Tableau50[[#This Row],[Départements]], DisplacementPeriod[provenance_adm2_nom],Tableau50[[#Headers],[Logone-Et-Chari]])</f>
        <v>124733</v>
      </c>
      <c r="G222" s="47">
        <f>SUMIFS(DisplacementPeriod[ind],DisplacementPeriod[deplacement],"idp",DisplacementPeriod[adm2_name],Tableau50[[#This Row],[Départements]], DisplacementPeriod[provenance_adm2_nom],Tableau50[[#Headers],[Mayo-Danay]])</f>
        <v>0</v>
      </c>
      <c r="H222" s="47">
        <f>SUMIFS(DisplacementPeriod[ind],DisplacementPeriod[deplacement],"idp",DisplacementPeriod[adm2_name],Tableau50[[#This Row],[Départements]], DisplacementPeriod[provenance_adm2_nom],Tableau50[[#Headers],[Mayo-Kani]])</f>
        <v>0</v>
      </c>
      <c r="I222" s="47">
        <f>SUMIFS(DisplacementPeriod[ind],DisplacementPeriod[deplacement],"idp",DisplacementPeriod[adm2_name],Tableau50[[#This Row],[Départements]], DisplacementPeriod[provenance_adm2_nom],Tableau50[[#Headers],[Mayo-Sava]])</f>
        <v>978</v>
      </c>
      <c r="J222" s="47">
        <f>SUMIFS(DisplacementPeriod[ind],DisplacementPeriod[deplacement],"idp",DisplacementPeriod[adm2_name],Tableau50[[#This Row],[Départements]], DisplacementPeriod[provenance_adm2_nom],Tableau50[[#Headers],[Mayo-Tsanaga]])</f>
        <v>0</v>
      </c>
      <c r="K222" s="47">
        <f t="shared" si="12"/>
        <v>125711</v>
      </c>
      <c r="L222" s="138"/>
      <c r="M222" s="138"/>
      <c r="N222" s="47" t="s">
        <v>85</v>
      </c>
      <c r="O222" s="47">
        <f>SUMIFS(DisplacementPeriod[ind],DisplacementPeriod[deplacement],"idp",DisplacementPeriod[adm2_name],Tableau5052[[#This Row],[Registration Departments]], DisplacementPeriod[provenance_adm2_nom],Tableau5052[[#Headers],[Diamare]])</f>
        <v>0</v>
      </c>
      <c r="P222" s="47">
        <f>SUMIFS(DisplacementPeriod[ind],DisplacementPeriod[deplacement],"idp",DisplacementPeriod[adm2_name],Tableau5052[[#This Row],[Registration Departments]], DisplacementPeriod[provenance_adm2_nom],Tableau5052[[#Headers],[Logone-Et-Chari]])</f>
        <v>124733</v>
      </c>
      <c r="Q222" s="47">
        <f>SUMIFS(DisplacementPeriod[ind],DisplacementPeriod[deplacement],"idp",DisplacementPeriod[adm2_name],Tableau5052[[#This Row],[Registration Departments]], DisplacementPeriod[provenance_adm2_nom],Tableau5052[[#Headers],[Mayo-Danay]])</f>
        <v>0</v>
      </c>
      <c r="R222" s="47">
        <f>SUMIFS(DisplacementPeriod[ind],DisplacementPeriod[deplacement],"idp",DisplacementPeriod[adm2_name],Tableau5052[[#This Row],[Registration Departments]], DisplacementPeriod[provenance_adm2_nom],Tableau5052[[#Headers],[Mayo-Kani]])</f>
        <v>0</v>
      </c>
      <c r="S222" s="47">
        <f>SUMIFS(DisplacementPeriod[ind],DisplacementPeriod[deplacement],"idp",DisplacementPeriod[adm2_name],Tableau5052[[#This Row],[Registration Departments]], DisplacementPeriod[provenance_adm2_nom],Tableau5052[[#Headers],[Mayo-Sava]])</f>
        <v>978</v>
      </c>
      <c r="T222" s="47">
        <f>SUMIFS(DisplacementPeriod[ind],DisplacementPeriod[deplacement],"idp",DisplacementPeriod[adm2_name],Tableau5052[[#This Row],[Registration Departments]], DisplacementPeriod[provenance_adm2_nom],Tableau5052[[#Headers],[Mayo-Tsanaga]])</f>
        <v>0</v>
      </c>
      <c r="U222" s="47">
        <f t="shared" si="13"/>
        <v>125711</v>
      </c>
      <c r="V222" s="148"/>
    </row>
    <row r="223" spans="2:22" s="139" customFormat="1" x14ac:dyDescent="0.25">
      <c r="B223" s="146"/>
      <c r="C223" s="124"/>
      <c r="D223" s="47" t="s">
        <v>184</v>
      </c>
      <c r="E223" s="47">
        <f>SUMIFS(DisplacementPeriod[ind],DisplacementPeriod[deplacement],"idp",DisplacementPeriod[adm2_name],Tableau50[[#This Row],[Départements]], DisplacementPeriod[provenance_adm2_nom],Tableau50[[#Headers],[Diamare]])</f>
        <v>0</v>
      </c>
      <c r="F223" s="47">
        <f>SUMIFS(DisplacementPeriod[ind],DisplacementPeriod[deplacement],"idp",DisplacementPeriod[adm2_name],Tableau50[[#This Row],[Départements]], DisplacementPeriod[provenance_adm2_nom],Tableau50[[#Headers],[Logone-Et-Chari]])</f>
        <v>0</v>
      </c>
      <c r="G223" s="47">
        <f>SUMIFS(DisplacementPeriod[ind],DisplacementPeriod[deplacement],"idp",DisplacementPeriod[adm2_name],Tableau50[[#This Row],[Départements]], DisplacementPeriod[provenance_adm2_nom],Tableau50[[#Headers],[Mayo-Danay]])</f>
        <v>9736</v>
      </c>
      <c r="H223" s="47">
        <f>SUMIFS(DisplacementPeriod[ind],DisplacementPeriod[deplacement],"idp",DisplacementPeriod[adm2_name],Tableau50[[#This Row],[Départements]], DisplacementPeriod[provenance_adm2_nom],Tableau50[[#Headers],[Mayo-Kani]])</f>
        <v>0</v>
      </c>
      <c r="I223" s="47">
        <f>SUMIFS(DisplacementPeriod[ind],DisplacementPeriod[deplacement],"idp",DisplacementPeriod[adm2_name],Tableau50[[#This Row],[Départements]], DisplacementPeriod[provenance_adm2_nom],Tableau50[[#Headers],[Mayo-Sava]])</f>
        <v>578</v>
      </c>
      <c r="J223" s="47">
        <f>SUMIFS(DisplacementPeriod[ind],DisplacementPeriod[deplacement],"idp",DisplacementPeriod[adm2_name],Tableau50[[#This Row],[Départements]], DisplacementPeriod[provenance_adm2_nom],Tableau50[[#Headers],[Mayo-Tsanaga]])</f>
        <v>0</v>
      </c>
      <c r="K223" s="47">
        <f t="shared" si="12"/>
        <v>10314</v>
      </c>
      <c r="L223" s="138"/>
      <c r="M223" s="138"/>
      <c r="N223" s="47" t="s">
        <v>184</v>
      </c>
      <c r="O223" s="47">
        <f>SUMIFS(DisplacementPeriod[ind],DisplacementPeriod[deplacement],"idp",DisplacementPeriod[adm2_name],Tableau5052[[#This Row],[Registration Departments]], DisplacementPeriod[provenance_adm2_nom],Tableau5052[[#Headers],[Diamare]])</f>
        <v>0</v>
      </c>
      <c r="P223" s="47">
        <f>SUMIFS(DisplacementPeriod[ind],DisplacementPeriod[deplacement],"idp",DisplacementPeriod[adm2_name],Tableau5052[[#This Row],[Registration Departments]], DisplacementPeriod[provenance_adm2_nom],Tableau5052[[#Headers],[Logone-Et-Chari]])</f>
        <v>0</v>
      </c>
      <c r="Q223" s="47">
        <f>SUMIFS(DisplacementPeriod[ind],DisplacementPeriod[deplacement],"idp",DisplacementPeriod[adm2_name],Tableau5052[[#This Row],[Registration Departments]], DisplacementPeriod[provenance_adm2_nom],Tableau5052[[#Headers],[Mayo-Danay]])</f>
        <v>9736</v>
      </c>
      <c r="R223" s="47">
        <f>SUMIFS(DisplacementPeriod[ind],DisplacementPeriod[deplacement],"idp",DisplacementPeriod[adm2_name],Tableau5052[[#This Row],[Registration Departments]], DisplacementPeriod[provenance_adm2_nom],Tableau5052[[#Headers],[Mayo-Kani]])</f>
        <v>0</v>
      </c>
      <c r="S223" s="47">
        <f>SUMIFS(DisplacementPeriod[ind],DisplacementPeriod[deplacement],"idp",DisplacementPeriod[adm2_name],Tableau5052[[#This Row],[Registration Departments]], DisplacementPeriod[provenance_adm2_nom],Tableau5052[[#Headers],[Mayo-Sava]])</f>
        <v>578</v>
      </c>
      <c r="T223" s="47">
        <f>SUMIFS(DisplacementPeriod[ind],DisplacementPeriod[deplacement],"idp",DisplacementPeriod[adm2_name],Tableau5052[[#This Row],[Registration Departments]], DisplacementPeriod[provenance_adm2_nom],Tableau5052[[#Headers],[Mayo-Tsanaga]])</f>
        <v>0</v>
      </c>
      <c r="U223" s="47">
        <f t="shared" si="13"/>
        <v>10314</v>
      </c>
      <c r="V223" s="148"/>
    </row>
    <row r="224" spans="2:22" s="139" customFormat="1" x14ac:dyDescent="0.25">
      <c r="B224" s="146"/>
      <c r="C224" s="124"/>
      <c r="D224" s="47" t="s">
        <v>218</v>
      </c>
      <c r="E224" s="47">
        <f>SUMIFS(DisplacementPeriod[ind],DisplacementPeriod[deplacement],"idp",DisplacementPeriod[adm2_name],Tableau50[[#This Row],[Départements]], DisplacementPeriod[provenance_adm2_nom],Tableau50[[#Headers],[Diamare]])</f>
        <v>0</v>
      </c>
      <c r="F224" s="47">
        <f>SUMIFS(DisplacementPeriod[ind],DisplacementPeriod[deplacement],"idp",DisplacementPeriod[adm2_name],Tableau50[[#This Row],[Départements]], DisplacementPeriod[provenance_adm2_nom],Tableau50[[#Headers],[Logone-Et-Chari]])</f>
        <v>36</v>
      </c>
      <c r="G224" s="47">
        <f>SUMIFS(DisplacementPeriod[ind],DisplacementPeriod[deplacement],"idp",DisplacementPeriod[adm2_name],Tableau50[[#This Row],[Départements]], DisplacementPeriod[provenance_adm2_nom],Tableau50[[#Headers],[Mayo-Danay]])</f>
        <v>0</v>
      </c>
      <c r="H224" s="47">
        <f>SUMIFS(DisplacementPeriod[ind],DisplacementPeriod[deplacement],"idp",DisplacementPeriod[adm2_name],Tableau50[[#This Row],[Départements]], DisplacementPeriod[provenance_adm2_nom],Tableau50[[#Headers],[Mayo-Kani]])</f>
        <v>77</v>
      </c>
      <c r="I224" s="47">
        <f>SUMIFS(DisplacementPeriod[ind],DisplacementPeriod[deplacement],"idp",DisplacementPeriod[adm2_name],Tableau50[[#This Row],[Départements]], DisplacementPeriod[provenance_adm2_nom],Tableau50[[#Headers],[Mayo-Sava]])</f>
        <v>16</v>
      </c>
      <c r="J224" s="47">
        <f>SUMIFS(DisplacementPeriod[ind],DisplacementPeriod[deplacement],"idp",DisplacementPeriod[adm2_name],Tableau50[[#This Row],[Départements]], DisplacementPeriod[provenance_adm2_nom],Tableau50[[#Headers],[Mayo-Tsanaga]])</f>
        <v>0</v>
      </c>
      <c r="K224" s="47">
        <f t="shared" si="12"/>
        <v>129</v>
      </c>
      <c r="L224" s="138"/>
      <c r="M224" s="138"/>
      <c r="N224" s="47" t="s">
        <v>218</v>
      </c>
      <c r="O224" s="47">
        <f>SUMIFS(DisplacementPeriod[ind],DisplacementPeriod[deplacement],"idp",DisplacementPeriod[adm2_name],Tableau5052[[#This Row],[Registration Departments]], DisplacementPeriod[provenance_adm2_nom],Tableau5052[[#Headers],[Diamare]])</f>
        <v>0</v>
      </c>
      <c r="P224" s="47">
        <f>SUMIFS(DisplacementPeriod[ind],DisplacementPeriod[deplacement],"idp",DisplacementPeriod[adm2_name],Tableau5052[[#This Row],[Registration Departments]], DisplacementPeriod[provenance_adm2_nom],Tableau5052[[#Headers],[Logone-Et-Chari]])</f>
        <v>36</v>
      </c>
      <c r="Q224" s="47">
        <f>SUMIFS(DisplacementPeriod[ind],DisplacementPeriod[deplacement],"idp",DisplacementPeriod[adm2_name],Tableau5052[[#This Row],[Registration Departments]], DisplacementPeriod[provenance_adm2_nom],Tableau5052[[#Headers],[Mayo-Danay]])</f>
        <v>0</v>
      </c>
      <c r="R224" s="47">
        <f>SUMIFS(DisplacementPeriod[ind],DisplacementPeriod[deplacement],"idp",DisplacementPeriod[adm2_name],Tableau5052[[#This Row],[Registration Departments]], DisplacementPeriod[provenance_adm2_nom],Tableau5052[[#Headers],[Mayo-Kani]])</f>
        <v>77</v>
      </c>
      <c r="S224" s="47">
        <f>SUMIFS(DisplacementPeriod[ind],DisplacementPeriod[deplacement],"idp",DisplacementPeriod[adm2_name],Tableau5052[[#This Row],[Registration Departments]], DisplacementPeriod[provenance_adm2_nom],Tableau5052[[#Headers],[Mayo-Sava]])</f>
        <v>16</v>
      </c>
      <c r="T224" s="47">
        <f>SUMIFS(DisplacementPeriod[ind],DisplacementPeriod[deplacement],"idp",DisplacementPeriod[adm2_name],Tableau5052[[#This Row],[Registration Departments]], DisplacementPeriod[provenance_adm2_nom],Tableau5052[[#Headers],[Mayo-Tsanaga]])</f>
        <v>0</v>
      </c>
      <c r="U224" s="47">
        <f t="shared" si="13"/>
        <v>129</v>
      </c>
      <c r="V224" s="148"/>
    </row>
    <row r="225" spans="2:22" s="139" customFormat="1" x14ac:dyDescent="0.25">
      <c r="B225" s="146"/>
      <c r="C225" s="124"/>
      <c r="D225" s="47" t="s">
        <v>48</v>
      </c>
      <c r="E225" s="47">
        <f>SUMIFS(DisplacementPeriod[ind],DisplacementPeriod[deplacement],"idp",DisplacementPeriod[adm2_name],Tableau50[[#This Row],[Départements]], DisplacementPeriod[provenance_adm2_nom],Tableau50[[#Headers],[Diamare]])</f>
        <v>0</v>
      </c>
      <c r="F225" s="47">
        <f>SUMIFS(DisplacementPeriod[ind],DisplacementPeriod[deplacement],"idp",DisplacementPeriod[adm2_name],Tableau50[[#This Row],[Départements]], DisplacementPeriod[provenance_adm2_nom],Tableau50[[#Headers],[Logone-Et-Chari]])</f>
        <v>512</v>
      </c>
      <c r="G225" s="47">
        <f>SUMIFS(DisplacementPeriod[ind],DisplacementPeriod[deplacement],"idp",DisplacementPeriod[adm2_name],Tableau50[[#This Row],[Départements]], DisplacementPeriod[provenance_adm2_nom],Tableau50[[#Headers],[Mayo-Danay]])</f>
        <v>0</v>
      </c>
      <c r="H225" s="47">
        <f>SUMIFS(DisplacementPeriod[ind],DisplacementPeriod[deplacement],"idp",DisplacementPeriod[adm2_name],Tableau50[[#This Row],[Départements]], DisplacementPeriod[provenance_adm2_nom],Tableau50[[#Headers],[Mayo-Kani]])</f>
        <v>0</v>
      </c>
      <c r="I225" s="47">
        <f>SUMIFS(DisplacementPeriod[ind],DisplacementPeriod[deplacement],"idp",DisplacementPeriod[adm2_name],Tableau50[[#This Row],[Départements]], DisplacementPeriod[provenance_adm2_nom],Tableau50[[#Headers],[Mayo-Sava]])</f>
        <v>58994</v>
      </c>
      <c r="J225" s="47">
        <f>SUMIFS(DisplacementPeriod[ind],DisplacementPeriod[deplacement],"idp",DisplacementPeriod[adm2_name],Tableau50[[#This Row],[Départements]], DisplacementPeriod[provenance_adm2_nom],Tableau50[[#Headers],[Mayo-Tsanaga]])</f>
        <v>0</v>
      </c>
      <c r="K225" s="47">
        <f t="shared" si="12"/>
        <v>59506</v>
      </c>
      <c r="L225" s="138"/>
      <c r="M225" s="138"/>
      <c r="N225" s="47" t="s">
        <v>48</v>
      </c>
      <c r="O225" s="47">
        <f>SUMIFS(DisplacementPeriod[ind],DisplacementPeriod[deplacement],"idp",DisplacementPeriod[adm2_name],Tableau5052[[#This Row],[Registration Departments]], DisplacementPeriod[provenance_adm2_nom],Tableau5052[[#Headers],[Diamare]])</f>
        <v>0</v>
      </c>
      <c r="P225" s="47">
        <f>SUMIFS(DisplacementPeriod[ind],DisplacementPeriod[deplacement],"idp",DisplacementPeriod[adm2_name],Tableau5052[[#This Row],[Registration Departments]], DisplacementPeriod[provenance_adm2_nom],Tableau5052[[#Headers],[Logone-Et-Chari]])</f>
        <v>512</v>
      </c>
      <c r="Q225" s="47">
        <f>SUMIFS(DisplacementPeriod[ind],DisplacementPeriod[deplacement],"idp",DisplacementPeriod[adm2_name],Tableau5052[[#This Row],[Registration Departments]], DisplacementPeriod[provenance_adm2_nom],Tableau5052[[#Headers],[Mayo-Danay]])</f>
        <v>0</v>
      </c>
      <c r="R225" s="47">
        <f>SUMIFS(DisplacementPeriod[ind],DisplacementPeriod[deplacement],"idp",DisplacementPeriod[adm2_name],Tableau5052[[#This Row],[Registration Departments]], DisplacementPeriod[provenance_adm2_nom],Tableau5052[[#Headers],[Mayo-Kani]])</f>
        <v>0</v>
      </c>
      <c r="S225" s="47">
        <f>SUMIFS(DisplacementPeriod[ind],DisplacementPeriod[deplacement],"idp",DisplacementPeriod[adm2_name],Tableau5052[[#This Row],[Registration Departments]], DisplacementPeriod[provenance_adm2_nom],Tableau5052[[#Headers],[Mayo-Sava]])</f>
        <v>58994</v>
      </c>
      <c r="T225" s="47">
        <f>SUMIFS(DisplacementPeriod[ind],DisplacementPeriod[deplacement],"idp",DisplacementPeriod[adm2_name],Tableau5052[[#This Row],[Registration Departments]], DisplacementPeriod[provenance_adm2_nom],Tableau5052[[#Headers],[Mayo-Tsanaga]])</f>
        <v>0</v>
      </c>
      <c r="U225" s="47">
        <f t="shared" si="13"/>
        <v>59506</v>
      </c>
      <c r="V225" s="148"/>
    </row>
    <row r="226" spans="2:22" s="139" customFormat="1" x14ac:dyDescent="0.25">
      <c r="B226" s="146"/>
      <c r="C226" s="124"/>
      <c r="D226" s="47" t="s">
        <v>37</v>
      </c>
      <c r="E226" s="47">
        <f>SUMIFS(DisplacementPeriod[ind],DisplacementPeriod[deplacement],"idp",DisplacementPeriod[adm2_name],Tableau50[[#This Row],[Départements]], DisplacementPeriod[provenance_adm2_nom],Tableau50[[#Headers],[Diamare]])</f>
        <v>0</v>
      </c>
      <c r="F226" s="47">
        <f>SUMIFS(DisplacementPeriod[ind],DisplacementPeriod[deplacement],"idp",DisplacementPeriod[adm2_name],Tableau50[[#This Row],[Départements]], DisplacementPeriod[provenance_adm2_nom],Tableau50[[#Headers],[Logone-Et-Chari]])</f>
        <v>0</v>
      </c>
      <c r="G226" s="47">
        <f>SUMIFS(DisplacementPeriod[ind],DisplacementPeriod[deplacement],"idp",DisplacementPeriod[adm2_name],Tableau50[[#This Row],[Départements]], DisplacementPeriod[provenance_adm2_nom],Tableau50[[#Headers],[Mayo-Danay]])</f>
        <v>0</v>
      </c>
      <c r="H226" s="47">
        <f>SUMIFS(DisplacementPeriod[ind],DisplacementPeriod[deplacement],"idp",DisplacementPeriod[adm2_name],Tableau50[[#This Row],[Départements]], DisplacementPeriod[provenance_adm2_nom],Tableau50[[#Headers],[Mayo-Kani]])</f>
        <v>0</v>
      </c>
      <c r="I226" s="47">
        <f>SUMIFS(DisplacementPeriod[ind],DisplacementPeriod[deplacement],"idp",DisplacementPeriod[adm2_name],Tableau50[[#This Row],[Départements]], DisplacementPeriod[provenance_adm2_nom],Tableau50[[#Headers],[Mayo-Sava]])</f>
        <v>9335</v>
      </c>
      <c r="J226" s="47">
        <f>SUMIFS(DisplacementPeriod[ind],DisplacementPeriod[deplacement],"idp",DisplacementPeriod[adm2_name],Tableau50[[#This Row],[Départements]], DisplacementPeriod[provenance_adm2_nom],Tableau50[[#Headers],[Mayo-Tsanaga]])</f>
        <v>30706</v>
      </c>
      <c r="K226" s="47">
        <f t="shared" si="12"/>
        <v>40041</v>
      </c>
      <c r="L226" s="138"/>
      <c r="M226" s="138"/>
      <c r="N226" s="47" t="s">
        <v>37</v>
      </c>
      <c r="O226" s="47">
        <f>SUMIFS(DisplacementPeriod[ind],DisplacementPeriod[deplacement],"idp",DisplacementPeriod[adm2_name],Tableau5052[[#This Row],[Registration Departments]], DisplacementPeriod[provenance_adm2_nom],Tableau5052[[#Headers],[Diamare]])</f>
        <v>0</v>
      </c>
      <c r="P226" s="47">
        <f>SUMIFS(DisplacementPeriod[ind],DisplacementPeriod[deplacement],"idp",DisplacementPeriod[adm2_name],Tableau5052[[#This Row],[Registration Departments]], DisplacementPeriod[provenance_adm2_nom],Tableau5052[[#Headers],[Logone-Et-Chari]])</f>
        <v>0</v>
      </c>
      <c r="Q226" s="47">
        <f>SUMIFS(DisplacementPeriod[ind],DisplacementPeriod[deplacement],"idp",DisplacementPeriod[adm2_name],Tableau5052[[#This Row],[Registration Departments]], DisplacementPeriod[provenance_adm2_nom],Tableau5052[[#Headers],[Mayo-Danay]])</f>
        <v>0</v>
      </c>
      <c r="R226" s="47">
        <f>SUMIFS(DisplacementPeriod[ind],DisplacementPeriod[deplacement],"idp",DisplacementPeriod[adm2_name],Tableau5052[[#This Row],[Registration Departments]], DisplacementPeriod[provenance_adm2_nom],Tableau5052[[#Headers],[Mayo-Kani]])</f>
        <v>0</v>
      </c>
      <c r="S226" s="47">
        <f>SUMIFS(DisplacementPeriod[ind],DisplacementPeriod[deplacement],"idp",DisplacementPeriod[adm2_name],Tableau5052[[#This Row],[Registration Departments]], DisplacementPeriod[provenance_adm2_nom],Tableau5052[[#Headers],[Mayo-Sava]])</f>
        <v>9335</v>
      </c>
      <c r="T226" s="47">
        <f>SUMIFS(DisplacementPeriod[ind],DisplacementPeriod[deplacement],"idp",DisplacementPeriod[adm2_name],Tableau5052[[#This Row],[Registration Departments]], DisplacementPeriod[provenance_adm2_nom],Tableau5052[[#Headers],[Mayo-Tsanaga]])</f>
        <v>30706</v>
      </c>
      <c r="U226" s="47">
        <f t="shared" si="13"/>
        <v>40041</v>
      </c>
      <c r="V226" s="148"/>
    </row>
    <row r="227" spans="2:22" s="139" customFormat="1" x14ac:dyDescent="0.25">
      <c r="B227" s="146"/>
      <c r="C227" s="124"/>
      <c r="D227" s="47"/>
      <c r="E227" s="40">
        <f>SUBTOTAL(109,Tableau50[Diamare])</f>
        <v>2222</v>
      </c>
      <c r="F227" s="40">
        <f>SUBTOTAL(109,Tableau50[Logone-Et-Chari])</f>
        <v>125281</v>
      </c>
      <c r="G227" s="40">
        <f>SUBTOTAL(109,Tableau50[Mayo-Danay])</f>
        <v>9736</v>
      </c>
      <c r="H227" s="40">
        <f>SUBTOTAL(109,Tableau50[Mayo-Kani])</f>
        <v>77</v>
      </c>
      <c r="I227" s="40">
        <f>SUBTOTAL(109,Tableau50[Mayo-Sava])</f>
        <v>72735</v>
      </c>
      <c r="J227" s="40">
        <f>SUBTOTAL(109,Tableau50[Mayo-Tsanaga])</f>
        <v>30979</v>
      </c>
      <c r="K227" s="40">
        <f>SUM(Tableau50[Total])</f>
        <v>241030</v>
      </c>
      <c r="L227" s="138"/>
      <c r="M227" s="138"/>
      <c r="N227" s="47"/>
      <c r="O227" s="40">
        <f>SUBTOTAL(109,Tableau5052[Diamare])</f>
        <v>2222</v>
      </c>
      <c r="P227" s="40">
        <f>SUBTOTAL(109,Tableau5052[Logone-Et-Chari])</f>
        <v>125281</v>
      </c>
      <c r="Q227" s="40">
        <f>SUBTOTAL(109,Tableau5052[Mayo-Danay])</f>
        <v>9736</v>
      </c>
      <c r="R227" s="40">
        <f>SUBTOTAL(109,Tableau5052[Mayo-Kani])</f>
        <v>77</v>
      </c>
      <c r="S227" s="40">
        <f>SUBTOTAL(109,Tableau5052[Mayo-Sava])</f>
        <v>72735</v>
      </c>
      <c r="T227" s="40">
        <f>SUBTOTAL(109,Tableau5052[Mayo-Tsanaga])</f>
        <v>30979</v>
      </c>
      <c r="U227" s="40">
        <f>SUM(Tableau5052[Total])</f>
        <v>241030</v>
      </c>
      <c r="V227" s="148"/>
    </row>
    <row r="228" spans="2:22" s="139" customFormat="1" x14ac:dyDescent="0.25">
      <c r="B228" s="146"/>
      <c r="C228" s="124"/>
      <c r="D228" s="125"/>
      <c r="E228" s="127"/>
      <c r="F228" s="127"/>
      <c r="G228" s="127"/>
      <c r="H228" s="127"/>
      <c r="I228" s="127"/>
      <c r="J228" s="127"/>
      <c r="K228" s="127"/>
      <c r="L228" s="138"/>
      <c r="M228" s="138"/>
      <c r="N228" s="125"/>
      <c r="O228" s="127"/>
      <c r="P228" s="127"/>
      <c r="Q228" s="127"/>
      <c r="R228" s="127"/>
      <c r="S228" s="127"/>
      <c r="T228" s="127"/>
      <c r="U228" s="127"/>
      <c r="V228" s="148"/>
    </row>
    <row r="229" spans="2:22" s="139" customFormat="1" x14ac:dyDescent="0.25">
      <c r="B229" s="146"/>
      <c r="C229" s="124"/>
      <c r="D229" s="125"/>
      <c r="E229" s="127"/>
      <c r="F229" s="127"/>
      <c r="G229" s="127"/>
      <c r="H229" s="127"/>
      <c r="I229" s="127"/>
      <c r="J229" s="127"/>
      <c r="K229" s="127"/>
      <c r="L229" s="138"/>
      <c r="M229" s="138"/>
      <c r="N229" s="125"/>
      <c r="O229" s="127"/>
      <c r="P229" s="127"/>
      <c r="Q229" s="127"/>
      <c r="R229" s="127"/>
      <c r="S229" s="127"/>
      <c r="T229" s="127"/>
      <c r="U229" s="127"/>
      <c r="V229" s="148"/>
    </row>
    <row r="230" spans="2:22" s="139" customFormat="1" x14ac:dyDescent="0.25">
      <c r="B230" s="146"/>
      <c r="C230" s="124"/>
      <c r="D230" s="125"/>
      <c r="E230" s="412" t="s">
        <v>1892</v>
      </c>
      <c r="F230" s="413"/>
      <c r="G230" s="413"/>
      <c r="H230" s="413"/>
      <c r="I230" s="413"/>
      <c r="J230" s="414"/>
      <c r="K230" s="138"/>
      <c r="L230" s="138"/>
      <c r="M230" s="138"/>
      <c r="N230" s="125"/>
      <c r="O230" s="412" t="s">
        <v>1949</v>
      </c>
      <c r="P230" s="413"/>
      <c r="Q230" s="413"/>
      <c r="R230" s="413"/>
      <c r="S230" s="413"/>
      <c r="T230" s="414"/>
      <c r="U230" s="138"/>
      <c r="V230" s="148"/>
    </row>
    <row r="231" spans="2:22" s="139" customFormat="1" x14ac:dyDescent="0.25">
      <c r="B231" s="146"/>
      <c r="C231" s="124"/>
      <c r="D231" s="40" t="s">
        <v>1795</v>
      </c>
      <c r="E231" s="41" t="s">
        <v>24</v>
      </c>
      <c r="F231" s="40" t="s">
        <v>85</v>
      </c>
      <c r="G231" s="41" t="s">
        <v>184</v>
      </c>
      <c r="H231" s="40" t="s">
        <v>218</v>
      </c>
      <c r="I231" s="41" t="s">
        <v>48</v>
      </c>
      <c r="J231" s="37" t="s">
        <v>37</v>
      </c>
      <c r="K231" s="37" t="s">
        <v>715</v>
      </c>
      <c r="L231" s="138"/>
      <c r="M231" s="138"/>
      <c r="N231" s="40" t="s">
        <v>719</v>
      </c>
      <c r="O231" s="41" t="s">
        <v>24</v>
      </c>
      <c r="P231" s="40" t="s">
        <v>85</v>
      </c>
      <c r="Q231" s="41" t="s">
        <v>184</v>
      </c>
      <c r="R231" s="40" t="s">
        <v>218</v>
      </c>
      <c r="S231" s="41" t="s">
        <v>48</v>
      </c>
      <c r="T231" s="37" t="s">
        <v>37</v>
      </c>
      <c r="U231" s="37" t="s">
        <v>715</v>
      </c>
      <c r="V231" s="148"/>
    </row>
    <row r="232" spans="2:22" s="139" customFormat="1" x14ac:dyDescent="0.25">
      <c r="B232" s="146"/>
      <c r="C232" s="124"/>
      <c r="D232" s="47" t="s">
        <v>24</v>
      </c>
      <c r="E232" s="78">
        <f t="shared" ref="E232:E237" si="14">E221/$K221</f>
        <v>0.41696378307374743</v>
      </c>
      <c r="F232" s="78">
        <f t="shared" ref="F232:F237" si="15">F221/$K221</f>
        <v>0</v>
      </c>
      <c r="G232" s="78">
        <f t="shared" ref="G232:G237" si="16">G221/$K221</f>
        <v>0</v>
      </c>
      <c r="H232" s="78">
        <f t="shared" ref="H232:H237" si="17">H221/$K221</f>
        <v>0</v>
      </c>
      <c r="I232" s="78">
        <f t="shared" ref="I232:I237" si="18">I221/$K221</f>
        <v>0.53180709326327646</v>
      </c>
      <c r="J232" s="78">
        <f t="shared" ref="J232:J237" si="19">J221/$K221</f>
        <v>5.1229123662976168E-2</v>
      </c>
      <c r="K232" s="78">
        <f t="shared" ref="K232:K237" si="20">SUM(E232:J232)</f>
        <v>1.0000000000000002</v>
      </c>
      <c r="L232" s="138"/>
      <c r="M232" s="138"/>
      <c r="N232" s="47" t="s">
        <v>24</v>
      </c>
      <c r="O232" s="78">
        <f t="shared" ref="O232:O237" si="21">O221/U221</f>
        <v>0.41696378307374743</v>
      </c>
      <c r="P232" s="78">
        <f t="shared" ref="P232:P237" si="22">P221/U221</f>
        <v>0</v>
      </c>
      <c r="Q232" s="78">
        <f t="shared" ref="Q232:Q237" si="23">Q221/U221</f>
        <v>0</v>
      </c>
      <c r="R232" s="78">
        <f t="shared" ref="R232:R237" si="24">R221/U221</f>
        <v>0</v>
      </c>
      <c r="S232" s="78">
        <f t="shared" ref="S232:S237" si="25">S221/U221</f>
        <v>0.53180709326327646</v>
      </c>
      <c r="T232" s="78">
        <f t="shared" ref="T232:T237" si="26">T221/U221</f>
        <v>5.1229123662976168E-2</v>
      </c>
      <c r="U232" s="78">
        <f>SUM(Tableau509037[[#This Row],[Diamare]:[Mayo-Tsanaga]])</f>
        <v>1.0000000000000002</v>
      </c>
      <c r="V232" s="148"/>
    </row>
    <row r="233" spans="2:22" s="139" customFormat="1" x14ac:dyDescent="0.25">
      <c r="B233" s="146"/>
      <c r="C233" s="124"/>
      <c r="D233" s="47" t="s">
        <v>85</v>
      </c>
      <c r="E233" s="78">
        <f t="shared" si="14"/>
        <v>0</v>
      </c>
      <c r="F233" s="78">
        <f t="shared" si="15"/>
        <v>0.99222025121111124</v>
      </c>
      <c r="G233" s="78">
        <f t="shared" si="16"/>
        <v>0</v>
      </c>
      <c r="H233" s="78">
        <f t="shared" si="17"/>
        <v>0</v>
      </c>
      <c r="I233" s="78">
        <f t="shared" si="18"/>
        <v>7.7797487888888002E-3</v>
      </c>
      <c r="J233" s="78">
        <f t="shared" si="19"/>
        <v>0</v>
      </c>
      <c r="K233" s="78">
        <f t="shared" si="20"/>
        <v>1</v>
      </c>
      <c r="L233" s="138"/>
      <c r="M233" s="138"/>
      <c r="N233" s="47" t="s">
        <v>85</v>
      </c>
      <c r="O233" s="78">
        <f t="shared" si="21"/>
        <v>0</v>
      </c>
      <c r="P233" s="78">
        <f t="shared" si="22"/>
        <v>0.99222025121111124</v>
      </c>
      <c r="Q233" s="78">
        <f t="shared" si="23"/>
        <v>0</v>
      </c>
      <c r="R233" s="78">
        <f t="shared" si="24"/>
        <v>0</v>
      </c>
      <c r="S233" s="78">
        <f t="shared" si="25"/>
        <v>7.7797487888888002E-3</v>
      </c>
      <c r="T233" s="78">
        <f t="shared" si="26"/>
        <v>0</v>
      </c>
      <c r="U233" s="78">
        <f>SUM(Tableau509037[[#This Row],[Diamare]:[Mayo-Tsanaga]])</f>
        <v>1</v>
      </c>
      <c r="V233" s="148"/>
    </row>
    <row r="234" spans="2:22" s="139" customFormat="1" x14ac:dyDescent="0.25">
      <c r="B234" s="146"/>
      <c r="C234" s="124"/>
      <c r="D234" s="47" t="s">
        <v>184</v>
      </c>
      <c r="E234" s="78">
        <f t="shared" si="14"/>
        <v>0</v>
      </c>
      <c r="F234" s="78">
        <f t="shared" si="15"/>
        <v>0</v>
      </c>
      <c r="G234" s="78">
        <f t="shared" si="16"/>
        <v>0.94395966647275553</v>
      </c>
      <c r="H234" s="78">
        <f t="shared" si="17"/>
        <v>0</v>
      </c>
      <c r="I234" s="78">
        <f t="shared" si="18"/>
        <v>5.6040333527244524E-2</v>
      </c>
      <c r="J234" s="78">
        <f t="shared" si="19"/>
        <v>0</v>
      </c>
      <c r="K234" s="78">
        <f t="shared" si="20"/>
        <v>1</v>
      </c>
      <c r="L234" s="138"/>
      <c r="M234" s="138"/>
      <c r="N234" s="47" t="s">
        <v>184</v>
      </c>
      <c r="O234" s="78">
        <f t="shared" si="21"/>
        <v>0</v>
      </c>
      <c r="P234" s="78">
        <f t="shared" si="22"/>
        <v>0</v>
      </c>
      <c r="Q234" s="78">
        <f t="shared" si="23"/>
        <v>0.94395966647275553</v>
      </c>
      <c r="R234" s="78">
        <f t="shared" si="24"/>
        <v>0</v>
      </c>
      <c r="S234" s="78">
        <f t="shared" si="25"/>
        <v>5.6040333527244524E-2</v>
      </c>
      <c r="T234" s="78">
        <f t="shared" si="26"/>
        <v>0</v>
      </c>
      <c r="U234" s="78">
        <f>SUM(Tableau509037[[#This Row],[Diamare]:[Mayo-Tsanaga]])</f>
        <v>1</v>
      </c>
      <c r="V234" s="148"/>
    </row>
    <row r="235" spans="2:22" s="139" customFormat="1" x14ac:dyDescent="0.25">
      <c r="B235" s="146"/>
      <c r="C235" s="124"/>
      <c r="D235" s="47" t="s">
        <v>218</v>
      </c>
      <c r="E235" s="78">
        <f t="shared" si="14"/>
        <v>0</v>
      </c>
      <c r="F235" s="78">
        <f t="shared" si="15"/>
        <v>0.27906976744186046</v>
      </c>
      <c r="G235" s="78">
        <f t="shared" si="16"/>
        <v>0</v>
      </c>
      <c r="H235" s="78">
        <f t="shared" si="17"/>
        <v>0.5968992248062015</v>
      </c>
      <c r="I235" s="78">
        <f t="shared" si="18"/>
        <v>0.12403100775193798</v>
      </c>
      <c r="J235" s="78">
        <f t="shared" si="19"/>
        <v>0</v>
      </c>
      <c r="K235" s="78">
        <f t="shared" si="20"/>
        <v>1</v>
      </c>
      <c r="L235" s="138"/>
      <c r="M235" s="138"/>
      <c r="N235" s="47" t="s">
        <v>218</v>
      </c>
      <c r="O235" s="78">
        <f t="shared" si="21"/>
        <v>0</v>
      </c>
      <c r="P235" s="78">
        <f t="shared" si="22"/>
        <v>0.27906976744186046</v>
      </c>
      <c r="Q235" s="78">
        <f t="shared" si="23"/>
        <v>0</v>
      </c>
      <c r="R235" s="78">
        <f t="shared" si="24"/>
        <v>0.5968992248062015</v>
      </c>
      <c r="S235" s="78">
        <f t="shared" si="25"/>
        <v>0.12403100775193798</v>
      </c>
      <c r="T235" s="78">
        <f t="shared" si="26"/>
        <v>0</v>
      </c>
      <c r="U235" s="78">
        <f>SUM(Tableau509037[[#This Row],[Diamare]:[Mayo-Tsanaga]])</f>
        <v>1</v>
      </c>
      <c r="V235" s="148"/>
    </row>
    <row r="236" spans="2:22" s="139" customFormat="1" x14ac:dyDescent="0.25">
      <c r="B236" s="146"/>
      <c r="C236" s="124"/>
      <c r="D236" s="47" t="s">
        <v>48</v>
      </c>
      <c r="E236" s="78">
        <f t="shared" si="14"/>
        <v>0</v>
      </c>
      <c r="F236" s="78">
        <f t="shared" si="15"/>
        <v>8.6041743689711965E-3</v>
      </c>
      <c r="G236" s="78">
        <f t="shared" si="16"/>
        <v>0</v>
      </c>
      <c r="H236" s="78">
        <f t="shared" si="17"/>
        <v>0</v>
      </c>
      <c r="I236" s="78">
        <f t="shared" si="18"/>
        <v>0.99139582563102879</v>
      </c>
      <c r="J236" s="78">
        <f t="shared" si="19"/>
        <v>0</v>
      </c>
      <c r="K236" s="78">
        <f t="shared" si="20"/>
        <v>1</v>
      </c>
      <c r="L236" s="138"/>
      <c r="M236" s="138"/>
      <c r="N236" s="47" t="s">
        <v>48</v>
      </c>
      <c r="O236" s="78">
        <f t="shared" si="21"/>
        <v>0</v>
      </c>
      <c r="P236" s="78">
        <f t="shared" si="22"/>
        <v>8.6041743689711965E-3</v>
      </c>
      <c r="Q236" s="78">
        <f t="shared" si="23"/>
        <v>0</v>
      </c>
      <c r="R236" s="78">
        <f t="shared" si="24"/>
        <v>0</v>
      </c>
      <c r="S236" s="78">
        <f t="shared" si="25"/>
        <v>0.99139582563102879</v>
      </c>
      <c r="T236" s="78">
        <f t="shared" si="26"/>
        <v>0</v>
      </c>
      <c r="U236" s="78">
        <f>SUM(Tableau509037[[#This Row],[Diamare]:[Mayo-Tsanaga]])</f>
        <v>1</v>
      </c>
      <c r="V236" s="148"/>
    </row>
    <row r="237" spans="2:22" s="139" customFormat="1" x14ac:dyDescent="0.25">
      <c r="B237" s="146"/>
      <c r="C237" s="124"/>
      <c r="D237" s="47" t="s">
        <v>37</v>
      </c>
      <c r="E237" s="78">
        <f t="shared" si="14"/>
        <v>0</v>
      </c>
      <c r="F237" s="78">
        <f t="shared" si="15"/>
        <v>0</v>
      </c>
      <c r="G237" s="78">
        <f t="shared" si="16"/>
        <v>0</v>
      </c>
      <c r="H237" s="78">
        <f t="shared" si="17"/>
        <v>0</v>
      </c>
      <c r="I237" s="78">
        <f t="shared" si="18"/>
        <v>0.23313603556354737</v>
      </c>
      <c r="J237" s="78">
        <f t="shared" si="19"/>
        <v>0.76686396443645266</v>
      </c>
      <c r="K237" s="78">
        <f t="shared" si="20"/>
        <v>1</v>
      </c>
      <c r="L237" s="138"/>
      <c r="M237" s="138"/>
      <c r="N237" s="47" t="s">
        <v>37</v>
      </c>
      <c r="O237" s="78">
        <f t="shared" si="21"/>
        <v>0</v>
      </c>
      <c r="P237" s="78">
        <f t="shared" si="22"/>
        <v>0</v>
      </c>
      <c r="Q237" s="78">
        <f t="shared" si="23"/>
        <v>0</v>
      </c>
      <c r="R237" s="78">
        <f t="shared" si="24"/>
        <v>0</v>
      </c>
      <c r="S237" s="78">
        <f t="shared" si="25"/>
        <v>0.23313603556354737</v>
      </c>
      <c r="T237" s="78">
        <f t="shared" si="26"/>
        <v>0.76686396443645266</v>
      </c>
      <c r="U237" s="78">
        <f>SUM(Tableau509037[[#This Row],[Diamare]:[Mayo-Tsanaga]])</f>
        <v>1</v>
      </c>
      <c r="V237" s="148"/>
    </row>
    <row r="238" spans="2:22" s="139" customFormat="1" x14ac:dyDescent="0.25">
      <c r="B238" s="146"/>
      <c r="C238" s="124"/>
      <c r="D238" s="125"/>
      <c r="E238" s="126"/>
      <c r="F238" s="126"/>
      <c r="G238" s="126"/>
      <c r="H238" s="126"/>
      <c r="I238" s="126"/>
      <c r="J238" s="149"/>
      <c r="K238" s="126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48"/>
    </row>
    <row r="239" spans="2:22" s="139" customFormat="1" x14ac:dyDescent="0.25">
      <c r="B239" s="146"/>
      <c r="C239" s="124"/>
      <c r="D239" s="125"/>
      <c r="E239" s="126"/>
      <c r="F239" s="125"/>
      <c r="G239" s="126"/>
      <c r="H239" s="125"/>
      <c r="I239" s="126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48"/>
    </row>
    <row r="240" spans="2:22" s="139" customFormat="1" x14ac:dyDescent="0.25">
      <c r="B240" s="146"/>
      <c r="C240" s="124"/>
      <c r="D240" s="125"/>
      <c r="E240" s="126"/>
      <c r="F240" s="125"/>
      <c r="G240" s="126"/>
      <c r="H240" s="125"/>
      <c r="I240" s="126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48"/>
    </row>
    <row r="241" spans="2:22" s="139" customFormat="1" x14ac:dyDescent="0.25">
      <c r="B241" s="146"/>
      <c r="C241" s="124"/>
      <c r="D241" s="150" t="s">
        <v>1901</v>
      </c>
      <c r="E241" s="126"/>
      <c r="F241" s="125"/>
      <c r="G241" s="126"/>
      <c r="H241" s="125"/>
      <c r="I241" s="126"/>
      <c r="J241" s="138"/>
      <c r="K241" s="138"/>
      <c r="L241" s="138"/>
      <c r="M241" s="138"/>
      <c r="N241" s="150" t="s">
        <v>1900</v>
      </c>
      <c r="O241" s="126"/>
      <c r="P241" s="125"/>
      <c r="Q241" s="126"/>
      <c r="R241" s="125"/>
      <c r="S241" s="126"/>
      <c r="T241" s="138"/>
      <c r="U241" s="138"/>
      <c r="V241" s="148"/>
    </row>
    <row r="242" spans="2:22" s="139" customFormat="1" x14ac:dyDescent="0.25">
      <c r="B242" s="146"/>
      <c r="C242" s="124"/>
      <c r="D242" s="125"/>
      <c r="E242" s="126"/>
      <c r="F242" s="125"/>
      <c r="G242" s="126"/>
      <c r="H242" s="125"/>
      <c r="I242" s="126"/>
      <c r="J242" s="138"/>
      <c r="K242" s="138"/>
      <c r="L242" s="138"/>
      <c r="M242" s="138"/>
      <c r="N242" s="125"/>
      <c r="O242" s="126"/>
      <c r="P242" s="125"/>
      <c r="Q242" s="126"/>
      <c r="R242" s="125"/>
      <c r="S242" s="126"/>
      <c r="T242" s="138"/>
      <c r="U242" s="138"/>
      <c r="V242" s="148"/>
    </row>
    <row r="243" spans="2:22" s="139" customFormat="1" x14ac:dyDescent="0.25">
      <c r="B243" s="146"/>
      <c r="C243" s="124"/>
      <c r="D243" s="125"/>
      <c r="E243" s="412" t="s">
        <v>1898</v>
      </c>
      <c r="F243" s="413"/>
      <c r="G243" s="413"/>
      <c r="H243" s="413"/>
      <c r="I243" s="413"/>
      <c r="J243" s="414"/>
      <c r="K243" s="138"/>
      <c r="L243" s="138"/>
      <c r="M243" s="138"/>
      <c r="N243" s="125"/>
      <c r="O243" s="412" t="s">
        <v>1899</v>
      </c>
      <c r="P243" s="413"/>
      <c r="Q243" s="413"/>
      <c r="R243" s="413"/>
      <c r="S243" s="413"/>
      <c r="T243" s="414"/>
      <c r="U243" s="138"/>
      <c r="V243" s="148"/>
    </row>
    <row r="244" spans="2:22" s="139" customFormat="1" x14ac:dyDescent="0.25">
      <c r="B244" s="146"/>
      <c r="C244" s="124"/>
      <c r="D244" s="40" t="s">
        <v>1889</v>
      </c>
      <c r="E244" s="41" t="s">
        <v>24</v>
      </c>
      <c r="F244" s="40" t="s">
        <v>85</v>
      </c>
      <c r="G244" s="41" t="s">
        <v>184</v>
      </c>
      <c r="H244" s="40" t="s">
        <v>218</v>
      </c>
      <c r="I244" s="41" t="s">
        <v>48</v>
      </c>
      <c r="J244" s="37" t="s">
        <v>37</v>
      </c>
      <c r="K244" s="37" t="s">
        <v>715</v>
      </c>
      <c r="L244" s="138"/>
      <c r="M244" s="138"/>
      <c r="N244" s="40" t="s">
        <v>717</v>
      </c>
      <c r="O244" s="41" t="s">
        <v>24</v>
      </c>
      <c r="P244" s="40" t="s">
        <v>85</v>
      </c>
      <c r="Q244" s="41" t="s">
        <v>184</v>
      </c>
      <c r="R244" s="40" t="s">
        <v>218</v>
      </c>
      <c r="S244" s="41" t="s">
        <v>48</v>
      </c>
      <c r="T244" s="37" t="s">
        <v>37</v>
      </c>
      <c r="U244" s="37" t="s">
        <v>715</v>
      </c>
      <c r="V244" s="148"/>
    </row>
    <row r="245" spans="2:22" s="139" customFormat="1" x14ac:dyDescent="0.25">
      <c r="B245" s="146"/>
      <c r="C245" s="151" t="str">
        <f>VLOOKUP(Tableau56[[#This Row],[Périodes]],periods[],2)</f>
        <v>Avant 2014</v>
      </c>
      <c r="D245" s="47" t="s">
        <v>1854</v>
      </c>
      <c r="E245" s="47">
        <f>SUMIFS(DisplacementPeriod[ind],DisplacementPeriod[adm2_name],Tableau56[[#Headers],[Diamare]],DisplacementPeriod[periode],Tableau56[[#This Row],[Périodes]],DisplacementPeriod[deplacement],"idp")</f>
        <v>59</v>
      </c>
      <c r="F245" s="47">
        <f>SUMIFS(DisplacementPeriod[ind],DisplacementPeriod[adm2_name],Tableau56[[#Headers],[Logone-Et-Chari]],DisplacementPeriod[periode],Tableau56[[#This Row],[Périodes]],DisplacementPeriod[deplacement],"idp")</f>
        <v>2093</v>
      </c>
      <c r="G245" s="47">
        <f>SUMIFS(DisplacementPeriod[ind],DisplacementPeriod[adm2_name],Tableau56[[#Headers],[Mayo-Danay]],DisplacementPeriod[periode],Tableau56[[#This Row],[Périodes]],DisplacementPeriod[deplacement],"idp")</f>
        <v>7451</v>
      </c>
      <c r="H245" s="47">
        <f>SUMIFS(DisplacementPeriod[ind],DisplacementPeriod[adm2_name],Tableau56[[#Headers],[Mayo-Kani]],DisplacementPeriod[periode],Tableau56[[#This Row],[Périodes]],DisplacementPeriod[deplacement],"idp")</f>
        <v>17</v>
      </c>
      <c r="I245" s="47">
        <f>SUMIFS(DisplacementPeriod[ind],DisplacementPeriod[adm2_name],Tableau56[[#Headers],[Mayo-Sava]],DisplacementPeriod[periode],Tableau56[[#This Row],[Périodes]],DisplacementPeriod[deplacement],"idp")</f>
        <v>2971</v>
      </c>
      <c r="J245" s="47">
        <f>SUMIFS(DisplacementPeriod[ind],DisplacementPeriod[adm2_name],Tableau56[[#Headers],[Mayo-Tsanaga]],DisplacementPeriod[periode],Tableau56[[#This Row],[Périodes]],DisplacementPeriod[deplacement],"idp")</f>
        <v>0</v>
      </c>
      <c r="K245" s="47">
        <f>SUM(Tableau56[[#This Row],[Diamare]:[Mayo-Tsanaga]])</f>
        <v>12591</v>
      </c>
      <c r="L245" s="138"/>
      <c r="M245" s="151" t="str">
        <f>VLOOKUP(Tableau5658[[#This Row],[Periods]],periods[],3)</f>
        <v>Before 2014</v>
      </c>
      <c r="N245" s="47" t="s">
        <v>1854</v>
      </c>
      <c r="O245" s="47">
        <f>SUMIFS(DisplacementPeriod[ind],DisplacementPeriod[adm2_name],Tableau5658[[#Headers],[Diamare]],DisplacementPeriod[periode],Tableau5658[[#This Row],[Periods]],DisplacementPeriod[deplacement],"idp")</f>
        <v>59</v>
      </c>
      <c r="P245" s="47">
        <f>SUMIFS(DisplacementPeriod[ind],DisplacementPeriod[adm2_name],Tableau5658[[#Headers],[Logone-Et-Chari]],DisplacementPeriod[periode],Tableau5658[[#This Row],[Periods]],DisplacementPeriod[deplacement],"idp")</f>
        <v>2093</v>
      </c>
      <c r="Q245" s="47">
        <f>SUMIFS(DisplacementPeriod[ind],DisplacementPeriod[adm2_name],Tableau5658[[#Headers],[Mayo-Danay]],DisplacementPeriod[periode],Tableau5658[[#This Row],[Periods]],DisplacementPeriod[deplacement],"idp")</f>
        <v>7451</v>
      </c>
      <c r="R245" s="47">
        <f>SUMIFS(DisplacementPeriod[ind],DisplacementPeriod[adm2_name],Tableau5658[[#Headers],[Mayo-Kani]],DisplacementPeriod[periode],Tableau5658[[#This Row],[Periods]],DisplacementPeriod[deplacement],"idp")</f>
        <v>17</v>
      </c>
      <c r="S245" s="47">
        <f>SUMIFS(DisplacementPeriod[ind],DisplacementPeriod[adm2_name],Tableau5658[[#Headers],[Mayo-Sava]],DisplacementPeriod[periode],Tableau5658[[#This Row],[Periods]],DisplacementPeriod[deplacement],"idp")</f>
        <v>2971</v>
      </c>
      <c r="T245" s="47">
        <f>SUMIFS(DisplacementPeriod[ind],DisplacementPeriod[adm2_name],Tableau5658[[#Headers],[Mayo-Tsanaga]],DisplacementPeriod[periode],Tableau5658[[#This Row],[Periods]],DisplacementPeriod[deplacement],"idp")</f>
        <v>0</v>
      </c>
      <c r="U245" s="47">
        <f>SUM(Tableau5658[[#This Row],[Diamare]:[Mayo-Tsanaga]])</f>
        <v>12591</v>
      </c>
      <c r="V245" s="148"/>
    </row>
    <row r="246" spans="2:22" s="139" customFormat="1" x14ac:dyDescent="0.25">
      <c r="B246" s="146"/>
      <c r="C246" s="151" t="str">
        <f>VLOOKUP(Tableau56[[#This Row],[Périodes]],periods[],2)</f>
        <v>2014</v>
      </c>
      <c r="D246" s="47" t="s">
        <v>1855</v>
      </c>
      <c r="E246" s="47">
        <f>SUMIFS(DisplacementPeriod[ind],DisplacementPeriod[adm2_name],Tableau56[[#Headers],[Diamare]],DisplacementPeriod[periode],Tableau56[[#This Row],[Périodes]],DisplacementPeriod[deplacement],"idp")</f>
        <v>4276</v>
      </c>
      <c r="F246" s="47">
        <f>SUMIFS(DisplacementPeriod[ind],DisplacementPeriod[adm2_name],Tableau56[[#Headers],[Logone-Et-Chari]],DisplacementPeriod[periode],Tableau56[[#This Row],[Périodes]],DisplacementPeriod[deplacement],"idp")</f>
        <v>15624</v>
      </c>
      <c r="G246" s="47">
        <f>SUMIFS(DisplacementPeriod[ind],DisplacementPeriod[adm2_name],Tableau56[[#Headers],[Mayo-Danay]],DisplacementPeriod[periode],Tableau56[[#This Row],[Périodes]],DisplacementPeriod[deplacement],"idp")</f>
        <v>1104</v>
      </c>
      <c r="H246" s="47">
        <f>SUMIFS(DisplacementPeriod[ind],DisplacementPeriod[adm2_name],Tableau56[[#Headers],[Mayo-Kani]],DisplacementPeriod[periode],Tableau56[[#This Row],[Périodes]],DisplacementPeriod[deplacement],"idp")</f>
        <v>60</v>
      </c>
      <c r="I246" s="47">
        <f>SUMIFS(DisplacementPeriod[ind],DisplacementPeriod[adm2_name],Tableau56[[#Headers],[Mayo-Sava]],DisplacementPeriod[periode],Tableau56[[#This Row],[Périodes]],DisplacementPeriod[deplacement],"idp")</f>
        <v>9101</v>
      </c>
      <c r="J246" s="47">
        <f>SUMIFS(DisplacementPeriod[ind],DisplacementPeriod[adm2_name],Tableau56[[#Headers],[Mayo-Tsanaga]],DisplacementPeriod[periode],Tableau56[[#This Row],[Périodes]],DisplacementPeriod[deplacement],"idp")</f>
        <v>13191</v>
      </c>
      <c r="K246" s="47">
        <f>SUM(Tableau56[[#This Row],[Diamare]:[Mayo-Tsanaga]])</f>
        <v>43356</v>
      </c>
      <c r="L246" s="138"/>
      <c r="M246" s="151" t="str">
        <f>VLOOKUP(Tableau5658[[#This Row],[Periods]],periods[],3)</f>
        <v>2014</v>
      </c>
      <c r="N246" s="47" t="s">
        <v>1855</v>
      </c>
      <c r="O246" s="47">
        <f>SUMIFS(DisplacementPeriod[ind],DisplacementPeriod[adm2_name],Tableau5658[[#Headers],[Diamare]],DisplacementPeriod[periode],Tableau5658[[#This Row],[Periods]],DisplacementPeriod[deplacement],"idp")</f>
        <v>4276</v>
      </c>
      <c r="P246" s="47">
        <f>SUMIFS(DisplacementPeriod[ind],DisplacementPeriod[adm2_name],Tableau5658[[#Headers],[Logone-Et-Chari]],DisplacementPeriod[periode],Tableau5658[[#This Row],[Periods]],DisplacementPeriod[deplacement],"idp")</f>
        <v>15624</v>
      </c>
      <c r="Q246" s="47">
        <f>SUMIFS(DisplacementPeriod[ind],DisplacementPeriod[adm2_name],Tableau5658[[#Headers],[Mayo-Danay]],DisplacementPeriod[periode],Tableau5658[[#This Row],[Periods]],DisplacementPeriod[deplacement],"idp")</f>
        <v>1104</v>
      </c>
      <c r="R246" s="47">
        <f>SUMIFS(DisplacementPeriod[ind],DisplacementPeriod[adm2_name],Tableau5658[[#Headers],[Mayo-Kani]],DisplacementPeriod[periode],Tableau5658[[#This Row],[Periods]],DisplacementPeriod[deplacement],"idp")</f>
        <v>60</v>
      </c>
      <c r="S246" s="47">
        <f>SUMIFS(DisplacementPeriod[ind],DisplacementPeriod[adm2_name],Tableau5658[[#Headers],[Mayo-Sava]],DisplacementPeriod[periode],Tableau5658[[#This Row],[Periods]],DisplacementPeriod[deplacement],"idp")</f>
        <v>9101</v>
      </c>
      <c r="T246" s="47">
        <f>SUMIFS(DisplacementPeriod[ind],DisplacementPeriod[adm2_name],Tableau5658[[#Headers],[Mayo-Tsanaga]],DisplacementPeriod[periode],Tableau5658[[#This Row],[Periods]],DisplacementPeriod[deplacement],"idp")</f>
        <v>13191</v>
      </c>
      <c r="U246" s="47">
        <f>SUM(Tableau5658[[#This Row],[Diamare]:[Mayo-Tsanaga]])</f>
        <v>43356</v>
      </c>
      <c r="V246" s="148"/>
    </row>
    <row r="247" spans="2:22" s="139" customFormat="1" x14ac:dyDescent="0.25">
      <c r="B247" s="146"/>
      <c r="C247" s="151" t="str">
        <f>VLOOKUP(Tableau56[[#This Row],[Périodes]],periods[],2)</f>
        <v>2015</v>
      </c>
      <c r="D247" s="47" t="s">
        <v>1856</v>
      </c>
      <c r="E247" s="47">
        <f>SUMIFS(DisplacementPeriod[ind],DisplacementPeriod[adm2_name],Tableau56[[#Headers],[Diamare]],DisplacementPeriod[periode],Tableau56[[#This Row],[Périodes]],DisplacementPeriod[deplacement],"idp")</f>
        <v>568</v>
      </c>
      <c r="F247" s="47">
        <f>SUMIFS(DisplacementPeriod[ind],DisplacementPeriod[adm2_name],Tableau56[[#Headers],[Logone-Et-Chari]],DisplacementPeriod[periode],Tableau56[[#This Row],[Périodes]],DisplacementPeriod[deplacement],"idp")</f>
        <v>43171</v>
      </c>
      <c r="G247" s="47">
        <f>SUMIFS(DisplacementPeriod[ind],DisplacementPeriod[adm2_name],Tableau56[[#Headers],[Mayo-Danay]],DisplacementPeriod[periode],Tableau56[[#This Row],[Périodes]],DisplacementPeriod[deplacement],"idp")</f>
        <v>310</v>
      </c>
      <c r="H247" s="47">
        <f>SUMIFS(DisplacementPeriod[ind],DisplacementPeriod[adm2_name],Tableau56[[#Headers],[Mayo-Kani]],DisplacementPeriod[periode],Tableau56[[#This Row],[Périodes]],DisplacementPeriod[deplacement],"idp")</f>
        <v>52</v>
      </c>
      <c r="I247" s="47">
        <f>SUMIFS(DisplacementPeriod[ind],DisplacementPeriod[adm2_name],Tableau56[[#Headers],[Mayo-Sava]],DisplacementPeriod[periode],Tableau56[[#This Row],[Périodes]],DisplacementPeriod[deplacement],"idp")</f>
        <v>17387</v>
      </c>
      <c r="J247" s="47">
        <f>SUMIFS(DisplacementPeriod[ind],DisplacementPeriod[adm2_name],Tableau56[[#Headers],[Mayo-Tsanaga]],DisplacementPeriod[periode],Tableau56[[#This Row],[Périodes]],DisplacementPeriod[deplacement],"idp")</f>
        <v>9462</v>
      </c>
      <c r="K247" s="47">
        <f>SUM(Tableau56[[#This Row],[Diamare]:[Mayo-Tsanaga]])</f>
        <v>70950</v>
      </c>
      <c r="L247" s="138"/>
      <c r="M247" s="151" t="str">
        <f>VLOOKUP(Tableau5658[[#This Row],[Periods]],periods[],3)</f>
        <v>2015</v>
      </c>
      <c r="N247" s="47" t="s">
        <v>1856</v>
      </c>
      <c r="O247" s="47">
        <f>SUMIFS(DisplacementPeriod[ind],DisplacementPeriod[adm2_name],Tableau5658[[#Headers],[Diamare]],DisplacementPeriod[periode],Tableau5658[[#This Row],[Periods]],DisplacementPeriod[deplacement],"idp")</f>
        <v>568</v>
      </c>
      <c r="P247" s="47">
        <f>SUMIFS(DisplacementPeriod[ind],DisplacementPeriod[adm2_name],Tableau5658[[#Headers],[Logone-Et-Chari]],DisplacementPeriod[periode],Tableau5658[[#This Row],[Periods]],DisplacementPeriod[deplacement],"idp")</f>
        <v>43171</v>
      </c>
      <c r="Q247" s="47">
        <f>SUMIFS(DisplacementPeriod[ind],DisplacementPeriod[adm2_name],Tableau5658[[#Headers],[Mayo-Danay]],DisplacementPeriod[periode],Tableau5658[[#This Row],[Periods]],DisplacementPeriod[deplacement],"idp")</f>
        <v>310</v>
      </c>
      <c r="R247" s="47">
        <f>SUMIFS(DisplacementPeriod[ind],DisplacementPeriod[adm2_name],Tableau5658[[#Headers],[Mayo-Kani]],DisplacementPeriod[periode],Tableau5658[[#This Row],[Periods]],DisplacementPeriod[deplacement],"idp")</f>
        <v>52</v>
      </c>
      <c r="S247" s="47">
        <f>SUMIFS(DisplacementPeriod[ind],DisplacementPeriod[adm2_name],Tableau5658[[#Headers],[Mayo-Sava]],DisplacementPeriod[periode],Tableau5658[[#This Row],[Periods]],DisplacementPeriod[deplacement],"idp")</f>
        <v>17387</v>
      </c>
      <c r="T247" s="47">
        <f>SUMIFS(DisplacementPeriod[ind],DisplacementPeriod[adm2_name],Tableau5658[[#Headers],[Mayo-Tsanaga]],DisplacementPeriod[periode],Tableau5658[[#This Row],[Periods]],DisplacementPeriod[deplacement],"idp")</f>
        <v>9462</v>
      </c>
      <c r="U247" s="47">
        <f>SUM(Tableau5658[[#This Row],[Diamare]:[Mayo-Tsanaga]])</f>
        <v>70950</v>
      </c>
      <c r="V247" s="148"/>
    </row>
    <row r="248" spans="2:22" s="139" customFormat="1" x14ac:dyDescent="0.25">
      <c r="B248" s="146"/>
      <c r="C248" s="151" t="str">
        <f>VLOOKUP(Tableau56[[#This Row],[Périodes]],periods[],2)</f>
        <v>2016</v>
      </c>
      <c r="D248" s="47" t="s">
        <v>1857</v>
      </c>
      <c r="E248" s="47">
        <f>SUMIFS(DisplacementPeriod[ind],DisplacementPeriod[adm2_name],Tableau56[[#Headers],[Diamare]],DisplacementPeriod[periode],Tableau56[[#This Row],[Périodes]],DisplacementPeriod[deplacement],"idp")</f>
        <v>290</v>
      </c>
      <c r="F248" s="47">
        <f>SUMIFS(DisplacementPeriod[ind],DisplacementPeriod[adm2_name],Tableau56[[#Headers],[Logone-Et-Chari]],DisplacementPeriod[periode],Tableau56[[#This Row],[Périodes]],DisplacementPeriod[deplacement],"idp")</f>
        <v>41561</v>
      </c>
      <c r="G248" s="47">
        <f>SUMIFS(DisplacementPeriod[ind],DisplacementPeriod[adm2_name],Tableau56[[#Headers],[Mayo-Danay]],DisplacementPeriod[periode],Tableau56[[#This Row],[Périodes]],DisplacementPeriod[deplacement],"idp")</f>
        <v>265</v>
      </c>
      <c r="H248" s="47">
        <f>SUMIFS(DisplacementPeriod[ind],DisplacementPeriod[adm2_name],Tableau56[[#Headers],[Mayo-Kani]],DisplacementPeriod[periode],Tableau56[[#This Row],[Périodes]],DisplacementPeriod[deplacement],"idp")</f>
        <v>0</v>
      </c>
      <c r="I248" s="47">
        <f>SUMIFS(DisplacementPeriod[ind],DisplacementPeriod[adm2_name],Tableau56[[#Headers],[Mayo-Sava]],DisplacementPeriod[periode],Tableau56[[#This Row],[Périodes]],DisplacementPeriod[deplacement],"idp")</f>
        <v>24431</v>
      </c>
      <c r="J248" s="47">
        <f>SUMIFS(DisplacementPeriod[ind],DisplacementPeriod[adm2_name],Tableau56[[#Headers],[Mayo-Tsanaga]],DisplacementPeriod[periode],Tableau56[[#This Row],[Périodes]],DisplacementPeriod[deplacement],"idp")</f>
        <v>10384</v>
      </c>
      <c r="K248" s="47">
        <f>SUM(Tableau56[[#This Row],[Diamare]:[Mayo-Tsanaga]])</f>
        <v>76931</v>
      </c>
      <c r="L248" s="138"/>
      <c r="M248" s="151" t="str">
        <f>VLOOKUP(Tableau5658[[#This Row],[Periods]],periods[],3)</f>
        <v>2016</v>
      </c>
      <c r="N248" s="47" t="s">
        <v>1857</v>
      </c>
      <c r="O248" s="47">
        <f>SUMIFS(DisplacementPeriod[ind],DisplacementPeriod[adm2_name],Tableau5658[[#Headers],[Diamare]],DisplacementPeriod[periode],Tableau5658[[#This Row],[Periods]],DisplacementPeriod[deplacement],"idp")</f>
        <v>290</v>
      </c>
      <c r="P248" s="47">
        <f>SUMIFS(DisplacementPeriod[ind],DisplacementPeriod[adm2_name],Tableau5658[[#Headers],[Logone-Et-Chari]],DisplacementPeriod[periode],Tableau5658[[#This Row],[Periods]],DisplacementPeriod[deplacement],"idp")</f>
        <v>41561</v>
      </c>
      <c r="Q248" s="47">
        <f>SUMIFS(DisplacementPeriod[ind],DisplacementPeriod[adm2_name],Tableau5658[[#Headers],[Mayo-Danay]],DisplacementPeriod[periode],Tableau5658[[#This Row],[Periods]],DisplacementPeriod[deplacement],"idp")</f>
        <v>265</v>
      </c>
      <c r="R248" s="47">
        <f>SUMIFS(DisplacementPeriod[ind],DisplacementPeriod[adm2_name],Tableau5658[[#Headers],[Mayo-Kani]],DisplacementPeriod[periode],Tableau5658[[#This Row],[Periods]],DisplacementPeriod[deplacement],"idp")</f>
        <v>0</v>
      </c>
      <c r="S248" s="47">
        <f>SUMIFS(DisplacementPeriod[ind],DisplacementPeriod[adm2_name],Tableau5658[[#Headers],[Mayo-Sava]],DisplacementPeriod[periode],Tableau5658[[#This Row],[Periods]],DisplacementPeriod[deplacement],"idp")</f>
        <v>24431</v>
      </c>
      <c r="T248" s="47">
        <f>SUMIFS(DisplacementPeriod[ind],DisplacementPeriod[adm2_name],Tableau5658[[#Headers],[Mayo-Tsanaga]],DisplacementPeriod[periode],Tableau5658[[#This Row],[Periods]],DisplacementPeriod[deplacement],"idp")</f>
        <v>10384</v>
      </c>
      <c r="U248" s="47">
        <f>SUM(Tableau5658[[#This Row],[Diamare]:[Mayo-Tsanaga]])</f>
        <v>76931</v>
      </c>
      <c r="V248" s="148"/>
    </row>
    <row r="249" spans="2:22" s="139" customFormat="1" x14ac:dyDescent="0.25">
      <c r="B249" s="146"/>
      <c r="C249" s="151" t="str">
        <f>VLOOKUP(Tableau56[[#This Row],[Périodes]],periods[],2)</f>
        <v>Janv-Oct 2017</v>
      </c>
      <c r="D249" s="47" t="s">
        <v>1858</v>
      </c>
      <c r="E249" s="47">
        <f>SUMIFS(DisplacementPeriod[ind],DisplacementPeriod[adm2_name],Tableau56[[#Headers],[Diamare]],DisplacementPeriod[periode],Tableau56[[#This Row],[Périodes]],DisplacementPeriod[deplacement],"idp")</f>
        <v>119</v>
      </c>
      <c r="F249" s="47">
        <f>SUMIFS(DisplacementPeriod[ind],DisplacementPeriod[adm2_name],Tableau56[[#Headers],[Logone-Et-Chari]],DisplacementPeriod[periode],Tableau56[[#This Row],[Périodes]],DisplacementPeriod[deplacement],"idp")</f>
        <v>21341</v>
      </c>
      <c r="G249" s="47">
        <f>SUMIFS(DisplacementPeriod[ind],DisplacementPeriod[adm2_name],Tableau56[[#Headers],[Mayo-Danay]],DisplacementPeriod[periode],Tableau56[[#This Row],[Périodes]],DisplacementPeriod[deplacement],"idp")</f>
        <v>1184</v>
      </c>
      <c r="H249" s="47">
        <f>SUMIFS(DisplacementPeriod[ind],DisplacementPeriod[adm2_name],Tableau56[[#Headers],[Mayo-Kani]],DisplacementPeriod[periode],Tableau56[[#This Row],[Périodes]],DisplacementPeriod[deplacement],"idp")</f>
        <v>0</v>
      </c>
      <c r="I249" s="47">
        <f>SUMIFS(DisplacementPeriod[ind],DisplacementPeriod[adm2_name],Tableau56[[#Headers],[Mayo-Sava]],DisplacementPeriod[periode],Tableau56[[#This Row],[Périodes]],DisplacementPeriod[deplacement],"idp")</f>
        <v>5616</v>
      </c>
      <c r="J249" s="47">
        <f>SUMIFS(DisplacementPeriod[ind],DisplacementPeriod[adm2_name],Tableau56[[#Headers],[Mayo-Tsanaga]],DisplacementPeriod[periode],Tableau56[[#This Row],[Périodes]],DisplacementPeriod[deplacement],"idp")</f>
        <v>6329</v>
      </c>
      <c r="K249" s="47">
        <f>SUM(Tableau56[[#This Row],[Diamare]:[Mayo-Tsanaga]])</f>
        <v>34589</v>
      </c>
      <c r="L249" s="138"/>
      <c r="M249" s="151" t="str">
        <f>VLOOKUP(Tableau5658[[#This Row],[Periods]],periods[],3)</f>
        <v>Jan-Oct 2017</v>
      </c>
      <c r="N249" s="47" t="s">
        <v>1858</v>
      </c>
      <c r="O249" s="47">
        <f>SUMIFS(DisplacementPeriod[ind],DisplacementPeriod[adm2_name],Tableau5658[[#Headers],[Diamare]],DisplacementPeriod[periode],Tableau5658[[#This Row],[Periods]],DisplacementPeriod[deplacement],"idp")</f>
        <v>119</v>
      </c>
      <c r="P249" s="47">
        <f>SUMIFS(DisplacementPeriod[ind],DisplacementPeriod[adm2_name],Tableau5658[[#Headers],[Logone-Et-Chari]],DisplacementPeriod[periode],Tableau5658[[#This Row],[Periods]],DisplacementPeriod[deplacement],"idp")</f>
        <v>21341</v>
      </c>
      <c r="Q249" s="47">
        <f>SUMIFS(DisplacementPeriod[ind],DisplacementPeriod[adm2_name],Tableau5658[[#Headers],[Mayo-Danay]],DisplacementPeriod[periode],Tableau5658[[#This Row],[Periods]],DisplacementPeriod[deplacement],"idp")</f>
        <v>1184</v>
      </c>
      <c r="R249" s="47">
        <f>SUMIFS(DisplacementPeriod[ind],DisplacementPeriod[adm2_name],Tableau5658[[#Headers],[Mayo-Kani]],DisplacementPeriod[periode],Tableau5658[[#This Row],[Periods]],DisplacementPeriod[deplacement],"idp")</f>
        <v>0</v>
      </c>
      <c r="S249" s="47">
        <f>SUMIFS(DisplacementPeriod[ind],DisplacementPeriod[adm2_name],Tableau5658[[#Headers],[Mayo-Sava]],DisplacementPeriod[periode],Tableau5658[[#This Row],[Periods]],DisplacementPeriod[deplacement],"idp")</f>
        <v>5616</v>
      </c>
      <c r="T249" s="47">
        <f>SUMIFS(DisplacementPeriod[ind],DisplacementPeriod[adm2_name],Tableau5658[[#Headers],[Mayo-Tsanaga]],DisplacementPeriod[periode],Tableau5658[[#This Row],[Periods]],DisplacementPeriod[deplacement],"idp")</f>
        <v>6329</v>
      </c>
      <c r="U249" s="47">
        <f>SUM(Tableau5658[[#This Row],[Diamare]:[Mayo-Tsanaga]])</f>
        <v>34589</v>
      </c>
      <c r="V249" s="148"/>
    </row>
    <row r="250" spans="2:22" s="139" customFormat="1" x14ac:dyDescent="0.25">
      <c r="B250" s="146"/>
      <c r="C250" s="151" t="str">
        <f>VLOOKUP(Tableau56[[#This Row],[Périodes]],periods[],2)</f>
        <v>Oct-Dec 2017</v>
      </c>
      <c r="D250" s="47" t="s">
        <v>1859</v>
      </c>
      <c r="E250" s="47">
        <f>SUMIFS(DisplacementPeriod[ind],DisplacementPeriod[adm2_name],Tableau56[[#Headers],[Diamare]],DisplacementPeriod[periode],Tableau56[[#This Row],[Périodes]],DisplacementPeriod[deplacement],"idp")</f>
        <v>17</v>
      </c>
      <c r="F250" s="47">
        <f>SUMIFS(DisplacementPeriod[ind],DisplacementPeriod[adm2_name],Tableau56[[#Headers],[Logone-Et-Chari]],DisplacementPeriod[periode],Tableau56[[#This Row],[Périodes]],DisplacementPeriod[deplacement],"idp")</f>
        <v>1921</v>
      </c>
      <c r="G250" s="47">
        <f>SUMIFS(DisplacementPeriod[ind],DisplacementPeriod[adm2_name],Tableau56[[#Headers],[Mayo-Danay]],DisplacementPeriod[periode],Tableau56[[#This Row],[Périodes]],DisplacementPeriod[deplacement],"idp")</f>
        <v>0</v>
      </c>
      <c r="H250" s="47">
        <f>SUMIFS(DisplacementPeriod[ind],DisplacementPeriod[adm2_name],Tableau56[[#Headers],[Mayo-Kani]],DisplacementPeriod[periode],Tableau56[[#This Row],[Périodes]],DisplacementPeriod[deplacement],"idp")</f>
        <v>0</v>
      </c>
      <c r="I250" s="47">
        <f>SUMIFS(DisplacementPeriod[ind],DisplacementPeriod[adm2_name],Tableau56[[#Headers],[Mayo-Sava]],DisplacementPeriod[periode],Tableau56[[#This Row],[Périodes]],DisplacementPeriod[deplacement],"idp")</f>
        <v>0</v>
      </c>
      <c r="J250" s="47">
        <f>SUMIFS(DisplacementPeriod[ind],DisplacementPeriod[adm2_name],Tableau56[[#Headers],[Mayo-Tsanaga]],DisplacementPeriod[periode],Tableau56[[#This Row],[Périodes]],DisplacementPeriod[deplacement],"idp")</f>
        <v>675</v>
      </c>
      <c r="K250" s="47">
        <f>SUM(Tableau56[[#This Row],[Diamare]:[Mayo-Tsanaga]])</f>
        <v>2613</v>
      </c>
      <c r="L250" s="138"/>
      <c r="M250" s="151" t="str">
        <f>VLOOKUP(Tableau5658[[#This Row],[Periods]],periods[],3)</f>
        <v>Oct-Dec 2017</v>
      </c>
      <c r="N250" s="47" t="s">
        <v>1859</v>
      </c>
      <c r="O250" s="47">
        <f>SUMIFS(DisplacementPeriod[ind],DisplacementPeriod[adm2_name],Tableau5658[[#Headers],[Diamare]],DisplacementPeriod[periode],Tableau5658[[#This Row],[Periods]],DisplacementPeriod[deplacement],"idp")</f>
        <v>17</v>
      </c>
      <c r="P250" s="47">
        <f>SUMIFS(DisplacementPeriod[ind],DisplacementPeriod[adm2_name],Tableau5658[[#Headers],[Logone-Et-Chari]],DisplacementPeriod[periode],Tableau5658[[#This Row],[Periods]],DisplacementPeriod[deplacement],"idp")</f>
        <v>1921</v>
      </c>
      <c r="Q250" s="47">
        <f>SUMIFS(DisplacementPeriod[ind],DisplacementPeriod[adm2_name],Tableau5658[[#Headers],[Mayo-Danay]],DisplacementPeriod[periode],Tableau5658[[#This Row],[Periods]],DisplacementPeriod[deplacement],"idp")</f>
        <v>0</v>
      </c>
      <c r="R250" s="47">
        <f>SUMIFS(DisplacementPeriod[ind],DisplacementPeriod[adm2_name],Tableau5658[[#Headers],[Mayo-Kani]],DisplacementPeriod[periode],Tableau5658[[#This Row],[Periods]],DisplacementPeriod[deplacement],"idp")</f>
        <v>0</v>
      </c>
      <c r="S250" s="47">
        <f>SUMIFS(DisplacementPeriod[ind],DisplacementPeriod[adm2_name],Tableau5658[[#Headers],[Mayo-Sava]],DisplacementPeriod[periode],Tableau5658[[#This Row],[Periods]],DisplacementPeriod[deplacement],"idp")</f>
        <v>0</v>
      </c>
      <c r="T250" s="47">
        <f>SUMIFS(DisplacementPeriod[ind],DisplacementPeriod[adm2_name],Tableau5658[[#Headers],[Mayo-Tsanaga]],DisplacementPeriod[periode],Tableau5658[[#This Row],[Periods]],DisplacementPeriod[deplacement],"idp")</f>
        <v>675</v>
      </c>
      <c r="U250" s="47">
        <f>SUM(Tableau5658[[#This Row],[Diamare]:[Mayo-Tsanaga]])</f>
        <v>2613</v>
      </c>
      <c r="V250" s="148"/>
    </row>
    <row r="251" spans="2:22" s="139" customFormat="1" x14ac:dyDescent="0.25">
      <c r="B251" s="146"/>
      <c r="C251" s="124"/>
      <c r="D251" s="47"/>
      <c r="E251" s="40">
        <f t="shared" ref="E251:J251" si="27">SUM(E245:E250)</f>
        <v>5329</v>
      </c>
      <c r="F251" s="40">
        <f t="shared" si="27"/>
        <v>125711</v>
      </c>
      <c r="G251" s="40">
        <f t="shared" si="27"/>
        <v>10314</v>
      </c>
      <c r="H251" s="40">
        <f t="shared" si="27"/>
        <v>129</v>
      </c>
      <c r="I251" s="40">
        <f t="shared" si="27"/>
        <v>59506</v>
      </c>
      <c r="J251" s="40">
        <f t="shared" si="27"/>
        <v>40041</v>
      </c>
      <c r="K251" s="40">
        <f>SUBTOTAL(109,Tableau56[Total])</f>
        <v>241030</v>
      </c>
      <c r="L251" s="138"/>
      <c r="M251" s="138"/>
      <c r="N251" s="47"/>
      <c r="O251" s="40">
        <f>SUM(O245:O250)</f>
        <v>5329</v>
      </c>
      <c r="P251" s="40">
        <f>SUBTOTAL(109,Tableau5658[Logone-Et-Chari])</f>
        <v>125711</v>
      </c>
      <c r="Q251" s="40">
        <f>SUBTOTAL(109,Tableau5658[Mayo-Danay])</f>
        <v>10314</v>
      </c>
      <c r="R251" s="40">
        <f>SUBTOTAL(109,Tableau5658[Mayo-Kani])</f>
        <v>129</v>
      </c>
      <c r="S251" s="40">
        <f>SUBTOTAL(109,Tableau5658[Mayo-Sava])</f>
        <v>59506</v>
      </c>
      <c r="T251" s="40">
        <f>SUBTOTAL(109,Tableau5658[Mayo-Tsanaga])</f>
        <v>40041</v>
      </c>
      <c r="U251" s="40">
        <f>SUBTOTAL(109,Tableau5658[Total])</f>
        <v>241030</v>
      </c>
      <c r="V251" s="148"/>
    </row>
    <row r="252" spans="2:22" s="139" customFormat="1" x14ac:dyDescent="0.25">
      <c r="B252" s="152"/>
      <c r="C252" s="153"/>
      <c r="D252" s="154"/>
      <c r="E252" s="155"/>
      <c r="F252" s="154"/>
      <c r="G252" s="155"/>
      <c r="H252" s="154"/>
      <c r="I252" s="155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7"/>
    </row>
    <row r="253" spans="2:22" s="139" customFormat="1" x14ac:dyDescent="0.25">
      <c r="B253" s="138"/>
      <c r="C253" s="124"/>
      <c r="D253" s="125"/>
      <c r="E253" s="126"/>
      <c r="F253" s="125"/>
      <c r="G253" s="126"/>
      <c r="H253" s="125"/>
      <c r="I253" s="126"/>
      <c r="J253" s="138"/>
      <c r="K253" s="138"/>
      <c r="L253" s="138"/>
      <c r="M253" s="138"/>
      <c r="N253" s="138"/>
      <c r="O253" s="138"/>
      <c r="P253" s="138"/>
      <c r="Q253" s="138"/>
      <c r="R253" s="138"/>
    </row>
    <row r="254" spans="2:22" s="139" customFormat="1" x14ac:dyDescent="0.25">
      <c r="B254" s="138"/>
      <c r="C254" s="124"/>
      <c r="D254" s="125"/>
      <c r="E254" s="126"/>
      <c r="F254" s="125"/>
      <c r="G254" s="126"/>
      <c r="H254" s="125"/>
      <c r="I254" s="126"/>
      <c r="J254" s="138"/>
      <c r="K254" s="138"/>
      <c r="L254" s="138"/>
      <c r="M254" s="138"/>
      <c r="N254" s="138"/>
      <c r="O254" s="138"/>
      <c r="P254" s="138"/>
      <c r="Q254" s="138"/>
      <c r="R254" s="138"/>
    </row>
    <row r="255" spans="2:22" s="139" customFormat="1" x14ac:dyDescent="0.25">
      <c r="B255" s="140"/>
      <c r="C255" s="141"/>
      <c r="D255" s="142"/>
      <c r="E255" s="143"/>
      <c r="F255" s="142"/>
      <c r="G255" s="143"/>
      <c r="H255" s="142"/>
      <c r="I255" s="143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5"/>
    </row>
    <row r="256" spans="2:22" s="139" customFormat="1" x14ac:dyDescent="0.25">
      <c r="B256" s="146"/>
      <c r="C256" s="138"/>
      <c r="D256" s="147" t="s">
        <v>1886</v>
      </c>
      <c r="E256" s="125"/>
      <c r="F256" s="126"/>
      <c r="G256" s="125"/>
      <c r="H256" s="126"/>
      <c r="I256" s="126"/>
      <c r="J256" s="138"/>
      <c r="K256" s="138"/>
      <c r="L256" s="138"/>
      <c r="M256" s="138"/>
      <c r="N256" s="147" t="s">
        <v>1943</v>
      </c>
      <c r="O256" s="138"/>
      <c r="P256" s="138"/>
      <c r="Q256" s="138"/>
      <c r="R256" s="138"/>
      <c r="S256" s="138"/>
      <c r="T256" s="138"/>
      <c r="U256" s="138"/>
      <c r="V256" s="148"/>
    </row>
    <row r="257" spans="2:22" s="139" customFormat="1" x14ac:dyDescent="0.25">
      <c r="B257" s="146"/>
      <c r="C257" s="138"/>
      <c r="D257" s="124"/>
      <c r="E257" s="125"/>
      <c r="F257" s="126"/>
      <c r="G257" s="125"/>
      <c r="H257" s="126"/>
      <c r="I257" s="126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48"/>
    </row>
    <row r="258" spans="2:22" s="139" customFormat="1" x14ac:dyDescent="0.25">
      <c r="B258" s="146"/>
      <c r="C258" s="138"/>
      <c r="D258" s="124" t="s">
        <v>1766</v>
      </c>
      <c r="E258" s="127" t="s">
        <v>142</v>
      </c>
      <c r="F258" s="128" t="s">
        <v>144</v>
      </c>
      <c r="G258" s="125"/>
      <c r="H258" s="126"/>
      <c r="I258" s="126"/>
      <c r="J258" s="138"/>
      <c r="K258" s="138"/>
      <c r="L258" s="138"/>
      <c r="M258" s="138"/>
      <c r="N258" s="124" t="s">
        <v>1766</v>
      </c>
      <c r="O258" s="127" t="s">
        <v>142</v>
      </c>
      <c r="P258" s="128" t="s">
        <v>144</v>
      </c>
      <c r="Q258" s="125"/>
      <c r="R258" s="126"/>
      <c r="S258" s="138"/>
      <c r="T258" s="138"/>
      <c r="U258" s="138"/>
      <c r="V258" s="148"/>
    </row>
    <row r="259" spans="2:22" s="139" customFormat="1" x14ac:dyDescent="0.25">
      <c r="B259" s="146"/>
      <c r="C259" s="138"/>
      <c r="D259" s="39" t="s">
        <v>1889</v>
      </c>
      <c r="E259" s="40" t="s">
        <v>1887</v>
      </c>
      <c r="F259" s="41" t="s">
        <v>1888</v>
      </c>
      <c r="G259" s="40" t="s">
        <v>856</v>
      </c>
      <c r="H259" s="41" t="s">
        <v>715</v>
      </c>
      <c r="I259" s="126"/>
      <c r="J259" s="138"/>
      <c r="K259" s="138"/>
      <c r="L259" s="138"/>
      <c r="M259" s="138"/>
      <c r="N259" s="39" t="s">
        <v>717</v>
      </c>
      <c r="O259" s="40" t="s">
        <v>143</v>
      </c>
      <c r="P259" s="41" t="s">
        <v>145</v>
      </c>
      <c r="Q259" s="40" t="s">
        <v>758</v>
      </c>
      <c r="R259" s="41" t="s">
        <v>715</v>
      </c>
      <c r="S259" s="138"/>
      <c r="T259" s="138"/>
      <c r="U259" s="138"/>
      <c r="V259" s="148"/>
    </row>
    <row r="260" spans="2:22" s="139" customFormat="1" x14ac:dyDescent="0.25">
      <c r="B260" s="146"/>
      <c r="C260" s="151" t="str">
        <f>VLOOKUP(Tableau49[[#This Row],[Périodes]],periods[],2)</f>
        <v>Avant 2014</v>
      </c>
      <c r="D260" s="46" t="s">
        <v>1854</v>
      </c>
      <c r="E260" s="47">
        <f>SUMIFS(DisplacementPeriod[ind],DisplacementPeriod[deplacement],"refugies non enregistres",DisplacementPeriod[periode],Tableau49[[#This Row],[Périodes]],DisplacementPeriod[provenance_adm0],'Displacement &amp; Returns'!E$258)</f>
        <v>151</v>
      </c>
      <c r="F260" s="47">
        <f>SUMIFS(DisplacementPeriod[ind],DisplacementPeriod[deplacement],"refugies non enregistres",DisplacementPeriod[periode],Tableau49[[#This Row],[Périodes]],DisplacementPeriod[provenance_adm0],'Displacement &amp; Returns'!F$258)</f>
        <v>0</v>
      </c>
      <c r="G260" s="4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60" s="47">
        <f t="shared" ref="H260:H265" si="28">SUM(E260:G260)</f>
        <v>151</v>
      </c>
      <c r="I260" s="126"/>
      <c r="J260" s="138"/>
      <c r="K260" s="138"/>
      <c r="L260" s="138"/>
      <c r="M260" s="151" t="str">
        <f>VLOOKUP(Tableau4920[[#This Row],[Periods]],periods[],3)</f>
        <v>Before 2014</v>
      </c>
      <c r="N260" s="46" t="s">
        <v>1854</v>
      </c>
      <c r="O260" s="47">
        <f>SUMIFS(DisplacementPeriod[ind],DisplacementPeriod[deplacement],"refugies non enregistres",DisplacementPeriod[periode],Tableau4920[[#This Row],[Periods]],DisplacementPeriod[provenance_adm0],'Displacement &amp; Returns'!O$258)</f>
        <v>151</v>
      </c>
      <c r="P260" s="47">
        <f>SUMIFS(DisplacementPeriod[ind],DisplacementPeriod[deplacement],"refugies non enregistres",DisplacementPeriod[periode],Tableau4920[[#This Row],[Periods]],DisplacementPeriod[provenance_adm0],'Displacement &amp; Returns'!P$258)</f>
        <v>0</v>
      </c>
      <c r="Q260" s="4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60" s="47">
        <f t="shared" ref="R260:R265" si="29">SUM(O260:Q260)</f>
        <v>151</v>
      </c>
      <c r="S260" s="138"/>
      <c r="T260" s="138"/>
      <c r="U260" s="138"/>
      <c r="V260" s="148"/>
    </row>
    <row r="261" spans="2:22" s="139" customFormat="1" x14ac:dyDescent="0.25">
      <c r="B261" s="146"/>
      <c r="C261" s="151" t="str">
        <f>VLOOKUP(Tableau49[[#This Row],[Périodes]],periods[],2)</f>
        <v>2014</v>
      </c>
      <c r="D261" s="46" t="s">
        <v>1855</v>
      </c>
      <c r="E261" s="47">
        <f>SUMIFS(DisplacementPeriod[ind],DisplacementPeriod[deplacement],"refugies non enregistres",DisplacementPeriod[periode],Tableau49[[#This Row],[Périodes]],DisplacementPeriod[provenance_adm0],'Displacement &amp; Returns'!E$258)</f>
        <v>3442</v>
      </c>
      <c r="F261" s="47">
        <f>SUMIFS(DisplacementPeriod[ind],DisplacementPeriod[deplacement],"refugies non enregistres",DisplacementPeriod[periode],Tableau49[[#This Row],[Périodes]],DisplacementPeriod[provenance_adm0],'Displacement &amp; Returns'!F$258)</f>
        <v>0</v>
      </c>
      <c r="G261" s="4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61" s="47">
        <f t="shared" si="28"/>
        <v>3442</v>
      </c>
      <c r="I261" s="126"/>
      <c r="J261" s="138"/>
      <c r="K261" s="138"/>
      <c r="L261" s="138"/>
      <c r="M261" s="151" t="str">
        <f>VLOOKUP(Tableau4920[[#This Row],[Periods]],periods[],3)</f>
        <v>2014</v>
      </c>
      <c r="N261" s="46" t="s">
        <v>1855</v>
      </c>
      <c r="O261" s="47">
        <f>SUMIFS(DisplacementPeriod[ind],DisplacementPeriod[deplacement],"refugies non enregistres",DisplacementPeriod[periode],Tableau4920[[#This Row],[Periods]],DisplacementPeriod[provenance_adm0],'Displacement &amp; Returns'!O$258)</f>
        <v>3442</v>
      </c>
      <c r="P261" s="47">
        <f>SUMIFS(DisplacementPeriod[ind],DisplacementPeriod[deplacement],"refugies non enregistres",DisplacementPeriod[periode],Tableau4920[[#This Row],[Periods]],DisplacementPeriod[provenance_adm0],'Displacement &amp; Returns'!P$258)</f>
        <v>0</v>
      </c>
      <c r="Q261" s="4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61" s="47">
        <f t="shared" si="29"/>
        <v>3442</v>
      </c>
      <c r="S261" s="138"/>
      <c r="T261" s="138"/>
      <c r="U261" s="138"/>
      <c r="V261" s="148"/>
    </row>
    <row r="262" spans="2:22" s="139" customFormat="1" x14ac:dyDescent="0.25">
      <c r="B262" s="146"/>
      <c r="C262" s="151" t="str">
        <f>VLOOKUP(Tableau49[[#This Row],[Périodes]],periods[],2)</f>
        <v>2015</v>
      </c>
      <c r="D262" s="46" t="s">
        <v>1856</v>
      </c>
      <c r="E262" s="47">
        <f>SUMIFS(DisplacementPeriod[ind],DisplacementPeriod[deplacement],"refugies non enregistres",DisplacementPeriod[periode],Tableau49[[#This Row],[Périodes]],DisplacementPeriod[provenance_adm0],'Displacement &amp; Returns'!E$258)</f>
        <v>10040</v>
      </c>
      <c r="F262" s="47">
        <f>SUMIFS(DisplacementPeriod[ind],DisplacementPeriod[deplacement],"refugies non enregistres",DisplacementPeriod[periode],Tableau49[[#This Row],[Périodes]],DisplacementPeriod[provenance_adm0],'Displacement &amp; Returns'!F$258)</f>
        <v>31</v>
      </c>
      <c r="G262" s="4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62" s="47">
        <f t="shared" si="28"/>
        <v>10071</v>
      </c>
      <c r="I262" s="126"/>
      <c r="J262" s="138"/>
      <c r="K262" s="138"/>
      <c r="L262" s="138"/>
      <c r="M262" s="151" t="str">
        <f>VLOOKUP(Tableau4920[[#This Row],[Periods]],periods[],3)</f>
        <v>2015</v>
      </c>
      <c r="N262" s="46" t="s">
        <v>1856</v>
      </c>
      <c r="O262" s="47">
        <f>SUMIFS(DisplacementPeriod[ind],DisplacementPeriod[deplacement],"refugies non enregistres",DisplacementPeriod[periode],Tableau4920[[#This Row],[Periods]],DisplacementPeriod[provenance_adm0],'Displacement &amp; Returns'!O$258)</f>
        <v>10040</v>
      </c>
      <c r="P262" s="47">
        <f>SUMIFS(DisplacementPeriod[ind],DisplacementPeriod[deplacement],"refugies non enregistres",DisplacementPeriod[periode],Tableau4920[[#This Row],[Periods]],DisplacementPeriod[provenance_adm0],'Displacement &amp; Returns'!P$258)</f>
        <v>31</v>
      </c>
      <c r="Q262" s="4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62" s="47">
        <f t="shared" si="29"/>
        <v>10071</v>
      </c>
      <c r="S262" s="138"/>
      <c r="T262" s="138"/>
      <c r="U262" s="138"/>
      <c r="V262" s="148"/>
    </row>
    <row r="263" spans="2:22" s="139" customFormat="1" x14ac:dyDescent="0.25">
      <c r="B263" s="146"/>
      <c r="C263" s="151" t="str">
        <f>VLOOKUP(Tableau49[[#This Row],[Périodes]],periods[],2)</f>
        <v>2016</v>
      </c>
      <c r="D263" s="46" t="s">
        <v>1857</v>
      </c>
      <c r="E263" s="47">
        <f>SUMIFS(DisplacementPeriod[ind],DisplacementPeriod[deplacement],"refugies non enregistres",DisplacementPeriod[periode],Tableau49[[#This Row],[Périodes]],DisplacementPeriod[provenance_adm0],'Displacement &amp; Returns'!E$258)</f>
        <v>9060</v>
      </c>
      <c r="F263" s="47">
        <f>SUMIFS(DisplacementPeriod[ind],DisplacementPeriod[deplacement],"refugies non enregistres",DisplacementPeriod[periode],Tableau49[[#This Row],[Périodes]],DisplacementPeriod[provenance_adm0],'Displacement &amp; Returns'!F$258)</f>
        <v>11</v>
      </c>
      <c r="G263" s="4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63" s="47">
        <f t="shared" si="28"/>
        <v>9071</v>
      </c>
      <c r="I263" s="126"/>
      <c r="J263" s="138"/>
      <c r="K263" s="138"/>
      <c r="L263" s="138"/>
      <c r="M263" s="151" t="str">
        <f>VLOOKUP(Tableau4920[[#This Row],[Periods]],periods[],3)</f>
        <v>2016</v>
      </c>
      <c r="N263" s="46" t="s">
        <v>1857</v>
      </c>
      <c r="O263" s="47">
        <f>SUMIFS(DisplacementPeriod[ind],DisplacementPeriod[deplacement],"refugies non enregistres",DisplacementPeriod[periode],Tableau4920[[#This Row],[Periods]],DisplacementPeriod[provenance_adm0],'Displacement &amp; Returns'!O$258)</f>
        <v>9060</v>
      </c>
      <c r="P263" s="47">
        <f>SUMIFS(DisplacementPeriod[ind],DisplacementPeriod[deplacement],"refugies non enregistres",DisplacementPeriod[periode],Tableau4920[[#This Row],[Periods]],DisplacementPeriod[provenance_adm0],'Displacement &amp; Returns'!P$258)</f>
        <v>11</v>
      </c>
      <c r="Q263" s="4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63" s="47">
        <f t="shared" si="29"/>
        <v>9071</v>
      </c>
      <c r="S263" s="138"/>
      <c r="T263" s="138"/>
      <c r="U263" s="138"/>
      <c r="V263" s="148"/>
    </row>
    <row r="264" spans="2:22" s="139" customFormat="1" x14ac:dyDescent="0.25">
      <c r="B264" s="146"/>
      <c r="C264" s="151" t="str">
        <f>VLOOKUP(Tableau49[[#This Row],[Périodes]],periods[],2)</f>
        <v>Janv-Oct 2017</v>
      </c>
      <c r="D264" s="46" t="s">
        <v>1858</v>
      </c>
      <c r="E264" s="47">
        <f>SUMIFS(DisplacementPeriod[ind],DisplacementPeriod[deplacement],"refugies non enregistres",DisplacementPeriod[periode],Tableau49[[#This Row],[Périodes]],DisplacementPeriod[provenance_adm0],'Displacement &amp; Returns'!E$258)</f>
        <v>8555</v>
      </c>
      <c r="F264" s="47">
        <f>SUMIFS(DisplacementPeriod[ind],DisplacementPeriod[deplacement],"refugies non enregistres",DisplacementPeriod[periode],Tableau49[[#This Row],[Périodes]],DisplacementPeriod[provenance_adm0],'Displacement &amp; Returns'!F$258)</f>
        <v>0</v>
      </c>
      <c r="G264" s="4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64" s="47">
        <f t="shared" si="28"/>
        <v>8555</v>
      </c>
      <c r="I264" s="126"/>
      <c r="J264" s="138"/>
      <c r="K264" s="138"/>
      <c r="L264" s="138"/>
      <c r="M264" s="151" t="str">
        <f>VLOOKUP(Tableau4920[[#This Row],[Periods]],periods[],3)</f>
        <v>Jan-Oct 2017</v>
      </c>
      <c r="N264" s="46" t="s">
        <v>1858</v>
      </c>
      <c r="O264" s="47">
        <f>SUMIFS(DisplacementPeriod[ind],DisplacementPeriod[deplacement],"refugies non enregistres",DisplacementPeriod[periode],Tableau4920[[#This Row],[Periods]],DisplacementPeriod[provenance_adm0],'Displacement &amp; Returns'!O$258)</f>
        <v>8555</v>
      </c>
      <c r="P264" s="47">
        <f>SUMIFS(DisplacementPeriod[ind],DisplacementPeriod[deplacement],"refugies non enregistres",DisplacementPeriod[periode],Tableau4920[[#This Row],[Periods]],DisplacementPeriod[provenance_adm0],'Displacement &amp; Returns'!P$258)</f>
        <v>0</v>
      </c>
      <c r="Q264" s="4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64" s="47">
        <f t="shared" si="29"/>
        <v>8555</v>
      </c>
      <c r="S264" s="138"/>
      <c r="T264" s="138"/>
      <c r="U264" s="138"/>
      <c r="V264" s="148"/>
    </row>
    <row r="265" spans="2:22" s="139" customFormat="1" x14ac:dyDescent="0.25">
      <c r="B265" s="146"/>
      <c r="C265" s="151" t="str">
        <f>VLOOKUP(Tableau49[[#This Row],[Périodes]],periods[],2)</f>
        <v>Oct-Dec 2017</v>
      </c>
      <c r="D265" s="46" t="s">
        <v>1859</v>
      </c>
      <c r="E265" s="47">
        <f>SUMIFS(DisplacementPeriod[ind],DisplacementPeriod[deplacement],"refugies non enregistres",DisplacementPeriod[periode],Tableau49[[#This Row],[Périodes]],DisplacementPeriod[provenance_adm0],'Displacement &amp; Returns'!E$258)</f>
        <v>366</v>
      </c>
      <c r="F265" s="47">
        <f>SUMIFS(DisplacementPeriod[ind],DisplacementPeriod[deplacement],"refugies non enregistres",DisplacementPeriod[periode],Tableau49[[#This Row],[Périodes]],DisplacementPeriod[provenance_adm0],'Displacement &amp; Returns'!F$258)</f>
        <v>0</v>
      </c>
      <c r="G265" s="4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65" s="47">
        <f t="shared" si="28"/>
        <v>366</v>
      </c>
      <c r="I265" s="126"/>
      <c r="J265" s="138"/>
      <c r="K265" s="138"/>
      <c r="L265" s="138"/>
      <c r="M265" s="151" t="str">
        <f>VLOOKUP(Tableau4920[[#This Row],[Periods]],periods[],3)</f>
        <v>Oct-Dec 2017</v>
      </c>
      <c r="N265" s="46" t="s">
        <v>1859</v>
      </c>
      <c r="O265" s="47">
        <f>SUMIFS(DisplacementPeriod[ind],DisplacementPeriod[deplacement],"refugies non enregistres",DisplacementPeriod[periode],Tableau4920[[#This Row],[Periods]],DisplacementPeriod[provenance_adm0],'Displacement &amp; Returns'!O$258)</f>
        <v>366</v>
      </c>
      <c r="P265" s="47">
        <f>SUMIFS(DisplacementPeriod[ind],DisplacementPeriod[deplacement],"refugies non enregistres",DisplacementPeriod[periode],Tableau4920[[#This Row],[Periods]],DisplacementPeriod[provenance_adm0],'Displacement &amp; Returns'!P$258)</f>
        <v>0</v>
      </c>
      <c r="Q265" s="4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65" s="47">
        <f t="shared" si="29"/>
        <v>366</v>
      </c>
      <c r="S265" s="138"/>
      <c r="T265" s="138"/>
      <c r="U265" s="138"/>
      <c r="V265" s="148"/>
    </row>
    <row r="266" spans="2:22" s="139" customFormat="1" x14ac:dyDescent="0.25">
      <c r="B266" s="146"/>
      <c r="C266" s="124"/>
      <c r="D266" s="69"/>
      <c r="E266" s="40">
        <f>SUM(E260:E265)</f>
        <v>31614</v>
      </c>
      <c r="F266" s="40">
        <f>SUM(F260:F265)</f>
        <v>42</v>
      </c>
      <c r="G266" s="40">
        <f>SUM(G260:G265)</f>
        <v>0</v>
      </c>
      <c r="H266" s="40">
        <f>SUBTOTAL(109,Tableau49[Total])</f>
        <v>31656</v>
      </c>
      <c r="I266" s="126"/>
      <c r="J266" s="138"/>
      <c r="K266" s="138"/>
      <c r="L266" s="138"/>
      <c r="M266" s="124"/>
      <c r="N266" s="69"/>
      <c r="O266" s="40">
        <f>SUM(O260:O265)</f>
        <v>31614</v>
      </c>
      <c r="P266" s="40">
        <f>SUM(P260:P265)</f>
        <v>42</v>
      </c>
      <c r="Q266" s="40">
        <f>SUM(Q260:Q265)</f>
        <v>0</v>
      </c>
      <c r="R266" s="40">
        <f>SUBTOTAL(109,Tableau4920[Total])</f>
        <v>31656</v>
      </c>
      <c r="S266" s="138"/>
      <c r="T266" s="138"/>
      <c r="U266" s="138"/>
      <c r="V266" s="148"/>
    </row>
    <row r="267" spans="2:22" s="139" customFormat="1" x14ac:dyDescent="0.25">
      <c r="B267" s="146"/>
      <c r="C267" s="124"/>
      <c r="D267" s="125"/>
      <c r="E267" s="126"/>
      <c r="F267" s="125"/>
      <c r="G267" s="126"/>
      <c r="H267" s="125"/>
      <c r="I267" s="126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48"/>
    </row>
    <row r="268" spans="2:22" s="139" customFormat="1" x14ac:dyDescent="0.25">
      <c r="B268" s="146"/>
      <c r="C268" s="124"/>
      <c r="D268" s="125"/>
      <c r="E268" s="126"/>
      <c r="F268" s="125"/>
      <c r="G268" s="126"/>
      <c r="H268" s="125"/>
      <c r="I268" s="126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48"/>
    </row>
    <row r="269" spans="2:22" s="139" customFormat="1" x14ac:dyDescent="0.25">
      <c r="B269" s="146"/>
      <c r="C269" s="124"/>
      <c r="D269" s="150" t="s">
        <v>1890</v>
      </c>
      <c r="E269" s="126"/>
      <c r="F269" s="125"/>
      <c r="G269" s="126"/>
      <c r="H269" s="125"/>
      <c r="I269" s="126"/>
      <c r="J269" s="138"/>
      <c r="K269" s="138"/>
      <c r="L269" s="138"/>
      <c r="M269" s="138"/>
      <c r="N269" s="147" t="s">
        <v>1944</v>
      </c>
      <c r="O269" s="138"/>
      <c r="P269" s="138"/>
      <c r="Q269" s="138"/>
      <c r="R269" s="138"/>
      <c r="S269" s="138"/>
      <c r="T269" s="138"/>
      <c r="U269" s="138"/>
      <c r="V269" s="148"/>
    </row>
    <row r="270" spans="2:22" s="139" customFormat="1" x14ac:dyDescent="0.25">
      <c r="B270" s="146"/>
      <c r="C270" s="124"/>
      <c r="D270" s="125"/>
      <c r="E270" s="126"/>
      <c r="F270" s="125"/>
      <c r="G270" s="126"/>
      <c r="H270" s="125"/>
      <c r="I270" s="126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48"/>
    </row>
    <row r="271" spans="2:22" s="139" customFormat="1" x14ac:dyDescent="0.25">
      <c r="B271" s="146"/>
      <c r="C271" s="124"/>
      <c r="D271" s="125"/>
      <c r="E271" s="415" t="s">
        <v>1891</v>
      </c>
      <c r="F271" s="415"/>
      <c r="G271" s="415"/>
      <c r="H271" s="415"/>
      <c r="I271" s="415"/>
      <c r="J271" s="415"/>
      <c r="K271" s="138"/>
      <c r="L271" s="138"/>
      <c r="M271" s="138"/>
      <c r="N271" s="125"/>
      <c r="O271" s="415" t="s">
        <v>1891</v>
      </c>
      <c r="P271" s="415"/>
      <c r="Q271" s="415"/>
      <c r="R271" s="415"/>
      <c r="S271" s="415"/>
      <c r="T271" s="415"/>
      <c r="U271" s="138"/>
      <c r="V271" s="148"/>
    </row>
    <row r="272" spans="2:22" s="139" customFormat="1" x14ac:dyDescent="0.25">
      <c r="B272" s="146"/>
      <c r="C272" s="124"/>
      <c r="D272" s="40" t="s">
        <v>1795</v>
      </c>
      <c r="E272" s="40" t="s">
        <v>24</v>
      </c>
      <c r="F272" s="40" t="s">
        <v>85</v>
      </c>
      <c r="G272" s="40" t="s">
        <v>184</v>
      </c>
      <c r="H272" s="40" t="s">
        <v>218</v>
      </c>
      <c r="I272" s="40" t="s">
        <v>48</v>
      </c>
      <c r="J272" s="40" t="s">
        <v>37</v>
      </c>
      <c r="K272" s="40" t="s">
        <v>1905</v>
      </c>
      <c r="L272" s="138"/>
      <c r="M272" s="138"/>
      <c r="N272" s="40" t="s">
        <v>1795</v>
      </c>
      <c r="O272" s="40" t="s">
        <v>24</v>
      </c>
      <c r="P272" s="40" t="s">
        <v>85</v>
      </c>
      <c r="Q272" s="40" t="s">
        <v>184</v>
      </c>
      <c r="R272" s="40" t="s">
        <v>218</v>
      </c>
      <c r="S272" s="40" t="s">
        <v>48</v>
      </c>
      <c r="T272" s="40" t="s">
        <v>37</v>
      </c>
      <c r="U272" s="40" t="s">
        <v>3742</v>
      </c>
      <c r="V272" s="148"/>
    </row>
    <row r="273" spans="2:24" s="139" customFormat="1" x14ac:dyDescent="0.25">
      <c r="B273" s="146"/>
      <c r="C273" s="124"/>
      <c r="D273" s="47" t="s">
        <v>24</v>
      </c>
      <c r="E273" s="47">
        <f>SUMIFS(Dashboard[idp_ind],Dashboard[evaluation_adm2_name],Tableau52[[#This Row],[Départements]],Dashboard[ancien_refugees],"oui",Dashboard[ancien_departement],Tableau52[[#Headers],[Diamare]])</f>
        <v>0</v>
      </c>
      <c r="F273" s="47">
        <f>SUMIFS(Dashboard[idp_ind],Dashboard[evaluation_adm2_name],Tableau52[[#This Row],[Départements]],Dashboard[ancien_refugees],"oui",Dashboard[ancien_departement],Tableau52[[#Headers],[Logone-Et-Chari]])</f>
        <v>0</v>
      </c>
      <c r="G273" s="47">
        <f>SUMIFS(Dashboard[idp_ind],Dashboard[evaluation_adm2_name],Tableau52[[#This Row],[Départements]],Dashboard[ancien_refugees],"oui",Dashboard[ancien_departement],Tableau52[[#Headers],[Mayo-Danay]])</f>
        <v>0</v>
      </c>
      <c r="H273" s="47">
        <f>SUMIFS(Dashboard[idp_ind],Dashboard[evaluation_adm2_name],Tableau52[[#This Row],[Départements]],Dashboard[ancien_refugees],"oui",Dashboard[ancien_departement],Tableau52[[#Headers],[Mayo-Kani]])</f>
        <v>0</v>
      </c>
      <c r="I273" s="47">
        <f>SUMIFS(Dashboard[idp_ind],Dashboard[evaluation_adm2_name],Tableau52[[#This Row],[Départements]],Dashboard[ancien_refugees],"oui",Dashboard[ancien_departement],Tableau52[[#Headers],[Mayo-Sava]])</f>
        <v>0</v>
      </c>
      <c r="J273" s="47">
        <f>SUMIFS(Dashboard[idp_ind],Dashboard[evaluation_adm2_name],Tableau52[[#This Row],[Départements]],Dashboard[ancien_refugees],"oui",Dashboard[ancien_departement],Tableau52[[#Headers],[Mayo-Tsanaga]])</f>
        <v>0</v>
      </c>
      <c r="K273" s="47">
        <f>(SUMIFS(DisplacementPeriod[ind], DisplacementPeriod[adm2_name], Tableau52[[#This Row],[Départements]], DisplacementPeriod[deplacement], "refugies non enregistres"))-SUM(Tableau52[[#This Row],[Diamare]:[Mayo-Tsanaga]])</f>
        <v>253</v>
      </c>
      <c r="L273" s="138"/>
      <c r="M273" s="138"/>
      <c r="N273" s="47" t="s">
        <v>24</v>
      </c>
      <c r="O273" s="47">
        <f>SUMIFS(Dashboard[idp_ind],Dashboard[evaluation_adm2_name],Tableau5221[[#This Row],[Départements]],Dashboard[ancien_refugees],"oui",Dashboard[ancien_departement],Tableau5221[[#Headers],[Diamare]])</f>
        <v>0</v>
      </c>
      <c r="P273" s="47">
        <f>SUMIFS(Dashboard[idp_ind],Dashboard[evaluation_adm2_name],Tableau5221[[#This Row],[Départements]],Dashboard[ancien_refugees],"oui",Dashboard[ancien_departement],Tableau5221[[#Headers],[Logone-Et-Chari]])</f>
        <v>0</v>
      </c>
      <c r="Q273" s="47">
        <f>SUMIFS(Dashboard[idp_ind],Dashboard[evaluation_adm2_name],Tableau5221[[#This Row],[Départements]],Dashboard[ancien_refugees],"oui",Dashboard[ancien_departement],Tableau5221[[#Headers],[Mayo-Danay]])</f>
        <v>0</v>
      </c>
      <c r="R273" s="47">
        <f>SUMIFS(Dashboard[idp_ind],Dashboard[evaluation_adm2_name],Tableau5221[[#This Row],[Départements]],Dashboard[ancien_refugees],"oui",Dashboard[ancien_departement],Tableau5221[[#Headers],[Mayo-Kani]])</f>
        <v>0</v>
      </c>
      <c r="S273" s="47">
        <f>SUMIFS(Dashboard[idp_ind],Dashboard[evaluation_adm2_name],Tableau5221[[#This Row],[Départements]],Dashboard[ancien_refugees],"oui",Dashboard[ancien_departement],Tableau5221[[#Headers],[Mayo-Sava]])</f>
        <v>0</v>
      </c>
      <c r="T273" s="47">
        <f>SUMIFS(Dashboard[idp_ind],Dashboard[evaluation_adm2_name],Tableau5221[[#This Row],[Départements]],Dashboard[ancien_refugees],"oui",Dashboard[ancien_departement],Tableau5221[[#Headers],[Mayo-Tsanaga]])</f>
        <v>0</v>
      </c>
      <c r="U273" s="47">
        <f>(SUMIFS(DisplacementPeriod[ind], DisplacementPeriod[adm2_name], Tableau5221[[#This Row],[Départements]], DisplacementPeriod[deplacement], "refugies non enregistres"))-SUM(Tableau5221[[#This Row],[Diamare]:[Mayo-Tsanaga]])</f>
        <v>253</v>
      </c>
      <c r="V273" s="148"/>
    </row>
    <row r="274" spans="2:24" s="139" customFormat="1" x14ac:dyDescent="0.25">
      <c r="B274" s="146"/>
      <c r="C274" s="124"/>
      <c r="D274" s="47" t="s">
        <v>85</v>
      </c>
      <c r="E274" s="47">
        <f>SUMIFS(Dashboard[idp_ind],Dashboard[evaluation_adm2_name],Tableau52[[#This Row],[Départements]],Dashboard[ancien_refugees],"oui",Dashboard[ancien_departement],Tableau52[[#Headers],[Diamare]])</f>
        <v>0</v>
      </c>
      <c r="F274" s="47">
        <f>SUMIFS(Dashboard[idp_ind],Dashboard[evaluation_adm2_name],Tableau52[[#This Row],[Départements]],Dashboard[ancien_refugees],"oui",Dashboard[ancien_departement],Tableau52[[#Headers],[Logone-Et-Chari]])</f>
        <v>15855</v>
      </c>
      <c r="G274" s="47">
        <f>SUMIFS(Dashboard[idp_ind],Dashboard[evaluation_adm2_name],Tableau52[[#This Row],[Départements]],Dashboard[ancien_refugees],"oui",Dashboard[ancien_departement],Tableau52[[#Headers],[Mayo-Danay]])</f>
        <v>0</v>
      </c>
      <c r="H274" s="47">
        <f>SUMIFS(Dashboard[idp_ind],Dashboard[evaluation_adm2_name],Tableau52[[#This Row],[Départements]],Dashboard[ancien_refugees],"oui",Dashboard[ancien_departement],Tableau52[[#Headers],[Mayo-Kani]])</f>
        <v>0</v>
      </c>
      <c r="I274" s="47">
        <f>SUMIFS(Dashboard[idp_ind],Dashboard[evaluation_adm2_name],Tableau52[[#This Row],[Départements]],Dashboard[ancien_refugees],"oui",Dashboard[ancien_departement],Tableau52[[#Headers],[Mayo-Sava]])</f>
        <v>0</v>
      </c>
      <c r="J274" s="47">
        <f>SUMIFS(Dashboard[idp_ind],Dashboard[evaluation_adm2_name],Tableau52[[#This Row],[Départements]],Dashboard[ancien_refugees],"oui",Dashboard[ancien_departement],Tableau52[[#Headers],[Mayo-Tsanaga]])</f>
        <v>0</v>
      </c>
      <c r="K274" s="47">
        <f>(SUMIFS(DisplacementPeriod[ind], DisplacementPeriod[adm2_name], Tableau52[[#This Row],[Départements]], DisplacementPeriod[deplacement], "refugies non enregistres"))-SUM(Tableau52[[#This Row],[Diamare]:[Mayo-Tsanaga]])</f>
        <v>10212</v>
      </c>
      <c r="L274" s="138"/>
      <c r="M274" s="138"/>
      <c r="N274" s="47" t="s">
        <v>85</v>
      </c>
      <c r="O274" s="47">
        <f>SUMIFS(Dashboard[idp_ind],Dashboard[evaluation_adm2_name],Tableau5221[[#This Row],[Départements]],Dashboard[ancien_refugees],"oui",Dashboard[ancien_departement],Tableau5221[[#Headers],[Diamare]])</f>
        <v>0</v>
      </c>
      <c r="P274" s="47">
        <f>SUMIFS(Dashboard[idp_ind],Dashboard[evaluation_adm2_name],Tableau5221[[#This Row],[Départements]],Dashboard[ancien_refugees],"oui",Dashboard[ancien_departement],Tableau5221[[#Headers],[Logone-Et-Chari]])</f>
        <v>15855</v>
      </c>
      <c r="Q274" s="47">
        <f>SUMIFS(Dashboard[idp_ind],Dashboard[evaluation_adm2_name],Tableau5221[[#This Row],[Départements]],Dashboard[ancien_refugees],"oui",Dashboard[ancien_departement],Tableau5221[[#Headers],[Mayo-Danay]])</f>
        <v>0</v>
      </c>
      <c r="R274" s="47">
        <f>SUMIFS(Dashboard[idp_ind],Dashboard[evaluation_adm2_name],Tableau5221[[#This Row],[Départements]],Dashboard[ancien_refugees],"oui",Dashboard[ancien_departement],Tableau5221[[#Headers],[Mayo-Kani]])</f>
        <v>0</v>
      </c>
      <c r="S274" s="47">
        <f>SUMIFS(Dashboard[idp_ind],Dashboard[evaluation_adm2_name],Tableau5221[[#This Row],[Départements]],Dashboard[ancien_refugees],"oui",Dashboard[ancien_departement],Tableau5221[[#Headers],[Mayo-Sava]])</f>
        <v>0</v>
      </c>
      <c r="T274" s="47">
        <f>SUMIFS(Dashboard[idp_ind],Dashboard[evaluation_adm2_name],Tableau5221[[#This Row],[Départements]],Dashboard[ancien_refugees],"oui",Dashboard[ancien_departement],Tableau5221[[#Headers],[Mayo-Tsanaga]])</f>
        <v>0</v>
      </c>
      <c r="U274" s="47">
        <f>(SUMIFS(DisplacementPeriod[ind], DisplacementPeriod[adm2_name], Tableau5221[[#This Row],[Départements]], DisplacementPeriod[deplacement], "refugies non enregistres"))-SUM(Tableau5221[[#This Row],[Diamare]:[Mayo-Tsanaga]])</f>
        <v>10212</v>
      </c>
      <c r="V274" s="148"/>
    </row>
    <row r="275" spans="2:24" s="139" customFormat="1" x14ac:dyDescent="0.25">
      <c r="B275" s="146"/>
      <c r="C275" s="124"/>
      <c r="D275" s="47" t="s">
        <v>184</v>
      </c>
      <c r="E275" s="47">
        <f>SUMIFS(Dashboard[idp_ind],Dashboard[evaluation_adm2_name],Tableau52[[#This Row],[Départements]],Dashboard[ancien_refugees],"oui",Dashboard[ancien_departement],Tableau52[[#Headers],[Diamare]])</f>
        <v>0</v>
      </c>
      <c r="F275" s="47">
        <f>SUMIFS(Dashboard[idp_ind],Dashboard[evaluation_adm2_name],Tableau52[[#This Row],[Départements]],Dashboard[ancien_refugees],"oui",Dashboard[ancien_departement],Tableau52[[#Headers],[Logone-Et-Chari]])</f>
        <v>0</v>
      </c>
      <c r="G275" s="47">
        <f>SUMIFS(Dashboard[idp_ind],Dashboard[evaluation_adm2_name],Tableau52[[#This Row],[Départements]],Dashboard[ancien_refugees],"oui",Dashboard[ancien_departement],Tableau52[[#Headers],[Mayo-Danay]])</f>
        <v>0</v>
      </c>
      <c r="H275" s="47">
        <f>SUMIFS(Dashboard[idp_ind],Dashboard[evaluation_adm2_name],Tableau52[[#This Row],[Départements]],Dashboard[ancien_refugees],"oui",Dashboard[ancien_departement],Tableau52[[#Headers],[Mayo-Kani]])</f>
        <v>0</v>
      </c>
      <c r="I275" s="47">
        <f>SUMIFS(Dashboard[idp_ind],Dashboard[evaluation_adm2_name],Tableau52[[#This Row],[Départements]],Dashboard[ancien_refugees],"oui",Dashboard[ancien_departement],Tableau52[[#Headers],[Mayo-Sava]])</f>
        <v>0</v>
      </c>
      <c r="J275" s="47">
        <f>SUMIFS(Dashboard[idp_ind],Dashboard[evaluation_adm2_name],Tableau52[[#This Row],[Départements]],Dashboard[ancien_refugees],"oui",Dashboard[ancien_departement],Tableau52[[#Headers],[Mayo-Tsanaga]])</f>
        <v>0</v>
      </c>
      <c r="K275" s="47">
        <f>(SUMIFS(DisplacementPeriod[ind], DisplacementPeriod[adm2_name], Tableau52[[#This Row],[Départements]], DisplacementPeriod[deplacement], "refugies non enregistres"))-SUM(Tableau52[[#This Row],[Diamare]:[Mayo-Tsanaga]])</f>
        <v>119</v>
      </c>
      <c r="L275" s="138"/>
      <c r="M275" s="138"/>
      <c r="N275" s="47" t="s">
        <v>184</v>
      </c>
      <c r="O275" s="47">
        <f>SUMIFS(Dashboard[idp_ind],Dashboard[evaluation_adm2_name],Tableau5221[[#This Row],[Départements]],Dashboard[ancien_refugees],"oui",Dashboard[ancien_departement],Tableau5221[[#Headers],[Diamare]])</f>
        <v>0</v>
      </c>
      <c r="P275" s="47">
        <f>SUMIFS(Dashboard[idp_ind],Dashboard[evaluation_adm2_name],Tableau5221[[#This Row],[Départements]],Dashboard[ancien_refugees],"oui",Dashboard[ancien_departement],Tableau5221[[#Headers],[Logone-Et-Chari]])</f>
        <v>0</v>
      </c>
      <c r="Q275" s="47">
        <f>SUMIFS(Dashboard[idp_ind],Dashboard[evaluation_adm2_name],Tableau5221[[#This Row],[Départements]],Dashboard[ancien_refugees],"oui",Dashboard[ancien_departement],Tableau5221[[#Headers],[Mayo-Danay]])</f>
        <v>0</v>
      </c>
      <c r="R275" s="47">
        <f>SUMIFS(Dashboard[idp_ind],Dashboard[evaluation_adm2_name],Tableau5221[[#This Row],[Départements]],Dashboard[ancien_refugees],"oui",Dashboard[ancien_departement],Tableau5221[[#Headers],[Mayo-Kani]])</f>
        <v>0</v>
      </c>
      <c r="S275" s="47">
        <f>SUMIFS(Dashboard[idp_ind],Dashboard[evaluation_adm2_name],Tableau5221[[#This Row],[Départements]],Dashboard[ancien_refugees],"oui",Dashboard[ancien_departement],Tableau5221[[#Headers],[Mayo-Sava]])</f>
        <v>0</v>
      </c>
      <c r="T275" s="47">
        <f>SUMIFS(Dashboard[idp_ind],Dashboard[evaluation_adm2_name],Tableau5221[[#This Row],[Départements]],Dashboard[ancien_refugees],"oui",Dashboard[ancien_departement],Tableau5221[[#Headers],[Mayo-Tsanaga]])</f>
        <v>0</v>
      </c>
      <c r="U275" s="47">
        <f>(SUMIFS(DisplacementPeriod[ind], DisplacementPeriod[adm2_name], Tableau5221[[#This Row],[Départements]], DisplacementPeriod[deplacement], "refugies non enregistres"))-SUM(Tableau5221[[#This Row],[Diamare]:[Mayo-Tsanaga]])</f>
        <v>119</v>
      </c>
      <c r="V275" s="148"/>
    </row>
    <row r="276" spans="2:24" s="139" customFormat="1" x14ac:dyDescent="0.25">
      <c r="B276" s="146"/>
      <c r="C276" s="124"/>
      <c r="D276" s="47" t="s">
        <v>218</v>
      </c>
      <c r="E276" s="47">
        <f>SUMIFS(Dashboard[idp_ind],Dashboard[evaluation_adm2_name],Tableau52[[#This Row],[Départements]],Dashboard[ancien_refugees],"oui",Dashboard[ancien_departement],Tableau52[[#Headers],[Diamare]])</f>
        <v>0</v>
      </c>
      <c r="F276" s="47">
        <f>SUMIFS(Dashboard[idp_ind],Dashboard[evaluation_adm2_name],Tableau52[[#This Row],[Départements]],Dashboard[ancien_refugees],"oui",Dashboard[ancien_departement],Tableau52[[#Headers],[Logone-Et-Chari]])</f>
        <v>0</v>
      </c>
      <c r="G276" s="47">
        <f>SUMIFS(Dashboard[idp_ind],Dashboard[evaluation_adm2_name],Tableau52[[#This Row],[Départements]],Dashboard[ancien_refugees],"oui",Dashboard[ancien_departement],Tableau52[[#Headers],[Mayo-Danay]])</f>
        <v>0</v>
      </c>
      <c r="H276" s="47">
        <f>SUMIFS(Dashboard[idp_ind],Dashboard[evaluation_adm2_name],Tableau52[[#This Row],[Départements]],Dashboard[ancien_refugees],"oui",Dashboard[ancien_departement],Tableau52[[#Headers],[Mayo-Kani]])</f>
        <v>0</v>
      </c>
      <c r="I276" s="47">
        <f>SUMIFS(Dashboard[idp_ind],Dashboard[evaluation_adm2_name],Tableau52[[#This Row],[Départements]],Dashboard[ancien_refugees],"oui",Dashboard[ancien_departement],Tableau52[[#Headers],[Mayo-Sava]])</f>
        <v>0</v>
      </c>
      <c r="J276" s="47">
        <f>SUMIFS(Dashboard[idp_ind],Dashboard[evaluation_adm2_name],Tableau52[[#This Row],[Départements]],Dashboard[ancien_refugees],"oui",Dashboard[ancien_departement],Tableau52[[#Headers],[Mayo-Tsanaga]])</f>
        <v>0</v>
      </c>
      <c r="K276" s="47">
        <f>(SUMIFS(DisplacementPeriod[ind], DisplacementPeriod[adm2_name], Tableau52[[#This Row],[Départements]], DisplacementPeriod[deplacement], "refugies non enregistres"))-SUM(Tableau52[[#This Row],[Diamare]:[Mayo-Tsanaga]])</f>
        <v>20</v>
      </c>
      <c r="L276" s="138"/>
      <c r="M276" s="138"/>
      <c r="N276" s="47" t="s">
        <v>218</v>
      </c>
      <c r="O276" s="47">
        <f>SUMIFS(Dashboard[idp_ind],Dashboard[evaluation_adm2_name],Tableau5221[[#This Row],[Départements]],Dashboard[ancien_refugees],"oui",Dashboard[ancien_departement],Tableau5221[[#Headers],[Diamare]])</f>
        <v>0</v>
      </c>
      <c r="P276" s="47">
        <f>SUMIFS(Dashboard[idp_ind],Dashboard[evaluation_adm2_name],Tableau5221[[#This Row],[Départements]],Dashboard[ancien_refugees],"oui",Dashboard[ancien_departement],Tableau5221[[#Headers],[Logone-Et-Chari]])</f>
        <v>0</v>
      </c>
      <c r="Q276" s="47">
        <f>SUMIFS(Dashboard[idp_ind],Dashboard[evaluation_adm2_name],Tableau5221[[#This Row],[Départements]],Dashboard[ancien_refugees],"oui",Dashboard[ancien_departement],Tableau5221[[#Headers],[Mayo-Danay]])</f>
        <v>0</v>
      </c>
      <c r="R276" s="47">
        <f>SUMIFS(Dashboard[idp_ind],Dashboard[evaluation_adm2_name],Tableau5221[[#This Row],[Départements]],Dashboard[ancien_refugees],"oui",Dashboard[ancien_departement],Tableau5221[[#Headers],[Mayo-Kani]])</f>
        <v>0</v>
      </c>
      <c r="S276" s="47">
        <f>SUMIFS(Dashboard[idp_ind],Dashboard[evaluation_adm2_name],Tableau5221[[#This Row],[Départements]],Dashboard[ancien_refugees],"oui",Dashboard[ancien_departement],Tableau5221[[#Headers],[Mayo-Sava]])</f>
        <v>0</v>
      </c>
      <c r="T276" s="47">
        <f>SUMIFS(Dashboard[idp_ind],Dashboard[evaluation_adm2_name],Tableau5221[[#This Row],[Départements]],Dashboard[ancien_refugees],"oui",Dashboard[ancien_departement],Tableau5221[[#Headers],[Mayo-Tsanaga]])</f>
        <v>0</v>
      </c>
      <c r="U276" s="47">
        <f>(SUMIFS(DisplacementPeriod[ind], DisplacementPeriod[adm2_name], Tableau5221[[#This Row],[Départements]], DisplacementPeriod[deplacement], "refugies non enregistres"))-SUM(Tableau5221[[#This Row],[Diamare]:[Mayo-Tsanaga]])</f>
        <v>20</v>
      </c>
      <c r="V276" s="148"/>
    </row>
    <row r="277" spans="2:24" s="139" customFormat="1" x14ac:dyDescent="0.25">
      <c r="B277" s="146"/>
      <c r="C277" s="124"/>
      <c r="D277" s="47" t="s">
        <v>48</v>
      </c>
      <c r="E277" s="47">
        <f>SUMIFS(Dashboard[idp_ind],Dashboard[evaluation_adm2_name],Tableau52[[#This Row],[Départements]],Dashboard[ancien_refugees],"oui",Dashboard[ancien_departement],Tableau52[[#Headers],[Diamare]])</f>
        <v>0</v>
      </c>
      <c r="F277" s="47">
        <f>SUMIFS(Dashboard[idp_ind],Dashboard[evaluation_adm2_name],Tableau52[[#This Row],[Départements]],Dashboard[ancien_refugees],"oui",Dashboard[ancien_departement],Tableau52[[#Headers],[Logone-Et-Chari]])</f>
        <v>0</v>
      </c>
      <c r="G277" s="47">
        <f>SUMIFS(Dashboard[idp_ind],Dashboard[evaluation_adm2_name],Tableau52[[#This Row],[Départements]],Dashboard[ancien_refugees],"oui",Dashboard[ancien_departement],Tableau52[[#Headers],[Mayo-Danay]])</f>
        <v>0</v>
      </c>
      <c r="H277" s="47">
        <f>SUMIFS(Dashboard[idp_ind],Dashboard[evaluation_adm2_name],Tableau52[[#This Row],[Départements]],Dashboard[ancien_refugees],"oui",Dashboard[ancien_departement],Tableau52[[#Headers],[Mayo-Kani]])</f>
        <v>0</v>
      </c>
      <c r="I277" s="47">
        <f>SUMIFS(Dashboard[idp_ind],Dashboard[evaluation_adm2_name],Tableau52[[#This Row],[Départements]],Dashboard[ancien_refugees],"oui",Dashboard[ancien_departement],Tableau52[[#Headers],[Mayo-Sava]])</f>
        <v>0</v>
      </c>
      <c r="J277" s="47">
        <f>SUMIFS(Dashboard[idp_ind],Dashboard[evaluation_adm2_name],Tableau52[[#This Row],[Départements]],Dashboard[ancien_refugees],"oui",Dashboard[ancien_departement],Tableau52[[#Headers],[Mayo-Tsanaga]])</f>
        <v>0</v>
      </c>
      <c r="K277" s="47">
        <f>(SUMIFS(DisplacementPeriod[ind], DisplacementPeriod[adm2_name], Tableau52[[#This Row],[Départements]], DisplacementPeriod[deplacement], "refugies non enregistres"))-SUM(Tableau52[[#This Row],[Diamare]:[Mayo-Tsanaga]])</f>
        <v>0</v>
      </c>
      <c r="L277" s="138"/>
      <c r="M277" s="138"/>
      <c r="N277" s="47" t="s">
        <v>48</v>
      </c>
      <c r="O277" s="47">
        <f>SUMIFS(Dashboard[idp_ind],Dashboard[evaluation_adm2_name],Tableau5221[[#This Row],[Départements]],Dashboard[ancien_refugees],"oui",Dashboard[ancien_departement],Tableau5221[[#Headers],[Diamare]])</f>
        <v>0</v>
      </c>
      <c r="P277" s="47">
        <f>SUMIFS(Dashboard[idp_ind],Dashboard[evaluation_adm2_name],Tableau5221[[#This Row],[Départements]],Dashboard[ancien_refugees],"oui",Dashboard[ancien_departement],Tableau5221[[#Headers],[Logone-Et-Chari]])</f>
        <v>0</v>
      </c>
      <c r="Q277" s="47">
        <f>SUMIFS(Dashboard[idp_ind],Dashboard[evaluation_adm2_name],Tableau5221[[#This Row],[Départements]],Dashboard[ancien_refugees],"oui",Dashboard[ancien_departement],Tableau5221[[#Headers],[Mayo-Danay]])</f>
        <v>0</v>
      </c>
      <c r="R277" s="47">
        <f>SUMIFS(Dashboard[idp_ind],Dashboard[evaluation_adm2_name],Tableau5221[[#This Row],[Départements]],Dashboard[ancien_refugees],"oui",Dashboard[ancien_departement],Tableau5221[[#Headers],[Mayo-Kani]])</f>
        <v>0</v>
      </c>
      <c r="S277" s="47">
        <f>SUMIFS(Dashboard[idp_ind],Dashboard[evaluation_adm2_name],Tableau5221[[#This Row],[Départements]],Dashboard[ancien_refugees],"oui",Dashboard[ancien_departement],Tableau5221[[#Headers],[Mayo-Sava]])</f>
        <v>0</v>
      </c>
      <c r="T277" s="47">
        <f>SUMIFS(Dashboard[idp_ind],Dashboard[evaluation_adm2_name],Tableau5221[[#This Row],[Départements]],Dashboard[ancien_refugees],"oui",Dashboard[ancien_departement],Tableau5221[[#Headers],[Mayo-Tsanaga]])</f>
        <v>0</v>
      </c>
      <c r="U277" s="47">
        <f>(SUMIFS(DisplacementPeriod[ind], DisplacementPeriod[adm2_name], Tableau5221[[#This Row],[Départements]], DisplacementPeriod[deplacement], "refugies non enregistres"))-SUM(Tableau5221[[#This Row],[Diamare]:[Mayo-Tsanaga]])</f>
        <v>0</v>
      </c>
      <c r="V277" s="148"/>
    </row>
    <row r="278" spans="2:24" s="139" customFormat="1" x14ac:dyDescent="0.25">
      <c r="B278" s="146"/>
      <c r="C278" s="124"/>
      <c r="D278" s="47" t="s">
        <v>37</v>
      </c>
      <c r="E278" s="47">
        <f>SUMIFS(Dashboard[idp_ind],Dashboard[evaluation_adm2_name],Tableau52[[#This Row],[Départements]],Dashboard[ancien_refugees],"oui",Dashboard[ancien_departement],Tableau52[[#Headers],[Diamare]])</f>
        <v>0</v>
      </c>
      <c r="F278" s="47">
        <f>SUMIFS(Dashboard[idp_ind],Dashboard[evaluation_adm2_name],Tableau52[[#This Row],[Départements]],Dashboard[ancien_refugees],"oui",Dashboard[ancien_departement],Tableau52[[#Headers],[Logone-Et-Chari]])</f>
        <v>0</v>
      </c>
      <c r="G278" s="47">
        <f>SUMIFS(Dashboard[idp_ind],Dashboard[evaluation_adm2_name],Tableau52[[#This Row],[Départements]],Dashboard[ancien_refugees],"oui",Dashboard[ancien_departement],Tableau52[[#Headers],[Mayo-Danay]])</f>
        <v>0</v>
      </c>
      <c r="H278" s="47">
        <f>SUMIFS(Dashboard[idp_ind],Dashboard[evaluation_adm2_name],Tableau52[[#This Row],[Départements]],Dashboard[ancien_refugees],"oui",Dashboard[ancien_departement],Tableau52[[#Headers],[Mayo-Kani]])</f>
        <v>0</v>
      </c>
      <c r="I278" s="47">
        <f>SUMIFS(Dashboard[idp_ind],Dashboard[evaluation_adm2_name],Tableau52[[#This Row],[Départements]],Dashboard[ancien_refugees],"oui",Dashboard[ancien_departement],Tableau52[[#Headers],[Mayo-Sava]])</f>
        <v>0</v>
      </c>
      <c r="J278" s="47">
        <f>SUMIFS(Dashboard[idp_ind],Dashboard[evaluation_adm2_name],Tableau52[[#This Row],[Départements]],Dashboard[ancien_refugees],"oui",Dashboard[ancien_departement],Tableau52[[#Headers],[Mayo-Tsanaga]])</f>
        <v>238</v>
      </c>
      <c r="K278" s="47">
        <f>(SUMIFS(DisplacementPeriod[ind], DisplacementPeriod[adm2_name], Tableau52[[#This Row],[Départements]], DisplacementPeriod[deplacement], "refugies non enregistres"))-SUM(Tableau52[[#This Row],[Diamare]:[Mayo-Tsanaga]])</f>
        <v>4959</v>
      </c>
      <c r="L278" s="138"/>
      <c r="M278" s="138"/>
      <c r="N278" s="47" t="s">
        <v>37</v>
      </c>
      <c r="O278" s="47">
        <f>SUMIFS(Dashboard[idp_ind],Dashboard[evaluation_adm2_name],Tableau5221[[#This Row],[Départements]],Dashboard[ancien_refugees],"oui",Dashboard[ancien_departement],Tableau5221[[#Headers],[Diamare]])</f>
        <v>0</v>
      </c>
      <c r="P278" s="47">
        <f>SUMIFS(Dashboard[idp_ind],Dashboard[evaluation_adm2_name],Tableau5221[[#This Row],[Départements]],Dashboard[ancien_refugees],"oui",Dashboard[ancien_departement],Tableau5221[[#Headers],[Logone-Et-Chari]])</f>
        <v>0</v>
      </c>
      <c r="Q278" s="47">
        <f>SUMIFS(Dashboard[idp_ind],Dashboard[evaluation_adm2_name],Tableau5221[[#This Row],[Départements]],Dashboard[ancien_refugees],"oui",Dashboard[ancien_departement],Tableau5221[[#Headers],[Mayo-Danay]])</f>
        <v>0</v>
      </c>
      <c r="R278" s="47">
        <f>SUMIFS(Dashboard[idp_ind],Dashboard[evaluation_adm2_name],Tableau5221[[#This Row],[Départements]],Dashboard[ancien_refugees],"oui",Dashboard[ancien_departement],Tableau5221[[#Headers],[Mayo-Kani]])</f>
        <v>0</v>
      </c>
      <c r="S278" s="47">
        <f>SUMIFS(Dashboard[idp_ind],Dashboard[evaluation_adm2_name],Tableau5221[[#This Row],[Départements]],Dashboard[ancien_refugees],"oui",Dashboard[ancien_departement],Tableau5221[[#Headers],[Mayo-Sava]])</f>
        <v>0</v>
      </c>
      <c r="T278" s="47">
        <f>SUMIFS(Dashboard[idp_ind],Dashboard[evaluation_adm2_name],Tableau5221[[#This Row],[Départements]],Dashboard[ancien_refugees],"oui",Dashboard[ancien_departement],Tableau5221[[#Headers],[Mayo-Tsanaga]])</f>
        <v>238</v>
      </c>
      <c r="U278" s="47">
        <f>(SUMIFS(DisplacementPeriod[ind], DisplacementPeriod[adm2_name], Tableau5221[[#This Row],[Départements]], DisplacementPeriod[deplacement], "refugies non enregistres"))-SUM(Tableau5221[[#This Row],[Diamare]:[Mayo-Tsanaga]])</f>
        <v>4959</v>
      </c>
      <c r="V278" s="148"/>
    </row>
    <row r="279" spans="2:24" s="139" customFormat="1" x14ac:dyDescent="0.25">
      <c r="B279" s="146"/>
      <c r="C279" s="124"/>
      <c r="D279" s="125"/>
      <c r="E279" s="126"/>
      <c r="F279" s="125"/>
      <c r="G279" s="126"/>
      <c r="H279" s="125"/>
      <c r="I279" s="126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48"/>
    </row>
    <row r="280" spans="2:24" s="139" customFormat="1" x14ac:dyDescent="0.25">
      <c r="B280" s="152"/>
      <c r="C280" s="153"/>
      <c r="D280" s="154"/>
      <c r="E280" s="155"/>
      <c r="F280" s="154"/>
      <c r="G280" s="155"/>
      <c r="H280" s="154"/>
      <c r="I280" s="155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7"/>
    </row>
    <row r="281" spans="2:24" s="139" customFormat="1" x14ac:dyDescent="0.25">
      <c r="B281" s="138"/>
      <c r="C281" s="124"/>
      <c r="D281" s="125"/>
      <c r="E281" s="126"/>
      <c r="F281" s="125"/>
      <c r="G281" s="126"/>
      <c r="H281" s="125"/>
      <c r="I281" s="126"/>
      <c r="J281" s="138"/>
      <c r="K281" s="138"/>
      <c r="L281" s="138"/>
      <c r="M281" s="138"/>
      <c r="N281" s="138"/>
      <c r="O281" s="138"/>
      <c r="P281" s="138"/>
      <c r="Q281" s="138"/>
      <c r="R281" s="138"/>
    </row>
    <row r="282" spans="2:24" s="139" customFormat="1" x14ac:dyDescent="0.25">
      <c r="B282" s="138"/>
      <c r="C282" s="124"/>
      <c r="D282" s="125"/>
      <c r="E282" s="126"/>
      <c r="F282" s="125"/>
      <c r="G282" s="126"/>
      <c r="H282" s="125"/>
      <c r="I282" s="126"/>
      <c r="J282" s="138"/>
      <c r="K282" s="138"/>
      <c r="L282" s="138"/>
      <c r="M282" s="138"/>
      <c r="N282" s="138"/>
      <c r="O282" s="138"/>
      <c r="P282" s="138"/>
      <c r="Q282" s="138"/>
      <c r="R282" s="138"/>
    </row>
    <row r="283" spans="2:24" s="139" customFormat="1" x14ac:dyDescent="0.25">
      <c r="B283" s="140"/>
      <c r="C283" s="141"/>
      <c r="D283" s="158" t="s">
        <v>864</v>
      </c>
      <c r="E283" s="143"/>
      <c r="F283" s="142"/>
      <c r="G283" s="143"/>
      <c r="H283" s="142"/>
      <c r="I283" s="143"/>
      <c r="J283" s="144"/>
      <c r="K283" s="144"/>
      <c r="L283" s="144"/>
      <c r="M283" s="144"/>
      <c r="N283" s="158" t="s">
        <v>1945</v>
      </c>
      <c r="O283" s="144"/>
      <c r="P283" s="144"/>
      <c r="Q283" s="144"/>
      <c r="R283" s="144"/>
      <c r="S283" s="144"/>
      <c r="T283" s="144"/>
      <c r="U283" s="144"/>
      <c r="V283" s="145"/>
    </row>
    <row r="284" spans="2:24" s="139" customFormat="1" x14ac:dyDescent="0.25">
      <c r="B284" s="146"/>
      <c r="C284" s="124"/>
      <c r="D284" s="125"/>
      <c r="E284" s="126"/>
      <c r="F284" s="125"/>
      <c r="G284" s="126"/>
      <c r="H284" s="125"/>
      <c r="I284" s="126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48"/>
    </row>
    <row r="285" spans="2:24" s="139" customFormat="1" x14ac:dyDescent="0.25">
      <c r="B285" s="146"/>
      <c r="C285" s="124"/>
      <c r="D285" s="125"/>
      <c r="E285" s="128" t="s">
        <v>34</v>
      </c>
      <c r="F285" s="127" t="s">
        <v>142</v>
      </c>
      <c r="G285" s="128" t="s">
        <v>144</v>
      </c>
      <c r="H285" s="127" t="s">
        <v>660</v>
      </c>
      <c r="I285" s="126"/>
      <c r="J285" s="138"/>
      <c r="K285" s="138"/>
      <c r="L285" s="138"/>
      <c r="M285" s="138"/>
      <c r="N285" s="128"/>
      <c r="O285" s="128" t="s">
        <v>34</v>
      </c>
      <c r="P285" s="127" t="s">
        <v>142</v>
      </c>
      <c r="Q285" s="128" t="s">
        <v>144</v>
      </c>
      <c r="R285" s="100" t="s">
        <v>660</v>
      </c>
      <c r="S285" s="138"/>
      <c r="T285" s="138"/>
      <c r="U285" s="138"/>
      <c r="V285" s="148"/>
    </row>
    <row r="286" spans="2:24" s="139" customFormat="1" x14ac:dyDescent="0.25">
      <c r="B286" s="146"/>
      <c r="C286" s="124"/>
      <c r="D286" s="40" t="s">
        <v>1795</v>
      </c>
      <c r="E286" s="41" t="s">
        <v>138</v>
      </c>
      <c r="F286" s="40" t="s">
        <v>1887</v>
      </c>
      <c r="G286" s="41" t="s">
        <v>1888</v>
      </c>
      <c r="H286" s="83" t="s">
        <v>1948</v>
      </c>
      <c r="I286" s="125"/>
      <c r="J286" s="126"/>
      <c r="K286" s="138"/>
      <c r="L286" s="138"/>
      <c r="M286" s="138"/>
      <c r="N286" s="40" t="s">
        <v>719</v>
      </c>
      <c r="O286" s="41" t="s">
        <v>35</v>
      </c>
      <c r="P286" s="40" t="s">
        <v>143</v>
      </c>
      <c r="Q286" s="41" t="s">
        <v>145</v>
      </c>
      <c r="R286" s="83" t="s">
        <v>1947</v>
      </c>
      <c r="S286" s="138"/>
      <c r="T286" s="138"/>
      <c r="U286" s="138"/>
      <c r="V286" s="148"/>
      <c r="W286" s="138"/>
      <c r="X286" s="138"/>
    </row>
    <row r="287" spans="2:24" s="139" customFormat="1" x14ac:dyDescent="0.25">
      <c r="B287" s="146"/>
      <c r="C287" s="124"/>
      <c r="D287" s="47" t="s">
        <v>24</v>
      </c>
      <c r="E287" s="47">
        <f>SUMIFS(DisplacementPeriod[ind],DisplacementPeriod[deplacement],"retournes",DisplacementPeriod[adm2_name],Tableau58[[#This Row],[Départements]],DisplacementPeriod[provenance_adm0],'Displacement &amp; Returns'!E$285)</f>
        <v>19</v>
      </c>
      <c r="F287" s="47">
        <f>SUMIFS(DisplacementPeriod[ind],DisplacementPeriod[deplacement],"retournes",DisplacementPeriod[adm2_name],Tableau58[[#This Row],[Départements]],DisplacementPeriod[provenance_adm0],'Displacement &amp; Returns'!F$285)</f>
        <v>0</v>
      </c>
      <c r="G287" s="47">
        <f>SUMIFS(DisplacementPeriod[ind],DisplacementPeriod[deplacement],"retournes",DisplacementPeriod[adm2_name],Tableau58[[#This Row],[Départements]],DisplacementPeriod[provenance_adm0],'Displacement &amp; Returns'!G$285)</f>
        <v>0</v>
      </c>
      <c r="H287" s="82">
        <f>SUMIFS(DisplacementPeriod[ind],DisplacementPeriod[deplacement],"retournes",DisplacementPeriod[adm2_name],Tableau58[[#This Row],[Départements]],DisplacementPeriod[provenance_adm0],'Displacement &amp; Returns'!H$285)</f>
        <v>311</v>
      </c>
      <c r="I287" s="125"/>
      <c r="J287" s="126"/>
      <c r="K287" s="138"/>
      <c r="L287" s="138"/>
      <c r="M287" s="138"/>
      <c r="N287" s="47" t="s">
        <v>24</v>
      </c>
      <c r="O287" s="47">
        <f>SUMIFS(DisplacementPeriod[ind],DisplacementPeriod[deplacement],"retournes",DisplacementPeriod[adm2_name],Tableau5810[[#This Row],[Departments]],DisplacementPeriod[provenance_adm0],'Displacement &amp; Returns'!O$285)</f>
        <v>19</v>
      </c>
      <c r="P287" s="47">
        <f>SUMIFS(DisplacementPeriod[ind],DisplacementPeriod[deplacement],"retournes",DisplacementPeriod[adm2_name],Tableau5810[[#This Row],[Departments]],DisplacementPeriod[provenance_adm0],'Displacement &amp; Returns'!P$285)</f>
        <v>0</v>
      </c>
      <c r="Q287" s="47">
        <f>SUMIFS(DisplacementPeriod[ind],DisplacementPeriod[deplacement],"retournes",DisplacementPeriod[adm2_name],Tableau5810[[#This Row],[Departments]],DisplacementPeriod[provenance_adm0],'Displacement &amp; Returns'!Q$285)</f>
        <v>0</v>
      </c>
      <c r="R287" s="82">
        <f>SUMIFS(DisplacementPeriod[ind],DisplacementPeriod[deplacement],"retournes",DisplacementPeriod[adm2_name],Tableau5810[[#This Row],[Departments]],DisplacementPeriod[provenance_adm0],'Displacement &amp; Returns'!R$285)</f>
        <v>311</v>
      </c>
      <c r="S287" s="138"/>
      <c r="T287" s="138"/>
      <c r="U287" s="138"/>
      <c r="V287" s="148"/>
      <c r="W287" s="138"/>
      <c r="X287" s="138"/>
    </row>
    <row r="288" spans="2:24" s="139" customFormat="1" x14ac:dyDescent="0.25">
      <c r="B288" s="146"/>
      <c r="C288" s="124"/>
      <c r="D288" s="47" t="s">
        <v>85</v>
      </c>
      <c r="E288" s="47">
        <f>SUMIFS(DisplacementPeriod[ind],DisplacementPeriod[deplacement],"retournes",DisplacementPeriod[adm2_name],Tableau58[[#This Row],[Départements]],DisplacementPeriod[provenance_adm0],'Displacement &amp; Returns'!E$285)</f>
        <v>26855</v>
      </c>
      <c r="F288" s="47">
        <f>SUMIFS(DisplacementPeriod[ind],DisplacementPeriod[deplacement],"retournes",DisplacementPeriod[adm2_name],Tableau58[[#This Row],[Départements]],DisplacementPeriod[provenance_adm0],'Displacement &amp; Returns'!F$285)</f>
        <v>1112</v>
      </c>
      <c r="G288" s="47">
        <f>SUMIFS(DisplacementPeriod[ind],DisplacementPeriod[deplacement],"retournes",DisplacementPeriod[adm2_name],Tableau58[[#This Row],[Départements]],DisplacementPeriod[provenance_adm0],'Displacement &amp; Returns'!G$285)</f>
        <v>13</v>
      </c>
      <c r="H288" s="82">
        <f>SUMIFS(DisplacementPeriod[ind],DisplacementPeriod[deplacement],"retournes",DisplacementPeriod[adm2_name],Tableau58[[#This Row],[Départements]],DisplacementPeriod[provenance_adm0],'Displacement &amp; Returns'!H$285)</f>
        <v>0</v>
      </c>
      <c r="I288" s="125"/>
      <c r="J288" s="126"/>
      <c r="K288" s="138"/>
      <c r="L288" s="138"/>
      <c r="M288" s="138"/>
      <c r="N288" s="47" t="s">
        <v>85</v>
      </c>
      <c r="O288" s="47">
        <f>SUMIFS(DisplacementPeriod[ind],DisplacementPeriod[deplacement],"retournes",DisplacementPeriod[adm2_name],Tableau5810[[#This Row],[Departments]],DisplacementPeriod[provenance_adm0],'Displacement &amp; Returns'!O$285)</f>
        <v>26855</v>
      </c>
      <c r="P288" s="47">
        <f>SUMIFS(DisplacementPeriod[ind],DisplacementPeriod[deplacement],"retournes",DisplacementPeriod[adm2_name],Tableau5810[[#This Row],[Departments]],DisplacementPeriod[provenance_adm0],'Displacement &amp; Returns'!P$285)</f>
        <v>1112</v>
      </c>
      <c r="Q288" s="47">
        <f>SUMIFS(DisplacementPeriod[ind],DisplacementPeriod[deplacement],"retournes",DisplacementPeriod[adm2_name],Tableau5810[[#This Row],[Departments]],DisplacementPeriod[provenance_adm0],'Displacement &amp; Returns'!Q$285)</f>
        <v>13</v>
      </c>
      <c r="R288" s="82">
        <f>SUMIFS(DisplacementPeriod[ind],DisplacementPeriod[deplacement],"retournes",DisplacementPeriod[adm2_name],Tableau5810[[#This Row],[Departments]],DisplacementPeriod[provenance_adm0],'Displacement &amp; Returns'!R$285)</f>
        <v>0</v>
      </c>
      <c r="S288" s="138"/>
      <c r="T288" s="138"/>
      <c r="U288" s="138"/>
      <c r="V288" s="148"/>
      <c r="W288" s="138"/>
      <c r="X288" s="138"/>
    </row>
    <row r="289" spans="2:24" s="139" customFormat="1" x14ac:dyDescent="0.25">
      <c r="B289" s="146"/>
      <c r="C289" s="124"/>
      <c r="D289" s="47" t="s">
        <v>184</v>
      </c>
      <c r="E289" s="47">
        <f>SUMIFS(DisplacementPeriod[ind],DisplacementPeriod[deplacement],"retournes",DisplacementPeriod[adm2_name],Tableau58[[#This Row],[Départements]],DisplacementPeriod[provenance_adm0],'Displacement &amp; Returns'!E$285)</f>
        <v>6388</v>
      </c>
      <c r="F289" s="47">
        <f>SUMIFS(DisplacementPeriod[ind],DisplacementPeriod[deplacement],"retournes",DisplacementPeriod[adm2_name],Tableau58[[#This Row],[Départements]],DisplacementPeriod[provenance_adm0],'Displacement &amp; Returns'!F$285)</f>
        <v>41</v>
      </c>
      <c r="G289" s="47">
        <f>SUMIFS(DisplacementPeriod[ind],DisplacementPeriod[deplacement],"retournes",DisplacementPeriod[adm2_name],Tableau58[[#This Row],[Départements]],DisplacementPeriod[provenance_adm0],'Displacement &amp; Returns'!G$285)</f>
        <v>0</v>
      </c>
      <c r="H289" s="82">
        <f>SUMIFS(DisplacementPeriod[ind],DisplacementPeriod[deplacement],"retournes",DisplacementPeriod[adm2_name],Tableau58[[#This Row],[Départements]],DisplacementPeriod[provenance_adm0],'Displacement &amp; Returns'!H$285)</f>
        <v>0</v>
      </c>
      <c r="I289" s="125"/>
      <c r="J289" s="126"/>
      <c r="K289" s="138"/>
      <c r="L289" s="138"/>
      <c r="M289" s="138"/>
      <c r="N289" s="47" t="s">
        <v>184</v>
      </c>
      <c r="O289" s="47">
        <f>SUMIFS(DisplacementPeriod[ind],DisplacementPeriod[deplacement],"retournes",DisplacementPeriod[adm2_name],Tableau5810[[#This Row],[Departments]],DisplacementPeriod[provenance_adm0],'Displacement &amp; Returns'!O$285)</f>
        <v>6388</v>
      </c>
      <c r="P289" s="47">
        <f>SUMIFS(DisplacementPeriod[ind],DisplacementPeriod[deplacement],"retournes",DisplacementPeriod[adm2_name],Tableau5810[[#This Row],[Departments]],DisplacementPeriod[provenance_adm0],'Displacement &amp; Returns'!P$285)</f>
        <v>41</v>
      </c>
      <c r="Q289" s="47">
        <f>SUMIFS(DisplacementPeriod[ind],DisplacementPeriod[deplacement],"retournes",DisplacementPeriod[adm2_name],Tableau5810[[#This Row],[Departments]],DisplacementPeriod[provenance_adm0],'Displacement &amp; Returns'!Q$285)</f>
        <v>0</v>
      </c>
      <c r="R289" s="82">
        <f>SUMIFS(DisplacementPeriod[ind],DisplacementPeriod[deplacement],"retournes",DisplacementPeriod[adm2_name],Tableau5810[[#This Row],[Departments]],DisplacementPeriod[provenance_adm0],'Displacement &amp; Returns'!R$285)</f>
        <v>0</v>
      </c>
      <c r="S289" s="138"/>
      <c r="T289" s="138"/>
      <c r="U289" s="138"/>
      <c r="V289" s="148"/>
      <c r="W289" s="138"/>
      <c r="X289" s="138"/>
    </row>
    <row r="290" spans="2:24" s="139" customFormat="1" x14ac:dyDescent="0.25">
      <c r="B290" s="146"/>
      <c r="C290" s="124"/>
      <c r="D290" s="47" t="s">
        <v>218</v>
      </c>
      <c r="E290" s="47">
        <f>SUMIFS(DisplacementPeriod[ind],DisplacementPeriod[deplacement],"retournes",DisplacementPeriod[adm2_name],Tableau58[[#This Row],[Départements]],DisplacementPeriod[provenance_adm0],'Displacement &amp; Returns'!E$285)</f>
        <v>110</v>
      </c>
      <c r="F290" s="47">
        <f>SUMIFS(DisplacementPeriod[ind],DisplacementPeriod[deplacement],"retournes",DisplacementPeriod[adm2_name],Tableau58[[#This Row],[Départements]],DisplacementPeriod[provenance_adm0],'Displacement &amp; Returns'!F$285)</f>
        <v>462</v>
      </c>
      <c r="G290" s="47">
        <f>SUMIFS(DisplacementPeriod[ind],DisplacementPeriod[deplacement],"retournes",DisplacementPeriod[adm2_name],Tableau58[[#This Row],[Départements]],DisplacementPeriod[provenance_adm0],'Displacement &amp; Returns'!G$285)</f>
        <v>0</v>
      </c>
      <c r="H290" s="82">
        <f>SUMIFS(DisplacementPeriod[ind],DisplacementPeriod[deplacement],"retournes",DisplacementPeriod[adm2_name],Tableau58[[#This Row],[Départements]],DisplacementPeriod[provenance_adm0],'Displacement &amp; Returns'!H$285)</f>
        <v>95</v>
      </c>
      <c r="I290" s="125"/>
      <c r="J290" s="126"/>
      <c r="K290" s="138"/>
      <c r="L290" s="138"/>
      <c r="M290" s="138"/>
      <c r="N290" s="47" t="s">
        <v>218</v>
      </c>
      <c r="O290" s="47">
        <f>SUMIFS(DisplacementPeriod[ind],DisplacementPeriod[deplacement],"retournes",DisplacementPeriod[adm2_name],Tableau5810[[#This Row],[Departments]],DisplacementPeriod[provenance_adm0],'Displacement &amp; Returns'!O$285)</f>
        <v>110</v>
      </c>
      <c r="P290" s="47">
        <f>SUMIFS(DisplacementPeriod[ind],DisplacementPeriod[deplacement],"retournes",DisplacementPeriod[adm2_name],Tableau5810[[#This Row],[Departments]],DisplacementPeriod[provenance_adm0],'Displacement &amp; Returns'!P$285)</f>
        <v>462</v>
      </c>
      <c r="Q290" s="47">
        <f>SUMIFS(DisplacementPeriod[ind],DisplacementPeriod[deplacement],"retournes",DisplacementPeriod[adm2_name],Tableau5810[[#This Row],[Departments]],DisplacementPeriod[provenance_adm0],'Displacement &amp; Returns'!Q$285)</f>
        <v>0</v>
      </c>
      <c r="R290" s="82">
        <f>SUMIFS(DisplacementPeriod[ind],DisplacementPeriod[deplacement],"retournes",DisplacementPeriod[adm2_name],Tableau5810[[#This Row],[Departments]],DisplacementPeriod[provenance_adm0],'Displacement &amp; Returns'!R$285)</f>
        <v>95</v>
      </c>
      <c r="S290" s="138"/>
      <c r="T290" s="138"/>
      <c r="U290" s="138"/>
      <c r="V290" s="148"/>
      <c r="W290" s="138"/>
      <c r="X290" s="138"/>
    </row>
    <row r="291" spans="2:24" s="139" customFormat="1" x14ac:dyDescent="0.25">
      <c r="B291" s="146"/>
      <c r="C291" s="124"/>
      <c r="D291" s="47" t="s">
        <v>48</v>
      </c>
      <c r="E291" s="47">
        <f>SUMIFS(DisplacementPeriod[ind],DisplacementPeriod[deplacement],"retournes",DisplacementPeriod[adm2_name],Tableau58[[#This Row],[Départements]],DisplacementPeriod[provenance_adm0],'Displacement &amp; Returns'!E$285)</f>
        <v>13753</v>
      </c>
      <c r="F291" s="47">
        <f>SUMIFS(DisplacementPeriod[ind],DisplacementPeriod[deplacement],"retournes",DisplacementPeriod[adm2_name],Tableau58[[#This Row],[Départements]],DisplacementPeriod[provenance_adm0],'Displacement &amp; Returns'!F$285)</f>
        <v>3375</v>
      </c>
      <c r="G291" s="47">
        <f>SUMIFS(DisplacementPeriod[ind],DisplacementPeriod[deplacement],"retournes",DisplacementPeriod[adm2_name],Tableau58[[#This Row],[Départements]],DisplacementPeriod[provenance_adm0],'Displacement &amp; Returns'!G$285)</f>
        <v>0</v>
      </c>
      <c r="H291" s="82">
        <f>SUMIFS(DisplacementPeriod[ind],DisplacementPeriod[deplacement],"retournes",DisplacementPeriod[adm2_name],Tableau58[[#This Row],[Départements]],DisplacementPeriod[provenance_adm0],'Displacement &amp; Returns'!H$285)</f>
        <v>0</v>
      </c>
      <c r="I291" s="125"/>
      <c r="J291" s="126"/>
      <c r="K291" s="138"/>
      <c r="L291" s="138"/>
      <c r="M291" s="138"/>
      <c r="N291" s="47" t="s">
        <v>48</v>
      </c>
      <c r="O291" s="47">
        <f>SUMIFS(DisplacementPeriod[ind],DisplacementPeriod[deplacement],"retournes",DisplacementPeriod[adm2_name],Tableau5810[[#This Row],[Departments]],DisplacementPeriod[provenance_adm0],'Displacement &amp; Returns'!O$285)</f>
        <v>13753</v>
      </c>
      <c r="P291" s="47">
        <f>SUMIFS(DisplacementPeriod[ind],DisplacementPeriod[deplacement],"retournes",DisplacementPeriod[adm2_name],Tableau5810[[#This Row],[Departments]],DisplacementPeriod[provenance_adm0],'Displacement &amp; Returns'!P$285)</f>
        <v>3375</v>
      </c>
      <c r="Q291" s="47">
        <f>SUMIFS(DisplacementPeriod[ind],DisplacementPeriod[deplacement],"retournes",DisplacementPeriod[adm2_name],Tableau5810[[#This Row],[Departments]],DisplacementPeriod[provenance_adm0],'Displacement &amp; Returns'!Q$285)</f>
        <v>0</v>
      </c>
      <c r="R291" s="82">
        <f>SUMIFS(DisplacementPeriod[ind],DisplacementPeriod[deplacement],"retournes",DisplacementPeriod[adm2_name],Tableau5810[[#This Row],[Departments]],DisplacementPeriod[provenance_adm0],'Displacement &amp; Returns'!R$285)</f>
        <v>0</v>
      </c>
      <c r="S291" s="138"/>
      <c r="T291" s="138"/>
      <c r="U291" s="138"/>
      <c r="V291" s="148"/>
      <c r="W291" s="138"/>
      <c r="X291" s="138"/>
    </row>
    <row r="292" spans="2:24" s="139" customFormat="1" x14ac:dyDescent="0.25">
      <c r="B292" s="146"/>
      <c r="C292" s="124"/>
      <c r="D292" s="47" t="s">
        <v>37</v>
      </c>
      <c r="E292" s="47">
        <f>SUMIFS(DisplacementPeriod[ind],DisplacementPeriod[deplacement],"retournes",DisplacementPeriod[adm2_name],Tableau58[[#This Row],[Départements]],DisplacementPeriod[provenance_adm0],'Displacement &amp; Returns'!E$285)</f>
        <v>11835</v>
      </c>
      <c r="F292" s="47">
        <f>SUMIFS(DisplacementPeriod[ind],DisplacementPeriod[deplacement],"retournes",DisplacementPeriod[adm2_name],Tableau58[[#This Row],[Départements]],DisplacementPeriod[provenance_adm0],'Displacement &amp; Returns'!F$285)</f>
        <v>5361</v>
      </c>
      <c r="G292" s="47">
        <f>SUMIFS(DisplacementPeriod[ind],DisplacementPeriod[deplacement],"retournes",DisplacementPeriod[adm2_name],Tableau58[[#This Row],[Départements]],DisplacementPeriod[provenance_adm0],'Displacement &amp; Returns'!G$285)</f>
        <v>0</v>
      </c>
      <c r="H292" s="82">
        <f>SUMIFS(DisplacementPeriod[ind],DisplacementPeriod[deplacement],"retournes",DisplacementPeriod[adm2_name],Tableau58[[#This Row],[Départements]],DisplacementPeriod[provenance_adm0],'Displacement &amp; Returns'!H$285)</f>
        <v>0</v>
      </c>
      <c r="I292" s="125"/>
      <c r="J292" s="126"/>
      <c r="K292" s="138"/>
      <c r="L292" s="138"/>
      <c r="M292" s="138"/>
      <c r="N292" s="47" t="s">
        <v>37</v>
      </c>
      <c r="O292" s="47">
        <f>SUMIFS(DisplacementPeriod[ind],DisplacementPeriod[deplacement],"retournes",DisplacementPeriod[adm2_name],Tableau5810[[#This Row],[Departments]],DisplacementPeriod[provenance_adm0],'Displacement &amp; Returns'!O$285)</f>
        <v>11835</v>
      </c>
      <c r="P292" s="47">
        <f>SUMIFS(DisplacementPeriod[ind],DisplacementPeriod[deplacement],"retournes",DisplacementPeriod[adm2_name],Tableau5810[[#This Row],[Departments]],DisplacementPeriod[provenance_adm0],'Displacement &amp; Returns'!P$285)</f>
        <v>5361</v>
      </c>
      <c r="Q292" s="47">
        <f>SUMIFS(DisplacementPeriod[ind],DisplacementPeriod[deplacement],"retournes",DisplacementPeriod[adm2_name],Tableau5810[[#This Row],[Departments]],DisplacementPeriod[provenance_adm0],'Displacement &amp; Returns'!Q$285)</f>
        <v>0</v>
      </c>
      <c r="R292" s="82">
        <f>SUMIFS(DisplacementPeriod[ind],DisplacementPeriod[deplacement],"retournes",DisplacementPeriod[adm2_name],Tableau5810[[#This Row],[Departments]],DisplacementPeriod[provenance_adm0],'Displacement &amp; Returns'!R$285)</f>
        <v>0</v>
      </c>
      <c r="S292" s="138"/>
      <c r="T292" s="138"/>
      <c r="U292" s="138"/>
      <c r="V292" s="148"/>
      <c r="W292" s="138"/>
      <c r="X292" s="138"/>
    </row>
    <row r="293" spans="2:24" s="139" customFormat="1" x14ac:dyDescent="0.25">
      <c r="B293" s="146"/>
      <c r="C293" s="124"/>
      <c r="D293" s="82"/>
      <c r="E293" s="81">
        <f>SUM(E287:E292)</f>
        <v>58960</v>
      </c>
      <c r="F293" s="81">
        <f>SUM(F287:F292)</f>
        <v>10351</v>
      </c>
      <c r="G293" s="81">
        <f>SUBTOTAL(109,Tableau58[Tchad])</f>
        <v>13</v>
      </c>
      <c r="H293" s="40">
        <f>SUBTOTAL(109,Tableau58[Centrafrique])</f>
        <v>406</v>
      </c>
      <c r="I293" s="125"/>
      <c r="J293" s="126"/>
      <c r="K293" s="138"/>
      <c r="L293" s="138"/>
      <c r="M293" s="138"/>
      <c r="N293" s="47"/>
      <c r="O293" s="40">
        <f>SUM(O287:O292)</f>
        <v>58960</v>
      </c>
      <c r="P293" s="40">
        <f>SUBTOTAL(109,Tableau5810[Nigeria])</f>
        <v>10351</v>
      </c>
      <c r="Q293" s="40">
        <f>SUM(Q287:Q292)</f>
        <v>13</v>
      </c>
      <c r="R293" s="40">
        <f>SUBTOTAL(109,Tableau5810[Centrafric])</f>
        <v>406</v>
      </c>
      <c r="S293" s="138"/>
      <c r="T293" s="138"/>
      <c r="U293" s="138"/>
      <c r="V293" s="148"/>
      <c r="W293" s="138"/>
      <c r="X293" s="138"/>
    </row>
    <row r="294" spans="2:24" s="139" customFormat="1" x14ac:dyDescent="0.25">
      <c r="B294" s="146"/>
      <c r="C294" s="124"/>
      <c r="D294" s="125"/>
      <c r="E294" s="126"/>
      <c r="F294" s="125"/>
      <c r="G294" s="126"/>
      <c r="H294" s="125"/>
      <c r="I294" s="126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48"/>
    </row>
    <row r="295" spans="2:24" s="139" customFormat="1" x14ac:dyDescent="0.25">
      <c r="B295" s="146"/>
      <c r="C295" s="124"/>
      <c r="D295" s="125"/>
      <c r="E295" s="126"/>
      <c r="F295" s="125"/>
      <c r="G295" s="126"/>
      <c r="H295" s="125"/>
      <c r="I295" s="126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48"/>
    </row>
    <row r="296" spans="2:24" s="139" customFormat="1" x14ac:dyDescent="0.25">
      <c r="B296" s="146"/>
      <c r="C296" s="124"/>
      <c r="D296" s="150" t="s">
        <v>1893</v>
      </c>
      <c r="E296" s="126"/>
      <c r="F296" s="125"/>
      <c r="G296" s="126"/>
      <c r="H296" s="125"/>
      <c r="I296" s="126"/>
      <c r="J296" s="138"/>
      <c r="K296" s="138"/>
      <c r="L296" s="138"/>
      <c r="M296" s="138"/>
      <c r="N296" s="150" t="s">
        <v>1946</v>
      </c>
      <c r="O296" s="138"/>
      <c r="P296" s="138"/>
      <c r="Q296" s="138"/>
      <c r="R296" s="138"/>
      <c r="S296" s="138"/>
      <c r="T296" s="138"/>
      <c r="U296" s="138"/>
      <c r="V296" s="148"/>
    </row>
    <row r="297" spans="2:24" s="139" customFormat="1" x14ac:dyDescent="0.25">
      <c r="B297" s="146"/>
      <c r="C297" s="124"/>
      <c r="D297" s="125"/>
      <c r="E297" s="126"/>
      <c r="F297" s="125"/>
      <c r="G297" s="126"/>
      <c r="H297" s="125"/>
      <c r="I297" s="126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48"/>
    </row>
    <row r="298" spans="2:24" s="139" customFormat="1" x14ac:dyDescent="0.25">
      <c r="B298" s="146"/>
      <c r="C298" s="124"/>
      <c r="D298" s="125"/>
      <c r="E298" s="412" t="s">
        <v>1985</v>
      </c>
      <c r="F298" s="413"/>
      <c r="G298" s="413"/>
      <c r="H298" s="413"/>
      <c r="I298" s="413"/>
      <c r="J298" s="414"/>
      <c r="K298" s="138"/>
      <c r="L298" s="138"/>
      <c r="M298" s="138"/>
      <c r="N298" s="125"/>
      <c r="O298" s="412" t="s">
        <v>1906</v>
      </c>
      <c r="P298" s="413"/>
      <c r="Q298" s="413"/>
      <c r="R298" s="413"/>
      <c r="S298" s="413"/>
      <c r="T298" s="414"/>
      <c r="U298" s="138"/>
      <c r="V298" s="148"/>
    </row>
    <row r="299" spans="2:24" s="139" customFormat="1" x14ac:dyDescent="0.25">
      <c r="B299" s="146"/>
      <c r="C299" s="124"/>
      <c r="D299" s="40" t="s">
        <v>1795</v>
      </c>
      <c r="E299" s="40" t="s">
        <v>24</v>
      </c>
      <c r="F299" s="40" t="s">
        <v>85</v>
      </c>
      <c r="G299" s="40" t="s">
        <v>184</v>
      </c>
      <c r="H299" s="40" t="s">
        <v>218</v>
      </c>
      <c r="I299" s="40" t="s">
        <v>48</v>
      </c>
      <c r="J299" s="40" t="s">
        <v>37</v>
      </c>
      <c r="K299" s="40" t="s">
        <v>715</v>
      </c>
      <c r="L299" s="138"/>
      <c r="M299" s="138"/>
      <c r="N299" s="40" t="s">
        <v>719</v>
      </c>
      <c r="O299" s="40" t="s">
        <v>24</v>
      </c>
      <c r="P299" s="40" t="s">
        <v>85</v>
      </c>
      <c r="Q299" s="40" t="s">
        <v>184</v>
      </c>
      <c r="R299" s="40" t="s">
        <v>218</v>
      </c>
      <c r="S299" s="40" t="s">
        <v>48</v>
      </c>
      <c r="T299" s="40" t="s">
        <v>37</v>
      </c>
      <c r="U299" s="40" t="s">
        <v>715</v>
      </c>
      <c r="V299" s="148"/>
    </row>
    <row r="300" spans="2:24" s="139" customFormat="1" x14ac:dyDescent="0.25">
      <c r="B300" s="146"/>
      <c r="C300" s="124"/>
      <c r="D300" s="47" t="s">
        <v>24</v>
      </c>
      <c r="E300" s="47">
        <f>SUMIFS(DisplacementPeriod[ind],DisplacementPeriod[adm2_name],Tableau59[[#This Row],[Départements]],DisplacementPeriod[deplacement],"retournes",DisplacementPeriod[provenance_adm2_nom],Tableau59[[#Headers],[Diamare]])</f>
        <v>0</v>
      </c>
      <c r="F300" s="47">
        <f>SUMIFS(DisplacementPeriod[ind],DisplacementPeriod[adm2_name],Tableau59[[#This Row],[Départements]],DisplacementPeriod[deplacement],"retournes",DisplacementPeriod[provenance_adm2_nom],Tableau59[[#Headers],[Logone-Et-Chari]])</f>
        <v>0</v>
      </c>
      <c r="G300" s="47">
        <f>SUMIFS(DisplacementPeriod[ind],DisplacementPeriod[adm2_name],Tableau59[[#This Row],[Départements]],DisplacementPeriod[deplacement],"retournes",DisplacementPeriod[provenance_adm2_nom],Tableau59[[#Headers],[Mayo-Danay]])</f>
        <v>0</v>
      </c>
      <c r="H300" s="47">
        <f>SUMIFS(DisplacementPeriod[ind],DisplacementPeriod[adm2_name],Tableau59[[#This Row],[Départements]],DisplacementPeriod[deplacement],"retournes",DisplacementPeriod[provenance_adm2_nom],Tableau59[[#Headers],[Mayo-Kani]])</f>
        <v>0</v>
      </c>
      <c r="I300" s="47">
        <f>SUMIFS(DisplacementPeriod[ind],DisplacementPeriod[adm2_name],Tableau59[[#This Row],[Départements]],DisplacementPeriod[deplacement],"retournes",DisplacementPeriod[provenance_adm2_nom],Tableau59[[#Headers],[Mayo-Sava]])</f>
        <v>19</v>
      </c>
      <c r="J300" s="47">
        <f>SUMIFS(DisplacementPeriod[ind],DisplacementPeriod[adm2_name],Tableau59[[#This Row],[Départements]],DisplacementPeriod[deplacement],"retournes",DisplacementPeriod[provenance_adm2_nom],Tableau59[[#Headers],[Mayo-Tsanaga]])</f>
        <v>0</v>
      </c>
      <c r="K300" s="47">
        <f>SUM(Tableau59[[#This Row],[Diamare]:[Mayo-Tsanaga]])</f>
        <v>19</v>
      </c>
      <c r="L300" s="138"/>
      <c r="M300" s="138"/>
      <c r="N300" s="47" t="s">
        <v>24</v>
      </c>
      <c r="O300" s="47">
        <f>SUMIFS(DisplacementPeriod[ind],DisplacementPeriod[adm2_name],Tableau5911[[#This Row],[Departments]],DisplacementPeriod[deplacement],"retournes",DisplacementPeriod[provenance_adm2_nom],Tableau5911[[#Headers],[Diamare]])</f>
        <v>0</v>
      </c>
      <c r="P300" s="47">
        <f>SUMIFS(DisplacementPeriod[ind],DisplacementPeriod[adm2_name],Tableau5911[[#This Row],[Departments]],DisplacementPeriod[deplacement],"retournes",DisplacementPeriod[provenance_adm2_nom],Tableau5911[[#Headers],[Logone-Et-Chari]])</f>
        <v>0</v>
      </c>
      <c r="Q300" s="47">
        <f>SUMIFS(DisplacementPeriod[ind],DisplacementPeriod[adm2_name],Tableau5911[[#This Row],[Departments]],DisplacementPeriod[deplacement],"retournes",DisplacementPeriod[provenance_adm2_nom],Tableau5911[[#Headers],[Mayo-Danay]])</f>
        <v>0</v>
      </c>
      <c r="R300" s="4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300" s="47">
        <f>SUMIFS(DisplacementPeriod[ind],DisplacementPeriod[adm2_name],Tableau5911[[#This Row],[Departments]],DisplacementPeriod[deplacement],"retournes",DisplacementPeriod[provenance_adm2_nom],Tableau5911[[#Headers],[Mayo-Sava]])</f>
        <v>19</v>
      </c>
      <c r="T300" s="47">
        <f>SUMIFS(DisplacementPeriod[ind],DisplacementPeriod[adm2_name],Tableau5911[[#This Row],[Departments]],DisplacementPeriod[deplacement],"retournes",DisplacementPeriod[provenance_adm2_nom],Tableau5911[[#Headers],[Mayo-Tsanaga]])</f>
        <v>0</v>
      </c>
      <c r="U300" s="47">
        <f>SUM(Tableau5911[[#This Row],[Diamare]:[Mayo-Tsanaga]])</f>
        <v>19</v>
      </c>
      <c r="V300" s="148"/>
    </row>
    <row r="301" spans="2:24" s="139" customFormat="1" x14ac:dyDescent="0.25">
      <c r="B301" s="146"/>
      <c r="C301" s="124"/>
      <c r="D301" s="47" t="s">
        <v>85</v>
      </c>
      <c r="E301" s="47">
        <f>SUMIFS(DisplacementPeriod[ind],DisplacementPeriod[adm2_name],Tableau59[[#This Row],[Départements]],DisplacementPeriod[deplacement],"retournes",DisplacementPeriod[provenance_adm2_nom],Tableau59[[#Headers],[Diamare]])</f>
        <v>0</v>
      </c>
      <c r="F301" s="47">
        <f>SUMIFS(DisplacementPeriod[ind],DisplacementPeriod[adm2_name],Tableau59[[#This Row],[Départements]],DisplacementPeriod[deplacement],"retournes",DisplacementPeriod[provenance_adm2_nom],Tableau59[[#Headers],[Logone-Et-Chari]])</f>
        <v>26357</v>
      </c>
      <c r="G301" s="47">
        <f>SUMIFS(DisplacementPeriod[ind],DisplacementPeriod[adm2_name],Tableau59[[#This Row],[Départements]],DisplacementPeriod[deplacement],"retournes",DisplacementPeriod[provenance_adm2_nom],Tableau59[[#Headers],[Mayo-Danay]])</f>
        <v>498</v>
      </c>
      <c r="H301" s="47">
        <f>SUMIFS(DisplacementPeriod[ind],DisplacementPeriod[adm2_name],Tableau59[[#This Row],[Départements]],DisplacementPeriod[deplacement],"retournes",DisplacementPeriod[provenance_adm2_nom],Tableau59[[#Headers],[Mayo-Kani]])</f>
        <v>0</v>
      </c>
      <c r="I301" s="47">
        <f>SUMIFS(DisplacementPeriod[ind],DisplacementPeriod[adm2_name],Tableau59[[#This Row],[Départements]],DisplacementPeriod[deplacement],"retournes",DisplacementPeriod[provenance_adm2_nom],Tableau59[[#Headers],[Mayo-Sava]])</f>
        <v>0</v>
      </c>
      <c r="J301" s="47">
        <f>SUMIFS(DisplacementPeriod[ind],DisplacementPeriod[adm2_name],Tableau59[[#This Row],[Départements]],DisplacementPeriod[deplacement],"retournes",DisplacementPeriod[provenance_adm2_nom],Tableau59[[#Headers],[Mayo-Tsanaga]])</f>
        <v>0</v>
      </c>
      <c r="K301" s="47">
        <f>SUM(Tableau59[[#This Row],[Diamare]:[Mayo-Tsanaga]])</f>
        <v>26855</v>
      </c>
      <c r="L301" s="138"/>
      <c r="M301" s="138"/>
      <c r="N301" s="47" t="s">
        <v>85</v>
      </c>
      <c r="O301" s="47">
        <f>SUMIFS(DisplacementPeriod[ind],DisplacementPeriod[adm2_name],Tableau5911[[#This Row],[Departments]],DisplacementPeriod[deplacement],"retournes",DisplacementPeriod[provenance_adm2_nom],Tableau5911[[#Headers],[Diamare]])</f>
        <v>0</v>
      </c>
      <c r="P301" s="47">
        <f>SUMIFS(DisplacementPeriod[ind],DisplacementPeriod[adm2_name],Tableau5911[[#This Row],[Departments]],DisplacementPeriod[deplacement],"retournes",DisplacementPeriod[provenance_adm2_nom],Tableau5911[[#Headers],[Logone-Et-Chari]])</f>
        <v>26357</v>
      </c>
      <c r="Q301" s="47">
        <f>SUMIFS(DisplacementPeriod[ind],DisplacementPeriod[adm2_name],Tableau5911[[#This Row],[Departments]],DisplacementPeriod[deplacement],"retournes",DisplacementPeriod[provenance_adm2_nom],Tableau5911[[#Headers],[Mayo-Danay]])</f>
        <v>498</v>
      </c>
      <c r="R301" s="4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301" s="47">
        <f>SUMIFS(DisplacementPeriod[ind],DisplacementPeriod[adm2_name],Tableau5911[[#This Row],[Departments]],DisplacementPeriod[deplacement],"retournes",DisplacementPeriod[provenance_adm2_nom],Tableau5911[[#Headers],[Mayo-Sava]])</f>
        <v>0</v>
      </c>
      <c r="T301" s="47">
        <f>SUMIFS(DisplacementPeriod[ind],DisplacementPeriod[adm2_name],Tableau5911[[#This Row],[Departments]],DisplacementPeriod[deplacement],"retournes",DisplacementPeriod[provenance_adm2_nom],Tableau5911[[#Headers],[Mayo-Tsanaga]])</f>
        <v>0</v>
      </c>
      <c r="U301" s="47">
        <f>SUM(Tableau5911[[#This Row],[Diamare]:[Mayo-Tsanaga]])</f>
        <v>26855</v>
      </c>
      <c r="V301" s="148"/>
    </row>
    <row r="302" spans="2:24" s="139" customFormat="1" x14ac:dyDescent="0.25">
      <c r="B302" s="146"/>
      <c r="C302" s="124"/>
      <c r="D302" s="47" t="s">
        <v>184</v>
      </c>
      <c r="E302" s="47">
        <f>SUMIFS(DisplacementPeriod[ind],DisplacementPeriod[adm2_name],Tableau59[[#This Row],[Départements]],DisplacementPeriod[deplacement],"retournes",DisplacementPeriod[provenance_adm2_nom],Tableau59[[#Headers],[Diamare]])</f>
        <v>0</v>
      </c>
      <c r="F302" s="47">
        <f>SUMIFS(DisplacementPeriod[ind],DisplacementPeriod[adm2_name],Tableau59[[#This Row],[Départements]],DisplacementPeriod[deplacement],"retournes",DisplacementPeriod[provenance_adm2_nom],Tableau59[[#Headers],[Logone-Et-Chari]])</f>
        <v>352</v>
      </c>
      <c r="G302" s="47">
        <f>SUMIFS(DisplacementPeriod[ind],DisplacementPeriod[adm2_name],Tableau59[[#This Row],[Départements]],DisplacementPeriod[deplacement],"retournes",DisplacementPeriod[provenance_adm2_nom],Tableau59[[#Headers],[Mayo-Danay]])</f>
        <v>6036</v>
      </c>
      <c r="H302" s="47">
        <f>SUMIFS(DisplacementPeriod[ind],DisplacementPeriod[adm2_name],Tableau59[[#This Row],[Départements]],DisplacementPeriod[deplacement],"retournes",DisplacementPeriod[provenance_adm2_nom],Tableau59[[#Headers],[Mayo-Kani]])</f>
        <v>0</v>
      </c>
      <c r="I302" s="47">
        <f>SUMIFS(DisplacementPeriod[ind],DisplacementPeriod[adm2_name],Tableau59[[#This Row],[Départements]],DisplacementPeriod[deplacement],"retournes",DisplacementPeriod[provenance_adm2_nom],Tableau59[[#Headers],[Mayo-Sava]])</f>
        <v>0</v>
      </c>
      <c r="J302" s="47">
        <f>SUMIFS(DisplacementPeriod[ind],DisplacementPeriod[adm2_name],Tableau59[[#This Row],[Départements]],DisplacementPeriod[deplacement],"retournes",DisplacementPeriod[provenance_adm2_nom],Tableau59[[#Headers],[Mayo-Tsanaga]])</f>
        <v>0</v>
      </c>
      <c r="K302" s="47">
        <f>SUM(Tableau59[[#This Row],[Diamare]:[Mayo-Tsanaga]])</f>
        <v>6388</v>
      </c>
      <c r="L302" s="138"/>
      <c r="M302" s="138"/>
      <c r="N302" s="47" t="s">
        <v>184</v>
      </c>
      <c r="O302" s="47">
        <f>SUMIFS(DisplacementPeriod[ind],DisplacementPeriod[adm2_name],Tableau5911[[#This Row],[Departments]],DisplacementPeriod[deplacement],"retournes",DisplacementPeriod[provenance_adm2_nom],Tableau5911[[#Headers],[Diamare]])</f>
        <v>0</v>
      </c>
      <c r="P302" s="47">
        <f>SUMIFS(DisplacementPeriod[ind],DisplacementPeriod[adm2_name],Tableau5911[[#This Row],[Departments]],DisplacementPeriod[deplacement],"retournes",DisplacementPeriod[provenance_adm2_nom],Tableau5911[[#Headers],[Logone-Et-Chari]])</f>
        <v>352</v>
      </c>
      <c r="Q302" s="47">
        <f>SUMIFS(DisplacementPeriod[ind],DisplacementPeriod[adm2_name],Tableau5911[[#This Row],[Departments]],DisplacementPeriod[deplacement],"retournes",DisplacementPeriod[provenance_adm2_nom],Tableau5911[[#Headers],[Mayo-Danay]])</f>
        <v>6036</v>
      </c>
      <c r="R302" s="4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302" s="47">
        <f>SUMIFS(DisplacementPeriod[ind],DisplacementPeriod[adm2_name],Tableau5911[[#This Row],[Departments]],DisplacementPeriod[deplacement],"retournes",DisplacementPeriod[provenance_adm2_nom],Tableau5911[[#Headers],[Mayo-Sava]])</f>
        <v>0</v>
      </c>
      <c r="T302" s="47">
        <f>SUMIFS(DisplacementPeriod[ind],DisplacementPeriod[adm2_name],Tableau5911[[#This Row],[Departments]],DisplacementPeriod[deplacement],"retournes",DisplacementPeriod[provenance_adm2_nom],Tableau5911[[#Headers],[Mayo-Tsanaga]])</f>
        <v>0</v>
      </c>
      <c r="U302" s="47">
        <f>SUM(Tableau5911[[#This Row],[Diamare]:[Mayo-Tsanaga]])</f>
        <v>6388</v>
      </c>
      <c r="V302" s="148"/>
    </row>
    <row r="303" spans="2:24" s="139" customFormat="1" x14ac:dyDescent="0.25">
      <c r="B303" s="146"/>
      <c r="C303" s="124"/>
      <c r="D303" s="47" t="s">
        <v>218</v>
      </c>
      <c r="E303" s="47">
        <f>SUMIFS(DisplacementPeriod[ind],DisplacementPeriod[adm2_name],Tableau59[[#This Row],[Départements]],DisplacementPeriod[deplacement],"retournes",DisplacementPeriod[provenance_adm2_nom],Tableau59[[#Headers],[Diamare]])</f>
        <v>0</v>
      </c>
      <c r="F303" s="47">
        <f>SUMIFS(DisplacementPeriod[ind],DisplacementPeriod[adm2_name],Tableau59[[#This Row],[Départements]],DisplacementPeriod[deplacement],"retournes",DisplacementPeriod[provenance_adm2_nom],Tableau59[[#Headers],[Logone-Et-Chari]])</f>
        <v>0</v>
      </c>
      <c r="G303" s="47">
        <f>SUMIFS(DisplacementPeriod[ind],DisplacementPeriod[adm2_name],Tableau59[[#This Row],[Départements]],DisplacementPeriod[deplacement],"retournes",DisplacementPeriod[provenance_adm2_nom],Tableau59[[#Headers],[Mayo-Danay]])</f>
        <v>0</v>
      </c>
      <c r="H303" s="47">
        <f>SUMIFS(DisplacementPeriod[ind],DisplacementPeriod[adm2_name],Tableau59[[#This Row],[Départements]],DisplacementPeriod[deplacement],"retournes",DisplacementPeriod[provenance_adm2_nom],Tableau59[[#Headers],[Mayo-Kani]])</f>
        <v>0</v>
      </c>
      <c r="I303" s="47">
        <f>SUMIFS(DisplacementPeriod[ind],DisplacementPeriod[adm2_name],Tableau59[[#This Row],[Départements]],DisplacementPeriod[deplacement],"retournes",DisplacementPeriod[provenance_adm2_nom],Tableau59[[#Headers],[Mayo-Sava]])</f>
        <v>110</v>
      </c>
      <c r="J303" s="47">
        <f>SUMIFS(DisplacementPeriod[ind],DisplacementPeriod[adm2_name],Tableau59[[#This Row],[Départements]],DisplacementPeriod[deplacement],"retournes",DisplacementPeriod[provenance_adm2_nom],Tableau59[[#Headers],[Mayo-Tsanaga]])</f>
        <v>0</v>
      </c>
      <c r="K303" s="47">
        <f>SUM(Tableau59[[#This Row],[Diamare]:[Mayo-Tsanaga]])</f>
        <v>110</v>
      </c>
      <c r="L303" s="138"/>
      <c r="M303" s="138"/>
      <c r="N303" s="47" t="s">
        <v>218</v>
      </c>
      <c r="O303" s="47">
        <f>SUMIFS(DisplacementPeriod[ind],DisplacementPeriod[adm2_name],Tableau5911[[#This Row],[Departments]],DisplacementPeriod[deplacement],"retournes",DisplacementPeriod[provenance_adm2_nom],Tableau5911[[#Headers],[Diamare]])</f>
        <v>0</v>
      </c>
      <c r="P303" s="47">
        <f>SUMIFS(DisplacementPeriod[ind],DisplacementPeriod[adm2_name],Tableau5911[[#This Row],[Departments]],DisplacementPeriod[deplacement],"retournes",DisplacementPeriod[provenance_adm2_nom],Tableau5911[[#Headers],[Logone-Et-Chari]])</f>
        <v>0</v>
      </c>
      <c r="Q303" s="47">
        <f>SUMIFS(DisplacementPeriod[ind],DisplacementPeriod[adm2_name],Tableau5911[[#This Row],[Departments]],DisplacementPeriod[deplacement],"retournes",DisplacementPeriod[provenance_adm2_nom],Tableau5911[[#Headers],[Mayo-Danay]])</f>
        <v>0</v>
      </c>
      <c r="R303" s="4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303" s="47">
        <f>SUMIFS(DisplacementPeriod[ind],DisplacementPeriod[adm2_name],Tableau5911[[#This Row],[Departments]],DisplacementPeriod[deplacement],"retournes",DisplacementPeriod[provenance_adm2_nom],Tableau5911[[#Headers],[Mayo-Sava]])</f>
        <v>110</v>
      </c>
      <c r="T303" s="47">
        <f>SUMIFS(DisplacementPeriod[ind],DisplacementPeriod[adm2_name],Tableau5911[[#This Row],[Departments]],DisplacementPeriod[deplacement],"retournes",DisplacementPeriod[provenance_adm2_nom],Tableau5911[[#Headers],[Mayo-Tsanaga]])</f>
        <v>0</v>
      </c>
      <c r="U303" s="47">
        <f>SUM(Tableau5911[[#This Row],[Diamare]:[Mayo-Tsanaga]])</f>
        <v>110</v>
      </c>
      <c r="V303" s="148"/>
    </row>
    <row r="304" spans="2:24" s="139" customFormat="1" x14ac:dyDescent="0.25">
      <c r="B304" s="146"/>
      <c r="C304" s="124"/>
      <c r="D304" s="47" t="s">
        <v>48</v>
      </c>
      <c r="E304" s="47">
        <f>SUMIFS(DisplacementPeriod[ind],DisplacementPeriod[adm2_name],Tableau59[[#This Row],[Départements]],DisplacementPeriod[deplacement],"retournes",DisplacementPeriod[provenance_adm2_nom],Tableau59[[#Headers],[Diamare]])</f>
        <v>190</v>
      </c>
      <c r="F304" s="47">
        <f>SUMIFS(DisplacementPeriod[ind],DisplacementPeriod[adm2_name],Tableau59[[#This Row],[Départements]],DisplacementPeriod[deplacement],"retournes",DisplacementPeriod[provenance_adm2_nom],Tableau59[[#Headers],[Logone-Et-Chari]])</f>
        <v>0</v>
      </c>
      <c r="G304" s="47">
        <f>SUMIFS(DisplacementPeriod[ind],DisplacementPeriod[adm2_name],Tableau59[[#This Row],[Départements]],DisplacementPeriod[deplacement],"retournes",DisplacementPeriod[provenance_adm2_nom],Tableau59[[#Headers],[Mayo-Danay]])</f>
        <v>0</v>
      </c>
      <c r="H304" s="47">
        <f>SUMIFS(DisplacementPeriod[ind],DisplacementPeriod[adm2_name],Tableau59[[#This Row],[Départements]],DisplacementPeriod[deplacement],"retournes",DisplacementPeriod[provenance_adm2_nom],Tableau59[[#Headers],[Mayo-Kani]])</f>
        <v>0</v>
      </c>
      <c r="I304" s="47">
        <f>SUMIFS(DisplacementPeriod[ind],DisplacementPeriod[adm2_name],Tableau59[[#This Row],[Départements]],DisplacementPeriod[deplacement],"retournes",DisplacementPeriod[provenance_adm2_nom],Tableau59[[#Headers],[Mayo-Sava]])</f>
        <v>8644</v>
      </c>
      <c r="J304" s="47">
        <f>SUMIFS(DisplacementPeriod[ind],DisplacementPeriod[adm2_name],Tableau59[[#This Row],[Départements]],DisplacementPeriod[deplacement],"retournes",DisplacementPeriod[provenance_adm2_nom],Tableau59[[#Headers],[Mayo-Tsanaga]])</f>
        <v>4843</v>
      </c>
      <c r="K304" s="47">
        <f>SUM(Tableau59[[#This Row],[Diamare]:[Mayo-Tsanaga]])</f>
        <v>13677</v>
      </c>
      <c r="L304" s="138"/>
      <c r="M304" s="138"/>
      <c r="N304" s="47" t="s">
        <v>48</v>
      </c>
      <c r="O304" s="47">
        <f>SUMIFS(DisplacementPeriod[ind],DisplacementPeriod[adm2_name],Tableau5911[[#This Row],[Departments]],DisplacementPeriod[deplacement],"retournes",DisplacementPeriod[provenance_adm2_nom],Tableau5911[[#Headers],[Diamare]])</f>
        <v>190</v>
      </c>
      <c r="P304" s="47">
        <f>SUMIFS(DisplacementPeriod[ind],DisplacementPeriod[adm2_name],Tableau5911[[#This Row],[Departments]],DisplacementPeriod[deplacement],"retournes",DisplacementPeriod[provenance_adm2_nom],Tableau5911[[#Headers],[Logone-Et-Chari]])</f>
        <v>0</v>
      </c>
      <c r="Q304" s="47">
        <f>SUMIFS(DisplacementPeriod[ind],DisplacementPeriod[adm2_name],Tableau5911[[#This Row],[Departments]],DisplacementPeriod[deplacement],"retournes",DisplacementPeriod[provenance_adm2_nom],Tableau5911[[#Headers],[Mayo-Danay]])</f>
        <v>0</v>
      </c>
      <c r="R304" s="4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304" s="47">
        <f>SUMIFS(DisplacementPeriod[ind],DisplacementPeriod[adm2_name],Tableau5911[[#This Row],[Departments]],DisplacementPeriod[deplacement],"retournes",DisplacementPeriod[provenance_adm2_nom],Tableau5911[[#Headers],[Mayo-Sava]])</f>
        <v>8644</v>
      </c>
      <c r="T304" s="47">
        <f>SUMIFS(DisplacementPeriod[ind],DisplacementPeriod[adm2_name],Tableau5911[[#This Row],[Departments]],DisplacementPeriod[deplacement],"retournes",DisplacementPeriod[provenance_adm2_nom],Tableau5911[[#Headers],[Mayo-Tsanaga]])</f>
        <v>4843</v>
      </c>
      <c r="U304" s="47">
        <f>SUM(Tableau5911[[#This Row],[Diamare]:[Mayo-Tsanaga]])</f>
        <v>13677</v>
      </c>
      <c r="V304" s="148"/>
    </row>
    <row r="305" spans="2:22" s="139" customFormat="1" x14ac:dyDescent="0.25">
      <c r="B305" s="146"/>
      <c r="C305" s="124"/>
      <c r="D305" s="47" t="s">
        <v>37</v>
      </c>
      <c r="E305" s="47">
        <f>SUMIFS(DisplacementPeriod[ind],DisplacementPeriod[adm2_name],Tableau59[[#This Row],[Départements]],DisplacementPeriod[deplacement],"retournes",DisplacementPeriod[provenance_adm2_nom],Tableau59[[#Headers],[Diamare]])</f>
        <v>10</v>
      </c>
      <c r="F305" s="47">
        <f>SUMIFS(DisplacementPeriod[ind],DisplacementPeriod[adm2_name],Tableau59[[#This Row],[Départements]],DisplacementPeriod[deplacement],"retournes",DisplacementPeriod[provenance_adm2_nom],Tableau59[[#Headers],[Logone-Et-Chari]])</f>
        <v>0</v>
      </c>
      <c r="G305" s="47">
        <f>SUMIFS(DisplacementPeriod[ind],DisplacementPeriod[adm2_name],Tableau59[[#This Row],[Départements]],DisplacementPeriod[deplacement],"retournes",DisplacementPeriod[provenance_adm2_nom],Tableau59[[#Headers],[Mayo-Danay]])</f>
        <v>0</v>
      </c>
      <c r="H305" s="47">
        <f>SUMIFS(DisplacementPeriod[ind],DisplacementPeriod[adm2_name],Tableau59[[#This Row],[Départements]],DisplacementPeriod[deplacement],"retournes",DisplacementPeriod[provenance_adm2_nom],Tableau59[[#Headers],[Mayo-Kani]])</f>
        <v>0</v>
      </c>
      <c r="I305" s="47">
        <f>SUMIFS(DisplacementPeriod[ind],DisplacementPeriod[adm2_name],Tableau59[[#This Row],[Départements]],DisplacementPeriod[deplacement],"retournes",DisplacementPeriod[provenance_adm2_nom],Tableau59[[#Headers],[Mayo-Sava]])</f>
        <v>3072</v>
      </c>
      <c r="J305" s="47">
        <f>SUMIFS(DisplacementPeriod[ind],DisplacementPeriod[adm2_name],Tableau59[[#This Row],[Départements]],DisplacementPeriod[deplacement],"retournes",DisplacementPeriod[provenance_adm2_nom],Tableau59[[#Headers],[Mayo-Tsanaga]])</f>
        <v>7655</v>
      </c>
      <c r="K305" s="47">
        <f>SUM(Tableau59[[#This Row],[Diamare]:[Mayo-Tsanaga]])</f>
        <v>10737</v>
      </c>
      <c r="L305" s="138"/>
      <c r="M305" s="138"/>
      <c r="N305" s="47" t="s">
        <v>37</v>
      </c>
      <c r="O305" s="47">
        <f>SUMIFS(DisplacementPeriod[ind],DisplacementPeriod[adm2_name],Tableau5911[[#This Row],[Departments]],DisplacementPeriod[deplacement],"retournes",DisplacementPeriod[provenance_adm2_nom],Tableau5911[[#Headers],[Diamare]])</f>
        <v>10</v>
      </c>
      <c r="P305" s="47">
        <f>SUMIFS(DisplacementPeriod[ind],DisplacementPeriod[adm2_name],Tableau5911[[#This Row],[Departments]],DisplacementPeriod[deplacement],"retournes",DisplacementPeriod[provenance_adm2_nom],Tableau5911[[#Headers],[Logone-Et-Chari]])</f>
        <v>0</v>
      </c>
      <c r="Q305" s="47">
        <f>SUMIFS(DisplacementPeriod[ind],DisplacementPeriod[adm2_name],Tableau5911[[#This Row],[Departments]],DisplacementPeriod[deplacement],"retournes",DisplacementPeriod[provenance_adm2_nom],Tableau5911[[#Headers],[Mayo-Danay]])</f>
        <v>0</v>
      </c>
      <c r="R305" s="4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305" s="47">
        <f>SUMIFS(DisplacementPeriod[ind],DisplacementPeriod[adm2_name],Tableau5911[[#This Row],[Departments]],DisplacementPeriod[deplacement],"retournes",DisplacementPeriod[provenance_adm2_nom],Tableau5911[[#Headers],[Mayo-Sava]])</f>
        <v>3072</v>
      </c>
      <c r="T305" s="47">
        <f>SUMIFS(DisplacementPeriod[ind],DisplacementPeriod[adm2_name],Tableau5911[[#This Row],[Departments]],DisplacementPeriod[deplacement],"retournes",DisplacementPeriod[provenance_adm2_nom],Tableau5911[[#Headers],[Mayo-Tsanaga]])</f>
        <v>7655</v>
      </c>
      <c r="U305" s="47">
        <f>SUM(Tableau5911[[#This Row],[Diamare]:[Mayo-Tsanaga]])</f>
        <v>10737</v>
      </c>
      <c r="V305" s="148"/>
    </row>
    <row r="306" spans="2:22" s="139" customFormat="1" x14ac:dyDescent="0.25">
      <c r="B306" s="146"/>
      <c r="C306" s="124"/>
      <c r="D306" s="47"/>
      <c r="E306" s="40">
        <f t="shared" ref="E306:J306" si="30">SUM(E300:E305)</f>
        <v>200</v>
      </c>
      <c r="F306" s="40">
        <f t="shared" si="30"/>
        <v>26709</v>
      </c>
      <c r="G306" s="40">
        <f t="shared" si="30"/>
        <v>6534</v>
      </c>
      <c r="H306" s="40">
        <f t="shared" si="30"/>
        <v>0</v>
      </c>
      <c r="I306" s="40">
        <f t="shared" si="30"/>
        <v>11845</v>
      </c>
      <c r="J306" s="40">
        <f t="shared" si="30"/>
        <v>12498</v>
      </c>
      <c r="K306" s="40">
        <f>SUBTOTAL(109,Tableau59[Total])</f>
        <v>57786</v>
      </c>
      <c r="L306" s="138"/>
      <c r="M306" s="138"/>
      <c r="N306" s="47"/>
      <c r="O306" s="40">
        <f t="shared" ref="O306:T306" si="31">SUM(O300:O305)</f>
        <v>200</v>
      </c>
      <c r="P306" s="40">
        <f t="shared" si="31"/>
        <v>26709</v>
      </c>
      <c r="Q306" s="40">
        <f t="shared" si="31"/>
        <v>6534</v>
      </c>
      <c r="R306" s="40">
        <f t="shared" si="31"/>
        <v>0</v>
      </c>
      <c r="S306" s="40">
        <f t="shared" si="31"/>
        <v>11845</v>
      </c>
      <c r="T306" s="40">
        <f t="shared" si="31"/>
        <v>12498</v>
      </c>
      <c r="U306" s="40">
        <f>SUBTOTAL(109,Tableau5911[Total])</f>
        <v>57786</v>
      </c>
      <c r="V306" s="148"/>
    </row>
    <row r="307" spans="2:22" s="139" customFormat="1" x14ac:dyDescent="0.25">
      <c r="B307" s="146"/>
      <c r="C307" s="124"/>
      <c r="D307" s="125"/>
      <c r="E307" s="126"/>
      <c r="F307" s="125"/>
      <c r="G307" s="126"/>
      <c r="H307" s="125"/>
      <c r="I307" s="126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48"/>
    </row>
    <row r="308" spans="2:22" s="139" customFormat="1" x14ac:dyDescent="0.25">
      <c r="B308" s="152"/>
      <c r="C308" s="153"/>
      <c r="D308" s="154"/>
      <c r="E308" s="155"/>
      <c r="F308" s="154"/>
      <c r="G308" s="155"/>
      <c r="H308" s="154"/>
      <c r="I308" s="155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7"/>
    </row>
    <row r="309" spans="2:22" s="139" customFormat="1" x14ac:dyDescent="0.25">
      <c r="B309" s="138"/>
      <c r="C309" s="124"/>
      <c r="D309" s="125"/>
      <c r="E309" s="126"/>
      <c r="F309" s="125"/>
      <c r="G309" s="126"/>
      <c r="H309" s="125"/>
      <c r="I309" s="126"/>
      <c r="J309" s="138"/>
      <c r="K309" s="138"/>
      <c r="L309" s="138"/>
      <c r="M309" s="138"/>
      <c r="N309" s="138"/>
      <c r="O309" s="138"/>
      <c r="P309" s="138"/>
      <c r="Q309" s="138"/>
      <c r="R309" s="138"/>
    </row>
    <row r="310" spans="2:22" s="139" customFormat="1" x14ac:dyDescent="0.25">
      <c r="B310" s="138"/>
      <c r="C310" s="124"/>
      <c r="D310" s="125"/>
      <c r="E310" s="126"/>
      <c r="F310" s="125"/>
      <c r="G310" s="126"/>
      <c r="H310" s="125"/>
      <c r="I310" s="126"/>
      <c r="J310" s="138"/>
      <c r="K310" s="138"/>
      <c r="L310" s="138"/>
      <c r="M310" s="138"/>
      <c r="N310" s="138"/>
      <c r="O310" s="138"/>
      <c r="P310" s="138"/>
      <c r="Q310" s="138"/>
      <c r="R310" s="138"/>
    </row>
    <row r="311" spans="2:22" s="139" customFormat="1" x14ac:dyDescent="0.25">
      <c r="B311" s="138"/>
      <c r="C311" s="124"/>
      <c r="D311" s="125"/>
      <c r="E311" s="126"/>
      <c r="F311" s="125"/>
      <c r="G311" s="126"/>
      <c r="H311" s="125"/>
      <c r="I311" s="126"/>
      <c r="J311" s="138"/>
      <c r="K311" s="138"/>
      <c r="L311" s="138"/>
      <c r="M311" s="138"/>
      <c r="N311" s="138"/>
      <c r="O311" s="138"/>
      <c r="P311" s="138"/>
      <c r="Q311" s="138"/>
      <c r="R311" s="138"/>
    </row>
    <row r="312" spans="2:22" s="139" customFormat="1" x14ac:dyDescent="0.25">
      <c r="B312" s="138"/>
      <c r="C312" s="124"/>
      <c r="D312" s="150"/>
      <c r="E312" s="126"/>
      <c r="F312" s="125"/>
      <c r="G312" s="126"/>
      <c r="H312" s="125"/>
      <c r="I312" s="126"/>
      <c r="J312" s="138"/>
      <c r="K312" s="138"/>
      <c r="L312" s="138"/>
      <c r="M312" s="138"/>
      <c r="N312" s="138"/>
      <c r="O312" s="138"/>
      <c r="P312" s="138"/>
      <c r="Q312" s="138"/>
      <c r="R312" s="138"/>
    </row>
    <row r="313" spans="2:22" s="139" customFormat="1" x14ac:dyDescent="0.25">
      <c r="B313" s="138"/>
      <c r="C313" s="124"/>
      <c r="D313" s="125"/>
      <c r="E313" s="126"/>
      <c r="F313" s="125"/>
      <c r="G313" s="126"/>
      <c r="H313" s="125"/>
      <c r="I313" s="126"/>
      <c r="J313" s="138"/>
      <c r="K313" s="138"/>
      <c r="L313" s="138"/>
      <c r="M313" s="138"/>
      <c r="N313" s="138"/>
      <c r="O313" s="138"/>
      <c r="P313" s="138"/>
      <c r="Q313" s="138"/>
      <c r="R313" s="138"/>
    </row>
    <row r="314" spans="2:22" s="139" customFormat="1" x14ac:dyDescent="0.25">
      <c r="B314" s="138"/>
      <c r="C314" s="124"/>
      <c r="D314" s="125"/>
      <c r="E314" s="126"/>
      <c r="F314" s="125"/>
      <c r="G314" s="126"/>
      <c r="H314" s="125"/>
      <c r="I314" s="126"/>
      <c r="J314" s="138"/>
      <c r="K314" s="138"/>
      <c r="L314" s="138"/>
      <c r="M314" s="138"/>
      <c r="N314" s="138"/>
      <c r="O314" s="138"/>
      <c r="P314" s="138"/>
      <c r="Q314" s="138"/>
      <c r="R314" s="138"/>
    </row>
    <row r="315" spans="2:22" s="139" customFormat="1" x14ac:dyDescent="0.25">
      <c r="B315" s="138"/>
      <c r="C315" s="124"/>
      <c r="D315" s="125"/>
      <c r="E315" s="126"/>
      <c r="F315" s="125"/>
      <c r="G315" s="126"/>
      <c r="H315" s="125"/>
      <c r="I315" s="126"/>
      <c r="J315" s="138"/>
      <c r="K315" s="138"/>
      <c r="L315" s="138"/>
      <c r="M315" s="138"/>
      <c r="N315" s="138"/>
      <c r="O315" s="138"/>
      <c r="P315" s="138"/>
      <c r="Q315" s="138"/>
      <c r="R315" s="138"/>
    </row>
    <row r="316" spans="2:22" s="138" customFormat="1" x14ac:dyDescent="0.25"/>
  </sheetData>
  <mergeCells count="14">
    <mergeCell ref="B56:L56"/>
    <mergeCell ref="B2:L2"/>
    <mergeCell ref="M2:U2"/>
    <mergeCell ref="E271:J271"/>
    <mergeCell ref="E219:J219"/>
    <mergeCell ref="O219:T219"/>
    <mergeCell ref="E243:J243"/>
    <mergeCell ref="O243:T243"/>
    <mergeCell ref="M56:U56"/>
    <mergeCell ref="E298:J298"/>
    <mergeCell ref="E230:J230"/>
    <mergeCell ref="O298:T298"/>
    <mergeCell ref="O271:T271"/>
    <mergeCell ref="O230:T230"/>
  </mergeCells>
  <pageMargins left="0.25" right="0.25" top="0.75" bottom="0.75" header="0.3" footer="0.3"/>
  <pageSetup paperSize="9" scale="10" orientation="landscape" r:id="rId3"/>
  <drawing r:id="rId4"/>
  <tableParts count="38"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984"/>
  <sheetViews>
    <sheetView zoomScaleNormal="100" workbookViewId="0">
      <selection activeCell="D17" sqref="D17"/>
    </sheetView>
  </sheetViews>
  <sheetFormatPr defaultColWidth="11.42578125" defaultRowHeight="15" x14ac:dyDescent="0.25"/>
  <cols>
    <col min="1" max="1" width="14.140625" style="96" bestFit="1" customWidth="1"/>
    <col min="2" max="2" width="13.42578125" style="96" bestFit="1" customWidth="1"/>
    <col min="3" max="3" width="15.28515625" style="96" bestFit="1" customWidth="1"/>
    <col min="4" max="4" width="13.42578125" style="96" bestFit="1" customWidth="1"/>
    <col min="5" max="6" width="14.140625" style="96" bestFit="1" customWidth="1"/>
    <col min="7" max="7" width="20.7109375" style="96" customWidth="1"/>
    <col min="8" max="8" width="14.42578125" style="96" bestFit="1" customWidth="1"/>
    <col min="9" max="9" width="15" style="96" customWidth="1"/>
    <col min="10" max="10" width="10.28515625" style="96" bestFit="1" customWidth="1"/>
    <col min="11" max="11" width="5.5703125" style="96" bestFit="1" customWidth="1"/>
    <col min="12" max="12" width="6.140625" style="96" bestFit="1" customWidth="1"/>
    <col min="13" max="13" width="31.140625" style="96" bestFit="1" customWidth="1"/>
    <col min="14" max="14" width="14.42578125" style="96" customWidth="1"/>
    <col min="15" max="15" width="22.140625" style="96" bestFit="1" customWidth="1"/>
    <col min="16" max="16" width="19.85546875" style="96" bestFit="1" customWidth="1"/>
    <col min="17" max="17" width="25" style="96" bestFit="1" customWidth="1"/>
    <col min="18" max="18" width="19.85546875" style="96" bestFit="1" customWidth="1"/>
    <col min="19" max="19" width="25" style="96" bestFit="1" customWidth="1"/>
    <col min="20" max="20" width="19.85546875" style="96" bestFit="1" customWidth="1"/>
    <col min="21" max="21" width="25" style="96" bestFit="1" customWidth="1"/>
    <col min="22" max="22" width="19.85546875" style="96" bestFit="1" customWidth="1"/>
    <col min="23" max="23" width="25" style="96" bestFit="1" customWidth="1"/>
    <col min="24" max="24" width="12.140625" style="96" bestFit="1" customWidth="1"/>
    <col min="25" max="26" width="12.5703125" style="96" bestFit="1" customWidth="1"/>
    <col min="27" max="27" width="13.42578125" style="96" bestFit="1" customWidth="1"/>
    <col min="28" max="28" width="15.140625" style="96" bestFit="1" customWidth="1"/>
    <col min="29" max="29" width="13.42578125" style="96" bestFit="1" customWidth="1"/>
    <col min="30" max="30" width="24.28515625" style="96" customWidth="1"/>
    <col min="31" max="31" width="25" style="96" customWidth="1"/>
    <col min="32" max="32" width="24.28515625" style="96" customWidth="1"/>
    <col min="33" max="33" width="25" style="96" customWidth="1"/>
    <col min="34" max="34" width="28.140625" style="96" customWidth="1"/>
    <col min="35" max="35" width="17.28515625" style="96" customWidth="1"/>
    <col min="36" max="36" width="5.5703125" style="96" customWidth="1"/>
    <col min="37" max="37" width="6.140625" style="96" customWidth="1"/>
    <col min="38" max="38" width="22.140625" style="96" customWidth="1"/>
    <col min="39" max="39" width="12.5703125" style="96" customWidth="1"/>
    <col min="40" max="40" width="22.7109375" style="96" customWidth="1"/>
    <col min="41" max="41" width="14.28515625" style="96" customWidth="1"/>
    <col min="42" max="42" width="20.42578125" style="96" customWidth="1"/>
    <col min="43" max="43" width="20.5703125" style="96" customWidth="1"/>
    <col min="44" max="44" width="26.5703125" style="96" customWidth="1"/>
    <col min="45" max="45" width="22.85546875" style="96" customWidth="1"/>
    <col min="46" max="46" width="29" style="96" customWidth="1"/>
    <col min="47" max="47" width="50" style="96" customWidth="1"/>
    <col min="48" max="48" width="12.140625" style="96" customWidth="1"/>
    <col min="49" max="49" width="12.5703125" style="96" customWidth="1"/>
    <col min="50" max="50" width="11.140625" style="96" customWidth="1"/>
    <col min="51" max="51" width="13.140625" style="96" customWidth="1"/>
    <col min="52" max="52" width="12.42578125" style="96" customWidth="1"/>
    <col min="53" max="53" width="12.140625" style="96" customWidth="1"/>
    <col min="54" max="54" width="14.85546875" style="96" customWidth="1"/>
    <col min="55" max="55" width="15.28515625" style="96" customWidth="1"/>
    <col min="56" max="56" width="17.42578125" style="96" customWidth="1"/>
    <col min="57" max="57" width="27.5703125" style="96" customWidth="1"/>
    <col min="58" max="58" width="24.140625" style="96" customWidth="1"/>
    <col min="59" max="59" width="43.7109375" style="96" customWidth="1"/>
    <col min="60" max="60" width="7" style="96" customWidth="1"/>
    <col min="61" max="61" width="11.140625" style="96" customWidth="1"/>
    <col min="62" max="62" width="12" style="96" customWidth="1"/>
    <col min="63" max="63" width="38.28515625" style="96" customWidth="1"/>
    <col min="64" max="64" width="13.85546875" style="96" customWidth="1"/>
    <col min="65" max="65" width="81.140625" style="96" customWidth="1"/>
    <col min="66" max="66" width="7.5703125" style="96" customWidth="1"/>
    <col min="67" max="67" width="8.85546875" style="96" customWidth="1"/>
    <col min="68" max="68" width="17.140625" style="96" customWidth="1"/>
    <col min="69" max="69" width="27.28515625" style="96" bestFit="1" customWidth="1"/>
    <col min="70" max="71" width="25" style="96" customWidth="1"/>
    <col min="72" max="72" width="26" style="96" customWidth="1"/>
    <col min="73" max="73" width="14" style="96" customWidth="1"/>
    <col min="74" max="74" width="13" style="96" customWidth="1"/>
    <col min="75" max="75" width="13.5703125" style="96" customWidth="1"/>
    <col min="76" max="76" width="12.7109375" style="96" customWidth="1"/>
    <col min="77" max="77" width="13.28515625" style="96" customWidth="1"/>
    <col min="78" max="78" width="12.7109375" style="96" customWidth="1"/>
    <col min="79" max="79" width="13.28515625" style="96" customWidth="1"/>
    <col min="80" max="80" width="14.42578125" style="96" customWidth="1"/>
    <col min="81" max="81" width="15" style="96" customWidth="1"/>
    <col min="82" max="82" width="14.140625" style="96" customWidth="1"/>
    <col min="83" max="83" width="14.7109375" style="96" customWidth="1"/>
    <col min="84" max="84" width="14.140625" style="96" customWidth="1"/>
    <col min="85" max="85" width="14.7109375" style="96" customWidth="1"/>
    <col min="86" max="86" width="9.85546875" style="96" customWidth="1"/>
    <col min="87" max="88" width="9.5703125" style="96" customWidth="1"/>
    <col min="89" max="89" width="24.7109375" style="96" customWidth="1"/>
    <col min="90" max="90" width="25.7109375" style="96" customWidth="1"/>
    <col min="91" max="91" width="15.28515625" style="96" customWidth="1"/>
    <col min="92" max="92" width="13.42578125" style="96" customWidth="1"/>
    <col min="93" max="94" width="14.140625" style="96" customWidth="1"/>
    <col min="95" max="95" width="31.140625" style="96" customWidth="1"/>
    <col min="96" max="96" width="12.7109375" style="96" customWidth="1"/>
    <col min="97" max="97" width="14.85546875" style="96" customWidth="1"/>
    <col min="98" max="98" width="13.42578125" style="96" customWidth="1"/>
    <col min="99" max="100" width="14.140625" style="96" customWidth="1"/>
    <col min="101" max="101" width="31.140625" style="96" customWidth="1"/>
    <col min="102" max="102" width="12.7109375" style="96" customWidth="1"/>
    <col min="103" max="103" width="14.85546875" style="96" customWidth="1"/>
    <col min="104" max="104" width="12.42578125" style="96" customWidth="1"/>
    <col min="105" max="105" width="13" style="96" customWidth="1"/>
    <col min="106" max="106" width="12.140625" style="96" customWidth="1"/>
    <col min="107" max="107" width="12.7109375" style="96" customWidth="1"/>
    <col min="108" max="108" width="12.140625" style="96" customWidth="1"/>
    <col min="109" max="109" width="12.7109375" style="96" customWidth="1"/>
    <col min="110" max="110" width="28.85546875" style="96" bestFit="1" customWidth="1"/>
    <col min="111" max="111" width="22.7109375" style="96" customWidth="1"/>
    <col min="112" max="16384" width="11.42578125" style="96"/>
  </cols>
  <sheetData>
    <row r="1" spans="1:103" x14ac:dyDescent="0.25">
      <c r="A1" s="217" t="s">
        <v>0</v>
      </c>
      <c r="B1" s="217" t="s">
        <v>1</v>
      </c>
      <c r="C1" s="217" t="s">
        <v>2</v>
      </c>
      <c r="D1" s="217" t="s">
        <v>3</v>
      </c>
      <c r="E1" s="217" t="s">
        <v>4</v>
      </c>
      <c r="F1" s="217" t="s">
        <v>5</v>
      </c>
      <c r="G1" s="217" t="s">
        <v>6</v>
      </c>
      <c r="H1" s="217" t="s">
        <v>865</v>
      </c>
      <c r="I1" s="217" t="s">
        <v>7</v>
      </c>
      <c r="J1" s="217" t="s">
        <v>8</v>
      </c>
      <c r="K1" s="217" t="s">
        <v>9</v>
      </c>
      <c r="L1" s="217" t="s">
        <v>10</v>
      </c>
      <c r="M1" s="217" t="s">
        <v>11</v>
      </c>
      <c r="N1" s="217" t="s">
        <v>12</v>
      </c>
      <c r="O1" s="217" t="s">
        <v>13</v>
      </c>
      <c r="P1" s="217" t="s">
        <v>14</v>
      </c>
      <c r="Q1" s="217" t="s">
        <v>15</v>
      </c>
      <c r="R1" s="217" t="s">
        <v>16</v>
      </c>
      <c r="S1" s="217" t="s">
        <v>17</v>
      </c>
      <c r="T1" s="217" t="s">
        <v>18</v>
      </c>
      <c r="U1" s="217" t="s">
        <v>19</v>
      </c>
      <c r="V1" s="217" t="s">
        <v>20</v>
      </c>
      <c r="W1" s="217" t="s">
        <v>21</v>
      </c>
      <c r="AD1" s="217" t="s">
        <v>122</v>
      </c>
      <c r="AE1" s="217" t="s">
        <v>123</v>
      </c>
      <c r="AF1" s="217" t="s">
        <v>124</v>
      </c>
      <c r="AG1" s="217" t="s">
        <v>125</v>
      </c>
      <c r="AH1" s="217" t="s">
        <v>126</v>
      </c>
      <c r="AI1" s="217" t="s">
        <v>127</v>
      </c>
      <c r="AJ1" s="217" t="s">
        <v>9</v>
      </c>
      <c r="AK1" s="217" t="s">
        <v>10</v>
      </c>
      <c r="AL1" s="217" t="s">
        <v>128</v>
      </c>
      <c r="AM1" s="217" t="s">
        <v>129</v>
      </c>
      <c r="AN1" s="217" t="s">
        <v>130</v>
      </c>
      <c r="AO1" s="217" t="s">
        <v>131</v>
      </c>
      <c r="AP1" s="217" t="s">
        <v>132</v>
      </c>
      <c r="AQ1" s="217" t="s">
        <v>133</v>
      </c>
      <c r="AR1" s="217" t="s">
        <v>134</v>
      </c>
      <c r="AS1" s="217" t="s">
        <v>135</v>
      </c>
      <c r="AT1" s="217" t="s">
        <v>136</v>
      </c>
      <c r="AU1" s="217" t="s">
        <v>137</v>
      </c>
      <c r="AX1" s="217" t="s">
        <v>1752</v>
      </c>
      <c r="AY1" s="217" t="s">
        <v>1860</v>
      </c>
      <c r="AZ1" s="217" t="s">
        <v>1861</v>
      </c>
      <c r="BC1" s="217" t="s">
        <v>1987</v>
      </c>
      <c r="BD1" s="217" t="s">
        <v>1988</v>
      </c>
      <c r="BE1" s="217" t="s">
        <v>1989</v>
      </c>
      <c r="BF1" s="217" t="s">
        <v>1990</v>
      </c>
      <c r="BG1" s="217" t="s">
        <v>1991</v>
      </c>
      <c r="BH1" s="217" t="s">
        <v>1992</v>
      </c>
      <c r="BI1" s="217" t="s">
        <v>1616</v>
      </c>
      <c r="BJ1" s="217" t="s">
        <v>1633</v>
      </c>
      <c r="BK1" s="217" t="s">
        <v>1993</v>
      </c>
      <c r="BL1" s="217" t="s">
        <v>1994</v>
      </c>
      <c r="BM1" s="217" t="s">
        <v>1995</v>
      </c>
      <c r="BN1" s="217" t="s">
        <v>1996</v>
      </c>
      <c r="BO1" s="218" t="s">
        <v>1997</v>
      </c>
      <c r="BR1" s="217" t="s">
        <v>123</v>
      </c>
      <c r="BS1" s="217" t="s">
        <v>125</v>
      </c>
      <c r="BT1" s="217" t="s">
        <v>1596</v>
      </c>
      <c r="BU1" s="217" t="s">
        <v>1595</v>
      </c>
      <c r="BV1" s="217" t="s">
        <v>2093</v>
      </c>
      <c r="BW1" s="217" t="s">
        <v>2094</v>
      </c>
      <c r="BX1" s="217" t="s">
        <v>2095</v>
      </c>
      <c r="BY1" s="217" t="s">
        <v>2096</v>
      </c>
      <c r="BZ1" s="217" t="s">
        <v>2097</v>
      </c>
      <c r="CA1" s="217" t="s">
        <v>2098</v>
      </c>
      <c r="CB1" s="217" t="s">
        <v>2099</v>
      </c>
      <c r="CC1" s="217" t="s">
        <v>2100</v>
      </c>
      <c r="CD1" s="217" t="s">
        <v>2101</v>
      </c>
      <c r="CE1" s="217" t="s">
        <v>2102</v>
      </c>
      <c r="CF1" s="217" t="s">
        <v>2103</v>
      </c>
      <c r="CG1" s="218" t="s">
        <v>2104</v>
      </c>
      <c r="CH1" s="218" t="s">
        <v>2105</v>
      </c>
      <c r="CI1" s="218" t="s">
        <v>2106</v>
      </c>
      <c r="CJ1" s="218" t="s">
        <v>2107</v>
      </c>
      <c r="CM1" s="217" t="s">
        <v>2</v>
      </c>
      <c r="CN1" s="217" t="s">
        <v>3</v>
      </c>
      <c r="CO1" s="217" t="s">
        <v>4</v>
      </c>
      <c r="CP1" s="217" t="s">
        <v>5</v>
      </c>
      <c r="CQ1" s="217" t="s">
        <v>11</v>
      </c>
      <c r="CR1" s="217" t="s">
        <v>3749</v>
      </c>
      <c r="CS1" s="218" t="s">
        <v>3750</v>
      </c>
      <c r="CT1"/>
      <c r="CU1"/>
      <c r="CV1"/>
      <c r="CW1"/>
      <c r="CX1"/>
      <c r="CY1"/>
    </row>
    <row r="2" spans="1:103" x14ac:dyDescent="0.25">
      <c r="A2" s="217" t="s">
        <v>22</v>
      </c>
      <c r="B2" s="217" t="s">
        <v>23</v>
      </c>
      <c r="C2" s="217" t="s">
        <v>24</v>
      </c>
      <c r="D2" s="217" t="s">
        <v>25</v>
      </c>
      <c r="E2" s="217" t="s">
        <v>26</v>
      </c>
      <c r="F2" s="217" t="s">
        <v>27</v>
      </c>
      <c r="G2" s="217" t="s">
        <v>28</v>
      </c>
      <c r="H2" s="217" t="s">
        <v>866</v>
      </c>
      <c r="I2" s="217" t="s">
        <v>29</v>
      </c>
      <c r="J2" s="217" t="s">
        <v>1855</v>
      </c>
      <c r="K2" s="217">
        <v>3</v>
      </c>
      <c r="L2" s="217">
        <v>16</v>
      </c>
      <c r="M2" s="217" t="s">
        <v>31</v>
      </c>
      <c r="N2" s="217" t="s">
        <v>32</v>
      </c>
      <c r="O2" s="217" t="s">
        <v>33</v>
      </c>
      <c r="P2" s="217" t="s">
        <v>34</v>
      </c>
      <c r="Q2" s="217" t="s">
        <v>35</v>
      </c>
      <c r="R2" s="217" t="s">
        <v>23</v>
      </c>
      <c r="S2" s="217" t="s">
        <v>22</v>
      </c>
      <c r="T2" s="217" t="s">
        <v>36</v>
      </c>
      <c r="U2" s="217" t="s">
        <v>37</v>
      </c>
      <c r="V2" s="217" t="s">
        <v>249</v>
      </c>
      <c r="W2" s="217" t="s">
        <v>250</v>
      </c>
      <c r="AD2" s="217" t="s">
        <v>25</v>
      </c>
      <c r="AE2" s="217" t="s">
        <v>24</v>
      </c>
      <c r="AF2" s="217" t="s">
        <v>657</v>
      </c>
      <c r="AG2" s="217" t="s">
        <v>656</v>
      </c>
      <c r="AH2" s="217" t="s">
        <v>658</v>
      </c>
      <c r="AI2" s="217" t="s">
        <v>1854</v>
      </c>
      <c r="AJ2" s="217">
        <v>4</v>
      </c>
      <c r="AK2" s="217">
        <v>22</v>
      </c>
      <c r="AL2" s="217" t="s">
        <v>154</v>
      </c>
      <c r="AM2" s="217" t="s">
        <v>34</v>
      </c>
      <c r="AN2" s="217" t="s">
        <v>138</v>
      </c>
      <c r="AO2" s="217" t="s">
        <v>849</v>
      </c>
      <c r="AP2" s="217" t="s">
        <v>850</v>
      </c>
      <c r="AQ2" s="217" t="s">
        <v>139</v>
      </c>
      <c r="AR2" s="217" t="s">
        <v>139</v>
      </c>
      <c r="AS2" s="217" t="s">
        <v>139</v>
      </c>
      <c r="AT2" s="217" t="s">
        <v>139</v>
      </c>
      <c r="AU2" s="217" t="s">
        <v>1933</v>
      </c>
      <c r="AX2" s="217" t="s">
        <v>1854</v>
      </c>
      <c r="AY2" s="217" t="s">
        <v>2021</v>
      </c>
      <c r="AZ2" s="217" t="s">
        <v>2020</v>
      </c>
      <c r="BC2" s="217" t="s">
        <v>24</v>
      </c>
      <c r="BD2" s="217" t="s">
        <v>656</v>
      </c>
      <c r="BE2" s="217" t="s">
        <v>1553</v>
      </c>
      <c r="BF2" s="217" t="s">
        <v>658</v>
      </c>
      <c r="BG2" s="217" t="s">
        <v>1998</v>
      </c>
      <c r="BH2" s="217" t="s">
        <v>1660</v>
      </c>
      <c r="BI2" s="217" t="s">
        <v>1660</v>
      </c>
      <c r="BJ2" s="217" t="s">
        <v>1658</v>
      </c>
      <c r="BK2" s="217" t="s">
        <v>637</v>
      </c>
      <c r="BL2" s="217"/>
      <c r="BM2" s="217"/>
      <c r="BN2" s="217">
        <v>0</v>
      </c>
      <c r="BO2" s="218">
        <v>0</v>
      </c>
      <c r="BR2" s="217" t="s">
        <v>24</v>
      </c>
      <c r="BS2" s="217" t="s">
        <v>50</v>
      </c>
      <c r="BT2" s="217" t="s">
        <v>55</v>
      </c>
      <c r="BU2" s="217" t="s">
        <v>877</v>
      </c>
      <c r="BV2" s="217">
        <v>8</v>
      </c>
      <c r="BW2" s="217">
        <v>79</v>
      </c>
      <c r="BX2" s="217">
        <v>0</v>
      </c>
      <c r="BY2" s="217">
        <v>0</v>
      </c>
      <c r="BZ2" s="217">
        <v>0</v>
      </c>
      <c r="CA2" s="217">
        <v>0</v>
      </c>
      <c r="CB2" s="217">
        <v>8</v>
      </c>
      <c r="CC2" s="217">
        <v>79</v>
      </c>
      <c r="CD2" s="217">
        <v>0</v>
      </c>
      <c r="CE2" s="217">
        <v>0</v>
      </c>
      <c r="CF2" s="217">
        <v>8</v>
      </c>
      <c r="CG2" s="218">
        <v>79</v>
      </c>
      <c r="CH2" s="218">
        <v>0</v>
      </c>
      <c r="CI2" s="218">
        <v>0</v>
      </c>
      <c r="CJ2" s="218">
        <v>-79</v>
      </c>
      <c r="CM2" s="217" t="s">
        <v>24</v>
      </c>
      <c r="CN2" s="217" t="s">
        <v>25</v>
      </c>
      <c r="CO2" s="217" t="s">
        <v>656</v>
      </c>
      <c r="CP2" s="217" t="s">
        <v>657</v>
      </c>
      <c r="CQ2" s="217" t="s">
        <v>637</v>
      </c>
      <c r="CR2" s="217">
        <v>311</v>
      </c>
      <c r="CS2" s="218">
        <v>321</v>
      </c>
      <c r="CT2"/>
      <c r="CU2"/>
      <c r="CV2"/>
      <c r="CW2"/>
      <c r="CX2"/>
      <c r="CY2"/>
    </row>
    <row r="3" spans="1:103" x14ac:dyDescent="0.25">
      <c r="A3" s="217" t="s">
        <v>22</v>
      </c>
      <c r="B3" s="217" t="s">
        <v>23</v>
      </c>
      <c r="C3" s="217" t="s">
        <v>24</v>
      </c>
      <c r="D3" s="217" t="s">
        <v>25</v>
      </c>
      <c r="E3" s="217" t="s">
        <v>26</v>
      </c>
      <c r="F3" s="217" t="s">
        <v>27</v>
      </c>
      <c r="G3" s="217" t="s">
        <v>38</v>
      </c>
      <c r="H3" s="217" t="s">
        <v>867</v>
      </c>
      <c r="I3" s="217" t="s">
        <v>29</v>
      </c>
      <c r="J3" s="217" t="s">
        <v>1855</v>
      </c>
      <c r="K3" s="217">
        <v>3</v>
      </c>
      <c r="L3" s="217">
        <v>10</v>
      </c>
      <c r="M3" s="217" t="s">
        <v>31</v>
      </c>
      <c r="N3" s="217" t="s">
        <v>32</v>
      </c>
      <c r="O3" s="217" t="s">
        <v>33</v>
      </c>
      <c r="P3" s="217" t="s">
        <v>34</v>
      </c>
      <c r="Q3" s="217" t="s">
        <v>35</v>
      </c>
      <c r="R3" s="217" t="s">
        <v>23</v>
      </c>
      <c r="S3" s="217" t="s">
        <v>22</v>
      </c>
      <c r="T3" s="217" t="s">
        <v>36</v>
      </c>
      <c r="U3" s="217" t="s">
        <v>37</v>
      </c>
      <c r="V3" s="217" t="s">
        <v>249</v>
      </c>
      <c r="W3" s="217" t="s">
        <v>250</v>
      </c>
      <c r="AD3" s="217" t="s">
        <v>25</v>
      </c>
      <c r="AE3" s="217" t="s">
        <v>24</v>
      </c>
      <c r="AF3" s="217" t="s">
        <v>657</v>
      </c>
      <c r="AG3" s="217" t="s">
        <v>656</v>
      </c>
      <c r="AH3" s="217" t="s">
        <v>661</v>
      </c>
      <c r="AI3" s="217" t="s">
        <v>1854</v>
      </c>
      <c r="AJ3" s="217">
        <v>21</v>
      </c>
      <c r="AK3" s="217">
        <v>150</v>
      </c>
      <c r="AL3" s="217" t="s">
        <v>154</v>
      </c>
      <c r="AM3" s="217" t="s">
        <v>34</v>
      </c>
      <c r="AN3" s="217" t="s">
        <v>138</v>
      </c>
      <c r="AO3" s="217" t="s">
        <v>849</v>
      </c>
      <c r="AP3" s="217" t="s">
        <v>850</v>
      </c>
      <c r="AQ3" s="217" t="s">
        <v>139</v>
      </c>
      <c r="AR3" s="217" t="s">
        <v>139</v>
      </c>
      <c r="AS3" s="217" t="s">
        <v>139</v>
      </c>
      <c r="AT3" s="217" t="s">
        <v>139</v>
      </c>
      <c r="AU3" s="217" t="s">
        <v>1933</v>
      </c>
      <c r="AX3" s="217" t="s">
        <v>1855</v>
      </c>
      <c r="AY3" s="217" t="s">
        <v>30</v>
      </c>
      <c r="AZ3" s="217" t="s">
        <v>30</v>
      </c>
      <c r="BC3" s="217" t="s">
        <v>24</v>
      </c>
      <c r="BD3" s="217" t="s">
        <v>656</v>
      </c>
      <c r="BE3" s="217" t="s">
        <v>1554</v>
      </c>
      <c r="BF3" s="217" t="s">
        <v>661</v>
      </c>
      <c r="BG3" s="217" t="s">
        <v>1998</v>
      </c>
      <c r="BH3" s="217" t="s">
        <v>1660</v>
      </c>
      <c r="BI3" s="217" t="s">
        <v>1660</v>
      </c>
      <c r="BJ3" s="217" t="s">
        <v>1658</v>
      </c>
      <c r="BK3" s="217" t="s">
        <v>637</v>
      </c>
      <c r="BL3" s="217"/>
      <c r="BM3" s="217"/>
      <c r="BN3" s="217">
        <v>0</v>
      </c>
      <c r="BO3" s="218">
        <v>0</v>
      </c>
      <c r="BR3" s="217" t="s">
        <v>24</v>
      </c>
      <c r="BS3" s="217" t="s">
        <v>50</v>
      </c>
      <c r="BT3" s="217" t="s">
        <v>52</v>
      </c>
      <c r="BU3" s="217" t="s">
        <v>874</v>
      </c>
      <c r="BV3" s="217">
        <v>71</v>
      </c>
      <c r="BW3" s="217">
        <v>378</v>
      </c>
      <c r="BX3" s="217">
        <v>0</v>
      </c>
      <c r="BY3" s="217">
        <v>0</v>
      </c>
      <c r="BZ3" s="217">
        <v>0</v>
      </c>
      <c r="CA3" s="217">
        <v>0</v>
      </c>
      <c r="CB3" s="217">
        <v>71</v>
      </c>
      <c r="CC3" s="217">
        <v>378</v>
      </c>
      <c r="CD3" s="217">
        <v>0</v>
      </c>
      <c r="CE3" s="217">
        <v>0</v>
      </c>
      <c r="CF3" s="217">
        <v>0</v>
      </c>
      <c r="CG3" s="218">
        <v>0</v>
      </c>
      <c r="CH3" s="218">
        <v>0</v>
      </c>
      <c r="CI3" s="218">
        <v>0</v>
      </c>
      <c r="CJ3" s="218">
        <v>0</v>
      </c>
      <c r="CM3" s="217" t="s">
        <v>24</v>
      </c>
      <c r="CN3" s="217" t="s">
        <v>25</v>
      </c>
      <c r="CO3" s="217" t="s">
        <v>26</v>
      </c>
      <c r="CP3" s="217" t="s">
        <v>27</v>
      </c>
      <c r="CQ3" s="217" t="s">
        <v>31</v>
      </c>
      <c r="CR3" s="217">
        <v>273</v>
      </c>
      <c r="CS3" s="218">
        <v>279</v>
      </c>
      <c r="CT3"/>
      <c r="CU3"/>
      <c r="CV3"/>
      <c r="CW3"/>
      <c r="CX3"/>
      <c r="CY3"/>
    </row>
    <row r="4" spans="1:103" x14ac:dyDescent="0.25">
      <c r="A4" s="217" t="s">
        <v>22</v>
      </c>
      <c r="B4" s="217" t="s">
        <v>23</v>
      </c>
      <c r="C4" s="217" t="s">
        <v>24</v>
      </c>
      <c r="D4" s="217" t="s">
        <v>25</v>
      </c>
      <c r="E4" s="217" t="s">
        <v>26</v>
      </c>
      <c r="F4" s="217" t="s">
        <v>27</v>
      </c>
      <c r="G4" s="217" t="s">
        <v>39</v>
      </c>
      <c r="H4" s="217" t="s">
        <v>868</v>
      </c>
      <c r="I4" s="217" t="s">
        <v>29</v>
      </c>
      <c r="J4" s="217" t="s">
        <v>1855</v>
      </c>
      <c r="K4" s="217">
        <v>3</v>
      </c>
      <c r="L4" s="217">
        <v>21</v>
      </c>
      <c r="M4" s="217" t="s">
        <v>31</v>
      </c>
      <c r="N4" s="217" t="s">
        <v>32</v>
      </c>
      <c r="O4" s="217" t="s">
        <v>33</v>
      </c>
      <c r="P4" s="217" t="s">
        <v>34</v>
      </c>
      <c r="Q4" s="217" t="s">
        <v>35</v>
      </c>
      <c r="R4" s="217" t="s">
        <v>23</v>
      </c>
      <c r="S4" s="217" t="s">
        <v>22</v>
      </c>
      <c r="T4" s="217" t="s">
        <v>36</v>
      </c>
      <c r="U4" s="217" t="s">
        <v>37</v>
      </c>
      <c r="V4" s="217" t="s">
        <v>249</v>
      </c>
      <c r="W4" s="217" t="s">
        <v>250</v>
      </c>
      <c r="AD4" s="217" t="s">
        <v>25</v>
      </c>
      <c r="AE4" s="217" t="s">
        <v>24</v>
      </c>
      <c r="AF4" s="217" t="s">
        <v>657</v>
      </c>
      <c r="AG4" s="217" t="s">
        <v>656</v>
      </c>
      <c r="AH4" s="217" t="s">
        <v>662</v>
      </c>
      <c r="AI4" s="217" t="s">
        <v>1859</v>
      </c>
      <c r="AJ4" s="217">
        <v>2</v>
      </c>
      <c r="AK4" s="217">
        <v>9</v>
      </c>
      <c r="AL4" s="217" t="s">
        <v>141</v>
      </c>
      <c r="AM4" s="217" t="s">
        <v>660</v>
      </c>
      <c r="AN4" s="217" t="s">
        <v>848</v>
      </c>
      <c r="AO4" s="217" t="s">
        <v>32</v>
      </c>
      <c r="AP4" s="217" t="s">
        <v>32</v>
      </c>
      <c r="AQ4" s="217" t="s">
        <v>139</v>
      </c>
      <c r="AR4" s="217" t="s">
        <v>139</v>
      </c>
      <c r="AS4" s="217" t="s">
        <v>139</v>
      </c>
      <c r="AT4" s="217" t="s">
        <v>139</v>
      </c>
      <c r="AU4" s="217" t="s">
        <v>2165</v>
      </c>
      <c r="AX4" s="217" t="s">
        <v>1856</v>
      </c>
      <c r="AY4" s="217" t="s">
        <v>42</v>
      </c>
      <c r="AZ4" s="217" t="s">
        <v>42</v>
      </c>
      <c r="BC4" s="217" t="s">
        <v>24</v>
      </c>
      <c r="BD4" s="217" t="s">
        <v>656</v>
      </c>
      <c r="BE4" s="217" t="s">
        <v>1555</v>
      </c>
      <c r="BF4" s="217" t="s">
        <v>662</v>
      </c>
      <c r="BG4" s="217" t="s">
        <v>1998</v>
      </c>
      <c r="BH4" s="217" t="s">
        <v>1660</v>
      </c>
      <c r="BI4" s="217" t="s">
        <v>1660</v>
      </c>
      <c r="BJ4" s="217" t="s">
        <v>1658</v>
      </c>
      <c r="BK4" s="217" t="s">
        <v>637</v>
      </c>
      <c r="BL4" s="217"/>
      <c r="BM4" s="217"/>
      <c r="BN4" s="217">
        <v>0</v>
      </c>
      <c r="BO4" s="218">
        <v>0</v>
      </c>
      <c r="BR4" s="217" t="s">
        <v>24</v>
      </c>
      <c r="BS4" s="217" t="s">
        <v>50</v>
      </c>
      <c r="BT4" s="217" t="s">
        <v>53</v>
      </c>
      <c r="BU4" s="217" t="s">
        <v>875</v>
      </c>
      <c r="BV4" s="217">
        <v>131</v>
      </c>
      <c r="BW4" s="217">
        <v>672</v>
      </c>
      <c r="BX4" s="217">
        <v>0</v>
      </c>
      <c r="BY4" s="217">
        <v>0</v>
      </c>
      <c r="BZ4" s="217">
        <v>0</v>
      </c>
      <c r="CA4" s="217">
        <v>0</v>
      </c>
      <c r="CB4" s="217">
        <v>133</v>
      </c>
      <c r="CC4" s="217">
        <v>680</v>
      </c>
      <c r="CD4" s="217">
        <v>0</v>
      </c>
      <c r="CE4" s="217">
        <v>0</v>
      </c>
      <c r="CF4" s="217">
        <v>0</v>
      </c>
      <c r="CG4" s="218">
        <v>0</v>
      </c>
      <c r="CH4" s="218">
        <v>-8</v>
      </c>
      <c r="CI4" s="218">
        <v>0</v>
      </c>
      <c r="CJ4" s="218">
        <v>0</v>
      </c>
      <c r="CM4" s="217" t="s">
        <v>24</v>
      </c>
      <c r="CN4" s="217" t="s">
        <v>25</v>
      </c>
      <c r="CO4" s="217" t="s">
        <v>44</v>
      </c>
      <c r="CP4" s="217" t="s">
        <v>45</v>
      </c>
      <c r="CQ4" s="217" t="s">
        <v>31</v>
      </c>
      <c r="CR4" s="217">
        <v>741</v>
      </c>
      <c r="CS4" s="218">
        <v>741</v>
      </c>
      <c r="CT4"/>
      <c r="CU4"/>
      <c r="CV4"/>
      <c r="CW4"/>
      <c r="CX4"/>
      <c r="CY4"/>
    </row>
    <row r="5" spans="1:103" x14ac:dyDescent="0.25">
      <c r="A5" s="217" t="s">
        <v>22</v>
      </c>
      <c r="B5" s="217" t="s">
        <v>23</v>
      </c>
      <c r="C5" s="217" t="s">
        <v>24</v>
      </c>
      <c r="D5" s="217" t="s">
        <v>25</v>
      </c>
      <c r="E5" s="217" t="s">
        <v>26</v>
      </c>
      <c r="F5" s="217" t="s">
        <v>27</v>
      </c>
      <c r="G5" s="217" t="s">
        <v>40</v>
      </c>
      <c r="H5" s="217" t="s">
        <v>869</v>
      </c>
      <c r="I5" s="217" t="s">
        <v>29</v>
      </c>
      <c r="J5" s="217" t="s">
        <v>1855</v>
      </c>
      <c r="K5" s="217">
        <v>2</v>
      </c>
      <c r="L5" s="217">
        <v>8</v>
      </c>
      <c r="M5" s="217" t="s">
        <v>31</v>
      </c>
      <c r="N5" s="217" t="s">
        <v>32</v>
      </c>
      <c r="O5" s="217" t="s">
        <v>33</v>
      </c>
      <c r="P5" s="217" t="s">
        <v>34</v>
      </c>
      <c r="Q5" s="217" t="s">
        <v>35</v>
      </c>
      <c r="R5" s="217" t="s">
        <v>23</v>
      </c>
      <c r="S5" s="217" t="s">
        <v>22</v>
      </c>
      <c r="T5" s="217" t="s">
        <v>36</v>
      </c>
      <c r="U5" s="217" t="s">
        <v>37</v>
      </c>
      <c r="V5" s="217" t="s">
        <v>249</v>
      </c>
      <c r="W5" s="217" t="s">
        <v>250</v>
      </c>
      <c r="AD5" s="217" t="s">
        <v>25</v>
      </c>
      <c r="AE5" s="217" t="s">
        <v>24</v>
      </c>
      <c r="AF5" s="217" t="s">
        <v>657</v>
      </c>
      <c r="AG5" s="217" t="s">
        <v>656</v>
      </c>
      <c r="AH5" s="217" t="s">
        <v>662</v>
      </c>
      <c r="AI5" s="217" t="s">
        <v>1854</v>
      </c>
      <c r="AJ5" s="217">
        <v>4</v>
      </c>
      <c r="AK5" s="217">
        <v>30</v>
      </c>
      <c r="AL5" s="217" t="s">
        <v>154</v>
      </c>
      <c r="AM5" s="217" t="s">
        <v>34</v>
      </c>
      <c r="AN5" s="217" t="s">
        <v>138</v>
      </c>
      <c r="AO5" s="217" t="s">
        <v>849</v>
      </c>
      <c r="AP5" s="217" t="s">
        <v>850</v>
      </c>
      <c r="AQ5" s="217" t="s">
        <v>139</v>
      </c>
      <c r="AR5" s="217" t="s">
        <v>139</v>
      </c>
      <c r="AS5" s="217" t="s">
        <v>139</v>
      </c>
      <c r="AT5" s="217" t="s">
        <v>139</v>
      </c>
      <c r="AU5" s="217" t="s">
        <v>1704</v>
      </c>
      <c r="AX5" s="217" t="s">
        <v>1857</v>
      </c>
      <c r="AY5" s="217" t="s">
        <v>847</v>
      </c>
      <c r="AZ5" s="217" t="s">
        <v>847</v>
      </c>
      <c r="BC5" s="217" t="s">
        <v>24</v>
      </c>
      <c r="BD5" s="217" t="s">
        <v>656</v>
      </c>
      <c r="BE5" s="217" t="s">
        <v>1556</v>
      </c>
      <c r="BF5" s="217" t="s">
        <v>663</v>
      </c>
      <c r="BG5" s="217" t="s">
        <v>1999</v>
      </c>
      <c r="BH5" s="217" t="s">
        <v>1660</v>
      </c>
      <c r="BI5" s="217" t="s">
        <v>1660</v>
      </c>
      <c r="BJ5" s="217" t="s">
        <v>1658</v>
      </c>
      <c r="BK5" s="217" t="s">
        <v>637</v>
      </c>
      <c r="BL5" s="217"/>
      <c r="BM5" s="217"/>
      <c r="BN5" s="217">
        <v>0</v>
      </c>
      <c r="BO5" s="218">
        <v>0</v>
      </c>
      <c r="BR5" s="217" t="s">
        <v>24</v>
      </c>
      <c r="BS5" s="217" t="s">
        <v>50</v>
      </c>
      <c r="BT5" s="217" t="s">
        <v>54</v>
      </c>
      <c r="BU5" s="217" t="s">
        <v>876</v>
      </c>
      <c r="BV5" s="217">
        <v>195</v>
      </c>
      <c r="BW5" s="217">
        <v>1110</v>
      </c>
      <c r="BX5" s="217">
        <v>0</v>
      </c>
      <c r="BY5" s="217">
        <v>0</v>
      </c>
      <c r="BZ5" s="217">
        <v>0</v>
      </c>
      <c r="CA5" s="217">
        <v>0</v>
      </c>
      <c r="CB5" s="217">
        <v>200</v>
      </c>
      <c r="CC5" s="217">
        <v>1152</v>
      </c>
      <c r="CD5" s="217">
        <v>0</v>
      </c>
      <c r="CE5" s="217">
        <v>0</v>
      </c>
      <c r="CF5" s="217">
        <v>0</v>
      </c>
      <c r="CG5" s="218">
        <v>0</v>
      </c>
      <c r="CH5" s="218">
        <v>-42</v>
      </c>
      <c r="CI5" s="218">
        <v>0</v>
      </c>
      <c r="CJ5" s="218">
        <v>0</v>
      </c>
      <c r="CM5" s="217" t="s">
        <v>24</v>
      </c>
      <c r="CN5" s="217" t="s">
        <v>25</v>
      </c>
      <c r="CO5" s="217" t="s">
        <v>50</v>
      </c>
      <c r="CP5" s="217" t="s">
        <v>51</v>
      </c>
      <c r="CQ5" s="217" t="s">
        <v>31</v>
      </c>
      <c r="CR5" s="217">
        <v>2239</v>
      </c>
      <c r="CS5" s="218">
        <v>2368</v>
      </c>
      <c r="CT5"/>
      <c r="CU5"/>
      <c r="CV5"/>
      <c r="CW5"/>
      <c r="CX5"/>
      <c r="CY5"/>
    </row>
    <row r="6" spans="1:103" x14ac:dyDescent="0.25">
      <c r="A6" s="217" t="s">
        <v>22</v>
      </c>
      <c r="B6" s="217" t="s">
        <v>23</v>
      </c>
      <c r="C6" s="217" t="s">
        <v>24</v>
      </c>
      <c r="D6" s="217" t="s">
        <v>25</v>
      </c>
      <c r="E6" s="217" t="s">
        <v>26</v>
      </c>
      <c r="F6" s="217" t="s">
        <v>27</v>
      </c>
      <c r="G6" s="217" t="s">
        <v>41</v>
      </c>
      <c r="H6" s="217" t="s">
        <v>870</v>
      </c>
      <c r="I6" s="217" t="s">
        <v>29</v>
      </c>
      <c r="J6" s="217" t="s">
        <v>1855</v>
      </c>
      <c r="K6" s="217">
        <v>27</v>
      </c>
      <c r="L6" s="217">
        <v>151</v>
      </c>
      <c r="M6" s="217" t="s">
        <v>31</v>
      </c>
      <c r="N6" s="217" t="s">
        <v>32</v>
      </c>
      <c r="O6" s="217" t="s">
        <v>33</v>
      </c>
      <c r="P6" s="217" t="s">
        <v>34</v>
      </c>
      <c r="Q6" s="217" t="s">
        <v>35</v>
      </c>
      <c r="R6" s="217" t="s">
        <v>23</v>
      </c>
      <c r="S6" s="217" t="s">
        <v>22</v>
      </c>
      <c r="T6" s="217" t="s">
        <v>36</v>
      </c>
      <c r="U6" s="217" t="s">
        <v>37</v>
      </c>
      <c r="V6" s="217" t="s">
        <v>249</v>
      </c>
      <c r="W6" s="217" t="s">
        <v>250</v>
      </c>
      <c r="AD6" s="217" t="s">
        <v>25</v>
      </c>
      <c r="AE6" s="217" t="s">
        <v>24</v>
      </c>
      <c r="AF6" s="217" t="s">
        <v>657</v>
      </c>
      <c r="AG6" s="217" t="s">
        <v>656</v>
      </c>
      <c r="AH6" s="217" t="s">
        <v>663</v>
      </c>
      <c r="AI6" s="217" t="s">
        <v>1854</v>
      </c>
      <c r="AJ6" s="217">
        <v>13</v>
      </c>
      <c r="AK6" s="217">
        <v>85</v>
      </c>
      <c r="AL6" s="217" t="s">
        <v>154</v>
      </c>
      <c r="AM6" s="217" t="s">
        <v>34</v>
      </c>
      <c r="AN6" s="217" t="s">
        <v>138</v>
      </c>
      <c r="AO6" s="217" t="s">
        <v>239</v>
      </c>
      <c r="AP6" s="217" t="s">
        <v>240</v>
      </c>
      <c r="AQ6" s="217" t="s">
        <v>139</v>
      </c>
      <c r="AR6" s="217" t="s">
        <v>139</v>
      </c>
      <c r="AS6" s="217" t="s">
        <v>139</v>
      </c>
      <c r="AT6" s="217" t="s">
        <v>139</v>
      </c>
      <c r="AU6" s="217" t="s">
        <v>1978</v>
      </c>
      <c r="AX6" s="217" t="s">
        <v>1858</v>
      </c>
      <c r="AY6" s="217" t="s">
        <v>3717</v>
      </c>
      <c r="AZ6" s="217" t="s">
        <v>3718</v>
      </c>
      <c r="BC6" s="217" t="s">
        <v>24</v>
      </c>
      <c r="BD6" s="217" t="s">
        <v>656</v>
      </c>
      <c r="BE6" s="217" t="s">
        <v>1557</v>
      </c>
      <c r="BF6" s="217" t="s">
        <v>664</v>
      </c>
      <c r="BG6" s="217" t="s">
        <v>1998</v>
      </c>
      <c r="BH6" s="217" t="s">
        <v>1660</v>
      </c>
      <c r="BI6" s="217" t="s">
        <v>1660</v>
      </c>
      <c r="BJ6" s="217" t="s">
        <v>1658</v>
      </c>
      <c r="BK6" s="217" t="s">
        <v>637</v>
      </c>
      <c r="BL6" s="217"/>
      <c r="BM6" s="217"/>
      <c r="BN6" s="217">
        <v>0</v>
      </c>
      <c r="BO6" s="218">
        <v>0</v>
      </c>
      <c r="BR6" s="217" t="s">
        <v>24</v>
      </c>
      <c r="BS6" s="217" t="s">
        <v>44</v>
      </c>
      <c r="BT6" s="217" t="s">
        <v>46</v>
      </c>
      <c r="BU6" s="217" t="s">
        <v>872</v>
      </c>
      <c r="BV6" s="217">
        <v>50</v>
      </c>
      <c r="BW6" s="217">
        <v>350</v>
      </c>
      <c r="BX6" s="217">
        <v>0</v>
      </c>
      <c r="BY6" s="217">
        <v>0</v>
      </c>
      <c r="BZ6" s="217">
        <v>0</v>
      </c>
      <c r="CA6" s="217">
        <v>0</v>
      </c>
      <c r="CB6" s="217">
        <v>50</v>
      </c>
      <c r="CC6" s="217">
        <v>350</v>
      </c>
      <c r="CD6" s="217">
        <v>0</v>
      </c>
      <c r="CE6" s="217">
        <v>0</v>
      </c>
      <c r="CF6" s="217">
        <v>0</v>
      </c>
      <c r="CG6" s="218">
        <v>0</v>
      </c>
      <c r="CH6" s="218">
        <v>0</v>
      </c>
      <c r="CI6" s="218">
        <v>0</v>
      </c>
      <c r="CJ6" s="218">
        <v>0</v>
      </c>
      <c r="CM6" s="217" t="s">
        <v>24</v>
      </c>
      <c r="CN6" s="217" t="s">
        <v>25</v>
      </c>
      <c r="CO6" s="217" t="s">
        <v>665</v>
      </c>
      <c r="CP6" s="217" t="s">
        <v>666</v>
      </c>
      <c r="CQ6" s="217" t="s">
        <v>31</v>
      </c>
      <c r="CR6" s="217">
        <v>36</v>
      </c>
      <c r="CS6" s="218">
        <v>82</v>
      </c>
      <c r="CT6"/>
      <c r="CU6"/>
      <c r="CV6"/>
      <c r="CW6"/>
      <c r="CX6"/>
      <c r="CY6"/>
    </row>
    <row r="7" spans="1:103" x14ac:dyDescent="0.25">
      <c r="A7" s="217" t="s">
        <v>22</v>
      </c>
      <c r="B7" s="217" t="s">
        <v>23</v>
      </c>
      <c r="C7" s="217" t="s">
        <v>24</v>
      </c>
      <c r="D7" s="217" t="s">
        <v>25</v>
      </c>
      <c r="E7" s="217" t="s">
        <v>26</v>
      </c>
      <c r="F7" s="217" t="s">
        <v>27</v>
      </c>
      <c r="G7" s="217" t="s">
        <v>43</v>
      </c>
      <c r="H7" s="217" t="s">
        <v>871</v>
      </c>
      <c r="I7" s="217" t="s">
        <v>29</v>
      </c>
      <c r="J7" s="217" t="s">
        <v>1855</v>
      </c>
      <c r="K7" s="217">
        <v>9</v>
      </c>
      <c r="L7" s="217">
        <v>67</v>
      </c>
      <c r="M7" s="217" t="s">
        <v>31</v>
      </c>
      <c r="N7" s="217" t="s">
        <v>32</v>
      </c>
      <c r="O7" s="217" t="s">
        <v>33</v>
      </c>
      <c r="P7" s="217" t="s">
        <v>34</v>
      </c>
      <c r="Q7" s="217" t="s">
        <v>35</v>
      </c>
      <c r="R7" s="217" t="s">
        <v>23</v>
      </c>
      <c r="S7" s="217" t="s">
        <v>22</v>
      </c>
      <c r="T7" s="217" t="s">
        <v>36</v>
      </c>
      <c r="U7" s="217" t="s">
        <v>37</v>
      </c>
      <c r="V7" s="217" t="s">
        <v>249</v>
      </c>
      <c r="W7" s="217" t="s">
        <v>250</v>
      </c>
      <c r="AD7" s="217" t="s">
        <v>25</v>
      </c>
      <c r="AE7" s="217" t="s">
        <v>24</v>
      </c>
      <c r="AF7" s="217" t="s">
        <v>657</v>
      </c>
      <c r="AG7" s="217" t="s">
        <v>656</v>
      </c>
      <c r="AH7" s="217" t="s">
        <v>664</v>
      </c>
      <c r="AI7" s="217" t="s">
        <v>1854</v>
      </c>
      <c r="AJ7" s="217">
        <v>12</v>
      </c>
      <c r="AK7" s="217">
        <v>75</v>
      </c>
      <c r="AL7" s="217" t="s">
        <v>154</v>
      </c>
      <c r="AM7" s="217" t="s">
        <v>34</v>
      </c>
      <c r="AN7" s="217" t="s">
        <v>138</v>
      </c>
      <c r="AO7" s="217" t="s">
        <v>199</v>
      </c>
      <c r="AP7" s="217" t="s">
        <v>200</v>
      </c>
      <c r="AQ7" s="217" t="s">
        <v>139</v>
      </c>
      <c r="AR7" s="217" t="s">
        <v>139</v>
      </c>
      <c r="AS7" s="217" t="s">
        <v>139</v>
      </c>
      <c r="AT7" s="217" t="s">
        <v>139</v>
      </c>
      <c r="AU7" s="217" t="s">
        <v>2166</v>
      </c>
      <c r="AX7" s="217" t="s">
        <v>1859</v>
      </c>
      <c r="AY7" s="217" t="s">
        <v>3719</v>
      </c>
      <c r="AZ7" s="217" t="s">
        <v>3719</v>
      </c>
      <c r="BC7" s="217" t="s">
        <v>24</v>
      </c>
      <c r="BD7" s="217" t="s">
        <v>26</v>
      </c>
      <c r="BE7" s="217" t="s">
        <v>866</v>
      </c>
      <c r="BF7" s="217" t="s">
        <v>28</v>
      </c>
      <c r="BG7" s="217" t="s">
        <v>1998</v>
      </c>
      <c r="BH7" s="217" t="s">
        <v>1658</v>
      </c>
      <c r="BI7" s="217" t="s">
        <v>1660</v>
      </c>
      <c r="BJ7" s="217" t="s">
        <v>1660</v>
      </c>
      <c r="BK7" s="217" t="s">
        <v>637</v>
      </c>
      <c r="BL7" s="217"/>
      <c r="BM7" s="217"/>
      <c r="BN7" s="217">
        <v>0</v>
      </c>
      <c r="BO7" s="218">
        <v>0</v>
      </c>
      <c r="BR7" s="217" t="s">
        <v>24</v>
      </c>
      <c r="BS7" s="217" t="s">
        <v>44</v>
      </c>
      <c r="BT7" s="217" t="s">
        <v>49</v>
      </c>
      <c r="BU7" s="217" t="s">
        <v>873</v>
      </c>
      <c r="BV7" s="217">
        <v>66</v>
      </c>
      <c r="BW7" s="217">
        <v>391</v>
      </c>
      <c r="BX7" s="217">
        <v>0</v>
      </c>
      <c r="BY7" s="217">
        <v>0</v>
      </c>
      <c r="BZ7" s="217">
        <v>0</v>
      </c>
      <c r="CA7" s="217">
        <v>0</v>
      </c>
      <c r="CB7" s="217">
        <v>66</v>
      </c>
      <c r="CC7" s="217">
        <v>391</v>
      </c>
      <c r="CD7" s="217">
        <v>0</v>
      </c>
      <c r="CE7" s="217">
        <v>0</v>
      </c>
      <c r="CF7" s="217">
        <v>0</v>
      </c>
      <c r="CG7" s="218">
        <v>0</v>
      </c>
      <c r="CH7" s="218">
        <v>0</v>
      </c>
      <c r="CI7" s="218">
        <v>0</v>
      </c>
      <c r="CJ7" s="218">
        <v>0</v>
      </c>
      <c r="CM7" s="217" t="s">
        <v>24</v>
      </c>
      <c r="CN7" s="217" t="s">
        <v>25</v>
      </c>
      <c r="CO7" s="217" t="s">
        <v>56</v>
      </c>
      <c r="CP7" s="217" t="s">
        <v>57</v>
      </c>
      <c r="CQ7" s="217" t="s">
        <v>31</v>
      </c>
      <c r="CR7" s="217">
        <v>2312</v>
      </c>
      <c r="CS7" s="218">
        <v>2279</v>
      </c>
      <c r="CT7"/>
      <c r="CU7"/>
      <c r="CV7"/>
      <c r="CW7"/>
      <c r="CX7"/>
      <c r="CY7"/>
    </row>
    <row r="8" spans="1:103" x14ac:dyDescent="0.25">
      <c r="A8" s="217" t="s">
        <v>22</v>
      </c>
      <c r="B8" s="217" t="s">
        <v>23</v>
      </c>
      <c r="C8" s="217" t="s">
        <v>24</v>
      </c>
      <c r="D8" s="217" t="s">
        <v>25</v>
      </c>
      <c r="E8" s="217" t="s">
        <v>44</v>
      </c>
      <c r="F8" s="217" t="s">
        <v>45</v>
      </c>
      <c r="G8" s="217" t="s">
        <v>46</v>
      </c>
      <c r="H8" s="217" t="s">
        <v>872</v>
      </c>
      <c r="I8" s="217" t="s">
        <v>29</v>
      </c>
      <c r="J8" s="217" t="s">
        <v>1855</v>
      </c>
      <c r="K8" s="217">
        <v>50</v>
      </c>
      <c r="L8" s="217">
        <v>350</v>
      </c>
      <c r="M8" s="217" t="s">
        <v>31</v>
      </c>
      <c r="N8" s="217" t="s">
        <v>32</v>
      </c>
      <c r="O8" s="217" t="s">
        <v>68</v>
      </c>
      <c r="P8" s="217" t="s">
        <v>34</v>
      </c>
      <c r="Q8" s="217" t="s">
        <v>35</v>
      </c>
      <c r="R8" s="217" t="s">
        <v>23</v>
      </c>
      <c r="S8" s="217" t="s">
        <v>22</v>
      </c>
      <c r="T8" s="217" t="s">
        <v>25</v>
      </c>
      <c r="U8" s="217" t="s">
        <v>24</v>
      </c>
      <c r="V8" s="217" t="s">
        <v>45</v>
      </c>
      <c r="W8" s="217" t="s">
        <v>44</v>
      </c>
      <c r="AD8" s="217" t="s">
        <v>25</v>
      </c>
      <c r="AE8" s="217" t="s">
        <v>24</v>
      </c>
      <c r="AF8" s="217" t="s">
        <v>51</v>
      </c>
      <c r="AG8" s="217" t="s">
        <v>50</v>
      </c>
      <c r="AH8" s="217" t="s">
        <v>53</v>
      </c>
      <c r="AI8" s="217" t="s">
        <v>1858</v>
      </c>
      <c r="AJ8" s="217">
        <v>2</v>
      </c>
      <c r="AK8" s="217">
        <v>8</v>
      </c>
      <c r="AL8" s="217" t="s">
        <v>100</v>
      </c>
      <c r="AM8" s="217" t="s">
        <v>34</v>
      </c>
      <c r="AN8" s="217" t="s">
        <v>138</v>
      </c>
      <c r="AO8" s="217" t="s">
        <v>32</v>
      </c>
      <c r="AP8" s="217" t="s">
        <v>32</v>
      </c>
      <c r="AQ8" s="217" t="s">
        <v>139</v>
      </c>
      <c r="AR8" s="217" t="s">
        <v>139</v>
      </c>
      <c r="AS8" s="217" t="s">
        <v>139</v>
      </c>
      <c r="AT8" s="217" t="s">
        <v>139</v>
      </c>
      <c r="AU8" s="217" t="s">
        <v>2167</v>
      </c>
      <c r="BC8" s="217" t="s">
        <v>24</v>
      </c>
      <c r="BD8" s="217" t="s">
        <v>26</v>
      </c>
      <c r="BE8" s="217" t="s">
        <v>867</v>
      </c>
      <c r="BF8" s="217" t="s">
        <v>38</v>
      </c>
      <c r="BG8" s="217" t="s">
        <v>1998</v>
      </c>
      <c r="BH8" s="217" t="s">
        <v>1658</v>
      </c>
      <c r="BI8" s="217" t="s">
        <v>1660</v>
      </c>
      <c r="BJ8" s="217" t="s">
        <v>1660</v>
      </c>
      <c r="BK8" s="217" t="s">
        <v>637</v>
      </c>
      <c r="BL8" s="217"/>
      <c r="BM8" s="217"/>
      <c r="BN8" s="217">
        <v>0</v>
      </c>
      <c r="BO8" s="218">
        <v>0</v>
      </c>
      <c r="BR8" s="217" t="s">
        <v>24</v>
      </c>
      <c r="BS8" s="217" t="s">
        <v>56</v>
      </c>
      <c r="BT8" s="217" t="s">
        <v>620</v>
      </c>
      <c r="BU8" s="217" t="s">
        <v>904</v>
      </c>
      <c r="BV8" s="217">
        <v>0</v>
      </c>
      <c r="BW8" s="217">
        <v>0</v>
      </c>
      <c r="BX8" s="217">
        <v>0</v>
      </c>
      <c r="BY8" s="217">
        <v>0</v>
      </c>
      <c r="BZ8" s="217">
        <v>0</v>
      </c>
      <c r="CA8" s="217">
        <v>0</v>
      </c>
      <c r="CB8" s="217">
        <v>0</v>
      </c>
      <c r="CC8" s="217">
        <v>0</v>
      </c>
      <c r="CD8" s="217">
        <v>0</v>
      </c>
      <c r="CE8" s="217">
        <v>0</v>
      </c>
      <c r="CF8" s="217">
        <v>0</v>
      </c>
      <c r="CG8" s="218">
        <v>0</v>
      </c>
      <c r="CH8" s="218">
        <v>0</v>
      </c>
      <c r="CI8" s="218">
        <v>0</v>
      </c>
      <c r="CJ8" s="218">
        <v>0</v>
      </c>
      <c r="CM8" s="217" t="s">
        <v>85</v>
      </c>
      <c r="CN8" s="217" t="s">
        <v>84</v>
      </c>
      <c r="CO8" s="217" t="s">
        <v>88</v>
      </c>
      <c r="CP8" s="217" t="s">
        <v>89</v>
      </c>
      <c r="CQ8" s="217" t="s">
        <v>31</v>
      </c>
      <c r="CR8" s="217">
        <v>6531</v>
      </c>
      <c r="CS8" s="218">
        <v>6546</v>
      </c>
      <c r="CT8"/>
      <c r="CU8"/>
      <c r="CV8"/>
      <c r="CW8"/>
      <c r="CX8"/>
      <c r="CY8"/>
    </row>
    <row r="9" spans="1:103" x14ac:dyDescent="0.25">
      <c r="A9" s="217" t="s">
        <v>22</v>
      </c>
      <c r="B9" s="217" t="s">
        <v>23</v>
      </c>
      <c r="C9" s="217" t="s">
        <v>24</v>
      </c>
      <c r="D9" s="217" t="s">
        <v>25</v>
      </c>
      <c r="E9" s="217" t="s">
        <v>44</v>
      </c>
      <c r="F9" s="217" t="s">
        <v>45</v>
      </c>
      <c r="G9" s="217" t="s">
        <v>49</v>
      </c>
      <c r="H9" s="217" t="s">
        <v>873</v>
      </c>
      <c r="I9" s="217" t="s">
        <v>29</v>
      </c>
      <c r="J9" s="217" t="s">
        <v>1855</v>
      </c>
      <c r="K9" s="217">
        <v>66</v>
      </c>
      <c r="L9" s="217">
        <v>391</v>
      </c>
      <c r="M9" s="217" t="s">
        <v>31</v>
      </c>
      <c r="N9" s="217" t="s">
        <v>32</v>
      </c>
      <c r="O9" s="217" t="s">
        <v>68</v>
      </c>
      <c r="P9" s="217" t="s">
        <v>34</v>
      </c>
      <c r="Q9" s="217" t="s">
        <v>35</v>
      </c>
      <c r="R9" s="217" t="s">
        <v>23</v>
      </c>
      <c r="S9" s="217" t="s">
        <v>22</v>
      </c>
      <c r="T9" s="217" t="s">
        <v>25</v>
      </c>
      <c r="U9" s="217" t="s">
        <v>24</v>
      </c>
      <c r="V9" s="217" t="s">
        <v>45</v>
      </c>
      <c r="W9" s="217" t="s">
        <v>44</v>
      </c>
      <c r="AD9" s="217" t="s">
        <v>84</v>
      </c>
      <c r="AE9" s="217" t="s">
        <v>85</v>
      </c>
      <c r="AF9" s="217" t="s">
        <v>89</v>
      </c>
      <c r="AG9" s="217" t="s">
        <v>88</v>
      </c>
      <c r="AH9" s="217" t="s">
        <v>102</v>
      </c>
      <c r="AI9" s="217" t="s">
        <v>1854</v>
      </c>
      <c r="AJ9" s="217">
        <v>92</v>
      </c>
      <c r="AK9" s="217">
        <v>510</v>
      </c>
      <c r="AL9" s="217" t="s">
        <v>141</v>
      </c>
      <c r="AM9" s="217" t="s">
        <v>144</v>
      </c>
      <c r="AN9" s="217" t="s">
        <v>145</v>
      </c>
      <c r="AO9" s="217" t="s">
        <v>32</v>
      </c>
      <c r="AP9" s="217" t="s">
        <v>32</v>
      </c>
      <c r="AQ9" s="217" t="s">
        <v>139</v>
      </c>
      <c r="AR9" s="217" t="s">
        <v>139</v>
      </c>
      <c r="AS9" s="217" t="s">
        <v>139</v>
      </c>
      <c r="AT9" s="217" t="s">
        <v>139</v>
      </c>
      <c r="AU9" s="217" t="s">
        <v>1934</v>
      </c>
      <c r="BC9" s="217" t="s">
        <v>24</v>
      </c>
      <c r="BD9" s="217" t="s">
        <v>26</v>
      </c>
      <c r="BE9" s="217" t="s">
        <v>868</v>
      </c>
      <c r="BF9" s="217" t="s">
        <v>39</v>
      </c>
      <c r="BG9" s="217" t="s">
        <v>1998</v>
      </c>
      <c r="BH9" s="217" t="s">
        <v>1658</v>
      </c>
      <c r="BI9" s="217" t="s">
        <v>1660</v>
      </c>
      <c r="BJ9" s="217" t="s">
        <v>1660</v>
      </c>
      <c r="BK9" s="217" t="s">
        <v>637</v>
      </c>
      <c r="BL9" s="217"/>
      <c r="BM9" s="217"/>
      <c r="BN9" s="217">
        <v>0</v>
      </c>
      <c r="BO9" s="218">
        <v>0</v>
      </c>
      <c r="BR9" s="217" t="s">
        <v>24</v>
      </c>
      <c r="BS9" s="217" t="s">
        <v>56</v>
      </c>
      <c r="BT9" s="217" t="s">
        <v>74</v>
      </c>
      <c r="BU9" s="217" t="s">
        <v>892</v>
      </c>
      <c r="BV9" s="217">
        <v>19</v>
      </c>
      <c r="BW9" s="217">
        <v>90</v>
      </c>
      <c r="BX9" s="217">
        <v>0</v>
      </c>
      <c r="BY9" s="217">
        <v>0</v>
      </c>
      <c r="BZ9" s="217">
        <v>0</v>
      </c>
      <c r="CA9" s="217">
        <v>0</v>
      </c>
      <c r="CB9" s="217">
        <v>19</v>
      </c>
      <c r="CC9" s="217">
        <v>90</v>
      </c>
      <c r="CD9" s="217">
        <v>0</v>
      </c>
      <c r="CE9" s="217">
        <v>0</v>
      </c>
      <c r="CF9" s="217">
        <v>0</v>
      </c>
      <c r="CG9" s="218">
        <v>0</v>
      </c>
      <c r="CH9" s="218">
        <v>0</v>
      </c>
      <c r="CI9" s="218">
        <v>0</v>
      </c>
      <c r="CJ9" s="218">
        <v>0</v>
      </c>
      <c r="CM9" s="217" t="s">
        <v>85</v>
      </c>
      <c r="CN9" s="217" t="s">
        <v>84</v>
      </c>
      <c r="CO9" s="217" t="s">
        <v>88</v>
      </c>
      <c r="CP9" s="217" t="s">
        <v>89</v>
      </c>
      <c r="CQ9" s="217" t="s">
        <v>99</v>
      </c>
      <c r="CR9" s="217">
        <v>2126</v>
      </c>
      <c r="CS9" s="218">
        <v>1963</v>
      </c>
      <c r="CT9"/>
      <c r="CU9"/>
      <c r="CV9"/>
      <c r="CW9"/>
      <c r="CX9"/>
      <c r="CY9"/>
    </row>
    <row r="10" spans="1:103" x14ac:dyDescent="0.25">
      <c r="A10" s="217" t="s">
        <v>22</v>
      </c>
      <c r="B10" s="217" t="s">
        <v>23</v>
      </c>
      <c r="C10" s="217" t="s">
        <v>24</v>
      </c>
      <c r="D10" s="217" t="s">
        <v>25</v>
      </c>
      <c r="E10" s="217" t="s">
        <v>50</v>
      </c>
      <c r="F10" s="217" t="s">
        <v>51</v>
      </c>
      <c r="G10" s="217" t="s">
        <v>52</v>
      </c>
      <c r="H10" s="217" t="s">
        <v>874</v>
      </c>
      <c r="I10" s="217" t="s">
        <v>29</v>
      </c>
      <c r="J10" s="217" t="s">
        <v>1855</v>
      </c>
      <c r="K10" s="217">
        <v>71</v>
      </c>
      <c r="L10" s="217">
        <v>378</v>
      </c>
      <c r="M10" s="217" t="s">
        <v>31</v>
      </c>
      <c r="N10" s="217" t="s">
        <v>32</v>
      </c>
      <c r="O10" s="217" t="s">
        <v>100</v>
      </c>
      <c r="P10" s="217" t="s">
        <v>34</v>
      </c>
      <c r="Q10" s="217" t="s">
        <v>35</v>
      </c>
      <c r="R10" s="217" t="s">
        <v>23</v>
      </c>
      <c r="S10" s="217" t="s">
        <v>22</v>
      </c>
      <c r="T10" s="217" t="s">
        <v>25</v>
      </c>
      <c r="U10" s="217" t="s">
        <v>24</v>
      </c>
      <c r="V10" s="217" t="s">
        <v>51</v>
      </c>
      <c r="W10" s="217" t="s">
        <v>50</v>
      </c>
      <c r="AD10" s="217" t="s">
        <v>84</v>
      </c>
      <c r="AE10" s="217" t="s">
        <v>85</v>
      </c>
      <c r="AF10" s="217" t="s">
        <v>89</v>
      </c>
      <c r="AG10" s="217" t="s">
        <v>88</v>
      </c>
      <c r="AH10" s="217" t="s">
        <v>107</v>
      </c>
      <c r="AI10" s="217" t="s">
        <v>1854</v>
      </c>
      <c r="AJ10" s="217">
        <v>15</v>
      </c>
      <c r="AK10" s="217">
        <v>145</v>
      </c>
      <c r="AL10" s="217" t="s">
        <v>141</v>
      </c>
      <c r="AM10" s="217" t="s">
        <v>142</v>
      </c>
      <c r="AN10" s="217" t="s">
        <v>143</v>
      </c>
      <c r="AO10" s="217" t="s">
        <v>32</v>
      </c>
      <c r="AP10" s="217" t="s">
        <v>32</v>
      </c>
      <c r="AQ10" s="217" t="s">
        <v>139</v>
      </c>
      <c r="AR10" s="217" t="s">
        <v>139</v>
      </c>
      <c r="AS10" s="217" t="s">
        <v>139</v>
      </c>
      <c r="AT10" s="217" t="s">
        <v>139</v>
      </c>
      <c r="AU10" s="217" t="s">
        <v>1702</v>
      </c>
      <c r="BC10" s="217" t="s">
        <v>24</v>
      </c>
      <c r="BD10" s="217" t="s">
        <v>26</v>
      </c>
      <c r="BE10" s="217" t="s">
        <v>869</v>
      </c>
      <c r="BF10" s="217" t="s">
        <v>40</v>
      </c>
      <c r="BG10" s="217" t="s">
        <v>1998</v>
      </c>
      <c r="BH10" s="217" t="s">
        <v>1658</v>
      </c>
      <c r="BI10" s="217" t="s">
        <v>1660</v>
      </c>
      <c r="BJ10" s="217" t="s">
        <v>1660</v>
      </c>
      <c r="BK10" s="217" t="s">
        <v>637</v>
      </c>
      <c r="BL10" s="217"/>
      <c r="BM10" s="217"/>
      <c r="BN10" s="217">
        <v>0</v>
      </c>
      <c r="BO10" s="218">
        <v>0</v>
      </c>
      <c r="BR10" s="217" t="s">
        <v>24</v>
      </c>
      <c r="BS10" s="217" t="s">
        <v>56</v>
      </c>
      <c r="BT10" s="217" t="s">
        <v>617</v>
      </c>
      <c r="BU10" s="217" t="s">
        <v>1497</v>
      </c>
      <c r="BV10" s="217">
        <v>0</v>
      </c>
      <c r="BW10" s="217">
        <v>0</v>
      </c>
      <c r="BX10" s="217">
        <v>24</v>
      </c>
      <c r="BY10" s="217">
        <v>220</v>
      </c>
      <c r="BZ10" s="217">
        <v>0</v>
      </c>
      <c r="CA10" s="217">
        <v>0</v>
      </c>
      <c r="CB10" s="217">
        <v>0</v>
      </c>
      <c r="CC10" s="217">
        <v>0</v>
      </c>
      <c r="CD10" s="217">
        <v>24</v>
      </c>
      <c r="CE10" s="217">
        <v>220</v>
      </c>
      <c r="CF10" s="217">
        <v>0</v>
      </c>
      <c r="CG10" s="218">
        <v>0</v>
      </c>
      <c r="CH10" s="218">
        <v>0</v>
      </c>
      <c r="CI10" s="218">
        <v>0</v>
      </c>
      <c r="CJ10" s="218">
        <v>0</v>
      </c>
      <c r="CM10" s="217" t="s">
        <v>85</v>
      </c>
      <c r="CN10" s="217" t="s">
        <v>84</v>
      </c>
      <c r="CO10" s="217" t="s">
        <v>95</v>
      </c>
      <c r="CP10" s="217" t="s">
        <v>94</v>
      </c>
      <c r="CQ10" s="217" t="s">
        <v>31</v>
      </c>
      <c r="CR10" s="217">
        <v>4423</v>
      </c>
      <c r="CS10" s="218">
        <v>5032</v>
      </c>
      <c r="CT10"/>
      <c r="CU10"/>
      <c r="CV10"/>
      <c r="CW10"/>
      <c r="CX10"/>
      <c r="CY10"/>
    </row>
    <row r="11" spans="1:103" x14ac:dyDescent="0.25">
      <c r="A11" s="217" t="s">
        <v>22</v>
      </c>
      <c r="B11" s="217" t="s">
        <v>23</v>
      </c>
      <c r="C11" s="217" t="s">
        <v>24</v>
      </c>
      <c r="D11" s="217" t="s">
        <v>25</v>
      </c>
      <c r="E11" s="217" t="s">
        <v>50</v>
      </c>
      <c r="F11" s="217" t="s">
        <v>51</v>
      </c>
      <c r="G11" s="217" t="s">
        <v>53</v>
      </c>
      <c r="H11" s="217" t="s">
        <v>875</v>
      </c>
      <c r="I11" s="217" t="s">
        <v>29</v>
      </c>
      <c r="J11" s="217" t="s">
        <v>1855</v>
      </c>
      <c r="K11" s="217">
        <v>131</v>
      </c>
      <c r="L11" s="217">
        <v>672</v>
      </c>
      <c r="M11" s="217" t="s">
        <v>31</v>
      </c>
      <c r="N11" s="217" t="s">
        <v>32</v>
      </c>
      <c r="O11" s="217" t="s">
        <v>100</v>
      </c>
      <c r="P11" s="217" t="s">
        <v>34</v>
      </c>
      <c r="Q11" s="217" t="s">
        <v>35</v>
      </c>
      <c r="R11" s="217" t="s">
        <v>23</v>
      </c>
      <c r="S11" s="217" t="s">
        <v>22</v>
      </c>
      <c r="T11" s="217" t="s">
        <v>25</v>
      </c>
      <c r="U11" s="217" t="s">
        <v>24</v>
      </c>
      <c r="V11" s="217" t="s">
        <v>51</v>
      </c>
      <c r="W11" s="217" t="s">
        <v>50</v>
      </c>
      <c r="AD11" s="217" t="s">
        <v>84</v>
      </c>
      <c r="AE11" s="217" t="s">
        <v>85</v>
      </c>
      <c r="AF11" s="217" t="s">
        <v>109</v>
      </c>
      <c r="AG11" s="217" t="s">
        <v>110</v>
      </c>
      <c r="AH11" s="217" t="s">
        <v>322</v>
      </c>
      <c r="AI11" s="217" t="s">
        <v>1855</v>
      </c>
      <c r="AJ11" s="217">
        <v>25</v>
      </c>
      <c r="AK11" s="217">
        <v>150</v>
      </c>
      <c r="AL11" s="217" t="s">
        <v>100</v>
      </c>
      <c r="AM11" s="217" t="s">
        <v>34</v>
      </c>
      <c r="AN11" s="217" t="s">
        <v>138</v>
      </c>
      <c r="AO11" s="217" t="s">
        <v>32</v>
      </c>
      <c r="AP11" s="217" t="s">
        <v>32</v>
      </c>
      <c r="AQ11" s="217" t="s">
        <v>139</v>
      </c>
      <c r="AR11" s="217" t="s">
        <v>139</v>
      </c>
      <c r="AS11" s="217" t="s">
        <v>139</v>
      </c>
      <c r="AT11" s="217" t="s">
        <v>139</v>
      </c>
      <c r="AU11" s="217" t="s">
        <v>2168</v>
      </c>
      <c r="BC11" s="217" t="s">
        <v>24</v>
      </c>
      <c r="BD11" s="217" t="s">
        <v>26</v>
      </c>
      <c r="BE11" s="217" t="s">
        <v>870</v>
      </c>
      <c r="BF11" s="217" t="s">
        <v>41</v>
      </c>
      <c r="BG11" s="217" t="s">
        <v>1998</v>
      </c>
      <c r="BH11" s="217" t="s">
        <v>1658</v>
      </c>
      <c r="BI11" s="217" t="s">
        <v>1660</v>
      </c>
      <c r="BJ11" s="217" t="s">
        <v>1660</v>
      </c>
      <c r="BK11" s="217" t="s">
        <v>637</v>
      </c>
      <c r="BL11" s="217"/>
      <c r="BM11" s="217"/>
      <c r="BN11" s="217">
        <v>0</v>
      </c>
      <c r="BO11" s="218">
        <v>0</v>
      </c>
      <c r="BR11" s="217" t="s">
        <v>24</v>
      </c>
      <c r="BS11" s="217" t="s">
        <v>56</v>
      </c>
      <c r="BT11" s="217" t="s">
        <v>77</v>
      </c>
      <c r="BU11" s="217" t="s">
        <v>895</v>
      </c>
      <c r="BV11" s="217">
        <v>4</v>
      </c>
      <c r="BW11" s="217">
        <v>16</v>
      </c>
      <c r="BX11" s="217">
        <v>0</v>
      </c>
      <c r="BY11" s="217">
        <v>0</v>
      </c>
      <c r="BZ11" s="217">
        <v>0</v>
      </c>
      <c r="CA11" s="217">
        <v>0</v>
      </c>
      <c r="CB11" s="217">
        <v>4</v>
      </c>
      <c r="CC11" s="217">
        <v>16</v>
      </c>
      <c r="CD11" s="217">
        <v>0</v>
      </c>
      <c r="CE11" s="217">
        <v>0</v>
      </c>
      <c r="CF11" s="217">
        <v>0</v>
      </c>
      <c r="CG11" s="218">
        <v>0</v>
      </c>
      <c r="CH11" s="218">
        <v>0</v>
      </c>
      <c r="CI11" s="218">
        <v>0</v>
      </c>
      <c r="CJ11" s="218">
        <v>0</v>
      </c>
      <c r="CM11" s="217" t="s">
        <v>85</v>
      </c>
      <c r="CN11" s="217" t="s">
        <v>84</v>
      </c>
      <c r="CO11" s="217" t="s">
        <v>92</v>
      </c>
      <c r="CP11" s="217" t="s">
        <v>91</v>
      </c>
      <c r="CQ11" s="217" t="s">
        <v>31</v>
      </c>
      <c r="CR11" s="217">
        <v>31687</v>
      </c>
      <c r="CS11" s="218">
        <v>31852</v>
      </c>
      <c r="CT11"/>
      <c r="CU11"/>
      <c r="CV11"/>
      <c r="CW11"/>
      <c r="CX11"/>
      <c r="CY11"/>
    </row>
    <row r="12" spans="1:103" x14ac:dyDescent="0.25">
      <c r="A12" s="217" t="s">
        <v>22</v>
      </c>
      <c r="B12" s="217" t="s">
        <v>23</v>
      </c>
      <c r="C12" s="217" t="s">
        <v>24</v>
      </c>
      <c r="D12" s="217" t="s">
        <v>25</v>
      </c>
      <c r="E12" s="217" t="s">
        <v>50</v>
      </c>
      <c r="F12" s="217" t="s">
        <v>51</v>
      </c>
      <c r="G12" s="217" t="s">
        <v>54</v>
      </c>
      <c r="H12" s="217" t="s">
        <v>876</v>
      </c>
      <c r="I12" s="217" t="s">
        <v>29</v>
      </c>
      <c r="J12" s="217" t="s">
        <v>1855</v>
      </c>
      <c r="K12" s="217">
        <v>195</v>
      </c>
      <c r="L12" s="217">
        <v>1110</v>
      </c>
      <c r="M12" s="217" t="s">
        <v>31</v>
      </c>
      <c r="N12" s="217" t="s">
        <v>32</v>
      </c>
      <c r="O12" s="217" t="s">
        <v>33</v>
      </c>
      <c r="P12" s="217" t="s">
        <v>34</v>
      </c>
      <c r="Q12" s="217" t="s">
        <v>35</v>
      </c>
      <c r="R12" s="217" t="s">
        <v>23</v>
      </c>
      <c r="S12" s="217" t="s">
        <v>22</v>
      </c>
      <c r="T12" s="217" t="s">
        <v>47</v>
      </c>
      <c r="U12" s="217" t="s">
        <v>48</v>
      </c>
      <c r="V12" s="217" t="s">
        <v>231</v>
      </c>
      <c r="W12" s="217" t="s">
        <v>232</v>
      </c>
      <c r="AD12" s="217" t="s">
        <v>84</v>
      </c>
      <c r="AE12" s="217" t="s">
        <v>85</v>
      </c>
      <c r="AF12" s="217" t="s">
        <v>109</v>
      </c>
      <c r="AG12" s="217" t="s">
        <v>110</v>
      </c>
      <c r="AH12" s="217" t="s">
        <v>322</v>
      </c>
      <c r="AI12" s="217" t="s">
        <v>1858</v>
      </c>
      <c r="AJ12" s="217">
        <v>171</v>
      </c>
      <c r="AK12" s="217">
        <v>1418</v>
      </c>
      <c r="AL12" s="217" t="s">
        <v>100</v>
      </c>
      <c r="AM12" s="217" t="s">
        <v>34</v>
      </c>
      <c r="AN12" s="217" t="s">
        <v>138</v>
      </c>
      <c r="AO12" s="217" t="s">
        <v>32</v>
      </c>
      <c r="AP12" s="217" t="s">
        <v>32</v>
      </c>
      <c r="AQ12" s="217" t="s">
        <v>139</v>
      </c>
      <c r="AR12" s="217" t="s">
        <v>139</v>
      </c>
      <c r="AS12" s="217" t="s">
        <v>139</v>
      </c>
      <c r="AT12" s="217" t="s">
        <v>139</v>
      </c>
      <c r="AU12" s="217" t="s">
        <v>2169</v>
      </c>
      <c r="BC12" s="217" t="s">
        <v>24</v>
      </c>
      <c r="BD12" s="217" t="s">
        <v>26</v>
      </c>
      <c r="BE12" s="217" t="s">
        <v>871</v>
      </c>
      <c r="BF12" s="217" t="s">
        <v>43</v>
      </c>
      <c r="BG12" s="217" t="s">
        <v>1998</v>
      </c>
      <c r="BH12" s="217" t="s">
        <v>1658</v>
      </c>
      <c r="BI12" s="217" t="s">
        <v>1660</v>
      </c>
      <c r="BJ12" s="217" t="s">
        <v>1660</v>
      </c>
      <c r="BK12" s="217" t="s">
        <v>637</v>
      </c>
      <c r="BL12" s="217"/>
      <c r="BM12" s="217"/>
      <c r="BN12" s="217">
        <v>0</v>
      </c>
      <c r="BO12" s="218">
        <v>0</v>
      </c>
      <c r="BR12" s="217" t="s">
        <v>24</v>
      </c>
      <c r="BS12" s="217" t="s">
        <v>56</v>
      </c>
      <c r="BT12" s="217" t="s">
        <v>78</v>
      </c>
      <c r="BU12" s="217" t="s">
        <v>896</v>
      </c>
      <c r="BV12" s="217">
        <v>1</v>
      </c>
      <c r="BW12" s="217">
        <v>6</v>
      </c>
      <c r="BX12" s="217">
        <v>0</v>
      </c>
      <c r="BY12" s="217">
        <v>0</v>
      </c>
      <c r="BZ12" s="217">
        <v>0</v>
      </c>
      <c r="CA12" s="217">
        <v>0</v>
      </c>
      <c r="CB12" s="217">
        <v>1</v>
      </c>
      <c r="CC12" s="217">
        <v>6</v>
      </c>
      <c r="CD12" s="217">
        <v>0</v>
      </c>
      <c r="CE12" s="217">
        <v>0</v>
      </c>
      <c r="CF12" s="217">
        <v>0</v>
      </c>
      <c r="CG12" s="218">
        <v>0</v>
      </c>
      <c r="CH12" s="218">
        <v>0</v>
      </c>
      <c r="CI12" s="218">
        <v>0</v>
      </c>
      <c r="CJ12" s="218">
        <v>0</v>
      </c>
      <c r="CM12" s="217" t="s">
        <v>85</v>
      </c>
      <c r="CN12" s="217" t="s">
        <v>84</v>
      </c>
      <c r="CO12" s="217" t="s">
        <v>173</v>
      </c>
      <c r="CP12" s="217" t="s">
        <v>172</v>
      </c>
      <c r="CQ12" s="217" t="s">
        <v>31</v>
      </c>
      <c r="CR12" s="217">
        <v>2381</v>
      </c>
      <c r="CS12" s="218">
        <v>2385</v>
      </c>
      <c r="CT12"/>
      <c r="CU12"/>
      <c r="CV12"/>
      <c r="CW12"/>
      <c r="CX12"/>
      <c r="CY12"/>
    </row>
    <row r="13" spans="1:103" x14ac:dyDescent="0.25">
      <c r="A13" s="217" t="s">
        <v>22</v>
      </c>
      <c r="B13" s="217" t="s">
        <v>23</v>
      </c>
      <c r="C13" s="217" t="s">
        <v>24</v>
      </c>
      <c r="D13" s="217" t="s">
        <v>25</v>
      </c>
      <c r="E13" s="217" t="s">
        <v>50</v>
      </c>
      <c r="F13" s="217" t="s">
        <v>51</v>
      </c>
      <c r="G13" s="217" t="s">
        <v>55</v>
      </c>
      <c r="H13" s="217" t="s">
        <v>877</v>
      </c>
      <c r="I13" s="217" t="s">
        <v>29</v>
      </c>
      <c r="J13" s="217" t="s">
        <v>1855</v>
      </c>
      <c r="K13" s="217">
        <v>8</v>
      </c>
      <c r="L13" s="217">
        <v>79</v>
      </c>
      <c r="M13" s="217" t="s">
        <v>31</v>
      </c>
      <c r="N13" s="217" t="s">
        <v>32</v>
      </c>
      <c r="O13" s="217" t="s">
        <v>33</v>
      </c>
      <c r="P13" s="217" t="s">
        <v>34</v>
      </c>
      <c r="Q13" s="217" t="s">
        <v>35</v>
      </c>
      <c r="R13" s="217" t="s">
        <v>23</v>
      </c>
      <c r="S13" s="217" t="s">
        <v>22</v>
      </c>
      <c r="T13" s="217" t="s">
        <v>47</v>
      </c>
      <c r="U13" s="217" t="s">
        <v>48</v>
      </c>
      <c r="V13" s="217" t="s">
        <v>231</v>
      </c>
      <c r="W13" s="217" t="s">
        <v>232</v>
      </c>
      <c r="AD13" s="217" t="s">
        <v>84</v>
      </c>
      <c r="AE13" s="217" t="s">
        <v>85</v>
      </c>
      <c r="AF13" s="217" t="s">
        <v>109</v>
      </c>
      <c r="AG13" s="217" t="s">
        <v>110</v>
      </c>
      <c r="AH13" s="217" t="s">
        <v>146</v>
      </c>
      <c r="AI13" s="217" t="s">
        <v>1858</v>
      </c>
      <c r="AJ13" s="217">
        <v>85</v>
      </c>
      <c r="AK13" s="217">
        <v>414</v>
      </c>
      <c r="AL13" s="217" t="s">
        <v>68</v>
      </c>
      <c r="AM13" s="217" t="s">
        <v>34</v>
      </c>
      <c r="AN13" s="217" t="s">
        <v>138</v>
      </c>
      <c r="AO13" s="217" t="s">
        <v>32</v>
      </c>
      <c r="AP13" s="217" t="s">
        <v>32</v>
      </c>
      <c r="AQ13" s="217" t="s">
        <v>139</v>
      </c>
      <c r="AR13" s="217" t="s">
        <v>139</v>
      </c>
      <c r="AS13" s="217" t="s">
        <v>94</v>
      </c>
      <c r="AT13" s="217" t="s">
        <v>95</v>
      </c>
      <c r="AU13" s="217" t="s">
        <v>2170</v>
      </c>
      <c r="BC13" s="217" t="s">
        <v>24</v>
      </c>
      <c r="BD13" s="217" t="s">
        <v>44</v>
      </c>
      <c r="BE13" s="217" t="s">
        <v>872</v>
      </c>
      <c r="BF13" s="217" t="s">
        <v>46</v>
      </c>
      <c r="BG13" s="217" t="s">
        <v>1998</v>
      </c>
      <c r="BH13" s="217" t="s">
        <v>1658</v>
      </c>
      <c r="BI13" s="217" t="s">
        <v>1660</v>
      </c>
      <c r="BJ13" s="217" t="s">
        <v>1660</v>
      </c>
      <c r="BK13" s="217" t="s">
        <v>637</v>
      </c>
      <c r="BL13" s="217"/>
      <c r="BM13" s="217"/>
      <c r="BN13" s="217">
        <v>0</v>
      </c>
      <c r="BO13" s="218">
        <v>0</v>
      </c>
      <c r="BR13" s="217" t="s">
        <v>24</v>
      </c>
      <c r="BS13" s="217" t="s">
        <v>56</v>
      </c>
      <c r="BT13" s="217" t="s">
        <v>83</v>
      </c>
      <c r="BU13" s="217" t="s">
        <v>901</v>
      </c>
      <c r="BV13" s="217">
        <v>7</v>
      </c>
      <c r="BW13" s="217">
        <v>48</v>
      </c>
      <c r="BX13" s="217">
        <v>0</v>
      </c>
      <c r="BY13" s="217">
        <v>0</v>
      </c>
      <c r="BZ13" s="217">
        <v>0</v>
      </c>
      <c r="CA13" s="217">
        <v>0</v>
      </c>
      <c r="CB13" s="217">
        <v>7</v>
      </c>
      <c r="CC13" s="217">
        <v>48</v>
      </c>
      <c r="CD13" s="217">
        <v>0</v>
      </c>
      <c r="CE13" s="217">
        <v>0</v>
      </c>
      <c r="CF13" s="217">
        <v>0</v>
      </c>
      <c r="CG13" s="218">
        <v>0</v>
      </c>
      <c r="CH13" s="218">
        <v>0</v>
      </c>
      <c r="CI13" s="218">
        <v>0</v>
      </c>
      <c r="CJ13" s="218">
        <v>0</v>
      </c>
      <c r="CM13" s="217" t="s">
        <v>85</v>
      </c>
      <c r="CN13" s="217" t="s">
        <v>84</v>
      </c>
      <c r="CO13" s="217" t="s">
        <v>110</v>
      </c>
      <c r="CP13" s="217" t="s">
        <v>109</v>
      </c>
      <c r="CQ13" s="217" t="s">
        <v>31</v>
      </c>
      <c r="CR13" s="217">
        <v>6303</v>
      </c>
      <c r="CS13" s="218">
        <v>5993</v>
      </c>
      <c r="CT13"/>
      <c r="CU13"/>
      <c r="CV13"/>
      <c r="CW13"/>
      <c r="CX13"/>
      <c r="CY13"/>
    </row>
    <row r="14" spans="1:103" x14ac:dyDescent="0.25">
      <c r="A14" s="217" t="s">
        <v>22</v>
      </c>
      <c r="B14" s="217" t="s">
        <v>23</v>
      </c>
      <c r="C14" s="217" t="s">
        <v>24</v>
      </c>
      <c r="D14" s="217" t="s">
        <v>25</v>
      </c>
      <c r="E14" s="217" t="s">
        <v>665</v>
      </c>
      <c r="F14" s="217" t="s">
        <v>666</v>
      </c>
      <c r="G14" s="217" t="s">
        <v>667</v>
      </c>
      <c r="H14" s="217" t="s">
        <v>878</v>
      </c>
      <c r="I14" s="217" t="s">
        <v>29</v>
      </c>
      <c r="J14" s="217" t="s">
        <v>1855</v>
      </c>
      <c r="K14" s="217">
        <v>8</v>
      </c>
      <c r="L14" s="217">
        <v>36</v>
      </c>
      <c r="M14" s="217" t="s">
        <v>31</v>
      </c>
      <c r="N14" s="217" t="s">
        <v>32</v>
      </c>
      <c r="O14" s="217" t="s">
        <v>33</v>
      </c>
      <c r="P14" s="217" t="s">
        <v>34</v>
      </c>
      <c r="Q14" s="217" t="s">
        <v>35</v>
      </c>
      <c r="R14" s="217" t="s">
        <v>23</v>
      </c>
      <c r="S14" s="217" t="s">
        <v>22</v>
      </c>
      <c r="T14" s="217" t="s">
        <v>47</v>
      </c>
      <c r="U14" s="217" t="s">
        <v>48</v>
      </c>
      <c r="V14" s="217" t="s">
        <v>231</v>
      </c>
      <c r="W14" s="217" t="s">
        <v>232</v>
      </c>
      <c r="AD14" s="217" t="s">
        <v>84</v>
      </c>
      <c r="AE14" s="217" t="s">
        <v>85</v>
      </c>
      <c r="AF14" s="217" t="s">
        <v>109</v>
      </c>
      <c r="AG14" s="217" t="s">
        <v>110</v>
      </c>
      <c r="AH14" s="217" t="s">
        <v>147</v>
      </c>
      <c r="AI14" s="217" t="s">
        <v>1858</v>
      </c>
      <c r="AJ14" s="217">
        <v>167</v>
      </c>
      <c r="AK14" s="217">
        <v>1022</v>
      </c>
      <c r="AL14" s="217" t="s">
        <v>100</v>
      </c>
      <c r="AM14" s="217" t="s">
        <v>34</v>
      </c>
      <c r="AN14" s="217" t="s">
        <v>138</v>
      </c>
      <c r="AO14" s="217" t="s">
        <v>32</v>
      </c>
      <c r="AP14" s="217" t="s">
        <v>32</v>
      </c>
      <c r="AQ14" s="217" t="s">
        <v>139</v>
      </c>
      <c r="AR14" s="217" t="s">
        <v>139</v>
      </c>
      <c r="AS14" s="217" t="s">
        <v>139</v>
      </c>
      <c r="AT14" s="217" t="s">
        <v>139</v>
      </c>
      <c r="AU14" s="217" t="s">
        <v>2171</v>
      </c>
      <c r="BC14" s="217" t="s">
        <v>24</v>
      </c>
      <c r="BD14" s="217" t="s">
        <v>44</v>
      </c>
      <c r="BE14" s="217" t="s">
        <v>873</v>
      </c>
      <c r="BF14" s="217" t="s">
        <v>49</v>
      </c>
      <c r="BG14" s="217" t="s">
        <v>1998</v>
      </c>
      <c r="BH14" s="217" t="s">
        <v>1658</v>
      </c>
      <c r="BI14" s="217" t="s">
        <v>1660</v>
      </c>
      <c r="BJ14" s="217" t="s">
        <v>1660</v>
      </c>
      <c r="BK14" s="217" t="s">
        <v>637</v>
      </c>
      <c r="BL14" s="217"/>
      <c r="BM14" s="217"/>
      <c r="BN14" s="217">
        <v>0</v>
      </c>
      <c r="BO14" s="218">
        <v>0</v>
      </c>
      <c r="BR14" s="217" t="s">
        <v>24</v>
      </c>
      <c r="BS14" s="217" t="s">
        <v>56</v>
      </c>
      <c r="BT14" s="217" t="s">
        <v>82</v>
      </c>
      <c r="BU14" s="217" t="s">
        <v>900</v>
      </c>
      <c r="BV14" s="217">
        <v>4</v>
      </c>
      <c r="BW14" s="217">
        <v>25</v>
      </c>
      <c r="BX14" s="217">
        <v>0</v>
      </c>
      <c r="BY14" s="217">
        <v>0</v>
      </c>
      <c r="BZ14" s="217">
        <v>0</v>
      </c>
      <c r="CA14" s="217">
        <v>0</v>
      </c>
      <c r="CB14" s="217">
        <v>4</v>
      </c>
      <c r="CC14" s="217">
        <v>25</v>
      </c>
      <c r="CD14" s="217">
        <v>0</v>
      </c>
      <c r="CE14" s="217">
        <v>0</v>
      </c>
      <c r="CF14" s="217">
        <v>0</v>
      </c>
      <c r="CG14" s="218">
        <v>0</v>
      </c>
      <c r="CH14" s="218">
        <v>0</v>
      </c>
      <c r="CI14" s="218">
        <v>0</v>
      </c>
      <c r="CJ14" s="218">
        <v>0</v>
      </c>
      <c r="CM14" s="217" t="s">
        <v>85</v>
      </c>
      <c r="CN14" s="217" t="s">
        <v>84</v>
      </c>
      <c r="CO14" s="217" t="s">
        <v>157</v>
      </c>
      <c r="CP14" s="217" t="s">
        <v>156</v>
      </c>
      <c r="CQ14" s="217" t="s">
        <v>637</v>
      </c>
      <c r="CR14" s="217">
        <v>83</v>
      </c>
      <c r="CS14" s="218">
        <v>83</v>
      </c>
      <c r="CT14"/>
      <c r="CU14"/>
      <c r="CV14"/>
      <c r="CW14"/>
      <c r="CX14"/>
      <c r="CY14"/>
    </row>
    <row r="15" spans="1:103" x14ac:dyDescent="0.25">
      <c r="A15" s="217" t="s">
        <v>22</v>
      </c>
      <c r="B15" s="217" t="s">
        <v>23</v>
      </c>
      <c r="C15" s="217" t="s">
        <v>24</v>
      </c>
      <c r="D15" s="217" t="s">
        <v>25</v>
      </c>
      <c r="E15" s="217" t="s">
        <v>56</v>
      </c>
      <c r="F15" s="217" t="s">
        <v>57</v>
      </c>
      <c r="G15" s="217" t="s">
        <v>58</v>
      </c>
      <c r="H15" s="217" t="s">
        <v>879</v>
      </c>
      <c r="I15" s="217" t="s">
        <v>29</v>
      </c>
      <c r="J15" s="217" t="s">
        <v>1855</v>
      </c>
      <c r="K15" s="217">
        <v>3</v>
      </c>
      <c r="L15" s="217">
        <v>18</v>
      </c>
      <c r="M15" s="217" t="s">
        <v>31</v>
      </c>
      <c r="N15" s="217" t="s">
        <v>32</v>
      </c>
      <c r="O15" s="217" t="s">
        <v>33</v>
      </c>
      <c r="P15" s="217" t="s">
        <v>34</v>
      </c>
      <c r="Q15" s="217" t="s">
        <v>35</v>
      </c>
      <c r="R15" s="217" t="s">
        <v>23</v>
      </c>
      <c r="S15" s="217" t="s">
        <v>22</v>
      </c>
      <c r="T15" s="217" t="s">
        <v>47</v>
      </c>
      <c r="U15" s="217" t="s">
        <v>48</v>
      </c>
      <c r="V15" s="217" t="s">
        <v>61</v>
      </c>
      <c r="W15" s="217" t="s">
        <v>62</v>
      </c>
      <c r="AD15" s="217" t="s">
        <v>84</v>
      </c>
      <c r="AE15" s="217" t="s">
        <v>85</v>
      </c>
      <c r="AF15" s="217" t="s">
        <v>109</v>
      </c>
      <c r="AG15" s="217" t="s">
        <v>110</v>
      </c>
      <c r="AH15" s="217" t="s">
        <v>326</v>
      </c>
      <c r="AI15" s="217" t="s">
        <v>1858</v>
      </c>
      <c r="AJ15" s="217">
        <v>98</v>
      </c>
      <c r="AK15" s="217">
        <v>590</v>
      </c>
      <c r="AL15" s="217" t="s">
        <v>100</v>
      </c>
      <c r="AM15" s="217" t="s">
        <v>34</v>
      </c>
      <c r="AN15" s="217" t="s">
        <v>138</v>
      </c>
      <c r="AO15" s="217" t="s">
        <v>32</v>
      </c>
      <c r="AP15" s="217" t="s">
        <v>32</v>
      </c>
      <c r="AQ15" s="217" t="s">
        <v>139</v>
      </c>
      <c r="AR15" s="217" t="s">
        <v>139</v>
      </c>
      <c r="AS15" s="217" t="s">
        <v>139</v>
      </c>
      <c r="AT15" s="217" t="s">
        <v>139</v>
      </c>
      <c r="AU15" s="217" t="s">
        <v>2171</v>
      </c>
      <c r="BC15" s="217" t="s">
        <v>24</v>
      </c>
      <c r="BD15" s="217" t="s">
        <v>50</v>
      </c>
      <c r="BE15" s="217" t="s">
        <v>874</v>
      </c>
      <c r="BF15" s="217" t="s">
        <v>52</v>
      </c>
      <c r="BG15" s="217" t="s">
        <v>1998</v>
      </c>
      <c r="BH15" s="217" t="s">
        <v>1658</v>
      </c>
      <c r="BI15" s="217" t="s">
        <v>1660</v>
      </c>
      <c r="BJ15" s="217" t="s">
        <v>1660</v>
      </c>
      <c r="BK15" s="217" t="s">
        <v>637</v>
      </c>
      <c r="BL15" s="217"/>
      <c r="BM15" s="217"/>
      <c r="BN15" s="217">
        <v>0</v>
      </c>
      <c r="BO15" s="218">
        <v>0</v>
      </c>
      <c r="BR15" s="217" t="s">
        <v>24</v>
      </c>
      <c r="BS15" s="217" t="s">
        <v>56</v>
      </c>
      <c r="BT15" s="217" t="s">
        <v>64</v>
      </c>
      <c r="BU15" s="217" t="s">
        <v>883</v>
      </c>
      <c r="BV15" s="217">
        <v>7</v>
      </c>
      <c r="BW15" s="217">
        <v>36</v>
      </c>
      <c r="BX15" s="217">
        <v>0</v>
      </c>
      <c r="BY15" s="217">
        <v>0</v>
      </c>
      <c r="BZ15" s="217">
        <v>0</v>
      </c>
      <c r="CA15" s="217">
        <v>0</v>
      </c>
      <c r="CB15" s="217">
        <v>7</v>
      </c>
      <c r="CC15" s="217">
        <v>36</v>
      </c>
      <c r="CD15" s="217">
        <v>0</v>
      </c>
      <c r="CE15" s="217">
        <v>0</v>
      </c>
      <c r="CF15" s="217">
        <v>0</v>
      </c>
      <c r="CG15" s="218">
        <v>0</v>
      </c>
      <c r="CH15" s="218">
        <v>0</v>
      </c>
      <c r="CI15" s="218">
        <v>0</v>
      </c>
      <c r="CJ15" s="218">
        <v>0</v>
      </c>
      <c r="CM15" s="217" t="s">
        <v>85</v>
      </c>
      <c r="CN15" s="217" t="s">
        <v>84</v>
      </c>
      <c r="CO15" s="217" t="s">
        <v>157</v>
      </c>
      <c r="CP15" s="217" t="s">
        <v>156</v>
      </c>
      <c r="CQ15" s="217" t="s">
        <v>31</v>
      </c>
      <c r="CR15" s="217">
        <v>19896</v>
      </c>
      <c r="CS15" s="218">
        <v>20045</v>
      </c>
      <c r="CT15"/>
      <c r="CU15"/>
      <c r="CV15"/>
      <c r="CW15"/>
      <c r="CX15"/>
      <c r="CY15"/>
    </row>
    <row r="16" spans="1:103" x14ac:dyDescent="0.25">
      <c r="A16" s="217" t="s">
        <v>22</v>
      </c>
      <c r="B16" s="217" t="s">
        <v>23</v>
      </c>
      <c r="C16" s="217" t="s">
        <v>24</v>
      </c>
      <c r="D16" s="217" t="s">
        <v>25</v>
      </c>
      <c r="E16" s="217" t="s">
        <v>56</v>
      </c>
      <c r="F16" s="217" t="s">
        <v>57</v>
      </c>
      <c r="G16" s="217" t="s">
        <v>59</v>
      </c>
      <c r="H16" s="217" t="s">
        <v>880</v>
      </c>
      <c r="I16" s="217" t="s">
        <v>29</v>
      </c>
      <c r="J16" s="217" t="s">
        <v>1855</v>
      </c>
      <c r="K16" s="217">
        <v>2</v>
      </c>
      <c r="L16" s="217">
        <v>19</v>
      </c>
      <c r="M16" s="217" t="s">
        <v>31</v>
      </c>
      <c r="N16" s="217" t="s">
        <v>32</v>
      </c>
      <c r="O16" s="217" t="s">
        <v>100</v>
      </c>
      <c r="P16" s="217" t="s">
        <v>34</v>
      </c>
      <c r="Q16" s="217" t="s">
        <v>35</v>
      </c>
      <c r="R16" s="217" t="s">
        <v>23</v>
      </c>
      <c r="S16" s="217" t="s">
        <v>22</v>
      </c>
      <c r="T16" s="217" t="s">
        <v>25</v>
      </c>
      <c r="U16" s="217" t="s">
        <v>24</v>
      </c>
      <c r="V16" s="217" t="s">
        <v>57</v>
      </c>
      <c r="W16" s="217" t="s">
        <v>56</v>
      </c>
      <c r="AD16" s="217" t="s">
        <v>84</v>
      </c>
      <c r="AE16" s="217" t="s">
        <v>85</v>
      </c>
      <c r="AF16" s="217" t="s">
        <v>109</v>
      </c>
      <c r="AG16" s="217" t="s">
        <v>110</v>
      </c>
      <c r="AH16" s="217" t="s">
        <v>148</v>
      </c>
      <c r="AI16" s="217" t="s">
        <v>1856</v>
      </c>
      <c r="AJ16" s="217">
        <v>19</v>
      </c>
      <c r="AK16" s="217">
        <v>95</v>
      </c>
      <c r="AL16" s="217" t="s">
        <v>100</v>
      </c>
      <c r="AM16" s="217" t="s">
        <v>34</v>
      </c>
      <c r="AN16" s="217" t="s">
        <v>138</v>
      </c>
      <c r="AO16" s="217" t="s">
        <v>32</v>
      </c>
      <c r="AP16" s="217" t="s">
        <v>32</v>
      </c>
      <c r="AQ16" s="217" t="s">
        <v>139</v>
      </c>
      <c r="AR16" s="217" t="s">
        <v>139</v>
      </c>
      <c r="AS16" s="217" t="s">
        <v>139</v>
      </c>
      <c r="AT16" s="217" t="s">
        <v>139</v>
      </c>
      <c r="AU16" s="217" t="s">
        <v>2172</v>
      </c>
      <c r="BC16" s="217" t="s">
        <v>24</v>
      </c>
      <c r="BD16" s="217" t="s">
        <v>50</v>
      </c>
      <c r="BE16" s="217" t="s">
        <v>875</v>
      </c>
      <c r="BF16" s="217" t="s">
        <v>53</v>
      </c>
      <c r="BG16" s="217" t="s">
        <v>1998</v>
      </c>
      <c r="BH16" s="217" t="s">
        <v>1658</v>
      </c>
      <c r="BI16" s="217" t="s">
        <v>1660</v>
      </c>
      <c r="BJ16" s="217" t="s">
        <v>1660</v>
      </c>
      <c r="BK16" s="217" t="s">
        <v>637</v>
      </c>
      <c r="BL16" s="217"/>
      <c r="BM16" s="217"/>
      <c r="BN16" s="217">
        <v>0</v>
      </c>
      <c r="BO16" s="218">
        <v>0</v>
      </c>
      <c r="BR16" s="217" t="s">
        <v>24</v>
      </c>
      <c r="BS16" s="217" t="s">
        <v>56</v>
      </c>
      <c r="BT16" s="217" t="s">
        <v>75</v>
      </c>
      <c r="BU16" s="217" t="s">
        <v>893</v>
      </c>
      <c r="BV16" s="217">
        <v>13</v>
      </c>
      <c r="BW16" s="217">
        <v>68</v>
      </c>
      <c r="BX16" s="217">
        <v>0</v>
      </c>
      <c r="BY16" s="217">
        <v>0</v>
      </c>
      <c r="BZ16" s="217">
        <v>0</v>
      </c>
      <c r="CA16" s="217">
        <v>0</v>
      </c>
      <c r="CB16" s="217">
        <v>12</v>
      </c>
      <c r="CC16" s="217">
        <v>64</v>
      </c>
      <c r="CD16" s="217">
        <v>0</v>
      </c>
      <c r="CE16" s="217">
        <v>0</v>
      </c>
      <c r="CF16" s="217">
        <v>0</v>
      </c>
      <c r="CG16" s="218">
        <v>0</v>
      </c>
      <c r="CH16" s="218">
        <v>4</v>
      </c>
      <c r="CI16" s="218">
        <v>0</v>
      </c>
      <c r="CJ16" s="218">
        <v>0</v>
      </c>
      <c r="CM16" s="217" t="s">
        <v>85</v>
      </c>
      <c r="CN16" s="217" t="s">
        <v>84</v>
      </c>
      <c r="CO16" s="217" t="s">
        <v>157</v>
      </c>
      <c r="CP16" s="217" t="s">
        <v>156</v>
      </c>
      <c r="CQ16" s="217" t="s">
        <v>99</v>
      </c>
      <c r="CR16" s="217">
        <v>40</v>
      </c>
      <c r="CS16" s="218">
        <v>45</v>
      </c>
      <c r="CT16"/>
      <c r="CU16"/>
      <c r="CV16"/>
      <c r="CW16"/>
      <c r="CX16"/>
      <c r="CY16"/>
    </row>
    <row r="17" spans="1:103" x14ac:dyDescent="0.25">
      <c r="A17" s="217" t="s">
        <v>22</v>
      </c>
      <c r="B17" s="217" t="s">
        <v>23</v>
      </c>
      <c r="C17" s="217" t="s">
        <v>24</v>
      </c>
      <c r="D17" s="217" t="s">
        <v>25</v>
      </c>
      <c r="E17" s="217" t="s">
        <v>56</v>
      </c>
      <c r="F17" s="217" t="s">
        <v>57</v>
      </c>
      <c r="G17" s="217" t="s">
        <v>60</v>
      </c>
      <c r="H17" s="217" t="s">
        <v>881</v>
      </c>
      <c r="I17" s="217" t="s">
        <v>29</v>
      </c>
      <c r="J17" s="217" t="s">
        <v>1855</v>
      </c>
      <c r="K17" s="217">
        <v>19</v>
      </c>
      <c r="L17" s="217">
        <v>165</v>
      </c>
      <c r="M17" s="217" t="s">
        <v>31</v>
      </c>
      <c r="N17" s="217" t="s">
        <v>32</v>
      </c>
      <c r="O17" s="217" t="s">
        <v>33</v>
      </c>
      <c r="P17" s="217" t="s">
        <v>34</v>
      </c>
      <c r="Q17" s="217" t="s">
        <v>35</v>
      </c>
      <c r="R17" s="217" t="s">
        <v>23</v>
      </c>
      <c r="S17" s="217" t="s">
        <v>22</v>
      </c>
      <c r="T17" s="217" t="s">
        <v>47</v>
      </c>
      <c r="U17" s="217" t="s">
        <v>48</v>
      </c>
      <c r="V17" s="217" t="s">
        <v>61</v>
      </c>
      <c r="W17" s="217" t="s">
        <v>62</v>
      </c>
      <c r="AD17" s="217" t="s">
        <v>84</v>
      </c>
      <c r="AE17" s="217" t="s">
        <v>85</v>
      </c>
      <c r="AF17" s="217" t="s">
        <v>109</v>
      </c>
      <c r="AG17" s="217" t="s">
        <v>110</v>
      </c>
      <c r="AH17" s="217" t="s">
        <v>148</v>
      </c>
      <c r="AI17" s="217" t="s">
        <v>1857</v>
      </c>
      <c r="AJ17" s="217">
        <v>10</v>
      </c>
      <c r="AK17" s="217">
        <v>50</v>
      </c>
      <c r="AL17" s="217" t="s">
        <v>68</v>
      </c>
      <c r="AM17" s="217" t="s">
        <v>34</v>
      </c>
      <c r="AN17" s="217" t="s">
        <v>138</v>
      </c>
      <c r="AO17" s="217" t="s">
        <v>32</v>
      </c>
      <c r="AP17" s="217" t="s">
        <v>32</v>
      </c>
      <c r="AQ17" s="217" t="s">
        <v>139</v>
      </c>
      <c r="AR17" s="217" t="s">
        <v>139</v>
      </c>
      <c r="AS17" s="217" t="s">
        <v>97</v>
      </c>
      <c r="AT17" s="217" t="s">
        <v>98</v>
      </c>
      <c r="AU17" s="217" t="s">
        <v>32</v>
      </c>
      <c r="BC17" s="217" t="s">
        <v>24</v>
      </c>
      <c r="BD17" s="217" t="s">
        <v>50</v>
      </c>
      <c r="BE17" s="217" t="s">
        <v>876</v>
      </c>
      <c r="BF17" s="217" t="s">
        <v>54</v>
      </c>
      <c r="BG17" s="217" t="s">
        <v>1998</v>
      </c>
      <c r="BH17" s="217" t="s">
        <v>1658</v>
      </c>
      <c r="BI17" s="217" t="s">
        <v>1660</v>
      </c>
      <c r="BJ17" s="217" t="s">
        <v>1660</v>
      </c>
      <c r="BK17" s="217" t="s">
        <v>637</v>
      </c>
      <c r="BL17" s="217"/>
      <c r="BM17" s="217"/>
      <c r="BN17" s="217">
        <v>0</v>
      </c>
      <c r="BO17" s="218">
        <v>0</v>
      </c>
      <c r="BR17" s="217" t="s">
        <v>24</v>
      </c>
      <c r="BS17" s="217" t="s">
        <v>56</v>
      </c>
      <c r="BT17" s="217" t="s">
        <v>66</v>
      </c>
      <c r="BU17" s="217" t="s">
        <v>885</v>
      </c>
      <c r="BV17" s="217">
        <v>0</v>
      </c>
      <c r="BW17" s="217">
        <v>0</v>
      </c>
      <c r="BX17" s="217">
        <v>0</v>
      </c>
      <c r="BY17" s="217">
        <v>0</v>
      </c>
      <c r="BZ17" s="217">
        <v>0</v>
      </c>
      <c r="CA17" s="217">
        <v>0</v>
      </c>
      <c r="CB17" s="217">
        <v>0</v>
      </c>
      <c r="CC17" s="217">
        <v>0</v>
      </c>
      <c r="CD17" s="217">
        <v>0</v>
      </c>
      <c r="CE17" s="217">
        <v>0</v>
      </c>
      <c r="CF17" s="217">
        <v>0</v>
      </c>
      <c r="CG17" s="218">
        <v>0</v>
      </c>
      <c r="CH17" s="218">
        <v>0</v>
      </c>
      <c r="CI17" s="218">
        <v>0</v>
      </c>
      <c r="CJ17" s="218">
        <v>0</v>
      </c>
      <c r="CM17" s="217" t="s">
        <v>85</v>
      </c>
      <c r="CN17" s="217" t="s">
        <v>84</v>
      </c>
      <c r="CO17" s="217" t="s">
        <v>151</v>
      </c>
      <c r="CP17" s="217" t="s">
        <v>150</v>
      </c>
      <c r="CQ17" s="217" t="s">
        <v>31</v>
      </c>
      <c r="CR17" s="217">
        <v>13656</v>
      </c>
      <c r="CS17" s="218">
        <v>13726</v>
      </c>
      <c r="CT17"/>
      <c r="CU17"/>
      <c r="CV17"/>
      <c r="CW17"/>
      <c r="CX17"/>
      <c r="CY17"/>
    </row>
    <row r="18" spans="1:103" x14ac:dyDescent="0.25">
      <c r="A18" s="217" t="s">
        <v>22</v>
      </c>
      <c r="B18" s="217" t="s">
        <v>23</v>
      </c>
      <c r="C18" s="217" t="s">
        <v>24</v>
      </c>
      <c r="D18" s="217" t="s">
        <v>25</v>
      </c>
      <c r="E18" s="217" t="s">
        <v>56</v>
      </c>
      <c r="F18" s="217" t="s">
        <v>57</v>
      </c>
      <c r="G18" s="217" t="s">
        <v>63</v>
      </c>
      <c r="H18" s="217" t="s">
        <v>882</v>
      </c>
      <c r="I18" s="217" t="s">
        <v>29</v>
      </c>
      <c r="J18" s="217" t="s">
        <v>1855</v>
      </c>
      <c r="K18" s="217">
        <v>39</v>
      </c>
      <c r="L18" s="217">
        <v>202</v>
      </c>
      <c r="M18" s="217" t="s">
        <v>31</v>
      </c>
      <c r="N18" s="217" t="s">
        <v>32</v>
      </c>
      <c r="O18" s="217" t="s">
        <v>33</v>
      </c>
      <c r="P18" s="217" t="s">
        <v>34</v>
      </c>
      <c r="Q18" s="217" t="s">
        <v>35</v>
      </c>
      <c r="R18" s="217" t="s">
        <v>23</v>
      </c>
      <c r="S18" s="217" t="s">
        <v>22</v>
      </c>
      <c r="T18" s="217" t="s">
        <v>47</v>
      </c>
      <c r="U18" s="217" t="s">
        <v>48</v>
      </c>
      <c r="V18" s="217" t="s">
        <v>61</v>
      </c>
      <c r="W18" s="217" t="s">
        <v>62</v>
      </c>
      <c r="AD18" s="217" t="s">
        <v>84</v>
      </c>
      <c r="AE18" s="217" t="s">
        <v>85</v>
      </c>
      <c r="AF18" s="217" t="s">
        <v>109</v>
      </c>
      <c r="AG18" s="217" t="s">
        <v>110</v>
      </c>
      <c r="AH18" s="217" t="s">
        <v>148</v>
      </c>
      <c r="AI18" s="217" t="s">
        <v>1858</v>
      </c>
      <c r="AJ18" s="217">
        <v>875</v>
      </c>
      <c r="AK18" s="217">
        <v>4584</v>
      </c>
      <c r="AL18" s="217" t="s">
        <v>100</v>
      </c>
      <c r="AM18" s="217" t="s">
        <v>34</v>
      </c>
      <c r="AN18" s="217" t="s">
        <v>138</v>
      </c>
      <c r="AO18" s="217" t="s">
        <v>32</v>
      </c>
      <c r="AP18" s="217" t="s">
        <v>32</v>
      </c>
      <c r="AQ18" s="217" t="s">
        <v>139</v>
      </c>
      <c r="AR18" s="217" t="s">
        <v>139</v>
      </c>
      <c r="AS18" s="217" t="s">
        <v>139</v>
      </c>
      <c r="AT18" s="217" t="s">
        <v>139</v>
      </c>
      <c r="AU18" s="217" t="s">
        <v>32</v>
      </c>
      <c r="BC18" s="217" t="s">
        <v>24</v>
      </c>
      <c r="BD18" s="217" t="s">
        <v>50</v>
      </c>
      <c r="BE18" s="217" t="s">
        <v>877</v>
      </c>
      <c r="BF18" s="217" t="s">
        <v>55</v>
      </c>
      <c r="BG18" s="217" t="s">
        <v>1998</v>
      </c>
      <c r="BH18" s="217" t="s">
        <v>1658</v>
      </c>
      <c r="BI18" s="217" t="s">
        <v>1660</v>
      </c>
      <c r="BJ18" s="217" t="s">
        <v>1660</v>
      </c>
      <c r="BK18" s="217" t="s">
        <v>637</v>
      </c>
      <c r="BL18" s="217"/>
      <c r="BM18" s="217"/>
      <c r="BN18" s="217">
        <v>0</v>
      </c>
      <c r="BO18" s="218">
        <v>0</v>
      </c>
      <c r="BR18" s="217" t="s">
        <v>24</v>
      </c>
      <c r="BS18" s="217" t="s">
        <v>56</v>
      </c>
      <c r="BT18" s="217" t="s">
        <v>86</v>
      </c>
      <c r="BU18" s="217" t="s">
        <v>902</v>
      </c>
      <c r="BV18" s="217">
        <v>22</v>
      </c>
      <c r="BW18" s="217">
        <v>136</v>
      </c>
      <c r="BX18" s="217">
        <v>0</v>
      </c>
      <c r="BY18" s="217">
        <v>0</v>
      </c>
      <c r="BZ18" s="217">
        <v>0</v>
      </c>
      <c r="CA18" s="217">
        <v>0</v>
      </c>
      <c r="CB18" s="217">
        <v>22</v>
      </c>
      <c r="CC18" s="217">
        <v>136</v>
      </c>
      <c r="CD18" s="217">
        <v>0</v>
      </c>
      <c r="CE18" s="217">
        <v>0</v>
      </c>
      <c r="CF18" s="217">
        <v>0</v>
      </c>
      <c r="CG18" s="218">
        <v>0</v>
      </c>
      <c r="CH18" s="218">
        <v>0</v>
      </c>
      <c r="CI18" s="218">
        <v>0</v>
      </c>
      <c r="CJ18" s="218">
        <v>0</v>
      </c>
      <c r="CM18" s="217" t="s">
        <v>85</v>
      </c>
      <c r="CN18" s="217" t="s">
        <v>84</v>
      </c>
      <c r="CO18" s="217" t="s">
        <v>151</v>
      </c>
      <c r="CP18" s="217" t="s">
        <v>150</v>
      </c>
      <c r="CQ18" s="217" t="s">
        <v>99</v>
      </c>
      <c r="CR18" s="217">
        <v>589</v>
      </c>
      <c r="CS18" s="218">
        <v>519</v>
      </c>
      <c r="CT18"/>
      <c r="CU18"/>
      <c r="CV18"/>
      <c r="CW18"/>
      <c r="CX18"/>
      <c r="CY18"/>
    </row>
    <row r="19" spans="1:103" x14ac:dyDescent="0.25">
      <c r="A19" s="217" t="s">
        <v>22</v>
      </c>
      <c r="B19" s="217" t="s">
        <v>23</v>
      </c>
      <c r="C19" s="217" t="s">
        <v>24</v>
      </c>
      <c r="D19" s="217" t="s">
        <v>25</v>
      </c>
      <c r="E19" s="217" t="s">
        <v>56</v>
      </c>
      <c r="F19" s="217" t="s">
        <v>57</v>
      </c>
      <c r="G19" s="217" t="s">
        <v>63</v>
      </c>
      <c r="H19" s="217" t="s">
        <v>882</v>
      </c>
      <c r="I19" s="217" t="s">
        <v>29</v>
      </c>
      <c r="J19" s="217" t="s">
        <v>1856</v>
      </c>
      <c r="K19" s="217">
        <v>45</v>
      </c>
      <c r="L19" s="217">
        <v>216</v>
      </c>
      <c r="M19" s="217" t="s">
        <v>31</v>
      </c>
      <c r="N19" s="217" t="s">
        <v>32</v>
      </c>
      <c r="O19" s="217" t="s">
        <v>33</v>
      </c>
      <c r="P19" s="217" t="s">
        <v>34</v>
      </c>
      <c r="Q19" s="217" t="s">
        <v>35</v>
      </c>
      <c r="R19" s="217" t="s">
        <v>23</v>
      </c>
      <c r="S19" s="217" t="s">
        <v>22</v>
      </c>
      <c r="T19" s="217" t="s">
        <v>47</v>
      </c>
      <c r="U19" s="217" t="s">
        <v>48</v>
      </c>
      <c r="V19" s="217" t="s">
        <v>61</v>
      </c>
      <c r="W19" s="217" t="s">
        <v>62</v>
      </c>
      <c r="AD19" s="217" t="s">
        <v>84</v>
      </c>
      <c r="AE19" s="217" t="s">
        <v>85</v>
      </c>
      <c r="AF19" s="217" t="s">
        <v>109</v>
      </c>
      <c r="AG19" s="217" t="s">
        <v>110</v>
      </c>
      <c r="AH19" s="217" t="s">
        <v>149</v>
      </c>
      <c r="AI19" s="217" t="s">
        <v>1856</v>
      </c>
      <c r="AJ19" s="217">
        <v>3</v>
      </c>
      <c r="AK19" s="217">
        <v>27</v>
      </c>
      <c r="AL19" s="217" t="s">
        <v>100</v>
      </c>
      <c r="AM19" s="217" t="s">
        <v>34</v>
      </c>
      <c r="AN19" s="217" t="s">
        <v>138</v>
      </c>
      <c r="AO19" s="217" t="s">
        <v>32</v>
      </c>
      <c r="AP19" s="217" t="s">
        <v>32</v>
      </c>
      <c r="AQ19" s="217" t="s">
        <v>139</v>
      </c>
      <c r="AR19" s="217" t="s">
        <v>139</v>
      </c>
      <c r="AS19" s="217" t="s">
        <v>139</v>
      </c>
      <c r="AT19" s="217" t="s">
        <v>139</v>
      </c>
      <c r="AU19" s="217" t="s">
        <v>2173</v>
      </c>
      <c r="BC19" s="217" t="s">
        <v>24</v>
      </c>
      <c r="BD19" s="217" t="s">
        <v>665</v>
      </c>
      <c r="BE19" s="217" t="s">
        <v>878</v>
      </c>
      <c r="BF19" s="217" t="s">
        <v>667</v>
      </c>
      <c r="BG19" s="217" t="s">
        <v>1998</v>
      </c>
      <c r="BH19" s="217" t="s">
        <v>1658</v>
      </c>
      <c r="BI19" s="217" t="s">
        <v>1660</v>
      </c>
      <c r="BJ19" s="217" t="s">
        <v>1660</v>
      </c>
      <c r="BK19" s="217" t="s">
        <v>637</v>
      </c>
      <c r="BL19" s="217"/>
      <c r="BM19" s="217"/>
      <c r="BN19" s="217">
        <v>0</v>
      </c>
      <c r="BO19" s="218">
        <v>0</v>
      </c>
      <c r="BR19" s="217" t="s">
        <v>24</v>
      </c>
      <c r="BS19" s="217" t="s">
        <v>56</v>
      </c>
      <c r="BT19" s="217" t="s">
        <v>87</v>
      </c>
      <c r="BU19" s="217" t="s">
        <v>905</v>
      </c>
      <c r="BV19" s="217">
        <v>3</v>
      </c>
      <c r="BW19" s="217">
        <v>15</v>
      </c>
      <c r="BX19" s="217">
        <v>0</v>
      </c>
      <c r="BY19" s="217">
        <v>0</v>
      </c>
      <c r="BZ19" s="217">
        <v>0</v>
      </c>
      <c r="CA19" s="217">
        <v>0</v>
      </c>
      <c r="CB19" s="217">
        <v>3</v>
      </c>
      <c r="CC19" s="217">
        <v>15</v>
      </c>
      <c r="CD19" s="217">
        <v>0</v>
      </c>
      <c r="CE19" s="217">
        <v>0</v>
      </c>
      <c r="CF19" s="217">
        <v>0</v>
      </c>
      <c r="CG19" s="218">
        <v>0</v>
      </c>
      <c r="CH19" s="218">
        <v>0</v>
      </c>
      <c r="CI19" s="218">
        <v>0</v>
      </c>
      <c r="CJ19" s="218">
        <v>0</v>
      </c>
      <c r="CM19" s="217" t="s">
        <v>85</v>
      </c>
      <c r="CN19" s="217" t="s">
        <v>84</v>
      </c>
      <c r="CO19" s="217" t="s">
        <v>98</v>
      </c>
      <c r="CP19" s="217" t="s">
        <v>97</v>
      </c>
      <c r="CQ19" s="217" t="s">
        <v>31</v>
      </c>
      <c r="CR19" s="217">
        <v>73118</v>
      </c>
      <c r="CS19" s="218">
        <v>73113</v>
      </c>
      <c r="CT19"/>
      <c r="CU19"/>
      <c r="CV19"/>
      <c r="CW19"/>
      <c r="CX19"/>
      <c r="CY19"/>
    </row>
    <row r="20" spans="1:103" x14ac:dyDescent="0.25">
      <c r="A20" s="217" t="s">
        <v>22</v>
      </c>
      <c r="B20" s="217" t="s">
        <v>23</v>
      </c>
      <c r="C20" s="217" t="s">
        <v>24</v>
      </c>
      <c r="D20" s="217" t="s">
        <v>25</v>
      </c>
      <c r="E20" s="217" t="s">
        <v>56</v>
      </c>
      <c r="F20" s="217" t="s">
        <v>57</v>
      </c>
      <c r="G20" s="217" t="s">
        <v>63</v>
      </c>
      <c r="H20" s="217" t="s">
        <v>882</v>
      </c>
      <c r="I20" s="217" t="s">
        <v>29</v>
      </c>
      <c r="J20" s="217" t="s">
        <v>1857</v>
      </c>
      <c r="K20" s="217">
        <v>51</v>
      </c>
      <c r="L20" s="217">
        <v>263</v>
      </c>
      <c r="M20" s="217" t="s">
        <v>31</v>
      </c>
      <c r="N20" s="217" t="s">
        <v>32</v>
      </c>
      <c r="O20" s="217" t="s">
        <v>33</v>
      </c>
      <c r="P20" s="217" t="s">
        <v>34</v>
      </c>
      <c r="Q20" s="217" t="s">
        <v>35</v>
      </c>
      <c r="R20" s="217" t="s">
        <v>23</v>
      </c>
      <c r="S20" s="217" t="s">
        <v>22</v>
      </c>
      <c r="T20" s="217" t="s">
        <v>47</v>
      </c>
      <c r="U20" s="217" t="s">
        <v>48</v>
      </c>
      <c r="V20" s="217" t="s">
        <v>61</v>
      </c>
      <c r="W20" s="217" t="s">
        <v>62</v>
      </c>
      <c r="AD20" s="217" t="s">
        <v>84</v>
      </c>
      <c r="AE20" s="217" t="s">
        <v>85</v>
      </c>
      <c r="AF20" s="217" t="s">
        <v>150</v>
      </c>
      <c r="AG20" s="217" t="s">
        <v>151</v>
      </c>
      <c r="AH20" s="217" t="s">
        <v>152</v>
      </c>
      <c r="AI20" s="217" t="s">
        <v>1854</v>
      </c>
      <c r="AJ20" s="217">
        <v>70</v>
      </c>
      <c r="AK20" s="217">
        <v>449</v>
      </c>
      <c r="AL20" s="217" t="s">
        <v>100</v>
      </c>
      <c r="AM20" s="217" t="s">
        <v>34</v>
      </c>
      <c r="AN20" s="217" t="s">
        <v>138</v>
      </c>
      <c r="AO20" s="217" t="s">
        <v>32</v>
      </c>
      <c r="AP20" s="217" t="s">
        <v>32</v>
      </c>
      <c r="AQ20" s="217" t="s">
        <v>139</v>
      </c>
      <c r="AR20" s="217" t="s">
        <v>139</v>
      </c>
      <c r="AS20" s="217" t="s">
        <v>139</v>
      </c>
      <c r="AT20" s="217" t="s">
        <v>139</v>
      </c>
      <c r="AU20" s="217" t="s">
        <v>1935</v>
      </c>
      <c r="BC20" s="217" t="s">
        <v>24</v>
      </c>
      <c r="BD20" s="217" t="s">
        <v>56</v>
      </c>
      <c r="BE20" s="217" t="s">
        <v>879</v>
      </c>
      <c r="BF20" s="217" t="s">
        <v>58</v>
      </c>
      <c r="BG20" s="217" t="s">
        <v>2006</v>
      </c>
      <c r="BH20" s="217" t="s">
        <v>1658</v>
      </c>
      <c r="BI20" s="217" t="s">
        <v>1658</v>
      </c>
      <c r="BJ20" s="217" t="s">
        <v>1660</v>
      </c>
      <c r="BK20" s="217" t="s">
        <v>637</v>
      </c>
      <c r="BL20" s="217"/>
      <c r="BM20" s="217"/>
      <c r="BN20" s="217">
        <v>0</v>
      </c>
      <c r="BO20" s="218">
        <v>0</v>
      </c>
      <c r="BR20" s="217" t="s">
        <v>24</v>
      </c>
      <c r="BS20" s="217" t="s">
        <v>56</v>
      </c>
      <c r="BT20" s="217" t="s">
        <v>70</v>
      </c>
      <c r="BU20" s="217" t="s">
        <v>888</v>
      </c>
      <c r="BV20" s="217">
        <v>4</v>
      </c>
      <c r="BW20" s="217">
        <v>16</v>
      </c>
      <c r="BX20" s="217">
        <v>0</v>
      </c>
      <c r="BY20" s="217">
        <v>0</v>
      </c>
      <c r="BZ20" s="217">
        <v>0</v>
      </c>
      <c r="CA20" s="217">
        <v>0</v>
      </c>
      <c r="CB20" s="217">
        <v>2</v>
      </c>
      <c r="CC20" s="217">
        <v>14</v>
      </c>
      <c r="CD20" s="217">
        <v>0</v>
      </c>
      <c r="CE20" s="217">
        <v>0</v>
      </c>
      <c r="CF20" s="217">
        <v>0</v>
      </c>
      <c r="CG20" s="218">
        <v>0</v>
      </c>
      <c r="CH20" s="218">
        <v>2</v>
      </c>
      <c r="CI20" s="218">
        <v>0</v>
      </c>
      <c r="CJ20" s="218">
        <v>0</v>
      </c>
      <c r="CM20" s="217" t="s">
        <v>85</v>
      </c>
      <c r="CN20" s="217" t="s">
        <v>84</v>
      </c>
      <c r="CO20" s="217" t="s">
        <v>175</v>
      </c>
      <c r="CP20" s="217" t="s">
        <v>174</v>
      </c>
      <c r="CQ20" s="217" t="s">
        <v>31</v>
      </c>
      <c r="CR20" s="217">
        <v>9830</v>
      </c>
      <c r="CS20" s="218">
        <v>9822</v>
      </c>
      <c r="CT20"/>
      <c r="CU20"/>
      <c r="CV20"/>
      <c r="CW20"/>
      <c r="CX20"/>
      <c r="CY20"/>
    </row>
    <row r="21" spans="1:103" x14ac:dyDescent="0.25">
      <c r="A21" s="217" t="s">
        <v>22</v>
      </c>
      <c r="B21" s="217" t="s">
        <v>23</v>
      </c>
      <c r="C21" s="217" t="s">
        <v>24</v>
      </c>
      <c r="D21" s="217" t="s">
        <v>25</v>
      </c>
      <c r="E21" s="217" t="s">
        <v>56</v>
      </c>
      <c r="F21" s="217" t="s">
        <v>57</v>
      </c>
      <c r="G21" s="217" t="s">
        <v>63</v>
      </c>
      <c r="H21" s="217" t="s">
        <v>882</v>
      </c>
      <c r="I21" s="217" t="s">
        <v>29</v>
      </c>
      <c r="J21" s="217" t="s">
        <v>1858</v>
      </c>
      <c r="K21" s="217">
        <v>9</v>
      </c>
      <c r="L21" s="217">
        <v>61</v>
      </c>
      <c r="M21" s="217" t="s">
        <v>31</v>
      </c>
      <c r="N21" s="217" t="s">
        <v>32</v>
      </c>
      <c r="O21" s="217" t="s">
        <v>33</v>
      </c>
      <c r="P21" s="217" t="s">
        <v>34</v>
      </c>
      <c r="Q21" s="217" t="s">
        <v>35</v>
      </c>
      <c r="R21" s="217" t="s">
        <v>23</v>
      </c>
      <c r="S21" s="217" t="s">
        <v>22</v>
      </c>
      <c r="T21" s="217" t="s">
        <v>47</v>
      </c>
      <c r="U21" s="217" t="s">
        <v>48</v>
      </c>
      <c r="V21" s="217" t="s">
        <v>61</v>
      </c>
      <c r="W21" s="217" t="s">
        <v>62</v>
      </c>
      <c r="AD21" s="217" t="s">
        <v>84</v>
      </c>
      <c r="AE21" s="217" t="s">
        <v>85</v>
      </c>
      <c r="AF21" s="217" t="s">
        <v>97</v>
      </c>
      <c r="AG21" s="217" t="s">
        <v>98</v>
      </c>
      <c r="AH21" s="217" t="s">
        <v>153</v>
      </c>
      <c r="AI21" s="217" t="s">
        <v>1855</v>
      </c>
      <c r="AJ21" s="217">
        <v>64</v>
      </c>
      <c r="AK21" s="217">
        <v>544</v>
      </c>
      <c r="AL21" s="217" t="s">
        <v>68</v>
      </c>
      <c r="AM21" s="217" t="s">
        <v>34</v>
      </c>
      <c r="AN21" s="217" t="s">
        <v>138</v>
      </c>
      <c r="AO21" s="217" t="s">
        <v>32</v>
      </c>
      <c r="AP21" s="217" t="s">
        <v>32</v>
      </c>
      <c r="AQ21" s="217" t="s">
        <v>139</v>
      </c>
      <c r="AR21" s="217" t="s">
        <v>139</v>
      </c>
      <c r="AS21" s="217" t="s">
        <v>97</v>
      </c>
      <c r="AT21" s="217" t="s">
        <v>98</v>
      </c>
      <c r="AU21" s="217" t="s">
        <v>157</v>
      </c>
      <c r="BC21" s="217" t="s">
        <v>24</v>
      </c>
      <c r="BD21" s="217" t="s">
        <v>56</v>
      </c>
      <c r="BE21" s="217" t="s">
        <v>880</v>
      </c>
      <c r="BF21" s="217" t="s">
        <v>59</v>
      </c>
      <c r="BG21" s="217" t="s">
        <v>1998</v>
      </c>
      <c r="BH21" s="217" t="s">
        <v>1658</v>
      </c>
      <c r="BI21" s="217" t="s">
        <v>1660</v>
      </c>
      <c r="BJ21" s="217" t="s">
        <v>1658</v>
      </c>
      <c r="BK21" s="217" t="s">
        <v>2011</v>
      </c>
      <c r="BL21" s="217"/>
      <c r="BM21" s="217" t="s">
        <v>3720</v>
      </c>
      <c r="BN21" s="217">
        <v>11</v>
      </c>
      <c r="BO21" s="218">
        <v>2017</v>
      </c>
      <c r="BR21" s="217" t="s">
        <v>24</v>
      </c>
      <c r="BS21" s="217" t="s">
        <v>56</v>
      </c>
      <c r="BT21" s="217" t="s">
        <v>76</v>
      </c>
      <c r="BU21" s="217" t="s">
        <v>894</v>
      </c>
      <c r="BV21" s="217">
        <v>28</v>
      </c>
      <c r="BW21" s="217">
        <v>228</v>
      </c>
      <c r="BX21" s="217">
        <v>0</v>
      </c>
      <c r="BY21" s="217">
        <v>0</v>
      </c>
      <c r="BZ21" s="217">
        <v>0</v>
      </c>
      <c r="CA21" s="217">
        <v>0</v>
      </c>
      <c r="CB21" s="217">
        <v>28</v>
      </c>
      <c r="CC21" s="217">
        <v>224</v>
      </c>
      <c r="CD21" s="217">
        <v>0</v>
      </c>
      <c r="CE21" s="217">
        <v>0</v>
      </c>
      <c r="CF21" s="217">
        <v>0</v>
      </c>
      <c r="CG21" s="218">
        <v>0</v>
      </c>
      <c r="CH21" s="218">
        <v>4</v>
      </c>
      <c r="CI21" s="218">
        <v>0</v>
      </c>
      <c r="CJ21" s="218">
        <v>0</v>
      </c>
      <c r="CM21" s="217" t="s">
        <v>85</v>
      </c>
      <c r="CN21" s="217" t="s">
        <v>84</v>
      </c>
      <c r="CO21" s="217" t="s">
        <v>181</v>
      </c>
      <c r="CP21" s="217" t="s">
        <v>180</v>
      </c>
      <c r="CQ21" s="217" t="s">
        <v>99</v>
      </c>
      <c r="CR21" s="217">
        <v>8588</v>
      </c>
      <c r="CS21" s="218">
        <v>8090</v>
      </c>
      <c r="CT21"/>
      <c r="CU21"/>
      <c r="CV21"/>
      <c r="CW21"/>
      <c r="CX21"/>
      <c r="CY21"/>
    </row>
    <row r="22" spans="1:103" x14ac:dyDescent="0.25">
      <c r="A22" s="217" t="s">
        <v>22</v>
      </c>
      <c r="B22" s="217" t="s">
        <v>23</v>
      </c>
      <c r="C22" s="217" t="s">
        <v>24</v>
      </c>
      <c r="D22" s="217" t="s">
        <v>25</v>
      </c>
      <c r="E22" s="217" t="s">
        <v>56</v>
      </c>
      <c r="F22" s="217" t="s">
        <v>57</v>
      </c>
      <c r="G22" s="217" t="s">
        <v>64</v>
      </c>
      <c r="H22" s="217" t="s">
        <v>883</v>
      </c>
      <c r="I22" s="217" t="s">
        <v>29</v>
      </c>
      <c r="J22" s="217" t="s">
        <v>1855</v>
      </c>
      <c r="K22" s="217">
        <v>7</v>
      </c>
      <c r="L22" s="217">
        <v>36</v>
      </c>
      <c r="M22" s="217" t="s">
        <v>31</v>
      </c>
      <c r="N22" s="217" t="s">
        <v>32</v>
      </c>
      <c r="O22" s="217" t="s">
        <v>33</v>
      </c>
      <c r="P22" s="217" t="s">
        <v>34</v>
      </c>
      <c r="Q22" s="217" t="s">
        <v>35</v>
      </c>
      <c r="R22" s="217" t="s">
        <v>23</v>
      </c>
      <c r="S22" s="217" t="s">
        <v>22</v>
      </c>
      <c r="T22" s="217" t="s">
        <v>47</v>
      </c>
      <c r="U22" s="217" t="s">
        <v>48</v>
      </c>
      <c r="V22" s="217" t="s">
        <v>61</v>
      </c>
      <c r="W22" s="217" t="s">
        <v>62</v>
      </c>
      <c r="AD22" s="217" t="s">
        <v>84</v>
      </c>
      <c r="AE22" s="217" t="s">
        <v>85</v>
      </c>
      <c r="AF22" s="217" t="s">
        <v>97</v>
      </c>
      <c r="AG22" s="217" t="s">
        <v>98</v>
      </c>
      <c r="AH22" s="217" t="s">
        <v>158</v>
      </c>
      <c r="AI22" s="217" t="s">
        <v>1856</v>
      </c>
      <c r="AJ22" s="217">
        <v>5</v>
      </c>
      <c r="AK22" s="217">
        <v>25</v>
      </c>
      <c r="AL22" s="217" t="s">
        <v>68</v>
      </c>
      <c r="AM22" s="217" t="s">
        <v>34</v>
      </c>
      <c r="AN22" s="217" t="s">
        <v>138</v>
      </c>
      <c r="AO22" s="217" t="s">
        <v>32</v>
      </c>
      <c r="AP22" s="217" t="s">
        <v>32</v>
      </c>
      <c r="AQ22" s="217" t="s">
        <v>139</v>
      </c>
      <c r="AR22" s="217" t="s">
        <v>139</v>
      </c>
      <c r="AS22" s="217" t="s">
        <v>89</v>
      </c>
      <c r="AT22" s="217" t="s">
        <v>88</v>
      </c>
      <c r="AU22" s="217" t="s">
        <v>2174</v>
      </c>
      <c r="BC22" s="217" t="s">
        <v>24</v>
      </c>
      <c r="BD22" s="217" t="s">
        <v>56</v>
      </c>
      <c r="BE22" s="217" t="s">
        <v>1497</v>
      </c>
      <c r="BF22" s="217" t="s">
        <v>617</v>
      </c>
      <c r="BG22" s="217" t="s">
        <v>1998</v>
      </c>
      <c r="BH22" s="217" t="s">
        <v>1660</v>
      </c>
      <c r="BI22" s="217" t="s">
        <v>1658</v>
      </c>
      <c r="BJ22" s="217" t="s">
        <v>1660</v>
      </c>
      <c r="BK22" s="217" t="s">
        <v>637</v>
      </c>
      <c r="BL22" s="217"/>
      <c r="BM22" s="217"/>
      <c r="BN22" s="217">
        <v>0</v>
      </c>
      <c r="BO22" s="218">
        <v>0</v>
      </c>
      <c r="BR22" s="217" t="s">
        <v>24</v>
      </c>
      <c r="BS22" s="217" t="s">
        <v>56</v>
      </c>
      <c r="BT22" s="217" t="s">
        <v>80</v>
      </c>
      <c r="BU22" s="217" t="s">
        <v>898</v>
      </c>
      <c r="BV22" s="217">
        <v>9</v>
      </c>
      <c r="BW22" s="217">
        <v>44</v>
      </c>
      <c r="BX22" s="217">
        <v>0</v>
      </c>
      <c r="BY22" s="217">
        <v>0</v>
      </c>
      <c r="BZ22" s="217">
        <v>0</v>
      </c>
      <c r="CA22" s="217">
        <v>0</v>
      </c>
      <c r="CB22" s="217">
        <v>9</v>
      </c>
      <c r="CC22" s="217">
        <v>44</v>
      </c>
      <c r="CD22" s="217">
        <v>0</v>
      </c>
      <c r="CE22" s="217">
        <v>0</v>
      </c>
      <c r="CF22" s="217">
        <v>0</v>
      </c>
      <c r="CG22" s="218">
        <v>0</v>
      </c>
      <c r="CH22" s="218">
        <v>0</v>
      </c>
      <c r="CI22" s="218">
        <v>0</v>
      </c>
      <c r="CJ22" s="218">
        <v>0</v>
      </c>
      <c r="CM22" s="217" t="s">
        <v>184</v>
      </c>
      <c r="CN22" s="217" t="s">
        <v>183</v>
      </c>
      <c r="CO22" s="217" t="s">
        <v>471</v>
      </c>
      <c r="CP22" s="217" t="s">
        <v>472</v>
      </c>
      <c r="CQ22" s="217" t="s">
        <v>637</v>
      </c>
      <c r="CR22" s="217">
        <v>31</v>
      </c>
      <c r="CS22" s="218">
        <v>24</v>
      </c>
      <c r="CT22"/>
      <c r="CU22"/>
      <c r="CV22"/>
      <c r="CW22"/>
      <c r="CX22"/>
      <c r="CY22"/>
    </row>
    <row r="23" spans="1:103" x14ac:dyDescent="0.25">
      <c r="A23" s="217" t="s">
        <v>22</v>
      </c>
      <c r="B23" s="217" t="s">
        <v>23</v>
      </c>
      <c r="C23" s="217" t="s">
        <v>24</v>
      </c>
      <c r="D23" s="217" t="s">
        <v>25</v>
      </c>
      <c r="E23" s="217" t="s">
        <v>56</v>
      </c>
      <c r="F23" s="217" t="s">
        <v>57</v>
      </c>
      <c r="G23" s="217" t="s">
        <v>65</v>
      </c>
      <c r="H23" s="217" t="s">
        <v>884</v>
      </c>
      <c r="I23" s="217" t="s">
        <v>29</v>
      </c>
      <c r="J23" s="217" t="s">
        <v>1856</v>
      </c>
      <c r="K23" s="217">
        <v>7</v>
      </c>
      <c r="L23" s="217">
        <v>37</v>
      </c>
      <c r="M23" s="217" t="s">
        <v>31</v>
      </c>
      <c r="N23" s="217" t="s">
        <v>32</v>
      </c>
      <c r="O23" s="217" t="s">
        <v>33</v>
      </c>
      <c r="P23" s="217" t="s">
        <v>34</v>
      </c>
      <c r="Q23" s="217" t="s">
        <v>35</v>
      </c>
      <c r="R23" s="217" t="s">
        <v>23</v>
      </c>
      <c r="S23" s="217" t="s">
        <v>22</v>
      </c>
      <c r="T23" s="217" t="s">
        <v>47</v>
      </c>
      <c r="U23" s="217" t="s">
        <v>48</v>
      </c>
      <c r="V23" s="217" t="s">
        <v>61</v>
      </c>
      <c r="W23" s="217" t="s">
        <v>62</v>
      </c>
      <c r="AD23" s="217" t="s">
        <v>84</v>
      </c>
      <c r="AE23" s="217" t="s">
        <v>85</v>
      </c>
      <c r="AF23" s="217" t="s">
        <v>97</v>
      </c>
      <c r="AG23" s="217" t="s">
        <v>98</v>
      </c>
      <c r="AH23" s="217" t="s">
        <v>160</v>
      </c>
      <c r="AI23" s="217" t="s">
        <v>1856</v>
      </c>
      <c r="AJ23" s="217">
        <v>4</v>
      </c>
      <c r="AK23" s="217">
        <v>17</v>
      </c>
      <c r="AL23" s="217" t="s">
        <v>68</v>
      </c>
      <c r="AM23" s="217" t="s">
        <v>34</v>
      </c>
      <c r="AN23" s="217" t="s">
        <v>138</v>
      </c>
      <c r="AO23" s="217" t="s">
        <v>32</v>
      </c>
      <c r="AP23" s="217" t="s">
        <v>32</v>
      </c>
      <c r="AQ23" s="217" t="s">
        <v>139</v>
      </c>
      <c r="AR23" s="217" t="s">
        <v>139</v>
      </c>
      <c r="AS23" s="217" t="s">
        <v>156</v>
      </c>
      <c r="AT23" s="217" t="s">
        <v>157</v>
      </c>
      <c r="AU23" s="217" t="s">
        <v>157</v>
      </c>
      <c r="BC23" s="217" t="s">
        <v>24</v>
      </c>
      <c r="BD23" s="217" t="s">
        <v>56</v>
      </c>
      <c r="BE23" s="217" t="s">
        <v>881</v>
      </c>
      <c r="BF23" s="217" t="s">
        <v>60</v>
      </c>
      <c r="BG23" s="217" t="s">
        <v>1998</v>
      </c>
      <c r="BH23" s="217" t="s">
        <v>1658</v>
      </c>
      <c r="BI23" s="217" t="s">
        <v>1660</v>
      </c>
      <c r="BJ23" s="217" t="s">
        <v>1660</v>
      </c>
      <c r="BK23" s="217" t="s">
        <v>637</v>
      </c>
      <c r="BL23" s="217"/>
      <c r="BM23" s="217"/>
      <c r="BN23" s="217">
        <v>0</v>
      </c>
      <c r="BO23" s="218">
        <v>0</v>
      </c>
      <c r="BR23" s="217" t="s">
        <v>24</v>
      </c>
      <c r="BS23" s="217" t="s">
        <v>56</v>
      </c>
      <c r="BT23" s="217" t="s">
        <v>140</v>
      </c>
      <c r="BU23" s="217" t="s">
        <v>903</v>
      </c>
      <c r="BV23" s="217">
        <v>3</v>
      </c>
      <c r="BW23" s="217">
        <v>20</v>
      </c>
      <c r="BX23" s="217">
        <v>0</v>
      </c>
      <c r="BY23" s="217">
        <v>0</v>
      </c>
      <c r="BZ23" s="217">
        <v>0</v>
      </c>
      <c r="CA23" s="217">
        <v>0</v>
      </c>
      <c r="CB23" s="217">
        <v>3</v>
      </c>
      <c r="CC23" s="217">
        <v>20</v>
      </c>
      <c r="CD23" s="217">
        <v>0</v>
      </c>
      <c r="CE23" s="217">
        <v>0</v>
      </c>
      <c r="CF23" s="217">
        <v>0</v>
      </c>
      <c r="CG23" s="218">
        <v>0</v>
      </c>
      <c r="CH23" s="218">
        <v>0</v>
      </c>
      <c r="CI23" s="218">
        <v>0</v>
      </c>
      <c r="CJ23" s="218">
        <v>0</v>
      </c>
      <c r="CM23" s="217" t="s">
        <v>184</v>
      </c>
      <c r="CN23" s="217" t="s">
        <v>183</v>
      </c>
      <c r="CO23" s="217" t="s">
        <v>471</v>
      </c>
      <c r="CP23" s="217" t="s">
        <v>472</v>
      </c>
      <c r="CQ23" s="217" t="s">
        <v>31</v>
      </c>
      <c r="CR23" s="217">
        <v>129</v>
      </c>
      <c r="CS23" s="218">
        <v>151</v>
      </c>
      <c r="CT23"/>
      <c r="CU23"/>
      <c r="CV23"/>
      <c r="CW23"/>
      <c r="CX23"/>
      <c r="CY23"/>
    </row>
    <row r="24" spans="1:103" x14ac:dyDescent="0.25">
      <c r="A24" s="217" t="s">
        <v>22</v>
      </c>
      <c r="B24" s="217" t="s">
        <v>23</v>
      </c>
      <c r="C24" s="217" t="s">
        <v>24</v>
      </c>
      <c r="D24" s="217" t="s">
        <v>25</v>
      </c>
      <c r="E24" s="217" t="s">
        <v>56</v>
      </c>
      <c r="F24" s="217" t="s">
        <v>57</v>
      </c>
      <c r="G24" s="217" t="s">
        <v>67</v>
      </c>
      <c r="H24" s="217" t="s">
        <v>886</v>
      </c>
      <c r="I24" s="217" t="s">
        <v>29</v>
      </c>
      <c r="J24" s="217" t="s">
        <v>1856</v>
      </c>
      <c r="K24" s="217">
        <v>3</v>
      </c>
      <c r="L24" s="217">
        <v>27</v>
      </c>
      <c r="M24" s="217" t="s">
        <v>31</v>
      </c>
      <c r="N24" s="217" t="s">
        <v>32</v>
      </c>
      <c r="O24" s="217" t="s">
        <v>33</v>
      </c>
      <c r="P24" s="217" t="s">
        <v>34</v>
      </c>
      <c r="Q24" s="217" t="s">
        <v>35</v>
      </c>
      <c r="R24" s="217" t="s">
        <v>23</v>
      </c>
      <c r="S24" s="217" t="s">
        <v>22</v>
      </c>
      <c r="T24" s="217" t="s">
        <v>47</v>
      </c>
      <c r="U24" s="217" t="s">
        <v>48</v>
      </c>
      <c r="V24" s="217" t="s">
        <v>61</v>
      </c>
      <c r="W24" s="217" t="s">
        <v>62</v>
      </c>
      <c r="AD24" s="217" t="s">
        <v>84</v>
      </c>
      <c r="AE24" s="217" t="s">
        <v>85</v>
      </c>
      <c r="AF24" s="217" t="s">
        <v>97</v>
      </c>
      <c r="AG24" s="217" t="s">
        <v>98</v>
      </c>
      <c r="AH24" s="217" t="s">
        <v>161</v>
      </c>
      <c r="AI24" s="217" t="s">
        <v>1856</v>
      </c>
      <c r="AJ24" s="217">
        <v>3</v>
      </c>
      <c r="AK24" s="217">
        <v>20</v>
      </c>
      <c r="AL24" s="217" t="s">
        <v>68</v>
      </c>
      <c r="AM24" s="217" t="s">
        <v>34</v>
      </c>
      <c r="AN24" s="217" t="s">
        <v>138</v>
      </c>
      <c r="AO24" s="217" t="s">
        <v>32</v>
      </c>
      <c r="AP24" s="217" t="s">
        <v>32</v>
      </c>
      <c r="AQ24" s="217" t="s">
        <v>139</v>
      </c>
      <c r="AR24" s="217" t="s">
        <v>139</v>
      </c>
      <c r="AS24" s="217" t="s">
        <v>156</v>
      </c>
      <c r="AT24" s="217" t="s">
        <v>157</v>
      </c>
      <c r="AU24" s="217" t="s">
        <v>157</v>
      </c>
      <c r="BC24" s="217" t="s">
        <v>24</v>
      </c>
      <c r="BD24" s="217" t="s">
        <v>56</v>
      </c>
      <c r="BE24" s="217" t="s">
        <v>882</v>
      </c>
      <c r="BF24" s="217" t="s">
        <v>63</v>
      </c>
      <c r="BG24" s="217" t="s">
        <v>1998</v>
      </c>
      <c r="BH24" s="217" t="s">
        <v>1658</v>
      </c>
      <c r="BI24" s="217" t="s">
        <v>1660</v>
      </c>
      <c r="BJ24" s="217" t="s">
        <v>1660</v>
      </c>
      <c r="BK24" s="217" t="s">
        <v>637</v>
      </c>
      <c r="BL24" s="217"/>
      <c r="BM24" s="217"/>
      <c r="BN24" s="217">
        <v>0</v>
      </c>
      <c r="BO24" s="218">
        <v>0</v>
      </c>
      <c r="BR24" s="217" t="s">
        <v>24</v>
      </c>
      <c r="BS24" s="217" t="s">
        <v>56</v>
      </c>
      <c r="BT24" s="217" t="s">
        <v>72</v>
      </c>
      <c r="BU24" s="217" t="s">
        <v>890</v>
      </c>
      <c r="BV24" s="217">
        <v>11</v>
      </c>
      <c r="BW24" s="217">
        <v>59</v>
      </c>
      <c r="BX24" s="217">
        <v>0</v>
      </c>
      <c r="BY24" s="217">
        <v>0</v>
      </c>
      <c r="BZ24" s="217">
        <v>0</v>
      </c>
      <c r="CA24" s="217">
        <v>0</v>
      </c>
      <c r="CB24" s="217">
        <v>11</v>
      </c>
      <c r="CC24" s="217">
        <v>59</v>
      </c>
      <c r="CD24" s="217">
        <v>0</v>
      </c>
      <c r="CE24" s="217">
        <v>0</v>
      </c>
      <c r="CF24" s="217">
        <v>0</v>
      </c>
      <c r="CG24" s="218">
        <v>0</v>
      </c>
      <c r="CH24" s="218">
        <v>0</v>
      </c>
      <c r="CI24" s="218">
        <v>0</v>
      </c>
      <c r="CJ24" s="218">
        <v>0</v>
      </c>
      <c r="CM24" s="217" t="s">
        <v>184</v>
      </c>
      <c r="CN24" s="217" t="s">
        <v>183</v>
      </c>
      <c r="CO24" s="217" t="s">
        <v>471</v>
      </c>
      <c r="CP24" s="217" t="s">
        <v>472</v>
      </c>
      <c r="CQ24" s="217" t="s">
        <v>99</v>
      </c>
      <c r="CR24" s="217">
        <v>1523</v>
      </c>
      <c r="CS24" s="218">
        <v>1523</v>
      </c>
      <c r="CT24"/>
      <c r="CU24"/>
      <c r="CV24"/>
      <c r="CW24"/>
      <c r="CX24"/>
      <c r="CY24"/>
    </row>
    <row r="25" spans="1:103" x14ac:dyDescent="0.25">
      <c r="A25" s="217" t="s">
        <v>22</v>
      </c>
      <c r="B25" s="217" t="s">
        <v>23</v>
      </c>
      <c r="C25" s="217" t="s">
        <v>24</v>
      </c>
      <c r="D25" s="217" t="s">
        <v>25</v>
      </c>
      <c r="E25" s="217" t="s">
        <v>56</v>
      </c>
      <c r="F25" s="217" t="s">
        <v>57</v>
      </c>
      <c r="G25" s="217" t="s">
        <v>70</v>
      </c>
      <c r="H25" s="217" t="s">
        <v>888</v>
      </c>
      <c r="I25" s="217" t="s">
        <v>29</v>
      </c>
      <c r="J25" s="217" t="s">
        <v>1855</v>
      </c>
      <c r="K25" s="217">
        <v>2</v>
      </c>
      <c r="L25" s="217">
        <v>14</v>
      </c>
      <c r="M25" s="217" t="s">
        <v>31</v>
      </c>
      <c r="N25" s="217" t="s">
        <v>32</v>
      </c>
      <c r="O25" s="217" t="s">
        <v>33</v>
      </c>
      <c r="P25" s="217" t="s">
        <v>34</v>
      </c>
      <c r="Q25" s="217" t="s">
        <v>35</v>
      </c>
      <c r="R25" s="217" t="s">
        <v>23</v>
      </c>
      <c r="S25" s="217" t="s">
        <v>22</v>
      </c>
      <c r="T25" s="217" t="s">
        <v>47</v>
      </c>
      <c r="U25" s="217" t="s">
        <v>48</v>
      </c>
      <c r="V25" s="217" t="s">
        <v>61</v>
      </c>
      <c r="W25" s="217" t="s">
        <v>62</v>
      </c>
      <c r="AD25" s="217" t="s">
        <v>84</v>
      </c>
      <c r="AE25" s="217" t="s">
        <v>85</v>
      </c>
      <c r="AF25" s="217" t="s">
        <v>97</v>
      </c>
      <c r="AG25" s="217" t="s">
        <v>98</v>
      </c>
      <c r="AH25" s="217" t="s">
        <v>161</v>
      </c>
      <c r="AI25" s="217" t="s">
        <v>1857</v>
      </c>
      <c r="AJ25" s="217">
        <v>4</v>
      </c>
      <c r="AK25" s="217">
        <v>30</v>
      </c>
      <c r="AL25" s="217" t="s">
        <v>68</v>
      </c>
      <c r="AM25" s="217" t="s">
        <v>34</v>
      </c>
      <c r="AN25" s="217" t="s">
        <v>138</v>
      </c>
      <c r="AO25" s="217" t="s">
        <v>32</v>
      </c>
      <c r="AP25" s="217" t="s">
        <v>32</v>
      </c>
      <c r="AQ25" s="217" t="s">
        <v>139</v>
      </c>
      <c r="AR25" s="217" t="s">
        <v>139</v>
      </c>
      <c r="AS25" s="217" t="s">
        <v>156</v>
      </c>
      <c r="AT25" s="217" t="s">
        <v>157</v>
      </c>
      <c r="AU25" s="217" t="s">
        <v>157</v>
      </c>
      <c r="BC25" s="217" t="s">
        <v>24</v>
      </c>
      <c r="BD25" s="217" t="s">
        <v>56</v>
      </c>
      <c r="BE25" s="217" t="s">
        <v>883</v>
      </c>
      <c r="BF25" s="217" t="s">
        <v>64</v>
      </c>
      <c r="BG25" s="217" t="s">
        <v>1998</v>
      </c>
      <c r="BH25" s="217" t="s">
        <v>1658</v>
      </c>
      <c r="BI25" s="217" t="s">
        <v>1660</v>
      </c>
      <c r="BJ25" s="217" t="s">
        <v>1660</v>
      </c>
      <c r="BK25" s="217" t="s">
        <v>637</v>
      </c>
      <c r="BL25" s="217"/>
      <c r="BM25" s="217"/>
      <c r="BN25" s="217">
        <v>0</v>
      </c>
      <c r="BO25" s="218">
        <v>0</v>
      </c>
      <c r="BR25" s="217" t="s">
        <v>24</v>
      </c>
      <c r="BS25" s="217" t="s">
        <v>56</v>
      </c>
      <c r="BT25" s="217" t="s">
        <v>58</v>
      </c>
      <c r="BU25" s="217" t="s">
        <v>879</v>
      </c>
      <c r="BV25" s="217">
        <v>3</v>
      </c>
      <c r="BW25" s="217">
        <v>18</v>
      </c>
      <c r="BX25" s="217">
        <v>2</v>
      </c>
      <c r="BY25" s="217">
        <v>11</v>
      </c>
      <c r="BZ25" s="217">
        <v>0</v>
      </c>
      <c r="CA25" s="217">
        <v>0</v>
      </c>
      <c r="CB25" s="217">
        <v>3</v>
      </c>
      <c r="CC25" s="217">
        <v>18</v>
      </c>
      <c r="CD25" s="217">
        <v>2</v>
      </c>
      <c r="CE25" s="217">
        <v>11</v>
      </c>
      <c r="CF25" s="217">
        <v>0</v>
      </c>
      <c r="CG25" s="218">
        <v>0</v>
      </c>
      <c r="CH25" s="218">
        <v>0</v>
      </c>
      <c r="CI25" s="218">
        <v>0</v>
      </c>
      <c r="CJ25" s="218">
        <v>0</v>
      </c>
      <c r="CM25" s="217" t="s">
        <v>184</v>
      </c>
      <c r="CN25" s="217" t="s">
        <v>183</v>
      </c>
      <c r="CO25" s="217" t="s">
        <v>196</v>
      </c>
      <c r="CP25" s="217" t="s">
        <v>195</v>
      </c>
      <c r="CQ25" s="217" t="s">
        <v>99</v>
      </c>
      <c r="CR25" s="217">
        <v>2038</v>
      </c>
      <c r="CS25" s="218">
        <v>2038</v>
      </c>
      <c r="CT25"/>
      <c r="CU25"/>
      <c r="CV25"/>
      <c r="CW25"/>
      <c r="CX25"/>
      <c r="CY25"/>
    </row>
    <row r="26" spans="1:103" x14ac:dyDescent="0.25">
      <c r="A26" s="217" t="s">
        <v>22</v>
      </c>
      <c r="B26" s="217" t="s">
        <v>23</v>
      </c>
      <c r="C26" s="217" t="s">
        <v>24</v>
      </c>
      <c r="D26" s="217" t="s">
        <v>25</v>
      </c>
      <c r="E26" s="217" t="s">
        <v>56</v>
      </c>
      <c r="F26" s="217" t="s">
        <v>57</v>
      </c>
      <c r="G26" s="217" t="s">
        <v>70</v>
      </c>
      <c r="H26" s="217" t="s">
        <v>888</v>
      </c>
      <c r="I26" s="217" t="s">
        <v>29</v>
      </c>
      <c r="J26" s="217" t="s">
        <v>1859</v>
      </c>
      <c r="K26" s="217">
        <v>2</v>
      </c>
      <c r="L26" s="217">
        <v>2</v>
      </c>
      <c r="M26" s="217" t="s">
        <v>31</v>
      </c>
      <c r="N26" s="217" t="s">
        <v>32</v>
      </c>
      <c r="O26" s="217" t="s">
        <v>33</v>
      </c>
      <c r="P26" s="217" t="s">
        <v>34</v>
      </c>
      <c r="Q26" s="217" t="s">
        <v>35</v>
      </c>
      <c r="R26" s="217" t="s">
        <v>23</v>
      </c>
      <c r="S26" s="217" t="s">
        <v>22</v>
      </c>
      <c r="T26" s="217" t="s">
        <v>47</v>
      </c>
      <c r="U26" s="217" t="s">
        <v>48</v>
      </c>
      <c r="V26" s="217" t="s">
        <v>61</v>
      </c>
      <c r="W26" s="217" t="s">
        <v>62</v>
      </c>
      <c r="AD26" s="217" t="s">
        <v>84</v>
      </c>
      <c r="AE26" s="217" t="s">
        <v>85</v>
      </c>
      <c r="AF26" s="217" t="s">
        <v>97</v>
      </c>
      <c r="AG26" s="217" t="s">
        <v>98</v>
      </c>
      <c r="AH26" s="217" t="s">
        <v>162</v>
      </c>
      <c r="AI26" s="217" t="s">
        <v>1857</v>
      </c>
      <c r="AJ26" s="217">
        <v>5</v>
      </c>
      <c r="AK26" s="217">
        <v>41</v>
      </c>
      <c r="AL26" s="217" t="s">
        <v>68</v>
      </c>
      <c r="AM26" s="217" t="s">
        <v>34</v>
      </c>
      <c r="AN26" s="217" t="s">
        <v>138</v>
      </c>
      <c r="AO26" s="217" t="s">
        <v>32</v>
      </c>
      <c r="AP26" s="217" t="s">
        <v>32</v>
      </c>
      <c r="AQ26" s="217" t="s">
        <v>139</v>
      </c>
      <c r="AR26" s="217" t="s">
        <v>139</v>
      </c>
      <c r="AS26" s="217" t="s">
        <v>156</v>
      </c>
      <c r="AT26" s="217" t="s">
        <v>157</v>
      </c>
      <c r="AU26" s="217" t="s">
        <v>157</v>
      </c>
      <c r="BC26" s="217" t="s">
        <v>24</v>
      </c>
      <c r="BD26" s="217" t="s">
        <v>56</v>
      </c>
      <c r="BE26" s="217" t="s">
        <v>884</v>
      </c>
      <c r="BF26" s="217" t="s">
        <v>65</v>
      </c>
      <c r="BG26" s="217" t="s">
        <v>1998</v>
      </c>
      <c r="BH26" s="217" t="s">
        <v>1658</v>
      </c>
      <c r="BI26" s="217" t="s">
        <v>1660</v>
      </c>
      <c r="BJ26" s="217" t="s">
        <v>1660</v>
      </c>
      <c r="BK26" s="217" t="s">
        <v>637</v>
      </c>
      <c r="BL26" s="217"/>
      <c r="BM26" s="217"/>
      <c r="BN26" s="217">
        <v>0</v>
      </c>
      <c r="BO26" s="218">
        <v>0</v>
      </c>
      <c r="BR26" s="217" t="s">
        <v>24</v>
      </c>
      <c r="BS26" s="217" t="s">
        <v>56</v>
      </c>
      <c r="BT26" s="217" t="s">
        <v>60</v>
      </c>
      <c r="BU26" s="217" t="s">
        <v>881</v>
      </c>
      <c r="BV26" s="217">
        <v>19</v>
      </c>
      <c r="BW26" s="217">
        <v>165</v>
      </c>
      <c r="BX26" s="217">
        <v>0</v>
      </c>
      <c r="BY26" s="217">
        <v>0</v>
      </c>
      <c r="BZ26" s="217">
        <v>0</v>
      </c>
      <c r="CA26" s="217">
        <v>0</v>
      </c>
      <c r="CB26" s="217">
        <v>19</v>
      </c>
      <c r="CC26" s="217">
        <v>165</v>
      </c>
      <c r="CD26" s="217">
        <v>0</v>
      </c>
      <c r="CE26" s="217">
        <v>0</v>
      </c>
      <c r="CF26" s="217">
        <v>0</v>
      </c>
      <c r="CG26" s="218">
        <v>0</v>
      </c>
      <c r="CH26" s="218">
        <v>0</v>
      </c>
      <c r="CI26" s="218">
        <v>0</v>
      </c>
      <c r="CJ26" s="218">
        <v>0</v>
      </c>
      <c r="CM26" s="217" t="s">
        <v>184</v>
      </c>
      <c r="CN26" s="217" t="s">
        <v>183</v>
      </c>
      <c r="CO26" s="217" t="s">
        <v>203</v>
      </c>
      <c r="CP26" s="217" t="s">
        <v>202</v>
      </c>
      <c r="CQ26" s="217" t="s">
        <v>99</v>
      </c>
      <c r="CR26" s="217">
        <v>1133</v>
      </c>
      <c r="CS26" s="218">
        <v>1102</v>
      </c>
      <c r="CT26"/>
      <c r="CU26"/>
      <c r="CV26"/>
      <c r="CW26"/>
      <c r="CX26"/>
      <c r="CY26"/>
    </row>
    <row r="27" spans="1:103" x14ac:dyDescent="0.25">
      <c r="A27" s="217" t="s">
        <v>22</v>
      </c>
      <c r="B27" s="217" t="s">
        <v>23</v>
      </c>
      <c r="C27" s="217" t="s">
        <v>24</v>
      </c>
      <c r="D27" s="217" t="s">
        <v>25</v>
      </c>
      <c r="E27" s="217" t="s">
        <v>56</v>
      </c>
      <c r="F27" s="217" t="s">
        <v>57</v>
      </c>
      <c r="G27" s="217" t="s">
        <v>71</v>
      </c>
      <c r="H27" s="217" t="s">
        <v>889</v>
      </c>
      <c r="I27" s="217" t="s">
        <v>29</v>
      </c>
      <c r="J27" s="217" t="s">
        <v>1856</v>
      </c>
      <c r="K27" s="217">
        <v>2</v>
      </c>
      <c r="L27" s="217">
        <v>13</v>
      </c>
      <c r="M27" s="217" t="s">
        <v>31</v>
      </c>
      <c r="N27" s="217" t="s">
        <v>32</v>
      </c>
      <c r="O27" s="217" t="s">
        <v>33</v>
      </c>
      <c r="P27" s="217" t="s">
        <v>34</v>
      </c>
      <c r="Q27" s="217" t="s">
        <v>35</v>
      </c>
      <c r="R27" s="217" t="s">
        <v>23</v>
      </c>
      <c r="S27" s="217" t="s">
        <v>22</v>
      </c>
      <c r="T27" s="217" t="s">
        <v>47</v>
      </c>
      <c r="U27" s="217" t="s">
        <v>48</v>
      </c>
      <c r="V27" s="217" t="s">
        <v>61</v>
      </c>
      <c r="W27" s="217" t="s">
        <v>62</v>
      </c>
      <c r="AD27" s="217" t="s">
        <v>84</v>
      </c>
      <c r="AE27" s="217" t="s">
        <v>85</v>
      </c>
      <c r="AF27" s="217" t="s">
        <v>97</v>
      </c>
      <c r="AG27" s="217" t="s">
        <v>98</v>
      </c>
      <c r="AH27" s="217" t="s">
        <v>421</v>
      </c>
      <c r="AI27" s="217" t="s">
        <v>1857</v>
      </c>
      <c r="AJ27" s="217">
        <v>8</v>
      </c>
      <c r="AK27" s="217">
        <v>40</v>
      </c>
      <c r="AL27" s="217" t="s">
        <v>68</v>
      </c>
      <c r="AM27" s="217" t="s">
        <v>34</v>
      </c>
      <c r="AN27" s="217" t="s">
        <v>138</v>
      </c>
      <c r="AO27" s="217" t="s">
        <v>32</v>
      </c>
      <c r="AP27" s="217" t="s">
        <v>32</v>
      </c>
      <c r="AQ27" s="217" t="s">
        <v>139</v>
      </c>
      <c r="AR27" s="217" t="s">
        <v>139</v>
      </c>
      <c r="AS27" s="217" t="s">
        <v>156</v>
      </c>
      <c r="AT27" s="217" t="s">
        <v>157</v>
      </c>
      <c r="AU27" s="217" t="s">
        <v>157</v>
      </c>
      <c r="BC27" s="217" t="s">
        <v>24</v>
      </c>
      <c r="BD27" s="217" t="s">
        <v>56</v>
      </c>
      <c r="BE27" s="217" t="s">
        <v>885</v>
      </c>
      <c r="BF27" s="217" t="s">
        <v>66</v>
      </c>
      <c r="BG27" s="217" t="s">
        <v>1998</v>
      </c>
      <c r="BH27" s="217" t="s">
        <v>1660</v>
      </c>
      <c r="BI27" s="217" t="s">
        <v>1660</v>
      </c>
      <c r="BJ27" s="217" t="s">
        <v>1660</v>
      </c>
      <c r="BK27" s="217" t="s">
        <v>637</v>
      </c>
      <c r="BL27" s="217"/>
      <c r="BM27" s="217"/>
      <c r="BN27" s="217">
        <v>0</v>
      </c>
      <c r="BO27" s="218">
        <v>0</v>
      </c>
      <c r="BR27" s="217" t="s">
        <v>24</v>
      </c>
      <c r="BS27" s="217" t="s">
        <v>56</v>
      </c>
      <c r="BT27" s="217" t="s">
        <v>73</v>
      </c>
      <c r="BU27" s="217" t="s">
        <v>891</v>
      </c>
      <c r="BV27" s="217">
        <v>27</v>
      </c>
      <c r="BW27" s="217">
        <v>98</v>
      </c>
      <c r="BX27" s="217">
        <v>1</v>
      </c>
      <c r="BY27" s="217">
        <v>6</v>
      </c>
      <c r="BZ27" s="217">
        <v>0</v>
      </c>
      <c r="CA27" s="217">
        <v>0</v>
      </c>
      <c r="CB27" s="217">
        <v>26</v>
      </c>
      <c r="CC27" s="217">
        <v>87</v>
      </c>
      <c r="CD27" s="217">
        <v>1</v>
      </c>
      <c r="CE27" s="217">
        <v>6</v>
      </c>
      <c r="CF27" s="217">
        <v>0</v>
      </c>
      <c r="CG27" s="218">
        <v>0</v>
      </c>
      <c r="CH27" s="218">
        <v>11</v>
      </c>
      <c r="CI27" s="218">
        <v>0</v>
      </c>
      <c r="CJ27" s="218">
        <v>0</v>
      </c>
      <c r="CM27" s="217" t="s">
        <v>184</v>
      </c>
      <c r="CN27" s="217" t="s">
        <v>183</v>
      </c>
      <c r="CO27" s="217" t="s">
        <v>206</v>
      </c>
      <c r="CP27" s="217" t="s">
        <v>205</v>
      </c>
      <c r="CQ27" s="217" t="s">
        <v>99</v>
      </c>
      <c r="CR27" s="217">
        <v>4273</v>
      </c>
      <c r="CS27" s="218">
        <v>4273</v>
      </c>
      <c r="CT27"/>
      <c r="CU27"/>
      <c r="CV27"/>
      <c r="CW27"/>
      <c r="CX27"/>
      <c r="CY27"/>
    </row>
    <row r="28" spans="1:103" x14ac:dyDescent="0.25">
      <c r="A28" s="217" t="s">
        <v>22</v>
      </c>
      <c r="B28" s="217" t="s">
        <v>23</v>
      </c>
      <c r="C28" s="217" t="s">
        <v>24</v>
      </c>
      <c r="D28" s="217" t="s">
        <v>25</v>
      </c>
      <c r="E28" s="217" t="s">
        <v>56</v>
      </c>
      <c r="F28" s="217" t="s">
        <v>57</v>
      </c>
      <c r="G28" s="217" t="s">
        <v>71</v>
      </c>
      <c r="H28" s="217" t="s">
        <v>889</v>
      </c>
      <c r="I28" s="217" t="s">
        <v>29</v>
      </c>
      <c r="J28" s="217" t="s">
        <v>1858</v>
      </c>
      <c r="K28" s="217">
        <v>3</v>
      </c>
      <c r="L28" s="217">
        <v>28</v>
      </c>
      <c r="M28" s="217" t="s">
        <v>31</v>
      </c>
      <c r="N28" s="217" t="s">
        <v>32</v>
      </c>
      <c r="O28" s="217" t="s">
        <v>33</v>
      </c>
      <c r="P28" s="217" t="s">
        <v>34</v>
      </c>
      <c r="Q28" s="217" t="s">
        <v>35</v>
      </c>
      <c r="R28" s="217" t="s">
        <v>23</v>
      </c>
      <c r="S28" s="217" t="s">
        <v>22</v>
      </c>
      <c r="T28" s="217" t="s">
        <v>47</v>
      </c>
      <c r="U28" s="217" t="s">
        <v>48</v>
      </c>
      <c r="V28" s="217" t="s">
        <v>61</v>
      </c>
      <c r="W28" s="217" t="s">
        <v>62</v>
      </c>
      <c r="AD28" s="217" t="s">
        <v>84</v>
      </c>
      <c r="AE28" s="217" t="s">
        <v>85</v>
      </c>
      <c r="AF28" s="217" t="s">
        <v>97</v>
      </c>
      <c r="AG28" s="217" t="s">
        <v>98</v>
      </c>
      <c r="AH28" s="217" t="s">
        <v>166</v>
      </c>
      <c r="AI28" s="217" t="s">
        <v>1855</v>
      </c>
      <c r="AJ28" s="217">
        <v>6</v>
      </c>
      <c r="AK28" s="217">
        <v>19</v>
      </c>
      <c r="AL28" s="217" t="s">
        <v>33</v>
      </c>
      <c r="AM28" s="217" t="s">
        <v>34</v>
      </c>
      <c r="AN28" s="217" t="s">
        <v>138</v>
      </c>
      <c r="AO28" s="217" t="s">
        <v>32</v>
      </c>
      <c r="AP28" s="217" t="s">
        <v>32</v>
      </c>
      <c r="AQ28" s="217" t="s">
        <v>183</v>
      </c>
      <c r="AR28" s="217" t="s">
        <v>184</v>
      </c>
      <c r="AS28" s="217" t="s">
        <v>139</v>
      </c>
      <c r="AT28" s="217" t="s">
        <v>139</v>
      </c>
      <c r="AU28" s="217" t="s">
        <v>215</v>
      </c>
      <c r="BC28" s="217" t="s">
        <v>24</v>
      </c>
      <c r="BD28" s="217" t="s">
        <v>56</v>
      </c>
      <c r="BE28" s="217" t="s">
        <v>886</v>
      </c>
      <c r="BF28" s="217" t="s">
        <v>67</v>
      </c>
      <c r="BG28" s="217" t="s">
        <v>1998</v>
      </c>
      <c r="BH28" s="217" t="s">
        <v>1658</v>
      </c>
      <c r="BI28" s="217" t="s">
        <v>1660</v>
      </c>
      <c r="BJ28" s="217" t="s">
        <v>1660</v>
      </c>
      <c r="BK28" s="217" t="s">
        <v>637</v>
      </c>
      <c r="BL28" s="217"/>
      <c r="BM28" s="217"/>
      <c r="BN28" s="217">
        <v>0</v>
      </c>
      <c r="BO28" s="218">
        <v>0</v>
      </c>
      <c r="BR28" s="217" t="s">
        <v>24</v>
      </c>
      <c r="BS28" s="217" t="s">
        <v>56</v>
      </c>
      <c r="BT28" s="217" t="s">
        <v>63</v>
      </c>
      <c r="BU28" s="217" t="s">
        <v>882</v>
      </c>
      <c r="BV28" s="217">
        <v>144</v>
      </c>
      <c r="BW28" s="217">
        <v>742</v>
      </c>
      <c r="BX28" s="217">
        <v>0</v>
      </c>
      <c r="BY28" s="217">
        <v>0</v>
      </c>
      <c r="BZ28" s="217">
        <v>0</v>
      </c>
      <c r="CA28" s="217">
        <v>0</v>
      </c>
      <c r="CB28" s="217">
        <v>144</v>
      </c>
      <c r="CC28" s="217">
        <v>742</v>
      </c>
      <c r="CD28" s="217">
        <v>0</v>
      </c>
      <c r="CE28" s="217">
        <v>0</v>
      </c>
      <c r="CF28" s="217">
        <v>0</v>
      </c>
      <c r="CG28" s="218">
        <v>0</v>
      </c>
      <c r="CH28" s="218">
        <v>0</v>
      </c>
      <c r="CI28" s="218">
        <v>0</v>
      </c>
      <c r="CJ28" s="218">
        <v>0</v>
      </c>
      <c r="CM28" s="217" t="s">
        <v>184</v>
      </c>
      <c r="CN28" s="217" t="s">
        <v>183</v>
      </c>
      <c r="CO28" s="217" t="s">
        <v>215</v>
      </c>
      <c r="CP28" s="217" t="s">
        <v>214</v>
      </c>
      <c r="CQ28" s="217" t="s">
        <v>31</v>
      </c>
      <c r="CR28" s="217">
        <v>578</v>
      </c>
      <c r="CS28" s="218">
        <v>578</v>
      </c>
      <c r="CT28"/>
      <c r="CU28"/>
      <c r="CV28"/>
      <c r="CW28"/>
      <c r="CX28"/>
      <c r="CY28"/>
    </row>
    <row r="29" spans="1:103" x14ac:dyDescent="0.25">
      <c r="A29" s="217" t="s">
        <v>22</v>
      </c>
      <c r="B29" s="217" t="s">
        <v>23</v>
      </c>
      <c r="C29" s="217" t="s">
        <v>24</v>
      </c>
      <c r="D29" s="217" t="s">
        <v>25</v>
      </c>
      <c r="E29" s="217" t="s">
        <v>56</v>
      </c>
      <c r="F29" s="217" t="s">
        <v>57</v>
      </c>
      <c r="G29" s="217" t="s">
        <v>72</v>
      </c>
      <c r="H29" s="217" t="s">
        <v>890</v>
      </c>
      <c r="I29" s="217" t="s">
        <v>29</v>
      </c>
      <c r="J29" s="217" t="s">
        <v>1854</v>
      </c>
      <c r="K29" s="217">
        <v>11</v>
      </c>
      <c r="L29" s="217">
        <v>59</v>
      </c>
      <c r="M29" s="217" t="s">
        <v>31</v>
      </c>
      <c r="N29" s="217" t="s">
        <v>32</v>
      </c>
      <c r="O29" s="217" t="s">
        <v>33</v>
      </c>
      <c r="P29" s="217" t="s">
        <v>34</v>
      </c>
      <c r="Q29" s="217" t="s">
        <v>35</v>
      </c>
      <c r="R29" s="217" t="s">
        <v>23</v>
      </c>
      <c r="S29" s="217" t="s">
        <v>22</v>
      </c>
      <c r="T29" s="217" t="s">
        <v>47</v>
      </c>
      <c r="U29" s="217" t="s">
        <v>48</v>
      </c>
      <c r="V29" s="217" t="s">
        <v>61</v>
      </c>
      <c r="W29" s="217" t="s">
        <v>62</v>
      </c>
      <c r="AD29" s="217" t="s">
        <v>84</v>
      </c>
      <c r="AE29" s="217" t="s">
        <v>85</v>
      </c>
      <c r="AF29" s="217" t="s">
        <v>97</v>
      </c>
      <c r="AG29" s="217" t="s">
        <v>98</v>
      </c>
      <c r="AH29" s="217" t="s">
        <v>431</v>
      </c>
      <c r="AI29" s="217" t="s">
        <v>1856</v>
      </c>
      <c r="AJ29" s="217">
        <v>48</v>
      </c>
      <c r="AK29" s="217">
        <v>259</v>
      </c>
      <c r="AL29" s="217" t="s">
        <v>100</v>
      </c>
      <c r="AM29" s="217" t="s">
        <v>34</v>
      </c>
      <c r="AN29" s="217" t="s">
        <v>138</v>
      </c>
      <c r="AO29" s="217" t="s">
        <v>32</v>
      </c>
      <c r="AP29" s="217" t="s">
        <v>32</v>
      </c>
      <c r="AQ29" s="217" t="s">
        <v>139</v>
      </c>
      <c r="AR29" s="217" t="s">
        <v>139</v>
      </c>
      <c r="AS29" s="217" t="s">
        <v>139</v>
      </c>
      <c r="AT29" s="217" t="s">
        <v>139</v>
      </c>
      <c r="AU29" s="217" t="s">
        <v>2175</v>
      </c>
      <c r="BC29" s="217" t="s">
        <v>24</v>
      </c>
      <c r="BD29" s="217" t="s">
        <v>56</v>
      </c>
      <c r="BE29" s="217" t="s">
        <v>887</v>
      </c>
      <c r="BF29" s="217" t="s">
        <v>69</v>
      </c>
      <c r="BG29" s="217" t="s">
        <v>1998</v>
      </c>
      <c r="BH29" s="217" t="s">
        <v>1660</v>
      </c>
      <c r="BI29" s="217" t="s">
        <v>1658</v>
      </c>
      <c r="BJ29" s="217" t="s">
        <v>1660</v>
      </c>
      <c r="BK29" s="217" t="s">
        <v>637</v>
      </c>
      <c r="BL29" s="217"/>
      <c r="BM29" s="217"/>
      <c r="BN29" s="217">
        <v>0</v>
      </c>
      <c r="BO29" s="218">
        <v>0</v>
      </c>
      <c r="BR29" s="217" t="s">
        <v>24</v>
      </c>
      <c r="BS29" s="217" t="s">
        <v>56</v>
      </c>
      <c r="BT29" s="217" t="s">
        <v>81</v>
      </c>
      <c r="BU29" s="217" t="s">
        <v>899</v>
      </c>
      <c r="BV29" s="217">
        <v>9</v>
      </c>
      <c r="BW29" s="217">
        <v>63</v>
      </c>
      <c r="BX29" s="217">
        <v>2</v>
      </c>
      <c r="BY29" s="217">
        <v>13</v>
      </c>
      <c r="BZ29" s="217">
        <v>0</v>
      </c>
      <c r="CA29" s="217">
        <v>0</v>
      </c>
      <c r="CB29" s="217">
        <v>9</v>
      </c>
      <c r="CC29" s="217">
        <v>63</v>
      </c>
      <c r="CD29" s="217">
        <v>2</v>
      </c>
      <c r="CE29" s="217">
        <v>13</v>
      </c>
      <c r="CF29" s="217">
        <v>0</v>
      </c>
      <c r="CG29" s="218">
        <v>0</v>
      </c>
      <c r="CH29" s="218">
        <v>0</v>
      </c>
      <c r="CI29" s="218">
        <v>0</v>
      </c>
      <c r="CJ29" s="218">
        <v>0</v>
      </c>
      <c r="CM29" s="217" t="s">
        <v>184</v>
      </c>
      <c r="CN29" s="217" t="s">
        <v>183</v>
      </c>
      <c r="CO29" s="217" t="s">
        <v>215</v>
      </c>
      <c r="CP29" s="217" t="s">
        <v>214</v>
      </c>
      <c r="CQ29" s="217" t="s">
        <v>99</v>
      </c>
      <c r="CR29" s="217">
        <v>5047</v>
      </c>
      <c r="CS29" s="218">
        <v>5524</v>
      </c>
      <c r="CT29"/>
      <c r="CU29"/>
      <c r="CV29"/>
      <c r="CW29"/>
      <c r="CX29"/>
      <c r="CY29"/>
    </row>
    <row r="30" spans="1:103" x14ac:dyDescent="0.25">
      <c r="A30" s="217" t="s">
        <v>22</v>
      </c>
      <c r="B30" s="217" t="s">
        <v>23</v>
      </c>
      <c r="C30" s="217" t="s">
        <v>24</v>
      </c>
      <c r="D30" s="217" t="s">
        <v>25</v>
      </c>
      <c r="E30" s="217" t="s">
        <v>56</v>
      </c>
      <c r="F30" s="217" t="s">
        <v>57</v>
      </c>
      <c r="G30" s="217" t="s">
        <v>73</v>
      </c>
      <c r="H30" s="217" t="s">
        <v>891</v>
      </c>
      <c r="I30" s="217" t="s">
        <v>29</v>
      </c>
      <c r="J30" s="217" t="s">
        <v>1855</v>
      </c>
      <c r="K30" s="217">
        <v>19</v>
      </c>
      <c r="L30" s="217">
        <v>69</v>
      </c>
      <c r="M30" s="217" t="s">
        <v>31</v>
      </c>
      <c r="N30" s="217" t="s">
        <v>32</v>
      </c>
      <c r="O30" s="217" t="s">
        <v>100</v>
      </c>
      <c r="P30" s="217" t="s">
        <v>34</v>
      </c>
      <c r="Q30" s="217" t="s">
        <v>35</v>
      </c>
      <c r="R30" s="217" t="s">
        <v>23</v>
      </c>
      <c r="S30" s="217" t="s">
        <v>22</v>
      </c>
      <c r="T30" s="217" t="s">
        <v>25</v>
      </c>
      <c r="U30" s="217" t="s">
        <v>24</v>
      </c>
      <c r="V30" s="217" t="s">
        <v>57</v>
      </c>
      <c r="W30" s="217" t="s">
        <v>56</v>
      </c>
      <c r="AD30" s="217" t="s">
        <v>84</v>
      </c>
      <c r="AE30" s="217" t="s">
        <v>85</v>
      </c>
      <c r="AF30" s="217" t="s">
        <v>97</v>
      </c>
      <c r="AG30" s="217" t="s">
        <v>98</v>
      </c>
      <c r="AH30" s="217" t="s">
        <v>168</v>
      </c>
      <c r="AI30" s="217" t="s">
        <v>1856</v>
      </c>
      <c r="AJ30" s="217">
        <v>2</v>
      </c>
      <c r="AK30" s="217">
        <v>15</v>
      </c>
      <c r="AL30" s="217" t="s">
        <v>68</v>
      </c>
      <c r="AM30" s="217" t="s">
        <v>34</v>
      </c>
      <c r="AN30" s="217" t="s">
        <v>138</v>
      </c>
      <c r="AO30" s="217" t="s">
        <v>32</v>
      </c>
      <c r="AP30" s="217" t="s">
        <v>32</v>
      </c>
      <c r="AQ30" s="217" t="s">
        <v>139</v>
      </c>
      <c r="AR30" s="217" t="s">
        <v>139</v>
      </c>
      <c r="AS30" s="217" t="s">
        <v>156</v>
      </c>
      <c r="AT30" s="217" t="s">
        <v>157</v>
      </c>
      <c r="AU30" s="217" t="s">
        <v>157</v>
      </c>
      <c r="BC30" s="217" t="s">
        <v>24</v>
      </c>
      <c r="BD30" s="217" t="s">
        <v>56</v>
      </c>
      <c r="BE30" s="217" t="s">
        <v>888</v>
      </c>
      <c r="BF30" s="217" t="s">
        <v>70</v>
      </c>
      <c r="BG30" s="217" t="s">
        <v>1998</v>
      </c>
      <c r="BH30" s="217" t="s">
        <v>1658</v>
      </c>
      <c r="BI30" s="217" t="s">
        <v>1660</v>
      </c>
      <c r="BJ30" s="217" t="s">
        <v>1660</v>
      </c>
      <c r="BK30" s="217" t="s">
        <v>637</v>
      </c>
      <c r="BL30" s="217"/>
      <c r="BM30" s="217"/>
      <c r="BN30" s="217">
        <v>0</v>
      </c>
      <c r="BO30" s="218">
        <v>0</v>
      </c>
      <c r="BR30" s="217" t="s">
        <v>24</v>
      </c>
      <c r="BS30" s="217" t="s">
        <v>56</v>
      </c>
      <c r="BT30" s="217" t="s">
        <v>59</v>
      </c>
      <c r="BU30" s="217" t="s">
        <v>880</v>
      </c>
      <c r="BV30" s="217">
        <v>2</v>
      </c>
      <c r="BW30" s="217">
        <v>19</v>
      </c>
      <c r="BX30" s="217">
        <v>0</v>
      </c>
      <c r="BY30" s="217">
        <v>0</v>
      </c>
      <c r="BZ30" s="217">
        <v>1</v>
      </c>
      <c r="CA30" s="217">
        <v>4</v>
      </c>
      <c r="CB30" s="217">
        <v>3</v>
      </c>
      <c r="CC30" s="217">
        <v>25</v>
      </c>
      <c r="CD30" s="217">
        <v>0</v>
      </c>
      <c r="CE30" s="217">
        <v>0</v>
      </c>
      <c r="CF30" s="217">
        <v>0</v>
      </c>
      <c r="CG30" s="218">
        <v>0</v>
      </c>
      <c r="CH30" s="218">
        <v>-6</v>
      </c>
      <c r="CI30" s="218">
        <v>0</v>
      </c>
      <c r="CJ30" s="218">
        <v>4</v>
      </c>
      <c r="CM30" s="217" t="s">
        <v>184</v>
      </c>
      <c r="CN30" s="217" t="s">
        <v>183</v>
      </c>
      <c r="CO30" s="217" t="s">
        <v>213</v>
      </c>
      <c r="CP30" s="217" t="s">
        <v>212</v>
      </c>
      <c r="CQ30" s="217" t="s">
        <v>99</v>
      </c>
      <c r="CR30" s="217">
        <v>2110</v>
      </c>
      <c r="CS30" s="218">
        <v>2110</v>
      </c>
      <c r="CT30"/>
      <c r="CU30"/>
      <c r="CV30"/>
      <c r="CW30"/>
      <c r="CX30"/>
      <c r="CY30"/>
    </row>
    <row r="31" spans="1:103" x14ac:dyDescent="0.25">
      <c r="A31" s="217" t="s">
        <v>22</v>
      </c>
      <c r="B31" s="217" t="s">
        <v>23</v>
      </c>
      <c r="C31" s="217" t="s">
        <v>24</v>
      </c>
      <c r="D31" s="217" t="s">
        <v>25</v>
      </c>
      <c r="E31" s="217" t="s">
        <v>56</v>
      </c>
      <c r="F31" s="217" t="s">
        <v>57</v>
      </c>
      <c r="G31" s="217" t="s">
        <v>73</v>
      </c>
      <c r="H31" s="217" t="s">
        <v>891</v>
      </c>
      <c r="I31" s="217" t="s">
        <v>29</v>
      </c>
      <c r="J31" s="217" t="s">
        <v>1858</v>
      </c>
      <c r="K31" s="217">
        <v>7</v>
      </c>
      <c r="L31" s="217">
        <v>18</v>
      </c>
      <c r="M31" s="217" t="s">
        <v>31</v>
      </c>
      <c r="N31" s="217" t="s">
        <v>32</v>
      </c>
      <c r="O31" s="217" t="s">
        <v>100</v>
      </c>
      <c r="P31" s="217" t="s">
        <v>34</v>
      </c>
      <c r="Q31" s="217" t="s">
        <v>35</v>
      </c>
      <c r="R31" s="217" t="s">
        <v>23</v>
      </c>
      <c r="S31" s="217" t="s">
        <v>22</v>
      </c>
      <c r="T31" s="217" t="s">
        <v>25</v>
      </c>
      <c r="U31" s="217" t="s">
        <v>24</v>
      </c>
      <c r="V31" s="217" t="s">
        <v>57</v>
      </c>
      <c r="W31" s="217" t="s">
        <v>56</v>
      </c>
      <c r="AD31" s="217" t="s">
        <v>84</v>
      </c>
      <c r="AE31" s="217" t="s">
        <v>85</v>
      </c>
      <c r="AF31" s="217" t="s">
        <v>97</v>
      </c>
      <c r="AG31" s="217" t="s">
        <v>98</v>
      </c>
      <c r="AH31" s="217" t="s">
        <v>171</v>
      </c>
      <c r="AI31" s="217" t="s">
        <v>1856</v>
      </c>
      <c r="AJ31" s="217">
        <v>2</v>
      </c>
      <c r="AK31" s="217">
        <v>6</v>
      </c>
      <c r="AL31" s="217" t="s">
        <v>68</v>
      </c>
      <c r="AM31" s="217" t="s">
        <v>34</v>
      </c>
      <c r="AN31" s="217" t="s">
        <v>138</v>
      </c>
      <c r="AO31" s="217" t="s">
        <v>32</v>
      </c>
      <c r="AP31" s="217" t="s">
        <v>32</v>
      </c>
      <c r="AQ31" s="217" t="s">
        <v>139</v>
      </c>
      <c r="AR31" s="217" t="s">
        <v>139</v>
      </c>
      <c r="AS31" s="217" t="s">
        <v>172</v>
      </c>
      <c r="AT31" s="217" t="s">
        <v>173</v>
      </c>
      <c r="AU31" s="217" t="s">
        <v>2176</v>
      </c>
      <c r="BC31" s="217" t="s">
        <v>24</v>
      </c>
      <c r="BD31" s="217" t="s">
        <v>56</v>
      </c>
      <c r="BE31" s="217" t="s">
        <v>889</v>
      </c>
      <c r="BF31" s="217" t="s">
        <v>71</v>
      </c>
      <c r="BG31" s="217" t="s">
        <v>1998</v>
      </c>
      <c r="BH31" s="217" t="s">
        <v>1658</v>
      </c>
      <c r="BI31" s="217" t="s">
        <v>1660</v>
      </c>
      <c r="BJ31" s="217" t="s">
        <v>1660</v>
      </c>
      <c r="BK31" s="217" t="s">
        <v>637</v>
      </c>
      <c r="BL31" s="217"/>
      <c r="BM31" s="217"/>
      <c r="BN31" s="217">
        <v>0</v>
      </c>
      <c r="BO31" s="218">
        <v>0</v>
      </c>
      <c r="BR31" s="217" t="s">
        <v>24</v>
      </c>
      <c r="BS31" s="217" t="s">
        <v>56</v>
      </c>
      <c r="BT31" s="217" t="s">
        <v>67</v>
      </c>
      <c r="BU31" s="217" t="s">
        <v>886</v>
      </c>
      <c r="BV31" s="217">
        <v>3</v>
      </c>
      <c r="BW31" s="217">
        <v>27</v>
      </c>
      <c r="BX31" s="217">
        <v>0</v>
      </c>
      <c r="BY31" s="217">
        <v>0</v>
      </c>
      <c r="BZ31" s="217">
        <v>0</v>
      </c>
      <c r="CA31" s="217">
        <v>0</v>
      </c>
      <c r="CB31" s="217">
        <v>3</v>
      </c>
      <c r="CC31" s="217">
        <v>27</v>
      </c>
      <c r="CD31" s="217">
        <v>0</v>
      </c>
      <c r="CE31" s="217">
        <v>0</v>
      </c>
      <c r="CF31" s="217">
        <v>0</v>
      </c>
      <c r="CG31" s="218">
        <v>0</v>
      </c>
      <c r="CH31" s="218">
        <v>0</v>
      </c>
      <c r="CI31" s="218">
        <v>0</v>
      </c>
      <c r="CJ31" s="218">
        <v>0</v>
      </c>
      <c r="CM31" s="217" t="s">
        <v>218</v>
      </c>
      <c r="CN31" s="217" t="s">
        <v>217</v>
      </c>
      <c r="CO31" s="217" t="s">
        <v>676</v>
      </c>
      <c r="CP31" s="217" t="s">
        <v>677</v>
      </c>
      <c r="CQ31" s="217" t="s">
        <v>637</v>
      </c>
      <c r="CR31" s="217">
        <v>82</v>
      </c>
      <c r="CS31" s="218">
        <v>77</v>
      </c>
      <c r="CT31"/>
      <c r="CU31"/>
      <c r="CV31"/>
      <c r="CW31"/>
      <c r="CX31"/>
      <c r="CY31"/>
    </row>
    <row r="32" spans="1:103" x14ac:dyDescent="0.25">
      <c r="A32" s="217" t="s">
        <v>22</v>
      </c>
      <c r="B32" s="217" t="s">
        <v>23</v>
      </c>
      <c r="C32" s="217" t="s">
        <v>24</v>
      </c>
      <c r="D32" s="217" t="s">
        <v>25</v>
      </c>
      <c r="E32" s="217" t="s">
        <v>56</v>
      </c>
      <c r="F32" s="217" t="s">
        <v>57</v>
      </c>
      <c r="G32" s="217" t="s">
        <v>73</v>
      </c>
      <c r="H32" s="217" t="s">
        <v>891</v>
      </c>
      <c r="I32" s="217" t="s">
        <v>29</v>
      </c>
      <c r="J32" s="217" t="s">
        <v>1859</v>
      </c>
      <c r="K32" s="217">
        <v>1</v>
      </c>
      <c r="L32" s="217">
        <v>11</v>
      </c>
      <c r="M32" s="217" t="s">
        <v>31</v>
      </c>
      <c r="N32" s="217" t="s">
        <v>32</v>
      </c>
      <c r="O32" s="217" t="s">
        <v>100</v>
      </c>
      <c r="P32" s="217" t="s">
        <v>34</v>
      </c>
      <c r="Q32" s="217" t="s">
        <v>35</v>
      </c>
      <c r="R32" s="217" t="s">
        <v>23</v>
      </c>
      <c r="S32" s="217" t="s">
        <v>22</v>
      </c>
      <c r="T32" s="217" t="s">
        <v>25</v>
      </c>
      <c r="U32" s="217" t="s">
        <v>24</v>
      </c>
      <c r="V32" s="217" t="s">
        <v>57</v>
      </c>
      <c r="W32" s="217" t="s">
        <v>56</v>
      </c>
      <c r="AD32" s="217" t="s">
        <v>84</v>
      </c>
      <c r="AE32" s="217" t="s">
        <v>85</v>
      </c>
      <c r="AF32" s="217" t="s">
        <v>174</v>
      </c>
      <c r="AG32" s="217" t="s">
        <v>175</v>
      </c>
      <c r="AH32" s="217" t="s">
        <v>176</v>
      </c>
      <c r="AI32" s="217" t="s">
        <v>1856</v>
      </c>
      <c r="AJ32" s="217">
        <v>4</v>
      </c>
      <c r="AK32" s="217">
        <v>26</v>
      </c>
      <c r="AL32" s="217" t="s">
        <v>100</v>
      </c>
      <c r="AM32" s="217" t="s">
        <v>34</v>
      </c>
      <c r="AN32" s="217" t="s">
        <v>138</v>
      </c>
      <c r="AO32" s="217" t="s">
        <v>32</v>
      </c>
      <c r="AP32" s="217" t="s">
        <v>32</v>
      </c>
      <c r="AQ32" s="217" t="s">
        <v>139</v>
      </c>
      <c r="AR32" s="217" t="s">
        <v>139</v>
      </c>
      <c r="AS32" s="217" t="s">
        <v>139</v>
      </c>
      <c r="AT32" s="217" t="s">
        <v>139</v>
      </c>
      <c r="AU32" s="217" t="s">
        <v>2177</v>
      </c>
      <c r="BC32" s="217" t="s">
        <v>24</v>
      </c>
      <c r="BD32" s="217" t="s">
        <v>56</v>
      </c>
      <c r="BE32" s="217" t="s">
        <v>890</v>
      </c>
      <c r="BF32" s="217" t="s">
        <v>72</v>
      </c>
      <c r="BG32" s="217" t="s">
        <v>1998</v>
      </c>
      <c r="BH32" s="217" t="s">
        <v>1658</v>
      </c>
      <c r="BI32" s="217" t="s">
        <v>1660</v>
      </c>
      <c r="BJ32" s="217" t="s">
        <v>1660</v>
      </c>
      <c r="BK32" s="217" t="s">
        <v>637</v>
      </c>
      <c r="BL32" s="217"/>
      <c r="BM32" s="217"/>
      <c r="BN32" s="217">
        <v>0</v>
      </c>
      <c r="BO32" s="218">
        <v>0</v>
      </c>
      <c r="BR32" s="217" t="s">
        <v>24</v>
      </c>
      <c r="BS32" s="217" t="s">
        <v>56</v>
      </c>
      <c r="BT32" s="217" t="s">
        <v>69</v>
      </c>
      <c r="BU32" s="217" t="s">
        <v>887</v>
      </c>
      <c r="BV32" s="217">
        <v>0</v>
      </c>
      <c r="BW32" s="217">
        <v>0</v>
      </c>
      <c r="BX32" s="217">
        <v>1</v>
      </c>
      <c r="BY32" s="217">
        <v>3</v>
      </c>
      <c r="BZ32" s="217">
        <v>0</v>
      </c>
      <c r="CA32" s="217">
        <v>0</v>
      </c>
      <c r="CB32" s="217">
        <v>0</v>
      </c>
      <c r="CC32" s="217">
        <v>0</v>
      </c>
      <c r="CD32" s="217">
        <v>0</v>
      </c>
      <c r="CE32" s="217">
        <v>0</v>
      </c>
      <c r="CF32" s="217">
        <v>0</v>
      </c>
      <c r="CG32" s="218">
        <v>0</v>
      </c>
      <c r="CH32" s="218">
        <v>0</v>
      </c>
      <c r="CI32" s="218">
        <v>3</v>
      </c>
      <c r="CJ32" s="218">
        <v>0</v>
      </c>
      <c r="CM32" s="217" t="s">
        <v>218</v>
      </c>
      <c r="CN32" s="217" t="s">
        <v>217</v>
      </c>
      <c r="CO32" s="217" t="s">
        <v>224</v>
      </c>
      <c r="CP32" s="217" t="s">
        <v>223</v>
      </c>
      <c r="CQ32" s="217" t="s">
        <v>31</v>
      </c>
      <c r="CR32" s="217">
        <v>187</v>
      </c>
      <c r="CS32" s="218">
        <v>186</v>
      </c>
      <c r="CT32"/>
      <c r="CU32"/>
      <c r="CV32"/>
      <c r="CW32"/>
      <c r="CX32"/>
      <c r="CY32"/>
    </row>
    <row r="33" spans="1:103" x14ac:dyDescent="0.25">
      <c r="A33" s="217" t="s">
        <v>22</v>
      </c>
      <c r="B33" s="217" t="s">
        <v>23</v>
      </c>
      <c r="C33" s="217" t="s">
        <v>24</v>
      </c>
      <c r="D33" s="217" t="s">
        <v>25</v>
      </c>
      <c r="E33" s="217" t="s">
        <v>56</v>
      </c>
      <c r="F33" s="217" t="s">
        <v>57</v>
      </c>
      <c r="G33" s="217" t="s">
        <v>74</v>
      </c>
      <c r="H33" s="217" t="s">
        <v>892</v>
      </c>
      <c r="I33" s="217" t="s">
        <v>29</v>
      </c>
      <c r="J33" s="217" t="s">
        <v>1855</v>
      </c>
      <c r="K33" s="217">
        <v>17</v>
      </c>
      <c r="L33" s="217">
        <v>85</v>
      </c>
      <c r="M33" s="217" t="s">
        <v>31</v>
      </c>
      <c r="N33" s="217" t="s">
        <v>32</v>
      </c>
      <c r="O33" s="217" t="s">
        <v>100</v>
      </c>
      <c r="P33" s="217" t="s">
        <v>34</v>
      </c>
      <c r="Q33" s="217" t="s">
        <v>35</v>
      </c>
      <c r="R33" s="217" t="s">
        <v>23</v>
      </c>
      <c r="S33" s="217" t="s">
        <v>22</v>
      </c>
      <c r="T33" s="217" t="s">
        <v>25</v>
      </c>
      <c r="U33" s="217" t="s">
        <v>24</v>
      </c>
      <c r="V33" s="217" t="s">
        <v>57</v>
      </c>
      <c r="W33" s="217" t="s">
        <v>56</v>
      </c>
      <c r="AD33" s="217" t="s">
        <v>84</v>
      </c>
      <c r="AE33" s="217" t="s">
        <v>85</v>
      </c>
      <c r="AF33" s="217" t="s">
        <v>174</v>
      </c>
      <c r="AG33" s="217" t="s">
        <v>175</v>
      </c>
      <c r="AH33" s="217" t="s">
        <v>177</v>
      </c>
      <c r="AI33" s="217" t="s">
        <v>1857</v>
      </c>
      <c r="AJ33" s="217">
        <v>3</v>
      </c>
      <c r="AK33" s="217">
        <v>8</v>
      </c>
      <c r="AL33" s="217" t="s">
        <v>100</v>
      </c>
      <c r="AM33" s="217" t="s">
        <v>34</v>
      </c>
      <c r="AN33" s="217" t="s">
        <v>138</v>
      </c>
      <c r="AO33" s="217" t="s">
        <v>32</v>
      </c>
      <c r="AP33" s="217" t="s">
        <v>32</v>
      </c>
      <c r="AQ33" s="217" t="s">
        <v>139</v>
      </c>
      <c r="AR33" s="217" t="s">
        <v>139</v>
      </c>
      <c r="AS33" s="217" t="s">
        <v>139</v>
      </c>
      <c r="AT33" s="217" t="s">
        <v>139</v>
      </c>
      <c r="AU33" s="217" t="s">
        <v>2177</v>
      </c>
      <c r="BC33" s="217" t="s">
        <v>24</v>
      </c>
      <c r="BD33" s="217" t="s">
        <v>56</v>
      </c>
      <c r="BE33" s="217" t="s">
        <v>891</v>
      </c>
      <c r="BF33" s="217" t="s">
        <v>73</v>
      </c>
      <c r="BG33" s="217" t="s">
        <v>1998</v>
      </c>
      <c r="BH33" s="217" t="s">
        <v>1658</v>
      </c>
      <c r="BI33" s="217" t="s">
        <v>1658</v>
      </c>
      <c r="BJ33" s="217" t="s">
        <v>1660</v>
      </c>
      <c r="BK33" s="217" t="s">
        <v>637</v>
      </c>
      <c r="BL33" s="217"/>
      <c r="BM33" s="217"/>
      <c r="BN33" s="217">
        <v>0</v>
      </c>
      <c r="BO33" s="218">
        <v>0</v>
      </c>
      <c r="BR33" s="217" t="s">
        <v>24</v>
      </c>
      <c r="BS33" s="217" t="s">
        <v>56</v>
      </c>
      <c r="BT33" s="217" t="s">
        <v>79</v>
      </c>
      <c r="BU33" s="217" t="s">
        <v>897</v>
      </c>
      <c r="BV33" s="217">
        <v>5</v>
      </c>
      <c r="BW33" s="217">
        <v>23</v>
      </c>
      <c r="BX33" s="217">
        <v>0</v>
      </c>
      <c r="BY33" s="217">
        <v>0</v>
      </c>
      <c r="BZ33" s="217">
        <v>4</v>
      </c>
      <c r="CA33" s="217">
        <v>15</v>
      </c>
      <c r="CB33" s="217">
        <v>5</v>
      </c>
      <c r="CC33" s="217">
        <v>23</v>
      </c>
      <c r="CD33" s="217">
        <v>0</v>
      </c>
      <c r="CE33" s="217">
        <v>0</v>
      </c>
      <c r="CF33" s="217">
        <v>4</v>
      </c>
      <c r="CG33" s="218">
        <v>15</v>
      </c>
      <c r="CH33" s="218">
        <v>0</v>
      </c>
      <c r="CI33" s="218">
        <v>0</v>
      </c>
      <c r="CJ33" s="218">
        <v>0</v>
      </c>
      <c r="CM33" s="217" t="s">
        <v>218</v>
      </c>
      <c r="CN33" s="217" t="s">
        <v>217</v>
      </c>
      <c r="CO33" s="217" t="s">
        <v>220</v>
      </c>
      <c r="CP33" s="217" t="s">
        <v>219</v>
      </c>
      <c r="CQ33" s="217" t="s">
        <v>637</v>
      </c>
      <c r="CR33" s="217">
        <v>8</v>
      </c>
      <c r="CS33" s="218">
        <v>8</v>
      </c>
      <c r="CT33"/>
      <c r="CU33"/>
      <c r="CV33"/>
      <c r="CW33"/>
      <c r="CX33"/>
      <c r="CY33"/>
    </row>
    <row r="34" spans="1:103" x14ac:dyDescent="0.25">
      <c r="A34" s="217" t="s">
        <v>22</v>
      </c>
      <c r="B34" s="217" t="s">
        <v>23</v>
      </c>
      <c r="C34" s="217" t="s">
        <v>24</v>
      </c>
      <c r="D34" s="217" t="s">
        <v>25</v>
      </c>
      <c r="E34" s="217" t="s">
        <v>56</v>
      </c>
      <c r="F34" s="217" t="s">
        <v>57</v>
      </c>
      <c r="G34" s="217" t="s">
        <v>74</v>
      </c>
      <c r="H34" s="217" t="s">
        <v>892</v>
      </c>
      <c r="I34" s="217" t="s">
        <v>29</v>
      </c>
      <c r="J34" s="217" t="s">
        <v>1858</v>
      </c>
      <c r="K34" s="217">
        <v>2</v>
      </c>
      <c r="L34" s="217">
        <v>5</v>
      </c>
      <c r="M34" s="217" t="s">
        <v>31</v>
      </c>
      <c r="N34" s="217" t="s">
        <v>32</v>
      </c>
      <c r="O34" s="217" t="s">
        <v>100</v>
      </c>
      <c r="P34" s="217" t="s">
        <v>34</v>
      </c>
      <c r="Q34" s="217" t="s">
        <v>35</v>
      </c>
      <c r="R34" s="217" t="s">
        <v>23</v>
      </c>
      <c r="S34" s="217" t="s">
        <v>22</v>
      </c>
      <c r="T34" s="217" t="s">
        <v>25</v>
      </c>
      <c r="U34" s="217" t="s">
        <v>24</v>
      </c>
      <c r="V34" s="217" t="s">
        <v>57</v>
      </c>
      <c r="W34" s="217" t="s">
        <v>56</v>
      </c>
      <c r="AD34" s="217" t="s">
        <v>84</v>
      </c>
      <c r="AE34" s="217" t="s">
        <v>85</v>
      </c>
      <c r="AF34" s="217" t="s">
        <v>174</v>
      </c>
      <c r="AG34" s="217" t="s">
        <v>175</v>
      </c>
      <c r="AH34" s="217" t="s">
        <v>853</v>
      </c>
      <c r="AI34" s="217" t="s">
        <v>1856</v>
      </c>
      <c r="AJ34" s="217">
        <v>15</v>
      </c>
      <c r="AK34" s="217">
        <v>78</v>
      </c>
      <c r="AL34" s="217" t="s">
        <v>68</v>
      </c>
      <c r="AM34" s="217" t="s">
        <v>34</v>
      </c>
      <c r="AN34" s="217" t="s">
        <v>138</v>
      </c>
      <c r="AO34" s="217" t="s">
        <v>32</v>
      </c>
      <c r="AP34" s="217" t="s">
        <v>32</v>
      </c>
      <c r="AQ34" s="217" t="s">
        <v>139</v>
      </c>
      <c r="AR34" s="217" t="s">
        <v>139</v>
      </c>
      <c r="AS34" s="217" t="s">
        <v>150</v>
      </c>
      <c r="AT34" s="217" t="s">
        <v>151</v>
      </c>
      <c r="AU34" s="217" t="s">
        <v>2178</v>
      </c>
      <c r="BC34" s="217" t="s">
        <v>24</v>
      </c>
      <c r="BD34" s="217" t="s">
        <v>56</v>
      </c>
      <c r="BE34" s="217" t="s">
        <v>892</v>
      </c>
      <c r="BF34" s="217" t="s">
        <v>74</v>
      </c>
      <c r="BG34" s="217" t="s">
        <v>1998</v>
      </c>
      <c r="BH34" s="217" t="s">
        <v>1658</v>
      </c>
      <c r="BI34" s="217" t="s">
        <v>1660</v>
      </c>
      <c r="BJ34" s="217" t="s">
        <v>1660</v>
      </c>
      <c r="BK34" s="217" t="s">
        <v>637</v>
      </c>
      <c r="BL34" s="217"/>
      <c r="BM34" s="217"/>
      <c r="BN34" s="217">
        <v>0</v>
      </c>
      <c r="BO34" s="218">
        <v>0</v>
      </c>
      <c r="BR34" s="217" t="s">
        <v>24</v>
      </c>
      <c r="BS34" s="217" t="s">
        <v>56</v>
      </c>
      <c r="BT34" s="217" t="s">
        <v>71</v>
      </c>
      <c r="BU34" s="217" t="s">
        <v>889</v>
      </c>
      <c r="BV34" s="217">
        <v>5</v>
      </c>
      <c r="BW34" s="217">
        <v>41</v>
      </c>
      <c r="BX34" s="217">
        <v>0</v>
      </c>
      <c r="BY34" s="217">
        <v>0</v>
      </c>
      <c r="BZ34" s="217">
        <v>0</v>
      </c>
      <c r="CA34" s="217">
        <v>0</v>
      </c>
      <c r="CB34" s="217">
        <v>5</v>
      </c>
      <c r="CC34" s="217">
        <v>41</v>
      </c>
      <c r="CD34" s="217">
        <v>0</v>
      </c>
      <c r="CE34" s="217">
        <v>0</v>
      </c>
      <c r="CF34" s="217">
        <v>0</v>
      </c>
      <c r="CG34" s="218">
        <v>0</v>
      </c>
      <c r="CH34" s="218">
        <v>0</v>
      </c>
      <c r="CI34" s="218">
        <v>0</v>
      </c>
      <c r="CJ34" s="218">
        <v>0</v>
      </c>
      <c r="CM34" s="217" t="s">
        <v>218</v>
      </c>
      <c r="CN34" s="217" t="s">
        <v>217</v>
      </c>
      <c r="CO34" s="217" t="s">
        <v>220</v>
      </c>
      <c r="CP34" s="217" t="s">
        <v>219</v>
      </c>
      <c r="CQ34" s="217" t="s">
        <v>31</v>
      </c>
      <c r="CR34" s="217">
        <v>38</v>
      </c>
      <c r="CS34" s="218">
        <v>38</v>
      </c>
      <c r="CT34"/>
      <c r="CU34"/>
      <c r="CV34"/>
      <c r="CW34"/>
      <c r="CX34"/>
      <c r="CY34"/>
    </row>
    <row r="35" spans="1:103" x14ac:dyDescent="0.25">
      <c r="A35" s="217" t="s">
        <v>22</v>
      </c>
      <c r="B35" s="217" t="s">
        <v>23</v>
      </c>
      <c r="C35" s="217" t="s">
        <v>24</v>
      </c>
      <c r="D35" s="217" t="s">
        <v>25</v>
      </c>
      <c r="E35" s="217" t="s">
        <v>56</v>
      </c>
      <c r="F35" s="217" t="s">
        <v>57</v>
      </c>
      <c r="G35" s="217" t="s">
        <v>75</v>
      </c>
      <c r="H35" s="217" t="s">
        <v>893</v>
      </c>
      <c r="I35" s="217" t="s">
        <v>29</v>
      </c>
      <c r="J35" s="217" t="s">
        <v>1855</v>
      </c>
      <c r="K35" s="217">
        <v>7</v>
      </c>
      <c r="L35" s="217">
        <v>35</v>
      </c>
      <c r="M35" s="217" t="s">
        <v>31</v>
      </c>
      <c r="N35" s="217" t="s">
        <v>32</v>
      </c>
      <c r="O35" s="217" t="s">
        <v>100</v>
      </c>
      <c r="P35" s="217" t="s">
        <v>34</v>
      </c>
      <c r="Q35" s="217" t="s">
        <v>35</v>
      </c>
      <c r="R35" s="217" t="s">
        <v>23</v>
      </c>
      <c r="S35" s="217" t="s">
        <v>22</v>
      </c>
      <c r="T35" s="217" t="s">
        <v>25</v>
      </c>
      <c r="U35" s="217" t="s">
        <v>24</v>
      </c>
      <c r="V35" s="217" t="s">
        <v>57</v>
      </c>
      <c r="W35" s="217" t="s">
        <v>56</v>
      </c>
      <c r="AD35" s="217" t="s">
        <v>84</v>
      </c>
      <c r="AE35" s="217" t="s">
        <v>85</v>
      </c>
      <c r="AF35" s="217" t="s">
        <v>174</v>
      </c>
      <c r="AG35" s="217" t="s">
        <v>175</v>
      </c>
      <c r="AH35" s="217" t="s">
        <v>178</v>
      </c>
      <c r="AI35" s="217" t="s">
        <v>1857</v>
      </c>
      <c r="AJ35" s="217">
        <v>4</v>
      </c>
      <c r="AK35" s="217">
        <v>18</v>
      </c>
      <c r="AL35" s="217" t="s">
        <v>100</v>
      </c>
      <c r="AM35" s="217" t="s">
        <v>34</v>
      </c>
      <c r="AN35" s="217" t="s">
        <v>138</v>
      </c>
      <c r="AO35" s="217" t="s">
        <v>32</v>
      </c>
      <c r="AP35" s="217" t="s">
        <v>32</v>
      </c>
      <c r="AQ35" s="217" t="s">
        <v>139</v>
      </c>
      <c r="AR35" s="217" t="s">
        <v>139</v>
      </c>
      <c r="AS35" s="217" t="s">
        <v>139</v>
      </c>
      <c r="AT35" s="217" t="s">
        <v>139</v>
      </c>
      <c r="AU35" s="217" t="s">
        <v>2177</v>
      </c>
      <c r="BC35" s="217" t="s">
        <v>24</v>
      </c>
      <c r="BD35" s="217" t="s">
        <v>56</v>
      </c>
      <c r="BE35" s="217" t="s">
        <v>893</v>
      </c>
      <c r="BF35" s="217" t="s">
        <v>75</v>
      </c>
      <c r="BG35" s="217" t="s">
        <v>1998</v>
      </c>
      <c r="BH35" s="217" t="s">
        <v>1658</v>
      </c>
      <c r="BI35" s="217" t="s">
        <v>1660</v>
      </c>
      <c r="BJ35" s="217" t="s">
        <v>1660</v>
      </c>
      <c r="BK35" s="217" t="s">
        <v>637</v>
      </c>
      <c r="BL35" s="217"/>
      <c r="BM35" s="217"/>
      <c r="BN35" s="217">
        <v>0</v>
      </c>
      <c r="BO35" s="218">
        <v>0</v>
      </c>
      <c r="BR35" s="217" t="s">
        <v>24</v>
      </c>
      <c r="BS35" s="217" t="s">
        <v>56</v>
      </c>
      <c r="BT35" s="217" t="s">
        <v>65</v>
      </c>
      <c r="BU35" s="217" t="s">
        <v>884</v>
      </c>
      <c r="BV35" s="217">
        <v>7</v>
      </c>
      <c r="BW35" s="217">
        <v>37</v>
      </c>
      <c r="BX35" s="217">
        <v>0</v>
      </c>
      <c r="BY35" s="217">
        <v>0</v>
      </c>
      <c r="BZ35" s="217">
        <v>0</v>
      </c>
      <c r="CA35" s="217">
        <v>0</v>
      </c>
      <c r="CB35" s="217">
        <v>7</v>
      </c>
      <c r="CC35" s="217">
        <v>37</v>
      </c>
      <c r="CD35" s="217">
        <v>0</v>
      </c>
      <c r="CE35" s="217">
        <v>0</v>
      </c>
      <c r="CF35" s="217">
        <v>0</v>
      </c>
      <c r="CG35" s="218">
        <v>0</v>
      </c>
      <c r="CH35" s="218">
        <v>0</v>
      </c>
      <c r="CI35" s="218">
        <v>0</v>
      </c>
      <c r="CJ35" s="218">
        <v>0</v>
      </c>
      <c r="CM35" s="217" t="s">
        <v>218</v>
      </c>
      <c r="CN35" s="217" t="s">
        <v>217</v>
      </c>
      <c r="CO35" s="217" t="s">
        <v>228</v>
      </c>
      <c r="CP35" s="217" t="s">
        <v>227</v>
      </c>
      <c r="CQ35" s="217" t="s">
        <v>31</v>
      </c>
      <c r="CR35" s="217">
        <v>429</v>
      </c>
      <c r="CS35" s="218">
        <v>444</v>
      </c>
      <c r="CT35"/>
      <c r="CU35"/>
      <c r="CV35"/>
      <c r="CW35"/>
      <c r="CX35"/>
      <c r="CY35"/>
    </row>
    <row r="36" spans="1:103" x14ac:dyDescent="0.25">
      <c r="A36" s="217" t="s">
        <v>22</v>
      </c>
      <c r="B36" s="217" t="s">
        <v>23</v>
      </c>
      <c r="C36" s="217" t="s">
        <v>24</v>
      </c>
      <c r="D36" s="217" t="s">
        <v>25</v>
      </c>
      <c r="E36" s="217" t="s">
        <v>56</v>
      </c>
      <c r="F36" s="217" t="s">
        <v>57</v>
      </c>
      <c r="G36" s="217" t="s">
        <v>75</v>
      </c>
      <c r="H36" s="217" t="s">
        <v>893</v>
      </c>
      <c r="I36" s="217" t="s">
        <v>29</v>
      </c>
      <c r="J36" s="217" t="s">
        <v>1857</v>
      </c>
      <c r="K36" s="217">
        <v>4</v>
      </c>
      <c r="L36" s="217">
        <v>27</v>
      </c>
      <c r="M36" s="217" t="s">
        <v>31</v>
      </c>
      <c r="N36" s="217" t="s">
        <v>32</v>
      </c>
      <c r="O36" s="217" t="s">
        <v>100</v>
      </c>
      <c r="P36" s="217" t="s">
        <v>34</v>
      </c>
      <c r="Q36" s="217" t="s">
        <v>35</v>
      </c>
      <c r="R36" s="217" t="s">
        <v>23</v>
      </c>
      <c r="S36" s="217" t="s">
        <v>22</v>
      </c>
      <c r="T36" s="217" t="s">
        <v>25</v>
      </c>
      <c r="U36" s="217" t="s">
        <v>24</v>
      </c>
      <c r="V36" s="217" t="s">
        <v>57</v>
      </c>
      <c r="W36" s="217" t="s">
        <v>56</v>
      </c>
      <c r="AD36" s="217" t="s">
        <v>84</v>
      </c>
      <c r="AE36" s="217" t="s">
        <v>85</v>
      </c>
      <c r="AF36" s="217" t="s">
        <v>174</v>
      </c>
      <c r="AG36" s="217" t="s">
        <v>175</v>
      </c>
      <c r="AH36" s="217" t="s">
        <v>179</v>
      </c>
      <c r="AI36" s="217" t="s">
        <v>1855</v>
      </c>
      <c r="AJ36" s="217">
        <v>4</v>
      </c>
      <c r="AK36" s="217">
        <v>20</v>
      </c>
      <c r="AL36" s="217" t="s">
        <v>100</v>
      </c>
      <c r="AM36" s="217" t="s">
        <v>34</v>
      </c>
      <c r="AN36" s="217" t="s">
        <v>138</v>
      </c>
      <c r="AO36" s="217" t="s">
        <v>32</v>
      </c>
      <c r="AP36" s="217" t="s">
        <v>32</v>
      </c>
      <c r="AQ36" s="217" t="s">
        <v>139</v>
      </c>
      <c r="AR36" s="217" t="s">
        <v>139</v>
      </c>
      <c r="AS36" s="217" t="s">
        <v>139</v>
      </c>
      <c r="AT36" s="217" t="s">
        <v>139</v>
      </c>
      <c r="AU36" s="217" t="s">
        <v>2179</v>
      </c>
      <c r="BC36" s="217" t="s">
        <v>24</v>
      </c>
      <c r="BD36" s="217" t="s">
        <v>56</v>
      </c>
      <c r="BE36" s="217" t="s">
        <v>894</v>
      </c>
      <c r="BF36" s="217" t="s">
        <v>76</v>
      </c>
      <c r="BG36" s="217" t="s">
        <v>1998</v>
      </c>
      <c r="BH36" s="217" t="s">
        <v>1658</v>
      </c>
      <c r="BI36" s="217" t="s">
        <v>1660</v>
      </c>
      <c r="BJ36" s="217" t="s">
        <v>1660</v>
      </c>
      <c r="BK36" s="217" t="s">
        <v>637</v>
      </c>
      <c r="BL36" s="217"/>
      <c r="BM36" s="217"/>
      <c r="BN36" s="217">
        <v>0</v>
      </c>
      <c r="BO36" s="218">
        <v>0</v>
      </c>
      <c r="BR36" s="217" t="s">
        <v>24</v>
      </c>
      <c r="BS36" s="217" t="s">
        <v>656</v>
      </c>
      <c r="BT36" s="217" t="s">
        <v>663</v>
      </c>
      <c r="BU36" s="217" t="s">
        <v>1556</v>
      </c>
      <c r="BV36" s="217">
        <v>0</v>
      </c>
      <c r="BW36" s="217">
        <v>0</v>
      </c>
      <c r="BX36" s="217">
        <v>0</v>
      </c>
      <c r="BY36" s="217">
        <v>0</v>
      </c>
      <c r="BZ36" s="217">
        <v>1</v>
      </c>
      <c r="CA36" s="217">
        <v>17</v>
      </c>
      <c r="CB36" s="217">
        <v>0</v>
      </c>
      <c r="CC36" s="217">
        <v>0</v>
      </c>
      <c r="CD36" s="217">
        <v>0</v>
      </c>
      <c r="CE36" s="217">
        <v>0</v>
      </c>
      <c r="CF36" s="217">
        <v>1</v>
      </c>
      <c r="CG36" s="218">
        <v>17</v>
      </c>
      <c r="CH36" s="218">
        <v>0</v>
      </c>
      <c r="CI36" s="218">
        <v>0</v>
      </c>
      <c r="CJ36" s="218">
        <v>0</v>
      </c>
      <c r="CM36" s="217" t="s">
        <v>218</v>
      </c>
      <c r="CN36" s="217" t="s">
        <v>217</v>
      </c>
      <c r="CO36" s="217" t="s">
        <v>497</v>
      </c>
      <c r="CP36" s="217" t="s">
        <v>498</v>
      </c>
      <c r="CQ36" s="217" t="s">
        <v>31</v>
      </c>
      <c r="CR36" s="217">
        <v>67</v>
      </c>
      <c r="CS36" s="218">
        <v>67</v>
      </c>
      <c r="CT36"/>
      <c r="CU36"/>
      <c r="CV36"/>
      <c r="CW36"/>
      <c r="CX36"/>
      <c r="CY36"/>
    </row>
    <row r="37" spans="1:103" x14ac:dyDescent="0.25">
      <c r="A37" s="217" t="s">
        <v>22</v>
      </c>
      <c r="B37" s="217" t="s">
        <v>23</v>
      </c>
      <c r="C37" s="217" t="s">
        <v>24</v>
      </c>
      <c r="D37" s="217" t="s">
        <v>25</v>
      </c>
      <c r="E37" s="217" t="s">
        <v>56</v>
      </c>
      <c r="F37" s="217" t="s">
        <v>57</v>
      </c>
      <c r="G37" s="217" t="s">
        <v>75</v>
      </c>
      <c r="H37" s="217" t="s">
        <v>893</v>
      </c>
      <c r="I37" s="217" t="s">
        <v>29</v>
      </c>
      <c r="J37" s="217" t="s">
        <v>1858</v>
      </c>
      <c r="K37" s="217">
        <v>1</v>
      </c>
      <c r="L37" s="217">
        <v>2</v>
      </c>
      <c r="M37" s="217" t="s">
        <v>31</v>
      </c>
      <c r="N37" s="217" t="s">
        <v>32</v>
      </c>
      <c r="O37" s="217" t="s">
        <v>100</v>
      </c>
      <c r="P37" s="217" t="s">
        <v>34</v>
      </c>
      <c r="Q37" s="217" t="s">
        <v>35</v>
      </c>
      <c r="R37" s="217" t="s">
        <v>23</v>
      </c>
      <c r="S37" s="217" t="s">
        <v>22</v>
      </c>
      <c r="T37" s="217" t="s">
        <v>25</v>
      </c>
      <c r="U37" s="217" t="s">
        <v>24</v>
      </c>
      <c r="V37" s="217" t="s">
        <v>57</v>
      </c>
      <c r="W37" s="217" t="s">
        <v>56</v>
      </c>
      <c r="AD37" s="217" t="s">
        <v>84</v>
      </c>
      <c r="AE37" s="217" t="s">
        <v>85</v>
      </c>
      <c r="AF37" s="217" t="s">
        <v>180</v>
      </c>
      <c r="AG37" s="217" t="s">
        <v>181</v>
      </c>
      <c r="AH37" s="217" t="s">
        <v>182</v>
      </c>
      <c r="AI37" s="217" t="s">
        <v>1858</v>
      </c>
      <c r="AJ37" s="217">
        <v>73</v>
      </c>
      <c r="AK37" s="217">
        <v>372</v>
      </c>
      <c r="AL37" s="217" t="s">
        <v>33</v>
      </c>
      <c r="AM37" s="217" t="s">
        <v>34</v>
      </c>
      <c r="AN37" s="217" t="s">
        <v>138</v>
      </c>
      <c r="AO37" s="217" t="s">
        <v>32</v>
      </c>
      <c r="AP37" s="217" t="s">
        <v>32</v>
      </c>
      <c r="AQ37" s="217" t="s">
        <v>183</v>
      </c>
      <c r="AR37" s="217" t="s">
        <v>184</v>
      </c>
      <c r="AS37" s="217" t="s">
        <v>139</v>
      </c>
      <c r="AT37" s="217" t="s">
        <v>139</v>
      </c>
      <c r="AU37" s="217" t="s">
        <v>32</v>
      </c>
      <c r="BC37" s="217" t="s">
        <v>24</v>
      </c>
      <c r="BD37" s="217" t="s">
        <v>56</v>
      </c>
      <c r="BE37" s="217" t="s">
        <v>895</v>
      </c>
      <c r="BF37" s="217" t="s">
        <v>77</v>
      </c>
      <c r="BG37" s="217" t="s">
        <v>1998</v>
      </c>
      <c r="BH37" s="217" t="s">
        <v>1658</v>
      </c>
      <c r="BI37" s="217" t="s">
        <v>1660</v>
      </c>
      <c r="BJ37" s="217" t="s">
        <v>1660</v>
      </c>
      <c r="BK37" s="217" t="s">
        <v>637</v>
      </c>
      <c r="BL37" s="217"/>
      <c r="BM37" s="217"/>
      <c r="BN37" s="217">
        <v>0</v>
      </c>
      <c r="BO37" s="218">
        <v>0</v>
      </c>
      <c r="BR37" s="217" t="s">
        <v>24</v>
      </c>
      <c r="BS37" s="217" t="s">
        <v>656</v>
      </c>
      <c r="BT37" s="217" t="s">
        <v>661</v>
      </c>
      <c r="BU37" s="217" t="s">
        <v>1554</v>
      </c>
      <c r="BV37" s="217">
        <v>0</v>
      </c>
      <c r="BW37" s="217">
        <v>0</v>
      </c>
      <c r="BX37" s="217">
        <v>0</v>
      </c>
      <c r="BY37" s="217">
        <v>0</v>
      </c>
      <c r="BZ37" s="217">
        <v>3</v>
      </c>
      <c r="CA37" s="217">
        <v>45</v>
      </c>
      <c r="CB37" s="217">
        <v>0</v>
      </c>
      <c r="CC37" s="217">
        <v>0</v>
      </c>
      <c r="CD37" s="217">
        <v>0</v>
      </c>
      <c r="CE37" s="217">
        <v>0</v>
      </c>
      <c r="CF37" s="217">
        <v>3</v>
      </c>
      <c r="CG37" s="218">
        <v>45</v>
      </c>
      <c r="CH37" s="218">
        <v>0</v>
      </c>
      <c r="CI37" s="218">
        <v>0</v>
      </c>
      <c r="CJ37" s="218">
        <v>0</v>
      </c>
      <c r="CM37" s="217" t="s">
        <v>48</v>
      </c>
      <c r="CN37" s="217" t="s">
        <v>47</v>
      </c>
      <c r="CO37" s="217" t="s">
        <v>232</v>
      </c>
      <c r="CP37" s="217" t="s">
        <v>231</v>
      </c>
      <c r="CQ37" s="217" t="s">
        <v>31</v>
      </c>
      <c r="CR37" s="217">
        <v>21554</v>
      </c>
      <c r="CS37" s="218">
        <v>20130</v>
      </c>
      <c r="CT37"/>
      <c r="CU37"/>
      <c r="CV37"/>
      <c r="CW37"/>
      <c r="CX37"/>
      <c r="CY37"/>
    </row>
    <row r="38" spans="1:103" x14ac:dyDescent="0.25">
      <c r="A38" s="217" t="s">
        <v>22</v>
      </c>
      <c r="B38" s="217" t="s">
        <v>23</v>
      </c>
      <c r="C38" s="217" t="s">
        <v>24</v>
      </c>
      <c r="D38" s="217" t="s">
        <v>25</v>
      </c>
      <c r="E38" s="217" t="s">
        <v>56</v>
      </c>
      <c r="F38" s="217" t="s">
        <v>57</v>
      </c>
      <c r="G38" s="217" t="s">
        <v>75</v>
      </c>
      <c r="H38" s="217" t="s">
        <v>893</v>
      </c>
      <c r="I38" s="217" t="s">
        <v>29</v>
      </c>
      <c r="J38" s="217" t="s">
        <v>1859</v>
      </c>
      <c r="K38" s="217">
        <v>1</v>
      </c>
      <c r="L38" s="217">
        <v>4</v>
      </c>
      <c r="M38" s="217" t="s">
        <v>31</v>
      </c>
      <c r="N38" s="217" t="s">
        <v>32</v>
      </c>
      <c r="O38" s="217" t="s">
        <v>100</v>
      </c>
      <c r="P38" s="217" t="s">
        <v>34</v>
      </c>
      <c r="Q38" s="217" t="s">
        <v>35</v>
      </c>
      <c r="R38" s="217" t="s">
        <v>23</v>
      </c>
      <c r="S38" s="217" t="s">
        <v>22</v>
      </c>
      <c r="T38" s="217" t="s">
        <v>25</v>
      </c>
      <c r="U38" s="217" t="s">
        <v>24</v>
      </c>
      <c r="V38" s="217" t="s">
        <v>57</v>
      </c>
      <c r="W38" s="217" t="s">
        <v>56</v>
      </c>
      <c r="AD38" s="217" t="s">
        <v>84</v>
      </c>
      <c r="AE38" s="217" t="s">
        <v>85</v>
      </c>
      <c r="AF38" s="217" t="s">
        <v>180</v>
      </c>
      <c r="AG38" s="217" t="s">
        <v>181</v>
      </c>
      <c r="AH38" s="217" t="s">
        <v>185</v>
      </c>
      <c r="AI38" s="217" t="s">
        <v>1857</v>
      </c>
      <c r="AJ38" s="217">
        <v>26</v>
      </c>
      <c r="AK38" s="217">
        <v>137</v>
      </c>
      <c r="AL38" s="217" t="s">
        <v>33</v>
      </c>
      <c r="AM38" s="217" t="s">
        <v>34</v>
      </c>
      <c r="AN38" s="217" t="s">
        <v>138</v>
      </c>
      <c r="AO38" s="217" t="s">
        <v>32</v>
      </c>
      <c r="AP38" s="217" t="s">
        <v>32</v>
      </c>
      <c r="AQ38" s="217" t="s">
        <v>183</v>
      </c>
      <c r="AR38" s="217" t="s">
        <v>184</v>
      </c>
      <c r="AS38" s="217" t="s">
        <v>139</v>
      </c>
      <c r="AT38" s="217" t="s">
        <v>139</v>
      </c>
      <c r="AU38" s="217" t="s">
        <v>32</v>
      </c>
      <c r="BC38" s="217" t="s">
        <v>24</v>
      </c>
      <c r="BD38" s="217" t="s">
        <v>56</v>
      </c>
      <c r="BE38" s="217" t="s">
        <v>896</v>
      </c>
      <c r="BF38" s="217" t="s">
        <v>78</v>
      </c>
      <c r="BG38" s="217" t="s">
        <v>1998</v>
      </c>
      <c r="BH38" s="217" t="s">
        <v>1658</v>
      </c>
      <c r="BI38" s="217" t="s">
        <v>1660</v>
      </c>
      <c r="BJ38" s="217" t="s">
        <v>1660</v>
      </c>
      <c r="BK38" s="217" t="s">
        <v>637</v>
      </c>
      <c r="BL38" s="217"/>
      <c r="BM38" s="217"/>
      <c r="BN38" s="217">
        <v>0</v>
      </c>
      <c r="BO38" s="218">
        <v>0</v>
      </c>
      <c r="BR38" s="217" t="s">
        <v>24</v>
      </c>
      <c r="BS38" s="217" t="s">
        <v>656</v>
      </c>
      <c r="BT38" s="217" t="s">
        <v>658</v>
      </c>
      <c r="BU38" s="217" t="s">
        <v>1553</v>
      </c>
      <c r="BV38" s="217">
        <v>0</v>
      </c>
      <c r="BW38" s="217">
        <v>0</v>
      </c>
      <c r="BX38" s="217">
        <v>0</v>
      </c>
      <c r="BY38" s="217">
        <v>0</v>
      </c>
      <c r="BZ38" s="217">
        <v>1</v>
      </c>
      <c r="CA38" s="217">
        <v>22</v>
      </c>
      <c r="CB38" s="217">
        <v>0</v>
      </c>
      <c r="CC38" s="217">
        <v>0</v>
      </c>
      <c r="CD38" s="217">
        <v>0</v>
      </c>
      <c r="CE38" s="217">
        <v>0</v>
      </c>
      <c r="CF38" s="217">
        <v>1</v>
      </c>
      <c r="CG38" s="218">
        <v>22</v>
      </c>
      <c r="CH38" s="218">
        <v>0</v>
      </c>
      <c r="CI38" s="218">
        <v>0</v>
      </c>
      <c r="CJ38" s="218">
        <v>0</v>
      </c>
      <c r="CM38" s="217" t="s">
        <v>48</v>
      </c>
      <c r="CN38" s="217" t="s">
        <v>47</v>
      </c>
      <c r="CO38" s="217" t="s">
        <v>62</v>
      </c>
      <c r="CP38" s="217" t="s">
        <v>61</v>
      </c>
      <c r="CQ38" s="217" t="s">
        <v>31</v>
      </c>
      <c r="CR38" s="217">
        <v>51257</v>
      </c>
      <c r="CS38" s="218">
        <v>51482</v>
      </c>
      <c r="CT38"/>
      <c r="CU38"/>
      <c r="CV38"/>
      <c r="CW38"/>
      <c r="CX38"/>
      <c r="CY38"/>
    </row>
    <row r="39" spans="1:103" x14ac:dyDescent="0.25">
      <c r="A39" s="217" t="s">
        <v>22</v>
      </c>
      <c r="B39" s="217" t="s">
        <v>23</v>
      </c>
      <c r="C39" s="217" t="s">
        <v>24</v>
      </c>
      <c r="D39" s="217" t="s">
        <v>25</v>
      </c>
      <c r="E39" s="217" t="s">
        <v>56</v>
      </c>
      <c r="F39" s="217" t="s">
        <v>57</v>
      </c>
      <c r="G39" s="217" t="s">
        <v>76</v>
      </c>
      <c r="H39" s="217" t="s">
        <v>894</v>
      </c>
      <c r="I39" s="217" t="s">
        <v>29</v>
      </c>
      <c r="J39" s="217" t="s">
        <v>1856</v>
      </c>
      <c r="K39" s="217">
        <v>28</v>
      </c>
      <c r="L39" s="217">
        <v>228</v>
      </c>
      <c r="M39" s="217" t="s">
        <v>31</v>
      </c>
      <c r="N39" s="217" t="s">
        <v>32</v>
      </c>
      <c r="O39" s="217" t="s">
        <v>33</v>
      </c>
      <c r="P39" s="217" t="s">
        <v>34</v>
      </c>
      <c r="Q39" s="217" t="s">
        <v>35</v>
      </c>
      <c r="R39" s="217" t="s">
        <v>23</v>
      </c>
      <c r="S39" s="217" t="s">
        <v>22</v>
      </c>
      <c r="T39" s="217" t="s">
        <v>47</v>
      </c>
      <c r="U39" s="217" t="s">
        <v>48</v>
      </c>
      <c r="V39" s="217" t="s">
        <v>61</v>
      </c>
      <c r="W39" s="217" t="s">
        <v>62</v>
      </c>
      <c r="AD39" s="217" t="s">
        <v>84</v>
      </c>
      <c r="AE39" s="217" t="s">
        <v>85</v>
      </c>
      <c r="AF39" s="217" t="s">
        <v>180</v>
      </c>
      <c r="AG39" s="217" t="s">
        <v>181</v>
      </c>
      <c r="AH39" s="217" t="s">
        <v>186</v>
      </c>
      <c r="AI39" s="217" t="s">
        <v>1857</v>
      </c>
      <c r="AJ39" s="217">
        <v>10</v>
      </c>
      <c r="AK39" s="217">
        <v>58</v>
      </c>
      <c r="AL39" s="217" t="s">
        <v>33</v>
      </c>
      <c r="AM39" s="217" t="s">
        <v>34</v>
      </c>
      <c r="AN39" s="217" t="s">
        <v>138</v>
      </c>
      <c r="AO39" s="217" t="s">
        <v>32</v>
      </c>
      <c r="AP39" s="217" t="s">
        <v>32</v>
      </c>
      <c r="AQ39" s="217" t="s">
        <v>183</v>
      </c>
      <c r="AR39" s="217" t="s">
        <v>184</v>
      </c>
      <c r="AS39" s="217" t="s">
        <v>139</v>
      </c>
      <c r="AT39" s="217" t="s">
        <v>139</v>
      </c>
      <c r="AU39" s="217" t="s">
        <v>32</v>
      </c>
      <c r="BC39" s="217" t="s">
        <v>24</v>
      </c>
      <c r="BD39" s="217" t="s">
        <v>56</v>
      </c>
      <c r="BE39" s="217" t="s">
        <v>897</v>
      </c>
      <c r="BF39" s="217" t="s">
        <v>79</v>
      </c>
      <c r="BG39" s="217" t="s">
        <v>1998</v>
      </c>
      <c r="BH39" s="217" t="s">
        <v>1658</v>
      </c>
      <c r="BI39" s="217" t="s">
        <v>1660</v>
      </c>
      <c r="BJ39" s="217" t="s">
        <v>1658</v>
      </c>
      <c r="BK39" s="217" t="s">
        <v>637</v>
      </c>
      <c r="BL39" s="217"/>
      <c r="BM39" s="217"/>
      <c r="BN39" s="217">
        <v>0</v>
      </c>
      <c r="BO39" s="218">
        <v>0</v>
      </c>
      <c r="BR39" s="217" t="s">
        <v>24</v>
      </c>
      <c r="BS39" s="217" t="s">
        <v>656</v>
      </c>
      <c r="BT39" s="217" t="s">
        <v>664</v>
      </c>
      <c r="BU39" s="217" t="s">
        <v>1557</v>
      </c>
      <c r="BV39" s="217">
        <v>0</v>
      </c>
      <c r="BW39" s="217">
        <v>0</v>
      </c>
      <c r="BX39" s="217">
        <v>0</v>
      </c>
      <c r="BY39" s="217">
        <v>0</v>
      </c>
      <c r="BZ39" s="217">
        <v>6</v>
      </c>
      <c r="CA39" s="217">
        <v>91</v>
      </c>
      <c r="CB39" s="217">
        <v>0</v>
      </c>
      <c r="CC39" s="217">
        <v>0</v>
      </c>
      <c r="CD39" s="217">
        <v>0</v>
      </c>
      <c r="CE39" s="217">
        <v>0</v>
      </c>
      <c r="CF39" s="217">
        <v>6</v>
      </c>
      <c r="CG39" s="218">
        <v>90</v>
      </c>
      <c r="CH39" s="218">
        <v>0</v>
      </c>
      <c r="CI39" s="218">
        <v>0</v>
      </c>
      <c r="CJ39" s="218">
        <v>1</v>
      </c>
      <c r="CM39" s="217" t="s">
        <v>48</v>
      </c>
      <c r="CN39" s="217" t="s">
        <v>47</v>
      </c>
      <c r="CO39" s="217" t="s">
        <v>527</v>
      </c>
      <c r="CP39" s="217" t="s">
        <v>528</v>
      </c>
      <c r="CQ39" s="217" t="s">
        <v>31</v>
      </c>
      <c r="CR39" s="217">
        <v>1728</v>
      </c>
      <c r="CS39" s="218">
        <v>1822</v>
      </c>
      <c r="CT39"/>
      <c r="CU39"/>
      <c r="CV39"/>
      <c r="CW39"/>
      <c r="CX39"/>
      <c r="CY39"/>
    </row>
    <row r="40" spans="1:103" x14ac:dyDescent="0.25">
      <c r="A40" s="217" t="s">
        <v>22</v>
      </c>
      <c r="B40" s="217" t="s">
        <v>23</v>
      </c>
      <c r="C40" s="217" t="s">
        <v>24</v>
      </c>
      <c r="D40" s="217" t="s">
        <v>25</v>
      </c>
      <c r="E40" s="217" t="s">
        <v>56</v>
      </c>
      <c r="F40" s="217" t="s">
        <v>57</v>
      </c>
      <c r="G40" s="217" t="s">
        <v>77</v>
      </c>
      <c r="H40" s="217" t="s">
        <v>895</v>
      </c>
      <c r="I40" s="217" t="s">
        <v>29</v>
      </c>
      <c r="J40" s="217" t="s">
        <v>1855</v>
      </c>
      <c r="K40" s="217">
        <v>4</v>
      </c>
      <c r="L40" s="217">
        <v>16</v>
      </c>
      <c r="M40" s="217" t="s">
        <v>31</v>
      </c>
      <c r="N40" s="217" t="s">
        <v>32</v>
      </c>
      <c r="O40" s="217" t="s">
        <v>33</v>
      </c>
      <c r="P40" s="217" t="s">
        <v>34</v>
      </c>
      <c r="Q40" s="217" t="s">
        <v>35</v>
      </c>
      <c r="R40" s="217" t="s">
        <v>23</v>
      </c>
      <c r="S40" s="217" t="s">
        <v>22</v>
      </c>
      <c r="T40" s="217" t="s">
        <v>47</v>
      </c>
      <c r="U40" s="217" t="s">
        <v>48</v>
      </c>
      <c r="V40" s="217" t="s">
        <v>61</v>
      </c>
      <c r="W40" s="217" t="s">
        <v>62</v>
      </c>
      <c r="AD40" s="217" t="s">
        <v>84</v>
      </c>
      <c r="AE40" s="217" t="s">
        <v>85</v>
      </c>
      <c r="AF40" s="217" t="s">
        <v>180</v>
      </c>
      <c r="AG40" s="217" t="s">
        <v>181</v>
      </c>
      <c r="AH40" s="217" t="s">
        <v>187</v>
      </c>
      <c r="AI40" s="217" t="s">
        <v>1857</v>
      </c>
      <c r="AJ40" s="217">
        <v>16</v>
      </c>
      <c r="AK40" s="217">
        <v>87</v>
      </c>
      <c r="AL40" s="217" t="s">
        <v>33</v>
      </c>
      <c r="AM40" s="217" t="s">
        <v>34</v>
      </c>
      <c r="AN40" s="217" t="s">
        <v>138</v>
      </c>
      <c r="AO40" s="217" t="s">
        <v>32</v>
      </c>
      <c r="AP40" s="217" t="s">
        <v>32</v>
      </c>
      <c r="AQ40" s="217" t="s">
        <v>183</v>
      </c>
      <c r="AR40" s="217" t="s">
        <v>184</v>
      </c>
      <c r="AS40" s="217" t="s">
        <v>139</v>
      </c>
      <c r="AT40" s="217" t="s">
        <v>139</v>
      </c>
      <c r="AU40" s="217" t="s">
        <v>32</v>
      </c>
      <c r="BC40" s="217" t="s">
        <v>24</v>
      </c>
      <c r="BD40" s="217" t="s">
        <v>56</v>
      </c>
      <c r="BE40" s="217" t="s">
        <v>898</v>
      </c>
      <c r="BF40" s="217" t="s">
        <v>80</v>
      </c>
      <c r="BG40" s="217" t="s">
        <v>1998</v>
      </c>
      <c r="BH40" s="217" t="s">
        <v>1658</v>
      </c>
      <c r="BI40" s="217" t="s">
        <v>1660</v>
      </c>
      <c r="BJ40" s="217" t="s">
        <v>1660</v>
      </c>
      <c r="BK40" s="217" t="s">
        <v>637</v>
      </c>
      <c r="BL40" s="217"/>
      <c r="BM40" s="217"/>
      <c r="BN40" s="217">
        <v>0</v>
      </c>
      <c r="BO40" s="218">
        <v>0</v>
      </c>
      <c r="BR40" s="217" t="s">
        <v>24</v>
      </c>
      <c r="BS40" s="217" t="s">
        <v>656</v>
      </c>
      <c r="BT40" s="217" t="s">
        <v>662</v>
      </c>
      <c r="BU40" s="217" t="s">
        <v>1555</v>
      </c>
      <c r="BV40" s="217">
        <v>0</v>
      </c>
      <c r="BW40" s="217">
        <v>0</v>
      </c>
      <c r="BX40" s="217">
        <v>0</v>
      </c>
      <c r="BY40" s="217">
        <v>0</v>
      </c>
      <c r="BZ40" s="217">
        <v>12</v>
      </c>
      <c r="CA40" s="217">
        <v>136</v>
      </c>
      <c r="CB40" s="217">
        <v>0</v>
      </c>
      <c r="CC40" s="217">
        <v>0</v>
      </c>
      <c r="CD40" s="217">
        <v>0</v>
      </c>
      <c r="CE40" s="217">
        <v>0</v>
      </c>
      <c r="CF40" s="217">
        <v>14</v>
      </c>
      <c r="CG40" s="218">
        <v>147</v>
      </c>
      <c r="CH40" s="218">
        <v>0</v>
      </c>
      <c r="CI40" s="218">
        <v>0</v>
      </c>
      <c r="CJ40" s="218">
        <v>-11</v>
      </c>
      <c r="CM40" s="217" t="s">
        <v>37</v>
      </c>
      <c r="CN40" s="217" t="s">
        <v>36</v>
      </c>
      <c r="CO40" s="217" t="s">
        <v>236</v>
      </c>
      <c r="CP40" s="217" t="s">
        <v>235</v>
      </c>
      <c r="CQ40" s="217" t="s">
        <v>31</v>
      </c>
      <c r="CR40" s="217">
        <v>1857</v>
      </c>
      <c r="CS40" s="218">
        <v>1864</v>
      </c>
      <c r="CT40"/>
      <c r="CU40"/>
      <c r="CV40"/>
      <c r="CW40"/>
      <c r="CX40"/>
      <c r="CY40"/>
    </row>
    <row r="41" spans="1:103" x14ac:dyDescent="0.25">
      <c r="A41" s="217" t="s">
        <v>22</v>
      </c>
      <c r="B41" s="217" t="s">
        <v>23</v>
      </c>
      <c r="C41" s="217" t="s">
        <v>24</v>
      </c>
      <c r="D41" s="217" t="s">
        <v>25</v>
      </c>
      <c r="E41" s="217" t="s">
        <v>56</v>
      </c>
      <c r="F41" s="217" t="s">
        <v>57</v>
      </c>
      <c r="G41" s="217" t="s">
        <v>78</v>
      </c>
      <c r="H41" s="217" t="s">
        <v>896</v>
      </c>
      <c r="I41" s="217" t="s">
        <v>29</v>
      </c>
      <c r="J41" s="217" t="s">
        <v>1855</v>
      </c>
      <c r="K41" s="217">
        <v>1</v>
      </c>
      <c r="L41" s="217">
        <v>6</v>
      </c>
      <c r="M41" s="217" t="s">
        <v>31</v>
      </c>
      <c r="N41" s="217" t="s">
        <v>32</v>
      </c>
      <c r="O41" s="217" t="s">
        <v>33</v>
      </c>
      <c r="P41" s="217" t="s">
        <v>34</v>
      </c>
      <c r="Q41" s="217" t="s">
        <v>35</v>
      </c>
      <c r="R41" s="217" t="s">
        <v>23</v>
      </c>
      <c r="S41" s="217" t="s">
        <v>22</v>
      </c>
      <c r="T41" s="217" t="s">
        <v>47</v>
      </c>
      <c r="U41" s="217" t="s">
        <v>48</v>
      </c>
      <c r="V41" s="217" t="s">
        <v>61</v>
      </c>
      <c r="W41" s="217" t="s">
        <v>62</v>
      </c>
      <c r="AD41" s="217" t="s">
        <v>84</v>
      </c>
      <c r="AE41" s="217" t="s">
        <v>85</v>
      </c>
      <c r="AF41" s="217" t="s">
        <v>180</v>
      </c>
      <c r="AG41" s="217" t="s">
        <v>181</v>
      </c>
      <c r="AH41" s="217" t="s">
        <v>188</v>
      </c>
      <c r="AI41" s="217" t="s">
        <v>1857</v>
      </c>
      <c r="AJ41" s="217">
        <v>3</v>
      </c>
      <c r="AK41" s="217">
        <v>21</v>
      </c>
      <c r="AL41" s="217" t="s">
        <v>33</v>
      </c>
      <c r="AM41" s="217" t="s">
        <v>34</v>
      </c>
      <c r="AN41" s="217" t="s">
        <v>138</v>
      </c>
      <c r="AO41" s="217" t="s">
        <v>32</v>
      </c>
      <c r="AP41" s="217" t="s">
        <v>32</v>
      </c>
      <c r="AQ41" s="217" t="s">
        <v>183</v>
      </c>
      <c r="AR41" s="217" t="s">
        <v>184</v>
      </c>
      <c r="AS41" s="217" t="s">
        <v>139</v>
      </c>
      <c r="AT41" s="217" t="s">
        <v>139</v>
      </c>
      <c r="AU41" s="217" t="s">
        <v>32</v>
      </c>
      <c r="BC41" s="217" t="s">
        <v>24</v>
      </c>
      <c r="BD41" s="217" t="s">
        <v>56</v>
      </c>
      <c r="BE41" s="217" t="s">
        <v>899</v>
      </c>
      <c r="BF41" s="217" t="s">
        <v>81</v>
      </c>
      <c r="BG41" s="217" t="s">
        <v>1998</v>
      </c>
      <c r="BH41" s="217" t="s">
        <v>1658</v>
      </c>
      <c r="BI41" s="217" t="s">
        <v>1658</v>
      </c>
      <c r="BJ41" s="217" t="s">
        <v>1660</v>
      </c>
      <c r="BK41" s="217" t="s">
        <v>637</v>
      </c>
      <c r="BL41" s="217"/>
      <c r="BM41" s="217"/>
      <c r="BN41" s="217">
        <v>0</v>
      </c>
      <c r="BO41" s="218">
        <v>0</v>
      </c>
      <c r="BR41" s="217" t="s">
        <v>24</v>
      </c>
      <c r="BS41" s="217" t="s">
        <v>665</v>
      </c>
      <c r="BT41" s="217" t="s">
        <v>667</v>
      </c>
      <c r="BU41" s="217" t="s">
        <v>878</v>
      </c>
      <c r="BV41" s="217">
        <v>8</v>
      </c>
      <c r="BW41" s="217">
        <v>36</v>
      </c>
      <c r="BX41" s="217">
        <v>0</v>
      </c>
      <c r="BY41" s="217">
        <v>0</v>
      </c>
      <c r="BZ41" s="217">
        <v>0</v>
      </c>
      <c r="CA41" s="217">
        <v>0</v>
      </c>
      <c r="CB41" s="217">
        <v>15</v>
      </c>
      <c r="CC41" s="217">
        <v>82</v>
      </c>
      <c r="CD41" s="217">
        <v>0</v>
      </c>
      <c r="CE41" s="217">
        <v>0</v>
      </c>
      <c r="CF41" s="217">
        <v>0</v>
      </c>
      <c r="CG41" s="218">
        <v>0</v>
      </c>
      <c r="CH41" s="218">
        <v>-46</v>
      </c>
      <c r="CI41" s="218">
        <v>0</v>
      </c>
      <c r="CJ41" s="218">
        <v>0</v>
      </c>
      <c r="CM41" s="217" t="s">
        <v>37</v>
      </c>
      <c r="CN41" s="217" t="s">
        <v>36</v>
      </c>
      <c r="CO41" s="217" t="s">
        <v>540</v>
      </c>
      <c r="CP41" s="217" t="s">
        <v>541</v>
      </c>
      <c r="CQ41" s="217" t="s">
        <v>31</v>
      </c>
      <c r="CR41" s="217">
        <v>657</v>
      </c>
      <c r="CS41" s="218">
        <v>662</v>
      </c>
      <c r="CT41"/>
      <c r="CU41"/>
      <c r="CV41"/>
      <c r="CW41"/>
      <c r="CX41"/>
      <c r="CY41"/>
    </row>
    <row r="42" spans="1:103" x14ac:dyDescent="0.25">
      <c r="A42" s="217" t="s">
        <v>22</v>
      </c>
      <c r="B42" s="217" t="s">
        <v>23</v>
      </c>
      <c r="C42" s="217" t="s">
        <v>24</v>
      </c>
      <c r="D42" s="217" t="s">
        <v>25</v>
      </c>
      <c r="E42" s="217" t="s">
        <v>56</v>
      </c>
      <c r="F42" s="217" t="s">
        <v>57</v>
      </c>
      <c r="G42" s="217" t="s">
        <v>79</v>
      </c>
      <c r="H42" s="217" t="s">
        <v>897</v>
      </c>
      <c r="I42" s="217" t="s">
        <v>29</v>
      </c>
      <c r="J42" s="217" t="s">
        <v>1855</v>
      </c>
      <c r="K42" s="217">
        <v>5</v>
      </c>
      <c r="L42" s="217">
        <v>23</v>
      </c>
      <c r="M42" s="217" t="s">
        <v>31</v>
      </c>
      <c r="N42" s="217" t="s">
        <v>32</v>
      </c>
      <c r="O42" s="217" t="s">
        <v>33</v>
      </c>
      <c r="P42" s="217" t="s">
        <v>34</v>
      </c>
      <c r="Q42" s="217" t="s">
        <v>35</v>
      </c>
      <c r="R42" s="217" t="s">
        <v>23</v>
      </c>
      <c r="S42" s="217" t="s">
        <v>22</v>
      </c>
      <c r="T42" s="217" t="s">
        <v>47</v>
      </c>
      <c r="U42" s="217" t="s">
        <v>48</v>
      </c>
      <c r="V42" s="217" t="s">
        <v>231</v>
      </c>
      <c r="W42" s="217" t="s">
        <v>232</v>
      </c>
      <c r="AD42" s="217" t="s">
        <v>84</v>
      </c>
      <c r="AE42" s="217" t="s">
        <v>85</v>
      </c>
      <c r="AF42" s="217" t="s">
        <v>180</v>
      </c>
      <c r="AG42" s="217" t="s">
        <v>181</v>
      </c>
      <c r="AH42" s="217" t="s">
        <v>189</v>
      </c>
      <c r="AI42" s="217" t="s">
        <v>1857</v>
      </c>
      <c r="AJ42" s="217">
        <v>15</v>
      </c>
      <c r="AK42" s="217">
        <v>85</v>
      </c>
      <c r="AL42" s="217" t="s">
        <v>33</v>
      </c>
      <c r="AM42" s="217" t="s">
        <v>34</v>
      </c>
      <c r="AN42" s="217" t="s">
        <v>138</v>
      </c>
      <c r="AO42" s="217" t="s">
        <v>32</v>
      </c>
      <c r="AP42" s="217" t="s">
        <v>32</v>
      </c>
      <c r="AQ42" s="217" t="s">
        <v>183</v>
      </c>
      <c r="AR42" s="217" t="s">
        <v>184</v>
      </c>
      <c r="AS42" s="217" t="s">
        <v>139</v>
      </c>
      <c r="AT42" s="217" t="s">
        <v>139</v>
      </c>
      <c r="AU42" s="217" t="s">
        <v>32</v>
      </c>
      <c r="BC42" s="217" t="s">
        <v>24</v>
      </c>
      <c r="BD42" s="217" t="s">
        <v>56</v>
      </c>
      <c r="BE42" s="217" t="s">
        <v>900</v>
      </c>
      <c r="BF42" s="217" t="s">
        <v>82</v>
      </c>
      <c r="BG42" s="217" t="s">
        <v>1998</v>
      </c>
      <c r="BH42" s="217" t="s">
        <v>1658</v>
      </c>
      <c r="BI42" s="217" t="s">
        <v>1660</v>
      </c>
      <c r="BJ42" s="217" t="s">
        <v>1660</v>
      </c>
      <c r="BK42" s="217" t="s">
        <v>637</v>
      </c>
      <c r="BL42" s="217"/>
      <c r="BM42" s="217"/>
      <c r="BN42" s="217">
        <v>0</v>
      </c>
      <c r="BO42" s="218">
        <v>0</v>
      </c>
      <c r="BR42" s="217" t="s">
        <v>24</v>
      </c>
      <c r="BS42" s="217" t="s">
        <v>26</v>
      </c>
      <c r="BT42" s="217" t="s">
        <v>41</v>
      </c>
      <c r="BU42" s="217" t="s">
        <v>870</v>
      </c>
      <c r="BV42" s="217">
        <v>27</v>
      </c>
      <c r="BW42" s="217">
        <v>151</v>
      </c>
      <c r="BX42" s="217">
        <v>0</v>
      </c>
      <c r="BY42" s="217">
        <v>0</v>
      </c>
      <c r="BZ42" s="217">
        <v>0</v>
      </c>
      <c r="CA42" s="217">
        <v>0</v>
      </c>
      <c r="CB42" s="217">
        <v>28</v>
      </c>
      <c r="CC42" s="217">
        <v>151</v>
      </c>
      <c r="CD42" s="217">
        <v>0</v>
      </c>
      <c r="CE42" s="217">
        <v>0</v>
      </c>
      <c r="CF42" s="217">
        <v>0</v>
      </c>
      <c r="CG42" s="218">
        <v>0</v>
      </c>
      <c r="CH42" s="218">
        <v>0</v>
      </c>
      <c r="CI42" s="218">
        <v>0</v>
      </c>
      <c r="CJ42" s="218">
        <v>0</v>
      </c>
      <c r="CM42" s="217" t="s">
        <v>37</v>
      </c>
      <c r="CN42" s="217" t="s">
        <v>36</v>
      </c>
      <c r="CO42" s="217" t="s">
        <v>547</v>
      </c>
      <c r="CP42" s="217" t="s">
        <v>548</v>
      </c>
      <c r="CQ42" s="217" t="s">
        <v>31</v>
      </c>
      <c r="CR42" s="217">
        <v>18526</v>
      </c>
      <c r="CS42" s="218">
        <v>18452</v>
      </c>
      <c r="CT42"/>
      <c r="CU42"/>
      <c r="CV42"/>
      <c r="CW42"/>
      <c r="CX42"/>
      <c r="CY42"/>
    </row>
    <row r="43" spans="1:103" x14ac:dyDescent="0.25">
      <c r="A43" s="217" t="s">
        <v>22</v>
      </c>
      <c r="B43" s="217" t="s">
        <v>23</v>
      </c>
      <c r="C43" s="217" t="s">
        <v>24</v>
      </c>
      <c r="D43" s="217" t="s">
        <v>25</v>
      </c>
      <c r="E43" s="217" t="s">
        <v>56</v>
      </c>
      <c r="F43" s="217" t="s">
        <v>57</v>
      </c>
      <c r="G43" s="217" t="s">
        <v>80</v>
      </c>
      <c r="H43" s="217" t="s">
        <v>898</v>
      </c>
      <c r="I43" s="217" t="s">
        <v>29</v>
      </c>
      <c r="J43" s="217" t="s">
        <v>1855</v>
      </c>
      <c r="K43" s="217">
        <v>9</v>
      </c>
      <c r="L43" s="217">
        <v>44</v>
      </c>
      <c r="M43" s="217" t="s">
        <v>31</v>
      </c>
      <c r="N43" s="217" t="s">
        <v>32</v>
      </c>
      <c r="O43" s="217" t="s">
        <v>33</v>
      </c>
      <c r="P43" s="217" t="s">
        <v>34</v>
      </c>
      <c r="Q43" s="217" t="s">
        <v>35</v>
      </c>
      <c r="R43" s="217" t="s">
        <v>23</v>
      </c>
      <c r="S43" s="217" t="s">
        <v>22</v>
      </c>
      <c r="T43" s="217" t="s">
        <v>47</v>
      </c>
      <c r="U43" s="217" t="s">
        <v>48</v>
      </c>
      <c r="V43" s="217" t="s">
        <v>61</v>
      </c>
      <c r="W43" s="217" t="s">
        <v>62</v>
      </c>
      <c r="AD43" s="217" t="s">
        <v>84</v>
      </c>
      <c r="AE43" s="217" t="s">
        <v>85</v>
      </c>
      <c r="AF43" s="217" t="s">
        <v>180</v>
      </c>
      <c r="AG43" s="217" t="s">
        <v>181</v>
      </c>
      <c r="AH43" s="217" t="s">
        <v>190</v>
      </c>
      <c r="AI43" s="217" t="s">
        <v>1857</v>
      </c>
      <c r="AJ43" s="217">
        <v>20</v>
      </c>
      <c r="AK43" s="217">
        <v>120</v>
      </c>
      <c r="AL43" s="217" t="s">
        <v>33</v>
      </c>
      <c r="AM43" s="217" t="s">
        <v>34</v>
      </c>
      <c r="AN43" s="217" t="s">
        <v>138</v>
      </c>
      <c r="AO43" s="217" t="s">
        <v>32</v>
      </c>
      <c r="AP43" s="217" t="s">
        <v>32</v>
      </c>
      <c r="AQ43" s="217" t="s">
        <v>183</v>
      </c>
      <c r="AR43" s="217" t="s">
        <v>184</v>
      </c>
      <c r="AS43" s="217" t="s">
        <v>139</v>
      </c>
      <c r="AT43" s="217" t="s">
        <v>139</v>
      </c>
      <c r="AU43" s="217" t="s">
        <v>32</v>
      </c>
      <c r="BC43" s="217" t="s">
        <v>24</v>
      </c>
      <c r="BD43" s="217" t="s">
        <v>56</v>
      </c>
      <c r="BE43" s="217" t="s">
        <v>901</v>
      </c>
      <c r="BF43" s="217" t="s">
        <v>83</v>
      </c>
      <c r="BG43" s="217" t="s">
        <v>1998</v>
      </c>
      <c r="BH43" s="217" t="s">
        <v>1658</v>
      </c>
      <c r="BI43" s="217" t="s">
        <v>1660</v>
      </c>
      <c r="BJ43" s="217" t="s">
        <v>1660</v>
      </c>
      <c r="BK43" s="217" t="s">
        <v>637</v>
      </c>
      <c r="BL43" s="217"/>
      <c r="BM43" s="217"/>
      <c r="BN43" s="217">
        <v>0</v>
      </c>
      <c r="BO43" s="218">
        <v>0</v>
      </c>
      <c r="BR43" s="217" t="s">
        <v>24</v>
      </c>
      <c r="BS43" s="217" t="s">
        <v>26</v>
      </c>
      <c r="BT43" s="217" t="s">
        <v>39</v>
      </c>
      <c r="BU43" s="217" t="s">
        <v>868</v>
      </c>
      <c r="BV43" s="217">
        <v>3</v>
      </c>
      <c r="BW43" s="217">
        <v>21</v>
      </c>
      <c r="BX43" s="217">
        <v>0</v>
      </c>
      <c r="BY43" s="217">
        <v>0</v>
      </c>
      <c r="BZ43" s="217">
        <v>0</v>
      </c>
      <c r="CA43" s="217">
        <v>0</v>
      </c>
      <c r="CB43" s="217">
        <v>5</v>
      </c>
      <c r="CC43" s="217">
        <v>27</v>
      </c>
      <c r="CD43" s="217">
        <v>0</v>
      </c>
      <c r="CE43" s="217">
        <v>0</v>
      </c>
      <c r="CF43" s="217">
        <v>0</v>
      </c>
      <c r="CG43" s="218">
        <v>0</v>
      </c>
      <c r="CH43" s="218">
        <v>-6</v>
      </c>
      <c r="CI43" s="218">
        <v>0</v>
      </c>
      <c r="CJ43" s="218">
        <v>0</v>
      </c>
      <c r="CM43" s="217" t="s">
        <v>37</v>
      </c>
      <c r="CN43" s="217" t="s">
        <v>36</v>
      </c>
      <c r="CO43" s="217" t="s">
        <v>244</v>
      </c>
      <c r="CP43" s="217" t="s">
        <v>243</v>
      </c>
      <c r="CQ43" s="217" t="s">
        <v>31</v>
      </c>
      <c r="CR43" s="217">
        <v>2292</v>
      </c>
      <c r="CS43" s="218">
        <v>2315</v>
      </c>
      <c r="CT43"/>
      <c r="CU43"/>
      <c r="CV43"/>
      <c r="CW43"/>
      <c r="CX43"/>
      <c r="CY43"/>
    </row>
    <row r="44" spans="1:103" x14ac:dyDescent="0.25">
      <c r="A44" s="217" t="s">
        <v>22</v>
      </c>
      <c r="B44" s="217" t="s">
        <v>23</v>
      </c>
      <c r="C44" s="217" t="s">
        <v>24</v>
      </c>
      <c r="D44" s="217" t="s">
        <v>25</v>
      </c>
      <c r="E44" s="217" t="s">
        <v>56</v>
      </c>
      <c r="F44" s="217" t="s">
        <v>57</v>
      </c>
      <c r="G44" s="217" t="s">
        <v>81</v>
      </c>
      <c r="H44" s="217" t="s">
        <v>899</v>
      </c>
      <c r="I44" s="217" t="s">
        <v>29</v>
      </c>
      <c r="J44" s="217" t="s">
        <v>1855</v>
      </c>
      <c r="K44" s="217">
        <v>9</v>
      </c>
      <c r="L44" s="217">
        <v>63</v>
      </c>
      <c r="M44" s="217" t="s">
        <v>31</v>
      </c>
      <c r="N44" s="217" t="s">
        <v>32</v>
      </c>
      <c r="O44" s="217" t="s">
        <v>33</v>
      </c>
      <c r="P44" s="217" t="s">
        <v>34</v>
      </c>
      <c r="Q44" s="217" t="s">
        <v>35</v>
      </c>
      <c r="R44" s="217" t="s">
        <v>23</v>
      </c>
      <c r="S44" s="217" t="s">
        <v>22</v>
      </c>
      <c r="T44" s="217" t="s">
        <v>47</v>
      </c>
      <c r="U44" s="217" t="s">
        <v>48</v>
      </c>
      <c r="V44" s="217" t="s">
        <v>61</v>
      </c>
      <c r="W44" s="217" t="s">
        <v>62</v>
      </c>
      <c r="AD44" s="217" t="s">
        <v>84</v>
      </c>
      <c r="AE44" s="217" t="s">
        <v>85</v>
      </c>
      <c r="AF44" s="217" t="s">
        <v>180</v>
      </c>
      <c r="AG44" s="217" t="s">
        <v>181</v>
      </c>
      <c r="AH44" s="217" t="s">
        <v>191</v>
      </c>
      <c r="AI44" s="217" t="s">
        <v>1857</v>
      </c>
      <c r="AJ44" s="217">
        <v>26</v>
      </c>
      <c r="AK44" s="217">
        <v>117</v>
      </c>
      <c r="AL44" s="217" t="s">
        <v>33</v>
      </c>
      <c r="AM44" s="217" t="s">
        <v>34</v>
      </c>
      <c r="AN44" s="217" t="s">
        <v>138</v>
      </c>
      <c r="AO44" s="217" t="s">
        <v>32</v>
      </c>
      <c r="AP44" s="217" t="s">
        <v>32</v>
      </c>
      <c r="AQ44" s="217" t="s">
        <v>183</v>
      </c>
      <c r="AR44" s="217" t="s">
        <v>184</v>
      </c>
      <c r="AS44" s="217" t="s">
        <v>139</v>
      </c>
      <c r="AT44" s="217" t="s">
        <v>139</v>
      </c>
      <c r="AU44" s="217" t="s">
        <v>32</v>
      </c>
      <c r="BC44" s="217" t="s">
        <v>24</v>
      </c>
      <c r="BD44" s="217" t="s">
        <v>56</v>
      </c>
      <c r="BE44" s="217" t="s">
        <v>902</v>
      </c>
      <c r="BF44" s="217" t="s">
        <v>86</v>
      </c>
      <c r="BG44" s="217" t="s">
        <v>1998</v>
      </c>
      <c r="BH44" s="217" t="s">
        <v>1658</v>
      </c>
      <c r="BI44" s="217" t="s">
        <v>1660</v>
      </c>
      <c r="BJ44" s="217" t="s">
        <v>1660</v>
      </c>
      <c r="BK44" s="217" t="s">
        <v>637</v>
      </c>
      <c r="BL44" s="217"/>
      <c r="BM44" s="217"/>
      <c r="BN44" s="217">
        <v>0</v>
      </c>
      <c r="BO44" s="218">
        <v>0</v>
      </c>
      <c r="BR44" s="217" t="s">
        <v>24</v>
      </c>
      <c r="BS44" s="217" t="s">
        <v>26</v>
      </c>
      <c r="BT44" s="217" t="s">
        <v>40</v>
      </c>
      <c r="BU44" s="217" t="s">
        <v>869</v>
      </c>
      <c r="BV44" s="217">
        <v>2</v>
      </c>
      <c r="BW44" s="217">
        <v>8</v>
      </c>
      <c r="BX44" s="217">
        <v>0</v>
      </c>
      <c r="BY44" s="217">
        <v>0</v>
      </c>
      <c r="BZ44" s="217">
        <v>0</v>
      </c>
      <c r="CA44" s="217">
        <v>0</v>
      </c>
      <c r="CB44" s="217">
        <v>2</v>
      </c>
      <c r="CC44" s="217">
        <v>7</v>
      </c>
      <c r="CD44" s="217">
        <v>0</v>
      </c>
      <c r="CE44" s="217">
        <v>0</v>
      </c>
      <c r="CF44" s="217">
        <v>0</v>
      </c>
      <c r="CG44" s="218">
        <v>0</v>
      </c>
      <c r="CH44" s="218">
        <v>1</v>
      </c>
      <c r="CI44" s="218">
        <v>0</v>
      </c>
      <c r="CJ44" s="218">
        <v>0</v>
      </c>
      <c r="CM44" s="217" t="s">
        <v>37</v>
      </c>
      <c r="CN44" s="217" t="s">
        <v>36</v>
      </c>
      <c r="CO44" s="217" t="s">
        <v>247</v>
      </c>
      <c r="CP44" s="217" t="s">
        <v>246</v>
      </c>
      <c r="CQ44" s="217" t="s">
        <v>31</v>
      </c>
      <c r="CR44" s="217">
        <v>17437</v>
      </c>
      <c r="CS44" s="218">
        <v>16992</v>
      </c>
      <c r="CT44"/>
      <c r="CU44"/>
      <c r="CV44"/>
      <c r="CW44"/>
      <c r="CX44"/>
      <c r="CY44"/>
    </row>
    <row r="45" spans="1:103" x14ac:dyDescent="0.25">
      <c r="A45" s="217" t="s">
        <v>22</v>
      </c>
      <c r="B45" s="217" t="s">
        <v>23</v>
      </c>
      <c r="C45" s="217" t="s">
        <v>24</v>
      </c>
      <c r="D45" s="217" t="s">
        <v>25</v>
      </c>
      <c r="E45" s="217" t="s">
        <v>56</v>
      </c>
      <c r="F45" s="217" t="s">
        <v>57</v>
      </c>
      <c r="G45" s="217" t="s">
        <v>82</v>
      </c>
      <c r="H45" s="217" t="s">
        <v>900</v>
      </c>
      <c r="I45" s="217" t="s">
        <v>29</v>
      </c>
      <c r="J45" s="217" t="s">
        <v>1855</v>
      </c>
      <c r="K45" s="217">
        <v>4</v>
      </c>
      <c r="L45" s="217">
        <v>25</v>
      </c>
      <c r="M45" s="217" t="s">
        <v>31</v>
      </c>
      <c r="N45" s="217" t="s">
        <v>32</v>
      </c>
      <c r="O45" s="217" t="s">
        <v>33</v>
      </c>
      <c r="P45" s="217" t="s">
        <v>34</v>
      </c>
      <c r="Q45" s="217" t="s">
        <v>35</v>
      </c>
      <c r="R45" s="217" t="s">
        <v>23</v>
      </c>
      <c r="S45" s="217" t="s">
        <v>22</v>
      </c>
      <c r="T45" s="217" t="s">
        <v>47</v>
      </c>
      <c r="U45" s="217" t="s">
        <v>48</v>
      </c>
      <c r="V45" s="217" t="s">
        <v>231</v>
      </c>
      <c r="W45" s="217" t="s">
        <v>232</v>
      </c>
      <c r="AD45" s="217" t="s">
        <v>84</v>
      </c>
      <c r="AE45" s="217" t="s">
        <v>85</v>
      </c>
      <c r="AF45" s="217" t="s">
        <v>180</v>
      </c>
      <c r="AG45" s="217" t="s">
        <v>181</v>
      </c>
      <c r="AH45" s="217" t="s">
        <v>192</v>
      </c>
      <c r="AI45" s="217" t="s">
        <v>1857</v>
      </c>
      <c r="AJ45" s="217">
        <v>19</v>
      </c>
      <c r="AK45" s="217">
        <v>99</v>
      </c>
      <c r="AL45" s="217" t="s">
        <v>33</v>
      </c>
      <c r="AM45" s="217" t="s">
        <v>34</v>
      </c>
      <c r="AN45" s="217" t="s">
        <v>138</v>
      </c>
      <c r="AO45" s="217" t="s">
        <v>32</v>
      </c>
      <c r="AP45" s="217" t="s">
        <v>32</v>
      </c>
      <c r="AQ45" s="217" t="s">
        <v>183</v>
      </c>
      <c r="AR45" s="217" t="s">
        <v>184</v>
      </c>
      <c r="AS45" s="217" t="s">
        <v>139</v>
      </c>
      <c r="AT45" s="217" t="s">
        <v>139</v>
      </c>
      <c r="AU45" s="217" t="s">
        <v>32</v>
      </c>
      <c r="BC45" s="217" t="s">
        <v>24</v>
      </c>
      <c r="BD45" s="217" t="s">
        <v>56</v>
      </c>
      <c r="BE45" s="217" t="s">
        <v>903</v>
      </c>
      <c r="BF45" s="217" t="s">
        <v>140</v>
      </c>
      <c r="BG45" s="217" t="s">
        <v>1998</v>
      </c>
      <c r="BH45" s="217" t="s">
        <v>1658</v>
      </c>
      <c r="BI45" s="217" t="s">
        <v>1660</v>
      </c>
      <c r="BJ45" s="217" t="s">
        <v>1660</v>
      </c>
      <c r="BK45" s="217" t="s">
        <v>637</v>
      </c>
      <c r="BL45" s="217"/>
      <c r="BM45" s="217"/>
      <c r="BN45" s="217">
        <v>0</v>
      </c>
      <c r="BO45" s="218">
        <v>0</v>
      </c>
      <c r="BR45" s="217" t="s">
        <v>24</v>
      </c>
      <c r="BS45" s="217" t="s">
        <v>26</v>
      </c>
      <c r="BT45" s="217" t="s">
        <v>28</v>
      </c>
      <c r="BU45" s="217" t="s">
        <v>866</v>
      </c>
      <c r="BV45" s="217">
        <v>3</v>
      </c>
      <c r="BW45" s="217">
        <v>16</v>
      </c>
      <c r="BX45" s="217">
        <v>0</v>
      </c>
      <c r="BY45" s="217">
        <v>0</v>
      </c>
      <c r="BZ45" s="217">
        <v>0</v>
      </c>
      <c r="CA45" s="217">
        <v>0</v>
      </c>
      <c r="CB45" s="217">
        <v>3</v>
      </c>
      <c r="CC45" s="217">
        <v>17</v>
      </c>
      <c r="CD45" s="217">
        <v>0</v>
      </c>
      <c r="CE45" s="217">
        <v>0</v>
      </c>
      <c r="CF45" s="217">
        <v>0</v>
      </c>
      <c r="CG45" s="218">
        <v>0</v>
      </c>
      <c r="CH45" s="218">
        <v>-1</v>
      </c>
      <c r="CI45" s="218">
        <v>0</v>
      </c>
      <c r="CJ45" s="218">
        <v>0</v>
      </c>
      <c r="CM45" s="217" t="s">
        <v>37</v>
      </c>
      <c r="CN45" s="217" t="s">
        <v>36</v>
      </c>
      <c r="CO45" s="217" t="s">
        <v>250</v>
      </c>
      <c r="CP45" s="217" t="s">
        <v>249</v>
      </c>
      <c r="CQ45" s="217" t="s">
        <v>31</v>
      </c>
      <c r="CR45" s="217">
        <v>20670</v>
      </c>
      <c r="CS45" s="218">
        <v>15492</v>
      </c>
      <c r="CT45"/>
      <c r="CU45"/>
      <c r="CV45"/>
      <c r="CW45"/>
      <c r="CX45"/>
      <c r="CY45"/>
    </row>
    <row r="46" spans="1:103" x14ac:dyDescent="0.25">
      <c r="A46" s="217" t="s">
        <v>22</v>
      </c>
      <c r="B46" s="217" t="s">
        <v>23</v>
      </c>
      <c r="C46" s="217" t="s">
        <v>24</v>
      </c>
      <c r="D46" s="217" t="s">
        <v>25</v>
      </c>
      <c r="E46" s="217" t="s">
        <v>56</v>
      </c>
      <c r="F46" s="217" t="s">
        <v>57</v>
      </c>
      <c r="G46" s="217" t="s">
        <v>83</v>
      </c>
      <c r="H46" s="217" t="s">
        <v>901</v>
      </c>
      <c r="I46" s="217" t="s">
        <v>29</v>
      </c>
      <c r="J46" s="217" t="s">
        <v>1856</v>
      </c>
      <c r="K46" s="217">
        <v>6</v>
      </c>
      <c r="L46" s="217">
        <v>47</v>
      </c>
      <c r="M46" s="217" t="s">
        <v>31</v>
      </c>
      <c r="N46" s="217" t="s">
        <v>32</v>
      </c>
      <c r="O46" s="217" t="s">
        <v>33</v>
      </c>
      <c r="P46" s="217" t="s">
        <v>34</v>
      </c>
      <c r="Q46" s="217" t="s">
        <v>35</v>
      </c>
      <c r="R46" s="217" t="s">
        <v>23</v>
      </c>
      <c r="S46" s="217" t="s">
        <v>22</v>
      </c>
      <c r="T46" s="217" t="s">
        <v>47</v>
      </c>
      <c r="U46" s="217" t="s">
        <v>48</v>
      </c>
      <c r="V46" s="217" t="s">
        <v>61</v>
      </c>
      <c r="W46" s="217" t="s">
        <v>62</v>
      </c>
      <c r="AD46" s="217" t="s">
        <v>84</v>
      </c>
      <c r="AE46" s="217" t="s">
        <v>85</v>
      </c>
      <c r="AF46" s="217" t="s">
        <v>180</v>
      </c>
      <c r="AG46" s="217" t="s">
        <v>181</v>
      </c>
      <c r="AH46" s="217" t="s">
        <v>193</v>
      </c>
      <c r="AI46" s="217" t="s">
        <v>1857</v>
      </c>
      <c r="AJ46" s="217">
        <v>25</v>
      </c>
      <c r="AK46" s="217">
        <v>150</v>
      </c>
      <c r="AL46" s="217" t="s">
        <v>33</v>
      </c>
      <c r="AM46" s="217" t="s">
        <v>34</v>
      </c>
      <c r="AN46" s="217" t="s">
        <v>138</v>
      </c>
      <c r="AO46" s="217" t="s">
        <v>32</v>
      </c>
      <c r="AP46" s="217" t="s">
        <v>32</v>
      </c>
      <c r="AQ46" s="217" t="s">
        <v>183</v>
      </c>
      <c r="AR46" s="217" t="s">
        <v>184</v>
      </c>
      <c r="AS46" s="217" t="s">
        <v>139</v>
      </c>
      <c r="AT46" s="217" t="s">
        <v>139</v>
      </c>
      <c r="AU46" s="217" t="s">
        <v>32</v>
      </c>
      <c r="BC46" s="217" t="s">
        <v>24</v>
      </c>
      <c r="BD46" s="217" t="s">
        <v>56</v>
      </c>
      <c r="BE46" s="217" t="s">
        <v>904</v>
      </c>
      <c r="BF46" s="217" t="s">
        <v>620</v>
      </c>
      <c r="BG46" s="217" t="s">
        <v>1998</v>
      </c>
      <c r="BH46" s="217" t="s">
        <v>1660</v>
      </c>
      <c r="BI46" s="217" t="s">
        <v>1660</v>
      </c>
      <c r="BJ46" s="217" t="s">
        <v>1660</v>
      </c>
      <c r="BK46" s="217" t="s">
        <v>637</v>
      </c>
      <c r="BL46" s="217"/>
      <c r="BM46" s="217"/>
      <c r="BN46" s="217">
        <v>0</v>
      </c>
      <c r="BO46" s="218">
        <v>0</v>
      </c>
      <c r="BR46" s="217" t="s">
        <v>24</v>
      </c>
      <c r="BS46" s="217" t="s">
        <v>26</v>
      </c>
      <c r="BT46" s="217" t="s">
        <v>38</v>
      </c>
      <c r="BU46" s="217" t="s">
        <v>867</v>
      </c>
      <c r="BV46" s="217">
        <v>3</v>
      </c>
      <c r="BW46" s="217">
        <v>10</v>
      </c>
      <c r="BX46" s="217">
        <v>0</v>
      </c>
      <c r="BY46" s="217">
        <v>0</v>
      </c>
      <c r="BZ46" s="217">
        <v>0</v>
      </c>
      <c r="CA46" s="217">
        <v>0</v>
      </c>
      <c r="CB46" s="217">
        <v>3</v>
      </c>
      <c r="CC46" s="217">
        <v>10</v>
      </c>
      <c r="CD46" s="217">
        <v>0</v>
      </c>
      <c r="CE46" s="217">
        <v>0</v>
      </c>
      <c r="CF46" s="217">
        <v>0</v>
      </c>
      <c r="CG46" s="218">
        <v>0</v>
      </c>
      <c r="CH46" s="218">
        <v>0</v>
      </c>
      <c r="CI46" s="218">
        <v>0</v>
      </c>
      <c r="CJ46" s="218">
        <v>0</v>
      </c>
      <c r="CM46" s="217" t="s">
        <v>37</v>
      </c>
      <c r="CN46" s="217" t="s">
        <v>36</v>
      </c>
      <c r="CO46" s="217" t="s">
        <v>608</v>
      </c>
      <c r="CP46" s="217" t="s">
        <v>609</v>
      </c>
      <c r="CQ46" s="217" t="s">
        <v>31</v>
      </c>
      <c r="CR46" s="217">
        <v>885</v>
      </c>
      <c r="CS46" s="218">
        <v>2317</v>
      </c>
      <c r="CT46"/>
      <c r="CU46"/>
      <c r="CV46"/>
      <c r="CW46"/>
      <c r="CX46"/>
      <c r="CY46"/>
    </row>
    <row r="47" spans="1:103" x14ac:dyDescent="0.25">
      <c r="A47" s="217" t="s">
        <v>22</v>
      </c>
      <c r="B47" s="217" t="s">
        <v>23</v>
      </c>
      <c r="C47" s="217" t="s">
        <v>24</v>
      </c>
      <c r="D47" s="217" t="s">
        <v>25</v>
      </c>
      <c r="E47" s="217" t="s">
        <v>56</v>
      </c>
      <c r="F47" s="217" t="s">
        <v>57</v>
      </c>
      <c r="G47" s="217" t="s">
        <v>83</v>
      </c>
      <c r="H47" s="217" t="s">
        <v>901</v>
      </c>
      <c r="I47" s="217" t="s">
        <v>29</v>
      </c>
      <c r="J47" s="217" t="s">
        <v>1858</v>
      </c>
      <c r="K47" s="217">
        <v>1</v>
      </c>
      <c r="L47" s="217">
        <v>1</v>
      </c>
      <c r="M47" s="217" t="s">
        <v>31</v>
      </c>
      <c r="N47" s="217" t="s">
        <v>32</v>
      </c>
      <c r="O47" s="217" t="s">
        <v>33</v>
      </c>
      <c r="P47" s="217" t="s">
        <v>34</v>
      </c>
      <c r="Q47" s="217" t="s">
        <v>35</v>
      </c>
      <c r="R47" s="217" t="s">
        <v>23</v>
      </c>
      <c r="S47" s="217" t="s">
        <v>22</v>
      </c>
      <c r="T47" s="217" t="s">
        <v>47</v>
      </c>
      <c r="U47" s="217" t="s">
        <v>48</v>
      </c>
      <c r="V47" s="217" t="s">
        <v>61</v>
      </c>
      <c r="W47" s="217" t="s">
        <v>62</v>
      </c>
      <c r="AD47" s="217" t="s">
        <v>84</v>
      </c>
      <c r="AE47" s="217" t="s">
        <v>85</v>
      </c>
      <c r="AF47" s="217" t="s">
        <v>180</v>
      </c>
      <c r="AG47" s="217" t="s">
        <v>181</v>
      </c>
      <c r="AH47" s="217" t="s">
        <v>194</v>
      </c>
      <c r="AI47" s="217" t="s">
        <v>1857</v>
      </c>
      <c r="AJ47" s="217">
        <v>9</v>
      </c>
      <c r="AK47" s="217">
        <v>57</v>
      </c>
      <c r="AL47" s="217" t="s">
        <v>33</v>
      </c>
      <c r="AM47" s="217" t="s">
        <v>34</v>
      </c>
      <c r="AN47" s="217" t="s">
        <v>138</v>
      </c>
      <c r="AO47" s="217" t="s">
        <v>32</v>
      </c>
      <c r="AP47" s="217" t="s">
        <v>32</v>
      </c>
      <c r="AQ47" s="217" t="s">
        <v>183</v>
      </c>
      <c r="AR47" s="217" t="s">
        <v>184</v>
      </c>
      <c r="AS47" s="217" t="s">
        <v>139</v>
      </c>
      <c r="AT47" s="217" t="s">
        <v>139</v>
      </c>
      <c r="AU47" s="217" t="s">
        <v>32</v>
      </c>
      <c r="BC47" s="217" t="s">
        <v>24</v>
      </c>
      <c r="BD47" s="217" t="s">
        <v>56</v>
      </c>
      <c r="BE47" s="217" t="s">
        <v>905</v>
      </c>
      <c r="BF47" s="217" t="s">
        <v>87</v>
      </c>
      <c r="BG47" s="217" t="s">
        <v>1998</v>
      </c>
      <c r="BH47" s="217" t="s">
        <v>1658</v>
      </c>
      <c r="BI47" s="217" t="s">
        <v>1660</v>
      </c>
      <c r="BJ47" s="217" t="s">
        <v>1660</v>
      </c>
      <c r="BK47" s="217" t="s">
        <v>637</v>
      </c>
      <c r="BL47" s="217"/>
      <c r="BM47" s="217"/>
      <c r="BN47" s="217">
        <v>0</v>
      </c>
      <c r="BO47" s="218">
        <v>0</v>
      </c>
      <c r="BR47" s="217" t="s">
        <v>24</v>
      </c>
      <c r="BS47" s="217" t="s">
        <v>26</v>
      </c>
      <c r="BT47" s="217" t="s">
        <v>43</v>
      </c>
      <c r="BU47" s="217" t="s">
        <v>871</v>
      </c>
      <c r="BV47" s="217">
        <v>9</v>
      </c>
      <c r="BW47" s="217">
        <v>67</v>
      </c>
      <c r="BX47" s="217">
        <v>0</v>
      </c>
      <c r="BY47" s="217">
        <v>0</v>
      </c>
      <c r="BZ47" s="217">
        <v>0</v>
      </c>
      <c r="CA47" s="217">
        <v>0</v>
      </c>
      <c r="CB47" s="217">
        <v>9</v>
      </c>
      <c r="CC47" s="217">
        <v>67</v>
      </c>
      <c r="CD47" s="217">
        <v>0</v>
      </c>
      <c r="CE47" s="217">
        <v>0</v>
      </c>
      <c r="CF47" s="217">
        <v>0</v>
      </c>
      <c r="CG47" s="218">
        <v>0</v>
      </c>
      <c r="CH47" s="218">
        <v>0</v>
      </c>
      <c r="CI47" s="218">
        <v>0</v>
      </c>
      <c r="CJ47" s="218">
        <v>0</v>
      </c>
    </row>
    <row r="48" spans="1:103" x14ac:dyDescent="0.25">
      <c r="A48" s="217" t="s">
        <v>22</v>
      </c>
      <c r="B48" s="217" t="s">
        <v>23</v>
      </c>
      <c r="C48" s="217" t="s">
        <v>24</v>
      </c>
      <c r="D48" s="217" t="s">
        <v>25</v>
      </c>
      <c r="E48" s="217" t="s">
        <v>56</v>
      </c>
      <c r="F48" s="217" t="s">
        <v>57</v>
      </c>
      <c r="G48" s="217" t="s">
        <v>86</v>
      </c>
      <c r="H48" s="217" t="s">
        <v>902</v>
      </c>
      <c r="I48" s="217" t="s">
        <v>29</v>
      </c>
      <c r="J48" s="217" t="s">
        <v>1855</v>
      </c>
      <c r="K48" s="217">
        <v>22</v>
      </c>
      <c r="L48" s="217">
        <v>136</v>
      </c>
      <c r="M48" s="217" t="s">
        <v>31</v>
      </c>
      <c r="N48" s="217" t="s">
        <v>32</v>
      </c>
      <c r="O48" s="217" t="s">
        <v>100</v>
      </c>
      <c r="P48" s="217" t="s">
        <v>34</v>
      </c>
      <c r="Q48" s="217" t="s">
        <v>35</v>
      </c>
      <c r="R48" s="217" t="s">
        <v>23</v>
      </c>
      <c r="S48" s="217" t="s">
        <v>22</v>
      </c>
      <c r="T48" s="217" t="s">
        <v>25</v>
      </c>
      <c r="U48" s="217" t="s">
        <v>24</v>
      </c>
      <c r="V48" s="217" t="s">
        <v>57</v>
      </c>
      <c r="W48" s="217" t="s">
        <v>56</v>
      </c>
      <c r="AD48" s="217" t="s">
        <v>183</v>
      </c>
      <c r="AE48" s="217" t="s">
        <v>184</v>
      </c>
      <c r="AF48" s="217" t="s">
        <v>205</v>
      </c>
      <c r="AG48" s="217" t="s">
        <v>206</v>
      </c>
      <c r="AH48" s="217" t="s">
        <v>207</v>
      </c>
      <c r="AI48" s="217" t="s">
        <v>1854</v>
      </c>
      <c r="AJ48" s="217">
        <v>2</v>
      </c>
      <c r="AK48" s="217">
        <v>14</v>
      </c>
      <c r="AL48" s="217" t="s">
        <v>141</v>
      </c>
      <c r="AM48" s="217" t="s">
        <v>144</v>
      </c>
      <c r="AN48" s="217" t="s">
        <v>145</v>
      </c>
      <c r="AO48" s="217" t="s">
        <v>32</v>
      </c>
      <c r="AP48" s="217" t="s">
        <v>32</v>
      </c>
      <c r="AQ48" s="217" t="s">
        <v>139</v>
      </c>
      <c r="AR48" s="217" t="s">
        <v>139</v>
      </c>
      <c r="AS48" s="217" t="s">
        <v>139</v>
      </c>
      <c r="AT48" s="217" t="s">
        <v>139</v>
      </c>
      <c r="AU48" s="217" t="s">
        <v>2180</v>
      </c>
      <c r="BC48" s="217" t="s">
        <v>85</v>
      </c>
      <c r="BD48" s="217" t="s">
        <v>88</v>
      </c>
      <c r="BE48" s="217" t="s">
        <v>906</v>
      </c>
      <c r="BF48" s="217" t="s">
        <v>90</v>
      </c>
      <c r="BG48" s="217" t="s">
        <v>1998</v>
      </c>
      <c r="BH48" s="217" t="s">
        <v>1658</v>
      </c>
      <c r="BI48" s="217" t="s">
        <v>1660</v>
      </c>
      <c r="BJ48" s="217" t="s">
        <v>1660</v>
      </c>
      <c r="BK48" s="217" t="s">
        <v>637</v>
      </c>
      <c r="BL48" s="217"/>
      <c r="BM48" s="217"/>
      <c r="BN48" s="217">
        <v>0</v>
      </c>
      <c r="BO48" s="218">
        <v>0</v>
      </c>
      <c r="BR48" s="217" t="s">
        <v>85</v>
      </c>
      <c r="BS48" s="217" t="s">
        <v>175</v>
      </c>
      <c r="BT48" s="217" t="s">
        <v>466</v>
      </c>
      <c r="BU48" s="217" t="s">
        <v>1307</v>
      </c>
      <c r="BV48" s="217">
        <v>3</v>
      </c>
      <c r="BW48" s="217">
        <v>16</v>
      </c>
      <c r="BX48" s="217">
        <v>6</v>
      </c>
      <c r="BY48" s="217">
        <v>68</v>
      </c>
      <c r="BZ48" s="217">
        <v>0</v>
      </c>
      <c r="CA48" s="217">
        <v>0</v>
      </c>
      <c r="CB48" s="217">
        <v>3</v>
      </c>
      <c r="CC48" s="217">
        <v>16</v>
      </c>
      <c r="CD48" s="217">
        <v>6</v>
      </c>
      <c r="CE48" s="217">
        <v>68</v>
      </c>
      <c r="CF48" s="217">
        <v>0</v>
      </c>
      <c r="CG48" s="218">
        <v>0</v>
      </c>
      <c r="CH48" s="218">
        <v>0</v>
      </c>
      <c r="CI48" s="218">
        <v>0</v>
      </c>
      <c r="CJ48" s="218">
        <v>0</v>
      </c>
    </row>
    <row r="49" spans="1:88" x14ac:dyDescent="0.25">
      <c r="A49" s="217" t="s">
        <v>22</v>
      </c>
      <c r="B49" s="217" t="s">
        <v>23</v>
      </c>
      <c r="C49" s="217" t="s">
        <v>24</v>
      </c>
      <c r="D49" s="217" t="s">
        <v>25</v>
      </c>
      <c r="E49" s="217" t="s">
        <v>56</v>
      </c>
      <c r="F49" s="217" t="s">
        <v>57</v>
      </c>
      <c r="G49" s="217" t="s">
        <v>140</v>
      </c>
      <c r="H49" s="217" t="s">
        <v>903</v>
      </c>
      <c r="I49" s="217" t="s">
        <v>29</v>
      </c>
      <c r="J49" s="217" t="s">
        <v>1855</v>
      </c>
      <c r="K49" s="217">
        <v>3</v>
      </c>
      <c r="L49" s="217">
        <v>20</v>
      </c>
      <c r="M49" s="217" t="s">
        <v>31</v>
      </c>
      <c r="N49" s="217" t="s">
        <v>32</v>
      </c>
      <c r="O49" s="217" t="s">
        <v>100</v>
      </c>
      <c r="P49" s="217" t="s">
        <v>34</v>
      </c>
      <c r="Q49" s="217" t="s">
        <v>35</v>
      </c>
      <c r="R49" s="217" t="s">
        <v>23</v>
      </c>
      <c r="S49" s="217" t="s">
        <v>22</v>
      </c>
      <c r="T49" s="217" t="s">
        <v>25</v>
      </c>
      <c r="U49" s="217" t="s">
        <v>24</v>
      </c>
      <c r="V49" s="217" t="s">
        <v>57</v>
      </c>
      <c r="W49" s="217" t="s">
        <v>56</v>
      </c>
      <c r="AD49" s="217" t="s">
        <v>183</v>
      </c>
      <c r="AE49" s="217" t="s">
        <v>184</v>
      </c>
      <c r="AF49" s="217" t="s">
        <v>205</v>
      </c>
      <c r="AG49" s="217" t="s">
        <v>206</v>
      </c>
      <c r="AH49" s="217" t="s">
        <v>209</v>
      </c>
      <c r="AI49" s="217" t="s">
        <v>1854</v>
      </c>
      <c r="AJ49" s="217">
        <v>9</v>
      </c>
      <c r="AK49" s="217">
        <v>45</v>
      </c>
      <c r="AL49" s="217" t="s">
        <v>100</v>
      </c>
      <c r="AM49" s="217" t="s">
        <v>34</v>
      </c>
      <c r="AN49" s="217" t="s">
        <v>138</v>
      </c>
      <c r="AO49" s="217" t="s">
        <v>32</v>
      </c>
      <c r="AP49" s="217" t="s">
        <v>32</v>
      </c>
      <c r="AQ49" s="217" t="s">
        <v>139</v>
      </c>
      <c r="AR49" s="217" t="s">
        <v>139</v>
      </c>
      <c r="AS49" s="217" t="s">
        <v>139</v>
      </c>
      <c r="AT49" s="217" t="s">
        <v>139</v>
      </c>
      <c r="AU49" s="217" t="s">
        <v>1936</v>
      </c>
      <c r="BC49" s="217" t="s">
        <v>85</v>
      </c>
      <c r="BD49" s="217" t="s">
        <v>88</v>
      </c>
      <c r="BE49" s="217" t="s">
        <v>907</v>
      </c>
      <c r="BF49" s="217" t="s">
        <v>93</v>
      </c>
      <c r="BG49" s="217" t="s">
        <v>1998</v>
      </c>
      <c r="BH49" s="217" t="s">
        <v>1658</v>
      </c>
      <c r="BI49" s="217" t="s">
        <v>1658</v>
      </c>
      <c r="BJ49" s="217" t="s">
        <v>1658</v>
      </c>
      <c r="BK49" s="217" t="s">
        <v>637</v>
      </c>
      <c r="BL49" s="217"/>
      <c r="BM49" s="217"/>
      <c r="BN49" s="217">
        <v>0</v>
      </c>
      <c r="BO49" s="218">
        <v>0</v>
      </c>
      <c r="BR49" s="217" t="s">
        <v>85</v>
      </c>
      <c r="BS49" s="217" t="s">
        <v>175</v>
      </c>
      <c r="BT49" s="217" t="s">
        <v>467</v>
      </c>
      <c r="BU49" s="217" t="s">
        <v>1308</v>
      </c>
      <c r="BV49" s="217">
        <v>5</v>
      </c>
      <c r="BW49" s="217">
        <v>36</v>
      </c>
      <c r="BX49" s="217">
        <v>30</v>
      </c>
      <c r="BY49" s="217">
        <v>262</v>
      </c>
      <c r="BZ49" s="217">
        <v>5</v>
      </c>
      <c r="CA49" s="217">
        <v>22</v>
      </c>
      <c r="CB49" s="217">
        <v>5</v>
      </c>
      <c r="CC49" s="217">
        <v>35</v>
      </c>
      <c r="CD49" s="217">
        <v>30</v>
      </c>
      <c r="CE49" s="217">
        <v>262</v>
      </c>
      <c r="CF49" s="217">
        <v>5</v>
      </c>
      <c r="CG49" s="218">
        <v>22</v>
      </c>
      <c r="CH49" s="218">
        <v>1</v>
      </c>
      <c r="CI49" s="218">
        <v>0</v>
      </c>
      <c r="CJ49" s="218">
        <v>0</v>
      </c>
    </row>
    <row r="50" spans="1:88" x14ac:dyDescent="0.25">
      <c r="A50" s="217" t="s">
        <v>22</v>
      </c>
      <c r="B50" s="217" t="s">
        <v>23</v>
      </c>
      <c r="C50" s="217" t="s">
        <v>24</v>
      </c>
      <c r="D50" s="217" t="s">
        <v>25</v>
      </c>
      <c r="E50" s="217" t="s">
        <v>56</v>
      </c>
      <c r="F50" s="217" t="s">
        <v>57</v>
      </c>
      <c r="G50" s="217" t="s">
        <v>87</v>
      </c>
      <c r="H50" s="217" t="s">
        <v>905</v>
      </c>
      <c r="I50" s="217" t="s">
        <v>29</v>
      </c>
      <c r="J50" s="217" t="s">
        <v>1855</v>
      </c>
      <c r="K50" s="217">
        <v>2</v>
      </c>
      <c r="L50" s="217">
        <v>11</v>
      </c>
      <c r="M50" s="217" t="s">
        <v>31</v>
      </c>
      <c r="N50" s="217" t="s">
        <v>32</v>
      </c>
      <c r="O50" s="217" t="s">
        <v>33</v>
      </c>
      <c r="P50" s="217" t="s">
        <v>34</v>
      </c>
      <c r="Q50" s="217" t="s">
        <v>35</v>
      </c>
      <c r="R50" s="217" t="s">
        <v>23</v>
      </c>
      <c r="S50" s="217" t="s">
        <v>22</v>
      </c>
      <c r="T50" s="217" t="s">
        <v>47</v>
      </c>
      <c r="U50" s="217" t="s">
        <v>48</v>
      </c>
      <c r="V50" s="217" t="s">
        <v>61</v>
      </c>
      <c r="W50" s="217" t="s">
        <v>62</v>
      </c>
      <c r="AD50" s="217" t="s">
        <v>183</v>
      </c>
      <c r="AE50" s="217" t="s">
        <v>184</v>
      </c>
      <c r="AF50" s="217" t="s">
        <v>205</v>
      </c>
      <c r="AG50" s="217" t="s">
        <v>206</v>
      </c>
      <c r="AH50" s="217" t="s">
        <v>210</v>
      </c>
      <c r="AI50" s="217" t="s">
        <v>1856</v>
      </c>
      <c r="AJ50" s="217">
        <v>2</v>
      </c>
      <c r="AK50" s="217">
        <v>9</v>
      </c>
      <c r="AL50" s="217" t="s">
        <v>100</v>
      </c>
      <c r="AM50" s="217" t="s">
        <v>34</v>
      </c>
      <c r="AN50" s="217" t="s">
        <v>138</v>
      </c>
      <c r="AO50" s="217" t="s">
        <v>32</v>
      </c>
      <c r="AP50" s="217" t="s">
        <v>32</v>
      </c>
      <c r="AQ50" s="217" t="s">
        <v>139</v>
      </c>
      <c r="AR50" s="217" t="s">
        <v>139</v>
      </c>
      <c r="AS50" s="217" t="s">
        <v>139</v>
      </c>
      <c r="AT50" s="217" t="s">
        <v>139</v>
      </c>
      <c r="AU50" s="217" t="s">
        <v>2071</v>
      </c>
      <c r="BC50" s="217" t="s">
        <v>85</v>
      </c>
      <c r="BD50" s="217" t="s">
        <v>88</v>
      </c>
      <c r="BE50" s="217" t="s">
        <v>908</v>
      </c>
      <c r="BF50" s="217" t="s">
        <v>96</v>
      </c>
      <c r="BG50" s="217" t="s">
        <v>1998</v>
      </c>
      <c r="BH50" s="217" t="s">
        <v>1658</v>
      </c>
      <c r="BI50" s="217" t="s">
        <v>1660</v>
      </c>
      <c r="BJ50" s="217" t="s">
        <v>1660</v>
      </c>
      <c r="BK50" s="217" t="s">
        <v>637</v>
      </c>
      <c r="BL50" s="217"/>
      <c r="BM50" s="217"/>
      <c r="BN50" s="217">
        <v>0</v>
      </c>
      <c r="BO50" s="218">
        <v>0</v>
      </c>
      <c r="BR50" s="217" t="s">
        <v>85</v>
      </c>
      <c r="BS50" s="217" t="s">
        <v>175</v>
      </c>
      <c r="BT50" s="217" t="s">
        <v>468</v>
      </c>
      <c r="BU50" s="217" t="s">
        <v>1309</v>
      </c>
      <c r="BV50" s="217">
        <v>12</v>
      </c>
      <c r="BW50" s="217">
        <v>90</v>
      </c>
      <c r="BX50" s="217">
        <v>12</v>
      </c>
      <c r="BY50" s="217">
        <v>67</v>
      </c>
      <c r="BZ50" s="217">
        <v>0</v>
      </c>
      <c r="CA50" s="217">
        <v>0</v>
      </c>
      <c r="CB50" s="217">
        <v>12</v>
      </c>
      <c r="CC50" s="217">
        <v>90</v>
      </c>
      <c r="CD50" s="217">
        <v>12</v>
      </c>
      <c r="CE50" s="217">
        <v>67</v>
      </c>
      <c r="CF50" s="217">
        <v>0</v>
      </c>
      <c r="CG50" s="218">
        <v>0</v>
      </c>
      <c r="CH50" s="218">
        <v>0</v>
      </c>
      <c r="CI50" s="218">
        <v>0</v>
      </c>
      <c r="CJ50" s="218">
        <v>0</v>
      </c>
    </row>
    <row r="51" spans="1:88" x14ac:dyDescent="0.25">
      <c r="A51" s="217" t="s">
        <v>22</v>
      </c>
      <c r="B51" s="217" t="s">
        <v>23</v>
      </c>
      <c r="C51" s="217" t="s">
        <v>24</v>
      </c>
      <c r="D51" s="217" t="s">
        <v>25</v>
      </c>
      <c r="E51" s="217" t="s">
        <v>56</v>
      </c>
      <c r="F51" s="217" t="s">
        <v>57</v>
      </c>
      <c r="G51" s="217" t="s">
        <v>87</v>
      </c>
      <c r="H51" s="217" t="s">
        <v>905</v>
      </c>
      <c r="I51" s="217" t="s">
        <v>29</v>
      </c>
      <c r="J51" s="217" t="s">
        <v>1858</v>
      </c>
      <c r="K51" s="217">
        <v>1</v>
      </c>
      <c r="L51" s="217">
        <v>4</v>
      </c>
      <c r="M51" s="217" t="s">
        <v>31</v>
      </c>
      <c r="N51" s="217" t="s">
        <v>32</v>
      </c>
      <c r="O51" s="217" t="s">
        <v>33</v>
      </c>
      <c r="P51" s="217" t="s">
        <v>34</v>
      </c>
      <c r="Q51" s="217" t="s">
        <v>35</v>
      </c>
      <c r="R51" s="217" t="s">
        <v>23</v>
      </c>
      <c r="S51" s="217" t="s">
        <v>22</v>
      </c>
      <c r="T51" s="217" t="s">
        <v>47</v>
      </c>
      <c r="U51" s="217" t="s">
        <v>48</v>
      </c>
      <c r="V51" s="217" t="s">
        <v>61</v>
      </c>
      <c r="W51" s="217" t="s">
        <v>62</v>
      </c>
      <c r="AD51" s="217" t="s">
        <v>217</v>
      </c>
      <c r="AE51" s="217" t="s">
        <v>218</v>
      </c>
      <c r="AF51" s="217" t="s">
        <v>223</v>
      </c>
      <c r="AG51" s="217" t="s">
        <v>224</v>
      </c>
      <c r="AH51" s="217" t="s">
        <v>494</v>
      </c>
      <c r="AI51" s="217" t="s">
        <v>1858</v>
      </c>
      <c r="AJ51" s="217">
        <v>1</v>
      </c>
      <c r="AK51" s="217">
        <v>4</v>
      </c>
      <c r="AL51" s="217" t="s">
        <v>100</v>
      </c>
      <c r="AM51" s="217" t="s">
        <v>34</v>
      </c>
      <c r="AN51" s="217" t="s">
        <v>138</v>
      </c>
      <c r="AO51" s="217" t="s">
        <v>32</v>
      </c>
      <c r="AP51" s="217" t="s">
        <v>32</v>
      </c>
      <c r="AQ51" s="217" t="s">
        <v>139</v>
      </c>
      <c r="AR51" s="217" t="s">
        <v>139</v>
      </c>
      <c r="AS51" s="217" t="s">
        <v>139</v>
      </c>
      <c r="AT51" s="217" t="s">
        <v>139</v>
      </c>
      <c r="AU51" s="217" t="s">
        <v>2181</v>
      </c>
      <c r="BC51" s="217" t="s">
        <v>85</v>
      </c>
      <c r="BD51" s="217" t="s">
        <v>88</v>
      </c>
      <c r="BE51" s="217" t="s">
        <v>909</v>
      </c>
      <c r="BF51" s="217" t="s">
        <v>101</v>
      </c>
      <c r="BG51" s="217" t="s">
        <v>1998</v>
      </c>
      <c r="BH51" s="217" t="s">
        <v>1658</v>
      </c>
      <c r="BI51" s="217" t="s">
        <v>1658</v>
      </c>
      <c r="BJ51" s="217" t="s">
        <v>1660</v>
      </c>
      <c r="BK51" s="217" t="s">
        <v>637</v>
      </c>
      <c r="BL51" s="217"/>
      <c r="BM51" s="217"/>
      <c r="BN51" s="217">
        <v>0</v>
      </c>
      <c r="BO51" s="218">
        <v>0</v>
      </c>
      <c r="BR51" s="217" t="s">
        <v>85</v>
      </c>
      <c r="BS51" s="217" t="s">
        <v>175</v>
      </c>
      <c r="BT51" s="217" t="s">
        <v>469</v>
      </c>
      <c r="BU51" s="217" t="s">
        <v>1531</v>
      </c>
      <c r="BV51" s="217">
        <v>12</v>
      </c>
      <c r="BW51" s="217">
        <v>68</v>
      </c>
      <c r="BX51" s="217">
        <v>9</v>
      </c>
      <c r="BY51" s="217">
        <v>54</v>
      </c>
      <c r="BZ51" s="217">
        <v>3</v>
      </c>
      <c r="CA51" s="217">
        <v>13</v>
      </c>
      <c r="CB51" s="217">
        <v>12</v>
      </c>
      <c r="CC51" s="217">
        <v>68</v>
      </c>
      <c r="CD51" s="217">
        <v>9</v>
      </c>
      <c r="CE51" s="217">
        <v>54</v>
      </c>
      <c r="CF51" s="217">
        <v>3</v>
      </c>
      <c r="CG51" s="218">
        <v>13</v>
      </c>
      <c r="CH51" s="218">
        <v>0</v>
      </c>
      <c r="CI51" s="218">
        <v>0</v>
      </c>
      <c r="CJ51" s="218">
        <v>0</v>
      </c>
    </row>
    <row r="52" spans="1:88" x14ac:dyDescent="0.25">
      <c r="A52" s="217" t="s">
        <v>22</v>
      </c>
      <c r="B52" s="217" t="s">
        <v>23</v>
      </c>
      <c r="C52" s="217" t="s">
        <v>85</v>
      </c>
      <c r="D52" s="217" t="s">
        <v>84</v>
      </c>
      <c r="E52" s="217" t="s">
        <v>88</v>
      </c>
      <c r="F52" s="217" t="s">
        <v>89</v>
      </c>
      <c r="G52" s="217" t="s">
        <v>90</v>
      </c>
      <c r="H52" s="217" t="s">
        <v>906</v>
      </c>
      <c r="I52" s="217" t="s">
        <v>29</v>
      </c>
      <c r="J52" s="217" t="s">
        <v>1856</v>
      </c>
      <c r="K52" s="217">
        <v>9</v>
      </c>
      <c r="L52" s="217">
        <v>83</v>
      </c>
      <c r="M52" s="217" t="s">
        <v>31</v>
      </c>
      <c r="N52" s="217" t="s">
        <v>32</v>
      </c>
      <c r="O52" s="217" t="s">
        <v>68</v>
      </c>
      <c r="P52" s="217" t="s">
        <v>34</v>
      </c>
      <c r="Q52" s="217" t="s">
        <v>35</v>
      </c>
      <c r="R52" s="217" t="s">
        <v>23</v>
      </c>
      <c r="S52" s="217" t="s">
        <v>22</v>
      </c>
      <c r="T52" s="217" t="s">
        <v>84</v>
      </c>
      <c r="U52" s="217" t="s">
        <v>85</v>
      </c>
      <c r="V52" s="217" t="s">
        <v>91</v>
      </c>
      <c r="W52" s="217" t="s">
        <v>92</v>
      </c>
      <c r="AD52" s="217" t="s">
        <v>217</v>
      </c>
      <c r="AE52" s="217" t="s">
        <v>218</v>
      </c>
      <c r="AF52" s="217" t="s">
        <v>227</v>
      </c>
      <c r="AG52" s="217" t="s">
        <v>228</v>
      </c>
      <c r="AH52" s="217" t="s">
        <v>229</v>
      </c>
      <c r="AI52" s="217" t="s">
        <v>1854</v>
      </c>
      <c r="AJ52" s="217">
        <v>27</v>
      </c>
      <c r="AK52" s="217">
        <v>135</v>
      </c>
      <c r="AL52" s="217" t="s">
        <v>33</v>
      </c>
      <c r="AM52" s="217" t="s">
        <v>34</v>
      </c>
      <c r="AN52" s="217" t="s">
        <v>138</v>
      </c>
      <c r="AO52" s="217" t="s">
        <v>32</v>
      </c>
      <c r="AP52" s="217" t="s">
        <v>32</v>
      </c>
      <c r="AQ52" s="217" t="s">
        <v>183</v>
      </c>
      <c r="AR52" s="217" t="s">
        <v>184</v>
      </c>
      <c r="AS52" s="217" t="s">
        <v>139</v>
      </c>
      <c r="AT52" s="217" t="s">
        <v>139</v>
      </c>
      <c r="AU52" s="217" t="s">
        <v>213</v>
      </c>
      <c r="BC52" s="217" t="s">
        <v>85</v>
      </c>
      <c r="BD52" s="217" t="s">
        <v>88</v>
      </c>
      <c r="BE52" s="217" t="s">
        <v>910</v>
      </c>
      <c r="BF52" s="217" t="s">
        <v>102</v>
      </c>
      <c r="BG52" s="217" t="s">
        <v>1998</v>
      </c>
      <c r="BH52" s="217" t="s">
        <v>1658</v>
      </c>
      <c r="BI52" s="217" t="s">
        <v>1658</v>
      </c>
      <c r="BJ52" s="217" t="s">
        <v>1660</v>
      </c>
      <c r="BK52" s="217" t="s">
        <v>637</v>
      </c>
      <c r="BL52" s="217"/>
      <c r="BM52" s="217"/>
      <c r="BN52" s="217">
        <v>0</v>
      </c>
      <c r="BO52" s="218">
        <v>0</v>
      </c>
      <c r="BR52" s="217" t="s">
        <v>85</v>
      </c>
      <c r="BS52" s="217" t="s">
        <v>175</v>
      </c>
      <c r="BT52" s="217" t="s">
        <v>634</v>
      </c>
      <c r="BU52" s="217" t="s">
        <v>1527</v>
      </c>
      <c r="BV52" s="217">
        <v>0</v>
      </c>
      <c r="BW52" s="217">
        <v>0</v>
      </c>
      <c r="BX52" s="217">
        <v>69</v>
      </c>
      <c r="BY52" s="217">
        <v>350</v>
      </c>
      <c r="BZ52" s="217">
        <v>100</v>
      </c>
      <c r="CA52" s="217">
        <v>479</v>
      </c>
      <c r="CB52" s="217">
        <v>0</v>
      </c>
      <c r="CC52" s="217">
        <v>0</v>
      </c>
      <c r="CD52" s="217">
        <v>69</v>
      </c>
      <c r="CE52" s="217">
        <v>350</v>
      </c>
      <c r="CF52" s="217">
        <v>100</v>
      </c>
      <c r="CG52" s="218">
        <v>479</v>
      </c>
      <c r="CH52" s="218">
        <v>0</v>
      </c>
      <c r="CI52" s="218">
        <v>0</v>
      </c>
      <c r="CJ52" s="218">
        <v>0</v>
      </c>
    </row>
    <row r="53" spans="1:88" x14ac:dyDescent="0.25">
      <c r="A53" s="217" t="s">
        <v>22</v>
      </c>
      <c r="B53" s="217" t="s">
        <v>23</v>
      </c>
      <c r="C53" s="217" t="s">
        <v>85</v>
      </c>
      <c r="D53" s="217" t="s">
        <v>84</v>
      </c>
      <c r="E53" s="217" t="s">
        <v>88</v>
      </c>
      <c r="F53" s="217" t="s">
        <v>89</v>
      </c>
      <c r="G53" s="217" t="s">
        <v>90</v>
      </c>
      <c r="H53" s="217" t="s">
        <v>906</v>
      </c>
      <c r="I53" s="217" t="s">
        <v>29</v>
      </c>
      <c r="J53" s="217" t="s">
        <v>1857</v>
      </c>
      <c r="K53" s="217">
        <v>1</v>
      </c>
      <c r="L53" s="217">
        <v>5</v>
      </c>
      <c r="M53" s="217" t="s">
        <v>31</v>
      </c>
      <c r="N53" s="217" t="s">
        <v>32</v>
      </c>
      <c r="O53" s="217" t="s">
        <v>68</v>
      </c>
      <c r="P53" s="217" t="s">
        <v>34</v>
      </c>
      <c r="Q53" s="217" t="s">
        <v>35</v>
      </c>
      <c r="R53" s="217" t="s">
        <v>23</v>
      </c>
      <c r="S53" s="217" t="s">
        <v>22</v>
      </c>
      <c r="T53" s="217" t="s">
        <v>84</v>
      </c>
      <c r="U53" s="217" t="s">
        <v>85</v>
      </c>
      <c r="V53" s="217" t="s">
        <v>91</v>
      </c>
      <c r="W53" s="217" t="s">
        <v>92</v>
      </c>
      <c r="AD53" s="217" t="s">
        <v>47</v>
      </c>
      <c r="AE53" s="217" t="s">
        <v>48</v>
      </c>
      <c r="AF53" s="217" t="s">
        <v>231</v>
      </c>
      <c r="AG53" s="217" t="s">
        <v>232</v>
      </c>
      <c r="AH53" s="217" t="s">
        <v>2016</v>
      </c>
      <c r="AI53" s="217" t="s">
        <v>1856</v>
      </c>
      <c r="AJ53" s="217">
        <v>192</v>
      </c>
      <c r="AK53" s="217">
        <v>749</v>
      </c>
      <c r="AL53" s="217" t="s">
        <v>68</v>
      </c>
      <c r="AM53" s="217" t="s">
        <v>34</v>
      </c>
      <c r="AN53" s="217" t="s">
        <v>138</v>
      </c>
      <c r="AO53" s="217" t="s">
        <v>32</v>
      </c>
      <c r="AP53" s="217" t="s">
        <v>32</v>
      </c>
      <c r="AQ53" s="217" t="s">
        <v>139</v>
      </c>
      <c r="AR53" s="217" t="s">
        <v>139</v>
      </c>
      <c r="AS53" s="217" t="s">
        <v>61</v>
      </c>
      <c r="AT53" s="217" t="s">
        <v>62</v>
      </c>
      <c r="AU53" s="217" t="s">
        <v>32</v>
      </c>
      <c r="BC53" s="217" t="s">
        <v>85</v>
      </c>
      <c r="BD53" s="217" t="s">
        <v>88</v>
      </c>
      <c r="BE53" s="217" t="s">
        <v>911</v>
      </c>
      <c r="BF53" s="217" t="s">
        <v>103</v>
      </c>
      <c r="BG53" s="217" t="s">
        <v>1998</v>
      </c>
      <c r="BH53" s="217" t="s">
        <v>1658</v>
      </c>
      <c r="BI53" s="217" t="s">
        <v>1658</v>
      </c>
      <c r="BJ53" s="217" t="s">
        <v>1660</v>
      </c>
      <c r="BK53" s="217" t="s">
        <v>637</v>
      </c>
      <c r="BL53" s="217"/>
      <c r="BM53" s="217"/>
      <c r="BN53" s="217">
        <v>0</v>
      </c>
      <c r="BO53" s="218">
        <v>0</v>
      </c>
      <c r="BR53" s="217" t="s">
        <v>85</v>
      </c>
      <c r="BS53" s="217" t="s">
        <v>175</v>
      </c>
      <c r="BT53" s="217" t="s">
        <v>464</v>
      </c>
      <c r="BU53" s="217" t="s">
        <v>1303</v>
      </c>
      <c r="BV53" s="217">
        <v>6</v>
      </c>
      <c r="BW53" s="217">
        <v>20</v>
      </c>
      <c r="BX53" s="217">
        <v>32</v>
      </c>
      <c r="BY53" s="217">
        <v>128</v>
      </c>
      <c r="BZ53" s="217">
        <v>17</v>
      </c>
      <c r="CA53" s="217">
        <v>93</v>
      </c>
      <c r="CB53" s="217">
        <v>6</v>
      </c>
      <c r="CC53" s="217">
        <v>20</v>
      </c>
      <c r="CD53" s="217">
        <v>32</v>
      </c>
      <c r="CE53" s="217">
        <v>128</v>
      </c>
      <c r="CF53" s="217">
        <v>17</v>
      </c>
      <c r="CG53" s="218">
        <v>93</v>
      </c>
      <c r="CH53" s="218">
        <v>0</v>
      </c>
      <c r="CI53" s="218">
        <v>0</v>
      </c>
      <c r="CJ53" s="218">
        <v>0</v>
      </c>
    </row>
    <row r="54" spans="1:88" x14ac:dyDescent="0.25">
      <c r="A54" s="217" t="s">
        <v>22</v>
      </c>
      <c r="B54" s="217" t="s">
        <v>23</v>
      </c>
      <c r="C54" s="217" t="s">
        <v>85</v>
      </c>
      <c r="D54" s="217" t="s">
        <v>84</v>
      </c>
      <c r="E54" s="217" t="s">
        <v>88</v>
      </c>
      <c r="F54" s="217" t="s">
        <v>89</v>
      </c>
      <c r="G54" s="217" t="s">
        <v>93</v>
      </c>
      <c r="H54" s="217" t="s">
        <v>907</v>
      </c>
      <c r="I54" s="217" t="s">
        <v>29</v>
      </c>
      <c r="J54" s="217" t="s">
        <v>1855</v>
      </c>
      <c r="K54" s="217">
        <v>152</v>
      </c>
      <c r="L54" s="217">
        <v>999</v>
      </c>
      <c r="M54" s="217" t="s">
        <v>31</v>
      </c>
      <c r="N54" s="217" t="s">
        <v>32</v>
      </c>
      <c r="O54" s="217" t="s">
        <v>68</v>
      </c>
      <c r="P54" s="217" t="s">
        <v>34</v>
      </c>
      <c r="Q54" s="217" t="s">
        <v>35</v>
      </c>
      <c r="R54" s="217" t="s">
        <v>23</v>
      </c>
      <c r="S54" s="217" t="s">
        <v>22</v>
      </c>
      <c r="T54" s="217" t="s">
        <v>84</v>
      </c>
      <c r="U54" s="217" t="s">
        <v>85</v>
      </c>
      <c r="V54" s="217" t="s">
        <v>91</v>
      </c>
      <c r="W54" s="217" t="s">
        <v>92</v>
      </c>
      <c r="AD54" s="217" t="s">
        <v>47</v>
      </c>
      <c r="AE54" s="217" t="s">
        <v>48</v>
      </c>
      <c r="AF54" s="217" t="s">
        <v>231</v>
      </c>
      <c r="AG54" s="217" t="s">
        <v>232</v>
      </c>
      <c r="AH54" s="217" t="s">
        <v>709</v>
      </c>
      <c r="AI54" s="217" t="s">
        <v>1856</v>
      </c>
      <c r="AJ54" s="217">
        <v>94</v>
      </c>
      <c r="AK54" s="217">
        <v>475</v>
      </c>
      <c r="AL54" s="217" t="s">
        <v>68</v>
      </c>
      <c r="AM54" s="217" t="s">
        <v>34</v>
      </c>
      <c r="AN54" s="217" t="s">
        <v>138</v>
      </c>
      <c r="AO54" s="217" t="s">
        <v>32</v>
      </c>
      <c r="AP54" s="217" t="s">
        <v>32</v>
      </c>
      <c r="AQ54" s="217" t="s">
        <v>139</v>
      </c>
      <c r="AR54" s="217" t="s">
        <v>139</v>
      </c>
      <c r="AS54" s="217" t="s">
        <v>61</v>
      </c>
      <c r="AT54" s="217" t="s">
        <v>62</v>
      </c>
      <c r="AU54" s="217" t="s">
        <v>2182</v>
      </c>
      <c r="BC54" s="217" t="s">
        <v>85</v>
      </c>
      <c r="BD54" s="217" t="s">
        <v>88</v>
      </c>
      <c r="BE54" s="217" t="s">
        <v>912</v>
      </c>
      <c r="BF54" s="217" t="s">
        <v>104</v>
      </c>
      <c r="BG54" s="217" t="s">
        <v>1998</v>
      </c>
      <c r="BH54" s="217" t="s">
        <v>1658</v>
      </c>
      <c r="BI54" s="217" t="s">
        <v>1658</v>
      </c>
      <c r="BJ54" s="217" t="s">
        <v>1660</v>
      </c>
      <c r="BK54" s="217" t="s">
        <v>637</v>
      </c>
      <c r="BL54" s="217"/>
      <c r="BM54" s="217"/>
      <c r="BN54" s="217">
        <v>0</v>
      </c>
      <c r="BO54" s="218">
        <v>0</v>
      </c>
      <c r="BR54" s="217" t="s">
        <v>85</v>
      </c>
      <c r="BS54" s="217" t="s">
        <v>175</v>
      </c>
      <c r="BT54" s="217" t="s">
        <v>176</v>
      </c>
      <c r="BU54" s="217" t="s">
        <v>1525</v>
      </c>
      <c r="BV54" s="217">
        <v>0</v>
      </c>
      <c r="BW54" s="217">
        <v>0</v>
      </c>
      <c r="BX54" s="217">
        <v>45</v>
      </c>
      <c r="BY54" s="217">
        <v>288</v>
      </c>
      <c r="BZ54" s="217">
        <v>0</v>
      </c>
      <c r="CA54" s="217">
        <v>0</v>
      </c>
      <c r="CB54" s="217">
        <v>0</v>
      </c>
      <c r="CC54" s="217">
        <v>0</v>
      </c>
      <c r="CD54" s="217">
        <v>45</v>
      </c>
      <c r="CE54" s="217">
        <v>285</v>
      </c>
      <c r="CF54" s="217">
        <v>0</v>
      </c>
      <c r="CG54" s="218">
        <v>0</v>
      </c>
      <c r="CH54" s="218">
        <v>0</v>
      </c>
      <c r="CI54" s="218">
        <v>3</v>
      </c>
      <c r="CJ54" s="218">
        <v>0</v>
      </c>
    </row>
    <row r="55" spans="1:88" x14ac:dyDescent="0.25">
      <c r="A55" s="217" t="s">
        <v>22</v>
      </c>
      <c r="B55" s="217" t="s">
        <v>23</v>
      </c>
      <c r="C55" s="217" t="s">
        <v>85</v>
      </c>
      <c r="D55" s="217" t="s">
        <v>84</v>
      </c>
      <c r="E55" s="217" t="s">
        <v>88</v>
      </c>
      <c r="F55" s="217" t="s">
        <v>89</v>
      </c>
      <c r="G55" s="217" t="s">
        <v>93</v>
      </c>
      <c r="H55" s="217" t="s">
        <v>907</v>
      </c>
      <c r="I55" s="217" t="s">
        <v>29</v>
      </c>
      <c r="J55" s="217" t="s">
        <v>1856</v>
      </c>
      <c r="K55" s="217">
        <v>117</v>
      </c>
      <c r="L55" s="217">
        <v>768</v>
      </c>
      <c r="M55" s="217" t="s">
        <v>31</v>
      </c>
      <c r="N55" s="217" t="s">
        <v>32</v>
      </c>
      <c r="O55" s="217" t="s">
        <v>68</v>
      </c>
      <c r="P55" s="217" t="s">
        <v>34</v>
      </c>
      <c r="Q55" s="217" t="s">
        <v>35</v>
      </c>
      <c r="R55" s="217" t="s">
        <v>23</v>
      </c>
      <c r="S55" s="217" t="s">
        <v>22</v>
      </c>
      <c r="T55" s="217" t="s">
        <v>84</v>
      </c>
      <c r="U55" s="217" t="s">
        <v>85</v>
      </c>
      <c r="V55" s="217" t="s">
        <v>91</v>
      </c>
      <c r="W55" s="217" t="s">
        <v>92</v>
      </c>
      <c r="AD55" s="217" t="s">
        <v>47</v>
      </c>
      <c r="AE55" s="217" t="s">
        <v>48</v>
      </c>
      <c r="AF55" s="217" t="s">
        <v>231</v>
      </c>
      <c r="AG55" s="217" t="s">
        <v>232</v>
      </c>
      <c r="AH55" s="217" t="s">
        <v>233</v>
      </c>
      <c r="AI55" s="217" t="s">
        <v>1855</v>
      </c>
      <c r="AJ55" s="217">
        <v>3298</v>
      </c>
      <c r="AK55" s="217">
        <v>18728</v>
      </c>
      <c r="AL55" s="217" t="s">
        <v>141</v>
      </c>
      <c r="AM55" s="217" t="s">
        <v>144</v>
      </c>
      <c r="AN55" s="217" t="s">
        <v>145</v>
      </c>
      <c r="AO55" s="217" t="s">
        <v>32</v>
      </c>
      <c r="AP55" s="217" t="s">
        <v>32</v>
      </c>
      <c r="AQ55" s="217" t="s">
        <v>139</v>
      </c>
      <c r="AR55" s="217" t="s">
        <v>139</v>
      </c>
      <c r="AS55" s="217" t="s">
        <v>139</v>
      </c>
      <c r="AT55" s="217" t="s">
        <v>139</v>
      </c>
      <c r="AU55" s="217" t="s">
        <v>2183</v>
      </c>
      <c r="BC55" s="217" t="s">
        <v>85</v>
      </c>
      <c r="BD55" s="217" t="s">
        <v>88</v>
      </c>
      <c r="BE55" s="217" t="s">
        <v>913</v>
      </c>
      <c r="BF55" s="217" t="s">
        <v>105</v>
      </c>
      <c r="BG55" s="217" t="s">
        <v>1998</v>
      </c>
      <c r="BH55" s="217" t="s">
        <v>1658</v>
      </c>
      <c r="BI55" s="217" t="s">
        <v>1660</v>
      </c>
      <c r="BJ55" s="217" t="s">
        <v>1660</v>
      </c>
      <c r="BK55" s="217" t="s">
        <v>637</v>
      </c>
      <c r="BL55" s="217"/>
      <c r="BM55" s="217"/>
      <c r="BN55" s="217">
        <v>0</v>
      </c>
      <c r="BO55" s="218">
        <v>0</v>
      </c>
      <c r="BR55" s="217" t="s">
        <v>85</v>
      </c>
      <c r="BS55" s="217" t="s">
        <v>175</v>
      </c>
      <c r="BT55" s="217" t="s">
        <v>465</v>
      </c>
      <c r="BU55" s="217" t="s">
        <v>1304</v>
      </c>
      <c r="BV55" s="217">
        <v>10</v>
      </c>
      <c r="BW55" s="217">
        <v>44</v>
      </c>
      <c r="BX55" s="217">
        <v>18</v>
      </c>
      <c r="BY55" s="217">
        <v>69</v>
      </c>
      <c r="BZ55" s="217">
        <v>9</v>
      </c>
      <c r="CA55" s="217">
        <v>50</v>
      </c>
      <c r="CB55" s="217">
        <v>10</v>
      </c>
      <c r="CC55" s="217">
        <v>44</v>
      </c>
      <c r="CD55" s="217">
        <v>17</v>
      </c>
      <c r="CE55" s="217">
        <v>65</v>
      </c>
      <c r="CF55" s="217">
        <v>9</v>
      </c>
      <c r="CG55" s="218">
        <v>50</v>
      </c>
      <c r="CH55" s="218">
        <v>0</v>
      </c>
      <c r="CI55" s="218">
        <v>4</v>
      </c>
      <c r="CJ55" s="218">
        <v>0</v>
      </c>
    </row>
    <row r="56" spans="1:88" x14ac:dyDescent="0.25">
      <c r="A56" s="217" t="s">
        <v>22</v>
      </c>
      <c r="B56" s="217" t="s">
        <v>23</v>
      </c>
      <c r="C56" s="217" t="s">
        <v>85</v>
      </c>
      <c r="D56" s="217" t="s">
        <v>84</v>
      </c>
      <c r="E56" s="217" t="s">
        <v>88</v>
      </c>
      <c r="F56" s="217" t="s">
        <v>89</v>
      </c>
      <c r="G56" s="217" t="s">
        <v>93</v>
      </c>
      <c r="H56" s="217" t="s">
        <v>907</v>
      </c>
      <c r="I56" s="217" t="s">
        <v>29</v>
      </c>
      <c r="J56" s="217" t="s">
        <v>1857</v>
      </c>
      <c r="K56" s="217">
        <v>318</v>
      </c>
      <c r="L56" s="217">
        <v>1927</v>
      </c>
      <c r="M56" s="217" t="s">
        <v>31</v>
      </c>
      <c r="N56" s="217" t="s">
        <v>32</v>
      </c>
      <c r="O56" s="217" t="s">
        <v>68</v>
      </c>
      <c r="P56" s="217" t="s">
        <v>34</v>
      </c>
      <c r="Q56" s="217" t="s">
        <v>35</v>
      </c>
      <c r="R56" s="217" t="s">
        <v>23</v>
      </c>
      <c r="S56" s="217" t="s">
        <v>22</v>
      </c>
      <c r="T56" s="217" t="s">
        <v>84</v>
      </c>
      <c r="U56" s="217" t="s">
        <v>85</v>
      </c>
      <c r="V56" s="217" t="s">
        <v>94</v>
      </c>
      <c r="W56" s="217" t="s">
        <v>95</v>
      </c>
      <c r="AD56" s="217" t="s">
        <v>47</v>
      </c>
      <c r="AE56" s="217" t="s">
        <v>48</v>
      </c>
      <c r="AF56" s="217" t="s">
        <v>231</v>
      </c>
      <c r="AG56" s="217" t="s">
        <v>232</v>
      </c>
      <c r="AH56" s="217" t="s">
        <v>501</v>
      </c>
      <c r="AI56" s="217" t="s">
        <v>1857</v>
      </c>
      <c r="AJ56" s="217">
        <v>260</v>
      </c>
      <c r="AK56" s="217">
        <v>1875</v>
      </c>
      <c r="AL56" s="217" t="s">
        <v>100</v>
      </c>
      <c r="AM56" s="217" t="s">
        <v>34</v>
      </c>
      <c r="AN56" s="217" t="s">
        <v>138</v>
      </c>
      <c r="AO56" s="217" t="s">
        <v>32</v>
      </c>
      <c r="AP56" s="217" t="s">
        <v>32</v>
      </c>
      <c r="AQ56" s="217" t="s">
        <v>139</v>
      </c>
      <c r="AR56" s="217" t="s">
        <v>139</v>
      </c>
      <c r="AS56" s="217" t="s">
        <v>139</v>
      </c>
      <c r="AT56" s="217" t="s">
        <v>139</v>
      </c>
      <c r="AU56" s="217" t="s">
        <v>232</v>
      </c>
      <c r="BC56" s="217" t="s">
        <v>85</v>
      </c>
      <c r="BD56" s="217" t="s">
        <v>88</v>
      </c>
      <c r="BE56" s="217" t="s">
        <v>914</v>
      </c>
      <c r="BF56" s="217" t="s">
        <v>106</v>
      </c>
      <c r="BG56" s="217" t="s">
        <v>1998</v>
      </c>
      <c r="BH56" s="217" t="s">
        <v>1658</v>
      </c>
      <c r="BI56" s="217" t="s">
        <v>1658</v>
      </c>
      <c r="BJ56" s="217" t="s">
        <v>1658</v>
      </c>
      <c r="BK56" s="217" t="s">
        <v>637</v>
      </c>
      <c r="BL56" s="217"/>
      <c r="BM56" s="217"/>
      <c r="BN56" s="217">
        <v>0</v>
      </c>
      <c r="BO56" s="218">
        <v>0</v>
      </c>
      <c r="BR56" s="217" t="s">
        <v>85</v>
      </c>
      <c r="BS56" s="217" t="s">
        <v>175</v>
      </c>
      <c r="BT56" s="217" t="s">
        <v>178</v>
      </c>
      <c r="BU56" s="217" t="s">
        <v>1562</v>
      </c>
      <c r="BV56" s="217">
        <v>0</v>
      </c>
      <c r="BW56" s="217">
        <v>0</v>
      </c>
      <c r="BX56" s="217">
        <v>0</v>
      </c>
      <c r="BY56" s="217">
        <v>0</v>
      </c>
      <c r="BZ56" s="217">
        <v>44</v>
      </c>
      <c r="CA56" s="217">
        <v>227</v>
      </c>
      <c r="CB56" s="217">
        <v>0</v>
      </c>
      <c r="CC56" s="217">
        <v>0</v>
      </c>
      <c r="CD56" s="217">
        <v>0</v>
      </c>
      <c r="CE56" s="217">
        <v>0</v>
      </c>
      <c r="CF56" s="217">
        <v>44</v>
      </c>
      <c r="CG56" s="218">
        <v>226</v>
      </c>
      <c r="CH56" s="218">
        <v>0</v>
      </c>
      <c r="CI56" s="218">
        <v>0</v>
      </c>
      <c r="CJ56" s="218">
        <v>1</v>
      </c>
    </row>
    <row r="57" spans="1:88" x14ac:dyDescent="0.25">
      <c r="A57" s="217" t="s">
        <v>22</v>
      </c>
      <c r="B57" s="217" t="s">
        <v>23</v>
      </c>
      <c r="C57" s="217" t="s">
        <v>85</v>
      </c>
      <c r="D57" s="217" t="s">
        <v>84</v>
      </c>
      <c r="E57" s="217" t="s">
        <v>88</v>
      </c>
      <c r="F57" s="217" t="s">
        <v>89</v>
      </c>
      <c r="G57" s="217" t="s">
        <v>93</v>
      </c>
      <c r="H57" s="217" t="s">
        <v>907</v>
      </c>
      <c r="I57" s="217" t="s">
        <v>29</v>
      </c>
      <c r="J57" s="217" t="s">
        <v>1858</v>
      </c>
      <c r="K57" s="217">
        <v>22</v>
      </c>
      <c r="L57" s="217">
        <v>134</v>
      </c>
      <c r="M57" s="217" t="s">
        <v>31</v>
      </c>
      <c r="N57" s="217" t="s">
        <v>32</v>
      </c>
      <c r="O57" s="217" t="s">
        <v>68</v>
      </c>
      <c r="P57" s="217" t="s">
        <v>34</v>
      </c>
      <c r="Q57" s="217" t="s">
        <v>35</v>
      </c>
      <c r="R57" s="217" t="s">
        <v>23</v>
      </c>
      <c r="S57" s="217" t="s">
        <v>22</v>
      </c>
      <c r="T57" s="217" t="s">
        <v>84</v>
      </c>
      <c r="U57" s="217" t="s">
        <v>85</v>
      </c>
      <c r="V57" s="217" t="s">
        <v>91</v>
      </c>
      <c r="W57" s="217" t="s">
        <v>92</v>
      </c>
      <c r="AD57" s="217" t="s">
        <v>47</v>
      </c>
      <c r="AE57" s="217" t="s">
        <v>48</v>
      </c>
      <c r="AF57" s="217" t="s">
        <v>231</v>
      </c>
      <c r="AG57" s="217" t="s">
        <v>232</v>
      </c>
      <c r="AH57" s="217" t="s">
        <v>711</v>
      </c>
      <c r="AI57" s="217" t="s">
        <v>1856</v>
      </c>
      <c r="AJ57" s="217">
        <v>35</v>
      </c>
      <c r="AK57" s="217">
        <v>246</v>
      </c>
      <c r="AL57" s="217" t="s">
        <v>68</v>
      </c>
      <c r="AM57" s="217" t="s">
        <v>34</v>
      </c>
      <c r="AN57" s="217" t="s">
        <v>138</v>
      </c>
      <c r="AO57" s="217" t="s">
        <v>32</v>
      </c>
      <c r="AP57" s="217" t="s">
        <v>32</v>
      </c>
      <c r="AQ57" s="217" t="s">
        <v>139</v>
      </c>
      <c r="AR57" s="217" t="s">
        <v>139</v>
      </c>
      <c r="AS57" s="217" t="s">
        <v>61</v>
      </c>
      <c r="AT57" s="217" t="s">
        <v>62</v>
      </c>
      <c r="AU57" s="217" t="s">
        <v>2182</v>
      </c>
      <c r="BC57" s="217" t="s">
        <v>85</v>
      </c>
      <c r="BD57" s="217" t="s">
        <v>88</v>
      </c>
      <c r="BE57" s="217" t="s">
        <v>915</v>
      </c>
      <c r="BF57" s="217" t="s">
        <v>107</v>
      </c>
      <c r="BG57" s="217" t="s">
        <v>1998</v>
      </c>
      <c r="BH57" s="217" t="s">
        <v>1658</v>
      </c>
      <c r="BI57" s="217" t="s">
        <v>1658</v>
      </c>
      <c r="BJ57" s="217" t="s">
        <v>1658</v>
      </c>
      <c r="BK57" s="217" t="s">
        <v>637</v>
      </c>
      <c r="BL57" s="217"/>
      <c r="BM57" s="217"/>
      <c r="BN57" s="217">
        <v>0</v>
      </c>
      <c r="BO57" s="218">
        <v>0</v>
      </c>
      <c r="BR57" s="217" t="s">
        <v>85</v>
      </c>
      <c r="BS57" s="217" t="s">
        <v>175</v>
      </c>
      <c r="BT57" s="217" t="s">
        <v>470</v>
      </c>
      <c r="BU57" s="217" t="s">
        <v>1311</v>
      </c>
      <c r="BV57" s="217">
        <v>418</v>
      </c>
      <c r="BW57" s="217">
        <v>2151</v>
      </c>
      <c r="BX57" s="217">
        <v>76</v>
      </c>
      <c r="BY57" s="217">
        <v>251</v>
      </c>
      <c r="BZ57" s="217">
        <v>0</v>
      </c>
      <c r="CA57" s="217">
        <v>0</v>
      </c>
      <c r="CB57" s="217">
        <v>418</v>
      </c>
      <c r="CC57" s="217">
        <v>2147</v>
      </c>
      <c r="CD57" s="217">
        <v>76</v>
      </c>
      <c r="CE57" s="217">
        <v>251</v>
      </c>
      <c r="CF57" s="217">
        <v>0</v>
      </c>
      <c r="CG57" s="218">
        <v>0</v>
      </c>
      <c r="CH57" s="218">
        <v>4</v>
      </c>
      <c r="CI57" s="218">
        <v>0</v>
      </c>
      <c r="CJ57" s="218">
        <v>0</v>
      </c>
    </row>
    <row r="58" spans="1:88" x14ac:dyDescent="0.25">
      <c r="A58" s="217" t="s">
        <v>22</v>
      </c>
      <c r="B58" s="217" t="s">
        <v>23</v>
      </c>
      <c r="C58" s="217" t="s">
        <v>85</v>
      </c>
      <c r="D58" s="217" t="s">
        <v>84</v>
      </c>
      <c r="E58" s="217" t="s">
        <v>88</v>
      </c>
      <c r="F58" s="217" t="s">
        <v>89</v>
      </c>
      <c r="G58" s="217" t="s">
        <v>96</v>
      </c>
      <c r="H58" s="217" t="s">
        <v>908</v>
      </c>
      <c r="I58" s="217" t="s">
        <v>29</v>
      </c>
      <c r="J58" s="217" t="s">
        <v>1854</v>
      </c>
      <c r="K58" s="217">
        <v>196</v>
      </c>
      <c r="L58" s="217">
        <v>1445</v>
      </c>
      <c r="M58" s="217" t="s">
        <v>99</v>
      </c>
      <c r="N58" s="217" t="s">
        <v>32</v>
      </c>
      <c r="O58" s="217" t="s">
        <v>100</v>
      </c>
      <c r="P58" s="217" t="s">
        <v>34</v>
      </c>
      <c r="Q58" s="217" t="s">
        <v>35</v>
      </c>
      <c r="R58" s="217" t="s">
        <v>23</v>
      </c>
      <c r="S58" s="217" t="s">
        <v>22</v>
      </c>
      <c r="T58" s="217" t="s">
        <v>84</v>
      </c>
      <c r="U58" s="217" t="s">
        <v>85</v>
      </c>
      <c r="V58" s="217" t="s">
        <v>89</v>
      </c>
      <c r="W58" s="217" t="s">
        <v>88</v>
      </c>
      <c r="AD58" s="217" t="s">
        <v>47</v>
      </c>
      <c r="AE58" s="217" t="s">
        <v>48</v>
      </c>
      <c r="AF58" s="217" t="s">
        <v>231</v>
      </c>
      <c r="AG58" s="217" t="s">
        <v>232</v>
      </c>
      <c r="AH58" s="217" t="s">
        <v>708</v>
      </c>
      <c r="AI58" s="217" t="s">
        <v>1856</v>
      </c>
      <c r="AJ58" s="217">
        <v>36</v>
      </c>
      <c r="AK58" s="217">
        <v>252</v>
      </c>
      <c r="AL58" s="217" t="s">
        <v>68</v>
      </c>
      <c r="AM58" s="217" t="s">
        <v>34</v>
      </c>
      <c r="AN58" s="217" t="s">
        <v>138</v>
      </c>
      <c r="AO58" s="217" t="s">
        <v>32</v>
      </c>
      <c r="AP58" s="217" t="s">
        <v>32</v>
      </c>
      <c r="AQ58" s="217" t="s">
        <v>139</v>
      </c>
      <c r="AR58" s="217" t="s">
        <v>139</v>
      </c>
      <c r="AS58" s="217" t="s">
        <v>61</v>
      </c>
      <c r="AT58" s="217" t="s">
        <v>62</v>
      </c>
      <c r="AU58" s="217" t="s">
        <v>2184</v>
      </c>
      <c r="BC58" s="217" t="s">
        <v>85</v>
      </c>
      <c r="BD58" s="217" t="s">
        <v>88</v>
      </c>
      <c r="BE58" s="217" t="s">
        <v>916</v>
      </c>
      <c r="BF58" s="217" t="s">
        <v>766</v>
      </c>
      <c r="BG58" s="217" t="s">
        <v>1998</v>
      </c>
      <c r="BH58" s="217" t="s">
        <v>1658</v>
      </c>
      <c r="BI58" s="217" t="s">
        <v>1660</v>
      </c>
      <c r="BJ58" s="217" t="s">
        <v>1660</v>
      </c>
      <c r="BK58" s="217" t="s">
        <v>637</v>
      </c>
      <c r="BL58" s="217"/>
      <c r="BM58" s="217"/>
      <c r="BN58" s="217">
        <v>0</v>
      </c>
      <c r="BO58" s="218">
        <v>0</v>
      </c>
      <c r="BR58" s="217" t="s">
        <v>85</v>
      </c>
      <c r="BS58" s="217" t="s">
        <v>175</v>
      </c>
      <c r="BT58" s="217" t="s">
        <v>1971</v>
      </c>
      <c r="BU58" s="217" t="s">
        <v>1972</v>
      </c>
      <c r="BV58" s="217">
        <v>0</v>
      </c>
      <c r="BW58" s="217">
        <v>0</v>
      </c>
      <c r="BX58" s="217">
        <v>4</v>
      </c>
      <c r="BY58" s="217">
        <v>25</v>
      </c>
      <c r="BZ58" s="217">
        <v>25</v>
      </c>
      <c r="CA58" s="217">
        <v>131</v>
      </c>
      <c r="CB58" s="217">
        <v>0</v>
      </c>
      <c r="CC58" s="217">
        <v>0</v>
      </c>
      <c r="CD58" s="217">
        <v>4</v>
      </c>
      <c r="CE58" s="217">
        <v>25</v>
      </c>
      <c r="CF58" s="217">
        <v>25</v>
      </c>
      <c r="CG58" s="218">
        <v>131</v>
      </c>
      <c r="CH58" s="218">
        <v>0</v>
      </c>
      <c r="CI58" s="218">
        <v>0</v>
      </c>
      <c r="CJ58" s="218">
        <v>0</v>
      </c>
    </row>
    <row r="59" spans="1:88" x14ac:dyDescent="0.25">
      <c r="A59" s="217" t="s">
        <v>22</v>
      </c>
      <c r="B59" s="217" t="s">
        <v>23</v>
      </c>
      <c r="C59" s="217" t="s">
        <v>85</v>
      </c>
      <c r="D59" s="217" t="s">
        <v>84</v>
      </c>
      <c r="E59" s="217" t="s">
        <v>88</v>
      </c>
      <c r="F59" s="217" t="s">
        <v>89</v>
      </c>
      <c r="G59" s="217" t="s">
        <v>96</v>
      </c>
      <c r="H59" s="217" t="s">
        <v>908</v>
      </c>
      <c r="I59" s="217" t="s">
        <v>29</v>
      </c>
      <c r="J59" s="217" t="s">
        <v>1856</v>
      </c>
      <c r="K59" s="217">
        <v>17</v>
      </c>
      <c r="L59" s="217">
        <v>90</v>
      </c>
      <c r="M59" s="217" t="s">
        <v>31</v>
      </c>
      <c r="N59" s="217" t="s">
        <v>32</v>
      </c>
      <c r="O59" s="217" t="s">
        <v>68</v>
      </c>
      <c r="P59" s="217" t="s">
        <v>34</v>
      </c>
      <c r="Q59" s="217" t="s">
        <v>35</v>
      </c>
      <c r="R59" s="217" t="s">
        <v>23</v>
      </c>
      <c r="S59" s="217" t="s">
        <v>22</v>
      </c>
      <c r="T59" s="217" t="s">
        <v>84</v>
      </c>
      <c r="U59" s="217" t="s">
        <v>85</v>
      </c>
      <c r="V59" s="217" t="s">
        <v>97</v>
      </c>
      <c r="W59" s="217" t="s">
        <v>98</v>
      </c>
      <c r="AD59" s="217" t="s">
        <v>47</v>
      </c>
      <c r="AE59" s="217" t="s">
        <v>48</v>
      </c>
      <c r="AF59" s="217" t="s">
        <v>231</v>
      </c>
      <c r="AG59" s="217" t="s">
        <v>232</v>
      </c>
      <c r="AH59" s="217" t="s">
        <v>706</v>
      </c>
      <c r="AI59" s="217" t="s">
        <v>1856</v>
      </c>
      <c r="AJ59" s="217">
        <v>20</v>
      </c>
      <c r="AK59" s="217">
        <v>107</v>
      </c>
      <c r="AL59" s="217" t="s">
        <v>33</v>
      </c>
      <c r="AM59" s="217" t="s">
        <v>34</v>
      </c>
      <c r="AN59" s="217" t="s">
        <v>138</v>
      </c>
      <c r="AO59" s="217" t="s">
        <v>32</v>
      </c>
      <c r="AP59" s="217" t="s">
        <v>32</v>
      </c>
      <c r="AQ59" s="217" t="s">
        <v>47</v>
      </c>
      <c r="AR59" s="217" t="s">
        <v>48</v>
      </c>
      <c r="AS59" s="217" t="s">
        <v>139</v>
      </c>
      <c r="AT59" s="217" t="s">
        <v>139</v>
      </c>
      <c r="AU59" s="217" t="s">
        <v>2185</v>
      </c>
      <c r="BC59" s="217" t="s">
        <v>85</v>
      </c>
      <c r="BD59" s="217" t="s">
        <v>88</v>
      </c>
      <c r="BE59" s="217" t="s">
        <v>1558</v>
      </c>
      <c r="BF59" s="217" t="s">
        <v>669</v>
      </c>
      <c r="BG59" s="217" t="s">
        <v>1998</v>
      </c>
      <c r="BH59" s="217" t="s">
        <v>1658</v>
      </c>
      <c r="BI59" s="217" t="s">
        <v>1660</v>
      </c>
      <c r="BJ59" s="217" t="s">
        <v>1658</v>
      </c>
      <c r="BK59" s="217" t="s">
        <v>637</v>
      </c>
      <c r="BL59" s="217"/>
      <c r="BM59" s="217"/>
      <c r="BN59" s="217">
        <v>0</v>
      </c>
      <c r="BO59" s="218">
        <v>0</v>
      </c>
      <c r="BR59" s="217" t="s">
        <v>85</v>
      </c>
      <c r="BS59" s="217" t="s">
        <v>175</v>
      </c>
      <c r="BT59" s="217" t="s">
        <v>463</v>
      </c>
      <c r="BU59" s="217" t="s">
        <v>1302</v>
      </c>
      <c r="BV59" s="217">
        <v>37</v>
      </c>
      <c r="BW59" s="217">
        <v>310</v>
      </c>
      <c r="BX59" s="217">
        <v>56</v>
      </c>
      <c r="BY59" s="217">
        <v>276</v>
      </c>
      <c r="BZ59" s="217">
        <v>0</v>
      </c>
      <c r="CA59" s="217">
        <v>0</v>
      </c>
      <c r="CB59" s="217">
        <v>0</v>
      </c>
      <c r="CC59" s="217">
        <v>0</v>
      </c>
      <c r="CD59" s="217">
        <v>23</v>
      </c>
      <c r="CE59" s="217">
        <v>96</v>
      </c>
      <c r="CF59" s="217">
        <v>0</v>
      </c>
      <c r="CG59" s="218">
        <v>0</v>
      </c>
      <c r="CH59" s="218">
        <v>310</v>
      </c>
      <c r="CI59" s="218">
        <v>180</v>
      </c>
      <c r="CJ59" s="218">
        <v>0</v>
      </c>
    </row>
    <row r="60" spans="1:88" x14ac:dyDescent="0.25">
      <c r="A60" s="217" t="s">
        <v>22</v>
      </c>
      <c r="B60" s="217" t="s">
        <v>23</v>
      </c>
      <c r="C60" s="217" t="s">
        <v>85</v>
      </c>
      <c r="D60" s="217" t="s">
        <v>84</v>
      </c>
      <c r="E60" s="217" t="s">
        <v>88</v>
      </c>
      <c r="F60" s="217" t="s">
        <v>89</v>
      </c>
      <c r="G60" s="217" t="s">
        <v>96</v>
      </c>
      <c r="H60" s="217" t="s">
        <v>908</v>
      </c>
      <c r="I60" s="217" t="s">
        <v>29</v>
      </c>
      <c r="J60" s="217" t="s">
        <v>1857</v>
      </c>
      <c r="K60" s="217">
        <v>49</v>
      </c>
      <c r="L60" s="217">
        <v>363</v>
      </c>
      <c r="M60" s="217" t="s">
        <v>99</v>
      </c>
      <c r="N60" s="217" t="s">
        <v>32</v>
      </c>
      <c r="O60" s="217" t="s">
        <v>100</v>
      </c>
      <c r="P60" s="217" t="s">
        <v>34</v>
      </c>
      <c r="Q60" s="217" t="s">
        <v>35</v>
      </c>
      <c r="R60" s="217" t="s">
        <v>23</v>
      </c>
      <c r="S60" s="217" t="s">
        <v>22</v>
      </c>
      <c r="T60" s="217" t="s">
        <v>84</v>
      </c>
      <c r="U60" s="217" t="s">
        <v>85</v>
      </c>
      <c r="V60" s="217" t="s">
        <v>89</v>
      </c>
      <c r="W60" s="217" t="s">
        <v>88</v>
      </c>
      <c r="AD60" s="217" t="s">
        <v>47</v>
      </c>
      <c r="AE60" s="217" t="s">
        <v>48</v>
      </c>
      <c r="AF60" s="217" t="s">
        <v>231</v>
      </c>
      <c r="AG60" s="217" t="s">
        <v>232</v>
      </c>
      <c r="AH60" s="217" t="s">
        <v>834</v>
      </c>
      <c r="AI60" s="217" t="s">
        <v>1856</v>
      </c>
      <c r="AJ60" s="217">
        <v>13</v>
      </c>
      <c r="AK60" s="217">
        <v>114</v>
      </c>
      <c r="AL60" s="217" t="s">
        <v>154</v>
      </c>
      <c r="AM60" s="217" t="s">
        <v>34</v>
      </c>
      <c r="AN60" s="217" t="s">
        <v>138</v>
      </c>
      <c r="AO60" s="217" t="s">
        <v>2065</v>
      </c>
      <c r="AP60" s="217" t="s">
        <v>2066</v>
      </c>
      <c r="AQ60" s="217" t="s">
        <v>139</v>
      </c>
      <c r="AR60" s="217" t="s">
        <v>139</v>
      </c>
      <c r="AS60" s="217" t="s">
        <v>139</v>
      </c>
      <c r="AT60" s="217" t="s">
        <v>139</v>
      </c>
      <c r="AU60" s="217" t="s">
        <v>2186</v>
      </c>
      <c r="BC60" s="217" t="s">
        <v>85</v>
      </c>
      <c r="BD60" s="217" t="s">
        <v>88</v>
      </c>
      <c r="BE60" s="217" t="s">
        <v>1498</v>
      </c>
      <c r="BF60" s="217" t="s">
        <v>621</v>
      </c>
      <c r="BG60" s="217" t="s">
        <v>1998</v>
      </c>
      <c r="BH60" s="217" t="s">
        <v>1660</v>
      </c>
      <c r="BI60" s="217" t="s">
        <v>1660</v>
      </c>
      <c r="BJ60" s="217" t="s">
        <v>1660</v>
      </c>
      <c r="BK60" s="217" t="s">
        <v>637</v>
      </c>
      <c r="BL60" s="217"/>
      <c r="BM60" s="217"/>
      <c r="BN60" s="217">
        <v>0</v>
      </c>
      <c r="BO60" s="218">
        <v>0</v>
      </c>
      <c r="BR60" s="217" t="s">
        <v>85</v>
      </c>
      <c r="BS60" s="217" t="s">
        <v>175</v>
      </c>
      <c r="BT60" s="217" t="s">
        <v>829</v>
      </c>
      <c r="BU60" s="217" t="s">
        <v>1663</v>
      </c>
      <c r="BV60" s="217">
        <v>0</v>
      </c>
      <c r="BW60" s="217">
        <v>0</v>
      </c>
      <c r="BX60" s="217">
        <v>0</v>
      </c>
      <c r="BY60" s="217">
        <v>0</v>
      </c>
      <c r="BZ60" s="217">
        <v>0</v>
      </c>
      <c r="CA60" s="217">
        <v>0</v>
      </c>
      <c r="CB60" s="217">
        <v>0</v>
      </c>
      <c r="CC60" s="217">
        <v>0</v>
      </c>
      <c r="CD60" s="217">
        <v>0</v>
      </c>
      <c r="CE60" s="217">
        <v>0</v>
      </c>
      <c r="CF60" s="217">
        <v>0</v>
      </c>
      <c r="CG60" s="218">
        <v>0</v>
      </c>
      <c r="CH60" s="218">
        <v>0</v>
      </c>
      <c r="CI60" s="218">
        <v>0</v>
      </c>
      <c r="CJ60" s="218">
        <v>0</v>
      </c>
    </row>
    <row r="61" spans="1:88" x14ac:dyDescent="0.25">
      <c r="A61" s="217" t="s">
        <v>22</v>
      </c>
      <c r="B61" s="217" t="s">
        <v>23</v>
      </c>
      <c r="C61" s="217" t="s">
        <v>85</v>
      </c>
      <c r="D61" s="217" t="s">
        <v>84</v>
      </c>
      <c r="E61" s="217" t="s">
        <v>88</v>
      </c>
      <c r="F61" s="217" t="s">
        <v>89</v>
      </c>
      <c r="G61" s="217" t="s">
        <v>96</v>
      </c>
      <c r="H61" s="217" t="s">
        <v>908</v>
      </c>
      <c r="I61" s="217" t="s">
        <v>29</v>
      </c>
      <c r="J61" s="217" t="s">
        <v>1858</v>
      </c>
      <c r="K61" s="217">
        <v>26</v>
      </c>
      <c r="L61" s="217">
        <v>139</v>
      </c>
      <c r="M61" s="217" t="s">
        <v>99</v>
      </c>
      <c r="N61" s="217" t="s">
        <v>32</v>
      </c>
      <c r="O61" s="217" t="s">
        <v>100</v>
      </c>
      <c r="P61" s="217" t="s">
        <v>34</v>
      </c>
      <c r="Q61" s="217" t="s">
        <v>35</v>
      </c>
      <c r="R61" s="217" t="s">
        <v>23</v>
      </c>
      <c r="S61" s="217" t="s">
        <v>22</v>
      </c>
      <c r="T61" s="217" t="s">
        <v>84</v>
      </c>
      <c r="U61" s="217" t="s">
        <v>85</v>
      </c>
      <c r="V61" s="217" t="s">
        <v>89</v>
      </c>
      <c r="W61" s="217" t="s">
        <v>88</v>
      </c>
      <c r="AD61" s="217" t="s">
        <v>47</v>
      </c>
      <c r="AE61" s="217" t="s">
        <v>48</v>
      </c>
      <c r="AF61" s="217" t="s">
        <v>231</v>
      </c>
      <c r="AG61" s="217" t="s">
        <v>232</v>
      </c>
      <c r="AH61" s="217" t="s">
        <v>1360</v>
      </c>
      <c r="AI61" s="217" t="s">
        <v>1855</v>
      </c>
      <c r="AJ61" s="217">
        <v>450</v>
      </c>
      <c r="AK61" s="217">
        <v>3600</v>
      </c>
      <c r="AL61" s="217" t="s">
        <v>68</v>
      </c>
      <c r="AM61" s="217" t="s">
        <v>34</v>
      </c>
      <c r="AN61" s="217" t="s">
        <v>138</v>
      </c>
      <c r="AO61" s="217" t="s">
        <v>32</v>
      </c>
      <c r="AP61" s="217" t="s">
        <v>32</v>
      </c>
      <c r="AQ61" s="217" t="s">
        <v>139</v>
      </c>
      <c r="AR61" s="217" t="s">
        <v>139</v>
      </c>
      <c r="AS61" s="217" t="s">
        <v>61</v>
      </c>
      <c r="AT61" s="217" t="s">
        <v>62</v>
      </c>
      <c r="AU61" s="217" t="s">
        <v>62</v>
      </c>
      <c r="BC61" s="217" t="s">
        <v>85</v>
      </c>
      <c r="BD61" s="217" t="s">
        <v>88</v>
      </c>
      <c r="BE61" s="217" t="s">
        <v>1808</v>
      </c>
      <c r="BF61" s="217" t="s">
        <v>1809</v>
      </c>
      <c r="BG61" s="217" t="s">
        <v>1998</v>
      </c>
      <c r="BH61" s="217" t="s">
        <v>1658</v>
      </c>
      <c r="BI61" s="217" t="s">
        <v>1660</v>
      </c>
      <c r="BJ61" s="217" t="s">
        <v>1658</v>
      </c>
      <c r="BK61" s="217" t="s">
        <v>637</v>
      </c>
      <c r="BL61" s="217"/>
      <c r="BM61" s="217"/>
      <c r="BN61" s="217">
        <v>0</v>
      </c>
      <c r="BO61" s="218">
        <v>0</v>
      </c>
      <c r="BR61" s="217" t="s">
        <v>85</v>
      </c>
      <c r="BS61" s="217" t="s">
        <v>175</v>
      </c>
      <c r="BT61" s="217" t="s">
        <v>177</v>
      </c>
      <c r="BU61" s="217" t="s">
        <v>1526</v>
      </c>
      <c r="BV61" s="217">
        <v>0</v>
      </c>
      <c r="BW61" s="217">
        <v>0</v>
      </c>
      <c r="BX61" s="217">
        <v>6</v>
      </c>
      <c r="BY61" s="217">
        <v>20</v>
      </c>
      <c r="BZ61" s="217">
        <v>62</v>
      </c>
      <c r="CA61" s="217">
        <v>350</v>
      </c>
      <c r="CB61" s="217">
        <v>0</v>
      </c>
      <c r="CC61" s="217">
        <v>0</v>
      </c>
      <c r="CD61" s="217">
        <v>6</v>
      </c>
      <c r="CE61" s="217">
        <v>20</v>
      </c>
      <c r="CF61" s="217">
        <v>62</v>
      </c>
      <c r="CG61" s="218">
        <v>350</v>
      </c>
      <c r="CH61" s="218">
        <v>0</v>
      </c>
      <c r="CI61" s="218">
        <v>0</v>
      </c>
      <c r="CJ61" s="218">
        <v>0</v>
      </c>
    </row>
    <row r="62" spans="1:88" x14ac:dyDescent="0.25">
      <c r="A62" s="217" t="s">
        <v>22</v>
      </c>
      <c r="B62" s="217" t="s">
        <v>23</v>
      </c>
      <c r="C62" s="217" t="s">
        <v>85</v>
      </c>
      <c r="D62" s="217" t="s">
        <v>84</v>
      </c>
      <c r="E62" s="217" t="s">
        <v>88</v>
      </c>
      <c r="F62" s="217" t="s">
        <v>89</v>
      </c>
      <c r="G62" s="217" t="s">
        <v>96</v>
      </c>
      <c r="H62" s="217" t="s">
        <v>908</v>
      </c>
      <c r="I62" s="217" t="s">
        <v>29</v>
      </c>
      <c r="J62" s="217" t="s">
        <v>1859</v>
      </c>
      <c r="K62" s="217">
        <v>28</v>
      </c>
      <c r="L62" s="217">
        <v>154</v>
      </c>
      <c r="M62" s="217" t="s">
        <v>99</v>
      </c>
      <c r="N62" s="217" t="s">
        <v>32</v>
      </c>
      <c r="O62" s="217" t="s">
        <v>100</v>
      </c>
      <c r="P62" s="217" t="s">
        <v>34</v>
      </c>
      <c r="Q62" s="217" t="s">
        <v>35</v>
      </c>
      <c r="R62" s="217" t="s">
        <v>23</v>
      </c>
      <c r="S62" s="217" t="s">
        <v>22</v>
      </c>
      <c r="T62" s="217" t="s">
        <v>84</v>
      </c>
      <c r="U62" s="217" t="s">
        <v>85</v>
      </c>
      <c r="V62" s="217" t="s">
        <v>89</v>
      </c>
      <c r="W62" s="217" t="s">
        <v>88</v>
      </c>
      <c r="AD62" s="217" t="s">
        <v>47</v>
      </c>
      <c r="AE62" s="217" t="s">
        <v>48</v>
      </c>
      <c r="AF62" s="217" t="s">
        <v>231</v>
      </c>
      <c r="AG62" s="217" t="s">
        <v>232</v>
      </c>
      <c r="AH62" s="217" t="s">
        <v>1360</v>
      </c>
      <c r="AI62" s="217" t="s">
        <v>1856</v>
      </c>
      <c r="AJ62" s="217">
        <v>75</v>
      </c>
      <c r="AK62" s="217">
        <v>600</v>
      </c>
      <c r="AL62" s="217" t="s">
        <v>68</v>
      </c>
      <c r="AM62" s="217" t="s">
        <v>34</v>
      </c>
      <c r="AN62" s="217" t="s">
        <v>138</v>
      </c>
      <c r="AO62" s="217" t="s">
        <v>32</v>
      </c>
      <c r="AP62" s="217" t="s">
        <v>32</v>
      </c>
      <c r="AQ62" s="217" t="s">
        <v>139</v>
      </c>
      <c r="AR62" s="217" t="s">
        <v>139</v>
      </c>
      <c r="AS62" s="217" t="s">
        <v>61</v>
      </c>
      <c r="AT62" s="217" t="s">
        <v>62</v>
      </c>
      <c r="AU62" s="217" t="s">
        <v>62</v>
      </c>
      <c r="BC62" s="217" t="s">
        <v>85</v>
      </c>
      <c r="BD62" s="217" t="s">
        <v>88</v>
      </c>
      <c r="BE62" s="217" t="s">
        <v>917</v>
      </c>
      <c r="BF62" s="217" t="s">
        <v>108</v>
      </c>
      <c r="BG62" s="217" t="s">
        <v>1998</v>
      </c>
      <c r="BH62" s="217" t="s">
        <v>1658</v>
      </c>
      <c r="BI62" s="217" t="s">
        <v>1660</v>
      </c>
      <c r="BJ62" s="217" t="s">
        <v>1658</v>
      </c>
      <c r="BK62" s="217" t="s">
        <v>637</v>
      </c>
      <c r="BL62" s="217"/>
      <c r="BM62" s="217"/>
      <c r="BN62" s="217">
        <v>0</v>
      </c>
      <c r="BO62" s="218">
        <v>0</v>
      </c>
      <c r="BR62" s="217" t="s">
        <v>85</v>
      </c>
      <c r="BS62" s="217" t="s">
        <v>175</v>
      </c>
      <c r="BT62" s="217" t="s">
        <v>635</v>
      </c>
      <c r="BU62" s="217" t="s">
        <v>1530</v>
      </c>
      <c r="BV62" s="217">
        <v>0</v>
      </c>
      <c r="BW62" s="217">
        <v>0</v>
      </c>
      <c r="BX62" s="217">
        <v>49</v>
      </c>
      <c r="BY62" s="217">
        <v>209</v>
      </c>
      <c r="BZ62" s="217">
        <v>101</v>
      </c>
      <c r="CA62" s="217">
        <v>513</v>
      </c>
      <c r="CB62" s="217">
        <v>0</v>
      </c>
      <c r="CC62" s="217">
        <v>0</v>
      </c>
      <c r="CD62" s="217">
        <v>49</v>
      </c>
      <c r="CE62" s="217">
        <v>209</v>
      </c>
      <c r="CF62" s="217">
        <v>101</v>
      </c>
      <c r="CG62" s="218">
        <v>513</v>
      </c>
      <c r="CH62" s="218">
        <v>0</v>
      </c>
      <c r="CI62" s="218">
        <v>0</v>
      </c>
      <c r="CJ62" s="218">
        <v>0</v>
      </c>
    </row>
    <row r="63" spans="1:88" x14ac:dyDescent="0.25">
      <c r="A63" s="217" t="s">
        <v>22</v>
      </c>
      <c r="B63" s="217" t="s">
        <v>23</v>
      </c>
      <c r="C63" s="217" t="s">
        <v>85</v>
      </c>
      <c r="D63" s="217" t="s">
        <v>84</v>
      </c>
      <c r="E63" s="217" t="s">
        <v>88</v>
      </c>
      <c r="F63" s="217" t="s">
        <v>89</v>
      </c>
      <c r="G63" s="217" t="s">
        <v>101</v>
      </c>
      <c r="H63" s="217" t="s">
        <v>909</v>
      </c>
      <c r="I63" s="217" t="s">
        <v>29</v>
      </c>
      <c r="J63" s="217" t="s">
        <v>1856</v>
      </c>
      <c r="K63" s="217">
        <v>3</v>
      </c>
      <c r="L63" s="217">
        <v>20</v>
      </c>
      <c r="M63" s="217" t="s">
        <v>31</v>
      </c>
      <c r="N63" s="217" t="s">
        <v>32</v>
      </c>
      <c r="O63" s="217" t="s">
        <v>68</v>
      </c>
      <c r="P63" s="217" t="s">
        <v>34</v>
      </c>
      <c r="Q63" s="217" t="s">
        <v>35</v>
      </c>
      <c r="R63" s="217" t="s">
        <v>23</v>
      </c>
      <c r="S63" s="217" t="s">
        <v>22</v>
      </c>
      <c r="T63" s="217" t="s">
        <v>84</v>
      </c>
      <c r="U63" s="217" t="s">
        <v>85</v>
      </c>
      <c r="V63" s="217" t="s">
        <v>91</v>
      </c>
      <c r="W63" s="217" t="s">
        <v>92</v>
      </c>
      <c r="AD63" s="217" t="s">
        <v>47</v>
      </c>
      <c r="AE63" s="217" t="s">
        <v>48</v>
      </c>
      <c r="AF63" s="217" t="s">
        <v>231</v>
      </c>
      <c r="AG63" s="217" t="s">
        <v>232</v>
      </c>
      <c r="AH63" s="217" t="s">
        <v>1360</v>
      </c>
      <c r="AI63" s="217" t="s">
        <v>1857</v>
      </c>
      <c r="AJ63" s="217">
        <v>36</v>
      </c>
      <c r="AK63" s="217">
        <v>288</v>
      </c>
      <c r="AL63" s="217" t="s">
        <v>68</v>
      </c>
      <c r="AM63" s="217" t="s">
        <v>34</v>
      </c>
      <c r="AN63" s="217" t="s">
        <v>138</v>
      </c>
      <c r="AO63" s="217" t="s">
        <v>32</v>
      </c>
      <c r="AP63" s="217" t="s">
        <v>32</v>
      </c>
      <c r="AQ63" s="217" t="s">
        <v>139</v>
      </c>
      <c r="AR63" s="217" t="s">
        <v>139</v>
      </c>
      <c r="AS63" s="217" t="s">
        <v>61</v>
      </c>
      <c r="AT63" s="217" t="s">
        <v>62</v>
      </c>
      <c r="AU63" s="217" t="s">
        <v>62</v>
      </c>
      <c r="BC63" s="217" t="s">
        <v>85</v>
      </c>
      <c r="BD63" s="217" t="s">
        <v>88</v>
      </c>
      <c r="BE63" s="217" t="s">
        <v>918</v>
      </c>
      <c r="BF63" s="217" t="s">
        <v>767</v>
      </c>
      <c r="BG63" s="217" t="s">
        <v>1998</v>
      </c>
      <c r="BH63" s="217" t="s">
        <v>1658</v>
      </c>
      <c r="BI63" s="217" t="s">
        <v>1658</v>
      </c>
      <c r="BJ63" s="217" t="s">
        <v>1660</v>
      </c>
      <c r="BK63" s="217" t="s">
        <v>637</v>
      </c>
      <c r="BL63" s="217"/>
      <c r="BM63" s="217"/>
      <c r="BN63" s="217">
        <v>0</v>
      </c>
      <c r="BO63" s="218">
        <v>0</v>
      </c>
      <c r="BR63" s="217" t="s">
        <v>85</v>
      </c>
      <c r="BS63" s="217" t="s">
        <v>175</v>
      </c>
      <c r="BT63" s="217" t="s">
        <v>832</v>
      </c>
      <c r="BU63" s="217" t="s">
        <v>1528</v>
      </c>
      <c r="BV63" s="217">
        <v>0</v>
      </c>
      <c r="BW63" s="217">
        <v>0</v>
      </c>
      <c r="BX63" s="217">
        <v>27</v>
      </c>
      <c r="BY63" s="217">
        <v>159</v>
      </c>
      <c r="BZ63" s="217">
        <v>0</v>
      </c>
      <c r="CA63" s="217">
        <v>0</v>
      </c>
      <c r="CB63" s="217">
        <v>0</v>
      </c>
      <c r="CC63" s="217">
        <v>0</v>
      </c>
      <c r="CD63" s="217">
        <v>27</v>
      </c>
      <c r="CE63" s="217">
        <v>159</v>
      </c>
      <c r="CF63" s="217">
        <v>0</v>
      </c>
      <c r="CG63" s="218">
        <v>0</v>
      </c>
      <c r="CH63" s="218">
        <v>0</v>
      </c>
      <c r="CI63" s="218">
        <v>0</v>
      </c>
      <c r="CJ63" s="218">
        <v>0</v>
      </c>
    </row>
    <row r="64" spans="1:88" x14ac:dyDescent="0.25">
      <c r="A64" s="217" t="s">
        <v>22</v>
      </c>
      <c r="B64" s="217" t="s">
        <v>23</v>
      </c>
      <c r="C64" s="217" t="s">
        <v>85</v>
      </c>
      <c r="D64" s="217" t="s">
        <v>84</v>
      </c>
      <c r="E64" s="217" t="s">
        <v>88</v>
      </c>
      <c r="F64" s="217" t="s">
        <v>89</v>
      </c>
      <c r="G64" s="217" t="s">
        <v>101</v>
      </c>
      <c r="H64" s="217" t="s">
        <v>909</v>
      </c>
      <c r="I64" s="217" t="s">
        <v>29</v>
      </c>
      <c r="J64" s="217" t="s">
        <v>1857</v>
      </c>
      <c r="K64" s="217">
        <v>4</v>
      </c>
      <c r="L64" s="217">
        <v>22</v>
      </c>
      <c r="M64" s="217" t="s">
        <v>31</v>
      </c>
      <c r="N64" s="217" t="s">
        <v>32</v>
      </c>
      <c r="O64" s="217" t="s">
        <v>68</v>
      </c>
      <c r="P64" s="217" t="s">
        <v>34</v>
      </c>
      <c r="Q64" s="217" t="s">
        <v>35</v>
      </c>
      <c r="R64" s="217" t="s">
        <v>23</v>
      </c>
      <c r="S64" s="217" t="s">
        <v>22</v>
      </c>
      <c r="T64" s="217" t="s">
        <v>84</v>
      </c>
      <c r="U64" s="217" t="s">
        <v>85</v>
      </c>
      <c r="V64" s="217" t="s">
        <v>91</v>
      </c>
      <c r="W64" s="217" t="s">
        <v>92</v>
      </c>
      <c r="AD64" s="217" t="s">
        <v>47</v>
      </c>
      <c r="AE64" s="217" t="s">
        <v>48</v>
      </c>
      <c r="AF64" s="217" t="s">
        <v>231</v>
      </c>
      <c r="AG64" s="217" t="s">
        <v>232</v>
      </c>
      <c r="AH64" s="217" t="s">
        <v>1360</v>
      </c>
      <c r="AI64" s="217" t="s">
        <v>1858</v>
      </c>
      <c r="AJ64" s="217">
        <v>1</v>
      </c>
      <c r="AK64" s="217">
        <v>8</v>
      </c>
      <c r="AL64" s="217" t="s">
        <v>68</v>
      </c>
      <c r="AM64" s="217" t="s">
        <v>34</v>
      </c>
      <c r="AN64" s="217" t="s">
        <v>138</v>
      </c>
      <c r="AO64" s="217" t="s">
        <v>32</v>
      </c>
      <c r="AP64" s="217" t="s">
        <v>32</v>
      </c>
      <c r="AQ64" s="217" t="s">
        <v>139</v>
      </c>
      <c r="AR64" s="217" t="s">
        <v>139</v>
      </c>
      <c r="AS64" s="217" t="s">
        <v>61</v>
      </c>
      <c r="AT64" s="217" t="s">
        <v>62</v>
      </c>
      <c r="AU64" s="217" t="s">
        <v>62</v>
      </c>
      <c r="BC64" s="217" t="s">
        <v>85</v>
      </c>
      <c r="BD64" s="217" t="s">
        <v>88</v>
      </c>
      <c r="BE64" s="217" t="s">
        <v>919</v>
      </c>
      <c r="BF64" s="217" t="s">
        <v>111</v>
      </c>
      <c r="BG64" s="217" t="s">
        <v>1998</v>
      </c>
      <c r="BH64" s="217" t="s">
        <v>1658</v>
      </c>
      <c r="BI64" s="217" t="s">
        <v>1658</v>
      </c>
      <c r="BJ64" s="217" t="s">
        <v>1660</v>
      </c>
      <c r="BK64" s="217" t="s">
        <v>637</v>
      </c>
      <c r="BL64" s="217"/>
      <c r="BM64" s="217"/>
      <c r="BN64" s="217">
        <v>0</v>
      </c>
      <c r="BO64" s="218">
        <v>0</v>
      </c>
      <c r="BR64" s="217" t="s">
        <v>85</v>
      </c>
      <c r="BS64" s="217" t="s">
        <v>175</v>
      </c>
      <c r="BT64" s="217" t="s">
        <v>831</v>
      </c>
      <c r="BU64" s="217" t="s">
        <v>1529</v>
      </c>
      <c r="BV64" s="217">
        <v>0</v>
      </c>
      <c r="BW64" s="217">
        <v>0</v>
      </c>
      <c r="BX64" s="217">
        <v>40</v>
      </c>
      <c r="BY64" s="217">
        <v>260</v>
      </c>
      <c r="BZ64" s="217">
        <v>0</v>
      </c>
      <c r="CA64" s="217">
        <v>0</v>
      </c>
      <c r="CB64" s="217">
        <v>0</v>
      </c>
      <c r="CC64" s="217">
        <v>0</v>
      </c>
      <c r="CD64" s="217">
        <v>40</v>
      </c>
      <c r="CE64" s="217">
        <v>260</v>
      </c>
      <c r="CF64" s="217">
        <v>0</v>
      </c>
      <c r="CG64" s="218">
        <v>0</v>
      </c>
      <c r="CH64" s="218">
        <v>0</v>
      </c>
      <c r="CI64" s="218">
        <v>0</v>
      </c>
      <c r="CJ64" s="218">
        <v>0</v>
      </c>
    </row>
    <row r="65" spans="1:88" x14ac:dyDescent="0.25">
      <c r="A65" s="217" t="s">
        <v>22</v>
      </c>
      <c r="B65" s="217" t="s">
        <v>23</v>
      </c>
      <c r="C65" s="217" t="s">
        <v>85</v>
      </c>
      <c r="D65" s="217" t="s">
        <v>84</v>
      </c>
      <c r="E65" s="217" t="s">
        <v>88</v>
      </c>
      <c r="F65" s="217" t="s">
        <v>89</v>
      </c>
      <c r="G65" s="217" t="s">
        <v>102</v>
      </c>
      <c r="H65" s="217" t="s">
        <v>910</v>
      </c>
      <c r="I65" s="217" t="s">
        <v>29</v>
      </c>
      <c r="J65" s="217" t="s">
        <v>1856</v>
      </c>
      <c r="K65" s="217">
        <v>7</v>
      </c>
      <c r="L65" s="217">
        <v>68</v>
      </c>
      <c r="M65" s="217" t="s">
        <v>31</v>
      </c>
      <c r="N65" s="217" t="s">
        <v>32</v>
      </c>
      <c r="O65" s="217" t="s">
        <v>68</v>
      </c>
      <c r="P65" s="217" t="s">
        <v>34</v>
      </c>
      <c r="Q65" s="217" t="s">
        <v>35</v>
      </c>
      <c r="R65" s="217" t="s">
        <v>23</v>
      </c>
      <c r="S65" s="217" t="s">
        <v>22</v>
      </c>
      <c r="T65" s="217" t="s">
        <v>84</v>
      </c>
      <c r="U65" s="217" t="s">
        <v>85</v>
      </c>
      <c r="V65" s="217" t="s">
        <v>91</v>
      </c>
      <c r="W65" s="217" t="s">
        <v>92</v>
      </c>
      <c r="AD65" s="217" t="s">
        <v>47</v>
      </c>
      <c r="AE65" s="217" t="s">
        <v>48</v>
      </c>
      <c r="AF65" s="217" t="s">
        <v>231</v>
      </c>
      <c r="AG65" s="217" t="s">
        <v>232</v>
      </c>
      <c r="AH65" s="217" t="s">
        <v>234</v>
      </c>
      <c r="AI65" s="217" t="s">
        <v>1855</v>
      </c>
      <c r="AJ65" s="217">
        <v>44</v>
      </c>
      <c r="AK65" s="217">
        <v>165</v>
      </c>
      <c r="AL65" s="217" t="s">
        <v>154</v>
      </c>
      <c r="AM65" s="217" t="s">
        <v>34</v>
      </c>
      <c r="AN65" s="217" t="s">
        <v>138</v>
      </c>
      <c r="AO65" s="217" t="s">
        <v>2065</v>
      </c>
      <c r="AP65" s="217" t="s">
        <v>2066</v>
      </c>
      <c r="AQ65" s="217" t="s">
        <v>139</v>
      </c>
      <c r="AR65" s="217" t="s">
        <v>139</v>
      </c>
      <c r="AS65" s="217" t="s">
        <v>139</v>
      </c>
      <c r="AT65" s="217" t="s">
        <v>139</v>
      </c>
      <c r="AU65" s="217" t="s">
        <v>32</v>
      </c>
      <c r="BC65" s="217" t="s">
        <v>85</v>
      </c>
      <c r="BD65" s="217" t="s">
        <v>95</v>
      </c>
      <c r="BE65" s="217" t="s">
        <v>920</v>
      </c>
      <c r="BF65" s="217" t="s">
        <v>112</v>
      </c>
      <c r="BG65" s="217" t="s">
        <v>1998</v>
      </c>
      <c r="BH65" s="217" t="s">
        <v>1658</v>
      </c>
      <c r="BI65" s="217" t="s">
        <v>1660</v>
      </c>
      <c r="BJ65" s="217" t="s">
        <v>1660</v>
      </c>
      <c r="BK65" s="217" t="s">
        <v>637</v>
      </c>
      <c r="BL65" s="217"/>
      <c r="BM65" s="217"/>
      <c r="BN65" s="217">
        <v>0</v>
      </c>
      <c r="BO65" s="218">
        <v>0</v>
      </c>
      <c r="BR65" s="217" t="s">
        <v>85</v>
      </c>
      <c r="BS65" s="217" t="s">
        <v>175</v>
      </c>
      <c r="BT65" s="217" t="s">
        <v>420</v>
      </c>
      <c r="BU65" s="217" t="s">
        <v>1305</v>
      </c>
      <c r="BV65" s="217">
        <v>0</v>
      </c>
      <c r="BW65" s="217">
        <v>0</v>
      </c>
      <c r="BX65" s="217">
        <v>0</v>
      </c>
      <c r="BY65" s="217">
        <v>0</v>
      </c>
      <c r="BZ65" s="217">
        <v>0</v>
      </c>
      <c r="CA65" s="217">
        <v>0</v>
      </c>
      <c r="CB65" s="217">
        <v>13</v>
      </c>
      <c r="CC65" s="217">
        <v>46</v>
      </c>
      <c r="CD65" s="217">
        <v>17</v>
      </c>
      <c r="CE65" s="217">
        <v>83</v>
      </c>
      <c r="CF65" s="217">
        <v>45</v>
      </c>
      <c r="CG65" s="218">
        <v>439</v>
      </c>
      <c r="CH65" s="218">
        <v>-46</v>
      </c>
      <c r="CI65" s="218">
        <v>-83</v>
      </c>
      <c r="CJ65" s="218">
        <v>-439</v>
      </c>
    </row>
    <row r="66" spans="1:88" x14ac:dyDescent="0.25">
      <c r="A66" s="217" t="s">
        <v>22</v>
      </c>
      <c r="B66" s="217" t="s">
        <v>23</v>
      </c>
      <c r="C66" s="217" t="s">
        <v>85</v>
      </c>
      <c r="D66" s="217" t="s">
        <v>84</v>
      </c>
      <c r="E66" s="217" t="s">
        <v>88</v>
      </c>
      <c r="F66" s="217" t="s">
        <v>89</v>
      </c>
      <c r="G66" s="217" t="s">
        <v>103</v>
      </c>
      <c r="H66" s="217" t="s">
        <v>911</v>
      </c>
      <c r="I66" s="217" t="s">
        <v>29</v>
      </c>
      <c r="J66" s="217" t="s">
        <v>1856</v>
      </c>
      <c r="K66" s="217">
        <v>4</v>
      </c>
      <c r="L66" s="217">
        <v>38</v>
      </c>
      <c r="M66" s="217" t="s">
        <v>31</v>
      </c>
      <c r="N66" s="217" t="s">
        <v>32</v>
      </c>
      <c r="O66" s="217" t="s">
        <v>68</v>
      </c>
      <c r="P66" s="217" t="s">
        <v>34</v>
      </c>
      <c r="Q66" s="217" t="s">
        <v>35</v>
      </c>
      <c r="R66" s="217" t="s">
        <v>23</v>
      </c>
      <c r="S66" s="217" t="s">
        <v>22</v>
      </c>
      <c r="T66" s="217" t="s">
        <v>84</v>
      </c>
      <c r="U66" s="217" t="s">
        <v>85</v>
      </c>
      <c r="V66" s="217" t="s">
        <v>109</v>
      </c>
      <c r="W66" s="217" t="s">
        <v>110</v>
      </c>
      <c r="AD66" s="217" t="s">
        <v>47</v>
      </c>
      <c r="AE66" s="217" t="s">
        <v>48</v>
      </c>
      <c r="AF66" s="217" t="s">
        <v>231</v>
      </c>
      <c r="AG66" s="217" t="s">
        <v>232</v>
      </c>
      <c r="AH66" s="217" t="s">
        <v>1692</v>
      </c>
      <c r="AI66" s="217" t="s">
        <v>1856</v>
      </c>
      <c r="AJ66" s="217">
        <v>149</v>
      </c>
      <c r="AK66" s="217">
        <v>849</v>
      </c>
      <c r="AL66" s="217" t="s">
        <v>68</v>
      </c>
      <c r="AM66" s="217" t="s">
        <v>34</v>
      </c>
      <c r="AN66" s="217" t="s">
        <v>138</v>
      </c>
      <c r="AO66" s="217" t="s">
        <v>32</v>
      </c>
      <c r="AP66" s="217" t="s">
        <v>32</v>
      </c>
      <c r="AQ66" s="217" t="s">
        <v>139</v>
      </c>
      <c r="AR66" s="217" t="s">
        <v>139</v>
      </c>
      <c r="AS66" s="217" t="s">
        <v>61</v>
      </c>
      <c r="AT66" s="217" t="s">
        <v>62</v>
      </c>
      <c r="AU66" s="217" t="s">
        <v>2187</v>
      </c>
      <c r="BC66" s="217" t="s">
        <v>85</v>
      </c>
      <c r="BD66" s="217" t="s">
        <v>95</v>
      </c>
      <c r="BE66" s="217" t="s">
        <v>921</v>
      </c>
      <c r="BF66" s="217" t="s">
        <v>113</v>
      </c>
      <c r="BG66" s="217" t="s">
        <v>1998</v>
      </c>
      <c r="BH66" s="217" t="s">
        <v>1658</v>
      </c>
      <c r="BI66" s="217" t="s">
        <v>1660</v>
      </c>
      <c r="BJ66" s="217" t="s">
        <v>1660</v>
      </c>
      <c r="BK66" s="217" t="s">
        <v>637</v>
      </c>
      <c r="BL66" s="217"/>
      <c r="BM66" s="217"/>
      <c r="BN66" s="217">
        <v>0</v>
      </c>
      <c r="BO66" s="218">
        <v>0</v>
      </c>
      <c r="BR66" s="217" t="s">
        <v>85</v>
      </c>
      <c r="BS66" s="217" t="s">
        <v>175</v>
      </c>
      <c r="BT66" s="217" t="s">
        <v>691</v>
      </c>
      <c r="BU66" s="217" t="s">
        <v>1662</v>
      </c>
      <c r="BV66" s="217">
        <v>0</v>
      </c>
      <c r="BW66" s="217">
        <v>0</v>
      </c>
      <c r="BX66" s="217">
        <v>0</v>
      </c>
      <c r="BY66" s="217">
        <v>0</v>
      </c>
      <c r="BZ66" s="217">
        <v>0</v>
      </c>
      <c r="CA66" s="217">
        <v>0</v>
      </c>
      <c r="CB66" s="217">
        <v>0</v>
      </c>
      <c r="CC66" s="217">
        <v>0</v>
      </c>
      <c r="CD66" s="217">
        <v>33</v>
      </c>
      <c r="CE66" s="217">
        <v>180</v>
      </c>
      <c r="CF66" s="217">
        <v>37</v>
      </c>
      <c r="CG66" s="218">
        <v>310</v>
      </c>
      <c r="CH66" s="218">
        <v>0</v>
      </c>
      <c r="CI66" s="218">
        <v>-180</v>
      </c>
      <c r="CJ66" s="218">
        <v>-310</v>
      </c>
    </row>
    <row r="67" spans="1:88" x14ac:dyDescent="0.25">
      <c r="A67" s="217" t="s">
        <v>22</v>
      </c>
      <c r="B67" s="217" t="s">
        <v>23</v>
      </c>
      <c r="C67" s="217" t="s">
        <v>85</v>
      </c>
      <c r="D67" s="217" t="s">
        <v>84</v>
      </c>
      <c r="E67" s="217" t="s">
        <v>88</v>
      </c>
      <c r="F67" s="217" t="s">
        <v>89</v>
      </c>
      <c r="G67" s="217" t="s">
        <v>103</v>
      </c>
      <c r="H67" s="217" t="s">
        <v>911</v>
      </c>
      <c r="I67" s="217" t="s">
        <v>29</v>
      </c>
      <c r="J67" s="217" t="s">
        <v>1857</v>
      </c>
      <c r="K67" s="217">
        <v>13</v>
      </c>
      <c r="L67" s="217">
        <v>98</v>
      </c>
      <c r="M67" s="217" t="s">
        <v>31</v>
      </c>
      <c r="N67" s="217" t="s">
        <v>32</v>
      </c>
      <c r="O67" s="217" t="s">
        <v>68</v>
      </c>
      <c r="P67" s="217" t="s">
        <v>34</v>
      </c>
      <c r="Q67" s="217" t="s">
        <v>35</v>
      </c>
      <c r="R67" s="217" t="s">
        <v>23</v>
      </c>
      <c r="S67" s="217" t="s">
        <v>22</v>
      </c>
      <c r="T67" s="217" t="s">
        <v>84</v>
      </c>
      <c r="U67" s="217" t="s">
        <v>85</v>
      </c>
      <c r="V67" s="217" t="s">
        <v>97</v>
      </c>
      <c r="W67" s="217" t="s">
        <v>98</v>
      </c>
      <c r="AD67" s="217" t="s">
        <v>47</v>
      </c>
      <c r="AE67" s="217" t="s">
        <v>48</v>
      </c>
      <c r="AF67" s="217" t="s">
        <v>231</v>
      </c>
      <c r="AG67" s="217" t="s">
        <v>232</v>
      </c>
      <c r="AH67" s="217" t="s">
        <v>707</v>
      </c>
      <c r="AI67" s="217" t="s">
        <v>1856</v>
      </c>
      <c r="AJ67" s="217">
        <v>38</v>
      </c>
      <c r="AK67" s="217">
        <v>245</v>
      </c>
      <c r="AL67" s="217" t="s">
        <v>154</v>
      </c>
      <c r="AM67" s="217" t="s">
        <v>34</v>
      </c>
      <c r="AN67" s="217" t="s">
        <v>138</v>
      </c>
      <c r="AO67" s="217" t="s">
        <v>2061</v>
      </c>
      <c r="AP67" s="217" t="s">
        <v>2062</v>
      </c>
      <c r="AQ67" s="217" t="s">
        <v>139</v>
      </c>
      <c r="AR67" s="217" t="s">
        <v>139</v>
      </c>
      <c r="AS67" s="217" t="s">
        <v>139</v>
      </c>
      <c r="AT67" s="217" t="s">
        <v>139</v>
      </c>
      <c r="AU67" s="217" t="s">
        <v>2188</v>
      </c>
      <c r="BC67" s="217" t="s">
        <v>85</v>
      </c>
      <c r="BD67" s="217" t="s">
        <v>95</v>
      </c>
      <c r="BE67" s="217" t="s">
        <v>922</v>
      </c>
      <c r="BF67" s="217" t="s">
        <v>114</v>
      </c>
      <c r="BG67" s="217" t="s">
        <v>1998</v>
      </c>
      <c r="BH67" s="217" t="s">
        <v>1658</v>
      </c>
      <c r="BI67" s="217" t="s">
        <v>1658</v>
      </c>
      <c r="BJ67" s="217" t="s">
        <v>1660</v>
      </c>
      <c r="BK67" s="217" t="s">
        <v>637</v>
      </c>
      <c r="BL67" s="217"/>
      <c r="BM67" s="217"/>
      <c r="BN67" s="217">
        <v>0</v>
      </c>
      <c r="BO67" s="218">
        <v>0</v>
      </c>
      <c r="BR67" s="217" t="s">
        <v>85</v>
      </c>
      <c r="BS67" s="217" t="s">
        <v>175</v>
      </c>
      <c r="BT67" s="217" t="s">
        <v>853</v>
      </c>
      <c r="BU67" s="217" t="s">
        <v>1561</v>
      </c>
      <c r="BV67" s="217">
        <v>0</v>
      </c>
      <c r="BW67" s="217">
        <v>0</v>
      </c>
      <c r="BX67" s="217">
        <v>0</v>
      </c>
      <c r="BY67" s="217">
        <v>0</v>
      </c>
      <c r="BZ67" s="217">
        <v>12</v>
      </c>
      <c r="CA67" s="217">
        <v>70</v>
      </c>
      <c r="CB67" s="217">
        <v>0</v>
      </c>
      <c r="CC67" s="217">
        <v>0</v>
      </c>
      <c r="CD67" s="217">
        <v>0</v>
      </c>
      <c r="CE67" s="217">
        <v>0</v>
      </c>
      <c r="CF67" s="217">
        <v>12</v>
      </c>
      <c r="CG67" s="218">
        <v>70</v>
      </c>
      <c r="CH67" s="218">
        <v>0</v>
      </c>
      <c r="CI67" s="218">
        <v>0</v>
      </c>
      <c r="CJ67" s="218">
        <v>0</v>
      </c>
    </row>
    <row r="68" spans="1:88" x14ac:dyDescent="0.25">
      <c r="A68" s="217" t="s">
        <v>22</v>
      </c>
      <c r="B68" s="217" t="s">
        <v>23</v>
      </c>
      <c r="C68" s="217" t="s">
        <v>85</v>
      </c>
      <c r="D68" s="217" t="s">
        <v>84</v>
      </c>
      <c r="E68" s="217" t="s">
        <v>88</v>
      </c>
      <c r="F68" s="217" t="s">
        <v>89</v>
      </c>
      <c r="G68" s="217" t="s">
        <v>103</v>
      </c>
      <c r="H68" s="217" t="s">
        <v>911</v>
      </c>
      <c r="I68" s="217" t="s">
        <v>29</v>
      </c>
      <c r="J68" s="217" t="s">
        <v>1859</v>
      </c>
      <c r="K68" s="217">
        <v>1</v>
      </c>
      <c r="L68" s="217">
        <v>9</v>
      </c>
      <c r="M68" s="217" t="s">
        <v>99</v>
      </c>
      <c r="N68" s="217" t="s">
        <v>32</v>
      </c>
      <c r="O68" s="217" t="s">
        <v>68</v>
      </c>
      <c r="P68" s="217" t="s">
        <v>34</v>
      </c>
      <c r="Q68" s="217" t="s">
        <v>35</v>
      </c>
      <c r="R68" s="217" t="s">
        <v>23</v>
      </c>
      <c r="S68" s="217" t="s">
        <v>22</v>
      </c>
      <c r="T68" s="217" t="s">
        <v>84</v>
      </c>
      <c r="U68" s="217" t="s">
        <v>85</v>
      </c>
      <c r="V68" s="217" t="s">
        <v>94</v>
      </c>
      <c r="W68" s="217" t="s">
        <v>95</v>
      </c>
      <c r="AD68" s="217" t="s">
        <v>47</v>
      </c>
      <c r="AE68" s="217" t="s">
        <v>48</v>
      </c>
      <c r="AF68" s="217" t="s">
        <v>231</v>
      </c>
      <c r="AG68" s="217" t="s">
        <v>232</v>
      </c>
      <c r="AH68" s="217" t="s">
        <v>710</v>
      </c>
      <c r="AI68" s="217" t="s">
        <v>1856</v>
      </c>
      <c r="AJ68" s="217">
        <v>75</v>
      </c>
      <c r="AK68" s="217">
        <v>750</v>
      </c>
      <c r="AL68" s="217" t="s">
        <v>68</v>
      </c>
      <c r="AM68" s="217" t="s">
        <v>34</v>
      </c>
      <c r="AN68" s="217" t="s">
        <v>138</v>
      </c>
      <c r="AO68" s="217" t="s">
        <v>32</v>
      </c>
      <c r="AP68" s="217" t="s">
        <v>32</v>
      </c>
      <c r="AQ68" s="217" t="s">
        <v>139</v>
      </c>
      <c r="AR68" s="217" t="s">
        <v>139</v>
      </c>
      <c r="AS68" s="217" t="s">
        <v>61</v>
      </c>
      <c r="AT68" s="217" t="s">
        <v>62</v>
      </c>
      <c r="AU68" s="217" t="s">
        <v>2189</v>
      </c>
      <c r="BC68" s="217" t="s">
        <v>85</v>
      </c>
      <c r="BD68" s="217" t="s">
        <v>95</v>
      </c>
      <c r="BE68" s="217" t="s">
        <v>923</v>
      </c>
      <c r="BF68" s="217" t="s">
        <v>115</v>
      </c>
      <c r="BG68" s="217" t="s">
        <v>1998</v>
      </c>
      <c r="BH68" s="217" t="s">
        <v>1658</v>
      </c>
      <c r="BI68" s="217" t="s">
        <v>1660</v>
      </c>
      <c r="BJ68" s="217" t="s">
        <v>1658</v>
      </c>
      <c r="BK68" s="217" t="s">
        <v>637</v>
      </c>
      <c r="BL68" s="217"/>
      <c r="BM68" s="217"/>
      <c r="BN68" s="217">
        <v>0</v>
      </c>
      <c r="BO68" s="218">
        <v>0</v>
      </c>
      <c r="BR68" s="217" t="s">
        <v>85</v>
      </c>
      <c r="BS68" s="217" t="s">
        <v>175</v>
      </c>
      <c r="BT68" s="217" t="s">
        <v>830</v>
      </c>
      <c r="BU68" s="217" t="s">
        <v>1306</v>
      </c>
      <c r="BV68" s="217">
        <v>7</v>
      </c>
      <c r="BW68" s="217">
        <v>87</v>
      </c>
      <c r="BX68" s="217">
        <v>12</v>
      </c>
      <c r="BY68" s="217">
        <v>91</v>
      </c>
      <c r="BZ68" s="217">
        <v>14</v>
      </c>
      <c r="CA68" s="217">
        <v>89</v>
      </c>
      <c r="CB68" s="217">
        <v>7</v>
      </c>
      <c r="CC68" s="217">
        <v>87</v>
      </c>
      <c r="CD68" s="217">
        <v>12</v>
      </c>
      <c r="CE68" s="217">
        <v>91</v>
      </c>
      <c r="CF68" s="217">
        <v>14</v>
      </c>
      <c r="CG68" s="218">
        <v>89</v>
      </c>
      <c r="CH68" s="218">
        <v>0</v>
      </c>
      <c r="CI68" s="218">
        <v>0</v>
      </c>
      <c r="CJ68" s="218">
        <v>0</v>
      </c>
    </row>
    <row r="69" spans="1:88" x14ac:dyDescent="0.25">
      <c r="A69" s="217" t="s">
        <v>22</v>
      </c>
      <c r="B69" s="217" t="s">
        <v>23</v>
      </c>
      <c r="C69" s="217" t="s">
        <v>85</v>
      </c>
      <c r="D69" s="217" t="s">
        <v>84</v>
      </c>
      <c r="E69" s="217" t="s">
        <v>88</v>
      </c>
      <c r="F69" s="217" t="s">
        <v>89</v>
      </c>
      <c r="G69" s="217" t="s">
        <v>104</v>
      </c>
      <c r="H69" s="217" t="s">
        <v>912</v>
      </c>
      <c r="I69" s="217" t="s">
        <v>29</v>
      </c>
      <c r="J69" s="217" t="s">
        <v>1855</v>
      </c>
      <c r="K69" s="217">
        <v>5</v>
      </c>
      <c r="L69" s="217">
        <v>31</v>
      </c>
      <c r="M69" s="217" t="s">
        <v>31</v>
      </c>
      <c r="N69" s="217" t="s">
        <v>32</v>
      </c>
      <c r="O69" s="217" t="s">
        <v>68</v>
      </c>
      <c r="P69" s="217" t="s">
        <v>34</v>
      </c>
      <c r="Q69" s="217" t="s">
        <v>35</v>
      </c>
      <c r="R69" s="217" t="s">
        <v>23</v>
      </c>
      <c r="S69" s="217" t="s">
        <v>22</v>
      </c>
      <c r="T69" s="217" t="s">
        <v>84</v>
      </c>
      <c r="U69" s="217" t="s">
        <v>85</v>
      </c>
      <c r="V69" s="217" t="s">
        <v>91</v>
      </c>
      <c r="W69" s="217" t="s">
        <v>92</v>
      </c>
      <c r="AD69" s="217" t="s">
        <v>47</v>
      </c>
      <c r="AE69" s="217" t="s">
        <v>48</v>
      </c>
      <c r="AF69" s="217" t="s">
        <v>231</v>
      </c>
      <c r="AG69" s="217" t="s">
        <v>232</v>
      </c>
      <c r="AH69" s="217" t="s">
        <v>705</v>
      </c>
      <c r="AI69" s="217" t="s">
        <v>1856</v>
      </c>
      <c r="AJ69" s="217">
        <v>17</v>
      </c>
      <c r="AK69" s="217">
        <v>117</v>
      </c>
      <c r="AL69" s="217" t="s">
        <v>68</v>
      </c>
      <c r="AM69" s="217" t="s">
        <v>34</v>
      </c>
      <c r="AN69" s="217" t="s">
        <v>138</v>
      </c>
      <c r="AO69" s="217" t="s">
        <v>32</v>
      </c>
      <c r="AP69" s="217" t="s">
        <v>32</v>
      </c>
      <c r="AQ69" s="217" t="s">
        <v>139</v>
      </c>
      <c r="AR69" s="217" t="s">
        <v>139</v>
      </c>
      <c r="AS69" s="217" t="s">
        <v>231</v>
      </c>
      <c r="AT69" s="217" t="s">
        <v>232</v>
      </c>
      <c r="AU69" s="217" t="s">
        <v>2190</v>
      </c>
      <c r="BC69" s="217" t="s">
        <v>85</v>
      </c>
      <c r="BD69" s="217" t="s">
        <v>95</v>
      </c>
      <c r="BE69" s="217" t="s">
        <v>924</v>
      </c>
      <c r="BF69" s="217" t="s">
        <v>116</v>
      </c>
      <c r="BG69" s="217" t="s">
        <v>1998</v>
      </c>
      <c r="BH69" s="217" t="s">
        <v>1658</v>
      </c>
      <c r="BI69" s="217" t="s">
        <v>1660</v>
      </c>
      <c r="BJ69" s="217" t="s">
        <v>1660</v>
      </c>
      <c r="BK69" s="217" t="s">
        <v>637</v>
      </c>
      <c r="BL69" s="217"/>
      <c r="BM69" s="217"/>
      <c r="BN69" s="217">
        <v>0</v>
      </c>
      <c r="BO69" s="218">
        <v>0</v>
      </c>
      <c r="BR69" s="217" t="s">
        <v>85</v>
      </c>
      <c r="BS69" s="217" t="s">
        <v>175</v>
      </c>
      <c r="BT69" s="217" t="s">
        <v>636</v>
      </c>
      <c r="BU69" s="217" t="s">
        <v>1532</v>
      </c>
      <c r="BV69" s="217">
        <v>3</v>
      </c>
      <c r="BW69" s="217">
        <v>29</v>
      </c>
      <c r="BX69" s="217">
        <v>23</v>
      </c>
      <c r="BY69" s="217">
        <v>127</v>
      </c>
      <c r="BZ69" s="217">
        <v>0</v>
      </c>
      <c r="CA69" s="217">
        <v>0</v>
      </c>
      <c r="CB69" s="217">
        <v>3</v>
      </c>
      <c r="CC69" s="217">
        <v>29</v>
      </c>
      <c r="CD69" s="217">
        <v>23</v>
      </c>
      <c r="CE69" s="217">
        <v>127</v>
      </c>
      <c r="CF69" s="217">
        <v>0</v>
      </c>
      <c r="CG69" s="218">
        <v>0</v>
      </c>
      <c r="CH69" s="218">
        <v>0</v>
      </c>
      <c r="CI69" s="218">
        <v>0</v>
      </c>
      <c r="CJ69" s="218">
        <v>0</v>
      </c>
    </row>
    <row r="70" spans="1:88" x14ac:dyDescent="0.25">
      <c r="A70" s="217" t="s">
        <v>22</v>
      </c>
      <c r="B70" s="217" t="s">
        <v>23</v>
      </c>
      <c r="C70" s="217" t="s">
        <v>85</v>
      </c>
      <c r="D70" s="217" t="s">
        <v>84</v>
      </c>
      <c r="E70" s="217" t="s">
        <v>88</v>
      </c>
      <c r="F70" s="217" t="s">
        <v>89</v>
      </c>
      <c r="G70" s="217" t="s">
        <v>104</v>
      </c>
      <c r="H70" s="217" t="s">
        <v>912</v>
      </c>
      <c r="I70" s="217" t="s">
        <v>29</v>
      </c>
      <c r="J70" s="217" t="s">
        <v>1856</v>
      </c>
      <c r="K70" s="217">
        <v>2</v>
      </c>
      <c r="L70" s="217">
        <v>12</v>
      </c>
      <c r="M70" s="217" t="s">
        <v>31</v>
      </c>
      <c r="N70" s="217" t="s">
        <v>32</v>
      </c>
      <c r="O70" s="217" t="s">
        <v>68</v>
      </c>
      <c r="P70" s="217" t="s">
        <v>34</v>
      </c>
      <c r="Q70" s="217" t="s">
        <v>35</v>
      </c>
      <c r="R70" s="217" t="s">
        <v>23</v>
      </c>
      <c r="S70" s="217" t="s">
        <v>22</v>
      </c>
      <c r="T70" s="217" t="s">
        <v>84</v>
      </c>
      <c r="U70" s="217" t="s">
        <v>85</v>
      </c>
      <c r="V70" s="217" t="s">
        <v>91</v>
      </c>
      <c r="W70" s="217" t="s">
        <v>92</v>
      </c>
      <c r="AD70" s="217" t="s">
        <v>47</v>
      </c>
      <c r="AE70" s="217" t="s">
        <v>48</v>
      </c>
      <c r="AF70" s="217" t="s">
        <v>61</v>
      </c>
      <c r="AG70" s="217" t="s">
        <v>62</v>
      </c>
      <c r="AH70" s="217" t="s">
        <v>837</v>
      </c>
      <c r="AI70" s="217" t="s">
        <v>1857</v>
      </c>
      <c r="AJ70" s="217">
        <v>15</v>
      </c>
      <c r="AK70" s="217">
        <v>50</v>
      </c>
      <c r="AL70" s="217" t="s">
        <v>100</v>
      </c>
      <c r="AM70" s="217" t="s">
        <v>34</v>
      </c>
      <c r="AN70" s="217" t="s">
        <v>138</v>
      </c>
      <c r="AO70" s="217" t="s">
        <v>32</v>
      </c>
      <c r="AP70" s="217" t="s">
        <v>32</v>
      </c>
      <c r="AQ70" s="217" t="s">
        <v>139</v>
      </c>
      <c r="AR70" s="217" t="s">
        <v>139</v>
      </c>
      <c r="AS70" s="217" t="s">
        <v>139</v>
      </c>
      <c r="AT70" s="217" t="s">
        <v>139</v>
      </c>
      <c r="AU70" s="217" t="s">
        <v>1937</v>
      </c>
      <c r="BC70" s="217" t="s">
        <v>85</v>
      </c>
      <c r="BD70" s="217" t="s">
        <v>95</v>
      </c>
      <c r="BE70" s="217" t="s">
        <v>1499</v>
      </c>
      <c r="BF70" s="217" t="s">
        <v>622</v>
      </c>
      <c r="BG70" s="217" t="s">
        <v>1998</v>
      </c>
      <c r="BH70" s="217" t="s">
        <v>1660</v>
      </c>
      <c r="BI70" s="217" t="s">
        <v>1660</v>
      </c>
      <c r="BJ70" s="217" t="s">
        <v>1660</v>
      </c>
      <c r="BK70" s="217" t="s">
        <v>637</v>
      </c>
      <c r="BL70" s="217"/>
      <c r="BM70" s="217"/>
      <c r="BN70" s="217">
        <v>0</v>
      </c>
      <c r="BO70" s="218">
        <v>0</v>
      </c>
      <c r="BR70" s="217" t="s">
        <v>85</v>
      </c>
      <c r="BS70" s="217" t="s">
        <v>175</v>
      </c>
      <c r="BT70" s="217" t="s">
        <v>295</v>
      </c>
      <c r="BU70" s="217" t="s">
        <v>1301</v>
      </c>
      <c r="BV70" s="217">
        <v>5</v>
      </c>
      <c r="BW70" s="217">
        <v>20</v>
      </c>
      <c r="BX70" s="217">
        <v>14</v>
      </c>
      <c r="BY70" s="217">
        <v>50</v>
      </c>
      <c r="BZ70" s="217">
        <v>20</v>
      </c>
      <c r="CA70" s="217">
        <v>102</v>
      </c>
      <c r="CB70" s="217">
        <v>5</v>
      </c>
      <c r="CC70" s="217">
        <v>25</v>
      </c>
      <c r="CD70" s="217">
        <v>14</v>
      </c>
      <c r="CE70" s="217">
        <v>50</v>
      </c>
      <c r="CF70" s="217">
        <v>20</v>
      </c>
      <c r="CG70" s="218">
        <v>102</v>
      </c>
      <c r="CH70" s="218">
        <v>-5</v>
      </c>
      <c r="CI70" s="218">
        <v>0</v>
      </c>
      <c r="CJ70" s="218">
        <v>0</v>
      </c>
    </row>
    <row r="71" spans="1:88" x14ac:dyDescent="0.25">
      <c r="A71" s="217" t="s">
        <v>22</v>
      </c>
      <c r="B71" s="217" t="s">
        <v>23</v>
      </c>
      <c r="C71" s="217" t="s">
        <v>85</v>
      </c>
      <c r="D71" s="217" t="s">
        <v>84</v>
      </c>
      <c r="E71" s="217" t="s">
        <v>88</v>
      </c>
      <c r="F71" s="217" t="s">
        <v>89</v>
      </c>
      <c r="G71" s="217" t="s">
        <v>104</v>
      </c>
      <c r="H71" s="217" t="s">
        <v>912</v>
      </c>
      <c r="I71" s="217" t="s">
        <v>29</v>
      </c>
      <c r="J71" s="217" t="s">
        <v>1857</v>
      </c>
      <c r="K71" s="217">
        <v>4</v>
      </c>
      <c r="L71" s="217">
        <v>31</v>
      </c>
      <c r="M71" s="217" t="s">
        <v>31</v>
      </c>
      <c r="N71" s="217" t="s">
        <v>32</v>
      </c>
      <c r="O71" s="217" t="s">
        <v>68</v>
      </c>
      <c r="P71" s="217" t="s">
        <v>34</v>
      </c>
      <c r="Q71" s="217" t="s">
        <v>35</v>
      </c>
      <c r="R71" s="217" t="s">
        <v>23</v>
      </c>
      <c r="S71" s="217" t="s">
        <v>22</v>
      </c>
      <c r="T71" s="217" t="s">
        <v>84</v>
      </c>
      <c r="U71" s="217" t="s">
        <v>85</v>
      </c>
      <c r="V71" s="217" t="s">
        <v>94</v>
      </c>
      <c r="W71" s="217" t="s">
        <v>95</v>
      </c>
      <c r="AD71" s="217" t="s">
        <v>36</v>
      </c>
      <c r="AE71" s="217" t="s">
        <v>37</v>
      </c>
      <c r="AF71" s="217" t="s">
        <v>249</v>
      </c>
      <c r="AG71" s="217" t="s">
        <v>250</v>
      </c>
      <c r="AH71" s="217" t="s">
        <v>2142</v>
      </c>
      <c r="AI71" s="217" t="s">
        <v>1856</v>
      </c>
      <c r="AJ71" s="217">
        <v>360</v>
      </c>
      <c r="AK71" s="217">
        <v>2276</v>
      </c>
      <c r="AL71" s="217" t="s">
        <v>100</v>
      </c>
      <c r="AM71" s="217" t="s">
        <v>34</v>
      </c>
      <c r="AN71" s="217" t="s">
        <v>138</v>
      </c>
      <c r="AO71" s="217" t="s">
        <v>32</v>
      </c>
      <c r="AP71" s="217" t="s">
        <v>32</v>
      </c>
      <c r="AQ71" s="217" t="s">
        <v>139</v>
      </c>
      <c r="AR71" s="217" t="s">
        <v>139</v>
      </c>
      <c r="AS71" s="217" t="s">
        <v>139</v>
      </c>
      <c r="AT71" s="217" t="s">
        <v>139</v>
      </c>
      <c r="AU71" s="217" t="s">
        <v>2191</v>
      </c>
      <c r="BC71" s="217" t="s">
        <v>85</v>
      </c>
      <c r="BD71" s="217" t="s">
        <v>95</v>
      </c>
      <c r="BE71" s="217" t="s">
        <v>1668</v>
      </c>
      <c r="BF71" s="217" t="s">
        <v>670</v>
      </c>
      <c r="BG71" s="217" t="s">
        <v>1998</v>
      </c>
      <c r="BH71" s="217" t="s">
        <v>1658</v>
      </c>
      <c r="BI71" s="217" t="s">
        <v>1658</v>
      </c>
      <c r="BJ71" s="217" t="s">
        <v>1660</v>
      </c>
      <c r="BK71" s="217" t="s">
        <v>637</v>
      </c>
      <c r="BL71" s="217"/>
      <c r="BM71" s="217"/>
      <c r="BN71" s="217">
        <v>0</v>
      </c>
      <c r="BO71" s="218">
        <v>0</v>
      </c>
      <c r="BR71" s="217" t="s">
        <v>85</v>
      </c>
      <c r="BS71" s="217" t="s">
        <v>175</v>
      </c>
      <c r="BT71" s="217" t="s">
        <v>179</v>
      </c>
      <c r="BU71" s="217" t="s">
        <v>1312</v>
      </c>
      <c r="BV71" s="217">
        <v>57</v>
      </c>
      <c r="BW71" s="217">
        <v>338</v>
      </c>
      <c r="BX71" s="217">
        <v>81</v>
      </c>
      <c r="BY71" s="217">
        <v>497</v>
      </c>
      <c r="BZ71" s="217">
        <v>80</v>
      </c>
      <c r="CA71" s="217">
        <v>532</v>
      </c>
      <c r="CB71" s="217">
        <v>57</v>
      </c>
      <c r="CC71" s="217">
        <v>338</v>
      </c>
      <c r="CD71" s="217">
        <v>81</v>
      </c>
      <c r="CE71" s="217">
        <v>497</v>
      </c>
      <c r="CF71" s="217">
        <v>80</v>
      </c>
      <c r="CG71" s="218">
        <v>532</v>
      </c>
      <c r="CH71" s="218">
        <v>0</v>
      </c>
      <c r="CI71" s="218">
        <v>0</v>
      </c>
      <c r="CJ71" s="218">
        <v>0</v>
      </c>
    </row>
    <row r="72" spans="1:88" x14ac:dyDescent="0.25">
      <c r="A72" s="217" t="s">
        <v>22</v>
      </c>
      <c r="B72" s="217" t="s">
        <v>23</v>
      </c>
      <c r="C72" s="217" t="s">
        <v>85</v>
      </c>
      <c r="D72" s="217" t="s">
        <v>84</v>
      </c>
      <c r="E72" s="217" t="s">
        <v>88</v>
      </c>
      <c r="F72" s="217" t="s">
        <v>89</v>
      </c>
      <c r="G72" s="217" t="s">
        <v>105</v>
      </c>
      <c r="H72" s="217" t="s">
        <v>913</v>
      </c>
      <c r="I72" s="217" t="s">
        <v>29</v>
      </c>
      <c r="J72" s="217" t="s">
        <v>1855</v>
      </c>
      <c r="K72" s="217">
        <v>1</v>
      </c>
      <c r="L72" s="217">
        <v>5</v>
      </c>
      <c r="M72" s="217" t="s">
        <v>31</v>
      </c>
      <c r="N72" s="217" t="s">
        <v>32</v>
      </c>
      <c r="O72" s="217" t="s">
        <v>68</v>
      </c>
      <c r="P72" s="217" t="s">
        <v>34</v>
      </c>
      <c r="Q72" s="217" t="s">
        <v>35</v>
      </c>
      <c r="R72" s="217" t="s">
        <v>23</v>
      </c>
      <c r="S72" s="217" t="s">
        <v>22</v>
      </c>
      <c r="T72" s="217" t="s">
        <v>84</v>
      </c>
      <c r="U72" s="217" t="s">
        <v>85</v>
      </c>
      <c r="V72" s="217" t="s">
        <v>91</v>
      </c>
      <c r="W72" s="217" t="s">
        <v>92</v>
      </c>
      <c r="AD72" s="217" t="s">
        <v>36</v>
      </c>
      <c r="AE72" s="217" t="s">
        <v>37</v>
      </c>
      <c r="AF72" s="217" t="s">
        <v>249</v>
      </c>
      <c r="AG72" s="217" t="s">
        <v>250</v>
      </c>
      <c r="AH72" s="217" t="s">
        <v>253</v>
      </c>
      <c r="AI72" s="217" t="s">
        <v>1855</v>
      </c>
      <c r="AJ72" s="217">
        <v>5</v>
      </c>
      <c r="AK72" s="217">
        <v>25</v>
      </c>
      <c r="AL72" s="217" t="s">
        <v>154</v>
      </c>
      <c r="AM72" s="217" t="s">
        <v>34</v>
      </c>
      <c r="AN72" s="217" t="s">
        <v>138</v>
      </c>
      <c r="AO72" s="217" t="s">
        <v>199</v>
      </c>
      <c r="AP72" s="217" t="s">
        <v>200</v>
      </c>
      <c r="AQ72" s="217" t="s">
        <v>139</v>
      </c>
      <c r="AR72" s="217" t="s">
        <v>139</v>
      </c>
      <c r="AS72" s="217" t="s">
        <v>139</v>
      </c>
      <c r="AT72" s="217" t="s">
        <v>139</v>
      </c>
      <c r="AU72" s="217" t="s">
        <v>1705</v>
      </c>
      <c r="BC72" s="217" t="s">
        <v>85</v>
      </c>
      <c r="BD72" s="217" t="s">
        <v>95</v>
      </c>
      <c r="BE72" s="217" t="s">
        <v>925</v>
      </c>
      <c r="BF72" s="217" t="s">
        <v>117</v>
      </c>
      <c r="BG72" s="217" t="s">
        <v>1998</v>
      </c>
      <c r="BH72" s="217" t="s">
        <v>1658</v>
      </c>
      <c r="BI72" s="217" t="s">
        <v>1658</v>
      </c>
      <c r="BJ72" s="217" t="s">
        <v>1660</v>
      </c>
      <c r="BK72" s="217" t="s">
        <v>637</v>
      </c>
      <c r="BL72" s="217"/>
      <c r="BM72" s="217"/>
      <c r="BN72" s="217">
        <v>0</v>
      </c>
      <c r="BO72" s="218">
        <v>0</v>
      </c>
      <c r="BR72" s="217" t="s">
        <v>85</v>
      </c>
      <c r="BS72" s="217" t="s">
        <v>175</v>
      </c>
      <c r="BT72" s="217" t="s">
        <v>833</v>
      </c>
      <c r="BU72" s="217" t="s">
        <v>1310</v>
      </c>
      <c r="BV72" s="217">
        <v>3</v>
      </c>
      <c r="BW72" s="217">
        <v>16</v>
      </c>
      <c r="BX72" s="217">
        <v>13</v>
      </c>
      <c r="BY72" s="217">
        <v>58</v>
      </c>
      <c r="BZ72" s="217">
        <v>15</v>
      </c>
      <c r="CA72" s="217">
        <v>57</v>
      </c>
      <c r="CB72" s="217">
        <v>3</v>
      </c>
      <c r="CC72" s="217">
        <v>16</v>
      </c>
      <c r="CD72" s="217">
        <v>13</v>
      </c>
      <c r="CE72" s="217">
        <v>58</v>
      </c>
      <c r="CF72" s="217">
        <v>15</v>
      </c>
      <c r="CG72" s="218">
        <v>57</v>
      </c>
      <c r="CH72" s="218">
        <v>0</v>
      </c>
      <c r="CI72" s="218">
        <v>0</v>
      </c>
      <c r="CJ72" s="218">
        <v>0</v>
      </c>
    </row>
    <row r="73" spans="1:88" x14ac:dyDescent="0.25">
      <c r="A73" s="217" t="s">
        <v>22</v>
      </c>
      <c r="B73" s="217" t="s">
        <v>23</v>
      </c>
      <c r="C73" s="217" t="s">
        <v>85</v>
      </c>
      <c r="D73" s="217" t="s">
        <v>84</v>
      </c>
      <c r="E73" s="217" t="s">
        <v>88</v>
      </c>
      <c r="F73" s="217" t="s">
        <v>89</v>
      </c>
      <c r="G73" s="217" t="s">
        <v>105</v>
      </c>
      <c r="H73" s="217" t="s">
        <v>913</v>
      </c>
      <c r="I73" s="217" t="s">
        <v>29</v>
      </c>
      <c r="J73" s="217" t="s">
        <v>1857</v>
      </c>
      <c r="K73" s="217">
        <v>2</v>
      </c>
      <c r="L73" s="217">
        <v>5</v>
      </c>
      <c r="M73" s="217" t="s">
        <v>31</v>
      </c>
      <c r="N73" s="217" t="s">
        <v>32</v>
      </c>
      <c r="O73" s="217" t="s">
        <v>68</v>
      </c>
      <c r="P73" s="217" t="s">
        <v>34</v>
      </c>
      <c r="Q73" s="217" t="s">
        <v>35</v>
      </c>
      <c r="R73" s="217" t="s">
        <v>23</v>
      </c>
      <c r="S73" s="217" t="s">
        <v>22</v>
      </c>
      <c r="T73" s="217" t="s">
        <v>84</v>
      </c>
      <c r="U73" s="217" t="s">
        <v>85</v>
      </c>
      <c r="V73" s="217" t="s">
        <v>94</v>
      </c>
      <c r="W73" s="217" t="s">
        <v>95</v>
      </c>
      <c r="AD73" s="217" t="s">
        <v>36</v>
      </c>
      <c r="AE73" s="217" t="s">
        <v>37</v>
      </c>
      <c r="AF73" s="217" t="s">
        <v>249</v>
      </c>
      <c r="AG73" s="217" t="s">
        <v>250</v>
      </c>
      <c r="AH73" s="217" t="s">
        <v>253</v>
      </c>
      <c r="AI73" s="217" t="s">
        <v>1856</v>
      </c>
      <c r="AJ73" s="217">
        <v>7</v>
      </c>
      <c r="AK73" s="217">
        <v>35</v>
      </c>
      <c r="AL73" s="217" t="s">
        <v>154</v>
      </c>
      <c r="AM73" s="217" t="s">
        <v>34</v>
      </c>
      <c r="AN73" s="217" t="s">
        <v>138</v>
      </c>
      <c r="AO73" s="217" t="s">
        <v>199</v>
      </c>
      <c r="AP73" s="217" t="s">
        <v>200</v>
      </c>
      <c r="AQ73" s="217" t="s">
        <v>139</v>
      </c>
      <c r="AR73" s="217" t="s">
        <v>139</v>
      </c>
      <c r="AS73" s="217" t="s">
        <v>139</v>
      </c>
      <c r="AT73" s="217" t="s">
        <v>139</v>
      </c>
      <c r="AU73" s="217" t="s">
        <v>1705</v>
      </c>
      <c r="BC73" s="217" t="s">
        <v>85</v>
      </c>
      <c r="BD73" s="217" t="s">
        <v>95</v>
      </c>
      <c r="BE73" s="217" t="s">
        <v>926</v>
      </c>
      <c r="BF73" s="217" t="s">
        <v>118</v>
      </c>
      <c r="BG73" s="217" t="s">
        <v>1998</v>
      </c>
      <c r="BH73" s="217" t="s">
        <v>1658</v>
      </c>
      <c r="BI73" s="217" t="s">
        <v>1658</v>
      </c>
      <c r="BJ73" s="217" t="s">
        <v>1660</v>
      </c>
      <c r="BK73" s="217" t="s">
        <v>637</v>
      </c>
      <c r="BL73" s="217"/>
      <c r="BM73" s="217"/>
      <c r="BN73" s="217">
        <v>0</v>
      </c>
      <c r="BO73" s="218">
        <v>0</v>
      </c>
      <c r="BR73" s="217" t="s">
        <v>85</v>
      </c>
      <c r="BS73" s="217" t="s">
        <v>173</v>
      </c>
      <c r="BT73" s="217" t="s">
        <v>771</v>
      </c>
      <c r="BU73" s="217" t="s">
        <v>986</v>
      </c>
      <c r="BV73" s="217">
        <v>4</v>
      </c>
      <c r="BW73" s="217">
        <v>47</v>
      </c>
      <c r="BX73" s="217">
        <v>0</v>
      </c>
      <c r="BY73" s="217">
        <v>0</v>
      </c>
      <c r="BZ73" s="217">
        <v>0</v>
      </c>
      <c r="CA73" s="217">
        <v>0</v>
      </c>
      <c r="CB73" s="217">
        <v>4</v>
      </c>
      <c r="CC73" s="217">
        <v>47</v>
      </c>
      <c r="CD73" s="217">
        <v>0</v>
      </c>
      <c r="CE73" s="217">
        <v>0</v>
      </c>
      <c r="CF73" s="217">
        <v>0</v>
      </c>
      <c r="CG73" s="218">
        <v>0</v>
      </c>
      <c r="CH73" s="218">
        <v>0</v>
      </c>
      <c r="CI73" s="218">
        <v>0</v>
      </c>
      <c r="CJ73" s="218">
        <v>0</v>
      </c>
    </row>
    <row r="74" spans="1:88" x14ac:dyDescent="0.25">
      <c r="A74" s="217" t="s">
        <v>22</v>
      </c>
      <c r="B74" s="217" t="s">
        <v>23</v>
      </c>
      <c r="C74" s="217" t="s">
        <v>85</v>
      </c>
      <c r="D74" s="217" t="s">
        <v>84</v>
      </c>
      <c r="E74" s="217" t="s">
        <v>88</v>
      </c>
      <c r="F74" s="217" t="s">
        <v>89</v>
      </c>
      <c r="G74" s="217" t="s">
        <v>105</v>
      </c>
      <c r="H74" s="217" t="s">
        <v>913</v>
      </c>
      <c r="I74" s="217" t="s">
        <v>29</v>
      </c>
      <c r="J74" s="217" t="s">
        <v>1858</v>
      </c>
      <c r="K74" s="217">
        <v>1</v>
      </c>
      <c r="L74" s="217">
        <v>5</v>
      </c>
      <c r="M74" s="217" t="s">
        <v>31</v>
      </c>
      <c r="N74" s="217" t="s">
        <v>32</v>
      </c>
      <c r="O74" s="217" t="s">
        <v>68</v>
      </c>
      <c r="P74" s="217" t="s">
        <v>34</v>
      </c>
      <c r="Q74" s="217" t="s">
        <v>35</v>
      </c>
      <c r="R74" s="217" t="s">
        <v>23</v>
      </c>
      <c r="S74" s="217" t="s">
        <v>22</v>
      </c>
      <c r="T74" s="217" t="s">
        <v>84</v>
      </c>
      <c r="U74" s="217" t="s">
        <v>85</v>
      </c>
      <c r="V74" s="217" t="s">
        <v>91</v>
      </c>
      <c r="W74" s="217" t="s">
        <v>92</v>
      </c>
      <c r="AD74" s="217" t="s">
        <v>36</v>
      </c>
      <c r="AE74" s="217" t="s">
        <v>37</v>
      </c>
      <c r="AF74" s="217" t="s">
        <v>249</v>
      </c>
      <c r="AG74" s="217" t="s">
        <v>250</v>
      </c>
      <c r="AH74" s="217" t="s">
        <v>253</v>
      </c>
      <c r="AI74" s="217" t="s">
        <v>1857</v>
      </c>
      <c r="AJ74" s="217">
        <v>2</v>
      </c>
      <c r="AK74" s="217">
        <v>10</v>
      </c>
      <c r="AL74" s="217" t="s">
        <v>154</v>
      </c>
      <c r="AM74" s="217" t="s">
        <v>34</v>
      </c>
      <c r="AN74" s="217" t="s">
        <v>138</v>
      </c>
      <c r="AO74" s="217" t="s">
        <v>199</v>
      </c>
      <c r="AP74" s="217" t="s">
        <v>200</v>
      </c>
      <c r="AQ74" s="217" t="s">
        <v>139</v>
      </c>
      <c r="AR74" s="217" t="s">
        <v>139</v>
      </c>
      <c r="AS74" s="217" t="s">
        <v>139</v>
      </c>
      <c r="AT74" s="217" t="s">
        <v>139</v>
      </c>
      <c r="AU74" s="217" t="s">
        <v>1705</v>
      </c>
      <c r="BC74" s="217" t="s">
        <v>85</v>
      </c>
      <c r="BD74" s="217" t="s">
        <v>95</v>
      </c>
      <c r="BE74" s="217" t="s">
        <v>927</v>
      </c>
      <c r="BF74" s="217" t="s">
        <v>119</v>
      </c>
      <c r="BG74" s="217" t="s">
        <v>1998</v>
      </c>
      <c r="BH74" s="217" t="s">
        <v>1658</v>
      </c>
      <c r="BI74" s="217" t="s">
        <v>1658</v>
      </c>
      <c r="BJ74" s="217" t="s">
        <v>1660</v>
      </c>
      <c r="BK74" s="217" t="s">
        <v>637</v>
      </c>
      <c r="BL74" s="217"/>
      <c r="BM74" s="217"/>
      <c r="BN74" s="217">
        <v>0</v>
      </c>
      <c r="BO74" s="218">
        <v>0</v>
      </c>
      <c r="BR74" s="217" t="s">
        <v>85</v>
      </c>
      <c r="BS74" s="217" t="s">
        <v>173</v>
      </c>
      <c r="BT74" s="217" t="s">
        <v>293</v>
      </c>
      <c r="BU74" s="217" t="s">
        <v>972</v>
      </c>
      <c r="BV74" s="217">
        <v>28</v>
      </c>
      <c r="BW74" s="217">
        <v>128</v>
      </c>
      <c r="BX74" s="217">
        <v>0</v>
      </c>
      <c r="BY74" s="217">
        <v>0</v>
      </c>
      <c r="BZ74" s="217">
        <v>0</v>
      </c>
      <c r="CA74" s="217">
        <v>0</v>
      </c>
      <c r="CB74" s="217">
        <v>28</v>
      </c>
      <c r="CC74" s="217">
        <v>128</v>
      </c>
      <c r="CD74" s="217">
        <v>0</v>
      </c>
      <c r="CE74" s="217">
        <v>0</v>
      </c>
      <c r="CF74" s="217">
        <v>0</v>
      </c>
      <c r="CG74" s="218">
        <v>0</v>
      </c>
      <c r="CH74" s="218">
        <v>0</v>
      </c>
      <c r="CI74" s="218">
        <v>0</v>
      </c>
      <c r="CJ74" s="218">
        <v>0</v>
      </c>
    </row>
    <row r="75" spans="1:88" x14ac:dyDescent="0.25">
      <c r="A75" s="217" t="s">
        <v>22</v>
      </c>
      <c r="B75" s="217" t="s">
        <v>23</v>
      </c>
      <c r="C75" s="217" t="s">
        <v>85</v>
      </c>
      <c r="D75" s="217" t="s">
        <v>84</v>
      </c>
      <c r="E75" s="217" t="s">
        <v>88</v>
      </c>
      <c r="F75" s="217" t="s">
        <v>89</v>
      </c>
      <c r="G75" s="217" t="s">
        <v>106</v>
      </c>
      <c r="H75" s="217" t="s">
        <v>914</v>
      </c>
      <c r="I75" s="217" t="s">
        <v>29</v>
      </c>
      <c r="J75" s="217" t="s">
        <v>1855</v>
      </c>
      <c r="K75" s="217">
        <v>20</v>
      </c>
      <c r="L75" s="217">
        <v>127</v>
      </c>
      <c r="M75" s="217" t="s">
        <v>31</v>
      </c>
      <c r="N75" s="217" t="s">
        <v>32</v>
      </c>
      <c r="O75" s="217" t="s">
        <v>68</v>
      </c>
      <c r="P75" s="217" t="s">
        <v>34</v>
      </c>
      <c r="Q75" s="217" t="s">
        <v>35</v>
      </c>
      <c r="R75" s="217" t="s">
        <v>23</v>
      </c>
      <c r="S75" s="217" t="s">
        <v>22</v>
      </c>
      <c r="T75" s="217" t="s">
        <v>84</v>
      </c>
      <c r="U75" s="217" t="s">
        <v>85</v>
      </c>
      <c r="V75" s="217" t="s">
        <v>91</v>
      </c>
      <c r="W75" s="217" t="s">
        <v>92</v>
      </c>
      <c r="AD75" s="217" t="s">
        <v>36</v>
      </c>
      <c r="AE75" s="217" t="s">
        <v>37</v>
      </c>
      <c r="AF75" s="217" t="s">
        <v>249</v>
      </c>
      <c r="AG75" s="217" t="s">
        <v>250</v>
      </c>
      <c r="AH75" s="217" t="s">
        <v>253</v>
      </c>
      <c r="AI75" s="217" t="s">
        <v>1858</v>
      </c>
      <c r="AJ75" s="217">
        <v>2</v>
      </c>
      <c r="AK75" s="217">
        <v>10</v>
      </c>
      <c r="AL75" s="217" t="s">
        <v>154</v>
      </c>
      <c r="AM75" s="217" t="s">
        <v>34</v>
      </c>
      <c r="AN75" s="217" t="s">
        <v>138</v>
      </c>
      <c r="AO75" s="217" t="s">
        <v>199</v>
      </c>
      <c r="AP75" s="217" t="s">
        <v>200</v>
      </c>
      <c r="AQ75" s="217" t="s">
        <v>139</v>
      </c>
      <c r="AR75" s="217" t="s">
        <v>139</v>
      </c>
      <c r="AS75" s="217" t="s">
        <v>139</v>
      </c>
      <c r="AT75" s="217" t="s">
        <v>139</v>
      </c>
      <c r="AU75" s="217" t="s">
        <v>1705</v>
      </c>
      <c r="BC75" s="217" t="s">
        <v>85</v>
      </c>
      <c r="BD75" s="217" t="s">
        <v>95</v>
      </c>
      <c r="BE75" s="217" t="s">
        <v>928</v>
      </c>
      <c r="BF75" s="217" t="s">
        <v>120</v>
      </c>
      <c r="BG75" s="217" t="s">
        <v>1998</v>
      </c>
      <c r="BH75" s="217" t="s">
        <v>1658</v>
      </c>
      <c r="BI75" s="217" t="s">
        <v>1660</v>
      </c>
      <c r="BJ75" s="217" t="s">
        <v>1660</v>
      </c>
      <c r="BK75" s="217" t="s">
        <v>637</v>
      </c>
      <c r="BL75" s="217"/>
      <c r="BM75" s="217"/>
      <c r="BN75" s="217">
        <v>0</v>
      </c>
      <c r="BO75" s="218">
        <v>0</v>
      </c>
      <c r="BR75" s="217" t="s">
        <v>85</v>
      </c>
      <c r="BS75" s="217" t="s">
        <v>173</v>
      </c>
      <c r="BT75" s="217" t="s">
        <v>311</v>
      </c>
      <c r="BU75" s="217" t="s">
        <v>994</v>
      </c>
      <c r="BV75" s="217">
        <v>10</v>
      </c>
      <c r="BW75" s="217">
        <v>62</v>
      </c>
      <c r="BX75" s="217">
        <v>0</v>
      </c>
      <c r="BY75" s="217">
        <v>0</v>
      </c>
      <c r="BZ75" s="217">
        <v>0</v>
      </c>
      <c r="CA75" s="217">
        <v>0</v>
      </c>
      <c r="CB75" s="217">
        <v>10</v>
      </c>
      <c r="CC75" s="217">
        <v>62</v>
      </c>
      <c r="CD75" s="217">
        <v>0</v>
      </c>
      <c r="CE75" s="217">
        <v>0</v>
      </c>
      <c r="CF75" s="217">
        <v>0</v>
      </c>
      <c r="CG75" s="218">
        <v>0</v>
      </c>
      <c r="CH75" s="218">
        <v>0</v>
      </c>
      <c r="CI75" s="218">
        <v>0</v>
      </c>
      <c r="CJ75" s="218">
        <v>0</v>
      </c>
    </row>
    <row r="76" spans="1:88" x14ac:dyDescent="0.25">
      <c r="A76" s="217" t="s">
        <v>22</v>
      </c>
      <c r="B76" s="217" t="s">
        <v>23</v>
      </c>
      <c r="C76" s="217" t="s">
        <v>85</v>
      </c>
      <c r="D76" s="217" t="s">
        <v>84</v>
      </c>
      <c r="E76" s="217" t="s">
        <v>88</v>
      </c>
      <c r="F76" s="217" t="s">
        <v>89</v>
      </c>
      <c r="G76" s="217" t="s">
        <v>106</v>
      </c>
      <c r="H76" s="217" t="s">
        <v>914</v>
      </c>
      <c r="I76" s="217" t="s">
        <v>29</v>
      </c>
      <c r="J76" s="217" t="s">
        <v>1856</v>
      </c>
      <c r="K76" s="217">
        <v>17</v>
      </c>
      <c r="L76" s="217">
        <v>92</v>
      </c>
      <c r="M76" s="217" t="s">
        <v>31</v>
      </c>
      <c r="N76" s="217" t="s">
        <v>32</v>
      </c>
      <c r="O76" s="217" t="s">
        <v>68</v>
      </c>
      <c r="P76" s="217" t="s">
        <v>34</v>
      </c>
      <c r="Q76" s="217" t="s">
        <v>35</v>
      </c>
      <c r="R76" s="217" t="s">
        <v>23</v>
      </c>
      <c r="S76" s="217" t="s">
        <v>22</v>
      </c>
      <c r="T76" s="217" t="s">
        <v>84</v>
      </c>
      <c r="U76" s="217" t="s">
        <v>85</v>
      </c>
      <c r="V76" s="217" t="s">
        <v>94</v>
      </c>
      <c r="W76" s="217" t="s">
        <v>95</v>
      </c>
      <c r="AD76" s="217" t="s">
        <v>36</v>
      </c>
      <c r="AE76" s="217" t="s">
        <v>37</v>
      </c>
      <c r="AF76" s="217" t="s">
        <v>249</v>
      </c>
      <c r="AG76" s="217" t="s">
        <v>250</v>
      </c>
      <c r="AH76" s="217" t="s">
        <v>254</v>
      </c>
      <c r="AI76" s="217" t="s">
        <v>1855</v>
      </c>
      <c r="AJ76" s="217">
        <v>4</v>
      </c>
      <c r="AK76" s="217">
        <v>20</v>
      </c>
      <c r="AL76" s="217" t="s">
        <v>154</v>
      </c>
      <c r="AM76" s="217" t="s">
        <v>34</v>
      </c>
      <c r="AN76" s="217" t="s">
        <v>138</v>
      </c>
      <c r="AO76" s="217" t="s">
        <v>199</v>
      </c>
      <c r="AP76" s="217" t="s">
        <v>200</v>
      </c>
      <c r="AQ76" s="217" t="s">
        <v>139</v>
      </c>
      <c r="AR76" s="217" t="s">
        <v>139</v>
      </c>
      <c r="AS76" s="217" t="s">
        <v>139</v>
      </c>
      <c r="AT76" s="217" t="s">
        <v>139</v>
      </c>
      <c r="AU76" s="217" t="s">
        <v>1703</v>
      </c>
      <c r="BC76" s="217" t="s">
        <v>85</v>
      </c>
      <c r="BD76" s="217" t="s">
        <v>95</v>
      </c>
      <c r="BE76" s="217" t="s">
        <v>929</v>
      </c>
      <c r="BF76" s="217" t="s">
        <v>121</v>
      </c>
      <c r="BG76" s="217" t="s">
        <v>1998</v>
      </c>
      <c r="BH76" s="217" t="s">
        <v>1660</v>
      </c>
      <c r="BI76" s="217" t="s">
        <v>1660</v>
      </c>
      <c r="BJ76" s="217" t="s">
        <v>1660</v>
      </c>
      <c r="BK76" s="217" t="s">
        <v>637</v>
      </c>
      <c r="BL76" s="217"/>
      <c r="BM76" s="217"/>
      <c r="BN76" s="217">
        <v>0</v>
      </c>
      <c r="BO76" s="218">
        <v>0</v>
      </c>
      <c r="BR76" s="217" t="s">
        <v>85</v>
      </c>
      <c r="BS76" s="217" t="s">
        <v>173</v>
      </c>
      <c r="BT76" s="217" t="s">
        <v>297</v>
      </c>
      <c r="BU76" s="217" t="s">
        <v>976</v>
      </c>
      <c r="BV76" s="217">
        <v>6</v>
      </c>
      <c r="BW76" s="217">
        <v>42</v>
      </c>
      <c r="BX76" s="217">
        <v>0</v>
      </c>
      <c r="BY76" s="217">
        <v>0</v>
      </c>
      <c r="BZ76" s="217">
        <v>0</v>
      </c>
      <c r="CA76" s="217">
        <v>0</v>
      </c>
      <c r="CB76" s="217">
        <v>6</v>
      </c>
      <c r="CC76" s="217">
        <v>42</v>
      </c>
      <c r="CD76" s="217">
        <v>0</v>
      </c>
      <c r="CE76" s="217">
        <v>0</v>
      </c>
      <c r="CF76" s="217">
        <v>0</v>
      </c>
      <c r="CG76" s="218">
        <v>0</v>
      </c>
      <c r="CH76" s="218">
        <v>0</v>
      </c>
      <c r="CI76" s="218">
        <v>0</v>
      </c>
      <c r="CJ76" s="218">
        <v>0</v>
      </c>
    </row>
    <row r="77" spans="1:88" x14ac:dyDescent="0.25">
      <c r="A77" s="217" t="s">
        <v>22</v>
      </c>
      <c r="B77" s="217" t="s">
        <v>23</v>
      </c>
      <c r="C77" s="217" t="s">
        <v>85</v>
      </c>
      <c r="D77" s="217" t="s">
        <v>84</v>
      </c>
      <c r="E77" s="217" t="s">
        <v>88</v>
      </c>
      <c r="F77" s="217" t="s">
        <v>89</v>
      </c>
      <c r="G77" s="217" t="s">
        <v>106</v>
      </c>
      <c r="H77" s="217" t="s">
        <v>914</v>
      </c>
      <c r="I77" s="217" t="s">
        <v>29</v>
      </c>
      <c r="J77" s="217" t="s">
        <v>1857</v>
      </c>
      <c r="K77" s="217">
        <v>25</v>
      </c>
      <c r="L77" s="217">
        <v>112</v>
      </c>
      <c r="M77" s="217" t="s">
        <v>31</v>
      </c>
      <c r="N77" s="217" t="s">
        <v>32</v>
      </c>
      <c r="O77" s="217" t="s">
        <v>68</v>
      </c>
      <c r="P77" s="217" t="s">
        <v>34</v>
      </c>
      <c r="Q77" s="217" t="s">
        <v>35</v>
      </c>
      <c r="R77" s="217" t="s">
        <v>23</v>
      </c>
      <c r="S77" s="217" t="s">
        <v>22</v>
      </c>
      <c r="T77" s="217" t="s">
        <v>84</v>
      </c>
      <c r="U77" s="217" t="s">
        <v>85</v>
      </c>
      <c r="V77" s="217" t="s">
        <v>91</v>
      </c>
      <c r="W77" s="217" t="s">
        <v>92</v>
      </c>
      <c r="AD77" s="217" t="s">
        <v>36</v>
      </c>
      <c r="AE77" s="217" t="s">
        <v>37</v>
      </c>
      <c r="AF77" s="217" t="s">
        <v>249</v>
      </c>
      <c r="AG77" s="217" t="s">
        <v>250</v>
      </c>
      <c r="AH77" s="217" t="s">
        <v>254</v>
      </c>
      <c r="AI77" s="217" t="s">
        <v>1856</v>
      </c>
      <c r="AJ77" s="217">
        <v>2</v>
      </c>
      <c r="AK77" s="217">
        <v>10</v>
      </c>
      <c r="AL77" s="217" t="s">
        <v>154</v>
      </c>
      <c r="AM77" s="217" t="s">
        <v>34</v>
      </c>
      <c r="AN77" s="217" t="s">
        <v>138</v>
      </c>
      <c r="AO77" s="217" t="s">
        <v>199</v>
      </c>
      <c r="AP77" s="217" t="s">
        <v>200</v>
      </c>
      <c r="AQ77" s="217" t="s">
        <v>139</v>
      </c>
      <c r="AR77" s="217" t="s">
        <v>139</v>
      </c>
      <c r="AS77" s="217" t="s">
        <v>139</v>
      </c>
      <c r="AT77" s="217" t="s">
        <v>139</v>
      </c>
      <c r="AU77" s="217" t="s">
        <v>1705</v>
      </c>
      <c r="BC77" s="217" t="s">
        <v>85</v>
      </c>
      <c r="BD77" s="217" t="s">
        <v>95</v>
      </c>
      <c r="BE77" s="217" t="s">
        <v>930</v>
      </c>
      <c r="BF77" s="217" t="s">
        <v>263</v>
      </c>
      <c r="BG77" s="217" t="s">
        <v>1998</v>
      </c>
      <c r="BH77" s="217" t="s">
        <v>1658</v>
      </c>
      <c r="BI77" s="217" t="s">
        <v>1658</v>
      </c>
      <c r="BJ77" s="217" t="s">
        <v>1658</v>
      </c>
      <c r="BK77" s="217" t="s">
        <v>637</v>
      </c>
      <c r="BL77" s="217"/>
      <c r="BM77" s="217"/>
      <c r="BN77" s="217">
        <v>0</v>
      </c>
      <c r="BO77" s="218">
        <v>0</v>
      </c>
      <c r="BR77" s="217" t="s">
        <v>85</v>
      </c>
      <c r="BS77" s="217" t="s">
        <v>173</v>
      </c>
      <c r="BT77" s="217" t="s">
        <v>296</v>
      </c>
      <c r="BU77" s="217" t="s">
        <v>975</v>
      </c>
      <c r="BV77" s="217">
        <v>6</v>
      </c>
      <c r="BW77" s="217">
        <v>53</v>
      </c>
      <c r="BX77" s="217">
        <v>0</v>
      </c>
      <c r="BY77" s="217">
        <v>0</v>
      </c>
      <c r="BZ77" s="217">
        <v>0</v>
      </c>
      <c r="CA77" s="217">
        <v>0</v>
      </c>
      <c r="CB77" s="217">
        <v>6</v>
      </c>
      <c r="CC77" s="217">
        <v>53</v>
      </c>
      <c r="CD77" s="217">
        <v>0</v>
      </c>
      <c r="CE77" s="217">
        <v>0</v>
      </c>
      <c r="CF77" s="217">
        <v>0</v>
      </c>
      <c r="CG77" s="218">
        <v>0</v>
      </c>
      <c r="CH77" s="218">
        <v>0</v>
      </c>
      <c r="CI77" s="218">
        <v>0</v>
      </c>
      <c r="CJ77" s="218">
        <v>0</v>
      </c>
    </row>
    <row r="78" spans="1:88" x14ac:dyDescent="0.25">
      <c r="A78" s="217" t="s">
        <v>22</v>
      </c>
      <c r="B78" s="217" t="s">
        <v>23</v>
      </c>
      <c r="C78" s="217" t="s">
        <v>85</v>
      </c>
      <c r="D78" s="217" t="s">
        <v>84</v>
      </c>
      <c r="E78" s="217" t="s">
        <v>88</v>
      </c>
      <c r="F78" s="217" t="s">
        <v>89</v>
      </c>
      <c r="G78" s="217" t="s">
        <v>107</v>
      </c>
      <c r="H78" s="217" t="s">
        <v>915</v>
      </c>
      <c r="I78" s="217" t="s">
        <v>29</v>
      </c>
      <c r="J78" s="217" t="s">
        <v>1855</v>
      </c>
      <c r="K78" s="217">
        <v>2</v>
      </c>
      <c r="L78" s="217">
        <v>28</v>
      </c>
      <c r="M78" s="217" t="s">
        <v>31</v>
      </c>
      <c r="N78" s="217" t="s">
        <v>32</v>
      </c>
      <c r="O78" s="217" t="s">
        <v>68</v>
      </c>
      <c r="P78" s="217" t="s">
        <v>34</v>
      </c>
      <c r="Q78" s="217" t="s">
        <v>35</v>
      </c>
      <c r="R78" s="217" t="s">
        <v>23</v>
      </c>
      <c r="S78" s="217" t="s">
        <v>22</v>
      </c>
      <c r="T78" s="217" t="s">
        <v>84</v>
      </c>
      <c r="U78" s="217" t="s">
        <v>85</v>
      </c>
      <c r="V78" s="217" t="s">
        <v>91</v>
      </c>
      <c r="W78" s="217" t="s">
        <v>92</v>
      </c>
      <c r="AD78" s="217" t="s">
        <v>36</v>
      </c>
      <c r="AE78" s="217" t="s">
        <v>37</v>
      </c>
      <c r="AF78" s="217" t="s">
        <v>249</v>
      </c>
      <c r="AG78" s="217" t="s">
        <v>250</v>
      </c>
      <c r="AH78" s="217" t="s">
        <v>254</v>
      </c>
      <c r="AI78" s="217" t="s">
        <v>1857</v>
      </c>
      <c r="AJ78" s="217">
        <v>1</v>
      </c>
      <c r="AK78" s="217">
        <v>5</v>
      </c>
      <c r="AL78" s="217" t="s">
        <v>154</v>
      </c>
      <c r="AM78" s="217" t="s">
        <v>34</v>
      </c>
      <c r="AN78" s="217" t="s">
        <v>138</v>
      </c>
      <c r="AO78" s="217" t="s">
        <v>199</v>
      </c>
      <c r="AP78" s="217" t="s">
        <v>200</v>
      </c>
      <c r="AQ78" s="217" t="s">
        <v>139</v>
      </c>
      <c r="AR78" s="217" t="s">
        <v>139</v>
      </c>
      <c r="AS78" s="217" t="s">
        <v>139</v>
      </c>
      <c r="AT78" s="217" t="s">
        <v>139</v>
      </c>
      <c r="AU78" s="217" t="s">
        <v>1705</v>
      </c>
      <c r="BC78" s="217" t="s">
        <v>85</v>
      </c>
      <c r="BD78" s="217" t="s">
        <v>95</v>
      </c>
      <c r="BE78" s="217" t="s">
        <v>931</v>
      </c>
      <c r="BF78" s="217" t="s">
        <v>264</v>
      </c>
      <c r="BG78" s="217" t="s">
        <v>1998</v>
      </c>
      <c r="BH78" s="217" t="s">
        <v>1658</v>
      </c>
      <c r="BI78" s="217" t="s">
        <v>1658</v>
      </c>
      <c r="BJ78" s="217" t="s">
        <v>1660</v>
      </c>
      <c r="BK78" s="217" t="s">
        <v>637</v>
      </c>
      <c r="BL78" s="217"/>
      <c r="BM78" s="217"/>
      <c r="BN78" s="217">
        <v>0</v>
      </c>
      <c r="BO78" s="218">
        <v>0</v>
      </c>
      <c r="BR78" s="217" t="s">
        <v>85</v>
      </c>
      <c r="BS78" s="217" t="s">
        <v>173</v>
      </c>
      <c r="BT78" s="217" t="s">
        <v>697</v>
      </c>
      <c r="BU78" s="217" t="s">
        <v>982</v>
      </c>
      <c r="BV78" s="217">
        <v>3</v>
      </c>
      <c r="BW78" s="217">
        <v>34</v>
      </c>
      <c r="BX78" s="217">
        <v>0</v>
      </c>
      <c r="BY78" s="217">
        <v>0</v>
      </c>
      <c r="BZ78" s="217">
        <v>0</v>
      </c>
      <c r="CA78" s="217">
        <v>0</v>
      </c>
      <c r="CB78" s="217">
        <v>3</v>
      </c>
      <c r="CC78" s="217">
        <v>34</v>
      </c>
      <c r="CD78" s="217">
        <v>0</v>
      </c>
      <c r="CE78" s="217">
        <v>0</v>
      </c>
      <c r="CF78" s="217">
        <v>0</v>
      </c>
      <c r="CG78" s="218">
        <v>0</v>
      </c>
      <c r="CH78" s="218">
        <v>0</v>
      </c>
      <c r="CI78" s="218">
        <v>0</v>
      </c>
      <c r="CJ78" s="218">
        <v>0</v>
      </c>
    </row>
    <row r="79" spans="1:88" x14ac:dyDescent="0.25">
      <c r="A79" s="217" t="s">
        <v>22</v>
      </c>
      <c r="B79" s="217" t="s">
        <v>23</v>
      </c>
      <c r="C79" s="217" t="s">
        <v>85</v>
      </c>
      <c r="D79" s="217" t="s">
        <v>84</v>
      </c>
      <c r="E79" s="217" t="s">
        <v>88</v>
      </c>
      <c r="F79" s="217" t="s">
        <v>89</v>
      </c>
      <c r="G79" s="217" t="s">
        <v>107</v>
      </c>
      <c r="H79" s="217" t="s">
        <v>915</v>
      </c>
      <c r="I79" s="217" t="s">
        <v>29</v>
      </c>
      <c r="J79" s="217" t="s">
        <v>1856</v>
      </c>
      <c r="K79" s="217">
        <v>1</v>
      </c>
      <c r="L79" s="217">
        <v>12</v>
      </c>
      <c r="M79" s="217" t="s">
        <v>31</v>
      </c>
      <c r="N79" s="217" t="s">
        <v>32</v>
      </c>
      <c r="O79" s="217" t="s">
        <v>68</v>
      </c>
      <c r="P79" s="217" t="s">
        <v>34</v>
      </c>
      <c r="Q79" s="217" t="s">
        <v>35</v>
      </c>
      <c r="R79" s="217" t="s">
        <v>23</v>
      </c>
      <c r="S79" s="217" t="s">
        <v>22</v>
      </c>
      <c r="T79" s="217" t="s">
        <v>84</v>
      </c>
      <c r="U79" s="217" t="s">
        <v>85</v>
      </c>
      <c r="V79" s="217" t="s">
        <v>94</v>
      </c>
      <c r="W79" s="217" t="s">
        <v>95</v>
      </c>
      <c r="AD79" s="217" t="s">
        <v>36</v>
      </c>
      <c r="AE79" s="217" t="s">
        <v>37</v>
      </c>
      <c r="AF79" s="217" t="s">
        <v>249</v>
      </c>
      <c r="AG79" s="217" t="s">
        <v>250</v>
      </c>
      <c r="AH79" s="217" t="s">
        <v>254</v>
      </c>
      <c r="AI79" s="217" t="s">
        <v>1858</v>
      </c>
      <c r="AJ79" s="217">
        <v>1</v>
      </c>
      <c r="AK79" s="217">
        <v>5</v>
      </c>
      <c r="AL79" s="217" t="s">
        <v>154</v>
      </c>
      <c r="AM79" s="217" t="s">
        <v>34</v>
      </c>
      <c r="AN79" s="217" t="s">
        <v>138</v>
      </c>
      <c r="AO79" s="217" t="s">
        <v>199</v>
      </c>
      <c r="AP79" s="217" t="s">
        <v>200</v>
      </c>
      <c r="AQ79" s="217" t="s">
        <v>139</v>
      </c>
      <c r="AR79" s="217" t="s">
        <v>139</v>
      </c>
      <c r="AS79" s="217" t="s">
        <v>139</v>
      </c>
      <c r="AT79" s="217" t="s">
        <v>139</v>
      </c>
      <c r="AU79" s="217" t="s">
        <v>1703</v>
      </c>
      <c r="BC79" s="217" t="s">
        <v>85</v>
      </c>
      <c r="BD79" s="217" t="s">
        <v>95</v>
      </c>
      <c r="BE79" s="217" t="s">
        <v>932</v>
      </c>
      <c r="BF79" s="217" t="s">
        <v>265</v>
      </c>
      <c r="BG79" s="217" t="s">
        <v>1998</v>
      </c>
      <c r="BH79" s="217" t="s">
        <v>1658</v>
      </c>
      <c r="BI79" s="217" t="s">
        <v>1658</v>
      </c>
      <c r="BJ79" s="217" t="s">
        <v>1660</v>
      </c>
      <c r="BK79" s="217" t="s">
        <v>637</v>
      </c>
      <c r="BL79" s="217"/>
      <c r="BM79" s="217"/>
      <c r="BN79" s="217">
        <v>0</v>
      </c>
      <c r="BO79" s="218">
        <v>0</v>
      </c>
      <c r="BR79" s="217" t="s">
        <v>85</v>
      </c>
      <c r="BS79" s="217" t="s">
        <v>173</v>
      </c>
      <c r="BT79" s="217" t="s">
        <v>301</v>
      </c>
      <c r="BU79" s="217" t="s">
        <v>980</v>
      </c>
      <c r="BV79" s="217">
        <v>6</v>
      </c>
      <c r="BW79" s="217">
        <v>37</v>
      </c>
      <c r="BX79" s="217">
        <v>0</v>
      </c>
      <c r="BY79" s="217">
        <v>0</v>
      </c>
      <c r="BZ79" s="217">
        <v>0</v>
      </c>
      <c r="CA79" s="217">
        <v>0</v>
      </c>
      <c r="CB79" s="217">
        <v>6</v>
      </c>
      <c r="CC79" s="217">
        <v>37</v>
      </c>
      <c r="CD79" s="217">
        <v>0</v>
      </c>
      <c r="CE79" s="217">
        <v>0</v>
      </c>
      <c r="CF79" s="217">
        <v>0</v>
      </c>
      <c r="CG79" s="218">
        <v>0</v>
      </c>
      <c r="CH79" s="218">
        <v>0</v>
      </c>
      <c r="CI79" s="218">
        <v>0</v>
      </c>
      <c r="CJ79" s="218">
        <v>0</v>
      </c>
    </row>
    <row r="80" spans="1:88" x14ac:dyDescent="0.25">
      <c r="A80" s="217" t="s">
        <v>22</v>
      </c>
      <c r="B80" s="217" t="s">
        <v>23</v>
      </c>
      <c r="C80" s="217" t="s">
        <v>85</v>
      </c>
      <c r="D80" s="217" t="s">
        <v>84</v>
      </c>
      <c r="E80" s="217" t="s">
        <v>88</v>
      </c>
      <c r="F80" s="217" t="s">
        <v>89</v>
      </c>
      <c r="G80" s="217" t="s">
        <v>766</v>
      </c>
      <c r="H80" s="217" t="s">
        <v>916</v>
      </c>
      <c r="I80" s="217" t="s">
        <v>29</v>
      </c>
      <c r="J80" s="217" t="s">
        <v>1858</v>
      </c>
      <c r="K80" s="217">
        <v>22</v>
      </c>
      <c r="L80" s="217">
        <v>126</v>
      </c>
      <c r="M80" s="217" t="s">
        <v>31</v>
      </c>
      <c r="N80" s="217" t="s">
        <v>32</v>
      </c>
      <c r="O80" s="217" t="s">
        <v>68</v>
      </c>
      <c r="P80" s="217" t="s">
        <v>34</v>
      </c>
      <c r="Q80" s="217" t="s">
        <v>35</v>
      </c>
      <c r="R80" s="217" t="s">
        <v>23</v>
      </c>
      <c r="S80" s="217" t="s">
        <v>22</v>
      </c>
      <c r="T80" s="217" t="s">
        <v>84</v>
      </c>
      <c r="U80" s="217" t="s">
        <v>85</v>
      </c>
      <c r="V80" s="217" t="s">
        <v>109</v>
      </c>
      <c r="W80" s="217" t="s">
        <v>110</v>
      </c>
      <c r="AD80" s="217" t="s">
        <v>36</v>
      </c>
      <c r="AE80" s="217" t="s">
        <v>37</v>
      </c>
      <c r="AF80" s="217" t="s">
        <v>249</v>
      </c>
      <c r="AG80" s="217" t="s">
        <v>250</v>
      </c>
      <c r="AH80" s="217" t="s">
        <v>846</v>
      </c>
      <c r="AI80" s="217" t="s">
        <v>1855</v>
      </c>
      <c r="AJ80" s="217">
        <v>8</v>
      </c>
      <c r="AK80" s="217">
        <v>40</v>
      </c>
      <c r="AL80" s="217" t="s">
        <v>154</v>
      </c>
      <c r="AM80" s="217" t="s">
        <v>34</v>
      </c>
      <c r="AN80" s="217" t="s">
        <v>138</v>
      </c>
      <c r="AO80" s="217" t="s">
        <v>199</v>
      </c>
      <c r="AP80" s="217" t="s">
        <v>200</v>
      </c>
      <c r="AQ80" s="217" t="s">
        <v>139</v>
      </c>
      <c r="AR80" s="217" t="s">
        <v>139</v>
      </c>
      <c r="AS80" s="217" t="s">
        <v>139</v>
      </c>
      <c r="AT80" s="217" t="s">
        <v>139</v>
      </c>
      <c r="AU80" s="217" t="s">
        <v>1703</v>
      </c>
      <c r="BC80" s="217" t="s">
        <v>85</v>
      </c>
      <c r="BD80" s="217" t="s">
        <v>95</v>
      </c>
      <c r="BE80" s="217" t="s">
        <v>933</v>
      </c>
      <c r="BF80" s="217" t="s">
        <v>266</v>
      </c>
      <c r="BG80" s="217" t="s">
        <v>1998</v>
      </c>
      <c r="BH80" s="217" t="s">
        <v>1658</v>
      </c>
      <c r="BI80" s="217" t="s">
        <v>1658</v>
      </c>
      <c r="BJ80" s="217" t="s">
        <v>1660</v>
      </c>
      <c r="BK80" s="217" t="s">
        <v>637</v>
      </c>
      <c r="BL80" s="217"/>
      <c r="BM80" s="217"/>
      <c r="BN80" s="217">
        <v>0</v>
      </c>
      <c r="BO80" s="218">
        <v>0</v>
      </c>
      <c r="BR80" s="217" t="s">
        <v>85</v>
      </c>
      <c r="BS80" s="217" t="s">
        <v>173</v>
      </c>
      <c r="BT80" s="217" t="s">
        <v>308</v>
      </c>
      <c r="BU80" s="217" t="s">
        <v>991</v>
      </c>
      <c r="BV80" s="217">
        <v>7</v>
      </c>
      <c r="BW80" s="217">
        <v>32</v>
      </c>
      <c r="BX80" s="217">
        <v>0</v>
      </c>
      <c r="BY80" s="217">
        <v>0</v>
      </c>
      <c r="BZ80" s="217">
        <v>0</v>
      </c>
      <c r="CA80" s="217">
        <v>0</v>
      </c>
      <c r="CB80" s="217">
        <v>7</v>
      </c>
      <c r="CC80" s="217">
        <v>32</v>
      </c>
      <c r="CD80" s="217">
        <v>0</v>
      </c>
      <c r="CE80" s="217">
        <v>0</v>
      </c>
      <c r="CF80" s="217">
        <v>0</v>
      </c>
      <c r="CG80" s="218">
        <v>0</v>
      </c>
      <c r="CH80" s="218">
        <v>0</v>
      </c>
      <c r="CI80" s="218">
        <v>0</v>
      </c>
      <c r="CJ80" s="218">
        <v>0</v>
      </c>
    </row>
    <row r="81" spans="1:88" x14ac:dyDescent="0.25">
      <c r="A81" s="217" t="s">
        <v>22</v>
      </c>
      <c r="B81" s="217" t="s">
        <v>23</v>
      </c>
      <c r="C81" s="217" t="s">
        <v>85</v>
      </c>
      <c r="D81" s="217" t="s">
        <v>84</v>
      </c>
      <c r="E81" s="217" t="s">
        <v>88</v>
      </c>
      <c r="F81" s="217" t="s">
        <v>89</v>
      </c>
      <c r="G81" s="217" t="s">
        <v>669</v>
      </c>
      <c r="H81" s="217" t="s">
        <v>1558</v>
      </c>
      <c r="I81" s="217" t="s">
        <v>29</v>
      </c>
      <c r="J81" s="217" t="s">
        <v>1858</v>
      </c>
      <c r="K81" s="217">
        <v>1</v>
      </c>
      <c r="L81" s="217">
        <v>7</v>
      </c>
      <c r="M81" s="217" t="s">
        <v>31</v>
      </c>
      <c r="N81" s="217" t="s">
        <v>32</v>
      </c>
      <c r="O81" s="217" t="s">
        <v>68</v>
      </c>
      <c r="P81" s="217" t="s">
        <v>34</v>
      </c>
      <c r="Q81" s="217" t="s">
        <v>35</v>
      </c>
      <c r="R81" s="217" t="s">
        <v>23</v>
      </c>
      <c r="S81" s="217" t="s">
        <v>22</v>
      </c>
      <c r="T81" s="217" t="s">
        <v>84</v>
      </c>
      <c r="U81" s="217" t="s">
        <v>85</v>
      </c>
      <c r="V81" s="217" t="s">
        <v>94</v>
      </c>
      <c r="W81" s="217" t="s">
        <v>95</v>
      </c>
      <c r="AD81" s="217" t="s">
        <v>36</v>
      </c>
      <c r="AE81" s="217" t="s">
        <v>37</v>
      </c>
      <c r="AF81" s="217" t="s">
        <v>249</v>
      </c>
      <c r="AG81" s="217" t="s">
        <v>250</v>
      </c>
      <c r="AH81" s="217" t="s">
        <v>846</v>
      </c>
      <c r="AI81" s="217" t="s">
        <v>1856</v>
      </c>
      <c r="AJ81" s="217">
        <v>2</v>
      </c>
      <c r="AK81" s="217">
        <v>10</v>
      </c>
      <c r="AL81" s="217" t="s">
        <v>154</v>
      </c>
      <c r="AM81" s="217" t="s">
        <v>34</v>
      </c>
      <c r="AN81" s="217" t="s">
        <v>138</v>
      </c>
      <c r="AO81" s="217" t="s">
        <v>199</v>
      </c>
      <c r="AP81" s="217" t="s">
        <v>200</v>
      </c>
      <c r="AQ81" s="217" t="s">
        <v>139</v>
      </c>
      <c r="AR81" s="217" t="s">
        <v>139</v>
      </c>
      <c r="AS81" s="217" t="s">
        <v>139</v>
      </c>
      <c r="AT81" s="217" t="s">
        <v>139</v>
      </c>
      <c r="AU81" s="217" t="s">
        <v>1703</v>
      </c>
      <c r="BC81" s="217" t="s">
        <v>85</v>
      </c>
      <c r="BD81" s="217" t="s">
        <v>95</v>
      </c>
      <c r="BE81" s="217" t="s">
        <v>934</v>
      </c>
      <c r="BF81" s="217" t="s">
        <v>267</v>
      </c>
      <c r="BG81" s="217" t="s">
        <v>1998</v>
      </c>
      <c r="BH81" s="217" t="s">
        <v>1658</v>
      </c>
      <c r="BI81" s="217" t="s">
        <v>1660</v>
      </c>
      <c r="BJ81" s="217" t="s">
        <v>1660</v>
      </c>
      <c r="BK81" s="217" t="s">
        <v>637</v>
      </c>
      <c r="BL81" s="217"/>
      <c r="BM81" s="217"/>
      <c r="BN81" s="217">
        <v>0</v>
      </c>
      <c r="BO81" s="218">
        <v>0</v>
      </c>
      <c r="BR81" s="217" t="s">
        <v>85</v>
      </c>
      <c r="BS81" s="217" t="s">
        <v>173</v>
      </c>
      <c r="BT81" s="217" t="s">
        <v>299</v>
      </c>
      <c r="BU81" s="217" t="s">
        <v>978</v>
      </c>
      <c r="BV81" s="217">
        <v>88</v>
      </c>
      <c r="BW81" s="217">
        <v>614</v>
      </c>
      <c r="BX81" s="217">
        <v>0</v>
      </c>
      <c r="BY81" s="217">
        <v>0</v>
      </c>
      <c r="BZ81" s="217">
        <v>0</v>
      </c>
      <c r="CA81" s="217">
        <v>0</v>
      </c>
      <c r="CB81" s="217">
        <v>88</v>
      </c>
      <c r="CC81" s="217">
        <v>612</v>
      </c>
      <c r="CD81" s="217">
        <v>0</v>
      </c>
      <c r="CE81" s="217">
        <v>0</v>
      </c>
      <c r="CF81" s="217">
        <v>0</v>
      </c>
      <c r="CG81" s="218">
        <v>0</v>
      </c>
      <c r="CH81" s="218">
        <v>2</v>
      </c>
      <c r="CI81" s="218">
        <v>0</v>
      </c>
      <c r="CJ81" s="218">
        <v>0</v>
      </c>
    </row>
    <row r="82" spans="1:88" x14ac:dyDescent="0.25">
      <c r="A82" s="217" t="s">
        <v>22</v>
      </c>
      <c r="B82" s="217" t="s">
        <v>23</v>
      </c>
      <c r="C82" s="217" t="s">
        <v>85</v>
      </c>
      <c r="D82" s="217" t="s">
        <v>84</v>
      </c>
      <c r="E82" s="217" t="s">
        <v>88</v>
      </c>
      <c r="F82" s="217" t="s">
        <v>89</v>
      </c>
      <c r="G82" s="217" t="s">
        <v>1809</v>
      </c>
      <c r="H82" s="217" t="s">
        <v>1808</v>
      </c>
      <c r="I82" s="217" t="s">
        <v>29</v>
      </c>
      <c r="J82" s="217" t="s">
        <v>1857</v>
      </c>
      <c r="K82" s="217">
        <v>2</v>
      </c>
      <c r="L82" s="217">
        <v>8</v>
      </c>
      <c r="M82" s="217" t="s">
        <v>31</v>
      </c>
      <c r="N82" s="217" t="s">
        <v>32</v>
      </c>
      <c r="O82" s="217" t="s">
        <v>68</v>
      </c>
      <c r="P82" s="217" t="s">
        <v>34</v>
      </c>
      <c r="Q82" s="217" t="s">
        <v>35</v>
      </c>
      <c r="R82" s="217" t="s">
        <v>23</v>
      </c>
      <c r="S82" s="217" t="s">
        <v>22</v>
      </c>
      <c r="T82" s="217" t="s">
        <v>84</v>
      </c>
      <c r="U82" s="217" t="s">
        <v>85</v>
      </c>
      <c r="V82" s="217" t="s">
        <v>91</v>
      </c>
      <c r="W82" s="217" t="s">
        <v>92</v>
      </c>
      <c r="AD82" s="217" t="s">
        <v>36</v>
      </c>
      <c r="AE82" s="217" t="s">
        <v>37</v>
      </c>
      <c r="AF82" s="217" t="s">
        <v>249</v>
      </c>
      <c r="AG82" s="217" t="s">
        <v>250</v>
      </c>
      <c r="AH82" s="217" t="s">
        <v>846</v>
      </c>
      <c r="AI82" s="217" t="s">
        <v>1858</v>
      </c>
      <c r="AJ82" s="217">
        <v>2</v>
      </c>
      <c r="AK82" s="217">
        <v>10</v>
      </c>
      <c r="AL82" s="217" t="s">
        <v>154</v>
      </c>
      <c r="AM82" s="217" t="s">
        <v>34</v>
      </c>
      <c r="AN82" s="217" t="s">
        <v>138</v>
      </c>
      <c r="AO82" s="217" t="s">
        <v>199</v>
      </c>
      <c r="AP82" s="217" t="s">
        <v>200</v>
      </c>
      <c r="AQ82" s="217" t="s">
        <v>139</v>
      </c>
      <c r="AR82" s="217" t="s">
        <v>139</v>
      </c>
      <c r="AS82" s="217" t="s">
        <v>139</v>
      </c>
      <c r="AT82" s="217" t="s">
        <v>139</v>
      </c>
      <c r="AU82" s="217" t="s">
        <v>1703</v>
      </c>
      <c r="BC82" s="217" t="s">
        <v>85</v>
      </c>
      <c r="BD82" s="217" t="s">
        <v>95</v>
      </c>
      <c r="BE82" s="217" t="s">
        <v>935</v>
      </c>
      <c r="BF82" s="217" t="s">
        <v>268</v>
      </c>
      <c r="BG82" s="217" t="s">
        <v>1998</v>
      </c>
      <c r="BH82" s="217" t="s">
        <v>1658</v>
      </c>
      <c r="BI82" s="217" t="s">
        <v>1658</v>
      </c>
      <c r="BJ82" s="217" t="s">
        <v>1660</v>
      </c>
      <c r="BK82" s="217" t="s">
        <v>637</v>
      </c>
      <c r="BL82" s="217"/>
      <c r="BM82" s="217"/>
      <c r="BN82" s="217">
        <v>0</v>
      </c>
      <c r="BO82" s="218">
        <v>0</v>
      </c>
      <c r="BR82" s="217" t="s">
        <v>85</v>
      </c>
      <c r="BS82" s="217" t="s">
        <v>173</v>
      </c>
      <c r="BT82" s="217" t="s">
        <v>295</v>
      </c>
      <c r="BU82" s="217" t="s">
        <v>974</v>
      </c>
      <c r="BV82" s="217">
        <v>7</v>
      </c>
      <c r="BW82" s="217">
        <v>44</v>
      </c>
      <c r="BX82" s="217">
        <v>0</v>
      </c>
      <c r="BY82" s="217">
        <v>0</v>
      </c>
      <c r="BZ82" s="217">
        <v>0</v>
      </c>
      <c r="CA82" s="217">
        <v>0</v>
      </c>
      <c r="CB82" s="217">
        <v>7</v>
      </c>
      <c r="CC82" s="217">
        <v>44</v>
      </c>
      <c r="CD82" s="217">
        <v>0</v>
      </c>
      <c r="CE82" s="217">
        <v>0</v>
      </c>
      <c r="CF82" s="217">
        <v>0</v>
      </c>
      <c r="CG82" s="218">
        <v>0</v>
      </c>
      <c r="CH82" s="218">
        <v>0</v>
      </c>
      <c r="CI82" s="218">
        <v>0</v>
      </c>
      <c r="CJ82" s="218">
        <v>0</v>
      </c>
    </row>
    <row r="83" spans="1:88" x14ac:dyDescent="0.25">
      <c r="A83" s="217" t="s">
        <v>22</v>
      </c>
      <c r="B83" s="217" t="s">
        <v>23</v>
      </c>
      <c r="C83" s="217" t="s">
        <v>85</v>
      </c>
      <c r="D83" s="217" t="s">
        <v>84</v>
      </c>
      <c r="E83" s="217" t="s">
        <v>88</v>
      </c>
      <c r="F83" s="217" t="s">
        <v>89</v>
      </c>
      <c r="G83" s="217" t="s">
        <v>1809</v>
      </c>
      <c r="H83" s="217" t="s">
        <v>1808</v>
      </c>
      <c r="I83" s="217" t="s">
        <v>29</v>
      </c>
      <c r="J83" s="217" t="s">
        <v>1858</v>
      </c>
      <c r="K83" s="217">
        <v>8</v>
      </c>
      <c r="L83" s="217">
        <v>36</v>
      </c>
      <c r="M83" s="217" t="s">
        <v>31</v>
      </c>
      <c r="N83" s="217" t="s">
        <v>32</v>
      </c>
      <c r="O83" s="217" t="s">
        <v>68</v>
      </c>
      <c r="P83" s="217" t="s">
        <v>34</v>
      </c>
      <c r="Q83" s="217" t="s">
        <v>35</v>
      </c>
      <c r="R83" s="217" t="s">
        <v>23</v>
      </c>
      <c r="S83" s="217" t="s">
        <v>22</v>
      </c>
      <c r="T83" s="217" t="s">
        <v>84</v>
      </c>
      <c r="U83" s="217" t="s">
        <v>85</v>
      </c>
      <c r="V83" s="217" t="s">
        <v>91</v>
      </c>
      <c r="W83" s="217" t="s">
        <v>92</v>
      </c>
      <c r="AD83" s="217" t="s">
        <v>36</v>
      </c>
      <c r="AE83" s="217" t="s">
        <v>37</v>
      </c>
      <c r="AF83" s="217" t="s">
        <v>249</v>
      </c>
      <c r="AG83" s="217" t="s">
        <v>250</v>
      </c>
      <c r="AH83" s="217" t="s">
        <v>256</v>
      </c>
      <c r="AI83" s="217" t="s">
        <v>1856</v>
      </c>
      <c r="AJ83" s="217">
        <v>4</v>
      </c>
      <c r="AK83" s="217">
        <v>27</v>
      </c>
      <c r="AL83" s="217" t="s">
        <v>68</v>
      </c>
      <c r="AM83" s="217" t="s">
        <v>34</v>
      </c>
      <c r="AN83" s="217" t="s">
        <v>138</v>
      </c>
      <c r="AO83" s="217" t="s">
        <v>32</v>
      </c>
      <c r="AP83" s="217" t="s">
        <v>32</v>
      </c>
      <c r="AQ83" s="217" t="s">
        <v>139</v>
      </c>
      <c r="AR83" s="217" t="s">
        <v>139</v>
      </c>
      <c r="AS83" s="217" t="s">
        <v>548</v>
      </c>
      <c r="AT83" s="217" t="s">
        <v>547</v>
      </c>
      <c r="AU83" s="217" t="s">
        <v>547</v>
      </c>
      <c r="BC83" s="217" t="s">
        <v>85</v>
      </c>
      <c r="BD83" s="217" t="s">
        <v>95</v>
      </c>
      <c r="BE83" s="217" t="s">
        <v>936</v>
      </c>
      <c r="BF83" s="217" t="s">
        <v>269</v>
      </c>
      <c r="BG83" s="217" t="s">
        <v>1998</v>
      </c>
      <c r="BH83" s="217" t="s">
        <v>1658</v>
      </c>
      <c r="BI83" s="217" t="s">
        <v>1658</v>
      </c>
      <c r="BJ83" s="217" t="s">
        <v>1660</v>
      </c>
      <c r="BK83" s="217" t="s">
        <v>637</v>
      </c>
      <c r="BL83" s="217"/>
      <c r="BM83" s="217"/>
      <c r="BN83" s="217">
        <v>0</v>
      </c>
      <c r="BO83" s="218">
        <v>0</v>
      </c>
      <c r="BR83" s="217" t="s">
        <v>85</v>
      </c>
      <c r="BS83" s="217" t="s">
        <v>173</v>
      </c>
      <c r="BT83" s="217" t="s">
        <v>313</v>
      </c>
      <c r="BU83" s="217" t="s">
        <v>996</v>
      </c>
      <c r="BV83" s="217">
        <v>10</v>
      </c>
      <c r="BW83" s="217">
        <v>51</v>
      </c>
      <c r="BX83" s="217">
        <v>0</v>
      </c>
      <c r="BY83" s="217">
        <v>0</v>
      </c>
      <c r="BZ83" s="217">
        <v>0</v>
      </c>
      <c r="CA83" s="217">
        <v>0</v>
      </c>
      <c r="CB83" s="217">
        <v>10</v>
      </c>
      <c r="CC83" s="217">
        <v>51</v>
      </c>
      <c r="CD83" s="217">
        <v>0</v>
      </c>
      <c r="CE83" s="217">
        <v>0</v>
      </c>
      <c r="CF83" s="217">
        <v>0</v>
      </c>
      <c r="CG83" s="218">
        <v>0</v>
      </c>
      <c r="CH83" s="218">
        <v>0</v>
      </c>
      <c r="CI83" s="218">
        <v>0</v>
      </c>
      <c r="CJ83" s="218">
        <v>0</v>
      </c>
    </row>
    <row r="84" spans="1:88" x14ac:dyDescent="0.25">
      <c r="A84" s="217" t="s">
        <v>22</v>
      </c>
      <c r="B84" s="217" t="s">
        <v>23</v>
      </c>
      <c r="C84" s="217" t="s">
        <v>85</v>
      </c>
      <c r="D84" s="217" t="s">
        <v>84</v>
      </c>
      <c r="E84" s="217" t="s">
        <v>88</v>
      </c>
      <c r="F84" s="217" t="s">
        <v>89</v>
      </c>
      <c r="G84" s="217" t="s">
        <v>108</v>
      </c>
      <c r="H84" s="217" t="s">
        <v>917</v>
      </c>
      <c r="I84" s="217" t="s">
        <v>29</v>
      </c>
      <c r="J84" s="217" t="s">
        <v>1856</v>
      </c>
      <c r="K84" s="217">
        <v>1</v>
      </c>
      <c r="L84" s="217">
        <v>4</v>
      </c>
      <c r="M84" s="217" t="s">
        <v>31</v>
      </c>
      <c r="N84" s="217" t="s">
        <v>32</v>
      </c>
      <c r="O84" s="217" t="s">
        <v>68</v>
      </c>
      <c r="P84" s="217" t="s">
        <v>34</v>
      </c>
      <c r="Q84" s="217" t="s">
        <v>35</v>
      </c>
      <c r="R84" s="217" t="s">
        <v>23</v>
      </c>
      <c r="S84" s="217" t="s">
        <v>22</v>
      </c>
      <c r="T84" s="217" t="s">
        <v>84</v>
      </c>
      <c r="U84" s="217" t="s">
        <v>85</v>
      </c>
      <c r="V84" s="217" t="s">
        <v>109</v>
      </c>
      <c r="W84" s="217" t="s">
        <v>110</v>
      </c>
      <c r="AD84" s="217" t="s">
        <v>36</v>
      </c>
      <c r="AE84" s="217" t="s">
        <v>37</v>
      </c>
      <c r="AF84" s="217" t="s">
        <v>249</v>
      </c>
      <c r="AG84" s="217" t="s">
        <v>250</v>
      </c>
      <c r="AH84" s="217" t="s">
        <v>256</v>
      </c>
      <c r="AI84" s="217" t="s">
        <v>1859</v>
      </c>
      <c r="AJ84" s="217">
        <v>2</v>
      </c>
      <c r="AK84" s="217">
        <v>9</v>
      </c>
      <c r="AL84" s="217" t="s">
        <v>100</v>
      </c>
      <c r="AM84" s="217" t="s">
        <v>34</v>
      </c>
      <c r="AN84" s="217" t="s">
        <v>138</v>
      </c>
      <c r="AO84" s="217" t="s">
        <v>32</v>
      </c>
      <c r="AP84" s="217" t="s">
        <v>32</v>
      </c>
      <c r="AQ84" s="217" t="s">
        <v>139</v>
      </c>
      <c r="AR84" s="217" t="s">
        <v>139</v>
      </c>
      <c r="AS84" s="217" t="s">
        <v>139</v>
      </c>
      <c r="AT84" s="217" t="s">
        <v>139</v>
      </c>
      <c r="AU84" s="217" t="s">
        <v>2072</v>
      </c>
      <c r="BC84" s="217" t="s">
        <v>85</v>
      </c>
      <c r="BD84" s="217" t="s">
        <v>95</v>
      </c>
      <c r="BE84" s="217" t="s">
        <v>937</v>
      </c>
      <c r="BF84" s="217" t="s">
        <v>270</v>
      </c>
      <c r="BG84" s="217" t="s">
        <v>1998</v>
      </c>
      <c r="BH84" s="217" t="s">
        <v>1658</v>
      </c>
      <c r="BI84" s="217" t="s">
        <v>1660</v>
      </c>
      <c r="BJ84" s="217" t="s">
        <v>1658</v>
      </c>
      <c r="BK84" s="217" t="s">
        <v>637</v>
      </c>
      <c r="BL84" s="217"/>
      <c r="BM84" s="217"/>
      <c r="BN84" s="217">
        <v>0</v>
      </c>
      <c r="BO84" s="218">
        <v>0</v>
      </c>
      <c r="BR84" s="217" t="s">
        <v>85</v>
      </c>
      <c r="BS84" s="217" t="s">
        <v>173</v>
      </c>
      <c r="BT84" s="217" t="s">
        <v>303</v>
      </c>
      <c r="BU84" s="217" t="s">
        <v>984</v>
      </c>
      <c r="BV84" s="217">
        <v>10</v>
      </c>
      <c r="BW84" s="217">
        <v>52</v>
      </c>
      <c r="BX84" s="217">
        <v>0</v>
      </c>
      <c r="BY84" s="217">
        <v>0</v>
      </c>
      <c r="BZ84" s="217">
        <v>0</v>
      </c>
      <c r="CA84" s="217">
        <v>0</v>
      </c>
      <c r="CB84" s="217">
        <v>10</v>
      </c>
      <c r="CC84" s="217">
        <v>51</v>
      </c>
      <c r="CD84" s="217">
        <v>0</v>
      </c>
      <c r="CE84" s="217">
        <v>0</v>
      </c>
      <c r="CF84" s="217">
        <v>0</v>
      </c>
      <c r="CG84" s="218">
        <v>0</v>
      </c>
      <c r="CH84" s="218">
        <v>1</v>
      </c>
      <c r="CI84" s="218">
        <v>0</v>
      </c>
      <c r="CJ84" s="218">
        <v>0</v>
      </c>
    </row>
    <row r="85" spans="1:88" x14ac:dyDescent="0.25">
      <c r="A85" s="217" t="s">
        <v>22</v>
      </c>
      <c r="B85" s="217" t="s">
        <v>23</v>
      </c>
      <c r="C85" s="217" t="s">
        <v>85</v>
      </c>
      <c r="D85" s="217" t="s">
        <v>84</v>
      </c>
      <c r="E85" s="217" t="s">
        <v>88</v>
      </c>
      <c r="F85" s="217" t="s">
        <v>89</v>
      </c>
      <c r="G85" s="217" t="s">
        <v>767</v>
      </c>
      <c r="H85" s="217" t="s">
        <v>918</v>
      </c>
      <c r="I85" s="217" t="s">
        <v>29</v>
      </c>
      <c r="J85" s="217" t="s">
        <v>1857</v>
      </c>
      <c r="K85" s="217">
        <v>5</v>
      </c>
      <c r="L85" s="217">
        <v>22</v>
      </c>
      <c r="M85" s="217" t="s">
        <v>31</v>
      </c>
      <c r="N85" s="217" t="s">
        <v>32</v>
      </c>
      <c r="O85" s="217" t="s">
        <v>68</v>
      </c>
      <c r="P85" s="217" t="s">
        <v>34</v>
      </c>
      <c r="Q85" s="217" t="s">
        <v>35</v>
      </c>
      <c r="R85" s="217" t="s">
        <v>23</v>
      </c>
      <c r="S85" s="217" t="s">
        <v>22</v>
      </c>
      <c r="T85" s="217" t="s">
        <v>84</v>
      </c>
      <c r="U85" s="217" t="s">
        <v>85</v>
      </c>
      <c r="V85" s="217" t="s">
        <v>91</v>
      </c>
      <c r="W85" s="217" t="s">
        <v>92</v>
      </c>
      <c r="AD85" s="217" t="s">
        <v>36</v>
      </c>
      <c r="AE85" s="217" t="s">
        <v>37</v>
      </c>
      <c r="AF85" s="217" t="s">
        <v>249</v>
      </c>
      <c r="AG85" s="217" t="s">
        <v>250</v>
      </c>
      <c r="AH85" s="217" t="s">
        <v>257</v>
      </c>
      <c r="AI85" s="217" t="s">
        <v>1855</v>
      </c>
      <c r="AJ85" s="217">
        <v>3</v>
      </c>
      <c r="AK85" s="217">
        <v>15</v>
      </c>
      <c r="AL85" s="217" t="s">
        <v>154</v>
      </c>
      <c r="AM85" s="217" t="s">
        <v>34</v>
      </c>
      <c r="AN85" s="217" t="s">
        <v>138</v>
      </c>
      <c r="AO85" s="217" t="s">
        <v>199</v>
      </c>
      <c r="AP85" s="217" t="s">
        <v>200</v>
      </c>
      <c r="AQ85" s="217" t="s">
        <v>139</v>
      </c>
      <c r="AR85" s="217" t="s">
        <v>139</v>
      </c>
      <c r="AS85" s="217" t="s">
        <v>139</v>
      </c>
      <c r="AT85" s="217" t="s">
        <v>139</v>
      </c>
      <c r="AU85" s="217" t="s">
        <v>1703</v>
      </c>
      <c r="BC85" s="217" t="s">
        <v>85</v>
      </c>
      <c r="BD85" s="217" t="s">
        <v>95</v>
      </c>
      <c r="BE85" s="217" t="s">
        <v>938</v>
      </c>
      <c r="BF85" s="217" t="s">
        <v>271</v>
      </c>
      <c r="BG85" s="217" t="s">
        <v>1998</v>
      </c>
      <c r="BH85" s="217" t="s">
        <v>1658</v>
      </c>
      <c r="BI85" s="217" t="s">
        <v>1660</v>
      </c>
      <c r="BJ85" s="217" t="s">
        <v>1660</v>
      </c>
      <c r="BK85" s="217" t="s">
        <v>637</v>
      </c>
      <c r="BL85" s="217"/>
      <c r="BM85" s="217"/>
      <c r="BN85" s="217">
        <v>0</v>
      </c>
      <c r="BO85" s="218">
        <v>0</v>
      </c>
      <c r="BR85" s="217" t="s">
        <v>85</v>
      </c>
      <c r="BS85" s="217" t="s">
        <v>173</v>
      </c>
      <c r="BT85" s="217" t="s">
        <v>302</v>
      </c>
      <c r="BU85" s="217" t="s">
        <v>981</v>
      </c>
      <c r="BV85" s="217">
        <v>15</v>
      </c>
      <c r="BW85" s="217">
        <v>115</v>
      </c>
      <c r="BX85" s="217">
        <v>0</v>
      </c>
      <c r="BY85" s="217">
        <v>0</v>
      </c>
      <c r="BZ85" s="217">
        <v>0</v>
      </c>
      <c r="CA85" s="217">
        <v>0</v>
      </c>
      <c r="CB85" s="217">
        <v>15</v>
      </c>
      <c r="CC85" s="217">
        <v>115</v>
      </c>
      <c r="CD85" s="217">
        <v>0</v>
      </c>
      <c r="CE85" s="217">
        <v>0</v>
      </c>
      <c r="CF85" s="217">
        <v>0</v>
      </c>
      <c r="CG85" s="218">
        <v>0</v>
      </c>
      <c r="CH85" s="218">
        <v>0</v>
      </c>
      <c r="CI85" s="218">
        <v>0</v>
      </c>
      <c r="CJ85" s="218">
        <v>0</v>
      </c>
    </row>
    <row r="86" spans="1:88" x14ac:dyDescent="0.25">
      <c r="A86" s="217" t="s">
        <v>22</v>
      </c>
      <c r="B86" s="217" t="s">
        <v>23</v>
      </c>
      <c r="C86" s="217" t="s">
        <v>85</v>
      </c>
      <c r="D86" s="217" t="s">
        <v>84</v>
      </c>
      <c r="E86" s="217" t="s">
        <v>88</v>
      </c>
      <c r="F86" s="217" t="s">
        <v>89</v>
      </c>
      <c r="G86" s="217" t="s">
        <v>767</v>
      </c>
      <c r="H86" s="217" t="s">
        <v>918</v>
      </c>
      <c r="I86" s="217" t="s">
        <v>29</v>
      </c>
      <c r="J86" s="217" t="s">
        <v>1858</v>
      </c>
      <c r="K86" s="217">
        <v>3</v>
      </c>
      <c r="L86" s="217">
        <v>16</v>
      </c>
      <c r="M86" s="217" t="s">
        <v>99</v>
      </c>
      <c r="N86" s="217" t="s">
        <v>32</v>
      </c>
      <c r="O86" s="217" t="s">
        <v>100</v>
      </c>
      <c r="P86" s="217" t="s">
        <v>34</v>
      </c>
      <c r="Q86" s="217" t="s">
        <v>35</v>
      </c>
      <c r="R86" s="217" t="s">
        <v>23</v>
      </c>
      <c r="S86" s="217" t="s">
        <v>22</v>
      </c>
      <c r="T86" s="217" t="s">
        <v>84</v>
      </c>
      <c r="U86" s="217" t="s">
        <v>85</v>
      </c>
      <c r="V86" s="217" t="s">
        <v>89</v>
      </c>
      <c r="W86" s="217" t="s">
        <v>88</v>
      </c>
      <c r="AD86" s="217" t="s">
        <v>36</v>
      </c>
      <c r="AE86" s="217" t="s">
        <v>37</v>
      </c>
      <c r="AF86" s="217" t="s">
        <v>249</v>
      </c>
      <c r="AG86" s="217" t="s">
        <v>250</v>
      </c>
      <c r="AH86" s="217" t="s">
        <v>257</v>
      </c>
      <c r="AI86" s="217" t="s">
        <v>1856</v>
      </c>
      <c r="AJ86" s="217">
        <v>1</v>
      </c>
      <c r="AK86" s="217">
        <v>5</v>
      </c>
      <c r="AL86" s="217" t="s">
        <v>33</v>
      </c>
      <c r="AM86" s="217" t="s">
        <v>34</v>
      </c>
      <c r="AN86" s="217" t="s">
        <v>138</v>
      </c>
      <c r="AO86" s="217" t="s">
        <v>32</v>
      </c>
      <c r="AP86" s="217" t="s">
        <v>32</v>
      </c>
      <c r="AQ86" s="217" t="s">
        <v>47</v>
      </c>
      <c r="AR86" s="217" t="s">
        <v>48</v>
      </c>
      <c r="AS86" s="217" t="s">
        <v>139</v>
      </c>
      <c r="AT86" s="217" t="s">
        <v>139</v>
      </c>
      <c r="AU86" s="217" t="s">
        <v>232</v>
      </c>
      <c r="BC86" s="217" t="s">
        <v>85</v>
      </c>
      <c r="BD86" s="217" t="s">
        <v>95</v>
      </c>
      <c r="BE86" s="217" t="s">
        <v>939</v>
      </c>
      <c r="BF86" s="217" t="s">
        <v>272</v>
      </c>
      <c r="BG86" s="217" t="s">
        <v>1998</v>
      </c>
      <c r="BH86" s="217" t="s">
        <v>1658</v>
      </c>
      <c r="BI86" s="217" t="s">
        <v>1660</v>
      </c>
      <c r="BJ86" s="217" t="s">
        <v>1660</v>
      </c>
      <c r="BK86" s="217" t="s">
        <v>637</v>
      </c>
      <c r="BL86" s="217"/>
      <c r="BM86" s="217"/>
      <c r="BN86" s="217">
        <v>0</v>
      </c>
      <c r="BO86" s="218">
        <v>0</v>
      </c>
      <c r="BR86" s="217" t="s">
        <v>85</v>
      </c>
      <c r="BS86" s="217" t="s">
        <v>173</v>
      </c>
      <c r="BT86" s="217" t="s">
        <v>294</v>
      </c>
      <c r="BU86" s="217" t="s">
        <v>973</v>
      </c>
      <c r="BV86" s="217">
        <v>5</v>
      </c>
      <c r="BW86" s="217">
        <v>33</v>
      </c>
      <c r="BX86" s="217">
        <v>0</v>
      </c>
      <c r="BY86" s="217">
        <v>0</v>
      </c>
      <c r="BZ86" s="217">
        <v>0</v>
      </c>
      <c r="CA86" s="217">
        <v>0</v>
      </c>
      <c r="CB86" s="217">
        <v>5</v>
      </c>
      <c r="CC86" s="217">
        <v>33</v>
      </c>
      <c r="CD86" s="217">
        <v>0</v>
      </c>
      <c r="CE86" s="217">
        <v>0</v>
      </c>
      <c r="CF86" s="217">
        <v>0</v>
      </c>
      <c r="CG86" s="218">
        <v>0</v>
      </c>
      <c r="CH86" s="218">
        <v>0</v>
      </c>
      <c r="CI86" s="218">
        <v>0</v>
      </c>
      <c r="CJ86" s="218">
        <v>0</v>
      </c>
    </row>
    <row r="87" spans="1:88" x14ac:dyDescent="0.25">
      <c r="A87" s="217" t="s">
        <v>22</v>
      </c>
      <c r="B87" s="217" t="s">
        <v>23</v>
      </c>
      <c r="C87" s="217" t="s">
        <v>85</v>
      </c>
      <c r="D87" s="217" t="s">
        <v>84</v>
      </c>
      <c r="E87" s="217" t="s">
        <v>88</v>
      </c>
      <c r="F87" s="217" t="s">
        <v>89</v>
      </c>
      <c r="G87" s="217" t="s">
        <v>111</v>
      </c>
      <c r="H87" s="217" t="s">
        <v>919</v>
      </c>
      <c r="I87" s="217" t="s">
        <v>29</v>
      </c>
      <c r="J87" s="217" t="s">
        <v>1855</v>
      </c>
      <c r="K87" s="217">
        <v>5</v>
      </c>
      <c r="L87" s="217">
        <v>36</v>
      </c>
      <c r="M87" s="217" t="s">
        <v>31</v>
      </c>
      <c r="N87" s="217" t="s">
        <v>32</v>
      </c>
      <c r="O87" s="217" t="s">
        <v>68</v>
      </c>
      <c r="P87" s="217" t="s">
        <v>34</v>
      </c>
      <c r="Q87" s="217" t="s">
        <v>35</v>
      </c>
      <c r="R87" s="217" t="s">
        <v>23</v>
      </c>
      <c r="S87" s="217" t="s">
        <v>22</v>
      </c>
      <c r="T87" s="217" t="s">
        <v>84</v>
      </c>
      <c r="U87" s="217" t="s">
        <v>85</v>
      </c>
      <c r="V87" s="217" t="s">
        <v>97</v>
      </c>
      <c r="W87" s="217" t="s">
        <v>98</v>
      </c>
      <c r="AD87" s="217" t="s">
        <v>36</v>
      </c>
      <c r="AE87" s="217" t="s">
        <v>37</v>
      </c>
      <c r="AF87" s="217" t="s">
        <v>249</v>
      </c>
      <c r="AG87" s="217" t="s">
        <v>250</v>
      </c>
      <c r="AH87" s="217" t="s">
        <v>257</v>
      </c>
      <c r="AI87" s="217" t="s">
        <v>1858</v>
      </c>
      <c r="AJ87" s="217">
        <v>1</v>
      </c>
      <c r="AK87" s="217">
        <v>5</v>
      </c>
      <c r="AL87" s="217" t="s">
        <v>33</v>
      </c>
      <c r="AM87" s="217" t="s">
        <v>34</v>
      </c>
      <c r="AN87" s="217" t="s">
        <v>138</v>
      </c>
      <c r="AO87" s="217" t="s">
        <v>32</v>
      </c>
      <c r="AP87" s="217" t="s">
        <v>32</v>
      </c>
      <c r="AQ87" s="217" t="s">
        <v>47</v>
      </c>
      <c r="AR87" s="217" t="s">
        <v>48</v>
      </c>
      <c r="AS87" s="217" t="s">
        <v>139</v>
      </c>
      <c r="AT87" s="217" t="s">
        <v>139</v>
      </c>
      <c r="AU87" s="217" t="s">
        <v>2192</v>
      </c>
      <c r="BC87" s="217" t="s">
        <v>85</v>
      </c>
      <c r="BD87" s="217" t="s">
        <v>95</v>
      </c>
      <c r="BE87" s="217" t="s">
        <v>940</v>
      </c>
      <c r="BF87" s="217" t="s">
        <v>273</v>
      </c>
      <c r="BG87" s="217" t="s">
        <v>1998</v>
      </c>
      <c r="BH87" s="217" t="s">
        <v>1658</v>
      </c>
      <c r="BI87" s="217" t="s">
        <v>1658</v>
      </c>
      <c r="BJ87" s="217" t="s">
        <v>1660</v>
      </c>
      <c r="BK87" s="217" t="s">
        <v>637</v>
      </c>
      <c r="BL87" s="217"/>
      <c r="BM87" s="217"/>
      <c r="BN87" s="217">
        <v>0</v>
      </c>
      <c r="BO87" s="218">
        <v>0</v>
      </c>
      <c r="BR87" s="217" t="s">
        <v>85</v>
      </c>
      <c r="BS87" s="217" t="s">
        <v>173</v>
      </c>
      <c r="BT87" s="217" t="s">
        <v>305</v>
      </c>
      <c r="BU87" s="217" t="s">
        <v>987</v>
      </c>
      <c r="BV87" s="217">
        <v>9</v>
      </c>
      <c r="BW87" s="217">
        <v>62</v>
      </c>
      <c r="BX87" s="217">
        <v>0</v>
      </c>
      <c r="BY87" s="217">
        <v>0</v>
      </c>
      <c r="BZ87" s="217">
        <v>0</v>
      </c>
      <c r="CA87" s="217">
        <v>0</v>
      </c>
      <c r="CB87" s="217">
        <v>9</v>
      </c>
      <c r="CC87" s="217">
        <v>62</v>
      </c>
      <c r="CD87" s="217">
        <v>0</v>
      </c>
      <c r="CE87" s="217">
        <v>0</v>
      </c>
      <c r="CF87" s="217">
        <v>0</v>
      </c>
      <c r="CG87" s="218">
        <v>0</v>
      </c>
      <c r="CH87" s="218">
        <v>0</v>
      </c>
      <c r="CI87" s="218">
        <v>0</v>
      </c>
      <c r="CJ87" s="218">
        <v>0</v>
      </c>
    </row>
    <row r="88" spans="1:88" x14ac:dyDescent="0.25">
      <c r="A88" s="217" t="s">
        <v>22</v>
      </c>
      <c r="B88" s="217" t="s">
        <v>23</v>
      </c>
      <c r="C88" s="217" t="s">
        <v>85</v>
      </c>
      <c r="D88" s="217" t="s">
        <v>84</v>
      </c>
      <c r="E88" s="217" t="s">
        <v>88</v>
      </c>
      <c r="F88" s="217" t="s">
        <v>89</v>
      </c>
      <c r="G88" s="217" t="s">
        <v>111</v>
      </c>
      <c r="H88" s="217" t="s">
        <v>919</v>
      </c>
      <c r="I88" s="217" t="s">
        <v>29</v>
      </c>
      <c r="J88" s="217" t="s">
        <v>1856</v>
      </c>
      <c r="K88" s="217">
        <v>6</v>
      </c>
      <c r="L88" s="217">
        <v>45</v>
      </c>
      <c r="M88" s="217" t="s">
        <v>31</v>
      </c>
      <c r="N88" s="217" t="s">
        <v>32</v>
      </c>
      <c r="O88" s="217" t="s">
        <v>68</v>
      </c>
      <c r="P88" s="217" t="s">
        <v>34</v>
      </c>
      <c r="Q88" s="217" t="s">
        <v>35</v>
      </c>
      <c r="R88" s="217" t="s">
        <v>23</v>
      </c>
      <c r="S88" s="217" t="s">
        <v>22</v>
      </c>
      <c r="T88" s="217" t="s">
        <v>84</v>
      </c>
      <c r="U88" s="217" t="s">
        <v>85</v>
      </c>
      <c r="V88" s="217" t="s">
        <v>91</v>
      </c>
      <c r="W88" s="217" t="s">
        <v>92</v>
      </c>
      <c r="AD88" s="217" t="s">
        <v>36</v>
      </c>
      <c r="AE88" s="217" t="s">
        <v>37</v>
      </c>
      <c r="AF88" s="217" t="s">
        <v>249</v>
      </c>
      <c r="AG88" s="217" t="s">
        <v>250</v>
      </c>
      <c r="AH88" s="217" t="s">
        <v>258</v>
      </c>
      <c r="AI88" s="217" t="s">
        <v>1855</v>
      </c>
      <c r="AJ88" s="217">
        <v>5</v>
      </c>
      <c r="AK88" s="217">
        <v>25</v>
      </c>
      <c r="AL88" s="217" t="s">
        <v>154</v>
      </c>
      <c r="AM88" s="217" t="s">
        <v>34</v>
      </c>
      <c r="AN88" s="217" t="s">
        <v>138</v>
      </c>
      <c r="AO88" s="217" t="s">
        <v>199</v>
      </c>
      <c r="AP88" s="217" t="s">
        <v>200</v>
      </c>
      <c r="AQ88" s="217" t="s">
        <v>139</v>
      </c>
      <c r="AR88" s="217" t="s">
        <v>139</v>
      </c>
      <c r="AS88" s="217" t="s">
        <v>139</v>
      </c>
      <c r="AT88" s="217" t="s">
        <v>139</v>
      </c>
      <c r="AU88" s="217" t="s">
        <v>1705</v>
      </c>
      <c r="BC88" s="217" t="s">
        <v>85</v>
      </c>
      <c r="BD88" s="217" t="s">
        <v>92</v>
      </c>
      <c r="BE88" s="217" t="s">
        <v>941</v>
      </c>
      <c r="BF88" s="217" t="s">
        <v>274</v>
      </c>
      <c r="BG88" s="217" t="s">
        <v>1998</v>
      </c>
      <c r="BH88" s="217" t="s">
        <v>1658</v>
      </c>
      <c r="BI88" s="217" t="s">
        <v>1660</v>
      </c>
      <c r="BJ88" s="217" t="s">
        <v>1658</v>
      </c>
      <c r="BK88" s="217" t="s">
        <v>637</v>
      </c>
      <c r="BL88" s="217"/>
      <c r="BM88" s="217" t="s">
        <v>92</v>
      </c>
      <c r="BN88" s="217">
        <v>10</v>
      </c>
      <c r="BO88" s="218">
        <v>2017</v>
      </c>
      <c r="BR88" s="217" t="s">
        <v>85</v>
      </c>
      <c r="BS88" s="217" t="s">
        <v>173</v>
      </c>
      <c r="BT88" s="217" t="s">
        <v>300</v>
      </c>
      <c r="BU88" s="217" t="s">
        <v>979</v>
      </c>
      <c r="BV88" s="217">
        <v>27</v>
      </c>
      <c r="BW88" s="217">
        <v>119</v>
      </c>
      <c r="BX88" s="217">
        <v>0</v>
      </c>
      <c r="BY88" s="217">
        <v>0</v>
      </c>
      <c r="BZ88" s="217">
        <v>0</v>
      </c>
      <c r="CA88" s="217">
        <v>0</v>
      </c>
      <c r="CB88" s="217">
        <v>27</v>
      </c>
      <c r="CC88" s="217">
        <v>119</v>
      </c>
      <c r="CD88" s="217">
        <v>0</v>
      </c>
      <c r="CE88" s="217">
        <v>0</v>
      </c>
      <c r="CF88" s="217">
        <v>0</v>
      </c>
      <c r="CG88" s="218">
        <v>0</v>
      </c>
      <c r="CH88" s="218">
        <v>0</v>
      </c>
      <c r="CI88" s="218">
        <v>0</v>
      </c>
      <c r="CJ88" s="218">
        <v>0</v>
      </c>
    </row>
    <row r="89" spans="1:88" x14ac:dyDescent="0.25">
      <c r="A89" s="217" t="s">
        <v>22</v>
      </c>
      <c r="B89" s="217" t="s">
        <v>23</v>
      </c>
      <c r="C89" s="217" t="s">
        <v>85</v>
      </c>
      <c r="D89" s="217" t="s">
        <v>84</v>
      </c>
      <c r="E89" s="217" t="s">
        <v>88</v>
      </c>
      <c r="F89" s="217" t="s">
        <v>89</v>
      </c>
      <c r="G89" s="217" t="s">
        <v>111</v>
      </c>
      <c r="H89" s="217" t="s">
        <v>919</v>
      </c>
      <c r="I89" s="217" t="s">
        <v>29</v>
      </c>
      <c r="J89" s="217" t="s">
        <v>1857</v>
      </c>
      <c r="K89" s="217">
        <v>5</v>
      </c>
      <c r="L89" s="217">
        <v>31</v>
      </c>
      <c r="M89" s="217" t="s">
        <v>31</v>
      </c>
      <c r="N89" s="217" t="s">
        <v>32</v>
      </c>
      <c r="O89" s="217" t="s">
        <v>68</v>
      </c>
      <c r="P89" s="217" t="s">
        <v>34</v>
      </c>
      <c r="Q89" s="217" t="s">
        <v>35</v>
      </c>
      <c r="R89" s="217" t="s">
        <v>23</v>
      </c>
      <c r="S89" s="217" t="s">
        <v>22</v>
      </c>
      <c r="T89" s="217" t="s">
        <v>84</v>
      </c>
      <c r="U89" s="217" t="s">
        <v>85</v>
      </c>
      <c r="V89" s="217" t="s">
        <v>91</v>
      </c>
      <c r="W89" s="217" t="s">
        <v>92</v>
      </c>
      <c r="AD89" s="217" t="s">
        <v>36</v>
      </c>
      <c r="AE89" s="217" t="s">
        <v>37</v>
      </c>
      <c r="AF89" s="217" t="s">
        <v>249</v>
      </c>
      <c r="AG89" s="217" t="s">
        <v>250</v>
      </c>
      <c r="AH89" s="217" t="s">
        <v>258</v>
      </c>
      <c r="AI89" s="217" t="s">
        <v>1856</v>
      </c>
      <c r="AJ89" s="217">
        <v>2</v>
      </c>
      <c r="AK89" s="217">
        <v>10</v>
      </c>
      <c r="AL89" s="217" t="s">
        <v>154</v>
      </c>
      <c r="AM89" s="217" t="s">
        <v>34</v>
      </c>
      <c r="AN89" s="217" t="s">
        <v>138</v>
      </c>
      <c r="AO89" s="217" t="s">
        <v>199</v>
      </c>
      <c r="AP89" s="217" t="s">
        <v>200</v>
      </c>
      <c r="AQ89" s="217" t="s">
        <v>139</v>
      </c>
      <c r="AR89" s="217" t="s">
        <v>139</v>
      </c>
      <c r="AS89" s="217" t="s">
        <v>139</v>
      </c>
      <c r="AT89" s="217" t="s">
        <v>139</v>
      </c>
      <c r="AU89" s="217" t="s">
        <v>1705</v>
      </c>
      <c r="BC89" s="217" t="s">
        <v>85</v>
      </c>
      <c r="BD89" s="217" t="s">
        <v>92</v>
      </c>
      <c r="BE89" s="217" t="s">
        <v>1671</v>
      </c>
      <c r="BF89" s="217" t="s">
        <v>295</v>
      </c>
      <c r="BG89" s="217" t="s">
        <v>2007</v>
      </c>
      <c r="BH89" s="217" t="s">
        <v>1660</v>
      </c>
      <c r="BI89" s="217" t="s">
        <v>1660</v>
      </c>
      <c r="BJ89" s="217" t="s">
        <v>1660</v>
      </c>
      <c r="BK89" s="217" t="s">
        <v>637</v>
      </c>
      <c r="BL89" s="217"/>
      <c r="BM89" s="217"/>
      <c r="BN89" s="217">
        <v>0</v>
      </c>
      <c r="BO89" s="218">
        <v>0</v>
      </c>
      <c r="BR89" s="217" t="s">
        <v>85</v>
      </c>
      <c r="BS89" s="217" t="s">
        <v>173</v>
      </c>
      <c r="BT89" s="217" t="s">
        <v>304</v>
      </c>
      <c r="BU89" s="217" t="s">
        <v>985</v>
      </c>
      <c r="BV89" s="217">
        <v>4</v>
      </c>
      <c r="BW89" s="217">
        <v>25</v>
      </c>
      <c r="BX89" s="217">
        <v>0</v>
      </c>
      <c r="BY89" s="217">
        <v>0</v>
      </c>
      <c r="BZ89" s="217">
        <v>0</v>
      </c>
      <c r="CA89" s="217">
        <v>0</v>
      </c>
      <c r="CB89" s="217">
        <v>4</v>
      </c>
      <c r="CC89" s="217">
        <v>25</v>
      </c>
      <c r="CD89" s="217">
        <v>0</v>
      </c>
      <c r="CE89" s="217">
        <v>0</v>
      </c>
      <c r="CF89" s="217">
        <v>0</v>
      </c>
      <c r="CG89" s="218">
        <v>0</v>
      </c>
      <c r="CH89" s="218">
        <v>0</v>
      </c>
      <c r="CI89" s="218">
        <v>0</v>
      </c>
      <c r="CJ89" s="218">
        <v>0</v>
      </c>
    </row>
    <row r="90" spans="1:88" x14ac:dyDescent="0.25">
      <c r="A90" s="217" t="s">
        <v>22</v>
      </c>
      <c r="B90" s="217" t="s">
        <v>23</v>
      </c>
      <c r="C90" s="217" t="s">
        <v>85</v>
      </c>
      <c r="D90" s="217" t="s">
        <v>84</v>
      </c>
      <c r="E90" s="217" t="s">
        <v>95</v>
      </c>
      <c r="F90" s="217" t="s">
        <v>94</v>
      </c>
      <c r="G90" s="217" t="s">
        <v>112</v>
      </c>
      <c r="H90" s="217" t="s">
        <v>920</v>
      </c>
      <c r="I90" s="217" t="s">
        <v>29</v>
      </c>
      <c r="J90" s="217" t="s">
        <v>1856</v>
      </c>
      <c r="K90" s="217">
        <v>12</v>
      </c>
      <c r="L90" s="217">
        <v>59</v>
      </c>
      <c r="M90" s="217" t="s">
        <v>31</v>
      </c>
      <c r="N90" s="217" t="s">
        <v>32</v>
      </c>
      <c r="O90" s="217" t="s">
        <v>68</v>
      </c>
      <c r="P90" s="217" t="s">
        <v>34</v>
      </c>
      <c r="Q90" s="217" t="s">
        <v>35</v>
      </c>
      <c r="R90" s="217" t="s">
        <v>23</v>
      </c>
      <c r="S90" s="217" t="s">
        <v>22</v>
      </c>
      <c r="T90" s="217" t="s">
        <v>84</v>
      </c>
      <c r="U90" s="217" t="s">
        <v>85</v>
      </c>
      <c r="V90" s="217" t="s">
        <v>109</v>
      </c>
      <c r="W90" s="217" t="s">
        <v>110</v>
      </c>
      <c r="AD90" s="217" t="s">
        <v>36</v>
      </c>
      <c r="AE90" s="217" t="s">
        <v>37</v>
      </c>
      <c r="AF90" s="217" t="s">
        <v>249</v>
      </c>
      <c r="AG90" s="217" t="s">
        <v>250</v>
      </c>
      <c r="AH90" s="217" t="s">
        <v>258</v>
      </c>
      <c r="AI90" s="217" t="s">
        <v>1857</v>
      </c>
      <c r="AJ90" s="217">
        <v>1</v>
      </c>
      <c r="AK90" s="217">
        <v>5</v>
      </c>
      <c r="AL90" s="217" t="s">
        <v>154</v>
      </c>
      <c r="AM90" s="217" t="s">
        <v>34</v>
      </c>
      <c r="AN90" s="217" t="s">
        <v>138</v>
      </c>
      <c r="AO90" s="217" t="s">
        <v>199</v>
      </c>
      <c r="AP90" s="217" t="s">
        <v>200</v>
      </c>
      <c r="AQ90" s="217" t="s">
        <v>139</v>
      </c>
      <c r="AR90" s="217" t="s">
        <v>139</v>
      </c>
      <c r="AS90" s="217" t="s">
        <v>139</v>
      </c>
      <c r="AT90" s="217" t="s">
        <v>139</v>
      </c>
      <c r="AU90" s="217" t="s">
        <v>1705</v>
      </c>
      <c r="BC90" s="217" t="s">
        <v>85</v>
      </c>
      <c r="BD90" s="217" t="s">
        <v>92</v>
      </c>
      <c r="BE90" s="217" t="s">
        <v>942</v>
      </c>
      <c r="BF90" s="217" t="s">
        <v>769</v>
      </c>
      <c r="BG90" s="217" t="s">
        <v>1998</v>
      </c>
      <c r="BH90" s="217" t="s">
        <v>1658</v>
      </c>
      <c r="BI90" s="217" t="s">
        <v>1660</v>
      </c>
      <c r="BJ90" s="217" t="s">
        <v>1660</v>
      </c>
      <c r="BK90" s="217" t="s">
        <v>637</v>
      </c>
      <c r="BL90" s="217"/>
      <c r="BM90" s="217"/>
      <c r="BN90" s="217">
        <v>0</v>
      </c>
      <c r="BO90" s="218">
        <v>0</v>
      </c>
      <c r="BR90" s="217" t="s">
        <v>85</v>
      </c>
      <c r="BS90" s="217" t="s">
        <v>173</v>
      </c>
      <c r="BT90" s="217" t="s">
        <v>298</v>
      </c>
      <c r="BU90" s="217" t="s">
        <v>977</v>
      </c>
      <c r="BV90" s="217">
        <v>3</v>
      </c>
      <c r="BW90" s="217">
        <v>30</v>
      </c>
      <c r="BX90" s="217">
        <v>0</v>
      </c>
      <c r="BY90" s="217">
        <v>0</v>
      </c>
      <c r="BZ90" s="217">
        <v>0</v>
      </c>
      <c r="CA90" s="217">
        <v>0</v>
      </c>
      <c r="CB90" s="217">
        <v>3</v>
      </c>
      <c r="CC90" s="217">
        <v>30</v>
      </c>
      <c r="CD90" s="217">
        <v>0</v>
      </c>
      <c r="CE90" s="217">
        <v>0</v>
      </c>
      <c r="CF90" s="217">
        <v>0</v>
      </c>
      <c r="CG90" s="218">
        <v>0</v>
      </c>
      <c r="CH90" s="218">
        <v>0</v>
      </c>
      <c r="CI90" s="218">
        <v>0</v>
      </c>
      <c r="CJ90" s="218">
        <v>0</v>
      </c>
    </row>
    <row r="91" spans="1:88" x14ac:dyDescent="0.25">
      <c r="A91" s="217" t="s">
        <v>22</v>
      </c>
      <c r="B91" s="217" t="s">
        <v>23</v>
      </c>
      <c r="C91" s="217" t="s">
        <v>85</v>
      </c>
      <c r="D91" s="217" t="s">
        <v>84</v>
      </c>
      <c r="E91" s="217" t="s">
        <v>95</v>
      </c>
      <c r="F91" s="217" t="s">
        <v>94</v>
      </c>
      <c r="G91" s="217" t="s">
        <v>112</v>
      </c>
      <c r="H91" s="217" t="s">
        <v>920</v>
      </c>
      <c r="I91" s="217" t="s">
        <v>29</v>
      </c>
      <c r="J91" s="217" t="s">
        <v>1857</v>
      </c>
      <c r="K91" s="217">
        <v>8</v>
      </c>
      <c r="L91" s="217">
        <v>41</v>
      </c>
      <c r="M91" s="217" t="s">
        <v>31</v>
      </c>
      <c r="N91" s="217" t="s">
        <v>32</v>
      </c>
      <c r="O91" s="217" t="s">
        <v>100</v>
      </c>
      <c r="P91" s="217" t="s">
        <v>34</v>
      </c>
      <c r="Q91" s="217" t="s">
        <v>35</v>
      </c>
      <c r="R91" s="217" t="s">
        <v>23</v>
      </c>
      <c r="S91" s="217" t="s">
        <v>22</v>
      </c>
      <c r="T91" s="217" t="s">
        <v>84</v>
      </c>
      <c r="U91" s="217" t="s">
        <v>85</v>
      </c>
      <c r="V91" s="217" t="s">
        <v>94</v>
      </c>
      <c r="W91" s="217" t="s">
        <v>95</v>
      </c>
      <c r="AD91" s="217" t="s">
        <v>36</v>
      </c>
      <c r="AE91" s="217" t="s">
        <v>37</v>
      </c>
      <c r="AF91" s="217" t="s">
        <v>249</v>
      </c>
      <c r="AG91" s="217" t="s">
        <v>250</v>
      </c>
      <c r="AH91" s="217" t="s">
        <v>258</v>
      </c>
      <c r="AI91" s="217" t="s">
        <v>1858</v>
      </c>
      <c r="AJ91" s="217">
        <v>3</v>
      </c>
      <c r="AK91" s="217">
        <v>15</v>
      </c>
      <c r="AL91" s="217" t="s">
        <v>154</v>
      </c>
      <c r="AM91" s="217" t="s">
        <v>34</v>
      </c>
      <c r="AN91" s="217" t="s">
        <v>138</v>
      </c>
      <c r="AO91" s="217" t="s">
        <v>199</v>
      </c>
      <c r="AP91" s="217" t="s">
        <v>200</v>
      </c>
      <c r="AQ91" s="217" t="s">
        <v>139</v>
      </c>
      <c r="AR91" s="217" t="s">
        <v>139</v>
      </c>
      <c r="AS91" s="217" t="s">
        <v>139</v>
      </c>
      <c r="AT91" s="217" t="s">
        <v>139</v>
      </c>
      <c r="AU91" s="217" t="s">
        <v>1703</v>
      </c>
      <c r="BC91" s="217" t="s">
        <v>85</v>
      </c>
      <c r="BD91" s="217" t="s">
        <v>92</v>
      </c>
      <c r="BE91" s="217" t="s">
        <v>943</v>
      </c>
      <c r="BF91" s="217" t="s">
        <v>385</v>
      </c>
      <c r="BG91" s="217" t="s">
        <v>1998</v>
      </c>
      <c r="BH91" s="217" t="s">
        <v>1658</v>
      </c>
      <c r="BI91" s="217" t="s">
        <v>1660</v>
      </c>
      <c r="BJ91" s="217" t="s">
        <v>1660</v>
      </c>
      <c r="BK91" s="217" t="s">
        <v>637</v>
      </c>
      <c r="BL91" s="217"/>
      <c r="BM91" s="217"/>
      <c r="BN91" s="217">
        <v>0</v>
      </c>
      <c r="BO91" s="218">
        <v>0</v>
      </c>
      <c r="BR91" s="217" t="s">
        <v>85</v>
      </c>
      <c r="BS91" s="217" t="s">
        <v>173</v>
      </c>
      <c r="BT91" s="217" t="s">
        <v>773</v>
      </c>
      <c r="BU91" s="217" t="s">
        <v>1000</v>
      </c>
      <c r="BV91" s="217">
        <v>2</v>
      </c>
      <c r="BW91" s="217">
        <v>17</v>
      </c>
      <c r="BX91" s="217">
        <v>0</v>
      </c>
      <c r="BY91" s="217">
        <v>0</v>
      </c>
      <c r="BZ91" s="217">
        <v>0</v>
      </c>
      <c r="CA91" s="217">
        <v>0</v>
      </c>
      <c r="CB91" s="217">
        <v>2</v>
      </c>
      <c r="CC91" s="217">
        <v>17</v>
      </c>
      <c r="CD91" s="217">
        <v>0</v>
      </c>
      <c r="CE91" s="217">
        <v>0</v>
      </c>
      <c r="CF91" s="217">
        <v>0</v>
      </c>
      <c r="CG91" s="218">
        <v>0</v>
      </c>
      <c r="CH91" s="218">
        <v>0</v>
      </c>
      <c r="CI91" s="218">
        <v>0</v>
      </c>
      <c r="CJ91" s="218">
        <v>0</v>
      </c>
    </row>
    <row r="92" spans="1:88" x14ac:dyDescent="0.25">
      <c r="A92" s="217" t="s">
        <v>22</v>
      </c>
      <c r="B92" s="217" t="s">
        <v>23</v>
      </c>
      <c r="C92" s="217" t="s">
        <v>85</v>
      </c>
      <c r="D92" s="217" t="s">
        <v>84</v>
      </c>
      <c r="E92" s="217" t="s">
        <v>95</v>
      </c>
      <c r="F92" s="217" t="s">
        <v>94</v>
      </c>
      <c r="G92" s="217" t="s">
        <v>112</v>
      </c>
      <c r="H92" s="217" t="s">
        <v>920</v>
      </c>
      <c r="I92" s="217" t="s">
        <v>29</v>
      </c>
      <c r="J92" s="217" t="s">
        <v>1858</v>
      </c>
      <c r="K92" s="217">
        <v>13</v>
      </c>
      <c r="L92" s="217">
        <v>92</v>
      </c>
      <c r="M92" s="217" t="s">
        <v>31</v>
      </c>
      <c r="N92" s="217" t="s">
        <v>32</v>
      </c>
      <c r="O92" s="217" t="s">
        <v>68</v>
      </c>
      <c r="P92" s="217" t="s">
        <v>34</v>
      </c>
      <c r="Q92" s="217" t="s">
        <v>35</v>
      </c>
      <c r="R92" s="217" t="s">
        <v>23</v>
      </c>
      <c r="S92" s="217" t="s">
        <v>22</v>
      </c>
      <c r="T92" s="217" t="s">
        <v>84</v>
      </c>
      <c r="U92" s="217" t="s">
        <v>85</v>
      </c>
      <c r="V92" s="217" t="s">
        <v>109</v>
      </c>
      <c r="W92" s="217" t="s">
        <v>110</v>
      </c>
      <c r="AD92" s="217" t="s">
        <v>36</v>
      </c>
      <c r="AE92" s="217" t="s">
        <v>37</v>
      </c>
      <c r="AF92" s="217" t="s">
        <v>249</v>
      </c>
      <c r="AG92" s="217" t="s">
        <v>250</v>
      </c>
      <c r="AH92" s="217" t="s">
        <v>259</v>
      </c>
      <c r="AI92" s="217" t="s">
        <v>1855</v>
      </c>
      <c r="AJ92" s="217">
        <v>2</v>
      </c>
      <c r="AK92" s="217">
        <v>10</v>
      </c>
      <c r="AL92" s="217" t="s">
        <v>68</v>
      </c>
      <c r="AM92" s="217" t="s">
        <v>34</v>
      </c>
      <c r="AN92" s="217" t="s">
        <v>138</v>
      </c>
      <c r="AO92" s="217" t="s">
        <v>32</v>
      </c>
      <c r="AP92" s="217" t="s">
        <v>32</v>
      </c>
      <c r="AQ92" s="217" t="s">
        <v>139</v>
      </c>
      <c r="AR92" s="217" t="s">
        <v>139</v>
      </c>
      <c r="AS92" s="217" t="s">
        <v>548</v>
      </c>
      <c r="AT92" s="217" t="s">
        <v>547</v>
      </c>
      <c r="AU92" s="217" t="s">
        <v>547</v>
      </c>
      <c r="BC92" s="217" t="s">
        <v>85</v>
      </c>
      <c r="BD92" s="217" t="s">
        <v>92</v>
      </c>
      <c r="BE92" s="217" t="s">
        <v>944</v>
      </c>
      <c r="BF92" s="217" t="s">
        <v>275</v>
      </c>
      <c r="BG92" s="217" t="s">
        <v>1998</v>
      </c>
      <c r="BH92" s="217" t="s">
        <v>1658</v>
      </c>
      <c r="BI92" s="217" t="s">
        <v>1660</v>
      </c>
      <c r="BJ92" s="217" t="s">
        <v>1660</v>
      </c>
      <c r="BK92" s="217" t="s">
        <v>637</v>
      </c>
      <c r="BL92" s="217"/>
      <c r="BM92" s="217"/>
      <c r="BN92" s="217">
        <v>0</v>
      </c>
      <c r="BO92" s="218">
        <v>0</v>
      </c>
      <c r="BR92" s="217" t="s">
        <v>85</v>
      </c>
      <c r="BS92" s="217" t="s">
        <v>173</v>
      </c>
      <c r="BT92" s="217" t="s">
        <v>314</v>
      </c>
      <c r="BU92" s="217" t="s">
        <v>997</v>
      </c>
      <c r="BV92" s="217">
        <v>19</v>
      </c>
      <c r="BW92" s="217">
        <v>95</v>
      </c>
      <c r="BX92" s="217">
        <v>0</v>
      </c>
      <c r="BY92" s="217">
        <v>0</v>
      </c>
      <c r="BZ92" s="217">
        <v>0</v>
      </c>
      <c r="CA92" s="217">
        <v>0</v>
      </c>
      <c r="CB92" s="217">
        <v>20</v>
      </c>
      <c r="CC92" s="217">
        <v>102</v>
      </c>
      <c r="CD92" s="217">
        <v>0</v>
      </c>
      <c r="CE92" s="217">
        <v>0</v>
      </c>
      <c r="CF92" s="217">
        <v>0</v>
      </c>
      <c r="CG92" s="218">
        <v>0</v>
      </c>
      <c r="CH92" s="218">
        <v>-7</v>
      </c>
      <c r="CI92" s="218">
        <v>0</v>
      </c>
      <c r="CJ92" s="218">
        <v>0</v>
      </c>
    </row>
    <row r="93" spans="1:88" x14ac:dyDescent="0.25">
      <c r="A93" s="217" t="s">
        <v>22</v>
      </c>
      <c r="B93" s="217" t="s">
        <v>23</v>
      </c>
      <c r="C93" s="217" t="s">
        <v>85</v>
      </c>
      <c r="D93" s="217" t="s">
        <v>84</v>
      </c>
      <c r="E93" s="217" t="s">
        <v>95</v>
      </c>
      <c r="F93" s="217" t="s">
        <v>94</v>
      </c>
      <c r="G93" s="217" t="s">
        <v>113</v>
      </c>
      <c r="H93" s="217" t="s">
        <v>921</v>
      </c>
      <c r="I93" s="217" t="s">
        <v>29</v>
      </c>
      <c r="J93" s="217" t="s">
        <v>1856</v>
      </c>
      <c r="K93" s="217">
        <v>33</v>
      </c>
      <c r="L93" s="217">
        <v>204</v>
      </c>
      <c r="M93" s="217" t="s">
        <v>31</v>
      </c>
      <c r="N93" s="217" t="s">
        <v>32</v>
      </c>
      <c r="O93" s="217" t="s">
        <v>68</v>
      </c>
      <c r="P93" s="217" t="s">
        <v>34</v>
      </c>
      <c r="Q93" s="217" t="s">
        <v>35</v>
      </c>
      <c r="R93" s="217" t="s">
        <v>23</v>
      </c>
      <c r="S93" s="217" t="s">
        <v>22</v>
      </c>
      <c r="T93" s="217" t="s">
        <v>84</v>
      </c>
      <c r="U93" s="217" t="s">
        <v>85</v>
      </c>
      <c r="V93" s="217" t="s">
        <v>109</v>
      </c>
      <c r="W93" s="217" t="s">
        <v>110</v>
      </c>
      <c r="AD93" s="217" t="s">
        <v>36</v>
      </c>
      <c r="AE93" s="217" t="s">
        <v>37</v>
      </c>
      <c r="AF93" s="217" t="s">
        <v>249</v>
      </c>
      <c r="AG93" s="217" t="s">
        <v>250</v>
      </c>
      <c r="AH93" s="217" t="s">
        <v>260</v>
      </c>
      <c r="AI93" s="217" t="s">
        <v>1855</v>
      </c>
      <c r="AJ93" s="217">
        <v>1</v>
      </c>
      <c r="AK93" s="217">
        <v>5</v>
      </c>
      <c r="AL93" s="217" t="s">
        <v>154</v>
      </c>
      <c r="AM93" s="217" t="s">
        <v>34</v>
      </c>
      <c r="AN93" s="217" t="s">
        <v>138</v>
      </c>
      <c r="AO93" s="217" t="s">
        <v>199</v>
      </c>
      <c r="AP93" s="217" t="s">
        <v>200</v>
      </c>
      <c r="AQ93" s="217" t="s">
        <v>139</v>
      </c>
      <c r="AR93" s="217" t="s">
        <v>139</v>
      </c>
      <c r="AS93" s="217" t="s">
        <v>139</v>
      </c>
      <c r="AT93" s="217" t="s">
        <v>139</v>
      </c>
      <c r="AU93" s="217" t="s">
        <v>1703</v>
      </c>
      <c r="BC93" s="217" t="s">
        <v>85</v>
      </c>
      <c r="BD93" s="217" t="s">
        <v>92</v>
      </c>
      <c r="BE93" s="217" t="s">
        <v>945</v>
      </c>
      <c r="BF93" s="217" t="s">
        <v>276</v>
      </c>
      <c r="BG93" s="217" t="s">
        <v>1998</v>
      </c>
      <c r="BH93" s="217" t="s">
        <v>1658</v>
      </c>
      <c r="BI93" s="217" t="s">
        <v>1658</v>
      </c>
      <c r="BJ93" s="217" t="s">
        <v>1660</v>
      </c>
      <c r="BK93" s="217" t="s">
        <v>637</v>
      </c>
      <c r="BL93" s="217"/>
      <c r="BM93" s="217"/>
      <c r="BN93" s="217">
        <v>0</v>
      </c>
      <c r="BO93" s="218">
        <v>0</v>
      </c>
      <c r="BR93" s="217" t="s">
        <v>85</v>
      </c>
      <c r="BS93" s="217" t="s">
        <v>173</v>
      </c>
      <c r="BT93" s="217" t="s">
        <v>772</v>
      </c>
      <c r="BU93" s="217" t="s">
        <v>990</v>
      </c>
      <c r="BV93" s="217">
        <v>4</v>
      </c>
      <c r="BW93" s="217">
        <v>38</v>
      </c>
      <c r="BX93" s="217">
        <v>0</v>
      </c>
      <c r="BY93" s="217">
        <v>0</v>
      </c>
      <c r="BZ93" s="217">
        <v>0</v>
      </c>
      <c r="CA93" s="217">
        <v>0</v>
      </c>
      <c r="CB93" s="217">
        <v>4</v>
      </c>
      <c r="CC93" s="217">
        <v>38</v>
      </c>
      <c r="CD93" s="217">
        <v>0</v>
      </c>
      <c r="CE93" s="217">
        <v>0</v>
      </c>
      <c r="CF93" s="217">
        <v>0</v>
      </c>
      <c r="CG93" s="218">
        <v>0</v>
      </c>
      <c r="CH93" s="218">
        <v>0</v>
      </c>
      <c r="CI93" s="218">
        <v>0</v>
      </c>
      <c r="CJ93" s="218">
        <v>0</v>
      </c>
    </row>
    <row r="94" spans="1:88" x14ac:dyDescent="0.25">
      <c r="A94" s="217" t="s">
        <v>22</v>
      </c>
      <c r="B94" s="217" t="s">
        <v>23</v>
      </c>
      <c r="C94" s="217" t="s">
        <v>85</v>
      </c>
      <c r="D94" s="217" t="s">
        <v>84</v>
      </c>
      <c r="E94" s="217" t="s">
        <v>95</v>
      </c>
      <c r="F94" s="217" t="s">
        <v>94</v>
      </c>
      <c r="G94" s="217" t="s">
        <v>113</v>
      </c>
      <c r="H94" s="217" t="s">
        <v>921</v>
      </c>
      <c r="I94" s="217" t="s">
        <v>29</v>
      </c>
      <c r="J94" s="217" t="s">
        <v>1857</v>
      </c>
      <c r="K94" s="217">
        <v>7</v>
      </c>
      <c r="L94" s="217">
        <v>43</v>
      </c>
      <c r="M94" s="217" t="s">
        <v>31</v>
      </c>
      <c r="N94" s="217" t="s">
        <v>32</v>
      </c>
      <c r="O94" s="217" t="s">
        <v>68</v>
      </c>
      <c r="P94" s="217" t="s">
        <v>34</v>
      </c>
      <c r="Q94" s="217" t="s">
        <v>35</v>
      </c>
      <c r="R94" s="217" t="s">
        <v>23</v>
      </c>
      <c r="S94" s="217" t="s">
        <v>22</v>
      </c>
      <c r="T94" s="217" t="s">
        <v>84</v>
      </c>
      <c r="U94" s="217" t="s">
        <v>85</v>
      </c>
      <c r="V94" s="217" t="s">
        <v>109</v>
      </c>
      <c r="W94" s="217" t="s">
        <v>110</v>
      </c>
      <c r="AD94" s="217" t="s">
        <v>36</v>
      </c>
      <c r="AE94" s="217" t="s">
        <v>37</v>
      </c>
      <c r="AF94" s="217" t="s">
        <v>249</v>
      </c>
      <c r="AG94" s="217" t="s">
        <v>250</v>
      </c>
      <c r="AH94" s="217" t="s">
        <v>260</v>
      </c>
      <c r="AI94" s="217" t="s">
        <v>1858</v>
      </c>
      <c r="AJ94" s="217">
        <v>2</v>
      </c>
      <c r="AK94" s="217">
        <v>10</v>
      </c>
      <c r="AL94" s="217" t="s">
        <v>154</v>
      </c>
      <c r="AM94" s="217" t="s">
        <v>34</v>
      </c>
      <c r="AN94" s="217" t="s">
        <v>138</v>
      </c>
      <c r="AO94" s="217" t="s">
        <v>199</v>
      </c>
      <c r="AP94" s="217" t="s">
        <v>200</v>
      </c>
      <c r="AQ94" s="217" t="s">
        <v>139</v>
      </c>
      <c r="AR94" s="217" t="s">
        <v>139</v>
      </c>
      <c r="AS94" s="217" t="s">
        <v>139</v>
      </c>
      <c r="AT94" s="217" t="s">
        <v>139</v>
      </c>
      <c r="AU94" s="217" t="s">
        <v>1703</v>
      </c>
      <c r="BC94" s="217" t="s">
        <v>85</v>
      </c>
      <c r="BD94" s="217" t="s">
        <v>92</v>
      </c>
      <c r="BE94" s="217" t="s">
        <v>946</v>
      </c>
      <c r="BF94" s="217" t="s">
        <v>277</v>
      </c>
      <c r="BG94" s="217" t="s">
        <v>2007</v>
      </c>
      <c r="BH94" s="217" t="s">
        <v>1660</v>
      </c>
      <c r="BI94" s="217" t="s">
        <v>1660</v>
      </c>
      <c r="BJ94" s="217" t="s">
        <v>1660</v>
      </c>
      <c r="BK94" s="217" t="s">
        <v>637</v>
      </c>
      <c r="BL94" s="217"/>
      <c r="BM94" s="217"/>
      <c r="BN94" s="217">
        <v>0</v>
      </c>
      <c r="BO94" s="218">
        <v>0</v>
      </c>
      <c r="BR94" s="217" t="s">
        <v>85</v>
      </c>
      <c r="BS94" s="217" t="s">
        <v>173</v>
      </c>
      <c r="BT94" s="217" t="s">
        <v>318</v>
      </c>
      <c r="BU94" s="217" t="s">
        <v>1002</v>
      </c>
      <c r="BV94" s="217">
        <v>4</v>
      </c>
      <c r="BW94" s="217">
        <v>22</v>
      </c>
      <c r="BX94" s="217">
        <v>0</v>
      </c>
      <c r="BY94" s="217">
        <v>0</v>
      </c>
      <c r="BZ94" s="217">
        <v>0</v>
      </c>
      <c r="CA94" s="217">
        <v>0</v>
      </c>
      <c r="CB94" s="217">
        <v>4</v>
      </c>
      <c r="CC94" s="217">
        <v>22</v>
      </c>
      <c r="CD94" s="217">
        <v>0</v>
      </c>
      <c r="CE94" s="217">
        <v>0</v>
      </c>
      <c r="CF94" s="217">
        <v>0</v>
      </c>
      <c r="CG94" s="218">
        <v>0</v>
      </c>
      <c r="CH94" s="218">
        <v>0</v>
      </c>
      <c r="CI94" s="218">
        <v>0</v>
      </c>
      <c r="CJ94" s="218">
        <v>0</v>
      </c>
    </row>
    <row r="95" spans="1:88" x14ac:dyDescent="0.25">
      <c r="A95" s="217" t="s">
        <v>22</v>
      </c>
      <c r="B95" s="217" t="s">
        <v>23</v>
      </c>
      <c r="C95" s="217" t="s">
        <v>85</v>
      </c>
      <c r="D95" s="217" t="s">
        <v>84</v>
      </c>
      <c r="E95" s="217" t="s">
        <v>95</v>
      </c>
      <c r="F95" s="217" t="s">
        <v>94</v>
      </c>
      <c r="G95" s="217" t="s">
        <v>114</v>
      </c>
      <c r="H95" s="217" t="s">
        <v>922</v>
      </c>
      <c r="I95" s="217" t="s">
        <v>29</v>
      </c>
      <c r="J95" s="217" t="s">
        <v>1857</v>
      </c>
      <c r="K95" s="217">
        <v>7</v>
      </c>
      <c r="L95" s="217">
        <v>49</v>
      </c>
      <c r="M95" s="217" t="s">
        <v>31</v>
      </c>
      <c r="N95" s="217" t="s">
        <v>32</v>
      </c>
      <c r="O95" s="217" t="s">
        <v>100</v>
      </c>
      <c r="P95" s="217" t="s">
        <v>34</v>
      </c>
      <c r="Q95" s="217" t="s">
        <v>35</v>
      </c>
      <c r="R95" s="217" t="s">
        <v>23</v>
      </c>
      <c r="S95" s="217" t="s">
        <v>22</v>
      </c>
      <c r="T95" s="217" t="s">
        <v>84</v>
      </c>
      <c r="U95" s="217" t="s">
        <v>85</v>
      </c>
      <c r="V95" s="217" t="s">
        <v>94</v>
      </c>
      <c r="W95" s="217" t="s">
        <v>95</v>
      </c>
      <c r="AD95" s="217" t="s">
        <v>36</v>
      </c>
      <c r="AE95" s="217" t="s">
        <v>37</v>
      </c>
      <c r="AF95" s="217" t="s">
        <v>249</v>
      </c>
      <c r="AG95" s="217" t="s">
        <v>250</v>
      </c>
      <c r="AH95" s="217" t="s">
        <v>260</v>
      </c>
      <c r="AI95" s="217" t="s">
        <v>1856</v>
      </c>
      <c r="AJ95" s="217">
        <v>2</v>
      </c>
      <c r="AK95" s="217">
        <v>10</v>
      </c>
      <c r="AL95" s="217" t="s">
        <v>33</v>
      </c>
      <c r="AM95" s="217" t="s">
        <v>34</v>
      </c>
      <c r="AN95" s="217" t="s">
        <v>138</v>
      </c>
      <c r="AO95" s="217" t="s">
        <v>32</v>
      </c>
      <c r="AP95" s="217" t="s">
        <v>32</v>
      </c>
      <c r="AQ95" s="217" t="s">
        <v>25</v>
      </c>
      <c r="AR95" s="217" t="s">
        <v>24</v>
      </c>
      <c r="AS95" s="217" t="s">
        <v>139</v>
      </c>
      <c r="AT95" s="217" t="s">
        <v>139</v>
      </c>
      <c r="AU95" s="217" t="s">
        <v>2193</v>
      </c>
      <c r="BC95" s="217" t="s">
        <v>85</v>
      </c>
      <c r="BD95" s="217" t="s">
        <v>92</v>
      </c>
      <c r="BE95" s="217" t="s">
        <v>1669</v>
      </c>
      <c r="BF95" s="217" t="s">
        <v>693</v>
      </c>
      <c r="BG95" s="217" t="s">
        <v>2007</v>
      </c>
      <c r="BH95" s="217" t="s">
        <v>1660</v>
      </c>
      <c r="BI95" s="217" t="s">
        <v>1660</v>
      </c>
      <c r="BJ95" s="217" t="s">
        <v>1660</v>
      </c>
      <c r="BK95" s="217" t="s">
        <v>637</v>
      </c>
      <c r="BL95" s="217"/>
      <c r="BM95" s="217"/>
      <c r="BN95" s="217">
        <v>0</v>
      </c>
      <c r="BO95" s="218">
        <v>0</v>
      </c>
      <c r="BR95" s="217" t="s">
        <v>85</v>
      </c>
      <c r="BS95" s="217" t="s">
        <v>173</v>
      </c>
      <c r="BT95" s="217" t="s">
        <v>310</v>
      </c>
      <c r="BU95" s="217" t="s">
        <v>993</v>
      </c>
      <c r="BV95" s="217">
        <v>8</v>
      </c>
      <c r="BW95" s="217">
        <v>41</v>
      </c>
      <c r="BX95" s="217">
        <v>0</v>
      </c>
      <c r="BY95" s="217">
        <v>0</v>
      </c>
      <c r="BZ95" s="217">
        <v>0</v>
      </c>
      <c r="CA95" s="217">
        <v>0</v>
      </c>
      <c r="CB95" s="217">
        <v>8</v>
      </c>
      <c r="CC95" s="217">
        <v>41</v>
      </c>
      <c r="CD95" s="217">
        <v>0</v>
      </c>
      <c r="CE95" s="217">
        <v>0</v>
      </c>
      <c r="CF95" s="217">
        <v>0</v>
      </c>
      <c r="CG95" s="218">
        <v>0</v>
      </c>
      <c r="CH95" s="218">
        <v>0</v>
      </c>
      <c r="CI95" s="218">
        <v>0</v>
      </c>
      <c r="CJ95" s="218">
        <v>0</v>
      </c>
    </row>
    <row r="96" spans="1:88" x14ac:dyDescent="0.25">
      <c r="A96" s="217" t="s">
        <v>22</v>
      </c>
      <c r="B96" s="217" t="s">
        <v>23</v>
      </c>
      <c r="C96" s="217" t="s">
        <v>85</v>
      </c>
      <c r="D96" s="217" t="s">
        <v>84</v>
      </c>
      <c r="E96" s="217" t="s">
        <v>95</v>
      </c>
      <c r="F96" s="217" t="s">
        <v>94</v>
      </c>
      <c r="G96" s="217" t="s">
        <v>114</v>
      </c>
      <c r="H96" s="217" t="s">
        <v>922</v>
      </c>
      <c r="I96" s="217" t="s">
        <v>29</v>
      </c>
      <c r="J96" s="217" t="s">
        <v>1858</v>
      </c>
      <c r="K96" s="217">
        <v>9</v>
      </c>
      <c r="L96" s="217">
        <v>63</v>
      </c>
      <c r="M96" s="217" t="s">
        <v>31</v>
      </c>
      <c r="N96" s="217" t="s">
        <v>32</v>
      </c>
      <c r="O96" s="217" t="s">
        <v>68</v>
      </c>
      <c r="P96" s="217" t="s">
        <v>34</v>
      </c>
      <c r="Q96" s="217" t="s">
        <v>35</v>
      </c>
      <c r="R96" s="217" t="s">
        <v>23</v>
      </c>
      <c r="S96" s="217" t="s">
        <v>22</v>
      </c>
      <c r="T96" s="217" t="s">
        <v>84</v>
      </c>
      <c r="U96" s="217" t="s">
        <v>85</v>
      </c>
      <c r="V96" s="217" t="s">
        <v>109</v>
      </c>
      <c r="W96" s="217" t="s">
        <v>110</v>
      </c>
      <c r="AD96" s="217" t="s">
        <v>36</v>
      </c>
      <c r="AE96" s="217" t="s">
        <v>37</v>
      </c>
      <c r="AF96" s="217" t="s">
        <v>249</v>
      </c>
      <c r="AG96" s="217" t="s">
        <v>250</v>
      </c>
      <c r="AH96" s="217" t="s">
        <v>260</v>
      </c>
      <c r="AI96" s="217" t="s">
        <v>1857</v>
      </c>
      <c r="AJ96" s="217">
        <v>4</v>
      </c>
      <c r="AK96" s="217">
        <v>20</v>
      </c>
      <c r="AL96" s="217" t="s">
        <v>68</v>
      </c>
      <c r="AM96" s="217" t="s">
        <v>34</v>
      </c>
      <c r="AN96" s="217" t="s">
        <v>138</v>
      </c>
      <c r="AO96" s="217" t="s">
        <v>32</v>
      </c>
      <c r="AP96" s="217" t="s">
        <v>32</v>
      </c>
      <c r="AQ96" s="217" t="s">
        <v>139</v>
      </c>
      <c r="AR96" s="217" t="s">
        <v>139</v>
      </c>
      <c r="AS96" s="217" t="s">
        <v>246</v>
      </c>
      <c r="AT96" s="217" t="s">
        <v>247</v>
      </c>
      <c r="AU96" s="217" t="s">
        <v>247</v>
      </c>
      <c r="BC96" s="217" t="s">
        <v>85</v>
      </c>
      <c r="BD96" s="217" t="s">
        <v>92</v>
      </c>
      <c r="BE96" s="217" t="s">
        <v>947</v>
      </c>
      <c r="BF96" s="217" t="s">
        <v>278</v>
      </c>
      <c r="BG96" s="217" t="s">
        <v>2007</v>
      </c>
      <c r="BH96" s="217" t="s">
        <v>1660</v>
      </c>
      <c r="BI96" s="217" t="s">
        <v>1660</v>
      </c>
      <c r="BJ96" s="217" t="s">
        <v>1660</v>
      </c>
      <c r="BK96" s="217" t="s">
        <v>637</v>
      </c>
      <c r="BL96" s="217"/>
      <c r="BM96" s="217"/>
      <c r="BN96" s="217">
        <v>0</v>
      </c>
      <c r="BO96" s="218">
        <v>0</v>
      </c>
      <c r="BR96" s="217" t="s">
        <v>85</v>
      </c>
      <c r="BS96" s="217" t="s">
        <v>173</v>
      </c>
      <c r="BT96" s="217" t="s">
        <v>285</v>
      </c>
      <c r="BU96" s="217" t="s">
        <v>983</v>
      </c>
      <c r="BV96" s="217">
        <v>4</v>
      </c>
      <c r="BW96" s="217">
        <v>47</v>
      </c>
      <c r="BX96" s="217">
        <v>0</v>
      </c>
      <c r="BY96" s="217">
        <v>0</v>
      </c>
      <c r="BZ96" s="217">
        <v>0</v>
      </c>
      <c r="CA96" s="217">
        <v>0</v>
      </c>
      <c r="CB96" s="217">
        <v>4</v>
      </c>
      <c r="CC96" s="217">
        <v>47</v>
      </c>
      <c r="CD96" s="217">
        <v>0</v>
      </c>
      <c r="CE96" s="217">
        <v>0</v>
      </c>
      <c r="CF96" s="217">
        <v>0</v>
      </c>
      <c r="CG96" s="218">
        <v>0</v>
      </c>
      <c r="CH96" s="218">
        <v>0</v>
      </c>
      <c r="CI96" s="218">
        <v>0</v>
      </c>
      <c r="CJ96" s="218">
        <v>0</v>
      </c>
    </row>
    <row r="97" spans="1:88" x14ac:dyDescent="0.25">
      <c r="A97" s="217" t="s">
        <v>22</v>
      </c>
      <c r="B97" s="217" t="s">
        <v>23</v>
      </c>
      <c r="C97" s="217" t="s">
        <v>85</v>
      </c>
      <c r="D97" s="217" t="s">
        <v>84</v>
      </c>
      <c r="E97" s="217" t="s">
        <v>95</v>
      </c>
      <c r="F97" s="217" t="s">
        <v>94</v>
      </c>
      <c r="G97" s="217" t="s">
        <v>115</v>
      </c>
      <c r="H97" s="217" t="s">
        <v>923</v>
      </c>
      <c r="I97" s="217" t="s">
        <v>29</v>
      </c>
      <c r="J97" s="217" t="s">
        <v>1854</v>
      </c>
      <c r="K97" s="217">
        <v>7</v>
      </c>
      <c r="L97" s="217">
        <v>42</v>
      </c>
      <c r="M97" s="217" t="s">
        <v>31</v>
      </c>
      <c r="N97" s="217" t="s">
        <v>32</v>
      </c>
      <c r="O97" s="217" t="s">
        <v>68</v>
      </c>
      <c r="P97" s="217" t="s">
        <v>34</v>
      </c>
      <c r="Q97" s="217" t="s">
        <v>35</v>
      </c>
      <c r="R97" s="217" t="s">
        <v>23</v>
      </c>
      <c r="S97" s="217" t="s">
        <v>22</v>
      </c>
      <c r="T97" s="217" t="s">
        <v>84</v>
      </c>
      <c r="U97" s="217" t="s">
        <v>85</v>
      </c>
      <c r="V97" s="217" t="s">
        <v>91</v>
      </c>
      <c r="W97" s="217" t="s">
        <v>92</v>
      </c>
      <c r="AD97" s="217" t="s">
        <v>36</v>
      </c>
      <c r="AE97" s="217" t="s">
        <v>37</v>
      </c>
      <c r="AF97" s="217" t="s">
        <v>249</v>
      </c>
      <c r="AG97" s="217" t="s">
        <v>250</v>
      </c>
      <c r="AH97" s="217" t="s">
        <v>261</v>
      </c>
      <c r="AI97" s="217" t="s">
        <v>1855</v>
      </c>
      <c r="AJ97" s="217">
        <v>3</v>
      </c>
      <c r="AK97" s="217">
        <v>15</v>
      </c>
      <c r="AL97" s="217" t="s">
        <v>154</v>
      </c>
      <c r="AM97" s="217" t="s">
        <v>34</v>
      </c>
      <c r="AN97" s="217" t="s">
        <v>138</v>
      </c>
      <c r="AO97" s="217" t="s">
        <v>199</v>
      </c>
      <c r="AP97" s="217" t="s">
        <v>200</v>
      </c>
      <c r="AQ97" s="217" t="s">
        <v>139</v>
      </c>
      <c r="AR97" s="217" t="s">
        <v>139</v>
      </c>
      <c r="AS97" s="217" t="s">
        <v>139</v>
      </c>
      <c r="AT97" s="217" t="s">
        <v>139</v>
      </c>
      <c r="AU97" s="217" t="s">
        <v>1705</v>
      </c>
      <c r="BC97" s="217" t="s">
        <v>85</v>
      </c>
      <c r="BD97" s="217" t="s">
        <v>92</v>
      </c>
      <c r="BE97" s="217" t="s">
        <v>1674</v>
      </c>
      <c r="BF97" s="217" t="s">
        <v>279</v>
      </c>
      <c r="BG97" s="217" t="s">
        <v>1999</v>
      </c>
      <c r="BH97" s="217" t="s">
        <v>1660</v>
      </c>
      <c r="BI97" s="217" t="s">
        <v>1660</v>
      </c>
      <c r="BJ97" s="217" t="s">
        <v>1660</v>
      </c>
      <c r="BK97" s="217" t="s">
        <v>637</v>
      </c>
      <c r="BL97" s="217"/>
      <c r="BM97" s="217"/>
      <c r="BN97" s="217">
        <v>0</v>
      </c>
      <c r="BO97" s="218">
        <v>0</v>
      </c>
      <c r="BR97" s="217" t="s">
        <v>85</v>
      </c>
      <c r="BS97" s="217" t="s">
        <v>173</v>
      </c>
      <c r="BT97" s="217" t="s">
        <v>309</v>
      </c>
      <c r="BU97" s="217" t="s">
        <v>992</v>
      </c>
      <c r="BV97" s="217">
        <v>3</v>
      </c>
      <c r="BW97" s="217">
        <v>22</v>
      </c>
      <c r="BX97" s="217">
        <v>0</v>
      </c>
      <c r="BY97" s="217">
        <v>0</v>
      </c>
      <c r="BZ97" s="217">
        <v>0</v>
      </c>
      <c r="CA97" s="217">
        <v>0</v>
      </c>
      <c r="CB97" s="217">
        <v>3</v>
      </c>
      <c r="CC97" s="217">
        <v>22</v>
      </c>
      <c r="CD97" s="217">
        <v>0</v>
      </c>
      <c r="CE97" s="217">
        <v>0</v>
      </c>
      <c r="CF97" s="217">
        <v>0</v>
      </c>
      <c r="CG97" s="218">
        <v>0</v>
      </c>
      <c r="CH97" s="218">
        <v>0</v>
      </c>
      <c r="CI97" s="218">
        <v>0</v>
      </c>
      <c r="CJ97" s="218">
        <v>0</v>
      </c>
    </row>
    <row r="98" spans="1:88" x14ac:dyDescent="0.25">
      <c r="A98" s="217" t="s">
        <v>22</v>
      </c>
      <c r="B98" s="217" t="s">
        <v>23</v>
      </c>
      <c r="C98" s="217" t="s">
        <v>85</v>
      </c>
      <c r="D98" s="217" t="s">
        <v>84</v>
      </c>
      <c r="E98" s="217" t="s">
        <v>95</v>
      </c>
      <c r="F98" s="217" t="s">
        <v>94</v>
      </c>
      <c r="G98" s="217" t="s">
        <v>115</v>
      </c>
      <c r="H98" s="217" t="s">
        <v>923</v>
      </c>
      <c r="I98" s="217" t="s">
        <v>29</v>
      </c>
      <c r="J98" s="217" t="s">
        <v>1855</v>
      </c>
      <c r="K98" s="217">
        <v>21</v>
      </c>
      <c r="L98" s="217">
        <v>132</v>
      </c>
      <c r="M98" s="217" t="s">
        <v>31</v>
      </c>
      <c r="N98" s="217" t="s">
        <v>32</v>
      </c>
      <c r="O98" s="217" t="s">
        <v>68</v>
      </c>
      <c r="P98" s="217" t="s">
        <v>34</v>
      </c>
      <c r="Q98" s="217" t="s">
        <v>35</v>
      </c>
      <c r="R98" s="217" t="s">
        <v>23</v>
      </c>
      <c r="S98" s="217" t="s">
        <v>22</v>
      </c>
      <c r="T98" s="217" t="s">
        <v>84</v>
      </c>
      <c r="U98" s="217" t="s">
        <v>85</v>
      </c>
      <c r="V98" s="217" t="s">
        <v>91</v>
      </c>
      <c r="W98" s="217" t="s">
        <v>92</v>
      </c>
      <c r="AD98" s="217" t="s">
        <v>36</v>
      </c>
      <c r="AE98" s="217" t="s">
        <v>37</v>
      </c>
      <c r="AF98" s="217" t="s">
        <v>249</v>
      </c>
      <c r="AG98" s="217" t="s">
        <v>250</v>
      </c>
      <c r="AH98" s="217" t="s">
        <v>261</v>
      </c>
      <c r="AI98" s="217" t="s">
        <v>1856</v>
      </c>
      <c r="AJ98" s="217">
        <v>1</v>
      </c>
      <c r="AK98" s="217">
        <v>5</v>
      </c>
      <c r="AL98" s="217" t="s">
        <v>154</v>
      </c>
      <c r="AM98" s="217" t="s">
        <v>34</v>
      </c>
      <c r="AN98" s="217" t="s">
        <v>138</v>
      </c>
      <c r="AO98" s="217" t="s">
        <v>199</v>
      </c>
      <c r="AP98" s="217" t="s">
        <v>200</v>
      </c>
      <c r="AQ98" s="217" t="s">
        <v>139</v>
      </c>
      <c r="AR98" s="217" t="s">
        <v>139</v>
      </c>
      <c r="AS98" s="217" t="s">
        <v>139</v>
      </c>
      <c r="AT98" s="217" t="s">
        <v>139</v>
      </c>
      <c r="AU98" s="217" t="s">
        <v>1705</v>
      </c>
      <c r="BC98" s="217" t="s">
        <v>85</v>
      </c>
      <c r="BD98" s="217" t="s">
        <v>92</v>
      </c>
      <c r="BE98" s="217" t="s">
        <v>948</v>
      </c>
      <c r="BF98" s="217" t="s">
        <v>280</v>
      </c>
      <c r="BG98" s="217" t="s">
        <v>1998</v>
      </c>
      <c r="BH98" s="217" t="s">
        <v>1658</v>
      </c>
      <c r="BI98" s="217" t="s">
        <v>1658</v>
      </c>
      <c r="BJ98" s="217" t="s">
        <v>1658</v>
      </c>
      <c r="BK98" s="217" t="s">
        <v>637</v>
      </c>
      <c r="BL98" s="217"/>
      <c r="BM98" s="217"/>
      <c r="BN98" s="217">
        <v>0</v>
      </c>
      <c r="BO98" s="218">
        <v>0</v>
      </c>
      <c r="BR98" s="217" t="s">
        <v>85</v>
      </c>
      <c r="BS98" s="217" t="s">
        <v>173</v>
      </c>
      <c r="BT98" s="217" t="s">
        <v>312</v>
      </c>
      <c r="BU98" s="217" t="s">
        <v>995</v>
      </c>
      <c r="BV98" s="217">
        <v>22</v>
      </c>
      <c r="BW98" s="217">
        <v>112</v>
      </c>
      <c r="BX98" s="217">
        <v>0</v>
      </c>
      <c r="BY98" s="217">
        <v>0</v>
      </c>
      <c r="BZ98" s="217">
        <v>0</v>
      </c>
      <c r="CA98" s="217">
        <v>0</v>
      </c>
      <c r="CB98" s="217">
        <v>22</v>
      </c>
      <c r="CC98" s="217">
        <v>112</v>
      </c>
      <c r="CD98" s="217">
        <v>0</v>
      </c>
      <c r="CE98" s="217">
        <v>0</v>
      </c>
      <c r="CF98" s="217">
        <v>0</v>
      </c>
      <c r="CG98" s="218">
        <v>0</v>
      </c>
      <c r="CH98" s="218">
        <v>0</v>
      </c>
      <c r="CI98" s="218">
        <v>0</v>
      </c>
      <c r="CJ98" s="218">
        <v>0</v>
      </c>
    </row>
    <row r="99" spans="1:88" x14ac:dyDescent="0.25">
      <c r="A99" s="217" t="s">
        <v>22</v>
      </c>
      <c r="B99" s="217" t="s">
        <v>23</v>
      </c>
      <c r="C99" s="217" t="s">
        <v>85</v>
      </c>
      <c r="D99" s="217" t="s">
        <v>84</v>
      </c>
      <c r="E99" s="217" t="s">
        <v>95</v>
      </c>
      <c r="F99" s="217" t="s">
        <v>94</v>
      </c>
      <c r="G99" s="217" t="s">
        <v>115</v>
      </c>
      <c r="H99" s="217" t="s">
        <v>923</v>
      </c>
      <c r="I99" s="217" t="s">
        <v>29</v>
      </c>
      <c r="J99" s="217" t="s">
        <v>1856</v>
      </c>
      <c r="K99" s="217">
        <v>49</v>
      </c>
      <c r="L99" s="217">
        <v>317</v>
      </c>
      <c r="M99" s="217" t="s">
        <v>31</v>
      </c>
      <c r="N99" s="217" t="s">
        <v>32</v>
      </c>
      <c r="O99" s="217" t="s">
        <v>100</v>
      </c>
      <c r="P99" s="217" t="s">
        <v>34</v>
      </c>
      <c r="Q99" s="217" t="s">
        <v>35</v>
      </c>
      <c r="R99" s="217" t="s">
        <v>23</v>
      </c>
      <c r="S99" s="217" t="s">
        <v>22</v>
      </c>
      <c r="T99" s="217" t="s">
        <v>84</v>
      </c>
      <c r="U99" s="217" t="s">
        <v>85</v>
      </c>
      <c r="V99" s="217" t="s">
        <v>94</v>
      </c>
      <c r="W99" s="217" t="s">
        <v>95</v>
      </c>
      <c r="AD99" s="217" t="s">
        <v>36</v>
      </c>
      <c r="AE99" s="217" t="s">
        <v>37</v>
      </c>
      <c r="AF99" s="217" t="s">
        <v>249</v>
      </c>
      <c r="AG99" s="217" t="s">
        <v>250</v>
      </c>
      <c r="AH99" s="217" t="s">
        <v>261</v>
      </c>
      <c r="AI99" s="217" t="s">
        <v>1857</v>
      </c>
      <c r="AJ99" s="217">
        <v>1</v>
      </c>
      <c r="AK99" s="217">
        <v>5</v>
      </c>
      <c r="AL99" s="217" t="s">
        <v>154</v>
      </c>
      <c r="AM99" s="217" t="s">
        <v>34</v>
      </c>
      <c r="AN99" s="217" t="s">
        <v>138</v>
      </c>
      <c r="AO99" s="217" t="s">
        <v>199</v>
      </c>
      <c r="AP99" s="217" t="s">
        <v>200</v>
      </c>
      <c r="AQ99" s="217" t="s">
        <v>139</v>
      </c>
      <c r="AR99" s="217" t="s">
        <v>139</v>
      </c>
      <c r="AS99" s="217" t="s">
        <v>139</v>
      </c>
      <c r="AT99" s="217" t="s">
        <v>139</v>
      </c>
      <c r="AU99" s="217" t="s">
        <v>1705</v>
      </c>
      <c r="BC99" s="217" t="s">
        <v>85</v>
      </c>
      <c r="BD99" s="217" t="s">
        <v>92</v>
      </c>
      <c r="BE99" s="217" t="s">
        <v>1815</v>
      </c>
      <c r="BF99" s="217" t="s">
        <v>1816</v>
      </c>
      <c r="BG99" s="217" t="s">
        <v>1998</v>
      </c>
      <c r="BH99" s="217" t="s">
        <v>1658</v>
      </c>
      <c r="BI99" s="217" t="s">
        <v>1658</v>
      </c>
      <c r="BJ99" s="217" t="s">
        <v>1660</v>
      </c>
      <c r="BK99" s="217" t="s">
        <v>637</v>
      </c>
      <c r="BL99" s="217"/>
      <c r="BM99" s="217"/>
      <c r="BN99" s="217">
        <v>0</v>
      </c>
      <c r="BO99" s="218">
        <v>0</v>
      </c>
      <c r="BR99" s="217" t="s">
        <v>85</v>
      </c>
      <c r="BS99" s="217" t="s">
        <v>173</v>
      </c>
      <c r="BT99" s="217" t="s">
        <v>306</v>
      </c>
      <c r="BU99" s="217" t="s">
        <v>988</v>
      </c>
      <c r="BV99" s="217">
        <v>11</v>
      </c>
      <c r="BW99" s="217">
        <v>66</v>
      </c>
      <c r="BX99" s="217">
        <v>0</v>
      </c>
      <c r="BY99" s="217">
        <v>0</v>
      </c>
      <c r="BZ99" s="217">
        <v>0</v>
      </c>
      <c r="CA99" s="217">
        <v>0</v>
      </c>
      <c r="CB99" s="217">
        <v>11</v>
      </c>
      <c r="CC99" s="217">
        <v>66</v>
      </c>
      <c r="CD99" s="217">
        <v>0</v>
      </c>
      <c r="CE99" s="217">
        <v>0</v>
      </c>
      <c r="CF99" s="217">
        <v>0</v>
      </c>
      <c r="CG99" s="218">
        <v>0</v>
      </c>
      <c r="CH99" s="218">
        <v>0</v>
      </c>
      <c r="CI99" s="218">
        <v>0</v>
      </c>
      <c r="CJ99" s="218">
        <v>0</v>
      </c>
    </row>
    <row r="100" spans="1:88" x14ac:dyDescent="0.25">
      <c r="A100" s="217" t="s">
        <v>22</v>
      </c>
      <c r="B100" s="217" t="s">
        <v>23</v>
      </c>
      <c r="C100" s="217" t="s">
        <v>85</v>
      </c>
      <c r="D100" s="217" t="s">
        <v>84</v>
      </c>
      <c r="E100" s="217" t="s">
        <v>95</v>
      </c>
      <c r="F100" s="217" t="s">
        <v>94</v>
      </c>
      <c r="G100" s="217" t="s">
        <v>115</v>
      </c>
      <c r="H100" s="217" t="s">
        <v>923</v>
      </c>
      <c r="I100" s="217" t="s">
        <v>29</v>
      </c>
      <c r="J100" s="217" t="s">
        <v>1857</v>
      </c>
      <c r="K100" s="217">
        <v>3</v>
      </c>
      <c r="L100" s="217">
        <v>18</v>
      </c>
      <c r="M100" s="217" t="s">
        <v>31</v>
      </c>
      <c r="N100" s="217" t="s">
        <v>32</v>
      </c>
      <c r="O100" s="217" t="s">
        <v>100</v>
      </c>
      <c r="P100" s="217" t="s">
        <v>34</v>
      </c>
      <c r="Q100" s="217" t="s">
        <v>35</v>
      </c>
      <c r="R100" s="217" t="s">
        <v>23</v>
      </c>
      <c r="S100" s="217" t="s">
        <v>22</v>
      </c>
      <c r="T100" s="217" t="s">
        <v>84</v>
      </c>
      <c r="U100" s="217" t="s">
        <v>85</v>
      </c>
      <c r="V100" s="217" t="s">
        <v>94</v>
      </c>
      <c r="W100" s="217" t="s">
        <v>95</v>
      </c>
      <c r="AD100" s="217" t="s">
        <v>36</v>
      </c>
      <c r="AE100" s="217" t="s">
        <v>37</v>
      </c>
      <c r="AF100" s="217" t="s">
        <v>249</v>
      </c>
      <c r="AG100" s="217" t="s">
        <v>250</v>
      </c>
      <c r="AH100" s="217" t="s">
        <v>261</v>
      </c>
      <c r="AI100" s="217" t="s">
        <v>1858</v>
      </c>
      <c r="AJ100" s="217">
        <v>17</v>
      </c>
      <c r="AK100" s="217">
        <v>89</v>
      </c>
      <c r="AL100" s="217" t="s">
        <v>154</v>
      </c>
      <c r="AM100" s="217" t="s">
        <v>34</v>
      </c>
      <c r="AN100" s="217" t="s">
        <v>138</v>
      </c>
      <c r="AO100" s="217" t="s">
        <v>199</v>
      </c>
      <c r="AP100" s="217" t="s">
        <v>200</v>
      </c>
      <c r="AQ100" s="217" t="s">
        <v>139</v>
      </c>
      <c r="AR100" s="217" t="s">
        <v>139</v>
      </c>
      <c r="AS100" s="217" t="s">
        <v>139</v>
      </c>
      <c r="AT100" s="217" t="s">
        <v>139</v>
      </c>
      <c r="AU100" s="217" t="s">
        <v>1705</v>
      </c>
      <c r="BC100" s="217" t="s">
        <v>85</v>
      </c>
      <c r="BD100" s="217" t="s">
        <v>92</v>
      </c>
      <c r="BE100" s="217" t="s">
        <v>949</v>
      </c>
      <c r="BF100" s="217" t="s">
        <v>768</v>
      </c>
      <c r="BG100" s="217" t="s">
        <v>1998</v>
      </c>
      <c r="BH100" s="217" t="s">
        <v>1658</v>
      </c>
      <c r="BI100" s="217" t="s">
        <v>1658</v>
      </c>
      <c r="BJ100" s="217" t="s">
        <v>1660</v>
      </c>
      <c r="BK100" s="217" t="s">
        <v>637</v>
      </c>
      <c r="BL100" s="217"/>
      <c r="BM100" s="217"/>
      <c r="BN100" s="217">
        <v>0</v>
      </c>
      <c r="BO100" s="218">
        <v>0</v>
      </c>
      <c r="BR100" s="217" t="s">
        <v>85</v>
      </c>
      <c r="BS100" s="217" t="s">
        <v>173</v>
      </c>
      <c r="BT100" s="217" t="s">
        <v>307</v>
      </c>
      <c r="BU100" s="217" t="s">
        <v>989</v>
      </c>
      <c r="BV100" s="217">
        <v>12</v>
      </c>
      <c r="BW100" s="217">
        <v>81</v>
      </c>
      <c r="BX100" s="217">
        <v>0</v>
      </c>
      <c r="BY100" s="217">
        <v>0</v>
      </c>
      <c r="BZ100" s="217">
        <v>0</v>
      </c>
      <c r="CA100" s="217">
        <v>0</v>
      </c>
      <c r="CB100" s="217">
        <v>12</v>
      </c>
      <c r="CC100" s="217">
        <v>81</v>
      </c>
      <c r="CD100" s="217">
        <v>0</v>
      </c>
      <c r="CE100" s="217">
        <v>0</v>
      </c>
      <c r="CF100" s="217">
        <v>0</v>
      </c>
      <c r="CG100" s="218">
        <v>0</v>
      </c>
      <c r="CH100" s="218">
        <v>0</v>
      </c>
      <c r="CI100" s="218">
        <v>0</v>
      </c>
      <c r="CJ100" s="218">
        <v>0</v>
      </c>
    </row>
    <row r="101" spans="1:88" x14ac:dyDescent="0.25">
      <c r="A101" s="217" t="s">
        <v>22</v>
      </c>
      <c r="B101" s="217" t="s">
        <v>23</v>
      </c>
      <c r="C101" s="217" t="s">
        <v>85</v>
      </c>
      <c r="D101" s="217" t="s">
        <v>84</v>
      </c>
      <c r="E101" s="217" t="s">
        <v>95</v>
      </c>
      <c r="F101" s="217" t="s">
        <v>94</v>
      </c>
      <c r="G101" s="217" t="s">
        <v>116</v>
      </c>
      <c r="H101" s="217" t="s">
        <v>924</v>
      </c>
      <c r="I101" s="217" t="s">
        <v>29</v>
      </c>
      <c r="J101" s="217" t="s">
        <v>1856</v>
      </c>
      <c r="K101" s="217">
        <v>1</v>
      </c>
      <c r="L101" s="217">
        <v>7</v>
      </c>
      <c r="M101" s="217" t="s">
        <v>31</v>
      </c>
      <c r="N101" s="217" t="s">
        <v>32</v>
      </c>
      <c r="O101" s="217" t="s">
        <v>68</v>
      </c>
      <c r="P101" s="217" t="s">
        <v>34</v>
      </c>
      <c r="Q101" s="217" t="s">
        <v>35</v>
      </c>
      <c r="R101" s="217" t="s">
        <v>23</v>
      </c>
      <c r="S101" s="217" t="s">
        <v>22</v>
      </c>
      <c r="T101" s="217" t="s">
        <v>84</v>
      </c>
      <c r="U101" s="217" t="s">
        <v>85</v>
      </c>
      <c r="V101" s="217" t="s">
        <v>109</v>
      </c>
      <c r="W101" s="217" t="s">
        <v>110</v>
      </c>
      <c r="AD101" s="217" t="s">
        <v>36</v>
      </c>
      <c r="AE101" s="217" t="s">
        <v>37</v>
      </c>
      <c r="AF101" s="217" t="s">
        <v>249</v>
      </c>
      <c r="AG101" s="217" t="s">
        <v>250</v>
      </c>
      <c r="AH101" s="217" t="s">
        <v>261</v>
      </c>
      <c r="AI101" s="217" t="s">
        <v>1859</v>
      </c>
      <c r="AJ101" s="217">
        <v>1</v>
      </c>
      <c r="AK101" s="217">
        <v>3</v>
      </c>
      <c r="AL101" s="217" t="s">
        <v>100</v>
      </c>
      <c r="AM101" s="217" t="s">
        <v>34</v>
      </c>
      <c r="AN101" s="217" t="s">
        <v>138</v>
      </c>
      <c r="AO101" s="217" t="s">
        <v>32</v>
      </c>
      <c r="AP101" s="217" t="s">
        <v>32</v>
      </c>
      <c r="AQ101" s="217" t="s">
        <v>139</v>
      </c>
      <c r="AR101" s="217" t="s">
        <v>139</v>
      </c>
      <c r="AS101" s="217" t="s">
        <v>139</v>
      </c>
      <c r="AT101" s="217" t="s">
        <v>139</v>
      </c>
      <c r="AU101" s="217" t="s">
        <v>2072</v>
      </c>
      <c r="BC101" s="217" t="s">
        <v>85</v>
      </c>
      <c r="BD101" s="217" t="s">
        <v>92</v>
      </c>
      <c r="BE101" s="217" t="s">
        <v>951</v>
      </c>
      <c r="BF101" s="217" t="s">
        <v>950</v>
      </c>
      <c r="BG101" s="217" t="s">
        <v>1998</v>
      </c>
      <c r="BH101" s="217" t="s">
        <v>1658</v>
      </c>
      <c r="BI101" s="217" t="s">
        <v>1658</v>
      </c>
      <c r="BJ101" s="217" t="s">
        <v>1660</v>
      </c>
      <c r="BK101" s="217" t="s">
        <v>637</v>
      </c>
      <c r="BL101" s="217"/>
      <c r="BM101" s="217"/>
      <c r="BN101" s="217">
        <v>0</v>
      </c>
      <c r="BO101" s="218">
        <v>0</v>
      </c>
      <c r="BR101" s="217" t="s">
        <v>85</v>
      </c>
      <c r="BS101" s="217" t="s">
        <v>173</v>
      </c>
      <c r="BT101" s="217" t="s">
        <v>316</v>
      </c>
      <c r="BU101" s="217" t="s">
        <v>999</v>
      </c>
      <c r="BV101" s="217">
        <v>36</v>
      </c>
      <c r="BW101" s="217">
        <v>208</v>
      </c>
      <c r="BX101" s="217">
        <v>0</v>
      </c>
      <c r="BY101" s="217">
        <v>0</v>
      </c>
      <c r="BZ101" s="217">
        <v>0</v>
      </c>
      <c r="CA101" s="217">
        <v>0</v>
      </c>
      <c r="CB101" s="217">
        <v>36</v>
      </c>
      <c r="CC101" s="217">
        <v>208</v>
      </c>
      <c r="CD101" s="217">
        <v>0</v>
      </c>
      <c r="CE101" s="217">
        <v>0</v>
      </c>
      <c r="CF101" s="217">
        <v>0</v>
      </c>
      <c r="CG101" s="218">
        <v>0</v>
      </c>
      <c r="CH101" s="218">
        <v>0</v>
      </c>
      <c r="CI101" s="218">
        <v>0</v>
      </c>
      <c r="CJ101" s="218">
        <v>0</v>
      </c>
    </row>
    <row r="102" spans="1:88" x14ac:dyDescent="0.25">
      <c r="A102" s="217" t="s">
        <v>22</v>
      </c>
      <c r="B102" s="217" t="s">
        <v>23</v>
      </c>
      <c r="C102" s="217" t="s">
        <v>85</v>
      </c>
      <c r="D102" s="217" t="s">
        <v>84</v>
      </c>
      <c r="E102" s="217" t="s">
        <v>95</v>
      </c>
      <c r="F102" s="217" t="s">
        <v>94</v>
      </c>
      <c r="G102" s="217" t="s">
        <v>116</v>
      </c>
      <c r="H102" s="217" t="s">
        <v>924</v>
      </c>
      <c r="I102" s="217" t="s">
        <v>29</v>
      </c>
      <c r="J102" s="217" t="s">
        <v>1857</v>
      </c>
      <c r="K102" s="217">
        <v>2</v>
      </c>
      <c r="L102" s="217">
        <v>14</v>
      </c>
      <c r="M102" s="217" t="s">
        <v>31</v>
      </c>
      <c r="N102" s="217" t="s">
        <v>32</v>
      </c>
      <c r="O102" s="217" t="s">
        <v>100</v>
      </c>
      <c r="P102" s="217" t="s">
        <v>34</v>
      </c>
      <c r="Q102" s="217" t="s">
        <v>35</v>
      </c>
      <c r="R102" s="217" t="s">
        <v>23</v>
      </c>
      <c r="S102" s="217" t="s">
        <v>22</v>
      </c>
      <c r="T102" s="217" t="s">
        <v>84</v>
      </c>
      <c r="U102" s="217" t="s">
        <v>85</v>
      </c>
      <c r="V102" s="217" t="s">
        <v>94</v>
      </c>
      <c r="W102" s="217" t="s">
        <v>95</v>
      </c>
      <c r="AD102" s="217" t="s">
        <v>36</v>
      </c>
      <c r="AE102" s="217" t="s">
        <v>37</v>
      </c>
      <c r="AF102" s="217" t="s">
        <v>249</v>
      </c>
      <c r="AG102" s="217" t="s">
        <v>250</v>
      </c>
      <c r="AH102" s="217" t="s">
        <v>262</v>
      </c>
      <c r="AI102" s="217" t="s">
        <v>1855</v>
      </c>
      <c r="AJ102" s="217">
        <v>2</v>
      </c>
      <c r="AK102" s="217">
        <v>10</v>
      </c>
      <c r="AL102" s="217" t="s">
        <v>154</v>
      </c>
      <c r="AM102" s="217" t="s">
        <v>34</v>
      </c>
      <c r="AN102" s="217" t="s">
        <v>138</v>
      </c>
      <c r="AO102" s="217" t="s">
        <v>199</v>
      </c>
      <c r="AP102" s="217" t="s">
        <v>200</v>
      </c>
      <c r="AQ102" s="217" t="s">
        <v>139</v>
      </c>
      <c r="AR102" s="217" t="s">
        <v>139</v>
      </c>
      <c r="AS102" s="217" t="s">
        <v>139</v>
      </c>
      <c r="AT102" s="217" t="s">
        <v>139</v>
      </c>
      <c r="AU102" s="217" t="s">
        <v>2194</v>
      </c>
      <c r="BC102" s="217" t="s">
        <v>85</v>
      </c>
      <c r="BD102" s="217" t="s">
        <v>92</v>
      </c>
      <c r="BE102" s="217" t="s">
        <v>953</v>
      </c>
      <c r="BF102" s="217" t="s">
        <v>952</v>
      </c>
      <c r="BG102" s="217" t="s">
        <v>1998</v>
      </c>
      <c r="BH102" s="217" t="s">
        <v>1658</v>
      </c>
      <c r="BI102" s="217" t="s">
        <v>1658</v>
      </c>
      <c r="BJ102" s="217" t="s">
        <v>1660</v>
      </c>
      <c r="BK102" s="217" t="s">
        <v>637</v>
      </c>
      <c r="BL102" s="217"/>
      <c r="BM102" s="217"/>
      <c r="BN102" s="217">
        <v>0</v>
      </c>
      <c r="BO102" s="218">
        <v>0</v>
      </c>
      <c r="BR102" s="217" t="s">
        <v>85</v>
      </c>
      <c r="BS102" s="217" t="s">
        <v>173</v>
      </c>
      <c r="BT102" s="217" t="s">
        <v>317</v>
      </c>
      <c r="BU102" s="217" t="s">
        <v>1001</v>
      </c>
      <c r="BV102" s="217">
        <v>2</v>
      </c>
      <c r="BW102" s="217">
        <v>10</v>
      </c>
      <c r="BX102" s="217">
        <v>0</v>
      </c>
      <c r="BY102" s="217">
        <v>0</v>
      </c>
      <c r="BZ102" s="217">
        <v>0</v>
      </c>
      <c r="CA102" s="217">
        <v>0</v>
      </c>
      <c r="CB102" s="217">
        <v>2</v>
      </c>
      <c r="CC102" s="217">
        <v>10</v>
      </c>
      <c r="CD102" s="217">
        <v>0</v>
      </c>
      <c r="CE102" s="217">
        <v>0</v>
      </c>
      <c r="CF102" s="217">
        <v>0</v>
      </c>
      <c r="CG102" s="218">
        <v>0</v>
      </c>
      <c r="CH102" s="218">
        <v>0</v>
      </c>
      <c r="CI102" s="218">
        <v>0</v>
      </c>
      <c r="CJ102" s="218">
        <v>0</v>
      </c>
    </row>
    <row r="103" spans="1:88" x14ac:dyDescent="0.25">
      <c r="A103" s="217" t="s">
        <v>22</v>
      </c>
      <c r="B103" s="217" t="s">
        <v>23</v>
      </c>
      <c r="C103" s="217" t="s">
        <v>85</v>
      </c>
      <c r="D103" s="217" t="s">
        <v>84</v>
      </c>
      <c r="E103" s="217" t="s">
        <v>95</v>
      </c>
      <c r="F103" s="217" t="s">
        <v>94</v>
      </c>
      <c r="G103" s="217" t="s">
        <v>670</v>
      </c>
      <c r="H103" s="217" t="s">
        <v>1668</v>
      </c>
      <c r="I103" s="217" t="s">
        <v>29</v>
      </c>
      <c r="J103" s="217" t="s">
        <v>1858</v>
      </c>
      <c r="K103" s="217">
        <v>7</v>
      </c>
      <c r="L103" s="217">
        <v>46</v>
      </c>
      <c r="M103" s="217" t="s">
        <v>31</v>
      </c>
      <c r="N103" s="217" t="s">
        <v>32</v>
      </c>
      <c r="O103" s="217" t="s">
        <v>68</v>
      </c>
      <c r="P103" s="217" t="s">
        <v>34</v>
      </c>
      <c r="Q103" s="217" t="s">
        <v>35</v>
      </c>
      <c r="R103" s="217" t="s">
        <v>23</v>
      </c>
      <c r="S103" s="217" t="s">
        <v>22</v>
      </c>
      <c r="T103" s="217" t="s">
        <v>84</v>
      </c>
      <c r="U103" s="217" t="s">
        <v>85</v>
      </c>
      <c r="V103" s="217" t="s">
        <v>109</v>
      </c>
      <c r="W103" s="217" t="s">
        <v>110</v>
      </c>
      <c r="AD103" s="217" t="s">
        <v>36</v>
      </c>
      <c r="AE103" s="217" t="s">
        <v>37</v>
      </c>
      <c r="AF103" s="217" t="s">
        <v>249</v>
      </c>
      <c r="AG103" s="217" t="s">
        <v>250</v>
      </c>
      <c r="AH103" s="217" t="s">
        <v>262</v>
      </c>
      <c r="AI103" s="217" t="s">
        <v>1856</v>
      </c>
      <c r="AJ103" s="217">
        <v>5</v>
      </c>
      <c r="AK103" s="217">
        <v>25</v>
      </c>
      <c r="AL103" s="217" t="s">
        <v>154</v>
      </c>
      <c r="AM103" s="217" t="s">
        <v>34</v>
      </c>
      <c r="AN103" s="217" t="s">
        <v>138</v>
      </c>
      <c r="AO103" s="217" t="s">
        <v>199</v>
      </c>
      <c r="AP103" s="217" t="s">
        <v>200</v>
      </c>
      <c r="AQ103" s="217" t="s">
        <v>139</v>
      </c>
      <c r="AR103" s="217" t="s">
        <v>139</v>
      </c>
      <c r="AS103" s="217" t="s">
        <v>139</v>
      </c>
      <c r="AT103" s="217" t="s">
        <v>139</v>
      </c>
      <c r="AU103" s="217" t="s">
        <v>2194</v>
      </c>
      <c r="BC103" s="217" t="s">
        <v>85</v>
      </c>
      <c r="BD103" s="217" t="s">
        <v>92</v>
      </c>
      <c r="BE103" s="217" t="s">
        <v>1813</v>
      </c>
      <c r="BF103" s="217" t="s">
        <v>1814</v>
      </c>
      <c r="BG103" s="217" t="s">
        <v>1998</v>
      </c>
      <c r="BH103" s="217" t="s">
        <v>1658</v>
      </c>
      <c r="BI103" s="217" t="s">
        <v>1658</v>
      </c>
      <c r="BJ103" s="217" t="s">
        <v>1660</v>
      </c>
      <c r="BK103" s="217" t="s">
        <v>637</v>
      </c>
      <c r="BL103" s="217"/>
      <c r="BM103" s="217"/>
      <c r="BN103" s="217">
        <v>0</v>
      </c>
      <c r="BO103" s="217">
        <v>0</v>
      </c>
      <c r="BR103" s="217" t="s">
        <v>85</v>
      </c>
      <c r="BS103" s="217" t="s">
        <v>173</v>
      </c>
      <c r="BT103" s="217" t="s">
        <v>315</v>
      </c>
      <c r="BU103" s="217" t="s">
        <v>998</v>
      </c>
      <c r="BV103" s="217">
        <v>4</v>
      </c>
      <c r="BW103" s="217">
        <v>42</v>
      </c>
      <c r="BX103" s="217">
        <v>0</v>
      </c>
      <c r="BY103" s="217">
        <v>0</v>
      </c>
      <c r="BZ103" s="217">
        <v>0</v>
      </c>
      <c r="CA103" s="217">
        <v>0</v>
      </c>
      <c r="CB103" s="217">
        <v>4</v>
      </c>
      <c r="CC103" s="217">
        <v>42</v>
      </c>
      <c r="CD103" s="217">
        <v>0</v>
      </c>
      <c r="CE103" s="217">
        <v>0</v>
      </c>
      <c r="CF103" s="217">
        <v>0</v>
      </c>
      <c r="CG103" s="217">
        <v>0</v>
      </c>
      <c r="CH103" s="217">
        <v>0</v>
      </c>
      <c r="CI103" s="217">
        <v>0</v>
      </c>
      <c r="CJ103" s="217">
        <v>0</v>
      </c>
    </row>
    <row r="104" spans="1:88" x14ac:dyDescent="0.25">
      <c r="A104" s="217" t="s">
        <v>22</v>
      </c>
      <c r="B104" s="217" t="s">
        <v>23</v>
      </c>
      <c r="C104" s="217" t="s">
        <v>85</v>
      </c>
      <c r="D104" s="217" t="s">
        <v>84</v>
      </c>
      <c r="E104" s="217" t="s">
        <v>95</v>
      </c>
      <c r="F104" s="217" t="s">
        <v>94</v>
      </c>
      <c r="G104" s="217" t="s">
        <v>117</v>
      </c>
      <c r="H104" s="217" t="s">
        <v>925</v>
      </c>
      <c r="I104" s="217" t="s">
        <v>29</v>
      </c>
      <c r="J104" s="217" t="s">
        <v>1855</v>
      </c>
      <c r="K104" s="217">
        <v>7</v>
      </c>
      <c r="L104" s="217">
        <v>72</v>
      </c>
      <c r="M104" s="217" t="s">
        <v>31</v>
      </c>
      <c r="N104" s="217" t="s">
        <v>32</v>
      </c>
      <c r="O104" s="217" t="s">
        <v>68</v>
      </c>
      <c r="P104" s="217" t="s">
        <v>34</v>
      </c>
      <c r="Q104" s="217" t="s">
        <v>35</v>
      </c>
      <c r="R104" s="217" t="s">
        <v>23</v>
      </c>
      <c r="S104" s="217" t="s">
        <v>22</v>
      </c>
      <c r="T104" s="217" t="s">
        <v>84</v>
      </c>
      <c r="U104" s="217" t="s">
        <v>85</v>
      </c>
      <c r="V104" s="217" t="s">
        <v>91</v>
      </c>
      <c r="W104" s="217" t="s">
        <v>92</v>
      </c>
      <c r="AD104" s="217" t="s">
        <v>36</v>
      </c>
      <c r="AE104" s="217" t="s">
        <v>37</v>
      </c>
      <c r="AF104" s="217" t="s">
        <v>249</v>
      </c>
      <c r="AG104" s="217" t="s">
        <v>250</v>
      </c>
      <c r="AH104" s="217" t="s">
        <v>262</v>
      </c>
      <c r="AI104" s="217" t="s">
        <v>1857</v>
      </c>
      <c r="AJ104" s="217">
        <v>2</v>
      </c>
      <c r="AK104" s="217">
        <v>10</v>
      </c>
      <c r="AL104" s="217" t="s">
        <v>154</v>
      </c>
      <c r="AM104" s="217" t="s">
        <v>34</v>
      </c>
      <c r="AN104" s="217" t="s">
        <v>138</v>
      </c>
      <c r="AO104" s="217" t="s">
        <v>199</v>
      </c>
      <c r="AP104" s="217" t="s">
        <v>200</v>
      </c>
      <c r="AQ104" s="217" t="s">
        <v>139</v>
      </c>
      <c r="AR104" s="217" t="s">
        <v>139</v>
      </c>
      <c r="AS104" s="217" t="s">
        <v>139</v>
      </c>
      <c r="AT104" s="217" t="s">
        <v>139</v>
      </c>
      <c r="AU104" s="217" t="s">
        <v>2194</v>
      </c>
      <c r="BC104" s="217" t="s">
        <v>85</v>
      </c>
      <c r="BD104" s="217" t="s">
        <v>92</v>
      </c>
      <c r="BE104" s="217" t="s">
        <v>955</v>
      </c>
      <c r="BF104" s="217" t="s">
        <v>954</v>
      </c>
      <c r="BG104" s="217" t="s">
        <v>1998</v>
      </c>
      <c r="BH104" s="217" t="s">
        <v>1658</v>
      </c>
      <c r="BI104" s="217" t="s">
        <v>1660</v>
      </c>
      <c r="BJ104" s="217" t="s">
        <v>1660</v>
      </c>
      <c r="BK104" s="217" t="s">
        <v>637</v>
      </c>
      <c r="BL104" s="217"/>
      <c r="BM104" s="217"/>
      <c r="BN104" s="217">
        <v>0</v>
      </c>
      <c r="BO104" s="217">
        <v>0</v>
      </c>
      <c r="BR104" s="217" t="s">
        <v>85</v>
      </c>
      <c r="BS104" s="217" t="s">
        <v>88</v>
      </c>
      <c r="BT104" s="217" t="s">
        <v>766</v>
      </c>
      <c r="BU104" s="217" t="s">
        <v>916</v>
      </c>
      <c r="BV104" s="217">
        <v>22</v>
      </c>
      <c r="BW104" s="217">
        <v>126</v>
      </c>
      <c r="BX104" s="217">
        <v>0</v>
      </c>
      <c r="BY104" s="217">
        <v>0</v>
      </c>
      <c r="BZ104" s="217">
        <v>0</v>
      </c>
      <c r="CA104" s="217">
        <v>0</v>
      </c>
      <c r="CB104" s="217">
        <v>22</v>
      </c>
      <c r="CC104" s="217">
        <v>126</v>
      </c>
      <c r="CD104" s="217">
        <v>0</v>
      </c>
      <c r="CE104" s="217">
        <v>0</v>
      </c>
      <c r="CF104" s="217">
        <v>0</v>
      </c>
      <c r="CG104" s="217">
        <v>0</v>
      </c>
      <c r="CH104" s="217">
        <v>0</v>
      </c>
      <c r="CI104" s="217">
        <v>0</v>
      </c>
      <c r="CJ104" s="217">
        <v>0</v>
      </c>
    </row>
    <row r="105" spans="1:88" x14ac:dyDescent="0.25">
      <c r="A105" s="217" t="s">
        <v>22</v>
      </c>
      <c r="B105" s="217" t="s">
        <v>23</v>
      </c>
      <c r="C105" s="217" t="s">
        <v>85</v>
      </c>
      <c r="D105" s="217" t="s">
        <v>84</v>
      </c>
      <c r="E105" s="217" t="s">
        <v>95</v>
      </c>
      <c r="F105" s="217" t="s">
        <v>94</v>
      </c>
      <c r="G105" s="217" t="s">
        <v>117</v>
      </c>
      <c r="H105" s="217" t="s">
        <v>925</v>
      </c>
      <c r="I105" s="217" t="s">
        <v>29</v>
      </c>
      <c r="J105" s="217" t="s">
        <v>1856</v>
      </c>
      <c r="K105" s="217">
        <v>7</v>
      </c>
      <c r="L105" s="217">
        <v>51</v>
      </c>
      <c r="M105" s="217" t="s">
        <v>31</v>
      </c>
      <c r="N105" s="217" t="s">
        <v>32</v>
      </c>
      <c r="O105" s="217" t="s">
        <v>68</v>
      </c>
      <c r="P105" s="217" t="s">
        <v>34</v>
      </c>
      <c r="Q105" s="217" t="s">
        <v>35</v>
      </c>
      <c r="R105" s="217" t="s">
        <v>23</v>
      </c>
      <c r="S105" s="217" t="s">
        <v>22</v>
      </c>
      <c r="T105" s="217" t="s">
        <v>84</v>
      </c>
      <c r="U105" s="217" t="s">
        <v>85</v>
      </c>
      <c r="V105" s="217" t="s">
        <v>109</v>
      </c>
      <c r="W105" s="217" t="s">
        <v>110</v>
      </c>
      <c r="AD105" s="217" t="s">
        <v>36</v>
      </c>
      <c r="AE105" s="217" t="s">
        <v>37</v>
      </c>
      <c r="AF105" s="217" t="s">
        <v>249</v>
      </c>
      <c r="AG105" s="217" t="s">
        <v>250</v>
      </c>
      <c r="AH105" s="217" t="s">
        <v>262</v>
      </c>
      <c r="AI105" s="217" t="s">
        <v>1858</v>
      </c>
      <c r="AJ105" s="217">
        <v>1</v>
      </c>
      <c r="AK105" s="217">
        <v>5</v>
      </c>
      <c r="AL105" s="217" t="s">
        <v>154</v>
      </c>
      <c r="AM105" s="217" t="s">
        <v>34</v>
      </c>
      <c r="AN105" s="217" t="s">
        <v>138</v>
      </c>
      <c r="AO105" s="217" t="s">
        <v>199</v>
      </c>
      <c r="AP105" s="217" t="s">
        <v>200</v>
      </c>
      <c r="AQ105" s="217" t="s">
        <v>139</v>
      </c>
      <c r="AR105" s="217" t="s">
        <v>139</v>
      </c>
      <c r="AS105" s="217" t="s">
        <v>139</v>
      </c>
      <c r="AT105" s="217" t="s">
        <v>139</v>
      </c>
      <c r="AU105" s="217" t="s">
        <v>2194</v>
      </c>
      <c r="BC105" s="217" t="s">
        <v>85</v>
      </c>
      <c r="BD105" s="217" t="s">
        <v>92</v>
      </c>
      <c r="BE105" s="217" t="s">
        <v>956</v>
      </c>
      <c r="BF105" s="217" t="s">
        <v>281</v>
      </c>
      <c r="BG105" s="217" t="s">
        <v>1998</v>
      </c>
      <c r="BH105" s="217" t="s">
        <v>1658</v>
      </c>
      <c r="BI105" s="217" t="s">
        <v>1660</v>
      </c>
      <c r="BJ105" s="217" t="s">
        <v>1660</v>
      </c>
      <c r="BK105" s="217" t="s">
        <v>637</v>
      </c>
      <c r="BL105" s="217"/>
      <c r="BM105" s="217"/>
      <c r="BN105" s="217">
        <v>0</v>
      </c>
      <c r="BO105" s="217">
        <v>0</v>
      </c>
      <c r="BR105" s="217" t="s">
        <v>85</v>
      </c>
      <c r="BS105" s="217" t="s">
        <v>88</v>
      </c>
      <c r="BT105" s="217" t="s">
        <v>111</v>
      </c>
      <c r="BU105" s="217" t="s">
        <v>919</v>
      </c>
      <c r="BV105" s="217">
        <v>16</v>
      </c>
      <c r="BW105" s="217">
        <v>112</v>
      </c>
      <c r="BX105" s="217">
        <v>10</v>
      </c>
      <c r="BY105" s="217">
        <v>81</v>
      </c>
      <c r="BZ105" s="217">
        <v>0</v>
      </c>
      <c r="CA105" s="217">
        <v>0</v>
      </c>
      <c r="CB105" s="217">
        <v>16</v>
      </c>
      <c r="CC105" s="217">
        <v>112</v>
      </c>
      <c r="CD105" s="217">
        <v>10</v>
      </c>
      <c r="CE105" s="217">
        <v>81</v>
      </c>
      <c r="CF105" s="217">
        <v>0</v>
      </c>
      <c r="CG105" s="217">
        <v>0</v>
      </c>
      <c r="CH105" s="217">
        <v>0</v>
      </c>
      <c r="CI105" s="217">
        <v>0</v>
      </c>
      <c r="CJ105" s="217">
        <v>0</v>
      </c>
    </row>
    <row r="106" spans="1:88" x14ac:dyDescent="0.25">
      <c r="A106" s="217" t="s">
        <v>22</v>
      </c>
      <c r="B106" s="217" t="s">
        <v>23</v>
      </c>
      <c r="C106" s="217" t="s">
        <v>85</v>
      </c>
      <c r="D106" s="217" t="s">
        <v>84</v>
      </c>
      <c r="E106" s="217" t="s">
        <v>95</v>
      </c>
      <c r="F106" s="217" t="s">
        <v>94</v>
      </c>
      <c r="G106" s="217" t="s">
        <v>117</v>
      </c>
      <c r="H106" s="217" t="s">
        <v>925</v>
      </c>
      <c r="I106" s="217" t="s">
        <v>29</v>
      </c>
      <c r="J106" s="217" t="s">
        <v>1857</v>
      </c>
      <c r="K106" s="217">
        <v>10</v>
      </c>
      <c r="L106" s="217">
        <v>47</v>
      </c>
      <c r="M106" s="217" t="s">
        <v>31</v>
      </c>
      <c r="N106" s="217" t="s">
        <v>32</v>
      </c>
      <c r="O106" s="217" t="s">
        <v>100</v>
      </c>
      <c r="P106" s="217" t="s">
        <v>34</v>
      </c>
      <c r="Q106" s="217" t="s">
        <v>35</v>
      </c>
      <c r="R106" s="217" t="s">
        <v>23</v>
      </c>
      <c r="S106" s="217" t="s">
        <v>22</v>
      </c>
      <c r="T106" s="217" t="s">
        <v>84</v>
      </c>
      <c r="U106" s="217" t="s">
        <v>85</v>
      </c>
      <c r="V106" s="217" t="s">
        <v>94</v>
      </c>
      <c r="W106" s="217" t="s">
        <v>95</v>
      </c>
      <c r="AD106" s="217" t="s">
        <v>36</v>
      </c>
      <c r="AE106" s="217" t="s">
        <v>37</v>
      </c>
      <c r="AF106" s="217" t="s">
        <v>249</v>
      </c>
      <c r="AG106" s="217" t="s">
        <v>250</v>
      </c>
      <c r="AH106" s="217" t="s">
        <v>599</v>
      </c>
      <c r="AI106" s="217" t="s">
        <v>1856</v>
      </c>
      <c r="AJ106" s="217">
        <v>2</v>
      </c>
      <c r="AK106" s="217">
        <v>10</v>
      </c>
      <c r="AL106" s="217" t="s">
        <v>154</v>
      </c>
      <c r="AM106" s="217" t="s">
        <v>34</v>
      </c>
      <c r="AN106" s="217" t="s">
        <v>138</v>
      </c>
      <c r="AO106" s="217" t="s">
        <v>199</v>
      </c>
      <c r="AP106" s="217" t="s">
        <v>200</v>
      </c>
      <c r="AQ106" s="217" t="s">
        <v>139</v>
      </c>
      <c r="AR106" s="217" t="s">
        <v>139</v>
      </c>
      <c r="AS106" s="217" t="s">
        <v>139</v>
      </c>
      <c r="AT106" s="217" t="s">
        <v>139</v>
      </c>
      <c r="AU106" s="217" t="s">
        <v>200</v>
      </c>
      <c r="BC106" s="217" t="s">
        <v>85</v>
      </c>
      <c r="BD106" s="217" t="s">
        <v>92</v>
      </c>
      <c r="BE106" s="217" t="s">
        <v>1670</v>
      </c>
      <c r="BF106" s="217" t="s">
        <v>282</v>
      </c>
      <c r="BG106" s="217" t="s">
        <v>1999</v>
      </c>
      <c r="BH106" s="217" t="s">
        <v>1660</v>
      </c>
      <c r="BI106" s="217" t="s">
        <v>1660</v>
      </c>
      <c r="BJ106" s="217" t="s">
        <v>1660</v>
      </c>
      <c r="BK106" s="217" t="s">
        <v>637</v>
      </c>
      <c r="BL106" s="217"/>
      <c r="BM106" s="217"/>
      <c r="BN106" s="217">
        <v>0</v>
      </c>
      <c r="BO106" s="217">
        <v>0</v>
      </c>
      <c r="BR106" s="217" t="s">
        <v>85</v>
      </c>
      <c r="BS106" s="217" t="s">
        <v>88</v>
      </c>
      <c r="BT106" s="217" t="s">
        <v>105</v>
      </c>
      <c r="BU106" s="217" t="s">
        <v>913</v>
      </c>
      <c r="BV106" s="217">
        <v>4</v>
      </c>
      <c r="BW106" s="217">
        <v>15</v>
      </c>
      <c r="BX106" s="217">
        <v>0</v>
      </c>
      <c r="BY106" s="217">
        <v>0</v>
      </c>
      <c r="BZ106" s="217">
        <v>0</v>
      </c>
      <c r="CA106" s="217">
        <v>0</v>
      </c>
      <c r="CB106" s="217">
        <v>13</v>
      </c>
      <c r="CC106" s="217">
        <v>30</v>
      </c>
      <c r="CD106" s="217">
        <v>0</v>
      </c>
      <c r="CE106" s="217">
        <v>0</v>
      </c>
      <c r="CF106" s="217">
        <v>0</v>
      </c>
      <c r="CG106" s="217">
        <v>0</v>
      </c>
      <c r="CH106" s="217">
        <v>-15</v>
      </c>
      <c r="CI106" s="217">
        <v>0</v>
      </c>
      <c r="CJ106" s="217">
        <v>0</v>
      </c>
    </row>
    <row r="107" spans="1:88" x14ac:dyDescent="0.25">
      <c r="A107" s="217" t="s">
        <v>22</v>
      </c>
      <c r="B107" s="217" t="s">
        <v>23</v>
      </c>
      <c r="C107" s="217" t="s">
        <v>85</v>
      </c>
      <c r="D107" s="217" t="s">
        <v>84</v>
      </c>
      <c r="E107" s="217" t="s">
        <v>95</v>
      </c>
      <c r="F107" s="217" t="s">
        <v>94</v>
      </c>
      <c r="G107" s="217" t="s">
        <v>117</v>
      </c>
      <c r="H107" s="217" t="s">
        <v>925</v>
      </c>
      <c r="I107" s="217" t="s">
        <v>29</v>
      </c>
      <c r="J107" s="217" t="s">
        <v>1858</v>
      </c>
      <c r="K107" s="217">
        <v>3</v>
      </c>
      <c r="L107" s="217">
        <v>14</v>
      </c>
      <c r="M107" s="217" t="s">
        <v>31</v>
      </c>
      <c r="N107" s="217" t="s">
        <v>32</v>
      </c>
      <c r="O107" s="217" t="s">
        <v>68</v>
      </c>
      <c r="P107" s="217" t="s">
        <v>34</v>
      </c>
      <c r="Q107" s="217" t="s">
        <v>35</v>
      </c>
      <c r="R107" s="217" t="s">
        <v>23</v>
      </c>
      <c r="S107" s="217" t="s">
        <v>22</v>
      </c>
      <c r="T107" s="217" t="s">
        <v>84</v>
      </c>
      <c r="U107" s="217" t="s">
        <v>85</v>
      </c>
      <c r="V107" s="217" t="s">
        <v>109</v>
      </c>
      <c r="W107" s="217" t="s">
        <v>110</v>
      </c>
      <c r="AD107" s="217" t="s">
        <v>36</v>
      </c>
      <c r="AE107" s="217" t="s">
        <v>37</v>
      </c>
      <c r="AF107" s="217" t="s">
        <v>249</v>
      </c>
      <c r="AG107" s="217" t="s">
        <v>250</v>
      </c>
      <c r="AH107" s="217" t="s">
        <v>599</v>
      </c>
      <c r="AI107" s="217" t="s">
        <v>1855</v>
      </c>
      <c r="AJ107" s="217">
        <v>1</v>
      </c>
      <c r="AK107" s="217">
        <v>5</v>
      </c>
      <c r="AL107" s="217" t="s">
        <v>68</v>
      </c>
      <c r="AM107" s="217" t="s">
        <v>34</v>
      </c>
      <c r="AN107" s="217" t="s">
        <v>138</v>
      </c>
      <c r="AO107" s="217" t="s">
        <v>32</v>
      </c>
      <c r="AP107" s="217" t="s">
        <v>32</v>
      </c>
      <c r="AQ107" s="217" t="s">
        <v>139</v>
      </c>
      <c r="AR107" s="217" t="s">
        <v>139</v>
      </c>
      <c r="AS107" s="217" t="s">
        <v>246</v>
      </c>
      <c r="AT107" s="217" t="s">
        <v>247</v>
      </c>
      <c r="AU107" s="217" t="s">
        <v>247</v>
      </c>
      <c r="BC107" s="217" t="s">
        <v>85</v>
      </c>
      <c r="BD107" s="217" t="s">
        <v>92</v>
      </c>
      <c r="BE107" s="217" t="s">
        <v>957</v>
      </c>
      <c r="BF107" s="217" t="s">
        <v>283</v>
      </c>
      <c r="BG107" s="217" t="s">
        <v>2007</v>
      </c>
      <c r="BH107" s="217" t="s">
        <v>1660</v>
      </c>
      <c r="BI107" s="217" t="s">
        <v>1660</v>
      </c>
      <c r="BJ107" s="217" t="s">
        <v>1660</v>
      </c>
      <c r="BK107" s="217" t="s">
        <v>637</v>
      </c>
      <c r="BL107" s="217"/>
      <c r="BM107" s="217"/>
      <c r="BN107" s="217">
        <v>0</v>
      </c>
      <c r="BO107" s="217">
        <v>0</v>
      </c>
      <c r="BR107" s="217" t="s">
        <v>85</v>
      </c>
      <c r="BS107" s="217" t="s">
        <v>88</v>
      </c>
      <c r="BT107" s="217" t="s">
        <v>102</v>
      </c>
      <c r="BU107" s="217" t="s">
        <v>910</v>
      </c>
      <c r="BV107" s="217">
        <v>7</v>
      </c>
      <c r="BW107" s="217">
        <v>68</v>
      </c>
      <c r="BX107" s="217">
        <v>1</v>
      </c>
      <c r="BY107" s="217">
        <v>4</v>
      </c>
      <c r="BZ107" s="217">
        <v>0</v>
      </c>
      <c r="CA107" s="217">
        <v>0</v>
      </c>
      <c r="CB107" s="217">
        <v>7</v>
      </c>
      <c r="CC107" s="217">
        <v>68</v>
      </c>
      <c r="CD107" s="217">
        <v>1</v>
      </c>
      <c r="CE107" s="217">
        <v>4</v>
      </c>
      <c r="CF107" s="217">
        <v>0</v>
      </c>
      <c r="CG107" s="217">
        <v>0</v>
      </c>
      <c r="CH107" s="217">
        <v>0</v>
      </c>
      <c r="CI107" s="217">
        <v>0</v>
      </c>
      <c r="CJ107" s="217">
        <v>0</v>
      </c>
    </row>
    <row r="108" spans="1:88" x14ac:dyDescent="0.25">
      <c r="A108" s="217" t="s">
        <v>22</v>
      </c>
      <c r="B108" s="217" t="s">
        <v>23</v>
      </c>
      <c r="C108" s="217" t="s">
        <v>85</v>
      </c>
      <c r="D108" s="217" t="s">
        <v>84</v>
      </c>
      <c r="E108" s="217" t="s">
        <v>95</v>
      </c>
      <c r="F108" s="217" t="s">
        <v>94</v>
      </c>
      <c r="G108" s="217" t="s">
        <v>118</v>
      </c>
      <c r="H108" s="217" t="s">
        <v>926</v>
      </c>
      <c r="I108" s="217" t="s">
        <v>29</v>
      </c>
      <c r="J108" s="217" t="s">
        <v>1857</v>
      </c>
      <c r="K108" s="217">
        <v>1</v>
      </c>
      <c r="L108" s="217">
        <v>8</v>
      </c>
      <c r="M108" s="217" t="s">
        <v>31</v>
      </c>
      <c r="N108" s="217" t="s">
        <v>32</v>
      </c>
      <c r="O108" s="217" t="s">
        <v>68</v>
      </c>
      <c r="P108" s="217" t="s">
        <v>34</v>
      </c>
      <c r="Q108" s="217" t="s">
        <v>35</v>
      </c>
      <c r="R108" s="217" t="s">
        <v>23</v>
      </c>
      <c r="S108" s="217" t="s">
        <v>22</v>
      </c>
      <c r="T108" s="217" t="s">
        <v>84</v>
      </c>
      <c r="U108" s="217" t="s">
        <v>85</v>
      </c>
      <c r="V108" s="217" t="s">
        <v>109</v>
      </c>
      <c r="W108" s="217" t="s">
        <v>110</v>
      </c>
      <c r="AD108" s="217" t="s">
        <v>36</v>
      </c>
      <c r="AE108" s="217" t="s">
        <v>37</v>
      </c>
      <c r="AF108" s="217" t="s">
        <v>249</v>
      </c>
      <c r="AG108" s="217" t="s">
        <v>250</v>
      </c>
      <c r="AH108" s="217" t="s">
        <v>599</v>
      </c>
      <c r="AI108" s="217" t="s">
        <v>1857</v>
      </c>
      <c r="AJ108" s="217">
        <v>3</v>
      </c>
      <c r="AK108" s="217">
        <v>15</v>
      </c>
      <c r="AL108" s="217" t="s">
        <v>68</v>
      </c>
      <c r="AM108" s="217" t="s">
        <v>34</v>
      </c>
      <c r="AN108" s="217" t="s">
        <v>138</v>
      </c>
      <c r="AO108" s="217" t="s">
        <v>32</v>
      </c>
      <c r="AP108" s="217" t="s">
        <v>32</v>
      </c>
      <c r="AQ108" s="217" t="s">
        <v>139</v>
      </c>
      <c r="AR108" s="217" t="s">
        <v>139</v>
      </c>
      <c r="AS108" s="217" t="s">
        <v>548</v>
      </c>
      <c r="AT108" s="217" t="s">
        <v>547</v>
      </c>
      <c r="AU108" s="217" t="s">
        <v>547</v>
      </c>
      <c r="BC108" s="217" t="s">
        <v>85</v>
      </c>
      <c r="BD108" s="217" t="s">
        <v>92</v>
      </c>
      <c r="BE108" s="217" t="s">
        <v>958</v>
      </c>
      <c r="BF108" s="217" t="s">
        <v>284</v>
      </c>
      <c r="BG108" s="217" t="s">
        <v>2007</v>
      </c>
      <c r="BH108" s="217" t="s">
        <v>1660</v>
      </c>
      <c r="BI108" s="217" t="s">
        <v>1660</v>
      </c>
      <c r="BJ108" s="217" t="s">
        <v>1660</v>
      </c>
      <c r="BK108" s="217" t="s">
        <v>637</v>
      </c>
      <c r="BL108" s="217"/>
      <c r="BM108" s="217"/>
      <c r="BN108" s="217">
        <v>0</v>
      </c>
      <c r="BO108" s="217">
        <v>0</v>
      </c>
      <c r="BR108" s="217" t="s">
        <v>85</v>
      </c>
      <c r="BS108" s="217" t="s">
        <v>88</v>
      </c>
      <c r="BT108" s="217" t="s">
        <v>1809</v>
      </c>
      <c r="BU108" s="217" t="s">
        <v>1808</v>
      </c>
      <c r="BV108" s="217">
        <v>10</v>
      </c>
      <c r="BW108" s="217">
        <v>44</v>
      </c>
      <c r="BX108" s="217">
        <v>0</v>
      </c>
      <c r="BY108" s="217">
        <v>0</v>
      </c>
      <c r="BZ108" s="217">
        <v>9</v>
      </c>
      <c r="CA108" s="217">
        <v>37</v>
      </c>
      <c r="CB108" s="217">
        <v>10</v>
      </c>
      <c r="CC108" s="217">
        <v>44</v>
      </c>
      <c r="CD108" s="217">
        <v>0</v>
      </c>
      <c r="CE108" s="217">
        <v>0</v>
      </c>
      <c r="CF108" s="217">
        <v>9</v>
      </c>
      <c r="CG108" s="217">
        <v>37</v>
      </c>
      <c r="CH108" s="217">
        <v>0</v>
      </c>
      <c r="CI108" s="217">
        <v>0</v>
      </c>
      <c r="CJ108" s="217">
        <v>0</v>
      </c>
    </row>
    <row r="109" spans="1:88" x14ac:dyDescent="0.25">
      <c r="A109" s="217" t="s">
        <v>22</v>
      </c>
      <c r="B109" s="217" t="s">
        <v>23</v>
      </c>
      <c r="C109" s="217" t="s">
        <v>85</v>
      </c>
      <c r="D109" s="217" t="s">
        <v>84</v>
      </c>
      <c r="E109" s="217" t="s">
        <v>95</v>
      </c>
      <c r="F109" s="217" t="s">
        <v>94</v>
      </c>
      <c r="G109" s="217" t="s">
        <v>118</v>
      </c>
      <c r="H109" s="217" t="s">
        <v>926</v>
      </c>
      <c r="I109" s="217" t="s">
        <v>29</v>
      </c>
      <c r="J109" s="217" t="s">
        <v>1858</v>
      </c>
      <c r="K109" s="217">
        <v>5</v>
      </c>
      <c r="L109" s="217">
        <v>38</v>
      </c>
      <c r="M109" s="217" t="s">
        <v>31</v>
      </c>
      <c r="N109" s="217" t="s">
        <v>32</v>
      </c>
      <c r="O109" s="217" t="s">
        <v>68</v>
      </c>
      <c r="P109" s="217" t="s">
        <v>34</v>
      </c>
      <c r="Q109" s="217" t="s">
        <v>35</v>
      </c>
      <c r="R109" s="217" t="s">
        <v>23</v>
      </c>
      <c r="S109" s="217" t="s">
        <v>22</v>
      </c>
      <c r="T109" s="217" t="s">
        <v>84</v>
      </c>
      <c r="U109" s="217" t="s">
        <v>85</v>
      </c>
      <c r="V109" s="217" t="s">
        <v>109</v>
      </c>
      <c r="W109" s="217" t="s">
        <v>110</v>
      </c>
      <c r="AD109" s="217" t="s">
        <v>36</v>
      </c>
      <c r="AE109" s="217" t="s">
        <v>37</v>
      </c>
      <c r="AF109" s="217" t="s">
        <v>249</v>
      </c>
      <c r="AG109" s="217" t="s">
        <v>250</v>
      </c>
      <c r="AH109" s="217" t="s">
        <v>599</v>
      </c>
      <c r="AI109" s="217" t="s">
        <v>1858</v>
      </c>
      <c r="AJ109" s="217">
        <v>3</v>
      </c>
      <c r="AK109" s="217">
        <v>15</v>
      </c>
      <c r="AL109" s="217" t="s">
        <v>68</v>
      </c>
      <c r="AM109" s="217" t="s">
        <v>34</v>
      </c>
      <c r="AN109" s="217" t="s">
        <v>138</v>
      </c>
      <c r="AO109" s="217" t="s">
        <v>32</v>
      </c>
      <c r="AP109" s="217" t="s">
        <v>32</v>
      </c>
      <c r="AQ109" s="217" t="s">
        <v>139</v>
      </c>
      <c r="AR109" s="217" t="s">
        <v>139</v>
      </c>
      <c r="AS109" s="217" t="s">
        <v>246</v>
      </c>
      <c r="AT109" s="217" t="s">
        <v>247</v>
      </c>
      <c r="AU109" s="217" t="s">
        <v>247</v>
      </c>
      <c r="BC109" s="217" t="s">
        <v>85</v>
      </c>
      <c r="BD109" s="217" t="s">
        <v>92</v>
      </c>
      <c r="BE109" s="217" t="s">
        <v>2027</v>
      </c>
      <c r="BF109" s="217" t="s">
        <v>2028</v>
      </c>
      <c r="BG109" s="217" t="s">
        <v>1998</v>
      </c>
      <c r="BH109" s="217" t="s">
        <v>1660</v>
      </c>
      <c r="BI109" s="217" t="s">
        <v>1660</v>
      </c>
      <c r="BJ109" s="217" t="s">
        <v>1660</v>
      </c>
      <c r="BK109" s="217" t="s">
        <v>637</v>
      </c>
      <c r="BL109" s="217"/>
      <c r="BM109" s="217"/>
      <c r="BN109" s="217">
        <v>0</v>
      </c>
      <c r="BO109" s="217">
        <v>0</v>
      </c>
      <c r="BR109" s="217" t="s">
        <v>85</v>
      </c>
      <c r="BS109" s="217" t="s">
        <v>88</v>
      </c>
      <c r="BT109" s="217" t="s">
        <v>669</v>
      </c>
      <c r="BU109" s="217" t="s">
        <v>1558</v>
      </c>
      <c r="BV109" s="217">
        <v>1</v>
      </c>
      <c r="BW109" s="217">
        <v>7</v>
      </c>
      <c r="BX109" s="217">
        <v>0</v>
      </c>
      <c r="BY109" s="217">
        <v>0</v>
      </c>
      <c r="BZ109" s="217">
        <v>7</v>
      </c>
      <c r="CA109" s="217">
        <v>67</v>
      </c>
      <c r="CB109" s="217">
        <v>1</v>
      </c>
      <c r="CC109" s="217">
        <v>7</v>
      </c>
      <c r="CD109" s="217">
        <v>0</v>
      </c>
      <c r="CE109" s="217">
        <v>0</v>
      </c>
      <c r="CF109" s="217">
        <v>7</v>
      </c>
      <c r="CG109" s="217">
        <v>67</v>
      </c>
      <c r="CH109" s="217">
        <v>0</v>
      </c>
      <c r="CI109" s="217">
        <v>0</v>
      </c>
      <c r="CJ109" s="217">
        <v>0</v>
      </c>
    </row>
    <row r="110" spans="1:88" x14ac:dyDescent="0.25">
      <c r="A110" s="217" t="s">
        <v>22</v>
      </c>
      <c r="B110" s="217" t="s">
        <v>23</v>
      </c>
      <c r="C110" s="217" t="s">
        <v>85</v>
      </c>
      <c r="D110" s="217" t="s">
        <v>84</v>
      </c>
      <c r="E110" s="217" t="s">
        <v>95</v>
      </c>
      <c r="F110" s="217" t="s">
        <v>94</v>
      </c>
      <c r="G110" s="217" t="s">
        <v>119</v>
      </c>
      <c r="H110" s="217" t="s">
        <v>927</v>
      </c>
      <c r="I110" s="217" t="s">
        <v>29</v>
      </c>
      <c r="J110" s="217" t="s">
        <v>1857</v>
      </c>
      <c r="K110" s="217">
        <v>5</v>
      </c>
      <c r="L110" s="217">
        <v>43</v>
      </c>
      <c r="M110" s="217" t="s">
        <v>31</v>
      </c>
      <c r="N110" s="217" t="s">
        <v>32</v>
      </c>
      <c r="O110" s="217" t="s">
        <v>68</v>
      </c>
      <c r="P110" s="217" t="s">
        <v>34</v>
      </c>
      <c r="Q110" s="217" t="s">
        <v>35</v>
      </c>
      <c r="R110" s="217" t="s">
        <v>23</v>
      </c>
      <c r="S110" s="217" t="s">
        <v>22</v>
      </c>
      <c r="T110" s="217" t="s">
        <v>84</v>
      </c>
      <c r="U110" s="217" t="s">
        <v>85</v>
      </c>
      <c r="V110" s="217" t="s">
        <v>109</v>
      </c>
      <c r="W110" s="217" t="s">
        <v>110</v>
      </c>
      <c r="AD110" s="217" t="s">
        <v>36</v>
      </c>
      <c r="AE110" s="217" t="s">
        <v>37</v>
      </c>
      <c r="AF110" s="217" t="s">
        <v>249</v>
      </c>
      <c r="AG110" s="217" t="s">
        <v>250</v>
      </c>
      <c r="AH110" s="217" t="s">
        <v>600</v>
      </c>
      <c r="AI110" s="217" t="s">
        <v>1856</v>
      </c>
      <c r="AJ110" s="217">
        <v>2</v>
      </c>
      <c r="AK110" s="217">
        <v>10</v>
      </c>
      <c r="AL110" s="217" t="s">
        <v>154</v>
      </c>
      <c r="AM110" s="217" t="s">
        <v>34</v>
      </c>
      <c r="AN110" s="217" t="s">
        <v>138</v>
      </c>
      <c r="AO110" s="217" t="s">
        <v>199</v>
      </c>
      <c r="AP110" s="217" t="s">
        <v>200</v>
      </c>
      <c r="AQ110" s="217" t="s">
        <v>139</v>
      </c>
      <c r="AR110" s="217" t="s">
        <v>139</v>
      </c>
      <c r="AS110" s="217" t="s">
        <v>139</v>
      </c>
      <c r="AT110" s="217" t="s">
        <v>139</v>
      </c>
      <c r="AU110" s="217" t="s">
        <v>1703</v>
      </c>
      <c r="BC110" s="217" t="s">
        <v>85</v>
      </c>
      <c r="BD110" s="217" t="s">
        <v>92</v>
      </c>
      <c r="BE110" s="217" t="s">
        <v>959</v>
      </c>
      <c r="BF110" s="217" t="s">
        <v>285</v>
      </c>
      <c r="BG110" s="217" t="s">
        <v>1998</v>
      </c>
      <c r="BH110" s="217" t="s">
        <v>1658</v>
      </c>
      <c r="BI110" s="217" t="s">
        <v>1660</v>
      </c>
      <c r="BJ110" s="217" t="s">
        <v>1660</v>
      </c>
      <c r="BK110" s="217" t="s">
        <v>637</v>
      </c>
      <c r="BL110" s="217"/>
      <c r="BM110" s="217"/>
      <c r="BN110" s="217">
        <v>0</v>
      </c>
      <c r="BO110" s="217">
        <v>0</v>
      </c>
      <c r="BR110" s="217" t="s">
        <v>85</v>
      </c>
      <c r="BS110" s="217" t="s">
        <v>88</v>
      </c>
      <c r="BT110" s="217" t="s">
        <v>108</v>
      </c>
      <c r="BU110" s="217" t="s">
        <v>917</v>
      </c>
      <c r="BV110" s="217">
        <v>1</v>
      </c>
      <c r="BW110" s="217">
        <v>4</v>
      </c>
      <c r="BX110" s="217">
        <v>0</v>
      </c>
      <c r="BY110" s="217">
        <v>0</v>
      </c>
      <c r="BZ110" s="217">
        <v>7</v>
      </c>
      <c r="CA110" s="217">
        <v>58</v>
      </c>
      <c r="CB110" s="217">
        <v>1</v>
      </c>
      <c r="CC110" s="217">
        <v>4</v>
      </c>
      <c r="CD110" s="217">
        <v>0</v>
      </c>
      <c r="CE110" s="217">
        <v>0</v>
      </c>
      <c r="CF110" s="217">
        <v>7</v>
      </c>
      <c r="CG110" s="217">
        <v>58</v>
      </c>
      <c r="CH110" s="217">
        <v>0</v>
      </c>
      <c r="CI110" s="217">
        <v>0</v>
      </c>
      <c r="CJ110" s="217">
        <v>0</v>
      </c>
    </row>
    <row r="111" spans="1:88" x14ac:dyDescent="0.25">
      <c r="A111" s="217" t="s">
        <v>22</v>
      </c>
      <c r="B111" s="217" t="s">
        <v>23</v>
      </c>
      <c r="C111" s="217" t="s">
        <v>85</v>
      </c>
      <c r="D111" s="217" t="s">
        <v>84</v>
      </c>
      <c r="E111" s="217" t="s">
        <v>95</v>
      </c>
      <c r="F111" s="217" t="s">
        <v>94</v>
      </c>
      <c r="G111" s="217" t="s">
        <v>119</v>
      </c>
      <c r="H111" s="217" t="s">
        <v>927</v>
      </c>
      <c r="I111" s="217" t="s">
        <v>29</v>
      </c>
      <c r="J111" s="217" t="s">
        <v>1858</v>
      </c>
      <c r="K111" s="217">
        <v>20</v>
      </c>
      <c r="L111" s="217">
        <v>142</v>
      </c>
      <c r="M111" s="217" t="s">
        <v>31</v>
      </c>
      <c r="N111" s="217" t="s">
        <v>32</v>
      </c>
      <c r="O111" s="217" t="s">
        <v>68</v>
      </c>
      <c r="P111" s="217" t="s">
        <v>34</v>
      </c>
      <c r="Q111" s="217" t="s">
        <v>35</v>
      </c>
      <c r="R111" s="217" t="s">
        <v>23</v>
      </c>
      <c r="S111" s="217" t="s">
        <v>22</v>
      </c>
      <c r="T111" s="217" t="s">
        <v>84</v>
      </c>
      <c r="U111" s="217" t="s">
        <v>85</v>
      </c>
      <c r="V111" s="217" t="s">
        <v>109</v>
      </c>
      <c r="W111" s="217" t="s">
        <v>110</v>
      </c>
      <c r="AD111" s="217" t="s">
        <v>36</v>
      </c>
      <c r="AE111" s="217" t="s">
        <v>37</v>
      </c>
      <c r="AF111" s="217" t="s">
        <v>249</v>
      </c>
      <c r="AG111" s="217" t="s">
        <v>250</v>
      </c>
      <c r="AH111" s="217" t="s">
        <v>601</v>
      </c>
      <c r="AI111" s="217" t="s">
        <v>1856</v>
      </c>
      <c r="AJ111" s="217">
        <v>49</v>
      </c>
      <c r="AK111" s="217">
        <v>245</v>
      </c>
      <c r="AL111" s="217" t="s">
        <v>154</v>
      </c>
      <c r="AM111" s="217" t="s">
        <v>34</v>
      </c>
      <c r="AN111" s="217" t="s">
        <v>138</v>
      </c>
      <c r="AO111" s="217" t="s">
        <v>199</v>
      </c>
      <c r="AP111" s="217" t="s">
        <v>200</v>
      </c>
      <c r="AQ111" s="217" t="s">
        <v>139</v>
      </c>
      <c r="AR111" s="217" t="s">
        <v>139</v>
      </c>
      <c r="AS111" s="217" t="s">
        <v>139</v>
      </c>
      <c r="AT111" s="217" t="s">
        <v>139</v>
      </c>
      <c r="AU111" s="217" t="s">
        <v>2073</v>
      </c>
      <c r="BC111" s="217" t="s">
        <v>85</v>
      </c>
      <c r="BD111" s="217" t="s">
        <v>92</v>
      </c>
      <c r="BE111" s="217" t="s">
        <v>1501</v>
      </c>
      <c r="BF111" s="217" t="s">
        <v>1500</v>
      </c>
      <c r="BG111" s="217" t="s">
        <v>1998</v>
      </c>
      <c r="BH111" s="217" t="s">
        <v>1660</v>
      </c>
      <c r="BI111" s="217" t="s">
        <v>1658</v>
      </c>
      <c r="BJ111" s="217" t="s">
        <v>1660</v>
      </c>
      <c r="BK111" s="217" t="s">
        <v>637</v>
      </c>
      <c r="BL111" s="217"/>
      <c r="BM111" s="217"/>
      <c r="BN111" s="217">
        <v>0</v>
      </c>
      <c r="BO111" s="217">
        <v>0</v>
      </c>
      <c r="BR111" s="217" t="s">
        <v>85</v>
      </c>
      <c r="BS111" s="217" t="s">
        <v>88</v>
      </c>
      <c r="BT111" s="217" t="s">
        <v>90</v>
      </c>
      <c r="BU111" s="217" t="s">
        <v>906</v>
      </c>
      <c r="BV111" s="217">
        <v>10</v>
      </c>
      <c r="BW111" s="217">
        <v>88</v>
      </c>
      <c r="BX111" s="217">
        <v>0</v>
      </c>
      <c r="BY111" s="217">
        <v>0</v>
      </c>
      <c r="BZ111" s="217">
        <v>0</v>
      </c>
      <c r="CA111" s="217">
        <v>0</v>
      </c>
      <c r="CB111" s="217">
        <v>10</v>
      </c>
      <c r="CC111" s="217">
        <v>88</v>
      </c>
      <c r="CD111" s="217">
        <v>0</v>
      </c>
      <c r="CE111" s="217">
        <v>0</v>
      </c>
      <c r="CF111" s="217">
        <v>0</v>
      </c>
      <c r="CG111" s="217">
        <v>0</v>
      </c>
      <c r="CH111" s="217">
        <v>0</v>
      </c>
      <c r="CI111" s="217">
        <v>0</v>
      </c>
      <c r="CJ111" s="217">
        <v>0</v>
      </c>
    </row>
    <row r="112" spans="1:88" x14ac:dyDescent="0.25">
      <c r="A112" s="217" t="s">
        <v>22</v>
      </c>
      <c r="B112" s="217" t="s">
        <v>23</v>
      </c>
      <c r="C112" s="217" t="s">
        <v>85</v>
      </c>
      <c r="D112" s="217" t="s">
        <v>84</v>
      </c>
      <c r="E112" s="217" t="s">
        <v>95</v>
      </c>
      <c r="F112" s="217" t="s">
        <v>94</v>
      </c>
      <c r="G112" s="217" t="s">
        <v>120</v>
      </c>
      <c r="H112" s="217" t="s">
        <v>928</v>
      </c>
      <c r="I112" s="217" t="s">
        <v>29</v>
      </c>
      <c r="J112" s="217" t="s">
        <v>1856</v>
      </c>
      <c r="K112" s="217">
        <v>8</v>
      </c>
      <c r="L112" s="217">
        <v>40</v>
      </c>
      <c r="M112" s="217" t="s">
        <v>31</v>
      </c>
      <c r="N112" s="217" t="s">
        <v>32</v>
      </c>
      <c r="O112" s="217" t="s">
        <v>68</v>
      </c>
      <c r="P112" s="217" t="s">
        <v>34</v>
      </c>
      <c r="Q112" s="217" t="s">
        <v>35</v>
      </c>
      <c r="R112" s="217" t="s">
        <v>23</v>
      </c>
      <c r="S112" s="217" t="s">
        <v>22</v>
      </c>
      <c r="T112" s="217" t="s">
        <v>84</v>
      </c>
      <c r="U112" s="217" t="s">
        <v>85</v>
      </c>
      <c r="V112" s="217" t="s">
        <v>109</v>
      </c>
      <c r="W112" s="217" t="s">
        <v>110</v>
      </c>
      <c r="AD112" s="217" t="s">
        <v>36</v>
      </c>
      <c r="AE112" s="217" t="s">
        <v>37</v>
      </c>
      <c r="AF112" s="217" t="s">
        <v>249</v>
      </c>
      <c r="AG112" s="217" t="s">
        <v>250</v>
      </c>
      <c r="AH112" s="217" t="s">
        <v>601</v>
      </c>
      <c r="AI112" s="217" t="s">
        <v>1857</v>
      </c>
      <c r="AJ112" s="217">
        <v>47</v>
      </c>
      <c r="AK112" s="217">
        <v>239</v>
      </c>
      <c r="AL112" s="217" t="s">
        <v>154</v>
      </c>
      <c r="AM112" s="217" t="s">
        <v>34</v>
      </c>
      <c r="AN112" s="217" t="s">
        <v>138</v>
      </c>
      <c r="AO112" s="217" t="s">
        <v>199</v>
      </c>
      <c r="AP112" s="217" t="s">
        <v>200</v>
      </c>
      <c r="AQ112" s="217" t="s">
        <v>139</v>
      </c>
      <c r="AR112" s="217" t="s">
        <v>139</v>
      </c>
      <c r="AS112" s="217" t="s">
        <v>139</v>
      </c>
      <c r="AT112" s="217" t="s">
        <v>139</v>
      </c>
      <c r="AU112" s="217" t="s">
        <v>1705</v>
      </c>
      <c r="BC112" s="217" t="s">
        <v>85</v>
      </c>
      <c r="BD112" s="217" t="s">
        <v>92</v>
      </c>
      <c r="BE112" s="217" t="s">
        <v>961</v>
      </c>
      <c r="BF112" s="217" t="s">
        <v>960</v>
      </c>
      <c r="BG112" s="217" t="s">
        <v>1998</v>
      </c>
      <c r="BH112" s="217" t="s">
        <v>1658</v>
      </c>
      <c r="BI112" s="217" t="s">
        <v>1658</v>
      </c>
      <c r="BJ112" s="217" t="s">
        <v>1660</v>
      </c>
      <c r="BK112" s="217" t="s">
        <v>637</v>
      </c>
      <c r="BL112" s="217"/>
      <c r="BM112" s="217"/>
      <c r="BN112" s="217">
        <v>0</v>
      </c>
      <c r="BO112" s="217">
        <v>0</v>
      </c>
      <c r="BR112" s="217" t="s">
        <v>85</v>
      </c>
      <c r="BS112" s="217" t="s">
        <v>88</v>
      </c>
      <c r="BT112" s="217" t="s">
        <v>621</v>
      </c>
      <c r="BU112" s="217" t="s">
        <v>1498</v>
      </c>
      <c r="BV112" s="217">
        <v>0</v>
      </c>
      <c r="BW112" s="217">
        <v>0</v>
      </c>
      <c r="BX112" s="217">
        <v>0</v>
      </c>
      <c r="BY112" s="217">
        <v>0</v>
      </c>
      <c r="BZ112" s="217">
        <v>0</v>
      </c>
      <c r="CA112" s="217">
        <v>0</v>
      </c>
      <c r="CB112" s="217">
        <v>0</v>
      </c>
      <c r="CC112" s="217">
        <v>0</v>
      </c>
      <c r="CD112" s="217">
        <v>0</v>
      </c>
      <c r="CE112" s="217">
        <v>0</v>
      </c>
      <c r="CF112" s="217">
        <v>0</v>
      </c>
      <c r="CG112" s="217">
        <v>0</v>
      </c>
      <c r="CH112" s="217">
        <v>0</v>
      </c>
      <c r="CI112" s="217">
        <v>0</v>
      </c>
      <c r="CJ112" s="217">
        <v>0</v>
      </c>
    </row>
    <row r="113" spans="1:88" x14ac:dyDescent="0.25">
      <c r="A113" s="217" t="s">
        <v>22</v>
      </c>
      <c r="B113" s="217" t="s">
        <v>23</v>
      </c>
      <c r="C113" s="217" t="s">
        <v>85</v>
      </c>
      <c r="D113" s="217" t="s">
        <v>84</v>
      </c>
      <c r="E113" s="217" t="s">
        <v>95</v>
      </c>
      <c r="F113" s="217" t="s">
        <v>94</v>
      </c>
      <c r="G113" s="217" t="s">
        <v>120</v>
      </c>
      <c r="H113" s="217" t="s">
        <v>928</v>
      </c>
      <c r="I113" s="217" t="s">
        <v>29</v>
      </c>
      <c r="J113" s="217" t="s">
        <v>1857</v>
      </c>
      <c r="K113" s="217">
        <v>5</v>
      </c>
      <c r="L113" s="217">
        <v>25</v>
      </c>
      <c r="M113" s="217" t="s">
        <v>31</v>
      </c>
      <c r="N113" s="217" t="s">
        <v>32</v>
      </c>
      <c r="O113" s="217" t="s">
        <v>100</v>
      </c>
      <c r="P113" s="217" t="s">
        <v>34</v>
      </c>
      <c r="Q113" s="217" t="s">
        <v>35</v>
      </c>
      <c r="R113" s="217" t="s">
        <v>23</v>
      </c>
      <c r="S113" s="217" t="s">
        <v>22</v>
      </c>
      <c r="T113" s="217" t="s">
        <v>84</v>
      </c>
      <c r="U113" s="217" t="s">
        <v>85</v>
      </c>
      <c r="V113" s="217" t="s">
        <v>94</v>
      </c>
      <c r="W113" s="217" t="s">
        <v>95</v>
      </c>
      <c r="AD113" s="217" t="s">
        <v>36</v>
      </c>
      <c r="AE113" s="217" t="s">
        <v>37</v>
      </c>
      <c r="AF113" s="217" t="s">
        <v>249</v>
      </c>
      <c r="AG113" s="217" t="s">
        <v>250</v>
      </c>
      <c r="AH113" s="217" t="s">
        <v>602</v>
      </c>
      <c r="AI113" s="217" t="s">
        <v>1856</v>
      </c>
      <c r="AJ113" s="217">
        <v>5</v>
      </c>
      <c r="AK113" s="217">
        <v>25</v>
      </c>
      <c r="AL113" s="217" t="s">
        <v>154</v>
      </c>
      <c r="AM113" s="217" t="s">
        <v>34</v>
      </c>
      <c r="AN113" s="217" t="s">
        <v>138</v>
      </c>
      <c r="AO113" s="217" t="s">
        <v>199</v>
      </c>
      <c r="AP113" s="217" t="s">
        <v>200</v>
      </c>
      <c r="AQ113" s="217" t="s">
        <v>139</v>
      </c>
      <c r="AR113" s="217" t="s">
        <v>139</v>
      </c>
      <c r="AS113" s="217" t="s">
        <v>139</v>
      </c>
      <c r="AT113" s="217" t="s">
        <v>139</v>
      </c>
      <c r="AU113" s="217" t="s">
        <v>1705</v>
      </c>
      <c r="BC113" s="217" t="s">
        <v>85</v>
      </c>
      <c r="BD113" s="217" t="s">
        <v>92</v>
      </c>
      <c r="BE113" s="217" t="s">
        <v>962</v>
      </c>
      <c r="BF113" s="217" t="s">
        <v>286</v>
      </c>
      <c r="BG113" s="217" t="s">
        <v>1998</v>
      </c>
      <c r="BH113" s="217" t="s">
        <v>1658</v>
      </c>
      <c r="BI113" s="217" t="s">
        <v>1660</v>
      </c>
      <c r="BJ113" s="217" t="s">
        <v>1660</v>
      </c>
      <c r="BK113" s="217" t="s">
        <v>637</v>
      </c>
      <c r="BL113" s="217"/>
      <c r="BM113" s="217"/>
      <c r="BN113" s="217">
        <v>0</v>
      </c>
      <c r="BO113" s="217">
        <v>0</v>
      </c>
      <c r="BR113" s="217" t="s">
        <v>85</v>
      </c>
      <c r="BS113" s="217" t="s">
        <v>88</v>
      </c>
      <c r="BT113" s="217" t="s">
        <v>106</v>
      </c>
      <c r="BU113" s="217" t="s">
        <v>914</v>
      </c>
      <c r="BV113" s="217">
        <v>62</v>
      </c>
      <c r="BW113" s="217">
        <v>331</v>
      </c>
      <c r="BX113" s="217">
        <v>33</v>
      </c>
      <c r="BY113" s="217">
        <v>193</v>
      </c>
      <c r="BZ113" s="217">
        <v>4</v>
      </c>
      <c r="CA113" s="217">
        <v>22</v>
      </c>
      <c r="CB113" s="217">
        <v>62</v>
      </c>
      <c r="CC113" s="217">
        <v>331</v>
      </c>
      <c r="CD113" s="217">
        <v>33</v>
      </c>
      <c r="CE113" s="217">
        <v>193</v>
      </c>
      <c r="CF113" s="217">
        <v>4</v>
      </c>
      <c r="CG113" s="217">
        <v>22</v>
      </c>
      <c r="CH113" s="217">
        <v>0</v>
      </c>
      <c r="CI113" s="217">
        <v>0</v>
      </c>
      <c r="CJ113" s="217">
        <v>0</v>
      </c>
    </row>
    <row r="114" spans="1:88" x14ac:dyDescent="0.25">
      <c r="A114" s="217" t="s">
        <v>22</v>
      </c>
      <c r="B114" s="217" t="s">
        <v>23</v>
      </c>
      <c r="C114" s="217" t="s">
        <v>85</v>
      </c>
      <c r="D114" s="217" t="s">
        <v>84</v>
      </c>
      <c r="E114" s="217" t="s">
        <v>95</v>
      </c>
      <c r="F114" s="217" t="s">
        <v>94</v>
      </c>
      <c r="G114" s="217" t="s">
        <v>263</v>
      </c>
      <c r="H114" s="217" t="s">
        <v>930</v>
      </c>
      <c r="I114" s="217" t="s">
        <v>29</v>
      </c>
      <c r="J114" s="217" t="s">
        <v>1856</v>
      </c>
      <c r="K114" s="217">
        <v>27</v>
      </c>
      <c r="L114" s="217">
        <v>167</v>
      </c>
      <c r="M114" s="217" t="s">
        <v>31</v>
      </c>
      <c r="N114" s="217" t="s">
        <v>32</v>
      </c>
      <c r="O114" s="217" t="s">
        <v>68</v>
      </c>
      <c r="P114" s="217" t="s">
        <v>34</v>
      </c>
      <c r="Q114" s="217" t="s">
        <v>35</v>
      </c>
      <c r="R114" s="217" t="s">
        <v>23</v>
      </c>
      <c r="S114" s="217" t="s">
        <v>22</v>
      </c>
      <c r="T114" s="217" t="s">
        <v>84</v>
      </c>
      <c r="U114" s="217" t="s">
        <v>85</v>
      </c>
      <c r="V114" s="217" t="s">
        <v>109</v>
      </c>
      <c r="W114" s="217" t="s">
        <v>110</v>
      </c>
      <c r="AD114" s="217" t="s">
        <v>36</v>
      </c>
      <c r="AE114" s="217" t="s">
        <v>37</v>
      </c>
      <c r="AF114" s="217" t="s">
        <v>249</v>
      </c>
      <c r="AG114" s="217" t="s">
        <v>250</v>
      </c>
      <c r="AH114" s="217" t="s">
        <v>603</v>
      </c>
      <c r="AI114" s="217" t="s">
        <v>1857</v>
      </c>
      <c r="AJ114" s="217">
        <v>6</v>
      </c>
      <c r="AK114" s="217">
        <v>30</v>
      </c>
      <c r="AL114" s="217" t="s">
        <v>68</v>
      </c>
      <c r="AM114" s="217" t="s">
        <v>34</v>
      </c>
      <c r="AN114" s="217" t="s">
        <v>138</v>
      </c>
      <c r="AO114" s="217" t="s">
        <v>32</v>
      </c>
      <c r="AP114" s="217" t="s">
        <v>32</v>
      </c>
      <c r="AQ114" s="217" t="s">
        <v>139</v>
      </c>
      <c r="AR114" s="217" t="s">
        <v>139</v>
      </c>
      <c r="AS114" s="217" t="s">
        <v>548</v>
      </c>
      <c r="AT114" s="217" t="s">
        <v>547</v>
      </c>
      <c r="AU114" s="217" t="s">
        <v>547</v>
      </c>
      <c r="BC114" s="217" t="s">
        <v>85</v>
      </c>
      <c r="BD114" s="217" t="s">
        <v>92</v>
      </c>
      <c r="BE114" s="217" t="s">
        <v>2029</v>
      </c>
      <c r="BF114" s="217" t="s">
        <v>2030</v>
      </c>
      <c r="BG114" s="217" t="s">
        <v>1998</v>
      </c>
      <c r="BH114" s="217" t="s">
        <v>1660</v>
      </c>
      <c r="BI114" s="217" t="s">
        <v>1660</v>
      </c>
      <c r="BJ114" s="217" t="s">
        <v>1658</v>
      </c>
      <c r="BK114" s="217" t="s">
        <v>637</v>
      </c>
      <c r="BL114" s="217"/>
      <c r="BM114" s="217"/>
      <c r="BN114" s="217">
        <v>0</v>
      </c>
      <c r="BO114" s="217">
        <v>0</v>
      </c>
      <c r="BR114" s="217" t="s">
        <v>85</v>
      </c>
      <c r="BS114" s="217" t="s">
        <v>88</v>
      </c>
      <c r="BT114" s="217" t="s">
        <v>93</v>
      </c>
      <c r="BU114" s="217" t="s">
        <v>907</v>
      </c>
      <c r="BV114" s="217">
        <v>609</v>
      </c>
      <c r="BW114" s="217">
        <v>3828</v>
      </c>
      <c r="BX114" s="217">
        <v>108</v>
      </c>
      <c r="BY114" s="217">
        <v>481</v>
      </c>
      <c r="BZ114" s="217">
        <v>67</v>
      </c>
      <c r="CA114" s="217">
        <v>337</v>
      </c>
      <c r="CB114" s="217">
        <v>609</v>
      </c>
      <c r="CC114" s="217">
        <v>3828</v>
      </c>
      <c r="CD114" s="217">
        <v>108</v>
      </c>
      <c r="CE114" s="217">
        <v>481</v>
      </c>
      <c r="CF114" s="217">
        <v>67</v>
      </c>
      <c r="CG114" s="217">
        <v>337</v>
      </c>
      <c r="CH114" s="217">
        <v>0</v>
      </c>
      <c r="CI114" s="217">
        <v>0</v>
      </c>
      <c r="CJ114" s="217">
        <v>0</v>
      </c>
    </row>
    <row r="115" spans="1:88" x14ac:dyDescent="0.25">
      <c r="A115" s="217" t="s">
        <v>22</v>
      </c>
      <c r="B115" s="217" t="s">
        <v>23</v>
      </c>
      <c r="C115" s="217" t="s">
        <v>85</v>
      </c>
      <c r="D115" s="217" t="s">
        <v>84</v>
      </c>
      <c r="E115" s="217" t="s">
        <v>95</v>
      </c>
      <c r="F115" s="217" t="s">
        <v>94</v>
      </c>
      <c r="G115" s="217" t="s">
        <v>263</v>
      </c>
      <c r="H115" s="217" t="s">
        <v>930</v>
      </c>
      <c r="I115" s="217" t="s">
        <v>29</v>
      </c>
      <c r="J115" s="217" t="s">
        <v>1857</v>
      </c>
      <c r="K115" s="217">
        <v>9</v>
      </c>
      <c r="L115" s="217">
        <v>63</v>
      </c>
      <c r="M115" s="217" t="s">
        <v>31</v>
      </c>
      <c r="N115" s="217" t="s">
        <v>32</v>
      </c>
      <c r="O115" s="217" t="s">
        <v>100</v>
      </c>
      <c r="P115" s="217" t="s">
        <v>34</v>
      </c>
      <c r="Q115" s="217" t="s">
        <v>35</v>
      </c>
      <c r="R115" s="217" t="s">
        <v>23</v>
      </c>
      <c r="S115" s="217" t="s">
        <v>22</v>
      </c>
      <c r="T115" s="217" t="s">
        <v>84</v>
      </c>
      <c r="U115" s="217" t="s">
        <v>85</v>
      </c>
      <c r="V115" s="217" t="s">
        <v>94</v>
      </c>
      <c r="W115" s="217" t="s">
        <v>95</v>
      </c>
      <c r="AD115" s="217" t="s">
        <v>36</v>
      </c>
      <c r="AE115" s="217" t="s">
        <v>37</v>
      </c>
      <c r="AF115" s="217" t="s">
        <v>249</v>
      </c>
      <c r="AG115" s="217" t="s">
        <v>250</v>
      </c>
      <c r="AH115" s="217" t="s">
        <v>604</v>
      </c>
      <c r="AI115" s="217" t="s">
        <v>1856</v>
      </c>
      <c r="AJ115" s="217">
        <v>10</v>
      </c>
      <c r="AK115" s="217">
        <v>50</v>
      </c>
      <c r="AL115" s="217" t="s">
        <v>154</v>
      </c>
      <c r="AM115" s="217" t="s">
        <v>34</v>
      </c>
      <c r="AN115" s="217" t="s">
        <v>138</v>
      </c>
      <c r="AO115" s="217" t="s">
        <v>199</v>
      </c>
      <c r="AP115" s="217" t="s">
        <v>200</v>
      </c>
      <c r="AQ115" s="217" t="s">
        <v>139</v>
      </c>
      <c r="AR115" s="217" t="s">
        <v>139</v>
      </c>
      <c r="AS115" s="217" t="s">
        <v>139</v>
      </c>
      <c r="AT115" s="217" t="s">
        <v>139</v>
      </c>
      <c r="AU115" s="217" t="s">
        <v>1705</v>
      </c>
      <c r="BC115" s="217" t="s">
        <v>85</v>
      </c>
      <c r="BD115" s="217" t="s">
        <v>92</v>
      </c>
      <c r="BE115" s="217" t="s">
        <v>1672</v>
      </c>
      <c r="BF115" s="217" t="s">
        <v>1673</v>
      </c>
      <c r="BG115" s="217" t="s">
        <v>2000</v>
      </c>
      <c r="BH115" s="217" t="s">
        <v>1660</v>
      </c>
      <c r="BI115" s="217" t="s">
        <v>1660</v>
      </c>
      <c r="BJ115" s="217" t="s">
        <v>1660</v>
      </c>
      <c r="BK115" s="217" t="s">
        <v>637</v>
      </c>
      <c r="BL115" s="217"/>
      <c r="BM115" s="217"/>
      <c r="BN115" s="217">
        <v>0</v>
      </c>
      <c r="BO115" s="217">
        <v>0</v>
      </c>
      <c r="BR115" s="217" t="s">
        <v>85</v>
      </c>
      <c r="BS115" s="217" t="s">
        <v>88</v>
      </c>
      <c r="BT115" s="217" t="s">
        <v>103</v>
      </c>
      <c r="BU115" s="217" t="s">
        <v>911</v>
      </c>
      <c r="BV115" s="217">
        <v>18</v>
      </c>
      <c r="BW115" s="217">
        <v>145</v>
      </c>
      <c r="BX115" s="217">
        <v>2</v>
      </c>
      <c r="BY115" s="217">
        <v>8</v>
      </c>
      <c r="BZ115" s="217">
        <v>0</v>
      </c>
      <c r="CA115" s="217">
        <v>0</v>
      </c>
      <c r="CB115" s="217">
        <v>17</v>
      </c>
      <c r="CC115" s="217">
        <v>136</v>
      </c>
      <c r="CD115" s="217">
        <v>2</v>
      </c>
      <c r="CE115" s="217">
        <v>8</v>
      </c>
      <c r="CF115" s="217">
        <v>0</v>
      </c>
      <c r="CG115" s="217">
        <v>0</v>
      </c>
      <c r="CH115" s="217">
        <v>9</v>
      </c>
      <c r="CI115" s="217">
        <v>0</v>
      </c>
      <c r="CJ115" s="217">
        <v>0</v>
      </c>
    </row>
    <row r="116" spans="1:88" x14ac:dyDescent="0.25">
      <c r="A116" s="217" t="s">
        <v>22</v>
      </c>
      <c r="B116" s="217" t="s">
        <v>23</v>
      </c>
      <c r="C116" s="217" t="s">
        <v>85</v>
      </c>
      <c r="D116" s="217" t="s">
        <v>84</v>
      </c>
      <c r="E116" s="217" t="s">
        <v>95</v>
      </c>
      <c r="F116" s="217" t="s">
        <v>94</v>
      </c>
      <c r="G116" s="217" t="s">
        <v>263</v>
      </c>
      <c r="H116" s="217" t="s">
        <v>930</v>
      </c>
      <c r="I116" s="217" t="s">
        <v>29</v>
      </c>
      <c r="J116" s="217" t="s">
        <v>1858</v>
      </c>
      <c r="K116" s="217">
        <v>15</v>
      </c>
      <c r="L116" s="217">
        <v>120</v>
      </c>
      <c r="M116" s="217" t="s">
        <v>31</v>
      </c>
      <c r="N116" s="217" t="s">
        <v>32</v>
      </c>
      <c r="O116" s="217" t="s">
        <v>68</v>
      </c>
      <c r="P116" s="217" t="s">
        <v>34</v>
      </c>
      <c r="Q116" s="217" t="s">
        <v>35</v>
      </c>
      <c r="R116" s="217" t="s">
        <v>23</v>
      </c>
      <c r="S116" s="217" t="s">
        <v>22</v>
      </c>
      <c r="T116" s="217" t="s">
        <v>84</v>
      </c>
      <c r="U116" s="217" t="s">
        <v>85</v>
      </c>
      <c r="V116" s="217" t="s">
        <v>109</v>
      </c>
      <c r="W116" s="217" t="s">
        <v>110</v>
      </c>
      <c r="AD116" s="217" t="s">
        <v>36</v>
      </c>
      <c r="AE116" s="217" t="s">
        <v>37</v>
      </c>
      <c r="AF116" s="217" t="s">
        <v>249</v>
      </c>
      <c r="AG116" s="217" t="s">
        <v>250</v>
      </c>
      <c r="AH116" s="217" t="s">
        <v>605</v>
      </c>
      <c r="AI116" s="217" t="s">
        <v>1856</v>
      </c>
      <c r="AJ116" s="217">
        <v>26</v>
      </c>
      <c r="AK116" s="217">
        <v>130</v>
      </c>
      <c r="AL116" s="217" t="s">
        <v>154</v>
      </c>
      <c r="AM116" s="217" t="s">
        <v>34</v>
      </c>
      <c r="AN116" s="217" t="s">
        <v>138</v>
      </c>
      <c r="AO116" s="217" t="s">
        <v>199</v>
      </c>
      <c r="AP116" s="217" t="s">
        <v>200</v>
      </c>
      <c r="AQ116" s="217" t="s">
        <v>139</v>
      </c>
      <c r="AR116" s="217" t="s">
        <v>139</v>
      </c>
      <c r="AS116" s="217" t="s">
        <v>139</v>
      </c>
      <c r="AT116" s="217" t="s">
        <v>139</v>
      </c>
      <c r="AU116" s="217" t="s">
        <v>2195</v>
      </c>
      <c r="BC116" s="217" t="s">
        <v>85</v>
      </c>
      <c r="BD116" s="217" t="s">
        <v>92</v>
      </c>
      <c r="BE116" s="217" t="s">
        <v>963</v>
      </c>
      <c r="BF116" s="217" t="s">
        <v>287</v>
      </c>
      <c r="BG116" s="217" t="s">
        <v>1998</v>
      </c>
      <c r="BH116" s="217" t="s">
        <v>1658</v>
      </c>
      <c r="BI116" s="217" t="s">
        <v>1660</v>
      </c>
      <c r="BJ116" s="217" t="s">
        <v>1660</v>
      </c>
      <c r="BK116" s="217" t="s">
        <v>637</v>
      </c>
      <c r="BL116" s="217"/>
      <c r="BM116" s="217"/>
      <c r="BN116" s="217">
        <v>0</v>
      </c>
      <c r="BO116" s="217">
        <v>0</v>
      </c>
      <c r="BR116" s="217" t="s">
        <v>85</v>
      </c>
      <c r="BS116" s="217" t="s">
        <v>88</v>
      </c>
      <c r="BT116" s="217" t="s">
        <v>107</v>
      </c>
      <c r="BU116" s="217" t="s">
        <v>915</v>
      </c>
      <c r="BV116" s="217">
        <v>3</v>
      </c>
      <c r="BW116" s="217">
        <v>40</v>
      </c>
      <c r="BX116" s="217">
        <v>5</v>
      </c>
      <c r="BY116" s="217">
        <v>38</v>
      </c>
      <c r="BZ116" s="217">
        <v>9</v>
      </c>
      <c r="CA116" s="217">
        <v>122</v>
      </c>
      <c r="CB116" s="217">
        <v>3</v>
      </c>
      <c r="CC116" s="217">
        <v>40</v>
      </c>
      <c r="CD116" s="217">
        <v>5</v>
      </c>
      <c r="CE116" s="217">
        <v>38</v>
      </c>
      <c r="CF116" s="217">
        <v>9</v>
      </c>
      <c r="CG116" s="217">
        <v>122</v>
      </c>
      <c r="CH116" s="217">
        <v>0</v>
      </c>
      <c r="CI116" s="217">
        <v>0</v>
      </c>
      <c r="CJ116" s="217">
        <v>0</v>
      </c>
    </row>
    <row r="117" spans="1:88" x14ac:dyDescent="0.25">
      <c r="A117" s="217" t="s">
        <v>22</v>
      </c>
      <c r="B117" s="217" t="s">
        <v>23</v>
      </c>
      <c r="C117" s="217" t="s">
        <v>85</v>
      </c>
      <c r="D117" s="217" t="s">
        <v>84</v>
      </c>
      <c r="E117" s="217" t="s">
        <v>95</v>
      </c>
      <c r="F117" s="217" t="s">
        <v>94</v>
      </c>
      <c r="G117" s="217" t="s">
        <v>264</v>
      </c>
      <c r="H117" s="217" t="s">
        <v>931</v>
      </c>
      <c r="I117" s="217" t="s">
        <v>29</v>
      </c>
      <c r="J117" s="217" t="s">
        <v>1855</v>
      </c>
      <c r="K117" s="217">
        <v>1</v>
      </c>
      <c r="L117" s="217">
        <v>4</v>
      </c>
      <c r="M117" s="217" t="s">
        <v>31</v>
      </c>
      <c r="N117" s="217" t="s">
        <v>32</v>
      </c>
      <c r="O117" s="217" t="s">
        <v>68</v>
      </c>
      <c r="P117" s="217" t="s">
        <v>34</v>
      </c>
      <c r="Q117" s="217" t="s">
        <v>35</v>
      </c>
      <c r="R117" s="217" t="s">
        <v>23</v>
      </c>
      <c r="S117" s="217" t="s">
        <v>22</v>
      </c>
      <c r="T117" s="217" t="s">
        <v>84</v>
      </c>
      <c r="U117" s="217" t="s">
        <v>85</v>
      </c>
      <c r="V117" s="217" t="s">
        <v>172</v>
      </c>
      <c r="W117" s="217" t="s">
        <v>173</v>
      </c>
      <c r="AD117" s="217" t="s">
        <v>36</v>
      </c>
      <c r="AE117" s="217" t="s">
        <v>37</v>
      </c>
      <c r="AF117" s="217" t="s">
        <v>249</v>
      </c>
      <c r="AG117" s="217" t="s">
        <v>250</v>
      </c>
      <c r="AH117" s="217" t="s">
        <v>605</v>
      </c>
      <c r="AI117" s="217" t="s">
        <v>1857</v>
      </c>
      <c r="AJ117" s="217">
        <v>17</v>
      </c>
      <c r="AK117" s="217">
        <v>87</v>
      </c>
      <c r="AL117" s="217" t="s">
        <v>154</v>
      </c>
      <c r="AM117" s="217" t="s">
        <v>34</v>
      </c>
      <c r="AN117" s="217" t="s">
        <v>138</v>
      </c>
      <c r="AO117" s="217" t="s">
        <v>199</v>
      </c>
      <c r="AP117" s="217" t="s">
        <v>200</v>
      </c>
      <c r="AQ117" s="217" t="s">
        <v>139</v>
      </c>
      <c r="AR117" s="217" t="s">
        <v>139</v>
      </c>
      <c r="AS117" s="217" t="s">
        <v>139</v>
      </c>
      <c r="AT117" s="217" t="s">
        <v>139</v>
      </c>
      <c r="AU117" s="217" t="s">
        <v>1703</v>
      </c>
      <c r="BC117" s="217" t="s">
        <v>85</v>
      </c>
      <c r="BD117" s="217" t="s">
        <v>92</v>
      </c>
      <c r="BE117" s="217" t="s">
        <v>964</v>
      </c>
      <c r="BF117" s="217" t="s">
        <v>288</v>
      </c>
      <c r="BG117" s="217" t="s">
        <v>2002</v>
      </c>
      <c r="BH117" s="217" t="s">
        <v>1660</v>
      </c>
      <c r="BI117" s="217" t="s">
        <v>1660</v>
      </c>
      <c r="BJ117" s="217" t="s">
        <v>1660</v>
      </c>
      <c r="BK117" s="217" t="s">
        <v>637</v>
      </c>
      <c r="BL117" s="217"/>
      <c r="BM117" s="217"/>
      <c r="BN117" s="217">
        <v>0</v>
      </c>
      <c r="BO117" s="217">
        <v>0</v>
      </c>
      <c r="BR117" s="217" t="s">
        <v>85</v>
      </c>
      <c r="BS117" s="217" t="s">
        <v>88</v>
      </c>
      <c r="BT117" s="217" t="s">
        <v>96</v>
      </c>
      <c r="BU117" s="217" t="s">
        <v>908</v>
      </c>
      <c r="BV117" s="217">
        <v>316</v>
      </c>
      <c r="BW117" s="217">
        <v>2191</v>
      </c>
      <c r="BX117" s="217">
        <v>0</v>
      </c>
      <c r="BY117" s="217">
        <v>0</v>
      </c>
      <c r="BZ117" s="217">
        <v>0</v>
      </c>
      <c r="CA117" s="217">
        <v>0</v>
      </c>
      <c r="CB117" s="217">
        <v>288</v>
      </c>
      <c r="CC117" s="217">
        <v>2037</v>
      </c>
      <c r="CD117" s="217">
        <v>0</v>
      </c>
      <c r="CE117" s="217">
        <v>0</v>
      </c>
      <c r="CF117" s="217">
        <v>0</v>
      </c>
      <c r="CG117" s="217">
        <v>0</v>
      </c>
      <c r="CH117" s="217">
        <v>154</v>
      </c>
      <c r="CI117" s="217">
        <v>0</v>
      </c>
      <c r="CJ117" s="217">
        <v>0</v>
      </c>
    </row>
    <row r="118" spans="1:88" x14ac:dyDescent="0.25">
      <c r="A118" s="217" t="s">
        <v>22</v>
      </c>
      <c r="B118" s="217" t="s">
        <v>23</v>
      </c>
      <c r="C118" s="217" t="s">
        <v>85</v>
      </c>
      <c r="D118" s="217" t="s">
        <v>84</v>
      </c>
      <c r="E118" s="217" t="s">
        <v>95</v>
      </c>
      <c r="F118" s="217" t="s">
        <v>94</v>
      </c>
      <c r="G118" s="217" t="s">
        <v>264</v>
      </c>
      <c r="H118" s="217" t="s">
        <v>931</v>
      </c>
      <c r="I118" s="217" t="s">
        <v>29</v>
      </c>
      <c r="J118" s="217" t="s">
        <v>1856</v>
      </c>
      <c r="K118" s="217">
        <v>1</v>
      </c>
      <c r="L118" s="217">
        <v>11</v>
      </c>
      <c r="M118" s="217" t="s">
        <v>31</v>
      </c>
      <c r="N118" s="217" t="s">
        <v>32</v>
      </c>
      <c r="O118" s="217" t="s">
        <v>68</v>
      </c>
      <c r="P118" s="217" t="s">
        <v>34</v>
      </c>
      <c r="Q118" s="217" t="s">
        <v>35</v>
      </c>
      <c r="R118" s="217" t="s">
        <v>23</v>
      </c>
      <c r="S118" s="217" t="s">
        <v>22</v>
      </c>
      <c r="T118" s="217" t="s">
        <v>84</v>
      </c>
      <c r="U118" s="217" t="s">
        <v>85</v>
      </c>
      <c r="V118" s="217" t="s">
        <v>109</v>
      </c>
      <c r="W118" s="217" t="s">
        <v>110</v>
      </c>
      <c r="AD118" s="217" t="s">
        <v>36</v>
      </c>
      <c r="AE118" s="217" t="s">
        <v>37</v>
      </c>
      <c r="AF118" s="217" t="s">
        <v>249</v>
      </c>
      <c r="AG118" s="217" t="s">
        <v>250</v>
      </c>
      <c r="AH118" s="217" t="s">
        <v>607</v>
      </c>
      <c r="AI118" s="217" t="s">
        <v>1855</v>
      </c>
      <c r="AJ118" s="217">
        <v>13</v>
      </c>
      <c r="AK118" s="217">
        <v>65</v>
      </c>
      <c r="AL118" s="217" t="s">
        <v>154</v>
      </c>
      <c r="AM118" s="217" t="s">
        <v>34</v>
      </c>
      <c r="AN118" s="217" t="s">
        <v>138</v>
      </c>
      <c r="AO118" s="217" t="s">
        <v>199</v>
      </c>
      <c r="AP118" s="217" t="s">
        <v>200</v>
      </c>
      <c r="AQ118" s="217" t="s">
        <v>139</v>
      </c>
      <c r="AR118" s="217" t="s">
        <v>139</v>
      </c>
      <c r="AS118" s="217" t="s">
        <v>139</v>
      </c>
      <c r="AT118" s="217" t="s">
        <v>139</v>
      </c>
      <c r="AU118" s="217" t="s">
        <v>1703</v>
      </c>
      <c r="BC118" s="217" t="s">
        <v>85</v>
      </c>
      <c r="BD118" s="217" t="s">
        <v>92</v>
      </c>
      <c r="BE118" s="217" t="s">
        <v>1811</v>
      </c>
      <c r="BF118" s="217" t="s">
        <v>1812</v>
      </c>
      <c r="BG118" s="217" t="s">
        <v>1998</v>
      </c>
      <c r="BH118" s="217" t="s">
        <v>1658</v>
      </c>
      <c r="BI118" s="217" t="s">
        <v>1658</v>
      </c>
      <c r="BJ118" s="217" t="s">
        <v>1660</v>
      </c>
      <c r="BK118" s="217" t="s">
        <v>637</v>
      </c>
      <c r="BL118" s="217"/>
      <c r="BM118" s="217"/>
      <c r="BN118" s="217">
        <v>0</v>
      </c>
      <c r="BO118" s="217">
        <v>0</v>
      </c>
      <c r="BR118" s="217" t="s">
        <v>85</v>
      </c>
      <c r="BS118" s="217" t="s">
        <v>88</v>
      </c>
      <c r="BT118" s="217" t="s">
        <v>767</v>
      </c>
      <c r="BU118" s="217" t="s">
        <v>918</v>
      </c>
      <c r="BV118" s="217">
        <v>8</v>
      </c>
      <c r="BW118" s="217">
        <v>38</v>
      </c>
      <c r="BX118" s="217">
        <v>9</v>
      </c>
      <c r="BY118" s="217">
        <v>39</v>
      </c>
      <c r="BZ118" s="217">
        <v>0</v>
      </c>
      <c r="CA118" s="217">
        <v>0</v>
      </c>
      <c r="CB118" s="217">
        <v>8</v>
      </c>
      <c r="CC118" s="217">
        <v>38</v>
      </c>
      <c r="CD118" s="217">
        <v>9</v>
      </c>
      <c r="CE118" s="217">
        <v>39</v>
      </c>
      <c r="CF118" s="217">
        <v>0</v>
      </c>
      <c r="CG118" s="217">
        <v>0</v>
      </c>
      <c r="CH118" s="217">
        <v>0</v>
      </c>
      <c r="CI118" s="217">
        <v>0</v>
      </c>
      <c r="CJ118" s="217">
        <v>0</v>
      </c>
    </row>
    <row r="119" spans="1:88" x14ac:dyDescent="0.25">
      <c r="A119" s="217" t="s">
        <v>22</v>
      </c>
      <c r="B119" s="217" t="s">
        <v>23</v>
      </c>
      <c r="C119" s="217" t="s">
        <v>85</v>
      </c>
      <c r="D119" s="217" t="s">
        <v>84</v>
      </c>
      <c r="E119" s="217" t="s">
        <v>95</v>
      </c>
      <c r="F119" s="217" t="s">
        <v>94</v>
      </c>
      <c r="G119" s="217" t="s">
        <v>264</v>
      </c>
      <c r="H119" s="217" t="s">
        <v>931</v>
      </c>
      <c r="I119" s="217" t="s">
        <v>29</v>
      </c>
      <c r="J119" s="217" t="s">
        <v>1857</v>
      </c>
      <c r="K119" s="217">
        <v>1</v>
      </c>
      <c r="L119" s="217">
        <v>5</v>
      </c>
      <c r="M119" s="217" t="s">
        <v>31</v>
      </c>
      <c r="N119" s="217" t="s">
        <v>32</v>
      </c>
      <c r="O119" s="217" t="s">
        <v>68</v>
      </c>
      <c r="P119" s="217" t="s">
        <v>34</v>
      </c>
      <c r="Q119" s="217" t="s">
        <v>35</v>
      </c>
      <c r="R119" s="217" t="s">
        <v>23</v>
      </c>
      <c r="S119" s="217" t="s">
        <v>22</v>
      </c>
      <c r="T119" s="217" t="s">
        <v>84</v>
      </c>
      <c r="U119" s="217" t="s">
        <v>85</v>
      </c>
      <c r="V119" s="217" t="s">
        <v>109</v>
      </c>
      <c r="W119" s="217" t="s">
        <v>110</v>
      </c>
      <c r="AD119" s="217" t="s">
        <v>36</v>
      </c>
      <c r="AE119" s="217" t="s">
        <v>37</v>
      </c>
      <c r="AF119" s="217" t="s">
        <v>249</v>
      </c>
      <c r="AG119" s="217" t="s">
        <v>250</v>
      </c>
      <c r="AH119" s="217" t="s">
        <v>607</v>
      </c>
      <c r="AI119" s="217" t="s">
        <v>1856</v>
      </c>
      <c r="AJ119" s="217">
        <v>4</v>
      </c>
      <c r="AK119" s="217">
        <v>20</v>
      </c>
      <c r="AL119" s="217" t="s">
        <v>154</v>
      </c>
      <c r="AM119" s="217" t="s">
        <v>34</v>
      </c>
      <c r="AN119" s="217" t="s">
        <v>138</v>
      </c>
      <c r="AO119" s="217" t="s">
        <v>239</v>
      </c>
      <c r="AP119" s="217" t="s">
        <v>240</v>
      </c>
      <c r="AQ119" s="217" t="s">
        <v>139</v>
      </c>
      <c r="AR119" s="217" t="s">
        <v>139</v>
      </c>
      <c r="AS119" s="217" t="s">
        <v>139</v>
      </c>
      <c r="AT119" s="217" t="s">
        <v>139</v>
      </c>
      <c r="AU119" s="217" t="s">
        <v>2196</v>
      </c>
      <c r="BC119" s="217" t="s">
        <v>85</v>
      </c>
      <c r="BD119" s="217" t="s">
        <v>92</v>
      </c>
      <c r="BE119" s="217" t="s">
        <v>965</v>
      </c>
      <c r="BF119" s="217" t="s">
        <v>289</v>
      </c>
      <c r="BG119" s="217" t="s">
        <v>1998</v>
      </c>
      <c r="BH119" s="217" t="s">
        <v>1658</v>
      </c>
      <c r="BI119" s="217" t="s">
        <v>1660</v>
      </c>
      <c r="BJ119" s="217" t="s">
        <v>1660</v>
      </c>
      <c r="BK119" s="217" t="s">
        <v>637</v>
      </c>
      <c r="BL119" s="217"/>
      <c r="BM119" s="217"/>
      <c r="BN119" s="217">
        <v>0</v>
      </c>
      <c r="BO119" s="217">
        <v>0</v>
      </c>
      <c r="BR119" s="217" t="s">
        <v>85</v>
      </c>
      <c r="BS119" s="217" t="s">
        <v>88</v>
      </c>
      <c r="BT119" s="217" t="s">
        <v>104</v>
      </c>
      <c r="BU119" s="217" t="s">
        <v>912</v>
      </c>
      <c r="BV119" s="217">
        <v>11</v>
      </c>
      <c r="BW119" s="217">
        <v>74</v>
      </c>
      <c r="BX119" s="217">
        <v>2</v>
      </c>
      <c r="BY119" s="217">
        <v>10</v>
      </c>
      <c r="BZ119" s="217">
        <v>0</v>
      </c>
      <c r="CA119" s="217">
        <v>0</v>
      </c>
      <c r="CB119" s="217">
        <v>11</v>
      </c>
      <c r="CC119" s="217">
        <v>74</v>
      </c>
      <c r="CD119" s="217">
        <v>2</v>
      </c>
      <c r="CE119" s="217">
        <v>10</v>
      </c>
      <c r="CF119" s="217">
        <v>0</v>
      </c>
      <c r="CG119" s="217">
        <v>0</v>
      </c>
      <c r="CH119" s="217">
        <v>0</v>
      </c>
      <c r="CI119" s="217">
        <v>0</v>
      </c>
      <c r="CJ119" s="217">
        <v>0</v>
      </c>
    </row>
    <row r="120" spans="1:88" x14ac:dyDescent="0.25">
      <c r="A120" s="217" t="s">
        <v>22</v>
      </c>
      <c r="B120" s="217" t="s">
        <v>23</v>
      </c>
      <c r="C120" s="217" t="s">
        <v>85</v>
      </c>
      <c r="D120" s="217" t="s">
        <v>84</v>
      </c>
      <c r="E120" s="217" t="s">
        <v>95</v>
      </c>
      <c r="F120" s="217" t="s">
        <v>94</v>
      </c>
      <c r="G120" s="217" t="s">
        <v>264</v>
      </c>
      <c r="H120" s="217" t="s">
        <v>931</v>
      </c>
      <c r="I120" s="217" t="s">
        <v>29</v>
      </c>
      <c r="J120" s="217" t="s">
        <v>1858</v>
      </c>
      <c r="K120" s="217">
        <v>20</v>
      </c>
      <c r="L120" s="217">
        <v>156</v>
      </c>
      <c r="M120" s="217" t="s">
        <v>31</v>
      </c>
      <c r="N120" s="217" t="s">
        <v>32</v>
      </c>
      <c r="O120" s="217" t="s">
        <v>68</v>
      </c>
      <c r="P120" s="217" t="s">
        <v>34</v>
      </c>
      <c r="Q120" s="217" t="s">
        <v>35</v>
      </c>
      <c r="R120" s="217" t="s">
        <v>23</v>
      </c>
      <c r="S120" s="217" t="s">
        <v>22</v>
      </c>
      <c r="T120" s="217" t="s">
        <v>84</v>
      </c>
      <c r="U120" s="217" t="s">
        <v>85</v>
      </c>
      <c r="V120" s="217" t="s">
        <v>109</v>
      </c>
      <c r="W120" s="217" t="s">
        <v>110</v>
      </c>
      <c r="AD120" s="217" t="s">
        <v>36</v>
      </c>
      <c r="AE120" s="217" t="s">
        <v>37</v>
      </c>
      <c r="AF120" s="217" t="s">
        <v>249</v>
      </c>
      <c r="AG120" s="217" t="s">
        <v>250</v>
      </c>
      <c r="AH120" s="217" t="s">
        <v>607</v>
      </c>
      <c r="AI120" s="217" t="s">
        <v>1857</v>
      </c>
      <c r="AJ120" s="217">
        <v>1</v>
      </c>
      <c r="AK120" s="217">
        <v>5</v>
      </c>
      <c r="AL120" s="217" t="s">
        <v>68</v>
      </c>
      <c r="AM120" s="217" t="s">
        <v>34</v>
      </c>
      <c r="AN120" s="217" t="s">
        <v>138</v>
      </c>
      <c r="AO120" s="217" t="s">
        <v>32</v>
      </c>
      <c r="AP120" s="217" t="s">
        <v>32</v>
      </c>
      <c r="AQ120" s="217" t="s">
        <v>139</v>
      </c>
      <c r="AR120" s="217" t="s">
        <v>139</v>
      </c>
      <c r="AS120" s="217" t="s">
        <v>548</v>
      </c>
      <c r="AT120" s="217" t="s">
        <v>547</v>
      </c>
      <c r="AU120" s="217" t="s">
        <v>547</v>
      </c>
      <c r="BC120" s="217" t="s">
        <v>85</v>
      </c>
      <c r="BD120" s="217" t="s">
        <v>92</v>
      </c>
      <c r="BE120" s="217" t="s">
        <v>967</v>
      </c>
      <c r="BF120" s="217" t="s">
        <v>966</v>
      </c>
      <c r="BG120" s="217" t="s">
        <v>1998</v>
      </c>
      <c r="BH120" s="217" t="s">
        <v>1658</v>
      </c>
      <c r="BI120" s="217" t="s">
        <v>1658</v>
      </c>
      <c r="BJ120" s="217" t="s">
        <v>1660</v>
      </c>
      <c r="BK120" s="217" t="s">
        <v>637</v>
      </c>
      <c r="BL120" s="217"/>
      <c r="BM120" s="217"/>
      <c r="BN120" s="217">
        <v>0</v>
      </c>
      <c r="BO120" s="217">
        <v>0</v>
      </c>
      <c r="BR120" s="217" t="s">
        <v>85</v>
      </c>
      <c r="BS120" s="217" t="s">
        <v>88</v>
      </c>
      <c r="BT120" s="217" t="s">
        <v>101</v>
      </c>
      <c r="BU120" s="217" t="s">
        <v>909</v>
      </c>
      <c r="BV120" s="217">
        <v>7</v>
      </c>
      <c r="BW120" s="217">
        <v>42</v>
      </c>
      <c r="BX120" s="217">
        <v>1</v>
      </c>
      <c r="BY120" s="217">
        <v>7</v>
      </c>
      <c r="BZ120" s="217">
        <v>0</v>
      </c>
      <c r="CA120" s="217">
        <v>0</v>
      </c>
      <c r="CB120" s="217">
        <v>7</v>
      </c>
      <c r="CC120" s="217">
        <v>42</v>
      </c>
      <c r="CD120" s="217">
        <v>1</v>
      </c>
      <c r="CE120" s="217">
        <v>7</v>
      </c>
      <c r="CF120" s="217">
        <v>0</v>
      </c>
      <c r="CG120" s="217">
        <v>0</v>
      </c>
      <c r="CH120" s="217">
        <v>0</v>
      </c>
      <c r="CI120" s="217">
        <v>0</v>
      </c>
      <c r="CJ120" s="217">
        <v>0</v>
      </c>
    </row>
    <row r="121" spans="1:88" x14ac:dyDescent="0.25">
      <c r="A121" s="217" t="s">
        <v>22</v>
      </c>
      <c r="B121" s="217" t="s">
        <v>23</v>
      </c>
      <c r="C121" s="217" t="s">
        <v>85</v>
      </c>
      <c r="D121" s="217" t="s">
        <v>84</v>
      </c>
      <c r="E121" s="217" t="s">
        <v>95</v>
      </c>
      <c r="F121" s="217" t="s">
        <v>94</v>
      </c>
      <c r="G121" s="217" t="s">
        <v>265</v>
      </c>
      <c r="H121" s="217" t="s">
        <v>932</v>
      </c>
      <c r="I121" s="217" t="s">
        <v>29</v>
      </c>
      <c r="J121" s="217" t="s">
        <v>1856</v>
      </c>
      <c r="K121" s="217">
        <v>1</v>
      </c>
      <c r="L121" s="217">
        <v>17</v>
      </c>
      <c r="M121" s="217" t="s">
        <v>31</v>
      </c>
      <c r="N121" s="217" t="s">
        <v>32</v>
      </c>
      <c r="O121" s="217" t="s">
        <v>68</v>
      </c>
      <c r="P121" s="217" t="s">
        <v>34</v>
      </c>
      <c r="Q121" s="217" t="s">
        <v>35</v>
      </c>
      <c r="R121" s="217" t="s">
        <v>23</v>
      </c>
      <c r="S121" s="217" t="s">
        <v>22</v>
      </c>
      <c r="T121" s="217" t="s">
        <v>84</v>
      </c>
      <c r="U121" s="217" t="s">
        <v>85</v>
      </c>
      <c r="V121" s="217" t="s">
        <v>109</v>
      </c>
      <c r="W121" s="217" t="s">
        <v>110</v>
      </c>
      <c r="AD121" s="217" t="s">
        <v>36</v>
      </c>
      <c r="AE121" s="217" t="s">
        <v>37</v>
      </c>
      <c r="AF121" s="217" t="s">
        <v>249</v>
      </c>
      <c r="AG121" s="217" t="s">
        <v>250</v>
      </c>
      <c r="AH121" s="217" t="s">
        <v>607</v>
      </c>
      <c r="AI121" s="217" t="s">
        <v>1858</v>
      </c>
      <c r="AJ121" s="217">
        <v>39</v>
      </c>
      <c r="AK121" s="217">
        <v>195</v>
      </c>
      <c r="AL121" s="217" t="s">
        <v>100</v>
      </c>
      <c r="AM121" s="217" t="s">
        <v>34</v>
      </c>
      <c r="AN121" s="217" t="s">
        <v>138</v>
      </c>
      <c r="AO121" s="217" t="s">
        <v>32</v>
      </c>
      <c r="AP121" s="217" t="s">
        <v>32</v>
      </c>
      <c r="AQ121" s="217" t="s">
        <v>139</v>
      </c>
      <c r="AR121" s="217" t="s">
        <v>139</v>
      </c>
      <c r="AS121" s="217" t="s">
        <v>139</v>
      </c>
      <c r="AT121" s="217" t="s">
        <v>139</v>
      </c>
      <c r="AU121" s="217" t="s">
        <v>2197</v>
      </c>
      <c r="BC121" s="217" t="s">
        <v>85</v>
      </c>
      <c r="BD121" s="217" t="s">
        <v>92</v>
      </c>
      <c r="BE121" s="217" t="s">
        <v>968</v>
      </c>
      <c r="BF121" s="217" t="s">
        <v>290</v>
      </c>
      <c r="BG121" s="217" t="s">
        <v>2001</v>
      </c>
      <c r="BH121" s="217" t="s">
        <v>1658</v>
      </c>
      <c r="BI121" s="217" t="s">
        <v>1658</v>
      </c>
      <c r="BJ121" s="217" t="s">
        <v>1658</v>
      </c>
      <c r="BK121" s="217" t="s">
        <v>637</v>
      </c>
      <c r="BL121" s="217"/>
      <c r="BM121" s="217" t="s">
        <v>3721</v>
      </c>
      <c r="BN121" s="217">
        <v>10</v>
      </c>
      <c r="BO121" s="217">
        <v>2017</v>
      </c>
      <c r="BR121" s="217" t="s">
        <v>85</v>
      </c>
      <c r="BS121" s="217" t="s">
        <v>151</v>
      </c>
      <c r="BT121" s="217" t="s">
        <v>1087</v>
      </c>
      <c r="BU121" s="217" t="s">
        <v>1088</v>
      </c>
      <c r="BV121" s="217">
        <v>4</v>
      </c>
      <c r="BW121" s="217">
        <v>25</v>
      </c>
      <c r="BX121" s="217">
        <v>0</v>
      </c>
      <c r="BY121" s="217">
        <v>0</v>
      </c>
      <c r="BZ121" s="217">
        <v>0</v>
      </c>
      <c r="CA121" s="217">
        <v>0</v>
      </c>
      <c r="CB121" s="217">
        <v>4</v>
      </c>
      <c r="CC121" s="217">
        <v>25</v>
      </c>
      <c r="CD121" s="217">
        <v>0</v>
      </c>
      <c r="CE121" s="217">
        <v>0</v>
      </c>
      <c r="CF121" s="217">
        <v>0</v>
      </c>
      <c r="CG121" s="217">
        <v>0</v>
      </c>
      <c r="CH121" s="217">
        <v>0</v>
      </c>
      <c r="CI121" s="217">
        <v>0</v>
      </c>
      <c r="CJ121" s="217">
        <v>0</v>
      </c>
    </row>
    <row r="122" spans="1:88" x14ac:dyDescent="0.25">
      <c r="A122" s="217" t="s">
        <v>22</v>
      </c>
      <c r="B122" s="217" t="s">
        <v>23</v>
      </c>
      <c r="C122" s="217" t="s">
        <v>85</v>
      </c>
      <c r="D122" s="217" t="s">
        <v>84</v>
      </c>
      <c r="E122" s="217" t="s">
        <v>95</v>
      </c>
      <c r="F122" s="217" t="s">
        <v>94</v>
      </c>
      <c r="G122" s="217" t="s">
        <v>265</v>
      </c>
      <c r="H122" s="217" t="s">
        <v>932</v>
      </c>
      <c r="I122" s="217" t="s">
        <v>29</v>
      </c>
      <c r="J122" s="217" t="s">
        <v>1857</v>
      </c>
      <c r="K122" s="217">
        <v>1</v>
      </c>
      <c r="L122" s="217">
        <v>16</v>
      </c>
      <c r="M122" s="217" t="s">
        <v>31</v>
      </c>
      <c r="N122" s="217" t="s">
        <v>32</v>
      </c>
      <c r="O122" s="217" t="s">
        <v>68</v>
      </c>
      <c r="P122" s="217" t="s">
        <v>34</v>
      </c>
      <c r="Q122" s="217" t="s">
        <v>35</v>
      </c>
      <c r="R122" s="217" t="s">
        <v>23</v>
      </c>
      <c r="S122" s="217" t="s">
        <v>22</v>
      </c>
      <c r="T122" s="217" t="s">
        <v>84</v>
      </c>
      <c r="U122" s="217" t="s">
        <v>85</v>
      </c>
      <c r="V122" s="217" t="s">
        <v>109</v>
      </c>
      <c r="W122" s="217" t="s">
        <v>110</v>
      </c>
      <c r="AD122" s="217" t="s">
        <v>36</v>
      </c>
      <c r="AE122" s="217" t="s">
        <v>37</v>
      </c>
      <c r="AF122" s="217" t="s">
        <v>249</v>
      </c>
      <c r="AG122" s="217" t="s">
        <v>250</v>
      </c>
      <c r="AH122" s="217" t="s">
        <v>607</v>
      </c>
      <c r="AI122" s="217" t="s">
        <v>1859</v>
      </c>
      <c r="AJ122" s="217">
        <v>7</v>
      </c>
      <c r="AK122" s="217">
        <v>37</v>
      </c>
      <c r="AL122" s="217" t="s">
        <v>33</v>
      </c>
      <c r="AM122" s="217" t="s">
        <v>34</v>
      </c>
      <c r="AN122" s="217" t="s">
        <v>138</v>
      </c>
      <c r="AO122" s="217" t="s">
        <v>32</v>
      </c>
      <c r="AP122" s="217" t="s">
        <v>32</v>
      </c>
      <c r="AQ122" s="217" t="s">
        <v>25</v>
      </c>
      <c r="AR122" s="217" t="s">
        <v>24</v>
      </c>
      <c r="AS122" s="217" t="s">
        <v>139</v>
      </c>
      <c r="AT122" s="217" t="s">
        <v>139</v>
      </c>
      <c r="AU122" s="217" t="s">
        <v>2193</v>
      </c>
      <c r="BC122" s="217" t="s">
        <v>85</v>
      </c>
      <c r="BD122" s="217" t="s">
        <v>92</v>
      </c>
      <c r="BE122" s="217" t="s">
        <v>969</v>
      </c>
      <c r="BF122" s="217" t="s">
        <v>291</v>
      </c>
      <c r="BG122" s="217" t="s">
        <v>2001</v>
      </c>
      <c r="BH122" s="217" t="s">
        <v>1660</v>
      </c>
      <c r="BI122" s="217" t="s">
        <v>1660</v>
      </c>
      <c r="BJ122" s="217" t="s">
        <v>1660</v>
      </c>
      <c r="BK122" s="217" t="s">
        <v>637</v>
      </c>
      <c r="BL122" s="217"/>
      <c r="BM122" s="217"/>
      <c r="BN122" s="217">
        <v>0</v>
      </c>
      <c r="BO122" s="217">
        <v>0</v>
      </c>
      <c r="BR122" s="217" t="s">
        <v>85</v>
      </c>
      <c r="BS122" s="217" t="s">
        <v>151</v>
      </c>
      <c r="BT122" s="217" t="s">
        <v>1069</v>
      </c>
      <c r="BU122" s="217" t="s">
        <v>1070</v>
      </c>
      <c r="BV122" s="217">
        <v>52</v>
      </c>
      <c r="BW122" s="217">
        <v>150</v>
      </c>
      <c r="BX122" s="217">
        <v>0</v>
      </c>
      <c r="BY122" s="217">
        <v>0</v>
      </c>
      <c r="BZ122" s="217">
        <v>0</v>
      </c>
      <c r="CA122" s="217">
        <v>0</v>
      </c>
      <c r="CB122" s="217">
        <v>52</v>
      </c>
      <c r="CC122" s="217">
        <v>150</v>
      </c>
      <c r="CD122" s="217">
        <v>0</v>
      </c>
      <c r="CE122" s="217">
        <v>0</v>
      </c>
      <c r="CF122" s="217">
        <v>0</v>
      </c>
      <c r="CG122" s="217">
        <v>0</v>
      </c>
      <c r="CH122" s="217">
        <v>0</v>
      </c>
      <c r="CI122" s="217">
        <v>0</v>
      </c>
      <c r="CJ122" s="217">
        <v>0</v>
      </c>
    </row>
    <row r="123" spans="1:88" x14ac:dyDescent="0.25">
      <c r="A123" s="217" t="s">
        <v>22</v>
      </c>
      <c r="B123" s="217" t="s">
        <v>23</v>
      </c>
      <c r="C123" s="217" t="s">
        <v>85</v>
      </c>
      <c r="D123" s="217" t="s">
        <v>84</v>
      </c>
      <c r="E123" s="217" t="s">
        <v>95</v>
      </c>
      <c r="F123" s="217" t="s">
        <v>94</v>
      </c>
      <c r="G123" s="217" t="s">
        <v>265</v>
      </c>
      <c r="H123" s="217" t="s">
        <v>932</v>
      </c>
      <c r="I123" s="217" t="s">
        <v>29</v>
      </c>
      <c r="J123" s="217" t="s">
        <v>1858</v>
      </c>
      <c r="K123" s="217">
        <v>4</v>
      </c>
      <c r="L123" s="217">
        <v>18</v>
      </c>
      <c r="M123" s="217" t="s">
        <v>31</v>
      </c>
      <c r="N123" s="217" t="s">
        <v>32</v>
      </c>
      <c r="O123" s="217" t="s">
        <v>100</v>
      </c>
      <c r="P123" s="217" t="s">
        <v>34</v>
      </c>
      <c r="Q123" s="217" t="s">
        <v>35</v>
      </c>
      <c r="R123" s="217" t="s">
        <v>23</v>
      </c>
      <c r="S123" s="217" t="s">
        <v>22</v>
      </c>
      <c r="T123" s="217" t="s">
        <v>84</v>
      </c>
      <c r="U123" s="217" t="s">
        <v>85</v>
      </c>
      <c r="V123" s="217" t="s">
        <v>94</v>
      </c>
      <c r="W123" s="217" t="s">
        <v>95</v>
      </c>
      <c r="AD123" s="217" t="s">
        <v>36</v>
      </c>
      <c r="AE123" s="217" t="s">
        <v>37</v>
      </c>
      <c r="AF123" s="217" t="s">
        <v>249</v>
      </c>
      <c r="AG123" s="217" t="s">
        <v>250</v>
      </c>
      <c r="AH123" s="217" t="s">
        <v>685</v>
      </c>
      <c r="AI123" s="217" t="s">
        <v>1856</v>
      </c>
      <c r="AJ123" s="217">
        <v>44</v>
      </c>
      <c r="AK123" s="217">
        <v>220</v>
      </c>
      <c r="AL123" s="217" t="s">
        <v>68</v>
      </c>
      <c r="AM123" s="217" t="s">
        <v>34</v>
      </c>
      <c r="AN123" s="217" t="s">
        <v>138</v>
      </c>
      <c r="AO123" s="217" t="s">
        <v>32</v>
      </c>
      <c r="AP123" s="217" t="s">
        <v>32</v>
      </c>
      <c r="AQ123" s="217" t="s">
        <v>139</v>
      </c>
      <c r="AR123" s="217" t="s">
        <v>139</v>
      </c>
      <c r="AS123" s="217" t="s">
        <v>246</v>
      </c>
      <c r="AT123" s="217" t="s">
        <v>247</v>
      </c>
      <c r="AU123" s="217" t="s">
        <v>247</v>
      </c>
      <c r="BC123" s="217" t="s">
        <v>85</v>
      </c>
      <c r="BD123" s="217" t="s">
        <v>92</v>
      </c>
      <c r="BE123" s="217" t="s">
        <v>1817</v>
      </c>
      <c r="BF123" s="217" t="s">
        <v>1818</v>
      </c>
      <c r="BG123" s="217" t="s">
        <v>1998</v>
      </c>
      <c r="BH123" s="217" t="s">
        <v>1658</v>
      </c>
      <c r="BI123" s="217" t="s">
        <v>1658</v>
      </c>
      <c r="BJ123" s="217" t="s">
        <v>1660</v>
      </c>
      <c r="BK123" s="217" t="s">
        <v>637</v>
      </c>
      <c r="BL123" s="217"/>
      <c r="BM123" s="217"/>
      <c r="BN123" s="217">
        <v>0</v>
      </c>
      <c r="BO123" s="217">
        <v>0</v>
      </c>
      <c r="BR123" s="217" t="s">
        <v>85</v>
      </c>
      <c r="BS123" s="217" t="s">
        <v>151</v>
      </c>
      <c r="BT123" s="217" t="s">
        <v>1078</v>
      </c>
      <c r="BU123" s="217" t="s">
        <v>1079</v>
      </c>
      <c r="BV123" s="217">
        <v>100</v>
      </c>
      <c r="BW123" s="217">
        <v>500</v>
      </c>
      <c r="BX123" s="217">
        <v>0</v>
      </c>
      <c r="BY123" s="217">
        <v>0</v>
      </c>
      <c r="BZ123" s="217">
        <v>0</v>
      </c>
      <c r="CA123" s="217">
        <v>0</v>
      </c>
      <c r="CB123" s="217">
        <v>100</v>
      </c>
      <c r="CC123" s="217">
        <v>500</v>
      </c>
      <c r="CD123" s="217">
        <v>0</v>
      </c>
      <c r="CE123" s="217">
        <v>0</v>
      </c>
      <c r="CF123" s="217">
        <v>0</v>
      </c>
      <c r="CG123" s="217">
        <v>0</v>
      </c>
      <c r="CH123" s="217">
        <v>0</v>
      </c>
      <c r="CI123" s="217">
        <v>0</v>
      </c>
      <c r="CJ123" s="217">
        <v>0</v>
      </c>
    </row>
    <row r="124" spans="1:88" x14ac:dyDescent="0.25">
      <c r="A124" s="217" t="s">
        <v>22</v>
      </c>
      <c r="B124" s="217" t="s">
        <v>23</v>
      </c>
      <c r="C124" s="217" t="s">
        <v>85</v>
      </c>
      <c r="D124" s="217" t="s">
        <v>84</v>
      </c>
      <c r="E124" s="217" t="s">
        <v>95</v>
      </c>
      <c r="F124" s="217" t="s">
        <v>94</v>
      </c>
      <c r="G124" s="217" t="s">
        <v>265</v>
      </c>
      <c r="H124" s="217" t="s">
        <v>932</v>
      </c>
      <c r="I124" s="217" t="s">
        <v>29</v>
      </c>
      <c r="J124" s="217" t="s">
        <v>1859</v>
      </c>
      <c r="K124" s="217">
        <v>58</v>
      </c>
      <c r="L124" s="217">
        <v>507</v>
      </c>
      <c r="M124" s="217" t="s">
        <v>99</v>
      </c>
      <c r="N124" s="217" t="s">
        <v>32</v>
      </c>
      <c r="O124" s="217" t="s">
        <v>100</v>
      </c>
      <c r="P124" s="217" t="s">
        <v>34</v>
      </c>
      <c r="Q124" s="217" t="s">
        <v>35</v>
      </c>
      <c r="R124" s="217" t="s">
        <v>23</v>
      </c>
      <c r="S124" s="217" t="s">
        <v>22</v>
      </c>
      <c r="T124" s="217" t="s">
        <v>84</v>
      </c>
      <c r="U124" s="217" t="s">
        <v>85</v>
      </c>
      <c r="V124" s="217" t="s">
        <v>94</v>
      </c>
      <c r="W124" s="217" t="s">
        <v>95</v>
      </c>
      <c r="AD124" s="217" t="s">
        <v>36</v>
      </c>
      <c r="AE124" s="217" t="s">
        <v>37</v>
      </c>
      <c r="AF124" s="217" t="s">
        <v>609</v>
      </c>
      <c r="AG124" s="217" t="s">
        <v>608</v>
      </c>
      <c r="AH124" s="217" t="s">
        <v>615</v>
      </c>
      <c r="AI124" s="217" t="s">
        <v>1857</v>
      </c>
      <c r="AJ124" s="217">
        <v>3</v>
      </c>
      <c r="AK124" s="217">
        <v>12</v>
      </c>
      <c r="AL124" s="217" t="s">
        <v>154</v>
      </c>
      <c r="AM124" s="217" t="s">
        <v>34</v>
      </c>
      <c r="AN124" s="217" t="s">
        <v>138</v>
      </c>
      <c r="AO124" s="217" t="s">
        <v>199</v>
      </c>
      <c r="AP124" s="217" t="s">
        <v>200</v>
      </c>
      <c r="AQ124" s="217" t="s">
        <v>139</v>
      </c>
      <c r="AR124" s="217" t="s">
        <v>139</v>
      </c>
      <c r="AS124" s="217" t="s">
        <v>139</v>
      </c>
      <c r="AT124" s="217" t="s">
        <v>139</v>
      </c>
      <c r="AU124" s="217" t="s">
        <v>1703</v>
      </c>
      <c r="BC124" s="217" t="s">
        <v>85</v>
      </c>
      <c r="BD124" s="217" t="s">
        <v>92</v>
      </c>
      <c r="BE124" s="217" t="s">
        <v>970</v>
      </c>
      <c r="BF124" s="217" t="s">
        <v>292</v>
      </c>
      <c r="BG124" s="217" t="s">
        <v>1998</v>
      </c>
      <c r="BH124" s="217" t="s">
        <v>1658</v>
      </c>
      <c r="BI124" s="217" t="s">
        <v>1658</v>
      </c>
      <c r="BJ124" s="217" t="s">
        <v>1660</v>
      </c>
      <c r="BK124" s="217" t="s">
        <v>637</v>
      </c>
      <c r="BL124" s="217"/>
      <c r="BM124" s="217"/>
      <c r="BN124" s="217">
        <v>0</v>
      </c>
      <c r="BO124" s="217">
        <v>0</v>
      </c>
      <c r="BR124" s="217" t="s">
        <v>85</v>
      </c>
      <c r="BS124" s="217" t="s">
        <v>151</v>
      </c>
      <c r="BT124" s="217" t="s">
        <v>779</v>
      </c>
      <c r="BU124" s="217" t="s">
        <v>1091</v>
      </c>
      <c r="BV124" s="217">
        <v>35</v>
      </c>
      <c r="BW124" s="217">
        <v>147</v>
      </c>
      <c r="BX124" s="217">
        <v>0</v>
      </c>
      <c r="BY124" s="217">
        <v>0</v>
      </c>
      <c r="BZ124" s="217">
        <v>0</v>
      </c>
      <c r="CA124" s="217">
        <v>0</v>
      </c>
      <c r="CB124" s="217">
        <v>35</v>
      </c>
      <c r="CC124" s="217">
        <v>147</v>
      </c>
      <c r="CD124" s="217">
        <v>0</v>
      </c>
      <c r="CE124" s="217">
        <v>0</v>
      </c>
      <c r="CF124" s="217">
        <v>0</v>
      </c>
      <c r="CG124" s="217">
        <v>0</v>
      </c>
      <c r="CH124" s="217">
        <v>0</v>
      </c>
      <c r="CI124" s="217">
        <v>0</v>
      </c>
      <c r="CJ124" s="217">
        <v>0</v>
      </c>
    </row>
    <row r="125" spans="1:88" x14ac:dyDescent="0.25">
      <c r="A125" s="217" t="s">
        <v>22</v>
      </c>
      <c r="B125" s="217" t="s">
        <v>23</v>
      </c>
      <c r="C125" s="217" t="s">
        <v>85</v>
      </c>
      <c r="D125" s="217" t="s">
        <v>84</v>
      </c>
      <c r="E125" s="217" t="s">
        <v>95</v>
      </c>
      <c r="F125" s="217" t="s">
        <v>94</v>
      </c>
      <c r="G125" s="217" t="s">
        <v>266</v>
      </c>
      <c r="H125" s="217" t="s">
        <v>933</v>
      </c>
      <c r="I125" s="217" t="s">
        <v>29</v>
      </c>
      <c r="J125" s="217" t="s">
        <v>1855</v>
      </c>
      <c r="K125" s="217">
        <v>3</v>
      </c>
      <c r="L125" s="217">
        <v>15</v>
      </c>
      <c r="M125" s="217" t="s">
        <v>31</v>
      </c>
      <c r="N125" s="217" t="s">
        <v>32</v>
      </c>
      <c r="O125" s="217" t="s">
        <v>68</v>
      </c>
      <c r="P125" s="217" t="s">
        <v>34</v>
      </c>
      <c r="Q125" s="217" t="s">
        <v>35</v>
      </c>
      <c r="R125" s="217" t="s">
        <v>23</v>
      </c>
      <c r="S125" s="217" t="s">
        <v>22</v>
      </c>
      <c r="T125" s="217" t="s">
        <v>84</v>
      </c>
      <c r="U125" s="217" t="s">
        <v>85</v>
      </c>
      <c r="V125" s="217" t="s">
        <v>91</v>
      </c>
      <c r="W125" s="217" t="s">
        <v>92</v>
      </c>
      <c r="AD125" s="217" t="s">
        <v>36</v>
      </c>
      <c r="AE125" s="217" t="s">
        <v>37</v>
      </c>
      <c r="AF125" s="217" t="s">
        <v>609</v>
      </c>
      <c r="AG125" s="217" t="s">
        <v>608</v>
      </c>
      <c r="AH125" s="217" t="s">
        <v>2145</v>
      </c>
      <c r="AI125" s="217" t="s">
        <v>1857</v>
      </c>
      <c r="AJ125" s="217">
        <v>2</v>
      </c>
      <c r="AK125" s="217">
        <v>13</v>
      </c>
      <c r="AL125" s="217" t="s">
        <v>154</v>
      </c>
      <c r="AM125" s="217" t="s">
        <v>34</v>
      </c>
      <c r="AN125" s="217" t="s">
        <v>138</v>
      </c>
      <c r="AO125" s="217" t="s">
        <v>199</v>
      </c>
      <c r="AP125" s="217" t="s">
        <v>200</v>
      </c>
      <c r="AQ125" s="217" t="s">
        <v>139</v>
      </c>
      <c r="AR125" s="217" t="s">
        <v>139</v>
      </c>
      <c r="AS125" s="217" t="s">
        <v>139</v>
      </c>
      <c r="AT125" s="217" t="s">
        <v>139</v>
      </c>
      <c r="AU125" s="217" t="s">
        <v>1703</v>
      </c>
      <c r="BC125" s="217" t="s">
        <v>85</v>
      </c>
      <c r="BD125" s="217" t="s">
        <v>92</v>
      </c>
      <c r="BE125" s="217" t="s">
        <v>971</v>
      </c>
      <c r="BF125" s="217" t="s">
        <v>770</v>
      </c>
      <c r="BG125" s="217" t="s">
        <v>1998</v>
      </c>
      <c r="BH125" s="217" t="s">
        <v>1658</v>
      </c>
      <c r="BI125" s="217" t="s">
        <v>1660</v>
      </c>
      <c r="BJ125" s="217" t="s">
        <v>1660</v>
      </c>
      <c r="BK125" s="217" t="s">
        <v>637</v>
      </c>
      <c r="BL125" s="217"/>
      <c r="BM125" s="217"/>
      <c r="BN125" s="217">
        <v>0</v>
      </c>
      <c r="BO125" s="217">
        <v>0</v>
      </c>
      <c r="BR125" s="217" t="s">
        <v>85</v>
      </c>
      <c r="BS125" s="217" t="s">
        <v>151</v>
      </c>
      <c r="BT125" s="217" t="s">
        <v>788</v>
      </c>
      <c r="BU125" s="217" t="s">
        <v>1101</v>
      </c>
      <c r="BV125" s="217">
        <v>100</v>
      </c>
      <c r="BW125" s="217">
        <v>447</v>
      </c>
      <c r="BX125" s="217">
        <v>28</v>
      </c>
      <c r="BY125" s="217">
        <v>152</v>
      </c>
      <c r="BZ125" s="217">
        <v>0</v>
      </c>
      <c r="CA125" s="217">
        <v>0</v>
      </c>
      <c r="CB125" s="217">
        <v>100</v>
      </c>
      <c r="CC125" s="217">
        <v>447</v>
      </c>
      <c r="CD125" s="217">
        <v>28</v>
      </c>
      <c r="CE125" s="217">
        <v>152</v>
      </c>
      <c r="CF125" s="217">
        <v>0</v>
      </c>
      <c r="CG125" s="217">
        <v>0</v>
      </c>
      <c r="CH125" s="217">
        <v>0</v>
      </c>
      <c r="CI125" s="217">
        <v>0</v>
      </c>
      <c r="CJ125" s="217">
        <v>0</v>
      </c>
    </row>
    <row r="126" spans="1:88" x14ac:dyDescent="0.25">
      <c r="A126" s="217" t="s">
        <v>22</v>
      </c>
      <c r="B126" s="217" t="s">
        <v>23</v>
      </c>
      <c r="C126" s="217" t="s">
        <v>85</v>
      </c>
      <c r="D126" s="217" t="s">
        <v>84</v>
      </c>
      <c r="E126" s="217" t="s">
        <v>95</v>
      </c>
      <c r="F126" s="217" t="s">
        <v>94</v>
      </c>
      <c r="G126" s="217" t="s">
        <v>266</v>
      </c>
      <c r="H126" s="217" t="s">
        <v>933</v>
      </c>
      <c r="I126" s="217" t="s">
        <v>29</v>
      </c>
      <c r="J126" s="217" t="s">
        <v>1856</v>
      </c>
      <c r="K126" s="217">
        <v>2</v>
      </c>
      <c r="L126" s="217">
        <v>10</v>
      </c>
      <c r="M126" s="217" t="s">
        <v>31</v>
      </c>
      <c r="N126" s="217" t="s">
        <v>32</v>
      </c>
      <c r="O126" s="217" t="s">
        <v>68</v>
      </c>
      <c r="P126" s="217" t="s">
        <v>34</v>
      </c>
      <c r="Q126" s="217" t="s">
        <v>35</v>
      </c>
      <c r="R126" s="217" t="s">
        <v>23</v>
      </c>
      <c r="S126" s="217" t="s">
        <v>22</v>
      </c>
      <c r="T126" s="217" t="s">
        <v>84</v>
      </c>
      <c r="U126" s="217" t="s">
        <v>85</v>
      </c>
      <c r="V126" s="217" t="s">
        <v>109</v>
      </c>
      <c r="W126" s="217" t="s">
        <v>110</v>
      </c>
      <c r="BC126" s="217" t="s">
        <v>85</v>
      </c>
      <c r="BD126" s="217" t="s">
        <v>92</v>
      </c>
      <c r="BE126" s="217" t="s">
        <v>2013</v>
      </c>
      <c r="BF126" s="217" t="s">
        <v>2012</v>
      </c>
      <c r="BG126" s="217" t="s">
        <v>2002</v>
      </c>
      <c r="BH126" s="217" t="s">
        <v>1660</v>
      </c>
      <c r="BI126" s="217" t="s">
        <v>1660</v>
      </c>
      <c r="BJ126" s="217" t="s">
        <v>1660</v>
      </c>
      <c r="BK126" s="217" t="s">
        <v>637</v>
      </c>
      <c r="BL126" s="217"/>
      <c r="BM126" s="217"/>
      <c r="BN126" s="217">
        <v>0</v>
      </c>
      <c r="BO126" s="217">
        <v>0</v>
      </c>
      <c r="BR126" s="217" t="s">
        <v>85</v>
      </c>
      <c r="BS126" s="217" t="s">
        <v>151</v>
      </c>
      <c r="BT126" s="217" t="s">
        <v>1063</v>
      </c>
      <c r="BU126" s="217" t="s">
        <v>1064</v>
      </c>
      <c r="BV126" s="217">
        <v>53</v>
      </c>
      <c r="BW126" s="217">
        <v>205</v>
      </c>
      <c r="BX126" s="217">
        <v>20</v>
      </c>
      <c r="BY126" s="217">
        <v>110</v>
      </c>
      <c r="BZ126" s="217">
        <v>0</v>
      </c>
      <c r="CA126" s="217">
        <v>0</v>
      </c>
      <c r="CB126" s="217">
        <v>53</v>
      </c>
      <c r="CC126" s="217">
        <v>205</v>
      </c>
      <c r="CD126" s="217">
        <v>20</v>
      </c>
      <c r="CE126" s="217">
        <v>110</v>
      </c>
      <c r="CF126" s="217">
        <v>0</v>
      </c>
      <c r="CG126" s="217">
        <v>0</v>
      </c>
      <c r="CH126" s="217">
        <v>0</v>
      </c>
      <c r="CI126" s="217">
        <v>0</v>
      </c>
      <c r="CJ126" s="217">
        <v>0</v>
      </c>
    </row>
    <row r="127" spans="1:88" x14ac:dyDescent="0.25">
      <c r="A127" s="217" t="s">
        <v>22</v>
      </c>
      <c r="B127" s="217" t="s">
        <v>23</v>
      </c>
      <c r="C127" s="217" t="s">
        <v>85</v>
      </c>
      <c r="D127" s="217" t="s">
        <v>84</v>
      </c>
      <c r="E127" s="217" t="s">
        <v>95</v>
      </c>
      <c r="F127" s="217" t="s">
        <v>94</v>
      </c>
      <c r="G127" s="217" t="s">
        <v>266</v>
      </c>
      <c r="H127" s="217" t="s">
        <v>933</v>
      </c>
      <c r="I127" s="217" t="s">
        <v>29</v>
      </c>
      <c r="J127" s="217" t="s">
        <v>1857</v>
      </c>
      <c r="K127" s="217">
        <v>5</v>
      </c>
      <c r="L127" s="217">
        <v>25</v>
      </c>
      <c r="M127" s="217" t="s">
        <v>31</v>
      </c>
      <c r="N127" s="217" t="s">
        <v>32</v>
      </c>
      <c r="O127" s="217" t="s">
        <v>100</v>
      </c>
      <c r="P127" s="217" t="s">
        <v>34</v>
      </c>
      <c r="Q127" s="217" t="s">
        <v>35</v>
      </c>
      <c r="R127" s="217" t="s">
        <v>23</v>
      </c>
      <c r="S127" s="217" t="s">
        <v>22</v>
      </c>
      <c r="T127" s="217" t="s">
        <v>84</v>
      </c>
      <c r="U127" s="217" t="s">
        <v>85</v>
      </c>
      <c r="V127" s="217" t="s">
        <v>94</v>
      </c>
      <c r="W127" s="217" t="s">
        <v>95</v>
      </c>
      <c r="BC127" s="217" t="s">
        <v>85</v>
      </c>
      <c r="BD127" s="217" t="s">
        <v>173</v>
      </c>
      <c r="BE127" s="217" t="s">
        <v>972</v>
      </c>
      <c r="BF127" s="217" t="s">
        <v>293</v>
      </c>
      <c r="BG127" s="217" t="s">
        <v>1998</v>
      </c>
      <c r="BH127" s="217" t="s">
        <v>1658</v>
      </c>
      <c r="BI127" s="217" t="s">
        <v>1660</v>
      </c>
      <c r="BJ127" s="217" t="s">
        <v>1660</v>
      </c>
      <c r="BK127" s="217" t="s">
        <v>637</v>
      </c>
      <c r="BL127" s="217"/>
      <c r="BM127" s="217"/>
      <c r="BN127" s="217">
        <v>0</v>
      </c>
      <c r="BO127" s="217">
        <v>0</v>
      </c>
      <c r="BR127" s="217" t="s">
        <v>85</v>
      </c>
      <c r="BS127" s="217" t="s">
        <v>151</v>
      </c>
      <c r="BT127" s="217" t="s">
        <v>1056</v>
      </c>
      <c r="BU127" s="217" t="s">
        <v>1057</v>
      </c>
      <c r="BV127" s="217">
        <v>70</v>
      </c>
      <c r="BW127" s="217">
        <v>150</v>
      </c>
      <c r="BX127" s="217">
        <v>0</v>
      </c>
      <c r="BY127" s="217">
        <v>0</v>
      </c>
      <c r="BZ127" s="217">
        <v>0</v>
      </c>
      <c r="CA127" s="217">
        <v>0</v>
      </c>
      <c r="CB127" s="217">
        <v>70</v>
      </c>
      <c r="CC127" s="217">
        <v>150</v>
      </c>
      <c r="CD127" s="217">
        <v>0</v>
      </c>
      <c r="CE127" s="217">
        <v>0</v>
      </c>
      <c r="CF127" s="217">
        <v>0</v>
      </c>
      <c r="CG127" s="217">
        <v>0</v>
      </c>
      <c r="CH127" s="217">
        <v>0</v>
      </c>
      <c r="CI127" s="217">
        <v>0</v>
      </c>
      <c r="CJ127" s="217">
        <v>0</v>
      </c>
    </row>
    <row r="128" spans="1:88" x14ac:dyDescent="0.25">
      <c r="A128" s="217" t="s">
        <v>22</v>
      </c>
      <c r="B128" s="217" t="s">
        <v>23</v>
      </c>
      <c r="C128" s="217" t="s">
        <v>85</v>
      </c>
      <c r="D128" s="217" t="s">
        <v>84</v>
      </c>
      <c r="E128" s="217" t="s">
        <v>95</v>
      </c>
      <c r="F128" s="217" t="s">
        <v>94</v>
      </c>
      <c r="G128" s="217" t="s">
        <v>267</v>
      </c>
      <c r="H128" s="217" t="s">
        <v>934</v>
      </c>
      <c r="I128" s="217" t="s">
        <v>29</v>
      </c>
      <c r="J128" s="217" t="s">
        <v>1856</v>
      </c>
      <c r="K128" s="217">
        <v>3</v>
      </c>
      <c r="L128" s="217">
        <v>18</v>
      </c>
      <c r="M128" s="217" t="s">
        <v>31</v>
      </c>
      <c r="N128" s="217" t="s">
        <v>32</v>
      </c>
      <c r="O128" s="217" t="s">
        <v>68</v>
      </c>
      <c r="P128" s="217" t="s">
        <v>34</v>
      </c>
      <c r="Q128" s="217" t="s">
        <v>35</v>
      </c>
      <c r="R128" s="217" t="s">
        <v>23</v>
      </c>
      <c r="S128" s="217" t="s">
        <v>22</v>
      </c>
      <c r="T128" s="217" t="s">
        <v>84</v>
      </c>
      <c r="U128" s="217" t="s">
        <v>85</v>
      </c>
      <c r="V128" s="217" t="s">
        <v>109</v>
      </c>
      <c r="W128" s="217" t="s">
        <v>110</v>
      </c>
      <c r="BC128" s="217" t="s">
        <v>85</v>
      </c>
      <c r="BD128" s="217" t="s">
        <v>173</v>
      </c>
      <c r="BE128" s="217" t="s">
        <v>973</v>
      </c>
      <c r="BF128" s="217" t="s">
        <v>294</v>
      </c>
      <c r="BG128" s="217" t="s">
        <v>1998</v>
      </c>
      <c r="BH128" s="217" t="s">
        <v>1658</v>
      </c>
      <c r="BI128" s="217" t="s">
        <v>1660</v>
      </c>
      <c r="BJ128" s="217" t="s">
        <v>1660</v>
      </c>
      <c r="BK128" s="217" t="s">
        <v>637</v>
      </c>
      <c r="BL128" s="217"/>
      <c r="BM128" s="217"/>
      <c r="BN128" s="217">
        <v>0</v>
      </c>
      <c r="BO128" s="217">
        <v>0</v>
      </c>
      <c r="BR128" s="217" t="s">
        <v>85</v>
      </c>
      <c r="BS128" s="217" t="s">
        <v>151</v>
      </c>
      <c r="BT128" s="217" t="s">
        <v>775</v>
      </c>
      <c r="BU128" s="217" t="s">
        <v>1102</v>
      </c>
      <c r="BV128" s="217">
        <v>8</v>
      </c>
      <c r="BW128" s="217">
        <v>71</v>
      </c>
      <c r="BX128" s="217">
        <v>50</v>
      </c>
      <c r="BY128" s="217">
        <v>425</v>
      </c>
      <c r="BZ128" s="217">
        <v>0</v>
      </c>
      <c r="CA128" s="217">
        <v>0</v>
      </c>
      <c r="CB128" s="217">
        <v>8</v>
      </c>
      <c r="CC128" s="217">
        <v>71</v>
      </c>
      <c r="CD128" s="217">
        <v>50</v>
      </c>
      <c r="CE128" s="217">
        <v>425</v>
      </c>
      <c r="CF128" s="217">
        <v>0</v>
      </c>
      <c r="CG128" s="217">
        <v>0</v>
      </c>
      <c r="CH128" s="217">
        <v>0</v>
      </c>
      <c r="CI128" s="217">
        <v>0</v>
      </c>
      <c r="CJ128" s="217">
        <v>0</v>
      </c>
    </row>
    <row r="129" spans="1:88" x14ac:dyDescent="0.25">
      <c r="A129" s="217" t="s">
        <v>22</v>
      </c>
      <c r="B129" s="217" t="s">
        <v>23</v>
      </c>
      <c r="C129" s="217" t="s">
        <v>85</v>
      </c>
      <c r="D129" s="217" t="s">
        <v>84</v>
      </c>
      <c r="E129" s="217" t="s">
        <v>95</v>
      </c>
      <c r="F129" s="217" t="s">
        <v>94</v>
      </c>
      <c r="G129" s="217" t="s">
        <v>267</v>
      </c>
      <c r="H129" s="217" t="s">
        <v>934</v>
      </c>
      <c r="I129" s="217" t="s">
        <v>29</v>
      </c>
      <c r="J129" s="217" t="s">
        <v>1857</v>
      </c>
      <c r="K129" s="217">
        <v>1</v>
      </c>
      <c r="L129" s="217">
        <v>6</v>
      </c>
      <c r="M129" s="217" t="s">
        <v>31</v>
      </c>
      <c r="N129" s="217" t="s">
        <v>32</v>
      </c>
      <c r="O129" s="217" t="s">
        <v>100</v>
      </c>
      <c r="P129" s="217" t="s">
        <v>34</v>
      </c>
      <c r="Q129" s="217" t="s">
        <v>35</v>
      </c>
      <c r="R129" s="217" t="s">
        <v>23</v>
      </c>
      <c r="S129" s="217" t="s">
        <v>22</v>
      </c>
      <c r="T129" s="217" t="s">
        <v>84</v>
      </c>
      <c r="U129" s="217" t="s">
        <v>85</v>
      </c>
      <c r="V129" s="217" t="s">
        <v>94</v>
      </c>
      <c r="W129" s="217" t="s">
        <v>95</v>
      </c>
      <c r="BC129" s="217" t="s">
        <v>85</v>
      </c>
      <c r="BD129" s="217" t="s">
        <v>173</v>
      </c>
      <c r="BE129" s="217" t="s">
        <v>974</v>
      </c>
      <c r="BF129" s="217" t="s">
        <v>295</v>
      </c>
      <c r="BG129" s="217" t="s">
        <v>1998</v>
      </c>
      <c r="BH129" s="217" t="s">
        <v>1658</v>
      </c>
      <c r="BI129" s="217" t="s">
        <v>1660</v>
      </c>
      <c r="BJ129" s="217" t="s">
        <v>1660</v>
      </c>
      <c r="BK129" s="217" t="s">
        <v>637</v>
      </c>
      <c r="BL129" s="217"/>
      <c r="BM129" s="217"/>
      <c r="BN129" s="217">
        <v>0</v>
      </c>
      <c r="BO129" s="217">
        <v>0</v>
      </c>
      <c r="BR129" s="217" t="s">
        <v>85</v>
      </c>
      <c r="BS129" s="217" t="s">
        <v>151</v>
      </c>
      <c r="BT129" s="217" t="s">
        <v>783</v>
      </c>
      <c r="BU129" s="217" t="s">
        <v>1092</v>
      </c>
      <c r="BV129" s="217">
        <v>18</v>
      </c>
      <c r="BW129" s="217">
        <v>125</v>
      </c>
      <c r="BX129" s="217">
        <v>0</v>
      </c>
      <c r="BY129" s="217">
        <v>0</v>
      </c>
      <c r="BZ129" s="217">
        <v>0</v>
      </c>
      <c r="CA129" s="217">
        <v>0</v>
      </c>
      <c r="CB129" s="217">
        <v>18</v>
      </c>
      <c r="CC129" s="217">
        <v>125</v>
      </c>
      <c r="CD129" s="217">
        <v>0</v>
      </c>
      <c r="CE129" s="217">
        <v>0</v>
      </c>
      <c r="CF129" s="217">
        <v>0</v>
      </c>
      <c r="CG129" s="217">
        <v>0</v>
      </c>
      <c r="CH129" s="217">
        <v>0</v>
      </c>
      <c r="CI129" s="217">
        <v>0</v>
      </c>
      <c r="CJ129" s="217">
        <v>0</v>
      </c>
    </row>
    <row r="130" spans="1:88" x14ac:dyDescent="0.25">
      <c r="A130" s="217" t="s">
        <v>22</v>
      </c>
      <c r="B130" s="217" t="s">
        <v>23</v>
      </c>
      <c r="C130" s="217" t="s">
        <v>85</v>
      </c>
      <c r="D130" s="217" t="s">
        <v>84</v>
      </c>
      <c r="E130" s="217" t="s">
        <v>95</v>
      </c>
      <c r="F130" s="217" t="s">
        <v>94</v>
      </c>
      <c r="G130" s="217" t="s">
        <v>268</v>
      </c>
      <c r="H130" s="217" t="s">
        <v>935</v>
      </c>
      <c r="I130" s="217" t="s">
        <v>29</v>
      </c>
      <c r="J130" s="217" t="s">
        <v>1857</v>
      </c>
      <c r="K130" s="217">
        <v>5</v>
      </c>
      <c r="L130" s="217">
        <v>35</v>
      </c>
      <c r="M130" s="217" t="s">
        <v>31</v>
      </c>
      <c r="N130" s="217" t="s">
        <v>32</v>
      </c>
      <c r="O130" s="217" t="s">
        <v>100</v>
      </c>
      <c r="P130" s="217" t="s">
        <v>34</v>
      </c>
      <c r="Q130" s="217" t="s">
        <v>35</v>
      </c>
      <c r="R130" s="217" t="s">
        <v>23</v>
      </c>
      <c r="S130" s="217" t="s">
        <v>22</v>
      </c>
      <c r="T130" s="217" t="s">
        <v>84</v>
      </c>
      <c r="U130" s="217" t="s">
        <v>85</v>
      </c>
      <c r="V130" s="217" t="s">
        <v>94</v>
      </c>
      <c r="W130" s="217" t="s">
        <v>95</v>
      </c>
      <c r="BC130" s="217" t="s">
        <v>85</v>
      </c>
      <c r="BD130" s="217" t="s">
        <v>173</v>
      </c>
      <c r="BE130" s="217" t="s">
        <v>975</v>
      </c>
      <c r="BF130" s="217" t="s">
        <v>296</v>
      </c>
      <c r="BG130" s="217" t="s">
        <v>1998</v>
      </c>
      <c r="BH130" s="217" t="s">
        <v>1658</v>
      </c>
      <c r="BI130" s="217" t="s">
        <v>1660</v>
      </c>
      <c r="BJ130" s="217" t="s">
        <v>1660</v>
      </c>
      <c r="BK130" s="217" t="s">
        <v>637</v>
      </c>
      <c r="BL130" s="217"/>
      <c r="BM130" s="217"/>
      <c r="BN130" s="217">
        <v>0</v>
      </c>
      <c r="BO130" s="217">
        <v>0</v>
      </c>
      <c r="BR130" s="217" t="s">
        <v>85</v>
      </c>
      <c r="BS130" s="217" t="s">
        <v>151</v>
      </c>
      <c r="BT130" s="217" t="s">
        <v>369</v>
      </c>
      <c r="BU130" s="217" t="s">
        <v>1106</v>
      </c>
      <c r="BV130" s="217">
        <v>213</v>
      </c>
      <c r="BW130" s="217">
        <v>1598</v>
      </c>
      <c r="BX130" s="217">
        <v>0</v>
      </c>
      <c r="BY130" s="217">
        <v>0</v>
      </c>
      <c r="BZ130" s="217">
        <v>0</v>
      </c>
      <c r="CA130" s="217">
        <v>0</v>
      </c>
      <c r="CB130" s="217">
        <v>213</v>
      </c>
      <c r="CC130" s="217">
        <v>1598</v>
      </c>
      <c r="CD130" s="217">
        <v>0</v>
      </c>
      <c r="CE130" s="217">
        <v>0</v>
      </c>
      <c r="CF130" s="217">
        <v>0</v>
      </c>
      <c r="CG130" s="217">
        <v>0</v>
      </c>
      <c r="CH130" s="217">
        <v>0</v>
      </c>
      <c r="CI130" s="217">
        <v>0</v>
      </c>
      <c r="CJ130" s="217">
        <v>0</v>
      </c>
    </row>
    <row r="131" spans="1:88" x14ac:dyDescent="0.25">
      <c r="A131" s="217" t="s">
        <v>22</v>
      </c>
      <c r="B131" s="217" t="s">
        <v>23</v>
      </c>
      <c r="C131" s="217" t="s">
        <v>85</v>
      </c>
      <c r="D131" s="217" t="s">
        <v>84</v>
      </c>
      <c r="E131" s="217" t="s">
        <v>95</v>
      </c>
      <c r="F131" s="217" t="s">
        <v>94</v>
      </c>
      <c r="G131" s="217" t="s">
        <v>269</v>
      </c>
      <c r="H131" s="217" t="s">
        <v>936</v>
      </c>
      <c r="I131" s="217" t="s">
        <v>29</v>
      </c>
      <c r="J131" s="217" t="s">
        <v>1856</v>
      </c>
      <c r="K131" s="217">
        <v>11</v>
      </c>
      <c r="L131" s="217">
        <v>66</v>
      </c>
      <c r="M131" s="217" t="s">
        <v>31</v>
      </c>
      <c r="N131" s="217" t="s">
        <v>32</v>
      </c>
      <c r="O131" s="217" t="s">
        <v>68</v>
      </c>
      <c r="P131" s="217" t="s">
        <v>34</v>
      </c>
      <c r="Q131" s="217" t="s">
        <v>35</v>
      </c>
      <c r="R131" s="217" t="s">
        <v>23</v>
      </c>
      <c r="S131" s="217" t="s">
        <v>22</v>
      </c>
      <c r="T131" s="217" t="s">
        <v>84</v>
      </c>
      <c r="U131" s="217" t="s">
        <v>85</v>
      </c>
      <c r="V131" s="217" t="s">
        <v>109</v>
      </c>
      <c r="W131" s="217" t="s">
        <v>110</v>
      </c>
      <c r="BC131" s="217" t="s">
        <v>85</v>
      </c>
      <c r="BD131" s="217" t="s">
        <v>173</v>
      </c>
      <c r="BE131" s="217" t="s">
        <v>976</v>
      </c>
      <c r="BF131" s="217" t="s">
        <v>297</v>
      </c>
      <c r="BG131" s="217" t="s">
        <v>1998</v>
      </c>
      <c r="BH131" s="217" t="s">
        <v>1658</v>
      </c>
      <c r="BI131" s="217" t="s">
        <v>1660</v>
      </c>
      <c r="BJ131" s="217" t="s">
        <v>1660</v>
      </c>
      <c r="BK131" s="217" t="s">
        <v>637</v>
      </c>
      <c r="BL131" s="217"/>
      <c r="BM131" s="217"/>
      <c r="BN131" s="217">
        <v>0</v>
      </c>
      <c r="BO131" s="217">
        <v>0</v>
      </c>
      <c r="BR131" s="217" t="s">
        <v>85</v>
      </c>
      <c r="BS131" s="217" t="s">
        <v>151</v>
      </c>
      <c r="BT131" s="217" t="s">
        <v>1099</v>
      </c>
      <c r="BU131" s="217" t="s">
        <v>1100</v>
      </c>
      <c r="BV131" s="217">
        <v>35</v>
      </c>
      <c r="BW131" s="217">
        <v>150</v>
      </c>
      <c r="BX131" s="217">
        <v>0</v>
      </c>
      <c r="BY131" s="217">
        <v>0</v>
      </c>
      <c r="BZ131" s="217">
        <v>0</v>
      </c>
      <c r="CA131" s="217">
        <v>0</v>
      </c>
      <c r="CB131" s="217">
        <v>35</v>
      </c>
      <c r="CC131" s="217">
        <v>150</v>
      </c>
      <c r="CD131" s="217">
        <v>0</v>
      </c>
      <c r="CE131" s="217">
        <v>0</v>
      </c>
      <c r="CF131" s="217">
        <v>0</v>
      </c>
      <c r="CG131" s="217">
        <v>0</v>
      </c>
      <c r="CH131" s="217">
        <v>0</v>
      </c>
      <c r="CI131" s="217">
        <v>0</v>
      </c>
      <c r="CJ131" s="217">
        <v>0</v>
      </c>
    </row>
    <row r="132" spans="1:88" x14ac:dyDescent="0.25">
      <c r="A132" s="217" t="s">
        <v>22</v>
      </c>
      <c r="B132" s="217" t="s">
        <v>23</v>
      </c>
      <c r="C132" s="217" t="s">
        <v>85</v>
      </c>
      <c r="D132" s="217" t="s">
        <v>84</v>
      </c>
      <c r="E132" s="217" t="s">
        <v>95</v>
      </c>
      <c r="F132" s="217" t="s">
        <v>94</v>
      </c>
      <c r="G132" s="217" t="s">
        <v>269</v>
      </c>
      <c r="H132" s="217" t="s">
        <v>936</v>
      </c>
      <c r="I132" s="217" t="s">
        <v>29</v>
      </c>
      <c r="J132" s="217" t="s">
        <v>1858</v>
      </c>
      <c r="K132" s="217">
        <v>1</v>
      </c>
      <c r="L132" s="217">
        <v>7</v>
      </c>
      <c r="M132" s="217" t="s">
        <v>31</v>
      </c>
      <c r="N132" s="217" t="s">
        <v>32</v>
      </c>
      <c r="O132" s="217" t="s">
        <v>68</v>
      </c>
      <c r="P132" s="217" t="s">
        <v>34</v>
      </c>
      <c r="Q132" s="217" t="s">
        <v>35</v>
      </c>
      <c r="R132" s="217" t="s">
        <v>23</v>
      </c>
      <c r="S132" s="217" t="s">
        <v>22</v>
      </c>
      <c r="T132" s="217" t="s">
        <v>84</v>
      </c>
      <c r="U132" s="217" t="s">
        <v>85</v>
      </c>
      <c r="V132" s="217" t="s">
        <v>109</v>
      </c>
      <c r="W132" s="217" t="s">
        <v>110</v>
      </c>
      <c r="BC132" s="217" t="s">
        <v>85</v>
      </c>
      <c r="BD132" s="217" t="s">
        <v>173</v>
      </c>
      <c r="BE132" s="217" t="s">
        <v>977</v>
      </c>
      <c r="BF132" s="217" t="s">
        <v>298</v>
      </c>
      <c r="BG132" s="217" t="s">
        <v>1998</v>
      </c>
      <c r="BH132" s="217" t="s">
        <v>1658</v>
      </c>
      <c r="BI132" s="217" t="s">
        <v>1660</v>
      </c>
      <c r="BJ132" s="217" t="s">
        <v>1660</v>
      </c>
      <c r="BK132" s="217" t="s">
        <v>637</v>
      </c>
      <c r="BL132" s="217"/>
      <c r="BM132" s="217"/>
      <c r="BN132" s="217">
        <v>0</v>
      </c>
      <c r="BO132" s="217">
        <v>0</v>
      </c>
      <c r="BR132" s="217" t="s">
        <v>85</v>
      </c>
      <c r="BS132" s="217" t="s">
        <v>151</v>
      </c>
      <c r="BT132" s="217" t="s">
        <v>776</v>
      </c>
      <c r="BU132" s="217" t="s">
        <v>1060</v>
      </c>
      <c r="BV132" s="217">
        <v>0</v>
      </c>
      <c r="BW132" s="217">
        <v>0</v>
      </c>
      <c r="BX132" s="217">
        <v>0</v>
      </c>
      <c r="BY132" s="217">
        <v>0</v>
      </c>
      <c r="BZ132" s="217">
        <v>0</v>
      </c>
      <c r="CA132" s="217">
        <v>0</v>
      </c>
      <c r="CB132" s="217">
        <v>0</v>
      </c>
      <c r="CC132" s="217">
        <v>0</v>
      </c>
      <c r="CD132" s="217">
        <v>0</v>
      </c>
      <c r="CE132" s="217">
        <v>0</v>
      </c>
      <c r="CF132" s="217">
        <v>0</v>
      </c>
      <c r="CG132" s="217">
        <v>0</v>
      </c>
      <c r="CH132" s="217">
        <v>0</v>
      </c>
      <c r="CI132" s="217">
        <v>0</v>
      </c>
      <c r="CJ132" s="217">
        <v>0</v>
      </c>
    </row>
    <row r="133" spans="1:88" x14ac:dyDescent="0.25">
      <c r="A133" s="217" t="s">
        <v>22</v>
      </c>
      <c r="B133" s="217" t="s">
        <v>23</v>
      </c>
      <c r="C133" s="217" t="s">
        <v>85</v>
      </c>
      <c r="D133" s="217" t="s">
        <v>84</v>
      </c>
      <c r="E133" s="217" t="s">
        <v>95</v>
      </c>
      <c r="F133" s="217" t="s">
        <v>94</v>
      </c>
      <c r="G133" s="217" t="s">
        <v>270</v>
      </c>
      <c r="H133" s="217" t="s">
        <v>937</v>
      </c>
      <c r="I133" s="217" t="s">
        <v>29</v>
      </c>
      <c r="J133" s="217" t="s">
        <v>1856</v>
      </c>
      <c r="K133" s="217">
        <v>19</v>
      </c>
      <c r="L133" s="217">
        <v>115</v>
      </c>
      <c r="M133" s="217" t="s">
        <v>31</v>
      </c>
      <c r="N133" s="217" t="s">
        <v>32</v>
      </c>
      <c r="O133" s="217" t="s">
        <v>68</v>
      </c>
      <c r="P133" s="217" t="s">
        <v>34</v>
      </c>
      <c r="Q133" s="217" t="s">
        <v>35</v>
      </c>
      <c r="R133" s="217" t="s">
        <v>23</v>
      </c>
      <c r="S133" s="217" t="s">
        <v>22</v>
      </c>
      <c r="T133" s="217" t="s">
        <v>84</v>
      </c>
      <c r="U133" s="217" t="s">
        <v>85</v>
      </c>
      <c r="V133" s="217" t="s">
        <v>109</v>
      </c>
      <c r="W133" s="217" t="s">
        <v>110</v>
      </c>
      <c r="BC133" s="217" t="s">
        <v>85</v>
      </c>
      <c r="BD133" s="217" t="s">
        <v>173</v>
      </c>
      <c r="BE133" s="217" t="s">
        <v>978</v>
      </c>
      <c r="BF133" s="217" t="s">
        <v>299</v>
      </c>
      <c r="BG133" s="217" t="s">
        <v>1998</v>
      </c>
      <c r="BH133" s="217" t="s">
        <v>1658</v>
      </c>
      <c r="BI133" s="217" t="s">
        <v>1660</v>
      </c>
      <c r="BJ133" s="217" t="s">
        <v>1660</v>
      </c>
      <c r="BK133" s="217" t="s">
        <v>637</v>
      </c>
      <c r="BL133" s="217"/>
      <c r="BM133" s="217"/>
      <c r="BN133" s="217">
        <v>0</v>
      </c>
      <c r="BO133" s="217">
        <v>0</v>
      </c>
      <c r="BR133" s="217" t="s">
        <v>85</v>
      </c>
      <c r="BS133" s="217" t="s">
        <v>151</v>
      </c>
      <c r="BT133" s="217" t="s">
        <v>1104</v>
      </c>
      <c r="BU133" s="217" t="s">
        <v>1105</v>
      </c>
      <c r="BV133" s="217">
        <v>82</v>
      </c>
      <c r="BW133" s="217">
        <v>656</v>
      </c>
      <c r="BX133" s="217">
        <v>25</v>
      </c>
      <c r="BY133" s="217">
        <v>212</v>
      </c>
      <c r="BZ133" s="217">
        <v>0</v>
      </c>
      <c r="CA133" s="217">
        <v>0</v>
      </c>
      <c r="CB133" s="217">
        <v>82</v>
      </c>
      <c r="CC133" s="217">
        <v>656</v>
      </c>
      <c r="CD133" s="217">
        <v>25</v>
      </c>
      <c r="CE133" s="217">
        <v>212</v>
      </c>
      <c r="CF133" s="217">
        <v>0</v>
      </c>
      <c r="CG133" s="217">
        <v>0</v>
      </c>
      <c r="CH133" s="217">
        <v>0</v>
      </c>
      <c r="CI133" s="217">
        <v>0</v>
      </c>
      <c r="CJ133" s="217">
        <v>0</v>
      </c>
    </row>
    <row r="134" spans="1:88" x14ac:dyDescent="0.25">
      <c r="A134" s="217" t="s">
        <v>22</v>
      </c>
      <c r="B134" s="217" t="s">
        <v>23</v>
      </c>
      <c r="C134" s="217" t="s">
        <v>85</v>
      </c>
      <c r="D134" s="217" t="s">
        <v>84</v>
      </c>
      <c r="E134" s="217" t="s">
        <v>95</v>
      </c>
      <c r="F134" s="217" t="s">
        <v>94</v>
      </c>
      <c r="G134" s="217" t="s">
        <v>270</v>
      </c>
      <c r="H134" s="217" t="s">
        <v>937</v>
      </c>
      <c r="I134" s="217" t="s">
        <v>29</v>
      </c>
      <c r="J134" s="217" t="s">
        <v>1858</v>
      </c>
      <c r="K134" s="217">
        <v>58</v>
      </c>
      <c r="L134" s="217">
        <v>493</v>
      </c>
      <c r="M134" s="217" t="s">
        <v>31</v>
      </c>
      <c r="N134" s="217" t="s">
        <v>32</v>
      </c>
      <c r="O134" s="217" t="s">
        <v>68</v>
      </c>
      <c r="P134" s="217" t="s">
        <v>34</v>
      </c>
      <c r="Q134" s="217" t="s">
        <v>35</v>
      </c>
      <c r="R134" s="217" t="s">
        <v>23</v>
      </c>
      <c r="S134" s="217" t="s">
        <v>22</v>
      </c>
      <c r="T134" s="217" t="s">
        <v>84</v>
      </c>
      <c r="U134" s="217" t="s">
        <v>85</v>
      </c>
      <c r="V134" s="217" t="s">
        <v>109</v>
      </c>
      <c r="W134" s="217" t="s">
        <v>110</v>
      </c>
      <c r="BC134" s="217" t="s">
        <v>85</v>
      </c>
      <c r="BD134" s="217" t="s">
        <v>173</v>
      </c>
      <c r="BE134" s="217" t="s">
        <v>979</v>
      </c>
      <c r="BF134" s="217" t="s">
        <v>300</v>
      </c>
      <c r="BG134" s="217" t="s">
        <v>1998</v>
      </c>
      <c r="BH134" s="217" t="s">
        <v>1658</v>
      </c>
      <c r="BI134" s="217" t="s">
        <v>1660</v>
      </c>
      <c r="BJ134" s="217" t="s">
        <v>1660</v>
      </c>
      <c r="BK134" s="217" t="s">
        <v>637</v>
      </c>
      <c r="BL134" s="217"/>
      <c r="BM134" s="217"/>
      <c r="BN134" s="217">
        <v>0</v>
      </c>
      <c r="BO134" s="217">
        <v>0</v>
      </c>
      <c r="BR134" s="217" t="s">
        <v>85</v>
      </c>
      <c r="BS134" s="217" t="s">
        <v>151</v>
      </c>
      <c r="BT134" s="217" t="s">
        <v>370</v>
      </c>
      <c r="BU134" s="217" t="s">
        <v>1108</v>
      </c>
      <c r="BV134" s="217">
        <v>98</v>
      </c>
      <c r="BW134" s="217">
        <v>869</v>
      </c>
      <c r="BX134" s="217">
        <v>0</v>
      </c>
      <c r="BY134" s="217">
        <v>0</v>
      </c>
      <c r="BZ134" s="217">
        <v>0</v>
      </c>
      <c r="CA134" s="217">
        <v>0</v>
      </c>
      <c r="CB134" s="217">
        <v>98</v>
      </c>
      <c r="CC134" s="217">
        <v>869</v>
      </c>
      <c r="CD134" s="217">
        <v>0</v>
      </c>
      <c r="CE134" s="217">
        <v>0</v>
      </c>
      <c r="CF134" s="217">
        <v>0</v>
      </c>
      <c r="CG134" s="217">
        <v>0</v>
      </c>
      <c r="CH134" s="217">
        <v>0</v>
      </c>
      <c r="CI134" s="217">
        <v>0</v>
      </c>
      <c r="CJ134" s="217">
        <v>0</v>
      </c>
    </row>
    <row r="135" spans="1:88" x14ac:dyDescent="0.25">
      <c r="A135" s="217" t="s">
        <v>22</v>
      </c>
      <c r="B135" s="217" t="s">
        <v>23</v>
      </c>
      <c r="C135" s="217" t="s">
        <v>85</v>
      </c>
      <c r="D135" s="217" t="s">
        <v>84</v>
      </c>
      <c r="E135" s="217" t="s">
        <v>95</v>
      </c>
      <c r="F135" s="217" t="s">
        <v>94</v>
      </c>
      <c r="G135" s="217" t="s">
        <v>271</v>
      </c>
      <c r="H135" s="217" t="s">
        <v>938</v>
      </c>
      <c r="I135" s="217" t="s">
        <v>29</v>
      </c>
      <c r="J135" s="217" t="s">
        <v>1856</v>
      </c>
      <c r="K135" s="217">
        <v>2</v>
      </c>
      <c r="L135" s="217">
        <v>12</v>
      </c>
      <c r="M135" s="217" t="s">
        <v>31</v>
      </c>
      <c r="N135" s="217" t="s">
        <v>32</v>
      </c>
      <c r="O135" s="217" t="s">
        <v>68</v>
      </c>
      <c r="P135" s="217" t="s">
        <v>34</v>
      </c>
      <c r="Q135" s="217" t="s">
        <v>35</v>
      </c>
      <c r="R135" s="217" t="s">
        <v>23</v>
      </c>
      <c r="S135" s="217" t="s">
        <v>22</v>
      </c>
      <c r="T135" s="217" t="s">
        <v>84</v>
      </c>
      <c r="U135" s="217" t="s">
        <v>85</v>
      </c>
      <c r="V135" s="217" t="s">
        <v>109</v>
      </c>
      <c r="W135" s="217" t="s">
        <v>110</v>
      </c>
      <c r="BC135" s="217" t="s">
        <v>85</v>
      </c>
      <c r="BD135" s="217" t="s">
        <v>173</v>
      </c>
      <c r="BE135" s="217" t="s">
        <v>980</v>
      </c>
      <c r="BF135" s="217" t="s">
        <v>301</v>
      </c>
      <c r="BG135" s="217" t="s">
        <v>1998</v>
      </c>
      <c r="BH135" s="217" t="s">
        <v>1658</v>
      </c>
      <c r="BI135" s="217" t="s">
        <v>1660</v>
      </c>
      <c r="BJ135" s="217" t="s">
        <v>1660</v>
      </c>
      <c r="BK135" s="217" t="s">
        <v>637</v>
      </c>
      <c r="BL135" s="217"/>
      <c r="BM135" s="217"/>
      <c r="BN135" s="217">
        <v>0</v>
      </c>
      <c r="BO135" s="217">
        <v>0</v>
      </c>
      <c r="BR135" s="217" t="s">
        <v>85</v>
      </c>
      <c r="BS135" s="217" t="s">
        <v>151</v>
      </c>
      <c r="BT135" s="217" t="s">
        <v>787</v>
      </c>
      <c r="BU135" s="217" t="s">
        <v>1098</v>
      </c>
      <c r="BV135" s="217">
        <v>89</v>
      </c>
      <c r="BW135" s="217">
        <v>440</v>
      </c>
      <c r="BX135" s="217">
        <v>66</v>
      </c>
      <c r="BY135" s="217">
        <v>207</v>
      </c>
      <c r="BZ135" s="217">
        <v>0</v>
      </c>
      <c r="CA135" s="217">
        <v>0</v>
      </c>
      <c r="CB135" s="217">
        <v>89</v>
      </c>
      <c r="CC135" s="217">
        <v>440</v>
      </c>
      <c r="CD135" s="217">
        <v>66</v>
      </c>
      <c r="CE135" s="217">
        <v>207</v>
      </c>
      <c r="CF135" s="217">
        <v>0</v>
      </c>
      <c r="CG135" s="217">
        <v>0</v>
      </c>
      <c r="CH135" s="217">
        <v>0</v>
      </c>
      <c r="CI135" s="217">
        <v>0</v>
      </c>
      <c r="CJ135" s="217">
        <v>0</v>
      </c>
    </row>
    <row r="136" spans="1:88" x14ac:dyDescent="0.25">
      <c r="A136" s="217" t="s">
        <v>22</v>
      </c>
      <c r="B136" s="217" t="s">
        <v>23</v>
      </c>
      <c r="C136" s="217" t="s">
        <v>85</v>
      </c>
      <c r="D136" s="217" t="s">
        <v>84</v>
      </c>
      <c r="E136" s="217" t="s">
        <v>95</v>
      </c>
      <c r="F136" s="217" t="s">
        <v>94</v>
      </c>
      <c r="G136" s="217" t="s">
        <v>271</v>
      </c>
      <c r="H136" s="217" t="s">
        <v>938</v>
      </c>
      <c r="I136" s="217" t="s">
        <v>29</v>
      </c>
      <c r="J136" s="217" t="s">
        <v>1857</v>
      </c>
      <c r="K136" s="217">
        <v>3</v>
      </c>
      <c r="L136" s="217">
        <v>23</v>
      </c>
      <c r="M136" s="217" t="s">
        <v>31</v>
      </c>
      <c r="N136" s="217" t="s">
        <v>32</v>
      </c>
      <c r="O136" s="217" t="s">
        <v>100</v>
      </c>
      <c r="P136" s="217" t="s">
        <v>34</v>
      </c>
      <c r="Q136" s="217" t="s">
        <v>35</v>
      </c>
      <c r="R136" s="217" t="s">
        <v>23</v>
      </c>
      <c r="S136" s="217" t="s">
        <v>22</v>
      </c>
      <c r="T136" s="217" t="s">
        <v>84</v>
      </c>
      <c r="U136" s="217" t="s">
        <v>85</v>
      </c>
      <c r="V136" s="217" t="s">
        <v>94</v>
      </c>
      <c r="W136" s="217" t="s">
        <v>95</v>
      </c>
      <c r="BC136" s="217" t="s">
        <v>85</v>
      </c>
      <c r="BD136" s="217" t="s">
        <v>173</v>
      </c>
      <c r="BE136" s="217" t="s">
        <v>981</v>
      </c>
      <c r="BF136" s="217" t="s">
        <v>302</v>
      </c>
      <c r="BG136" s="217" t="s">
        <v>1998</v>
      </c>
      <c r="BH136" s="217" t="s">
        <v>1658</v>
      </c>
      <c r="BI136" s="217" t="s">
        <v>1660</v>
      </c>
      <c r="BJ136" s="217" t="s">
        <v>1660</v>
      </c>
      <c r="BK136" s="217" t="s">
        <v>637</v>
      </c>
      <c r="BL136" s="217"/>
      <c r="BM136" s="217"/>
      <c r="BN136" s="217">
        <v>0</v>
      </c>
      <c r="BO136" s="217">
        <v>0</v>
      </c>
      <c r="BR136" s="217" t="s">
        <v>85</v>
      </c>
      <c r="BS136" s="217" t="s">
        <v>151</v>
      </c>
      <c r="BT136" s="217" t="s">
        <v>781</v>
      </c>
      <c r="BU136" s="217" t="s">
        <v>1071</v>
      </c>
      <c r="BV136" s="217">
        <v>50</v>
      </c>
      <c r="BW136" s="217">
        <v>283</v>
      </c>
      <c r="BX136" s="217">
        <v>5</v>
      </c>
      <c r="BY136" s="217">
        <v>49</v>
      </c>
      <c r="BZ136" s="217">
        <v>0</v>
      </c>
      <c r="CA136" s="217">
        <v>0</v>
      </c>
      <c r="CB136" s="217">
        <v>50</v>
      </c>
      <c r="CC136" s="217">
        <v>283</v>
      </c>
      <c r="CD136" s="217">
        <v>5</v>
      </c>
      <c r="CE136" s="217">
        <v>49</v>
      </c>
      <c r="CF136" s="217">
        <v>0</v>
      </c>
      <c r="CG136" s="217">
        <v>0</v>
      </c>
      <c r="CH136" s="217">
        <v>0</v>
      </c>
      <c r="CI136" s="217">
        <v>0</v>
      </c>
      <c r="CJ136" s="217">
        <v>0</v>
      </c>
    </row>
    <row r="137" spans="1:88" x14ac:dyDescent="0.25">
      <c r="A137" s="217" t="s">
        <v>22</v>
      </c>
      <c r="B137" s="217" t="s">
        <v>23</v>
      </c>
      <c r="C137" s="217" t="s">
        <v>85</v>
      </c>
      <c r="D137" s="217" t="s">
        <v>84</v>
      </c>
      <c r="E137" s="217" t="s">
        <v>95</v>
      </c>
      <c r="F137" s="217" t="s">
        <v>94</v>
      </c>
      <c r="G137" s="217" t="s">
        <v>271</v>
      </c>
      <c r="H137" s="217" t="s">
        <v>938</v>
      </c>
      <c r="I137" s="217" t="s">
        <v>29</v>
      </c>
      <c r="J137" s="217" t="s">
        <v>1858</v>
      </c>
      <c r="K137" s="217">
        <v>6</v>
      </c>
      <c r="L137" s="217">
        <v>44</v>
      </c>
      <c r="M137" s="217" t="s">
        <v>31</v>
      </c>
      <c r="N137" s="217" t="s">
        <v>32</v>
      </c>
      <c r="O137" s="217" t="s">
        <v>68</v>
      </c>
      <c r="P137" s="217" t="s">
        <v>34</v>
      </c>
      <c r="Q137" s="217" t="s">
        <v>35</v>
      </c>
      <c r="R137" s="217" t="s">
        <v>23</v>
      </c>
      <c r="S137" s="217" t="s">
        <v>22</v>
      </c>
      <c r="T137" s="217" t="s">
        <v>84</v>
      </c>
      <c r="U137" s="217" t="s">
        <v>85</v>
      </c>
      <c r="V137" s="217" t="s">
        <v>109</v>
      </c>
      <c r="W137" s="217" t="s">
        <v>110</v>
      </c>
      <c r="BC137" s="217" t="s">
        <v>85</v>
      </c>
      <c r="BD137" s="217" t="s">
        <v>173</v>
      </c>
      <c r="BE137" s="217" t="s">
        <v>982</v>
      </c>
      <c r="BF137" s="217" t="s">
        <v>697</v>
      </c>
      <c r="BG137" s="217" t="s">
        <v>1998</v>
      </c>
      <c r="BH137" s="217" t="s">
        <v>1658</v>
      </c>
      <c r="BI137" s="217" t="s">
        <v>1660</v>
      </c>
      <c r="BJ137" s="217" t="s">
        <v>1660</v>
      </c>
      <c r="BK137" s="217" t="s">
        <v>637</v>
      </c>
      <c r="BL137" s="217"/>
      <c r="BM137" s="217"/>
      <c r="BN137" s="217">
        <v>0</v>
      </c>
      <c r="BO137" s="217">
        <v>0</v>
      </c>
      <c r="BR137" s="217" t="s">
        <v>85</v>
      </c>
      <c r="BS137" s="217" t="s">
        <v>151</v>
      </c>
      <c r="BT137" s="217" t="s">
        <v>1085</v>
      </c>
      <c r="BU137" s="217" t="s">
        <v>1086</v>
      </c>
      <c r="BV137" s="217">
        <v>7</v>
      </c>
      <c r="BW137" s="217">
        <v>45</v>
      </c>
      <c r="BX137" s="217">
        <v>0</v>
      </c>
      <c r="BY137" s="217">
        <v>0</v>
      </c>
      <c r="BZ137" s="217">
        <v>0</v>
      </c>
      <c r="CA137" s="217">
        <v>0</v>
      </c>
      <c r="CB137" s="217">
        <v>7</v>
      </c>
      <c r="CC137" s="217">
        <v>45</v>
      </c>
      <c r="CD137" s="217">
        <v>0</v>
      </c>
      <c r="CE137" s="217">
        <v>0</v>
      </c>
      <c r="CF137" s="217">
        <v>0</v>
      </c>
      <c r="CG137" s="217">
        <v>0</v>
      </c>
      <c r="CH137" s="217">
        <v>0</v>
      </c>
      <c r="CI137" s="217">
        <v>0</v>
      </c>
      <c r="CJ137" s="217">
        <v>0</v>
      </c>
    </row>
    <row r="138" spans="1:88" x14ac:dyDescent="0.25">
      <c r="A138" s="217" t="s">
        <v>22</v>
      </c>
      <c r="B138" s="217" t="s">
        <v>23</v>
      </c>
      <c r="C138" s="217" t="s">
        <v>85</v>
      </c>
      <c r="D138" s="217" t="s">
        <v>84</v>
      </c>
      <c r="E138" s="217" t="s">
        <v>95</v>
      </c>
      <c r="F138" s="217" t="s">
        <v>94</v>
      </c>
      <c r="G138" s="217" t="s">
        <v>272</v>
      </c>
      <c r="H138" s="217" t="s">
        <v>939</v>
      </c>
      <c r="I138" s="217" t="s">
        <v>29</v>
      </c>
      <c r="J138" s="217" t="s">
        <v>1856</v>
      </c>
      <c r="K138" s="217">
        <v>7</v>
      </c>
      <c r="L138" s="217">
        <v>34</v>
      </c>
      <c r="M138" s="217" t="s">
        <v>31</v>
      </c>
      <c r="N138" s="217" t="s">
        <v>32</v>
      </c>
      <c r="O138" s="217" t="s">
        <v>68</v>
      </c>
      <c r="P138" s="217" t="s">
        <v>34</v>
      </c>
      <c r="Q138" s="217" t="s">
        <v>35</v>
      </c>
      <c r="R138" s="217" t="s">
        <v>23</v>
      </c>
      <c r="S138" s="217" t="s">
        <v>22</v>
      </c>
      <c r="T138" s="217" t="s">
        <v>84</v>
      </c>
      <c r="U138" s="217" t="s">
        <v>85</v>
      </c>
      <c r="V138" s="217" t="s">
        <v>109</v>
      </c>
      <c r="W138" s="217" t="s">
        <v>110</v>
      </c>
      <c r="BC138" s="217" t="s">
        <v>85</v>
      </c>
      <c r="BD138" s="217" t="s">
        <v>173</v>
      </c>
      <c r="BE138" s="217" t="s">
        <v>983</v>
      </c>
      <c r="BF138" s="217" t="s">
        <v>285</v>
      </c>
      <c r="BG138" s="217" t="s">
        <v>1998</v>
      </c>
      <c r="BH138" s="217" t="s">
        <v>1658</v>
      </c>
      <c r="BI138" s="217" t="s">
        <v>1660</v>
      </c>
      <c r="BJ138" s="217" t="s">
        <v>1660</v>
      </c>
      <c r="BK138" s="217" t="s">
        <v>637</v>
      </c>
      <c r="BL138" s="217"/>
      <c r="BM138" s="217"/>
      <c r="BN138" s="217">
        <v>0</v>
      </c>
      <c r="BO138" s="217">
        <v>0</v>
      </c>
      <c r="BR138" s="217" t="s">
        <v>85</v>
      </c>
      <c r="BS138" s="217" t="s">
        <v>151</v>
      </c>
      <c r="BT138" s="217" t="s">
        <v>1666</v>
      </c>
      <c r="BU138" s="217" t="s">
        <v>1665</v>
      </c>
      <c r="BV138" s="217">
        <v>0</v>
      </c>
      <c r="BW138" s="217">
        <v>0</v>
      </c>
      <c r="BX138" s="217">
        <v>0</v>
      </c>
      <c r="BY138" s="217">
        <v>0</v>
      </c>
      <c r="BZ138" s="217">
        <v>0</v>
      </c>
      <c r="CA138" s="217">
        <v>0</v>
      </c>
      <c r="CB138" s="217">
        <v>0</v>
      </c>
      <c r="CC138" s="217">
        <v>0</v>
      </c>
      <c r="CD138" s="217">
        <v>0</v>
      </c>
      <c r="CE138" s="217">
        <v>0</v>
      </c>
      <c r="CF138" s="217">
        <v>0</v>
      </c>
      <c r="CG138" s="217">
        <v>0</v>
      </c>
      <c r="CH138" s="217">
        <v>0</v>
      </c>
      <c r="CI138" s="217">
        <v>0</v>
      </c>
      <c r="CJ138" s="217">
        <v>0</v>
      </c>
    </row>
    <row r="139" spans="1:88" x14ac:dyDescent="0.25">
      <c r="A139" s="217" t="s">
        <v>22</v>
      </c>
      <c r="B139" s="217" t="s">
        <v>23</v>
      </c>
      <c r="C139" s="217" t="s">
        <v>85</v>
      </c>
      <c r="D139" s="217" t="s">
        <v>84</v>
      </c>
      <c r="E139" s="217" t="s">
        <v>95</v>
      </c>
      <c r="F139" s="217" t="s">
        <v>94</v>
      </c>
      <c r="G139" s="217" t="s">
        <v>273</v>
      </c>
      <c r="H139" s="217" t="s">
        <v>940</v>
      </c>
      <c r="I139" s="217" t="s">
        <v>29</v>
      </c>
      <c r="J139" s="217" t="s">
        <v>1856</v>
      </c>
      <c r="K139" s="217">
        <v>3</v>
      </c>
      <c r="L139" s="217">
        <v>23</v>
      </c>
      <c r="M139" s="217" t="s">
        <v>31</v>
      </c>
      <c r="N139" s="217" t="s">
        <v>32</v>
      </c>
      <c r="O139" s="217" t="s">
        <v>68</v>
      </c>
      <c r="P139" s="217" t="s">
        <v>34</v>
      </c>
      <c r="Q139" s="217" t="s">
        <v>35</v>
      </c>
      <c r="R139" s="217" t="s">
        <v>23</v>
      </c>
      <c r="S139" s="217" t="s">
        <v>22</v>
      </c>
      <c r="T139" s="217" t="s">
        <v>84</v>
      </c>
      <c r="U139" s="217" t="s">
        <v>85</v>
      </c>
      <c r="V139" s="217" t="s">
        <v>109</v>
      </c>
      <c r="W139" s="217" t="s">
        <v>110</v>
      </c>
      <c r="BC139" s="217" t="s">
        <v>85</v>
      </c>
      <c r="BD139" s="217" t="s">
        <v>173</v>
      </c>
      <c r="BE139" s="217" t="s">
        <v>984</v>
      </c>
      <c r="BF139" s="217" t="s">
        <v>303</v>
      </c>
      <c r="BG139" s="217" t="s">
        <v>1998</v>
      </c>
      <c r="BH139" s="217" t="s">
        <v>1658</v>
      </c>
      <c r="BI139" s="217" t="s">
        <v>1660</v>
      </c>
      <c r="BJ139" s="217" t="s">
        <v>1660</v>
      </c>
      <c r="BK139" s="217" t="s">
        <v>637</v>
      </c>
      <c r="BL139" s="217"/>
      <c r="BM139" s="217"/>
      <c r="BN139" s="217">
        <v>0</v>
      </c>
      <c r="BO139" s="217">
        <v>0</v>
      </c>
      <c r="BR139" s="217" t="s">
        <v>85</v>
      </c>
      <c r="BS139" s="217" t="s">
        <v>151</v>
      </c>
      <c r="BT139" s="217" t="s">
        <v>1058</v>
      </c>
      <c r="BU139" s="217" t="s">
        <v>1059</v>
      </c>
      <c r="BV139" s="217">
        <v>30</v>
      </c>
      <c r="BW139" s="217">
        <v>150</v>
      </c>
      <c r="BX139" s="217">
        <v>0</v>
      </c>
      <c r="BY139" s="217">
        <v>0</v>
      </c>
      <c r="BZ139" s="217">
        <v>0</v>
      </c>
      <c r="CA139" s="217">
        <v>0</v>
      </c>
      <c r="CB139" s="217">
        <v>30</v>
      </c>
      <c r="CC139" s="217">
        <v>150</v>
      </c>
      <c r="CD139" s="217">
        <v>0</v>
      </c>
      <c r="CE139" s="217">
        <v>0</v>
      </c>
      <c r="CF139" s="217">
        <v>0</v>
      </c>
      <c r="CG139" s="217">
        <v>0</v>
      </c>
      <c r="CH139" s="217">
        <v>0</v>
      </c>
      <c r="CI139" s="217">
        <v>0</v>
      </c>
      <c r="CJ139" s="217">
        <v>0</v>
      </c>
    </row>
    <row r="140" spans="1:88" x14ac:dyDescent="0.25">
      <c r="A140" s="217" t="s">
        <v>22</v>
      </c>
      <c r="B140" s="217" t="s">
        <v>23</v>
      </c>
      <c r="C140" s="217" t="s">
        <v>85</v>
      </c>
      <c r="D140" s="217" t="s">
        <v>84</v>
      </c>
      <c r="E140" s="217" t="s">
        <v>95</v>
      </c>
      <c r="F140" s="217" t="s">
        <v>94</v>
      </c>
      <c r="G140" s="217" t="s">
        <v>273</v>
      </c>
      <c r="H140" s="217" t="s">
        <v>940</v>
      </c>
      <c r="I140" s="217" t="s">
        <v>29</v>
      </c>
      <c r="J140" s="217" t="s">
        <v>1857</v>
      </c>
      <c r="K140" s="217">
        <v>2</v>
      </c>
      <c r="L140" s="217">
        <v>17</v>
      </c>
      <c r="M140" s="217" t="s">
        <v>31</v>
      </c>
      <c r="N140" s="217" t="s">
        <v>32</v>
      </c>
      <c r="O140" s="217" t="s">
        <v>68</v>
      </c>
      <c r="P140" s="217" t="s">
        <v>34</v>
      </c>
      <c r="Q140" s="217" t="s">
        <v>35</v>
      </c>
      <c r="R140" s="217" t="s">
        <v>23</v>
      </c>
      <c r="S140" s="217" t="s">
        <v>22</v>
      </c>
      <c r="T140" s="217" t="s">
        <v>84</v>
      </c>
      <c r="U140" s="217" t="s">
        <v>85</v>
      </c>
      <c r="V140" s="217" t="s">
        <v>109</v>
      </c>
      <c r="W140" s="217" t="s">
        <v>110</v>
      </c>
      <c r="BC140" s="217" t="s">
        <v>85</v>
      </c>
      <c r="BD140" s="217" t="s">
        <v>173</v>
      </c>
      <c r="BE140" s="217" t="s">
        <v>985</v>
      </c>
      <c r="BF140" s="217" t="s">
        <v>304</v>
      </c>
      <c r="BG140" s="217" t="s">
        <v>1998</v>
      </c>
      <c r="BH140" s="217" t="s">
        <v>1658</v>
      </c>
      <c r="BI140" s="217" t="s">
        <v>1660</v>
      </c>
      <c r="BJ140" s="217" t="s">
        <v>1660</v>
      </c>
      <c r="BK140" s="217" t="s">
        <v>637</v>
      </c>
      <c r="BL140" s="217"/>
      <c r="BM140" s="217"/>
      <c r="BN140" s="217">
        <v>0</v>
      </c>
      <c r="BO140" s="217">
        <v>0</v>
      </c>
      <c r="BR140" s="217" t="s">
        <v>85</v>
      </c>
      <c r="BS140" s="217" t="s">
        <v>151</v>
      </c>
      <c r="BT140" s="217" t="s">
        <v>780</v>
      </c>
      <c r="BU140" s="217" t="s">
        <v>1068</v>
      </c>
      <c r="BV140" s="217">
        <v>70</v>
      </c>
      <c r="BW140" s="217">
        <v>298</v>
      </c>
      <c r="BX140" s="217">
        <v>0</v>
      </c>
      <c r="BY140" s="217">
        <v>0</v>
      </c>
      <c r="BZ140" s="217">
        <v>0</v>
      </c>
      <c r="CA140" s="217">
        <v>0</v>
      </c>
      <c r="CB140" s="217">
        <v>70</v>
      </c>
      <c r="CC140" s="217">
        <v>298</v>
      </c>
      <c r="CD140" s="217">
        <v>0</v>
      </c>
      <c r="CE140" s="217">
        <v>0</v>
      </c>
      <c r="CF140" s="217">
        <v>0</v>
      </c>
      <c r="CG140" s="217">
        <v>0</v>
      </c>
      <c r="CH140" s="217">
        <v>0</v>
      </c>
      <c r="CI140" s="217">
        <v>0</v>
      </c>
      <c r="CJ140" s="217">
        <v>0</v>
      </c>
    </row>
    <row r="141" spans="1:88" x14ac:dyDescent="0.25">
      <c r="A141" s="217" t="s">
        <v>22</v>
      </c>
      <c r="B141" s="217" t="s">
        <v>23</v>
      </c>
      <c r="C141" s="217" t="s">
        <v>85</v>
      </c>
      <c r="D141" s="217" t="s">
        <v>84</v>
      </c>
      <c r="E141" s="217" t="s">
        <v>95</v>
      </c>
      <c r="F141" s="217" t="s">
        <v>94</v>
      </c>
      <c r="G141" s="217" t="s">
        <v>273</v>
      </c>
      <c r="H141" s="217" t="s">
        <v>940</v>
      </c>
      <c r="I141" s="217" t="s">
        <v>29</v>
      </c>
      <c r="J141" s="217" t="s">
        <v>1858</v>
      </c>
      <c r="K141" s="217">
        <v>17</v>
      </c>
      <c r="L141" s="217">
        <v>103</v>
      </c>
      <c r="M141" s="217" t="s">
        <v>31</v>
      </c>
      <c r="N141" s="217" t="s">
        <v>32</v>
      </c>
      <c r="O141" s="217" t="s">
        <v>68</v>
      </c>
      <c r="P141" s="217" t="s">
        <v>34</v>
      </c>
      <c r="Q141" s="217" t="s">
        <v>35</v>
      </c>
      <c r="R141" s="217" t="s">
        <v>23</v>
      </c>
      <c r="S141" s="217" t="s">
        <v>22</v>
      </c>
      <c r="T141" s="217" t="s">
        <v>84</v>
      </c>
      <c r="U141" s="217" t="s">
        <v>85</v>
      </c>
      <c r="V141" s="217" t="s">
        <v>91</v>
      </c>
      <c r="W141" s="217" t="s">
        <v>92</v>
      </c>
      <c r="BC141" s="217" t="s">
        <v>85</v>
      </c>
      <c r="BD141" s="217" t="s">
        <v>173</v>
      </c>
      <c r="BE141" s="217" t="s">
        <v>986</v>
      </c>
      <c r="BF141" s="217" t="s">
        <v>771</v>
      </c>
      <c r="BG141" s="217" t="s">
        <v>1998</v>
      </c>
      <c r="BH141" s="217" t="s">
        <v>1658</v>
      </c>
      <c r="BI141" s="217" t="s">
        <v>1660</v>
      </c>
      <c r="BJ141" s="217" t="s">
        <v>1660</v>
      </c>
      <c r="BK141" s="217" t="s">
        <v>637</v>
      </c>
      <c r="BL141" s="217"/>
      <c r="BM141" s="217"/>
      <c r="BN141" s="217">
        <v>0</v>
      </c>
      <c r="BO141" s="217">
        <v>0</v>
      </c>
      <c r="BR141" s="217" t="s">
        <v>85</v>
      </c>
      <c r="BS141" s="217" t="s">
        <v>151</v>
      </c>
      <c r="BT141" s="217" t="s">
        <v>367</v>
      </c>
      <c r="BU141" s="217" t="s">
        <v>1080</v>
      </c>
      <c r="BV141" s="217">
        <v>173</v>
      </c>
      <c r="BW141" s="217">
        <v>1123</v>
      </c>
      <c r="BX141" s="217">
        <v>0</v>
      </c>
      <c r="BY141" s="217">
        <v>0</v>
      </c>
      <c r="BZ141" s="217">
        <v>0</v>
      </c>
      <c r="CA141" s="217">
        <v>0</v>
      </c>
      <c r="CB141" s="217">
        <v>173</v>
      </c>
      <c r="CC141" s="217">
        <v>1123</v>
      </c>
      <c r="CD141" s="217">
        <v>0</v>
      </c>
      <c r="CE141" s="217">
        <v>0</v>
      </c>
      <c r="CF141" s="217">
        <v>0</v>
      </c>
      <c r="CG141" s="217">
        <v>0</v>
      </c>
      <c r="CH141" s="217">
        <v>0</v>
      </c>
      <c r="CI141" s="217">
        <v>0</v>
      </c>
      <c r="CJ141" s="217">
        <v>0</v>
      </c>
    </row>
    <row r="142" spans="1:88" x14ac:dyDescent="0.25">
      <c r="A142" s="217" t="s">
        <v>22</v>
      </c>
      <c r="B142" s="217" t="s">
        <v>23</v>
      </c>
      <c r="C142" s="217" t="s">
        <v>85</v>
      </c>
      <c r="D142" s="217" t="s">
        <v>84</v>
      </c>
      <c r="E142" s="217" t="s">
        <v>92</v>
      </c>
      <c r="F142" s="217" t="s">
        <v>91</v>
      </c>
      <c r="G142" s="217" t="s">
        <v>274</v>
      </c>
      <c r="H142" s="217" t="s">
        <v>941</v>
      </c>
      <c r="I142" s="217" t="s">
        <v>29</v>
      </c>
      <c r="J142" s="217" t="s">
        <v>1856</v>
      </c>
      <c r="K142" s="217">
        <v>6</v>
      </c>
      <c r="L142" s="217">
        <v>40</v>
      </c>
      <c r="M142" s="217" t="s">
        <v>31</v>
      </c>
      <c r="N142" s="217" t="s">
        <v>32</v>
      </c>
      <c r="O142" s="217" t="s">
        <v>100</v>
      </c>
      <c r="P142" s="217" t="s">
        <v>34</v>
      </c>
      <c r="Q142" s="217" t="s">
        <v>35</v>
      </c>
      <c r="R142" s="217" t="s">
        <v>23</v>
      </c>
      <c r="S142" s="217" t="s">
        <v>22</v>
      </c>
      <c r="T142" s="217" t="s">
        <v>84</v>
      </c>
      <c r="U142" s="217" t="s">
        <v>85</v>
      </c>
      <c r="V142" s="217" t="s">
        <v>91</v>
      </c>
      <c r="W142" s="217" t="s">
        <v>92</v>
      </c>
      <c r="BC142" s="217" t="s">
        <v>85</v>
      </c>
      <c r="BD142" s="217" t="s">
        <v>173</v>
      </c>
      <c r="BE142" s="217" t="s">
        <v>987</v>
      </c>
      <c r="BF142" s="217" t="s">
        <v>305</v>
      </c>
      <c r="BG142" s="217" t="s">
        <v>1998</v>
      </c>
      <c r="BH142" s="217" t="s">
        <v>1658</v>
      </c>
      <c r="BI142" s="217" t="s">
        <v>1660</v>
      </c>
      <c r="BJ142" s="217" t="s">
        <v>1660</v>
      </c>
      <c r="BK142" s="217" t="s">
        <v>637</v>
      </c>
      <c r="BL142" s="217"/>
      <c r="BM142" s="217"/>
      <c r="BN142" s="217">
        <v>0</v>
      </c>
      <c r="BO142" s="217">
        <v>0</v>
      </c>
      <c r="BR142" s="217" t="s">
        <v>85</v>
      </c>
      <c r="BS142" s="217" t="s">
        <v>151</v>
      </c>
      <c r="BT142" s="217" t="s">
        <v>368</v>
      </c>
      <c r="BU142" s="217" t="s">
        <v>1081</v>
      </c>
      <c r="BV142" s="217">
        <v>191</v>
      </c>
      <c r="BW142" s="217">
        <v>950</v>
      </c>
      <c r="BX142" s="217">
        <v>0</v>
      </c>
      <c r="BY142" s="217">
        <v>0</v>
      </c>
      <c r="BZ142" s="217">
        <v>0</v>
      </c>
      <c r="CA142" s="217">
        <v>0</v>
      </c>
      <c r="CB142" s="217">
        <v>191</v>
      </c>
      <c r="CC142" s="217">
        <v>950</v>
      </c>
      <c r="CD142" s="217">
        <v>0</v>
      </c>
      <c r="CE142" s="217">
        <v>0</v>
      </c>
      <c r="CF142" s="217">
        <v>0</v>
      </c>
      <c r="CG142" s="217">
        <v>0</v>
      </c>
      <c r="CH142" s="217">
        <v>0</v>
      </c>
      <c r="CI142" s="217">
        <v>0</v>
      </c>
      <c r="CJ142" s="217">
        <v>0</v>
      </c>
    </row>
    <row r="143" spans="1:88" x14ac:dyDescent="0.25">
      <c r="A143" s="217" t="s">
        <v>22</v>
      </c>
      <c r="B143" s="217" t="s">
        <v>23</v>
      </c>
      <c r="C143" s="217" t="s">
        <v>85</v>
      </c>
      <c r="D143" s="217" t="s">
        <v>84</v>
      </c>
      <c r="E143" s="217" t="s">
        <v>92</v>
      </c>
      <c r="F143" s="217" t="s">
        <v>91</v>
      </c>
      <c r="G143" s="217" t="s">
        <v>769</v>
      </c>
      <c r="H143" s="217" t="s">
        <v>942</v>
      </c>
      <c r="I143" s="217" t="s">
        <v>29</v>
      </c>
      <c r="J143" s="217" t="s">
        <v>1858</v>
      </c>
      <c r="K143" s="217">
        <v>48</v>
      </c>
      <c r="L143" s="217">
        <v>340</v>
      </c>
      <c r="M143" s="217" t="s">
        <v>31</v>
      </c>
      <c r="N143" s="217" t="s">
        <v>32</v>
      </c>
      <c r="O143" s="217" t="s">
        <v>100</v>
      </c>
      <c r="P143" s="217" t="s">
        <v>34</v>
      </c>
      <c r="Q143" s="217" t="s">
        <v>35</v>
      </c>
      <c r="R143" s="217" t="s">
        <v>23</v>
      </c>
      <c r="S143" s="217" t="s">
        <v>22</v>
      </c>
      <c r="T143" s="217" t="s">
        <v>84</v>
      </c>
      <c r="U143" s="217" t="s">
        <v>85</v>
      </c>
      <c r="V143" s="217" t="s">
        <v>91</v>
      </c>
      <c r="W143" s="217" t="s">
        <v>92</v>
      </c>
      <c r="BC143" s="217" t="s">
        <v>85</v>
      </c>
      <c r="BD143" s="217" t="s">
        <v>173</v>
      </c>
      <c r="BE143" s="217" t="s">
        <v>988</v>
      </c>
      <c r="BF143" s="217" t="s">
        <v>306</v>
      </c>
      <c r="BG143" s="217" t="s">
        <v>1998</v>
      </c>
      <c r="BH143" s="217" t="s">
        <v>1658</v>
      </c>
      <c r="BI143" s="217" t="s">
        <v>1660</v>
      </c>
      <c r="BJ143" s="217" t="s">
        <v>1660</v>
      </c>
      <c r="BK143" s="217" t="s">
        <v>637</v>
      </c>
      <c r="BL143" s="217"/>
      <c r="BM143" s="217"/>
      <c r="BN143" s="217">
        <v>0</v>
      </c>
      <c r="BO143" s="217">
        <v>0</v>
      </c>
      <c r="BR143" s="217" t="s">
        <v>85</v>
      </c>
      <c r="BS143" s="217" t="s">
        <v>151</v>
      </c>
      <c r="BT143" s="217" t="s">
        <v>774</v>
      </c>
      <c r="BU143" s="217" t="s">
        <v>1061</v>
      </c>
      <c r="BV143" s="217">
        <v>35</v>
      </c>
      <c r="BW143" s="217">
        <v>142</v>
      </c>
      <c r="BX143" s="217">
        <v>0</v>
      </c>
      <c r="BY143" s="217">
        <v>0</v>
      </c>
      <c r="BZ143" s="217">
        <v>0</v>
      </c>
      <c r="CA143" s="217">
        <v>0</v>
      </c>
      <c r="CB143" s="217">
        <v>35</v>
      </c>
      <c r="CC143" s="217">
        <v>142</v>
      </c>
      <c r="CD143" s="217">
        <v>0</v>
      </c>
      <c r="CE143" s="217">
        <v>0</v>
      </c>
      <c r="CF143" s="217">
        <v>0</v>
      </c>
      <c r="CG143" s="217">
        <v>0</v>
      </c>
      <c r="CH143" s="217">
        <v>0</v>
      </c>
      <c r="CI143" s="217">
        <v>0</v>
      </c>
      <c r="CJ143" s="217">
        <v>0</v>
      </c>
    </row>
    <row r="144" spans="1:88" x14ac:dyDescent="0.25">
      <c r="A144" s="217" t="s">
        <v>22</v>
      </c>
      <c r="B144" s="217" t="s">
        <v>23</v>
      </c>
      <c r="C144" s="217" t="s">
        <v>85</v>
      </c>
      <c r="D144" s="217" t="s">
        <v>84</v>
      </c>
      <c r="E144" s="217" t="s">
        <v>92</v>
      </c>
      <c r="F144" s="217" t="s">
        <v>91</v>
      </c>
      <c r="G144" s="217" t="s">
        <v>385</v>
      </c>
      <c r="H144" s="217" t="s">
        <v>943</v>
      </c>
      <c r="I144" s="217" t="s">
        <v>29</v>
      </c>
      <c r="J144" s="217" t="s">
        <v>1858</v>
      </c>
      <c r="K144" s="217">
        <v>30</v>
      </c>
      <c r="L144" s="217">
        <v>70</v>
      </c>
      <c r="M144" s="217" t="s">
        <v>31</v>
      </c>
      <c r="N144" s="217" t="s">
        <v>32</v>
      </c>
      <c r="O144" s="217" t="s">
        <v>100</v>
      </c>
      <c r="P144" s="217" t="s">
        <v>34</v>
      </c>
      <c r="Q144" s="217" t="s">
        <v>35</v>
      </c>
      <c r="R144" s="217" t="s">
        <v>23</v>
      </c>
      <c r="S144" s="217" t="s">
        <v>22</v>
      </c>
      <c r="T144" s="217" t="s">
        <v>84</v>
      </c>
      <c r="U144" s="217" t="s">
        <v>85</v>
      </c>
      <c r="V144" s="217" t="s">
        <v>91</v>
      </c>
      <c r="W144" s="217" t="s">
        <v>92</v>
      </c>
      <c r="BC144" s="217" t="s">
        <v>85</v>
      </c>
      <c r="BD144" s="217" t="s">
        <v>173</v>
      </c>
      <c r="BE144" s="217" t="s">
        <v>989</v>
      </c>
      <c r="BF144" s="217" t="s">
        <v>307</v>
      </c>
      <c r="BG144" s="217" t="s">
        <v>1998</v>
      </c>
      <c r="BH144" s="217" t="s">
        <v>1658</v>
      </c>
      <c r="BI144" s="217" t="s">
        <v>1660</v>
      </c>
      <c r="BJ144" s="217" t="s">
        <v>1660</v>
      </c>
      <c r="BK144" s="217" t="s">
        <v>637</v>
      </c>
      <c r="BL144" s="217"/>
      <c r="BM144" s="217"/>
      <c r="BN144" s="217">
        <v>0</v>
      </c>
      <c r="BO144" s="217">
        <v>0</v>
      </c>
      <c r="BR144" s="217" t="s">
        <v>85</v>
      </c>
      <c r="BS144" s="217" t="s">
        <v>151</v>
      </c>
      <c r="BT144" s="217" t="s">
        <v>1074</v>
      </c>
      <c r="BU144" s="217" t="s">
        <v>1075</v>
      </c>
      <c r="BV144" s="217">
        <v>18</v>
      </c>
      <c r="BW144" s="217">
        <v>130</v>
      </c>
      <c r="BX144" s="217">
        <v>0</v>
      </c>
      <c r="BY144" s="217">
        <v>0</v>
      </c>
      <c r="BZ144" s="217">
        <v>0</v>
      </c>
      <c r="CA144" s="217">
        <v>0</v>
      </c>
      <c r="CB144" s="217">
        <v>18</v>
      </c>
      <c r="CC144" s="217">
        <v>130</v>
      </c>
      <c r="CD144" s="217">
        <v>0</v>
      </c>
      <c r="CE144" s="217">
        <v>0</v>
      </c>
      <c r="CF144" s="217">
        <v>0</v>
      </c>
      <c r="CG144" s="217">
        <v>0</v>
      </c>
      <c r="CH144" s="217">
        <v>0</v>
      </c>
      <c r="CI144" s="217">
        <v>0</v>
      </c>
      <c r="CJ144" s="217">
        <v>0</v>
      </c>
    </row>
    <row r="145" spans="1:88" x14ac:dyDescent="0.25">
      <c r="A145" s="217" t="s">
        <v>22</v>
      </c>
      <c r="B145" s="217" t="s">
        <v>23</v>
      </c>
      <c r="C145" s="217" t="s">
        <v>85</v>
      </c>
      <c r="D145" s="217" t="s">
        <v>84</v>
      </c>
      <c r="E145" s="217" t="s">
        <v>92</v>
      </c>
      <c r="F145" s="217" t="s">
        <v>91</v>
      </c>
      <c r="G145" s="217" t="s">
        <v>275</v>
      </c>
      <c r="H145" s="217" t="s">
        <v>944</v>
      </c>
      <c r="I145" s="217" t="s">
        <v>29</v>
      </c>
      <c r="J145" s="217" t="s">
        <v>1858</v>
      </c>
      <c r="K145" s="217">
        <v>72</v>
      </c>
      <c r="L145" s="217">
        <v>402</v>
      </c>
      <c r="M145" s="217" t="s">
        <v>31</v>
      </c>
      <c r="N145" s="217" t="s">
        <v>32</v>
      </c>
      <c r="O145" s="217" t="s">
        <v>100</v>
      </c>
      <c r="P145" s="217" t="s">
        <v>34</v>
      </c>
      <c r="Q145" s="217" t="s">
        <v>35</v>
      </c>
      <c r="R145" s="217" t="s">
        <v>23</v>
      </c>
      <c r="S145" s="217" t="s">
        <v>22</v>
      </c>
      <c r="T145" s="217" t="s">
        <v>84</v>
      </c>
      <c r="U145" s="217" t="s">
        <v>85</v>
      </c>
      <c r="V145" s="217" t="s">
        <v>91</v>
      </c>
      <c r="W145" s="217" t="s">
        <v>92</v>
      </c>
      <c r="BC145" s="217" t="s">
        <v>85</v>
      </c>
      <c r="BD145" s="217" t="s">
        <v>173</v>
      </c>
      <c r="BE145" s="217" t="s">
        <v>990</v>
      </c>
      <c r="BF145" s="217" t="s">
        <v>772</v>
      </c>
      <c r="BG145" s="217" t="s">
        <v>1998</v>
      </c>
      <c r="BH145" s="217" t="s">
        <v>1658</v>
      </c>
      <c r="BI145" s="217" t="s">
        <v>1660</v>
      </c>
      <c r="BJ145" s="217" t="s">
        <v>1660</v>
      </c>
      <c r="BK145" s="217" t="s">
        <v>637</v>
      </c>
      <c r="BL145" s="217"/>
      <c r="BM145" s="217"/>
      <c r="BN145" s="217">
        <v>0</v>
      </c>
      <c r="BO145" s="217">
        <v>0</v>
      </c>
      <c r="BR145" s="217" t="s">
        <v>85</v>
      </c>
      <c r="BS145" s="217" t="s">
        <v>151</v>
      </c>
      <c r="BT145" s="217" t="s">
        <v>852</v>
      </c>
      <c r="BU145" s="217" t="s">
        <v>1082</v>
      </c>
      <c r="BV145" s="217">
        <v>18</v>
      </c>
      <c r="BW145" s="217">
        <v>87</v>
      </c>
      <c r="BX145" s="217">
        <v>0</v>
      </c>
      <c r="BY145" s="217">
        <v>0</v>
      </c>
      <c r="BZ145" s="217">
        <v>0</v>
      </c>
      <c r="CA145" s="217">
        <v>0</v>
      </c>
      <c r="CB145" s="217">
        <v>18</v>
      </c>
      <c r="CC145" s="217">
        <v>87</v>
      </c>
      <c r="CD145" s="217">
        <v>0</v>
      </c>
      <c r="CE145" s="217">
        <v>0</v>
      </c>
      <c r="CF145" s="217">
        <v>0</v>
      </c>
      <c r="CG145" s="217">
        <v>0</v>
      </c>
      <c r="CH145" s="217">
        <v>0</v>
      </c>
      <c r="CI145" s="217">
        <v>0</v>
      </c>
      <c r="CJ145" s="217">
        <v>0</v>
      </c>
    </row>
    <row r="146" spans="1:88" x14ac:dyDescent="0.25">
      <c r="A146" s="217" t="s">
        <v>22</v>
      </c>
      <c r="B146" s="217" t="s">
        <v>23</v>
      </c>
      <c r="C146" s="217" t="s">
        <v>85</v>
      </c>
      <c r="D146" s="217" t="s">
        <v>84</v>
      </c>
      <c r="E146" s="217" t="s">
        <v>92</v>
      </c>
      <c r="F146" s="217" t="s">
        <v>91</v>
      </c>
      <c r="G146" s="217" t="s">
        <v>276</v>
      </c>
      <c r="H146" s="217" t="s">
        <v>945</v>
      </c>
      <c r="I146" s="217" t="s">
        <v>29</v>
      </c>
      <c r="J146" s="217" t="s">
        <v>1857</v>
      </c>
      <c r="K146" s="217">
        <v>10</v>
      </c>
      <c r="L146" s="217">
        <v>70</v>
      </c>
      <c r="M146" s="217" t="s">
        <v>31</v>
      </c>
      <c r="N146" s="217" t="s">
        <v>32</v>
      </c>
      <c r="O146" s="217" t="s">
        <v>100</v>
      </c>
      <c r="P146" s="217" t="s">
        <v>34</v>
      </c>
      <c r="Q146" s="217" t="s">
        <v>35</v>
      </c>
      <c r="R146" s="217" t="s">
        <v>23</v>
      </c>
      <c r="S146" s="217" t="s">
        <v>22</v>
      </c>
      <c r="T146" s="217" t="s">
        <v>84</v>
      </c>
      <c r="U146" s="217" t="s">
        <v>85</v>
      </c>
      <c r="V146" s="217" t="s">
        <v>91</v>
      </c>
      <c r="W146" s="217" t="s">
        <v>92</v>
      </c>
      <c r="BC146" s="217" t="s">
        <v>85</v>
      </c>
      <c r="BD146" s="217" t="s">
        <v>173</v>
      </c>
      <c r="BE146" s="217" t="s">
        <v>991</v>
      </c>
      <c r="BF146" s="217" t="s">
        <v>308</v>
      </c>
      <c r="BG146" s="217" t="s">
        <v>1998</v>
      </c>
      <c r="BH146" s="217" t="s">
        <v>1658</v>
      </c>
      <c r="BI146" s="217" t="s">
        <v>1660</v>
      </c>
      <c r="BJ146" s="217" t="s">
        <v>1660</v>
      </c>
      <c r="BK146" s="217" t="s">
        <v>637</v>
      </c>
      <c r="BL146" s="217"/>
      <c r="BM146" s="217"/>
      <c r="BN146" s="217">
        <v>0</v>
      </c>
      <c r="BO146" s="217">
        <v>0</v>
      </c>
      <c r="BR146" s="217" t="s">
        <v>85</v>
      </c>
      <c r="BS146" s="217" t="s">
        <v>151</v>
      </c>
      <c r="BT146" s="217" t="s">
        <v>789</v>
      </c>
      <c r="BU146" s="217" t="s">
        <v>1103</v>
      </c>
      <c r="BV146" s="217">
        <v>84</v>
      </c>
      <c r="BW146" s="217">
        <v>432</v>
      </c>
      <c r="BX146" s="217">
        <v>50</v>
      </c>
      <c r="BY146" s="217">
        <v>152</v>
      </c>
      <c r="BZ146" s="217">
        <v>0</v>
      </c>
      <c r="CA146" s="217">
        <v>0</v>
      </c>
      <c r="CB146" s="217">
        <v>84</v>
      </c>
      <c r="CC146" s="217">
        <v>432</v>
      </c>
      <c r="CD146" s="217">
        <v>50</v>
      </c>
      <c r="CE146" s="217">
        <v>152</v>
      </c>
      <c r="CF146" s="217">
        <v>0</v>
      </c>
      <c r="CG146" s="217">
        <v>0</v>
      </c>
      <c r="CH146" s="217">
        <v>0</v>
      </c>
      <c r="CI146" s="217">
        <v>0</v>
      </c>
      <c r="CJ146" s="217">
        <v>0</v>
      </c>
    </row>
    <row r="147" spans="1:88" x14ac:dyDescent="0.25">
      <c r="A147" s="217" t="s">
        <v>22</v>
      </c>
      <c r="B147" s="217" t="s">
        <v>23</v>
      </c>
      <c r="C147" s="217" t="s">
        <v>85</v>
      </c>
      <c r="D147" s="217" t="s">
        <v>84</v>
      </c>
      <c r="E147" s="217" t="s">
        <v>92</v>
      </c>
      <c r="F147" s="217" t="s">
        <v>91</v>
      </c>
      <c r="G147" s="217" t="s">
        <v>280</v>
      </c>
      <c r="H147" s="217" t="s">
        <v>948</v>
      </c>
      <c r="I147" s="217" t="s">
        <v>29</v>
      </c>
      <c r="J147" s="217" t="s">
        <v>1856</v>
      </c>
      <c r="K147" s="217">
        <v>732</v>
      </c>
      <c r="L147" s="217">
        <v>3848</v>
      </c>
      <c r="M147" s="217" t="s">
        <v>31</v>
      </c>
      <c r="N147" s="217" t="s">
        <v>32</v>
      </c>
      <c r="O147" s="217" t="s">
        <v>100</v>
      </c>
      <c r="P147" s="217" t="s">
        <v>34</v>
      </c>
      <c r="Q147" s="217" t="s">
        <v>35</v>
      </c>
      <c r="R147" s="217" t="s">
        <v>23</v>
      </c>
      <c r="S147" s="217" t="s">
        <v>22</v>
      </c>
      <c r="T147" s="217" t="s">
        <v>84</v>
      </c>
      <c r="U147" s="217" t="s">
        <v>85</v>
      </c>
      <c r="V147" s="217" t="s">
        <v>91</v>
      </c>
      <c r="W147" s="217" t="s">
        <v>92</v>
      </c>
      <c r="BC147" s="217" t="s">
        <v>85</v>
      </c>
      <c r="BD147" s="217" t="s">
        <v>173</v>
      </c>
      <c r="BE147" s="217" t="s">
        <v>992</v>
      </c>
      <c r="BF147" s="217" t="s">
        <v>309</v>
      </c>
      <c r="BG147" s="217" t="s">
        <v>1998</v>
      </c>
      <c r="BH147" s="217" t="s">
        <v>1658</v>
      </c>
      <c r="BI147" s="217" t="s">
        <v>1660</v>
      </c>
      <c r="BJ147" s="217" t="s">
        <v>1660</v>
      </c>
      <c r="BK147" s="217" t="s">
        <v>637</v>
      </c>
      <c r="BL147" s="217"/>
      <c r="BM147" s="217"/>
      <c r="BN147" s="217">
        <v>0</v>
      </c>
      <c r="BO147" s="217">
        <v>0</v>
      </c>
      <c r="BR147" s="217" t="s">
        <v>85</v>
      </c>
      <c r="BS147" s="217" t="s">
        <v>151</v>
      </c>
      <c r="BT147" s="217" t="s">
        <v>152</v>
      </c>
      <c r="BU147" s="217" t="s">
        <v>1084</v>
      </c>
      <c r="BV147" s="217">
        <v>137</v>
      </c>
      <c r="BW147" s="217">
        <v>814</v>
      </c>
      <c r="BX147" s="217">
        <v>0</v>
      </c>
      <c r="BY147" s="217">
        <v>0</v>
      </c>
      <c r="BZ147" s="217">
        <v>14</v>
      </c>
      <c r="CA147" s="217">
        <v>70</v>
      </c>
      <c r="CB147" s="217">
        <v>123</v>
      </c>
      <c r="CC147" s="217">
        <v>744</v>
      </c>
      <c r="CD147" s="217">
        <v>0</v>
      </c>
      <c r="CE147" s="217">
        <v>0</v>
      </c>
      <c r="CF147" s="217">
        <v>14</v>
      </c>
      <c r="CG147" s="217">
        <v>70</v>
      </c>
      <c r="CH147" s="217">
        <v>70</v>
      </c>
      <c r="CI147" s="217">
        <v>0</v>
      </c>
      <c r="CJ147" s="217">
        <v>0</v>
      </c>
    </row>
    <row r="148" spans="1:88" x14ac:dyDescent="0.25">
      <c r="A148" s="217" t="s">
        <v>22</v>
      </c>
      <c r="B148" s="217" t="s">
        <v>23</v>
      </c>
      <c r="C148" s="217" t="s">
        <v>85</v>
      </c>
      <c r="D148" s="217" t="s">
        <v>84</v>
      </c>
      <c r="E148" s="217" t="s">
        <v>92</v>
      </c>
      <c r="F148" s="217" t="s">
        <v>91</v>
      </c>
      <c r="G148" s="217" t="s">
        <v>280</v>
      </c>
      <c r="H148" s="217" t="s">
        <v>948</v>
      </c>
      <c r="I148" s="217" t="s">
        <v>29</v>
      </c>
      <c r="J148" s="217" t="s">
        <v>1857</v>
      </c>
      <c r="K148" s="217">
        <v>1524</v>
      </c>
      <c r="L148" s="217">
        <v>8255</v>
      </c>
      <c r="M148" s="217" t="s">
        <v>31</v>
      </c>
      <c r="N148" s="217" t="s">
        <v>32</v>
      </c>
      <c r="O148" s="217" t="s">
        <v>100</v>
      </c>
      <c r="P148" s="217" t="s">
        <v>34</v>
      </c>
      <c r="Q148" s="217" t="s">
        <v>35</v>
      </c>
      <c r="R148" s="217" t="s">
        <v>23</v>
      </c>
      <c r="S148" s="217" t="s">
        <v>22</v>
      </c>
      <c r="T148" s="217" t="s">
        <v>84</v>
      </c>
      <c r="U148" s="217" t="s">
        <v>85</v>
      </c>
      <c r="V148" s="217" t="s">
        <v>91</v>
      </c>
      <c r="W148" s="217" t="s">
        <v>92</v>
      </c>
      <c r="BC148" s="217" t="s">
        <v>85</v>
      </c>
      <c r="BD148" s="217" t="s">
        <v>173</v>
      </c>
      <c r="BE148" s="217" t="s">
        <v>993</v>
      </c>
      <c r="BF148" s="217" t="s">
        <v>310</v>
      </c>
      <c r="BG148" s="217" t="s">
        <v>1998</v>
      </c>
      <c r="BH148" s="217" t="s">
        <v>1658</v>
      </c>
      <c r="BI148" s="217" t="s">
        <v>1660</v>
      </c>
      <c r="BJ148" s="217" t="s">
        <v>1660</v>
      </c>
      <c r="BK148" s="217" t="s">
        <v>637</v>
      </c>
      <c r="BL148" s="217"/>
      <c r="BM148" s="217"/>
      <c r="BN148" s="217">
        <v>0</v>
      </c>
      <c r="BO148" s="217">
        <v>0</v>
      </c>
      <c r="BR148" s="217" t="s">
        <v>85</v>
      </c>
      <c r="BS148" s="217" t="s">
        <v>151</v>
      </c>
      <c r="BT148" s="217" t="s">
        <v>1054</v>
      </c>
      <c r="BU148" s="217" t="s">
        <v>1055</v>
      </c>
      <c r="BV148" s="217">
        <v>34</v>
      </c>
      <c r="BW148" s="217">
        <v>98</v>
      </c>
      <c r="BX148" s="217">
        <v>0</v>
      </c>
      <c r="BY148" s="217">
        <v>0</v>
      </c>
      <c r="BZ148" s="217">
        <v>0</v>
      </c>
      <c r="CA148" s="217">
        <v>0</v>
      </c>
      <c r="CB148" s="217">
        <v>34</v>
      </c>
      <c r="CC148" s="217">
        <v>98</v>
      </c>
      <c r="CD148" s="217">
        <v>0</v>
      </c>
      <c r="CE148" s="217">
        <v>0</v>
      </c>
      <c r="CF148" s="217">
        <v>0</v>
      </c>
      <c r="CG148" s="217">
        <v>0</v>
      </c>
      <c r="CH148" s="217">
        <v>0</v>
      </c>
      <c r="CI148" s="217">
        <v>0</v>
      </c>
      <c r="CJ148" s="217">
        <v>0</v>
      </c>
    </row>
    <row r="149" spans="1:88" x14ac:dyDescent="0.25">
      <c r="A149" s="217" t="s">
        <v>22</v>
      </c>
      <c r="B149" s="217" t="s">
        <v>23</v>
      </c>
      <c r="C149" s="217" t="s">
        <v>85</v>
      </c>
      <c r="D149" s="217" t="s">
        <v>84</v>
      </c>
      <c r="E149" s="217" t="s">
        <v>92</v>
      </c>
      <c r="F149" s="217" t="s">
        <v>91</v>
      </c>
      <c r="G149" s="217" t="s">
        <v>280</v>
      </c>
      <c r="H149" s="217" t="s">
        <v>948</v>
      </c>
      <c r="I149" s="217" t="s">
        <v>29</v>
      </c>
      <c r="J149" s="217" t="s">
        <v>1858</v>
      </c>
      <c r="K149" s="217">
        <v>85</v>
      </c>
      <c r="L149" s="217">
        <v>759</v>
      </c>
      <c r="M149" s="217" t="s">
        <v>31</v>
      </c>
      <c r="N149" s="217" t="s">
        <v>32</v>
      </c>
      <c r="O149" s="217" t="s">
        <v>100</v>
      </c>
      <c r="P149" s="217" t="s">
        <v>34</v>
      </c>
      <c r="Q149" s="217" t="s">
        <v>35</v>
      </c>
      <c r="R149" s="217" t="s">
        <v>23</v>
      </c>
      <c r="S149" s="217" t="s">
        <v>22</v>
      </c>
      <c r="T149" s="217" t="s">
        <v>84</v>
      </c>
      <c r="U149" s="217" t="s">
        <v>85</v>
      </c>
      <c r="V149" s="217" t="s">
        <v>91</v>
      </c>
      <c r="W149" s="217" t="s">
        <v>92</v>
      </c>
      <c r="BC149" s="217" t="s">
        <v>85</v>
      </c>
      <c r="BD149" s="217" t="s">
        <v>173</v>
      </c>
      <c r="BE149" s="217" t="s">
        <v>994</v>
      </c>
      <c r="BF149" s="217" t="s">
        <v>311</v>
      </c>
      <c r="BG149" s="217" t="s">
        <v>1998</v>
      </c>
      <c r="BH149" s="217" t="s">
        <v>1658</v>
      </c>
      <c r="BI149" s="217" t="s">
        <v>1660</v>
      </c>
      <c r="BJ149" s="217" t="s">
        <v>1660</v>
      </c>
      <c r="BK149" s="217" t="s">
        <v>637</v>
      </c>
      <c r="BL149" s="217"/>
      <c r="BM149" s="217"/>
      <c r="BN149" s="217">
        <v>0</v>
      </c>
      <c r="BO149" s="217">
        <v>0</v>
      </c>
      <c r="BR149" s="217" t="s">
        <v>85</v>
      </c>
      <c r="BS149" s="217" t="s">
        <v>151</v>
      </c>
      <c r="BT149" s="217" t="s">
        <v>697</v>
      </c>
      <c r="BU149" s="217" t="s">
        <v>1083</v>
      </c>
      <c r="BV149" s="217">
        <v>35</v>
      </c>
      <c r="BW149" s="217">
        <v>350</v>
      </c>
      <c r="BX149" s="217">
        <v>0</v>
      </c>
      <c r="BY149" s="217">
        <v>0</v>
      </c>
      <c r="BZ149" s="217">
        <v>0</v>
      </c>
      <c r="CA149" s="217">
        <v>0</v>
      </c>
      <c r="CB149" s="217">
        <v>35</v>
      </c>
      <c r="CC149" s="217">
        <v>350</v>
      </c>
      <c r="CD149" s="217">
        <v>9</v>
      </c>
      <c r="CE149" s="217">
        <v>70</v>
      </c>
      <c r="CF149" s="217">
        <v>0</v>
      </c>
      <c r="CG149" s="217">
        <v>0</v>
      </c>
      <c r="CH149" s="217">
        <v>0</v>
      </c>
      <c r="CI149" s="217">
        <v>-70</v>
      </c>
      <c r="CJ149" s="217">
        <v>0</v>
      </c>
    </row>
    <row r="150" spans="1:88" x14ac:dyDescent="0.25">
      <c r="A150" s="217" t="s">
        <v>22</v>
      </c>
      <c r="B150" s="217" t="s">
        <v>23</v>
      </c>
      <c r="C150" s="217" t="s">
        <v>85</v>
      </c>
      <c r="D150" s="217" t="s">
        <v>84</v>
      </c>
      <c r="E150" s="217" t="s">
        <v>92</v>
      </c>
      <c r="F150" s="217" t="s">
        <v>91</v>
      </c>
      <c r="G150" s="217" t="s">
        <v>1816</v>
      </c>
      <c r="H150" s="217" t="s">
        <v>1815</v>
      </c>
      <c r="I150" s="217" t="s">
        <v>29</v>
      </c>
      <c r="J150" s="217" t="s">
        <v>1858</v>
      </c>
      <c r="K150" s="217">
        <v>45</v>
      </c>
      <c r="L150" s="217">
        <v>200</v>
      </c>
      <c r="M150" s="217" t="s">
        <v>31</v>
      </c>
      <c r="N150" s="217" t="s">
        <v>32</v>
      </c>
      <c r="O150" s="217" t="s">
        <v>100</v>
      </c>
      <c r="P150" s="217" t="s">
        <v>34</v>
      </c>
      <c r="Q150" s="217" t="s">
        <v>35</v>
      </c>
      <c r="R150" s="217" t="s">
        <v>23</v>
      </c>
      <c r="S150" s="217" t="s">
        <v>22</v>
      </c>
      <c r="T150" s="217" t="s">
        <v>84</v>
      </c>
      <c r="U150" s="217" t="s">
        <v>85</v>
      </c>
      <c r="V150" s="217" t="s">
        <v>91</v>
      </c>
      <c r="W150" s="217" t="s">
        <v>92</v>
      </c>
      <c r="BC150" s="217" t="s">
        <v>85</v>
      </c>
      <c r="BD150" s="217" t="s">
        <v>173</v>
      </c>
      <c r="BE150" s="217" t="s">
        <v>995</v>
      </c>
      <c r="BF150" s="217" t="s">
        <v>312</v>
      </c>
      <c r="BG150" s="217" t="s">
        <v>1998</v>
      </c>
      <c r="BH150" s="217" t="s">
        <v>1658</v>
      </c>
      <c r="BI150" s="217" t="s">
        <v>1660</v>
      </c>
      <c r="BJ150" s="217" t="s">
        <v>1660</v>
      </c>
      <c r="BK150" s="217" t="s">
        <v>637</v>
      </c>
      <c r="BL150" s="217"/>
      <c r="BM150" s="217"/>
      <c r="BN150" s="217">
        <v>0</v>
      </c>
      <c r="BO150" s="217">
        <v>0</v>
      </c>
      <c r="BR150" s="217" t="s">
        <v>85</v>
      </c>
      <c r="BS150" s="217" t="s">
        <v>151</v>
      </c>
      <c r="BT150" s="217" t="s">
        <v>366</v>
      </c>
      <c r="BU150" s="217" t="s">
        <v>1062</v>
      </c>
      <c r="BV150" s="217">
        <v>96</v>
      </c>
      <c r="BW150" s="217">
        <v>759</v>
      </c>
      <c r="BX150" s="217">
        <v>0</v>
      </c>
      <c r="BY150" s="217">
        <v>0</v>
      </c>
      <c r="BZ150" s="217">
        <v>0</v>
      </c>
      <c r="CA150" s="217">
        <v>0</v>
      </c>
      <c r="CB150" s="217">
        <v>96</v>
      </c>
      <c r="CC150" s="217">
        <v>759</v>
      </c>
      <c r="CD150" s="217">
        <v>0</v>
      </c>
      <c r="CE150" s="217">
        <v>0</v>
      </c>
      <c r="CF150" s="217">
        <v>0</v>
      </c>
      <c r="CG150" s="217">
        <v>0</v>
      </c>
      <c r="CH150" s="217">
        <v>0</v>
      </c>
      <c r="CI150" s="217">
        <v>0</v>
      </c>
      <c r="CJ150" s="217">
        <v>0</v>
      </c>
    </row>
    <row r="151" spans="1:88" x14ac:dyDescent="0.25">
      <c r="A151" s="217" t="s">
        <v>22</v>
      </c>
      <c r="B151" s="217" t="s">
        <v>23</v>
      </c>
      <c r="C151" s="217" t="s">
        <v>85</v>
      </c>
      <c r="D151" s="217" t="s">
        <v>84</v>
      </c>
      <c r="E151" s="217" t="s">
        <v>92</v>
      </c>
      <c r="F151" s="217" t="s">
        <v>91</v>
      </c>
      <c r="G151" s="217" t="s">
        <v>768</v>
      </c>
      <c r="H151" s="217" t="s">
        <v>949</v>
      </c>
      <c r="I151" s="217" t="s">
        <v>29</v>
      </c>
      <c r="J151" s="217" t="s">
        <v>1856</v>
      </c>
      <c r="K151" s="217">
        <v>47</v>
      </c>
      <c r="L151" s="217">
        <v>205</v>
      </c>
      <c r="M151" s="217" t="s">
        <v>31</v>
      </c>
      <c r="N151" s="217" t="s">
        <v>32</v>
      </c>
      <c r="O151" s="217" t="s">
        <v>100</v>
      </c>
      <c r="P151" s="217" t="s">
        <v>34</v>
      </c>
      <c r="Q151" s="217" t="s">
        <v>35</v>
      </c>
      <c r="R151" s="217" t="s">
        <v>23</v>
      </c>
      <c r="S151" s="217" t="s">
        <v>22</v>
      </c>
      <c r="T151" s="217" t="s">
        <v>84</v>
      </c>
      <c r="U151" s="217" t="s">
        <v>85</v>
      </c>
      <c r="V151" s="217" t="s">
        <v>91</v>
      </c>
      <c r="W151" s="217" t="s">
        <v>92</v>
      </c>
      <c r="BC151" s="217" t="s">
        <v>85</v>
      </c>
      <c r="BD151" s="217" t="s">
        <v>173</v>
      </c>
      <c r="BE151" s="217" t="s">
        <v>996</v>
      </c>
      <c r="BF151" s="217" t="s">
        <v>313</v>
      </c>
      <c r="BG151" s="217" t="s">
        <v>1998</v>
      </c>
      <c r="BH151" s="217" t="s">
        <v>1658</v>
      </c>
      <c r="BI151" s="217" t="s">
        <v>1660</v>
      </c>
      <c r="BJ151" s="217" t="s">
        <v>1660</v>
      </c>
      <c r="BK151" s="217" t="s">
        <v>637</v>
      </c>
      <c r="BL151" s="217"/>
      <c r="BM151" s="217"/>
      <c r="BN151" s="217">
        <v>0</v>
      </c>
      <c r="BO151" s="217">
        <v>0</v>
      </c>
      <c r="BR151" s="217" t="s">
        <v>85</v>
      </c>
      <c r="BS151" s="217" t="s">
        <v>151</v>
      </c>
      <c r="BT151" s="217" t="s">
        <v>1065</v>
      </c>
      <c r="BU151" s="217" t="s">
        <v>1066</v>
      </c>
      <c r="BV151" s="217">
        <v>22</v>
      </c>
      <c r="BW151" s="217">
        <v>100</v>
      </c>
      <c r="BX151" s="217">
        <v>0</v>
      </c>
      <c r="BY151" s="217">
        <v>0</v>
      </c>
      <c r="BZ151" s="217">
        <v>0</v>
      </c>
      <c r="CA151" s="217">
        <v>0</v>
      </c>
      <c r="CB151" s="217">
        <v>22</v>
      </c>
      <c r="CC151" s="217">
        <v>100</v>
      </c>
      <c r="CD151" s="217">
        <v>0</v>
      </c>
      <c r="CE151" s="217">
        <v>0</v>
      </c>
      <c r="CF151" s="217">
        <v>0</v>
      </c>
      <c r="CG151" s="217">
        <v>0</v>
      </c>
      <c r="CH151" s="217">
        <v>0</v>
      </c>
      <c r="CI151" s="217">
        <v>0</v>
      </c>
      <c r="CJ151" s="217">
        <v>0</v>
      </c>
    </row>
    <row r="152" spans="1:88" x14ac:dyDescent="0.25">
      <c r="A152" s="217" t="s">
        <v>22</v>
      </c>
      <c r="B152" s="217" t="s">
        <v>23</v>
      </c>
      <c r="C152" s="217" t="s">
        <v>85</v>
      </c>
      <c r="D152" s="217" t="s">
        <v>84</v>
      </c>
      <c r="E152" s="217" t="s">
        <v>92</v>
      </c>
      <c r="F152" s="217" t="s">
        <v>91</v>
      </c>
      <c r="G152" s="217" t="s">
        <v>950</v>
      </c>
      <c r="H152" s="217" t="s">
        <v>951</v>
      </c>
      <c r="I152" s="217" t="s">
        <v>29</v>
      </c>
      <c r="J152" s="217" t="s">
        <v>1857</v>
      </c>
      <c r="K152" s="217">
        <v>10</v>
      </c>
      <c r="L152" s="217">
        <v>97</v>
      </c>
      <c r="M152" s="217" t="s">
        <v>31</v>
      </c>
      <c r="N152" s="217" t="s">
        <v>32</v>
      </c>
      <c r="O152" s="217" t="s">
        <v>100</v>
      </c>
      <c r="P152" s="217" t="s">
        <v>34</v>
      </c>
      <c r="Q152" s="217" t="s">
        <v>35</v>
      </c>
      <c r="R152" s="217" t="s">
        <v>23</v>
      </c>
      <c r="S152" s="217" t="s">
        <v>22</v>
      </c>
      <c r="T152" s="217" t="s">
        <v>84</v>
      </c>
      <c r="U152" s="217" t="s">
        <v>85</v>
      </c>
      <c r="V152" s="217" t="s">
        <v>91</v>
      </c>
      <c r="W152" s="217" t="s">
        <v>92</v>
      </c>
      <c r="BC152" s="217" t="s">
        <v>85</v>
      </c>
      <c r="BD152" s="217" t="s">
        <v>173</v>
      </c>
      <c r="BE152" s="217" t="s">
        <v>997</v>
      </c>
      <c r="BF152" s="217" t="s">
        <v>314</v>
      </c>
      <c r="BG152" s="217" t="s">
        <v>1998</v>
      </c>
      <c r="BH152" s="217" t="s">
        <v>1658</v>
      </c>
      <c r="BI152" s="217" t="s">
        <v>1660</v>
      </c>
      <c r="BJ152" s="217" t="s">
        <v>1660</v>
      </c>
      <c r="BK152" s="217" t="s">
        <v>637</v>
      </c>
      <c r="BL152" s="217"/>
      <c r="BM152" s="217"/>
      <c r="BN152" s="217">
        <v>0</v>
      </c>
      <c r="BO152" s="217">
        <v>0</v>
      </c>
      <c r="BR152" s="217" t="s">
        <v>85</v>
      </c>
      <c r="BS152" s="217" t="s">
        <v>151</v>
      </c>
      <c r="BT152" s="217" t="s">
        <v>1076</v>
      </c>
      <c r="BU152" s="217" t="s">
        <v>1077</v>
      </c>
      <c r="BV152" s="217">
        <v>22</v>
      </c>
      <c r="BW152" s="217">
        <v>100</v>
      </c>
      <c r="BX152" s="217">
        <v>0</v>
      </c>
      <c r="BY152" s="217">
        <v>0</v>
      </c>
      <c r="BZ152" s="217">
        <v>0</v>
      </c>
      <c r="CA152" s="217">
        <v>0</v>
      </c>
      <c r="CB152" s="217">
        <v>22</v>
      </c>
      <c r="CC152" s="217">
        <v>100</v>
      </c>
      <c r="CD152" s="217">
        <v>0</v>
      </c>
      <c r="CE152" s="217">
        <v>0</v>
      </c>
      <c r="CF152" s="217">
        <v>0</v>
      </c>
      <c r="CG152" s="217">
        <v>0</v>
      </c>
      <c r="CH152" s="217">
        <v>0</v>
      </c>
      <c r="CI152" s="217">
        <v>0</v>
      </c>
      <c r="CJ152" s="217">
        <v>0</v>
      </c>
    </row>
    <row r="153" spans="1:88" x14ac:dyDescent="0.25">
      <c r="A153" s="217" t="s">
        <v>22</v>
      </c>
      <c r="B153" s="217" t="s">
        <v>23</v>
      </c>
      <c r="C153" s="217" t="s">
        <v>85</v>
      </c>
      <c r="D153" s="217" t="s">
        <v>84</v>
      </c>
      <c r="E153" s="217" t="s">
        <v>92</v>
      </c>
      <c r="F153" s="217" t="s">
        <v>91</v>
      </c>
      <c r="G153" s="217" t="s">
        <v>952</v>
      </c>
      <c r="H153" s="217" t="s">
        <v>953</v>
      </c>
      <c r="I153" s="217" t="s">
        <v>29</v>
      </c>
      <c r="J153" s="217" t="s">
        <v>1857</v>
      </c>
      <c r="K153" s="217">
        <v>15</v>
      </c>
      <c r="L153" s="217">
        <v>35</v>
      </c>
      <c r="M153" s="217" t="s">
        <v>31</v>
      </c>
      <c r="N153" s="217" t="s">
        <v>32</v>
      </c>
      <c r="O153" s="217" t="s">
        <v>100</v>
      </c>
      <c r="P153" s="217" t="s">
        <v>34</v>
      </c>
      <c r="Q153" s="217" t="s">
        <v>35</v>
      </c>
      <c r="R153" s="217" t="s">
        <v>23</v>
      </c>
      <c r="S153" s="217" t="s">
        <v>22</v>
      </c>
      <c r="T153" s="217" t="s">
        <v>84</v>
      </c>
      <c r="U153" s="217" t="s">
        <v>85</v>
      </c>
      <c r="V153" s="217" t="s">
        <v>91</v>
      </c>
      <c r="W153" s="217" t="s">
        <v>92</v>
      </c>
      <c r="BC153" s="217" t="s">
        <v>85</v>
      </c>
      <c r="BD153" s="217" t="s">
        <v>173</v>
      </c>
      <c r="BE153" s="217" t="s">
        <v>998</v>
      </c>
      <c r="BF153" s="217" t="s">
        <v>315</v>
      </c>
      <c r="BG153" s="217" t="s">
        <v>1998</v>
      </c>
      <c r="BH153" s="217" t="s">
        <v>1658</v>
      </c>
      <c r="BI153" s="217" t="s">
        <v>1660</v>
      </c>
      <c r="BJ153" s="217" t="s">
        <v>1660</v>
      </c>
      <c r="BK153" s="217" t="s">
        <v>637</v>
      </c>
      <c r="BL153" s="217"/>
      <c r="BM153" s="217"/>
      <c r="BN153" s="217">
        <v>0</v>
      </c>
      <c r="BO153" s="217">
        <v>0</v>
      </c>
      <c r="BR153" s="217" t="s">
        <v>85</v>
      </c>
      <c r="BS153" s="217" t="s">
        <v>151</v>
      </c>
      <c r="BT153" s="217" t="s">
        <v>1072</v>
      </c>
      <c r="BU153" s="217" t="s">
        <v>1073</v>
      </c>
      <c r="BV153" s="217">
        <v>17</v>
      </c>
      <c r="BW153" s="217">
        <v>130</v>
      </c>
      <c r="BX153" s="217">
        <v>0</v>
      </c>
      <c r="BY153" s="217">
        <v>0</v>
      </c>
      <c r="BZ153" s="217">
        <v>0</v>
      </c>
      <c r="CA153" s="217">
        <v>0</v>
      </c>
      <c r="CB153" s="217">
        <v>17</v>
      </c>
      <c r="CC153" s="217">
        <v>130</v>
      </c>
      <c r="CD153" s="217">
        <v>0</v>
      </c>
      <c r="CE153" s="217">
        <v>0</v>
      </c>
      <c r="CF153" s="217">
        <v>0</v>
      </c>
      <c r="CG153" s="217">
        <v>0</v>
      </c>
      <c r="CH153" s="217">
        <v>0</v>
      </c>
      <c r="CI153" s="217">
        <v>0</v>
      </c>
      <c r="CJ153" s="217">
        <v>0</v>
      </c>
    </row>
    <row r="154" spans="1:88" x14ac:dyDescent="0.25">
      <c r="A154" s="217" t="s">
        <v>22</v>
      </c>
      <c r="B154" s="217" t="s">
        <v>23</v>
      </c>
      <c r="C154" s="217" t="s">
        <v>85</v>
      </c>
      <c r="D154" s="217" t="s">
        <v>84</v>
      </c>
      <c r="E154" s="217" t="s">
        <v>92</v>
      </c>
      <c r="F154" s="217" t="s">
        <v>91</v>
      </c>
      <c r="G154" s="217" t="s">
        <v>1814</v>
      </c>
      <c r="H154" s="217" t="s">
        <v>1813</v>
      </c>
      <c r="I154" s="217" t="s">
        <v>29</v>
      </c>
      <c r="J154" s="217" t="s">
        <v>1858</v>
      </c>
      <c r="K154" s="217">
        <v>12</v>
      </c>
      <c r="L154" s="217">
        <v>90</v>
      </c>
      <c r="M154" s="217" t="s">
        <v>31</v>
      </c>
      <c r="N154" s="217" t="s">
        <v>32</v>
      </c>
      <c r="O154" s="217" t="s">
        <v>100</v>
      </c>
      <c r="P154" s="217" t="s">
        <v>34</v>
      </c>
      <c r="Q154" s="217" t="s">
        <v>35</v>
      </c>
      <c r="R154" s="217" t="s">
        <v>23</v>
      </c>
      <c r="S154" s="217" t="s">
        <v>22</v>
      </c>
      <c r="T154" s="217" t="s">
        <v>84</v>
      </c>
      <c r="U154" s="217" t="s">
        <v>85</v>
      </c>
      <c r="V154" s="217" t="s">
        <v>91</v>
      </c>
      <c r="W154" s="217" t="s">
        <v>92</v>
      </c>
      <c r="BC154" s="217" t="s">
        <v>85</v>
      </c>
      <c r="BD154" s="217" t="s">
        <v>173</v>
      </c>
      <c r="BE154" s="217" t="s">
        <v>999</v>
      </c>
      <c r="BF154" s="217" t="s">
        <v>316</v>
      </c>
      <c r="BG154" s="217" t="s">
        <v>1998</v>
      </c>
      <c r="BH154" s="217" t="s">
        <v>1658</v>
      </c>
      <c r="BI154" s="217" t="s">
        <v>1660</v>
      </c>
      <c r="BJ154" s="217" t="s">
        <v>1660</v>
      </c>
      <c r="BK154" s="217" t="s">
        <v>637</v>
      </c>
      <c r="BL154" s="217"/>
      <c r="BM154" s="217"/>
      <c r="BN154" s="217">
        <v>0</v>
      </c>
      <c r="BO154" s="217">
        <v>0</v>
      </c>
      <c r="BR154" s="217" t="s">
        <v>85</v>
      </c>
      <c r="BS154" s="217" t="s">
        <v>151</v>
      </c>
      <c r="BT154" s="217" t="s">
        <v>1089</v>
      </c>
      <c r="BU154" s="217" t="s">
        <v>1090</v>
      </c>
      <c r="BV154" s="217">
        <v>22</v>
      </c>
      <c r="BW154" s="217">
        <v>140</v>
      </c>
      <c r="BX154" s="217">
        <v>0</v>
      </c>
      <c r="BY154" s="217">
        <v>0</v>
      </c>
      <c r="BZ154" s="217">
        <v>0</v>
      </c>
      <c r="CA154" s="217">
        <v>0</v>
      </c>
      <c r="CB154" s="217">
        <v>22</v>
      </c>
      <c r="CC154" s="217">
        <v>140</v>
      </c>
      <c r="CD154" s="217">
        <v>0</v>
      </c>
      <c r="CE154" s="217">
        <v>0</v>
      </c>
      <c r="CF154" s="217">
        <v>0</v>
      </c>
      <c r="CG154" s="217">
        <v>0</v>
      </c>
      <c r="CH154" s="217">
        <v>0</v>
      </c>
      <c r="CI154" s="217">
        <v>0</v>
      </c>
      <c r="CJ154" s="217">
        <v>0</v>
      </c>
    </row>
    <row r="155" spans="1:88" x14ac:dyDescent="0.25">
      <c r="A155" s="217" t="s">
        <v>22</v>
      </c>
      <c r="B155" s="217" t="s">
        <v>23</v>
      </c>
      <c r="C155" s="217" t="s">
        <v>85</v>
      </c>
      <c r="D155" s="217" t="s">
        <v>84</v>
      </c>
      <c r="E155" s="217" t="s">
        <v>92</v>
      </c>
      <c r="F155" s="217" t="s">
        <v>91</v>
      </c>
      <c r="G155" s="217" t="s">
        <v>954</v>
      </c>
      <c r="H155" s="217" t="s">
        <v>955</v>
      </c>
      <c r="I155" s="217" t="s">
        <v>29</v>
      </c>
      <c r="J155" s="217" t="s">
        <v>1858</v>
      </c>
      <c r="K155" s="217">
        <v>55</v>
      </c>
      <c r="L155" s="217">
        <v>440</v>
      </c>
      <c r="M155" s="217" t="s">
        <v>31</v>
      </c>
      <c r="N155" s="217" t="s">
        <v>32</v>
      </c>
      <c r="O155" s="217" t="s">
        <v>100</v>
      </c>
      <c r="P155" s="217" t="s">
        <v>34</v>
      </c>
      <c r="Q155" s="217" t="s">
        <v>35</v>
      </c>
      <c r="R155" s="217" t="s">
        <v>23</v>
      </c>
      <c r="S155" s="217" t="s">
        <v>22</v>
      </c>
      <c r="T155" s="217" t="s">
        <v>84</v>
      </c>
      <c r="U155" s="217" t="s">
        <v>85</v>
      </c>
      <c r="V155" s="217" t="s">
        <v>91</v>
      </c>
      <c r="W155" s="217" t="s">
        <v>92</v>
      </c>
      <c r="BC155" s="217" t="s">
        <v>85</v>
      </c>
      <c r="BD155" s="217" t="s">
        <v>173</v>
      </c>
      <c r="BE155" s="217" t="s">
        <v>1000</v>
      </c>
      <c r="BF155" s="217" t="s">
        <v>773</v>
      </c>
      <c r="BG155" s="217" t="s">
        <v>1998</v>
      </c>
      <c r="BH155" s="217" t="s">
        <v>1658</v>
      </c>
      <c r="BI155" s="217" t="s">
        <v>1660</v>
      </c>
      <c r="BJ155" s="217" t="s">
        <v>1660</v>
      </c>
      <c r="BK155" s="217" t="s">
        <v>637</v>
      </c>
      <c r="BL155" s="217"/>
      <c r="BM155" s="217"/>
      <c r="BN155" s="217">
        <v>0</v>
      </c>
      <c r="BO155" s="217">
        <v>0</v>
      </c>
      <c r="BR155" s="217" t="s">
        <v>85</v>
      </c>
      <c r="BS155" s="217" t="s">
        <v>151</v>
      </c>
      <c r="BT155" s="217" t="s">
        <v>82</v>
      </c>
      <c r="BU155" s="217" t="s">
        <v>1502</v>
      </c>
      <c r="BV155" s="217">
        <v>0</v>
      </c>
      <c r="BW155" s="217">
        <v>0</v>
      </c>
      <c r="BX155" s="217">
        <v>17</v>
      </c>
      <c r="BY155" s="217">
        <v>100</v>
      </c>
      <c r="BZ155" s="217">
        <v>0</v>
      </c>
      <c r="CA155" s="217">
        <v>0</v>
      </c>
      <c r="CB155" s="217">
        <v>0</v>
      </c>
      <c r="CC155" s="217">
        <v>0</v>
      </c>
      <c r="CD155" s="217">
        <v>17</v>
      </c>
      <c r="CE155" s="217">
        <v>100</v>
      </c>
      <c r="CF155" s="217">
        <v>0</v>
      </c>
      <c r="CG155" s="217">
        <v>0</v>
      </c>
      <c r="CH155" s="217">
        <v>0</v>
      </c>
      <c r="CI155" s="217">
        <v>0</v>
      </c>
      <c r="CJ155" s="217">
        <v>0</v>
      </c>
    </row>
    <row r="156" spans="1:88" x14ac:dyDescent="0.25">
      <c r="A156" s="217" t="s">
        <v>22</v>
      </c>
      <c r="B156" s="217" t="s">
        <v>23</v>
      </c>
      <c r="C156" s="217" t="s">
        <v>85</v>
      </c>
      <c r="D156" s="217" t="s">
        <v>84</v>
      </c>
      <c r="E156" s="217" t="s">
        <v>92</v>
      </c>
      <c r="F156" s="217" t="s">
        <v>91</v>
      </c>
      <c r="G156" s="217" t="s">
        <v>281</v>
      </c>
      <c r="H156" s="217" t="s">
        <v>956</v>
      </c>
      <c r="I156" s="217" t="s">
        <v>29</v>
      </c>
      <c r="J156" s="217" t="s">
        <v>1856</v>
      </c>
      <c r="K156" s="217">
        <v>10</v>
      </c>
      <c r="L156" s="217">
        <v>53</v>
      </c>
      <c r="M156" s="217" t="s">
        <v>31</v>
      </c>
      <c r="N156" s="217" t="s">
        <v>32</v>
      </c>
      <c r="O156" s="217" t="s">
        <v>100</v>
      </c>
      <c r="P156" s="217" t="s">
        <v>34</v>
      </c>
      <c r="Q156" s="217" t="s">
        <v>35</v>
      </c>
      <c r="R156" s="217" t="s">
        <v>23</v>
      </c>
      <c r="S156" s="217" t="s">
        <v>22</v>
      </c>
      <c r="T156" s="217" t="s">
        <v>84</v>
      </c>
      <c r="U156" s="217" t="s">
        <v>85</v>
      </c>
      <c r="V156" s="217" t="s">
        <v>91</v>
      </c>
      <c r="W156" s="217" t="s">
        <v>92</v>
      </c>
      <c r="BC156" s="217" t="s">
        <v>85</v>
      </c>
      <c r="BD156" s="217" t="s">
        <v>173</v>
      </c>
      <c r="BE156" s="217" t="s">
        <v>1001</v>
      </c>
      <c r="BF156" s="217" t="s">
        <v>317</v>
      </c>
      <c r="BG156" s="217" t="s">
        <v>1998</v>
      </c>
      <c r="BH156" s="217" t="s">
        <v>1658</v>
      </c>
      <c r="BI156" s="217" t="s">
        <v>1660</v>
      </c>
      <c r="BJ156" s="217" t="s">
        <v>1660</v>
      </c>
      <c r="BK156" s="217" t="s">
        <v>637</v>
      </c>
      <c r="BL156" s="217"/>
      <c r="BM156" s="217"/>
      <c r="BN156" s="217">
        <v>0</v>
      </c>
      <c r="BO156" s="217">
        <v>0</v>
      </c>
      <c r="BR156" s="217" t="s">
        <v>85</v>
      </c>
      <c r="BS156" s="217" t="s">
        <v>151</v>
      </c>
      <c r="BT156" s="217" t="s">
        <v>1096</v>
      </c>
      <c r="BU156" s="217" t="s">
        <v>1097</v>
      </c>
      <c r="BV156" s="217">
        <v>6</v>
      </c>
      <c r="BW156" s="217">
        <v>54</v>
      </c>
      <c r="BX156" s="217">
        <v>22</v>
      </c>
      <c r="BY156" s="217">
        <v>168</v>
      </c>
      <c r="BZ156" s="217">
        <v>0</v>
      </c>
      <c r="CA156" s="217">
        <v>0</v>
      </c>
      <c r="CB156" s="217">
        <v>6</v>
      </c>
      <c r="CC156" s="217">
        <v>54</v>
      </c>
      <c r="CD156" s="217">
        <v>22</v>
      </c>
      <c r="CE156" s="217">
        <v>168</v>
      </c>
      <c r="CF156" s="217">
        <v>0</v>
      </c>
      <c r="CG156" s="217">
        <v>0</v>
      </c>
      <c r="CH156" s="217">
        <v>0</v>
      </c>
      <c r="CI156" s="217">
        <v>0</v>
      </c>
      <c r="CJ156" s="217">
        <v>0</v>
      </c>
    </row>
    <row r="157" spans="1:88" x14ac:dyDescent="0.25">
      <c r="A157" s="217" t="s">
        <v>22</v>
      </c>
      <c r="B157" s="217" t="s">
        <v>23</v>
      </c>
      <c r="C157" s="217" t="s">
        <v>85</v>
      </c>
      <c r="D157" s="217" t="s">
        <v>84</v>
      </c>
      <c r="E157" s="217" t="s">
        <v>92</v>
      </c>
      <c r="F157" s="217" t="s">
        <v>91</v>
      </c>
      <c r="G157" s="217" t="s">
        <v>285</v>
      </c>
      <c r="H157" s="217" t="s">
        <v>959</v>
      </c>
      <c r="I157" s="217" t="s">
        <v>29</v>
      </c>
      <c r="J157" s="217" t="s">
        <v>1856</v>
      </c>
      <c r="K157" s="217">
        <v>21</v>
      </c>
      <c r="L157" s="217">
        <v>215</v>
      </c>
      <c r="M157" s="217" t="s">
        <v>31</v>
      </c>
      <c r="N157" s="217" t="s">
        <v>32</v>
      </c>
      <c r="O157" s="217" t="s">
        <v>100</v>
      </c>
      <c r="P157" s="217" t="s">
        <v>34</v>
      </c>
      <c r="Q157" s="217" t="s">
        <v>35</v>
      </c>
      <c r="R157" s="217" t="s">
        <v>23</v>
      </c>
      <c r="S157" s="217" t="s">
        <v>22</v>
      </c>
      <c r="T157" s="217" t="s">
        <v>84</v>
      </c>
      <c r="U157" s="217" t="s">
        <v>85</v>
      </c>
      <c r="V157" s="217" t="s">
        <v>91</v>
      </c>
      <c r="W157" s="217" t="s">
        <v>92</v>
      </c>
      <c r="BC157" s="217" t="s">
        <v>85</v>
      </c>
      <c r="BD157" s="217" t="s">
        <v>173</v>
      </c>
      <c r="BE157" s="217" t="s">
        <v>1002</v>
      </c>
      <c r="BF157" s="217" t="s">
        <v>318</v>
      </c>
      <c r="BG157" s="217" t="s">
        <v>1998</v>
      </c>
      <c r="BH157" s="217" t="s">
        <v>1658</v>
      </c>
      <c r="BI157" s="217" t="s">
        <v>1660</v>
      </c>
      <c r="BJ157" s="217" t="s">
        <v>1660</v>
      </c>
      <c r="BK157" s="217" t="s">
        <v>637</v>
      </c>
      <c r="BL157" s="217"/>
      <c r="BM157" s="217"/>
      <c r="BN157" s="217">
        <v>0</v>
      </c>
      <c r="BO157" s="217">
        <v>0</v>
      </c>
      <c r="BR157" s="217" t="s">
        <v>85</v>
      </c>
      <c r="BS157" s="217" t="s">
        <v>151</v>
      </c>
      <c r="BT157" s="217" t="s">
        <v>784</v>
      </c>
      <c r="BU157" s="217" t="s">
        <v>1093</v>
      </c>
      <c r="BV157" s="217">
        <v>29</v>
      </c>
      <c r="BW157" s="217">
        <v>166</v>
      </c>
      <c r="BX157" s="217">
        <v>0</v>
      </c>
      <c r="BY157" s="217">
        <v>0</v>
      </c>
      <c r="BZ157" s="217">
        <v>0</v>
      </c>
      <c r="CA157" s="217">
        <v>0</v>
      </c>
      <c r="CB157" s="217">
        <v>29</v>
      </c>
      <c r="CC157" s="217">
        <v>166</v>
      </c>
      <c r="CD157" s="217">
        <v>0</v>
      </c>
      <c r="CE157" s="217">
        <v>0</v>
      </c>
      <c r="CF157" s="217">
        <v>0</v>
      </c>
      <c r="CG157" s="217">
        <v>0</v>
      </c>
      <c r="CH157" s="217">
        <v>0</v>
      </c>
      <c r="CI157" s="217">
        <v>0</v>
      </c>
      <c r="CJ157" s="217">
        <v>0</v>
      </c>
    </row>
    <row r="158" spans="1:88" x14ac:dyDescent="0.25">
      <c r="A158" s="217" t="s">
        <v>22</v>
      </c>
      <c r="B158" s="217" t="s">
        <v>23</v>
      </c>
      <c r="C158" s="217" t="s">
        <v>85</v>
      </c>
      <c r="D158" s="217" t="s">
        <v>84</v>
      </c>
      <c r="E158" s="217" t="s">
        <v>92</v>
      </c>
      <c r="F158" s="217" t="s">
        <v>91</v>
      </c>
      <c r="G158" s="217" t="s">
        <v>960</v>
      </c>
      <c r="H158" s="217" t="s">
        <v>961</v>
      </c>
      <c r="I158" s="217" t="s">
        <v>29</v>
      </c>
      <c r="J158" s="217" t="s">
        <v>1858</v>
      </c>
      <c r="K158" s="217">
        <v>18</v>
      </c>
      <c r="L158" s="217">
        <v>144</v>
      </c>
      <c r="M158" s="217" t="s">
        <v>31</v>
      </c>
      <c r="N158" s="217" t="s">
        <v>32</v>
      </c>
      <c r="O158" s="217" t="s">
        <v>100</v>
      </c>
      <c r="P158" s="217" t="s">
        <v>34</v>
      </c>
      <c r="Q158" s="217" t="s">
        <v>35</v>
      </c>
      <c r="R158" s="217" t="s">
        <v>23</v>
      </c>
      <c r="S158" s="217" t="s">
        <v>22</v>
      </c>
      <c r="T158" s="217" t="s">
        <v>84</v>
      </c>
      <c r="U158" s="217" t="s">
        <v>85</v>
      </c>
      <c r="V158" s="217" t="s">
        <v>91</v>
      </c>
      <c r="W158" s="217" t="s">
        <v>92</v>
      </c>
      <c r="BC158" s="217" t="s">
        <v>85</v>
      </c>
      <c r="BD158" s="217" t="s">
        <v>110</v>
      </c>
      <c r="BE158" s="217" t="s">
        <v>1003</v>
      </c>
      <c r="BF158" s="217" t="s">
        <v>319</v>
      </c>
      <c r="BG158" s="217" t="s">
        <v>1998</v>
      </c>
      <c r="BH158" s="217" t="s">
        <v>1658</v>
      </c>
      <c r="BI158" s="217" t="s">
        <v>1660</v>
      </c>
      <c r="BJ158" s="217" t="s">
        <v>1660</v>
      </c>
      <c r="BK158" s="217" t="s">
        <v>637</v>
      </c>
      <c r="BL158" s="217"/>
      <c r="BM158" s="217"/>
      <c r="BN158" s="217">
        <v>0</v>
      </c>
      <c r="BO158" s="217">
        <v>0</v>
      </c>
      <c r="BR158" s="217" t="s">
        <v>85</v>
      </c>
      <c r="BS158" s="217" t="s">
        <v>151</v>
      </c>
      <c r="BT158" s="217" t="s">
        <v>778</v>
      </c>
      <c r="BU158" s="217" t="s">
        <v>1067</v>
      </c>
      <c r="BV158" s="217">
        <v>19</v>
      </c>
      <c r="BW158" s="217">
        <v>100</v>
      </c>
      <c r="BX158" s="217">
        <v>3</v>
      </c>
      <c r="BY158" s="217">
        <v>23</v>
      </c>
      <c r="BZ158" s="217">
        <v>0</v>
      </c>
      <c r="CA158" s="217">
        <v>0</v>
      </c>
      <c r="CB158" s="217">
        <v>19</v>
      </c>
      <c r="CC158" s="217">
        <v>100</v>
      </c>
      <c r="CD158" s="217">
        <v>3</v>
      </c>
      <c r="CE158" s="217">
        <v>23</v>
      </c>
      <c r="CF158" s="217">
        <v>0</v>
      </c>
      <c r="CG158" s="217">
        <v>0</v>
      </c>
      <c r="CH158" s="217">
        <v>0</v>
      </c>
      <c r="CI158" s="217">
        <v>0</v>
      </c>
      <c r="CJ158" s="217">
        <v>0</v>
      </c>
    </row>
    <row r="159" spans="1:88" x14ac:dyDescent="0.25">
      <c r="A159" s="217" t="s">
        <v>22</v>
      </c>
      <c r="B159" s="217" t="s">
        <v>23</v>
      </c>
      <c r="C159" s="217" t="s">
        <v>85</v>
      </c>
      <c r="D159" s="217" t="s">
        <v>84</v>
      </c>
      <c r="E159" s="217" t="s">
        <v>92</v>
      </c>
      <c r="F159" s="217" t="s">
        <v>91</v>
      </c>
      <c r="G159" s="217" t="s">
        <v>286</v>
      </c>
      <c r="H159" s="217" t="s">
        <v>962</v>
      </c>
      <c r="I159" s="217" t="s">
        <v>29</v>
      </c>
      <c r="J159" s="217" t="s">
        <v>1856</v>
      </c>
      <c r="K159" s="217">
        <v>74</v>
      </c>
      <c r="L159" s="217">
        <v>340</v>
      </c>
      <c r="M159" s="217" t="s">
        <v>31</v>
      </c>
      <c r="N159" s="217" t="s">
        <v>32</v>
      </c>
      <c r="O159" s="217" t="s">
        <v>100</v>
      </c>
      <c r="P159" s="217" t="s">
        <v>34</v>
      </c>
      <c r="Q159" s="217" t="s">
        <v>35</v>
      </c>
      <c r="R159" s="217" t="s">
        <v>23</v>
      </c>
      <c r="S159" s="217" t="s">
        <v>22</v>
      </c>
      <c r="T159" s="217" t="s">
        <v>84</v>
      </c>
      <c r="U159" s="217" t="s">
        <v>85</v>
      </c>
      <c r="V159" s="217" t="s">
        <v>91</v>
      </c>
      <c r="W159" s="217" t="s">
        <v>92</v>
      </c>
      <c r="BC159" s="217" t="s">
        <v>85</v>
      </c>
      <c r="BD159" s="217" t="s">
        <v>110</v>
      </c>
      <c r="BE159" s="217" t="s">
        <v>1004</v>
      </c>
      <c r="BF159" s="217" t="s">
        <v>320</v>
      </c>
      <c r="BG159" s="217" t="s">
        <v>1998</v>
      </c>
      <c r="BH159" s="217" t="s">
        <v>1658</v>
      </c>
      <c r="BI159" s="217" t="s">
        <v>1660</v>
      </c>
      <c r="BJ159" s="217" t="s">
        <v>1660</v>
      </c>
      <c r="BK159" s="217" t="s">
        <v>637</v>
      </c>
      <c r="BL159" s="217"/>
      <c r="BM159" s="217"/>
      <c r="BN159" s="217">
        <v>0</v>
      </c>
      <c r="BO159" s="217">
        <v>0</v>
      </c>
      <c r="BR159" s="217" t="s">
        <v>85</v>
      </c>
      <c r="BS159" s="217" t="s">
        <v>151</v>
      </c>
      <c r="BT159" s="217" t="s">
        <v>786</v>
      </c>
      <c r="BU159" s="217" t="s">
        <v>1095</v>
      </c>
      <c r="BV159" s="217">
        <v>7</v>
      </c>
      <c r="BW159" s="217">
        <v>49</v>
      </c>
      <c r="BX159" s="217">
        <v>44</v>
      </c>
      <c r="BY159" s="217">
        <v>204</v>
      </c>
      <c r="BZ159" s="217">
        <v>0</v>
      </c>
      <c r="CA159" s="217">
        <v>0</v>
      </c>
      <c r="CB159" s="217">
        <v>7</v>
      </c>
      <c r="CC159" s="217">
        <v>49</v>
      </c>
      <c r="CD159" s="217">
        <v>44</v>
      </c>
      <c r="CE159" s="217">
        <v>204</v>
      </c>
      <c r="CF159" s="217">
        <v>0</v>
      </c>
      <c r="CG159" s="217">
        <v>0</v>
      </c>
      <c r="CH159" s="217">
        <v>0</v>
      </c>
      <c r="CI159" s="217">
        <v>0</v>
      </c>
      <c r="CJ159" s="217">
        <v>0</v>
      </c>
    </row>
    <row r="160" spans="1:88" x14ac:dyDescent="0.25">
      <c r="A160" s="217" t="s">
        <v>22</v>
      </c>
      <c r="B160" s="217" t="s">
        <v>23</v>
      </c>
      <c r="C160" s="217" t="s">
        <v>85</v>
      </c>
      <c r="D160" s="217" t="s">
        <v>84</v>
      </c>
      <c r="E160" s="217" t="s">
        <v>92</v>
      </c>
      <c r="F160" s="217" t="s">
        <v>91</v>
      </c>
      <c r="G160" s="217" t="s">
        <v>287</v>
      </c>
      <c r="H160" s="217" t="s">
        <v>963</v>
      </c>
      <c r="I160" s="217" t="s">
        <v>29</v>
      </c>
      <c r="J160" s="217" t="s">
        <v>1856</v>
      </c>
      <c r="K160" s="217">
        <v>86</v>
      </c>
      <c r="L160" s="217">
        <v>421</v>
      </c>
      <c r="M160" s="217" t="s">
        <v>31</v>
      </c>
      <c r="N160" s="217" t="s">
        <v>32</v>
      </c>
      <c r="O160" s="217" t="s">
        <v>100</v>
      </c>
      <c r="P160" s="217" t="s">
        <v>34</v>
      </c>
      <c r="Q160" s="217" t="s">
        <v>35</v>
      </c>
      <c r="R160" s="217" t="s">
        <v>23</v>
      </c>
      <c r="S160" s="217" t="s">
        <v>22</v>
      </c>
      <c r="T160" s="217" t="s">
        <v>84</v>
      </c>
      <c r="U160" s="217" t="s">
        <v>85</v>
      </c>
      <c r="V160" s="217" t="s">
        <v>91</v>
      </c>
      <c r="W160" s="217" t="s">
        <v>92</v>
      </c>
      <c r="BC160" s="217" t="s">
        <v>85</v>
      </c>
      <c r="BD160" s="217" t="s">
        <v>110</v>
      </c>
      <c r="BE160" s="217" t="s">
        <v>1005</v>
      </c>
      <c r="BF160" s="217" t="s">
        <v>321</v>
      </c>
      <c r="BG160" s="217" t="s">
        <v>1998</v>
      </c>
      <c r="BH160" s="217" t="s">
        <v>1658</v>
      </c>
      <c r="BI160" s="217" t="s">
        <v>1660</v>
      </c>
      <c r="BJ160" s="217" t="s">
        <v>1660</v>
      </c>
      <c r="BK160" s="217" t="s">
        <v>637</v>
      </c>
      <c r="BL160" s="217"/>
      <c r="BM160" s="217"/>
      <c r="BN160" s="217">
        <v>0</v>
      </c>
      <c r="BO160" s="217">
        <v>0</v>
      </c>
      <c r="BR160" s="217" t="s">
        <v>85</v>
      </c>
      <c r="BS160" s="217" t="s">
        <v>151</v>
      </c>
      <c r="BT160" s="217" t="s">
        <v>790</v>
      </c>
      <c r="BU160" s="217" t="s">
        <v>1107</v>
      </c>
      <c r="BV160" s="217">
        <v>17</v>
      </c>
      <c r="BW160" s="217">
        <v>128</v>
      </c>
      <c r="BX160" s="217">
        <v>5</v>
      </c>
      <c r="BY160" s="217">
        <v>28</v>
      </c>
      <c r="BZ160" s="217">
        <v>0</v>
      </c>
      <c r="CA160" s="217">
        <v>0</v>
      </c>
      <c r="CB160" s="217">
        <v>17</v>
      </c>
      <c r="CC160" s="217">
        <v>128</v>
      </c>
      <c r="CD160" s="217">
        <v>5</v>
      </c>
      <c r="CE160" s="217">
        <v>28</v>
      </c>
      <c r="CF160" s="217">
        <v>0</v>
      </c>
      <c r="CG160" s="217">
        <v>0</v>
      </c>
      <c r="CH160" s="217">
        <v>0</v>
      </c>
      <c r="CI160" s="217">
        <v>0</v>
      </c>
      <c r="CJ160" s="217">
        <v>0</v>
      </c>
    </row>
    <row r="161" spans="1:88" x14ac:dyDescent="0.25">
      <c r="A161" s="217" t="s">
        <v>22</v>
      </c>
      <c r="B161" s="217" t="s">
        <v>23</v>
      </c>
      <c r="C161" s="217" t="s">
        <v>85</v>
      </c>
      <c r="D161" s="217" t="s">
        <v>84</v>
      </c>
      <c r="E161" s="217" t="s">
        <v>92</v>
      </c>
      <c r="F161" s="217" t="s">
        <v>91</v>
      </c>
      <c r="G161" s="217" t="s">
        <v>1812</v>
      </c>
      <c r="H161" s="217" t="s">
        <v>1811</v>
      </c>
      <c r="I161" s="217" t="s">
        <v>29</v>
      </c>
      <c r="J161" s="217" t="s">
        <v>1858</v>
      </c>
      <c r="K161" s="217">
        <v>7</v>
      </c>
      <c r="L161" s="217">
        <v>50</v>
      </c>
      <c r="M161" s="217" t="s">
        <v>31</v>
      </c>
      <c r="N161" s="217" t="s">
        <v>32</v>
      </c>
      <c r="O161" s="217" t="s">
        <v>100</v>
      </c>
      <c r="P161" s="217" t="s">
        <v>34</v>
      </c>
      <c r="Q161" s="217" t="s">
        <v>35</v>
      </c>
      <c r="R161" s="217" t="s">
        <v>23</v>
      </c>
      <c r="S161" s="217" t="s">
        <v>22</v>
      </c>
      <c r="T161" s="217" t="s">
        <v>84</v>
      </c>
      <c r="U161" s="217" t="s">
        <v>85</v>
      </c>
      <c r="V161" s="217" t="s">
        <v>91</v>
      </c>
      <c r="W161" s="217" t="s">
        <v>92</v>
      </c>
      <c r="BC161" s="217" t="s">
        <v>85</v>
      </c>
      <c r="BD161" s="217" t="s">
        <v>110</v>
      </c>
      <c r="BE161" s="217" t="s">
        <v>1006</v>
      </c>
      <c r="BF161" s="217" t="s">
        <v>322</v>
      </c>
      <c r="BG161" s="217" t="s">
        <v>2001</v>
      </c>
      <c r="BH161" s="217" t="s">
        <v>1658</v>
      </c>
      <c r="BI161" s="217" t="s">
        <v>1660</v>
      </c>
      <c r="BJ161" s="217" t="s">
        <v>1658</v>
      </c>
      <c r="BK161" s="217" t="s">
        <v>637</v>
      </c>
      <c r="BL161" s="217"/>
      <c r="BM161" s="217" t="s">
        <v>3722</v>
      </c>
      <c r="BN161" s="217">
        <v>6</v>
      </c>
      <c r="BO161" s="217">
        <v>2017</v>
      </c>
      <c r="BR161" s="217" t="s">
        <v>85</v>
      </c>
      <c r="BS161" s="217" t="s">
        <v>151</v>
      </c>
      <c r="BT161" s="217" t="s">
        <v>785</v>
      </c>
      <c r="BU161" s="217" t="s">
        <v>1094</v>
      </c>
      <c r="BV161" s="217">
        <v>6</v>
      </c>
      <c r="BW161" s="217">
        <v>56</v>
      </c>
      <c r="BX161" s="217">
        <v>0</v>
      </c>
      <c r="BY161" s="217">
        <v>0</v>
      </c>
      <c r="BZ161" s="217">
        <v>0</v>
      </c>
      <c r="CA161" s="217">
        <v>0</v>
      </c>
      <c r="CB161" s="217">
        <v>6</v>
      </c>
      <c r="CC161" s="217">
        <v>56</v>
      </c>
      <c r="CD161" s="217">
        <v>0</v>
      </c>
      <c r="CE161" s="217">
        <v>0</v>
      </c>
      <c r="CF161" s="217">
        <v>0</v>
      </c>
      <c r="CG161" s="217">
        <v>0</v>
      </c>
      <c r="CH161" s="217">
        <v>0</v>
      </c>
      <c r="CI161" s="217">
        <v>0</v>
      </c>
      <c r="CJ161" s="217">
        <v>0</v>
      </c>
    </row>
    <row r="162" spans="1:88" x14ac:dyDescent="0.25">
      <c r="A162" s="217" t="s">
        <v>22</v>
      </c>
      <c r="B162" s="217" t="s">
        <v>23</v>
      </c>
      <c r="C162" s="217" t="s">
        <v>85</v>
      </c>
      <c r="D162" s="217" t="s">
        <v>84</v>
      </c>
      <c r="E162" s="217" t="s">
        <v>92</v>
      </c>
      <c r="F162" s="217" t="s">
        <v>91</v>
      </c>
      <c r="G162" s="217" t="s">
        <v>289</v>
      </c>
      <c r="H162" s="217" t="s">
        <v>965</v>
      </c>
      <c r="I162" s="217" t="s">
        <v>29</v>
      </c>
      <c r="J162" s="217" t="s">
        <v>1856</v>
      </c>
      <c r="K162" s="217">
        <v>57</v>
      </c>
      <c r="L162" s="217">
        <v>253</v>
      </c>
      <c r="M162" s="217" t="s">
        <v>31</v>
      </c>
      <c r="N162" s="217" t="s">
        <v>32</v>
      </c>
      <c r="O162" s="217" t="s">
        <v>100</v>
      </c>
      <c r="P162" s="217" t="s">
        <v>34</v>
      </c>
      <c r="Q162" s="217" t="s">
        <v>35</v>
      </c>
      <c r="R162" s="217" t="s">
        <v>23</v>
      </c>
      <c r="S162" s="217" t="s">
        <v>22</v>
      </c>
      <c r="T162" s="217" t="s">
        <v>84</v>
      </c>
      <c r="U162" s="217" t="s">
        <v>85</v>
      </c>
      <c r="V162" s="217" t="s">
        <v>91</v>
      </c>
      <c r="W162" s="217" t="s">
        <v>92</v>
      </c>
      <c r="BC162" s="217" t="s">
        <v>85</v>
      </c>
      <c r="BD162" s="217" t="s">
        <v>110</v>
      </c>
      <c r="BE162" s="217" t="s">
        <v>1559</v>
      </c>
      <c r="BF162" s="217" t="s">
        <v>146</v>
      </c>
      <c r="BG162" s="217" t="s">
        <v>2002</v>
      </c>
      <c r="BH162" s="217" t="s">
        <v>1660</v>
      </c>
      <c r="BI162" s="217" t="s">
        <v>1660</v>
      </c>
      <c r="BJ162" s="217" t="s">
        <v>1660</v>
      </c>
      <c r="BK162" s="217" t="s">
        <v>637</v>
      </c>
      <c r="BL162" s="217"/>
      <c r="BM162" s="217"/>
      <c r="BN162" s="217">
        <v>0</v>
      </c>
      <c r="BO162" s="217">
        <v>0</v>
      </c>
      <c r="BR162" s="217" t="s">
        <v>85</v>
      </c>
      <c r="BS162" s="217" t="s">
        <v>151</v>
      </c>
      <c r="BT162" s="217" t="s">
        <v>777</v>
      </c>
      <c r="BU162" s="217" t="s">
        <v>1664</v>
      </c>
      <c r="BV162" s="217">
        <v>32</v>
      </c>
      <c r="BW162" s="217">
        <v>128</v>
      </c>
      <c r="BX162" s="217">
        <v>0</v>
      </c>
      <c r="BY162" s="217">
        <v>0</v>
      </c>
      <c r="BZ162" s="217">
        <v>0</v>
      </c>
      <c r="CA162" s="217">
        <v>0</v>
      </c>
      <c r="CB162" s="217">
        <v>32</v>
      </c>
      <c r="CC162" s="217">
        <v>128</v>
      </c>
      <c r="CD162" s="217">
        <v>0</v>
      </c>
      <c r="CE162" s="217">
        <v>0</v>
      </c>
      <c r="CF162" s="217">
        <v>0</v>
      </c>
      <c r="CG162" s="217">
        <v>0</v>
      </c>
      <c r="CH162" s="217">
        <v>0</v>
      </c>
      <c r="CI162" s="217">
        <v>0</v>
      </c>
      <c r="CJ162" s="217">
        <v>0</v>
      </c>
    </row>
    <row r="163" spans="1:88" x14ac:dyDescent="0.25">
      <c r="A163" s="217" t="s">
        <v>22</v>
      </c>
      <c r="B163" s="217" t="s">
        <v>23</v>
      </c>
      <c r="C163" s="217" t="s">
        <v>85</v>
      </c>
      <c r="D163" s="217" t="s">
        <v>84</v>
      </c>
      <c r="E163" s="217" t="s">
        <v>92</v>
      </c>
      <c r="F163" s="217" t="s">
        <v>91</v>
      </c>
      <c r="G163" s="217" t="s">
        <v>966</v>
      </c>
      <c r="H163" s="217" t="s">
        <v>967</v>
      </c>
      <c r="I163" s="217" t="s">
        <v>29</v>
      </c>
      <c r="J163" s="217" t="s">
        <v>1858</v>
      </c>
      <c r="K163" s="217">
        <v>36</v>
      </c>
      <c r="L163" s="217">
        <v>150</v>
      </c>
      <c r="M163" s="217" t="s">
        <v>31</v>
      </c>
      <c r="N163" s="217" t="s">
        <v>32</v>
      </c>
      <c r="O163" s="217" t="s">
        <v>100</v>
      </c>
      <c r="P163" s="217" t="s">
        <v>34</v>
      </c>
      <c r="Q163" s="217" t="s">
        <v>35</v>
      </c>
      <c r="R163" s="217" t="s">
        <v>23</v>
      </c>
      <c r="S163" s="217" t="s">
        <v>22</v>
      </c>
      <c r="T163" s="217" t="s">
        <v>84</v>
      </c>
      <c r="U163" s="217" t="s">
        <v>85</v>
      </c>
      <c r="V163" s="217" t="s">
        <v>91</v>
      </c>
      <c r="W163" s="217" t="s">
        <v>92</v>
      </c>
      <c r="BC163" s="217" t="s">
        <v>85</v>
      </c>
      <c r="BD163" s="217" t="s">
        <v>110</v>
      </c>
      <c r="BE163" s="217" t="s">
        <v>1828</v>
      </c>
      <c r="BF163" s="217" t="s">
        <v>1829</v>
      </c>
      <c r="BG163" s="217" t="s">
        <v>1998</v>
      </c>
      <c r="BH163" s="217" t="s">
        <v>1658</v>
      </c>
      <c r="BI163" s="217" t="s">
        <v>1660</v>
      </c>
      <c r="BJ163" s="217" t="s">
        <v>1660</v>
      </c>
      <c r="BK163" s="217" t="s">
        <v>637</v>
      </c>
      <c r="BL163" s="217"/>
      <c r="BM163" s="217"/>
      <c r="BN163" s="217">
        <v>0</v>
      </c>
      <c r="BO163" s="217">
        <v>0</v>
      </c>
      <c r="BR163" s="217" t="s">
        <v>85</v>
      </c>
      <c r="BS163" s="217" t="s">
        <v>181</v>
      </c>
      <c r="BT163" s="217" t="s">
        <v>194</v>
      </c>
      <c r="BU163" s="217" t="s">
        <v>1322</v>
      </c>
      <c r="BV163" s="217">
        <v>72</v>
      </c>
      <c r="BW163" s="217">
        <v>389</v>
      </c>
      <c r="BX163" s="217">
        <v>0</v>
      </c>
      <c r="BY163" s="217">
        <v>0</v>
      </c>
      <c r="BZ163" s="217">
        <v>68</v>
      </c>
      <c r="CA163" s="217">
        <v>350</v>
      </c>
      <c r="CB163" s="217">
        <v>72</v>
      </c>
      <c r="CC163" s="217">
        <v>389</v>
      </c>
      <c r="CD163" s="217">
        <v>0</v>
      </c>
      <c r="CE163" s="217">
        <v>0</v>
      </c>
      <c r="CF163" s="217">
        <v>68</v>
      </c>
      <c r="CG163" s="217">
        <v>350</v>
      </c>
      <c r="CH163" s="217">
        <v>0</v>
      </c>
      <c r="CI163" s="217">
        <v>0</v>
      </c>
      <c r="CJ163" s="217">
        <v>0</v>
      </c>
    </row>
    <row r="164" spans="1:88" x14ac:dyDescent="0.25">
      <c r="A164" s="217" t="s">
        <v>22</v>
      </c>
      <c r="B164" s="217" t="s">
        <v>23</v>
      </c>
      <c r="C164" s="217" t="s">
        <v>85</v>
      </c>
      <c r="D164" s="217" t="s">
        <v>84</v>
      </c>
      <c r="E164" s="217" t="s">
        <v>92</v>
      </c>
      <c r="F164" s="217" t="s">
        <v>91</v>
      </c>
      <c r="G164" s="217" t="s">
        <v>290</v>
      </c>
      <c r="H164" s="217" t="s">
        <v>968</v>
      </c>
      <c r="I164" s="217" t="s">
        <v>29</v>
      </c>
      <c r="J164" s="217" t="s">
        <v>1858</v>
      </c>
      <c r="K164" s="217">
        <v>8</v>
      </c>
      <c r="L164" s="217">
        <v>37</v>
      </c>
      <c r="M164" s="217" t="s">
        <v>31</v>
      </c>
      <c r="N164" s="217" t="s">
        <v>32</v>
      </c>
      <c r="O164" s="217" t="s">
        <v>100</v>
      </c>
      <c r="P164" s="217" t="s">
        <v>34</v>
      </c>
      <c r="Q164" s="217" t="s">
        <v>35</v>
      </c>
      <c r="R164" s="217" t="s">
        <v>23</v>
      </c>
      <c r="S164" s="217" t="s">
        <v>22</v>
      </c>
      <c r="T164" s="217" t="s">
        <v>84</v>
      </c>
      <c r="U164" s="217" t="s">
        <v>85</v>
      </c>
      <c r="V164" s="217" t="s">
        <v>91</v>
      </c>
      <c r="W164" s="217" t="s">
        <v>92</v>
      </c>
      <c r="BC164" s="217" t="s">
        <v>85</v>
      </c>
      <c r="BD164" s="217" t="s">
        <v>110</v>
      </c>
      <c r="BE164" s="217" t="s">
        <v>1824</v>
      </c>
      <c r="BF164" s="217" t="s">
        <v>1825</v>
      </c>
      <c r="BG164" s="217" t="s">
        <v>1998</v>
      </c>
      <c r="BH164" s="217" t="s">
        <v>1658</v>
      </c>
      <c r="BI164" s="217" t="s">
        <v>1660</v>
      </c>
      <c r="BJ164" s="217" t="s">
        <v>1660</v>
      </c>
      <c r="BK164" s="217" t="s">
        <v>637</v>
      </c>
      <c r="BL164" s="217"/>
      <c r="BM164" s="217"/>
      <c r="BN164" s="217">
        <v>0</v>
      </c>
      <c r="BO164" s="217">
        <v>0</v>
      </c>
      <c r="BR164" s="217" t="s">
        <v>85</v>
      </c>
      <c r="BS164" s="217" t="s">
        <v>181</v>
      </c>
      <c r="BT164" s="217" t="s">
        <v>186</v>
      </c>
      <c r="BU164" s="217" t="s">
        <v>1315</v>
      </c>
      <c r="BV164" s="217">
        <v>41</v>
      </c>
      <c r="BW164" s="217">
        <v>208</v>
      </c>
      <c r="BX164" s="217">
        <v>0</v>
      </c>
      <c r="BY164" s="217">
        <v>0</v>
      </c>
      <c r="BZ164" s="217">
        <v>53</v>
      </c>
      <c r="CA164" s="217">
        <v>275</v>
      </c>
      <c r="CB164" s="217">
        <v>41</v>
      </c>
      <c r="CC164" s="217">
        <v>208</v>
      </c>
      <c r="CD164" s="217">
        <v>0</v>
      </c>
      <c r="CE164" s="217">
        <v>0</v>
      </c>
      <c r="CF164" s="217">
        <v>53</v>
      </c>
      <c r="CG164" s="217">
        <v>275</v>
      </c>
      <c r="CH164" s="217">
        <v>0</v>
      </c>
      <c r="CI164" s="217">
        <v>0</v>
      </c>
      <c r="CJ164" s="217">
        <v>0</v>
      </c>
    </row>
    <row r="165" spans="1:88" x14ac:dyDescent="0.25">
      <c r="A165" s="217" t="s">
        <v>22</v>
      </c>
      <c r="B165" s="217" t="s">
        <v>23</v>
      </c>
      <c r="C165" s="217" t="s">
        <v>85</v>
      </c>
      <c r="D165" s="217" t="s">
        <v>84</v>
      </c>
      <c r="E165" s="217" t="s">
        <v>92</v>
      </c>
      <c r="F165" s="217" t="s">
        <v>91</v>
      </c>
      <c r="G165" s="217" t="s">
        <v>1818</v>
      </c>
      <c r="H165" s="217" t="s">
        <v>1817</v>
      </c>
      <c r="I165" s="217" t="s">
        <v>29</v>
      </c>
      <c r="J165" s="217" t="s">
        <v>1858</v>
      </c>
      <c r="K165" s="217">
        <v>49</v>
      </c>
      <c r="L165" s="217">
        <v>225</v>
      </c>
      <c r="M165" s="217" t="s">
        <v>31</v>
      </c>
      <c r="N165" s="217" t="s">
        <v>32</v>
      </c>
      <c r="O165" s="217" t="s">
        <v>100</v>
      </c>
      <c r="P165" s="217" t="s">
        <v>34</v>
      </c>
      <c r="Q165" s="217" t="s">
        <v>35</v>
      </c>
      <c r="R165" s="217" t="s">
        <v>23</v>
      </c>
      <c r="S165" s="217" t="s">
        <v>22</v>
      </c>
      <c r="T165" s="217" t="s">
        <v>84</v>
      </c>
      <c r="U165" s="217" t="s">
        <v>85</v>
      </c>
      <c r="V165" s="217" t="s">
        <v>91</v>
      </c>
      <c r="W165" s="217" t="s">
        <v>92</v>
      </c>
      <c r="BC165" s="217" t="s">
        <v>85</v>
      </c>
      <c r="BD165" s="217" t="s">
        <v>110</v>
      </c>
      <c r="BE165" s="217" t="s">
        <v>1826</v>
      </c>
      <c r="BF165" s="217" t="s">
        <v>1827</v>
      </c>
      <c r="BG165" s="217" t="s">
        <v>1998</v>
      </c>
      <c r="BH165" s="217" t="s">
        <v>1658</v>
      </c>
      <c r="BI165" s="217" t="s">
        <v>1660</v>
      </c>
      <c r="BJ165" s="217" t="s">
        <v>1660</v>
      </c>
      <c r="BK165" s="217" t="s">
        <v>637</v>
      </c>
      <c r="BL165" s="217"/>
      <c r="BM165" s="217"/>
      <c r="BN165" s="217">
        <v>0</v>
      </c>
      <c r="BO165" s="217">
        <v>0</v>
      </c>
      <c r="BR165" s="217" t="s">
        <v>85</v>
      </c>
      <c r="BS165" s="217" t="s">
        <v>181</v>
      </c>
      <c r="BT165" s="217" t="s">
        <v>191</v>
      </c>
      <c r="BU165" s="217" t="s">
        <v>1320</v>
      </c>
      <c r="BV165" s="217">
        <v>99</v>
      </c>
      <c r="BW165" s="217">
        <v>505</v>
      </c>
      <c r="BX165" s="217">
        <v>0</v>
      </c>
      <c r="BY165" s="217">
        <v>0</v>
      </c>
      <c r="BZ165" s="217">
        <v>95</v>
      </c>
      <c r="CA165" s="217">
        <v>495</v>
      </c>
      <c r="CB165" s="217">
        <v>99</v>
      </c>
      <c r="CC165" s="217">
        <v>505</v>
      </c>
      <c r="CD165" s="217">
        <v>0</v>
      </c>
      <c r="CE165" s="217">
        <v>0</v>
      </c>
      <c r="CF165" s="217">
        <v>95</v>
      </c>
      <c r="CG165" s="217">
        <v>495</v>
      </c>
      <c r="CH165" s="217">
        <v>0</v>
      </c>
      <c r="CI165" s="217">
        <v>0</v>
      </c>
      <c r="CJ165" s="217">
        <v>0</v>
      </c>
    </row>
    <row r="166" spans="1:88" x14ac:dyDescent="0.25">
      <c r="A166" s="217" t="s">
        <v>22</v>
      </c>
      <c r="B166" s="217" t="s">
        <v>23</v>
      </c>
      <c r="C166" s="217" t="s">
        <v>85</v>
      </c>
      <c r="D166" s="217" t="s">
        <v>84</v>
      </c>
      <c r="E166" s="217" t="s">
        <v>92</v>
      </c>
      <c r="F166" s="217" t="s">
        <v>91</v>
      </c>
      <c r="G166" s="217" t="s">
        <v>292</v>
      </c>
      <c r="H166" s="217" t="s">
        <v>970</v>
      </c>
      <c r="I166" s="217" t="s">
        <v>29</v>
      </c>
      <c r="J166" s="217" t="s">
        <v>1857</v>
      </c>
      <c r="K166" s="217">
        <v>9</v>
      </c>
      <c r="L166" s="217">
        <v>72</v>
      </c>
      <c r="M166" s="217" t="s">
        <v>31</v>
      </c>
      <c r="N166" s="217" t="s">
        <v>32</v>
      </c>
      <c r="O166" s="217" t="s">
        <v>100</v>
      </c>
      <c r="P166" s="217" t="s">
        <v>34</v>
      </c>
      <c r="Q166" s="217" t="s">
        <v>35</v>
      </c>
      <c r="R166" s="217" t="s">
        <v>23</v>
      </c>
      <c r="S166" s="217" t="s">
        <v>22</v>
      </c>
      <c r="T166" s="217" t="s">
        <v>84</v>
      </c>
      <c r="U166" s="217" t="s">
        <v>85</v>
      </c>
      <c r="V166" s="217" t="s">
        <v>91</v>
      </c>
      <c r="W166" s="217" t="s">
        <v>92</v>
      </c>
      <c r="BC166" s="217" t="s">
        <v>85</v>
      </c>
      <c r="BD166" s="217" t="s">
        <v>110</v>
      </c>
      <c r="BE166" s="217" t="s">
        <v>1007</v>
      </c>
      <c r="BF166" s="217" t="s">
        <v>323</v>
      </c>
      <c r="BG166" s="217" t="s">
        <v>1998</v>
      </c>
      <c r="BH166" s="217" t="s">
        <v>1660</v>
      </c>
      <c r="BI166" s="217" t="s">
        <v>1660</v>
      </c>
      <c r="BJ166" s="217" t="s">
        <v>1660</v>
      </c>
      <c r="BK166" s="217" t="s">
        <v>637</v>
      </c>
      <c r="BL166" s="217"/>
      <c r="BM166" s="217"/>
      <c r="BN166" s="217">
        <v>0</v>
      </c>
      <c r="BO166" s="217">
        <v>0</v>
      </c>
      <c r="BR166" s="217" t="s">
        <v>85</v>
      </c>
      <c r="BS166" s="217" t="s">
        <v>181</v>
      </c>
      <c r="BT166" s="217" t="s">
        <v>182</v>
      </c>
      <c r="BU166" s="217" t="s">
        <v>1313</v>
      </c>
      <c r="BV166" s="217">
        <v>33</v>
      </c>
      <c r="BW166" s="217">
        <v>171</v>
      </c>
      <c r="BX166" s="217">
        <v>0</v>
      </c>
      <c r="BY166" s="217">
        <v>0</v>
      </c>
      <c r="BZ166" s="217">
        <v>79</v>
      </c>
      <c r="CA166" s="217">
        <v>583</v>
      </c>
      <c r="CB166" s="217">
        <v>33</v>
      </c>
      <c r="CC166" s="217">
        <v>171</v>
      </c>
      <c r="CD166" s="217">
        <v>0</v>
      </c>
      <c r="CE166" s="217">
        <v>0</v>
      </c>
      <c r="CF166" s="217">
        <v>15</v>
      </c>
      <c r="CG166" s="217">
        <v>85</v>
      </c>
      <c r="CH166" s="217">
        <v>0</v>
      </c>
      <c r="CI166" s="217">
        <v>0</v>
      </c>
      <c r="CJ166" s="217">
        <v>498</v>
      </c>
    </row>
    <row r="167" spans="1:88" x14ac:dyDescent="0.25">
      <c r="A167" s="217" t="s">
        <v>22</v>
      </c>
      <c r="B167" s="217" t="s">
        <v>23</v>
      </c>
      <c r="C167" s="217" t="s">
        <v>85</v>
      </c>
      <c r="D167" s="217" t="s">
        <v>84</v>
      </c>
      <c r="E167" s="217" t="s">
        <v>92</v>
      </c>
      <c r="F167" s="217" t="s">
        <v>91</v>
      </c>
      <c r="G167" s="217" t="s">
        <v>770</v>
      </c>
      <c r="H167" s="217" t="s">
        <v>971</v>
      </c>
      <c r="I167" s="217" t="s">
        <v>29</v>
      </c>
      <c r="J167" s="217" t="s">
        <v>1858</v>
      </c>
      <c r="K167" s="217">
        <v>5</v>
      </c>
      <c r="L167" s="217">
        <v>46</v>
      </c>
      <c r="M167" s="217" t="s">
        <v>31</v>
      </c>
      <c r="N167" s="217" t="s">
        <v>32</v>
      </c>
      <c r="O167" s="217" t="s">
        <v>100</v>
      </c>
      <c r="P167" s="217" t="s">
        <v>34</v>
      </c>
      <c r="Q167" s="217" t="s">
        <v>35</v>
      </c>
      <c r="R167" s="217" t="s">
        <v>23</v>
      </c>
      <c r="S167" s="217" t="s">
        <v>22</v>
      </c>
      <c r="T167" s="217" t="s">
        <v>84</v>
      </c>
      <c r="U167" s="217" t="s">
        <v>85</v>
      </c>
      <c r="V167" s="217" t="s">
        <v>91</v>
      </c>
      <c r="W167" s="217" t="s">
        <v>92</v>
      </c>
      <c r="BC167" s="217" t="s">
        <v>85</v>
      </c>
      <c r="BD167" s="217" t="s">
        <v>110</v>
      </c>
      <c r="BE167" s="217" t="s">
        <v>1560</v>
      </c>
      <c r="BF167" s="217" t="s">
        <v>147</v>
      </c>
      <c r="BG167" s="217" t="s">
        <v>2007</v>
      </c>
      <c r="BH167" s="217" t="s">
        <v>1660</v>
      </c>
      <c r="BI167" s="217" t="s">
        <v>1660</v>
      </c>
      <c r="BJ167" s="217" t="s">
        <v>1660</v>
      </c>
      <c r="BK167" s="217" t="s">
        <v>637</v>
      </c>
      <c r="BL167" s="217"/>
      <c r="BM167" s="217"/>
      <c r="BN167" s="217">
        <v>0</v>
      </c>
      <c r="BO167" s="217">
        <v>0</v>
      </c>
      <c r="BR167" s="217" t="s">
        <v>85</v>
      </c>
      <c r="BS167" s="217" t="s">
        <v>181</v>
      </c>
      <c r="BT167" s="217" t="s">
        <v>189</v>
      </c>
      <c r="BU167" s="217" t="s">
        <v>1318</v>
      </c>
      <c r="BV167" s="217">
        <v>89</v>
      </c>
      <c r="BW167" s="217">
        <v>455</v>
      </c>
      <c r="BX167" s="217">
        <v>0</v>
      </c>
      <c r="BY167" s="217">
        <v>0</v>
      </c>
      <c r="BZ167" s="217">
        <v>97</v>
      </c>
      <c r="CA167" s="217">
        <v>495</v>
      </c>
      <c r="CB167" s="217">
        <v>89</v>
      </c>
      <c r="CC167" s="217">
        <v>455</v>
      </c>
      <c r="CD167" s="217">
        <v>0</v>
      </c>
      <c r="CE167" s="217">
        <v>0</v>
      </c>
      <c r="CF167" s="217">
        <v>97</v>
      </c>
      <c r="CG167" s="217">
        <v>495</v>
      </c>
      <c r="CH167" s="217">
        <v>0</v>
      </c>
      <c r="CI167" s="217">
        <v>0</v>
      </c>
      <c r="CJ167" s="217">
        <v>0</v>
      </c>
    </row>
    <row r="168" spans="1:88" x14ac:dyDescent="0.25">
      <c r="A168" s="217" t="s">
        <v>22</v>
      </c>
      <c r="B168" s="217" t="s">
        <v>23</v>
      </c>
      <c r="C168" s="217" t="s">
        <v>85</v>
      </c>
      <c r="D168" s="217" t="s">
        <v>84</v>
      </c>
      <c r="E168" s="217" t="s">
        <v>173</v>
      </c>
      <c r="F168" s="217" t="s">
        <v>172</v>
      </c>
      <c r="G168" s="217" t="s">
        <v>293</v>
      </c>
      <c r="H168" s="217" t="s">
        <v>972</v>
      </c>
      <c r="I168" s="217" t="s">
        <v>29</v>
      </c>
      <c r="J168" s="217" t="s">
        <v>1857</v>
      </c>
      <c r="K168" s="217">
        <v>28</v>
      </c>
      <c r="L168" s="217">
        <v>128</v>
      </c>
      <c r="M168" s="217" t="s">
        <v>31</v>
      </c>
      <c r="N168" s="217" t="s">
        <v>32</v>
      </c>
      <c r="O168" s="217" t="s">
        <v>68</v>
      </c>
      <c r="P168" s="217" t="s">
        <v>34</v>
      </c>
      <c r="Q168" s="217" t="s">
        <v>35</v>
      </c>
      <c r="R168" s="217" t="s">
        <v>23</v>
      </c>
      <c r="S168" s="217" t="s">
        <v>22</v>
      </c>
      <c r="T168" s="217" t="s">
        <v>84</v>
      </c>
      <c r="U168" s="217" t="s">
        <v>85</v>
      </c>
      <c r="V168" s="217" t="s">
        <v>91</v>
      </c>
      <c r="W168" s="217" t="s">
        <v>92</v>
      </c>
      <c r="BC168" s="217" t="s">
        <v>85</v>
      </c>
      <c r="BD168" s="217" t="s">
        <v>110</v>
      </c>
      <c r="BE168" s="217" t="s">
        <v>1008</v>
      </c>
      <c r="BF168" s="217" t="s">
        <v>324</v>
      </c>
      <c r="BG168" s="217" t="s">
        <v>1998</v>
      </c>
      <c r="BH168" s="217" t="s">
        <v>1658</v>
      </c>
      <c r="BI168" s="217" t="s">
        <v>1660</v>
      </c>
      <c r="BJ168" s="217" t="s">
        <v>1660</v>
      </c>
      <c r="BK168" s="217" t="s">
        <v>637</v>
      </c>
      <c r="BL168" s="217"/>
      <c r="BM168" s="217"/>
      <c r="BN168" s="217">
        <v>0</v>
      </c>
      <c r="BO168" s="217">
        <v>0</v>
      </c>
      <c r="BR168" s="217" t="s">
        <v>85</v>
      </c>
      <c r="BS168" s="217" t="s">
        <v>181</v>
      </c>
      <c r="BT168" s="217" t="s">
        <v>185</v>
      </c>
      <c r="BU168" s="217" t="s">
        <v>1314</v>
      </c>
      <c r="BV168" s="217">
        <v>103</v>
      </c>
      <c r="BW168" s="217">
        <v>595</v>
      </c>
      <c r="BX168" s="217">
        <v>0</v>
      </c>
      <c r="BY168" s="217">
        <v>0</v>
      </c>
      <c r="BZ168" s="217">
        <v>47</v>
      </c>
      <c r="CA168" s="217">
        <v>238</v>
      </c>
      <c r="CB168" s="217">
        <v>103</v>
      </c>
      <c r="CC168" s="217">
        <v>595</v>
      </c>
      <c r="CD168" s="217">
        <v>0</v>
      </c>
      <c r="CE168" s="217">
        <v>0</v>
      </c>
      <c r="CF168" s="217">
        <v>47</v>
      </c>
      <c r="CG168" s="217">
        <v>238</v>
      </c>
      <c r="CH168" s="217">
        <v>0</v>
      </c>
      <c r="CI168" s="217">
        <v>0</v>
      </c>
      <c r="CJ168" s="217">
        <v>0</v>
      </c>
    </row>
    <row r="169" spans="1:88" x14ac:dyDescent="0.25">
      <c r="A169" s="217" t="s">
        <v>22</v>
      </c>
      <c r="B169" s="217" t="s">
        <v>23</v>
      </c>
      <c r="C169" s="217" t="s">
        <v>85</v>
      </c>
      <c r="D169" s="217" t="s">
        <v>84</v>
      </c>
      <c r="E169" s="217" t="s">
        <v>173</v>
      </c>
      <c r="F169" s="217" t="s">
        <v>172</v>
      </c>
      <c r="G169" s="217" t="s">
        <v>294</v>
      </c>
      <c r="H169" s="217" t="s">
        <v>973</v>
      </c>
      <c r="I169" s="217" t="s">
        <v>29</v>
      </c>
      <c r="J169" s="217" t="s">
        <v>1856</v>
      </c>
      <c r="K169" s="217">
        <v>3</v>
      </c>
      <c r="L169" s="217">
        <v>19</v>
      </c>
      <c r="M169" s="217" t="s">
        <v>31</v>
      </c>
      <c r="N169" s="217" t="s">
        <v>32</v>
      </c>
      <c r="O169" s="217" t="s">
        <v>68</v>
      </c>
      <c r="P169" s="217" t="s">
        <v>34</v>
      </c>
      <c r="Q169" s="217" t="s">
        <v>35</v>
      </c>
      <c r="R169" s="217" t="s">
        <v>23</v>
      </c>
      <c r="S169" s="217" t="s">
        <v>22</v>
      </c>
      <c r="T169" s="217" t="s">
        <v>84</v>
      </c>
      <c r="U169" s="217" t="s">
        <v>85</v>
      </c>
      <c r="V169" s="217" t="s">
        <v>91</v>
      </c>
      <c r="W169" s="217" t="s">
        <v>92</v>
      </c>
      <c r="BC169" s="217" t="s">
        <v>85</v>
      </c>
      <c r="BD169" s="217" t="s">
        <v>110</v>
      </c>
      <c r="BE169" s="217" t="s">
        <v>1009</v>
      </c>
      <c r="BF169" s="217" t="s">
        <v>325</v>
      </c>
      <c r="BG169" s="217" t="s">
        <v>1998</v>
      </c>
      <c r="BH169" s="217" t="s">
        <v>1658</v>
      </c>
      <c r="BI169" s="217" t="s">
        <v>1660</v>
      </c>
      <c r="BJ169" s="217" t="s">
        <v>1660</v>
      </c>
      <c r="BK169" s="217" t="s">
        <v>637</v>
      </c>
      <c r="BL169" s="217"/>
      <c r="BM169" s="217"/>
      <c r="BN169" s="217">
        <v>0</v>
      </c>
      <c r="BO169" s="217">
        <v>0</v>
      </c>
      <c r="BR169" s="217" t="s">
        <v>85</v>
      </c>
      <c r="BS169" s="217" t="s">
        <v>181</v>
      </c>
      <c r="BT169" s="217" t="s">
        <v>193</v>
      </c>
      <c r="BU169" s="217" t="s">
        <v>1563</v>
      </c>
      <c r="BV169" s="217">
        <v>0</v>
      </c>
      <c r="BW169" s="217">
        <v>0</v>
      </c>
      <c r="BX169" s="217">
        <v>0</v>
      </c>
      <c r="BY169" s="217">
        <v>0</v>
      </c>
      <c r="BZ169" s="217">
        <v>96</v>
      </c>
      <c r="CA169" s="217">
        <v>526</v>
      </c>
      <c r="CB169" s="217">
        <v>0</v>
      </c>
      <c r="CC169" s="217">
        <v>0</v>
      </c>
      <c r="CD169" s="217">
        <v>0</v>
      </c>
      <c r="CE169" s="217">
        <v>0</v>
      </c>
      <c r="CF169" s="217">
        <v>96</v>
      </c>
      <c r="CG169" s="217">
        <v>526</v>
      </c>
      <c r="CH169" s="217">
        <v>0</v>
      </c>
      <c r="CI169" s="217">
        <v>0</v>
      </c>
      <c r="CJ169" s="217">
        <v>0</v>
      </c>
    </row>
    <row r="170" spans="1:88" x14ac:dyDescent="0.25">
      <c r="A170" s="217" t="s">
        <v>22</v>
      </c>
      <c r="B170" s="217" t="s">
        <v>23</v>
      </c>
      <c r="C170" s="217" t="s">
        <v>85</v>
      </c>
      <c r="D170" s="217" t="s">
        <v>84</v>
      </c>
      <c r="E170" s="217" t="s">
        <v>173</v>
      </c>
      <c r="F170" s="217" t="s">
        <v>172</v>
      </c>
      <c r="G170" s="217" t="s">
        <v>294</v>
      </c>
      <c r="H170" s="217" t="s">
        <v>973</v>
      </c>
      <c r="I170" s="217" t="s">
        <v>29</v>
      </c>
      <c r="J170" s="217" t="s">
        <v>1858</v>
      </c>
      <c r="K170" s="217">
        <v>2</v>
      </c>
      <c r="L170" s="217">
        <v>14</v>
      </c>
      <c r="M170" s="217" t="s">
        <v>31</v>
      </c>
      <c r="N170" s="217" t="s">
        <v>32</v>
      </c>
      <c r="O170" s="217" t="s">
        <v>68</v>
      </c>
      <c r="P170" s="217" t="s">
        <v>34</v>
      </c>
      <c r="Q170" s="217" t="s">
        <v>35</v>
      </c>
      <c r="R170" s="217" t="s">
        <v>23</v>
      </c>
      <c r="S170" s="217" t="s">
        <v>22</v>
      </c>
      <c r="T170" s="217" t="s">
        <v>84</v>
      </c>
      <c r="U170" s="217" t="s">
        <v>85</v>
      </c>
      <c r="V170" s="217" t="s">
        <v>97</v>
      </c>
      <c r="W170" s="217" t="s">
        <v>98</v>
      </c>
      <c r="BC170" s="217" t="s">
        <v>85</v>
      </c>
      <c r="BD170" s="217" t="s">
        <v>110</v>
      </c>
      <c r="BE170" s="217" t="s">
        <v>1010</v>
      </c>
      <c r="BF170" s="217" t="s">
        <v>326</v>
      </c>
      <c r="BG170" s="217" t="s">
        <v>2007</v>
      </c>
      <c r="BH170" s="217" t="s">
        <v>1660</v>
      </c>
      <c r="BI170" s="217" t="s">
        <v>1660</v>
      </c>
      <c r="BJ170" s="217" t="s">
        <v>1660</v>
      </c>
      <c r="BK170" s="217" t="s">
        <v>637</v>
      </c>
      <c r="BL170" s="217"/>
      <c r="BM170" s="217"/>
      <c r="BN170" s="217">
        <v>0</v>
      </c>
      <c r="BO170" s="217">
        <v>0</v>
      </c>
      <c r="BR170" s="217" t="s">
        <v>85</v>
      </c>
      <c r="BS170" s="217" t="s">
        <v>181</v>
      </c>
      <c r="BT170" s="217" t="s">
        <v>190</v>
      </c>
      <c r="BU170" s="217" t="s">
        <v>1319</v>
      </c>
      <c r="BV170" s="217">
        <v>90</v>
      </c>
      <c r="BW170" s="217">
        <v>460</v>
      </c>
      <c r="BX170" s="217">
        <v>0</v>
      </c>
      <c r="BY170" s="217">
        <v>0</v>
      </c>
      <c r="BZ170" s="217">
        <v>70</v>
      </c>
      <c r="CA170" s="217">
        <v>360</v>
      </c>
      <c r="CB170" s="217">
        <v>90</v>
      </c>
      <c r="CC170" s="217">
        <v>460</v>
      </c>
      <c r="CD170" s="217">
        <v>0</v>
      </c>
      <c r="CE170" s="217">
        <v>0</v>
      </c>
      <c r="CF170" s="217">
        <v>70</v>
      </c>
      <c r="CG170" s="217">
        <v>360</v>
      </c>
      <c r="CH170" s="217">
        <v>0</v>
      </c>
      <c r="CI170" s="217">
        <v>0</v>
      </c>
      <c r="CJ170" s="217">
        <v>0</v>
      </c>
    </row>
    <row r="171" spans="1:88" x14ac:dyDescent="0.25">
      <c r="A171" s="217" t="s">
        <v>22</v>
      </c>
      <c r="B171" s="217" t="s">
        <v>23</v>
      </c>
      <c r="C171" s="217" t="s">
        <v>85</v>
      </c>
      <c r="D171" s="217" t="s">
        <v>84</v>
      </c>
      <c r="E171" s="217" t="s">
        <v>173</v>
      </c>
      <c r="F171" s="217" t="s">
        <v>172</v>
      </c>
      <c r="G171" s="217" t="s">
        <v>295</v>
      </c>
      <c r="H171" s="217" t="s">
        <v>974</v>
      </c>
      <c r="I171" s="217" t="s">
        <v>29</v>
      </c>
      <c r="J171" s="217" t="s">
        <v>1856</v>
      </c>
      <c r="K171" s="217">
        <v>4</v>
      </c>
      <c r="L171" s="217">
        <v>32</v>
      </c>
      <c r="M171" s="217" t="s">
        <v>31</v>
      </c>
      <c r="N171" s="217" t="s">
        <v>32</v>
      </c>
      <c r="O171" s="217" t="s">
        <v>68</v>
      </c>
      <c r="P171" s="217" t="s">
        <v>34</v>
      </c>
      <c r="Q171" s="217" t="s">
        <v>35</v>
      </c>
      <c r="R171" s="217" t="s">
        <v>23</v>
      </c>
      <c r="S171" s="217" t="s">
        <v>22</v>
      </c>
      <c r="T171" s="217" t="s">
        <v>84</v>
      </c>
      <c r="U171" s="217" t="s">
        <v>85</v>
      </c>
      <c r="V171" s="217" t="s">
        <v>91</v>
      </c>
      <c r="W171" s="217" t="s">
        <v>92</v>
      </c>
      <c r="BC171" s="217" t="s">
        <v>85</v>
      </c>
      <c r="BD171" s="217" t="s">
        <v>110</v>
      </c>
      <c r="BE171" s="217" t="s">
        <v>1689</v>
      </c>
      <c r="BF171" s="217" t="s">
        <v>703</v>
      </c>
      <c r="BG171" s="217" t="s">
        <v>2002</v>
      </c>
      <c r="BH171" s="217" t="s">
        <v>1660</v>
      </c>
      <c r="BI171" s="217" t="s">
        <v>1660</v>
      </c>
      <c r="BJ171" s="217" t="s">
        <v>1660</v>
      </c>
      <c r="BK171" s="217" t="s">
        <v>637</v>
      </c>
      <c r="BL171" s="217"/>
      <c r="BM171" s="217"/>
      <c r="BN171" s="217">
        <v>0</v>
      </c>
      <c r="BO171" s="217">
        <v>0</v>
      </c>
      <c r="BR171" s="217" t="s">
        <v>85</v>
      </c>
      <c r="BS171" s="217" t="s">
        <v>181</v>
      </c>
      <c r="BT171" s="217" t="s">
        <v>692</v>
      </c>
      <c r="BU171" s="217" t="s">
        <v>1667</v>
      </c>
      <c r="BV171" s="217">
        <v>0</v>
      </c>
      <c r="BW171" s="217">
        <v>0</v>
      </c>
      <c r="BX171" s="217">
        <v>0</v>
      </c>
      <c r="BY171" s="217">
        <v>0</v>
      </c>
      <c r="BZ171" s="217">
        <v>0</v>
      </c>
      <c r="CA171" s="217">
        <v>0</v>
      </c>
      <c r="CB171" s="217">
        <v>0</v>
      </c>
      <c r="CC171" s="217">
        <v>0</v>
      </c>
      <c r="CD171" s="217">
        <v>0</v>
      </c>
      <c r="CE171" s="217">
        <v>0</v>
      </c>
      <c r="CF171" s="217">
        <v>0</v>
      </c>
      <c r="CG171" s="217">
        <v>0</v>
      </c>
      <c r="CH171" s="217">
        <v>0</v>
      </c>
      <c r="CI171" s="217">
        <v>0</v>
      </c>
      <c r="CJ171" s="217">
        <v>0</v>
      </c>
    </row>
    <row r="172" spans="1:88" x14ac:dyDescent="0.25">
      <c r="A172" s="217" t="s">
        <v>22</v>
      </c>
      <c r="B172" s="217" t="s">
        <v>23</v>
      </c>
      <c r="C172" s="217" t="s">
        <v>85</v>
      </c>
      <c r="D172" s="217" t="s">
        <v>84</v>
      </c>
      <c r="E172" s="217" t="s">
        <v>173</v>
      </c>
      <c r="F172" s="217" t="s">
        <v>172</v>
      </c>
      <c r="G172" s="217" t="s">
        <v>295</v>
      </c>
      <c r="H172" s="217" t="s">
        <v>974</v>
      </c>
      <c r="I172" s="217" t="s">
        <v>29</v>
      </c>
      <c r="J172" s="217" t="s">
        <v>1857</v>
      </c>
      <c r="K172" s="217">
        <v>3</v>
      </c>
      <c r="L172" s="217">
        <v>12</v>
      </c>
      <c r="M172" s="217" t="s">
        <v>31</v>
      </c>
      <c r="N172" s="217" t="s">
        <v>32</v>
      </c>
      <c r="O172" s="217" t="s">
        <v>68</v>
      </c>
      <c r="P172" s="217" t="s">
        <v>34</v>
      </c>
      <c r="Q172" s="217" t="s">
        <v>35</v>
      </c>
      <c r="R172" s="217" t="s">
        <v>23</v>
      </c>
      <c r="S172" s="217" t="s">
        <v>22</v>
      </c>
      <c r="T172" s="217" t="s">
        <v>84</v>
      </c>
      <c r="U172" s="217" t="s">
        <v>85</v>
      </c>
      <c r="V172" s="217" t="s">
        <v>91</v>
      </c>
      <c r="W172" s="217" t="s">
        <v>92</v>
      </c>
      <c r="BC172" s="217" t="s">
        <v>85</v>
      </c>
      <c r="BD172" s="217" t="s">
        <v>110</v>
      </c>
      <c r="BE172" s="217" t="s">
        <v>1011</v>
      </c>
      <c r="BF172" s="217" t="s">
        <v>285</v>
      </c>
      <c r="BG172" s="217" t="s">
        <v>1998</v>
      </c>
      <c r="BH172" s="217" t="s">
        <v>1658</v>
      </c>
      <c r="BI172" s="217" t="s">
        <v>1660</v>
      </c>
      <c r="BJ172" s="217" t="s">
        <v>1660</v>
      </c>
      <c r="BK172" s="217" t="s">
        <v>637</v>
      </c>
      <c r="BL172" s="217"/>
      <c r="BM172" s="217"/>
      <c r="BN172" s="217">
        <v>0</v>
      </c>
      <c r="BO172" s="217">
        <v>0</v>
      </c>
      <c r="BR172" s="217" t="s">
        <v>85</v>
      </c>
      <c r="BS172" s="217" t="s">
        <v>181</v>
      </c>
      <c r="BT172" s="217" t="s">
        <v>188</v>
      </c>
      <c r="BU172" s="217" t="s">
        <v>1317</v>
      </c>
      <c r="BV172" s="217">
        <v>102</v>
      </c>
      <c r="BW172" s="217">
        <v>520</v>
      </c>
      <c r="BX172" s="217">
        <v>0</v>
      </c>
      <c r="BY172" s="217">
        <v>0</v>
      </c>
      <c r="BZ172" s="217">
        <v>53</v>
      </c>
      <c r="CA172" s="217">
        <v>270</v>
      </c>
      <c r="CB172" s="217">
        <v>102</v>
      </c>
      <c r="CC172" s="217">
        <v>520</v>
      </c>
      <c r="CD172" s="217">
        <v>0</v>
      </c>
      <c r="CE172" s="217">
        <v>0</v>
      </c>
      <c r="CF172" s="217">
        <v>53</v>
      </c>
      <c r="CG172" s="217">
        <v>270</v>
      </c>
      <c r="CH172" s="217">
        <v>0</v>
      </c>
      <c r="CI172" s="217">
        <v>0</v>
      </c>
      <c r="CJ172" s="217">
        <v>0</v>
      </c>
    </row>
    <row r="173" spans="1:88" x14ac:dyDescent="0.25">
      <c r="A173" s="217" t="s">
        <v>22</v>
      </c>
      <c r="B173" s="217" t="s">
        <v>23</v>
      </c>
      <c r="C173" s="217" t="s">
        <v>85</v>
      </c>
      <c r="D173" s="217" t="s">
        <v>84</v>
      </c>
      <c r="E173" s="217" t="s">
        <v>173</v>
      </c>
      <c r="F173" s="217" t="s">
        <v>172</v>
      </c>
      <c r="G173" s="217" t="s">
        <v>296</v>
      </c>
      <c r="H173" s="217" t="s">
        <v>975</v>
      </c>
      <c r="I173" s="217" t="s">
        <v>29</v>
      </c>
      <c r="J173" s="217" t="s">
        <v>1856</v>
      </c>
      <c r="K173" s="217">
        <v>6</v>
      </c>
      <c r="L173" s="217">
        <v>53</v>
      </c>
      <c r="M173" s="217" t="s">
        <v>31</v>
      </c>
      <c r="N173" s="217" t="s">
        <v>32</v>
      </c>
      <c r="O173" s="217" t="s">
        <v>68</v>
      </c>
      <c r="P173" s="217" t="s">
        <v>34</v>
      </c>
      <c r="Q173" s="217" t="s">
        <v>35</v>
      </c>
      <c r="R173" s="217" t="s">
        <v>23</v>
      </c>
      <c r="S173" s="217" t="s">
        <v>22</v>
      </c>
      <c r="T173" s="217" t="s">
        <v>84</v>
      </c>
      <c r="U173" s="217" t="s">
        <v>85</v>
      </c>
      <c r="V173" s="217" t="s">
        <v>91</v>
      </c>
      <c r="W173" s="217" t="s">
        <v>92</v>
      </c>
      <c r="BC173" s="217" t="s">
        <v>85</v>
      </c>
      <c r="BD173" s="217" t="s">
        <v>110</v>
      </c>
      <c r="BE173" s="217" t="s">
        <v>1834</v>
      </c>
      <c r="BF173" s="217" t="s">
        <v>1835</v>
      </c>
      <c r="BG173" s="217" t="s">
        <v>1998</v>
      </c>
      <c r="BH173" s="217" t="s">
        <v>1658</v>
      </c>
      <c r="BI173" s="217" t="s">
        <v>1660</v>
      </c>
      <c r="BJ173" s="217" t="s">
        <v>1660</v>
      </c>
      <c r="BK173" s="217" t="s">
        <v>637</v>
      </c>
      <c r="BL173" s="217"/>
      <c r="BM173" s="217"/>
      <c r="BN173" s="217">
        <v>0</v>
      </c>
      <c r="BO173" s="217">
        <v>0</v>
      </c>
      <c r="BR173" s="217" t="s">
        <v>85</v>
      </c>
      <c r="BS173" s="217" t="s">
        <v>181</v>
      </c>
      <c r="BT173" s="217" t="s">
        <v>187</v>
      </c>
      <c r="BU173" s="217" t="s">
        <v>1316</v>
      </c>
      <c r="BV173" s="217">
        <v>91</v>
      </c>
      <c r="BW173" s="217">
        <v>459</v>
      </c>
      <c r="BX173" s="217">
        <v>0</v>
      </c>
      <c r="BY173" s="217">
        <v>0</v>
      </c>
      <c r="BZ173" s="217">
        <v>59</v>
      </c>
      <c r="CA173" s="217">
        <v>294</v>
      </c>
      <c r="CB173" s="217">
        <v>91</v>
      </c>
      <c r="CC173" s="217">
        <v>459</v>
      </c>
      <c r="CD173" s="217">
        <v>0</v>
      </c>
      <c r="CE173" s="217">
        <v>0</v>
      </c>
      <c r="CF173" s="217">
        <v>59</v>
      </c>
      <c r="CG173" s="217">
        <v>294</v>
      </c>
      <c r="CH173" s="217">
        <v>0</v>
      </c>
      <c r="CI173" s="217">
        <v>0</v>
      </c>
      <c r="CJ173" s="217">
        <v>0</v>
      </c>
    </row>
    <row r="174" spans="1:88" x14ac:dyDescent="0.25">
      <c r="A174" s="217" t="s">
        <v>22</v>
      </c>
      <c r="B174" s="217" t="s">
        <v>23</v>
      </c>
      <c r="C174" s="217" t="s">
        <v>85</v>
      </c>
      <c r="D174" s="217" t="s">
        <v>84</v>
      </c>
      <c r="E174" s="217" t="s">
        <v>173</v>
      </c>
      <c r="F174" s="217" t="s">
        <v>172</v>
      </c>
      <c r="G174" s="217" t="s">
        <v>297</v>
      </c>
      <c r="H174" s="217" t="s">
        <v>976</v>
      </c>
      <c r="I174" s="217" t="s">
        <v>29</v>
      </c>
      <c r="J174" s="217" t="s">
        <v>1856</v>
      </c>
      <c r="K174" s="217">
        <v>6</v>
      </c>
      <c r="L174" s="217">
        <v>42</v>
      </c>
      <c r="M174" s="217" t="s">
        <v>31</v>
      </c>
      <c r="N174" s="217" t="s">
        <v>32</v>
      </c>
      <c r="O174" s="217" t="s">
        <v>68</v>
      </c>
      <c r="P174" s="217" t="s">
        <v>34</v>
      </c>
      <c r="Q174" s="217" t="s">
        <v>35</v>
      </c>
      <c r="R174" s="217" t="s">
        <v>23</v>
      </c>
      <c r="S174" s="217" t="s">
        <v>22</v>
      </c>
      <c r="T174" s="217" t="s">
        <v>84</v>
      </c>
      <c r="U174" s="217" t="s">
        <v>85</v>
      </c>
      <c r="V174" s="217" t="s">
        <v>91</v>
      </c>
      <c r="W174" s="217" t="s">
        <v>92</v>
      </c>
      <c r="BC174" s="217" t="s">
        <v>85</v>
      </c>
      <c r="BD174" s="217" t="s">
        <v>110</v>
      </c>
      <c r="BE174" s="217" t="s">
        <v>1836</v>
      </c>
      <c r="BF174" s="217" t="s">
        <v>1837</v>
      </c>
      <c r="BG174" s="217" t="s">
        <v>1998</v>
      </c>
      <c r="BH174" s="217" t="s">
        <v>1658</v>
      </c>
      <c r="BI174" s="217" t="s">
        <v>1660</v>
      </c>
      <c r="BJ174" s="217" t="s">
        <v>1660</v>
      </c>
      <c r="BK174" s="217" t="s">
        <v>637</v>
      </c>
      <c r="BL174" s="217"/>
      <c r="BM174" s="217"/>
      <c r="BN174" s="217">
        <v>0</v>
      </c>
      <c r="BO174" s="217">
        <v>0</v>
      </c>
      <c r="BR174" s="217" t="s">
        <v>85</v>
      </c>
      <c r="BS174" s="217" t="s">
        <v>181</v>
      </c>
      <c r="BT174" s="217" t="s">
        <v>192</v>
      </c>
      <c r="BU174" s="217" t="s">
        <v>1321</v>
      </c>
      <c r="BV174" s="217">
        <v>95</v>
      </c>
      <c r="BW174" s="217">
        <v>480</v>
      </c>
      <c r="BX174" s="217">
        <v>0</v>
      </c>
      <c r="BY174" s="217">
        <v>0</v>
      </c>
      <c r="BZ174" s="217">
        <v>92</v>
      </c>
      <c r="CA174" s="217">
        <v>460</v>
      </c>
      <c r="CB174" s="217">
        <v>95</v>
      </c>
      <c r="CC174" s="217">
        <v>480</v>
      </c>
      <c r="CD174" s="217">
        <v>0</v>
      </c>
      <c r="CE174" s="217">
        <v>0</v>
      </c>
      <c r="CF174" s="217">
        <v>92</v>
      </c>
      <c r="CG174" s="217">
        <v>460</v>
      </c>
      <c r="CH174" s="217">
        <v>0</v>
      </c>
      <c r="CI174" s="217">
        <v>0</v>
      </c>
      <c r="CJ174" s="217">
        <v>0</v>
      </c>
    </row>
    <row r="175" spans="1:88" x14ac:dyDescent="0.25">
      <c r="A175" s="217" t="s">
        <v>22</v>
      </c>
      <c r="B175" s="217" t="s">
        <v>23</v>
      </c>
      <c r="C175" s="217" t="s">
        <v>85</v>
      </c>
      <c r="D175" s="217" t="s">
        <v>84</v>
      </c>
      <c r="E175" s="217" t="s">
        <v>173</v>
      </c>
      <c r="F175" s="217" t="s">
        <v>172</v>
      </c>
      <c r="G175" s="217" t="s">
        <v>298</v>
      </c>
      <c r="H175" s="217" t="s">
        <v>977</v>
      </c>
      <c r="I175" s="217" t="s">
        <v>29</v>
      </c>
      <c r="J175" s="217" t="s">
        <v>1857</v>
      </c>
      <c r="K175" s="217">
        <v>3</v>
      </c>
      <c r="L175" s="217">
        <v>30</v>
      </c>
      <c r="M175" s="217" t="s">
        <v>31</v>
      </c>
      <c r="N175" s="217" t="s">
        <v>32</v>
      </c>
      <c r="O175" s="217" t="s">
        <v>68</v>
      </c>
      <c r="P175" s="217" t="s">
        <v>34</v>
      </c>
      <c r="Q175" s="217" t="s">
        <v>35</v>
      </c>
      <c r="R175" s="217" t="s">
        <v>23</v>
      </c>
      <c r="S175" s="217" t="s">
        <v>22</v>
      </c>
      <c r="T175" s="217" t="s">
        <v>84</v>
      </c>
      <c r="U175" s="217" t="s">
        <v>85</v>
      </c>
      <c r="V175" s="217" t="s">
        <v>97</v>
      </c>
      <c r="W175" s="217" t="s">
        <v>98</v>
      </c>
      <c r="BC175" s="217" t="s">
        <v>85</v>
      </c>
      <c r="BD175" s="217" t="s">
        <v>110</v>
      </c>
      <c r="BE175" s="217" t="s">
        <v>1830</v>
      </c>
      <c r="BF175" s="217" t="s">
        <v>1831</v>
      </c>
      <c r="BG175" s="217" t="s">
        <v>1998</v>
      </c>
      <c r="BH175" s="217" t="s">
        <v>1658</v>
      </c>
      <c r="BI175" s="217" t="s">
        <v>1660</v>
      </c>
      <c r="BJ175" s="217" t="s">
        <v>1660</v>
      </c>
      <c r="BK175" s="217" t="s">
        <v>637</v>
      </c>
      <c r="BL175" s="217"/>
      <c r="BM175" s="217"/>
      <c r="BN175" s="217">
        <v>0</v>
      </c>
      <c r="BO175" s="217">
        <v>0</v>
      </c>
      <c r="BR175" s="217" t="s">
        <v>85</v>
      </c>
      <c r="BS175" s="217" t="s">
        <v>157</v>
      </c>
      <c r="BT175" s="217" t="s">
        <v>357</v>
      </c>
      <c r="BU175" s="217" t="s">
        <v>1044</v>
      </c>
      <c r="BV175" s="217">
        <v>8</v>
      </c>
      <c r="BW175" s="217">
        <v>42</v>
      </c>
      <c r="BX175" s="217">
        <v>1</v>
      </c>
      <c r="BY175" s="217">
        <v>10</v>
      </c>
      <c r="BZ175" s="217">
        <v>0</v>
      </c>
      <c r="CA175" s="217">
        <v>0</v>
      </c>
      <c r="CB175" s="217">
        <v>8</v>
      </c>
      <c r="CC175" s="217">
        <v>42</v>
      </c>
      <c r="CD175" s="217">
        <v>1</v>
      </c>
      <c r="CE175" s="217">
        <v>10</v>
      </c>
      <c r="CF175" s="217">
        <v>0</v>
      </c>
      <c r="CG175" s="217">
        <v>0</v>
      </c>
      <c r="CH175" s="217">
        <v>0</v>
      </c>
      <c r="CI175" s="217">
        <v>0</v>
      </c>
      <c r="CJ175" s="217">
        <v>0</v>
      </c>
    </row>
    <row r="176" spans="1:88" x14ac:dyDescent="0.25">
      <c r="A176" s="217" t="s">
        <v>22</v>
      </c>
      <c r="B176" s="217" t="s">
        <v>23</v>
      </c>
      <c r="C176" s="217" t="s">
        <v>85</v>
      </c>
      <c r="D176" s="217" t="s">
        <v>84</v>
      </c>
      <c r="E176" s="217" t="s">
        <v>173</v>
      </c>
      <c r="F176" s="217" t="s">
        <v>172</v>
      </c>
      <c r="G176" s="217" t="s">
        <v>299</v>
      </c>
      <c r="H176" s="217" t="s">
        <v>978</v>
      </c>
      <c r="I176" s="217" t="s">
        <v>29</v>
      </c>
      <c r="J176" s="217" t="s">
        <v>1855</v>
      </c>
      <c r="K176" s="217">
        <v>16</v>
      </c>
      <c r="L176" s="217">
        <v>88</v>
      </c>
      <c r="M176" s="217" t="s">
        <v>31</v>
      </c>
      <c r="N176" s="217" t="s">
        <v>32</v>
      </c>
      <c r="O176" s="217" t="s">
        <v>68</v>
      </c>
      <c r="P176" s="217" t="s">
        <v>34</v>
      </c>
      <c r="Q176" s="217" t="s">
        <v>35</v>
      </c>
      <c r="R176" s="217" t="s">
        <v>23</v>
      </c>
      <c r="S176" s="217" t="s">
        <v>22</v>
      </c>
      <c r="T176" s="217" t="s">
        <v>84</v>
      </c>
      <c r="U176" s="217" t="s">
        <v>85</v>
      </c>
      <c r="V176" s="217" t="s">
        <v>91</v>
      </c>
      <c r="W176" s="217" t="s">
        <v>92</v>
      </c>
      <c r="BC176" s="217" t="s">
        <v>85</v>
      </c>
      <c r="BD176" s="217" t="s">
        <v>110</v>
      </c>
      <c r="BE176" s="217" t="s">
        <v>1012</v>
      </c>
      <c r="BF176" s="217" t="s">
        <v>148</v>
      </c>
      <c r="BG176" s="217" t="s">
        <v>1998</v>
      </c>
      <c r="BH176" s="217" t="s">
        <v>1658</v>
      </c>
      <c r="BI176" s="217" t="s">
        <v>1660</v>
      </c>
      <c r="BJ176" s="217" t="s">
        <v>1658</v>
      </c>
      <c r="BK176" s="217" t="s">
        <v>637</v>
      </c>
      <c r="BL176" s="217"/>
      <c r="BM176" s="217" t="s">
        <v>3723</v>
      </c>
      <c r="BN176" s="217">
        <v>6</v>
      </c>
      <c r="BO176" s="217">
        <v>2017</v>
      </c>
      <c r="BR176" s="217" t="s">
        <v>85</v>
      </c>
      <c r="BS176" s="217" t="s">
        <v>157</v>
      </c>
      <c r="BT176" s="217" t="s">
        <v>353</v>
      </c>
      <c r="BU176" s="217" t="s">
        <v>1040</v>
      </c>
      <c r="BV176" s="217">
        <v>19</v>
      </c>
      <c r="BW176" s="217">
        <v>120</v>
      </c>
      <c r="BX176" s="217">
        <v>0</v>
      </c>
      <c r="BY176" s="217">
        <v>0</v>
      </c>
      <c r="BZ176" s="217">
        <v>0</v>
      </c>
      <c r="CA176" s="217">
        <v>0</v>
      </c>
      <c r="CB176" s="217">
        <v>19</v>
      </c>
      <c r="CC176" s="217">
        <v>120</v>
      </c>
      <c r="CD176" s="217">
        <v>0</v>
      </c>
      <c r="CE176" s="217">
        <v>0</v>
      </c>
      <c r="CF176" s="217">
        <v>0</v>
      </c>
      <c r="CG176" s="217">
        <v>0</v>
      </c>
      <c r="CH176" s="217">
        <v>0</v>
      </c>
      <c r="CI176" s="217">
        <v>0</v>
      </c>
      <c r="CJ176" s="217">
        <v>0</v>
      </c>
    </row>
    <row r="177" spans="1:88" x14ac:dyDescent="0.25">
      <c r="A177" s="217" t="s">
        <v>22</v>
      </c>
      <c r="B177" s="217" t="s">
        <v>23</v>
      </c>
      <c r="C177" s="217" t="s">
        <v>85</v>
      </c>
      <c r="D177" s="217" t="s">
        <v>84</v>
      </c>
      <c r="E177" s="217" t="s">
        <v>173</v>
      </c>
      <c r="F177" s="217" t="s">
        <v>172</v>
      </c>
      <c r="G177" s="217" t="s">
        <v>299</v>
      </c>
      <c r="H177" s="217" t="s">
        <v>978</v>
      </c>
      <c r="I177" s="217" t="s">
        <v>29</v>
      </c>
      <c r="J177" s="217" t="s">
        <v>1856</v>
      </c>
      <c r="K177" s="217">
        <v>45</v>
      </c>
      <c r="L177" s="217">
        <v>412</v>
      </c>
      <c r="M177" s="217" t="s">
        <v>31</v>
      </c>
      <c r="N177" s="217" t="s">
        <v>32</v>
      </c>
      <c r="O177" s="217" t="s">
        <v>68</v>
      </c>
      <c r="P177" s="217" t="s">
        <v>34</v>
      </c>
      <c r="Q177" s="217" t="s">
        <v>35</v>
      </c>
      <c r="R177" s="217" t="s">
        <v>23</v>
      </c>
      <c r="S177" s="217" t="s">
        <v>22</v>
      </c>
      <c r="T177" s="217" t="s">
        <v>84</v>
      </c>
      <c r="U177" s="217" t="s">
        <v>85</v>
      </c>
      <c r="V177" s="217" t="s">
        <v>91</v>
      </c>
      <c r="W177" s="217" t="s">
        <v>92</v>
      </c>
      <c r="BC177" s="217" t="s">
        <v>85</v>
      </c>
      <c r="BD177" s="217" t="s">
        <v>110</v>
      </c>
      <c r="BE177" s="217" t="s">
        <v>1013</v>
      </c>
      <c r="BF177" s="217" t="s">
        <v>149</v>
      </c>
      <c r="BG177" s="217" t="s">
        <v>1998</v>
      </c>
      <c r="BH177" s="217" t="s">
        <v>1658</v>
      </c>
      <c r="BI177" s="217" t="s">
        <v>1660</v>
      </c>
      <c r="BJ177" s="217" t="s">
        <v>1658</v>
      </c>
      <c r="BK177" s="217" t="s">
        <v>637</v>
      </c>
      <c r="BL177" s="217"/>
      <c r="BM177" s="217"/>
      <c r="BN177" s="217">
        <v>0</v>
      </c>
      <c r="BO177" s="217">
        <v>0</v>
      </c>
      <c r="BR177" s="217" t="s">
        <v>85</v>
      </c>
      <c r="BS177" s="217" t="s">
        <v>157</v>
      </c>
      <c r="BT177" s="217" t="s">
        <v>345</v>
      </c>
      <c r="BU177" s="217" t="s">
        <v>1032</v>
      </c>
      <c r="BV177" s="217">
        <v>504</v>
      </c>
      <c r="BW177" s="217">
        <v>2579</v>
      </c>
      <c r="BX177" s="217">
        <v>0</v>
      </c>
      <c r="BY177" s="217">
        <v>0</v>
      </c>
      <c r="BZ177" s="217">
        <v>1</v>
      </c>
      <c r="CA177" s="217">
        <v>13</v>
      </c>
      <c r="CB177" s="217">
        <v>504</v>
      </c>
      <c r="CC177" s="217">
        <v>2579</v>
      </c>
      <c r="CD177" s="217">
        <v>0</v>
      </c>
      <c r="CE177" s="217">
        <v>0</v>
      </c>
      <c r="CF177" s="217">
        <v>1</v>
      </c>
      <c r="CG177" s="217">
        <v>13</v>
      </c>
      <c r="CH177" s="217">
        <v>0</v>
      </c>
      <c r="CI177" s="217">
        <v>0</v>
      </c>
      <c r="CJ177" s="217">
        <v>0</v>
      </c>
    </row>
    <row r="178" spans="1:88" x14ac:dyDescent="0.25">
      <c r="A178" s="217" t="s">
        <v>22</v>
      </c>
      <c r="B178" s="217" t="s">
        <v>23</v>
      </c>
      <c r="C178" s="217" t="s">
        <v>85</v>
      </c>
      <c r="D178" s="217" t="s">
        <v>84</v>
      </c>
      <c r="E178" s="217" t="s">
        <v>173</v>
      </c>
      <c r="F178" s="217" t="s">
        <v>172</v>
      </c>
      <c r="G178" s="217" t="s">
        <v>299</v>
      </c>
      <c r="H178" s="217" t="s">
        <v>978</v>
      </c>
      <c r="I178" s="217" t="s">
        <v>29</v>
      </c>
      <c r="J178" s="217" t="s">
        <v>1857</v>
      </c>
      <c r="K178" s="217">
        <v>27</v>
      </c>
      <c r="L178" s="217">
        <v>114</v>
      </c>
      <c r="M178" s="217" t="s">
        <v>31</v>
      </c>
      <c r="N178" s="217" t="s">
        <v>32</v>
      </c>
      <c r="O178" s="217" t="s">
        <v>68</v>
      </c>
      <c r="P178" s="217" t="s">
        <v>34</v>
      </c>
      <c r="Q178" s="217" t="s">
        <v>35</v>
      </c>
      <c r="R178" s="217" t="s">
        <v>23</v>
      </c>
      <c r="S178" s="217" t="s">
        <v>22</v>
      </c>
      <c r="T178" s="217" t="s">
        <v>84</v>
      </c>
      <c r="U178" s="217" t="s">
        <v>85</v>
      </c>
      <c r="V178" s="217" t="s">
        <v>91</v>
      </c>
      <c r="W178" s="217" t="s">
        <v>92</v>
      </c>
      <c r="BC178" s="217" t="s">
        <v>85</v>
      </c>
      <c r="BD178" s="217" t="s">
        <v>110</v>
      </c>
      <c r="BE178" s="217" t="s">
        <v>1832</v>
      </c>
      <c r="BF178" s="217" t="s">
        <v>1833</v>
      </c>
      <c r="BG178" s="217" t="s">
        <v>1998</v>
      </c>
      <c r="BH178" s="217" t="s">
        <v>1658</v>
      </c>
      <c r="BI178" s="217" t="s">
        <v>1660</v>
      </c>
      <c r="BJ178" s="217" t="s">
        <v>1660</v>
      </c>
      <c r="BK178" s="217" t="s">
        <v>637</v>
      </c>
      <c r="BL178" s="217"/>
      <c r="BM178" s="217"/>
      <c r="BN178" s="217">
        <v>0</v>
      </c>
      <c r="BO178" s="217">
        <v>0</v>
      </c>
      <c r="BR178" s="217" t="s">
        <v>85</v>
      </c>
      <c r="BS178" s="217" t="s">
        <v>157</v>
      </c>
      <c r="BT178" s="217" t="s">
        <v>354</v>
      </c>
      <c r="BU178" s="217" t="s">
        <v>1041</v>
      </c>
      <c r="BV178" s="217">
        <v>19</v>
      </c>
      <c r="BW178" s="217">
        <v>127</v>
      </c>
      <c r="BX178" s="217">
        <v>0</v>
      </c>
      <c r="BY178" s="217">
        <v>0</v>
      </c>
      <c r="BZ178" s="217">
        <v>0</v>
      </c>
      <c r="CA178" s="217">
        <v>0</v>
      </c>
      <c r="CB178" s="217">
        <v>19</v>
      </c>
      <c r="CC178" s="217">
        <v>127</v>
      </c>
      <c r="CD178" s="217">
        <v>0</v>
      </c>
      <c r="CE178" s="217">
        <v>0</v>
      </c>
      <c r="CF178" s="217">
        <v>0</v>
      </c>
      <c r="CG178" s="217">
        <v>0</v>
      </c>
      <c r="CH178" s="217">
        <v>0</v>
      </c>
      <c r="CI178" s="217">
        <v>0</v>
      </c>
      <c r="CJ178" s="217">
        <v>0</v>
      </c>
    </row>
    <row r="179" spans="1:88" x14ac:dyDescent="0.25">
      <c r="A179" s="217" t="s">
        <v>22</v>
      </c>
      <c r="B179" s="217" t="s">
        <v>23</v>
      </c>
      <c r="C179" s="217" t="s">
        <v>85</v>
      </c>
      <c r="D179" s="217" t="s">
        <v>84</v>
      </c>
      <c r="E179" s="217" t="s">
        <v>173</v>
      </c>
      <c r="F179" s="217" t="s">
        <v>172</v>
      </c>
      <c r="G179" s="217" t="s">
        <v>300</v>
      </c>
      <c r="H179" s="217" t="s">
        <v>979</v>
      </c>
      <c r="I179" s="217" t="s">
        <v>29</v>
      </c>
      <c r="J179" s="217" t="s">
        <v>1856</v>
      </c>
      <c r="K179" s="217">
        <v>22</v>
      </c>
      <c r="L179" s="217">
        <v>87</v>
      </c>
      <c r="M179" s="217" t="s">
        <v>31</v>
      </c>
      <c r="N179" s="217" t="s">
        <v>32</v>
      </c>
      <c r="O179" s="217" t="s">
        <v>68</v>
      </c>
      <c r="P179" s="217" t="s">
        <v>34</v>
      </c>
      <c r="Q179" s="217" t="s">
        <v>35</v>
      </c>
      <c r="R179" s="217" t="s">
        <v>23</v>
      </c>
      <c r="S179" s="217" t="s">
        <v>22</v>
      </c>
      <c r="T179" s="217" t="s">
        <v>84</v>
      </c>
      <c r="U179" s="217" t="s">
        <v>85</v>
      </c>
      <c r="V179" s="217" t="s">
        <v>91</v>
      </c>
      <c r="W179" s="217" t="s">
        <v>92</v>
      </c>
      <c r="BC179" s="217" t="s">
        <v>85</v>
      </c>
      <c r="BD179" s="217" t="s">
        <v>157</v>
      </c>
      <c r="BE179" s="217" t="s">
        <v>1014</v>
      </c>
      <c r="BF179" s="217" t="s">
        <v>327</v>
      </c>
      <c r="BG179" s="217" t="s">
        <v>1998</v>
      </c>
      <c r="BH179" s="217" t="s">
        <v>1658</v>
      </c>
      <c r="BI179" s="217" t="s">
        <v>1660</v>
      </c>
      <c r="BJ179" s="217" t="s">
        <v>1660</v>
      </c>
      <c r="BK179" s="217" t="s">
        <v>637</v>
      </c>
      <c r="BL179" s="217"/>
      <c r="BM179" s="217"/>
      <c r="BN179" s="217">
        <v>0</v>
      </c>
      <c r="BO179" s="217">
        <v>0</v>
      </c>
      <c r="BR179" s="217" t="s">
        <v>85</v>
      </c>
      <c r="BS179" s="217" t="s">
        <v>157</v>
      </c>
      <c r="BT179" s="217" t="s">
        <v>327</v>
      </c>
      <c r="BU179" s="217" t="s">
        <v>1014</v>
      </c>
      <c r="BV179" s="217">
        <v>69</v>
      </c>
      <c r="BW179" s="217">
        <v>331</v>
      </c>
      <c r="BX179" s="217">
        <v>0</v>
      </c>
      <c r="BY179" s="217">
        <v>0</v>
      </c>
      <c r="BZ179" s="217">
        <v>0</v>
      </c>
      <c r="CA179" s="217">
        <v>0</v>
      </c>
      <c r="CB179" s="217">
        <v>74</v>
      </c>
      <c r="CC179" s="217">
        <v>373</v>
      </c>
      <c r="CD179" s="217">
        <v>0</v>
      </c>
      <c r="CE179" s="217">
        <v>0</v>
      </c>
      <c r="CF179" s="217">
        <v>0</v>
      </c>
      <c r="CG179" s="217">
        <v>0</v>
      </c>
      <c r="CH179" s="217">
        <v>-42</v>
      </c>
      <c r="CI179" s="217">
        <v>0</v>
      </c>
      <c r="CJ179" s="217">
        <v>0</v>
      </c>
    </row>
    <row r="180" spans="1:88" x14ac:dyDescent="0.25">
      <c r="A180" s="217" t="s">
        <v>22</v>
      </c>
      <c r="B180" s="217" t="s">
        <v>23</v>
      </c>
      <c r="C180" s="217" t="s">
        <v>85</v>
      </c>
      <c r="D180" s="217" t="s">
        <v>84</v>
      </c>
      <c r="E180" s="217" t="s">
        <v>173</v>
      </c>
      <c r="F180" s="217" t="s">
        <v>172</v>
      </c>
      <c r="G180" s="217" t="s">
        <v>300</v>
      </c>
      <c r="H180" s="217" t="s">
        <v>979</v>
      </c>
      <c r="I180" s="217" t="s">
        <v>29</v>
      </c>
      <c r="J180" s="217" t="s">
        <v>1858</v>
      </c>
      <c r="K180" s="217">
        <v>5</v>
      </c>
      <c r="L180" s="217">
        <v>32</v>
      </c>
      <c r="M180" s="217" t="s">
        <v>31</v>
      </c>
      <c r="N180" s="217" t="s">
        <v>32</v>
      </c>
      <c r="O180" s="217" t="s">
        <v>68</v>
      </c>
      <c r="P180" s="217" t="s">
        <v>34</v>
      </c>
      <c r="Q180" s="217" t="s">
        <v>35</v>
      </c>
      <c r="R180" s="217" t="s">
        <v>23</v>
      </c>
      <c r="S180" s="217" t="s">
        <v>22</v>
      </c>
      <c r="T180" s="217" t="s">
        <v>84</v>
      </c>
      <c r="U180" s="217" t="s">
        <v>85</v>
      </c>
      <c r="V180" s="217" t="s">
        <v>109</v>
      </c>
      <c r="W180" s="217" t="s">
        <v>110</v>
      </c>
      <c r="BC180" s="217" t="s">
        <v>85</v>
      </c>
      <c r="BD180" s="217" t="s">
        <v>157</v>
      </c>
      <c r="BE180" s="217" t="s">
        <v>1015</v>
      </c>
      <c r="BF180" s="217" t="s">
        <v>328</v>
      </c>
      <c r="BG180" s="217" t="s">
        <v>1998</v>
      </c>
      <c r="BH180" s="217" t="s">
        <v>1658</v>
      </c>
      <c r="BI180" s="217" t="s">
        <v>1660</v>
      </c>
      <c r="BJ180" s="217" t="s">
        <v>1660</v>
      </c>
      <c r="BK180" s="217" t="s">
        <v>637</v>
      </c>
      <c r="BL180" s="217"/>
      <c r="BM180" s="217"/>
      <c r="BN180" s="217">
        <v>0</v>
      </c>
      <c r="BO180" s="217">
        <v>0</v>
      </c>
      <c r="BR180" s="217" t="s">
        <v>85</v>
      </c>
      <c r="BS180" s="217" t="s">
        <v>157</v>
      </c>
      <c r="BT180" s="217" t="s">
        <v>329</v>
      </c>
      <c r="BU180" s="217" t="s">
        <v>1016</v>
      </c>
      <c r="BV180" s="217">
        <v>2</v>
      </c>
      <c r="BW180" s="217">
        <v>10</v>
      </c>
      <c r="BX180" s="217">
        <v>0</v>
      </c>
      <c r="BY180" s="217">
        <v>0</v>
      </c>
      <c r="BZ180" s="217">
        <v>0</v>
      </c>
      <c r="CA180" s="217">
        <v>0</v>
      </c>
      <c r="CB180" s="217">
        <v>2</v>
      </c>
      <c r="CC180" s="217">
        <v>10</v>
      </c>
      <c r="CD180" s="217">
        <v>0</v>
      </c>
      <c r="CE180" s="217">
        <v>0</v>
      </c>
      <c r="CF180" s="217">
        <v>0</v>
      </c>
      <c r="CG180" s="217">
        <v>0</v>
      </c>
      <c r="CH180" s="217">
        <v>0</v>
      </c>
      <c r="CI180" s="217">
        <v>0</v>
      </c>
      <c r="CJ180" s="217">
        <v>0</v>
      </c>
    </row>
    <row r="181" spans="1:88" x14ac:dyDescent="0.25">
      <c r="A181" s="217" t="s">
        <v>22</v>
      </c>
      <c r="B181" s="217" t="s">
        <v>23</v>
      </c>
      <c r="C181" s="217" t="s">
        <v>85</v>
      </c>
      <c r="D181" s="217" t="s">
        <v>84</v>
      </c>
      <c r="E181" s="217" t="s">
        <v>173</v>
      </c>
      <c r="F181" s="217" t="s">
        <v>172</v>
      </c>
      <c r="G181" s="217" t="s">
        <v>301</v>
      </c>
      <c r="H181" s="217" t="s">
        <v>980</v>
      </c>
      <c r="I181" s="217" t="s">
        <v>29</v>
      </c>
      <c r="J181" s="217" t="s">
        <v>1856</v>
      </c>
      <c r="K181" s="217">
        <v>6</v>
      </c>
      <c r="L181" s="217">
        <v>37</v>
      </c>
      <c r="M181" s="217" t="s">
        <v>31</v>
      </c>
      <c r="N181" s="217" t="s">
        <v>32</v>
      </c>
      <c r="O181" s="217" t="s">
        <v>68</v>
      </c>
      <c r="P181" s="217" t="s">
        <v>34</v>
      </c>
      <c r="Q181" s="217" t="s">
        <v>35</v>
      </c>
      <c r="R181" s="217" t="s">
        <v>23</v>
      </c>
      <c r="S181" s="217" t="s">
        <v>22</v>
      </c>
      <c r="T181" s="217" t="s">
        <v>84</v>
      </c>
      <c r="U181" s="217" t="s">
        <v>85</v>
      </c>
      <c r="V181" s="217" t="s">
        <v>91</v>
      </c>
      <c r="W181" s="217" t="s">
        <v>92</v>
      </c>
      <c r="BC181" s="217" t="s">
        <v>85</v>
      </c>
      <c r="BD181" s="217" t="s">
        <v>157</v>
      </c>
      <c r="BE181" s="217" t="s">
        <v>1016</v>
      </c>
      <c r="BF181" s="217" t="s">
        <v>329</v>
      </c>
      <c r="BG181" s="217" t="s">
        <v>1998</v>
      </c>
      <c r="BH181" s="217" t="s">
        <v>1658</v>
      </c>
      <c r="BI181" s="217" t="s">
        <v>1660</v>
      </c>
      <c r="BJ181" s="217" t="s">
        <v>1660</v>
      </c>
      <c r="BK181" s="217" t="s">
        <v>637</v>
      </c>
      <c r="BL181" s="217"/>
      <c r="BM181" s="217"/>
      <c r="BN181" s="217">
        <v>0</v>
      </c>
      <c r="BO181" s="217">
        <v>0</v>
      </c>
      <c r="BR181" s="217" t="s">
        <v>85</v>
      </c>
      <c r="BS181" s="217" t="s">
        <v>157</v>
      </c>
      <c r="BT181" s="217" t="s">
        <v>364</v>
      </c>
      <c r="BU181" s="217" t="s">
        <v>1052</v>
      </c>
      <c r="BV181" s="217">
        <v>47</v>
      </c>
      <c r="BW181" s="217">
        <v>278</v>
      </c>
      <c r="BX181" s="217">
        <v>0</v>
      </c>
      <c r="BY181" s="217">
        <v>0</v>
      </c>
      <c r="BZ181" s="217">
        <v>0</v>
      </c>
      <c r="CA181" s="217">
        <v>0</v>
      </c>
      <c r="CB181" s="217">
        <v>47</v>
      </c>
      <c r="CC181" s="217">
        <v>278</v>
      </c>
      <c r="CD181" s="217">
        <v>0</v>
      </c>
      <c r="CE181" s="217">
        <v>0</v>
      </c>
      <c r="CF181" s="217">
        <v>0</v>
      </c>
      <c r="CG181" s="217">
        <v>0</v>
      </c>
      <c r="CH181" s="217">
        <v>0</v>
      </c>
      <c r="CI181" s="217">
        <v>0</v>
      </c>
      <c r="CJ181" s="217">
        <v>0</v>
      </c>
    </row>
    <row r="182" spans="1:88" x14ac:dyDescent="0.25">
      <c r="A182" s="217" t="s">
        <v>22</v>
      </c>
      <c r="B182" s="217" t="s">
        <v>23</v>
      </c>
      <c r="C182" s="217" t="s">
        <v>85</v>
      </c>
      <c r="D182" s="217" t="s">
        <v>84</v>
      </c>
      <c r="E182" s="217" t="s">
        <v>173</v>
      </c>
      <c r="F182" s="217" t="s">
        <v>172</v>
      </c>
      <c r="G182" s="217" t="s">
        <v>302</v>
      </c>
      <c r="H182" s="217" t="s">
        <v>981</v>
      </c>
      <c r="I182" s="217" t="s">
        <v>29</v>
      </c>
      <c r="J182" s="217" t="s">
        <v>1856</v>
      </c>
      <c r="K182" s="217">
        <v>13</v>
      </c>
      <c r="L182" s="217">
        <v>102</v>
      </c>
      <c r="M182" s="217" t="s">
        <v>31</v>
      </c>
      <c r="N182" s="217" t="s">
        <v>32</v>
      </c>
      <c r="O182" s="217" t="s">
        <v>68</v>
      </c>
      <c r="P182" s="217" t="s">
        <v>34</v>
      </c>
      <c r="Q182" s="217" t="s">
        <v>35</v>
      </c>
      <c r="R182" s="217" t="s">
        <v>23</v>
      </c>
      <c r="S182" s="217" t="s">
        <v>22</v>
      </c>
      <c r="T182" s="217" t="s">
        <v>84</v>
      </c>
      <c r="U182" s="217" t="s">
        <v>85</v>
      </c>
      <c r="V182" s="217" t="s">
        <v>91</v>
      </c>
      <c r="W182" s="217" t="s">
        <v>92</v>
      </c>
      <c r="BC182" s="217" t="s">
        <v>85</v>
      </c>
      <c r="BD182" s="217" t="s">
        <v>157</v>
      </c>
      <c r="BE182" s="217" t="s">
        <v>1017</v>
      </c>
      <c r="BF182" s="217" t="s">
        <v>330</v>
      </c>
      <c r="BG182" s="217" t="s">
        <v>2006</v>
      </c>
      <c r="BH182" s="217" t="s">
        <v>1658</v>
      </c>
      <c r="BI182" s="217" t="s">
        <v>1660</v>
      </c>
      <c r="BJ182" s="217" t="s">
        <v>1660</v>
      </c>
      <c r="BK182" s="217" t="s">
        <v>637</v>
      </c>
      <c r="BL182" s="217"/>
      <c r="BM182" s="217"/>
      <c r="BN182" s="217">
        <v>0</v>
      </c>
      <c r="BO182" s="217">
        <v>0</v>
      </c>
      <c r="BR182" s="217" t="s">
        <v>85</v>
      </c>
      <c r="BS182" s="217" t="s">
        <v>157</v>
      </c>
      <c r="BT182" s="217" t="s">
        <v>331</v>
      </c>
      <c r="BU182" s="217" t="s">
        <v>1018</v>
      </c>
      <c r="BV182" s="217">
        <v>9</v>
      </c>
      <c r="BW182" s="217">
        <v>54</v>
      </c>
      <c r="BX182" s="217">
        <v>0</v>
      </c>
      <c r="BY182" s="217">
        <v>0</v>
      </c>
      <c r="BZ182" s="217">
        <v>0</v>
      </c>
      <c r="CA182" s="217">
        <v>0</v>
      </c>
      <c r="CB182" s="217">
        <v>9</v>
      </c>
      <c r="CC182" s="217">
        <v>54</v>
      </c>
      <c r="CD182" s="217">
        <v>0</v>
      </c>
      <c r="CE182" s="217">
        <v>0</v>
      </c>
      <c r="CF182" s="217">
        <v>0</v>
      </c>
      <c r="CG182" s="217">
        <v>0</v>
      </c>
      <c r="CH182" s="217">
        <v>0</v>
      </c>
      <c r="CI182" s="217">
        <v>0</v>
      </c>
      <c r="CJ182" s="217">
        <v>0</v>
      </c>
    </row>
    <row r="183" spans="1:88" x14ac:dyDescent="0.25">
      <c r="A183" s="217" t="s">
        <v>22</v>
      </c>
      <c r="B183" s="217" t="s">
        <v>23</v>
      </c>
      <c r="C183" s="217" t="s">
        <v>85</v>
      </c>
      <c r="D183" s="217" t="s">
        <v>84</v>
      </c>
      <c r="E183" s="217" t="s">
        <v>173</v>
      </c>
      <c r="F183" s="217" t="s">
        <v>172</v>
      </c>
      <c r="G183" s="217" t="s">
        <v>302</v>
      </c>
      <c r="H183" s="217" t="s">
        <v>981</v>
      </c>
      <c r="I183" s="217" t="s">
        <v>29</v>
      </c>
      <c r="J183" s="217" t="s">
        <v>1858</v>
      </c>
      <c r="K183" s="217">
        <v>2</v>
      </c>
      <c r="L183" s="217">
        <v>13</v>
      </c>
      <c r="M183" s="217" t="s">
        <v>31</v>
      </c>
      <c r="N183" s="217" t="s">
        <v>32</v>
      </c>
      <c r="O183" s="217" t="s">
        <v>68</v>
      </c>
      <c r="P183" s="217" t="s">
        <v>34</v>
      </c>
      <c r="Q183" s="217" t="s">
        <v>35</v>
      </c>
      <c r="R183" s="217" t="s">
        <v>23</v>
      </c>
      <c r="S183" s="217" t="s">
        <v>22</v>
      </c>
      <c r="T183" s="217" t="s">
        <v>84</v>
      </c>
      <c r="U183" s="217" t="s">
        <v>85</v>
      </c>
      <c r="V183" s="217" t="s">
        <v>109</v>
      </c>
      <c r="W183" s="217" t="s">
        <v>110</v>
      </c>
      <c r="BC183" s="217" t="s">
        <v>85</v>
      </c>
      <c r="BD183" s="217" t="s">
        <v>157</v>
      </c>
      <c r="BE183" s="217" t="s">
        <v>1018</v>
      </c>
      <c r="BF183" s="217" t="s">
        <v>331</v>
      </c>
      <c r="BG183" s="217" t="s">
        <v>1998</v>
      </c>
      <c r="BH183" s="217" t="s">
        <v>1658</v>
      </c>
      <c r="BI183" s="217" t="s">
        <v>1660</v>
      </c>
      <c r="BJ183" s="217" t="s">
        <v>1660</v>
      </c>
      <c r="BK183" s="217" t="s">
        <v>637</v>
      </c>
      <c r="BL183" s="217"/>
      <c r="BM183" s="217"/>
      <c r="BN183" s="217">
        <v>0</v>
      </c>
      <c r="BO183" s="217">
        <v>0</v>
      </c>
      <c r="BR183" s="217" t="s">
        <v>85</v>
      </c>
      <c r="BS183" s="217" t="s">
        <v>157</v>
      </c>
      <c r="BT183" s="217" t="s">
        <v>352</v>
      </c>
      <c r="BU183" s="217" t="s">
        <v>1039</v>
      </c>
      <c r="BV183" s="217">
        <v>25</v>
      </c>
      <c r="BW183" s="217">
        <v>141</v>
      </c>
      <c r="BX183" s="217">
        <v>0</v>
      </c>
      <c r="BY183" s="217">
        <v>0</v>
      </c>
      <c r="BZ183" s="217">
        <v>0</v>
      </c>
      <c r="CA183" s="217">
        <v>0</v>
      </c>
      <c r="CB183" s="217">
        <v>25</v>
      </c>
      <c r="CC183" s="217">
        <v>141</v>
      </c>
      <c r="CD183" s="217">
        <v>0</v>
      </c>
      <c r="CE183" s="217">
        <v>0</v>
      </c>
      <c r="CF183" s="217">
        <v>0</v>
      </c>
      <c r="CG183" s="217">
        <v>0</v>
      </c>
      <c r="CH183" s="217">
        <v>0</v>
      </c>
      <c r="CI183" s="217">
        <v>0</v>
      </c>
      <c r="CJ183" s="217">
        <v>0</v>
      </c>
    </row>
    <row r="184" spans="1:88" x14ac:dyDescent="0.25">
      <c r="A184" s="217" t="s">
        <v>22</v>
      </c>
      <c r="B184" s="217" t="s">
        <v>23</v>
      </c>
      <c r="C184" s="217" t="s">
        <v>85</v>
      </c>
      <c r="D184" s="217" t="s">
        <v>84</v>
      </c>
      <c r="E184" s="217" t="s">
        <v>173</v>
      </c>
      <c r="F184" s="217" t="s">
        <v>172</v>
      </c>
      <c r="G184" s="217" t="s">
        <v>697</v>
      </c>
      <c r="H184" s="217" t="s">
        <v>982</v>
      </c>
      <c r="I184" s="217" t="s">
        <v>29</v>
      </c>
      <c r="J184" s="217" t="s">
        <v>1857</v>
      </c>
      <c r="K184" s="217">
        <v>3</v>
      </c>
      <c r="L184" s="217">
        <v>34</v>
      </c>
      <c r="M184" s="217" t="s">
        <v>31</v>
      </c>
      <c r="N184" s="217" t="s">
        <v>32</v>
      </c>
      <c r="O184" s="217" t="s">
        <v>68</v>
      </c>
      <c r="P184" s="217" t="s">
        <v>34</v>
      </c>
      <c r="Q184" s="217" t="s">
        <v>35</v>
      </c>
      <c r="R184" s="217" t="s">
        <v>23</v>
      </c>
      <c r="S184" s="217" t="s">
        <v>22</v>
      </c>
      <c r="T184" s="217" t="s">
        <v>84</v>
      </c>
      <c r="U184" s="217" t="s">
        <v>85</v>
      </c>
      <c r="V184" s="217" t="s">
        <v>97</v>
      </c>
      <c r="W184" s="217" t="s">
        <v>98</v>
      </c>
      <c r="BC184" s="217" t="s">
        <v>85</v>
      </c>
      <c r="BD184" s="217" t="s">
        <v>157</v>
      </c>
      <c r="BE184" s="217" t="s">
        <v>1019</v>
      </c>
      <c r="BF184" s="217" t="s">
        <v>332</v>
      </c>
      <c r="BG184" s="217" t="s">
        <v>1998</v>
      </c>
      <c r="BH184" s="217" t="s">
        <v>1658</v>
      </c>
      <c r="BI184" s="217" t="s">
        <v>1660</v>
      </c>
      <c r="BJ184" s="217" t="s">
        <v>1660</v>
      </c>
      <c r="BK184" s="217" t="s">
        <v>637</v>
      </c>
      <c r="BL184" s="217"/>
      <c r="BM184" s="217"/>
      <c r="BN184" s="217">
        <v>0</v>
      </c>
      <c r="BO184" s="217">
        <v>0</v>
      </c>
      <c r="BR184" s="217" t="s">
        <v>85</v>
      </c>
      <c r="BS184" s="217" t="s">
        <v>157</v>
      </c>
      <c r="BT184" s="217" t="s">
        <v>361</v>
      </c>
      <c r="BU184" s="217" t="s">
        <v>1049</v>
      </c>
      <c r="BV184" s="217">
        <v>10</v>
      </c>
      <c r="BW184" s="217">
        <v>60</v>
      </c>
      <c r="BX184" s="217">
        <v>0</v>
      </c>
      <c r="BY184" s="217">
        <v>0</v>
      </c>
      <c r="BZ184" s="217">
        <v>0</v>
      </c>
      <c r="CA184" s="217">
        <v>0</v>
      </c>
      <c r="CB184" s="217">
        <v>10</v>
      </c>
      <c r="CC184" s="217">
        <v>60</v>
      </c>
      <c r="CD184" s="217">
        <v>0</v>
      </c>
      <c r="CE184" s="217">
        <v>0</v>
      </c>
      <c r="CF184" s="217">
        <v>0</v>
      </c>
      <c r="CG184" s="217">
        <v>0</v>
      </c>
      <c r="CH184" s="217">
        <v>0</v>
      </c>
      <c r="CI184" s="217">
        <v>0</v>
      </c>
      <c r="CJ184" s="217">
        <v>0</v>
      </c>
    </row>
    <row r="185" spans="1:88" x14ac:dyDescent="0.25">
      <c r="A185" s="217" t="s">
        <v>22</v>
      </c>
      <c r="B185" s="217" t="s">
        <v>23</v>
      </c>
      <c r="C185" s="217" t="s">
        <v>85</v>
      </c>
      <c r="D185" s="217" t="s">
        <v>84</v>
      </c>
      <c r="E185" s="217" t="s">
        <v>173</v>
      </c>
      <c r="F185" s="217" t="s">
        <v>172</v>
      </c>
      <c r="G185" s="217" t="s">
        <v>285</v>
      </c>
      <c r="H185" s="217" t="s">
        <v>983</v>
      </c>
      <c r="I185" s="217" t="s">
        <v>29</v>
      </c>
      <c r="J185" s="217" t="s">
        <v>1858</v>
      </c>
      <c r="K185" s="217">
        <v>4</v>
      </c>
      <c r="L185" s="217">
        <v>47</v>
      </c>
      <c r="M185" s="217" t="s">
        <v>31</v>
      </c>
      <c r="N185" s="217" t="s">
        <v>32</v>
      </c>
      <c r="O185" s="217" t="s">
        <v>68</v>
      </c>
      <c r="P185" s="217" t="s">
        <v>34</v>
      </c>
      <c r="Q185" s="217" t="s">
        <v>35</v>
      </c>
      <c r="R185" s="217" t="s">
        <v>23</v>
      </c>
      <c r="S185" s="217" t="s">
        <v>22</v>
      </c>
      <c r="T185" s="217" t="s">
        <v>84</v>
      </c>
      <c r="U185" s="217" t="s">
        <v>85</v>
      </c>
      <c r="V185" s="217" t="s">
        <v>97</v>
      </c>
      <c r="W185" s="217" t="s">
        <v>98</v>
      </c>
      <c r="BC185" s="217" t="s">
        <v>85</v>
      </c>
      <c r="BD185" s="217" t="s">
        <v>157</v>
      </c>
      <c r="BE185" s="217" t="s">
        <v>1020</v>
      </c>
      <c r="BF185" s="217" t="s">
        <v>333</v>
      </c>
      <c r="BG185" s="217" t="s">
        <v>2006</v>
      </c>
      <c r="BH185" s="217" t="s">
        <v>1658</v>
      </c>
      <c r="BI185" s="217" t="s">
        <v>1660</v>
      </c>
      <c r="BJ185" s="217" t="s">
        <v>1660</v>
      </c>
      <c r="BK185" s="217" t="s">
        <v>637</v>
      </c>
      <c r="BL185" s="217"/>
      <c r="BM185" s="217"/>
      <c r="BN185" s="217">
        <v>0</v>
      </c>
      <c r="BO185" s="217">
        <v>0</v>
      </c>
      <c r="BR185" s="217" t="s">
        <v>85</v>
      </c>
      <c r="BS185" s="217" t="s">
        <v>157</v>
      </c>
      <c r="BT185" s="217" t="s">
        <v>332</v>
      </c>
      <c r="BU185" s="217" t="s">
        <v>1019</v>
      </c>
      <c r="BV185" s="217">
        <v>264</v>
      </c>
      <c r="BW185" s="217">
        <v>1339</v>
      </c>
      <c r="BX185" s="217">
        <v>0</v>
      </c>
      <c r="BY185" s="217">
        <v>0</v>
      </c>
      <c r="BZ185" s="217">
        <v>0</v>
      </c>
      <c r="CA185" s="217">
        <v>0</v>
      </c>
      <c r="CB185" s="217">
        <v>264</v>
      </c>
      <c r="CC185" s="217">
        <v>1339</v>
      </c>
      <c r="CD185" s="217">
        <v>0</v>
      </c>
      <c r="CE185" s="217">
        <v>0</v>
      </c>
      <c r="CF185" s="217">
        <v>0</v>
      </c>
      <c r="CG185" s="217">
        <v>0</v>
      </c>
      <c r="CH185" s="217">
        <v>0</v>
      </c>
      <c r="CI185" s="217">
        <v>0</v>
      </c>
      <c r="CJ185" s="217">
        <v>0</v>
      </c>
    </row>
    <row r="186" spans="1:88" x14ac:dyDescent="0.25">
      <c r="A186" s="217" t="s">
        <v>22</v>
      </c>
      <c r="B186" s="217" t="s">
        <v>23</v>
      </c>
      <c r="C186" s="217" t="s">
        <v>85</v>
      </c>
      <c r="D186" s="217" t="s">
        <v>84</v>
      </c>
      <c r="E186" s="217" t="s">
        <v>173</v>
      </c>
      <c r="F186" s="217" t="s">
        <v>172</v>
      </c>
      <c r="G186" s="217" t="s">
        <v>303</v>
      </c>
      <c r="H186" s="217" t="s">
        <v>984</v>
      </c>
      <c r="I186" s="217" t="s">
        <v>29</v>
      </c>
      <c r="J186" s="217" t="s">
        <v>1856</v>
      </c>
      <c r="K186" s="217">
        <v>10</v>
      </c>
      <c r="L186" s="217">
        <v>52</v>
      </c>
      <c r="M186" s="217" t="s">
        <v>31</v>
      </c>
      <c r="N186" s="217" t="s">
        <v>32</v>
      </c>
      <c r="O186" s="217" t="s">
        <v>68</v>
      </c>
      <c r="P186" s="217" t="s">
        <v>34</v>
      </c>
      <c r="Q186" s="217" t="s">
        <v>35</v>
      </c>
      <c r="R186" s="217" t="s">
        <v>23</v>
      </c>
      <c r="S186" s="217" t="s">
        <v>22</v>
      </c>
      <c r="T186" s="217" t="s">
        <v>84</v>
      </c>
      <c r="U186" s="217" t="s">
        <v>85</v>
      </c>
      <c r="V186" s="217" t="s">
        <v>91</v>
      </c>
      <c r="W186" s="217" t="s">
        <v>92</v>
      </c>
      <c r="BC186" s="217" t="s">
        <v>85</v>
      </c>
      <c r="BD186" s="217" t="s">
        <v>157</v>
      </c>
      <c r="BE186" s="217" t="s">
        <v>1021</v>
      </c>
      <c r="BF186" s="217" t="s">
        <v>334</v>
      </c>
      <c r="BG186" s="217" t="s">
        <v>1998</v>
      </c>
      <c r="BH186" s="217" t="s">
        <v>1658</v>
      </c>
      <c r="BI186" s="217" t="s">
        <v>1660</v>
      </c>
      <c r="BJ186" s="217" t="s">
        <v>1660</v>
      </c>
      <c r="BK186" s="217" t="s">
        <v>637</v>
      </c>
      <c r="BL186" s="217"/>
      <c r="BM186" s="217"/>
      <c r="BN186" s="217">
        <v>0</v>
      </c>
      <c r="BO186" s="217">
        <v>0</v>
      </c>
      <c r="BR186" s="217" t="s">
        <v>85</v>
      </c>
      <c r="BS186" s="217" t="s">
        <v>157</v>
      </c>
      <c r="BT186" s="217" t="s">
        <v>360</v>
      </c>
      <c r="BU186" s="217" t="s">
        <v>1048</v>
      </c>
      <c r="BV186" s="217">
        <v>53</v>
      </c>
      <c r="BW186" s="217">
        <v>262</v>
      </c>
      <c r="BX186" s="217">
        <v>0</v>
      </c>
      <c r="BY186" s="217">
        <v>0</v>
      </c>
      <c r="BZ186" s="217">
        <v>0</v>
      </c>
      <c r="CA186" s="217">
        <v>0</v>
      </c>
      <c r="CB186" s="217">
        <v>53</v>
      </c>
      <c r="CC186" s="217">
        <v>262</v>
      </c>
      <c r="CD186" s="217">
        <v>0</v>
      </c>
      <c r="CE186" s="217">
        <v>0</v>
      </c>
      <c r="CF186" s="217">
        <v>0</v>
      </c>
      <c r="CG186" s="217">
        <v>0</v>
      </c>
      <c r="CH186" s="217">
        <v>0</v>
      </c>
      <c r="CI186" s="217">
        <v>0</v>
      </c>
      <c r="CJ186" s="217">
        <v>0</v>
      </c>
    </row>
    <row r="187" spans="1:88" x14ac:dyDescent="0.25">
      <c r="A187" s="217" t="s">
        <v>22</v>
      </c>
      <c r="B187" s="217" t="s">
        <v>23</v>
      </c>
      <c r="C187" s="217" t="s">
        <v>85</v>
      </c>
      <c r="D187" s="217" t="s">
        <v>84</v>
      </c>
      <c r="E187" s="217" t="s">
        <v>173</v>
      </c>
      <c r="F187" s="217" t="s">
        <v>172</v>
      </c>
      <c r="G187" s="217" t="s">
        <v>304</v>
      </c>
      <c r="H187" s="217" t="s">
        <v>985</v>
      </c>
      <c r="I187" s="217" t="s">
        <v>29</v>
      </c>
      <c r="J187" s="217" t="s">
        <v>1856</v>
      </c>
      <c r="K187" s="217">
        <v>2</v>
      </c>
      <c r="L187" s="217">
        <v>17</v>
      </c>
      <c r="M187" s="217" t="s">
        <v>31</v>
      </c>
      <c r="N187" s="217" t="s">
        <v>32</v>
      </c>
      <c r="O187" s="217" t="s">
        <v>68</v>
      </c>
      <c r="P187" s="217" t="s">
        <v>34</v>
      </c>
      <c r="Q187" s="217" t="s">
        <v>35</v>
      </c>
      <c r="R187" s="217" t="s">
        <v>23</v>
      </c>
      <c r="S187" s="217" t="s">
        <v>22</v>
      </c>
      <c r="T187" s="217" t="s">
        <v>84</v>
      </c>
      <c r="U187" s="217" t="s">
        <v>85</v>
      </c>
      <c r="V187" s="217" t="s">
        <v>91</v>
      </c>
      <c r="W187" s="217" t="s">
        <v>92</v>
      </c>
      <c r="BC187" s="217" t="s">
        <v>85</v>
      </c>
      <c r="BD187" s="217" t="s">
        <v>157</v>
      </c>
      <c r="BE187" s="217" t="s">
        <v>1022</v>
      </c>
      <c r="BF187" s="217" t="s">
        <v>335</v>
      </c>
      <c r="BG187" s="217" t="s">
        <v>1998</v>
      </c>
      <c r="BH187" s="217" t="s">
        <v>1658</v>
      </c>
      <c r="BI187" s="217" t="s">
        <v>1660</v>
      </c>
      <c r="BJ187" s="217" t="s">
        <v>1660</v>
      </c>
      <c r="BK187" s="217" t="s">
        <v>637</v>
      </c>
      <c r="BL187" s="217"/>
      <c r="BM187" s="217"/>
      <c r="BN187" s="217">
        <v>0</v>
      </c>
      <c r="BO187" s="217">
        <v>0</v>
      </c>
      <c r="BR187" s="217" t="s">
        <v>85</v>
      </c>
      <c r="BS187" s="217" t="s">
        <v>157</v>
      </c>
      <c r="BT187" s="217" t="s">
        <v>82</v>
      </c>
      <c r="BU187" s="217" t="s">
        <v>1045</v>
      </c>
      <c r="BV187" s="217">
        <v>75</v>
      </c>
      <c r="BW187" s="217">
        <v>375</v>
      </c>
      <c r="BX187" s="217">
        <v>0</v>
      </c>
      <c r="BY187" s="217">
        <v>0</v>
      </c>
      <c r="BZ187" s="217">
        <v>0</v>
      </c>
      <c r="CA187" s="217">
        <v>0</v>
      </c>
      <c r="CB187" s="217">
        <v>75</v>
      </c>
      <c r="CC187" s="217">
        <v>375</v>
      </c>
      <c r="CD187" s="217">
        <v>0</v>
      </c>
      <c r="CE187" s="217">
        <v>0</v>
      </c>
      <c r="CF187" s="217">
        <v>0</v>
      </c>
      <c r="CG187" s="217">
        <v>0</v>
      </c>
      <c r="CH187" s="217">
        <v>0</v>
      </c>
      <c r="CI187" s="217">
        <v>0</v>
      </c>
      <c r="CJ187" s="217">
        <v>0</v>
      </c>
    </row>
    <row r="188" spans="1:88" x14ac:dyDescent="0.25">
      <c r="A188" s="217" t="s">
        <v>22</v>
      </c>
      <c r="B188" s="217" t="s">
        <v>23</v>
      </c>
      <c r="C188" s="217" t="s">
        <v>85</v>
      </c>
      <c r="D188" s="217" t="s">
        <v>84</v>
      </c>
      <c r="E188" s="217" t="s">
        <v>173</v>
      </c>
      <c r="F188" s="217" t="s">
        <v>172</v>
      </c>
      <c r="G188" s="217" t="s">
        <v>304</v>
      </c>
      <c r="H188" s="217" t="s">
        <v>985</v>
      </c>
      <c r="I188" s="217" t="s">
        <v>29</v>
      </c>
      <c r="J188" s="217" t="s">
        <v>1857</v>
      </c>
      <c r="K188" s="217">
        <v>2</v>
      </c>
      <c r="L188" s="217">
        <v>8</v>
      </c>
      <c r="M188" s="217" t="s">
        <v>31</v>
      </c>
      <c r="N188" s="217" t="s">
        <v>32</v>
      </c>
      <c r="O188" s="217" t="s">
        <v>68</v>
      </c>
      <c r="P188" s="217" t="s">
        <v>34</v>
      </c>
      <c r="Q188" s="217" t="s">
        <v>35</v>
      </c>
      <c r="R188" s="217" t="s">
        <v>23</v>
      </c>
      <c r="S188" s="217" t="s">
        <v>22</v>
      </c>
      <c r="T188" s="217" t="s">
        <v>84</v>
      </c>
      <c r="U188" s="217" t="s">
        <v>85</v>
      </c>
      <c r="V188" s="217" t="s">
        <v>91</v>
      </c>
      <c r="W188" s="217" t="s">
        <v>92</v>
      </c>
      <c r="BC188" s="217" t="s">
        <v>85</v>
      </c>
      <c r="BD188" s="217" t="s">
        <v>157</v>
      </c>
      <c r="BE188" s="217" t="s">
        <v>1023</v>
      </c>
      <c r="BF188" s="217" t="s">
        <v>336</v>
      </c>
      <c r="BG188" s="217" t="s">
        <v>1998</v>
      </c>
      <c r="BH188" s="217" t="s">
        <v>1658</v>
      </c>
      <c r="BI188" s="217" t="s">
        <v>1660</v>
      </c>
      <c r="BJ188" s="217" t="s">
        <v>1660</v>
      </c>
      <c r="BK188" s="217" t="s">
        <v>637</v>
      </c>
      <c r="BL188" s="217"/>
      <c r="BM188" s="217"/>
      <c r="BN188" s="217">
        <v>0</v>
      </c>
      <c r="BO188" s="217">
        <v>0</v>
      </c>
      <c r="BR188" s="217" t="s">
        <v>85</v>
      </c>
      <c r="BS188" s="217" t="s">
        <v>157</v>
      </c>
      <c r="BT188" s="217" t="s">
        <v>359</v>
      </c>
      <c r="BU188" s="217" t="s">
        <v>1047</v>
      </c>
      <c r="BV188" s="217">
        <v>99</v>
      </c>
      <c r="BW188" s="217">
        <v>492</v>
      </c>
      <c r="BX188" s="217">
        <v>0</v>
      </c>
      <c r="BY188" s="217">
        <v>0</v>
      </c>
      <c r="BZ188" s="217">
        <v>0</v>
      </c>
      <c r="CA188" s="217">
        <v>0</v>
      </c>
      <c r="CB188" s="217">
        <v>99</v>
      </c>
      <c r="CC188" s="217">
        <v>492</v>
      </c>
      <c r="CD188" s="217">
        <v>0</v>
      </c>
      <c r="CE188" s="217">
        <v>0</v>
      </c>
      <c r="CF188" s="217">
        <v>0</v>
      </c>
      <c r="CG188" s="217">
        <v>0</v>
      </c>
      <c r="CH188" s="217">
        <v>0</v>
      </c>
      <c r="CI188" s="217">
        <v>0</v>
      </c>
      <c r="CJ188" s="217">
        <v>0</v>
      </c>
    </row>
    <row r="189" spans="1:88" x14ac:dyDescent="0.25">
      <c r="A189" s="217" t="s">
        <v>22</v>
      </c>
      <c r="B189" s="217" t="s">
        <v>23</v>
      </c>
      <c r="C189" s="217" t="s">
        <v>85</v>
      </c>
      <c r="D189" s="217" t="s">
        <v>84</v>
      </c>
      <c r="E189" s="217" t="s">
        <v>173</v>
      </c>
      <c r="F189" s="217" t="s">
        <v>172</v>
      </c>
      <c r="G189" s="217" t="s">
        <v>771</v>
      </c>
      <c r="H189" s="217" t="s">
        <v>986</v>
      </c>
      <c r="I189" s="217" t="s">
        <v>29</v>
      </c>
      <c r="J189" s="217" t="s">
        <v>1858</v>
      </c>
      <c r="K189" s="217">
        <v>4</v>
      </c>
      <c r="L189" s="217">
        <v>47</v>
      </c>
      <c r="M189" s="217" t="s">
        <v>31</v>
      </c>
      <c r="N189" s="217" t="s">
        <v>32</v>
      </c>
      <c r="O189" s="217" t="s">
        <v>68</v>
      </c>
      <c r="P189" s="217" t="s">
        <v>34</v>
      </c>
      <c r="Q189" s="217" t="s">
        <v>35</v>
      </c>
      <c r="R189" s="217" t="s">
        <v>23</v>
      </c>
      <c r="S189" s="217" t="s">
        <v>22</v>
      </c>
      <c r="T189" s="217" t="s">
        <v>84</v>
      </c>
      <c r="U189" s="217" t="s">
        <v>85</v>
      </c>
      <c r="V189" s="217" t="s">
        <v>91</v>
      </c>
      <c r="W189" s="217" t="s">
        <v>92</v>
      </c>
      <c r="BC189" s="217" t="s">
        <v>85</v>
      </c>
      <c r="BD189" s="217" t="s">
        <v>157</v>
      </c>
      <c r="BE189" s="217" t="s">
        <v>1024</v>
      </c>
      <c r="BF189" s="217" t="s">
        <v>337</v>
      </c>
      <c r="BG189" s="217" t="s">
        <v>1998</v>
      </c>
      <c r="BH189" s="217" t="s">
        <v>1658</v>
      </c>
      <c r="BI189" s="217" t="s">
        <v>1660</v>
      </c>
      <c r="BJ189" s="217" t="s">
        <v>1660</v>
      </c>
      <c r="BK189" s="217" t="s">
        <v>637</v>
      </c>
      <c r="BL189" s="217"/>
      <c r="BM189" s="217"/>
      <c r="BN189" s="217">
        <v>0</v>
      </c>
      <c r="BO189" s="217">
        <v>0</v>
      </c>
      <c r="BR189" s="217" t="s">
        <v>85</v>
      </c>
      <c r="BS189" s="217" t="s">
        <v>157</v>
      </c>
      <c r="BT189" s="217" t="s">
        <v>342</v>
      </c>
      <c r="BU189" s="217" t="s">
        <v>1029</v>
      </c>
      <c r="BV189" s="217">
        <v>99</v>
      </c>
      <c r="BW189" s="217">
        <v>619</v>
      </c>
      <c r="BX189" s="217">
        <v>0</v>
      </c>
      <c r="BY189" s="217">
        <v>0</v>
      </c>
      <c r="BZ189" s="217">
        <v>0</v>
      </c>
      <c r="CA189" s="217">
        <v>0</v>
      </c>
      <c r="CB189" s="217">
        <v>99</v>
      </c>
      <c r="CC189" s="217">
        <v>619</v>
      </c>
      <c r="CD189" s="217">
        <v>0</v>
      </c>
      <c r="CE189" s="217">
        <v>0</v>
      </c>
      <c r="CF189" s="217">
        <v>0</v>
      </c>
      <c r="CG189" s="217">
        <v>0</v>
      </c>
      <c r="CH189" s="217">
        <v>0</v>
      </c>
      <c r="CI189" s="217">
        <v>0</v>
      </c>
      <c r="CJ189" s="217">
        <v>0</v>
      </c>
    </row>
    <row r="190" spans="1:88" x14ac:dyDescent="0.25">
      <c r="A190" s="217" t="s">
        <v>22</v>
      </c>
      <c r="B190" s="217" t="s">
        <v>23</v>
      </c>
      <c r="C190" s="217" t="s">
        <v>85</v>
      </c>
      <c r="D190" s="217" t="s">
        <v>84</v>
      </c>
      <c r="E190" s="217" t="s">
        <v>173</v>
      </c>
      <c r="F190" s="217" t="s">
        <v>172</v>
      </c>
      <c r="G190" s="217" t="s">
        <v>305</v>
      </c>
      <c r="H190" s="217" t="s">
        <v>987</v>
      </c>
      <c r="I190" s="217" t="s">
        <v>29</v>
      </c>
      <c r="J190" s="217" t="s">
        <v>1856</v>
      </c>
      <c r="K190" s="217">
        <v>9</v>
      </c>
      <c r="L190" s="217">
        <v>62</v>
      </c>
      <c r="M190" s="217" t="s">
        <v>31</v>
      </c>
      <c r="N190" s="217" t="s">
        <v>32</v>
      </c>
      <c r="O190" s="217" t="s">
        <v>68</v>
      </c>
      <c r="P190" s="217" t="s">
        <v>34</v>
      </c>
      <c r="Q190" s="217" t="s">
        <v>35</v>
      </c>
      <c r="R190" s="217" t="s">
        <v>23</v>
      </c>
      <c r="S190" s="217" t="s">
        <v>22</v>
      </c>
      <c r="T190" s="217" t="s">
        <v>84</v>
      </c>
      <c r="U190" s="217" t="s">
        <v>85</v>
      </c>
      <c r="V190" s="217" t="s">
        <v>91</v>
      </c>
      <c r="W190" s="217" t="s">
        <v>92</v>
      </c>
      <c r="BC190" s="217" t="s">
        <v>85</v>
      </c>
      <c r="BD190" s="217" t="s">
        <v>157</v>
      </c>
      <c r="BE190" s="217" t="s">
        <v>1025</v>
      </c>
      <c r="BF190" s="217" t="s">
        <v>338</v>
      </c>
      <c r="BG190" s="217" t="s">
        <v>1998</v>
      </c>
      <c r="BH190" s="217" t="s">
        <v>1658</v>
      </c>
      <c r="BI190" s="217" t="s">
        <v>1660</v>
      </c>
      <c r="BJ190" s="217" t="s">
        <v>1660</v>
      </c>
      <c r="BK190" s="217" t="s">
        <v>637</v>
      </c>
      <c r="BL190" s="217"/>
      <c r="BM190" s="217"/>
      <c r="BN190" s="217">
        <v>0</v>
      </c>
      <c r="BO190" s="217">
        <v>0</v>
      </c>
      <c r="BR190" s="217" t="s">
        <v>85</v>
      </c>
      <c r="BS190" s="217" t="s">
        <v>157</v>
      </c>
      <c r="BT190" s="217" t="s">
        <v>346</v>
      </c>
      <c r="BU190" s="217" t="s">
        <v>1033</v>
      </c>
      <c r="BV190" s="217">
        <v>54</v>
      </c>
      <c r="BW190" s="217">
        <v>354</v>
      </c>
      <c r="BX190" s="217">
        <v>0</v>
      </c>
      <c r="BY190" s="217">
        <v>0</v>
      </c>
      <c r="BZ190" s="217">
        <v>0</v>
      </c>
      <c r="CA190" s="217">
        <v>0</v>
      </c>
      <c r="CB190" s="217">
        <v>54</v>
      </c>
      <c r="CC190" s="217">
        <v>354</v>
      </c>
      <c r="CD190" s="217">
        <v>0</v>
      </c>
      <c r="CE190" s="217">
        <v>0</v>
      </c>
      <c r="CF190" s="217">
        <v>0</v>
      </c>
      <c r="CG190" s="217">
        <v>0</v>
      </c>
      <c r="CH190" s="217">
        <v>0</v>
      </c>
      <c r="CI190" s="217">
        <v>0</v>
      </c>
      <c r="CJ190" s="217">
        <v>0</v>
      </c>
    </row>
    <row r="191" spans="1:88" x14ac:dyDescent="0.25">
      <c r="A191" s="217" t="s">
        <v>22</v>
      </c>
      <c r="B191" s="217" t="s">
        <v>23</v>
      </c>
      <c r="C191" s="217" t="s">
        <v>85</v>
      </c>
      <c r="D191" s="217" t="s">
        <v>84</v>
      </c>
      <c r="E191" s="217" t="s">
        <v>173</v>
      </c>
      <c r="F191" s="217" t="s">
        <v>172</v>
      </c>
      <c r="G191" s="217" t="s">
        <v>306</v>
      </c>
      <c r="H191" s="217" t="s">
        <v>988</v>
      </c>
      <c r="I191" s="217" t="s">
        <v>29</v>
      </c>
      <c r="J191" s="217" t="s">
        <v>1856</v>
      </c>
      <c r="K191" s="217">
        <v>11</v>
      </c>
      <c r="L191" s="217">
        <v>66</v>
      </c>
      <c r="M191" s="217" t="s">
        <v>31</v>
      </c>
      <c r="N191" s="217" t="s">
        <v>32</v>
      </c>
      <c r="O191" s="217" t="s">
        <v>68</v>
      </c>
      <c r="P191" s="217" t="s">
        <v>34</v>
      </c>
      <c r="Q191" s="217" t="s">
        <v>35</v>
      </c>
      <c r="R191" s="217" t="s">
        <v>23</v>
      </c>
      <c r="S191" s="217" t="s">
        <v>22</v>
      </c>
      <c r="T191" s="217" t="s">
        <v>84</v>
      </c>
      <c r="U191" s="217" t="s">
        <v>85</v>
      </c>
      <c r="V191" s="217" t="s">
        <v>91</v>
      </c>
      <c r="W191" s="217" t="s">
        <v>92</v>
      </c>
      <c r="BC191" s="217" t="s">
        <v>85</v>
      </c>
      <c r="BD191" s="217" t="s">
        <v>157</v>
      </c>
      <c r="BE191" s="217" t="s">
        <v>1026</v>
      </c>
      <c r="BF191" s="217" t="s">
        <v>339</v>
      </c>
      <c r="BG191" s="217" t="s">
        <v>1998</v>
      </c>
      <c r="BH191" s="217" t="s">
        <v>1658</v>
      </c>
      <c r="BI191" s="217" t="s">
        <v>1658</v>
      </c>
      <c r="BJ191" s="217" t="s">
        <v>1660</v>
      </c>
      <c r="BK191" s="217" t="s">
        <v>637</v>
      </c>
      <c r="BL191" s="217"/>
      <c r="BM191" s="217"/>
      <c r="BN191" s="217">
        <v>0</v>
      </c>
      <c r="BO191" s="217">
        <v>0</v>
      </c>
      <c r="BR191" s="217" t="s">
        <v>85</v>
      </c>
      <c r="BS191" s="217" t="s">
        <v>157</v>
      </c>
      <c r="BT191" s="217" t="s">
        <v>334</v>
      </c>
      <c r="BU191" s="217" t="s">
        <v>1021</v>
      </c>
      <c r="BV191" s="217">
        <v>256</v>
      </c>
      <c r="BW191" s="217">
        <v>1274</v>
      </c>
      <c r="BX191" s="217">
        <v>0</v>
      </c>
      <c r="BY191" s="217">
        <v>0</v>
      </c>
      <c r="BZ191" s="217">
        <v>0</v>
      </c>
      <c r="CA191" s="217">
        <v>0</v>
      </c>
      <c r="CB191" s="217">
        <v>256</v>
      </c>
      <c r="CC191" s="217">
        <v>1274</v>
      </c>
      <c r="CD191" s="217">
        <v>0</v>
      </c>
      <c r="CE191" s="217">
        <v>0</v>
      </c>
      <c r="CF191" s="217">
        <v>0</v>
      </c>
      <c r="CG191" s="217">
        <v>0</v>
      </c>
      <c r="CH191" s="217">
        <v>0</v>
      </c>
      <c r="CI191" s="217">
        <v>0</v>
      </c>
      <c r="CJ191" s="217">
        <v>0</v>
      </c>
    </row>
    <row r="192" spans="1:88" x14ac:dyDescent="0.25">
      <c r="A192" s="217" t="s">
        <v>22</v>
      </c>
      <c r="B192" s="217" t="s">
        <v>23</v>
      </c>
      <c r="C192" s="217" t="s">
        <v>85</v>
      </c>
      <c r="D192" s="217" t="s">
        <v>84</v>
      </c>
      <c r="E192" s="217" t="s">
        <v>173</v>
      </c>
      <c r="F192" s="217" t="s">
        <v>172</v>
      </c>
      <c r="G192" s="217" t="s">
        <v>307</v>
      </c>
      <c r="H192" s="217" t="s">
        <v>989</v>
      </c>
      <c r="I192" s="217" t="s">
        <v>29</v>
      </c>
      <c r="J192" s="217" t="s">
        <v>1856</v>
      </c>
      <c r="K192" s="217">
        <v>12</v>
      </c>
      <c r="L192" s="217">
        <v>81</v>
      </c>
      <c r="M192" s="217" t="s">
        <v>31</v>
      </c>
      <c r="N192" s="217" t="s">
        <v>32</v>
      </c>
      <c r="O192" s="217" t="s">
        <v>68</v>
      </c>
      <c r="P192" s="217" t="s">
        <v>34</v>
      </c>
      <c r="Q192" s="217" t="s">
        <v>35</v>
      </c>
      <c r="R192" s="217" t="s">
        <v>23</v>
      </c>
      <c r="S192" s="217" t="s">
        <v>22</v>
      </c>
      <c r="T192" s="217" t="s">
        <v>84</v>
      </c>
      <c r="U192" s="217" t="s">
        <v>85</v>
      </c>
      <c r="V192" s="217" t="s">
        <v>91</v>
      </c>
      <c r="W192" s="217" t="s">
        <v>92</v>
      </c>
      <c r="BC192" s="217" t="s">
        <v>85</v>
      </c>
      <c r="BD192" s="217" t="s">
        <v>157</v>
      </c>
      <c r="BE192" s="217" t="s">
        <v>1027</v>
      </c>
      <c r="BF192" s="217" t="s">
        <v>340</v>
      </c>
      <c r="BG192" s="217" t="s">
        <v>1998</v>
      </c>
      <c r="BH192" s="217" t="s">
        <v>1658</v>
      </c>
      <c r="BI192" s="217" t="s">
        <v>1660</v>
      </c>
      <c r="BJ192" s="217" t="s">
        <v>1660</v>
      </c>
      <c r="BK192" s="217" t="s">
        <v>637</v>
      </c>
      <c r="BL192" s="217"/>
      <c r="BM192" s="217"/>
      <c r="BN192" s="217">
        <v>0</v>
      </c>
      <c r="BO192" s="217">
        <v>0</v>
      </c>
      <c r="BR192" s="217" t="s">
        <v>85</v>
      </c>
      <c r="BS192" s="217" t="s">
        <v>157</v>
      </c>
      <c r="BT192" s="217" t="s">
        <v>358</v>
      </c>
      <c r="BU192" s="217" t="s">
        <v>1046</v>
      </c>
      <c r="BV192" s="217">
        <v>66</v>
      </c>
      <c r="BW192" s="217">
        <v>380</v>
      </c>
      <c r="BX192" s="217">
        <v>0</v>
      </c>
      <c r="BY192" s="217">
        <v>0</v>
      </c>
      <c r="BZ192" s="217">
        <v>0</v>
      </c>
      <c r="CA192" s="217">
        <v>0</v>
      </c>
      <c r="CB192" s="217">
        <v>66</v>
      </c>
      <c r="CC192" s="217">
        <v>380</v>
      </c>
      <c r="CD192" s="217">
        <v>0</v>
      </c>
      <c r="CE192" s="217">
        <v>0</v>
      </c>
      <c r="CF192" s="217">
        <v>0</v>
      </c>
      <c r="CG192" s="217">
        <v>0</v>
      </c>
      <c r="CH192" s="217">
        <v>0</v>
      </c>
      <c r="CI192" s="217">
        <v>0</v>
      </c>
      <c r="CJ192" s="217">
        <v>0</v>
      </c>
    </row>
    <row r="193" spans="1:88" x14ac:dyDescent="0.25">
      <c r="A193" s="217" t="s">
        <v>22</v>
      </c>
      <c r="B193" s="217" t="s">
        <v>23</v>
      </c>
      <c r="C193" s="217" t="s">
        <v>85</v>
      </c>
      <c r="D193" s="217" t="s">
        <v>84</v>
      </c>
      <c r="E193" s="217" t="s">
        <v>173</v>
      </c>
      <c r="F193" s="217" t="s">
        <v>172</v>
      </c>
      <c r="G193" s="217" t="s">
        <v>772</v>
      </c>
      <c r="H193" s="217" t="s">
        <v>990</v>
      </c>
      <c r="I193" s="217" t="s">
        <v>29</v>
      </c>
      <c r="J193" s="217" t="s">
        <v>1858</v>
      </c>
      <c r="K193" s="217">
        <v>4</v>
      </c>
      <c r="L193" s="217">
        <v>38</v>
      </c>
      <c r="M193" s="217" t="s">
        <v>31</v>
      </c>
      <c r="N193" s="217" t="s">
        <v>32</v>
      </c>
      <c r="O193" s="217" t="s">
        <v>68</v>
      </c>
      <c r="P193" s="217" t="s">
        <v>34</v>
      </c>
      <c r="Q193" s="217" t="s">
        <v>35</v>
      </c>
      <c r="R193" s="217" t="s">
        <v>23</v>
      </c>
      <c r="S193" s="217" t="s">
        <v>22</v>
      </c>
      <c r="T193" s="217" t="s">
        <v>84</v>
      </c>
      <c r="U193" s="217" t="s">
        <v>85</v>
      </c>
      <c r="V193" s="217" t="s">
        <v>97</v>
      </c>
      <c r="W193" s="217" t="s">
        <v>98</v>
      </c>
      <c r="BC193" s="217" t="s">
        <v>85</v>
      </c>
      <c r="BD193" s="217" t="s">
        <v>157</v>
      </c>
      <c r="BE193" s="217" t="s">
        <v>1028</v>
      </c>
      <c r="BF193" s="217" t="s">
        <v>341</v>
      </c>
      <c r="BG193" s="217" t="s">
        <v>1998</v>
      </c>
      <c r="BH193" s="217" t="s">
        <v>1658</v>
      </c>
      <c r="BI193" s="217" t="s">
        <v>1660</v>
      </c>
      <c r="BJ193" s="217" t="s">
        <v>1660</v>
      </c>
      <c r="BK193" s="217" t="s">
        <v>637</v>
      </c>
      <c r="BL193" s="217"/>
      <c r="BM193" s="217"/>
      <c r="BN193" s="217">
        <v>0</v>
      </c>
      <c r="BO193" s="217">
        <v>0</v>
      </c>
      <c r="BR193" s="217" t="s">
        <v>85</v>
      </c>
      <c r="BS193" s="217" t="s">
        <v>157</v>
      </c>
      <c r="BT193" s="217" t="s">
        <v>355</v>
      </c>
      <c r="BU193" s="217" t="s">
        <v>1042</v>
      </c>
      <c r="BV193" s="217">
        <v>6</v>
      </c>
      <c r="BW193" s="217">
        <v>37</v>
      </c>
      <c r="BX193" s="217">
        <v>0</v>
      </c>
      <c r="BY193" s="217">
        <v>0</v>
      </c>
      <c r="BZ193" s="217">
        <v>0</v>
      </c>
      <c r="CA193" s="217">
        <v>0</v>
      </c>
      <c r="CB193" s="217">
        <v>7</v>
      </c>
      <c r="CC193" s="217">
        <v>39</v>
      </c>
      <c r="CD193" s="217">
        <v>0</v>
      </c>
      <c r="CE193" s="217">
        <v>0</v>
      </c>
      <c r="CF193" s="217">
        <v>0</v>
      </c>
      <c r="CG193" s="217">
        <v>0</v>
      </c>
      <c r="CH193" s="217">
        <v>-2</v>
      </c>
      <c r="CI193" s="217">
        <v>0</v>
      </c>
      <c r="CJ193" s="217">
        <v>0</v>
      </c>
    </row>
    <row r="194" spans="1:88" x14ac:dyDescent="0.25">
      <c r="A194" s="217" t="s">
        <v>22</v>
      </c>
      <c r="B194" s="217" t="s">
        <v>23</v>
      </c>
      <c r="C194" s="217" t="s">
        <v>85</v>
      </c>
      <c r="D194" s="217" t="s">
        <v>84</v>
      </c>
      <c r="E194" s="217" t="s">
        <v>173</v>
      </c>
      <c r="F194" s="217" t="s">
        <v>172</v>
      </c>
      <c r="G194" s="217" t="s">
        <v>308</v>
      </c>
      <c r="H194" s="217" t="s">
        <v>991</v>
      </c>
      <c r="I194" s="217" t="s">
        <v>29</v>
      </c>
      <c r="J194" s="217" t="s">
        <v>1856</v>
      </c>
      <c r="K194" s="217">
        <v>7</v>
      </c>
      <c r="L194" s="217">
        <v>32</v>
      </c>
      <c r="M194" s="217" t="s">
        <v>31</v>
      </c>
      <c r="N194" s="217" t="s">
        <v>32</v>
      </c>
      <c r="O194" s="217" t="s">
        <v>68</v>
      </c>
      <c r="P194" s="217" t="s">
        <v>34</v>
      </c>
      <c r="Q194" s="217" t="s">
        <v>35</v>
      </c>
      <c r="R194" s="217" t="s">
        <v>23</v>
      </c>
      <c r="S194" s="217" t="s">
        <v>22</v>
      </c>
      <c r="T194" s="217" t="s">
        <v>84</v>
      </c>
      <c r="U194" s="217" t="s">
        <v>85</v>
      </c>
      <c r="V194" s="217" t="s">
        <v>91</v>
      </c>
      <c r="W194" s="217" t="s">
        <v>92</v>
      </c>
      <c r="BC194" s="217" t="s">
        <v>85</v>
      </c>
      <c r="BD194" s="217" t="s">
        <v>157</v>
      </c>
      <c r="BE194" s="217" t="s">
        <v>1029</v>
      </c>
      <c r="BF194" s="217" t="s">
        <v>342</v>
      </c>
      <c r="BG194" s="217" t="s">
        <v>1998</v>
      </c>
      <c r="BH194" s="217" t="s">
        <v>1658</v>
      </c>
      <c r="BI194" s="217" t="s">
        <v>1660</v>
      </c>
      <c r="BJ194" s="217" t="s">
        <v>1660</v>
      </c>
      <c r="BK194" s="217" t="s">
        <v>637</v>
      </c>
      <c r="BL194" s="217"/>
      <c r="BM194" s="217"/>
      <c r="BN194" s="217">
        <v>0</v>
      </c>
      <c r="BO194" s="217">
        <v>0</v>
      </c>
      <c r="BR194" s="217" t="s">
        <v>85</v>
      </c>
      <c r="BS194" s="217" t="s">
        <v>157</v>
      </c>
      <c r="BT194" s="217" t="s">
        <v>340</v>
      </c>
      <c r="BU194" s="217" t="s">
        <v>1027</v>
      </c>
      <c r="BV194" s="217">
        <v>12</v>
      </c>
      <c r="BW194" s="217">
        <v>42</v>
      </c>
      <c r="BX194" s="217">
        <v>0</v>
      </c>
      <c r="BY194" s="217">
        <v>0</v>
      </c>
      <c r="BZ194" s="217">
        <v>0</v>
      </c>
      <c r="CA194" s="217">
        <v>0</v>
      </c>
      <c r="CB194" s="217">
        <v>12</v>
      </c>
      <c r="CC194" s="217">
        <v>42</v>
      </c>
      <c r="CD194" s="217">
        <v>0</v>
      </c>
      <c r="CE194" s="217">
        <v>0</v>
      </c>
      <c r="CF194" s="217">
        <v>0</v>
      </c>
      <c r="CG194" s="217">
        <v>0</v>
      </c>
      <c r="CH194" s="217">
        <v>0</v>
      </c>
      <c r="CI194" s="217">
        <v>0</v>
      </c>
      <c r="CJ194" s="217">
        <v>0</v>
      </c>
    </row>
    <row r="195" spans="1:88" x14ac:dyDescent="0.25">
      <c r="A195" s="217" t="s">
        <v>22</v>
      </c>
      <c r="B195" s="217" t="s">
        <v>23</v>
      </c>
      <c r="C195" s="217" t="s">
        <v>85</v>
      </c>
      <c r="D195" s="217" t="s">
        <v>84</v>
      </c>
      <c r="E195" s="217" t="s">
        <v>173</v>
      </c>
      <c r="F195" s="217" t="s">
        <v>172</v>
      </c>
      <c r="G195" s="217" t="s">
        <v>309</v>
      </c>
      <c r="H195" s="217" t="s">
        <v>992</v>
      </c>
      <c r="I195" s="217" t="s">
        <v>29</v>
      </c>
      <c r="J195" s="217" t="s">
        <v>1856</v>
      </c>
      <c r="K195" s="217">
        <v>2</v>
      </c>
      <c r="L195" s="217">
        <v>15</v>
      </c>
      <c r="M195" s="217" t="s">
        <v>31</v>
      </c>
      <c r="N195" s="217" t="s">
        <v>32</v>
      </c>
      <c r="O195" s="217" t="s">
        <v>68</v>
      </c>
      <c r="P195" s="217" t="s">
        <v>34</v>
      </c>
      <c r="Q195" s="217" t="s">
        <v>35</v>
      </c>
      <c r="R195" s="217" t="s">
        <v>23</v>
      </c>
      <c r="S195" s="217" t="s">
        <v>22</v>
      </c>
      <c r="T195" s="217" t="s">
        <v>84</v>
      </c>
      <c r="U195" s="217" t="s">
        <v>85</v>
      </c>
      <c r="V195" s="217" t="s">
        <v>91</v>
      </c>
      <c r="W195" s="217" t="s">
        <v>92</v>
      </c>
      <c r="BC195" s="217" t="s">
        <v>85</v>
      </c>
      <c r="BD195" s="217" t="s">
        <v>157</v>
      </c>
      <c r="BE195" s="217" t="s">
        <v>1030</v>
      </c>
      <c r="BF195" s="217" t="s">
        <v>343</v>
      </c>
      <c r="BG195" s="217" t="s">
        <v>2006</v>
      </c>
      <c r="BH195" s="217" t="s">
        <v>1658</v>
      </c>
      <c r="BI195" s="217" t="s">
        <v>1660</v>
      </c>
      <c r="BJ195" s="217" t="s">
        <v>1660</v>
      </c>
      <c r="BK195" s="217" t="s">
        <v>637</v>
      </c>
      <c r="BL195" s="217"/>
      <c r="BM195" s="217"/>
      <c r="BN195" s="217">
        <v>0</v>
      </c>
      <c r="BO195" s="217">
        <v>0</v>
      </c>
      <c r="BR195" s="217" t="s">
        <v>85</v>
      </c>
      <c r="BS195" s="217" t="s">
        <v>157</v>
      </c>
      <c r="BT195" s="217" t="s">
        <v>339</v>
      </c>
      <c r="BU195" s="217" t="s">
        <v>1026</v>
      </c>
      <c r="BV195" s="217">
        <v>16</v>
      </c>
      <c r="BW195" s="217">
        <v>64</v>
      </c>
      <c r="BX195" s="217">
        <v>5</v>
      </c>
      <c r="BY195" s="217">
        <v>21</v>
      </c>
      <c r="BZ195" s="217">
        <v>0</v>
      </c>
      <c r="CA195" s="217">
        <v>0</v>
      </c>
      <c r="CB195" s="217">
        <v>16</v>
      </c>
      <c r="CC195" s="217">
        <v>64</v>
      </c>
      <c r="CD195" s="217">
        <v>5</v>
      </c>
      <c r="CE195" s="217">
        <v>21</v>
      </c>
      <c r="CF195" s="217">
        <v>0</v>
      </c>
      <c r="CG195" s="217">
        <v>0</v>
      </c>
      <c r="CH195" s="217">
        <v>0</v>
      </c>
      <c r="CI195" s="217">
        <v>0</v>
      </c>
      <c r="CJ195" s="217">
        <v>0</v>
      </c>
    </row>
    <row r="196" spans="1:88" x14ac:dyDescent="0.25">
      <c r="A196" s="217" t="s">
        <v>22</v>
      </c>
      <c r="B196" s="217" t="s">
        <v>23</v>
      </c>
      <c r="C196" s="217" t="s">
        <v>85</v>
      </c>
      <c r="D196" s="217" t="s">
        <v>84</v>
      </c>
      <c r="E196" s="217" t="s">
        <v>173</v>
      </c>
      <c r="F196" s="217" t="s">
        <v>172</v>
      </c>
      <c r="G196" s="217" t="s">
        <v>309</v>
      </c>
      <c r="H196" s="217" t="s">
        <v>992</v>
      </c>
      <c r="I196" s="217" t="s">
        <v>29</v>
      </c>
      <c r="J196" s="217" t="s">
        <v>1857</v>
      </c>
      <c r="K196" s="217">
        <v>1</v>
      </c>
      <c r="L196" s="217">
        <v>7</v>
      </c>
      <c r="M196" s="217" t="s">
        <v>31</v>
      </c>
      <c r="N196" s="217" t="s">
        <v>32</v>
      </c>
      <c r="O196" s="217" t="s">
        <v>68</v>
      </c>
      <c r="P196" s="217" t="s">
        <v>34</v>
      </c>
      <c r="Q196" s="217" t="s">
        <v>35</v>
      </c>
      <c r="R196" s="217" t="s">
        <v>23</v>
      </c>
      <c r="S196" s="217" t="s">
        <v>22</v>
      </c>
      <c r="T196" s="217" t="s">
        <v>84</v>
      </c>
      <c r="U196" s="217" t="s">
        <v>85</v>
      </c>
      <c r="V196" s="217" t="s">
        <v>91</v>
      </c>
      <c r="W196" s="217" t="s">
        <v>92</v>
      </c>
      <c r="BC196" s="217" t="s">
        <v>85</v>
      </c>
      <c r="BD196" s="217" t="s">
        <v>157</v>
      </c>
      <c r="BE196" s="217" t="s">
        <v>1031</v>
      </c>
      <c r="BF196" s="217" t="s">
        <v>344</v>
      </c>
      <c r="BG196" s="217" t="s">
        <v>1998</v>
      </c>
      <c r="BH196" s="217" t="s">
        <v>1658</v>
      </c>
      <c r="BI196" s="217" t="s">
        <v>1660</v>
      </c>
      <c r="BJ196" s="217" t="s">
        <v>1660</v>
      </c>
      <c r="BK196" s="217" t="s">
        <v>637</v>
      </c>
      <c r="BL196" s="217"/>
      <c r="BM196" s="217"/>
      <c r="BN196" s="217">
        <v>0</v>
      </c>
      <c r="BO196" s="217">
        <v>0</v>
      </c>
      <c r="BR196" s="217" t="s">
        <v>85</v>
      </c>
      <c r="BS196" s="217" t="s">
        <v>157</v>
      </c>
      <c r="BT196" s="217" t="s">
        <v>363</v>
      </c>
      <c r="BU196" s="217" t="s">
        <v>1051</v>
      </c>
      <c r="BV196" s="217">
        <v>44</v>
      </c>
      <c r="BW196" s="217">
        <v>236</v>
      </c>
      <c r="BX196" s="217">
        <v>0</v>
      </c>
      <c r="BY196" s="217">
        <v>0</v>
      </c>
      <c r="BZ196" s="217">
        <v>0</v>
      </c>
      <c r="CA196" s="217">
        <v>0</v>
      </c>
      <c r="CB196" s="217">
        <v>44</v>
      </c>
      <c r="CC196" s="217">
        <v>236</v>
      </c>
      <c r="CD196" s="217">
        <v>0</v>
      </c>
      <c r="CE196" s="217">
        <v>0</v>
      </c>
      <c r="CF196" s="217">
        <v>0</v>
      </c>
      <c r="CG196" s="217">
        <v>0</v>
      </c>
      <c r="CH196" s="217">
        <v>0</v>
      </c>
      <c r="CI196" s="217">
        <v>0</v>
      </c>
      <c r="CJ196" s="217">
        <v>0</v>
      </c>
    </row>
    <row r="197" spans="1:88" x14ac:dyDescent="0.25">
      <c r="A197" s="217" t="s">
        <v>22</v>
      </c>
      <c r="B197" s="217" t="s">
        <v>23</v>
      </c>
      <c r="C197" s="217" t="s">
        <v>85</v>
      </c>
      <c r="D197" s="217" t="s">
        <v>84</v>
      </c>
      <c r="E197" s="217" t="s">
        <v>173</v>
      </c>
      <c r="F197" s="217" t="s">
        <v>172</v>
      </c>
      <c r="G197" s="217" t="s">
        <v>310</v>
      </c>
      <c r="H197" s="217" t="s">
        <v>993</v>
      </c>
      <c r="I197" s="217" t="s">
        <v>29</v>
      </c>
      <c r="J197" s="217" t="s">
        <v>1857</v>
      </c>
      <c r="K197" s="217">
        <v>8</v>
      </c>
      <c r="L197" s="217">
        <v>41</v>
      </c>
      <c r="M197" s="217" t="s">
        <v>31</v>
      </c>
      <c r="N197" s="217" t="s">
        <v>32</v>
      </c>
      <c r="O197" s="217" t="s">
        <v>68</v>
      </c>
      <c r="P197" s="217" t="s">
        <v>34</v>
      </c>
      <c r="Q197" s="217" t="s">
        <v>35</v>
      </c>
      <c r="R197" s="217" t="s">
        <v>23</v>
      </c>
      <c r="S197" s="217" t="s">
        <v>22</v>
      </c>
      <c r="T197" s="217" t="s">
        <v>84</v>
      </c>
      <c r="U197" s="217" t="s">
        <v>85</v>
      </c>
      <c r="V197" s="217" t="s">
        <v>97</v>
      </c>
      <c r="W197" s="217" t="s">
        <v>98</v>
      </c>
      <c r="BC197" s="217" t="s">
        <v>85</v>
      </c>
      <c r="BD197" s="217" t="s">
        <v>157</v>
      </c>
      <c r="BE197" s="217" t="s">
        <v>1032</v>
      </c>
      <c r="BF197" s="217" t="s">
        <v>345</v>
      </c>
      <c r="BG197" s="217" t="s">
        <v>1998</v>
      </c>
      <c r="BH197" s="217" t="s">
        <v>1658</v>
      </c>
      <c r="BI197" s="217" t="s">
        <v>1660</v>
      </c>
      <c r="BJ197" s="217" t="s">
        <v>1658</v>
      </c>
      <c r="BK197" s="217" t="s">
        <v>637</v>
      </c>
      <c r="BL197" s="217"/>
      <c r="BM197" s="217"/>
      <c r="BN197" s="217">
        <v>0</v>
      </c>
      <c r="BO197" s="217">
        <v>0</v>
      </c>
      <c r="BR197" s="217" t="s">
        <v>85</v>
      </c>
      <c r="BS197" s="217" t="s">
        <v>157</v>
      </c>
      <c r="BT197" s="217" t="s">
        <v>336</v>
      </c>
      <c r="BU197" s="217" t="s">
        <v>1023</v>
      </c>
      <c r="BV197" s="217">
        <v>126</v>
      </c>
      <c r="BW197" s="217">
        <v>641</v>
      </c>
      <c r="BX197" s="217">
        <v>0</v>
      </c>
      <c r="BY197" s="217">
        <v>0</v>
      </c>
      <c r="BZ197" s="217">
        <v>0</v>
      </c>
      <c r="CA197" s="217">
        <v>0</v>
      </c>
      <c r="CB197" s="217">
        <v>126</v>
      </c>
      <c r="CC197" s="217">
        <v>641</v>
      </c>
      <c r="CD197" s="217">
        <v>0</v>
      </c>
      <c r="CE197" s="217">
        <v>0</v>
      </c>
      <c r="CF197" s="217">
        <v>0</v>
      </c>
      <c r="CG197" s="217">
        <v>0</v>
      </c>
      <c r="CH197" s="217">
        <v>0</v>
      </c>
      <c r="CI197" s="217">
        <v>0</v>
      </c>
      <c r="CJ197" s="217">
        <v>0</v>
      </c>
    </row>
    <row r="198" spans="1:88" x14ac:dyDescent="0.25">
      <c r="A198" s="217" t="s">
        <v>22</v>
      </c>
      <c r="B198" s="217" t="s">
        <v>23</v>
      </c>
      <c r="C198" s="217" t="s">
        <v>85</v>
      </c>
      <c r="D198" s="217" t="s">
        <v>84</v>
      </c>
      <c r="E198" s="217" t="s">
        <v>173</v>
      </c>
      <c r="F198" s="217" t="s">
        <v>172</v>
      </c>
      <c r="G198" s="217" t="s">
        <v>311</v>
      </c>
      <c r="H198" s="217" t="s">
        <v>994</v>
      </c>
      <c r="I198" s="217" t="s">
        <v>29</v>
      </c>
      <c r="J198" s="217" t="s">
        <v>1856</v>
      </c>
      <c r="K198" s="217">
        <v>10</v>
      </c>
      <c r="L198" s="217">
        <v>62</v>
      </c>
      <c r="M198" s="217" t="s">
        <v>31</v>
      </c>
      <c r="N198" s="217" t="s">
        <v>32</v>
      </c>
      <c r="O198" s="217" t="s">
        <v>68</v>
      </c>
      <c r="P198" s="217" t="s">
        <v>34</v>
      </c>
      <c r="Q198" s="217" t="s">
        <v>35</v>
      </c>
      <c r="R198" s="217" t="s">
        <v>23</v>
      </c>
      <c r="S198" s="217" t="s">
        <v>22</v>
      </c>
      <c r="T198" s="217" t="s">
        <v>84</v>
      </c>
      <c r="U198" s="217" t="s">
        <v>85</v>
      </c>
      <c r="V198" s="217" t="s">
        <v>91</v>
      </c>
      <c r="W198" s="217" t="s">
        <v>92</v>
      </c>
      <c r="BC198" s="217" t="s">
        <v>85</v>
      </c>
      <c r="BD198" s="217" t="s">
        <v>157</v>
      </c>
      <c r="BE198" s="217" t="s">
        <v>1033</v>
      </c>
      <c r="BF198" s="217" t="s">
        <v>346</v>
      </c>
      <c r="BG198" s="217" t="s">
        <v>1998</v>
      </c>
      <c r="BH198" s="217" t="s">
        <v>1658</v>
      </c>
      <c r="BI198" s="217" t="s">
        <v>1660</v>
      </c>
      <c r="BJ198" s="217" t="s">
        <v>1660</v>
      </c>
      <c r="BK198" s="217" t="s">
        <v>637</v>
      </c>
      <c r="BL198" s="217"/>
      <c r="BM198" s="217"/>
      <c r="BN198" s="217">
        <v>0</v>
      </c>
      <c r="BO198" s="217">
        <v>0</v>
      </c>
      <c r="BR198" s="217" t="s">
        <v>85</v>
      </c>
      <c r="BS198" s="217" t="s">
        <v>157</v>
      </c>
      <c r="BT198" s="217" t="s">
        <v>362</v>
      </c>
      <c r="BU198" s="217" t="s">
        <v>1050</v>
      </c>
      <c r="BV198" s="217">
        <v>4</v>
      </c>
      <c r="BW198" s="217">
        <v>50</v>
      </c>
      <c r="BX198" s="217">
        <v>0</v>
      </c>
      <c r="BY198" s="217">
        <v>0</v>
      </c>
      <c r="BZ198" s="217">
        <v>0</v>
      </c>
      <c r="CA198" s="217">
        <v>0</v>
      </c>
      <c r="CB198" s="217">
        <v>4</v>
      </c>
      <c r="CC198" s="217">
        <v>50</v>
      </c>
      <c r="CD198" s="217">
        <v>0</v>
      </c>
      <c r="CE198" s="217">
        <v>0</v>
      </c>
      <c r="CF198" s="217">
        <v>0</v>
      </c>
      <c r="CG198" s="217">
        <v>0</v>
      </c>
      <c r="CH198" s="217">
        <v>0</v>
      </c>
      <c r="CI198" s="217">
        <v>0</v>
      </c>
      <c r="CJ198" s="217">
        <v>0</v>
      </c>
    </row>
    <row r="199" spans="1:88" x14ac:dyDescent="0.25">
      <c r="A199" s="217" t="s">
        <v>22</v>
      </c>
      <c r="B199" s="217" t="s">
        <v>23</v>
      </c>
      <c r="C199" s="217" t="s">
        <v>85</v>
      </c>
      <c r="D199" s="217" t="s">
        <v>84</v>
      </c>
      <c r="E199" s="217" t="s">
        <v>173</v>
      </c>
      <c r="F199" s="217" t="s">
        <v>172</v>
      </c>
      <c r="G199" s="217" t="s">
        <v>312</v>
      </c>
      <c r="H199" s="217" t="s">
        <v>995</v>
      </c>
      <c r="I199" s="217" t="s">
        <v>29</v>
      </c>
      <c r="J199" s="217" t="s">
        <v>1855</v>
      </c>
      <c r="K199" s="217">
        <v>6</v>
      </c>
      <c r="L199" s="217">
        <v>32</v>
      </c>
      <c r="M199" s="217" t="s">
        <v>31</v>
      </c>
      <c r="N199" s="217" t="s">
        <v>32</v>
      </c>
      <c r="O199" s="217" t="s">
        <v>68</v>
      </c>
      <c r="P199" s="217" t="s">
        <v>34</v>
      </c>
      <c r="Q199" s="217" t="s">
        <v>35</v>
      </c>
      <c r="R199" s="217" t="s">
        <v>23</v>
      </c>
      <c r="S199" s="217" t="s">
        <v>22</v>
      </c>
      <c r="T199" s="217" t="s">
        <v>84</v>
      </c>
      <c r="U199" s="217" t="s">
        <v>85</v>
      </c>
      <c r="V199" s="217" t="s">
        <v>91</v>
      </c>
      <c r="W199" s="217" t="s">
        <v>92</v>
      </c>
      <c r="BC199" s="217" t="s">
        <v>85</v>
      </c>
      <c r="BD199" s="217" t="s">
        <v>157</v>
      </c>
      <c r="BE199" s="217" t="s">
        <v>1034</v>
      </c>
      <c r="BF199" s="217" t="s">
        <v>347</v>
      </c>
      <c r="BG199" s="217" t="s">
        <v>1998</v>
      </c>
      <c r="BH199" s="217" t="s">
        <v>1658</v>
      </c>
      <c r="BI199" s="217" t="s">
        <v>1660</v>
      </c>
      <c r="BJ199" s="217" t="s">
        <v>1660</v>
      </c>
      <c r="BK199" s="217" t="s">
        <v>637</v>
      </c>
      <c r="BL199" s="217"/>
      <c r="BM199" s="217"/>
      <c r="BN199" s="217">
        <v>0</v>
      </c>
      <c r="BO199" s="217">
        <v>0</v>
      </c>
      <c r="BR199" s="217" t="s">
        <v>85</v>
      </c>
      <c r="BS199" s="217" t="s">
        <v>157</v>
      </c>
      <c r="BT199" s="217" t="s">
        <v>356</v>
      </c>
      <c r="BU199" s="217" t="s">
        <v>1043</v>
      </c>
      <c r="BV199" s="217">
        <v>76</v>
      </c>
      <c r="BW199" s="217">
        <v>397</v>
      </c>
      <c r="BX199" s="217">
        <v>0</v>
      </c>
      <c r="BY199" s="217">
        <v>0</v>
      </c>
      <c r="BZ199" s="217">
        <v>0</v>
      </c>
      <c r="CA199" s="217">
        <v>0</v>
      </c>
      <c r="CB199" s="217">
        <v>76</v>
      </c>
      <c r="CC199" s="217">
        <v>397</v>
      </c>
      <c r="CD199" s="217">
        <v>0</v>
      </c>
      <c r="CE199" s="217">
        <v>0</v>
      </c>
      <c r="CF199" s="217">
        <v>0</v>
      </c>
      <c r="CG199" s="217">
        <v>0</v>
      </c>
      <c r="CH199" s="217">
        <v>0</v>
      </c>
      <c r="CI199" s="217">
        <v>0</v>
      </c>
      <c r="CJ199" s="217">
        <v>0</v>
      </c>
    </row>
    <row r="200" spans="1:88" x14ac:dyDescent="0.25">
      <c r="A200" s="217" t="s">
        <v>22</v>
      </c>
      <c r="B200" s="217" t="s">
        <v>23</v>
      </c>
      <c r="C200" s="217" t="s">
        <v>85</v>
      </c>
      <c r="D200" s="217" t="s">
        <v>84</v>
      </c>
      <c r="E200" s="217" t="s">
        <v>173</v>
      </c>
      <c r="F200" s="217" t="s">
        <v>172</v>
      </c>
      <c r="G200" s="217" t="s">
        <v>312</v>
      </c>
      <c r="H200" s="217" t="s">
        <v>995</v>
      </c>
      <c r="I200" s="217" t="s">
        <v>29</v>
      </c>
      <c r="J200" s="217" t="s">
        <v>1856</v>
      </c>
      <c r="K200" s="217">
        <v>10</v>
      </c>
      <c r="L200" s="217">
        <v>56</v>
      </c>
      <c r="M200" s="217" t="s">
        <v>31</v>
      </c>
      <c r="N200" s="217" t="s">
        <v>32</v>
      </c>
      <c r="O200" s="217" t="s">
        <v>68</v>
      </c>
      <c r="P200" s="217" t="s">
        <v>34</v>
      </c>
      <c r="Q200" s="217" t="s">
        <v>35</v>
      </c>
      <c r="R200" s="217" t="s">
        <v>23</v>
      </c>
      <c r="S200" s="217" t="s">
        <v>22</v>
      </c>
      <c r="T200" s="217" t="s">
        <v>84</v>
      </c>
      <c r="U200" s="217" t="s">
        <v>85</v>
      </c>
      <c r="V200" s="217" t="s">
        <v>91</v>
      </c>
      <c r="W200" s="217" t="s">
        <v>92</v>
      </c>
      <c r="BC200" s="217" t="s">
        <v>85</v>
      </c>
      <c r="BD200" s="217" t="s">
        <v>157</v>
      </c>
      <c r="BE200" s="217" t="s">
        <v>1035</v>
      </c>
      <c r="BF200" s="217" t="s">
        <v>348</v>
      </c>
      <c r="BG200" s="217" t="s">
        <v>1998</v>
      </c>
      <c r="BH200" s="217" t="s">
        <v>1658</v>
      </c>
      <c r="BI200" s="217" t="s">
        <v>1660</v>
      </c>
      <c r="BJ200" s="217" t="s">
        <v>1660</v>
      </c>
      <c r="BK200" s="217" t="s">
        <v>637</v>
      </c>
      <c r="BL200" s="217"/>
      <c r="BM200" s="217"/>
      <c r="BN200" s="217">
        <v>0</v>
      </c>
      <c r="BO200" s="217">
        <v>0</v>
      </c>
      <c r="BR200" s="217" t="s">
        <v>85</v>
      </c>
      <c r="BS200" s="217" t="s">
        <v>157</v>
      </c>
      <c r="BT200" s="217" t="s">
        <v>349</v>
      </c>
      <c r="BU200" s="217" t="s">
        <v>1036</v>
      </c>
      <c r="BV200" s="217">
        <v>21</v>
      </c>
      <c r="BW200" s="217">
        <v>105</v>
      </c>
      <c r="BX200" s="217">
        <v>0</v>
      </c>
      <c r="BY200" s="217">
        <v>0</v>
      </c>
      <c r="BZ200" s="217">
        <v>0</v>
      </c>
      <c r="CA200" s="217">
        <v>0</v>
      </c>
      <c r="CB200" s="217">
        <v>21</v>
      </c>
      <c r="CC200" s="217">
        <v>105</v>
      </c>
      <c r="CD200" s="217">
        <v>0</v>
      </c>
      <c r="CE200" s="217">
        <v>0</v>
      </c>
      <c r="CF200" s="217">
        <v>0</v>
      </c>
      <c r="CG200" s="217">
        <v>0</v>
      </c>
      <c r="CH200" s="217">
        <v>0</v>
      </c>
      <c r="CI200" s="217">
        <v>0</v>
      </c>
      <c r="CJ200" s="217">
        <v>0</v>
      </c>
    </row>
    <row r="201" spans="1:88" x14ac:dyDescent="0.25">
      <c r="A201" s="217" t="s">
        <v>22</v>
      </c>
      <c r="B201" s="217" t="s">
        <v>23</v>
      </c>
      <c r="C201" s="217" t="s">
        <v>85</v>
      </c>
      <c r="D201" s="217" t="s">
        <v>84</v>
      </c>
      <c r="E201" s="217" t="s">
        <v>173</v>
      </c>
      <c r="F201" s="217" t="s">
        <v>172</v>
      </c>
      <c r="G201" s="217" t="s">
        <v>312</v>
      </c>
      <c r="H201" s="217" t="s">
        <v>995</v>
      </c>
      <c r="I201" s="217" t="s">
        <v>29</v>
      </c>
      <c r="J201" s="217" t="s">
        <v>1857</v>
      </c>
      <c r="K201" s="217">
        <v>6</v>
      </c>
      <c r="L201" s="217">
        <v>24</v>
      </c>
      <c r="M201" s="217" t="s">
        <v>31</v>
      </c>
      <c r="N201" s="217" t="s">
        <v>32</v>
      </c>
      <c r="O201" s="217" t="s">
        <v>68</v>
      </c>
      <c r="P201" s="217" t="s">
        <v>34</v>
      </c>
      <c r="Q201" s="217" t="s">
        <v>35</v>
      </c>
      <c r="R201" s="217" t="s">
        <v>23</v>
      </c>
      <c r="S201" s="217" t="s">
        <v>22</v>
      </c>
      <c r="T201" s="217" t="s">
        <v>84</v>
      </c>
      <c r="U201" s="217" t="s">
        <v>85</v>
      </c>
      <c r="V201" s="217" t="s">
        <v>91</v>
      </c>
      <c r="W201" s="217" t="s">
        <v>92</v>
      </c>
      <c r="BC201" s="217" t="s">
        <v>85</v>
      </c>
      <c r="BD201" s="217" t="s">
        <v>157</v>
      </c>
      <c r="BE201" s="217" t="s">
        <v>1036</v>
      </c>
      <c r="BF201" s="217" t="s">
        <v>349</v>
      </c>
      <c r="BG201" s="217" t="s">
        <v>1998</v>
      </c>
      <c r="BH201" s="217" t="s">
        <v>1658</v>
      </c>
      <c r="BI201" s="217" t="s">
        <v>1660</v>
      </c>
      <c r="BJ201" s="217" t="s">
        <v>1660</v>
      </c>
      <c r="BK201" s="217" t="s">
        <v>637</v>
      </c>
      <c r="BL201" s="217"/>
      <c r="BM201" s="217"/>
      <c r="BN201" s="217">
        <v>0</v>
      </c>
      <c r="BO201" s="217">
        <v>0</v>
      </c>
      <c r="BR201" s="217" t="s">
        <v>85</v>
      </c>
      <c r="BS201" s="217" t="s">
        <v>157</v>
      </c>
      <c r="BT201" s="217" t="s">
        <v>350</v>
      </c>
      <c r="BU201" s="217" t="s">
        <v>1037</v>
      </c>
      <c r="BV201" s="217">
        <v>10</v>
      </c>
      <c r="BW201" s="217">
        <v>35</v>
      </c>
      <c r="BX201" s="217">
        <v>0</v>
      </c>
      <c r="BY201" s="217">
        <v>0</v>
      </c>
      <c r="BZ201" s="217">
        <v>0</v>
      </c>
      <c r="CA201" s="217">
        <v>0</v>
      </c>
      <c r="CB201" s="217">
        <v>10</v>
      </c>
      <c r="CC201" s="217">
        <v>35</v>
      </c>
      <c r="CD201" s="217">
        <v>0</v>
      </c>
      <c r="CE201" s="217">
        <v>0</v>
      </c>
      <c r="CF201" s="217">
        <v>0</v>
      </c>
      <c r="CG201" s="217">
        <v>0</v>
      </c>
      <c r="CH201" s="217">
        <v>0</v>
      </c>
      <c r="CI201" s="217">
        <v>0</v>
      </c>
      <c r="CJ201" s="217">
        <v>0</v>
      </c>
    </row>
    <row r="202" spans="1:88" x14ac:dyDescent="0.25">
      <c r="A202" s="217" t="s">
        <v>22</v>
      </c>
      <c r="B202" s="217" t="s">
        <v>23</v>
      </c>
      <c r="C202" s="217" t="s">
        <v>85</v>
      </c>
      <c r="D202" s="217" t="s">
        <v>84</v>
      </c>
      <c r="E202" s="217" t="s">
        <v>173</v>
      </c>
      <c r="F202" s="217" t="s">
        <v>172</v>
      </c>
      <c r="G202" s="217" t="s">
        <v>313</v>
      </c>
      <c r="H202" s="217" t="s">
        <v>996</v>
      </c>
      <c r="I202" s="217" t="s">
        <v>29</v>
      </c>
      <c r="J202" s="217" t="s">
        <v>1855</v>
      </c>
      <c r="K202" s="217">
        <v>2</v>
      </c>
      <c r="L202" s="217">
        <v>19</v>
      </c>
      <c r="M202" s="217" t="s">
        <v>31</v>
      </c>
      <c r="N202" s="217" t="s">
        <v>32</v>
      </c>
      <c r="O202" s="217" t="s">
        <v>68</v>
      </c>
      <c r="P202" s="217" t="s">
        <v>34</v>
      </c>
      <c r="Q202" s="217" t="s">
        <v>35</v>
      </c>
      <c r="R202" s="217" t="s">
        <v>23</v>
      </c>
      <c r="S202" s="217" t="s">
        <v>22</v>
      </c>
      <c r="T202" s="217" t="s">
        <v>84</v>
      </c>
      <c r="U202" s="217" t="s">
        <v>85</v>
      </c>
      <c r="V202" s="217" t="s">
        <v>91</v>
      </c>
      <c r="W202" s="217" t="s">
        <v>92</v>
      </c>
      <c r="BC202" s="217" t="s">
        <v>85</v>
      </c>
      <c r="BD202" s="217" t="s">
        <v>157</v>
      </c>
      <c r="BE202" s="217" t="s">
        <v>1037</v>
      </c>
      <c r="BF202" s="217" t="s">
        <v>350</v>
      </c>
      <c r="BG202" s="217" t="s">
        <v>1998</v>
      </c>
      <c r="BH202" s="217" t="s">
        <v>1658</v>
      </c>
      <c r="BI202" s="217" t="s">
        <v>1660</v>
      </c>
      <c r="BJ202" s="217" t="s">
        <v>1660</v>
      </c>
      <c r="BK202" s="217" t="s">
        <v>637</v>
      </c>
      <c r="BL202" s="217"/>
      <c r="BM202" s="217"/>
      <c r="BN202" s="217">
        <v>0</v>
      </c>
      <c r="BO202" s="217">
        <v>0</v>
      </c>
      <c r="BR202" s="217" t="s">
        <v>85</v>
      </c>
      <c r="BS202" s="217" t="s">
        <v>157</v>
      </c>
      <c r="BT202" s="217" t="s">
        <v>365</v>
      </c>
      <c r="BU202" s="217" t="s">
        <v>1053</v>
      </c>
      <c r="BV202" s="217">
        <v>23</v>
      </c>
      <c r="BW202" s="217">
        <v>157</v>
      </c>
      <c r="BX202" s="217">
        <v>0</v>
      </c>
      <c r="BY202" s="217">
        <v>0</v>
      </c>
      <c r="BZ202" s="217">
        <v>0</v>
      </c>
      <c r="CA202" s="217">
        <v>0</v>
      </c>
      <c r="CB202" s="217">
        <v>23</v>
      </c>
      <c r="CC202" s="217">
        <v>157</v>
      </c>
      <c r="CD202" s="217">
        <v>0</v>
      </c>
      <c r="CE202" s="217">
        <v>0</v>
      </c>
      <c r="CF202" s="217">
        <v>0</v>
      </c>
      <c r="CG202" s="217">
        <v>0</v>
      </c>
      <c r="CH202" s="217">
        <v>0</v>
      </c>
      <c r="CI202" s="217">
        <v>0</v>
      </c>
      <c r="CJ202" s="217">
        <v>0</v>
      </c>
    </row>
    <row r="203" spans="1:88" x14ac:dyDescent="0.25">
      <c r="A203" s="217" t="s">
        <v>22</v>
      </c>
      <c r="B203" s="217" t="s">
        <v>23</v>
      </c>
      <c r="C203" s="217" t="s">
        <v>85</v>
      </c>
      <c r="D203" s="217" t="s">
        <v>84</v>
      </c>
      <c r="E203" s="217" t="s">
        <v>173</v>
      </c>
      <c r="F203" s="217" t="s">
        <v>172</v>
      </c>
      <c r="G203" s="217" t="s">
        <v>313</v>
      </c>
      <c r="H203" s="217" t="s">
        <v>996</v>
      </c>
      <c r="I203" s="217" t="s">
        <v>29</v>
      </c>
      <c r="J203" s="217" t="s">
        <v>1856</v>
      </c>
      <c r="K203" s="217">
        <v>8</v>
      </c>
      <c r="L203" s="217">
        <v>32</v>
      </c>
      <c r="M203" s="217" t="s">
        <v>31</v>
      </c>
      <c r="N203" s="217" t="s">
        <v>32</v>
      </c>
      <c r="O203" s="217" t="s">
        <v>68</v>
      </c>
      <c r="P203" s="217" t="s">
        <v>34</v>
      </c>
      <c r="Q203" s="217" t="s">
        <v>35</v>
      </c>
      <c r="R203" s="217" t="s">
        <v>23</v>
      </c>
      <c r="S203" s="217" t="s">
        <v>22</v>
      </c>
      <c r="T203" s="217" t="s">
        <v>84</v>
      </c>
      <c r="U203" s="217" t="s">
        <v>85</v>
      </c>
      <c r="V203" s="217" t="s">
        <v>91</v>
      </c>
      <c r="W203" s="217" t="s">
        <v>92</v>
      </c>
      <c r="BC203" s="217" t="s">
        <v>85</v>
      </c>
      <c r="BD203" s="217" t="s">
        <v>157</v>
      </c>
      <c r="BE203" s="217" t="s">
        <v>1038</v>
      </c>
      <c r="BF203" s="217" t="s">
        <v>351</v>
      </c>
      <c r="BG203" s="217" t="s">
        <v>1998</v>
      </c>
      <c r="BH203" s="217" t="s">
        <v>1658</v>
      </c>
      <c r="BI203" s="217" t="s">
        <v>1660</v>
      </c>
      <c r="BJ203" s="217" t="s">
        <v>1660</v>
      </c>
      <c r="BK203" s="217" t="s">
        <v>637</v>
      </c>
      <c r="BL203" s="217"/>
      <c r="BM203" s="217"/>
      <c r="BN203" s="217">
        <v>0</v>
      </c>
      <c r="BO203" s="217">
        <v>0</v>
      </c>
      <c r="BR203" s="217" t="s">
        <v>85</v>
      </c>
      <c r="BS203" s="217" t="s">
        <v>157</v>
      </c>
      <c r="BT203" s="217" t="s">
        <v>333</v>
      </c>
      <c r="BU203" s="217" t="s">
        <v>1020</v>
      </c>
      <c r="BV203" s="217">
        <v>96</v>
      </c>
      <c r="BW203" s="217">
        <v>492</v>
      </c>
      <c r="BX203" s="217">
        <v>0</v>
      </c>
      <c r="BY203" s="217">
        <v>0</v>
      </c>
      <c r="BZ203" s="217">
        <v>0</v>
      </c>
      <c r="CA203" s="217">
        <v>0</v>
      </c>
      <c r="CB203" s="217">
        <v>106</v>
      </c>
      <c r="CC203" s="217">
        <v>562</v>
      </c>
      <c r="CD203" s="217">
        <v>0</v>
      </c>
      <c r="CE203" s="217">
        <v>0</v>
      </c>
      <c r="CF203" s="217">
        <v>0</v>
      </c>
      <c r="CG203" s="217">
        <v>0</v>
      </c>
      <c r="CH203" s="217">
        <v>-70</v>
      </c>
      <c r="CI203" s="217">
        <v>0</v>
      </c>
      <c r="CJ203" s="217">
        <v>0</v>
      </c>
    </row>
    <row r="204" spans="1:88" x14ac:dyDescent="0.25">
      <c r="A204" s="217" t="s">
        <v>22</v>
      </c>
      <c r="B204" s="217" t="s">
        <v>23</v>
      </c>
      <c r="C204" s="217" t="s">
        <v>85</v>
      </c>
      <c r="D204" s="217" t="s">
        <v>84</v>
      </c>
      <c r="E204" s="217" t="s">
        <v>173</v>
      </c>
      <c r="F204" s="217" t="s">
        <v>172</v>
      </c>
      <c r="G204" s="217" t="s">
        <v>314</v>
      </c>
      <c r="H204" s="217" t="s">
        <v>997</v>
      </c>
      <c r="I204" s="217" t="s">
        <v>29</v>
      </c>
      <c r="J204" s="217" t="s">
        <v>1856</v>
      </c>
      <c r="K204" s="217">
        <v>19</v>
      </c>
      <c r="L204" s="217">
        <v>95</v>
      </c>
      <c r="M204" s="217" t="s">
        <v>31</v>
      </c>
      <c r="N204" s="217" t="s">
        <v>32</v>
      </c>
      <c r="O204" s="217" t="s">
        <v>68</v>
      </c>
      <c r="P204" s="217" t="s">
        <v>34</v>
      </c>
      <c r="Q204" s="217" t="s">
        <v>35</v>
      </c>
      <c r="R204" s="217" t="s">
        <v>23</v>
      </c>
      <c r="S204" s="217" t="s">
        <v>22</v>
      </c>
      <c r="T204" s="217" t="s">
        <v>84</v>
      </c>
      <c r="U204" s="217" t="s">
        <v>85</v>
      </c>
      <c r="V204" s="217" t="s">
        <v>91</v>
      </c>
      <c r="W204" s="217" t="s">
        <v>92</v>
      </c>
      <c r="BC204" s="217" t="s">
        <v>85</v>
      </c>
      <c r="BD204" s="217" t="s">
        <v>157</v>
      </c>
      <c r="BE204" s="217" t="s">
        <v>1039</v>
      </c>
      <c r="BF204" s="217" t="s">
        <v>352</v>
      </c>
      <c r="BG204" s="217" t="s">
        <v>1998</v>
      </c>
      <c r="BH204" s="217" t="s">
        <v>1658</v>
      </c>
      <c r="BI204" s="217" t="s">
        <v>1660</v>
      </c>
      <c r="BJ204" s="217" t="s">
        <v>1660</v>
      </c>
      <c r="BK204" s="217" t="s">
        <v>637</v>
      </c>
      <c r="BL204" s="217"/>
      <c r="BM204" s="217"/>
      <c r="BN204" s="217">
        <v>0</v>
      </c>
      <c r="BO204" s="217">
        <v>0</v>
      </c>
      <c r="BR204" s="217" t="s">
        <v>85</v>
      </c>
      <c r="BS204" s="217" t="s">
        <v>157</v>
      </c>
      <c r="BT204" s="217" t="s">
        <v>343</v>
      </c>
      <c r="BU204" s="217" t="s">
        <v>1030</v>
      </c>
      <c r="BV204" s="217">
        <v>7</v>
      </c>
      <c r="BW204" s="217">
        <v>67</v>
      </c>
      <c r="BX204" s="217">
        <v>0</v>
      </c>
      <c r="BY204" s="217">
        <v>0</v>
      </c>
      <c r="BZ204" s="217">
        <v>0</v>
      </c>
      <c r="CA204" s="217">
        <v>0</v>
      </c>
      <c r="CB204" s="217">
        <v>7</v>
      </c>
      <c r="CC204" s="217">
        <v>67</v>
      </c>
      <c r="CD204" s="217">
        <v>0</v>
      </c>
      <c r="CE204" s="217">
        <v>0</v>
      </c>
      <c r="CF204" s="217">
        <v>0</v>
      </c>
      <c r="CG204" s="217">
        <v>0</v>
      </c>
      <c r="CH204" s="217">
        <v>0</v>
      </c>
      <c r="CI204" s="217">
        <v>0</v>
      </c>
      <c r="CJ204" s="217">
        <v>0</v>
      </c>
    </row>
    <row r="205" spans="1:88" x14ac:dyDescent="0.25">
      <c r="A205" s="217" t="s">
        <v>22</v>
      </c>
      <c r="B205" s="217" t="s">
        <v>23</v>
      </c>
      <c r="C205" s="217" t="s">
        <v>85</v>
      </c>
      <c r="D205" s="217" t="s">
        <v>84</v>
      </c>
      <c r="E205" s="217" t="s">
        <v>173</v>
      </c>
      <c r="F205" s="217" t="s">
        <v>172</v>
      </c>
      <c r="G205" s="217" t="s">
        <v>315</v>
      </c>
      <c r="H205" s="217" t="s">
        <v>998</v>
      </c>
      <c r="I205" s="217" t="s">
        <v>29</v>
      </c>
      <c r="J205" s="217" t="s">
        <v>1855</v>
      </c>
      <c r="K205" s="217">
        <v>4</v>
      </c>
      <c r="L205" s="217">
        <v>42</v>
      </c>
      <c r="M205" s="217" t="s">
        <v>31</v>
      </c>
      <c r="N205" s="217" t="s">
        <v>32</v>
      </c>
      <c r="O205" s="217" t="s">
        <v>68</v>
      </c>
      <c r="P205" s="217" t="s">
        <v>34</v>
      </c>
      <c r="Q205" s="217" t="s">
        <v>35</v>
      </c>
      <c r="R205" s="217" t="s">
        <v>23</v>
      </c>
      <c r="S205" s="217" t="s">
        <v>22</v>
      </c>
      <c r="T205" s="217" t="s">
        <v>84</v>
      </c>
      <c r="U205" s="217" t="s">
        <v>85</v>
      </c>
      <c r="V205" s="217" t="s">
        <v>91</v>
      </c>
      <c r="W205" s="217" t="s">
        <v>92</v>
      </c>
      <c r="BC205" s="217" t="s">
        <v>85</v>
      </c>
      <c r="BD205" s="217" t="s">
        <v>157</v>
      </c>
      <c r="BE205" s="217" t="s">
        <v>1040</v>
      </c>
      <c r="BF205" s="217" t="s">
        <v>353</v>
      </c>
      <c r="BG205" s="217" t="s">
        <v>1998</v>
      </c>
      <c r="BH205" s="217" t="s">
        <v>1658</v>
      </c>
      <c r="BI205" s="217" t="s">
        <v>1660</v>
      </c>
      <c r="BJ205" s="217" t="s">
        <v>1660</v>
      </c>
      <c r="BK205" s="217" t="s">
        <v>637</v>
      </c>
      <c r="BL205" s="217"/>
      <c r="BM205" s="217"/>
      <c r="BN205" s="217">
        <v>0</v>
      </c>
      <c r="BO205" s="217">
        <v>0</v>
      </c>
      <c r="BR205" s="217" t="s">
        <v>85</v>
      </c>
      <c r="BS205" s="217" t="s">
        <v>157</v>
      </c>
      <c r="BT205" s="217" t="s">
        <v>330</v>
      </c>
      <c r="BU205" s="217" t="s">
        <v>1017</v>
      </c>
      <c r="BV205" s="217">
        <v>45</v>
      </c>
      <c r="BW205" s="217">
        <v>366</v>
      </c>
      <c r="BX205" s="217">
        <v>0</v>
      </c>
      <c r="BY205" s="217">
        <v>0</v>
      </c>
      <c r="BZ205" s="217">
        <v>0</v>
      </c>
      <c r="CA205" s="217">
        <v>0</v>
      </c>
      <c r="CB205" s="217">
        <v>45</v>
      </c>
      <c r="CC205" s="217">
        <v>366</v>
      </c>
      <c r="CD205" s="217">
        <v>0</v>
      </c>
      <c r="CE205" s="217">
        <v>0</v>
      </c>
      <c r="CF205" s="217">
        <v>0</v>
      </c>
      <c r="CG205" s="217">
        <v>0</v>
      </c>
      <c r="CH205" s="217">
        <v>0</v>
      </c>
      <c r="CI205" s="217">
        <v>0</v>
      </c>
      <c r="CJ205" s="217">
        <v>0</v>
      </c>
    </row>
    <row r="206" spans="1:88" x14ac:dyDescent="0.25">
      <c r="A206" s="217" t="s">
        <v>22</v>
      </c>
      <c r="B206" s="217" t="s">
        <v>23</v>
      </c>
      <c r="C206" s="217" t="s">
        <v>85</v>
      </c>
      <c r="D206" s="217" t="s">
        <v>84</v>
      </c>
      <c r="E206" s="217" t="s">
        <v>173</v>
      </c>
      <c r="F206" s="217" t="s">
        <v>172</v>
      </c>
      <c r="G206" s="217" t="s">
        <v>316</v>
      </c>
      <c r="H206" s="217" t="s">
        <v>999</v>
      </c>
      <c r="I206" s="217" t="s">
        <v>29</v>
      </c>
      <c r="J206" s="217" t="s">
        <v>1855</v>
      </c>
      <c r="K206" s="217">
        <v>2</v>
      </c>
      <c r="L206" s="217">
        <v>14</v>
      </c>
      <c r="M206" s="217" t="s">
        <v>31</v>
      </c>
      <c r="N206" s="217" t="s">
        <v>32</v>
      </c>
      <c r="O206" s="217" t="s">
        <v>68</v>
      </c>
      <c r="P206" s="217" t="s">
        <v>34</v>
      </c>
      <c r="Q206" s="217" t="s">
        <v>35</v>
      </c>
      <c r="R206" s="217" t="s">
        <v>23</v>
      </c>
      <c r="S206" s="217" t="s">
        <v>22</v>
      </c>
      <c r="T206" s="217" t="s">
        <v>84</v>
      </c>
      <c r="U206" s="217" t="s">
        <v>85</v>
      </c>
      <c r="V206" s="217" t="s">
        <v>91</v>
      </c>
      <c r="W206" s="217" t="s">
        <v>92</v>
      </c>
      <c r="BC206" s="217" t="s">
        <v>85</v>
      </c>
      <c r="BD206" s="217" t="s">
        <v>157</v>
      </c>
      <c r="BE206" s="217" t="s">
        <v>1041</v>
      </c>
      <c r="BF206" s="217" t="s">
        <v>354</v>
      </c>
      <c r="BG206" s="217" t="s">
        <v>1998</v>
      </c>
      <c r="BH206" s="217" t="s">
        <v>1658</v>
      </c>
      <c r="BI206" s="217" t="s">
        <v>1660</v>
      </c>
      <c r="BJ206" s="217" t="s">
        <v>1660</v>
      </c>
      <c r="BK206" s="217" t="s">
        <v>637</v>
      </c>
      <c r="BL206" s="217"/>
      <c r="BM206" s="217"/>
      <c r="BN206" s="217">
        <v>0</v>
      </c>
      <c r="BO206" s="217">
        <v>0</v>
      </c>
      <c r="BR206" s="217" t="s">
        <v>85</v>
      </c>
      <c r="BS206" s="217" t="s">
        <v>157</v>
      </c>
      <c r="BT206" s="217" t="s">
        <v>348</v>
      </c>
      <c r="BU206" s="217" t="s">
        <v>1035</v>
      </c>
      <c r="BV206" s="217">
        <v>316</v>
      </c>
      <c r="BW206" s="217">
        <v>1638</v>
      </c>
      <c r="BX206" s="217">
        <v>0</v>
      </c>
      <c r="BY206" s="217">
        <v>0</v>
      </c>
      <c r="BZ206" s="217">
        <v>0</v>
      </c>
      <c r="CA206" s="217">
        <v>0</v>
      </c>
      <c r="CB206" s="217">
        <v>316</v>
      </c>
      <c r="CC206" s="217">
        <v>1638</v>
      </c>
      <c r="CD206" s="217">
        <v>0</v>
      </c>
      <c r="CE206" s="217">
        <v>0</v>
      </c>
      <c r="CF206" s="217">
        <v>0</v>
      </c>
      <c r="CG206" s="217">
        <v>0</v>
      </c>
      <c r="CH206" s="217">
        <v>0</v>
      </c>
      <c r="CI206" s="217">
        <v>0</v>
      </c>
      <c r="CJ206" s="217">
        <v>0</v>
      </c>
    </row>
    <row r="207" spans="1:88" x14ac:dyDescent="0.25">
      <c r="A207" s="217" t="s">
        <v>22</v>
      </c>
      <c r="B207" s="217" t="s">
        <v>23</v>
      </c>
      <c r="C207" s="217" t="s">
        <v>85</v>
      </c>
      <c r="D207" s="217" t="s">
        <v>84</v>
      </c>
      <c r="E207" s="217" t="s">
        <v>173</v>
      </c>
      <c r="F207" s="217" t="s">
        <v>172</v>
      </c>
      <c r="G207" s="217" t="s">
        <v>316</v>
      </c>
      <c r="H207" s="217" t="s">
        <v>999</v>
      </c>
      <c r="I207" s="217" t="s">
        <v>29</v>
      </c>
      <c r="J207" s="217" t="s">
        <v>1856</v>
      </c>
      <c r="K207" s="217">
        <v>28</v>
      </c>
      <c r="L207" s="217">
        <v>162</v>
      </c>
      <c r="M207" s="217" t="s">
        <v>31</v>
      </c>
      <c r="N207" s="217" t="s">
        <v>32</v>
      </c>
      <c r="O207" s="217" t="s">
        <v>68</v>
      </c>
      <c r="P207" s="217" t="s">
        <v>34</v>
      </c>
      <c r="Q207" s="217" t="s">
        <v>35</v>
      </c>
      <c r="R207" s="217" t="s">
        <v>23</v>
      </c>
      <c r="S207" s="217" t="s">
        <v>22</v>
      </c>
      <c r="T207" s="217" t="s">
        <v>84</v>
      </c>
      <c r="U207" s="217" t="s">
        <v>85</v>
      </c>
      <c r="V207" s="217" t="s">
        <v>97</v>
      </c>
      <c r="W207" s="217" t="s">
        <v>98</v>
      </c>
      <c r="BC207" s="217" t="s">
        <v>85</v>
      </c>
      <c r="BD207" s="217" t="s">
        <v>157</v>
      </c>
      <c r="BE207" s="217" t="s">
        <v>1042</v>
      </c>
      <c r="BF207" s="217" t="s">
        <v>355</v>
      </c>
      <c r="BG207" s="217" t="s">
        <v>1998</v>
      </c>
      <c r="BH207" s="217" t="s">
        <v>1658</v>
      </c>
      <c r="BI207" s="217" t="s">
        <v>1660</v>
      </c>
      <c r="BJ207" s="217" t="s">
        <v>1660</v>
      </c>
      <c r="BK207" s="217" t="s">
        <v>637</v>
      </c>
      <c r="BL207" s="217"/>
      <c r="BM207" s="217"/>
      <c r="BN207" s="217">
        <v>0</v>
      </c>
      <c r="BO207" s="217">
        <v>0</v>
      </c>
      <c r="BR207" s="217" t="s">
        <v>85</v>
      </c>
      <c r="BS207" s="217" t="s">
        <v>157</v>
      </c>
      <c r="BT207" s="217" t="s">
        <v>347</v>
      </c>
      <c r="BU207" s="217" t="s">
        <v>1034</v>
      </c>
      <c r="BV207" s="217">
        <v>100</v>
      </c>
      <c r="BW207" s="217">
        <v>500</v>
      </c>
      <c r="BX207" s="217">
        <v>0</v>
      </c>
      <c r="BY207" s="217">
        <v>0</v>
      </c>
      <c r="BZ207" s="217">
        <v>0</v>
      </c>
      <c r="CA207" s="217">
        <v>0</v>
      </c>
      <c r="CB207" s="217">
        <v>100</v>
      </c>
      <c r="CC207" s="217">
        <v>500</v>
      </c>
      <c r="CD207" s="217">
        <v>0</v>
      </c>
      <c r="CE207" s="217">
        <v>0</v>
      </c>
      <c r="CF207" s="217">
        <v>0</v>
      </c>
      <c r="CG207" s="217">
        <v>0</v>
      </c>
      <c r="CH207" s="217">
        <v>0</v>
      </c>
      <c r="CI207" s="217">
        <v>0</v>
      </c>
      <c r="CJ207" s="217">
        <v>0</v>
      </c>
    </row>
    <row r="208" spans="1:88" x14ac:dyDescent="0.25">
      <c r="A208" s="217" t="s">
        <v>22</v>
      </c>
      <c r="B208" s="217" t="s">
        <v>23</v>
      </c>
      <c r="C208" s="217" t="s">
        <v>85</v>
      </c>
      <c r="D208" s="217" t="s">
        <v>84</v>
      </c>
      <c r="E208" s="217" t="s">
        <v>173</v>
      </c>
      <c r="F208" s="217" t="s">
        <v>172</v>
      </c>
      <c r="G208" s="217" t="s">
        <v>316</v>
      </c>
      <c r="H208" s="217" t="s">
        <v>999</v>
      </c>
      <c r="I208" s="217" t="s">
        <v>29</v>
      </c>
      <c r="J208" s="217" t="s">
        <v>1857</v>
      </c>
      <c r="K208" s="217">
        <v>6</v>
      </c>
      <c r="L208" s="217">
        <v>32</v>
      </c>
      <c r="M208" s="217" t="s">
        <v>31</v>
      </c>
      <c r="N208" s="217" t="s">
        <v>32</v>
      </c>
      <c r="O208" s="217" t="s">
        <v>68</v>
      </c>
      <c r="P208" s="217" t="s">
        <v>34</v>
      </c>
      <c r="Q208" s="217" t="s">
        <v>35</v>
      </c>
      <c r="R208" s="217" t="s">
        <v>23</v>
      </c>
      <c r="S208" s="217" t="s">
        <v>22</v>
      </c>
      <c r="T208" s="217" t="s">
        <v>84</v>
      </c>
      <c r="U208" s="217" t="s">
        <v>85</v>
      </c>
      <c r="V208" s="217" t="s">
        <v>91</v>
      </c>
      <c r="W208" s="217" t="s">
        <v>92</v>
      </c>
      <c r="BC208" s="217" t="s">
        <v>85</v>
      </c>
      <c r="BD208" s="217" t="s">
        <v>157</v>
      </c>
      <c r="BE208" s="217" t="s">
        <v>1043</v>
      </c>
      <c r="BF208" s="217" t="s">
        <v>356</v>
      </c>
      <c r="BG208" s="217" t="s">
        <v>1998</v>
      </c>
      <c r="BH208" s="217" t="s">
        <v>1658</v>
      </c>
      <c r="BI208" s="217" t="s">
        <v>1660</v>
      </c>
      <c r="BJ208" s="217" t="s">
        <v>1660</v>
      </c>
      <c r="BK208" s="217" t="s">
        <v>637</v>
      </c>
      <c r="BL208" s="217"/>
      <c r="BM208" s="217"/>
      <c r="BN208" s="217">
        <v>0</v>
      </c>
      <c r="BO208" s="217">
        <v>0</v>
      </c>
      <c r="BR208" s="217" t="s">
        <v>85</v>
      </c>
      <c r="BS208" s="217" t="s">
        <v>157</v>
      </c>
      <c r="BT208" s="217" t="s">
        <v>351</v>
      </c>
      <c r="BU208" s="217" t="s">
        <v>1038</v>
      </c>
      <c r="BV208" s="217">
        <v>135</v>
      </c>
      <c r="BW208" s="217">
        <v>708</v>
      </c>
      <c r="BX208" s="217">
        <v>0</v>
      </c>
      <c r="BY208" s="217">
        <v>0</v>
      </c>
      <c r="BZ208" s="217">
        <v>0</v>
      </c>
      <c r="CA208" s="217">
        <v>0</v>
      </c>
      <c r="CB208" s="217">
        <v>140</v>
      </c>
      <c r="CC208" s="217">
        <v>748</v>
      </c>
      <c r="CD208" s="217">
        <v>0</v>
      </c>
      <c r="CE208" s="217">
        <v>0</v>
      </c>
      <c r="CF208" s="217">
        <v>0</v>
      </c>
      <c r="CG208" s="217">
        <v>0</v>
      </c>
      <c r="CH208" s="217">
        <v>-40</v>
      </c>
      <c r="CI208" s="217">
        <v>0</v>
      </c>
      <c r="CJ208" s="217">
        <v>0</v>
      </c>
    </row>
    <row r="209" spans="1:88" x14ac:dyDescent="0.25">
      <c r="A209" s="217" t="s">
        <v>22</v>
      </c>
      <c r="B209" s="217" t="s">
        <v>23</v>
      </c>
      <c r="C209" s="217" t="s">
        <v>85</v>
      </c>
      <c r="D209" s="217" t="s">
        <v>84</v>
      </c>
      <c r="E209" s="217" t="s">
        <v>173</v>
      </c>
      <c r="F209" s="217" t="s">
        <v>172</v>
      </c>
      <c r="G209" s="217" t="s">
        <v>773</v>
      </c>
      <c r="H209" s="217" t="s">
        <v>1000</v>
      </c>
      <c r="I209" s="217" t="s">
        <v>29</v>
      </c>
      <c r="J209" s="217" t="s">
        <v>1856</v>
      </c>
      <c r="K209" s="217">
        <v>2</v>
      </c>
      <c r="L209" s="217">
        <v>17</v>
      </c>
      <c r="M209" s="217" t="s">
        <v>31</v>
      </c>
      <c r="N209" s="217" t="s">
        <v>32</v>
      </c>
      <c r="O209" s="217" t="s">
        <v>68</v>
      </c>
      <c r="P209" s="217" t="s">
        <v>34</v>
      </c>
      <c r="Q209" s="217" t="s">
        <v>35</v>
      </c>
      <c r="R209" s="217" t="s">
        <v>23</v>
      </c>
      <c r="S209" s="217" t="s">
        <v>22</v>
      </c>
      <c r="T209" s="217" t="s">
        <v>84</v>
      </c>
      <c r="U209" s="217" t="s">
        <v>85</v>
      </c>
      <c r="V209" s="217" t="s">
        <v>91</v>
      </c>
      <c r="W209" s="217" t="s">
        <v>92</v>
      </c>
      <c r="BC209" s="217" t="s">
        <v>85</v>
      </c>
      <c r="BD209" s="217" t="s">
        <v>157</v>
      </c>
      <c r="BE209" s="217" t="s">
        <v>1044</v>
      </c>
      <c r="BF209" s="217" t="s">
        <v>357</v>
      </c>
      <c r="BG209" s="217" t="s">
        <v>1998</v>
      </c>
      <c r="BH209" s="217" t="s">
        <v>1658</v>
      </c>
      <c r="BI209" s="217" t="s">
        <v>1658</v>
      </c>
      <c r="BJ209" s="217" t="s">
        <v>1660</v>
      </c>
      <c r="BK209" s="217" t="s">
        <v>637</v>
      </c>
      <c r="BL209" s="217"/>
      <c r="BM209" s="217"/>
      <c r="BN209" s="217">
        <v>0</v>
      </c>
      <c r="BO209" s="217">
        <v>0</v>
      </c>
      <c r="BR209" s="217" t="s">
        <v>85</v>
      </c>
      <c r="BS209" s="217" t="s">
        <v>157</v>
      </c>
      <c r="BT209" s="217" t="s">
        <v>341</v>
      </c>
      <c r="BU209" s="217" t="s">
        <v>1028</v>
      </c>
      <c r="BV209" s="217">
        <v>349</v>
      </c>
      <c r="BW209" s="217">
        <v>1776</v>
      </c>
      <c r="BX209" s="217">
        <v>0</v>
      </c>
      <c r="BY209" s="217">
        <v>0</v>
      </c>
      <c r="BZ209" s="217">
        <v>0</v>
      </c>
      <c r="CA209" s="217">
        <v>0</v>
      </c>
      <c r="CB209" s="217">
        <v>349</v>
      </c>
      <c r="CC209" s="217">
        <v>1776</v>
      </c>
      <c r="CD209" s="217">
        <v>0</v>
      </c>
      <c r="CE209" s="217">
        <v>0</v>
      </c>
      <c r="CF209" s="217">
        <v>0</v>
      </c>
      <c r="CG209" s="217">
        <v>0</v>
      </c>
      <c r="CH209" s="217">
        <v>0</v>
      </c>
      <c r="CI209" s="217">
        <v>0</v>
      </c>
      <c r="CJ209" s="217">
        <v>0</v>
      </c>
    </row>
    <row r="210" spans="1:88" x14ac:dyDescent="0.25">
      <c r="A210" s="217" t="s">
        <v>22</v>
      </c>
      <c r="B210" s="217" t="s">
        <v>23</v>
      </c>
      <c r="C210" s="217" t="s">
        <v>85</v>
      </c>
      <c r="D210" s="217" t="s">
        <v>84</v>
      </c>
      <c r="E210" s="217" t="s">
        <v>173</v>
      </c>
      <c r="F210" s="217" t="s">
        <v>172</v>
      </c>
      <c r="G210" s="217" t="s">
        <v>317</v>
      </c>
      <c r="H210" s="217" t="s">
        <v>1001</v>
      </c>
      <c r="I210" s="217" t="s">
        <v>29</v>
      </c>
      <c r="J210" s="217" t="s">
        <v>1856</v>
      </c>
      <c r="K210" s="217">
        <v>2</v>
      </c>
      <c r="L210" s="217">
        <v>10</v>
      </c>
      <c r="M210" s="217" t="s">
        <v>31</v>
      </c>
      <c r="N210" s="217" t="s">
        <v>32</v>
      </c>
      <c r="O210" s="217" t="s">
        <v>68</v>
      </c>
      <c r="P210" s="217" t="s">
        <v>34</v>
      </c>
      <c r="Q210" s="217" t="s">
        <v>35</v>
      </c>
      <c r="R210" s="217" t="s">
        <v>23</v>
      </c>
      <c r="S210" s="217" t="s">
        <v>22</v>
      </c>
      <c r="T210" s="217" t="s">
        <v>84</v>
      </c>
      <c r="U210" s="217" t="s">
        <v>85</v>
      </c>
      <c r="V210" s="217" t="s">
        <v>91</v>
      </c>
      <c r="W210" s="217" t="s">
        <v>92</v>
      </c>
      <c r="BC210" s="217" t="s">
        <v>85</v>
      </c>
      <c r="BD210" s="217" t="s">
        <v>157</v>
      </c>
      <c r="BE210" s="217" t="s">
        <v>1045</v>
      </c>
      <c r="BF210" s="217" t="s">
        <v>82</v>
      </c>
      <c r="BG210" s="217" t="s">
        <v>1998</v>
      </c>
      <c r="BH210" s="217" t="s">
        <v>1658</v>
      </c>
      <c r="BI210" s="217" t="s">
        <v>1660</v>
      </c>
      <c r="BJ210" s="217" t="s">
        <v>1660</v>
      </c>
      <c r="BK210" s="217" t="s">
        <v>637</v>
      </c>
      <c r="BL210" s="217"/>
      <c r="BM210" s="217"/>
      <c r="BN210" s="217">
        <v>0</v>
      </c>
      <c r="BO210" s="217">
        <v>0</v>
      </c>
      <c r="BR210" s="217" t="s">
        <v>85</v>
      </c>
      <c r="BS210" s="217" t="s">
        <v>157</v>
      </c>
      <c r="BT210" s="217" t="s">
        <v>338</v>
      </c>
      <c r="BU210" s="217" t="s">
        <v>1025</v>
      </c>
      <c r="BV210" s="217">
        <v>67</v>
      </c>
      <c r="BW210" s="217">
        <v>420</v>
      </c>
      <c r="BX210" s="217">
        <v>0</v>
      </c>
      <c r="BY210" s="217">
        <v>0</v>
      </c>
      <c r="BZ210" s="217">
        <v>0</v>
      </c>
      <c r="CA210" s="217">
        <v>0</v>
      </c>
      <c r="CB210" s="217">
        <v>67</v>
      </c>
      <c r="CC210" s="217">
        <v>420</v>
      </c>
      <c r="CD210" s="217">
        <v>0</v>
      </c>
      <c r="CE210" s="217">
        <v>0</v>
      </c>
      <c r="CF210" s="217">
        <v>0</v>
      </c>
      <c r="CG210" s="217">
        <v>0</v>
      </c>
      <c r="CH210" s="217">
        <v>0</v>
      </c>
      <c r="CI210" s="217">
        <v>0</v>
      </c>
      <c r="CJ210" s="217">
        <v>0</v>
      </c>
    </row>
    <row r="211" spans="1:88" x14ac:dyDescent="0.25">
      <c r="A211" s="217" t="s">
        <v>22</v>
      </c>
      <c r="B211" s="217" t="s">
        <v>23</v>
      </c>
      <c r="C211" s="217" t="s">
        <v>85</v>
      </c>
      <c r="D211" s="217" t="s">
        <v>84</v>
      </c>
      <c r="E211" s="217" t="s">
        <v>173</v>
      </c>
      <c r="F211" s="217" t="s">
        <v>172</v>
      </c>
      <c r="G211" s="217" t="s">
        <v>318</v>
      </c>
      <c r="H211" s="217" t="s">
        <v>1002</v>
      </c>
      <c r="I211" s="217" t="s">
        <v>29</v>
      </c>
      <c r="J211" s="217" t="s">
        <v>1856</v>
      </c>
      <c r="K211" s="217">
        <v>4</v>
      </c>
      <c r="L211" s="217">
        <v>22</v>
      </c>
      <c r="M211" s="217" t="s">
        <v>31</v>
      </c>
      <c r="N211" s="217" t="s">
        <v>32</v>
      </c>
      <c r="O211" s="217" t="s">
        <v>68</v>
      </c>
      <c r="P211" s="217" t="s">
        <v>34</v>
      </c>
      <c r="Q211" s="217" t="s">
        <v>35</v>
      </c>
      <c r="R211" s="217" t="s">
        <v>23</v>
      </c>
      <c r="S211" s="217" t="s">
        <v>22</v>
      </c>
      <c r="T211" s="217" t="s">
        <v>84</v>
      </c>
      <c r="U211" s="217" t="s">
        <v>85</v>
      </c>
      <c r="V211" s="217" t="s">
        <v>91</v>
      </c>
      <c r="W211" s="217" t="s">
        <v>92</v>
      </c>
      <c r="BC211" s="217" t="s">
        <v>85</v>
      </c>
      <c r="BD211" s="217" t="s">
        <v>157</v>
      </c>
      <c r="BE211" s="217" t="s">
        <v>1046</v>
      </c>
      <c r="BF211" s="217" t="s">
        <v>358</v>
      </c>
      <c r="BG211" s="217" t="s">
        <v>2006</v>
      </c>
      <c r="BH211" s="217" t="s">
        <v>1658</v>
      </c>
      <c r="BI211" s="217" t="s">
        <v>1660</v>
      </c>
      <c r="BJ211" s="217" t="s">
        <v>1660</v>
      </c>
      <c r="BK211" s="217" t="s">
        <v>637</v>
      </c>
      <c r="BL211" s="217"/>
      <c r="BM211" s="217"/>
      <c r="BN211" s="217">
        <v>0</v>
      </c>
      <c r="BO211" s="217">
        <v>0</v>
      </c>
      <c r="BR211" s="217" t="s">
        <v>85</v>
      </c>
      <c r="BS211" s="217" t="s">
        <v>157</v>
      </c>
      <c r="BT211" s="217" t="s">
        <v>328</v>
      </c>
      <c r="BU211" s="217" t="s">
        <v>1015</v>
      </c>
      <c r="BV211" s="217">
        <v>102</v>
      </c>
      <c r="BW211" s="217">
        <v>540</v>
      </c>
      <c r="BX211" s="217">
        <v>0</v>
      </c>
      <c r="BY211" s="217">
        <v>0</v>
      </c>
      <c r="BZ211" s="217">
        <v>0</v>
      </c>
      <c r="CA211" s="217">
        <v>0</v>
      </c>
      <c r="CB211" s="217">
        <v>102</v>
      </c>
      <c r="CC211" s="217">
        <v>540</v>
      </c>
      <c r="CD211" s="217">
        <v>0</v>
      </c>
      <c r="CE211" s="217">
        <v>0</v>
      </c>
      <c r="CF211" s="217">
        <v>0</v>
      </c>
      <c r="CG211" s="217">
        <v>0</v>
      </c>
      <c r="CH211" s="217">
        <v>0</v>
      </c>
      <c r="CI211" s="217">
        <v>0</v>
      </c>
      <c r="CJ211" s="217">
        <v>0</v>
      </c>
    </row>
    <row r="212" spans="1:88" x14ac:dyDescent="0.25">
      <c r="A212" s="217" t="s">
        <v>22</v>
      </c>
      <c r="B212" s="217" t="s">
        <v>23</v>
      </c>
      <c r="C212" s="217" t="s">
        <v>85</v>
      </c>
      <c r="D212" s="217" t="s">
        <v>84</v>
      </c>
      <c r="E212" s="217" t="s">
        <v>110</v>
      </c>
      <c r="F212" s="217" t="s">
        <v>109</v>
      </c>
      <c r="G212" s="217" t="s">
        <v>319</v>
      </c>
      <c r="H212" s="217" t="s">
        <v>1003</v>
      </c>
      <c r="I212" s="217" t="s">
        <v>29</v>
      </c>
      <c r="J212" s="217" t="s">
        <v>1855</v>
      </c>
      <c r="K212" s="217">
        <v>10</v>
      </c>
      <c r="L212" s="217">
        <v>45</v>
      </c>
      <c r="M212" s="217" t="s">
        <v>31</v>
      </c>
      <c r="N212" s="217" t="s">
        <v>32</v>
      </c>
      <c r="O212" s="217" t="s">
        <v>68</v>
      </c>
      <c r="P212" s="217" t="s">
        <v>34</v>
      </c>
      <c r="Q212" s="217" t="s">
        <v>35</v>
      </c>
      <c r="R212" s="217" t="s">
        <v>23</v>
      </c>
      <c r="S212" s="217" t="s">
        <v>22</v>
      </c>
      <c r="T212" s="217" t="s">
        <v>84</v>
      </c>
      <c r="U212" s="217" t="s">
        <v>85</v>
      </c>
      <c r="V212" s="217" t="s">
        <v>91</v>
      </c>
      <c r="W212" s="217" t="s">
        <v>92</v>
      </c>
      <c r="BC212" s="217" t="s">
        <v>85</v>
      </c>
      <c r="BD212" s="217" t="s">
        <v>157</v>
      </c>
      <c r="BE212" s="217" t="s">
        <v>1047</v>
      </c>
      <c r="BF212" s="217" t="s">
        <v>359</v>
      </c>
      <c r="BG212" s="217" t="s">
        <v>1998</v>
      </c>
      <c r="BH212" s="217" t="s">
        <v>1658</v>
      </c>
      <c r="BI212" s="217" t="s">
        <v>1660</v>
      </c>
      <c r="BJ212" s="217" t="s">
        <v>1660</v>
      </c>
      <c r="BK212" s="217" t="s">
        <v>637</v>
      </c>
      <c r="BL212" s="217"/>
      <c r="BM212" s="217"/>
      <c r="BN212" s="217">
        <v>0</v>
      </c>
      <c r="BO212" s="217">
        <v>0</v>
      </c>
      <c r="BR212" s="217" t="s">
        <v>85</v>
      </c>
      <c r="BS212" s="217" t="s">
        <v>157</v>
      </c>
      <c r="BT212" s="217" t="s">
        <v>335</v>
      </c>
      <c r="BU212" s="217" t="s">
        <v>1022</v>
      </c>
      <c r="BV212" s="217">
        <v>483</v>
      </c>
      <c r="BW212" s="217">
        <v>2400</v>
      </c>
      <c r="BX212" s="217">
        <v>0</v>
      </c>
      <c r="BY212" s="217">
        <v>0</v>
      </c>
      <c r="BZ212" s="217">
        <v>0</v>
      </c>
      <c r="CA212" s="217">
        <v>0</v>
      </c>
      <c r="CB212" s="217">
        <v>483</v>
      </c>
      <c r="CC212" s="217">
        <v>2400</v>
      </c>
      <c r="CD212" s="217">
        <v>0</v>
      </c>
      <c r="CE212" s="217">
        <v>0</v>
      </c>
      <c r="CF212" s="217">
        <v>0</v>
      </c>
      <c r="CG212" s="217">
        <v>0</v>
      </c>
      <c r="CH212" s="217">
        <v>0</v>
      </c>
      <c r="CI212" s="217">
        <v>0</v>
      </c>
      <c r="CJ212" s="217">
        <v>0</v>
      </c>
    </row>
    <row r="213" spans="1:88" x14ac:dyDescent="0.25">
      <c r="A213" s="217" t="s">
        <v>22</v>
      </c>
      <c r="B213" s="217" t="s">
        <v>23</v>
      </c>
      <c r="C213" s="217" t="s">
        <v>85</v>
      </c>
      <c r="D213" s="217" t="s">
        <v>84</v>
      </c>
      <c r="E213" s="217" t="s">
        <v>110</v>
      </c>
      <c r="F213" s="217" t="s">
        <v>109</v>
      </c>
      <c r="G213" s="217" t="s">
        <v>319</v>
      </c>
      <c r="H213" s="217" t="s">
        <v>1003</v>
      </c>
      <c r="I213" s="217" t="s">
        <v>29</v>
      </c>
      <c r="J213" s="217" t="s">
        <v>1856</v>
      </c>
      <c r="K213" s="217">
        <v>15</v>
      </c>
      <c r="L213" s="217">
        <v>64</v>
      </c>
      <c r="M213" s="217" t="s">
        <v>31</v>
      </c>
      <c r="N213" s="217" t="s">
        <v>32</v>
      </c>
      <c r="O213" s="217" t="s">
        <v>68</v>
      </c>
      <c r="P213" s="217" t="s">
        <v>34</v>
      </c>
      <c r="Q213" s="217" t="s">
        <v>35</v>
      </c>
      <c r="R213" s="217" t="s">
        <v>23</v>
      </c>
      <c r="S213" s="217" t="s">
        <v>22</v>
      </c>
      <c r="T213" s="217" t="s">
        <v>84</v>
      </c>
      <c r="U213" s="217" t="s">
        <v>85</v>
      </c>
      <c r="V213" s="217" t="s">
        <v>91</v>
      </c>
      <c r="W213" s="217" t="s">
        <v>92</v>
      </c>
      <c r="BC213" s="217" t="s">
        <v>85</v>
      </c>
      <c r="BD213" s="217" t="s">
        <v>157</v>
      </c>
      <c r="BE213" s="217" t="s">
        <v>1048</v>
      </c>
      <c r="BF213" s="217" t="s">
        <v>360</v>
      </c>
      <c r="BG213" s="217" t="s">
        <v>1998</v>
      </c>
      <c r="BH213" s="217" t="s">
        <v>1658</v>
      </c>
      <c r="BI213" s="217" t="s">
        <v>1660</v>
      </c>
      <c r="BJ213" s="217" t="s">
        <v>1660</v>
      </c>
      <c r="BK213" s="217" t="s">
        <v>637</v>
      </c>
      <c r="BL213" s="217"/>
      <c r="BM213" s="217"/>
      <c r="BN213" s="217">
        <v>0</v>
      </c>
      <c r="BO213" s="217">
        <v>0</v>
      </c>
      <c r="BR213" s="217" t="s">
        <v>85</v>
      </c>
      <c r="BS213" s="217" t="s">
        <v>157</v>
      </c>
      <c r="BT213" s="217" t="s">
        <v>337</v>
      </c>
      <c r="BU213" s="217" t="s">
        <v>1024</v>
      </c>
      <c r="BV213" s="217">
        <v>74</v>
      </c>
      <c r="BW213" s="217">
        <v>384</v>
      </c>
      <c r="BX213" s="217">
        <v>0</v>
      </c>
      <c r="BY213" s="217">
        <v>0</v>
      </c>
      <c r="BZ213" s="217">
        <v>0</v>
      </c>
      <c r="CA213" s="217">
        <v>0</v>
      </c>
      <c r="CB213" s="217">
        <v>74</v>
      </c>
      <c r="CC213" s="217">
        <v>384</v>
      </c>
      <c r="CD213" s="217">
        <v>0</v>
      </c>
      <c r="CE213" s="217">
        <v>0</v>
      </c>
      <c r="CF213" s="217">
        <v>0</v>
      </c>
      <c r="CG213" s="217">
        <v>0</v>
      </c>
      <c r="CH213" s="217">
        <v>0</v>
      </c>
      <c r="CI213" s="217">
        <v>0</v>
      </c>
      <c r="CJ213" s="217">
        <v>0</v>
      </c>
    </row>
    <row r="214" spans="1:88" x14ac:dyDescent="0.25">
      <c r="A214" s="217" t="s">
        <v>22</v>
      </c>
      <c r="B214" s="217" t="s">
        <v>23</v>
      </c>
      <c r="C214" s="217" t="s">
        <v>85</v>
      </c>
      <c r="D214" s="217" t="s">
        <v>84</v>
      </c>
      <c r="E214" s="217" t="s">
        <v>110</v>
      </c>
      <c r="F214" s="217" t="s">
        <v>109</v>
      </c>
      <c r="G214" s="217" t="s">
        <v>319</v>
      </c>
      <c r="H214" s="217" t="s">
        <v>1003</v>
      </c>
      <c r="I214" s="217" t="s">
        <v>29</v>
      </c>
      <c r="J214" s="217" t="s">
        <v>1857</v>
      </c>
      <c r="K214" s="217">
        <v>27</v>
      </c>
      <c r="L214" s="217">
        <v>135</v>
      </c>
      <c r="M214" s="217" t="s">
        <v>31</v>
      </c>
      <c r="N214" s="217" t="s">
        <v>32</v>
      </c>
      <c r="O214" s="217" t="s">
        <v>100</v>
      </c>
      <c r="P214" s="217" t="s">
        <v>34</v>
      </c>
      <c r="Q214" s="217" t="s">
        <v>35</v>
      </c>
      <c r="R214" s="217" t="s">
        <v>23</v>
      </c>
      <c r="S214" s="217" t="s">
        <v>22</v>
      </c>
      <c r="T214" s="217" t="s">
        <v>84</v>
      </c>
      <c r="U214" s="217" t="s">
        <v>85</v>
      </c>
      <c r="V214" s="217" t="s">
        <v>109</v>
      </c>
      <c r="W214" s="217" t="s">
        <v>110</v>
      </c>
      <c r="BC214" s="217" t="s">
        <v>85</v>
      </c>
      <c r="BD214" s="217" t="s">
        <v>157</v>
      </c>
      <c r="BE214" s="217" t="s">
        <v>1049</v>
      </c>
      <c r="BF214" s="217" t="s">
        <v>361</v>
      </c>
      <c r="BG214" s="217" t="s">
        <v>2006</v>
      </c>
      <c r="BH214" s="217" t="s">
        <v>1658</v>
      </c>
      <c r="BI214" s="217" t="s">
        <v>1660</v>
      </c>
      <c r="BJ214" s="217" t="s">
        <v>1660</v>
      </c>
      <c r="BK214" s="217" t="s">
        <v>637</v>
      </c>
      <c r="BL214" s="217"/>
      <c r="BM214" s="217"/>
      <c r="BN214" s="217">
        <v>0</v>
      </c>
      <c r="BO214" s="217">
        <v>0</v>
      </c>
      <c r="BR214" s="217" t="s">
        <v>85</v>
      </c>
      <c r="BS214" s="217" t="s">
        <v>157</v>
      </c>
      <c r="BT214" s="217" t="s">
        <v>344</v>
      </c>
      <c r="BU214" s="217" t="s">
        <v>1031</v>
      </c>
      <c r="BV214" s="217">
        <v>14</v>
      </c>
      <c r="BW214" s="217">
        <v>83</v>
      </c>
      <c r="BX214" s="217">
        <v>0</v>
      </c>
      <c r="BY214" s="217">
        <v>0</v>
      </c>
      <c r="BZ214" s="217">
        <v>0</v>
      </c>
      <c r="CA214" s="217">
        <v>0</v>
      </c>
      <c r="CB214" s="217">
        <v>14</v>
      </c>
      <c r="CC214" s="217">
        <v>83</v>
      </c>
      <c r="CD214" s="217">
        <v>0</v>
      </c>
      <c r="CE214" s="217">
        <v>0</v>
      </c>
      <c r="CF214" s="217">
        <v>0</v>
      </c>
      <c r="CG214" s="217">
        <v>0</v>
      </c>
      <c r="CH214" s="217">
        <v>0</v>
      </c>
      <c r="CI214" s="217">
        <v>0</v>
      </c>
      <c r="CJ214" s="217">
        <v>0</v>
      </c>
    </row>
    <row r="215" spans="1:88" x14ac:dyDescent="0.25">
      <c r="A215" s="217" t="s">
        <v>22</v>
      </c>
      <c r="B215" s="217" t="s">
        <v>23</v>
      </c>
      <c r="C215" s="217" t="s">
        <v>85</v>
      </c>
      <c r="D215" s="217" t="s">
        <v>84</v>
      </c>
      <c r="E215" s="217" t="s">
        <v>110</v>
      </c>
      <c r="F215" s="217" t="s">
        <v>109</v>
      </c>
      <c r="G215" s="217" t="s">
        <v>319</v>
      </c>
      <c r="H215" s="217" t="s">
        <v>1003</v>
      </c>
      <c r="I215" s="217" t="s">
        <v>29</v>
      </c>
      <c r="J215" s="217" t="s">
        <v>1858</v>
      </c>
      <c r="K215" s="217">
        <v>199</v>
      </c>
      <c r="L215" s="217">
        <v>1592</v>
      </c>
      <c r="M215" s="217" t="s">
        <v>31</v>
      </c>
      <c r="N215" s="217" t="s">
        <v>32</v>
      </c>
      <c r="O215" s="217" t="s">
        <v>100</v>
      </c>
      <c r="P215" s="217" t="s">
        <v>34</v>
      </c>
      <c r="Q215" s="217" t="s">
        <v>35</v>
      </c>
      <c r="R215" s="217" t="s">
        <v>23</v>
      </c>
      <c r="S215" s="217" t="s">
        <v>22</v>
      </c>
      <c r="T215" s="217" t="s">
        <v>84</v>
      </c>
      <c r="U215" s="217" t="s">
        <v>85</v>
      </c>
      <c r="V215" s="217" t="s">
        <v>109</v>
      </c>
      <c r="W215" s="217" t="s">
        <v>110</v>
      </c>
      <c r="BC215" s="217" t="s">
        <v>85</v>
      </c>
      <c r="BD215" s="217" t="s">
        <v>157</v>
      </c>
      <c r="BE215" s="217" t="s">
        <v>1050</v>
      </c>
      <c r="BF215" s="217" t="s">
        <v>362</v>
      </c>
      <c r="BG215" s="217" t="s">
        <v>1998</v>
      </c>
      <c r="BH215" s="217" t="s">
        <v>1658</v>
      </c>
      <c r="BI215" s="217" t="s">
        <v>1660</v>
      </c>
      <c r="BJ215" s="217" t="s">
        <v>1660</v>
      </c>
      <c r="BK215" s="217" t="s">
        <v>637</v>
      </c>
      <c r="BL215" s="217"/>
      <c r="BM215" s="217"/>
      <c r="BN215" s="217">
        <v>0</v>
      </c>
      <c r="BO215" s="217">
        <v>0</v>
      </c>
      <c r="BR215" s="217" t="s">
        <v>85</v>
      </c>
      <c r="BS215" s="217" t="s">
        <v>95</v>
      </c>
      <c r="BT215" s="217" t="s">
        <v>112</v>
      </c>
      <c r="BU215" s="217" t="s">
        <v>920</v>
      </c>
      <c r="BV215" s="217">
        <v>33</v>
      </c>
      <c r="BW215" s="217">
        <v>192</v>
      </c>
      <c r="BX215" s="217">
        <v>0</v>
      </c>
      <c r="BY215" s="217">
        <v>0</v>
      </c>
      <c r="BZ215" s="217">
        <v>0</v>
      </c>
      <c r="CA215" s="217">
        <v>0</v>
      </c>
      <c r="CB215" s="217">
        <v>33</v>
      </c>
      <c r="CC215" s="217">
        <v>192</v>
      </c>
      <c r="CD215" s="217">
        <v>0</v>
      </c>
      <c r="CE215" s="217">
        <v>0</v>
      </c>
      <c r="CF215" s="217">
        <v>0</v>
      </c>
      <c r="CG215" s="217">
        <v>0</v>
      </c>
      <c r="CH215" s="217">
        <v>0</v>
      </c>
      <c r="CI215" s="217">
        <v>0</v>
      </c>
      <c r="CJ215" s="217">
        <v>0</v>
      </c>
    </row>
    <row r="216" spans="1:88" x14ac:dyDescent="0.25">
      <c r="A216" s="217" t="s">
        <v>22</v>
      </c>
      <c r="B216" s="217" t="s">
        <v>23</v>
      </c>
      <c r="C216" s="217" t="s">
        <v>85</v>
      </c>
      <c r="D216" s="217" t="s">
        <v>84</v>
      </c>
      <c r="E216" s="217" t="s">
        <v>110</v>
      </c>
      <c r="F216" s="217" t="s">
        <v>109</v>
      </c>
      <c r="G216" s="217" t="s">
        <v>320</v>
      </c>
      <c r="H216" s="217" t="s">
        <v>1004</v>
      </c>
      <c r="I216" s="217" t="s">
        <v>29</v>
      </c>
      <c r="J216" s="217" t="s">
        <v>1856</v>
      </c>
      <c r="K216" s="217">
        <v>5</v>
      </c>
      <c r="L216" s="217">
        <v>26</v>
      </c>
      <c r="M216" s="217" t="s">
        <v>31</v>
      </c>
      <c r="N216" s="217" t="s">
        <v>32</v>
      </c>
      <c r="O216" s="217" t="s">
        <v>68</v>
      </c>
      <c r="P216" s="217" t="s">
        <v>34</v>
      </c>
      <c r="Q216" s="217" t="s">
        <v>35</v>
      </c>
      <c r="R216" s="217" t="s">
        <v>23</v>
      </c>
      <c r="S216" s="217" t="s">
        <v>22</v>
      </c>
      <c r="T216" s="217" t="s">
        <v>84</v>
      </c>
      <c r="U216" s="217" t="s">
        <v>85</v>
      </c>
      <c r="V216" s="217" t="s">
        <v>91</v>
      </c>
      <c r="W216" s="217" t="s">
        <v>92</v>
      </c>
      <c r="BC216" s="217" t="s">
        <v>85</v>
      </c>
      <c r="BD216" s="217" t="s">
        <v>157</v>
      </c>
      <c r="BE216" s="217" t="s">
        <v>1051</v>
      </c>
      <c r="BF216" s="217" t="s">
        <v>363</v>
      </c>
      <c r="BG216" s="217" t="s">
        <v>1998</v>
      </c>
      <c r="BH216" s="217" t="s">
        <v>1658</v>
      </c>
      <c r="BI216" s="217" t="s">
        <v>1660</v>
      </c>
      <c r="BJ216" s="217" t="s">
        <v>1660</v>
      </c>
      <c r="BK216" s="217" t="s">
        <v>637</v>
      </c>
      <c r="BL216" s="217"/>
      <c r="BM216" s="217"/>
      <c r="BN216" s="217">
        <v>0</v>
      </c>
      <c r="BO216" s="217">
        <v>0</v>
      </c>
      <c r="BR216" s="217" t="s">
        <v>85</v>
      </c>
      <c r="BS216" s="217" t="s">
        <v>95</v>
      </c>
      <c r="BT216" s="217" t="s">
        <v>114</v>
      </c>
      <c r="BU216" s="217" t="s">
        <v>922</v>
      </c>
      <c r="BV216" s="217">
        <v>16</v>
      </c>
      <c r="BW216" s="217">
        <v>112</v>
      </c>
      <c r="BX216" s="217">
        <v>11</v>
      </c>
      <c r="BY216" s="217">
        <v>66</v>
      </c>
      <c r="BZ216" s="217">
        <v>0</v>
      </c>
      <c r="CA216" s="217">
        <v>0</v>
      </c>
      <c r="CB216" s="217">
        <v>16</v>
      </c>
      <c r="CC216" s="217">
        <v>112</v>
      </c>
      <c r="CD216" s="217">
        <v>11</v>
      </c>
      <c r="CE216" s="217">
        <v>66</v>
      </c>
      <c r="CF216" s="217">
        <v>0</v>
      </c>
      <c r="CG216" s="217">
        <v>0</v>
      </c>
      <c r="CH216" s="217">
        <v>0</v>
      </c>
      <c r="CI216" s="217">
        <v>0</v>
      </c>
      <c r="CJ216" s="217">
        <v>0</v>
      </c>
    </row>
    <row r="217" spans="1:88" x14ac:dyDescent="0.25">
      <c r="A217" s="217" t="s">
        <v>22</v>
      </c>
      <c r="B217" s="217" t="s">
        <v>23</v>
      </c>
      <c r="C217" s="217" t="s">
        <v>85</v>
      </c>
      <c r="D217" s="217" t="s">
        <v>84</v>
      </c>
      <c r="E217" s="217" t="s">
        <v>110</v>
      </c>
      <c r="F217" s="217" t="s">
        <v>109</v>
      </c>
      <c r="G217" s="217" t="s">
        <v>320</v>
      </c>
      <c r="H217" s="217" t="s">
        <v>1004</v>
      </c>
      <c r="I217" s="217" t="s">
        <v>29</v>
      </c>
      <c r="J217" s="217" t="s">
        <v>1857</v>
      </c>
      <c r="K217" s="217">
        <v>9</v>
      </c>
      <c r="L217" s="217">
        <v>44</v>
      </c>
      <c r="M217" s="217" t="s">
        <v>31</v>
      </c>
      <c r="N217" s="217" t="s">
        <v>32</v>
      </c>
      <c r="O217" s="217" t="s">
        <v>100</v>
      </c>
      <c r="P217" s="217" t="s">
        <v>34</v>
      </c>
      <c r="Q217" s="217" t="s">
        <v>35</v>
      </c>
      <c r="R217" s="217" t="s">
        <v>23</v>
      </c>
      <c r="S217" s="217" t="s">
        <v>22</v>
      </c>
      <c r="T217" s="217" t="s">
        <v>84</v>
      </c>
      <c r="U217" s="217" t="s">
        <v>85</v>
      </c>
      <c r="V217" s="217" t="s">
        <v>109</v>
      </c>
      <c r="W217" s="217" t="s">
        <v>110</v>
      </c>
      <c r="BC217" s="217" t="s">
        <v>85</v>
      </c>
      <c r="BD217" s="217" t="s">
        <v>157</v>
      </c>
      <c r="BE217" s="217" t="s">
        <v>1052</v>
      </c>
      <c r="BF217" s="217" t="s">
        <v>364</v>
      </c>
      <c r="BG217" s="217" t="s">
        <v>2006</v>
      </c>
      <c r="BH217" s="217" t="s">
        <v>1658</v>
      </c>
      <c r="BI217" s="217" t="s">
        <v>1660</v>
      </c>
      <c r="BJ217" s="217" t="s">
        <v>1660</v>
      </c>
      <c r="BK217" s="217" t="s">
        <v>637</v>
      </c>
      <c r="BL217" s="217"/>
      <c r="BM217" s="217"/>
      <c r="BN217" s="217">
        <v>0</v>
      </c>
      <c r="BO217" s="217">
        <v>0</v>
      </c>
      <c r="BR217" s="217" t="s">
        <v>85</v>
      </c>
      <c r="BS217" s="217" t="s">
        <v>95</v>
      </c>
      <c r="BT217" s="217" t="s">
        <v>116</v>
      </c>
      <c r="BU217" s="217" t="s">
        <v>924</v>
      </c>
      <c r="BV217" s="217">
        <v>3</v>
      </c>
      <c r="BW217" s="217">
        <v>21</v>
      </c>
      <c r="BX217" s="217">
        <v>0</v>
      </c>
      <c r="BY217" s="217">
        <v>0</v>
      </c>
      <c r="BZ217" s="217">
        <v>0</v>
      </c>
      <c r="CA217" s="217">
        <v>0</v>
      </c>
      <c r="CB217" s="217">
        <v>3</v>
      </c>
      <c r="CC217" s="217">
        <v>21</v>
      </c>
      <c r="CD217" s="217">
        <v>0</v>
      </c>
      <c r="CE217" s="217">
        <v>0</v>
      </c>
      <c r="CF217" s="217">
        <v>0</v>
      </c>
      <c r="CG217" s="217">
        <v>0</v>
      </c>
      <c r="CH217" s="217">
        <v>0</v>
      </c>
      <c r="CI217" s="217">
        <v>0</v>
      </c>
      <c r="CJ217" s="217">
        <v>0</v>
      </c>
    </row>
    <row r="218" spans="1:88" x14ac:dyDescent="0.25">
      <c r="A218" s="217" t="s">
        <v>22</v>
      </c>
      <c r="B218" s="217" t="s">
        <v>23</v>
      </c>
      <c r="C218" s="217" t="s">
        <v>85</v>
      </c>
      <c r="D218" s="217" t="s">
        <v>84</v>
      </c>
      <c r="E218" s="217" t="s">
        <v>110</v>
      </c>
      <c r="F218" s="217" t="s">
        <v>109</v>
      </c>
      <c r="G218" s="217" t="s">
        <v>320</v>
      </c>
      <c r="H218" s="217" t="s">
        <v>1004</v>
      </c>
      <c r="I218" s="217" t="s">
        <v>29</v>
      </c>
      <c r="J218" s="217" t="s">
        <v>1858</v>
      </c>
      <c r="K218" s="217">
        <v>7</v>
      </c>
      <c r="L218" s="217">
        <v>56</v>
      </c>
      <c r="M218" s="217" t="s">
        <v>31</v>
      </c>
      <c r="N218" s="217" t="s">
        <v>32</v>
      </c>
      <c r="O218" s="217" t="s">
        <v>100</v>
      </c>
      <c r="P218" s="217" t="s">
        <v>34</v>
      </c>
      <c r="Q218" s="217" t="s">
        <v>35</v>
      </c>
      <c r="R218" s="217" t="s">
        <v>23</v>
      </c>
      <c r="S218" s="217" t="s">
        <v>22</v>
      </c>
      <c r="T218" s="217" t="s">
        <v>84</v>
      </c>
      <c r="U218" s="217" t="s">
        <v>85</v>
      </c>
      <c r="V218" s="217" t="s">
        <v>109</v>
      </c>
      <c r="W218" s="217" t="s">
        <v>110</v>
      </c>
      <c r="BC218" s="217" t="s">
        <v>85</v>
      </c>
      <c r="BD218" s="217" t="s">
        <v>157</v>
      </c>
      <c r="BE218" s="217" t="s">
        <v>1053</v>
      </c>
      <c r="BF218" s="217" t="s">
        <v>365</v>
      </c>
      <c r="BG218" s="217" t="s">
        <v>2006</v>
      </c>
      <c r="BH218" s="217" t="s">
        <v>1658</v>
      </c>
      <c r="BI218" s="217" t="s">
        <v>1660</v>
      </c>
      <c r="BJ218" s="217" t="s">
        <v>1660</v>
      </c>
      <c r="BK218" s="217" t="s">
        <v>637</v>
      </c>
      <c r="BL218" s="217"/>
      <c r="BM218" s="217"/>
      <c r="BN218" s="217">
        <v>0</v>
      </c>
      <c r="BO218" s="217">
        <v>0</v>
      </c>
      <c r="BR218" s="217" t="s">
        <v>85</v>
      </c>
      <c r="BS218" s="217" t="s">
        <v>95</v>
      </c>
      <c r="BT218" s="217" t="s">
        <v>622</v>
      </c>
      <c r="BU218" s="217" t="s">
        <v>1499</v>
      </c>
      <c r="BV218" s="217">
        <v>0</v>
      </c>
      <c r="BW218" s="217">
        <v>0</v>
      </c>
      <c r="BX218" s="217">
        <v>0</v>
      </c>
      <c r="BY218" s="217">
        <v>0</v>
      </c>
      <c r="BZ218" s="217">
        <v>0</v>
      </c>
      <c r="CA218" s="217">
        <v>0</v>
      </c>
      <c r="CB218" s="217">
        <v>0</v>
      </c>
      <c r="CC218" s="217">
        <v>0</v>
      </c>
      <c r="CD218" s="217">
        <v>4</v>
      </c>
      <c r="CE218" s="217">
        <v>18</v>
      </c>
      <c r="CF218" s="217">
        <v>0</v>
      </c>
      <c r="CG218" s="217">
        <v>0</v>
      </c>
      <c r="CH218" s="217">
        <v>0</v>
      </c>
      <c r="CI218" s="217">
        <v>-18</v>
      </c>
      <c r="CJ218" s="217">
        <v>0</v>
      </c>
    </row>
    <row r="219" spans="1:88" x14ac:dyDescent="0.25">
      <c r="A219" s="217" t="s">
        <v>22</v>
      </c>
      <c r="B219" s="217" t="s">
        <v>23</v>
      </c>
      <c r="C219" s="217" t="s">
        <v>85</v>
      </c>
      <c r="D219" s="217" t="s">
        <v>84</v>
      </c>
      <c r="E219" s="217" t="s">
        <v>110</v>
      </c>
      <c r="F219" s="217" t="s">
        <v>109</v>
      </c>
      <c r="G219" s="217" t="s">
        <v>321</v>
      </c>
      <c r="H219" s="217" t="s">
        <v>1005</v>
      </c>
      <c r="I219" s="217" t="s">
        <v>29</v>
      </c>
      <c r="J219" s="217" t="s">
        <v>1856</v>
      </c>
      <c r="K219" s="217">
        <v>2</v>
      </c>
      <c r="L219" s="217">
        <v>9</v>
      </c>
      <c r="M219" s="217" t="s">
        <v>31</v>
      </c>
      <c r="N219" s="217" t="s">
        <v>32</v>
      </c>
      <c r="O219" s="217" t="s">
        <v>68</v>
      </c>
      <c r="P219" s="217" t="s">
        <v>34</v>
      </c>
      <c r="Q219" s="217" t="s">
        <v>35</v>
      </c>
      <c r="R219" s="217" t="s">
        <v>23</v>
      </c>
      <c r="S219" s="217" t="s">
        <v>22</v>
      </c>
      <c r="T219" s="217" t="s">
        <v>84</v>
      </c>
      <c r="U219" s="217" t="s">
        <v>85</v>
      </c>
      <c r="V219" s="217" t="s">
        <v>91</v>
      </c>
      <c r="W219" s="217" t="s">
        <v>92</v>
      </c>
      <c r="BC219" s="217" t="s">
        <v>85</v>
      </c>
      <c r="BD219" s="217" t="s">
        <v>151</v>
      </c>
      <c r="BE219" s="217" t="s">
        <v>1055</v>
      </c>
      <c r="BF219" s="217" t="s">
        <v>1054</v>
      </c>
      <c r="BG219" s="217" t="s">
        <v>1998</v>
      </c>
      <c r="BH219" s="217" t="s">
        <v>1658</v>
      </c>
      <c r="BI219" s="217" t="s">
        <v>1660</v>
      </c>
      <c r="BJ219" s="217" t="s">
        <v>1660</v>
      </c>
      <c r="BK219" s="217" t="s">
        <v>637</v>
      </c>
      <c r="BL219" s="217"/>
      <c r="BM219" s="217"/>
      <c r="BN219" s="217">
        <v>0</v>
      </c>
      <c r="BO219" s="217">
        <v>0</v>
      </c>
      <c r="BR219" s="217" t="s">
        <v>85</v>
      </c>
      <c r="BS219" s="217" t="s">
        <v>95</v>
      </c>
      <c r="BT219" s="217" t="s">
        <v>670</v>
      </c>
      <c r="BU219" s="217" t="s">
        <v>1668</v>
      </c>
      <c r="BV219" s="217">
        <v>7</v>
      </c>
      <c r="BW219" s="217">
        <v>46</v>
      </c>
      <c r="BX219" s="217">
        <v>6</v>
      </c>
      <c r="BY219" s="217">
        <v>30</v>
      </c>
      <c r="BZ219" s="217">
        <v>0</v>
      </c>
      <c r="CA219" s="217">
        <v>0</v>
      </c>
      <c r="CB219" s="217">
        <v>7</v>
      </c>
      <c r="CC219" s="217">
        <v>46</v>
      </c>
      <c r="CD219" s="217">
        <v>6</v>
      </c>
      <c r="CE219" s="217">
        <v>30</v>
      </c>
      <c r="CF219" s="217">
        <v>0</v>
      </c>
      <c r="CG219" s="217">
        <v>0</v>
      </c>
      <c r="CH219" s="217">
        <v>0</v>
      </c>
      <c r="CI219" s="217">
        <v>0</v>
      </c>
      <c r="CJ219" s="217">
        <v>0</v>
      </c>
    </row>
    <row r="220" spans="1:88" x14ac:dyDescent="0.25">
      <c r="A220" s="217" t="s">
        <v>22</v>
      </c>
      <c r="B220" s="217" t="s">
        <v>23</v>
      </c>
      <c r="C220" s="217" t="s">
        <v>85</v>
      </c>
      <c r="D220" s="217" t="s">
        <v>84</v>
      </c>
      <c r="E220" s="217" t="s">
        <v>110</v>
      </c>
      <c r="F220" s="217" t="s">
        <v>109</v>
      </c>
      <c r="G220" s="217" t="s">
        <v>321</v>
      </c>
      <c r="H220" s="217" t="s">
        <v>1005</v>
      </c>
      <c r="I220" s="217" t="s">
        <v>29</v>
      </c>
      <c r="J220" s="217" t="s">
        <v>1857</v>
      </c>
      <c r="K220" s="217">
        <v>4</v>
      </c>
      <c r="L220" s="217">
        <v>20</v>
      </c>
      <c r="M220" s="217" t="s">
        <v>31</v>
      </c>
      <c r="N220" s="217" t="s">
        <v>32</v>
      </c>
      <c r="O220" s="217" t="s">
        <v>100</v>
      </c>
      <c r="P220" s="217" t="s">
        <v>34</v>
      </c>
      <c r="Q220" s="217" t="s">
        <v>35</v>
      </c>
      <c r="R220" s="217" t="s">
        <v>23</v>
      </c>
      <c r="S220" s="217" t="s">
        <v>22</v>
      </c>
      <c r="T220" s="217" t="s">
        <v>84</v>
      </c>
      <c r="U220" s="217" t="s">
        <v>85</v>
      </c>
      <c r="V220" s="217" t="s">
        <v>109</v>
      </c>
      <c r="W220" s="217" t="s">
        <v>110</v>
      </c>
      <c r="BC220" s="217" t="s">
        <v>85</v>
      </c>
      <c r="BD220" s="217" t="s">
        <v>151</v>
      </c>
      <c r="BE220" s="217" t="s">
        <v>1057</v>
      </c>
      <c r="BF220" s="217" t="s">
        <v>1056</v>
      </c>
      <c r="BG220" s="217" t="s">
        <v>1998</v>
      </c>
      <c r="BH220" s="217" t="s">
        <v>1658</v>
      </c>
      <c r="BI220" s="217" t="s">
        <v>1660</v>
      </c>
      <c r="BJ220" s="217" t="s">
        <v>1660</v>
      </c>
      <c r="BK220" s="217" t="s">
        <v>637</v>
      </c>
      <c r="BL220" s="217"/>
      <c r="BM220" s="217"/>
      <c r="BN220" s="217">
        <v>0</v>
      </c>
      <c r="BO220" s="217">
        <v>0</v>
      </c>
      <c r="BR220" s="217" t="s">
        <v>85</v>
      </c>
      <c r="BS220" s="217" t="s">
        <v>95</v>
      </c>
      <c r="BT220" s="217" t="s">
        <v>120</v>
      </c>
      <c r="BU220" s="217" t="s">
        <v>928</v>
      </c>
      <c r="BV220" s="217">
        <v>13</v>
      </c>
      <c r="BW220" s="217">
        <v>65</v>
      </c>
      <c r="BX220" s="217">
        <v>0</v>
      </c>
      <c r="BY220" s="217">
        <v>0</v>
      </c>
      <c r="BZ220" s="217">
        <v>0</v>
      </c>
      <c r="CA220" s="217">
        <v>0</v>
      </c>
      <c r="CB220" s="217">
        <v>13</v>
      </c>
      <c r="CC220" s="217">
        <v>65</v>
      </c>
      <c r="CD220" s="217">
        <v>1</v>
      </c>
      <c r="CE220" s="217">
        <v>8</v>
      </c>
      <c r="CF220" s="217">
        <v>0</v>
      </c>
      <c r="CG220" s="217">
        <v>0</v>
      </c>
      <c r="CH220" s="217">
        <v>0</v>
      </c>
      <c r="CI220" s="217">
        <v>-8</v>
      </c>
      <c r="CJ220" s="217">
        <v>0</v>
      </c>
    </row>
    <row r="221" spans="1:88" x14ac:dyDescent="0.25">
      <c r="A221" s="217" t="s">
        <v>22</v>
      </c>
      <c r="B221" s="217" t="s">
        <v>23</v>
      </c>
      <c r="C221" s="217" t="s">
        <v>85</v>
      </c>
      <c r="D221" s="217" t="s">
        <v>84</v>
      </c>
      <c r="E221" s="217" t="s">
        <v>110</v>
      </c>
      <c r="F221" s="217" t="s">
        <v>109</v>
      </c>
      <c r="G221" s="217" t="s">
        <v>321</v>
      </c>
      <c r="H221" s="217" t="s">
        <v>1005</v>
      </c>
      <c r="I221" s="217" t="s">
        <v>29</v>
      </c>
      <c r="J221" s="217" t="s">
        <v>1858</v>
      </c>
      <c r="K221" s="217">
        <v>10</v>
      </c>
      <c r="L221" s="217">
        <v>80</v>
      </c>
      <c r="M221" s="217" t="s">
        <v>31</v>
      </c>
      <c r="N221" s="217" t="s">
        <v>32</v>
      </c>
      <c r="O221" s="217" t="s">
        <v>100</v>
      </c>
      <c r="P221" s="217" t="s">
        <v>34</v>
      </c>
      <c r="Q221" s="217" t="s">
        <v>35</v>
      </c>
      <c r="R221" s="217" t="s">
        <v>23</v>
      </c>
      <c r="S221" s="217" t="s">
        <v>22</v>
      </c>
      <c r="T221" s="217" t="s">
        <v>84</v>
      </c>
      <c r="U221" s="217" t="s">
        <v>85</v>
      </c>
      <c r="V221" s="217" t="s">
        <v>109</v>
      </c>
      <c r="W221" s="217" t="s">
        <v>110</v>
      </c>
      <c r="BC221" s="217" t="s">
        <v>85</v>
      </c>
      <c r="BD221" s="217" t="s">
        <v>151</v>
      </c>
      <c r="BE221" s="217" t="s">
        <v>1059</v>
      </c>
      <c r="BF221" s="217" t="s">
        <v>1058</v>
      </c>
      <c r="BG221" s="217" t="s">
        <v>1998</v>
      </c>
      <c r="BH221" s="217" t="s">
        <v>1658</v>
      </c>
      <c r="BI221" s="217" t="s">
        <v>1660</v>
      </c>
      <c r="BJ221" s="217" t="s">
        <v>1660</v>
      </c>
      <c r="BK221" s="217" t="s">
        <v>637</v>
      </c>
      <c r="BL221" s="217"/>
      <c r="BM221" s="217"/>
      <c r="BN221" s="217">
        <v>0</v>
      </c>
      <c r="BO221" s="217">
        <v>0</v>
      </c>
      <c r="BR221" s="217" t="s">
        <v>85</v>
      </c>
      <c r="BS221" s="217" t="s">
        <v>95</v>
      </c>
      <c r="BT221" s="217" t="s">
        <v>121</v>
      </c>
      <c r="BU221" s="217" t="s">
        <v>929</v>
      </c>
      <c r="BV221" s="217">
        <v>0</v>
      </c>
      <c r="BW221" s="217">
        <v>0</v>
      </c>
      <c r="BX221" s="217">
        <v>0</v>
      </c>
      <c r="BY221" s="217">
        <v>0</v>
      </c>
      <c r="BZ221" s="217">
        <v>0</v>
      </c>
      <c r="CA221" s="217">
        <v>0</v>
      </c>
      <c r="CB221" s="217">
        <v>4</v>
      </c>
      <c r="CC221" s="217">
        <v>24</v>
      </c>
      <c r="CD221" s="217">
        <v>0</v>
      </c>
      <c r="CE221" s="217">
        <v>0</v>
      </c>
      <c r="CF221" s="217">
        <v>0</v>
      </c>
      <c r="CG221" s="217">
        <v>0</v>
      </c>
      <c r="CH221" s="217">
        <v>-24</v>
      </c>
      <c r="CI221" s="217">
        <v>0</v>
      </c>
      <c r="CJ221" s="217">
        <v>0</v>
      </c>
    </row>
    <row r="222" spans="1:88" x14ac:dyDescent="0.25">
      <c r="A222" s="217" t="s">
        <v>22</v>
      </c>
      <c r="B222" s="217" t="s">
        <v>23</v>
      </c>
      <c r="C222" s="217" t="s">
        <v>85</v>
      </c>
      <c r="D222" s="217" t="s">
        <v>84</v>
      </c>
      <c r="E222" s="217" t="s">
        <v>110</v>
      </c>
      <c r="F222" s="217" t="s">
        <v>109</v>
      </c>
      <c r="G222" s="217" t="s">
        <v>322</v>
      </c>
      <c r="H222" s="217" t="s">
        <v>1006</v>
      </c>
      <c r="I222" s="217" t="s">
        <v>29</v>
      </c>
      <c r="J222" s="217" t="s">
        <v>1857</v>
      </c>
      <c r="K222" s="217">
        <v>15</v>
      </c>
      <c r="L222" s="217">
        <v>137</v>
      </c>
      <c r="M222" s="217" t="s">
        <v>31</v>
      </c>
      <c r="N222" s="217" t="s">
        <v>32</v>
      </c>
      <c r="O222" s="217" t="s">
        <v>100</v>
      </c>
      <c r="P222" s="217" t="s">
        <v>34</v>
      </c>
      <c r="Q222" s="217" t="s">
        <v>35</v>
      </c>
      <c r="R222" s="217" t="s">
        <v>23</v>
      </c>
      <c r="S222" s="217" t="s">
        <v>22</v>
      </c>
      <c r="T222" s="217" t="s">
        <v>84</v>
      </c>
      <c r="U222" s="217" t="s">
        <v>85</v>
      </c>
      <c r="V222" s="217" t="s">
        <v>109</v>
      </c>
      <c r="W222" s="217" t="s">
        <v>110</v>
      </c>
      <c r="BC222" s="217" t="s">
        <v>85</v>
      </c>
      <c r="BD222" s="217" t="s">
        <v>151</v>
      </c>
      <c r="BE222" s="217" t="s">
        <v>1060</v>
      </c>
      <c r="BF222" s="217" t="s">
        <v>776</v>
      </c>
      <c r="BG222" s="217" t="s">
        <v>2000</v>
      </c>
      <c r="BH222" s="217" t="s">
        <v>1660</v>
      </c>
      <c r="BI222" s="217" t="s">
        <v>1660</v>
      </c>
      <c r="BJ222" s="217" t="s">
        <v>1660</v>
      </c>
      <c r="BK222" s="217" t="s">
        <v>637</v>
      </c>
      <c r="BL222" s="217"/>
      <c r="BM222" s="217"/>
      <c r="BN222" s="217">
        <v>0</v>
      </c>
      <c r="BO222" s="217">
        <v>0</v>
      </c>
      <c r="BR222" s="217" t="s">
        <v>85</v>
      </c>
      <c r="BS222" s="217" t="s">
        <v>95</v>
      </c>
      <c r="BT222" s="217" t="s">
        <v>267</v>
      </c>
      <c r="BU222" s="217" t="s">
        <v>934</v>
      </c>
      <c r="BV222" s="217">
        <v>4</v>
      </c>
      <c r="BW222" s="217">
        <v>24</v>
      </c>
      <c r="BX222" s="217">
        <v>0</v>
      </c>
      <c r="BY222" s="217">
        <v>0</v>
      </c>
      <c r="BZ222" s="217">
        <v>0</v>
      </c>
      <c r="CA222" s="217">
        <v>0</v>
      </c>
      <c r="CB222" s="217">
        <v>4</v>
      </c>
      <c r="CC222" s="217">
        <v>24</v>
      </c>
      <c r="CD222" s="217">
        <v>0</v>
      </c>
      <c r="CE222" s="217">
        <v>0</v>
      </c>
      <c r="CF222" s="217">
        <v>0</v>
      </c>
      <c r="CG222" s="217">
        <v>0</v>
      </c>
      <c r="CH222" s="217">
        <v>0</v>
      </c>
      <c r="CI222" s="217">
        <v>0</v>
      </c>
      <c r="CJ222" s="217">
        <v>0</v>
      </c>
    </row>
    <row r="223" spans="1:88" x14ac:dyDescent="0.25">
      <c r="A223" s="217" t="s">
        <v>22</v>
      </c>
      <c r="B223" s="217" t="s">
        <v>23</v>
      </c>
      <c r="C223" s="217" t="s">
        <v>85</v>
      </c>
      <c r="D223" s="217" t="s">
        <v>84</v>
      </c>
      <c r="E223" s="217" t="s">
        <v>110</v>
      </c>
      <c r="F223" s="217" t="s">
        <v>109</v>
      </c>
      <c r="G223" s="217" t="s">
        <v>322</v>
      </c>
      <c r="H223" s="217" t="s">
        <v>1006</v>
      </c>
      <c r="I223" s="217" t="s">
        <v>29</v>
      </c>
      <c r="J223" s="217" t="s">
        <v>1859</v>
      </c>
      <c r="K223" s="217">
        <v>10</v>
      </c>
      <c r="L223" s="217">
        <v>70</v>
      </c>
      <c r="M223" s="217" t="s">
        <v>31</v>
      </c>
      <c r="N223" s="217" t="s">
        <v>32</v>
      </c>
      <c r="O223" s="217" t="s">
        <v>100</v>
      </c>
      <c r="P223" s="217" t="s">
        <v>34</v>
      </c>
      <c r="Q223" s="217" t="s">
        <v>35</v>
      </c>
      <c r="R223" s="217" t="s">
        <v>23</v>
      </c>
      <c r="S223" s="217" t="s">
        <v>22</v>
      </c>
      <c r="T223" s="217" t="s">
        <v>84</v>
      </c>
      <c r="U223" s="217" t="s">
        <v>85</v>
      </c>
      <c r="V223" s="217" t="s">
        <v>109</v>
      </c>
      <c r="W223" s="217" t="s">
        <v>110</v>
      </c>
      <c r="BC223" s="217" t="s">
        <v>85</v>
      </c>
      <c r="BD223" s="217" t="s">
        <v>151</v>
      </c>
      <c r="BE223" s="217" t="s">
        <v>1061</v>
      </c>
      <c r="BF223" s="217" t="s">
        <v>2003</v>
      </c>
      <c r="BG223" s="217" t="s">
        <v>1998</v>
      </c>
      <c r="BH223" s="217" t="s">
        <v>1658</v>
      </c>
      <c r="BI223" s="217" t="s">
        <v>1660</v>
      </c>
      <c r="BJ223" s="217" t="s">
        <v>1660</v>
      </c>
      <c r="BK223" s="217" t="s">
        <v>637</v>
      </c>
      <c r="BL223" s="217"/>
      <c r="BM223" s="217"/>
      <c r="BN223" s="217">
        <v>0</v>
      </c>
      <c r="BO223" s="217">
        <v>0</v>
      </c>
      <c r="BR223" s="217" t="s">
        <v>85</v>
      </c>
      <c r="BS223" s="217" t="s">
        <v>95</v>
      </c>
      <c r="BT223" s="217" t="s">
        <v>266</v>
      </c>
      <c r="BU223" s="217" t="s">
        <v>933</v>
      </c>
      <c r="BV223" s="217">
        <v>10</v>
      </c>
      <c r="BW223" s="217">
        <v>50</v>
      </c>
      <c r="BX223" s="217">
        <v>6</v>
      </c>
      <c r="BY223" s="217">
        <v>30</v>
      </c>
      <c r="BZ223" s="217">
        <v>0</v>
      </c>
      <c r="CA223" s="217">
        <v>0</v>
      </c>
      <c r="CB223" s="217">
        <v>10</v>
      </c>
      <c r="CC223" s="217">
        <v>50</v>
      </c>
      <c r="CD223" s="217">
        <v>6</v>
      </c>
      <c r="CE223" s="217">
        <v>30</v>
      </c>
      <c r="CF223" s="217">
        <v>0</v>
      </c>
      <c r="CG223" s="217">
        <v>0</v>
      </c>
      <c r="CH223" s="217">
        <v>0</v>
      </c>
      <c r="CI223" s="217">
        <v>0</v>
      </c>
      <c r="CJ223" s="217">
        <v>0</v>
      </c>
    </row>
    <row r="224" spans="1:88" x14ac:dyDescent="0.25">
      <c r="A224" s="217" t="s">
        <v>22</v>
      </c>
      <c r="B224" s="217" t="s">
        <v>23</v>
      </c>
      <c r="C224" s="217" t="s">
        <v>85</v>
      </c>
      <c r="D224" s="217" t="s">
        <v>84</v>
      </c>
      <c r="E224" s="217" t="s">
        <v>110</v>
      </c>
      <c r="F224" s="217" t="s">
        <v>109</v>
      </c>
      <c r="G224" s="217" t="s">
        <v>1829</v>
      </c>
      <c r="H224" s="217" t="s">
        <v>1828</v>
      </c>
      <c r="I224" s="217" t="s">
        <v>29</v>
      </c>
      <c r="J224" s="217" t="s">
        <v>1858</v>
      </c>
      <c r="K224" s="217">
        <v>15</v>
      </c>
      <c r="L224" s="217">
        <v>120</v>
      </c>
      <c r="M224" s="217" t="s">
        <v>31</v>
      </c>
      <c r="N224" s="217" t="s">
        <v>32</v>
      </c>
      <c r="O224" s="217" t="s">
        <v>100</v>
      </c>
      <c r="P224" s="217" t="s">
        <v>34</v>
      </c>
      <c r="Q224" s="217" t="s">
        <v>35</v>
      </c>
      <c r="R224" s="217" t="s">
        <v>23</v>
      </c>
      <c r="S224" s="217" t="s">
        <v>22</v>
      </c>
      <c r="T224" s="217" t="s">
        <v>84</v>
      </c>
      <c r="U224" s="217" t="s">
        <v>85</v>
      </c>
      <c r="V224" s="217" t="s">
        <v>109</v>
      </c>
      <c r="W224" s="217" t="s">
        <v>110</v>
      </c>
      <c r="BC224" s="217" t="s">
        <v>85</v>
      </c>
      <c r="BD224" s="217" t="s">
        <v>151</v>
      </c>
      <c r="BE224" s="217" t="s">
        <v>1062</v>
      </c>
      <c r="BF224" s="217" t="s">
        <v>366</v>
      </c>
      <c r="BG224" s="217" t="s">
        <v>1998</v>
      </c>
      <c r="BH224" s="217" t="s">
        <v>1658</v>
      </c>
      <c r="BI224" s="217" t="s">
        <v>1660</v>
      </c>
      <c r="BJ224" s="217" t="s">
        <v>1660</v>
      </c>
      <c r="BK224" s="217" t="s">
        <v>637</v>
      </c>
      <c r="BL224" s="217"/>
      <c r="BM224" s="217"/>
      <c r="BN224" s="217">
        <v>0</v>
      </c>
      <c r="BO224" s="217">
        <v>0</v>
      </c>
      <c r="BR224" s="217" t="s">
        <v>85</v>
      </c>
      <c r="BS224" s="217" t="s">
        <v>95</v>
      </c>
      <c r="BT224" s="217" t="s">
        <v>268</v>
      </c>
      <c r="BU224" s="217" t="s">
        <v>935</v>
      </c>
      <c r="BV224" s="217">
        <v>5</v>
      </c>
      <c r="BW224" s="217">
        <v>35</v>
      </c>
      <c r="BX224" s="217">
        <v>4</v>
      </c>
      <c r="BY224" s="217">
        <v>24</v>
      </c>
      <c r="BZ224" s="217">
        <v>0</v>
      </c>
      <c r="CA224" s="217">
        <v>0</v>
      </c>
      <c r="CB224" s="217">
        <v>5</v>
      </c>
      <c r="CC224" s="217">
        <v>35</v>
      </c>
      <c r="CD224" s="217">
        <v>4</v>
      </c>
      <c r="CE224" s="217">
        <v>24</v>
      </c>
      <c r="CF224" s="217">
        <v>0</v>
      </c>
      <c r="CG224" s="217">
        <v>0</v>
      </c>
      <c r="CH224" s="217">
        <v>0</v>
      </c>
      <c r="CI224" s="217">
        <v>0</v>
      </c>
      <c r="CJ224" s="217">
        <v>0</v>
      </c>
    </row>
    <row r="225" spans="1:88" x14ac:dyDescent="0.25">
      <c r="A225" s="217" t="s">
        <v>22</v>
      </c>
      <c r="B225" s="217" t="s">
        <v>23</v>
      </c>
      <c r="C225" s="217" t="s">
        <v>85</v>
      </c>
      <c r="D225" s="217" t="s">
        <v>84</v>
      </c>
      <c r="E225" s="217" t="s">
        <v>110</v>
      </c>
      <c r="F225" s="217" t="s">
        <v>109</v>
      </c>
      <c r="G225" s="217" t="s">
        <v>1825</v>
      </c>
      <c r="H225" s="217" t="s">
        <v>1824</v>
      </c>
      <c r="I225" s="217" t="s">
        <v>29</v>
      </c>
      <c r="J225" s="217" t="s">
        <v>1858</v>
      </c>
      <c r="K225" s="217">
        <v>14</v>
      </c>
      <c r="L225" s="217">
        <v>106</v>
      </c>
      <c r="M225" s="217" t="s">
        <v>31</v>
      </c>
      <c r="N225" s="217" t="s">
        <v>32</v>
      </c>
      <c r="O225" s="217" t="s">
        <v>100</v>
      </c>
      <c r="P225" s="217" t="s">
        <v>34</v>
      </c>
      <c r="Q225" s="217" t="s">
        <v>35</v>
      </c>
      <c r="R225" s="217" t="s">
        <v>23</v>
      </c>
      <c r="S225" s="217" t="s">
        <v>22</v>
      </c>
      <c r="T225" s="217" t="s">
        <v>84</v>
      </c>
      <c r="U225" s="217" t="s">
        <v>85</v>
      </c>
      <c r="V225" s="217" t="s">
        <v>109</v>
      </c>
      <c r="W225" s="217" t="s">
        <v>110</v>
      </c>
      <c r="BC225" s="217" t="s">
        <v>85</v>
      </c>
      <c r="BD225" s="217" t="s">
        <v>151</v>
      </c>
      <c r="BE225" s="217" t="s">
        <v>1064</v>
      </c>
      <c r="BF225" s="217" t="s">
        <v>1063</v>
      </c>
      <c r="BG225" s="217" t="s">
        <v>1998</v>
      </c>
      <c r="BH225" s="217" t="s">
        <v>1658</v>
      </c>
      <c r="BI225" s="217" t="s">
        <v>1658</v>
      </c>
      <c r="BJ225" s="217" t="s">
        <v>1660</v>
      </c>
      <c r="BK225" s="217" t="s">
        <v>637</v>
      </c>
      <c r="BL225" s="217"/>
      <c r="BM225" s="217"/>
      <c r="BN225" s="217">
        <v>0</v>
      </c>
      <c r="BO225" s="217">
        <v>0</v>
      </c>
      <c r="BR225" s="217" t="s">
        <v>85</v>
      </c>
      <c r="BS225" s="217" t="s">
        <v>95</v>
      </c>
      <c r="BT225" s="217" t="s">
        <v>269</v>
      </c>
      <c r="BU225" s="217" t="s">
        <v>936</v>
      </c>
      <c r="BV225" s="217">
        <v>12</v>
      </c>
      <c r="BW225" s="217">
        <v>73</v>
      </c>
      <c r="BX225" s="217">
        <v>3</v>
      </c>
      <c r="BY225" s="217">
        <v>18</v>
      </c>
      <c r="BZ225" s="217">
        <v>0</v>
      </c>
      <c r="CA225" s="217">
        <v>0</v>
      </c>
      <c r="CB225" s="217">
        <v>12</v>
      </c>
      <c r="CC225" s="217">
        <v>73</v>
      </c>
      <c r="CD225" s="217">
        <v>3</v>
      </c>
      <c r="CE225" s="217">
        <v>18</v>
      </c>
      <c r="CF225" s="217">
        <v>0</v>
      </c>
      <c r="CG225" s="217">
        <v>0</v>
      </c>
      <c r="CH225" s="217">
        <v>0</v>
      </c>
      <c r="CI225" s="217">
        <v>0</v>
      </c>
      <c r="CJ225" s="217">
        <v>0</v>
      </c>
    </row>
    <row r="226" spans="1:88" x14ac:dyDescent="0.25">
      <c r="A226" s="217" t="s">
        <v>22</v>
      </c>
      <c r="B226" s="217" t="s">
        <v>23</v>
      </c>
      <c r="C226" s="217" t="s">
        <v>85</v>
      </c>
      <c r="D226" s="217" t="s">
        <v>84</v>
      </c>
      <c r="E226" s="217" t="s">
        <v>110</v>
      </c>
      <c r="F226" s="217" t="s">
        <v>109</v>
      </c>
      <c r="G226" s="217" t="s">
        <v>1827</v>
      </c>
      <c r="H226" s="217" t="s">
        <v>1826</v>
      </c>
      <c r="I226" s="217" t="s">
        <v>29</v>
      </c>
      <c r="J226" s="217" t="s">
        <v>1858</v>
      </c>
      <c r="K226" s="217">
        <v>13</v>
      </c>
      <c r="L226" s="217">
        <v>104</v>
      </c>
      <c r="M226" s="217" t="s">
        <v>31</v>
      </c>
      <c r="N226" s="217" t="s">
        <v>32</v>
      </c>
      <c r="O226" s="217" t="s">
        <v>100</v>
      </c>
      <c r="P226" s="217" t="s">
        <v>34</v>
      </c>
      <c r="Q226" s="217" t="s">
        <v>35</v>
      </c>
      <c r="R226" s="217" t="s">
        <v>23</v>
      </c>
      <c r="S226" s="217" t="s">
        <v>22</v>
      </c>
      <c r="T226" s="217" t="s">
        <v>84</v>
      </c>
      <c r="U226" s="217" t="s">
        <v>85</v>
      </c>
      <c r="V226" s="217" t="s">
        <v>109</v>
      </c>
      <c r="W226" s="217" t="s">
        <v>110</v>
      </c>
      <c r="BC226" s="217" t="s">
        <v>85</v>
      </c>
      <c r="BD226" s="217" t="s">
        <v>151</v>
      </c>
      <c r="BE226" s="217" t="s">
        <v>1066</v>
      </c>
      <c r="BF226" s="217" t="s">
        <v>1065</v>
      </c>
      <c r="BG226" s="217" t="s">
        <v>1998</v>
      </c>
      <c r="BH226" s="217" t="s">
        <v>1658</v>
      </c>
      <c r="BI226" s="217" t="s">
        <v>1660</v>
      </c>
      <c r="BJ226" s="217" t="s">
        <v>1660</v>
      </c>
      <c r="BK226" s="217" t="s">
        <v>637</v>
      </c>
      <c r="BL226" s="217"/>
      <c r="BM226" s="217"/>
      <c r="BN226" s="217">
        <v>0</v>
      </c>
      <c r="BO226" s="217">
        <v>0</v>
      </c>
      <c r="BR226" s="217" t="s">
        <v>85</v>
      </c>
      <c r="BS226" s="217" t="s">
        <v>95</v>
      </c>
      <c r="BT226" s="217" t="s">
        <v>271</v>
      </c>
      <c r="BU226" s="217" t="s">
        <v>938</v>
      </c>
      <c r="BV226" s="217">
        <v>11</v>
      </c>
      <c r="BW226" s="217">
        <v>79</v>
      </c>
      <c r="BX226" s="217">
        <v>0</v>
      </c>
      <c r="BY226" s="217">
        <v>0</v>
      </c>
      <c r="BZ226" s="217">
        <v>0</v>
      </c>
      <c r="CA226" s="217">
        <v>0</v>
      </c>
      <c r="CB226" s="217">
        <v>11</v>
      </c>
      <c r="CC226" s="217">
        <v>79</v>
      </c>
      <c r="CD226" s="217">
        <v>3</v>
      </c>
      <c r="CE226" s="217">
        <v>21</v>
      </c>
      <c r="CF226" s="217">
        <v>0</v>
      </c>
      <c r="CG226" s="217">
        <v>0</v>
      </c>
      <c r="CH226" s="217">
        <v>0</v>
      </c>
      <c r="CI226" s="217">
        <v>-21</v>
      </c>
      <c r="CJ226" s="217">
        <v>0</v>
      </c>
    </row>
    <row r="227" spans="1:88" x14ac:dyDescent="0.25">
      <c r="A227" s="217" t="s">
        <v>22</v>
      </c>
      <c r="B227" s="217" t="s">
        <v>23</v>
      </c>
      <c r="C227" s="217" t="s">
        <v>85</v>
      </c>
      <c r="D227" s="217" t="s">
        <v>84</v>
      </c>
      <c r="E227" s="217" t="s">
        <v>110</v>
      </c>
      <c r="F227" s="217" t="s">
        <v>109</v>
      </c>
      <c r="G227" s="217" t="s">
        <v>324</v>
      </c>
      <c r="H227" s="217" t="s">
        <v>1008</v>
      </c>
      <c r="I227" s="217" t="s">
        <v>29</v>
      </c>
      <c r="J227" s="217" t="s">
        <v>1855</v>
      </c>
      <c r="K227" s="217">
        <v>6</v>
      </c>
      <c r="L227" s="217">
        <v>30</v>
      </c>
      <c r="M227" s="217" t="s">
        <v>31</v>
      </c>
      <c r="N227" s="217" t="s">
        <v>32</v>
      </c>
      <c r="O227" s="217" t="s">
        <v>68</v>
      </c>
      <c r="P227" s="217" t="s">
        <v>34</v>
      </c>
      <c r="Q227" s="217" t="s">
        <v>35</v>
      </c>
      <c r="R227" s="217" t="s">
        <v>23</v>
      </c>
      <c r="S227" s="217" t="s">
        <v>22</v>
      </c>
      <c r="T227" s="217" t="s">
        <v>84</v>
      </c>
      <c r="U227" s="217" t="s">
        <v>85</v>
      </c>
      <c r="V227" s="217" t="s">
        <v>91</v>
      </c>
      <c r="W227" s="217" t="s">
        <v>92</v>
      </c>
      <c r="BC227" s="217" t="s">
        <v>85</v>
      </c>
      <c r="BD227" s="217" t="s">
        <v>151</v>
      </c>
      <c r="BE227" s="217" t="s">
        <v>1067</v>
      </c>
      <c r="BF227" s="217" t="s">
        <v>2004</v>
      </c>
      <c r="BG227" s="217" t="s">
        <v>1998</v>
      </c>
      <c r="BH227" s="217" t="s">
        <v>1658</v>
      </c>
      <c r="BI227" s="217" t="s">
        <v>1658</v>
      </c>
      <c r="BJ227" s="217" t="s">
        <v>1660</v>
      </c>
      <c r="BK227" s="217" t="s">
        <v>637</v>
      </c>
      <c r="BL227" s="217"/>
      <c r="BM227" s="217"/>
      <c r="BN227" s="217">
        <v>0</v>
      </c>
      <c r="BO227" s="217">
        <v>0</v>
      </c>
      <c r="BR227" s="217" t="s">
        <v>85</v>
      </c>
      <c r="BS227" s="217" t="s">
        <v>95</v>
      </c>
      <c r="BT227" s="217" t="s">
        <v>117</v>
      </c>
      <c r="BU227" s="217" t="s">
        <v>925</v>
      </c>
      <c r="BV227" s="217">
        <v>27</v>
      </c>
      <c r="BW227" s="217">
        <v>184</v>
      </c>
      <c r="BX227" s="217">
        <v>18</v>
      </c>
      <c r="BY227" s="217">
        <v>138</v>
      </c>
      <c r="BZ227" s="217">
        <v>0</v>
      </c>
      <c r="CA227" s="217">
        <v>0</v>
      </c>
      <c r="CB227" s="217">
        <v>27</v>
      </c>
      <c r="CC227" s="217">
        <v>184</v>
      </c>
      <c r="CD227" s="217">
        <v>18</v>
      </c>
      <c r="CE227" s="217">
        <v>138</v>
      </c>
      <c r="CF227" s="217">
        <v>0</v>
      </c>
      <c r="CG227" s="217">
        <v>0</v>
      </c>
      <c r="CH227" s="217">
        <v>0</v>
      </c>
      <c r="CI227" s="217">
        <v>0</v>
      </c>
      <c r="CJ227" s="217">
        <v>0</v>
      </c>
    </row>
    <row r="228" spans="1:88" x14ac:dyDescent="0.25">
      <c r="A228" s="217" t="s">
        <v>22</v>
      </c>
      <c r="B228" s="217" t="s">
        <v>23</v>
      </c>
      <c r="C228" s="217" t="s">
        <v>85</v>
      </c>
      <c r="D228" s="217" t="s">
        <v>84</v>
      </c>
      <c r="E228" s="217" t="s">
        <v>110</v>
      </c>
      <c r="F228" s="217" t="s">
        <v>109</v>
      </c>
      <c r="G228" s="217" t="s">
        <v>324</v>
      </c>
      <c r="H228" s="217" t="s">
        <v>1008</v>
      </c>
      <c r="I228" s="217" t="s">
        <v>29</v>
      </c>
      <c r="J228" s="217" t="s">
        <v>1856</v>
      </c>
      <c r="K228" s="217">
        <v>15</v>
      </c>
      <c r="L228" s="217">
        <v>75</v>
      </c>
      <c r="M228" s="217" t="s">
        <v>31</v>
      </c>
      <c r="N228" s="217" t="s">
        <v>32</v>
      </c>
      <c r="O228" s="217" t="s">
        <v>100</v>
      </c>
      <c r="P228" s="217" t="s">
        <v>34</v>
      </c>
      <c r="Q228" s="217" t="s">
        <v>35</v>
      </c>
      <c r="R228" s="217" t="s">
        <v>23</v>
      </c>
      <c r="S228" s="217" t="s">
        <v>22</v>
      </c>
      <c r="T228" s="217" t="s">
        <v>84</v>
      </c>
      <c r="U228" s="217" t="s">
        <v>85</v>
      </c>
      <c r="V228" s="217" t="s">
        <v>109</v>
      </c>
      <c r="W228" s="217" t="s">
        <v>110</v>
      </c>
      <c r="BC228" s="217" t="s">
        <v>85</v>
      </c>
      <c r="BD228" s="217" t="s">
        <v>151</v>
      </c>
      <c r="BE228" s="217" t="s">
        <v>1068</v>
      </c>
      <c r="BF228" s="217" t="s">
        <v>780</v>
      </c>
      <c r="BG228" s="217" t="s">
        <v>1998</v>
      </c>
      <c r="BH228" s="217" t="s">
        <v>1658</v>
      </c>
      <c r="BI228" s="217" t="s">
        <v>1660</v>
      </c>
      <c r="BJ228" s="217" t="s">
        <v>1660</v>
      </c>
      <c r="BK228" s="217" t="s">
        <v>637</v>
      </c>
      <c r="BL228" s="217"/>
      <c r="BM228" s="217"/>
      <c r="BN228" s="217">
        <v>0</v>
      </c>
      <c r="BO228" s="217">
        <v>0</v>
      </c>
      <c r="BR228" s="217" t="s">
        <v>85</v>
      </c>
      <c r="BS228" s="217" t="s">
        <v>95</v>
      </c>
      <c r="BT228" s="217" t="s">
        <v>264</v>
      </c>
      <c r="BU228" s="217" t="s">
        <v>931</v>
      </c>
      <c r="BV228" s="217">
        <v>23</v>
      </c>
      <c r="BW228" s="217">
        <v>176</v>
      </c>
      <c r="BX228" s="217">
        <v>2</v>
      </c>
      <c r="BY228" s="217">
        <v>15</v>
      </c>
      <c r="BZ228" s="217">
        <v>0</v>
      </c>
      <c r="CA228" s="217">
        <v>0</v>
      </c>
      <c r="CB228" s="217">
        <v>23</v>
      </c>
      <c r="CC228" s="217">
        <v>176</v>
      </c>
      <c r="CD228" s="217">
        <v>2</v>
      </c>
      <c r="CE228" s="217">
        <v>15</v>
      </c>
      <c r="CF228" s="217">
        <v>0</v>
      </c>
      <c r="CG228" s="217">
        <v>0</v>
      </c>
      <c r="CH228" s="217">
        <v>0</v>
      </c>
      <c r="CI228" s="217">
        <v>0</v>
      </c>
      <c r="CJ228" s="217">
        <v>0</v>
      </c>
    </row>
    <row r="229" spans="1:88" x14ac:dyDescent="0.25">
      <c r="A229" s="217" t="s">
        <v>22</v>
      </c>
      <c r="B229" s="217" t="s">
        <v>23</v>
      </c>
      <c r="C229" s="217" t="s">
        <v>85</v>
      </c>
      <c r="D229" s="217" t="s">
        <v>84</v>
      </c>
      <c r="E229" s="217" t="s">
        <v>110</v>
      </c>
      <c r="F229" s="217" t="s">
        <v>109</v>
      </c>
      <c r="G229" s="217" t="s">
        <v>324</v>
      </c>
      <c r="H229" s="217" t="s">
        <v>1008</v>
      </c>
      <c r="I229" s="217" t="s">
        <v>29</v>
      </c>
      <c r="J229" s="217" t="s">
        <v>1857</v>
      </c>
      <c r="K229" s="217">
        <v>8</v>
      </c>
      <c r="L229" s="217">
        <v>40</v>
      </c>
      <c r="M229" s="217" t="s">
        <v>31</v>
      </c>
      <c r="N229" s="217" t="s">
        <v>32</v>
      </c>
      <c r="O229" s="217" t="s">
        <v>100</v>
      </c>
      <c r="P229" s="217" t="s">
        <v>34</v>
      </c>
      <c r="Q229" s="217" t="s">
        <v>35</v>
      </c>
      <c r="R229" s="217" t="s">
        <v>23</v>
      </c>
      <c r="S229" s="217" t="s">
        <v>22</v>
      </c>
      <c r="T229" s="217" t="s">
        <v>84</v>
      </c>
      <c r="U229" s="217" t="s">
        <v>85</v>
      </c>
      <c r="V229" s="217" t="s">
        <v>109</v>
      </c>
      <c r="W229" s="217" t="s">
        <v>110</v>
      </c>
      <c r="BC229" s="217" t="s">
        <v>85</v>
      </c>
      <c r="BD229" s="217" t="s">
        <v>151</v>
      </c>
      <c r="BE229" s="217" t="s">
        <v>1070</v>
      </c>
      <c r="BF229" s="217" t="s">
        <v>1069</v>
      </c>
      <c r="BG229" s="217" t="s">
        <v>1998</v>
      </c>
      <c r="BH229" s="217" t="s">
        <v>1658</v>
      </c>
      <c r="BI229" s="217" t="s">
        <v>1660</v>
      </c>
      <c r="BJ229" s="217" t="s">
        <v>1660</v>
      </c>
      <c r="BK229" s="217" t="s">
        <v>637</v>
      </c>
      <c r="BL229" s="217"/>
      <c r="BM229" s="217"/>
      <c r="BN229" s="217">
        <v>0</v>
      </c>
      <c r="BO229" s="217">
        <v>0</v>
      </c>
      <c r="BR229" s="217" t="s">
        <v>85</v>
      </c>
      <c r="BS229" s="217" t="s">
        <v>95</v>
      </c>
      <c r="BT229" s="217" t="s">
        <v>119</v>
      </c>
      <c r="BU229" s="217" t="s">
        <v>927</v>
      </c>
      <c r="BV229" s="217">
        <v>25</v>
      </c>
      <c r="BW229" s="217">
        <v>185</v>
      </c>
      <c r="BX229" s="217">
        <v>11</v>
      </c>
      <c r="BY229" s="217">
        <v>77</v>
      </c>
      <c r="BZ229" s="217">
        <v>0</v>
      </c>
      <c r="CA229" s="217">
        <v>0</v>
      </c>
      <c r="CB229" s="217">
        <v>25</v>
      </c>
      <c r="CC229" s="217">
        <v>185</v>
      </c>
      <c r="CD229" s="217">
        <v>11</v>
      </c>
      <c r="CE229" s="217">
        <v>77</v>
      </c>
      <c r="CF229" s="217">
        <v>0</v>
      </c>
      <c r="CG229" s="217">
        <v>0</v>
      </c>
      <c r="CH229" s="217">
        <v>0</v>
      </c>
      <c r="CI229" s="217">
        <v>0</v>
      </c>
      <c r="CJ229" s="217">
        <v>0</v>
      </c>
    </row>
    <row r="230" spans="1:88" x14ac:dyDescent="0.25">
      <c r="A230" s="217" t="s">
        <v>22</v>
      </c>
      <c r="B230" s="217" t="s">
        <v>23</v>
      </c>
      <c r="C230" s="217" t="s">
        <v>85</v>
      </c>
      <c r="D230" s="217" t="s">
        <v>84</v>
      </c>
      <c r="E230" s="217" t="s">
        <v>110</v>
      </c>
      <c r="F230" s="217" t="s">
        <v>109</v>
      </c>
      <c r="G230" s="217" t="s">
        <v>324</v>
      </c>
      <c r="H230" s="217" t="s">
        <v>1008</v>
      </c>
      <c r="I230" s="217" t="s">
        <v>29</v>
      </c>
      <c r="J230" s="217" t="s">
        <v>1858</v>
      </c>
      <c r="K230" s="217">
        <v>100</v>
      </c>
      <c r="L230" s="217">
        <v>725</v>
      </c>
      <c r="M230" s="217" t="s">
        <v>31</v>
      </c>
      <c r="N230" s="217" t="s">
        <v>32</v>
      </c>
      <c r="O230" s="217" t="s">
        <v>68</v>
      </c>
      <c r="P230" s="217" t="s">
        <v>34</v>
      </c>
      <c r="Q230" s="217" t="s">
        <v>35</v>
      </c>
      <c r="R230" s="217" t="s">
        <v>23</v>
      </c>
      <c r="S230" s="217" t="s">
        <v>22</v>
      </c>
      <c r="T230" s="217" t="s">
        <v>84</v>
      </c>
      <c r="U230" s="217" t="s">
        <v>85</v>
      </c>
      <c r="V230" s="217" t="s">
        <v>94</v>
      </c>
      <c r="W230" s="217" t="s">
        <v>95</v>
      </c>
      <c r="BC230" s="217" t="s">
        <v>85</v>
      </c>
      <c r="BD230" s="217" t="s">
        <v>151</v>
      </c>
      <c r="BE230" s="217" t="s">
        <v>1071</v>
      </c>
      <c r="BF230" s="217" t="s">
        <v>781</v>
      </c>
      <c r="BG230" s="217" t="s">
        <v>1998</v>
      </c>
      <c r="BH230" s="217" t="s">
        <v>1658</v>
      </c>
      <c r="BI230" s="217" t="s">
        <v>1658</v>
      </c>
      <c r="BJ230" s="217" t="s">
        <v>1660</v>
      </c>
      <c r="BK230" s="217" t="s">
        <v>637</v>
      </c>
      <c r="BL230" s="217"/>
      <c r="BM230" s="217"/>
      <c r="BN230" s="217">
        <v>0</v>
      </c>
      <c r="BO230" s="217">
        <v>0</v>
      </c>
      <c r="BR230" s="217" t="s">
        <v>85</v>
      </c>
      <c r="BS230" s="217" t="s">
        <v>95</v>
      </c>
      <c r="BT230" s="217" t="s">
        <v>272</v>
      </c>
      <c r="BU230" s="217" t="s">
        <v>939</v>
      </c>
      <c r="BV230" s="217">
        <v>7</v>
      </c>
      <c r="BW230" s="217">
        <v>34</v>
      </c>
      <c r="BX230" s="217">
        <v>0</v>
      </c>
      <c r="BY230" s="217">
        <v>0</v>
      </c>
      <c r="BZ230" s="217">
        <v>0</v>
      </c>
      <c r="CA230" s="217">
        <v>0</v>
      </c>
      <c r="CB230" s="217">
        <v>7</v>
      </c>
      <c r="CC230" s="217">
        <v>34</v>
      </c>
      <c r="CD230" s="217">
        <v>0</v>
      </c>
      <c r="CE230" s="217">
        <v>0</v>
      </c>
      <c r="CF230" s="217">
        <v>0</v>
      </c>
      <c r="CG230" s="217">
        <v>0</v>
      </c>
      <c r="CH230" s="217">
        <v>0</v>
      </c>
      <c r="CI230" s="217">
        <v>0</v>
      </c>
      <c r="CJ230" s="217">
        <v>0</v>
      </c>
    </row>
    <row r="231" spans="1:88" x14ac:dyDescent="0.25">
      <c r="A231" s="217" t="s">
        <v>22</v>
      </c>
      <c r="B231" s="217" t="s">
        <v>23</v>
      </c>
      <c r="C231" s="217" t="s">
        <v>85</v>
      </c>
      <c r="D231" s="217" t="s">
        <v>84</v>
      </c>
      <c r="E231" s="217" t="s">
        <v>110</v>
      </c>
      <c r="F231" s="217" t="s">
        <v>109</v>
      </c>
      <c r="G231" s="217" t="s">
        <v>325</v>
      </c>
      <c r="H231" s="217" t="s">
        <v>1009</v>
      </c>
      <c r="I231" s="217" t="s">
        <v>29</v>
      </c>
      <c r="J231" s="217" t="s">
        <v>1856</v>
      </c>
      <c r="K231" s="217">
        <v>20</v>
      </c>
      <c r="L231" s="217">
        <v>100</v>
      </c>
      <c r="M231" s="217" t="s">
        <v>31</v>
      </c>
      <c r="N231" s="217" t="s">
        <v>32</v>
      </c>
      <c r="O231" s="217" t="s">
        <v>100</v>
      </c>
      <c r="P231" s="217" t="s">
        <v>34</v>
      </c>
      <c r="Q231" s="217" t="s">
        <v>35</v>
      </c>
      <c r="R231" s="217" t="s">
        <v>23</v>
      </c>
      <c r="S231" s="217" t="s">
        <v>22</v>
      </c>
      <c r="T231" s="217" t="s">
        <v>84</v>
      </c>
      <c r="U231" s="217" t="s">
        <v>85</v>
      </c>
      <c r="V231" s="217" t="s">
        <v>109</v>
      </c>
      <c r="W231" s="217" t="s">
        <v>110</v>
      </c>
      <c r="BC231" s="217" t="s">
        <v>85</v>
      </c>
      <c r="BD231" s="217" t="s">
        <v>151</v>
      </c>
      <c r="BE231" s="217" t="s">
        <v>1073</v>
      </c>
      <c r="BF231" s="217" t="s">
        <v>1072</v>
      </c>
      <c r="BG231" s="217" t="s">
        <v>1998</v>
      </c>
      <c r="BH231" s="217" t="s">
        <v>1658</v>
      </c>
      <c r="BI231" s="217" t="s">
        <v>1660</v>
      </c>
      <c r="BJ231" s="217" t="s">
        <v>1660</v>
      </c>
      <c r="BK231" s="217" t="s">
        <v>637</v>
      </c>
      <c r="BL231" s="217"/>
      <c r="BM231" s="217"/>
      <c r="BN231" s="217">
        <v>0</v>
      </c>
      <c r="BO231" s="217">
        <v>0</v>
      </c>
      <c r="BR231" s="217" t="s">
        <v>85</v>
      </c>
      <c r="BS231" s="217" t="s">
        <v>95</v>
      </c>
      <c r="BT231" s="217" t="s">
        <v>273</v>
      </c>
      <c r="BU231" s="217" t="s">
        <v>940</v>
      </c>
      <c r="BV231" s="217">
        <v>22</v>
      </c>
      <c r="BW231" s="217">
        <v>143</v>
      </c>
      <c r="BX231" s="217">
        <v>6</v>
      </c>
      <c r="BY231" s="217">
        <v>36</v>
      </c>
      <c r="BZ231" s="217">
        <v>0</v>
      </c>
      <c r="CA231" s="217">
        <v>0</v>
      </c>
      <c r="CB231" s="217">
        <v>22</v>
      </c>
      <c r="CC231" s="217">
        <v>143</v>
      </c>
      <c r="CD231" s="217">
        <v>6</v>
      </c>
      <c r="CE231" s="217">
        <v>36</v>
      </c>
      <c r="CF231" s="217">
        <v>0</v>
      </c>
      <c r="CG231" s="217">
        <v>0</v>
      </c>
      <c r="CH231" s="217">
        <v>0</v>
      </c>
      <c r="CI231" s="217">
        <v>0</v>
      </c>
      <c r="CJ231" s="217">
        <v>0</v>
      </c>
    </row>
    <row r="232" spans="1:88" x14ac:dyDescent="0.25">
      <c r="A232" s="217" t="s">
        <v>22</v>
      </c>
      <c r="B232" s="217" t="s">
        <v>23</v>
      </c>
      <c r="C232" s="217" t="s">
        <v>85</v>
      </c>
      <c r="D232" s="217" t="s">
        <v>84</v>
      </c>
      <c r="E232" s="217" t="s">
        <v>110</v>
      </c>
      <c r="F232" s="217" t="s">
        <v>109</v>
      </c>
      <c r="G232" s="217" t="s">
        <v>325</v>
      </c>
      <c r="H232" s="217" t="s">
        <v>1009</v>
      </c>
      <c r="I232" s="217" t="s">
        <v>29</v>
      </c>
      <c r="J232" s="217" t="s">
        <v>1858</v>
      </c>
      <c r="K232" s="217">
        <v>10</v>
      </c>
      <c r="L232" s="217">
        <v>88</v>
      </c>
      <c r="M232" s="217" t="s">
        <v>31</v>
      </c>
      <c r="N232" s="217" t="s">
        <v>32</v>
      </c>
      <c r="O232" s="217" t="s">
        <v>100</v>
      </c>
      <c r="P232" s="217" t="s">
        <v>34</v>
      </c>
      <c r="Q232" s="217" t="s">
        <v>35</v>
      </c>
      <c r="R232" s="217" t="s">
        <v>23</v>
      </c>
      <c r="S232" s="217" t="s">
        <v>22</v>
      </c>
      <c r="T232" s="217" t="s">
        <v>84</v>
      </c>
      <c r="U232" s="217" t="s">
        <v>85</v>
      </c>
      <c r="V232" s="217" t="s">
        <v>109</v>
      </c>
      <c r="W232" s="217" t="s">
        <v>110</v>
      </c>
      <c r="BC232" s="217" t="s">
        <v>85</v>
      </c>
      <c r="BD232" s="217" t="s">
        <v>151</v>
      </c>
      <c r="BE232" s="217" t="s">
        <v>1075</v>
      </c>
      <c r="BF232" s="217" t="s">
        <v>1074</v>
      </c>
      <c r="BG232" s="217" t="s">
        <v>1998</v>
      </c>
      <c r="BH232" s="217" t="s">
        <v>1658</v>
      </c>
      <c r="BI232" s="217" t="s">
        <v>1660</v>
      </c>
      <c r="BJ232" s="217" t="s">
        <v>1660</v>
      </c>
      <c r="BK232" s="217" t="s">
        <v>637</v>
      </c>
      <c r="BL232" s="217"/>
      <c r="BM232" s="217"/>
      <c r="BN232" s="217">
        <v>0</v>
      </c>
      <c r="BO232" s="217">
        <v>0</v>
      </c>
      <c r="BR232" s="217" t="s">
        <v>85</v>
      </c>
      <c r="BS232" s="217" t="s">
        <v>95</v>
      </c>
      <c r="BT232" s="217" t="s">
        <v>270</v>
      </c>
      <c r="BU232" s="217" t="s">
        <v>937</v>
      </c>
      <c r="BV232" s="217">
        <v>77</v>
      </c>
      <c r="BW232" s="217">
        <v>608</v>
      </c>
      <c r="BX232" s="217">
        <v>0</v>
      </c>
      <c r="BY232" s="217">
        <v>0</v>
      </c>
      <c r="BZ232" s="217">
        <v>22</v>
      </c>
      <c r="CA232" s="217">
        <v>155</v>
      </c>
      <c r="CB232" s="217">
        <v>117</v>
      </c>
      <c r="CC232" s="217">
        <v>928</v>
      </c>
      <c r="CD232" s="217">
        <v>0</v>
      </c>
      <c r="CE232" s="217">
        <v>0</v>
      </c>
      <c r="CF232" s="217">
        <v>30</v>
      </c>
      <c r="CG232" s="217">
        <v>219</v>
      </c>
      <c r="CH232" s="217">
        <v>-320</v>
      </c>
      <c r="CI232" s="217">
        <v>0</v>
      </c>
      <c r="CJ232" s="217">
        <v>-64</v>
      </c>
    </row>
    <row r="233" spans="1:88" x14ac:dyDescent="0.25">
      <c r="A233" s="217" t="s">
        <v>22</v>
      </c>
      <c r="B233" s="217" t="s">
        <v>23</v>
      </c>
      <c r="C233" s="217" t="s">
        <v>85</v>
      </c>
      <c r="D233" s="217" t="s">
        <v>84</v>
      </c>
      <c r="E233" s="217" t="s">
        <v>110</v>
      </c>
      <c r="F233" s="217" t="s">
        <v>109</v>
      </c>
      <c r="G233" s="217" t="s">
        <v>285</v>
      </c>
      <c r="H233" s="217" t="s">
        <v>1011</v>
      </c>
      <c r="I233" s="217" t="s">
        <v>29</v>
      </c>
      <c r="J233" s="217" t="s">
        <v>1855</v>
      </c>
      <c r="K233" s="217">
        <v>4</v>
      </c>
      <c r="L233" s="217">
        <v>31</v>
      </c>
      <c r="M233" s="217" t="s">
        <v>31</v>
      </c>
      <c r="N233" s="217" t="s">
        <v>32</v>
      </c>
      <c r="O233" s="217" t="s">
        <v>68</v>
      </c>
      <c r="P233" s="217" t="s">
        <v>34</v>
      </c>
      <c r="Q233" s="217" t="s">
        <v>35</v>
      </c>
      <c r="R233" s="217" t="s">
        <v>23</v>
      </c>
      <c r="S233" s="217" t="s">
        <v>22</v>
      </c>
      <c r="T233" s="217" t="s">
        <v>84</v>
      </c>
      <c r="U233" s="217" t="s">
        <v>85</v>
      </c>
      <c r="V233" s="217" t="s">
        <v>91</v>
      </c>
      <c r="W233" s="217" t="s">
        <v>92</v>
      </c>
      <c r="BC233" s="217" t="s">
        <v>85</v>
      </c>
      <c r="BD233" s="217" t="s">
        <v>151</v>
      </c>
      <c r="BE233" s="217" t="s">
        <v>1077</v>
      </c>
      <c r="BF233" s="217" t="s">
        <v>1076</v>
      </c>
      <c r="BG233" s="217" t="s">
        <v>1998</v>
      </c>
      <c r="BH233" s="217" t="s">
        <v>1658</v>
      </c>
      <c r="BI233" s="217" t="s">
        <v>1660</v>
      </c>
      <c r="BJ233" s="217" t="s">
        <v>1660</v>
      </c>
      <c r="BK233" s="217" t="s">
        <v>637</v>
      </c>
      <c r="BL233" s="217"/>
      <c r="BM233" s="217"/>
      <c r="BN233" s="217">
        <v>0</v>
      </c>
      <c r="BO233" s="217">
        <v>0</v>
      </c>
      <c r="BR233" s="217" t="s">
        <v>85</v>
      </c>
      <c r="BS233" s="217" t="s">
        <v>95</v>
      </c>
      <c r="BT233" s="217" t="s">
        <v>115</v>
      </c>
      <c r="BU233" s="217" t="s">
        <v>923</v>
      </c>
      <c r="BV233" s="217">
        <v>80</v>
      </c>
      <c r="BW233" s="217">
        <v>509</v>
      </c>
      <c r="BX233" s="217">
        <v>0</v>
      </c>
      <c r="BY233" s="217">
        <v>0</v>
      </c>
      <c r="BZ233" s="217">
        <v>25</v>
      </c>
      <c r="CA233" s="217">
        <v>212</v>
      </c>
      <c r="CB233" s="217">
        <v>80</v>
      </c>
      <c r="CC233" s="217">
        <v>509</v>
      </c>
      <c r="CD233" s="217">
        <v>0</v>
      </c>
      <c r="CE233" s="217">
        <v>0</v>
      </c>
      <c r="CF233" s="217">
        <v>25</v>
      </c>
      <c r="CG233" s="217">
        <v>212</v>
      </c>
      <c r="CH233" s="217">
        <v>0</v>
      </c>
      <c r="CI233" s="217">
        <v>0</v>
      </c>
      <c r="CJ233" s="217">
        <v>0</v>
      </c>
    </row>
    <row r="234" spans="1:88" x14ac:dyDescent="0.25">
      <c r="A234" s="217" t="s">
        <v>22</v>
      </c>
      <c r="B234" s="217" t="s">
        <v>23</v>
      </c>
      <c r="C234" s="217" t="s">
        <v>85</v>
      </c>
      <c r="D234" s="217" t="s">
        <v>84</v>
      </c>
      <c r="E234" s="217" t="s">
        <v>110</v>
      </c>
      <c r="F234" s="217" t="s">
        <v>109</v>
      </c>
      <c r="G234" s="217" t="s">
        <v>285</v>
      </c>
      <c r="H234" s="217" t="s">
        <v>1011</v>
      </c>
      <c r="I234" s="217" t="s">
        <v>29</v>
      </c>
      <c r="J234" s="217" t="s">
        <v>1856</v>
      </c>
      <c r="K234" s="217">
        <v>1</v>
      </c>
      <c r="L234" s="217">
        <v>4</v>
      </c>
      <c r="M234" s="217" t="s">
        <v>31</v>
      </c>
      <c r="N234" s="217" t="s">
        <v>32</v>
      </c>
      <c r="O234" s="217" t="s">
        <v>100</v>
      </c>
      <c r="P234" s="217" t="s">
        <v>34</v>
      </c>
      <c r="Q234" s="217" t="s">
        <v>35</v>
      </c>
      <c r="R234" s="217" t="s">
        <v>23</v>
      </c>
      <c r="S234" s="217" t="s">
        <v>22</v>
      </c>
      <c r="T234" s="217" t="s">
        <v>84</v>
      </c>
      <c r="U234" s="217" t="s">
        <v>85</v>
      </c>
      <c r="V234" s="217" t="s">
        <v>109</v>
      </c>
      <c r="W234" s="217" t="s">
        <v>110</v>
      </c>
      <c r="BC234" s="217" t="s">
        <v>85</v>
      </c>
      <c r="BD234" s="217" t="s">
        <v>151</v>
      </c>
      <c r="BE234" s="217" t="s">
        <v>1079</v>
      </c>
      <c r="BF234" s="217" t="s">
        <v>1078</v>
      </c>
      <c r="BG234" s="217" t="s">
        <v>1998</v>
      </c>
      <c r="BH234" s="217" t="s">
        <v>1658</v>
      </c>
      <c r="BI234" s="217" t="s">
        <v>1660</v>
      </c>
      <c r="BJ234" s="217" t="s">
        <v>1660</v>
      </c>
      <c r="BK234" s="217" t="s">
        <v>637</v>
      </c>
      <c r="BL234" s="217"/>
      <c r="BM234" s="217"/>
      <c r="BN234" s="217">
        <v>0</v>
      </c>
      <c r="BO234" s="217">
        <v>0</v>
      </c>
      <c r="BR234" s="217" t="s">
        <v>85</v>
      </c>
      <c r="BS234" s="217" t="s">
        <v>95</v>
      </c>
      <c r="BT234" s="217" t="s">
        <v>118</v>
      </c>
      <c r="BU234" s="217" t="s">
        <v>926</v>
      </c>
      <c r="BV234" s="217">
        <v>6</v>
      </c>
      <c r="BW234" s="217">
        <v>46</v>
      </c>
      <c r="BX234" s="217">
        <v>24</v>
      </c>
      <c r="BY234" s="217">
        <v>246</v>
      </c>
      <c r="BZ234" s="217">
        <v>0</v>
      </c>
      <c r="CA234" s="217">
        <v>0</v>
      </c>
      <c r="CB234" s="217">
        <v>6</v>
      </c>
      <c r="CC234" s="217">
        <v>46</v>
      </c>
      <c r="CD234" s="217">
        <v>25</v>
      </c>
      <c r="CE234" s="217">
        <v>254</v>
      </c>
      <c r="CF234" s="217">
        <v>0</v>
      </c>
      <c r="CG234" s="217">
        <v>0</v>
      </c>
      <c r="CH234" s="217">
        <v>0</v>
      </c>
      <c r="CI234" s="217">
        <v>-8</v>
      </c>
      <c r="CJ234" s="217">
        <v>0</v>
      </c>
    </row>
    <row r="235" spans="1:88" x14ac:dyDescent="0.25">
      <c r="A235" s="217" t="s">
        <v>22</v>
      </c>
      <c r="B235" s="217" t="s">
        <v>23</v>
      </c>
      <c r="C235" s="217" t="s">
        <v>85</v>
      </c>
      <c r="D235" s="217" t="s">
        <v>84</v>
      </c>
      <c r="E235" s="217" t="s">
        <v>110</v>
      </c>
      <c r="F235" s="217" t="s">
        <v>109</v>
      </c>
      <c r="G235" s="217" t="s">
        <v>285</v>
      </c>
      <c r="H235" s="217" t="s">
        <v>1011</v>
      </c>
      <c r="I235" s="217" t="s">
        <v>29</v>
      </c>
      <c r="J235" s="217" t="s">
        <v>1858</v>
      </c>
      <c r="K235" s="217">
        <v>2</v>
      </c>
      <c r="L235" s="217">
        <v>29</v>
      </c>
      <c r="M235" s="217" t="s">
        <v>31</v>
      </c>
      <c r="N235" s="217" t="s">
        <v>32</v>
      </c>
      <c r="O235" s="217" t="s">
        <v>100</v>
      </c>
      <c r="P235" s="217" t="s">
        <v>34</v>
      </c>
      <c r="Q235" s="217" t="s">
        <v>35</v>
      </c>
      <c r="R235" s="217" t="s">
        <v>23</v>
      </c>
      <c r="S235" s="217" t="s">
        <v>22</v>
      </c>
      <c r="T235" s="217" t="s">
        <v>84</v>
      </c>
      <c r="U235" s="217" t="s">
        <v>85</v>
      </c>
      <c r="V235" s="217" t="s">
        <v>109</v>
      </c>
      <c r="W235" s="217" t="s">
        <v>110</v>
      </c>
      <c r="BC235" s="217" t="s">
        <v>85</v>
      </c>
      <c r="BD235" s="217" t="s">
        <v>151</v>
      </c>
      <c r="BE235" s="217" t="s">
        <v>1080</v>
      </c>
      <c r="BF235" s="217" t="s">
        <v>367</v>
      </c>
      <c r="BG235" s="217" t="s">
        <v>1998</v>
      </c>
      <c r="BH235" s="217" t="s">
        <v>1658</v>
      </c>
      <c r="BI235" s="217" t="s">
        <v>1660</v>
      </c>
      <c r="BJ235" s="217" t="s">
        <v>1660</v>
      </c>
      <c r="BK235" s="217" t="s">
        <v>637</v>
      </c>
      <c r="BL235" s="217"/>
      <c r="BM235" s="217"/>
      <c r="BN235" s="217">
        <v>0</v>
      </c>
      <c r="BO235" s="217">
        <v>0</v>
      </c>
      <c r="BR235" s="217" t="s">
        <v>85</v>
      </c>
      <c r="BS235" s="217" t="s">
        <v>95</v>
      </c>
      <c r="BT235" s="217" t="s">
        <v>265</v>
      </c>
      <c r="BU235" s="217" t="s">
        <v>932</v>
      </c>
      <c r="BV235" s="217">
        <v>64</v>
      </c>
      <c r="BW235" s="217">
        <v>558</v>
      </c>
      <c r="BX235" s="217">
        <v>7</v>
      </c>
      <c r="BY235" s="217">
        <v>50</v>
      </c>
      <c r="BZ235" s="217">
        <v>0</v>
      </c>
      <c r="CA235" s="217">
        <v>0</v>
      </c>
      <c r="CB235" s="217">
        <v>6</v>
      </c>
      <c r="CC235" s="217">
        <v>51</v>
      </c>
      <c r="CD235" s="217">
        <v>12</v>
      </c>
      <c r="CE235" s="217">
        <v>61</v>
      </c>
      <c r="CF235" s="217">
        <v>0</v>
      </c>
      <c r="CG235" s="217">
        <v>0</v>
      </c>
      <c r="CH235" s="217">
        <v>507</v>
      </c>
      <c r="CI235" s="217">
        <v>-11</v>
      </c>
      <c r="CJ235" s="217">
        <v>0</v>
      </c>
    </row>
    <row r="236" spans="1:88" x14ac:dyDescent="0.25">
      <c r="A236" s="217" t="s">
        <v>22</v>
      </c>
      <c r="B236" s="217" t="s">
        <v>23</v>
      </c>
      <c r="C236" s="217" t="s">
        <v>85</v>
      </c>
      <c r="D236" s="217" t="s">
        <v>84</v>
      </c>
      <c r="E236" s="217" t="s">
        <v>110</v>
      </c>
      <c r="F236" s="217" t="s">
        <v>109</v>
      </c>
      <c r="G236" s="217" t="s">
        <v>1835</v>
      </c>
      <c r="H236" s="217" t="s">
        <v>1834</v>
      </c>
      <c r="I236" s="217" t="s">
        <v>29</v>
      </c>
      <c r="J236" s="217" t="s">
        <v>1858</v>
      </c>
      <c r="K236" s="217">
        <v>20</v>
      </c>
      <c r="L236" s="217">
        <v>160</v>
      </c>
      <c r="M236" s="217" t="s">
        <v>31</v>
      </c>
      <c r="N236" s="217" t="s">
        <v>32</v>
      </c>
      <c r="O236" s="217" t="s">
        <v>100</v>
      </c>
      <c r="P236" s="217" t="s">
        <v>34</v>
      </c>
      <c r="Q236" s="217" t="s">
        <v>35</v>
      </c>
      <c r="R236" s="217" t="s">
        <v>23</v>
      </c>
      <c r="S236" s="217" t="s">
        <v>22</v>
      </c>
      <c r="T236" s="217" t="s">
        <v>84</v>
      </c>
      <c r="U236" s="217" t="s">
        <v>85</v>
      </c>
      <c r="V236" s="217" t="s">
        <v>109</v>
      </c>
      <c r="W236" s="217" t="s">
        <v>110</v>
      </c>
      <c r="BC236" s="217" t="s">
        <v>85</v>
      </c>
      <c r="BD236" s="217" t="s">
        <v>151</v>
      </c>
      <c r="BE236" s="217" t="s">
        <v>1081</v>
      </c>
      <c r="BF236" s="217" t="s">
        <v>368</v>
      </c>
      <c r="BG236" s="217" t="s">
        <v>1998</v>
      </c>
      <c r="BH236" s="217" t="s">
        <v>1658</v>
      </c>
      <c r="BI236" s="217" t="s">
        <v>1660</v>
      </c>
      <c r="BJ236" s="217" t="s">
        <v>1660</v>
      </c>
      <c r="BK236" s="217" t="s">
        <v>637</v>
      </c>
      <c r="BL236" s="217"/>
      <c r="BM236" s="217"/>
      <c r="BN236" s="217">
        <v>0</v>
      </c>
      <c r="BO236" s="217">
        <v>0</v>
      </c>
      <c r="BR236" s="217" t="s">
        <v>85</v>
      </c>
      <c r="BS236" s="217" t="s">
        <v>95</v>
      </c>
      <c r="BT236" s="217" t="s">
        <v>263</v>
      </c>
      <c r="BU236" s="217" t="s">
        <v>930</v>
      </c>
      <c r="BV236" s="217">
        <v>51</v>
      </c>
      <c r="BW236" s="217">
        <v>350</v>
      </c>
      <c r="BX236" s="217">
        <v>5</v>
      </c>
      <c r="BY236" s="217">
        <v>34</v>
      </c>
      <c r="BZ236" s="217">
        <v>8</v>
      </c>
      <c r="CA236" s="217">
        <v>62</v>
      </c>
      <c r="CB236" s="217">
        <v>51</v>
      </c>
      <c r="CC236" s="217">
        <v>350</v>
      </c>
      <c r="CD236" s="217">
        <v>5</v>
      </c>
      <c r="CE236" s="217">
        <v>34</v>
      </c>
      <c r="CF236" s="217">
        <v>8</v>
      </c>
      <c r="CG236" s="217">
        <v>62</v>
      </c>
      <c r="CH236" s="217">
        <v>0</v>
      </c>
      <c r="CI236" s="217">
        <v>0</v>
      </c>
      <c r="CJ236" s="217">
        <v>0</v>
      </c>
    </row>
    <row r="237" spans="1:88" x14ac:dyDescent="0.25">
      <c r="A237" s="217" t="s">
        <v>22</v>
      </c>
      <c r="B237" s="217" t="s">
        <v>23</v>
      </c>
      <c r="C237" s="217" t="s">
        <v>85</v>
      </c>
      <c r="D237" s="217" t="s">
        <v>84</v>
      </c>
      <c r="E237" s="217" t="s">
        <v>110</v>
      </c>
      <c r="F237" s="217" t="s">
        <v>109</v>
      </c>
      <c r="G237" s="217" t="s">
        <v>1837</v>
      </c>
      <c r="H237" s="217" t="s">
        <v>1836</v>
      </c>
      <c r="I237" s="217" t="s">
        <v>29</v>
      </c>
      <c r="J237" s="217" t="s">
        <v>1858</v>
      </c>
      <c r="K237" s="217">
        <v>9</v>
      </c>
      <c r="L237" s="217">
        <v>73</v>
      </c>
      <c r="M237" s="217" t="s">
        <v>31</v>
      </c>
      <c r="N237" s="217" t="s">
        <v>32</v>
      </c>
      <c r="O237" s="217" t="s">
        <v>100</v>
      </c>
      <c r="P237" s="217" t="s">
        <v>34</v>
      </c>
      <c r="Q237" s="217" t="s">
        <v>35</v>
      </c>
      <c r="R237" s="217" t="s">
        <v>23</v>
      </c>
      <c r="S237" s="217" t="s">
        <v>22</v>
      </c>
      <c r="T237" s="217" t="s">
        <v>84</v>
      </c>
      <c r="U237" s="217" t="s">
        <v>85</v>
      </c>
      <c r="V237" s="217" t="s">
        <v>109</v>
      </c>
      <c r="W237" s="217" t="s">
        <v>110</v>
      </c>
      <c r="BC237" s="217" t="s">
        <v>85</v>
      </c>
      <c r="BD237" s="217" t="s">
        <v>151</v>
      </c>
      <c r="BE237" s="217" t="s">
        <v>1082</v>
      </c>
      <c r="BF237" s="217" t="s">
        <v>852</v>
      </c>
      <c r="BG237" s="217" t="s">
        <v>1998</v>
      </c>
      <c r="BH237" s="217" t="s">
        <v>1658</v>
      </c>
      <c r="BI237" s="217" t="s">
        <v>1660</v>
      </c>
      <c r="BJ237" s="217" t="s">
        <v>1660</v>
      </c>
      <c r="BK237" s="217" t="s">
        <v>637</v>
      </c>
      <c r="BL237" s="217"/>
      <c r="BM237" s="217"/>
      <c r="BN237" s="217">
        <v>0</v>
      </c>
      <c r="BO237" s="217">
        <v>0</v>
      </c>
      <c r="BR237" s="217" t="s">
        <v>85</v>
      </c>
      <c r="BS237" s="217" t="s">
        <v>95</v>
      </c>
      <c r="BT237" s="217" t="s">
        <v>113</v>
      </c>
      <c r="BU237" s="217" t="s">
        <v>921</v>
      </c>
      <c r="BV237" s="217">
        <v>40</v>
      </c>
      <c r="BW237" s="217">
        <v>247</v>
      </c>
      <c r="BX237" s="217">
        <v>0</v>
      </c>
      <c r="BY237" s="217">
        <v>0</v>
      </c>
      <c r="BZ237" s="217">
        <v>0</v>
      </c>
      <c r="CA237" s="217">
        <v>0</v>
      </c>
      <c r="CB237" s="217">
        <v>40</v>
      </c>
      <c r="CC237" s="217">
        <v>247</v>
      </c>
      <c r="CD237" s="217">
        <v>15</v>
      </c>
      <c r="CE237" s="217">
        <v>135</v>
      </c>
      <c r="CF237" s="217">
        <v>0</v>
      </c>
      <c r="CG237" s="217">
        <v>0</v>
      </c>
      <c r="CH237" s="217">
        <v>0</v>
      </c>
      <c r="CI237" s="217">
        <v>-135</v>
      </c>
      <c r="CJ237" s="217">
        <v>0</v>
      </c>
    </row>
    <row r="238" spans="1:88" x14ac:dyDescent="0.25">
      <c r="A238" s="217" t="s">
        <v>22</v>
      </c>
      <c r="B238" s="217" t="s">
        <v>23</v>
      </c>
      <c r="C238" s="217" t="s">
        <v>85</v>
      </c>
      <c r="D238" s="217" t="s">
        <v>84</v>
      </c>
      <c r="E238" s="217" t="s">
        <v>110</v>
      </c>
      <c r="F238" s="217" t="s">
        <v>109</v>
      </c>
      <c r="G238" s="217" t="s">
        <v>1831</v>
      </c>
      <c r="H238" s="217" t="s">
        <v>1830</v>
      </c>
      <c r="I238" s="217" t="s">
        <v>29</v>
      </c>
      <c r="J238" s="217" t="s">
        <v>1858</v>
      </c>
      <c r="K238" s="217">
        <v>3</v>
      </c>
      <c r="L238" s="217">
        <v>25</v>
      </c>
      <c r="M238" s="217" t="s">
        <v>31</v>
      </c>
      <c r="N238" s="217" t="s">
        <v>32</v>
      </c>
      <c r="O238" s="217" t="s">
        <v>100</v>
      </c>
      <c r="P238" s="217" t="s">
        <v>34</v>
      </c>
      <c r="Q238" s="217" t="s">
        <v>35</v>
      </c>
      <c r="R238" s="217" t="s">
        <v>23</v>
      </c>
      <c r="S238" s="217" t="s">
        <v>22</v>
      </c>
      <c r="T238" s="217" t="s">
        <v>84</v>
      </c>
      <c r="U238" s="217" t="s">
        <v>85</v>
      </c>
      <c r="V238" s="217" t="s">
        <v>109</v>
      </c>
      <c r="W238" s="217" t="s">
        <v>110</v>
      </c>
      <c r="BC238" s="217" t="s">
        <v>85</v>
      </c>
      <c r="BD238" s="217" t="s">
        <v>151</v>
      </c>
      <c r="BE238" s="217" t="s">
        <v>1664</v>
      </c>
      <c r="BF238" s="217" t="s">
        <v>777</v>
      </c>
      <c r="BG238" s="217" t="s">
        <v>1998</v>
      </c>
      <c r="BH238" s="217" t="s">
        <v>1658</v>
      </c>
      <c r="BI238" s="217" t="s">
        <v>1660</v>
      </c>
      <c r="BJ238" s="217" t="s">
        <v>1660</v>
      </c>
      <c r="BK238" s="217" t="s">
        <v>637</v>
      </c>
      <c r="BL238" s="217"/>
      <c r="BM238" s="217"/>
      <c r="BN238" s="217">
        <v>0</v>
      </c>
      <c r="BO238" s="217">
        <v>0</v>
      </c>
      <c r="BR238" s="217" t="s">
        <v>85</v>
      </c>
      <c r="BS238" s="217" t="s">
        <v>92</v>
      </c>
      <c r="BT238" s="217" t="s">
        <v>285</v>
      </c>
      <c r="BU238" s="217" t="s">
        <v>959</v>
      </c>
      <c r="BV238" s="217">
        <v>21</v>
      </c>
      <c r="BW238" s="217">
        <v>215</v>
      </c>
      <c r="BX238" s="217">
        <v>0</v>
      </c>
      <c r="BY238" s="217">
        <v>0</v>
      </c>
      <c r="BZ238" s="217">
        <v>0</v>
      </c>
      <c r="CA238" s="217">
        <v>0</v>
      </c>
      <c r="CB238" s="217">
        <v>21</v>
      </c>
      <c r="CC238" s="217">
        <v>215</v>
      </c>
      <c r="CD238" s="217">
        <v>0</v>
      </c>
      <c r="CE238" s="217">
        <v>0</v>
      </c>
      <c r="CF238" s="217">
        <v>0</v>
      </c>
      <c r="CG238" s="217">
        <v>0</v>
      </c>
      <c r="CH238" s="217">
        <v>0</v>
      </c>
      <c r="CI238" s="217">
        <v>0</v>
      </c>
      <c r="CJ238" s="217">
        <v>0</v>
      </c>
    </row>
    <row r="239" spans="1:88" x14ac:dyDescent="0.25">
      <c r="A239" s="217" t="s">
        <v>22</v>
      </c>
      <c r="B239" s="217" t="s">
        <v>23</v>
      </c>
      <c r="C239" s="217" t="s">
        <v>85</v>
      </c>
      <c r="D239" s="217" t="s">
        <v>84</v>
      </c>
      <c r="E239" s="217" t="s">
        <v>110</v>
      </c>
      <c r="F239" s="217" t="s">
        <v>109</v>
      </c>
      <c r="G239" s="217" t="s">
        <v>148</v>
      </c>
      <c r="H239" s="217" t="s">
        <v>1012</v>
      </c>
      <c r="I239" s="217" t="s">
        <v>29</v>
      </c>
      <c r="J239" s="217" t="s">
        <v>1856</v>
      </c>
      <c r="K239" s="217">
        <v>52</v>
      </c>
      <c r="L239" s="217">
        <v>416</v>
      </c>
      <c r="M239" s="217" t="s">
        <v>31</v>
      </c>
      <c r="N239" s="217" t="s">
        <v>32</v>
      </c>
      <c r="O239" s="217" t="s">
        <v>100</v>
      </c>
      <c r="P239" s="217" t="s">
        <v>34</v>
      </c>
      <c r="Q239" s="217" t="s">
        <v>35</v>
      </c>
      <c r="R239" s="217" t="s">
        <v>23</v>
      </c>
      <c r="S239" s="217" t="s">
        <v>22</v>
      </c>
      <c r="T239" s="217" t="s">
        <v>84</v>
      </c>
      <c r="U239" s="217" t="s">
        <v>85</v>
      </c>
      <c r="V239" s="217" t="s">
        <v>109</v>
      </c>
      <c r="W239" s="217" t="s">
        <v>110</v>
      </c>
      <c r="BC239" s="217" t="s">
        <v>85</v>
      </c>
      <c r="BD239" s="217" t="s">
        <v>151</v>
      </c>
      <c r="BE239" s="217" t="s">
        <v>1665</v>
      </c>
      <c r="BF239" s="217" t="s">
        <v>1666</v>
      </c>
      <c r="BG239" s="217" t="s">
        <v>2000</v>
      </c>
      <c r="BH239" s="217" t="s">
        <v>1660</v>
      </c>
      <c r="BI239" s="217" t="s">
        <v>1660</v>
      </c>
      <c r="BJ239" s="217" t="s">
        <v>1660</v>
      </c>
      <c r="BK239" s="217" t="s">
        <v>637</v>
      </c>
      <c r="BL239" s="217"/>
      <c r="BM239" s="217"/>
      <c r="BN239" s="217">
        <v>0</v>
      </c>
      <c r="BO239" s="217">
        <v>0</v>
      </c>
      <c r="BR239" s="217" t="s">
        <v>85</v>
      </c>
      <c r="BS239" s="217" t="s">
        <v>92</v>
      </c>
      <c r="BT239" s="217" t="s">
        <v>2030</v>
      </c>
      <c r="BU239" s="217" t="s">
        <v>2029</v>
      </c>
      <c r="BV239" s="217">
        <v>0</v>
      </c>
      <c r="BW239" s="217">
        <v>0</v>
      </c>
      <c r="BX239" s="217">
        <v>0</v>
      </c>
      <c r="BY239" s="217">
        <v>0</v>
      </c>
      <c r="BZ239" s="217">
        <v>1</v>
      </c>
      <c r="CA239" s="217">
        <v>8</v>
      </c>
      <c r="CB239" s="217">
        <v>18</v>
      </c>
      <c r="CC239" s="217">
        <v>150</v>
      </c>
      <c r="CD239" s="217">
        <v>0</v>
      </c>
      <c r="CE239" s="217">
        <v>0</v>
      </c>
      <c r="CF239" s="217">
        <v>0</v>
      </c>
      <c r="CG239" s="217">
        <v>0</v>
      </c>
      <c r="CH239" s="217">
        <v>-150</v>
      </c>
      <c r="CI239" s="217">
        <v>0</v>
      </c>
      <c r="CJ239" s="217">
        <v>8</v>
      </c>
    </row>
    <row r="240" spans="1:88" x14ac:dyDescent="0.25">
      <c r="A240" s="217" t="s">
        <v>22</v>
      </c>
      <c r="B240" s="217" t="s">
        <v>23</v>
      </c>
      <c r="C240" s="217" t="s">
        <v>85</v>
      </c>
      <c r="D240" s="217" t="s">
        <v>84</v>
      </c>
      <c r="E240" s="217" t="s">
        <v>110</v>
      </c>
      <c r="F240" s="217" t="s">
        <v>109</v>
      </c>
      <c r="G240" s="217" t="s">
        <v>148</v>
      </c>
      <c r="H240" s="217" t="s">
        <v>1012</v>
      </c>
      <c r="I240" s="217" t="s">
        <v>29</v>
      </c>
      <c r="J240" s="217" t="s">
        <v>1857</v>
      </c>
      <c r="K240" s="217">
        <v>16</v>
      </c>
      <c r="L240" s="217">
        <v>128</v>
      </c>
      <c r="M240" s="217" t="s">
        <v>31</v>
      </c>
      <c r="N240" s="217" t="s">
        <v>32</v>
      </c>
      <c r="O240" s="217" t="s">
        <v>100</v>
      </c>
      <c r="P240" s="217" t="s">
        <v>34</v>
      </c>
      <c r="Q240" s="217" t="s">
        <v>35</v>
      </c>
      <c r="R240" s="217" t="s">
        <v>23</v>
      </c>
      <c r="S240" s="217" t="s">
        <v>22</v>
      </c>
      <c r="T240" s="217" t="s">
        <v>84</v>
      </c>
      <c r="U240" s="217" t="s">
        <v>85</v>
      </c>
      <c r="V240" s="217" t="s">
        <v>109</v>
      </c>
      <c r="W240" s="217" t="s">
        <v>110</v>
      </c>
      <c r="BC240" s="217" t="s">
        <v>85</v>
      </c>
      <c r="BD240" s="217" t="s">
        <v>151</v>
      </c>
      <c r="BE240" s="217" t="s">
        <v>1083</v>
      </c>
      <c r="BF240" s="217" t="s">
        <v>697</v>
      </c>
      <c r="BG240" s="217" t="s">
        <v>1998</v>
      </c>
      <c r="BH240" s="217" t="s">
        <v>1658</v>
      </c>
      <c r="BI240" s="217" t="s">
        <v>1660</v>
      </c>
      <c r="BJ240" s="217" t="s">
        <v>1660</v>
      </c>
      <c r="BK240" s="217" t="s">
        <v>637</v>
      </c>
      <c r="BL240" s="217"/>
      <c r="BM240" s="217"/>
      <c r="BN240" s="217">
        <v>0</v>
      </c>
      <c r="BO240" s="217">
        <v>0</v>
      </c>
      <c r="BR240" s="217" t="s">
        <v>85</v>
      </c>
      <c r="BS240" s="217" t="s">
        <v>92</v>
      </c>
      <c r="BT240" s="217" t="s">
        <v>1812</v>
      </c>
      <c r="BU240" s="217" t="s">
        <v>1811</v>
      </c>
      <c r="BV240" s="217">
        <v>7</v>
      </c>
      <c r="BW240" s="217">
        <v>50</v>
      </c>
      <c r="BX240" s="217">
        <v>21</v>
      </c>
      <c r="BY240" s="217">
        <v>106</v>
      </c>
      <c r="BZ240" s="217">
        <v>0</v>
      </c>
      <c r="CA240" s="217">
        <v>0</v>
      </c>
      <c r="CB240" s="217">
        <v>7</v>
      </c>
      <c r="CC240" s="217">
        <v>50</v>
      </c>
      <c r="CD240" s="217">
        <v>21</v>
      </c>
      <c r="CE240" s="217">
        <v>106</v>
      </c>
      <c r="CF240" s="217">
        <v>0</v>
      </c>
      <c r="CG240" s="217">
        <v>0</v>
      </c>
      <c r="CH240" s="217">
        <v>0</v>
      </c>
      <c r="CI240" s="217">
        <v>0</v>
      </c>
      <c r="CJ240" s="217">
        <v>0</v>
      </c>
    </row>
    <row r="241" spans="1:88" x14ac:dyDescent="0.25">
      <c r="A241" s="217" t="s">
        <v>22</v>
      </c>
      <c r="B241" s="217" t="s">
        <v>23</v>
      </c>
      <c r="C241" s="217" t="s">
        <v>85</v>
      </c>
      <c r="D241" s="217" t="s">
        <v>84</v>
      </c>
      <c r="E241" s="217" t="s">
        <v>110</v>
      </c>
      <c r="F241" s="217" t="s">
        <v>109</v>
      </c>
      <c r="G241" s="217" t="s">
        <v>149</v>
      </c>
      <c r="H241" s="217" t="s">
        <v>1013</v>
      </c>
      <c r="I241" s="217" t="s">
        <v>29</v>
      </c>
      <c r="J241" s="217" t="s">
        <v>1856</v>
      </c>
      <c r="K241" s="217">
        <v>7</v>
      </c>
      <c r="L241" s="217">
        <v>28</v>
      </c>
      <c r="M241" s="217" t="s">
        <v>31</v>
      </c>
      <c r="N241" s="217" t="s">
        <v>32</v>
      </c>
      <c r="O241" s="217" t="s">
        <v>100</v>
      </c>
      <c r="P241" s="217" t="s">
        <v>34</v>
      </c>
      <c r="Q241" s="217" t="s">
        <v>35</v>
      </c>
      <c r="R241" s="217" t="s">
        <v>23</v>
      </c>
      <c r="S241" s="217" t="s">
        <v>22</v>
      </c>
      <c r="T241" s="217" t="s">
        <v>84</v>
      </c>
      <c r="U241" s="217" t="s">
        <v>85</v>
      </c>
      <c r="V241" s="217" t="s">
        <v>109</v>
      </c>
      <c r="W241" s="217" t="s">
        <v>110</v>
      </c>
      <c r="BC241" s="217" t="s">
        <v>85</v>
      </c>
      <c r="BD241" s="217" t="s">
        <v>151</v>
      </c>
      <c r="BE241" s="217" t="s">
        <v>1084</v>
      </c>
      <c r="BF241" s="217" t="s">
        <v>152</v>
      </c>
      <c r="BG241" s="217" t="s">
        <v>1998</v>
      </c>
      <c r="BH241" s="217" t="s">
        <v>1658</v>
      </c>
      <c r="BI241" s="217" t="s">
        <v>1660</v>
      </c>
      <c r="BJ241" s="217" t="s">
        <v>1658</v>
      </c>
      <c r="BK241" s="217" t="s">
        <v>637</v>
      </c>
      <c r="BL241" s="217"/>
      <c r="BM241" s="217"/>
      <c r="BN241" s="217">
        <v>0</v>
      </c>
      <c r="BO241" s="217">
        <v>0</v>
      </c>
      <c r="BR241" s="217" t="s">
        <v>85</v>
      </c>
      <c r="BS241" s="217" t="s">
        <v>92</v>
      </c>
      <c r="BT241" s="217" t="s">
        <v>286</v>
      </c>
      <c r="BU241" s="217" t="s">
        <v>962</v>
      </c>
      <c r="BV241" s="217">
        <v>74</v>
      </c>
      <c r="BW241" s="217">
        <v>340</v>
      </c>
      <c r="BX241" s="217">
        <v>0</v>
      </c>
      <c r="BY241" s="217">
        <v>0</v>
      </c>
      <c r="BZ241" s="217">
        <v>0</v>
      </c>
      <c r="CA241" s="217">
        <v>0</v>
      </c>
      <c r="CB241" s="217">
        <v>74</v>
      </c>
      <c r="CC241" s="217">
        <v>340</v>
      </c>
      <c r="CD241" s="217">
        <v>0</v>
      </c>
      <c r="CE241" s="217">
        <v>0</v>
      </c>
      <c r="CF241" s="217">
        <v>0</v>
      </c>
      <c r="CG241" s="217">
        <v>0</v>
      </c>
      <c r="CH241" s="217">
        <v>0</v>
      </c>
      <c r="CI241" s="217">
        <v>0</v>
      </c>
      <c r="CJ241" s="217">
        <v>0</v>
      </c>
    </row>
    <row r="242" spans="1:88" x14ac:dyDescent="0.25">
      <c r="A242" s="217" t="s">
        <v>22</v>
      </c>
      <c r="B242" s="217" t="s">
        <v>23</v>
      </c>
      <c r="C242" s="217" t="s">
        <v>85</v>
      </c>
      <c r="D242" s="217" t="s">
        <v>84</v>
      </c>
      <c r="E242" s="217" t="s">
        <v>110</v>
      </c>
      <c r="F242" s="217" t="s">
        <v>109</v>
      </c>
      <c r="G242" s="217" t="s">
        <v>149</v>
      </c>
      <c r="H242" s="217" t="s">
        <v>1013</v>
      </c>
      <c r="I242" s="217" t="s">
        <v>29</v>
      </c>
      <c r="J242" s="217" t="s">
        <v>1857</v>
      </c>
      <c r="K242" s="217">
        <v>8</v>
      </c>
      <c r="L242" s="217">
        <v>116</v>
      </c>
      <c r="M242" s="217" t="s">
        <v>31</v>
      </c>
      <c r="N242" s="217" t="s">
        <v>32</v>
      </c>
      <c r="O242" s="217" t="s">
        <v>100</v>
      </c>
      <c r="P242" s="217" t="s">
        <v>34</v>
      </c>
      <c r="Q242" s="217" t="s">
        <v>35</v>
      </c>
      <c r="R242" s="217" t="s">
        <v>23</v>
      </c>
      <c r="S242" s="217" t="s">
        <v>22</v>
      </c>
      <c r="T242" s="217" t="s">
        <v>84</v>
      </c>
      <c r="U242" s="217" t="s">
        <v>85</v>
      </c>
      <c r="V242" s="217" t="s">
        <v>109</v>
      </c>
      <c r="W242" s="217" t="s">
        <v>110</v>
      </c>
      <c r="BC242" s="217" t="s">
        <v>85</v>
      </c>
      <c r="BD242" s="217" t="s">
        <v>151</v>
      </c>
      <c r="BE242" s="217" t="s">
        <v>1086</v>
      </c>
      <c r="BF242" s="217" t="s">
        <v>1085</v>
      </c>
      <c r="BG242" s="217" t="s">
        <v>1998</v>
      </c>
      <c r="BH242" s="217" t="s">
        <v>1658</v>
      </c>
      <c r="BI242" s="217" t="s">
        <v>1660</v>
      </c>
      <c r="BJ242" s="217" t="s">
        <v>1660</v>
      </c>
      <c r="BK242" s="217" t="s">
        <v>637</v>
      </c>
      <c r="BL242" s="217"/>
      <c r="BM242" s="217"/>
      <c r="BN242" s="217">
        <v>0</v>
      </c>
      <c r="BO242" s="217">
        <v>0</v>
      </c>
      <c r="BR242" s="217" t="s">
        <v>85</v>
      </c>
      <c r="BS242" s="217" t="s">
        <v>92</v>
      </c>
      <c r="BT242" s="217" t="s">
        <v>280</v>
      </c>
      <c r="BU242" s="217" t="s">
        <v>948</v>
      </c>
      <c r="BV242" s="217">
        <v>2341</v>
      </c>
      <c r="BW242" s="217">
        <v>12862</v>
      </c>
      <c r="BX242" s="217">
        <v>583</v>
      </c>
      <c r="BY242" s="217">
        <v>3266</v>
      </c>
      <c r="BZ242" s="217">
        <v>981</v>
      </c>
      <c r="CA242" s="217">
        <v>7763</v>
      </c>
      <c r="CB242" s="217">
        <v>2427</v>
      </c>
      <c r="CC242" s="217">
        <v>13485</v>
      </c>
      <c r="CD242" s="217">
        <v>583</v>
      </c>
      <c r="CE242" s="217">
        <v>3266</v>
      </c>
      <c r="CF242" s="217">
        <v>981</v>
      </c>
      <c r="CG242" s="217">
        <v>7763</v>
      </c>
      <c r="CH242" s="217">
        <v>-623</v>
      </c>
      <c r="CI242" s="217">
        <v>0</v>
      </c>
      <c r="CJ242" s="217">
        <v>0</v>
      </c>
    </row>
    <row r="243" spans="1:88" x14ac:dyDescent="0.25">
      <c r="A243" s="217" t="s">
        <v>22</v>
      </c>
      <c r="B243" s="217" t="s">
        <v>23</v>
      </c>
      <c r="C243" s="217" t="s">
        <v>85</v>
      </c>
      <c r="D243" s="217" t="s">
        <v>84</v>
      </c>
      <c r="E243" s="217" t="s">
        <v>110</v>
      </c>
      <c r="F243" s="217" t="s">
        <v>109</v>
      </c>
      <c r="G243" s="217" t="s">
        <v>149</v>
      </c>
      <c r="H243" s="217" t="s">
        <v>1013</v>
      </c>
      <c r="I243" s="217" t="s">
        <v>29</v>
      </c>
      <c r="J243" s="217" t="s">
        <v>1858</v>
      </c>
      <c r="K243" s="217">
        <v>10</v>
      </c>
      <c r="L243" s="217">
        <v>80</v>
      </c>
      <c r="M243" s="217" t="s">
        <v>31</v>
      </c>
      <c r="N243" s="217" t="s">
        <v>32</v>
      </c>
      <c r="O243" s="217" t="s">
        <v>100</v>
      </c>
      <c r="P243" s="217" t="s">
        <v>34</v>
      </c>
      <c r="Q243" s="217" t="s">
        <v>35</v>
      </c>
      <c r="R243" s="217" t="s">
        <v>23</v>
      </c>
      <c r="S243" s="217" t="s">
        <v>22</v>
      </c>
      <c r="T243" s="217" t="s">
        <v>84</v>
      </c>
      <c r="U243" s="217" t="s">
        <v>85</v>
      </c>
      <c r="V243" s="217" t="s">
        <v>109</v>
      </c>
      <c r="W243" s="217" t="s">
        <v>110</v>
      </c>
      <c r="BC243" s="217" t="s">
        <v>85</v>
      </c>
      <c r="BD243" s="217" t="s">
        <v>151</v>
      </c>
      <c r="BE243" s="217" t="s">
        <v>1088</v>
      </c>
      <c r="BF243" s="217" t="s">
        <v>1087</v>
      </c>
      <c r="BG243" s="217" t="s">
        <v>1998</v>
      </c>
      <c r="BH243" s="217" t="s">
        <v>1658</v>
      </c>
      <c r="BI243" s="217" t="s">
        <v>1660</v>
      </c>
      <c r="BJ243" s="217" t="s">
        <v>1660</v>
      </c>
      <c r="BK243" s="217" t="s">
        <v>637</v>
      </c>
      <c r="BL243" s="217"/>
      <c r="BM243" s="217"/>
      <c r="BN243" s="217">
        <v>0</v>
      </c>
      <c r="BO243" s="217">
        <v>0</v>
      </c>
      <c r="BR243" s="217" t="s">
        <v>85</v>
      </c>
      <c r="BS243" s="217" t="s">
        <v>92</v>
      </c>
      <c r="BT243" s="217" t="s">
        <v>960</v>
      </c>
      <c r="BU243" s="217" t="s">
        <v>961</v>
      </c>
      <c r="BV243" s="217">
        <v>18</v>
      </c>
      <c r="BW243" s="217">
        <v>144</v>
      </c>
      <c r="BX243" s="217">
        <v>12</v>
      </c>
      <c r="BY243" s="217">
        <v>96</v>
      </c>
      <c r="BZ243" s="217">
        <v>0</v>
      </c>
      <c r="CA243" s="217">
        <v>0</v>
      </c>
      <c r="CB243" s="217">
        <v>28</v>
      </c>
      <c r="CC243" s="217">
        <v>214</v>
      </c>
      <c r="CD243" s="217">
        <v>12</v>
      </c>
      <c r="CE243" s="217">
        <v>96</v>
      </c>
      <c r="CF243" s="217">
        <v>0</v>
      </c>
      <c r="CG243" s="217">
        <v>0</v>
      </c>
      <c r="CH243" s="217">
        <v>-70</v>
      </c>
      <c r="CI243" s="217">
        <v>0</v>
      </c>
      <c r="CJ243" s="217">
        <v>0</v>
      </c>
    </row>
    <row r="244" spans="1:88" x14ac:dyDescent="0.25">
      <c r="A244" s="217" t="s">
        <v>22</v>
      </c>
      <c r="B244" s="217" t="s">
        <v>23</v>
      </c>
      <c r="C244" s="217" t="s">
        <v>85</v>
      </c>
      <c r="D244" s="217" t="s">
        <v>84</v>
      </c>
      <c r="E244" s="217" t="s">
        <v>110</v>
      </c>
      <c r="F244" s="217" t="s">
        <v>109</v>
      </c>
      <c r="G244" s="217" t="s">
        <v>1833</v>
      </c>
      <c r="H244" s="217" t="s">
        <v>1832</v>
      </c>
      <c r="I244" s="217" t="s">
        <v>29</v>
      </c>
      <c r="J244" s="217" t="s">
        <v>1858</v>
      </c>
      <c r="K244" s="217">
        <v>10</v>
      </c>
      <c r="L244" s="217">
        <v>80</v>
      </c>
      <c r="M244" s="217" t="s">
        <v>31</v>
      </c>
      <c r="N244" s="217" t="s">
        <v>32</v>
      </c>
      <c r="O244" s="217" t="s">
        <v>100</v>
      </c>
      <c r="P244" s="217" t="s">
        <v>34</v>
      </c>
      <c r="Q244" s="217" t="s">
        <v>35</v>
      </c>
      <c r="R244" s="217" t="s">
        <v>23</v>
      </c>
      <c r="S244" s="217" t="s">
        <v>22</v>
      </c>
      <c r="T244" s="217" t="s">
        <v>84</v>
      </c>
      <c r="U244" s="217" t="s">
        <v>85</v>
      </c>
      <c r="V244" s="217" t="s">
        <v>109</v>
      </c>
      <c r="W244" s="217" t="s">
        <v>110</v>
      </c>
      <c r="BC244" s="217" t="s">
        <v>85</v>
      </c>
      <c r="BD244" s="217" t="s">
        <v>151</v>
      </c>
      <c r="BE244" s="217" t="s">
        <v>1090</v>
      </c>
      <c r="BF244" s="217" t="s">
        <v>1089</v>
      </c>
      <c r="BG244" s="217" t="s">
        <v>1998</v>
      </c>
      <c r="BH244" s="217" t="s">
        <v>1658</v>
      </c>
      <c r="BI244" s="217" t="s">
        <v>1660</v>
      </c>
      <c r="BJ244" s="217" t="s">
        <v>1660</v>
      </c>
      <c r="BK244" s="217" t="s">
        <v>637</v>
      </c>
      <c r="BL244" s="217"/>
      <c r="BM244" s="217"/>
      <c r="BN244" s="217">
        <v>0</v>
      </c>
      <c r="BO244" s="217">
        <v>0</v>
      </c>
      <c r="BR244" s="217" t="s">
        <v>85</v>
      </c>
      <c r="BS244" s="217" t="s">
        <v>92</v>
      </c>
      <c r="BT244" s="217" t="s">
        <v>292</v>
      </c>
      <c r="BU244" s="217" t="s">
        <v>970</v>
      </c>
      <c r="BV244" s="217">
        <v>9</v>
      </c>
      <c r="BW244" s="217">
        <v>72</v>
      </c>
      <c r="BX244" s="217">
        <v>106</v>
      </c>
      <c r="BY244" s="217">
        <v>340</v>
      </c>
      <c r="BZ244" s="217">
        <v>0</v>
      </c>
      <c r="CA244" s="217">
        <v>0</v>
      </c>
      <c r="CB244" s="217">
        <v>39</v>
      </c>
      <c r="CC244" s="217">
        <v>222</v>
      </c>
      <c r="CD244" s="217">
        <v>106</v>
      </c>
      <c r="CE244" s="217">
        <v>340</v>
      </c>
      <c r="CF244" s="217">
        <v>0</v>
      </c>
      <c r="CG244" s="217">
        <v>0</v>
      </c>
      <c r="CH244" s="217">
        <v>-150</v>
      </c>
      <c r="CI244" s="217">
        <v>0</v>
      </c>
      <c r="CJ244" s="217">
        <v>0</v>
      </c>
    </row>
    <row r="245" spans="1:88" x14ac:dyDescent="0.25">
      <c r="A245" s="217" t="s">
        <v>22</v>
      </c>
      <c r="B245" s="217" t="s">
        <v>23</v>
      </c>
      <c r="C245" s="217" t="s">
        <v>85</v>
      </c>
      <c r="D245" s="217" t="s">
        <v>84</v>
      </c>
      <c r="E245" s="217" t="s">
        <v>157</v>
      </c>
      <c r="F245" s="217" t="s">
        <v>156</v>
      </c>
      <c r="G245" s="217" t="s">
        <v>327</v>
      </c>
      <c r="H245" s="217" t="s">
        <v>1014</v>
      </c>
      <c r="I245" s="217" t="s">
        <v>29</v>
      </c>
      <c r="J245" s="217" t="s">
        <v>1855</v>
      </c>
      <c r="K245" s="217">
        <v>22</v>
      </c>
      <c r="L245" s="217">
        <v>111</v>
      </c>
      <c r="M245" s="217" t="s">
        <v>31</v>
      </c>
      <c r="N245" s="217" t="s">
        <v>32</v>
      </c>
      <c r="O245" s="217" t="s">
        <v>68</v>
      </c>
      <c r="P245" s="217" t="s">
        <v>34</v>
      </c>
      <c r="Q245" s="217" t="s">
        <v>35</v>
      </c>
      <c r="R245" s="217" t="s">
        <v>23</v>
      </c>
      <c r="S245" s="217" t="s">
        <v>22</v>
      </c>
      <c r="T245" s="217" t="s">
        <v>84</v>
      </c>
      <c r="U245" s="217" t="s">
        <v>85</v>
      </c>
      <c r="V245" s="217" t="s">
        <v>97</v>
      </c>
      <c r="W245" s="217" t="s">
        <v>98</v>
      </c>
      <c r="BC245" s="217" t="s">
        <v>85</v>
      </c>
      <c r="BD245" s="217" t="s">
        <v>151</v>
      </c>
      <c r="BE245" s="217" t="s">
        <v>1091</v>
      </c>
      <c r="BF245" s="217" t="s">
        <v>779</v>
      </c>
      <c r="BG245" s="217" t="s">
        <v>1998</v>
      </c>
      <c r="BH245" s="217" t="s">
        <v>1658</v>
      </c>
      <c r="BI245" s="217" t="s">
        <v>1660</v>
      </c>
      <c r="BJ245" s="217" t="s">
        <v>1660</v>
      </c>
      <c r="BK245" s="217" t="s">
        <v>637</v>
      </c>
      <c r="BL245" s="217"/>
      <c r="BM245" s="217"/>
      <c r="BN245" s="217">
        <v>0</v>
      </c>
      <c r="BO245" s="217">
        <v>0</v>
      </c>
      <c r="BR245" s="217" t="s">
        <v>85</v>
      </c>
      <c r="BS245" s="217" t="s">
        <v>92</v>
      </c>
      <c r="BT245" s="217" t="s">
        <v>1673</v>
      </c>
      <c r="BU245" s="217" t="s">
        <v>1672</v>
      </c>
      <c r="BV245" s="217">
        <v>0</v>
      </c>
      <c r="BW245" s="217">
        <v>0</v>
      </c>
      <c r="BX245" s="217">
        <v>0</v>
      </c>
      <c r="BY245" s="217">
        <v>0</v>
      </c>
      <c r="BZ245" s="217">
        <v>0</v>
      </c>
      <c r="CA245" s="217">
        <v>0</v>
      </c>
      <c r="CB245" s="217">
        <v>0</v>
      </c>
      <c r="CC245" s="217">
        <v>0</v>
      </c>
      <c r="CD245" s="217">
        <v>0</v>
      </c>
      <c r="CE245" s="217">
        <v>0</v>
      </c>
      <c r="CF245" s="217">
        <v>0</v>
      </c>
      <c r="CG245" s="217">
        <v>0</v>
      </c>
      <c r="CH245" s="217">
        <v>0</v>
      </c>
      <c r="CI245" s="217">
        <v>0</v>
      </c>
      <c r="CJ245" s="217">
        <v>0</v>
      </c>
    </row>
    <row r="246" spans="1:88" x14ac:dyDescent="0.25">
      <c r="A246" s="217" t="s">
        <v>22</v>
      </c>
      <c r="B246" s="217" t="s">
        <v>23</v>
      </c>
      <c r="C246" s="217" t="s">
        <v>85</v>
      </c>
      <c r="D246" s="217" t="s">
        <v>84</v>
      </c>
      <c r="E246" s="217" t="s">
        <v>157</v>
      </c>
      <c r="F246" s="217" t="s">
        <v>156</v>
      </c>
      <c r="G246" s="217" t="s">
        <v>327</v>
      </c>
      <c r="H246" s="217" t="s">
        <v>1014</v>
      </c>
      <c r="I246" s="217" t="s">
        <v>29</v>
      </c>
      <c r="J246" s="217" t="s">
        <v>1856</v>
      </c>
      <c r="K246" s="217">
        <v>40</v>
      </c>
      <c r="L246" s="217">
        <v>202</v>
      </c>
      <c r="M246" s="217" t="s">
        <v>31</v>
      </c>
      <c r="N246" s="217" t="s">
        <v>32</v>
      </c>
      <c r="O246" s="217" t="s">
        <v>68</v>
      </c>
      <c r="P246" s="217" t="s">
        <v>34</v>
      </c>
      <c r="Q246" s="217" t="s">
        <v>35</v>
      </c>
      <c r="R246" s="217" t="s">
        <v>23</v>
      </c>
      <c r="S246" s="217" t="s">
        <v>22</v>
      </c>
      <c r="T246" s="217" t="s">
        <v>84</v>
      </c>
      <c r="U246" s="217" t="s">
        <v>85</v>
      </c>
      <c r="V246" s="217" t="s">
        <v>97</v>
      </c>
      <c r="W246" s="217" t="s">
        <v>98</v>
      </c>
      <c r="BC246" s="217" t="s">
        <v>85</v>
      </c>
      <c r="BD246" s="217" t="s">
        <v>151</v>
      </c>
      <c r="BE246" s="217" t="s">
        <v>1092</v>
      </c>
      <c r="BF246" s="217" t="s">
        <v>783</v>
      </c>
      <c r="BG246" s="217" t="s">
        <v>1998</v>
      </c>
      <c r="BH246" s="217" t="s">
        <v>1658</v>
      </c>
      <c r="BI246" s="217" t="s">
        <v>1660</v>
      </c>
      <c r="BJ246" s="217" t="s">
        <v>1660</v>
      </c>
      <c r="BK246" s="217" t="s">
        <v>637</v>
      </c>
      <c r="BL246" s="217"/>
      <c r="BM246" s="217"/>
      <c r="BN246" s="217">
        <v>0</v>
      </c>
      <c r="BO246" s="217">
        <v>0</v>
      </c>
      <c r="BR246" s="217" t="s">
        <v>85</v>
      </c>
      <c r="BS246" s="217" t="s">
        <v>92</v>
      </c>
      <c r="BT246" s="217" t="s">
        <v>950</v>
      </c>
      <c r="BU246" s="217" t="s">
        <v>951</v>
      </c>
      <c r="BV246" s="217">
        <v>10</v>
      </c>
      <c r="BW246" s="217">
        <v>97</v>
      </c>
      <c r="BX246" s="217">
        <v>5</v>
      </c>
      <c r="BY246" s="217">
        <v>38</v>
      </c>
      <c r="BZ246" s="217">
        <v>0</v>
      </c>
      <c r="CA246" s="217">
        <v>0</v>
      </c>
      <c r="CB246" s="217">
        <v>19</v>
      </c>
      <c r="CC246" s="217">
        <v>147</v>
      </c>
      <c r="CD246" s="217">
        <v>5</v>
      </c>
      <c r="CE246" s="217">
        <v>38</v>
      </c>
      <c r="CF246" s="217">
        <v>0</v>
      </c>
      <c r="CG246" s="217">
        <v>0</v>
      </c>
      <c r="CH246" s="217">
        <v>-50</v>
      </c>
      <c r="CI246" s="217">
        <v>0</v>
      </c>
      <c r="CJ246" s="217">
        <v>0</v>
      </c>
    </row>
    <row r="247" spans="1:88" x14ac:dyDescent="0.25">
      <c r="A247" s="217" t="s">
        <v>22</v>
      </c>
      <c r="B247" s="217" t="s">
        <v>23</v>
      </c>
      <c r="C247" s="217" t="s">
        <v>85</v>
      </c>
      <c r="D247" s="217" t="s">
        <v>84</v>
      </c>
      <c r="E247" s="217" t="s">
        <v>157</v>
      </c>
      <c r="F247" s="217" t="s">
        <v>156</v>
      </c>
      <c r="G247" s="217" t="s">
        <v>327</v>
      </c>
      <c r="H247" s="217" t="s">
        <v>1014</v>
      </c>
      <c r="I247" s="217" t="s">
        <v>29</v>
      </c>
      <c r="J247" s="217" t="s">
        <v>1857</v>
      </c>
      <c r="K247" s="217">
        <v>7</v>
      </c>
      <c r="L247" s="217">
        <v>18</v>
      </c>
      <c r="M247" s="217" t="s">
        <v>31</v>
      </c>
      <c r="N247" s="217" t="s">
        <v>32</v>
      </c>
      <c r="O247" s="217" t="s">
        <v>68</v>
      </c>
      <c r="P247" s="217" t="s">
        <v>34</v>
      </c>
      <c r="Q247" s="217" t="s">
        <v>35</v>
      </c>
      <c r="R247" s="217" t="s">
        <v>23</v>
      </c>
      <c r="S247" s="217" t="s">
        <v>22</v>
      </c>
      <c r="T247" s="217" t="s">
        <v>84</v>
      </c>
      <c r="U247" s="217" t="s">
        <v>85</v>
      </c>
      <c r="V247" s="217" t="s">
        <v>97</v>
      </c>
      <c r="W247" s="217" t="s">
        <v>98</v>
      </c>
      <c r="BC247" s="217" t="s">
        <v>85</v>
      </c>
      <c r="BD247" s="217" t="s">
        <v>151</v>
      </c>
      <c r="BE247" s="217" t="s">
        <v>1093</v>
      </c>
      <c r="BF247" s="217" t="s">
        <v>2005</v>
      </c>
      <c r="BG247" s="217" t="s">
        <v>1998</v>
      </c>
      <c r="BH247" s="217" t="s">
        <v>1658</v>
      </c>
      <c r="BI247" s="217" t="s">
        <v>1660</v>
      </c>
      <c r="BJ247" s="217" t="s">
        <v>1660</v>
      </c>
      <c r="BK247" s="217" t="s">
        <v>637</v>
      </c>
      <c r="BL247" s="217"/>
      <c r="BM247" s="217"/>
      <c r="BN247" s="217">
        <v>0</v>
      </c>
      <c r="BO247" s="217">
        <v>0</v>
      </c>
      <c r="BR247" s="217" t="s">
        <v>85</v>
      </c>
      <c r="BS247" s="217" t="s">
        <v>92</v>
      </c>
      <c r="BT247" s="217" t="s">
        <v>275</v>
      </c>
      <c r="BU247" s="217" t="s">
        <v>944</v>
      </c>
      <c r="BV247" s="217">
        <v>72</v>
      </c>
      <c r="BW247" s="217">
        <v>402</v>
      </c>
      <c r="BX247" s="217">
        <v>0</v>
      </c>
      <c r="BY247" s="217">
        <v>0</v>
      </c>
      <c r="BZ247" s="217">
        <v>0</v>
      </c>
      <c r="CA247" s="217">
        <v>0</v>
      </c>
      <c r="CB247" s="217">
        <v>72</v>
      </c>
      <c r="CC247" s="217">
        <v>402</v>
      </c>
      <c r="CD247" s="217">
        <v>0</v>
      </c>
      <c r="CE247" s="217">
        <v>0</v>
      </c>
      <c r="CF247" s="217">
        <v>0</v>
      </c>
      <c r="CG247" s="217">
        <v>0</v>
      </c>
      <c r="CH247" s="217">
        <v>0</v>
      </c>
      <c r="CI247" s="217">
        <v>0</v>
      </c>
      <c r="CJ247" s="217">
        <v>0</v>
      </c>
    </row>
    <row r="248" spans="1:88" x14ac:dyDescent="0.25">
      <c r="A248" s="217" t="s">
        <v>22</v>
      </c>
      <c r="B248" s="217" t="s">
        <v>23</v>
      </c>
      <c r="C248" s="217" t="s">
        <v>85</v>
      </c>
      <c r="D248" s="217" t="s">
        <v>84</v>
      </c>
      <c r="E248" s="217" t="s">
        <v>157</v>
      </c>
      <c r="F248" s="217" t="s">
        <v>156</v>
      </c>
      <c r="G248" s="217" t="s">
        <v>328</v>
      </c>
      <c r="H248" s="217" t="s">
        <v>1015</v>
      </c>
      <c r="I248" s="217" t="s">
        <v>29</v>
      </c>
      <c r="J248" s="217" t="s">
        <v>1855</v>
      </c>
      <c r="K248" s="217">
        <v>70</v>
      </c>
      <c r="L248" s="217">
        <v>350</v>
      </c>
      <c r="M248" s="217" t="s">
        <v>31</v>
      </c>
      <c r="N248" s="217" t="s">
        <v>32</v>
      </c>
      <c r="O248" s="217" t="s">
        <v>68</v>
      </c>
      <c r="P248" s="217" t="s">
        <v>34</v>
      </c>
      <c r="Q248" s="217" t="s">
        <v>35</v>
      </c>
      <c r="R248" s="217" t="s">
        <v>23</v>
      </c>
      <c r="S248" s="217" t="s">
        <v>22</v>
      </c>
      <c r="T248" s="217" t="s">
        <v>84</v>
      </c>
      <c r="U248" s="217" t="s">
        <v>85</v>
      </c>
      <c r="V248" s="217" t="s">
        <v>97</v>
      </c>
      <c r="W248" s="217" t="s">
        <v>98</v>
      </c>
      <c r="BC248" s="217" t="s">
        <v>85</v>
      </c>
      <c r="BD248" s="217" t="s">
        <v>151</v>
      </c>
      <c r="BE248" s="217" t="s">
        <v>1094</v>
      </c>
      <c r="BF248" s="217" t="s">
        <v>785</v>
      </c>
      <c r="BG248" s="217" t="s">
        <v>1998</v>
      </c>
      <c r="BH248" s="217" t="s">
        <v>1658</v>
      </c>
      <c r="BI248" s="217" t="s">
        <v>1660</v>
      </c>
      <c r="BJ248" s="217" t="s">
        <v>1660</v>
      </c>
      <c r="BK248" s="217" t="s">
        <v>637</v>
      </c>
      <c r="BL248" s="217"/>
      <c r="BM248" s="217"/>
      <c r="BN248" s="217">
        <v>0</v>
      </c>
      <c r="BO248" s="217">
        <v>0</v>
      </c>
      <c r="BR248" s="217" t="s">
        <v>85</v>
      </c>
      <c r="BS248" s="217" t="s">
        <v>92</v>
      </c>
      <c r="BT248" s="217" t="s">
        <v>769</v>
      </c>
      <c r="BU248" s="217" t="s">
        <v>942</v>
      </c>
      <c r="BV248" s="217">
        <v>48</v>
      </c>
      <c r="BW248" s="217">
        <v>340</v>
      </c>
      <c r="BX248" s="217">
        <v>0</v>
      </c>
      <c r="BY248" s="217">
        <v>0</v>
      </c>
      <c r="BZ248" s="217">
        <v>0</v>
      </c>
      <c r="CA248" s="217">
        <v>0</v>
      </c>
      <c r="CB248" s="217">
        <v>48</v>
      </c>
      <c r="CC248" s="217">
        <v>340</v>
      </c>
      <c r="CD248" s="217">
        <v>0</v>
      </c>
      <c r="CE248" s="217">
        <v>0</v>
      </c>
      <c r="CF248" s="217">
        <v>0</v>
      </c>
      <c r="CG248" s="217">
        <v>0</v>
      </c>
      <c r="CH248" s="217">
        <v>0</v>
      </c>
      <c r="CI248" s="217">
        <v>0</v>
      </c>
      <c r="CJ248" s="217">
        <v>0</v>
      </c>
    </row>
    <row r="249" spans="1:88" x14ac:dyDescent="0.25">
      <c r="A249" s="217" t="s">
        <v>22</v>
      </c>
      <c r="B249" s="217" t="s">
        <v>23</v>
      </c>
      <c r="C249" s="217" t="s">
        <v>85</v>
      </c>
      <c r="D249" s="217" t="s">
        <v>84</v>
      </c>
      <c r="E249" s="217" t="s">
        <v>157</v>
      </c>
      <c r="F249" s="217" t="s">
        <v>156</v>
      </c>
      <c r="G249" s="217" t="s">
        <v>328</v>
      </c>
      <c r="H249" s="217" t="s">
        <v>1015</v>
      </c>
      <c r="I249" s="217" t="s">
        <v>29</v>
      </c>
      <c r="J249" s="217" t="s">
        <v>1856</v>
      </c>
      <c r="K249" s="217">
        <v>15</v>
      </c>
      <c r="L249" s="217">
        <v>75</v>
      </c>
      <c r="M249" s="217" t="s">
        <v>31</v>
      </c>
      <c r="N249" s="217" t="s">
        <v>32</v>
      </c>
      <c r="O249" s="217" t="s">
        <v>68</v>
      </c>
      <c r="P249" s="217" t="s">
        <v>34</v>
      </c>
      <c r="Q249" s="217" t="s">
        <v>35</v>
      </c>
      <c r="R249" s="217" t="s">
        <v>23</v>
      </c>
      <c r="S249" s="217" t="s">
        <v>22</v>
      </c>
      <c r="T249" s="217" t="s">
        <v>84</v>
      </c>
      <c r="U249" s="217" t="s">
        <v>85</v>
      </c>
      <c r="V249" s="217" t="s">
        <v>97</v>
      </c>
      <c r="W249" s="217" t="s">
        <v>98</v>
      </c>
      <c r="BC249" s="217" t="s">
        <v>85</v>
      </c>
      <c r="BD249" s="217" t="s">
        <v>151</v>
      </c>
      <c r="BE249" s="217" t="s">
        <v>1095</v>
      </c>
      <c r="BF249" s="217" t="s">
        <v>786</v>
      </c>
      <c r="BG249" s="217" t="s">
        <v>1998</v>
      </c>
      <c r="BH249" s="217" t="s">
        <v>1658</v>
      </c>
      <c r="BI249" s="217" t="s">
        <v>1658</v>
      </c>
      <c r="BJ249" s="217" t="s">
        <v>1660</v>
      </c>
      <c r="BK249" s="217" t="s">
        <v>637</v>
      </c>
      <c r="BL249" s="217"/>
      <c r="BM249" s="217"/>
      <c r="BN249" s="217">
        <v>0</v>
      </c>
      <c r="BO249" s="217">
        <v>0</v>
      </c>
      <c r="BR249" s="217" t="s">
        <v>85</v>
      </c>
      <c r="BS249" s="217" t="s">
        <v>92</v>
      </c>
      <c r="BT249" s="217" t="s">
        <v>281</v>
      </c>
      <c r="BU249" s="217" t="s">
        <v>956</v>
      </c>
      <c r="BV249" s="217">
        <v>10</v>
      </c>
      <c r="BW249" s="217">
        <v>53</v>
      </c>
      <c r="BX249" s="217">
        <v>0</v>
      </c>
      <c r="BY249" s="217">
        <v>0</v>
      </c>
      <c r="BZ249" s="217">
        <v>0</v>
      </c>
      <c r="CA249" s="217">
        <v>0</v>
      </c>
      <c r="CB249" s="217">
        <v>10</v>
      </c>
      <c r="CC249" s="217">
        <v>53</v>
      </c>
      <c r="CD249" s="217">
        <v>0</v>
      </c>
      <c r="CE249" s="217">
        <v>0</v>
      </c>
      <c r="CF249" s="217">
        <v>0</v>
      </c>
      <c r="CG249" s="217">
        <v>0</v>
      </c>
      <c r="CH249" s="217">
        <v>0</v>
      </c>
      <c r="CI249" s="217">
        <v>0</v>
      </c>
      <c r="CJ249" s="217">
        <v>0</v>
      </c>
    </row>
    <row r="250" spans="1:88" x14ac:dyDescent="0.25">
      <c r="A250" s="217" t="s">
        <v>22</v>
      </c>
      <c r="B250" s="217" t="s">
        <v>23</v>
      </c>
      <c r="C250" s="217" t="s">
        <v>85</v>
      </c>
      <c r="D250" s="217" t="s">
        <v>84</v>
      </c>
      <c r="E250" s="217" t="s">
        <v>157</v>
      </c>
      <c r="F250" s="217" t="s">
        <v>156</v>
      </c>
      <c r="G250" s="217" t="s">
        <v>328</v>
      </c>
      <c r="H250" s="217" t="s">
        <v>1015</v>
      </c>
      <c r="I250" s="217" t="s">
        <v>29</v>
      </c>
      <c r="J250" s="217" t="s">
        <v>1857</v>
      </c>
      <c r="K250" s="217">
        <v>10</v>
      </c>
      <c r="L250" s="217">
        <v>55</v>
      </c>
      <c r="M250" s="217" t="s">
        <v>31</v>
      </c>
      <c r="N250" s="217" t="s">
        <v>32</v>
      </c>
      <c r="O250" s="217" t="s">
        <v>68</v>
      </c>
      <c r="P250" s="217" t="s">
        <v>34</v>
      </c>
      <c r="Q250" s="217" t="s">
        <v>35</v>
      </c>
      <c r="R250" s="217" t="s">
        <v>23</v>
      </c>
      <c r="S250" s="217" t="s">
        <v>22</v>
      </c>
      <c r="T250" s="217" t="s">
        <v>84</v>
      </c>
      <c r="U250" s="217" t="s">
        <v>85</v>
      </c>
      <c r="V250" s="217" t="s">
        <v>97</v>
      </c>
      <c r="W250" s="217" t="s">
        <v>98</v>
      </c>
      <c r="BC250" s="217" t="s">
        <v>85</v>
      </c>
      <c r="BD250" s="217" t="s">
        <v>151</v>
      </c>
      <c r="BE250" s="217" t="s">
        <v>1502</v>
      </c>
      <c r="BF250" s="217" t="s">
        <v>82</v>
      </c>
      <c r="BG250" s="217" t="s">
        <v>1998</v>
      </c>
      <c r="BH250" s="217" t="s">
        <v>1660</v>
      </c>
      <c r="BI250" s="217" t="s">
        <v>1658</v>
      </c>
      <c r="BJ250" s="217" t="s">
        <v>1660</v>
      </c>
      <c r="BK250" s="217" t="s">
        <v>637</v>
      </c>
      <c r="BL250" s="217"/>
      <c r="BM250" s="217"/>
      <c r="BN250" s="217">
        <v>0</v>
      </c>
      <c r="BO250" s="217">
        <v>0</v>
      </c>
      <c r="BR250" s="217" t="s">
        <v>85</v>
      </c>
      <c r="BS250" s="217" t="s">
        <v>92</v>
      </c>
      <c r="BT250" s="217" t="s">
        <v>770</v>
      </c>
      <c r="BU250" s="217" t="s">
        <v>971</v>
      </c>
      <c r="BV250" s="217">
        <v>5</v>
      </c>
      <c r="BW250" s="217">
        <v>46</v>
      </c>
      <c r="BX250" s="217">
        <v>0</v>
      </c>
      <c r="BY250" s="217">
        <v>0</v>
      </c>
      <c r="BZ250" s="217">
        <v>0</v>
      </c>
      <c r="CA250" s="217">
        <v>0</v>
      </c>
      <c r="CB250" s="217">
        <v>5</v>
      </c>
      <c r="CC250" s="217">
        <v>46</v>
      </c>
      <c r="CD250" s="217">
        <v>0</v>
      </c>
      <c r="CE250" s="217">
        <v>0</v>
      </c>
      <c r="CF250" s="217">
        <v>0</v>
      </c>
      <c r="CG250" s="217">
        <v>0</v>
      </c>
      <c r="CH250" s="217">
        <v>0</v>
      </c>
      <c r="CI250" s="217">
        <v>0</v>
      </c>
      <c r="CJ250" s="217">
        <v>0</v>
      </c>
    </row>
    <row r="251" spans="1:88" x14ac:dyDescent="0.25">
      <c r="A251" s="217" t="s">
        <v>22</v>
      </c>
      <c r="B251" s="217" t="s">
        <v>23</v>
      </c>
      <c r="C251" s="217" t="s">
        <v>85</v>
      </c>
      <c r="D251" s="217" t="s">
        <v>84</v>
      </c>
      <c r="E251" s="217" t="s">
        <v>157</v>
      </c>
      <c r="F251" s="217" t="s">
        <v>156</v>
      </c>
      <c r="G251" s="217" t="s">
        <v>328</v>
      </c>
      <c r="H251" s="217" t="s">
        <v>1015</v>
      </c>
      <c r="I251" s="217" t="s">
        <v>29</v>
      </c>
      <c r="J251" s="217" t="s">
        <v>1858</v>
      </c>
      <c r="K251" s="217">
        <v>7</v>
      </c>
      <c r="L251" s="217">
        <v>60</v>
      </c>
      <c r="M251" s="217" t="s">
        <v>31</v>
      </c>
      <c r="N251" s="217" t="s">
        <v>32</v>
      </c>
      <c r="O251" s="217" t="s">
        <v>68</v>
      </c>
      <c r="P251" s="217" t="s">
        <v>34</v>
      </c>
      <c r="Q251" s="217" t="s">
        <v>35</v>
      </c>
      <c r="R251" s="217" t="s">
        <v>23</v>
      </c>
      <c r="S251" s="217" t="s">
        <v>22</v>
      </c>
      <c r="T251" s="217" t="s">
        <v>84</v>
      </c>
      <c r="U251" s="217" t="s">
        <v>85</v>
      </c>
      <c r="V251" s="217" t="s">
        <v>97</v>
      </c>
      <c r="W251" s="217" t="s">
        <v>98</v>
      </c>
      <c r="BC251" s="217" t="s">
        <v>85</v>
      </c>
      <c r="BD251" s="217" t="s">
        <v>151</v>
      </c>
      <c r="BE251" s="217" t="s">
        <v>1097</v>
      </c>
      <c r="BF251" s="217" t="s">
        <v>1096</v>
      </c>
      <c r="BG251" s="217" t="s">
        <v>1998</v>
      </c>
      <c r="BH251" s="217" t="s">
        <v>1658</v>
      </c>
      <c r="BI251" s="217" t="s">
        <v>1658</v>
      </c>
      <c r="BJ251" s="217" t="s">
        <v>1660</v>
      </c>
      <c r="BK251" s="217" t="s">
        <v>637</v>
      </c>
      <c r="BL251" s="217"/>
      <c r="BM251" s="217"/>
      <c r="BN251" s="217">
        <v>0</v>
      </c>
      <c r="BO251" s="217">
        <v>0</v>
      </c>
      <c r="BR251" s="217" t="s">
        <v>85</v>
      </c>
      <c r="BS251" s="217" t="s">
        <v>92</v>
      </c>
      <c r="BT251" s="217" t="s">
        <v>2028</v>
      </c>
      <c r="BU251" s="217" t="s">
        <v>2027</v>
      </c>
      <c r="BV251" s="217">
        <v>0</v>
      </c>
      <c r="BW251" s="217">
        <v>0</v>
      </c>
      <c r="BX251" s="217">
        <v>0</v>
      </c>
      <c r="BY251" s="217">
        <v>0</v>
      </c>
      <c r="BZ251" s="217">
        <v>0</v>
      </c>
      <c r="CA251" s="217">
        <v>0</v>
      </c>
      <c r="CB251" s="217">
        <v>36</v>
      </c>
      <c r="CC251" s="217">
        <v>147</v>
      </c>
      <c r="CD251" s="217">
        <v>0</v>
      </c>
      <c r="CE251" s="217">
        <v>0</v>
      </c>
      <c r="CF251" s="217">
        <v>0</v>
      </c>
      <c r="CG251" s="217">
        <v>0</v>
      </c>
      <c r="CH251" s="217">
        <v>-147</v>
      </c>
      <c r="CI251" s="217">
        <v>0</v>
      </c>
      <c r="CJ251" s="217">
        <v>0</v>
      </c>
    </row>
    <row r="252" spans="1:88" x14ac:dyDescent="0.25">
      <c r="A252" s="217" t="s">
        <v>22</v>
      </c>
      <c r="B252" s="217" t="s">
        <v>23</v>
      </c>
      <c r="C252" s="217" t="s">
        <v>85</v>
      </c>
      <c r="D252" s="217" t="s">
        <v>84</v>
      </c>
      <c r="E252" s="217" t="s">
        <v>157</v>
      </c>
      <c r="F252" s="217" t="s">
        <v>156</v>
      </c>
      <c r="G252" s="217" t="s">
        <v>329</v>
      </c>
      <c r="H252" s="217" t="s">
        <v>1016</v>
      </c>
      <c r="I252" s="217" t="s">
        <v>29</v>
      </c>
      <c r="J252" s="217" t="s">
        <v>1856</v>
      </c>
      <c r="K252" s="217">
        <v>1</v>
      </c>
      <c r="L252" s="217">
        <v>5</v>
      </c>
      <c r="M252" s="217" t="s">
        <v>31</v>
      </c>
      <c r="N252" s="217" t="s">
        <v>32</v>
      </c>
      <c r="O252" s="217" t="s">
        <v>68</v>
      </c>
      <c r="P252" s="217" t="s">
        <v>34</v>
      </c>
      <c r="Q252" s="217" t="s">
        <v>35</v>
      </c>
      <c r="R252" s="217" t="s">
        <v>23</v>
      </c>
      <c r="S252" s="217" t="s">
        <v>22</v>
      </c>
      <c r="T252" s="217" t="s">
        <v>84</v>
      </c>
      <c r="U252" s="217" t="s">
        <v>85</v>
      </c>
      <c r="V252" s="217" t="s">
        <v>91</v>
      </c>
      <c r="W252" s="217" t="s">
        <v>92</v>
      </c>
      <c r="BC252" s="217" t="s">
        <v>85</v>
      </c>
      <c r="BD252" s="217" t="s">
        <v>151</v>
      </c>
      <c r="BE252" s="217" t="s">
        <v>1098</v>
      </c>
      <c r="BF252" s="217" t="s">
        <v>787</v>
      </c>
      <c r="BG252" s="217" t="s">
        <v>1998</v>
      </c>
      <c r="BH252" s="217" t="s">
        <v>1658</v>
      </c>
      <c r="BI252" s="217" t="s">
        <v>1658</v>
      </c>
      <c r="BJ252" s="217" t="s">
        <v>1660</v>
      </c>
      <c r="BK252" s="217" t="s">
        <v>637</v>
      </c>
      <c r="BL252" s="217"/>
      <c r="BM252" s="217"/>
      <c r="BN252" s="217">
        <v>0</v>
      </c>
      <c r="BO252" s="217">
        <v>0</v>
      </c>
      <c r="BR252" s="217" t="s">
        <v>85</v>
      </c>
      <c r="BS252" s="217" t="s">
        <v>92</v>
      </c>
      <c r="BT252" s="217" t="s">
        <v>385</v>
      </c>
      <c r="BU252" s="217" t="s">
        <v>943</v>
      </c>
      <c r="BV252" s="217">
        <v>30</v>
      </c>
      <c r="BW252" s="217">
        <v>70</v>
      </c>
      <c r="BX252" s="217">
        <v>0</v>
      </c>
      <c r="BY252" s="217">
        <v>0</v>
      </c>
      <c r="BZ252" s="217">
        <v>0</v>
      </c>
      <c r="CA252" s="217">
        <v>0</v>
      </c>
      <c r="CB252" s="217">
        <v>48</v>
      </c>
      <c r="CC252" s="217">
        <v>220</v>
      </c>
      <c r="CD252" s="217">
        <v>0</v>
      </c>
      <c r="CE252" s="217">
        <v>0</v>
      </c>
      <c r="CF252" s="217">
        <v>0</v>
      </c>
      <c r="CG252" s="217">
        <v>0</v>
      </c>
      <c r="CH252" s="217">
        <v>-150</v>
      </c>
      <c r="CI252" s="217">
        <v>0</v>
      </c>
      <c r="CJ252" s="217">
        <v>0</v>
      </c>
    </row>
    <row r="253" spans="1:88" x14ac:dyDescent="0.25">
      <c r="A253" s="217" t="s">
        <v>22</v>
      </c>
      <c r="B253" s="217" t="s">
        <v>23</v>
      </c>
      <c r="C253" s="217" t="s">
        <v>85</v>
      </c>
      <c r="D253" s="217" t="s">
        <v>84</v>
      </c>
      <c r="E253" s="217" t="s">
        <v>157</v>
      </c>
      <c r="F253" s="217" t="s">
        <v>156</v>
      </c>
      <c r="G253" s="217" t="s">
        <v>329</v>
      </c>
      <c r="H253" s="217" t="s">
        <v>1016</v>
      </c>
      <c r="I253" s="217" t="s">
        <v>29</v>
      </c>
      <c r="J253" s="217" t="s">
        <v>1858</v>
      </c>
      <c r="K253" s="217">
        <v>1</v>
      </c>
      <c r="L253" s="217">
        <v>5</v>
      </c>
      <c r="M253" s="217" t="s">
        <v>31</v>
      </c>
      <c r="N253" s="217" t="s">
        <v>32</v>
      </c>
      <c r="O253" s="217" t="s">
        <v>68</v>
      </c>
      <c r="P253" s="217" t="s">
        <v>34</v>
      </c>
      <c r="Q253" s="217" t="s">
        <v>35</v>
      </c>
      <c r="R253" s="217" t="s">
        <v>23</v>
      </c>
      <c r="S253" s="217" t="s">
        <v>22</v>
      </c>
      <c r="T253" s="217" t="s">
        <v>84</v>
      </c>
      <c r="U253" s="217" t="s">
        <v>85</v>
      </c>
      <c r="V253" s="217" t="s">
        <v>91</v>
      </c>
      <c r="W253" s="217" t="s">
        <v>92</v>
      </c>
      <c r="BC253" s="217" t="s">
        <v>85</v>
      </c>
      <c r="BD253" s="217" t="s">
        <v>151</v>
      </c>
      <c r="BE253" s="217" t="s">
        <v>1100</v>
      </c>
      <c r="BF253" s="217" t="s">
        <v>1099</v>
      </c>
      <c r="BG253" s="217" t="s">
        <v>1998</v>
      </c>
      <c r="BH253" s="217" t="s">
        <v>1658</v>
      </c>
      <c r="BI253" s="217" t="s">
        <v>1660</v>
      </c>
      <c r="BJ253" s="217" t="s">
        <v>1660</v>
      </c>
      <c r="BK253" s="217" t="s">
        <v>637</v>
      </c>
      <c r="BL253" s="217"/>
      <c r="BM253" s="217"/>
      <c r="BN253" s="217">
        <v>0</v>
      </c>
      <c r="BO253" s="217">
        <v>0</v>
      </c>
      <c r="BR253" s="217" t="s">
        <v>85</v>
      </c>
      <c r="BS253" s="217" t="s">
        <v>92</v>
      </c>
      <c r="BT253" s="217" t="s">
        <v>295</v>
      </c>
      <c r="BU253" s="217" t="s">
        <v>1671</v>
      </c>
      <c r="BV253" s="217">
        <v>0</v>
      </c>
      <c r="BW253" s="217">
        <v>0</v>
      </c>
      <c r="BX253" s="217">
        <v>0</v>
      </c>
      <c r="BY253" s="217">
        <v>0</v>
      </c>
      <c r="BZ253" s="217">
        <v>0</v>
      </c>
      <c r="CA253" s="217">
        <v>0</v>
      </c>
      <c r="CB253" s="217">
        <v>0</v>
      </c>
      <c r="CC253" s="217">
        <v>0</v>
      </c>
      <c r="CD253" s="217">
        <v>0</v>
      </c>
      <c r="CE253" s="217">
        <v>0</v>
      </c>
      <c r="CF253" s="217">
        <v>0</v>
      </c>
      <c r="CG253" s="217">
        <v>0</v>
      </c>
      <c r="CH253" s="217">
        <v>0</v>
      </c>
      <c r="CI253" s="217">
        <v>0</v>
      </c>
      <c r="CJ253" s="217">
        <v>0</v>
      </c>
    </row>
    <row r="254" spans="1:88" x14ac:dyDescent="0.25">
      <c r="A254" s="217" t="s">
        <v>22</v>
      </c>
      <c r="B254" s="217" t="s">
        <v>23</v>
      </c>
      <c r="C254" s="217" t="s">
        <v>85</v>
      </c>
      <c r="D254" s="217" t="s">
        <v>84</v>
      </c>
      <c r="E254" s="217" t="s">
        <v>157</v>
      </c>
      <c r="F254" s="217" t="s">
        <v>156</v>
      </c>
      <c r="G254" s="217" t="s">
        <v>330</v>
      </c>
      <c r="H254" s="217" t="s">
        <v>1017</v>
      </c>
      <c r="I254" s="217" t="s">
        <v>29</v>
      </c>
      <c r="J254" s="217" t="s">
        <v>1856</v>
      </c>
      <c r="K254" s="217">
        <v>39</v>
      </c>
      <c r="L254" s="217">
        <v>322</v>
      </c>
      <c r="M254" s="217" t="s">
        <v>31</v>
      </c>
      <c r="N254" s="217" t="s">
        <v>32</v>
      </c>
      <c r="O254" s="217" t="s">
        <v>68</v>
      </c>
      <c r="P254" s="217" t="s">
        <v>34</v>
      </c>
      <c r="Q254" s="217" t="s">
        <v>35</v>
      </c>
      <c r="R254" s="217" t="s">
        <v>23</v>
      </c>
      <c r="S254" s="217" t="s">
        <v>22</v>
      </c>
      <c r="T254" s="217" t="s">
        <v>84</v>
      </c>
      <c r="U254" s="217" t="s">
        <v>85</v>
      </c>
      <c r="V254" s="217" t="s">
        <v>97</v>
      </c>
      <c r="W254" s="217" t="s">
        <v>98</v>
      </c>
      <c r="BC254" s="217" t="s">
        <v>85</v>
      </c>
      <c r="BD254" s="217" t="s">
        <v>151</v>
      </c>
      <c r="BE254" s="217" t="s">
        <v>1101</v>
      </c>
      <c r="BF254" s="217" t="s">
        <v>788</v>
      </c>
      <c r="BG254" s="217" t="s">
        <v>1998</v>
      </c>
      <c r="BH254" s="217" t="s">
        <v>1658</v>
      </c>
      <c r="BI254" s="217" t="s">
        <v>1658</v>
      </c>
      <c r="BJ254" s="217" t="s">
        <v>1660</v>
      </c>
      <c r="BK254" s="217" t="s">
        <v>637</v>
      </c>
      <c r="BL254" s="217"/>
      <c r="BM254" s="217"/>
      <c r="BN254" s="217">
        <v>0</v>
      </c>
      <c r="BO254" s="217">
        <v>0</v>
      </c>
      <c r="BR254" s="217" t="s">
        <v>85</v>
      </c>
      <c r="BS254" s="217" t="s">
        <v>92</v>
      </c>
      <c r="BT254" s="217" t="s">
        <v>276</v>
      </c>
      <c r="BU254" s="217" t="s">
        <v>945</v>
      </c>
      <c r="BV254" s="217">
        <v>10</v>
      </c>
      <c r="BW254" s="217">
        <v>70</v>
      </c>
      <c r="BX254" s="217">
        <v>15</v>
      </c>
      <c r="BY254" s="217">
        <v>137</v>
      </c>
      <c r="BZ254" s="217">
        <v>0</v>
      </c>
      <c r="CA254" s="217">
        <v>0</v>
      </c>
      <c r="CB254" s="217">
        <v>10</v>
      </c>
      <c r="CC254" s="217">
        <v>70</v>
      </c>
      <c r="CD254" s="217">
        <v>15</v>
      </c>
      <c r="CE254" s="217">
        <v>137</v>
      </c>
      <c r="CF254" s="217">
        <v>0</v>
      </c>
      <c r="CG254" s="217">
        <v>0</v>
      </c>
      <c r="CH254" s="217">
        <v>0</v>
      </c>
      <c r="CI254" s="217">
        <v>0</v>
      </c>
      <c r="CJ254" s="217">
        <v>0</v>
      </c>
    </row>
    <row r="255" spans="1:88" x14ac:dyDescent="0.25">
      <c r="A255" s="217" t="s">
        <v>22</v>
      </c>
      <c r="B255" s="217" t="s">
        <v>23</v>
      </c>
      <c r="C255" s="217" t="s">
        <v>85</v>
      </c>
      <c r="D255" s="217" t="s">
        <v>84</v>
      </c>
      <c r="E255" s="217" t="s">
        <v>157</v>
      </c>
      <c r="F255" s="217" t="s">
        <v>156</v>
      </c>
      <c r="G255" s="217" t="s">
        <v>330</v>
      </c>
      <c r="H255" s="217" t="s">
        <v>1017</v>
      </c>
      <c r="I255" s="217" t="s">
        <v>29</v>
      </c>
      <c r="J255" s="217" t="s">
        <v>1857</v>
      </c>
      <c r="K255" s="217">
        <v>6</v>
      </c>
      <c r="L255" s="217">
        <v>44</v>
      </c>
      <c r="M255" s="217" t="s">
        <v>31</v>
      </c>
      <c r="N255" s="217" t="s">
        <v>32</v>
      </c>
      <c r="O255" s="217" t="s">
        <v>68</v>
      </c>
      <c r="P255" s="217" t="s">
        <v>34</v>
      </c>
      <c r="Q255" s="217" t="s">
        <v>35</v>
      </c>
      <c r="R255" s="217" t="s">
        <v>23</v>
      </c>
      <c r="S255" s="217" t="s">
        <v>22</v>
      </c>
      <c r="T255" s="217" t="s">
        <v>84</v>
      </c>
      <c r="U255" s="217" t="s">
        <v>85</v>
      </c>
      <c r="V255" s="217" t="s">
        <v>97</v>
      </c>
      <c r="W255" s="217" t="s">
        <v>98</v>
      </c>
      <c r="BC255" s="217" t="s">
        <v>85</v>
      </c>
      <c r="BD255" s="217" t="s">
        <v>151</v>
      </c>
      <c r="BE255" s="217" t="s">
        <v>1102</v>
      </c>
      <c r="BF255" s="217" t="s">
        <v>775</v>
      </c>
      <c r="BG255" s="217" t="s">
        <v>1998</v>
      </c>
      <c r="BH255" s="217" t="s">
        <v>1658</v>
      </c>
      <c r="BI255" s="217" t="s">
        <v>1658</v>
      </c>
      <c r="BJ255" s="217" t="s">
        <v>1660</v>
      </c>
      <c r="BK255" s="217" t="s">
        <v>637</v>
      </c>
      <c r="BL255" s="217"/>
      <c r="BM255" s="217"/>
      <c r="BN255" s="217">
        <v>0</v>
      </c>
      <c r="BO255" s="217">
        <v>0</v>
      </c>
      <c r="BR255" s="217" t="s">
        <v>85</v>
      </c>
      <c r="BS255" s="217" t="s">
        <v>92</v>
      </c>
      <c r="BT255" s="217" t="s">
        <v>287</v>
      </c>
      <c r="BU255" s="217" t="s">
        <v>963</v>
      </c>
      <c r="BV255" s="217">
        <v>86</v>
      </c>
      <c r="BW255" s="217">
        <v>421</v>
      </c>
      <c r="BX255" s="217">
        <v>0</v>
      </c>
      <c r="BY255" s="217">
        <v>0</v>
      </c>
      <c r="BZ255" s="217">
        <v>0</v>
      </c>
      <c r="CA255" s="217">
        <v>0</v>
      </c>
      <c r="CB255" s="217">
        <v>86</v>
      </c>
      <c r="CC255" s="217">
        <v>421</v>
      </c>
      <c r="CD255" s="217">
        <v>0</v>
      </c>
      <c r="CE255" s="217">
        <v>0</v>
      </c>
      <c r="CF255" s="217">
        <v>0</v>
      </c>
      <c r="CG255" s="217">
        <v>0</v>
      </c>
      <c r="CH255" s="217">
        <v>0</v>
      </c>
      <c r="CI255" s="217">
        <v>0</v>
      </c>
      <c r="CJ255" s="217">
        <v>0</v>
      </c>
    </row>
    <row r="256" spans="1:88" x14ac:dyDescent="0.25">
      <c r="A256" s="217" t="s">
        <v>22</v>
      </c>
      <c r="B256" s="217" t="s">
        <v>23</v>
      </c>
      <c r="C256" s="217" t="s">
        <v>85</v>
      </c>
      <c r="D256" s="217" t="s">
        <v>84</v>
      </c>
      <c r="E256" s="217" t="s">
        <v>157</v>
      </c>
      <c r="F256" s="217" t="s">
        <v>156</v>
      </c>
      <c r="G256" s="217" t="s">
        <v>331</v>
      </c>
      <c r="H256" s="217" t="s">
        <v>1018</v>
      </c>
      <c r="I256" s="217" t="s">
        <v>29</v>
      </c>
      <c r="J256" s="217" t="s">
        <v>1856</v>
      </c>
      <c r="K256" s="217">
        <v>6</v>
      </c>
      <c r="L256" s="217">
        <v>39</v>
      </c>
      <c r="M256" s="217" t="s">
        <v>31</v>
      </c>
      <c r="N256" s="217" t="s">
        <v>32</v>
      </c>
      <c r="O256" s="217" t="s">
        <v>68</v>
      </c>
      <c r="P256" s="217" t="s">
        <v>34</v>
      </c>
      <c r="Q256" s="217" t="s">
        <v>35</v>
      </c>
      <c r="R256" s="217" t="s">
        <v>23</v>
      </c>
      <c r="S256" s="217" t="s">
        <v>22</v>
      </c>
      <c r="T256" s="217" t="s">
        <v>84</v>
      </c>
      <c r="U256" s="217" t="s">
        <v>85</v>
      </c>
      <c r="V256" s="217" t="s">
        <v>150</v>
      </c>
      <c r="W256" s="217" t="s">
        <v>151</v>
      </c>
      <c r="BC256" s="217" t="s">
        <v>85</v>
      </c>
      <c r="BD256" s="217" t="s">
        <v>151</v>
      </c>
      <c r="BE256" s="217" t="s">
        <v>1103</v>
      </c>
      <c r="BF256" s="217" t="s">
        <v>789</v>
      </c>
      <c r="BG256" s="217" t="s">
        <v>1998</v>
      </c>
      <c r="BH256" s="217" t="s">
        <v>1658</v>
      </c>
      <c r="BI256" s="217" t="s">
        <v>1658</v>
      </c>
      <c r="BJ256" s="217" t="s">
        <v>1660</v>
      </c>
      <c r="BK256" s="217" t="s">
        <v>637</v>
      </c>
      <c r="BL256" s="217"/>
      <c r="BM256" s="217"/>
      <c r="BN256" s="217">
        <v>0</v>
      </c>
      <c r="BO256" s="217">
        <v>0</v>
      </c>
      <c r="BR256" s="217" t="s">
        <v>85</v>
      </c>
      <c r="BS256" s="217" t="s">
        <v>92</v>
      </c>
      <c r="BT256" s="217" t="s">
        <v>1818</v>
      </c>
      <c r="BU256" s="217" t="s">
        <v>1817</v>
      </c>
      <c r="BV256" s="217">
        <v>49</v>
      </c>
      <c r="BW256" s="217">
        <v>225</v>
      </c>
      <c r="BX256" s="217">
        <v>45</v>
      </c>
      <c r="BY256" s="217">
        <v>175</v>
      </c>
      <c r="BZ256" s="217">
        <v>0</v>
      </c>
      <c r="CA256" s="217">
        <v>0</v>
      </c>
      <c r="CB256" s="217">
        <v>49</v>
      </c>
      <c r="CC256" s="217">
        <v>225</v>
      </c>
      <c r="CD256" s="217">
        <v>45</v>
      </c>
      <c r="CE256" s="217">
        <v>175</v>
      </c>
      <c r="CF256" s="217">
        <v>0</v>
      </c>
      <c r="CG256" s="217">
        <v>0</v>
      </c>
      <c r="CH256" s="217">
        <v>0</v>
      </c>
      <c r="CI256" s="217">
        <v>0</v>
      </c>
      <c r="CJ256" s="217">
        <v>0</v>
      </c>
    </row>
    <row r="257" spans="1:88" x14ac:dyDescent="0.25">
      <c r="A257" s="217" t="s">
        <v>22</v>
      </c>
      <c r="B257" s="217" t="s">
        <v>23</v>
      </c>
      <c r="C257" s="217" t="s">
        <v>85</v>
      </c>
      <c r="D257" s="217" t="s">
        <v>84</v>
      </c>
      <c r="E257" s="217" t="s">
        <v>157</v>
      </c>
      <c r="F257" s="217" t="s">
        <v>156</v>
      </c>
      <c r="G257" s="217" t="s">
        <v>331</v>
      </c>
      <c r="H257" s="217" t="s">
        <v>1018</v>
      </c>
      <c r="I257" s="217" t="s">
        <v>29</v>
      </c>
      <c r="J257" s="217" t="s">
        <v>1858</v>
      </c>
      <c r="K257" s="217">
        <v>3</v>
      </c>
      <c r="L257" s="217">
        <v>15</v>
      </c>
      <c r="M257" s="217" t="s">
        <v>31</v>
      </c>
      <c r="N257" s="217" t="s">
        <v>32</v>
      </c>
      <c r="O257" s="217" t="s">
        <v>68</v>
      </c>
      <c r="P257" s="217" t="s">
        <v>34</v>
      </c>
      <c r="Q257" s="217" t="s">
        <v>35</v>
      </c>
      <c r="R257" s="217" t="s">
        <v>23</v>
      </c>
      <c r="S257" s="217" t="s">
        <v>22</v>
      </c>
      <c r="T257" s="217" t="s">
        <v>84</v>
      </c>
      <c r="U257" s="217" t="s">
        <v>85</v>
      </c>
      <c r="V257" s="217" t="s">
        <v>150</v>
      </c>
      <c r="W257" s="217" t="s">
        <v>151</v>
      </c>
      <c r="BC257" s="217" t="s">
        <v>85</v>
      </c>
      <c r="BD257" s="217" t="s">
        <v>151</v>
      </c>
      <c r="BE257" s="217" t="s">
        <v>1105</v>
      </c>
      <c r="BF257" s="217" t="s">
        <v>1104</v>
      </c>
      <c r="BG257" s="217" t="s">
        <v>1998</v>
      </c>
      <c r="BH257" s="217" t="s">
        <v>1658</v>
      </c>
      <c r="BI257" s="217" t="s">
        <v>1658</v>
      </c>
      <c r="BJ257" s="217" t="s">
        <v>1660</v>
      </c>
      <c r="BK257" s="217" t="s">
        <v>637</v>
      </c>
      <c r="BL257" s="217"/>
      <c r="BM257" s="217"/>
      <c r="BN257" s="217">
        <v>0</v>
      </c>
      <c r="BO257" s="217">
        <v>0</v>
      </c>
      <c r="BR257" s="217" t="s">
        <v>85</v>
      </c>
      <c r="BS257" s="217" t="s">
        <v>92</v>
      </c>
      <c r="BT257" s="217" t="s">
        <v>289</v>
      </c>
      <c r="BU257" s="217" t="s">
        <v>965</v>
      </c>
      <c r="BV257" s="217">
        <v>57</v>
      </c>
      <c r="BW257" s="217">
        <v>253</v>
      </c>
      <c r="BX257" s="217">
        <v>0</v>
      </c>
      <c r="BY257" s="217">
        <v>0</v>
      </c>
      <c r="BZ257" s="217">
        <v>0</v>
      </c>
      <c r="CA257" s="217">
        <v>0</v>
      </c>
      <c r="CB257" s="217">
        <v>57</v>
      </c>
      <c r="CC257" s="217">
        <v>253</v>
      </c>
      <c r="CD257" s="217">
        <v>0</v>
      </c>
      <c r="CE257" s="217">
        <v>0</v>
      </c>
      <c r="CF257" s="217">
        <v>0</v>
      </c>
      <c r="CG257" s="217">
        <v>0</v>
      </c>
      <c r="CH257" s="217">
        <v>0</v>
      </c>
      <c r="CI257" s="217">
        <v>0</v>
      </c>
      <c r="CJ257" s="217">
        <v>0</v>
      </c>
    </row>
    <row r="258" spans="1:88" x14ac:dyDescent="0.25">
      <c r="A258" s="217" t="s">
        <v>22</v>
      </c>
      <c r="B258" s="217" t="s">
        <v>23</v>
      </c>
      <c r="C258" s="217" t="s">
        <v>85</v>
      </c>
      <c r="D258" s="217" t="s">
        <v>84</v>
      </c>
      <c r="E258" s="217" t="s">
        <v>157</v>
      </c>
      <c r="F258" s="217" t="s">
        <v>156</v>
      </c>
      <c r="G258" s="217" t="s">
        <v>332</v>
      </c>
      <c r="H258" s="217" t="s">
        <v>1019</v>
      </c>
      <c r="I258" s="217" t="s">
        <v>29</v>
      </c>
      <c r="J258" s="217" t="s">
        <v>1855</v>
      </c>
      <c r="K258" s="217">
        <v>67</v>
      </c>
      <c r="L258" s="217">
        <v>340</v>
      </c>
      <c r="M258" s="217" t="s">
        <v>31</v>
      </c>
      <c r="N258" s="217" t="s">
        <v>32</v>
      </c>
      <c r="O258" s="217" t="s">
        <v>68</v>
      </c>
      <c r="P258" s="217" t="s">
        <v>34</v>
      </c>
      <c r="Q258" s="217" t="s">
        <v>35</v>
      </c>
      <c r="R258" s="217" t="s">
        <v>23</v>
      </c>
      <c r="S258" s="217" t="s">
        <v>22</v>
      </c>
      <c r="T258" s="217" t="s">
        <v>84</v>
      </c>
      <c r="U258" s="217" t="s">
        <v>85</v>
      </c>
      <c r="V258" s="217" t="s">
        <v>97</v>
      </c>
      <c r="W258" s="217" t="s">
        <v>98</v>
      </c>
      <c r="BC258" s="217" t="s">
        <v>85</v>
      </c>
      <c r="BD258" s="217" t="s">
        <v>151</v>
      </c>
      <c r="BE258" s="217" t="s">
        <v>1106</v>
      </c>
      <c r="BF258" s="217" t="s">
        <v>369</v>
      </c>
      <c r="BG258" s="217" t="s">
        <v>1998</v>
      </c>
      <c r="BH258" s="217" t="s">
        <v>1658</v>
      </c>
      <c r="BI258" s="217" t="s">
        <v>1660</v>
      </c>
      <c r="BJ258" s="217" t="s">
        <v>1660</v>
      </c>
      <c r="BK258" s="217" t="s">
        <v>637</v>
      </c>
      <c r="BL258" s="217"/>
      <c r="BM258" s="217"/>
      <c r="BN258" s="217">
        <v>0</v>
      </c>
      <c r="BO258" s="217">
        <v>0</v>
      </c>
      <c r="BR258" s="217" t="s">
        <v>85</v>
      </c>
      <c r="BS258" s="217" t="s">
        <v>92</v>
      </c>
      <c r="BT258" s="217" t="s">
        <v>966</v>
      </c>
      <c r="BU258" s="217" t="s">
        <v>967</v>
      </c>
      <c r="BV258" s="217">
        <v>36</v>
      </c>
      <c r="BW258" s="217">
        <v>150</v>
      </c>
      <c r="BX258" s="217">
        <v>62</v>
      </c>
      <c r="BY258" s="217">
        <v>310</v>
      </c>
      <c r="BZ258" s="217">
        <v>0</v>
      </c>
      <c r="CA258" s="217">
        <v>0</v>
      </c>
      <c r="CB258" s="217">
        <v>36</v>
      </c>
      <c r="CC258" s="217">
        <v>150</v>
      </c>
      <c r="CD258" s="217">
        <v>62</v>
      </c>
      <c r="CE258" s="217">
        <v>310</v>
      </c>
      <c r="CF258" s="217">
        <v>0</v>
      </c>
      <c r="CG258" s="217">
        <v>0</v>
      </c>
      <c r="CH258" s="217">
        <v>0</v>
      </c>
      <c r="CI258" s="217">
        <v>0</v>
      </c>
      <c r="CJ258" s="217">
        <v>0</v>
      </c>
    </row>
    <row r="259" spans="1:88" x14ac:dyDescent="0.25">
      <c r="A259" s="217" t="s">
        <v>22</v>
      </c>
      <c r="B259" s="217" t="s">
        <v>23</v>
      </c>
      <c r="C259" s="217" t="s">
        <v>85</v>
      </c>
      <c r="D259" s="217" t="s">
        <v>84</v>
      </c>
      <c r="E259" s="217" t="s">
        <v>157</v>
      </c>
      <c r="F259" s="217" t="s">
        <v>156</v>
      </c>
      <c r="G259" s="217" t="s">
        <v>332</v>
      </c>
      <c r="H259" s="217" t="s">
        <v>1019</v>
      </c>
      <c r="I259" s="217" t="s">
        <v>29</v>
      </c>
      <c r="J259" s="217" t="s">
        <v>1856</v>
      </c>
      <c r="K259" s="217">
        <v>193</v>
      </c>
      <c r="L259" s="217">
        <v>967</v>
      </c>
      <c r="M259" s="217" t="s">
        <v>31</v>
      </c>
      <c r="N259" s="217" t="s">
        <v>32</v>
      </c>
      <c r="O259" s="217" t="s">
        <v>68</v>
      </c>
      <c r="P259" s="217" t="s">
        <v>34</v>
      </c>
      <c r="Q259" s="217" t="s">
        <v>35</v>
      </c>
      <c r="R259" s="217" t="s">
        <v>23</v>
      </c>
      <c r="S259" s="217" t="s">
        <v>22</v>
      </c>
      <c r="T259" s="217" t="s">
        <v>84</v>
      </c>
      <c r="U259" s="217" t="s">
        <v>85</v>
      </c>
      <c r="V259" s="217" t="s">
        <v>97</v>
      </c>
      <c r="W259" s="217" t="s">
        <v>98</v>
      </c>
      <c r="BC259" s="217" t="s">
        <v>85</v>
      </c>
      <c r="BD259" s="217" t="s">
        <v>151</v>
      </c>
      <c r="BE259" s="217" t="s">
        <v>1107</v>
      </c>
      <c r="BF259" s="217" t="s">
        <v>790</v>
      </c>
      <c r="BG259" s="217" t="s">
        <v>1998</v>
      </c>
      <c r="BH259" s="217" t="s">
        <v>1658</v>
      </c>
      <c r="BI259" s="217" t="s">
        <v>1658</v>
      </c>
      <c r="BJ259" s="217" t="s">
        <v>1660</v>
      </c>
      <c r="BK259" s="217" t="s">
        <v>637</v>
      </c>
      <c r="BL259" s="217"/>
      <c r="BM259" s="217"/>
      <c r="BN259" s="217">
        <v>0</v>
      </c>
      <c r="BO259" s="217">
        <v>0</v>
      </c>
      <c r="BR259" s="217" t="s">
        <v>85</v>
      </c>
      <c r="BS259" s="217" t="s">
        <v>92</v>
      </c>
      <c r="BT259" s="217" t="s">
        <v>954</v>
      </c>
      <c r="BU259" s="217" t="s">
        <v>955</v>
      </c>
      <c r="BV259" s="217">
        <v>55</v>
      </c>
      <c r="BW259" s="217">
        <v>440</v>
      </c>
      <c r="BX259" s="217">
        <v>0</v>
      </c>
      <c r="BY259" s="217">
        <v>0</v>
      </c>
      <c r="BZ259" s="217">
        <v>0</v>
      </c>
      <c r="CA259" s="217">
        <v>0</v>
      </c>
      <c r="CB259" s="217">
        <v>68</v>
      </c>
      <c r="CC259" s="217">
        <v>540</v>
      </c>
      <c r="CD259" s="217">
        <v>0</v>
      </c>
      <c r="CE259" s="217">
        <v>0</v>
      </c>
      <c r="CF259" s="217">
        <v>0</v>
      </c>
      <c r="CG259" s="217">
        <v>0</v>
      </c>
      <c r="CH259" s="217">
        <v>-100</v>
      </c>
      <c r="CI259" s="217">
        <v>0</v>
      </c>
      <c r="CJ259" s="217">
        <v>0</v>
      </c>
    </row>
    <row r="260" spans="1:88" x14ac:dyDescent="0.25">
      <c r="A260" s="217" t="s">
        <v>22</v>
      </c>
      <c r="B260" s="217" t="s">
        <v>23</v>
      </c>
      <c r="C260" s="217" t="s">
        <v>85</v>
      </c>
      <c r="D260" s="217" t="s">
        <v>84</v>
      </c>
      <c r="E260" s="217" t="s">
        <v>157</v>
      </c>
      <c r="F260" s="217" t="s">
        <v>156</v>
      </c>
      <c r="G260" s="217" t="s">
        <v>332</v>
      </c>
      <c r="H260" s="217" t="s">
        <v>1019</v>
      </c>
      <c r="I260" s="217" t="s">
        <v>29</v>
      </c>
      <c r="J260" s="217" t="s">
        <v>1857</v>
      </c>
      <c r="K260" s="217">
        <v>3</v>
      </c>
      <c r="L260" s="217">
        <v>29</v>
      </c>
      <c r="M260" s="217" t="s">
        <v>31</v>
      </c>
      <c r="N260" s="217" t="s">
        <v>32</v>
      </c>
      <c r="O260" s="217" t="s">
        <v>68</v>
      </c>
      <c r="P260" s="217" t="s">
        <v>34</v>
      </c>
      <c r="Q260" s="217" t="s">
        <v>35</v>
      </c>
      <c r="R260" s="217" t="s">
        <v>23</v>
      </c>
      <c r="S260" s="217" t="s">
        <v>22</v>
      </c>
      <c r="T260" s="217" t="s">
        <v>84</v>
      </c>
      <c r="U260" s="217" t="s">
        <v>85</v>
      </c>
      <c r="V260" s="217" t="s">
        <v>97</v>
      </c>
      <c r="W260" s="217" t="s">
        <v>98</v>
      </c>
      <c r="BC260" s="217" t="s">
        <v>85</v>
      </c>
      <c r="BD260" s="217" t="s">
        <v>151</v>
      </c>
      <c r="BE260" s="217" t="s">
        <v>1108</v>
      </c>
      <c r="BF260" s="217" t="s">
        <v>370</v>
      </c>
      <c r="BG260" s="217" t="s">
        <v>1998</v>
      </c>
      <c r="BH260" s="217" t="s">
        <v>1658</v>
      </c>
      <c r="BI260" s="217" t="s">
        <v>1660</v>
      </c>
      <c r="BJ260" s="217" t="s">
        <v>1660</v>
      </c>
      <c r="BK260" s="217" t="s">
        <v>637</v>
      </c>
      <c r="BL260" s="217"/>
      <c r="BM260" s="217"/>
      <c r="BN260" s="217">
        <v>0</v>
      </c>
      <c r="BO260" s="217">
        <v>0</v>
      </c>
      <c r="BR260" s="217" t="s">
        <v>85</v>
      </c>
      <c r="BS260" s="217" t="s">
        <v>92</v>
      </c>
      <c r="BT260" s="217" t="s">
        <v>277</v>
      </c>
      <c r="BU260" s="217" t="s">
        <v>946</v>
      </c>
      <c r="BV260" s="217">
        <v>0</v>
      </c>
      <c r="BW260" s="217">
        <v>0</v>
      </c>
      <c r="BX260" s="217">
        <v>0</v>
      </c>
      <c r="BY260" s="217">
        <v>0</v>
      </c>
      <c r="BZ260" s="217">
        <v>0</v>
      </c>
      <c r="CA260" s="217">
        <v>0</v>
      </c>
      <c r="CB260" s="217">
        <v>0</v>
      </c>
      <c r="CC260" s="217">
        <v>0</v>
      </c>
      <c r="CD260" s="217">
        <v>0</v>
      </c>
      <c r="CE260" s="217">
        <v>0</v>
      </c>
      <c r="CF260" s="217">
        <v>0</v>
      </c>
      <c r="CG260" s="217">
        <v>0</v>
      </c>
      <c r="CH260" s="217">
        <v>0</v>
      </c>
      <c r="CI260" s="217">
        <v>0</v>
      </c>
      <c r="CJ260" s="217">
        <v>0</v>
      </c>
    </row>
    <row r="261" spans="1:88" x14ac:dyDescent="0.25">
      <c r="A261" s="217" t="s">
        <v>22</v>
      </c>
      <c r="B261" s="217" t="s">
        <v>23</v>
      </c>
      <c r="C261" s="217" t="s">
        <v>85</v>
      </c>
      <c r="D261" s="217" t="s">
        <v>84</v>
      </c>
      <c r="E261" s="217" t="s">
        <v>157</v>
      </c>
      <c r="F261" s="217" t="s">
        <v>156</v>
      </c>
      <c r="G261" s="217" t="s">
        <v>332</v>
      </c>
      <c r="H261" s="217" t="s">
        <v>1019</v>
      </c>
      <c r="I261" s="217" t="s">
        <v>29</v>
      </c>
      <c r="J261" s="217" t="s">
        <v>1858</v>
      </c>
      <c r="K261" s="217">
        <v>1</v>
      </c>
      <c r="L261" s="217">
        <v>3</v>
      </c>
      <c r="M261" s="217" t="s">
        <v>31</v>
      </c>
      <c r="N261" s="217" t="s">
        <v>32</v>
      </c>
      <c r="O261" s="217" t="s">
        <v>68</v>
      </c>
      <c r="P261" s="217" t="s">
        <v>34</v>
      </c>
      <c r="Q261" s="217" t="s">
        <v>35</v>
      </c>
      <c r="R261" s="217" t="s">
        <v>23</v>
      </c>
      <c r="S261" s="217" t="s">
        <v>22</v>
      </c>
      <c r="T261" s="217" t="s">
        <v>84</v>
      </c>
      <c r="U261" s="217" t="s">
        <v>85</v>
      </c>
      <c r="V261" s="217" t="s">
        <v>97</v>
      </c>
      <c r="W261" s="217" t="s">
        <v>98</v>
      </c>
      <c r="BC261" s="217" t="s">
        <v>85</v>
      </c>
      <c r="BD261" s="217" t="s">
        <v>98</v>
      </c>
      <c r="BE261" s="217" t="s">
        <v>1819</v>
      </c>
      <c r="BF261" s="217" t="s">
        <v>1820</v>
      </c>
      <c r="BG261" s="217" t="s">
        <v>1998</v>
      </c>
      <c r="BH261" s="217" t="s">
        <v>1658</v>
      </c>
      <c r="BI261" s="217" t="s">
        <v>1660</v>
      </c>
      <c r="BJ261" s="217" t="s">
        <v>1660</v>
      </c>
      <c r="BK261" s="217" t="s">
        <v>637</v>
      </c>
      <c r="BL261" s="217"/>
      <c r="BM261" s="217"/>
      <c r="BN261" s="217">
        <v>0</v>
      </c>
      <c r="BO261" s="217">
        <v>0</v>
      </c>
      <c r="BR261" s="217" t="s">
        <v>85</v>
      </c>
      <c r="BS261" s="217" t="s">
        <v>92</v>
      </c>
      <c r="BT261" s="217" t="s">
        <v>693</v>
      </c>
      <c r="BU261" s="217" t="s">
        <v>1669</v>
      </c>
      <c r="BV261" s="217">
        <v>0</v>
      </c>
      <c r="BW261" s="217">
        <v>0</v>
      </c>
      <c r="BX261" s="217">
        <v>0</v>
      </c>
      <c r="BY261" s="217">
        <v>0</v>
      </c>
      <c r="BZ261" s="217">
        <v>0</v>
      </c>
      <c r="CA261" s="217">
        <v>0</v>
      </c>
      <c r="CB261" s="217">
        <v>0</v>
      </c>
      <c r="CC261" s="217">
        <v>0</v>
      </c>
      <c r="CD261" s="217">
        <v>0</v>
      </c>
      <c r="CE261" s="217">
        <v>0</v>
      </c>
      <c r="CF261" s="217">
        <v>0</v>
      </c>
      <c r="CG261" s="217">
        <v>0</v>
      </c>
      <c r="CH261" s="217">
        <v>0</v>
      </c>
      <c r="CI261" s="217">
        <v>0</v>
      </c>
      <c r="CJ261" s="217">
        <v>0</v>
      </c>
    </row>
    <row r="262" spans="1:88" x14ac:dyDescent="0.25">
      <c r="A262" s="217" t="s">
        <v>22</v>
      </c>
      <c r="B262" s="217" t="s">
        <v>23</v>
      </c>
      <c r="C262" s="217" t="s">
        <v>85</v>
      </c>
      <c r="D262" s="217" t="s">
        <v>84</v>
      </c>
      <c r="E262" s="217" t="s">
        <v>157</v>
      </c>
      <c r="F262" s="217" t="s">
        <v>156</v>
      </c>
      <c r="G262" s="217" t="s">
        <v>333</v>
      </c>
      <c r="H262" s="217" t="s">
        <v>1020</v>
      </c>
      <c r="I262" s="217" t="s">
        <v>29</v>
      </c>
      <c r="J262" s="217" t="s">
        <v>1856</v>
      </c>
      <c r="K262" s="217">
        <v>44</v>
      </c>
      <c r="L262" s="217">
        <v>220</v>
      </c>
      <c r="M262" s="217" t="s">
        <v>31</v>
      </c>
      <c r="N262" s="217" t="s">
        <v>32</v>
      </c>
      <c r="O262" s="217" t="s">
        <v>68</v>
      </c>
      <c r="P262" s="217" t="s">
        <v>34</v>
      </c>
      <c r="Q262" s="217" t="s">
        <v>35</v>
      </c>
      <c r="R262" s="217" t="s">
        <v>23</v>
      </c>
      <c r="S262" s="217" t="s">
        <v>22</v>
      </c>
      <c r="T262" s="217" t="s">
        <v>84</v>
      </c>
      <c r="U262" s="217" t="s">
        <v>85</v>
      </c>
      <c r="V262" s="217" t="s">
        <v>91</v>
      </c>
      <c r="W262" s="217" t="s">
        <v>92</v>
      </c>
      <c r="BC262" s="217" t="s">
        <v>85</v>
      </c>
      <c r="BD262" s="217" t="s">
        <v>98</v>
      </c>
      <c r="BE262" s="217" t="s">
        <v>1109</v>
      </c>
      <c r="BF262" s="217" t="s">
        <v>371</v>
      </c>
      <c r="BG262" s="217" t="s">
        <v>1998</v>
      </c>
      <c r="BH262" s="217" t="s">
        <v>1658</v>
      </c>
      <c r="BI262" s="217" t="s">
        <v>1660</v>
      </c>
      <c r="BJ262" s="217" t="s">
        <v>1660</v>
      </c>
      <c r="BK262" s="217" t="s">
        <v>637</v>
      </c>
      <c r="BL262" s="217"/>
      <c r="BM262" s="217"/>
      <c r="BN262" s="217">
        <v>0</v>
      </c>
      <c r="BO262" s="217">
        <v>0</v>
      </c>
      <c r="BR262" s="217" t="s">
        <v>85</v>
      </c>
      <c r="BS262" s="217" t="s">
        <v>92</v>
      </c>
      <c r="BT262" s="217" t="s">
        <v>278</v>
      </c>
      <c r="BU262" s="217" t="s">
        <v>947</v>
      </c>
      <c r="BV262" s="217">
        <v>0</v>
      </c>
      <c r="BW262" s="217">
        <v>0</v>
      </c>
      <c r="BX262" s="217">
        <v>0</v>
      </c>
      <c r="BY262" s="217">
        <v>0</v>
      </c>
      <c r="BZ262" s="217">
        <v>0</v>
      </c>
      <c r="CA262" s="217">
        <v>0</v>
      </c>
      <c r="CB262" s="217">
        <v>0</v>
      </c>
      <c r="CC262" s="217">
        <v>0</v>
      </c>
      <c r="CD262" s="217">
        <v>0</v>
      </c>
      <c r="CE262" s="217">
        <v>0</v>
      </c>
      <c r="CF262" s="217">
        <v>0</v>
      </c>
      <c r="CG262" s="217">
        <v>0</v>
      </c>
      <c r="CH262" s="217">
        <v>0</v>
      </c>
      <c r="CI262" s="217">
        <v>0</v>
      </c>
      <c r="CJ262" s="217">
        <v>0</v>
      </c>
    </row>
    <row r="263" spans="1:88" x14ac:dyDescent="0.25">
      <c r="A263" s="217" t="s">
        <v>22</v>
      </c>
      <c r="B263" s="217" t="s">
        <v>23</v>
      </c>
      <c r="C263" s="217" t="s">
        <v>85</v>
      </c>
      <c r="D263" s="217" t="s">
        <v>84</v>
      </c>
      <c r="E263" s="217" t="s">
        <v>157</v>
      </c>
      <c r="F263" s="217" t="s">
        <v>156</v>
      </c>
      <c r="G263" s="217" t="s">
        <v>333</v>
      </c>
      <c r="H263" s="217" t="s">
        <v>1020</v>
      </c>
      <c r="I263" s="217" t="s">
        <v>29</v>
      </c>
      <c r="J263" s="217" t="s">
        <v>1857</v>
      </c>
      <c r="K263" s="217">
        <v>49</v>
      </c>
      <c r="L263" s="217">
        <v>244</v>
      </c>
      <c r="M263" s="217" t="s">
        <v>31</v>
      </c>
      <c r="N263" s="217" t="s">
        <v>32</v>
      </c>
      <c r="O263" s="217" t="s">
        <v>68</v>
      </c>
      <c r="P263" s="217" t="s">
        <v>34</v>
      </c>
      <c r="Q263" s="217" t="s">
        <v>35</v>
      </c>
      <c r="R263" s="217" t="s">
        <v>23</v>
      </c>
      <c r="S263" s="217" t="s">
        <v>22</v>
      </c>
      <c r="T263" s="217" t="s">
        <v>84</v>
      </c>
      <c r="U263" s="217" t="s">
        <v>85</v>
      </c>
      <c r="V263" s="217" t="s">
        <v>97</v>
      </c>
      <c r="W263" s="217" t="s">
        <v>98</v>
      </c>
      <c r="BC263" s="217" t="s">
        <v>85</v>
      </c>
      <c r="BD263" s="217" t="s">
        <v>98</v>
      </c>
      <c r="BE263" s="217" t="s">
        <v>1111</v>
      </c>
      <c r="BF263" s="217" t="s">
        <v>1110</v>
      </c>
      <c r="BG263" s="217" t="s">
        <v>2000</v>
      </c>
      <c r="BH263" s="217" t="s">
        <v>1658</v>
      </c>
      <c r="BI263" s="217" t="s">
        <v>1660</v>
      </c>
      <c r="BJ263" s="217" t="s">
        <v>1660</v>
      </c>
      <c r="BK263" s="217" t="s">
        <v>637</v>
      </c>
      <c r="BL263" s="217"/>
      <c r="BM263" s="217"/>
      <c r="BN263" s="217">
        <v>0</v>
      </c>
      <c r="BO263" s="217">
        <v>0</v>
      </c>
      <c r="BR263" s="217" t="s">
        <v>85</v>
      </c>
      <c r="BS263" s="217" t="s">
        <v>92</v>
      </c>
      <c r="BT263" s="217" t="s">
        <v>279</v>
      </c>
      <c r="BU263" s="217" t="s">
        <v>1674</v>
      </c>
      <c r="BV263" s="217">
        <v>0</v>
      </c>
      <c r="BW263" s="217">
        <v>0</v>
      </c>
      <c r="BX263" s="217">
        <v>0</v>
      </c>
      <c r="BY263" s="217">
        <v>0</v>
      </c>
      <c r="BZ263" s="217">
        <v>0</v>
      </c>
      <c r="CA263" s="217">
        <v>0</v>
      </c>
      <c r="CB263" s="217">
        <v>0</v>
      </c>
      <c r="CC263" s="217">
        <v>0</v>
      </c>
      <c r="CD263" s="217">
        <v>0</v>
      </c>
      <c r="CE263" s="217">
        <v>0</v>
      </c>
      <c r="CF263" s="217">
        <v>0</v>
      </c>
      <c r="CG263" s="217">
        <v>0</v>
      </c>
      <c r="CH263" s="217">
        <v>0</v>
      </c>
      <c r="CI263" s="217">
        <v>0</v>
      </c>
      <c r="CJ263" s="217">
        <v>0</v>
      </c>
    </row>
    <row r="264" spans="1:88" x14ac:dyDescent="0.25">
      <c r="A264" s="217" t="s">
        <v>22</v>
      </c>
      <c r="B264" s="217" t="s">
        <v>23</v>
      </c>
      <c r="C264" s="217" t="s">
        <v>85</v>
      </c>
      <c r="D264" s="217" t="s">
        <v>84</v>
      </c>
      <c r="E264" s="217" t="s">
        <v>157</v>
      </c>
      <c r="F264" s="217" t="s">
        <v>156</v>
      </c>
      <c r="G264" s="217" t="s">
        <v>333</v>
      </c>
      <c r="H264" s="217" t="s">
        <v>1020</v>
      </c>
      <c r="I264" s="217" t="s">
        <v>29</v>
      </c>
      <c r="J264" s="217" t="s">
        <v>1858</v>
      </c>
      <c r="K264" s="217">
        <v>3</v>
      </c>
      <c r="L264" s="217">
        <v>28</v>
      </c>
      <c r="M264" s="217" t="s">
        <v>31</v>
      </c>
      <c r="N264" s="217" t="s">
        <v>32</v>
      </c>
      <c r="O264" s="217" t="s">
        <v>68</v>
      </c>
      <c r="P264" s="217" t="s">
        <v>34</v>
      </c>
      <c r="Q264" s="217" t="s">
        <v>35</v>
      </c>
      <c r="R264" s="217" t="s">
        <v>23</v>
      </c>
      <c r="S264" s="217" t="s">
        <v>22</v>
      </c>
      <c r="T264" s="217" t="s">
        <v>84</v>
      </c>
      <c r="U264" s="217" t="s">
        <v>85</v>
      </c>
      <c r="V264" s="217" t="s">
        <v>97</v>
      </c>
      <c r="W264" s="217" t="s">
        <v>98</v>
      </c>
      <c r="BC264" s="217" t="s">
        <v>85</v>
      </c>
      <c r="BD264" s="217" t="s">
        <v>98</v>
      </c>
      <c r="BE264" s="217" t="s">
        <v>1113</v>
      </c>
      <c r="BF264" s="217" t="s">
        <v>1112</v>
      </c>
      <c r="BG264" s="217" t="s">
        <v>1998</v>
      </c>
      <c r="BH264" s="217" t="s">
        <v>1658</v>
      </c>
      <c r="BI264" s="217" t="s">
        <v>1660</v>
      </c>
      <c r="BJ264" s="217" t="s">
        <v>1660</v>
      </c>
      <c r="BK264" s="217" t="s">
        <v>637</v>
      </c>
      <c r="BL264" s="217"/>
      <c r="BM264" s="217"/>
      <c r="BN264" s="217">
        <v>0</v>
      </c>
      <c r="BO264" s="217">
        <v>0</v>
      </c>
      <c r="BR264" s="217" t="s">
        <v>85</v>
      </c>
      <c r="BS264" s="217" t="s">
        <v>92</v>
      </c>
      <c r="BT264" s="217" t="s">
        <v>282</v>
      </c>
      <c r="BU264" s="217" t="s">
        <v>1670</v>
      </c>
      <c r="BV264" s="217">
        <v>0</v>
      </c>
      <c r="BW264" s="217">
        <v>0</v>
      </c>
      <c r="BX264" s="217">
        <v>0</v>
      </c>
      <c r="BY264" s="217">
        <v>0</v>
      </c>
      <c r="BZ264" s="217">
        <v>0</v>
      </c>
      <c r="CA264" s="217">
        <v>0</v>
      </c>
      <c r="CB264" s="217">
        <v>0</v>
      </c>
      <c r="CC264" s="217">
        <v>0</v>
      </c>
      <c r="CD264" s="217">
        <v>0</v>
      </c>
      <c r="CE264" s="217">
        <v>0</v>
      </c>
      <c r="CF264" s="217">
        <v>0</v>
      </c>
      <c r="CG264" s="217">
        <v>0</v>
      </c>
      <c r="CH264" s="217">
        <v>0</v>
      </c>
      <c r="CI264" s="217">
        <v>0</v>
      </c>
      <c r="CJ264" s="217">
        <v>0</v>
      </c>
    </row>
    <row r="265" spans="1:88" x14ac:dyDescent="0.25">
      <c r="A265" s="217" t="s">
        <v>22</v>
      </c>
      <c r="B265" s="217" t="s">
        <v>23</v>
      </c>
      <c r="C265" s="217" t="s">
        <v>85</v>
      </c>
      <c r="D265" s="217" t="s">
        <v>84</v>
      </c>
      <c r="E265" s="217" t="s">
        <v>157</v>
      </c>
      <c r="F265" s="217" t="s">
        <v>156</v>
      </c>
      <c r="G265" s="217" t="s">
        <v>334</v>
      </c>
      <c r="H265" s="217" t="s">
        <v>1021</v>
      </c>
      <c r="I265" s="217" t="s">
        <v>29</v>
      </c>
      <c r="J265" s="217" t="s">
        <v>1856</v>
      </c>
      <c r="K265" s="217">
        <v>175</v>
      </c>
      <c r="L265" s="217">
        <v>875</v>
      </c>
      <c r="M265" s="217" t="s">
        <v>31</v>
      </c>
      <c r="N265" s="217" t="s">
        <v>32</v>
      </c>
      <c r="O265" s="217" t="s">
        <v>68</v>
      </c>
      <c r="P265" s="217" t="s">
        <v>34</v>
      </c>
      <c r="Q265" s="217" t="s">
        <v>35</v>
      </c>
      <c r="R265" s="217" t="s">
        <v>23</v>
      </c>
      <c r="S265" s="217" t="s">
        <v>22</v>
      </c>
      <c r="T265" s="217" t="s">
        <v>84</v>
      </c>
      <c r="U265" s="217" t="s">
        <v>85</v>
      </c>
      <c r="V265" s="217" t="s">
        <v>97</v>
      </c>
      <c r="W265" s="217" t="s">
        <v>98</v>
      </c>
      <c r="BC265" s="217" t="s">
        <v>85</v>
      </c>
      <c r="BD265" s="217" t="s">
        <v>98</v>
      </c>
      <c r="BE265" s="217" t="s">
        <v>1115</v>
      </c>
      <c r="BF265" s="217" t="s">
        <v>1114</v>
      </c>
      <c r="BG265" s="217" t="s">
        <v>1998</v>
      </c>
      <c r="BH265" s="217" t="s">
        <v>1658</v>
      </c>
      <c r="BI265" s="217" t="s">
        <v>1660</v>
      </c>
      <c r="BJ265" s="217" t="s">
        <v>1660</v>
      </c>
      <c r="BK265" s="217" t="s">
        <v>637</v>
      </c>
      <c r="BL265" s="217"/>
      <c r="BM265" s="217"/>
      <c r="BN265" s="217">
        <v>0</v>
      </c>
      <c r="BO265" s="217">
        <v>0</v>
      </c>
      <c r="BR265" s="217" t="s">
        <v>85</v>
      </c>
      <c r="BS265" s="217" t="s">
        <v>92</v>
      </c>
      <c r="BT265" s="217" t="s">
        <v>283</v>
      </c>
      <c r="BU265" s="217" t="s">
        <v>957</v>
      </c>
      <c r="BV265" s="217">
        <v>0</v>
      </c>
      <c r="BW265" s="217">
        <v>0</v>
      </c>
      <c r="BX265" s="217">
        <v>0</v>
      </c>
      <c r="BY265" s="217">
        <v>0</v>
      </c>
      <c r="BZ265" s="217">
        <v>0</v>
      </c>
      <c r="CA265" s="217">
        <v>0</v>
      </c>
      <c r="CB265" s="217">
        <v>0</v>
      </c>
      <c r="CC265" s="217">
        <v>0</v>
      </c>
      <c r="CD265" s="217">
        <v>0</v>
      </c>
      <c r="CE265" s="217">
        <v>0</v>
      </c>
      <c r="CF265" s="217">
        <v>0</v>
      </c>
      <c r="CG265" s="217">
        <v>0</v>
      </c>
      <c r="CH265" s="217">
        <v>0</v>
      </c>
      <c r="CI265" s="217">
        <v>0</v>
      </c>
      <c r="CJ265" s="217">
        <v>0</v>
      </c>
    </row>
    <row r="266" spans="1:88" x14ac:dyDescent="0.25">
      <c r="A266" s="217" t="s">
        <v>22</v>
      </c>
      <c r="B266" s="217" t="s">
        <v>23</v>
      </c>
      <c r="C266" s="217" t="s">
        <v>85</v>
      </c>
      <c r="D266" s="217" t="s">
        <v>84</v>
      </c>
      <c r="E266" s="217" t="s">
        <v>157</v>
      </c>
      <c r="F266" s="217" t="s">
        <v>156</v>
      </c>
      <c r="G266" s="217" t="s">
        <v>334</v>
      </c>
      <c r="H266" s="217" t="s">
        <v>1021</v>
      </c>
      <c r="I266" s="217" t="s">
        <v>29</v>
      </c>
      <c r="J266" s="217" t="s">
        <v>1857</v>
      </c>
      <c r="K266" s="217">
        <v>75</v>
      </c>
      <c r="L266" s="217">
        <v>375</v>
      </c>
      <c r="M266" s="217" t="s">
        <v>31</v>
      </c>
      <c r="N266" s="217" t="s">
        <v>32</v>
      </c>
      <c r="O266" s="217" t="s">
        <v>68</v>
      </c>
      <c r="P266" s="217" t="s">
        <v>34</v>
      </c>
      <c r="Q266" s="217" t="s">
        <v>35</v>
      </c>
      <c r="R266" s="217" t="s">
        <v>23</v>
      </c>
      <c r="S266" s="217" t="s">
        <v>22</v>
      </c>
      <c r="T266" s="217" t="s">
        <v>84</v>
      </c>
      <c r="U266" s="217" t="s">
        <v>85</v>
      </c>
      <c r="V266" s="217" t="s">
        <v>97</v>
      </c>
      <c r="W266" s="217" t="s">
        <v>98</v>
      </c>
      <c r="BC266" s="217" t="s">
        <v>85</v>
      </c>
      <c r="BD266" s="217" t="s">
        <v>98</v>
      </c>
      <c r="BE266" s="217" t="s">
        <v>1116</v>
      </c>
      <c r="BF266" s="217" t="s">
        <v>372</v>
      </c>
      <c r="BG266" s="217" t="s">
        <v>1998</v>
      </c>
      <c r="BH266" s="217" t="s">
        <v>1658</v>
      </c>
      <c r="BI266" s="217" t="s">
        <v>1658</v>
      </c>
      <c r="BJ266" s="217" t="s">
        <v>1660</v>
      </c>
      <c r="BK266" s="217" t="s">
        <v>637</v>
      </c>
      <c r="BL266" s="217"/>
      <c r="BM266" s="217"/>
      <c r="BN266" s="217">
        <v>0</v>
      </c>
      <c r="BO266" s="217">
        <v>0</v>
      </c>
      <c r="BR266" s="217" t="s">
        <v>85</v>
      </c>
      <c r="BS266" s="217" t="s">
        <v>92</v>
      </c>
      <c r="BT266" s="217" t="s">
        <v>284</v>
      </c>
      <c r="BU266" s="217" t="s">
        <v>958</v>
      </c>
      <c r="BV266" s="217">
        <v>0</v>
      </c>
      <c r="BW266" s="217">
        <v>0</v>
      </c>
      <c r="BX266" s="217">
        <v>0</v>
      </c>
      <c r="BY266" s="217">
        <v>0</v>
      </c>
      <c r="BZ266" s="217">
        <v>0</v>
      </c>
      <c r="CA266" s="217">
        <v>0</v>
      </c>
      <c r="CB266" s="217">
        <v>0</v>
      </c>
      <c r="CC266" s="217">
        <v>0</v>
      </c>
      <c r="CD266" s="217">
        <v>0</v>
      </c>
      <c r="CE266" s="217">
        <v>0</v>
      </c>
      <c r="CF266" s="217">
        <v>0</v>
      </c>
      <c r="CG266" s="217">
        <v>0</v>
      </c>
      <c r="CH266" s="217">
        <v>0</v>
      </c>
      <c r="CI266" s="217">
        <v>0</v>
      </c>
      <c r="CJ266" s="217">
        <v>0</v>
      </c>
    </row>
    <row r="267" spans="1:88" x14ac:dyDescent="0.25">
      <c r="A267" s="217" t="s">
        <v>22</v>
      </c>
      <c r="B267" s="217" t="s">
        <v>23</v>
      </c>
      <c r="C267" s="217" t="s">
        <v>85</v>
      </c>
      <c r="D267" s="217" t="s">
        <v>84</v>
      </c>
      <c r="E267" s="217" t="s">
        <v>157</v>
      </c>
      <c r="F267" s="217" t="s">
        <v>156</v>
      </c>
      <c r="G267" s="217" t="s">
        <v>334</v>
      </c>
      <c r="H267" s="217" t="s">
        <v>1021</v>
      </c>
      <c r="I267" s="217" t="s">
        <v>29</v>
      </c>
      <c r="J267" s="217" t="s">
        <v>1858</v>
      </c>
      <c r="K267" s="217">
        <v>6</v>
      </c>
      <c r="L267" s="217">
        <v>24</v>
      </c>
      <c r="M267" s="217" t="s">
        <v>31</v>
      </c>
      <c r="N267" s="217" t="s">
        <v>32</v>
      </c>
      <c r="O267" s="217" t="s">
        <v>68</v>
      </c>
      <c r="P267" s="217" t="s">
        <v>34</v>
      </c>
      <c r="Q267" s="217" t="s">
        <v>35</v>
      </c>
      <c r="R267" s="217" t="s">
        <v>23</v>
      </c>
      <c r="S267" s="217" t="s">
        <v>22</v>
      </c>
      <c r="T267" s="217" t="s">
        <v>84</v>
      </c>
      <c r="U267" s="217" t="s">
        <v>85</v>
      </c>
      <c r="V267" s="217" t="s">
        <v>91</v>
      </c>
      <c r="W267" s="217" t="s">
        <v>92</v>
      </c>
      <c r="BC267" s="217" t="s">
        <v>85</v>
      </c>
      <c r="BD267" s="217" t="s">
        <v>98</v>
      </c>
      <c r="BE267" s="217" t="s">
        <v>1678</v>
      </c>
      <c r="BF267" s="217" t="s">
        <v>817</v>
      </c>
      <c r="BG267" s="217" t="s">
        <v>1998</v>
      </c>
      <c r="BH267" s="217" t="s">
        <v>1660</v>
      </c>
      <c r="BI267" s="217" t="s">
        <v>1660</v>
      </c>
      <c r="BJ267" s="217" t="s">
        <v>1660</v>
      </c>
      <c r="BK267" s="217" t="s">
        <v>637</v>
      </c>
      <c r="BL267" s="217"/>
      <c r="BM267" s="217"/>
      <c r="BN267" s="217">
        <v>0</v>
      </c>
      <c r="BO267" s="217">
        <v>0</v>
      </c>
      <c r="BR267" s="217" t="s">
        <v>85</v>
      </c>
      <c r="BS267" s="217" t="s">
        <v>92</v>
      </c>
      <c r="BT267" s="217" t="s">
        <v>291</v>
      </c>
      <c r="BU267" s="217" t="s">
        <v>969</v>
      </c>
      <c r="BV267" s="217">
        <v>0</v>
      </c>
      <c r="BW267" s="217">
        <v>0</v>
      </c>
      <c r="BX267" s="217">
        <v>0</v>
      </c>
      <c r="BY267" s="217">
        <v>0</v>
      </c>
      <c r="BZ267" s="217">
        <v>0</v>
      </c>
      <c r="CA267" s="217">
        <v>0</v>
      </c>
      <c r="CB267" s="217">
        <v>0</v>
      </c>
      <c r="CC267" s="217">
        <v>0</v>
      </c>
      <c r="CD267" s="217">
        <v>0</v>
      </c>
      <c r="CE267" s="217">
        <v>0</v>
      </c>
      <c r="CF267" s="217">
        <v>0</v>
      </c>
      <c r="CG267" s="217">
        <v>0</v>
      </c>
      <c r="CH267" s="217">
        <v>0</v>
      </c>
      <c r="CI267" s="217">
        <v>0</v>
      </c>
      <c r="CJ267" s="217">
        <v>0</v>
      </c>
    </row>
    <row r="268" spans="1:88" x14ac:dyDescent="0.25">
      <c r="A268" s="217" t="s">
        <v>22</v>
      </c>
      <c r="B268" s="217" t="s">
        <v>23</v>
      </c>
      <c r="C268" s="217" t="s">
        <v>85</v>
      </c>
      <c r="D268" s="217" t="s">
        <v>84</v>
      </c>
      <c r="E268" s="217" t="s">
        <v>157</v>
      </c>
      <c r="F268" s="217" t="s">
        <v>156</v>
      </c>
      <c r="G268" s="217" t="s">
        <v>335</v>
      </c>
      <c r="H268" s="217" t="s">
        <v>1022</v>
      </c>
      <c r="I268" s="217" t="s">
        <v>29</v>
      </c>
      <c r="J268" s="217" t="s">
        <v>1856</v>
      </c>
      <c r="K268" s="217">
        <v>375</v>
      </c>
      <c r="L268" s="217">
        <v>1875</v>
      </c>
      <c r="M268" s="217" t="s">
        <v>31</v>
      </c>
      <c r="N268" s="217" t="s">
        <v>32</v>
      </c>
      <c r="O268" s="217" t="s">
        <v>68</v>
      </c>
      <c r="P268" s="217" t="s">
        <v>34</v>
      </c>
      <c r="Q268" s="217" t="s">
        <v>35</v>
      </c>
      <c r="R268" s="217" t="s">
        <v>23</v>
      </c>
      <c r="S268" s="217" t="s">
        <v>22</v>
      </c>
      <c r="T268" s="217" t="s">
        <v>84</v>
      </c>
      <c r="U268" s="217" t="s">
        <v>85</v>
      </c>
      <c r="V268" s="217" t="s">
        <v>91</v>
      </c>
      <c r="W268" s="217" t="s">
        <v>92</v>
      </c>
      <c r="BC268" s="217" t="s">
        <v>85</v>
      </c>
      <c r="BD268" s="217" t="s">
        <v>98</v>
      </c>
      <c r="BE268" s="217" t="s">
        <v>1503</v>
      </c>
      <c r="BF268" s="217" t="s">
        <v>1981</v>
      </c>
      <c r="BG268" s="217" t="s">
        <v>2000</v>
      </c>
      <c r="BH268" s="217" t="s">
        <v>1660</v>
      </c>
      <c r="BI268" s="217" t="s">
        <v>1658</v>
      </c>
      <c r="BJ268" s="217" t="s">
        <v>1660</v>
      </c>
      <c r="BK268" s="217" t="s">
        <v>637</v>
      </c>
      <c r="BL268" s="217"/>
      <c r="BM268" s="217"/>
      <c r="BN268" s="217">
        <v>0</v>
      </c>
      <c r="BO268" s="217">
        <v>0</v>
      </c>
      <c r="BR268" s="217" t="s">
        <v>85</v>
      </c>
      <c r="BS268" s="217" t="s">
        <v>92</v>
      </c>
      <c r="BT268" s="217" t="s">
        <v>1500</v>
      </c>
      <c r="BU268" s="217" t="s">
        <v>1501</v>
      </c>
      <c r="BV268" s="217">
        <v>0</v>
      </c>
      <c r="BW268" s="217">
        <v>0</v>
      </c>
      <c r="BX268" s="217">
        <v>39</v>
      </c>
      <c r="BY268" s="217">
        <v>315</v>
      </c>
      <c r="BZ268" s="217">
        <v>0</v>
      </c>
      <c r="CA268" s="217">
        <v>0</v>
      </c>
      <c r="CB268" s="217">
        <v>7</v>
      </c>
      <c r="CC268" s="217">
        <v>50</v>
      </c>
      <c r="CD268" s="217">
        <v>39</v>
      </c>
      <c r="CE268" s="217">
        <v>315</v>
      </c>
      <c r="CF268" s="217">
        <v>0</v>
      </c>
      <c r="CG268" s="217">
        <v>0</v>
      </c>
      <c r="CH268" s="217">
        <v>-50</v>
      </c>
      <c r="CI268" s="217">
        <v>0</v>
      </c>
      <c r="CJ268" s="217">
        <v>0</v>
      </c>
    </row>
    <row r="269" spans="1:88" x14ac:dyDescent="0.25">
      <c r="A269" s="217" t="s">
        <v>22</v>
      </c>
      <c r="B269" s="217" t="s">
        <v>23</v>
      </c>
      <c r="C269" s="217" t="s">
        <v>85</v>
      </c>
      <c r="D269" s="217" t="s">
        <v>84</v>
      </c>
      <c r="E269" s="217" t="s">
        <v>157</v>
      </c>
      <c r="F269" s="217" t="s">
        <v>156</v>
      </c>
      <c r="G269" s="217" t="s">
        <v>335</v>
      </c>
      <c r="H269" s="217" t="s">
        <v>1022</v>
      </c>
      <c r="I269" s="217" t="s">
        <v>29</v>
      </c>
      <c r="J269" s="217" t="s">
        <v>1857</v>
      </c>
      <c r="K269" s="217">
        <v>64</v>
      </c>
      <c r="L269" s="217">
        <v>320</v>
      </c>
      <c r="M269" s="217" t="s">
        <v>31</v>
      </c>
      <c r="N269" s="217" t="s">
        <v>32</v>
      </c>
      <c r="O269" s="217" t="s">
        <v>68</v>
      </c>
      <c r="P269" s="217" t="s">
        <v>34</v>
      </c>
      <c r="Q269" s="217" t="s">
        <v>35</v>
      </c>
      <c r="R269" s="217" t="s">
        <v>23</v>
      </c>
      <c r="S269" s="217" t="s">
        <v>22</v>
      </c>
      <c r="T269" s="217" t="s">
        <v>84</v>
      </c>
      <c r="U269" s="217" t="s">
        <v>85</v>
      </c>
      <c r="V269" s="217" t="s">
        <v>91</v>
      </c>
      <c r="W269" s="217" t="s">
        <v>92</v>
      </c>
      <c r="BC269" s="217" t="s">
        <v>85</v>
      </c>
      <c r="BD269" s="217" t="s">
        <v>98</v>
      </c>
      <c r="BE269" s="217" t="s">
        <v>1117</v>
      </c>
      <c r="BF269" s="217" t="s">
        <v>1980</v>
      </c>
      <c r="BG269" s="217" t="s">
        <v>1998</v>
      </c>
      <c r="BH269" s="217" t="s">
        <v>1658</v>
      </c>
      <c r="BI269" s="217" t="s">
        <v>1658</v>
      </c>
      <c r="BJ269" s="217" t="s">
        <v>1658</v>
      </c>
      <c r="BK269" s="217" t="s">
        <v>637</v>
      </c>
      <c r="BL269" s="217"/>
      <c r="BM269" s="217"/>
      <c r="BN269" s="217">
        <v>0</v>
      </c>
      <c r="BO269" s="217">
        <v>0</v>
      </c>
      <c r="BR269" s="217" t="s">
        <v>85</v>
      </c>
      <c r="BS269" s="217" t="s">
        <v>92</v>
      </c>
      <c r="BT269" s="217" t="s">
        <v>1816</v>
      </c>
      <c r="BU269" s="217" t="s">
        <v>1815</v>
      </c>
      <c r="BV269" s="217">
        <v>45</v>
      </c>
      <c r="BW269" s="217">
        <v>200</v>
      </c>
      <c r="BX269" s="217">
        <v>24</v>
      </c>
      <c r="BY269" s="217">
        <v>70</v>
      </c>
      <c r="BZ269" s="217">
        <v>0</v>
      </c>
      <c r="CA269" s="217">
        <v>0</v>
      </c>
      <c r="CB269" s="217">
        <v>45</v>
      </c>
      <c r="CC269" s="217">
        <v>200</v>
      </c>
      <c r="CD269" s="217">
        <v>24</v>
      </c>
      <c r="CE269" s="217">
        <v>70</v>
      </c>
      <c r="CF269" s="217">
        <v>0</v>
      </c>
      <c r="CG269" s="217">
        <v>0</v>
      </c>
      <c r="CH269" s="217">
        <v>0</v>
      </c>
      <c r="CI269" s="217">
        <v>0</v>
      </c>
      <c r="CJ269" s="217">
        <v>0</v>
      </c>
    </row>
    <row r="270" spans="1:88" x14ac:dyDescent="0.25">
      <c r="A270" s="217" t="s">
        <v>22</v>
      </c>
      <c r="B270" s="217" t="s">
        <v>23</v>
      </c>
      <c r="C270" s="217" t="s">
        <v>85</v>
      </c>
      <c r="D270" s="217" t="s">
        <v>84</v>
      </c>
      <c r="E270" s="217" t="s">
        <v>157</v>
      </c>
      <c r="F270" s="217" t="s">
        <v>156</v>
      </c>
      <c r="G270" s="217" t="s">
        <v>335</v>
      </c>
      <c r="H270" s="217" t="s">
        <v>1022</v>
      </c>
      <c r="I270" s="217" t="s">
        <v>29</v>
      </c>
      <c r="J270" s="217" t="s">
        <v>1858</v>
      </c>
      <c r="K270" s="217">
        <v>44</v>
      </c>
      <c r="L270" s="217">
        <v>205</v>
      </c>
      <c r="M270" s="217" t="s">
        <v>31</v>
      </c>
      <c r="N270" s="217" t="s">
        <v>32</v>
      </c>
      <c r="O270" s="217" t="s">
        <v>68</v>
      </c>
      <c r="P270" s="217" t="s">
        <v>34</v>
      </c>
      <c r="Q270" s="217" t="s">
        <v>35</v>
      </c>
      <c r="R270" s="217" t="s">
        <v>23</v>
      </c>
      <c r="S270" s="217" t="s">
        <v>22</v>
      </c>
      <c r="T270" s="217" t="s">
        <v>84</v>
      </c>
      <c r="U270" s="217" t="s">
        <v>85</v>
      </c>
      <c r="V270" s="217" t="s">
        <v>97</v>
      </c>
      <c r="W270" s="217" t="s">
        <v>98</v>
      </c>
      <c r="BC270" s="217" t="s">
        <v>85</v>
      </c>
      <c r="BD270" s="217" t="s">
        <v>98</v>
      </c>
      <c r="BE270" s="217" t="s">
        <v>1118</v>
      </c>
      <c r="BF270" s="217" t="s">
        <v>373</v>
      </c>
      <c r="BG270" s="217" t="s">
        <v>1998</v>
      </c>
      <c r="BH270" s="217" t="s">
        <v>1658</v>
      </c>
      <c r="BI270" s="217" t="s">
        <v>1658</v>
      </c>
      <c r="BJ270" s="217" t="s">
        <v>1660</v>
      </c>
      <c r="BK270" s="217" t="s">
        <v>637</v>
      </c>
      <c r="BL270" s="217"/>
      <c r="BM270" s="217"/>
      <c r="BN270" s="217">
        <v>0</v>
      </c>
      <c r="BO270" s="217">
        <v>0</v>
      </c>
      <c r="BR270" s="217" t="s">
        <v>85</v>
      </c>
      <c r="BS270" s="217" t="s">
        <v>92</v>
      </c>
      <c r="BT270" s="217" t="s">
        <v>1814</v>
      </c>
      <c r="BU270" s="217" t="s">
        <v>1813</v>
      </c>
      <c r="BV270" s="217">
        <v>12</v>
      </c>
      <c r="BW270" s="217">
        <v>90</v>
      </c>
      <c r="BX270" s="217">
        <v>27</v>
      </c>
      <c r="BY270" s="217">
        <v>107</v>
      </c>
      <c r="BZ270" s="217">
        <v>0</v>
      </c>
      <c r="CA270" s="217">
        <v>0</v>
      </c>
      <c r="CB270" s="217">
        <v>12</v>
      </c>
      <c r="CC270" s="217">
        <v>90</v>
      </c>
      <c r="CD270" s="217">
        <v>27</v>
      </c>
      <c r="CE270" s="217">
        <v>107</v>
      </c>
      <c r="CF270" s="217">
        <v>0</v>
      </c>
      <c r="CG270" s="217">
        <v>0</v>
      </c>
      <c r="CH270" s="217">
        <v>0</v>
      </c>
      <c r="CI270" s="217">
        <v>0</v>
      </c>
      <c r="CJ270" s="217">
        <v>0</v>
      </c>
    </row>
    <row r="271" spans="1:88" x14ac:dyDescent="0.25">
      <c r="A271" s="217" t="s">
        <v>22</v>
      </c>
      <c r="B271" s="217" t="s">
        <v>23</v>
      </c>
      <c r="C271" s="217" t="s">
        <v>85</v>
      </c>
      <c r="D271" s="217" t="s">
        <v>84</v>
      </c>
      <c r="E271" s="217" t="s">
        <v>157</v>
      </c>
      <c r="F271" s="217" t="s">
        <v>156</v>
      </c>
      <c r="G271" s="217" t="s">
        <v>336</v>
      </c>
      <c r="H271" s="217" t="s">
        <v>1023</v>
      </c>
      <c r="I271" s="217" t="s">
        <v>29</v>
      </c>
      <c r="J271" s="217" t="s">
        <v>1855</v>
      </c>
      <c r="K271" s="217">
        <v>100</v>
      </c>
      <c r="L271" s="217">
        <v>503</v>
      </c>
      <c r="M271" s="217" t="s">
        <v>31</v>
      </c>
      <c r="N271" s="217" t="s">
        <v>32</v>
      </c>
      <c r="O271" s="217" t="s">
        <v>68</v>
      </c>
      <c r="P271" s="217" t="s">
        <v>34</v>
      </c>
      <c r="Q271" s="217" t="s">
        <v>35</v>
      </c>
      <c r="R271" s="217" t="s">
        <v>23</v>
      </c>
      <c r="S271" s="217" t="s">
        <v>22</v>
      </c>
      <c r="T271" s="217" t="s">
        <v>84</v>
      </c>
      <c r="U271" s="217" t="s">
        <v>85</v>
      </c>
      <c r="V271" s="217" t="s">
        <v>91</v>
      </c>
      <c r="W271" s="217" t="s">
        <v>92</v>
      </c>
      <c r="BC271" s="217" t="s">
        <v>85</v>
      </c>
      <c r="BD271" s="217" t="s">
        <v>98</v>
      </c>
      <c r="BE271" s="217" t="s">
        <v>1504</v>
      </c>
      <c r="BF271" s="217" t="s">
        <v>803</v>
      </c>
      <c r="BG271" s="217" t="s">
        <v>2006</v>
      </c>
      <c r="BH271" s="217" t="s">
        <v>1660</v>
      </c>
      <c r="BI271" s="217" t="s">
        <v>1658</v>
      </c>
      <c r="BJ271" s="217" t="s">
        <v>1660</v>
      </c>
      <c r="BK271" s="217" t="s">
        <v>637</v>
      </c>
      <c r="BL271" s="217"/>
      <c r="BM271" s="217"/>
      <c r="BN271" s="217">
        <v>0</v>
      </c>
      <c r="BO271" s="217">
        <v>0</v>
      </c>
      <c r="BR271" s="217" t="s">
        <v>85</v>
      </c>
      <c r="BS271" s="217" t="s">
        <v>92</v>
      </c>
      <c r="BT271" s="217" t="s">
        <v>274</v>
      </c>
      <c r="BU271" s="217" t="s">
        <v>941</v>
      </c>
      <c r="BV271" s="217">
        <v>6</v>
      </c>
      <c r="BW271" s="217">
        <v>40</v>
      </c>
      <c r="BX271" s="217">
        <v>0</v>
      </c>
      <c r="BY271" s="217">
        <v>0</v>
      </c>
      <c r="BZ271" s="217">
        <v>11</v>
      </c>
      <c r="CA271" s="217">
        <v>97</v>
      </c>
      <c r="CB271" s="217">
        <v>6</v>
      </c>
      <c r="CC271" s="217">
        <v>40</v>
      </c>
      <c r="CD271" s="217">
        <v>0</v>
      </c>
      <c r="CE271" s="217">
        <v>0</v>
      </c>
      <c r="CF271" s="217">
        <v>0</v>
      </c>
      <c r="CG271" s="217">
        <v>0</v>
      </c>
      <c r="CH271" s="217">
        <v>0</v>
      </c>
      <c r="CI271" s="217">
        <v>0</v>
      </c>
      <c r="CJ271" s="217">
        <v>97</v>
      </c>
    </row>
    <row r="272" spans="1:88" x14ac:dyDescent="0.25">
      <c r="A272" s="217" t="s">
        <v>22</v>
      </c>
      <c r="B272" s="217" t="s">
        <v>23</v>
      </c>
      <c r="C272" s="217" t="s">
        <v>85</v>
      </c>
      <c r="D272" s="217" t="s">
        <v>84</v>
      </c>
      <c r="E272" s="217" t="s">
        <v>157</v>
      </c>
      <c r="F272" s="217" t="s">
        <v>156</v>
      </c>
      <c r="G272" s="217" t="s">
        <v>336</v>
      </c>
      <c r="H272" s="217" t="s">
        <v>1023</v>
      </c>
      <c r="I272" s="217" t="s">
        <v>29</v>
      </c>
      <c r="J272" s="217" t="s">
        <v>1856</v>
      </c>
      <c r="K272" s="217">
        <v>25</v>
      </c>
      <c r="L272" s="217">
        <v>132</v>
      </c>
      <c r="M272" s="217" t="s">
        <v>31</v>
      </c>
      <c r="N272" s="217" t="s">
        <v>32</v>
      </c>
      <c r="O272" s="217" t="s">
        <v>68</v>
      </c>
      <c r="P272" s="217" t="s">
        <v>34</v>
      </c>
      <c r="Q272" s="217" t="s">
        <v>35</v>
      </c>
      <c r="R272" s="217" t="s">
        <v>23</v>
      </c>
      <c r="S272" s="217" t="s">
        <v>22</v>
      </c>
      <c r="T272" s="217" t="s">
        <v>84</v>
      </c>
      <c r="U272" s="217" t="s">
        <v>85</v>
      </c>
      <c r="V272" s="217" t="s">
        <v>91</v>
      </c>
      <c r="W272" s="217" t="s">
        <v>92</v>
      </c>
      <c r="BC272" s="217" t="s">
        <v>85</v>
      </c>
      <c r="BD272" s="217" t="s">
        <v>98</v>
      </c>
      <c r="BE272" s="217" t="s">
        <v>1505</v>
      </c>
      <c r="BF272" s="217" t="s">
        <v>799</v>
      </c>
      <c r="BG272" s="217" t="s">
        <v>1998</v>
      </c>
      <c r="BH272" s="217" t="s">
        <v>1660</v>
      </c>
      <c r="BI272" s="217" t="s">
        <v>1658</v>
      </c>
      <c r="BJ272" s="217" t="s">
        <v>1660</v>
      </c>
      <c r="BK272" s="217" t="s">
        <v>637</v>
      </c>
      <c r="BL272" s="217"/>
      <c r="BM272" s="217"/>
      <c r="BN272" s="217">
        <v>0</v>
      </c>
      <c r="BO272" s="217">
        <v>0</v>
      </c>
      <c r="BR272" s="217" t="s">
        <v>85</v>
      </c>
      <c r="BS272" s="217" t="s">
        <v>92</v>
      </c>
      <c r="BT272" s="217" t="s">
        <v>290</v>
      </c>
      <c r="BU272" s="217" t="s">
        <v>968</v>
      </c>
      <c r="BV272" s="217">
        <v>8</v>
      </c>
      <c r="BW272" s="217">
        <v>37</v>
      </c>
      <c r="BX272" s="217">
        <v>57</v>
      </c>
      <c r="BY272" s="217">
        <v>237</v>
      </c>
      <c r="BZ272" s="217">
        <v>196</v>
      </c>
      <c r="CA272" s="217">
        <v>1420</v>
      </c>
      <c r="CB272" s="217">
        <v>8</v>
      </c>
      <c r="CC272" s="217">
        <v>37</v>
      </c>
      <c r="CD272" s="217">
        <v>57</v>
      </c>
      <c r="CE272" s="217">
        <v>237</v>
      </c>
      <c r="CF272" s="217">
        <v>27</v>
      </c>
      <c r="CG272" s="217">
        <v>200</v>
      </c>
      <c r="CH272" s="217">
        <v>0</v>
      </c>
      <c r="CI272" s="217">
        <v>0</v>
      </c>
      <c r="CJ272" s="217">
        <v>1220</v>
      </c>
    </row>
    <row r="273" spans="1:88" x14ac:dyDescent="0.25">
      <c r="A273" s="217" t="s">
        <v>22</v>
      </c>
      <c r="B273" s="217" t="s">
        <v>23</v>
      </c>
      <c r="C273" s="217" t="s">
        <v>85</v>
      </c>
      <c r="D273" s="217" t="s">
        <v>84</v>
      </c>
      <c r="E273" s="217" t="s">
        <v>157</v>
      </c>
      <c r="F273" s="217" t="s">
        <v>156</v>
      </c>
      <c r="G273" s="217" t="s">
        <v>336</v>
      </c>
      <c r="H273" s="217" t="s">
        <v>1023</v>
      </c>
      <c r="I273" s="217" t="s">
        <v>29</v>
      </c>
      <c r="J273" s="217" t="s">
        <v>1858</v>
      </c>
      <c r="K273" s="217">
        <v>1</v>
      </c>
      <c r="L273" s="217">
        <v>6</v>
      </c>
      <c r="M273" s="217" t="s">
        <v>31</v>
      </c>
      <c r="N273" s="217" t="s">
        <v>32</v>
      </c>
      <c r="O273" s="217" t="s">
        <v>68</v>
      </c>
      <c r="P273" s="217" t="s">
        <v>34</v>
      </c>
      <c r="Q273" s="217" t="s">
        <v>35</v>
      </c>
      <c r="R273" s="217" t="s">
        <v>23</v>
      </c>
      <c r="S273" s="217" t="s">
        <v>22</v>
      </c>
      <c r="T273" s="217" t="s">
        <v>84</v>
      </c>
      <c r="U273" s="217" t="s">
        <v>85</v>
      </c>
      <c r="V273" s="217" t="s">
        <v>97</v>
      </c>
      <c r="W273" s="217" t="s">
        <v>98</v>
      </c>
      <c r="BC273" s="217" t="s">
        <v>85</v>
      </c>
      <c r="BD273" s="217" t="s">
        <v>98</v>
      </c>
      <c r="BE273" s="217" t="s">
        <v>1120</v>
      </c>
      <c r="BF273" s="217" t="s">
        <v>1119</v>
      </c>
      <c r="BG273" s="217" t="s">
        <v>2000</v>
      </c>
      <c r="BH273" s="217" t="s">
        <v>1658</v>
      </c>
      <c r="BI273" s="217" t="s">
        <v>1660</v>
      </c>
      <c r="BJ273" s="217" t="s">
        <v>1660</v>
      </c>
      <c r="BK273" s="217" t="s">
        <v>637</v>
      </c>
      <c r="BL273" s="217"/>
      <c r="BM273" s="217"/>
      <c r="BN273" s="217">
        <v>0</v>
      </c>
      <c r="BO273" s="217">
        <v>0</v>
      </c>
      <c r="BR273" s="217" t="s">
        <v>85</v>
      </c>
      <c r="BS273" s="217" t="s">
        <v>92</v>
      </c>
      <c r="BT273" s="217" t="s">
        <v>952</v>
      </c>
      <c r="BU273" s="217" t="s">
        <v>953</v>
      </c>
      <c r="BV273" s="217">
        <v>15</v>
      </c>
      <c r="BW273" s="217">
        <v>35</v>
      </c>
      <c r="BX273" s="217">
        <v>25</v>
      </c>
      <c r="BY273" s="217">
        <v>80</v>
      </c>
      <c r="BZ273" s="217">
        <v>0</v>
      </c>
      <c r="CA273" s="217">
        <v>0</v>
      </c>
      <c r="CB273" s="217">
        <v>15</v>
      </c>
      <c r="CC273" s="217">
        <v>35</v>
      </c>
      <c r="CD273" s="217">
        <v>25</v>
      </c>
      <c r="CE273" s="217">
        <v>80</v>
      </c>
      <c r="CF273" s="217">
        <v>0</v>
      </c>
      <c r="CG273" s="217">
        <v>0</v>
      </c>
      <c r="CH273" s="217">
        <v>0</v>
      </c>
      <c r="CI273" s="217">
        <v>0</v>
      </c>
      <c r="CJ273" s="217">
        <v>0</v>
      </c>
    </row>
    <row r="274" spans="1:88" x14ac:dyDescent="0.25">
      <c r="A274" s="217" t="s">
        <v>22</v>
      </c>
      <c r="B274" s="217" t="s">
        <v>23</v>
      </c>
      <c r="C274" s="217" t="s">
        <v>85</v>
      </c>
      <c r="D274" s="217" t="s">
        <v>84</v>
      </c>
      <c r="E274" s="217" t="s">
        <v>157</v>
      </c>
      <c r="F274" s="217" t="s">
        <v>156</v>
      </c>
      <c r="G274" s="217" t="s">
        <v>337</v>
      </c>
      <c r="H274" s="217" t="s">
        <v>1024</v>
      </c>
      <c r="I274" s="217" t="s">
        <v>29</v>
      </c>
      <c r="J274" s="217" t="s">
        <v>1856</v>
      </c>
      <c r="K274" s="217">
        <v>70</v>
      </c>
      <c r="L274" s="217">
        <v>350</v>
      </c>
      <c r="M274" s="217" t="s">
        <v>31</v>
      </c>
      <c r="N274" s="217" t="s">
        <v>32</v>
      </c>
      <c r="O274" s="217" t="s">
        <v>68</v>
      </c>
      <c r="P274" s="217" t="s">
        <v>34</v>
      </c>
      <c r="Q274" s="217" t="s">
        <v>35</v>
      </c>
      <c r="R274" s="217" t="s">
        <v>23</v>
      </c>
      <c r="S274" s="217" t="s">
        <v>22</v>
      </c>
      <c r="T274" s="217" t="s">
        <v>84</v>
      </c>
      <c r="U274" s="217" t="s">
        <v>85</v>
      </c>
      <c r="V274" s="217" t="s">
        <v>97</v>
      </c>
      <c r="W274" s="217" t="s">
        <v>98</v>
      </c>
      <c r="BC274" s="217" t="s">
        <v>85</v>
      </c>
      <c r="BD274" s="217" t="s">
        <v>98</v>
      </c>
      <c r="BE274" s="217" t="s">
        <v>1677</v>
      </c>
      <c r="BF274" s="217" t="s">
        <v>694</v>
      </c>
      <c r="BG274" s="217" t="s">
        <v>2002</v>
      </c>
      <c r="BH274" s="217" t="s">
        <v>1660</v>
      </c>
      <c r="BI274" s="217" t="s">
        <v>1660</v>
      </c>
      <c r="BJ274" s="217" t="s">
        <v>1660</v>
      </c>
      <c r="BK274" s="217" t="s">
        <v>637</v>
      </c>
      <c r="BL274" s="217"/>
      <c r="BM274" s="217"/>
      <c r="BN274" s="217">
        <v>0</v>
      </c>
      <c r="BO274" s="217">
        <v>0</v>
      </c>
      <c r="BR274" s="217" t="s">
        <v>85</v>
      </c>
      <c r="BS274" s="217" t="s">
        <v>92</v>
      </c>
      <c r="BT274" s="217" t="s">
        <v>768</v>
      </c>
      <c r="BU274" s="217" t="s">
        <v>949</v>
      </c>
      <c r="BV274" s="217">
        <v>47</v>
      </c>
      <c r="BW274" s="217">
        <v>205</v>
      </c>
      <c r="BX274" s="217">
        <v>53</v>
      </c>
      <c r="BY274" s="217">
        <v>265</v>
      </c>
      <c r="BZ274" s="217">
        <v>0</v>
      </c>
      <c r="CA274" s="217">
        <v>0</v>
      </c>
      <c r="CB274" s="217">
        <v>47</v>
      </c>
      <c r="CC274" s="217">
        <v>205</v>
      </c>
      <c r="CD274" s="217">
        <v>53</v>
      </c>
      <c r="CE274" s="217">
        <v>265</v>
      </c>
      <c r="CF274" s="217">
        <v>0</v>
      </c>
      <c r="CG274" s="217">
        <v>0</v>
      </c>
      <c r="CH274" s="217">
        <v>0</v>
      </c>
      <c r="CI274" s="217">
        <v>0</v>
      </c>
      <c r="CJ274" s="217">
        <v>0</v>
      </c>
    </row>
    <row r="275" spans="1:88" x14ac:dyDescent="0.25">
      <c r="A275" s="217" t="s">
        <v>22</v>
      </c>
      <c r="B275" s="217" t="s">
        <v>23</v>
      </c>
      <c r="C275" s="217" t="s">
        <v>85</v>
      </c>
      <c r="D275" s="217" t="s">
        <v>84</v>
      </c>
      <c r="E275" s="217" t="s">
        <v>157</v>
      </c>
      <c r="F275" s="217" t="s">
        <v>156</v>
      </c>
      <c r="G275" s="217" t="s">
        <v>337</v>
      </c>
      <c r="H275" s="217" t="s">
        <v>1024</v>
      </c>
      <c r="I275" s="217" t="s">
        <v>29</v>
      </c>
      <c r="J275" s="217" t="s">
        <v>1858</v>
      </c>
      <c r="K275" s="217">
        <v>4</v>
      </c>
      <c r="L275" s="217">
        <v>34</v>
      </c>
      <c r="M275" s="217" t="s">
        <v>31</v>
      </c>
      <c r="N275" s="217" t="s">
        <v>32</v>
      </c>
      <c r="O275" s="217" t="s">
        <v>68</v>
      </c>
      <c r="P275" s="217" t="s">
        <v>34</v>
      </c>
      <c r="Q275" s="217" t="s">
        <v>35</v>
      </c>
      <c r="R275" s="217" t="s">
        <v>23</v>
      </c>
      <c r="S275" s="217" t="s">
        <v>22</v>
      </c>
      <c r="T275" s="217" t="s">
        <v>84</v>
      </c>
      <c r="U275" s="217" t="s">
        <v>85</v>
      </c>
      <c r="V275" s="217" t="s">
        <v>97</v>
      </c>
      <c r="W275" s="217" t="s">
        <v>98</v>
      </c>
      <c r="BC275" s="217" t="s">
        <v>85</v>
      </c>
      <c r="BD275" s="217" t="s">
        <v>98</v>
      </c>
      <c r="BE275" s="217" t="s">
        <v>1121</v>
      </c>
      <c r="BF275" s="217" t="s">
        <v>374</v>
      </c>
      <c r="BG275" s="217" t="s">
        <v>1998</v>
      </c>
      <c r="BH275" s="217" t="s">
        <v>1658</v>
      </c>
      <c r="BI275" s="217" t="s">
        <v>1660</v>
      </c>
      <c r="BJ275" s="217" t="s">
        <v>1658</v>
      </c>
      <c r="BK275" s="217" t="s">
        <v>637</v>
      </c>
      <c r="BL275" s="217"/>
      <c r="BM275" s="217"/>
      <c r="BN275" s="217">
        <v>0</v>
      </c>
      <c r="BO275" s="217">
        <v>0</v>
      </c>
      <c r="BR275" s="217" t="s">
        <v>85</v>
      </c>
      <c r="BS275" s="217" t="s">
        <v>92</v>
      </c>
      <c r="BT275" s="217" t="s">
        <v>288</v>
      </c>
      <c r="BU275" s="217" t="s">
        <v>964</v>
      </c>
      <c r="BV275" s="217">
        <v>0</v>
      </c>
      <c r="BW275" s="217">
        <v>0</v>
      </c>
      <c r="BX275" s="217">
        <v>0</v>
      </c>
      <c r="BY275" s="217">
        <v>0</v>
      </c>
      <c r="BZ275" s="217">
        <v>0</v>
      </c>
      <c r="CA275" s="217">
        <v>0</v>
      </c>
      <c r="CB275" s="217">
        <v>0</v>
      </c>
      <c r="CC275" s="217">
        <v>0</v>
      </c>
      <c r="CD275" s="217">
        <v>0</v>
      </c>
      <c r="CE275" s="217">
        <v>0</v>
      </c>
      <c r="CF275" s="217">
        <v>0</v>
      </c>
      <c r="CG275" s="217">
        <v>0</v>
      </c>
      <c r="CH275" s="217">
        <v>0</v>
      </c>
      <c r="CI275" s="217">
        <v>0</v>
      </c>
      <c r="CJ275" s="217">
        <v>0</v>
      </c>
    </row>
    <row r="276" spans="1:88" x14ac:dyDescent="0.25">
      <c r="A276" s="217" t="s">
        <v>22</v>
      </c>
      <c r="B276" s="217" t="s">
        <v>23</v>
      </c>
      <c r="C276" s="217" t="s">
        <v>85</v>
      </c>
      <c r="D276" s="217" t="s">
        <v>84</v>
      </c>
      <c r="E276" s="217" t="s">
        <v>157</v>
      </c>
      <c r="F276" s="217" t="s">
        <v>156</v>
      </c>
      <c r="G276" s="217" t="s">
        <v>338</v>
      </c>
      <c r="H276" s="217" t="s">
        <v>1025</v>
      </c>
      <c r="I276" s="217" t="s">
        <v>29</v>
      </c>
      <c r="J276" s="217" t="s">
        <v>1856</v>
      </c>
      <c r="K276" s="217">
        <v>38</v>
      </c>
      <c r="L276" s="217">
        <v>190</v>
      </c>
      <c r="M276" s="217" t="s">
        <v>31</v>
      </c>
      <c r="N276" s="217" t="s">
        <v>32</v>
      </c>
      <c r="O276" s="217" t="s">
        <v>68</v>
      </c>
      <c r="P276" s="217" t="s">
        <v>34</v>
      </c>
      <c r="Q276" s="217" t="s">
        <v>35</v>
      </c>
      <c r="R276" s="217" t="s">
        <v>23</v>
      </c>
      <c r="S276" s="217" t="s">
        <v>22</v>
      </c>
      <c r="T276" s="217" t="s">
        <v>84</v>
      </c>
      <c r="U276" s="217" t="s">
        <v>85</v>
      </c>
      <c r="V276" s="217" t="s">
        <v>150</v>
      </c>
      <c r="W276" s="217" t="s">
        <v>151</v>
      </c>
      <c r="BC276" s="217" t="s">
        <v>85</v>
      </c>
      <c r="BD276" s="217" t="s">
        <v>98</v>
      </c>
      <c r="BE276" s="217" t="s">
        <v>1122</v>
      </c>
      <c r="BF276" s="217" t="s">
        <v>375</v>
      </c>
      <c r="BG276" s="217" t="s">
        <v>1998</v>
      </c>
      <c r="BH276" s="217" t="s">
        <v>1658</v>
      </c>
      <c r="BI276" s="217" t="s">
        <v>1660</v>
      </c>
      <c r="BJ276" s="217" t="s">
        <v>1660</v>
      </c>
      <c r="BK276" s="217" t="s">
        <v>637</v>
      </c>
      <c r="BL276" s="217"/>
      <c r="BM276" s="217"/>
      <c r="BN276" s="217">
        <v>0</v>
      </c>
      <c r="BO276" s="217">
        <v>0</v>
      </c>
      <c r="BR276" s="217" t="s">
        <v>85</v>
      </c>
      <c r="BS276" s="217" t="s">
        <v>92</v>
      </c>
      <c r="BT276" s="217" t="s">
        <v>2012</v>
      </c>
      <c r="BU276" s="217" t="s">
        <v>2013</v>
      </c>
      <c r="BV276" s="217">
        <v>0</v>
      </c>
      <c r="BW276" s="217">
        <v>0</v>
      </c>
      <c r="BX276" s="217">
        <v>0</v>
      </c>
      <c r="BY276" s="217">
        <v>0</v>
      </c>
      <c r="BZ276" s="217">
        <v>0</v>
      </c>
      <c r="CA276" s="217">
        <v>0</v>
      </c>
      <c r="CB276" s="217">
        <v>0</v>
      </c>
      <c r="CC276" s="217">
        <v>0</v>
      </c>
      <c r="CD276" s="217">
        <v>0</v>
      </c>
      <c r="CE276" s="217">
        <v>0</v>
      </c>
      <c r="CF276" s="217">
        <v>0</v>
      </c>
      <c r="CG276" s="217">
        <v>0</v>
      </c>
      <c r="CH276" s="217">
        <v>0</v>
      </c>
      <c r="CI276" s="217">
        <v>0</v>
      </c>
      <c r="CJ276" s="217">
        <v>0</v>
      </c>
    </row>
    <row r="277" spans="1:88" x14ac:dyDescent="0.25">
      <c r="A277" s="217" t="s">
        <v>22</v>
      </c>
      <c r="B277" s="217" t="s">
        <v>23</v>
      </c>
      <c r="C277" s="217" t="s">
        <v>85</v>
      </c>
      <c r="D277" s="217" t="s">
        <v>84</v>
      </c>
      <c r="E277" s="217" t="s">
        <v>157</v>
      </c>
      <c r="F277" s="217" t="s">
        <v>156</v>
      </c>
      <c r="G277" s="217" t="s">
        <v>338</v>
      </c>
      <c r="H277" s="217" t="s">
        <v>1025</v>
      </c>
      <c r="I277" s="217" t="s">
        <v>29</v>
      </c>
      <c r="J277" s="217" t="s">
        <v>1857</v>
      </c>
      <c r="K277" s="217">
        <v>3</v>
      </c>
      <c r="L277" s="217">
        <v>15</v>
      </c>
      <c r="M277" s="217" t="s">
        <v>31</v>
      </c>
      <c r="N277" s="217" t="s">
        <v>32</v>
      </c>
      <c r="O277" s="217" t="s">
        <v>68</v>
      </c>
      <c r="P277" s="217" t="s">
        <v>34</v>
      </c>
      <c r="Q277" s="217" t="s">
        <v>35</v>
      </c>
      <c r="R277" s="217" t="s">
        <v>23</v>
      </c>
      <c r="S277" s="217" t="s">
        <v>22</v>
      </c>
      <c r="T277" s="217" t="s">
        <v>84</v>
      </c>
      <c r="U277" s="217" t="s">
        <v>85</v>
      </c>
      <c r="V277" s="217" t="s">
        <v>150</v>
      </c>
      <c r="W277" s="217" t="s">
        <v>151</v>
      </c>
      <c r="BC277" s="217" t="s">
        <v>85</v>
      </c>
      <c r="BD277" s="217" t="s">
        <v>98</v>
      </c>
      <c r="BE277" s="217" t="s">
        <v>1123</v>
      </c>
      <c r="BF277" s="217" t="s">
        <v>376</v>
      </c>
      <c r="BG277" s="217" t="s">
        <v>1998</v>
      </c>
      <c r="BH277" s="217" t="s">
        <v>1658</v>
      </c>
      <c r="BI277" s="217" t="s">
        <v>1660</v>
      </c>
      <c r="BJ277" s="217" t="s">
        <v>1660</v>
      </c>
      <c r="BK277" s="217" t="s">
        <v>637</v>
      </c>
      <c r="BL277" s="217"/>
      <c r="BM277" s="217"/>
      <c r="BN277" s="217">
        <v>0</v>
      </c>
      <c r="BO277" s="217">
        <v>0</v>
      </c>
      <c r="BR277" s="217" t="s">
        <v>85</v>
      </c>
      <c r="BS277" s="217" t="s">
        <v>98</v>
      </c>
      <c r="BT277" s="217" t="s">
        <v>404</v>
      </c>
      <c r="BU277" s="217" t="s">
        <v>1191</v>
      </c>
      <c r="BV277" s="217">
        <v>1</v>
      </c>
      <c r="BW277" s="217">
        <v>7</v>
      </c>
      <c r="BX277" s="217">
        <v>9</v>
      </c>
      <c r="BY277" s="217">
        <v>75</v>
      </c>
      <c r="BZ277" s="217">
        <v>0</v>
      </c>
      <c r="CA277" s="217">
        <v>0</v>
      </c>
      <c r="CB277" s="217">
        <v>1</v>
      </c>
      <c r="CC277" s="217">
        <v>7</v>
      </c>
      <c r="CD277" s="217">
        <v>9</v>
      </c>
      <c r="CE277" s="217">
        <v>75</v>
      </c>
      <c r="CF277" s="217">
        <v>0</v>
      </c>
      <c r="CG277" s="217">
        <v>0</v>
      </c>
      <c r="CH277" s="217">
        <v>0</v>
      </c>
      <c r="CI277" s="217">
        <v>0</v>
      </c>
      <c r="CJ277" s="217">
        <v>0</v>
      </c>
    </row>
    <row r="278" spans="1:88" x14ac:dyDescent="0.25">
      <c r="A278" s="217" t="s">
        <v>22</v>
      </c>
      <c r="B278" s="217" t="s">
        <v>23</v>
      </c>
      <c r="C278" s="217" t="s">
        <v>85</v>
      </c>
      <c r="D278" s="217" t="s">
        <v>84</v>
      </c>
      <c r="E278" s="217" t="s">
        <v>157</v>
      </c>
      <c r="F278" s="217" t="s">
        <v>156</v>
      </c>
      <c r="G278" s="217" t="s">
        <v>338</v>
      </c>
      <c r="H278" s="217" t="s">
        <v>1025</v>
      </c>
      <c r="I278" s="217" t="s">
        <v>29</v>
      </c>
      <c r="J278" s="217" t="s">
        <v>1858</v>
      </c>
      <c r="K278" s="217">
        <v>26</v>
      </c>
      <c r="L278" s="217">
        <v>215</v>
      </c>
      <c r="M278" s="217" t="s">
        <v>31</v>
      </c>
      <c r="N278" s="217" t="s">
        <v>32</v>
      </c>
      <c r="O278" s="217" t="s">
        <v>68</v>
      </c>
      <c r="P278" s="217" t="s">
        <v>34</v>
      </c>
      <c r="Q278" s="217" t="s">
        <v>35</v>
      </c>
      <c r="R278" s="217" t="s">
        <v>23</v>
      </c>
      <c r="S278" s="217" t="s">
        <v>22</v>
      </c>
      <c r="T278" s="217" t="s">
        <v>84</v>
      </c>
      <c r="U278" s="217" t="s">
        <v>85</v>
      </c>
      <c r="V278" s="217" t="s">
        <v>97</v>
      </c>
      <c r="W278" s="217" t="s">
        <v>98</v>
      </c>
      <c r="BC278" s="217" t="s">
        <v>85</v>
      </c>
      <c r="BD278" s="217" t="s">
        <v>98</v>
      </c>
      <c r="BE278" s="217" t="s">
        <v>1124</v>
      </c>
      <c r="BF278" s="217" t="s">
        <v>377</v>
      </c>
      <c r="BG278" s="217" t="s">
        <v>1998</v>
      </c>
      <c r="BH278" s="217" t="s">
        <v>1658</v>
      </c>
      <c r="BI278" s="217" t="s">
        <v>1660</v>
      </c>
      <c r="BJ278" s="217" t="s">
        <v>1660</v>
      </c>
      <c r="BK278" s="217" t="s">
        <v>637</v>
      </c>
      <c r="BL278" s="217"/>
      <c r="BM278" s="217"/>
      <c r="BN278" s="217">
        <v>0</v>
      </c>
      <c r="BO278" s="217">
        <v>0</v>
      </c>
      <c r="BR278" s="217" t="s">
        <v>85</v>
      </c>
      <c r="BS278" s="217" t="s">
        <v>98</v>
      </c>
      <c r="BT278" s="217" t="s">
        <v>395</v>
      </c>
      <c r="BU278" s="217" t="s">
        <v>1174</v>
      </c>
      <c r="BV278" s="217">
        <v>5</v>
      </c>
      <c r="BW278" s="217">
        <v>45</v>
      </c>
      <c r="BX278" s="217">
        <v>20</v>
      </c>
      <c r="BY278" s="217">
        <v>75</v>
      </c>
      <c r="BZ278" s="217">
        <v>0</v>
      </c>
      <c r="CA278" s="217">
        <v>0</v>
      </c>
      <c r="CB278" s="217">
        <v>21</v>
      </c>
      <c r="CC278" s="217">
        <v>98</v>
      </c>
      <c r="CD278" s="217">
        <v>20</v>
      </c>
      <c r="CE278" s="217">
        <v>75</v>
      </c>
      <c r="CF278" s="217">
        <v>0</v>
      </c>
      <c r="CG278" s="217">
        <v>0</v>
      </c>
      <c r="CH278" s="217">
        <v>-53</v>
      </c>
      <c r="CI278" s="217">
        <v>0</v>
      </c>
      <c r="CJ278" s="217">
        <v>0</v>
      </c>
    </row>
    <row r="279" spans="1:88" x14ac:dyDescent="0.25">
      <c r="A279" s="217" t="s">
        <v>22</v>
      </c>
      <c r="B279" s="217" t="s">
        <v>23</v>
      </c>
      <c r="C279" s="217" t="s">
        <v>85</v>
      </c>
      <c r="D279" s="217" t="s">
        <v>84</v>
      </c>
      <c r="E279" s="217" t="s">
        <v>157</v>
      </c>
      <c r="F279" s="217" t="s">
        <v>156</v>
      </c>
      <c r="G279" s="217" t="s">
        <v>339</v>
      </c>
      <c r="H279" s="217" t="s">
        <v>1026</v>
      </c>
      <c r="I279" s="217" t="s">
        <v>29</v>
      </c>
      <c r="J279" s="217" t="s">
        <v>1856</v>
      </c>
      <c r="K279" s="217">
        <v>13</v>
      </c>
      <c r="L279" s="217">
        <v>39</v>
      </c>
      <c r="M279" s="217" t="s">
        <v>31</v>
      </c>
      <c r="N279" s="217" t="s">
        <v>32</v>
      </c>
      <c r="O279" s="217" t="s">
        <v>68</v>
      </c>
      <c r="P279" s="217" t="s">
        <v>34</v>
      </c>
      <c r="Q279" s="217" t="s">
        <v>35</v>
      </c>
      <c r="R279" s="217" t="s">
        <v>23</v>
      </c>
      <c r="S279" s="217" t="s">
        <v>22</v>
      </c>
      <c r="T279" s="217" t="s">
        <v>84</v>
      </c>
      <c r="U279" s="217" t="s">
        <v>85</v>
      </c>
      <c r="V279" s="217" t="s">
        <v>97</v>
      </c>
      <c r="W279" s="217" t="s">
        <v>98</v>
      </c>
      <c r="BC279" s="217" t="s">
        <v>85</v>
      </c>
      <c r="BD279" s="217" t="s">
        <v>98</v>
      </c>
      <c r="BE279" s="217" t="s">
        <v>1126</v>
      </c>
      <c r="BF279" s="217" t="s">
        <v>1125</v>
      </c>
      <c r="BG279" s="217" t="s">
        <v>2000</v>
      </c>
      <c r="BH279" s="217" t="s">
        <v>1658</v>
      </c>
      <c r="BI279" s="217" t="s">
        <v>1660</v>
      </c>
      <c r="BJ279" s="217" t="s">
        <v>1660</v>
      </c>
      <c r="BK279" s="217" t="s">
        <v>637</v>
      </c>
      <c r="BL279" s="217"/>
      <c r="BM279" s="217"/>
      <c r="BN279" s="217">
        <v>0</v>
      </c>
      <c r="BO279" s="217">
        <v>0</v>
      </c>
      <c r="BR279" s="217" t="s">
        <v>85</v>
      </c>
      <c r="BS279" s="217" t="s">
        <v>98</v>
      </c>
      <c r="BT279" s="217" t="s">
        <v>827</v>
      </c>
      <c r="BU279" s="217" t="s">
        <v>1513</v>
      </c>
      <c r="BV279" s="217">
        <v>0</v>
      </c>
      <c r="BW279" s="217">
        <v>0</v>
      </c>
      <c r="BX279" s="217">
        <v>0</v>
      </c>
      <c r="BY279" s="217">
        <v>0</v>
      </c>
      <c r="BZ279" s="217">
        <v>0</v>
      </c>
      <c r="CA279" s="217">
        <v>0</v>
      </c>
      <c r="CB279" s="217">
        <v>0</v>
      </c>
      <c r="CC279" s="217">
        <v>0</v>
      </c>
      <c r="CD279" s="217">
        <v>0</v>
      </c>
      <c r="CE279" s="217">
        <v>0</v>
      </c>
      <c r="CF279" s="217">
        <v>0</v>
      </c>
      <c r="CG279" s="217">
        <v>0</v>
      </c>
      <c r="CH279" s="217">
        <v>0</v>
      </c>
      <c r="CI279" s="217">
        <v>0</v>
      </c>
      <c r="CJ279" s="217">
        <v>0</v>
      </c>
    </row>
    <row r="280" spans="1:88" x14ac:dyDescent="0.25">
      <c r="A280" s="217" t="s">
        <v>22</v>
      </c>
      <c r="B280" s="217" t="s">
        <v>23</v>
      </c>
      <c r="C280" s="217" t="s">
        <v>85</v>
      </c>
      <c r="D280" s="217" t="s">
        <v>84</v>
      </c>
      <c r="E280" s="217" t="s">
        <v>157</v>
      </c>
      <c r="F280" s="217" t="s">
        <v>156</v>
      </c>
      <c r="G280" s="217" t="s">
        <v>339</v>
      </c>
      <c r="H280" s="217" t="s">
        <v>1026</v>
      </c>
      <c r="I280" s="217" t="s">
        <v>29</v>
      </c>
      <c r="J280" s="217" t="s">
        <v>1858</v>
      </c>
      <c r="K280" s="217">
        <v>3</v>
      </c>
      <c r="L280" s="217">
        <v>25</v>
      </c>
      <c r="M280" s="217" t="s">
        <v>99</v>
      </c>
      <c r="N280" s="217" t="s">
        <v>32</v>
      </c>
      <c r="O280" s="217" t="s">
        <v>68</v>
      </c>
      <c r="P280" s="217" t="s">
        <v>34</v>
      </c>
      <c r="Q280" s="217" t="s">
        <v>35</v>
      </c>
      <c r="R280" s="217" t="s">
        <v>23</v>
      </c>
      <c r="S280" s="217" t="s">
        <v>22</v>
      </c>
      <c r="T280" s="217" t="s">
        <v>84</v>
      </c>
      <c r="U280" s="217" t="s">
        <v>85</v>
      </c>
      <c r="V280" s="217" t="s">
        <v>150</v>
      </c>
      <c r="W280" s="217" t="s">
        <v>151</v>
      </c>
      <c r="BC280" s="217" t="s">
        <v>85</v>
      </c>
      <c r="BD280" s="217" t="s">
        <v>98</v>
      </c>
      <c r="BE280" s="217" t="s">
        <v>1128</v>
      </c>
      <c r="BF280" s="217" t="s">
        <v>1127</v>
      </c>
      <c r="BG280" s="217" t="s">
        <v>1998</v>
      </c>
      <c r="BH280" s="217" t="s">
        <v>1658</v>
      </c>
      <c r="BI280" s="217" t="s">
        <v>1660</v>
      </c>
      <c r="BJ280" s="217" t="s">
        <v>1660</v>
      </c>
      <c r="BK280" s="217" t="s">
        <v>637</v>
      </c>
      <c r="BL280" s="217"/>
      <c r="BM280" s="217"/>
      <c r="BN280" s="217">
        <v>0</v>
      </c>
      <c r="BO280" s="217">
        <v>0</v>
      </c>
      <c r="BR280" s="217" t="s">
        <v>85</v>
      </c>
      <c r="BS280" s="217" t="s">
        <v>98</v>
      </c>
      <c r="BT280" s="217" t="s">
        <v>153</v>
      </c>
      <c r="BU280" s="217" t="s">
        <v>1117</v>
      </c>
      <c r="BV280" s="217">
        <v>978</v>
      </c>
      <c r="BW280" s="217">
        <v>8314</v>
      </c>
      <c r="BX280" s="217">
        <v>52</v>
      </c>
      <c r="BY280" s="217">
        <v>442</v>
      </c>
      <c r="BZ280" s="217">
        <v>749</v>
      </c>
      <c r="CA280" s="217">
        <v>6367</v>
      </c>
      <c r="CB280" s="217">
        <v>978</v>
      </c>
      <c r="CC280" s="217">
        <v>8314</v>
      </c>
      <c r="CD280" s="217">
        <v>52</v>
      </c>
      <c r="CE280" s="217">
        <v>442</v>
      </c>
      <c r="CF280" s="217">
        <v>749</v>
      </c>
      <c r="CG280" s="217">
        <v>6367</v>
      </c>
      <c r="CH280" s="217">
        <v>0</v>
      </c>
      <c r="CI280" s="217">
        <v>0</v>
      </c>
      <c r="CJ280" s="217">
        <v>0</v>
      </c>
    </row>
    <row r="281" spans="1:88" x14ac:dyDescent="0.25">
      <c r="A281" s="217" t="s">
        <v>22</v>
      </c>
      <c r="B281" s="217" t="s">
        <v>23</v>
      </c>
      <c r="C281" s="217" t="s">
        <v>85</v>
      </c>
      <c r="D281" s="217" t="s">
        <v>84</v>
      </c>
      <c r="E281" s="217" t="s">
        <v>157</v>
      </c>
      <c r="F281" s="217" t="s">
        <v>156</v>
      </c>
      <c r="G281" s="217" t="s">
        <v>340</v>
      </c>
      <c r="H281" s="217" t="s">
        <v>1027</v>
      </c>
      <c r="I281" s="217" t="s">
        <v>29</v>
      </c>
      <c r="J281" s="217" t="s">
        <v>1856</v>
      </c>
      <c r="K281" s="217">
        <v>9</v>
      </c>
      <c r="L281" s="217">
        <v>27</v>
      </c>
      <c r="M281" s="217" t="s">
        <v>31</v>
      </c>
      <c r="N281" s="217" t="s">
        <v>32</v>
      </c>
      <c r="O281" s="217" t="s">
        <v>68</v>
      </c>
      <c r="P281" s="217" t="s">
        <v>34</v>
      </c>
      <c r="Q281" s="217" t="s">
        <v>35</v>
      </c>
      <c r="R281" s="217" t="s">
        <v>23</v>
      </c>
      <c r="S281" s="217" t="s">
        <v>22</v>
      </c>
      <c r="T281" s="217" t="s">
        <v>84</v>
      </c>
      <c r="U281" s="217" t="s">
        <v>85</v>
      </c>
      <c r="V281" s="217" t="s">
        <v>109</v>
      </c>
      <c r="W281" s="217" t="s">
        <v>110</v>
      </c>
      <c r="BC281" s="217" t="s">
        <v>85</v>
      </c>
      <c r="BD281" s="217" t="s">
        <v>98</v>
      </c>
      <c r="BE281" s="217" t="s">
        <v>1130</v>
      </c>
      <c r="BF281" s="217" t="s">
        <v>1129</v>
      </c>
      <c r="BG281" s="217" t="s">
        <v>1998</v>
      </c>
      <c r="BH281" s="217" t="s">
        <v>1658</v>
      </c>
      <c r="BI281" s="217" t="s">
        <v>1660</v>
      </c>
      <c r="BJ281" s="217" t="s">
        <v>1660</v>
      </c>
      <c r="BK281" s="217" t="s">
        <v>637</v>
      </c>
      <c r="BL281" s="217"/>
      <c r="BM281" s="217"/>
      <c r="BN281" s="217">
        <v>0</v>
      </c>
      <c r="BO281" s="217">
        <v>0</v>
      </c>
      <c r="BR281" s="217" t="s">
        <v>85</v>
      </c>
      <c r="BS281" s="217" t="s">
        <v>98</v>
      </c>
      <c r="BT281" s="217" t="s">
        <v>798</v>
      </c>
      <c r="BU281" s="217" t="s">
        <v>1511</v>
      </c>
      <c r="BV281" s="217">
        <v>2</v>
      </c>
      <c r="BW281" s="217">
        <v>17</v>
      </c>
      <c r="BX281" s="217">
        <v>4</v>
      </c>
      <c r="BY281" s="217">
        <v>34</v>
      </c>
      <c r="BZ281" s="217">
        <v>0</v>
      </c>
      <c r="CA281" s="217">
        <v>0</v>
      </c>
      <c r="CB281" s="217">
        <v>2</v>
      </c>
      <c r="CC281" s="217">
        <v>17</v>
      </c>
      <c r="CD281" s="217">
        <v>4</v>
      </c>
      <c r="CE281" s="217">
        <v>34</v>
      </c>
      <c r="CF281" s="217">
        <v>0</v>
      </c>
      <c r="CG281" s="217">
        <v>0</v>
      </c>
      <c r="CH281" s="217">
        <v>0</v>
      </c>
      <c r="CI281" s="217">
        <v>0</v>
      </c>
      <c r="CJ281" s="217">
        <v>0</v>
      </c>
    </row>
    <row r="282" spans="1:88" x14ac:dyDescent="0.25">
      <c r="A282" s="217" t="s">
        <v>22</v>
      </c>
      <c r="B282" s="217" t="s">
        <v>23</v>
      </c>
      <c r="C282" s="217" t="s">
        <v>85</v>
      </c>
      <c r="D282" s="217" t="s">
        <v>84</v>
      </c>
      <c r="E282" s="217" t="s">
        <v>157</v>
      </c>
      <c r="F282" s="217" t="s">
        <v>156</v>
      </c>
      <c r="G282" s="217" t="s">
        <v>340</v>
      </c>
      <c r="H282" s="217" t="s">
        <v>1027</v>
      </c>
      <c r="I282" s="217" t="s">
        <v>29</v>
      </c>
      <c r="J282" s="217" t="s">
        <v>1858</v>
      </c>
      <c r="K282" s="217">
        <v>3</v>
      </c>
      <c r="L282" s="217">
        <v>15</v>
      </c>
      <c r="M282" s="217" t="s">
        <v>99</v>
      </c>
      <c r="N282" s="217" t="s">
        <v>32</v>
      </c>
      <c r="O282" s="217" t="s">
        <v>68</v>
      </c>
      <c r="P282" s="217" t="s">
        <v>34</v>
      </c>
      <c r="Q282" s="217" t="s">
        <v>35</v>
      </c>
      <c r="R282" s="217" t="s">
        <v>23</v>
      </c>
      <c r="S282" s="217" t="s">
        <v>22</v>
      </c>
      <c r="T282" s="217" t="s">
        <v>84</v>
      </c>
      <c r="U282" s="217" t="s">
        <v>85</v>
      </c>
      <c r="V282" s="217" t="s">
        <v>150</v>
      </c>
      <c r="W282" s="217" t="s">
        <v>151</v>
      </c>
      <c r="BC282" s="217" t="s">
        <v>85</v>
      </c>
      <c r="BD282" s="217" t="s">
        <v>98</v>
      </c>
      <c r="BE282" s="217" t="s">
        <v>1506</v>
      </c>
      <c r="BF282" s="217" t="s">
        <v>810</v>
      </c>
      <c r="BG282" s="217" t="s">
        <v>1998</v>
      </c>
      <c r="BH282" s="217" t="s">
        <v>1660</v>
      </c>
      <c r="BI282" s="217" t="s">
        <v>1658</v>
      </c>
      <c r="BJ282" s="217" t="s">
        <v>1660</v>
      </c>
      <c r="BK282" s="217" t="s">
        <v>637</v>
      </c>
      <c r="BL282" s="217"/>
      <c r="BM282" s="217"/>
      <c r="BN282" s="217">
        <v>0</v>
      </c>
      <c r="BO282" s="217">
        <v>0</v>
      </c>
      <c r="BR282" s="217" t="s">
        <v>85</v>
      </c>
      <c r="BS282" s="217" t="s">
        <v>98</v>
      </c>
      <c r="BT282" s="217" t="s">
        <v>427</v>
      </c>
      <c r="BU282" s="217" t="s">
        <v>1228</v>
      </c>
      <c r="BV282" s="217">
        <v>27</v>
      </c>
      <c r="BW282" s="217">
        <v>193</v>
      </c>
      <c r="BX282" s="217">
        <v>0</v>
      </c>
      <c r="BY282" s="217">
        <v>0</v>
      </c>
      <c r="BZ282" s="217">
        <v>0</v>
      </c>
      <c r="CA282" s="217">
        <v>0</v>
      </c>
      <c r="CB282" s="217">
        <v>27</v>
      </c>
      <c r="CC282" s="217">
        <v>193</v>
      </c>
      <c r="CD282" s="217">
        <v>0</v>
      </c>
      <c r="CE282" s="217">
        <v>0</v>
      </c>
      <c r="CF282" s="217">
        <v>0</v>
      </c>
      <c r="CG282" s="217">
        <v>0</v>
      </c>
      <c r="CH282" s="217">
        <v>0</v>
      </c>
      <c r="CI282" s="217">
        <v>0</v>
      </c>
      <c r="CJ282" s="217">
        <v>0</v>
      </c>
    </row>
    <row r="283" spans="1:88" x14ac:dyDescent="0.25">
      <c r="A283" s="217" t="s">
        <v>22</v>
      </c>
      <c r="B283" s="217" t="s">
        <v>23</v>
      </c>
      <c r="C283" s="217" t="s">
        <v>85</v>
      </c>
      <c r="D283" s="217" t="s">
        <v>84</v>
      </c>
      <c r="E283" s="217" t="s">
        <v>157</v>
      </c>
      <c r="F283" s="217" t="s">
        <v>156</v>
      </c>
      <c r="G283" s="217" t="s">
        <v>341</v>
      </c>
      <c r="H283" s="217" t="s">
        <v>1028</v>
      </c>
      <c r="I283" s="217" t="s">
        <v>29</v>
      </c>
      <c r="J283" s="217" t="s">
        <v>1856</v>
      </c>
      <c r="K283" s="217">
        <v>260</v>
      </c>
      <c r="L283" s="217">
        <v>1300</v>
      </c>
      <c r="M283" s="217" t="s">
        <v>31</v>
      </c>
      <c r="N283" s="217" t="s">
        <v>32</v>
      </c>
      <c r="O283" s="217" t="s">
        <v>68</v>
      </c>
      <c r="P283" s="217" t="s">
        <v>34</v>
      </c>
      <c r="Q283" s="217" t="s">
        <v>35</v>
      </c>
      <c r="R283" s="217" t="s">
        <v>23</v>
      </c>
      <c r="S283" s="217" t="s">
        <v>22</v>
      </c>
      <c r="T283" s="217" t="s">
        <v>84</v>
      </c>
      <c r="U283" s="217" t="s">
        <v>85</v>
      </c>
      <c r="V283" s="217" t="s">
        <v>97</v>
      </c>
      <c r="W283" s="217" t="s">
        <v>98</v>
      </c>
      <c r="BC283" s="217" t="s">
        <v>85</v>
      </c>
      <c r="BD283" s="217" t="s">
        <v>98</v>
      </c>
      <c r="BE283" s="217" t="s">
        <v>1132</v>
      </c>
      <c r="BF283" s="217" t="s">
        <v>1131</v>
      </c>
      <c r="BG283" s="217" t="s">
        <v>1998</v>
      </c>
      <c r="BH283" s="217" t="s">
        <v>1658</v>
      </c>
      <c r="BI283" s="217" t="s">
        <v>1660</v>
      </c>
      <c r="BJ283" s="217" t="s">
        <v>1660</v>
      </c>
      <c r="BK283" s="217" t="s">
        <v>637</v>
      </c>
      <c r="BL283" s="217"/>
      <c r="BM283" s="217"/>
      <c r="BN283" s="217">
        <v>0</v>
      </c>
      <c r="BO283" s="217">
        <v>0</v>
      </c>
      <c r="BR283" s="217" t="s">
        <v>85</v>
      </c>
      <c r="BS283" s="217" t="s">
        <v>98</v>
      </c>
      <c r="BT283" s="217" t="s">
        <v>405</v>
      </c>
      <c r="BU283" s="217" t="s">
        <v>1684</v>
      </c>
      <c r="BV283" s="217">
        <v>13</v>
      </c>
      <c r="BW283" s="217">
        <v>72</v>
      </c>
      <c r="BX283" s="217">
        <v>0</v>
      </c>
      <c r="BY283" s="217">
        <v>0</v>
      </c>
      <c r="BZ283" s="217">
        <v>0</v>
      </c>
      <c r="CA283" s="217">
        <v>0</v>
      </c>
      <c r="CB283" s="217">
        <v>13</v>
      </c>
      <c r="CC283" s="217">
        <v>72</v>
      </c>
      <c r="CD283" s="217">
        <v>0</v>
      </c>
      <c r="CE283" s="217">
        <v>0</v>
      </c>
      <c r="CF283" s="217">
        <v>0</v>
      </c>
      <c r="CG283" s="217">
        <v>0</v>
      </c>
      <c r="CH283" s="217">
        <v>0</v>
      </c>
      <c r="CI283" s="217">
        <v>0</v>
      </c>
      <c r="CJ283" s="217">
        <v>0</v>
      </c>
    </row>
    <row r="284" spans="1:88" x14ac:dyDescent="0.25">
      <c r="A284" s="217" t="s">
        <v>22</v>
      </c>
      <c r="B284" s="217" t="s">
        <v>23</v>
      </c>
      <c r="C284" s="217" t="s">
        <v>85</v>
      </c>
      <c r="D284" s="217" t="s">
        <v>84</v>
      </c>
      <c r="E284" s="217" t="s">
        <v>157</v>
      </c>
      <c r="F284" s="217" t="s">
        <v>156</v>
      </c>
      <c r="G284" s="217" t="s">
        <v>341</v>
      </c>
      <c r="H284" s="217" t="s">
        <v>1028</v>
      </c>
      <c r="I284" s="217" t="s">
        <v>29</v>
      </c>
      <c r="J284" s="217" t="s">
        <v>1857</v>
      </c>
      <c r="K284" s="217">
        <v>80</v>
      </c>
      <c r="L284" s="217">
        <v>400</v>
      </c>
      <c r="M284" s="217" t="s">
        <v>31</v>
      </c>
      <c r="N284" s="217" t="s">
        <v>32</v>
      </c>
      <c r="O284" s="217" t="s">
        <v>68</v>
      </c>
      <c r="P284" s="217" t="s">
        <v>34</v>
      </c>
      <c r="Q284" s="217" t="s">
        <v>35</v>
      </c>
      <c r="R284" s="217" t="s">
        <v>23</v>
      </c>
      <c r="S284" s="217" t="s">
        <v>22</v>
      </c>
      <c r="T284" s="217" t="s">
        <v>84</v>
      </c>
      <c r="U284" s="217" t="s">
        <v>85</v>
      </c>
      <c r="V284" s="217" t="s">
        <v>97</v>
      </c>
      <c r="W284" s="217" t="s">
        <v>98</v>
      </c>
      <c r="BC284" s="217" t="s">
        <v>85</v>
      </c>
      <c r="BD284" s="217" t="s">
        <v>98</v>
      </c>
      <c r="BE284" s="217" t="s">
        <v>1133</v>
      </c>
      <c r="BF284" s="217" t="s">
        <v>378</v>
      </c>
      <c r="BG284" s="217" t="s">
        <v>1998</v>
      </c>
      <c r="BH284" s="217" t="s">
        <v>1658</v>
      </c>
      <c r="BI284" s="217" t="s">
        <v>1658</v>
      </c>
      <c r="BJ284" s="217" t="s">
        <v>1660</v>
      </c>
      <c r="BK284" s="217" t="s">
        <v>637</v>
      </c>
      <c r="BL284" s="217"/>
      <c r="BM284" s="217"/>
      <c r="BN284" s="217">
        <v>0</v>
      </c>
      <c r="BO284" s="217">
        <v>0</v>
      </c>
      <c r="BR284" s="217" t="s">
        <v>85</v>
      </c>
      <c r="BS284" s="217" t="s">
        <v>98</v>
      </c>
      <c r="BT284" s="217" t="s">
        <v>802</v>
      </c>
      <c r="BU284" s="217" t="s">
        <v>1168</v>
      </c>
      <c r="BV284" s="217">
        <v>8</v>
      </c>
      <c r="BW284" s="217">
        <v>47</v>
      </c>
      <c r="BX284" s="217">
        <v>0</v>
      </c>
      <c r="BY284" s="217">
        <v>0</v>
      </c>
      <c r="BZ284" s="217">
        <v>0</v>
      </c>
      <c r="CA284" s="217">
        <v>0</v>
      </c>
      <c r="CB284" s="217">
        <v>8</v>
      </c>
      <c r="CC284" s="217">
        <v>47</v>
      </c>
      <c r="CD284" s="217">
        <v>0</v>
      </c>
      <c r="CE284" s="217">
        <v>0</v>
      </c>
      <c r="CF284" s="217">
        <v>0</v>
      </c>
      <c r="CG284" s="217">
        <v>0</v>
      </c>
      <c r="CH284" s="217">
        <v>0</v>
      </c>
      <c r="CI284" s="217">
        <v>0</v>
      </c>
      <c r="CJ284" s="217">
        <v>0</v>
      </c>
    </row>
    <row r="285" spans="1:88" x14ac:dyDescent="0.25">
      <c r="A285" s="217" t="s">
        <v>22</v>
      </c>
      <c r="B285" s="217" t="s">
        <v>23</v>
      </c>
      <c r="C285" s="217" t="s">
        <v>85</v>
      </c>
      <c r="D285" s="217" t="s">
        <v>84</v>
      </c>
      <c r="E285" s="217" t="s">
        <v>157</v>
      </c>
      <c r="F285" s="217" t="s">
        <v>156</v>
      </c>
      <c r="G285" s="217" t="s">
        <v>341</v>
      </c>
      <c r="H285" s="217" t="s">
        <v>1028</v>
      </c>
      <c r="I285" s="217" t="s">
        <v>29</v>
      </c>
      <c r="J285" s="217" t="s">
        <v>1858</v>
      </c>
      <c r="K285" s="217">
        <v>9</v>
      </c>
      <c r="L285" s="217">
        <v>76</v>
      </c>
      <c r="M285" s="217" t="s">
        <v>31</v>
      </c>
      <c r="N285" s="217" t="s">
        <v>32</v>
      </c>
      <c r="O285" s="217" t="s">
        <v>68</v>
      </c>
      <c r="P285" s="217" t="s">
        <v>34</v>
      </c>
      <c r="Q285" s="217" t="s">
        <v>35</v>
      </c>
      <c r="R285" s="217" t="s">
        <v>23</v>
      </c>
      <c r="S285" s="217" t="s">
        <v>22</v>
      </c>
      <c r="T285" s="217" t="s">
        <v>84</v>
      </c>
      <c r="U285" s="217" t="s">
        <v>85</v>
      </c>
      <c r="V285" s="217" t="s">
        <v>97</v>
      </c>
      <c r="W285" s="217" t="s">
        <v>98</v>
      </c>
      <c r="BC285" s="217" t="s">
        <v>85</v>
      </c>
      <c r="BD285" s="217" t="s">
        <v>98</v>
      </c>
      <c r="BE285" s="217" t="s">
        <v>1134</v>
      </c>
      <c r="BF285" s="217" t="s">
        <v>819</v>
      </c>
      <c r="BG285" s="217" t="s">
        <v>1998</v>
      </c>
      <c r="BH285" s="217" t="s">
        <v>1658</v>
      </c>
      <c r="BI285" s="217" t="s">
        <v>1658</v>
      </c>
      <c r="BJ285" s="217" t="s">
        <v>1660</v>
      </c>
      <c r="BK285" s="217" t="s">
        <v>637</v>
      </c>
      <c r="BL285" s="217"/>
      <c r="BM285" s="217"/>
      <c r="BN285" s="217">
        <v>0</v>
      </c>
      <c r="BO285" s="217">
        <v>0</v>
      </c>
      <c r="BR285" s="217" t="s">
        <v>85</v>
      </c>
      <c r="BS285" s="217" t="s">
        <v>98</v>
      </c>
      <c r="BT285" s="217" t="s">
        <v>462</v>
      </c>
      <c r="BU285" s="217" t="s">
        <v>1300</v>
      </c>
      <c r="BV285" s="217">
        <v>12</v>
      </c>
      <c r="BW285" s="217">
        <v>48</v>
      </c>
      <c r="BX285" s="217">
        <v>0</v>
      </c>
      <c r="BY285" s="217">
        <v>0</v>
      </c>
      <c r="BZ285" s="217">
        <v>3</v>
      </c>
      <c r="CA285" s="217">
        <v>10</v>
      </c>
      <c r="CB285" s="217">
        <v>12</v>
      </c>
      <c r="CC285" s="217">
        <v>48</v>
      </c>
      <c r="CD285" s="217">
        <v>0</v>
      </c>
      <c r="CE285" s="217">
        <v>0</v>
      </c>
      <c r="CF285" s="217">
        <v>3</v>
      </c>
      <c r="CG285" s="217">
        <v>10</v>
      </c>
      <c r="CH285" s="217">
        <v>0</v>
      </c>
      <c r="CI285" s="217">
        <v>0</v>
      </c>
      <c r="CJ285" s="217">
        <v>0</v>
      </c>
    </row>
    <row r="286" spans="1:88" x14ac:dyDescent="0.25">
      <c r="A286" s="217" t="s">
        <v>22</v>
      </c>
      <c r="B286" s="217" t="s">
        <v>23</v>
      </c>
      <c r="C286" s="217" t="s">
        <v>85</v>
      </c>
      <c r="D286" s="217" t="s">
        <v>84</v>
      </c>
      <c r="E286" s="217" t="s">
        <v>157</v>
      </c>
      <c r="F286" s="217" t="s">
        <v>156</v>
      </c>
      <c r="G286" s="217" t="s">
        <v>342</v>
      </c>
      <c r="H286" s="217" t="s">
        <v>1029</v>
      </c>
      <c r="I286" s="217" t="s">
        <v>29</v>
      </c>
      <c r="J286" s="217" t="s">
        <v>1856</v>
      </c>
      <c r="K286" s="217">
        <v>78</v>
      </c>
      <c r="L286" s="217">
        <v>488</v>
      </c>
      <c r="M286" s="217" t="s">
        <v>31</v>
      </c>
      <c r="N286" s="217" t="s">
        <v>32</v>
      </c>
      <c r="O286" s="217" t="s">
        <v>68</v>
      </c>
      <c r="P286" s="217" t="s">
        <v>34</v>
      </c>
      <c r="Q286" s="217" t="s">
        <v>35</v>
      </c>
      <c r="R286" s="217" t="s">
        <v>23</v>
      </c>
      <c r="S286" s="217" t="s">
        <v>22</v>
      </c>
      <c r="T286" s="217" t="s">
        <v>84</v>
      </c>
      <c r="U286" s="217" t="s">
        <v>85</v>
      </c>
      <c r="V286" s="217" t="s">
        <v>91</v>
      </c>
      <c r="W286" s="217" t="s">
        <v>92</v>
      </c>
      <c r="BC286" s="217" t="s">
        <v>85</v>
      </c>
      <c r="BD286" s="217" t="s">
        <v>98</v>
      </c>
      <c r="BE286" s="217" t="s">
        <v>1135</v>
      </c>
      <c r="BF286" s="217" t="s">
        <v>795</v>
      </c>
      <c r="BG286" s="217" t="s">
        <v>1998</v>
      </c>
      <c r="BH286" s="217" t="s">
        <v>1658</v>
      </c>
      <c r="BI286" s="217" t="s">
        <v>1658</v>
      </c>
      <c r="BJ286" s="217" t="s">
        <v>1660</v>
      </c>
      <c r="BK286" s="217" t="s">
        <v>637</v>
      </c>
      <c r="BL286" s="217"/>
      <c r="BM286" s="217"/>
      <c r="BN286" s="217">
        <v>0</v>
      </c>
      <c r="BO286" s="217">
        <v>0</v>
      </c>
      <c r="BR286" s="217" t="s">
        <v>85</v>
      </c>
      <c r="BS286" s="217" t="s">
        <v>98</v>
      </c>
      <c r="BT286" s="217" t="s">
        <v>371</v>
      </c>
      <c r="BU286" s="217" t="s">
        <v>1109</v>
      </c>
      <c r="BV286" s="217">
        <v>17</v>
      </c>
      <c r="BW286" s="217">
        <v>86</v>
      </c>
      <c r="BX286" s="217">
        <v>0</v>
      </c>
      <c r="BY286" s="217">
        <v>0</v>
      </c>
      <c r="BZ286" s="217">
        <v>0</v>
      </c>
      <c r="CA286" s="217">
        <v>0</v>
      </c>
      <c r="CB286" s="217">
        <v>17</v>
      </c>
      <c r="CC286" s="217">
        <v>86</v>
      </c>
      <c r="CD286" s="217">
        <v>0</v>
      </c>
      <c r="CE286" s="217">
        <v>0</v>
      </c>
      <c r="CF286" s="217">
        <v>0</v>
      </c>
      <c r="CG286" s="217">
        <v>0</v>
      </c>
      <c r="CH286" s="217">
        <v>0</v>
      </c>
      <c r="CI286" s="217">
        <v>0</v>
      </c>
      <c r="CJ286" s="217">
        <v>0</v>
      </c>
    </row>
    <row r="287" spans="1:88" x14ac:dyDescent="0.25">
      <c r="A287" s="217" t="s">
        <v>22</v>
      </c>
      <c r="B287" s="217" t="s">
        <v>23</v>
      </c>
      <c r="C287" s="217" t="s">
        <v>85</v>
      </c>
      <c r="D287" s="217" t="s">
        <v>84</v>
      </c>
      <c r="E287" s="217" t="s">
        <v>157</v>
      </c>
      <c r="F287" s="217" t="s">
        <v>156</v>
      </c>
      <c r="G287" s="217" t="s">
        <v>342</v>
      </c>
      <c r="H287" s="217" t="s">
        <v>1029</v>
      </c>
      <c r="I287" s="217" t="s">
        <v>29</v>
      </c>
      <c r="J287" s="217" t="s">
        <v>1857</v>
      </c>
      <c r="K287" s="217">
        <v>13</v>
      </c>
      <c r="L287" s="217">
        <v>68</v>
      </c>
      <c r="M287" s="217" t="s">
        <v>31</v>
      </c>
      <c r="N287" s="217" t="s">
        <v>32</v>
      </c>
      <c r="O287" s="217" t="s">
        <v>68</v>
      </c>
      <c r="P287" s="217" t="s">
        <v>34</v>
      </c>
      <c r="Q287" s="217" t="s">
        <v>35</v>
      </c>
      <c r="R287" s="217" t="s">
        <v>23</v>
      </c>
      <c r="S287" s="217" t="s">
        <v>22</v>
      </c>
      <c r="T287" s="217" t="s">
        <v>84</v>
      </c>
      <c r="U287" s="217" t="s">
        <v>85</v>
      </c>
      <c r="V287" s="217" t="s">
        <v>97</v>
      </c>
      <c r="W287" s="217" t="s">
        <v>98</v>
      </c>
      <c r="BC287" s="217" t="s">
        <v>85</v>
      </c>
      <c r="BD287" s="217" t="s">
        <v>98</v>
      </c>
      <c r="BE287" s="217" t="s">
        <v>1136</v>
      </c>
      <c r="BF287" s="217" t="s">
        <v>295</v>
      </c>
      <c r="BG287" s="217" t="s">
        <v>2000</v>
      </c>
      <c r="BH287" s="217" t="s">
        <v>1658</v>
      </c>
      <c r="BI287" s="217" t="s">
        <v>1660</v>
      </c>
      <c r="BJ287" s="217" t="s">
        <v>1660</v>
      </c>
      <c r="BK287" s="217" t="s">
        <v>637</v>
      </c>
      <c r="BL287" s="217"/>
      <c r="BM287" s="217"/>
      <c r="BN287" s="217">
        <v>0</v>
      </c>
      <c r="BO287" s="217">
        <v>0</v>
      </c>
      <c r="BR287" s="217" t="s">
        <v>85</v>
      </c>
      <c r="BS287" s="217" t="s">
        <v>98</v>
      </c>
      <c r="BT287" s="217" t="s">
        <v>410</v>
      </c>
      <c r="BU287" s="217" t="s">
        <v>1206</v>
      </c>
      <c r="BV287" s="217">
        <v>10</v>
      </c>
      <c r="BW287" s="217">
        <v>37</v>
      </c>
      <c r="BX287" s="217">
        <v>0</v>
      </c>
      <c r="BY287" s="217">
        <v>0</v>
      </c>
      <c r="BZ287" s="217">
        <v>0</v>
      </c>
      <c r="CA287" s="217">
        <v>0</v>
      </c>
      <c r="CB287" s="217">
        <v>10</v>
      </c>
      <c r="CC287" s="217">
        <v>37</v>
      </c>
      <c r="CD287" s="217">
        <v>0</v>
      </c>
      <c r="CE287" s="217">
        <v>0</v>
      </c>
      <c r="CF287" s="217">
        <v>0</v>
      </c>
      <c r="CG287" s="217">
        <v>0</v>
      </c>
      <c r="CH287" s="217">
        <v>0</v>
      </c>
      <c r="CI287" s="217">
        <v>0</v>
      </c>
      <c r="CJ287" s="217">
        <v>0</v>
      </c>
    </row>
    <row r="288" spans="1:88" x14ac:dyDescent="0.25">
      <c r="A288" s="217" t="s">
        <v>22</v>
      </c>
      <c r="B288" s="217" t="s">
        <v>23</v>
      </c>
      <c r="C288" s="217" t="s">
        <v>85</v>
      </c>
      <c r="D288" s="217" t="s">
        <v>84</v>
      </c>
      <c r="E288" s="217" t="s">
        <v>157</v>
      </c>
      <c r="F288" s="217" t="s">
        <v>156</v>
      </c>
      <c r="G288" s="217" t="s">
        <v>342</v>
      </c>
      <c r="H288" s="217" t="s">
        <v>1029</v>
      </c>
      <c r="I288" s="217" t="s">
        <v>29</v>
      </c>
      <c r="J288" s="217" t="s">
        <v>1858</v>
      </c>
      <c r="K288" s="217">
        <v>8</v>
      </c>
      <c r="L288" s="217">
        <v>63</v>
      </c>
      <c r="M288" s="217" t="s">
        <v>31</v>
      </c>
      <c r="N288" s="217" t="s">
        <v>32</v>
      </c>
      <c r="O288" s="217" t="s">
        <v>68</v>
      </c>
      <c r="P288" s="217" t="s">
        <v>34</v>
      </c>
      <c r="Q288" s="217" t="s">
        <v>35</v>
      </c>
      <c r="R288" s="217" t="s">
        <v>23</v>
      </c>
      <c r="S288" s="217" t="s">
        <v>22</v>
      </c>
      <c r="T288" s="217" t="s">
        <v>84</v>
      </c>
      <c r="U288" s="217" t="s">
        <v>85</v>
      </c>
      <c r="V288" s="217" t="s">
        <v>97</v>
      </c>
      <c r="W288" s="217" t="s">
        <v>98</v>
      </c>
      <c r="BC288" s="217" t="s">
        <v>85</v>
      </c>
      <c r="BD288" s="217" t="s">
        <v>98</v>
      </c>
      <c r="BE288" s="217" t="s">
        <v>1137</v>
      </c>
      <c r="BF288" s="217" t="s">
        <v>379</v>
      </c>
      <c r="BG288" s="217" t="s">
        <v>1998</v>
      </c>
      <c r="BH288" s="217" t="s">
        <v>1658</v>
      </c>
      <c r="BI288" s="217" t="s">
        <v>1660</v>
      </c>
      <c r="BJ288" s="217" t="s">
        <v>1660</v>
      </c>
      <c r="BK288" s="217" t="s">
        <v>637</v>
      </c>
      <c r="BL288" s="217"/>
      <c r="BM288" s="217"/>
      <c r="BN288" s="217">
        <v>0</v>
      </c>
      <c r="BO288" s="217">
        <v>0</v>
      </c>
      <c r="BR288" s="217" t="s">
        <v>85</v>
      </c>
      <c r="BS288" s="217" t="s">
        <v>98</v>
      </c>
      <c r="BT288" s="217" t="s">
        <v>387</v>
      </c>
      <c r="BU288" s="217" t="s">
        <v>1155</v>
      </c>
      <c r="BV288" s="217">
        <v>9</v>
      </c>
      <c r="BW288" s="217">
        <v>35</v>
      </c>
      <c r="BX288" s="217">
        <v>0</v>
      </c>
      <c r="BY288" s="217">
        <v>0</v>
      </c>
      <c r="BZ288" s="217">
        <v>0</v>
      </c>
      <c r="CA288" s="217">
        <v>0</v>
      </c>
      <c r="CB288" s="217">
        <v>9</v>
      </c>
      <c r="CC288" s="217">
        <v>35</v>
      </c>
      <c r="CD288" s="217">
        <v>0</v>
      </c>
      <c r="CE288" s="217">
        <v>0</v>
      </c>
      <c r="CF288" s="217">
        <v>0</v>
      </c>
      <c r="CG288" s="217">
        <v>0</v>
      </c>
      <c r="CH288" s="217">
        <v>0</v>
      </c>
      <c r="CI288" s="217">
        <v>0</v>
      </c>
      <c r="CJ288" s="217">
        <v>0</v>
      </c>
    </row>
    <row r="289" spans="1:88" x14ac:dyDescent="0.25">
      <c r="A289" s="217" t="s">
        <v>22</v>
      </c>
      <c r="B289" s="217" t="s">
        <v>23</v>
      </c>
      <c r="C289" s="217" t="s">
        <v>85</v>
      </c>
      <c r="D289" s="217" t="s">
        <v>84</v>
      </c>
      <c r="E289" s="217" t="s">
        <v>157</v>
      </c>
      <c r="F289" s="217" t="s">
        <v>156</v>
      </c>
      <c r="G289" s="217" t="s">
        <v>343</v>
      </c>
      <c r="H289" s="217" t="s">
        <v>1030</v>
      </c>
      <c r="I289" s="217" t="s">
        <v>29</v>
      </c>
      <c r="J289" s="217" t="s">
        <v>1856</v>
      </c>
      <c r="K289" s="217">
        <v>4</v>
      </c>
      <c r="L289" s="217">
        <v>40</v>
      </c>
      <c r="M289" s="217" t="s">
        <v>31</v>
      </c>
      <c r="N289" s="217" t="s">
        <v>32</v>
      </c>
      <c r="O289" s="217" t="s">
        <v>68</v>
      </c>
      <c r="P289" s="217" t="s">
        <v>34</v>
      </c>
      <c r="Q289" s="217" t="s">
        <v>35</v>
      </c>
      <c r="R289" s="217" t="s">
        <v>23</v>
      </c>
      <c r="S289" s="217" t="s">
        <v>22</v>
      </c>
      <c r="T289" s="217" t="s">
        <v>84</v>
      </c>
      <c r="U289" s="217" t="s">
        <v>85</v>
      </c>
      <c r="V289" s="217" t="s">
        <v>91</v>
      </c>
      <c r="W289" s="217" t="s">
        <v>92</v>
      </c>
      <c r="BC289" s="217" t="s">
        <v>85</v>
      </c>
      <c r="BD289" s="217" t="s">
        <v>98</v>
      </c>
      <c r="BE289" s="217" t="s">
        <v>1138</v>
      </c>
      <c r="BF289" s="217" t="s">
        <v>380</v>
      </c>
      <c r="BG289" s="217" t="s">
        <v>1998</v>
      </c>
      <c r="BH289" s="217" t="s">
        <v>1658</v>
      </c>
      <c r="BI289" s="217" t="s">
        <v>1660</v>
      </c>
      <c r="BJ289" s="217" t="s">
        <v>1660</v>
      </c>
      <c r="BK289" s="217" t="s">
        <v>637</v>
      </c>
      <c r="BL289" s="217"/>
      <c r="BM289" s="217"/>
      <c r="BN289" s="217">
        <v>0</v>
      </c>
      <c r="BO289" s="217">
        <v>0</v>
      </c>
      <c r="BR289" s="217" t="s">
        <v>85</v>
      </c>
      <c r="BS289" s="217" t="s">
        <v>98</v>
      </c>
      <c r="BT289" s="217" t="s">
        <v>439</v>
      </c>
      <c r="BU289" s="217" t="s">
        <v>1255</v>
      </c>
      <c r="BV289" s="217">
        <v>20</v>
      </c>
      <c r="BW289" s="217">
        <v>95</v>
      </c>
      <c r="BX289" s="217">
        <v>0</v>
      </c>
      <c r="BY289" s="217">
        <v>0</v>
      </c>
      <c r="BZ289" s="217">
        <v>0</v>
      </c>
      <c r="CA289" s="217">
        <v>0</v>
      </c>
      <c r="CB289" s="217">
        <v>20</v>
      </c>
      <c r="CC289" s="217">
        <v>95</v>
      </c>
      <c r="CD289" s="217">
        <v>0</v>
      </c>
      <c r="CE289" s="217">
        <v>0</v>
      </c>
      <c r="CF289" s="217">
        <v>0</v>
      </c>
      <c r="CG289" s="217">
        <v>0</v>
      </c>
      <c r="CH289" s="217">
        <v>0</v>
      </c>
      <c r="CI289" s="217">
        <v>0</v>
      </c>
      <c r="CJ289" s="217">
        <v>0</v>
      </c>
    </row>
    <row r="290" spans="1:88" x14ac:dyDescent="0.25">
      <c r="A290" s="217" t="s">
        <v>22</v>
      </c>
      <c r="B290" s="217" t="s">
        <v>23</v>
      </c>
      <c r="C290" s="217" t="s">
        <v>85</v>
      </c>
      <c r="D290" s="217" t="s">
        <v>84</v>
      </c>
      <c r="E290" s="217" t="s">
        <v>157</v>
      </c>
      <c r="F290" s="217" t="s">
        <v>156</v>
      </c>
      <c r="G290" s="217" t="s">
        <v>343</v>
      </c>
      <c r="H290" s="217" t="s">
        <v>1030</v>
      </c>
      <c r="I290" s="217" t="s">
        <v>29</v>
      </c>
      <c r="J290" s="217" t="s">
        <v>1857</v>
      </c>
      <c r="K290" s="217">
        <v>3</v>
      </c>
      <c r="L290" s="217">
        <v>27</v>
      </c>
      <c r="M290" s="217" t="s">
        <v>31</v>
      </c>
      <c r="N290" s="217" t="s">
        <v>32</v>
      </c>
      <c r="O290" s="217" t="s">
        <v>68</v>
      </c>
      <c r="P290" s="217" t="s">
        <v>34</v>
      </c>
      <c r="Q290" s="217" t="s">
        <v>35</v>
      </c>
      <c r="R290" s="217" t="s">
        <v>23</v>
      </c>
      <c r="S290" s="217" t="s">
        <v>22</v>
      </c>
      <c r="T290" s="217" t="s">
        <v>84</v>
      </c>
      <c r="U290" s="217" t="s">
        <v>85</v>
      </c>
      <c r="V290" s="217" t="s">
        <v>91</v>
      </c>
      <c r="W290" s="217" t="s">
        <v>92</v>
      </c>
      <c r="BC290" s="217" t="s">
        <v>85</v>
      </c>
      <c r="BD290" s="217" t="s">
        <v>98</v>
      </c>
      <c r="BE290" s="217" t="s">
        <v>1139</v>
      </c>
      <c r="BF290" s="217" t="s">
        <v>381</v>
      </c>
      <c r="BG290" s="217" t="s">
        <v>1998</v>
      </c>
      <c r="BH290" s="217" t="s">
        <v>1658</v>
      </c>
      <c r="BI290" s="217" t="s">
        <v>1660</v>
      </c>
      <c r="BJ290" s="217" t="s">
        <v>1660</v>
      </c>
      <c r="BK290" s="217" t="s">
        <v>637</v>
      </c>
      <c r="BL290" s="217"/>
      <c r="BM290" s="217"/>
      <c r="BN290" s="217">
        <v>0</v>
      </c>
      <c r="BO290" s="217">
        <v>0</v>
      </c>
      <c r="BR290" s="217" t="s">
        <v>85</v>
      </c>
      <c r="BS290" s="217" t="s">
        <v>98</v>
      </c>
      <c r="BT290" s="217" t="s">
        <v>799</v>
      </c>
      <c r="BU290" s="217" t="s">
        <v>1505</v>
      </c>
      <c r="BV290" s="217">
        <v>0</v>
      </c>
      <c r="BW290" s="217">
        <v>0</v>
      </c>
      <c r="BX290" s="217">
        <v>13</v>
      </c>
      <c r="BY290" s="217">
        <v>70</v>
      </c>
      <c r="BZ290" s="217">
        <v>0</v>
      </c>
      <c r="CA290" s="217">
        <v>0</v>
      </c>
      <c r="CB290" s="217">
        <v>0</v>
      </c>
      <c r="CC290" s="217">
        <v>0</v>
      </c>
      <c r="CD290" s="217">
        <v>13</v>
      </c>
      <c r="CE290" s="217">
        <v>70</v>
      </c>
      <c r="CF290" s="217">
        <v>0</v>
      </c>
      <c r="CG290" s="217">
        <v>0</v>
      </c>
      <c r="CH290" s="217">
        <v>0</v>
      </c>
      <c r="CI290" s="217">
        <v>0</v>
      </c>
      <c r="CJ290" s="217">
        <v>0</v>
      </c>
    </row>
    <row r="291" spans="1:88" x14ac:dyDescent="0.25">
      <c r="A291" s="217" t="s">
        <v>22</v>
      </c>
      <c r="B291" s="217" t="s">
        <v>23</v>
      </c>
      <c r="C291" s="217" t="s">
        <v>85</v>
      </c>
      <c r="D291" s="217" t="s">
        <v>84</v>
      </c>
      <c r="E291" s="217" t="s">
        <v>157</v>
      </c>
      <c r="F291" s="217" t="s">
        <v>156</v>
      </c>
      <c r="G291" s="217" t="s">
        <v>344</v>
      </c>
      <c r="H291" s="217" t="s">
        <v>1031</v>
      </c>
      <c r="I291" s="217" t="s">
        <v>29</v>
      </c>
      <c r="J291" s="217" t="s">
        <v>1855</v>
      </c>
      <c r="K291" s="217">
        <v>4</v>
      </c>
      <c r="L291" s="217">
        <v>31</v>
      </c>
      <c r="M291" s="217" t="s">
        <v>31</v>
      </c>
      <c r="N291" s="217" t="s">
        <v>32</v>
      </c>
      <c r="O291" s="217" t="s">
        <v>68</v>
      </c>
      <c r="P291" s="217" t="s">
        <v>34</v>
      </c>
      <c r="Q291" s="217" t="s">
        <v>35</v>
      </c>
      <c r="R291" s="217" t="s">
        <v>23</v>
      </c>
      <c r="S291" s="217" t="s">
        <v>22</v>
      </c>
      <c r="T291" s="217" t="s">
        <v>84</v>
      </c>
      <c r="U291" s="217" t="s">
        <v>85</v>
      </c>
      <c r="V291" s="217" t="s">
        <v>91</v>
      </c>
      <c r="W291" s="217" t="s">
        <v>92</v>
      </c>
      <c r="BC291" s="217" t="s">
        <v>85</v>
      </c>
      <c r="BD291" s="217" t="s">
        <v>98</v>
      </c>
      <c r="BE291" s="217" t="s">
        <v>1140</v>
      </c>
      <c r="BF291" s="217" t="s">
        <v>382</v>
      </c>
      <c r="BG291" s="217" t="s">
        <v>1998</v>
      </c>
      <c r="BH291" s="217" t="s">
        <v>1658</v>
      </c>
      <c r="BI291" s="217" t="s">
        <v>1658</v>
      </c>
      <c r="BJ291" s="217" t="s">
        <v>1660</v>
      </c>
      <c r="BK291" s="217" t="s">
        <v>637</v>
      </c>
      <c r="BL291" s="217"/>
      <c r="BM291" s="217"/>
      <c r="BN291" s="217">
        <v>0</v>
      </c>
      <c r="BO291" s="217">
        <v>0</v>
      </c>
      <c r="BR291" s="217" t="s">
        <v>85</v>
      </c>
      <c r="BS291" s="217" t="s">
        <v>98</v>
      </c>
      <c r="BT291" s="217" t="s">
        <v>431</v>
      </c>
      <c r="BU291" s="217" t="s">
        <v>1685</v>
      </c>
      <c r="BV291" s="217">
        <v>0</v>
      </c>
      <c r="BW291" s="217">
        <v>0</v>
      </c>
      <c r="BX291" s="217">
        <v>0</v>
      </c>
      <c r="BY291" s="217">
        <v>0</v>
      </c>
      <c r="BZ291" s="217">
        <v>148</v>
      </c>
      <c r="CA291" s="217">
        <v>1157</v>
      </c>
      <c r="CB291" s="217">
        <v>0</v>
      </c>
      <c r="CC291" s="217">
        <v>0</v>
      </c>
      <c r="CD291" s="217">
        <v>0</v>
      </c>
      <c r="CE291" s="217">
        <v>0</v>
      </c>
      <c r="CF291" s="217">
        <v>0</v>
      </c>
      <c r="CG291" s="217">
        <v>0</v>
      </c>
      <c r="CH291" s="217">
        <v>0</v>
      </c>
      <c r="CI291" s="217">
        <v>0</v>
      </c>
      <c r="CJ291" s="217">
        <v>1157</v>
      </c>
    </row>
    <row r="292" spans="1:88" x14ac:dyDescent="0.25">
      <c r="A292" s="217" t="s">
        <v>22</v>
      </c>
      <c r="B292" s="217" t="s">
        <v>23</v>
      </c>
      <c r="C292" s="217" t="s">
        <v>85</v>
      </c>
      <c r="D292" s="217" t="s">
        <v>84</v>
      </c>
      <c r="E292" s="217" t="s">
        <v>157</v>
      </c>
      <c r="F292" s="217" t="s">
        <v>156</v>
      </c>
      <c r="G292" s="217" t="s">
        <v>344</v>
      </c>
      <c r="H292" s="217" t="s">
        <v>1031</v>
      </c>
      <c r="I292" s="217" t="s">
        <v>29</v>
      </c>
      <c r="J292" s="217" t="s">
        <v>1856</v>
      </c>
      <c r="K292" s="217">
        <v>7</v>
      </c>
      <c r="L292" s="217">
        <v>40</v>
      </c>
      <c r="M292" s="217" t="s">
        <v>31</v>
      </c>
      <c r="N292" s="217" t="s">
        <v>32</v>
      </c>
      <c r="O292" s="217" t="s">
        <v>68</v>
      </c>
      <c r="P292" s="217" t="s">
        <v>34</v>
      </c>
      <c r="Q292" s="217" t="s">
        <v>35</v>
      </c>
      <c r="R292" s="217" t="s">
        <v>23</v>
      </c>
      <c r="S292" s="217" t="s">
        <v>22</v>
      </c>
      <c r="T292" s="217" t="s">
        <v>84</v>
      </c>
      <c r="U292" s="217" t="s">
        <v>85</v>
      </c>
      <c r="V292" s="217" t="s">
        <v>91</v>
      </c>
      <c r="W292" s="217" t="s">
        <v>92</v>
      </c>
      <c r="BC292" s="217" t="s">
        <v>85</v>
      </c>
      <c r="BD292" s="217" t="s">
        <v>98</v>
      </c>
      <c r="BE292" s="217" t="s">
        <v>1141</v>
      </c>
      <c r="BF292" s="217" t="s">
        <v>383</v>
      </c>
      <c r="BG292" s="217" t="s">
        <v>1998</v>
      </c>
      <c r="BH292" s="217" t="s">
        <v>1658</v>
      </c>
      <c r="BI292" s="217" t="s">
        <v>1660</v>
      </c>
      <c r="BJ292" s="217" t="s">
        <v>1658</v>
      </c>
      <c r="BK292" s="217" t="s">
        <v>637</v>
      </c>
      <c r="BL292" s="217"/>
      <c r="BM292" s="217"/>
      <c r="BN292" s="217">
        <v>0</v>
      </c>
      <c r="BO292" s="217">
        <v>0</v>
      </c>
      <c r="BR292" s="217" t="s">
        <v>85</v>
      </c>
      <c r="BS292" s="217" t="s">
        <v>98</v>
      </c>
      <c r="BT292" s="217" t="s">
        <v>409</v>
      </c>
      <c r="BU292" s="217" t="s">
        <v>1205</v>
      </c>
      <c r="BV292" s="217">
        <v>19</v>
      </c>
      <c r="BW292" s="217">
        <v>168</v>
      </c>
      <c r="BX292" s="217">
        <v>0</v>
      </c>
      <c r="BY292" s="217">
        <v>0</v>
      </c>
      <c r="BZ292" s="217">
        <v>0</v>
      </c>
      <c r="CA292" s="217">
        <v>0</v>
      </c>
      <c r="CB292" s="217">
        <v>19</v>
      </c>
      <c r="CC292" s="217">
        <v>168</v>
      </c>
      <c r="CD292" s="217">
        <v>0</v>
      </c>
      <c r="CE292" s="217">
        <v>0</v>
      </c>
      <c r="CF292" s="217">
        <v>0</v>
      </c>
      <c r="CG292" s="217">
        <v>0</v>
      </c>
      <c r="CH292" s="217">
        <v>0</v>
      </c>
      <c r="CI292" s="217">
        <v>0</v>
      </c>
      <c r="CJ292" s="217">
        <v>0</v>
      </c>
    </row>
    <row r="293" spans="1:88" x14ac:dyDescent="0.25">
      <c r="A293" s="217" t="s">
        <v>22</v>
      </c>
      <c r="B293" s="217" t="s">
        <v>23</v>
      </c>
      <c r="C293" s="217" t="s">
        <v>85</v>
      </c>
      <c r="D293" s="217" t="s">
        <v>84</v>
      </c>
      <c r="E293" s="217" t="s">
        <v>157</v>
      </c>
      <c r="F293" s="217" t="s">
        <v>156</v>
      </c>
      <c r="G293" s="217" t="s">
        <v>344</v>
      </c>
      <c r="H293" s="217" t="s">
        <v>1031</v>
      </c>
      <c r="I293" s="217" t="s">
        <v>29</v>
      </c>
      <c r="J293" s="217" t="s">
        <v>1857</v>
      </c>
      <c r="K293" s="217">
        <v>3</v>
      </c>
      <c r="L293" s="217">
        <v>12</v>
      </c>
      <c r="M293" s="217" t="s">
        <v>31</v>
      </c>
      <c r="N293" s="217" t="s">
        <v>32</v>
      </c>
      <c r="O293" s="217" t="s">
        <v>68</v>
      </c>
      <c r="P293" s="217" t="s">
        <v>34</v>
      </c>
      <c r="Q293" s="217" t="s">
        <v>35</v>
      </c>
      <c r="R293" s="217" t="s">
        <v>23</v>
      </c>
      <c r="S293" s="217" t="s">
        <v>22</v>
      </c>
      <c r="T293" s="217" t="s">
        <v>84</v>
      </c>
      <c r="U293" s="217" t="s">
        <v>85</v>
      </c>
      <c r="V293" s="217" t="s">
        <v>91</v>
      </c>
      <c r="W293" s="217" t="s">
        <v>92</v>
      </c>
      <c r="BC293" s="217" t="s">
        <v>85</v>
      </c>
      <c r="BD293" s="217" t="s">
        <v>98</v>
      </c>
      <c r="BE293" s="217" t="s">
        <v>1142</v>
      </c>
      <c r="BF293" s="217" t="s">
        <v>801</v>
      </c>
      <c r="BG293" s="217" t="s">
        <v>1998</v>
      </c>
      <c r="BH293" s="217" t="s">
        <v>1658</v>
      </c>
      <c r="BI293" s="217" t="s">
        <v>1658</v>
      </c>
      <c r="BJ293" s="217" t="s">
        <v>1660</v>
      </c>
      <c r="BK293" s="217" t="s">
        <v>637</v>
      </c>
      <c r="BL293" s="217"/>
      <c r="BM293" s="217"/>
      <c r="BN293" s="217">
        <v>0</v>
      </c>
      <c r="BO293" s="217">
        <v>0</v>
      </c>
      <c r="BR293" s="217" t="s">
        <v>85</v>
      </c>
      <c r="BS293" s="217" t="s">
        <v>98</v>
      </c>
      <c r="BT293" s="217" t="s">
        <v>797</v>
      </c>
      <c r="BU293" s="217" t="s">
        <v>1179</v>
      </c>
      <c r="BV293" s="217">
        <v>7</v>
      </c>
      <c r="BW293" s="217">
        <v>63</v>
      </c>
      <c r="BX293" s="217">
        <v>0</v>
      </c>
      <c r="BY293" s="217">
        <v>0</v>
      </c>
      <c r="BZ293" s="217">
        <v>0</v>
      </c>
      <c r="CA293" s="217">
        <v>0</v>
      </c>
      <c r="CB293" s="217">
        <v>7</v>
      </c>
      <c r="CC293" s="217">
        <v>63</v>
      </c>
      <c r="CD293" s="217">
        <v>0</v>
      </c>
      <c r="CE293" s="217">
        <v>0</v>
      </c>
      <c r="CF293" s="217">
        <v>0</v>
      </c>
      <c r="CG293" s="217">
        <v>0</v>
      </c>
      <c r="CH293" s="217">
        <v>0</v>
      </c>
      <c r="CI293" s="217">
        <v>0</v>
      </c>
      <c r="CJ293" s="217">
        <v>0</v>
      </c>
    </row>
    <row r="294" spans="1:88" x14ac:dyDescent="0.25">
      <c r="A294" s="217" t="s">
        <v>22</v>
      </c>
      <c r="B294" s="217" t="s">
        <v>23</v>
      </c>
      <c r="C294" s="217" t="s">
        <v>85</v>
      </c>
      <c r="D294" s="217" t="s">
        <v>84</v>
      </c>
      <c r="E294" s="217" t="s">
        <v>157</v>
      </c>
      <c r="F294" s="217" t="s">
        <v>156</v>
      </c>
      <c r="G294" s="217" t="s">
        <v>345</v>
      </c>
      <c r="H294" s="217" t="s">
        <v>1032</v>
      </c>
      <c r="I294" s="217" t="s">
        <v>29</v>
      </c>
      <c r="J294" s="217" t="s">
        <v>1855</v>
      </c>
      <c r="K294" s="217">
        <v>400</v>
      </c>
      <c r="L294" s="217">
        <v>2000</v>
      </c>
      <c r="M294" s="217" t="s">
        <v>31</v>
      </c>
      <c r="N294" s="217" t="s">
        <v>32</v>
      </c>
      <c r="O294" s="217" t="s">
        <v>68</v>
      </c>
      <c r="P294" s="217" t="s">
        <v>34</v>
      </c>
      <c r="Q294" s="217" t="s">
        <v>35</v>
      </c>
      <c r="R294" s="217" t="s">
        <v>23</v>
      </c>
      <c r="S294" s="217" t="s">
        <v>22</v>
      </c>
      <c r="T294" s="217" t="s">
        <v>84</v>
      </c>
      <c r="U294" s="217" t="s">
        <v>85</v>
      </c>
      <c r="V294" s="217" t="s">
        <v>97</v>
      </c>
      <c r="W294" s="217" t="s">
        <v>98</v>
      </c>
      <c r="BC294" s="217" t="s">
        <v>85</v>
      </c>
      <c r="BD294" s="217" t="s">
        <v>98</v>
      </c>
      <c r="BE294" s="217" t="s">
        <v>1143</v>
      </c>
      <c r="BF294" s="217" t="s">
        <v>155</v>
      </c>
      <c r="BG294" s="217" t="s">
        <v>1998</v>
      </c>
      <c r="BH294" s="217" t="s">
        <v>1658</v>
      </c>
      <c r="BI294" s="217" t="s">
        <v>1660</v>
      </c>
      <c r="BJ294" s="217" t="s">
        <v>1658</v>
      </c>
      <c r="BK294" s="217" t="s">
        <v>637</v>
      </c>
      <c r="BL294" s="217"/>
      <c r="BM294" s="217"/>
      <c r="BN294" s="217">
        <v>0</v>
      </c>
      <c r="BO294" s="217">
        <v>0</v>
      </c>
      <c r="BR294" s="217" t="s">
        <v>85</v>
      </c>
      <c r="BS294" s="217" t="s">
        <v>98</v>
      </c>
      <c r="BT294" s="217" t="s">
        <v>803</v>
      </c>
      <c r="BU294" s="217" t="s">
        <v>1504</v>
      </c>
      <c r="BV294" s="217">
        <v>0</v>
      </c>
      <c r="BW294" s="217">
        <v>0</v>
      </c>
      <c r="BX294" s="217">
        <v>20</v>
      </c>
      <c r="BY294" s="217">
        <v>118</v>
      </c>
      <c r="BZ294" s="217">
        <v>0</v>
      </c>
      <c r="CA294" s="217">
        <v>0</v>
      </c>
      <c r="CB294" s="217">
        <v>0</v>
      </c>
      <c r="CC294" s="217">
        <v>0</v>
      </c>
      <c r="CD294" s="217">
        <v>20</v>
      </c>
      <c r="CE294" s="217">
        <v>218</v>
      </c>
      <c r="CF294" s="217">
        <v>0</v>
      </c>
      <c r="CG294" s="217">
        <v>0</v>
      </c>
      <c r="CH294" s="217">
        <v>0</v>
      </c>
      <c r="CI294" s="217">
        <v>-100</v>
      </c>
      <c r="CJ294" s="217">
        <v>0</v>
      </c>
    </row>
    <row r="295" spans="1:88" x14ac:dyDescent="0.25">
      <c r="A295" s="217" t="s">
        <v>22</v>
      </c>
      <c r="B295" s="217" t="s">
        <v>23</v>
      </c>
      <c r="C295" s="217" t="s">
        <v>85</v>
      </c>
      <c r="D295" s="217" t="s">
        <v>84</v>
      </c>
      <c r="E295" s="217" t="s">
        <v>157</v>
      </c>
      <c r="F295" s="217" t="s">
        <v>156</v>
      </c>
      <c r="G295" s="217" t="s">
        <v>345</v>
      </c>
      <c r="H295" s="217" t="s">
        <v>1032</v>
      </c>
      <c r="I295" s="217" t="s">
        <v>29</v>
      </c>
      <c r="J295" s="217" t="s">
        <v>1856</v>
      </c>
      <c r="K295" s="217">
        <v>87</v>
      </c>
      <c r="L295" s="217">
        <v>435</v>
      </c>
      <c r="M295" s="217" t="s">
        <v>31</v>
      </c>
      <c r="N295" s="217" t="s">
        <v>32</v>
      </c>
      <c r="O295" s="217" t="s">
        <v>68</v>
      </c>
      <c r="P295" s="217" t="s">
        <v>34</v>
      </c>
      <c r="Q295" s="217" t="s">
        <v>35</v>
      </c>
      <c r="R295" s="217" t="s">
        <v>23</v>
      </c>
      <c r="S295" s="217" t="s">
        <v>22</v>
      </c>
      <c r="T295" s="217" t="s">
        <v>84</v>
      </c>
      <c r="U295" s="217" t="s">
        <v>85</v>
      </c>
      <c r="V295" s="217" t="s">
        <v>97</v>
      </c>
      <c r="W295" s="217" t="s">
        <v>98</v>
      </c>
      <c r="BC295" s="217" t="s">
        <v>85</v>
      </c>
      <c r="BD295" s="217" t="s">
        <v>98</v>
      </c>
      <c r="BE295" s="217" t="s">
        <v>1679</v>
      </c>
      <c r="BF295" s="217" t="s">
        <v>699</v>
      </c>
      <c r="BG295" s="217" t="s">
        <v>2007</v>
      </c>
      <c r="BH295" s="217" t="s">
        <v>1660</v>
      </c>
      <c r="BI295" s="217" t="s">
        <v>1660</v>
      </c>
      <c r="BJ295" s="217" t="s">
        <v>1660</v>
      </c>
      <c r="BK295" s="217" t="s">
        <v>637</v>
      </c>
      <c r="BL295" s="217"/>
      <c r="BM295" s="217"/>
      <c r="BN295" s="217">
        <v>0</v>
      </c>
      <c r="BO295" s="217">
        <v>0</v>
      </c>
      <c r="BR295" s="217" t="s">
        <v>85</v>
      </c>
      <c r="BS295" s="217" t="s">
        <v>98</v>
      </c>
      <c r="BT295" s="217" t="s">
        <v>164</v>
      </c>
      <c r="BU295" s="217" t="s">
        <v>1185</v>
      </c>
      <c r="BV295" s="217">
        <v>7</v>
      </c>
      <c r="BW295" s="217">
        <v>26</v>
      </c>
      <c r="BX295" s="217">
        <v>13</v>
      </c>
      <c r="BY295" s="217">
        <v>64</v>
      </c>
      <c r="BZ295" s="217">
        <v>7</v>
      </c>
      <c r="CA295" s="217">
        <v>26</v>
      </c>
      <c r="CB295" s="217">
        <v>7</v>
      </c>
      <c r="CC295" s="217">
        <v>26</v>
      </c>
      <c r="CD295" s="217">
        <v>13</v>
      </c>
      <c r="CE295" s="217">
        <v>64</v>
      </c>
      <c r="CF295" s="217">
        <v>7</v>
      </c>
      <c r="CG295" s="217">
        <v>26</v>
      </c>
      <c r="CH295" s="217">
        <v>0</v>
      </c>
      <c r="CI295" s="217">
        <v>0</v>
      </c>
      <c r="CJ295" s="217">
        <v>0</v>
      </c>
    </row>
    <row r="296" spans="1:88" x14ac:dyDescent="0.25">
      <c r="A296" s="217" t="s">
        <v>22</v>
      </c>
      <c r="B296" s="217" t="s">
        <v>23</v>
      </c>
      <c r="C296" s="217" t="s">
        <v>85</v>
      </c>
      <c r="D296" s="217" t="s">
        <v>84</v>
      </c>
      <c r="E296" s="217" t="s">
        <v>157</v>
      </c>
      <c r="F296" s="217" t="s">
        <v>156</v>
      </c>
      <c r="G296" s="217" t="s">
        <v>345</v>
      </c>
      <c r="H296" s="217" t="s">
        <v>1032</v>
      </c>
      <c r="I296" s="217" t="s">
        <v>29</v>
      </c>
      <c r="J296" s="217" t="s">
        <v>1857</v>
      </c>
      <c r="K296" s="217">
        <v>2</v>
      </c>
      <c r="L296" s="217">
        <v>10</v>
      </c>
      <c r="M296" s="217" t="s">
        <v>31</v>
      </c>
      <c r="N296" s="217" t="s">
        <v>32</v>
      </c>
      <c r="O296" s="217" t="s">
        <v>68</v>
      </c>
      <c r="P296" s="217" t="s">
        <v>34</v>
      </c>
      <c r="Q296" s="217" t="s">
        <v>35</v>
      </c>
      <c r="R296" s="217" t="s">
        <v>23</v>
      </c>
      <c r="S296" s="217" t="s">
        <v>22</v>
      </c>
      <c r="T296" s="217" t="s">
        <v>84</v>
      </c>
      <c r="U296" s="217" t="s">
        <v>85</v>
      </c>
      <c r="V296" s="217" t="s">
        <v>97</v>
      </c>
      <c r="W296" s="217" t="s">
        <v>98</v>
      </c>
      <c r="BC296" s="217" t="s">
        <v>85</v>
      </c>
      <c r="BD296" s="217" t="s">
        <v>98</v>
      </c>
      <c r="BE296" s="217" t="s">
        <v>1144</v>
      </c>
      <c r="BF296" s="217" t="s">
        <v>384</v>
      </c>
      <c r="BG296" s="217" t="s">
        <v>1998</v>
      </c>
      <c r="BH296" s="217" t="s">
        <v>1658</v>
      </c>
      <c r="BI296" s="217" t="s">
        <v>1658</v>
      </c>
      <c r="BJ296" s="217" t="s">
        <v>1660</v>
      </c>
      <c r="BK296" s="217" t="s">
        <v>637</v>
      </c>
      <c r="BL296" s="217"/>
      <c r="BM296" s="217"/>
      <c r="BN296" s="217">
        <v>0</v>
      </c>
      <c r="BO296" s="217">
        <v>0</v>
      </c>
      <c r="BR296" s="217" t="s">
        <v>85</v>
      </c>
      <c r="BS296" s="217" t="s">
        <v>98</v>
      </c>
      <c r="BT296" s="217" t="s">
        <v>805</v>
      </c>
      <c r="BU296" s="217" t="s">
        <v>1687</v>
      </c>
      <c r="BV296" s="217">
        <v>0</v>
      </c>
      <c r="BW296" s="217">
        <v>0</v>
      </c>
      <c r="BX296" s="217">
        <v>0</v>
      </c>
      <c r="BY296" s="217">
        <v>0</v>
      </c>
      <c r="BZ296" s="217">
        <v>0</v>
      </c>
      <c r="CA296" s="217">
        <v>0</v>
      </c>
      <c r="CB296" s="217">
        <v>0</v>
      </c>
      <c r="CC296" s="217">
        <v>0</v>
      </c>
      <c r="CD296" s="217">
        <v>0</v>
      </c>
      <c r="CE296" s="217">
        <v>0</v>
      </c>
      <c r="CF296" s="217">
        <v>0</v>
      </c>
      <c r="CG296" s="217">
        <v>0</v>
      </c>
      <c r="CH296" s="217">
        <v>0</v>
      </c>
      <c r="CI296" s="217">
        <v>0</v>
      </c>
      <c r="CJ296" s="217">
        <v>0</v>
      </c>
    </row>
    <row r="297" spans="1:88" x14ac:dyDescent="0.25">
      <c r="A297" s="217" t="s">
        <v>22</v>
      </c>
      <c r="B297" s="217" t="s">
        <v>23</v>
      </c>
      <c r="C297" s="217" t="s">
        <v>85</v>
      </c>
      <c r="D297" s="217" t="s">
        <v>84</v>
      </c>
      <c r="E297" s="217" t="s">
        <v>157</v>
      </c>
      <c r="F297" s="217" t="s">
        <v>156</v>
      </c>
      <c r="G297" s="217" t="s">
        <v>345</v>
      </c>
      <c r="H297" s="217" t="s">
        <v>1032</v>
      </c>
      <c r="I297" s="217" t="s">
        <v>29</v>
      </c>
      <c r="J297" s="217" t="s">
        <v>1858</v>
      </c>
      <c r="K297" s="217">
        <v>15</v>
      </c>
      <c r="L297" s="217">
        <v>134</v>
      </c>
      <c r="M297" s="217" t="s">
        <v>31</v>
      </c>
      <c r="N297" s="217" t="s">
        <v>32</v>
      </c>
      <c r="O297" s="217" t="s">
        <v>68</v>
      </c>
      <c r="P297" s="217" t="s">
        <v>34</v>
      </c>
      <c r="Q297" s="217" t="s">
        <v>35</v>
      </c>
      <c r="R297" s="217" t="s">
        <v>23</v>
      </c>
      <c r="S297" s="217" t="s">
        <v>22</v>
      </c>
      <c r="T297" s="217" t="s">
        <v>84</v>
      </c>
      <c r="U297" s="217" t="s">
        <v>85</v>
      </c>
      <c r="V297" s="217" t="s">
        <v>97</v>
      </c>
      <c r="W297" s="217" t="s">
        <v>98</v>
      </c>
      <c r="BC297" s="217" t="s">
        <v>85</v>
      </c>
      <c r="BD297" s="217" t="s">
        <v>98</v>
      </c>
      <c r="BE297" s="217" t="s">
        <v>1146</v>
      </c>
      <c r="BF297" s="217" t="s">
        <v>1145</v>
      </c>
      <c r="BG297" s="217" t="s">
        <v>1998</v>
      </c>
      <c r="BH297" s="217" t="s">
        <v>1658</v>
      </c>
      <c r="BI297" s="217" t="s">
        <v>1660</v>
      </c>
      <c r="BJ297" s="217" t="s">
        <v>1660</v>
      </c>
      <c r="BK297" s="217" t="s">
        <v>637</v>
      </c>
      <c r="BL297" s="217"/>
      <c r="BM297" s="217"/>
      <c r="BN297" s="217">
        <v>0</v>
      </c>
      <c r="BO297" s="217">
        <v>0</v>
      </c>
      <c r="BR297" s="217" t="s">
        <v>85</v>
      </c>
      <c r="BS297" s="217" t="s">
        <v>98</v>
      </c>
      <c r="BT297" s="217" t="s">
        <v>831</v>
      </c>
      <c r="BU297" s="217" t="s">
        <v>1265</v>
      </c>
      <c r="BV297" s="217">
        <v>6</v>
      </c>
      <c r="BW297" s="217">
        <v>32</v>
      </c>
      <c r="BX297" s="217">
        <v>0</v>
      </c>
      <c r="BY297" s="217">
        <v>0</v>
      </c>
      <c r="BZ297" s="217">
        <v>0</v>
      </c>
      <c r="CA297" s="217">
        <v>0</v>
      </c>
      <c r="CB297" s="217">
        <v>6</v>
      </c>
      <c r="CC297" s="217">
        <v>32</v>
      </c>
      <c r="CD297" s="217">
        <v>0</v>
      </c>
      <c r="CE297" s="217">
        <v>0</v>
      </c>
      <c r="CF297" s="217">
        <v>0</v>
      </c>
      <c r="CG297" s="217">
        <v>0</v>
      </c>
      <c r="CH297" s="217">
        <v>0</v>
      </c>
      <c r="CI297" s="217">
        <v>0</v>
      </c>
      <c r="CJ297" s="217">
        <v>0</v>
      </c>
    </row>
    <row r="298" spans="1:88" x14ac:dyDescent="0.25">
      <c r="A298" s="217" t="s">
        <v>22</v>
      </c>
      <c r="B298" s="217" t="s">
        <v>23</v>
      </c>
      <c r="C298" s="217" t="s">
        <v>85</v>
      </c>
      <c r="D298" s="217" t="s">
        <v>84</v>
      </c>
      <c r="E298" s="217" t="s">
        <v>157</v>
      </c>
      <c r="F298" s="217" t="s">
        <v>156</v>
      </c>
      <c r="G298" s="217" t="s">
        <v>346</v>
      </c>
      <c r="H298" s="217" t="s">
        <v>1033</v>
      </c>
      <c r="I298" s="217" t="s">
        <v>29</v>
      </c>
      <c r="J298" s="217" t="s">
        <v>1855</v>
      </c>
      <c r="K298" s="217">
        <v>30</v>
      </c>
      <c r="L298" s="217">
        <v>150</v>
      </c>
      <c r="M298" s="217" t="s">
        <v>31</v>
      </c>
      <c r="N298" s="217" t="s">
        <v>32</v>
      </c>
      <c r="O298" s="217" t="s">
        <v>68</v>
      </c>
      <c r="P298" s="217" t="s">
        <v>34</v>
      </c>
      <c r="Q298" s="217" t="s">
        <v>35</v>
      </c>
      <c r="R298" s="217" t="s">
        <v>23</v>
      </c>
      <c r="S298" s="217" t="s">
        <v>22</v>
      </c>
      <c r="T298" s="217" t="s">
        <v>84</v>
      </c>
      <c r="U298" s="217" t="s">
        <v>85</v>
      </c>
      <c r="V298" s="217" t="s">
        <v>91</v>
      </c>
      <c r="W298" s="217" t="s">
        <v>92</v>
      </c>
      <c r="BC298" s="217" t="s">
        <v>85</v>
      </c>
      <c r="BD298" s="217" t="s">
        <v>98</v>
      </c>
      <c r="BE298" s="217" t="s">
        <v>1147</v>
      </c>
      <c r="BF298" s="217" t="s">
        <v>385</v>
      </c>
      <c r="BG298" s="217" t="s">
        <v>1998</v>
      </c>
      <c r="BH298" s="217" t="s">
        <v>1658</v>
      </c>
      <c r="BI298" s="217" t="s">
        <v>1660</v>
      </c>
      <c r="BJ298" s="217" t="s">
        <v>1660</v>
      </c>
      <c r="BK298" s="217" t="s">
        <v>637</v>
      </c>
      <c r="BL298" s="217"/>
      <c r="BM298" s="217"/>
      <c r="BN298" s="217">
        <v>0</v>
      </c>
      <c r="BO298" s="217">
        <v>0</v>
      </c>
      <c r="BR298" s="217" t="s">
        <v>85</v>
      </c>
      <c r="BS298" s="217" t="s">
        <v>98</v>
      </c>
      <c r="BT298" s="217" t="s">
        <v>1251</v>
      </c>
      <c r="BU298" s="217" t="s">
        <v>1252</v>
      </c>
      <c r="BV298" s="217">
        <v>7</v>
      </c>
      <c r="BW298" s="217">
        <v>55</v>
      </c>
      <c r="BX298" s="217">
        <v>0</v>
      </c>
      <c r="BY298" s="217">
        <v>0</v>
      </c>
      <c r="BZ298" s="217">
        <v>0</v>
      </c>
      <c r="CA298" s="217">
        <v>0</v>
      </c>
      <c r="CB298" s="217">
        <v>19</v>
      </c>
      <c r="CC298" s="217">
        <v>100</v>
      </c>
      <c r="CD298" s="217">
        <v>0</v>
      </c>
      <c r="CE298" s="217">
        <v>0</v>
      </c>
      <c r="CF298" s="217">
        <v>0</v>
      </c>
      <c r="CG298" s="217">
        <v>0</v>
      </c>
      <c r="CH298" s="217">
        <v>-45</v>
      </c>
      <c r="CI298" s="217">
        <v>0</v>
      </c>
      <c r="CJ298" s="217">
        <v>0</v>
      </c>
    </row>
    <row r="299" spans="1:88" x14ac:dyDescent="0.25">
      <c r="A299" s="217" t="s">
        <v>22</v>
      </c>
      <c r="B299" s="217" t="s">
        <v>23</v>
      </c>
      <c r="C299" s="217" t="s">
        <v>85</v>
      </c>
      <c r="D299" s="217" t="s">
        <v>84</v>
      </c>
      <c r="E299" s="217" t="s">
        <v>157</v>
      </c>
      <c r="F299" s="217" t="s">
        <v>156</v>
      </c>
      <c r="G299" s="217" t="s">
        <v>346</v>
      </c>
      <c r="H299" s="217" t="s">
        <v>1033</v>
      </c>
      <c r="I299" s="217" t="s">
        <v>29</v>
      </c>
      <c r="J299" s="217" t="s">
        <v>1858</v>
      </c>
      <c r="K299" s="217">
        <v>24</v>
      </c>
      <c r="L299" s="217">
        <v>204</v>
      </c>
      <c r="M299" s="217" t="s">
        <v>31</v>
      </c>
      <c r="N299" s="217" t="s">
        <v>32</v>
      </c>
      <c r="O299" s="217" t="s">
        <v>68</v>
      </c>
      <c r="P299" s="217" t="s">
        <v>34</v>
      </c>
      <c r="Q299" s="217" t="s">
        <v>35</v>
      </c>
      <c r="R299" s="217" t="s">
        <v>23</v>
      </c>
      <c r="S299" s="217" t="s">
        <v>22</v>
      </c>
      <c r="T299" s="217" t="s">
        <v>84</v>
      </c>
      <c r="U299" s="217" t="s">
        <v>85</v>
      </c>
      <c r="V299" s="217" t="s">
        <v>97</v>
      </c>
      <c r="W299" s="217" t="s">
        <v>98</v>
      </c>
      <c r="BC299" s="217" t="s">
        <v>85</v>
      </c>
      <c r="BD299" s="217" t="s">
        <v>98</v>
      </c>
      <c r="BE299" s="217" t="s">
        <v>1675</v>
      </c>
      <c r="BF299" s="217" t="s">
        <v>1676</v>
      </c>
      <c r="BG299" s="217" t="s">
        <v>1998</v>
      </c>
      <c r="BH299" s="217" t="s">
        <v>1660</v>
      </c>
      <c r="BI299" s="217" t="s">
        <v>1660</v>
      </c>
      <c r="BJ299" s="217" t="s">
        <v>1660</v>
      </c>
      <c r="BK299" s="217" t="s">
        <v>637</v>
      </c>
      <c r="BL299" s="217"/>
      <c r="BM299" s="217"/>
      <c r="BN299" s="217">
        <v>0</v>
      </c>
      <c r="BO299" s="217">
        <v>0</v>
      </c>
      <c r="BR299" s="217" t="s">
        <v>85</v>
      </c>
      <c r="BS299" s="217" t="s">
        <v>98</v>
      </c>
      <c r="BT299" s="217" t="s">
        <v>417</v>
      </c>
      <c r="BU299" s="217" t="s">
        <v>1217</v>
      </c>
      <c r="BV299" s="217">
        <v>5</v>
      </c>
      <c r="BW299" s="217">
        <v>22</v>
      </c>
      <c r="BX299" s="217">
        <v>14</v>
      </c>
      <c r="BY299" s="217">
        <v>77</v>
      </c>
      <c r="BZ299" s="217">
        <v>0</v>
      </c>
      <c r="CA299" s="217">
        <v>0</v>
      </c>
      <c r="CB299" s="217">
        <v>5</v>
      </c>
      <c r="CC299" s="217">
        <v>22</v>
      </c>
      <c r="CD299" s="217">
        <v>12</v>
      </c>
      <c r="CE299" s="217">
        <v>65</v>
      </c>
      <c r="CF299" s="217">
        <v>0</v>
      </c>
      <c r="CG299" s="217">
        <v>0</v>
      </c>
      <c r="CH299" s="217">
        <v>0</v>
      </c>
      <c r="CI299" s="217">
        <v>12</v>
      </c>
      <c r="CJ299" s="217">
        <v>0</v>
      </c>
    </row>
    <row r="300" spans="1:88" x14ac:dyDescent="0.25">
      <c r="A300" s="217" t="s">
        <v>22</v>
      </c>
      <c r="B300" s="217" t="s">
        <v>23</v>
      </c>
      <c r="C300" s="217" t="s">
        <v>85</v>
      </c>
      <c r="D300" s="217" t="s">
        <v>84</v>
      </c>
      <c r="E300" s="217" t="s">
        <v>157</v>
      </c>
      <c r="F300" s="217" t="s">
        <v>156</v>
      </c>
      <c r="G300" s="217" t="s">
        <v>347</v>
      </c>
      <c r="H300" s="217" t="s">
        <v>1034</v>
      </c>
      <c r="I300" s="217" t="s">
        <v>29</v>
      </c>
      <c r="J300" s="217" t="s">
        <v>1855</v>
      </c>
      <c r="K300" s="217">
        <v>70</v>
      </c>
      <c r="L300" s="217">
        <v>350</v>
      </c>
      <c r="M300" s="217" t="s">
        <v>31</v>
      </c>
      <c r="N300" s="217" t="s">
        <v>32</v>
      </c>
      <c r="O300" s="217" t="s">
        <v>68</v>
      </c>
      <c r="P300" s="217" t="s">
        <v>34</v>
      </c>
      <c r="Q300" s="217" t="s">
        <v>35</v>
      </c>
      <c r="R300" s="217" t="s">
        <v>23</v>
      </c>
      <c r="S300" s="217" t="s">
        <v>22</v>
      </c>
      <c r="T300" s="217" t="s">
        <v>84</v>
      </c>
      <c r="U300" s="217" t="s">
        <v>85</v>
      </c>
      <c r="V300" s="217" t="s">
        <v>91</v>
      </c>
      <c r="W300" s="217" t="s">
        <v>92</v>
      </c>
      <c r="BC300" s="217" t="s">
        <v>85</v>
      </c>
      <c r="BD300" s="217" t="s">
        <v>98</v>
      </c>
      <c r="BE300" s="217" t="s">
        <v>1148</v>
      </c>
      <c r="BF300" s="217" t="s">
        <v>158</v>
      </c>
      <c r="BG300" s="217" t="s">
        <v>1998</v>
      </c>
      <c r="BH300" s="217" t="s">
        <v>1658</v>
      </c>
      <c r="BI300" s="217" t="s">
        <v>1658</v>
      </c>
      <c r="BJ300" s="217" t="s">
        <v>1660</v>
      </c>
      <c r="BK300" s="217" t="s">
        <v>637</v>
      </c>
      <c r="BL300" s="217"/>
      <c r="BM300" s="217"/>
      <c r="BN300" s="217">
        <v>0</v>
      </c>
      <c r="BO300" s="217">
        <v>0</v>
      </c>
      <c r="BR300" s="217" t="s">
        <v>85</v>
      </c>
      <c r="BS300" s="217" t="s">
        <v>98</v>
      </c>
      <c r="BT300" s="217" t="s">
        <v>1145</v>
      </c>
      <c r="BU300" s="217" t="s">
        <v>1146</v>
      </c>
      <c r="BV300" s="217">
        <v>7</v>
      </c>
      <c r="BW300" s="217">
        <v>55</v>
      </c>
      <c r="BX300" s="217">
        <v>0</v>
      </c>
      <c r="BY300" s="217">
        <v>0</v>
      </c>
      <c r="BZ300" s="217">
        <v>0</v>
      </c>
      <c r="CA300" s="217">
        <v>0</v>
      </c>
      <c r="CB300" s="217">
        <v>7</v>
      </c>
      <c r="CC300" s="217">
        <v>55</v>
      </c>
      <c r="CD300" s="217">
        <v>0</v>
      </c>
      <c r="CE300" s="217">
        <v>0</v>
      </c>
      <c r="CF300" s="217">
        <v>0</v>
      </c>
      <c r="CG300" s="217">
        <v>0</v>
      </c>
      <c r="CH300" s="217">
        <v>0</v>
      </c>
      <c r="CI300" s="217">
        <v>0</v>
      </c>
      <c r="CJ300" s="217">
        <v>0</v>
      </c>
    </row>
    <row r="301" spans="1:88" x14ac:dyDescent="0.25">
      <c r="A301" s="217" t="s">
        <v>22</v>
      </c>
      <c r="B301" s="217" t="s">
        <v>23</v>
      </c>
      <c r="C301" s="217" t="s">
        <v>85</v>
      </c>
      <c r="D301" s="217" t="s">
        <v>84</v>
      </c>
      <c r="E301" s="217" t="s">
        <v>157</v>
      </c>
      <c r="F301" s="217" t="s">
        <v>156</v>
      </c>
      <c r="G301" s="217" t="s">
        <v>347</v>
      </c>
      <c r="H301" s="217" t="s">
        <v>1034</v>
      </c>
      <c r="I301" s="217" t="s">
        <v>29</v>
      </c>
      <c r="J301" s="217" t="s">
        <v>1856</v>
      </c>
      <c r="K301" s="217">
        <v>30</v>
      </c>
      <c r="L301" s="217">
        <v>150</v>
      </c>
      <c r="M301" s="217" t="s">
        <v>31</v>
      </c>
      <c r="N301" s="217" t="s">
        <v>32</v>
      </c>
      <c r="O301" s="217" t="s">
        <v>68</v>
      </c>
      <c r="P301" s="217" t="s">
        <v>34</v>
      </c>
      <c r="Q301" s="217" t="s">
        <v>35</v>
      </c>
      <c r="R301" s="217" t="s">
        <v>23</v>
      </c>
      <c r="S301" s="217" t="s">
        <v>22</v>
      </c>
      <c r="T301" s="217" t="s">
        <v>84</v>
      </c>
      <c r="U301" s="217" t="s">
        <v>85</v>
      </c>
      <c r="V301" s="217" t="s">
        <v>97</v>
      </c>
      <c r="W301" s="217" t="s">
        <v>98</v>
      </c>
      <c r="BC301" s="217" t="s">
        <v>85</v>
      </c>
      <c r="BD301" s="217" t="s">
        <v>98</v>
      </c>
      <c r="BE301" s="217" t="s">
        <v>1149</v>
      </c>
      <c r="BF301" s="217" t="s">
        <v>159</v>
      </c>
      <c r="BG301" s="217" t="s">
        <v>1998</v>
      </c>
      <c r="BH301" s="217" t="s">
        <v>1658</v>
      </c>
      <c r="BI301" s="217" t="s">
        <v>1660</v>
      </c>
      <c r="BJ301" s="217" t="s">
        <v>1658</v>
      </c>
      <c r="BK301" s="217" t="s">
        <v>637</v>
      </c>
      <c r="BL301" s="217"/>
      <c r="BM301" s="217"/>
      <c r="BN301" s="217">
        <v>0</v>
      </c>
      <c r="BO301" s="217">
        <v>0</v>
      </c>
      <c r="BR301" s="217" t="s">
        <v>85</v>
      </c>
      <c r="BS301" s="217" t="s">
        <v>98</v>
      </c>
      <c r="BT301" s="217" t="s">
        <v>401</v>
      </c>
      <c r="BU301" s="217" t="s">
        <v>1184</v>
      </c>
      <c r="BV301" s="217">
        <v>6</v>
      </c>
      <c r="BW301" s="217">
        <v>32</v>
      </c>
      <c r="BX301" s="217">
        <v>12</v>
      </c>
      <c r="BY301" s="217">
        <v>53</v>
      </c>
      <c r="BZ301" s="217">
        <v>0</v>
      </c>
      <c r="CA301" s="217">
        <v>0</v>
      </c>
      <c r="CB301" s="217">
        <v>6</v>
      </c>
      <c r="CC301" s="217">
        <v>32</v>
      </c>
      <c r="CD301" s="217">
        <v>12</v>
      </c>
      <c r="CE301" s="217">
        <v>53</v>
      </c>
      <c r="CF301" s="217">
        <v>0</v>
      </c>
      <c r="CG301" s="217">
        <v>0</v>
      </c>
      <c r="CH301" s="217">
        <v>0</v>
      </c>
      <c r="CI301" s="217">
        <v>0</v>
      </c>
      <c r="CJ301" s="217">
        <v>0</v>
      </c>
    </row>
    <row r="302" spans="1:88" x14ac:dyDescent="0.25">
      <c r="A302" s="217" t="s">
        <v>22</v>
      </c>
      <c r="B302" s="217" t="s">
        <v>23</v>
      </c>
      <c r="C302" s="217" t="s">
        <v>85</v>
      </c>
      <c r="D302" s="217" t="s">
        <v>84</v>
      </c>
      <c r="E302" s="217" t="s">
        <v>157</v>
      </c>
      <c r="F302" s="217" t="s">
        <v>156</v>
      </c>
      <c r="G302" s="217" t="s">
        <v>348</v>
      </c>
      <c r="H302" s="217" t="s">
        <v>1035</v>
      </c>
      <c r="I302" s="217" t="s">
        <v>29</v>
      </c>
      <c r="J302" s="217" t="s">
        <v>1855</v>
      </c>
      <c r="K302" s="217">
        <v>183</v>
      </c>
      <c r="L302" s="217">
        <v>915</v>
      </c>
      <c r="M302" s="217" t="s">
        <v>31</v>
      </c>
      <c r="N302" s="217" t="s">
        <v>32</v>
      </c>
      <c r="O302" s="217" t="s">
        <v>68</v>
      </c>
      <c r="P302" s="217" t="s">
        <v>34</v>
      </c>
      <c r="Q302" s="217" t="s">
        <v>35</v>
      </c>
      <c r="R302" s="217" t="s">
        <v>23</v>
      </c>
      <c r="S302" s="217" t="s">
        <v>22</v>
      </c>
      <c r="T302" s="217" t="s">
        <v>84</v>
      </c>
      <c r="U302" s="217" t="s">
        <v>85</v>
      </c>
      <c r="V302" s="217" t="s">
        <v>97</v>
      </c>
      <c r="W302" s="217" t="s">
        <v>98</v>
      </c>
      <c r="BC302" s="217" t="s">
        <v>85</v>
      </c>
      <c r="BD302" s="217" t="s">
        <v>98</v>
      </c>
      <c r="BE302" s="217" t="s">
        <v>1970</v>
      </c>
      <c r="BF302" s="217" t="s">
        <v>2008</v>
      </c>
      <c r="BG302" s="217" t="s">
        <v>1998</v>
      </c>
      <c r="BH302" s="217" t="s">
        <v>1660</v>
      </c>
      <c r="BI302" s="217" t="s">
        <v>1658</v>
      </c>
      <c r="BJ302" s="217" t="s">
        <v>1660</v>
      </c>
      <c r="BK302" s="217" t="s">
        <v>637</v>
      </c>
      <c r="BL302" s="217"/>
      <c r="BM302" s="217"/>
      <c r="BN302" s="217">
        <v>0</v>
      </c>
      <c r="BO302" s="217">
        <v>0</v>
      </c>
      <c r="BR302" s="217" t="s">
        <v>85</v>
      </c>
      <c r="BS302" s="217" t="s">
        <v>98</v>
      </c>
      <c r="BT302" s="217" t="s">
        <v>375</v>
      </c>
      <c r="BU302" s="217" t="s">
        <v>1122</v>
      </c>
      <c r="BV302" s="217">
        <v>8</v>
      </c>
      <c r="BW302" s="217">
        <v>36</v>
      </c>
      <c r="BX302" s="217">
        <v>0</v>
      </c>
      <c r="BY302" s="217">
        <v>0</v>
      </c>
      <c r="BZ302" s="217">
        <v>0</v>
      </c>
      <c r="CA302" s="217">
        <v>0</v>
      </c>
      <c r="CB302" s="217">
        <v>8</v>
      </c>
      <c r="CC302" s="217">
        <v>36</v>
      </c>
      <c r="CD302" s="217">
        <v>0</v>
      </c>
      <c r="CE302" s="217">
        <v>0</v>
      </c>
      <c r="CF302" s="217">
        <v>0</v>
      </c>
      <c r="CG302" s="217">
        <v>0</v>
      </c>
      <c r="CH302" s="217">
        <v>0</v>
      </c>
      <c r="CI302" s="217">
        <v>0</v>
      </c>
      <c r="CJ302" s="217">
        <v>0</v>
      </c>
    </row>
    <row r="303" spans="1:88" x14ac:dyDescent="0.25">
      <c r="A303" s="217" t="s">
        <v>22</v>
      </c>
      <c r="B303" s="217" t="s">
        <v>23</v>
      </c>
      <c r="C303" s="217" t="s">
        <v>85</v>
      </c>
      <c r="D303" s="217" t="s">
        <v>84</v>
      </c>
      <c r="E303" s="217" t="s">
        <v>157</v>
      </c>
      <c r="F303" s="217" t="s">
        <v>156</v>
      </c>
      <c r="G303" s="217" t="s">
        <v>348</v>
      </c>
      <c r="H303" s="217" t="s">
        <v>1035</v>
      </c>
      <c r="I303" s="217" t="s">
        <v>29</v>
      </c>
      <c r="J303" s="217" t="s">
        <v>1856</v>
      </c>
      <c r="K303" s="217">
        <v>117</v>
      </c>
      <c r="L303" s="217">
        <v>585</v>
      </c>
      <c r="M303" s="217" t="s">
        <v>31</v>
      </c>
      <c r="N303" s="217" t="s">
        <v>32</v>
      </c>
      <c r="O303" s="217" t="s">
        <v>68</v>
      </c>
      <c r="P303" s="217" t="s">
        <v>34</v>
      </c>
      <c r="Q303" s="217" t="s">
        <v>35</v>
      </c>
      <c r="R303" s="217" t="s">
        <v>23</v>
      </c>
      <c r="S303" s="217" t="s">
        <v>22</v>
      </c>
      <c r="T303" s="217" t="s">
        <v>84</v>
      </c>
      <c r="U303" s="217" t="s">
        <v>85</v>
      </c>
      <c r="V303" s="217" t="s">
        <v>97</v>
      </c>
      <c r="W303" s="217" t="s">
        <v>98</v>
      </c>
      <c r="BC303" s="217" t="s">
        <v>85</v>
      </c>
      <c r="BD303" s="217" t="s">
        <v>98</v>
      </c>
      <c r="BE303" s="217" t="s">
        <v>1507</v>
      </c>
      <c r="BF303" s="217" t="s">
        <v>824</v>
      </c>
      <c r="BG303" s="217" t="s">
        <v>1998</v>
      </c>
      <c r="BH303" s="217" t="s">
        <v>1660</v>
      </c>
      <c r="BI303" s="217" t="s">
        <v>1658</v>
      </c>
      <c r="BJ303" s="217" t="s">
        <v>1660</v>
      </c>
      <c r="BK303" s="217" t="s">
        <v>637</v>
      </c>
      <c r="BL303" s="217"/>
      <c r="BM303" s="217"/>
      <c r="BN303" s="217">
        <v>0</v>
      </c>
      <c r="BO303" s="217">
        <v>0</v>
      </c>
      <c r="BR303" s="217" t="s">
        <v>85</v>
      </c>
      <c r="BS303" s="217" t="s">
        <v>98</v>
      </c>
      <c r="BT303" s="217" t="s">
        <v>702</v>
      </c>
      <c r="BU303" s="217" t="s">
        <v>1520</v>
      </c>
      <c r="BV303" s="217">
        <v>3</v>
      </c>
      <c r="BW303" s="217">
        <v>17</v>
      </c>
      <c r="BX303" s="217">
        <v>3</v>
      </c>
      <c r="BY303" s="217">
        <v>26</v>
      </c>
      <c r="BZ303" s="217">
        <v>0</v>
      </c>
      <c r="CA303" s="217">
        <v>0</v>
      </c>
      <c r="CB303" s="217">
        <v>0</v>
      </c>
      <c r="CC303" s="217">
        <v>0</v>
      </c>
      <c r="CD303" s="217">
        <v>3</v>
      </c>
      <c r="CE303" s="217">
        <v>26</v>
      </c>
      <c r="CF303" s="217">
        <v>0</v>
      </c>
      <c r="CG303" s="217">
        <v>0</v>
      </c>
      <c r="CH303" s="217">
        <v>17</v>
      </c>
      <c r="CI303" s="217">
        <v>0</v>
      </c>
      <c r="CJ303" s="217">
        <v>0</v>
      </c>
    </row>
    <row r="304" spans="1:88" x14ac:dyDescent="0.25">
      <c r="A304" s="217" t="s">
        <v>22</v>
      </c>
      <c r="B304" s="217" t="s">
        <v>23</v>
      </c>
      <c r="C304" s="217" t="s">
        <v>85</v>
      </c>
      <c r="D304" s="217" t="s">
        <v>84</v>
      </c>
      <c r="E304" s="217" t="s">
        <v>157</v>
      </c>
      <c r="F304" s="217" t="s">
        <v>156</v>
      </c>
      <c r="G304" s="217" t="s">
        <v>348</v>
      </c>
      <c r="H304" s="217" t="s">
        <v>1035</v>
      </c>
      <c r="I304" s="217" t="s">
        <v>29</v>
      </c>
      <c r="J304" s="217" t="s">
        <v>1857</v>
      </c>
      <c r="K304" s="217">
        <v>8</v>
      </c>
      <c r="L304" s="217">
        <v>68</v>
      </c>
      <c r="M304" s="217" t="s">
        <v>31</v>
      </c>
      <c r="N304" s="217" t="s">
        <v>32</v>
      </c>
      <c r="O304" s="217" t="s">
        <v>68</v>
      </c>
      <c r="P304" s="217" t="s">
        <v>34</v>
      </c>
      <c r="Q304" s="217" t="s">
        <v>35</v>
      </c>
      <c r="R304" s="217" t="s">
        <v>23</v>
      </c>
      <c r="S304" s="217" t="s">
        <v>22</v>
      </c>
      <c r="T304" s="217" t="s">
        <v>84</v>
      </c>
      <c r="U304" s="217" t="s">
        <v>85</v>
      </c>
      <c r="V304" s="217" t="s">
        <v>97</v>
      </c>
      <c r="W304" s="217" t="s">
        <v>98</v>
      </c>
      <c r="BC304" s="217" t="s">
        <v>85</v>
      </c>
      <c r="BD304" s="217" t="s">
        <v>98</v>
      </c>
      <c r="BE304" s="217" t="s">
        <v>1150</v>
      </c>
      <c r="BF304" s="217" t="s">
        <v>160</v>
      </c>
      <c r="BG304" s="217" t="s">
        <v>1998</v>
      </c>
      <c r="BH304" s="217" t="s">
        <v>1658</v>
      </c>
      <c r="BI304" s="217" t="s">
        <v>1658</v>
      </c>
      <c r="BJ304" s="217" t="s">
        <v>1660</v>
      </c>
      <c r="BK304" s="217" t="s">
        <v>637</v>
      </c>
      <c r="BL304" s="217"/>
      <c r="BM304" s="217"/>
      <c r="BN304" s="217">
        <v>0</v>
      </c>
      <c r="BO304" s="217">
        <v>0</v>
      </c>
      <c r="BR304" s="217" t="s">
        <v>85</v>
      </c>
      <c r="BS304" s="217" t="s">
        <v>98</v>
      </c>
      <c r="BT304" s="217" t="s">
        <v>415</v>
      </c>
      <c r="BU304" s="217" t="s">
        <v>1213</v>
      </c>
      <c r="BV304" s="217">
        <v>19</v>
      </c>
      <c r="BW304" s="217">
        <v>99</v>
      </c>
      <c r="BX304" s="217">
        <v>0</v>
      </c>
      <c r="BY304" s="217">
        <v>0</v>
      </c>
      <c r="BZ304" s="217">
        <v>0</v>
      </c>
      <c r="CA304" s="217">
        <v>0</v>
      </c>
      <c r="CB304" s="217">
        <v>19</v>
      </c>
      <c r="CC304" s="217">
        <v>99</v>
      </c>
      <c r="CD304" s="217">
        <v>0</v>
      </c>
      <c r="CE304" s="217">
        <v>0</v>
      </c>
      <c r="CF304" s="217">
        <v>0</v>
      </c>
      <c r="CG304" s="217">
        <v>0</v>
      </c>
      <c r="CH304" s="217">
        <v>0</v>
      </c>
      <c r="CI304" s="217">
        <v>0</v>
      </c>
      <c r="CJ304" s="217">
        <v>0</v>
      </c>
    </row>
    <row r="305" spans="1:88" x14ac:dyDescent="0.25">
      <c r="A305" s="217" t="s">
        <v>22</v>
      </c>
      <c r="B305" s="217" t="s">
        <v>23</v>
      </c>
      <c r="C305" s="217" t="s">
        <v>85</v>
      </c>
      <c r="D305" s="217" t="s">
        <v>84</v>
      </c>
      <c r="E305" s="217" t="s">
        <v>157</v>
      </c>
      <c r="F305" s="217" t="s">
        <v>156</v>
      </c>
      <c r="G305" s="217" t="s">
        <v>348</v>
      </c>
      <c r="H305" s="217" t="s">
        <v>1035</v>
      </c>
      <c r="I305" s="217" t="s">
        <v>29</v>
      </c>
      <c r="J305" s="217" t="s">
        <v>1858</v>
      </c>
      <c r="K305" s="217">
        <v>8</v>
      </c>
      <c r="L305" s="217">
        <v>70</v>
      </c>
      <c r="M305" s="217" t="s">
        <v>637</v>
      </c>
      <c r="N305" s="217" t="s">
        <v>2136</v>
      </c>
      <c r="O305" s="217" t="s">
        <v>68</v>
      </c>
      <c r="P305" s="217" t="s">
        <v>34</v>
      </c>
      <c r="Q305" s="217" t="s">
        <v>35</v>
      </c>
      <c r="R305" s="217" t="s">
        <v>23</v>
      </c>
      <c r="S305" s="217" t="s">
        <v>22</v>
      </c>
      <c r="T305" s="217" t="s">
        <v>84</v>
      </c>
      <c r="U305" s="217" t="s">
        <v>85</v>
      </c>
      <c r="V305" s="217" t="s">
        <v>97</v>
      </c>
      <c r="W305" s="217" t="s">
        <v>98</v>
      </c>
      <c r="BC305" s="217" t="s">
        <v>85</v>
      </c>
      <c r="BD305" s="217" t="s">
        <v>98</v>
      </c>
      <c r="BE305" s="217" t="s">
        <v>1151</v>
      </c>
      <c r="BF305" s="217" t="s">
        <v>161</v>
      </c>
      <c r="BG305" s="217" t="s">
        <v>1998</v>
      </c>
      <c r="BH305" s="217" t="s">
        <v>1658</v>
      </c>
      <c r="BI305" s="217" t="s">
        <v>1658</v>
      </c>
      <c r="BJ305" s="217" t="s">
        <v>1658</v>
      </c>
      <c r="BK305" s="217" t="s">
        <v>637</v>
      </c>
      <c r="BL305" s="217"/>
      <c r="BM305" s="217"/>
      <c r="BN305" s="217">
        <v>0</v>
      </c>
      <c r="BO305" s="217">
        <v>0</v>
      </c>
      <c r="BR305" s="217" t="s">
        <v>85</v>
      </c>
      <c r="BS305" s="217" t="s">
        <v>98</v>
      </c>
      <c r="BT305" s="217" t="s">
        <v>418</v>
      </c>
      <c r="BU305" s="217" t="s">
        <v>1218</v>
      </c>
      <c r="BV305" s="217">
        <v>15</v>
      </c>
      <c r="BW305" s="217">
        <v>92</v>
      </c>
      <c r="BX305" s="217">
        <v>0</v>
      </c>
      <c r="BY305" s="217">
        <v>0</v>
      </c>
      <c r="BZ305" s="217">
        <v>0</v>
      </c>
      <c r="CA305" s="217">
        <v>0</v>
      </c>
      <c r="CB305" s="217">
        <v>15</v>
      </c>
      <c r="CC305" s="217">
        <v>92</v>
      </c>
      <c r="CD305" s="217">
        <v>0</v>
      </c>
      <c r="CE305" s="217">
        <v>0</v>
      </c>
      <c r="CF305" s="217">
        <v>0</v>
      </c>
      <c r="CG305" s="217">
        <v>0</v>
      </c>
      <c r="CH305" s="217">
        <v>0</v>
      </c>
      <c r="CI305" s="217">
        <v>0</v>
      </c>
      <c r="CJ305" s="217">
        <v>0</v>
      </c>
    </row>
    <row r="306" spans="1:88" x14ac:dyDescent="0.25">
      <c r="A306" s="217" t="s">
        <v>22</v>
      </c>
      <c r="B306" s="217" t="s">
        <v>23</v>
      </c>
      <c r="C306" s="217" t="s">
        <v>85</v>
      </c>
      <c r="D306" s="217" t="s">
        <v>84</v>
      </c>
      <c r="E306" s="217" t="s">
        <v>157</v>
      </c>
      <c r="F306" s="217" t="s">
        <v>156</v>
      </c>
      <c r="G306" s="217" t="s">
        <v>349</v>
      </c>
      <c r="H306" s="217" t="s">
        <v>1036</v>
      </c>
      <c r="I306" s="217" t="s">
        <v>29</v>
      </c>
      <c r="J306" s="217" t="s">
        <v>1855</v>
      </c>
      <c r="K306" s="217">
        <v>7</v>
      </c>
      <c r="L306" s="217">
        <v>35</v>
      </c>
      <c r="M306" s="217" t="s">
        <v>31</v>
      </c>
      <c r="N306" s="217" t="s">
        <v>32</v>
      </c>
      <c r="O306" s="217" t="s">
        <v>68</v>
      </c>
      <c r="P306" s="217" t="s">
        <v>34</v>
      </c>
      <c r="Q306" s="217" t="s">
        <v>35</v>
      </c>
      <c r="R306" s="217" t="s">
        <v>23</v>
      </c>
      <c r="S306" s="217" t="s">
        <v>22</v>
      </c>
      <c r="T306" s="217" t="s">
        <v>84</v>
      </c>
      <c r="U306" s="217" t="s">
        <v>85</v>
      </c>
      <c r="V306" s="217" t="s">
        <v>91</v>
      </c>
      <c r="W306" s="217" t="s">
        <v>92</v>
      </c>
      <c r="BC306" s="217" t="s">
        <v>85</v>
      </c>
      <c r="BD306" s="217" t="s">
        <v>98</v>
      </c>
      <c r="BE306" s="217" t="s">
        <v>1153</v>
      </c>
      <c r="BF306" s="217" t="s">
        <v>1152</v>
      </c>
      <c r="BG306" s="217" t="s">
        <v>1998</v>
      </c>
      <c r="BH306" s="217" t="s">
        <v>1658</v>
      </c>
      <c r="BI306" s="217" t="s">
        <v>1660</v>
      </c>
      <c r="BJ306" s="217" t="s">
        <v>1660</v>
      </c>
      <c r="BK306" s="217" t="s">
        <v>637</v>
      </c>
      <c r="BL306" s="217"/>
      <c r="BM306" s="217"/>
      <c r="BN306" s="217">
        <v>0</v>
      </c>
      <c r="BO306" s="217">
        <v>0</v>
      </c>
      <c r="BR306" s="217" t="s">
        <v>85</v>
      </c>
      <c r="BS306" s="217" t="s">
        <v>98</v>
      </c>
      <c r="BT306" s="217" t="s">
        <v>381</v>
      </c>
      <c r="BU306" s="217" t="s">
        <v>1139</v>
      </c>
      <c r="BV306" s="217">
        <v>7</v>
      </c>
      <c r="BW306" s="217">
        <v>52</v>
      </c>
      <c r="BX306" s="217">
        <v>0</v>
      </c>
      <c r="BY306" s="217">
        <v>0</v>
      </c>
      <c r="BZ306" s="217">
        <v>0</v>
      </c>
      <c r="CA306" s="217">
        <v>0</v>
      </c>
      <c r="CB306" s="217">
        <v>7</v>
      </c>
      <c r="CC306" s="217">
        <v>52</v>
      </c>
      <c r="CD306" s="217">
        <v>0</v>
      </c>
      <c r="CE306" s="217">
        <v>0</v>
      </c>
      <c r="CF306" s="217">
        <v>0</v>
      </c>
      <c r="CG306" s="217">
        <v>0</v>
      </c>
      <c r="CH306" s="217">
        <v>0</v>
      </c>
      <c r="CI306" s="217">
        <v>0</v>
      </c>
      <c r="CJ306" s="217">
        <v>0</v>
      </c>
    </row>
    <row r="307" spans="1:88" x14ac:dyDescent="0.25">
      <c r="A307" s="217" t="s">
        <v>22</v>
      </c>
      <c r="B307" s="217" t="s">
        <v>23</v>
      </c>
      <c r="C307" s="217" t="s">
        <v>85</v>
      </c>
      <c r="D307" s="217" t="s">
        <v>84</v>
      </c>
      <c r="E307" s="217" t="s">
        <v>157</v>
      </c>
      <c r="F307" s="217" t="s">
        <v>156</v>
      </c>
      <c r="G307" s="217" t="s">
        <v>349</v>
      </c>
      <c r="H307" s="217" t="s">
        <v>1036</v>
      </c>
      <c r="I307" s="217" t="s">
        <v>29</v>
      </c>
      <c r="J307" s="217" t="s">
        <v>1856</v>
      </c>
      <c r="K307" s="217">
        <v>14</v>
      </c>
      <c r="L307" s="217">
        <v>70</v>
      </c>
      <c r="M307" s="217" t="s">
        <v>31</v>
      </c>
      <c r="N307" s="217" t="s">
        <v>32</v>
      </c>
      <c r="O307" s="217" t="s">
        <v>68</v>
      </c>
      <c r="P307" s="217" t="s">
        <v>34</v>
      </c>
      <c r="Q307" s="217" t="s">
        <v>35</v>
      </c>
      <c r="R307" s="217" t="s">
        <v>23</v>
      </c>
      <c r="S307" s="217" t="s">
        <v>22</v>
      </c>
      <c r="T307" s="217" t="s">
        <v>84</v>
      </c>
      <c r="U307" s="217" t="s">
        <v>85</v>
      </c>
      <c r="V307" s="217" t="s">
        <v>91</v>
      </c>
      <c r="W307" s="217" t="s">
        <v>92</v>
      </c>
      <c r="BC307" s="217" t="s">
        <v>85</v>
      </c>
      <c r="BD307" s="217" t="s">
        <v>98</v>
      </c>
      <c r="BE307" s="217" t="s">
        <v>1154</v>
      </c>
      <c r="BF307" s="217" t="s">
        <v>386</v>
      </c>
      <c r="BG307" s="217" t="s">
        <v>1998</v>
      </c>
      <c r="BH307" s="217" t="s">
        <v>1658</v>
      </c>
      <c r="BI307" s="217" t="s">
        <v>1660</v>
      </c>
      <c r="BJ307" s="217" t="s">
        <v>1658</v>
      </c>
      <c r="BK307" s="217" t="s">
        <v>637</v>
      </c>
      <c r="BL307" s="217"/>
      <c r="BM307" s="217"/>
      <c r="BN307" s="217">
        <v>0</v>
      </c>
      <c r="BO307" s="217">
        <v>0</v>
      </c>
      <c r="BR307" s="217" t="s">
        <v>85</v>
      </c>
      <c r="BS307" s="217" t="s">
        <v>98</v>
      </c>
      <c r="BT307" s="217" t="s">
        <v>385</v>
      </c>
      <c r="BU307" s="217" t="s">
        <v>1147</v>
      </c>
      <c r="BV307" s="217">
        <v>16</v>
      </c>
      <c r="BW307" s="217">
        <v>103</v>
      </c>
      <c r="BX307" s="217">
        <v>0</v>
      </c>
      <c r="BY307" s="217">
        <v>0</v>
      </c>
      <c r="BZ307" s="217">
        <v>0</v>
      </c>
      <c r="CA307" s="217">
        <v>0</v>
      </c>
      <c r="CB307" s="217">
        <v>16</v>
      </c>
      <c r="CC307" s="217">
        <v>103</v>
      </c>
      <c r="CD307" s="217">
        <v>0</v>
      </c>
      <c r="CE307" s="217">
        <v>0</v>
      </c>
      <c r="CF307" s="217">
        <v>0</v>
      </c>
      <c r="CG307" s="217">
        <v>0</v>
      </c>
      <c r="CH307" s="217">
        <v>0</v>
      </c>
      <c r="CI307" s="217">
        <v>0</v>
      </c>
      <c r="CJ307" s="217">
        <v>0</v>
      </c>
    </row>
    <row r="308" spans="1:88" x14ac:dyDescent="0.25">
      <c r="A308" s="217" t="s">
        <v>22</v>
      </c>
      <c r="B308" s="217" t="s">
        <v>23</v>
      </c>
      <c r="C308" s="217" t="s">
        <v>85</v>
      </c>
      <c r="D308" s="217" t="s">
        <v>84</v>
      </c>
      <c r="E308" s="217" t="s">
        <v>157</v>
      </c>
      <c r="F308" s="217" t="s">
        <v>156</v>
      </c>
      <c r="G308" s="217" t="s">
        <v>350</v>
      </c>
      <c r="H308" s="217" t="s">
        <v>1037</v>
      </c>
      <c r="I308" s="217" t="s">
        <v>29</v>
      </c>
      <c r="J308" s="217" t="s">
        <v>1856</v>
      </c>
      <c r="K308" s="217">
        <v>10</v>
      </c>
      <c r="L308" s="217">
        <v>35</v>
      </c>
      <c r="M308" s="217" t="s">
        <v>31</v>
      </c>
      <c r="N308" s="217" t="s">
        <v>32</v>
      </c>
      <c r="O308" s="217" t="s">
        <v>68</v>
      </c>
      <c r="P308" s="217" t="s">
        <v>34</v>
      </c>
      <c r="Q308" s="217" t="s">
        <v>35</v>
      </c>
      <c r="R308" s="217" t="s">
        <v>23</v>
      </c>
      <c r="S308" s="217" t="s">
        <v>22</v>
      </c>
      <c r="T308" s="217" t="s">
        <v>84</v>
      </c>
      <c r="U308" s="217" t="s">
        <v>85</v>
      </c>
      <c r="V308" s="217" t="s">
        <v>91</v>
      </c>
      <c r="W308" s="217" t="s">
        <v>92</v>
      </c>
      <c r="BC308" s="217" t="s">
        <v>85</v>
      </c>
      <c r="BD308" s="217" t="s">
        <v>98</v>
      </c>
      <c r="BE308" s="217" t="s">
        <v>1155</v>
      </c>
      <c r="BF308" s="217" t="s">
        <v>387</v>
      </c>
      <c r="BG308" s="217" t="s">
        <v>1998</v>
      </c>
      <c r="BH308" s="217" t="s">
        <v>1658</v>
      </c>
      <c r="BI308" s="217" t="s">
        <v>1660</v>
      </c>
      <c r="BJ308" s="217" t="s">
        <v>1660</v>
      </c>
      <c r="BK308" s="217" t="s">
        <v>637</v>
      </c>
      <c r="BL308" s="217"/>
      <c r="BM308" s="217"/>
      <c r="BN308" s="217">
        <v>0</v>
      </c>
      <c r="BO308" s="217">
        <v>0</v>
      </c>
      <c r="BR308" s="217" t="s">
        <v>85</v>
      </c>
      <c r="BS308" s="217" t="s">
        <v>98</v>
      </c>
      <c r="BT308" s="217" t="s">
        <v>447</v>
      </c>
      <c r="BU308" s="217" t="s">
        <v>1267</v>
      </c>
      <c r="BV308" s="217">
        <v>7</v>
      </c>
      <c r="BW308" s="217">
        <v>38</v>
      </c>
      <c r="BX308" s="217">
        <v>41</v>
      </c>
      <c r="BY308" s="217">
        <v>204</v>
      </c>
      <c r="BZ308" s="217">
        <v>0</v>
      </c>
      <c r="CA308" s="217">
        <v>0</v>
      </c>
      <c r="CB308" s="217">
        <v>7</v>
      </c>
      <c r="CC308" s="217">
        <v>38</v>
      </c>
      <c r="CD308" s="217">
        <v>41</v>
      </c>
      <c r="CE308" s="217">
        <v>204</v>
      </c>
      <c r="CF308" s="217">
        <v>0</v>
      </c>
      <c r="CG308" s="217">
        <v>0</v>
      </c>
      <c r="CH308" s="217">
        <v>0</v>
      </c>
      <c r="CI308" s="217">
        <v>0</v>
      </c>
      <c r="CJ308" s="217">
        <v>0</v>
      </c>
    </row>
    <row r="309" spans="1:88" x14ac:dyDescent="0.25">
      <c r="A309" s="217" t="s">
        <v>22</v>
      </c>
      <c r="B309" s="217" t="s">
        <v>23</v>
      </c>
      <c r="C309" s="217" t="s">
        <v>85</v>
      </c>
      <c r="D309" s="217" t="s">
        <v>84</v>
      </c>
      <c r="E309" s="217" t="s">
        <v>157</v>
      </c>
      <c r="F309" s="217" t="s">
        <v>156</v>
      </c>
      <c r="G309" s="217" t="s">
        <v>351</v>
      </c>
      <c r="H309" s="217" t="s">
        <v>1038</v>
      </c>
      <c r="I309" s="217" t="s">
        <v>29</v>
      </c>
      <c r="J309" s="217" t="s">
        <v>1855</v>
      </c>
      <c r="K309" s="217">
        <v>40</v>
      </c>
      <c r="L309" s="217">
        <v>200</v>
      </c>
      <c r="M309" s="217" t="s">
        <v>31</v>
      </c>
      <c r="N309" s="217" t="s">
        <v>32</v>
      </c>
      <c r="O309" s="217" t="s">
        <v>68</v>
      </c>
      <c r="P309" s="217" t="s">
        <v>34</v>
      </c>
      <c r="Q309" s="217" t="s">
        <v>35</v>
      </c>
      <c r="R309" s="217" t="s">
        <v>23</v>
      </c>
      <c r="S309" s="217" t="s">
        <v>22</v>
      </c>
      <c r="T309" s="217" t="s">
        <v>84</v>
      </c>
      <c r="U309" s="217" t="s">
        <v>85</v>
      </c>
      <c r="V309" s="217" t="s">
        <v>91</v>
      </c>
      <c r="W309" s="217" t="s">
        <v>92</v>
      </c>
      <c r="BC309" s="217" t="s">
        <v>85</v>
      </c>
      <c r="BD309" s="217" t="s">
        <v>98</v>
      </c>
      <c r="BE309" s="217" t="s">
        <v>1157</v>
      </c>
      <c r="BF309" s="217" t="s">
        <v>1156</v>
      </c>
      <c r="BG309" s="217" t="s">
        <v>2000</v>
      </c>
      <c r="BH309" s="217" t="s">
        <v>1658</v>
      </c>
      <c r="BI309" s="217" t="s">
        <v>1660</v>
      </c>
      <c r="BJ309" s="217" t="s">
        <v>1660</v>
      </c>
      <c r="BK309" s="217" t="s">
        <v>637</v>
      </c>
      <c r="BL309" s="217"/>
      <c r="BM309" s="217"/>
      <c r="BN309" s="217">
        <v>0</v>
      </c>
      <c r="BO309" s="217">
        <v>0</v>
      </c>
      <c r="BR309" s="217" t="s">
        <v>85</v>
      </c>
      <c r="BS309" s="217" t="s">
        <v>98</v>
      </c>
      <c r="BT309" s="217" t="s">
        <v>419</v>
      </c>
      <c r="BU309" s="217" t="s">
        <v>1219</v>
      </c>
      <c r="BV309" s="217">
        <v>12</v>
      </c>
      <c r="BW309" s="217">
        <v>71</v>
      </c>
      <c r="BX309" s="217">
        <v>0</v>
      </c>
      <c r="BY309" s="217">
        <v>0</v>
      </c>
      <c r="BZ309" s="217">
        <v>0</v>
      </c>
      <c r="CA309" s="217">
        <v>0</v>
      </c>
      <c r="CB309" s="217">
        <v>12</v>
      </c>
      <c r="CC309" s="217">
        <v>71</v>
      </c>
      <c r="CD309" s="217">
        <v>0</v>
      </c>
      <c r="CE309" s="217">
        <v>0</v>
      </c>
      <c r="CF309" s="217">
        <v>0</v>
      </c>
      <c r="CG309" s="217">
        <v>0</v>
      </c>
      <c r="CH309" s="217">
        <v>0</v>
      </c>
      <c r="CI309" s="217">
        <v>0</v>
      </c>
      <c r="CJ309" s="217">
        <v>0</v>
      </c>
    </row>
    <row r="310" spans="1:88" x14ac:dyDescent="0.25">
      <c r="A310" s="217" t="s">
        <v>22</v>
      </c>
      <c r="B310" s="217" t="s">
        <v>23</v>
      </c>
      <c r="C310" s="217" t="s">
        <v>85</v>
      </c>
      <c r="D310" s="217" t="s">
        <v>84</v>
      </c>
      <c r="E310" s="217" t="s">
        <v>157</v>
      </c>
      <c r="F310" s="217" t="s">
        <v>156</v>
      </c>
      <c r="G310" s="217" t="s">
        <v>351</v>
      </c>
      <c r="H310" s="217" t="s">
        <v>1038</v>
      </c>
      <c r="I310" s="217" t="s">
        <v>29</v>
      </c>
      <c r="J310" s="217" t="s">
        <v>1856</v>
      </c>
      <c r="K310" s="217">
        <v>80</v>
      </c>
      <c r="L310" s="217">
        <v>400</v>
      </c>
      <c r="M310" s="217" t="s">
        <v>31</v>
      </c>
      <c r="N310" s="217" t="s">
        <v>32</v>
      </c>
      <c r="O310" s="217" t="s">
        <v>68</v>
      </c>
      <c r="P310" s="217" t="s">
        <v>34</v>
      </c>
      <c r="Q310" s="217" t="s">
        <v>35</v>
      </c>
      <c r="R310" s="217" t="s">
        <v>23</v>
      </c>
      <c r="S310" s="217" t="s">
        <v>22</v>
      </c>
      <c r="T310" s="217" t="s">
        <v>84</v>
      </c>
      <c r="U310" s="217" t="s">
        <v>85</v>
      </c>
      <c r="V310" s="217" t="s">
        <v>91</v>
      </c>
      <c r="W310" s="217" t="s">
        <v>92</v>
      </c>
      <c r="BC310" s="217" t="s">
        <v>85</v>
      </c>
      <c r="BD310" s="217" t="s">
        <v>98</v>
      </c>
      <c r="BE310" s="217" t="s">
        <v>1158</v>
      </c>
      <c r="BF310" s="217" t="s">
        <v>162</v>
      </c>
      <c r="BG310" s="217" t="s">
        <v>2006</v>
      </c>
      <c r="BH310" s="217" t="s">
        <v>1658</v>
      </c>
      <c r="BI310" s="217" t="s">
        <v>1658</v>
      </c>
      <c r="BJ310" s="217" t="s">
        <v>1658</v>
      </c>
      <c r="BK310" s="217" t="s">
        <v>637</v>
      </c>
      <c r="BL310" s="217"/>
      <c r="BM310" s="217"/>
      <c r="BN310" s="217">
        <v>0</v>
      </c>
      <c r="BO310" s="217">
        <v>0</v>
      </c>
      <c r="BR310" s="217" t="s">
        <v>85</v>
      </c>
      <c r="BS310" s="217" t="s">
        <v>98</v>
      </c>
      <c r="BT310" s="217" t="s">
        <v>443</v>
      </c>
      <c r="BU310" s="217" t="s">
        <v>1260</v>
      </c>
      <c r="BV310" s="217">
        <v>23</v>
      </c>
      <c r="BW310" s="217">
        <v>152</v>
      </c>
      <c r="BX310" s="217">
        <v>0</v>
      </c>
      <c r="BY310" s="217">
        <v>0</v>
      </c>
      <c r="BZ310" s="217">
        <v>0</v>
      </c>
      <c r="CA310" s="217">
        <v>0</v>
      </c>
      <c r="CB310" s="217">
        <v>23</v>
      </c>
      <c r="CC310" s="217">
        <v>152</v>
      </c>
      <c r="CD310" s="217">
        <v>0</v>
      </c>
      <c r="CE310" s="217">
        <v>0</v>
      </c>
      <c r="CF310" s="217">
        <v>0</v>
      </c>
      <c r="CG310" s="217">
        <v>0</v>
      </c>
      <c r="CH310" s="217">
        <v>0</v>
      </c>
      <c r="CI310" s="217">
        <v>0</v>
      </c>
      <c r="CJ310" s="217">
        <v>0</v>
      </c>
    </row>
    <row r="311" spans="1:88" x14ac:dyDescent="0.25">
      <c r="A311" s="217" t="s">
        <v>22</v>
      </c>
      <c r="B311" s="217" t="s">
        <v>23</v>
      </c>
      <c r="C311" s="217" t="s">
        <v>85</v>
      </c>
      <c r="D311" s="217" t="s">
        <v>84</v>
      </c>
      <c r="E311" s="217" t="s">
        <v>157</v>
      </c>
      <c r="F311" s="217" t="s">
        <v>156</v>
      </c>
      <c r="G311" s="217" t="s">
        <v>351</v>
      </c>
      <c r="H311" s="217" t="s">
        <v>1038</v>
      </c>
      <c r="I311" s="217" t="s">
        <v>29</v>
      </c>
      <c r="J311" s="217" t="s">
        <v>1857</v>
      </c>
      <c r="K311" s="217">
        <v>8</v>
      </c>
      <c r="L311" s="217">
        <v>53</v>
      </c>
      <c r="M311" s="217" t="s">
        <v>31</v>
      </c>
      <c r="N311" s="217" t="s">
        <v>32</v>
      </c>
      <c r="O311" s="217" t="s">
        <v>68</v>
      </c>
      <c r="P311" s="217" t="s">
        <v>34</v>
      </c>
      <c r="Q311" s="217" t="s">
        <v>35</v>
      </c>
      <c r="R311" s="217" t="s">
        <v>23</v>
      </c>
      <c r="S311" s="217" t="s">
        <v>22</v>
      </c>
      <c r="T311" s="217" t="s">
        <v>84</v>
      </c>
      <c r="U311" s="217" t="s">
        <v>85</v>
      </c>
      <c r="V311" s="217" t="s">
        <v>97</v>
      </c>
      <c r="W311" s="217" t="s">
        <v>98</v>
      </c>
      <c r="BC311" s="217" t="s">
        <v>85</v>
      </c>
      <c r="BD311" s="217" t="s">
        <v>98</v>
      </c>
      <c r="BE311" s="217" t="s">
        <v>1159</v>
      </c>
      <c r="BF311" s="217" t="s">
        <v>807</v>
      </c>
      <c r="BG311" s="217" t="s">
        <v>1998</v>
      </c>
      <c r="BH311" s="217" t="s">
        <v>1658</v>
      </c>
      <c r="BI311" s="217" t="s">
        <v>1660</v>
      </c>
      <c r="BJ311" s="217" t="s">
        <v>1660</v>
      </c>
      <c r="BK311" s="217" t="s">
        <v>637</v>
      </c>
      <c r="BL311" s="217"/>
      <c r="BM311" s="217"/>
      <c r="BN311" s="217">
        <v>0</v>
      </c>
      <c r="BO311" s="217">
        <v>0</v>
      </c>
      <c r="BR311" s="217" t="s">
        <v>85</v>
      </c>
      <c r="BS311" s="217" t="s">
        <v>98</v>
      </c>
      <c r="BT311" s="217" t="s">
        <v>821</v>
      </c>
      <c r="BU311" s="217" t="s">
        <v>1256</v>
      </c>
      <c r="BV311" s="217">
        <v>8</v>
      </c>
      <c r="BW311" s="217">
        <v>68</v>
      </c>
      <c r="BX311" s="217">
        <v>0</v>
      </c>
      <c r="BY311" s="217">
        <v>0</v>
      </c>
      <c r="BZ311" s="217">
        <v>0</v>
      </c>
      <c r="CA311" s="217">
        <v>0</v>
      </c>
      <c r="CB311" s="217">
        <v>8</v>
      </c>
      <c r="CC311" s="217">
        <v>68</v>
      </c>
      <c r="CD311" s="217">
        <v>0</v>
      </c>
      <c r="CE311" s="217">
        <v>0</v>
      </c>
      <c r="CF311" s="217">
        <v>0</v>
      </c>
      <c r="CG311" s="217">
        <v>0</v>
      </c>
      <c r="CH311" s="217">
        <v>0</v>
      </c>
      <c r="CI311" s="217">
        <v>0</v>
      </c>
      <c r="CJ311" s="217">
        <v>0</v>
      </c>
    </row>
    <row r="312" spans="1:88" x14ac:dyDescent="0.25">
      <c r="A312" s="217" t="s">
        <v>22</v>
      </c>
      <c r="B312" s="217" t="s">
        <v>23</v>
      </c>
      <c r="C312" s="217" t="s">
        <v>85</v>
      </c>
      <c r="D312" s="217" t="s">
        <v>84</v>
      </c>
      <c r="E312" s="217" t="s">
        <v>157</v>
      </c>
      <c r="F312" s="217" t="s">
        <v>156</v>
      </c>
      <c r="G312" s="217" t="s">
        <v>351</v>
      </c>
      <c r="H312" s="217" t="s">
        <v>1038</v>
      </c>
      <c r="I312" s="217" t="s">
        <v>29</v>
      </c>
      <c r="J312" s="217" t="s">
        <v>1858</v>
      </c>
      <c r="K312" s="217">
        <v>7</v>
      </c>
      <c r="L312" s="217">
        <v>55</v>
      </c>
      <c r="M312" s="217" t="s">
        <v>31</v>
      </c>
      <c r="N312" s="217" t="s">
        <v>32</v>
      </c>
      <c r="O312" s="217" t="s">
        <v>68</v>
      </c>
      <c r="P312" s="217" t="s">
        <v>34</v>
      </c>
      <c r="Q312" s="217" t="s">
        <v>35</v>
      </c>
      <c r="R312" s="217" t="s">
        <v>23</v>
      </c>
      <c r="S312" s="217" t="s">
        <v>22</v>
      </c>
      <c r="T312" s="217" t="s">
        <v>84</v>
      </c>
      <c r="U312" s="217" t="s">
        <v>85</v>
      </c>
      <c r="V312" s="217" t="s">
        <v>97</v>
      </c>
      <c r="W312" s="217" t="s">
        <v>98</v>
      </c>
      <c r="BC312" s="217" t="s">
        <v>85</v>
      </c>
      <c r="BD312" s="217" t="s">
        <v>98</v>
      </c>
      <c r="BE312" s="217" t="s">
        <v>1508</v>
      </c>
      <c r="BF312" s="217" t="s">
        <v>624</v>
      </c>
      <c r="BG312" s="217" t="s">
        <v>1998</v>
      </c>
      <c r="BH312" s="217" t="s">
        <v>1660</v>
      </c>
      <c r="BI312" s="217" t="s">
        <v>1658</v>
      </c>
      <c r="BJ312" s="217" t="s">
        <v>1660</v>
      </c>
      <c r="BK312" s="217" t="s">
        <v>637</v>
      </c>
      <c r="BL312" s="217"/>
      <c r="BM312" s="217"/>
      <c r="BN312" s="217">
        <v>0</v>
      </c>
      <c r="BO312" s="217">
        <v>0</v>
      </c>
      <c r="BR312" s="217" t="s">
        <v>85</v>
      </c>
      <c r="BS312" s="217" t="s">
        <v>98</v>
      </c>
      <c r="BT312" s="217" t="s">
        <v>807</v>
      </c>
      <c r="BU312" s="217" t="s">
        <v>1159</v>
      </c>
      <c r="BV312" s="217">
        <v>13</v>
      </c>
      <c r="BW312" s="217">
        <v>42</v>
      </c>
      <c r="BX312" s="217">
        <v>0</v>
      </c>
      <c r="BY312" s="217">
        <v>0</v>
      </c>
      <c r="BZ312" s="217">
        <v>0</v>
      </c>
      <c r="CA312" s="217">
        <v>0</v>
      </c>
      <c r="CB312" s="217">
        <v>13</v>
      </c>
      <c r="CC312" s="217">
        <v>42</v>
      </c>
      <c r="CD312" s="217">
        <v>0</v>
      </c>
      <c r="CE312" s="217">
        <v>0</v>
      </c>
      <c r="CF312" s="217">
        <v>0</v>
      </c>
      <c r="CG312" s="217">
        <v>0</v>
      </c>
      <c r="CH312" s="217">
        <v>0</v>
      </c>
      <c r="CI312" s="217">
        <v>0</v>
      </c>
      <c r="CJ312" s="217">
        <v>0</v>
      </c>
    </row>
    <row r="313" spans="1:88" x14ac:dyDescent="0.25">
      <c r="A313" s="217" t="s">
        <v>22</v>
      </c>
      <c r="B313" s="217" t="s">
        <v>23</v>
      </c>
      <c r="C313" s="217" t="s">
        <v>85</v>
      </c>
      <c r="D313" s="217" t="s">
        <v>84</v>
      </c>
      <c r="E313" s="217" t="s">
        <v>157</v>
      </c>
      <c r="F313" s="217" t="s">
        <v>156</v>
      </c>
      <c r="G313" s="217" t="s">
        <v>352</v>
      </c>
      <c r="H313" s="217" t="s">
        <v>1039</v>
      </c>
      <c r="I313" s="217" t="s">
        <v>29</v>
      </c>
      <c r="J313" s="217" t="s">
        <v>1855</v>
      </c>
      <c r="K313" s="217">
        <v>4</v>
      </c>
      <c r="L313" s="217">
        <v>25</v>
      </c>
      <c r="M313" s="217" t="s">
        <v>31</v>
      </c>
      <c r="N313" s="217" t="s">
        <v>32</v>
      </c>
      <c r="O313" s="217" t="s">
        <v>68</v>
      </c>
      <c r="P313" s="217" t="s">
        <v>34</v>
      </c>
      <c r="Q313" s="217" t="s">
        <v>35</v>
      </c>
      <c r="R313" s="217" t="s">
        <v>23</v>
      </c>
      <c r="S313" s="217" t="s">
        <v>22</v>
      </c>
      <c r="T313" s="217" t="s">
        <v>84</v>
      </c>
      <c r="U313" s="217" t="s">
        <v>85</v>
      </c>
      <c r="V313" s="217" t="s">
        <v>150</v>
      </c>
      <c r="W313" s="217" t="s">
        <v>151</v>
      </c>
      <c r="BC313" s="217" t="s">
        <v>85</v>
      </c>
      <c r="BD313" s="217" t="s">
        <v>98</v>
      </c>
      <c r="BE313" s="217" t="s">
        <v>1160</v>
      </c>
      <c r="BF313" s="217" t="s">
        <v>388</v>
      </c>
      <c r="BG313" s="217" t="s">
        <v>1998</v>
      </c>
      <c r="BH313" s="217" t="s">
        <v>1658</v>
      </c>
      <c r="BI313" s="217" t="s">
        <v>1658</v>
      </c>
      <c r="BJ313" s="217" t="s">
        <v>1660</v>
      </c>
      <c r="BK313" s="217" t="s">
        <v>637</v>
      </c>
      <c r="BL313" s="217"/>
      <c r="BM313" s="217"/>
      <c r="BN313" s="217">
        <v>0</v>
      </c>
      <c r="BO313" s="217">
        <v>0</v>
      </c>
      <c r="BR313" s="217" t="s">
        <v>85</v>
      </c>
      <c r="BS313" s="217" t="s">
        <v>98</v>
      </c>
      <c r="BT313" s="217" t="s">
        <v>428</v>
      </c>
      <c r="BU313" s="217" t="s">
        <v>1229</v>
      </c>
      <c r="BV313" s="217">
        <v>10</v>
      </c>
      <c r="BW313" s="217">
        <v>72</v>
      </c>
      <c r="BX313" s="217">
        <v>0</v>
      </c>
      <c r="BY313" s="217">
        <v>0</v>
      </c>
      <c r="BZ313" s="217">
        <v>0</v>
      </c>
      <c r="CA313" s="217">
        <v>0</v>
      </c>
      <c r="CB313" s="217">
        <v>10</v>
      </c>
      <c r="CC313" s="217">
        <v>72</v>
      </c>
      <c r="CD313" s="217">
        <v>0</v>
      </c>
      <c r="CE313" s="217">
        <v>0</v>
      </c>
      <c r="CF313" s="217">
        <v>0</v>
      </c>
      <c r="CG313" s="217">
        <v>0</v>
      </c>
      <c r="CH313" s="217">
        <v>0</v>
      </c>
      <c r="CI313" s="217">
        <v>0</v>
      </c>
      <c r="CJ313" s="217">
        <v>0</v>
      </c>
    </row>
    <row r="314" spans="1:88" x14ac:dyDescent="0.25">
      <c r="A314" s="217" t="s">
        <v>22</v>
      </c>
      <c r="B314" s="217" t="s">
        <v>23</v>
      </c>
      <c r="C314" s="217" t="s">
        <v>85</v>
      </c>
      <c r="D314" s="217" t="s">
        <v>84</v>
      </c>
      <c r="E314" s="217" t="s">
        <v>157</v>
      </c>
      <c r="F314" s="217" t="s">
        <v>156</v>
      </c>
      <c r="G314" s="217" t="s">
        <v>352</v>
      </c>
      <c r="H314" s="217" t="s">
        <v>1039</v>
      </c>
      <c r="I314" s="217" t="s">
        <v>29</v>
      </c>
      <c r="J314" s="217" t="s">
        <v>1856</v>
      </c>
      <c r="K314" s="217">
        <v>6</v>
      </c>
      <c r="L314" s="217">
        <v>30</v>
      </c>
      <c r="M314" s="217" t="s">
        <v>31</v>
      </c>
      <c r="N314" s="217" t="s">
        <v>32</v>
      </c>
      <c r="O314" s="217" t="s">
        <v>68</v>
      </c>
      <c r="P314" s="217" t="s">
        <v>34</v>
      </c>
      <c r="Q314" s="217" t="s">
        <v>35</v>
      </c>
      <c r="R314" s="217" t="s">
        <v>23</v>
      </c>
      <c r="S314" s="217" t="s">
        <v>22</v>
      </c>
      <c r="T314" s="217" t="s">
        <v>84</v>
      </c>
      <c r="U314" s="217" t="s">
        <v>85</v>
      </c>
      <c r="V314" s="217" t="s">
        <v>150</v>
      </c>
      <c r="W314" s="217" t="s">
        <v>151</v>
      </c>
      <c r="BC314" s="217" t="s">
        <v>85</v>
      </c>
      <c r="BD314" s="217" t="s">
        <v>98</v>
      </c>
      <c r="BE314" s="217" t="s">
        <v>1509</v>
      </c>
      <c r="BF314" s="217" t="s">
        <v>796</v>
      </c>
      <c r="BG314" s="217" t="s">
        <v>1998</v>
      </c>
      <c r="BH314" s="217" t="s">
        <v>1660</v>
      </c>
      <c r="BI314" s="217" t="s">
        <v>1658</v>
      </c>
      <c r="BJ314" s="217" t="s">
        <v>1660</v>
      </c>
      <c r="BK314" s="217" t="s">
        <v>637</v>
      </c>
      <c r="BL314" s="217"/>
      <c r="BM314" s="217"/>
      <c r="BN314" s="217">
        <v>0</v>
      </c>
      <c r="BO314" s="217">
        <v>0</v>
      </c>
      <c r="BR314" s="217" t="s">
        <v>85</v>
      </c>
      <c r="BS314" s="217" t="s">
        <v>98</v>
      </c>
      <c r="BT314" s="217" t="s">
        <v>161</v>
      </c>
      <c r="BU314" s="217" t="s">
        <v>1151</v>
      </c>
      <c r="BV314" s="217">
        <v>27</v>
      </c>
      <c r="BW314" s="217">
        <v>208</v>
      </c>
      <c r="BX314" s="217">
        <v>115</v>
      </c>
      <c r="BY314" s="217">
        <v>726</v>
      </c>
      <c r="BZ314" s="217">
        <v>10</v>
      </c>
      <c r="CA314" s="217">
        <v>50</v>
      </c>
      <c r="CB314" s="217">
        <v>27</v>
      </c>
      <c r="CC314" s="217">
        <v>208</v>
      </c>
      <c r="CD314" s="217">
        <v>115</v>
      </c>
      <c r="CE314" s="217">
        <v>726</v>
      </c>
      <c r="CF314" s="217">
        <v>10</v>
      </c>
      <c r="CG314" s="217">
        <v>50</v>
      </c>
      <c r="CH314" s="217">
        <v>0</v>
      </c>
      <c r="CI314" s="217">
        <v>0</v>
      </c>
      <c r="CJ314" s="217">
        <v>0</v>
      </c>
    </row>
    <row r="315" spans="1:88" x14ac:dyDescent="0.25">
      <c r="A315" s="217" t="s">
        <v>22</v>
      </c>
      <c r="B315" s="217" t="s">
        <v>23</v>
      </c>
      <c r="C315" s="217" t="s">
        <v>85</v>
      </c>
      <c r="D315" s="217" t="s">
        <v>84</v>
      </c>
      <c r="E315" s="217" t="s">
        <v>157</v>
      </c>
      <c r="F315" s="217" t="s">
        <v>156</v>
      </c>
      <c r="G315" s="217" t="s">
        <v>352</v>
      </c>
      <c r="H315" s="217" t="s">
        <v>1039</v>
      </c>
      <c r="I315" s="217" t="s">
        <v>29</v>
      </c>
      <c r="J315" s="217" t="s">
        <v>1857</v>
      </c>
      <c r="K315" s="217">
        <v>4</v>
      </c>
      <c r="L315" s="217">
        <v>34</v>
      </c>
      <c r="M315" s="217" t="s">
        <v>31</v>
      </c>
      <c r="N315" s="217" t="s">
        <v>32</v>
      </c>
      <c r="O315" s="217" t="s">
        <v>68</v>
      </c>
      <c r="P315" s="217" t="s">
        <v>34</v>
      </c>
      <c r="Q315" s="217" t="s">
        <v>35</v>
      </c>
      <c r="R315" s="217" t="s">
        <v>23</v>
      </c>
      <c r="S315" s="217" t="s">
        <v>22</v>
      </c>
      <c r="T315" s="217" t="s">
        <v>84</v>
      </c>
      <c r="U315" s="217" t="s">
        <v>85</v>
      </c>
      <c r="V315" s="217" t="s">
        <v>150</v>
      </c>
      <c r="W315" s="217" t="s">
        <v>151</v>
      </c>
      <c r="BC315" s="217" t="s">
        <v>85</v>
      </c>
      <c r="BD315" s="217" t="s">
        <v>98</v>
      </c>
      <c r="BE315" s="217" t="s">
        <v>1161</v>
      </c>
      <c r="BF315" s="217" t="s">
        <v>389</v>
      </c>
      <c r="BG315" s="217" t="s">
        <v>1998</v>
      </c>
      <c r="BH315" s="217" t="s">
        <v>1658</v>
      </c>
      <c r="BI315" s="217" t="s">
        <v>1660</v>
      </c>
      <c r="BJ315" s="217" t="s">
        <v>1660</v>
      </c>
      <c r="BK315" s="217" t="s">
        <v>637</v>
      </c>
      <c r="BL315" s="217"/>
      <c r="BM315" s="217"/>
      <c r="BN315" s="217">
        <v>0</v>
      </c>
      <c r="BO315" s="217">
        <v>0</v>
      </c>
      <c r="BR315" s="217" t="s">
        <v>85</v>
      </c>
      <c r="BS315" s="217" t="s">
        <v>98</v>
      </c>
      <c r="BT315" s="217" t="s">
        <v>457</v>
      </c>
      <c r="BU315" s="217" t="s">
        <v>1289</v>
      </c>
      <c r="BV315" s="217">
        <v>61</v>
      </c>
      <c r="BW315" s="217">
        <v>465</v>
      </c>
      <c r="BX315" s="217">
        <v>0</v>
      </c>
      <c r="BY315" s="217">
        <v>0</v>
      </c>
      <c r="BZ315" s="217">
        <v>0</v>
      </c>
      <c r="CA315" s="217">
        <v>0</v>
      </c>
      <c r="CB315" s="217">
        <v>61</v>
      </c>
      <c r="CC315" s="217">
        <v>465</v>
      </c>
      <c r="CD315" s="217">
        <v>2</v>
      </c>
      <c r="CE315" s="217">
        <v>13</v>
      </c>
      <c r="CF315" s="217">
        <v>0</v>
      </c>
      <c r="CG315" s="217">
        <v>0</v>
      </c>
      <c r="CH315" s="217">
        <v>0</v>
      </c>
      <c r="CI315" s="217">
        <v>-13</v>
      </c>
      <c r="CJ315" s="217">
        <v>0</v>
      </c>
    </row>
    <row r="316" spans="1:88" x14ac:dyDescent="0.25">
      <c r="A316" s="217" t="s">
        <v>22</v>
      </c>
      <c r="B316" s="217" t="s">
        <v>23</v>
      </c>
      <c r="C316" s="217" t="s">
        <v>85</v>
      </c>
      <c r="D316" s="217" t="s">
        <v>84</v>
      </c>
      <c r="E316" s="217" t="s">
        <v>157</v>
      </c>
      <c r="F316" s="217" t="s">
        <v>156</v>
      </c>
      <c r="G316" s="217" t="s">
        <v>352</v>
      </c>
      <c r="H316" s="217" t="s">
        <v>1039</v>
      </c>
      <c r="I316" s="217" t="s">
        <v>29</v>
      </c>
      <c r="J316" s="217" t="s">
        <v>1858</v>
      </c>
      <c r="K316" s="217">
        <v>11</v>
      </c>
      <c r="L316" s="217">
        <v>52</v>
      </c>
      <c r="M316" s="217" t="s">
        <v>31</v>
      </c>
      <c r="N316" s="217" t="s">
        <v>32</v>
      </c>
      <c r="O316" s="217" t="s">
        <v>68</v>
      </c>
      <c r="P316" s="217" t="s">
        <v>34</v>
      </c>
      <c r="Q316" s="217" t="s">
        <v>35</v>
      </c>
      <c r="R316" s="217" t="s">
        <v>23</v>
      </c>
      <c r="S316" s="217" t="s">
        <v>22</v>
      </c>
      <c r="T316" s="217" t="s">
        <v>84</v>
      </c>
      <c r="U316" s="217" t="s">
        <v>85</v>
      </c>
      <c r="V316" s="217" t="s">
        <v>150</v>
      </c>
      <c r="W316" s="217" t="s">
        <v>151</v>
      </c>
      <c r="BC316" s="217" t="s">
        <v>85</v>
      </c>
      <c r="BD316" s="217" t="s">
        <v>98</v>
      </c>
      <c r="BE316" s="217" t="s">
        <v>1510</v>
      </c>
      <c r="BF316" s="217" t="s">
        <v>2009</v>
      </c>
      <c r="BG316" s="217" t="s">
        <v>2000</v>
      </c>
      <c r="BH316" s="217" t="s">
        <v>1660</v>
      </c>
      <c r="BI316" s="217" t="s">
        <v>1658</v>
      </c>
      <c r="BJ316" s="217" t="s">
        <v>1660</v>
      </c>
      <c r="BK316" s="217" t="s">
        <v>637</v>
      </c>
      <c r="BL316" s="217"/>
      <c r="BM316" s="217"/>
      <c r="BN316" s="217">
        <v>0</v>
      </c>
      <c r="BO316" s="217">
        <v>0</v>
      </c>
      <c r="BR316" s="217" t="s">
        <v>85</v>
      </c>
      <c r="BS316" s="217" t="s">
        <v>98</v>
      </c>
      <c r="BT316" s="217" t="s">
        <v>458</v>
      </c>
      <c r="BU316" s="217" t="s">
        <v>1290</v>
      </c>
      <c r="BV316" s="217">
        <v>59</v>
      </c>
      <c r="BW316" s="217">
        <v>502</v>
      </c>
      <c r="BX316" s="217">
        <v>0</v>
      </c>
      <c r="BY316" s="217">
        <v>0</v>
      </c>
      <c r="BZ316" s="217">
        <v>0</v>
      </c>
      <c r="CA316" s="217">
        <v>0</v>
      </c>
      <c r="CB316" s="217">
        <v>59</v>
      </c>
      <c r="CC316" s="217">
        <v>502</v>
      </c>
      <c r="CD316" s="217">
        <v>0</v>
      </c>
      <c r="CE316" s="217">
        <v>0</v>
      </c>
      <c r="CF316" s="217">
        <v>0</v>
      </c>
      <c r="CG316" s="217">
        <v>0</v>
      </c>
      <c r="CH316" s="217">
        <v>0</v>
      </c>
      <c r="CI316" s="217">
        <v>0</v>
      </c>
      <c r="CJ316" s="217">
        <v>0</v>
      </c>
    </row>
    <row r="317" spans="1:88" x14ac:dyDescent="0.25">
      <c r="A317" s="217" t="s">
        <v>22</v>
      </c>
      <c r="B317" s="217" t="s">
        <v>23</v>
      </c>
      <c r="C317" s="217" t="s">
        <v>85</v>
      </c>
      <c r="D317" s="217" t="s">
        <v>84</v>
      </c>
      <c r="E317" s="217" t="s">
        <v>157</v>
      </c>
      <c r="F317" s="217" t="s">
        <v>156</v>
      </c>
      <c r="G317" s="217" t="s">
        <v>353</v>
      </c>
      <c r="H317" s="217" t="s">
        <v>1040</v>
      </c>
      <c r="I317" s="217" t="s">
        <v>29</v>
      </c>
      <c r="J317" s="217" t="s">
        <v>1855</v>
      </c>
      <c r="K317" s="217">
        <v>2</v>
      </c>
      <c r="L317" s="217">
        <v>12</v>
      </c>
      <c r="M317" s="217" t="s">
        <v>31</v>
      </c>
      <c r="N317" s="217" t="s">
        <v>32</v>
      </c>
      <c r="O317" s="217" t="s">
        <v>68</v>
      </c>
      <c r="P317" s="217" t="s">
        <v>34</v>
      </c>
      <c r="Q317" s="217" t="s">
        <v>35</v>
      </c>
      <c r="R317" s="217" t="s">
        <v>23</v>
      </c>
      <c r="S317" s="217" t="s">
        <v>22</v>
      </c>
      <c r="T317" s="217" t="s">
        <v>84</v>
      </c>
      <c r="U317" s="217" t="s">
        <v>85</v>
      </c>
      <c r="V317" s="217" t="s">
        <v>97</v>
      </c>
      <c r="W317" s="217" t="s">
        <v>98</v>
      </c>
      <c r="BC317" s="217" t="s">
        <v>85</v>
      </c>
      <c r="BD317" s="217" t="s">
        <v>98</v>
      </c>
      <c r="BE317" s="217" t="s">
        <v>1163</v>
      </c>
      <c r="BF317" s="217" t="s">
        <v>1162</v>
      </c>
      <c r="BG317" s="217" t="s">
        <v>1998</v>
      </c>
      <c r="BH317" s="217" t="s">
        <v>1658</v>
      </c>
      <c r="BI317" s="217" t="s">
        <v>1660</v>
      </c>
      <c r="BJ317" s="217" t="s">
        <v>1660</v>
      </c>
      <c r="BK317" s="217" t="s">
        <v>637</v>
      </c>
      <c r="BL317" s="217"/>
      <c r="BM317" s="217"/>
      <c r="BN317" s="217">
        <v>0</v>
      </c>
      <c r="BO317" s="217">
        <v>0</v>
      </c>
      <c r="BR317" s="217" t="s">
        <v>85</v>
      </c>
      <c r="BS317" s="217" t="s">
        <v>98</v>
      </c>
      <c r="BT317" s="217" t="s">
        <v>623</v>
      </c>
      <c r="BU317" s="217" t="s">
        <v>1503</v>
      </c>
      <c r="BV317" s="217">
        <v>0</v>
      </c>
      <c r="BW317" s="217">
        <v>0</v>
      </c>
      <c r="BX317" s="217">
        <v>0</v>
      </c>
      <c r="BY317" s="217">
        <v>0</v>
      </c>
      <c r="BZ317" s="217">
        <v>0</v>
      </c>
      <c r="CA317" s="217">
        <v>0</v>
      </c>
      <c r="CB317" s="217">
        <v>0</v>
      </c>
      <c r="CC317" s="217">
        <v>0</v>
      </c>
      <c r="CD317" s="217">
        <v>0</v>
      </c>
      <c r="CE317" s="217">
        <v>0</v>
      </c>
      <c r="CF317" s="217">
        <v>0</v>
      </c>
      <c r="CG317" s="217">
        <v>0</v>
      </c>
      <c r="CH317" s="217">
        <v>0</v>
      </c>
      <c r="CI317" s="217">
        <v>0</v>
      </c>
      <c r="CJ317" s="217">
        <v>0</v>
      </c>
    </row>
    <row r="318" spans="1:88" x14ac:dyDescent="0.25">
      <c r="A318" s="217" t="s">
        <v>22</v>
      </c>
      <c r="B318" s="217" t="s">
        <v>23</v>
      </c>
      <c r="C318" s="217" t="s">
        <v>85</v>
      </c>
      <c r="D318" s="217" t="s">
        <v>84</v>
      </c>
      <c r="E318" s="217" t="s">
        <v>157</v>
      </c>
      <c r="F318" s="217" t="s">
        <v>156</v>
      </c>
      <c r="G318" s="217" t="s">
        <v>353</v>
      </c>
      <c r="H318" s="217" t="s">
        <v>1040</v>
      </c>
      <c r="I318" s="217" t="s">
        <v>29</v>
      </c>
      <c r="J318" s="217" t="s">
        <v>1856</v>
      </c>
      <c r="K318" s="217">
        <v>8</v>
      </c>
      <c r="L318" s="217">
        <v>61</v>
      </c>
      <c r="M318" s="217" t="s">
        <v>31</v>
      </c>
      <c r="N318" s="217" t="s">
        <v>32</v>
      </c>
      <c r="O318" s="217" t="s">
        <v>68</v>
      </c>
      <c r="P318" s="217" t="s">
        <v>34</v>
      </c>
      <c r="Q318" s="217" t="s">
        <v>35</v>
      </c>
      <c r="R318" s="217" t="s">
        <v>23</v>
      </c>
      <c r="S318" s="217" t="s">
        <v>22</v>
      </c>
      <c r="T318" s="217" t="s">
        <v>84</v>
      </c>
      <c r="U318" s="217" t="s">
        <v>85</v>
      </c>
      <c r="V318" s="217" t="s">
        <v>97</v>
      </c>
      <c r="W318" s="217" t="s">
        <v>98</v>
      </c>
      <c r="BC318" s="217" t="s">
        <v>85</v>
      </c>
      <c r="BD318" s="217" t="s">
        <v>98</v>
      </c>
      <c r="BE318" s="217" t="s">
        <v>1164</v>
      </c>
      <c r="BF318" s="217" t="s">
        <v>791</v>
      </c>
      <c r="BG318" s="217" t="s">
        <v>1998</v>
      </c>
      <c r="BH318" s="217" t="s">
        <v>1658</v>
      </c>
      <c r="BI318" s="217" t="s">
        <v>1658</v>
      </c>
      <c r="BJ318" s="217" t="s">
        <v>1660</v>
      </c>
      <c r="BK318" s="217" t="s">
        <v>637</v>
      </c>
      <c r="BL318" s="217"/>
      <c r="BM318" s="217"/>
      <c r="BN318" s="217">
        <v>0</v>
      </c>
      <c r="BO318" s="217">
        <v>0</v>
      </c>
      <c r="BR318" s="217" t="s">
        <v>85</v>
      </c>
      <c r="BS318" s="217" t="s">
        <v>98</v>
      </c>
      <c r="BT318" s="217" t="s">
        <v>456</v>
      </c>
      <c r="BU318" s="217" t="s">
        <v>1288</v>
      </c>
      <c r="BV318" s="217">
        <v>95</v>
      </c>
      <c r="BW318" s="217">
        <v>468</v>
      </c>
      <c r="BX318" s="217">
        <v>0</v>
      </c>
      <c r="BY318" s="217">
        <v>0</v>
      </c>
      <c r="BZ318" s="217">
        <v>0</v>
      </c>
      <c r="CA318" s="217">
        <v>0</v>
      </c>
      <c r="CB318" s="217">
        <v>95</v>
      </c>
      <c r="CC318" s="217">
        <v>468</v>
      </c>
      <c r="CD318" s="217">
        <v>0</v>
      </c>
      <c r="CE318" s="217">
        <v>0</v>
      </c>
      <c r="CF318" s="217">
        <v>0</v>
      </c>
      <c r="CG318" s="217">
        <v>0</v>
      </c>
      <c r="CH318" s="217">
        <v>0</v>
      </c>
      <c r="CI318" s="217">
        <v>0</v>
      </c>
      <c r="CJ318" s="217">
        <v>0</v>
      </c>
    </row>
    <row r="319" spans="1:88" x14ac:dyDescent="0.25">
      <c r="A319" s="217" t="s">
        <v>22</v>
      </c>
      <c r="B319" s="217" t="s">
        <v>23</v>
      </c>
      <c r="C319" s="217" t="s">
        <v>85</v>
      </c>
      <c r="D319" s="217" t="s">
        <v>84</v>
      </c>
      <c r="E319" s="217" t="s">
        <v>157</v>
      </c>
      <c r="F319" s="217" t="s">
        <v>156</v>
      </c>
      <c r="G319" s="217" t="s">
        <v>353</v>
      </c>
      <c r="H319" s="217" t="s">
        <v>1040</v>
      </c>
      <c r="I319" s="217" t="s">
        <v>29</v>
      </c>
      <c r="J319" s="217" t="s">
        <v>1857</v>
      </c>
      <c r="K319" s="217">
        <v>2</v>
      </c>
      <c r="L319" s="217">
        <v>9</v>
      </c>
      <c r="M319" s="217" t="s">
        <v>31</v>
      </c>
      <c r="N319" s="217" t="s">
        <v>32</v>
      </c>
      <c r="O319" s="217" t="s">
        <v>68</v>
      </c>
      <c r="P319" s="217" t="s">
        <v>34</v>
      </c>
      <c r="Q319" s="217" t="s">
        <v>35</v>
      </c>
      <c r="R319" s="217" t="s">
        <v>23</v>
      </c>
      <c r="S319" s="217" t="s">
        <v>22</v>
      </c>
      <c r="T319" s="217" t="s">
        <v>84</v>
      </c>
      <c r="U319" s="217" t="s">
        <v>85</v>
      </c>
      <c r="V319" s="217" t="s">
        <v>97</v>
      </c>
      <c r="W319" s="217" t="s">
        <v>98</v>
      </c>
      <c r="BC319" s="217" t="s">
        <v>85</v>
      </c>
      <c r="BD319" s="217" t="s">
        <v>98</v>
      </c>
      <c r="BE319" s="217" t="s">
        <v>1165</v>
      </c>
      <c r="BF319" s="217" t="s">
        <v>809</v>
      </c>
      <c r="BG319" s="217" t="s">
        <v>1998</v>
      </c>
      <c r="BH319" s="217" t="s">
        <v>1658</v>
      </c>
      <c r="BI319" s="217" t="s">
        <v>1658</v>
      </c>
      <c r="BJ319" s="217" t="s">
        <v>1660</v>
      </c>
      <c r="BK319" s="217" t="s">
        <v>637</v>
      </c>
      <c r="BL319" s="217"/>
      <c r="BM319" s="217"/>
      <c r="BN319" s="217">
        <v>0</v>
      </c>
      <c r="BO319" s="217">
        <v>0</v>
      </c>
      <c r="BR319" s="217" t="s">
        <v>85</v>
      </c>
      <c r="BS319" s="217" t="s">
        <v>98</v>
      </c>
      <c r="BT319" s="217" t="s">
        <v>629</v>
      </c>
      <c r="BU319" s="217" t="s">
        <v>1516</v>
      </c>
      <c r="BV319" s="217">
        <v>0</v>
      </c>
      <c r="BW319" s="217">
        <v>0</v>
      </c>
      <c r="BX319" s="217">
        <v>0</v>
      </c>
      <c r="BY319" s="217">
        <v>0</v>
      </c>
      <c r="BZ319" s="217">
        <v>0</v>
      </c>
      <c r="CA319" s="217">
        <v>0</v>
      </c>
      <c r="CB319" s="217">
        <v>0</v>
      </c>
      <c r="CC319" s="217">
        <v>0</v>
      </c>
      <c r="CD319" s="217">
        <v>0</v>
      </c>
      <c r="CE319" s="217">
        <v>0</v>
      </c>
      <c r="CF319" s="217">
        <v>0</v>
      </c>
      <c r="CG319" s="217">
        <v>0</v>
      </c>
      <c r="CH319" s="217">
        <v>0</v>
      </c>
      <c r="CI319" s="217">
        <v>0</v>
      </c>
      <c r="CJ319" s="217">
        <v>0</v>
      </c>
    </row>
    <row r="320" spans="1:88" x14ac:dyDescent="0.25">
      <c r="A320" s="217" t="s">
        <v>22</v>
      </c>
      <c r="B320" s="217" t="s">
        <v>23</v>
      </c>
      <c r="C320" s="217" t="s">
        <v>85</v>
      </c>
      <c r="D320" s="217" t="s">
        <v>84</v>
      </c>
      <c r="E320" s="217" t="s">
        <v>157</v>
      </c>
      <c r="F320" s="217" t="s">
        <v>156</v>
      </c>
      <c r="G320" s="217" t="s">
        <v>353</v>
      </c>
      <c r="H320" s="217" t="s">
        <v>1040</v>
      </c>
      <c r="I320" s="217" t="s">
        <v>29</v>
      </c>
      <c r="J320" s="217" t="s">
        <v>1858</v>
      </c>
      <c r="K320" s="217">
        <v>7</v>
      </c>
      <c r="L320" s="217">
        <v>38</v>
      </c>
      <c r="M320" s="217" t="s">
        <v>31</v>
      </c>
      <c r="N320" s="217" t="s">
        <v>32</v>
      </c>
      <c r="O320" s="217" t="s">
        <v>68</v>
      </c>
      <c r="P320" s="217" t="s">
        <v>34</v>
      </c>
      <c r="Q320" s="217" t="s">
        <v>35</v>
      </c>
      <c r="R320" s="217" t="s">
        <v>23</v>
      </c>
      <c r="S320" s="217" t="s">
        <v>22</v>
      </c>
      <c r="T320" s="217" t="s">
        <v>84</v>
      </c>
      <c r="U320" s="217" t="s">
        <v>85</v>
      </c>
      <c r="V320" s="217" t="s">
        <v>97</v>
      </c>
      <c r="W320" s="217" t="s">
        <v>98</v>
      </c>
      <c r="BC320" s="217" t="s">
        <v>85</v>
      </c>
      <c r="BD320" s="217" t="s">
        <v>98</v>
      </c>
      <c r="BE320" s="217" t="s">
        <v>1166</v>
      </c>
      <c r="BF320" s="217" t="s">
        <v>390</v>
      </c>
      <c r="BG320" s="217" t="s">
        <v>1998</v>
      </c>
      <c r="BH320" s="217" t="s">
        <v>1658</v>
      </c>
      <c r="BI320" s="217" t="s">
        <v>1658</v>
      </c>
      <c r="BJ320" s="217" t="s">
        <v>1660</v>
      </c>
      <c r="BK320" s="217" t="s">
        <v>637</v>
      </c>
      <c r="BL320" s="217"/>
      <c r="BM320" s="217"/>
      <c r="BN320" s="217">
        <v>0</v>
      </c>
      <c r="BO320" s="217">
        <v>0</v>
      </c>
      <c r="BR320" s="217" t="s">
        <v>85</v>
      </c>
      <c r="BS320" s="217" t="s">
        <v>98</v>
      </c>
      <c r="BT320" s="217" t="s">
        <v>796</v>
      </c>
      <c r="BU320" s="217" t="s">
        <v>1509</v>
      </c>
      <c r="BV320" s="217">
        <v>0</v>
      </c>
      <c r="BW320" s="217">
        <v>0</v>
      </c>
      <c r="BX320" s="217">
        <v>11</v>
      </c>
      <c r="BY320" s="217">
        <v>62</v>
      </c>
      <c r="BZ320" s="217">
        <v>0</v>
      </c>
      <c r="CA320" s="217">
        <v>0</v>
      </c>
      <c r="CB320" s="217">
        <v>0</v>
      </c>
      <c r="CC320" s="217">
        <v>0</v>
      </c>
      <c r="CD320" s="217">
        <v>11</v>
      </c>
      <c r="CE320" s="217">
        <v>62</v>
      </c>
      <c r="CF320" s="217">
        <v>0</v>
      </c>
      <c r="CG320" s="217">
        <v>0</v>
      </c>
      <c r="CH320" s="217">
        <v>0</v>
      </c>
      <c r="CI320" s="217">
        <v>0</v>
      </c>
      <c r="CJ320" s="217">
        <v>0</v>
      </c>
    </row>
    <row r="321" spans="1:88" x14ac:dyDescent="0.25">
      <c r="A321" s="217" t="s">
        <v>22</v>
      </c>
      <c r="B321" s="217" t="s">
        <v>23</v>
      </c>
      <c r="C321" s="217" t="s">
        <v>85</v>
      </c>
      <c r="D321" s="217" t="s">
        <v>84</v>
      </c>
      <c r="E321" s="217" t="s">
        <v>157</v>
      </c>
      <c r="F321" s="217" t="s">
        <v>156</v>
      </c>
      <c r="G321" s="217" t="s">
        <v>354</v>
      </c>
      <c r="H321" s="217" t="s">
        <v>1041</v>
      </c>
      <c r="I321" s="217" t="s">
        <v>29</v>
      </c>
      <c r="J321" s="217" t="s">
        <v>1855</v>
      </c>
      <c r="K321" s="217">
        <v>4</v>
      </c>
      <c r="L321" s="217">
        <v>31</v>
      </c>
      <c r="M321" s="217" t="s">
        <v>31</v>
      </c>
      <c r="N321" s="217" t="s">
        <v>32</v>
      </c>
      <c r="O321" s="217" t="s">
        <v>68</v>
      </c>
      <c r="P321" s="217" t="s">
        <v>34</v>
      </c>
      <c r="Q321" s="217" t="s">
        <v>35</v>
      </c>
      <c r="R321" s="217" t="s">
        <v>23</v>
      </c>
      <c r="S321" s="217" t="s">
        <v>22</v>
      </c>
      <c r="T321" s="217" t="s">
        <v>84</v>
      </c>
      <c r="U321" s="217" t="s">
        <v>85</v>
      </c>
      <c r="V321" s="217" t="s">
        <v>150</v>
      </c>
      <c r="W321" s="217" t="s">
        <v>151</v>
      </c>
      <c r="BC321" s="217" t="s">
        <v>85</v>
      </c>
      <c r="BD321" s="217" t="s">
        <v>98</v>
      </c>
      <c r="BE321" s="217" t="s">
        <v>1167</v>
      </c>
      <c r="BF321" s="217" t="s">
        <v>391</v>
      </c>
      <c r="BG321" s="217" t="s">
        <v>1998</v>
      </c>
      <c r="BH321" s="217" t="s">
        <v>1658</v>
      </c>
      <c r="BI321" s="217" t="s">
        <v>1660</v>
      </c>
      <c r="BJ321" s="217" t="s">
        <v>1660</v>
      </c>
      <c r="BK321" s="217" t="s">
        <v>637</v>
      </c>
      <c r="BL321" s="217"/>
      <c r="BM321" s="217"/>
      <c r="BN321" s="217">
        <v>0</v>
      </c>
      <c r="BO321" s="217">
        <v>0</v>
      </c>
      <c r="BR321" s="217" t="s">
        <v>85</v>
      </c>
      <c r="BS321" s="217" t="s">
        <v>98</v>
      </c>
      <c r="BT321" s="217" t="s">
        <v>625</v>
      </c>
      <c r="BU321" s="217" t="s">
        <v>1510</v>
      </c>
      <c r="BV321" s="217">
        <v>0</v>
      </c>
      <c r="BW321" s="217">
        <v>0</v>
      </c>
      <c r="BX321" s="217">
        <v>0</v>
      </c>
      <c r="BY321" s="217">
        <v>0</v>
      </c>
      <c r="BZ321" s="217">
        <v>0</v>
      </c>
      <c r="CA321" s="217">
        <v>0</v>
      </c>
      <c r="CB321" s="217">
        <v>0</v>
      </c>
      <c r="CC321" s="217">
        <v>0</v>
      </c>
      <c r="CD321" s="217">
        <v>0</v>
      </c>
      <c r="CE321" s="217">
        <v>0</v>
      </c>
      <c r="CF321" s="217">
        <v>0</v>
      </c>
      <c r="CG321" s="217">
        <v>0</v>
      </c>
      <c r="CH321" s="217">
        <v>0</v>
      </c>
      <c r="CI321" s="217">
        <v>0</v>
      </c>
      <c r="CJ321" s="217">
        <v>0</v>
      </c>
    </row>
    <row r="322" spans="1:88" x14ac:dyDescent="0.25">
      <c r="A322" s="217" t="s">
        <v>22</v>
      </c>
      <c r="B322" s="217" t="s">
        <v>23</v>
      </c>
      <c r="C322" s="217" t="s">
        <v>85</v>
      </c>
      <c r="D322" s="217" t="s">
        <v>84</v>
      </c>
      <c r="E322" s="217" t="s">
        <v>157</v>
      </c>
      <c r="F322" s="217" t="s">
        <v>156</v>
      </c>
      <c r="G322" s="217" t="s">
        <v>354</v>
      </c>
      <c r="H322" s="217" t="s">
        <v>1041</v>
      </c>
      <c r="I322" s="217" t="s">
        <v>29</v>
      </c>
      <c r="J322" s="217" t="s">
        <v>1856</v>
      </c>
      <c r="K322" s="217">
        <v>10</v>
      </c>
      <c r="L322" s="217">
        <v>55</v>
      </c>
      <c r="M322" s="217" t="s">
        <v>31</v>
      </c>
      <c r="N322" s="217" t="s">
        <v>32</v>
      </c>
      <c r="O322" s="217" t="s">
        <v>68</v>
      </c>
      <c r="P322" s="217" t="s">
        <v>34</v>
      </c>
      <c r="Q322" s="217" t="s">
        <v>35</v>
      </c>
      <c r="R322" s="217" t="s">
        <v>23</v>
      </c>
      <c r="S322" s="217" t="s">
        <v>22</v>
      </c>
      <c r="T322" s="217" t="s">
        <v>84</v>
      </c>
      <c r="U322" s="217" t="s">
        <v>85</v>
      </c>
      <c r="V322" s="217" t="s">
        <v>150</v>
      </c>
      <c r="W322" s="217" t="s">
        <v>151</v>
      </c>
      <c r="BC322" s="217" t="s">
        <v>85</v>
      </c>
      <c r="BD322" s="217" t="s">
        <v>98</v>
      </c>
      <c r="BE322" s="217" t="s">
        <v>1168</v>
      </c>
      <c r="BF322" s="217" t="s">
        <v>802</v>
      </c>
      <c r="BG322" s="217" t="s">
        <v>1998</v>
      </c>
      <c r="BH322" s="217" t="s">
        <v>1658</v>
      </c>
      <c r="BI322" s="217" t="s">
        <v>1660</v>
      </c>
      <c r="BJ322" s="217" t="s">
        <v>1660</v>
      </c>
      <c r="BK322" s="217" t="s">
        <v>637</v>
      </c>
      <c r="BL322" s="217"/>
      <c r="BM322" s="217"/>
      <c r="BN322" s="217">
        <v>0</v>
      </c>
      <c r="BO322" s="217">
        <v>0</v>
      </c>
      <c r="BR322" s="217" t="s">
        <v>85</v>
      </c>
      <c r="BS322" s="217" t="s">
        <v>98</v>
      </c>
      <c r="BT322" s="217" t="s">
        <v>791</v>
      </c>
      <c r="BU322" s="217" t="s">
        <v>1164</v>
      </c>
      <c r="BV322" s="217">
        <v>22</v>
      </c>
      <c r="BW322" s="217">
        <v>102</v>
      </c>
      <c r="BX322" s="217">
        <v>22</v>
      </c>
      <c r="BY322" s="217">
        <v>102</v>
      </c>
      <c r="BZ322" s="217">
        <v>0</v>
      </c>
      <c r="CA322" s="217">
        <v>0</v>
      </c>
      <c r="CB322" s="217">
        <v>22</v>
      </c>
      <c r="CC322" s="217">
        <v>102</v>
      </c>
      <c r="CD322" s="217">
        <v>16</v>
      </c>
      <c r="CE322" s="217">
        <v>62</v>
      </c>
      <c r="CF322" s="217">
        <v>0</v>
      </c>
      <c r="CG322" s="217">
        <v>0</v>
      </c>
      <c r="CH322" s="217">
        <v>0</v>
      </c>
      <c r="CI322" s="217">
        <v>40</v>
      </c>
      <c r="CJ322" s="217">
        <v>0</v>
      </c>
    </row>
    <row r="323" spans="1:88" x14ac:dyDescent="0.25">
      <c r="A323" s="217" t="s">
        <v>22</v>
      </c>
      <c r="B323" s="217" t="s">
        <v>23</v>
      </c>
      <c r="C323" s="217" t="s">
        <v>85</v>
      </c>
      <c r="D323" s="217" t="s">
        <v>84</v>
      </c>
      <c r="E323" s="217" t="s">
        <v>157</v>
      </c>
      <c r="F323" s="217" t="s">
        <v>156</v>
      </c>
      <c r="G323" s="217" t="s">
        <v>354</v>
      </c>
      <c r="H323" s="217" t="s">
        <v>1041</v>
      </c>
      <c r="I323" s="217" t="s">
        <v>29</v>
      </c>
      <c r="J323" s="217" t="s">
        <v>1857</v>
      </c>
      <c r="K323" s="217">
        <v>5</v>
      </c>
      <c r="L323" s="217">
        <v>41</v>
      </c>
      <c r="M323" s="217" t="s">
        <v>31</v>
      </c>
      <c r="N323" s="217" t="s">
        <v>32</v>
      </c>
      <c r="O323" s="217" t="s">
        <v>68</v>
      </c>
      <c r="P323" s="217" t="s">
        <v>34</v>
      </c>
      <c r="Q323" s="217" t="s">
        <v>35</v>
      </c>
      <c r="R323" s="217" t="s">
        <v>23</v>
      </c>
      <c r="S323" s="217" t="s">
        <v>22</v>
      </c>
      <c r="T323" s="217" t="s">
        <v>84</v>
      </c>
      <c r="U323" s="217" t="s">
        <v>85</v>
      </c>
      <c r="V323" s="217" t="s">
        <v>150</v>
      </c>
      <c r="W323" s="217" t="s">
        <v>151</v>
      </c>
      <c r="BC323" s="217" t="s">
        <v>85</v>
      </c>
      <c r="BD323" s="217" t="s">
        <v>98</v>
      </c>
      <c r="BE323" s="217" t="s">
        <v>1169</v>
      </c>
      <c r="BF323" s="217" t="s">
        <v>392</v>
      </c>
      <c r="BG323" s="217" t="s">
        <v>1998</v>
      </c>
      <c r="BH323" s="217" t="s">
        <v>1658</v>
      </c>
      <c r="BI323" s="217" t="s">
        <v>1658</v>
      </c>
      <c r="BJ323" s="217" t="s">
        <v>1658</v>
      </c>
      <c r="BK323" s="217" t="s">
        <v>637</v>
      </c>
      <c r="BL323" s="217"/>
      <c r="BM323" s="217"/>
      <c r="BN323" s="217">
        <v>0</v>
      </c>
      <c r="BO323" s="217">
        <v>0</v>
      </c>
      <c r="BR323" s="217" t="s">
        <v>85</v>
      </c>
      <c r="BS323" s="217" t="s">
        <v>98</v>
      </c>
      <c r="BT323" s="217" t="s">
        <v>698</v>
      </c>
      <c r="BU323" s="217" t="s">
        <v>1523</v>
      </c>
      <c r="BV323" s="217">
        <v>0</v>
      </c>
      <c r="BW323" s="217">
        <v>0</v>
      </c>
      <c r="BX323" s="217">
        <v>0</v>
      </c>
      <c r="BY323" s="217">
        <v>0</v>
      </c>
      <c r="BZ323" s="217">
        <v>0</v>
      </c>
      <c r="CA323" s="217">
        <v>0</v>
      </c>
      <c r="CB323" s="217">
        <v>0</v>
      </c>
      <c r="CC323" s="217">
        <v>0</v>
      </c>
      <c r="CD323" s="217">
        <v>0</v>
      </c>
      <c r="CE323" s="217">
        <v>0</v>
      </c>
      <c r="CF323" s="217">
        <v>0</v>
      </c>
      <c r="CG323" s="217">
        <v>0</v>
      </c>
      <c r="CH323" s="217">
        <v>0</v>
      </c>
      <c r="CI323" s="217">
        <v>0</v>
      </c>
      <c r="CJ323" s="217">
        <v>0</v>
      </c>
    </row>
    <row r="324" spans="1:88" x14ac:dyDescent="0.25">
      <c r="A324" s="217" t="s">
        <v>22</v>
      </c>
      <c r="B324" s="217" t="s">
        <v>23</v>
      </c>
      <c r="C324" s="217" t="s">
        <v>85</v>
      </c>
      <c r="D324" s="217" t="s">
        <v>84</v>
      </c>
      <c r="E324" s="217" t="s">
        <v>157</v>
      </c>
      <c r="F324" s="217" t="s">
        <v>156</v>
      </c>
      <c r="G324" s="217" t="s">
        <v>355</v>
      </c>
      <c r="H324" s="217" t="s">
        <v>1042</v>
      </c>
      <c r="I324" s="217" t="s">
        <v>29</v>
      </c>
      <c r="J324" s="217" t="s">
        <v>1856</v>
      </c>
      <c r="K324" s="217">
        <v>4</v>
      </c>
      <c r="L324" s="217">
        <v>22</v>
      </c>
      <c r="M324" s="217" t="s">
        <v>31</v>
      </c>
      <c r="N324" s="217" t="s">
        <v>32</v>
      </c>
      <c r="O324" s="217" t="s">
        <v>68</v>
      </c>
      <c r="P324" s="217" t="s">
        <v>34</v>
      </c>
      <c r="Q324" s="217" t="s">
        <v>35</v>
      </c>
      <c r="R324" s="217" t="s">
        <v>23</v>
      </c>
      <c r="S324" s="217" t="s">
        <v>22</v>
      </c>
      <c r="T324" s="217" t="s">
        <v>84</v>
      </c>
      <c r="U324" s="217" t="s">
        <v>85</v>
      </c>
      <c r="V324" s="217" t="s">
        <v>150</v>
      </c>
      <c r="W324" s="217" t="s">
        <v>151</v>
      </c>
      <c r="BC324" s="217" t="s">
        <v>85</v>
      </c>
      <c r="BD324" s="217" t="s">
        <v>98</v>
      </c>
      <c r="BE324" s="217" t="s">
        <v>1170</v>
      </c>
      <c r="BF324" s="217" t="s">
        <v>792</v>
      </c>
      <c r="BG324" s="217" t="s">
        <v>1998</v>
      </c>
      <c r="BH324" s="217" t="s">
        <v>1658</v>
      </c>
      <c r="BI324" s="217" t="s">
        <v>1658</v>
      </c>
      <c r="BJ324" s="217" t="s">
        <v>1660</v>
      </c>
      <c r="BK324" s="217" t="s">
        <v>637</v>
      </c>
      <c r="BL324" s="217"/>
      <c r="BM324" s="217"/>
      <c r="BN324" s="217">
        <v>0</v>
      </c>
      <c r="BO324" s="217">
        <v>0</v>
      </c>
      <c r="BR324" s="217" t="s">
        <v>85</v>
      </c>
      <c r="BS324" s="217" t="s">
        <v>98</v>
      </c>
      <c r="BT324" s="217" t="s">
        <v>423</v>
      </c>
      <c r="BU324" s="217" t="s">
        <v>1224</v>
      </c>
      <c r="BV324" s="217">
        <v>2066</v>
      </c>
      <c r="BW324" s="217">
        <v>10227</v>
      </c>
      <c r="BX324" s="217">
        <v>0</v>
      </c>
      <c r="BY324" s="217">
        <v>0</v>
      </c>
      <c r="BZ324" s="217">
        <v>0</v>
      </c>
      <c r="CA324" s="217">
        <v>0</v>
      </c>
      <c r="CB324" s="217">
        <v>2066</v>
      </c>
      <c r="CC324" s="217">
        <v>10227</v>
      </c>
      <c r="CD324" s="217">
        <v>0</v>
      </c>
      <c r="CE324" s="217">
        <v>0</v>
      </c>
      <c r="CF324" s="217">
        <v>0</v>
      </c>
      <c r="CG324" s="217">
        <v>0</v>
      </c>
      <c r="CH324" s="217">
        <v>0</v>
      </c>
      <c r="CI324" s="217">
        <v>0</v>
      </c>
      <c r="CJ324" s="217">
        <v>0</v>
      </c>
    </row>
    <row r="325" spans="1:88" x14ac:dyDescent="0.25">
      <c r="A325" s="217" t="s">
        <v>22</v>
      </c>
      <c r="B325" s="217" t="s">
        <v>23</v>
      </c>
      <c r="C325" s="217" t="s">
        <v>85</v>
      </c>
      <c r="D325" s="217" t="s">
        <v>84</v>
      </c>
      <c r="E325" s="217" t="s">
        <v>157</v>
      </c>
      <c r="F325" s="217" t="s">
        <v>156</v>
      </c>
      <c r="G325" s="217" t="s">
        <v>355</v>
      </c>
      <c r="H325" s="217" t="s">
        <v>1042</v>
      </c>
      <c r="I325" s="217" t="s">
        <v>29</v>
      </c>
      <c r="J325" s="217" t="s">
        <v>1857</v>
      </c>
      <c r="K325" s="217">
        <v>2</v>
      </c>
      <c r="L325" s="217">
        <v>15</v>
      </c>
      <c r="M325" s="217" t="s">
        <v>31</v>
      </c>
      <c r="N325" s="217" t="s">
        <v>32</v>
      </c>
      <c r="O325" s="217" t="s">
        <v>68</v>
      </c>
      <c r="P325" s="217" t="s">
        <v>34</v>
      </c>
      <c r="Q325" s="217" t="s">
        <v>35</v>
      </c>
      <c r="R325" s="217" t="s">
        <v>23</v>
      </c>
      <c r="S325" s="217" t="s">
        <v>22</v>
      </c>
      <c r="T325" s="217" t="s">
        <v>84</v>
      </c>
      <c r="U325" s="217" t="s">
        <v>85</v>
      </c>
      <c r="V325" s="217" t="s">
        <v>150</v>
      </c>
      <c r="W325" s="217" t="s">
        <v>151</v>
      </c>
      <c r="BC325" s="217" t="s">
        <v>85</v>
      </c>
      <c r="BD325" s="217" t="s">
        <v>98</v>
      </c>
      <c r="BE325" s="217" t="s">
        <v>1171</v>
      </c>
      <c r="BF325" s="217" t="s">
        <v>163</v>
      </c>
      <c r="BG325" s="217" t="s">
        <v>1998</v>
      </c>
      <c r="BH325" s="217" t="s">
        <v>1658</v>
      </c>
      <c r="BI325" s="217" t="s">
        <v>1658</v>
      </c>
      <c r="BJ325" s="217" t="s">
        <v>1658</v>
      </c>
      <c r="BK325" s="217" t="s">
        <v>637</v>
      </c>
      <c r="BL325" s="217"/>
      <c r="BM325" s="217"/>
      <c r="BN325" s="217">
        <v>0</v>
      </c>
      <c r="BO325" s="217">
        <v>0</v>
      </c>
      <c r="BR325" s="217" t="s">
        <v>85</v>
      </c>
      <c r="BS325" s="217" t="s">
        <v>98</v>
      </c>
      <c r="BT325" s="217" t="s">
        <v>397</v>
      </c>
      <c r="BU325" s="217" t="s">
        <v>1176</v>
      </c>
      <c r="BV325" s="217">
        <v>17</v>
      </c>
      <c r="BW325" s="217">
        <v>90</v>
      </c>
      <c r="BX325" s="217">
        <v>0</v>
      </c>
      <c r="BY325" s="217">
        <v>0</v>
      </c>
      <c r="BZ325" s="217">
        <v>0</v>
      </c>
      <c r="CA325" s="217">
        <v>0</v>
      </c>
      <c r="CB325" s="217">
        <v>17</v>
      </c>
      <c r="CC325" s="217">
        <v>90</v>
      </c>
      <c r="CD325" s="217">
        <v>0</v>
      </c>
      <c r="CE325" s="217">
        <v>0</v>
      </c>
      <c r="CF325" s="217">
        <v>0</v>
      </c>
      <c r="CG325" s="217">
        <v>0</v>
      </c>
      <c r="CH325" s="217">
        <v>0</v>
      </c>
      <c r="CI325" s="217">
        <v>0</v>
      </c>
      <c r="CJ325" s="217">
        <v>0</v>
      </c>
    </row>
    <row r="326" spans="1:88" x14ac:dyDescent="0.25">
      <c r="A326" s="217" t="s">
        <v>22</v>
      </c>
      <c r="B326" s="217" t="s">
        <v>23</v>
      </c>
      <c r="C326" s="217" t="s">
        <v>85</v>
      </c>
      <c r="D326" s="217" t="s">
        <v>84</v>
      </c>
      <c r="E326" s="217" t="s">
        <v>157</v>
      </c>
      <c r="F326" s="217" t="s">
        <v>156</v>
      </c>
      <c r="G326" s="217" t="s">
        <v>356</v>
      </c>
      <c r="H326" s="217" t="s">
        <v>1043</v>
      </c>
      <c r="I326" s="217" t="s">
        <v>29</v>
      </c>
      <c r="J326" s="217" t="s">
        <v>1856</v>
      </c>
      <c r="K326" s="217">
        <v>55</v>
      </c>
      <c r="L326" s="217">
        <v>275</v>
      </c>
      <c r="M326" s="217" t="s">
        <v>31</v>
      </c>
      <c r="N326" s="217" t="s">
        <v>32</v>
      </c>
      <c r="O326" s="217" t="s">
        <v>68</v>
      </c>
      <c r="P326" s="217" t="s">
        <v>34</v>
      </c>
      <c r="Q326" s="217" t="s">
        <v>35</v>
      </c>
      <c r="R326" s="217" t="s">
        <v>23</v>
      </c>
      <c r="S326" s="217" t="s">
        <v>22</v>
      </c>
      <c r="T326" s="217" t="s">
        <v>84</v>
      </c>
      <c r="U326" s="217" t="s">
        <v>85</v>
      </c>
      <c r="V326" s="217" t="s">
        <v>97</v>
      </c>
      <c r="W326" s="217" t="s">
        <v>98</v>
      </c>
      <c r="BC326" s="217" t="s">
        <v>85</v>
      </c>
      <c r="BD326" s="217" t="s">
        <v>98</v>
      </c>
      <c r="BE326" s="217" t="s">
        <v>1172</v>
      </c>
      <c r="BF326" s="217" t="s">
        <v>393</v>
      </c>
      <c r="BG326" s="217" t="s">
        <v>1998</v>
      </c>
      <c r="BH326" s="217" t="s">
        <v>1658</v>
      </c>
      <c r="BI326" s="217" t="s">
        <v>1658</v>
      </c>
      <c r="BJ326" s="217" t="s">
        <v>1658</v>
      </c>
      <c r="BK326" s="217" t="s">
        <v>637</v>
      </c>
      <c r="BL326" s="217"/>
      <c r="BM326" s="217"/>
      <c r="BN326" s="217">
        <v>0</v>
      </c>
      <c r="BO326" s="217">
        <v>0</v>
      </c>
      <c r="BR326" s="217" t="s">
        <v>85</v>
      </c>
      <c r="BS326" s="217" t="s">
        <v>98</v>
      </c>
      <c r="BT326" s="217" t="s">
        <v>627</v>
      </c>
      <c r="BU326" s="217" t="s">
        <v>1514</v>
      </c>
      <c r="BV326" s="217">
        <v>0</v>
      </c>
      <c r="BW326" s="217">
        <v>0</v>
      </c>
      <c r="BX326" s="217">
        <v>0</v>
      </c>
      <c r="BY326" s="217">
        <v>0</v>
      </c>
      <c r="BZ326" s="217">
        <v>0</v>
      </c>
      <c r="CA326" s="217">
        <v>0</v>
      </c>
      <c r="CB326" s="217">
        <v>0</v>
      </c>
      <c r="CC326" s="217">
        <v>0</v>
      </c>
      <c r="CD326" s="217">
        <v>0</v>
      </c>
      <c r="CE326" s="217">
        <v>0</v>
      </c>
      <c r="CF326" s="217">
        <v>0</v>
      </c>
      <c r="CG326" s="217">
        <v>0</v>
      </c>
      <c r="CH326" s="217">
        <v>0</v>
      </c>
      <c r="CI326" s="217">
        <v>0</v>
      </c>
      <c r="CJ326" s="217">
        <v>0</v>
      </c>
    </row>
    <row r="327" spans="1:88" x14ac:dyDescent="0.25">
      <c r="A327" s="217" t="s">
        <v>22</v>
      </c>
      <c r="B327" s="217" t="s">
        <v>23</v>
      </c>
      <c r="C327" s="217" t="s">
        <v>85</v>
      </c>
      <c r="D327" s="217" t="s">
        <v>84</v>
      </c>
      <c r="E327" s="217" t="s">
        <v>157</v>
      </c>
      <c r="F327" s="217" t="s">
        <v>156</v>
      </c>
      <c r="G327" s="217" t="s">
        <v>356</v>
      </c>
      <c r="H327" s="217" t="s">
        <v>1043</v>
      </c>
      <c r="I327" s="217" t="s">
        <v>29</v>
      </c>
      <c r="J327" s="217" t="s">
        <v>1857</v>
      </c>
      <c r="K327" s="217">
        <v>15</v>
      </c>
      <c r="L327" s="217">
        <v>75</v>
      </c>
      <c r="M327" s="217" t="s">
        <v>31</v>
      </c>
      <c r="N327" s="217" t="s">
        <v>32</v>
      </c>
      <c r="O327" s="217" t="s">
        <v>68</v>
      </c>
      <c r="P327" s="217" t="s">
        <v>34</v>
      </c>
      <c r="Q327" s="217" t="s">
        <v>35</v>
      </c>
      <c r="R327" s="217" t="s">
        <v>23</v>
      </c>
      <c r="S327" s="217" t="s">
        <v>22</v>
      </c>
      <c r="T327" s="217" t="s">
        <v>84</v>
      </c>
      <c r="U327" s="217" t="s">
        <v>85</v>
      </c>
      <c r="V327" s="217" t="s">
        <v>174</v>
      </c>
      <c r="W327" s="217" t="s">
        <v>175</v>
      </c>
      <c r="BC327" s="217" t="s">
        <v>85</v>
      </c>
      <c r="BD327" s="217" t="s">
        <v>98</v>
      </c>
      <c r="BE327" s="217" t="s">
        <v>1173</v>
      </c>
      <c r="BF327" s="217" t="s">
        <v>394</v>
      </c>
      <c r="BG327" s="217" t="s">
        <v>1998</v>
      </c>
      <c r="BH327" s="217" t="s">
        <v>1658</v>
      </c>
      <c r="BI327" s="217" t="s">
        <v>1660</v>
      </c>
      <c r="BJ327" s="217" t="s">
        <v>1660</v>
      </c>
      <c r="BK327" s="217" t="s">
        <v>637</v>
      </c>
      <c r="BL327" s="217"/>
      <c r="BM327" s="217"/>
      <c r="BN327" s="217">
        <v>0</v>
      </c>
      <c r="BO327" s="217">
        <v>0</v>
      </c>
      <c r="BR327" s="217" t="s">
        <v>85</v>
      </c>
      <c r="BS327" s="217" t="s">
        <v>98</v>
      </c>
      <c r="BT327" s="217" t="s">
        <v>386</v>
      </c>
      <c r="BU327" s="217" t="s">
        <v>1154</v>
      </c>
      <c r="BV327" s="217">
        <v>13</v>
      </c>
      <c r="BW327" s="217">
        <v>49</v>
      </c>
      <c r="BX327" s="217">
        <v>0</v>
      </c>
      <c r="BY327" s="217">
        <v>0</v>
      </c>
      <c r="BZ327" s="217">
        <v>1</v>
      </c>
      <c r="CA327" s="217">
        <v>13</v>
      </c>
      <c r="CB327" s="217">
        <v>13</v>
      </c>
      <c r="CC327" s="217">
        <v>49</v>
      </c>
      <c r="CD327" s="217">
        <v>0</v>
      </c>
      <c r="CE327" s="217">
        <v>0</v>
      </c>
      <c r="CF327" s="217">
        <v>1</v>
      </c>
      <c r="CG327" s="217">
        <v>13</v>
      </c>
      <c r="CH327" s="217">
        <v>0</v>
      </c>
      <c r="CI327" s="217">
        <v>0</v>
      </c>
      <c r="CJ327" s="217">
        <v>0</v>
      </c>
    </row>
    <row r="328" spans="1:88" x14ac:dyDescent="0.25">
      <c r="A328" s="217" t="s">
        <v>22</v>
      </c>
      <c r="B328" s="217" t="s">
        <v>23</v>
      </c>
      <c r="C328" s="217" t="s">
        <v>85</v>
      </c>
      <c r="D328" s="217" t="s">
        <v>84</v>
      </c>
      <c r="E328" s="217" t="s">
        <v>157</v>
      </c>
      <c r="F328" s="217" t="s">
        <v>156</v>
      </c>
      <c r="G328" s="217" t="s">
        <v>356</v>
      </c>
      <c r="H328" s="217" t="s">
        <v>1043</v>
      </c>
      <c r="I328" s="217" t="s">
        <v>29</v>
      </c>
      <c r="J328" s="217" t="s">
        <v>1858</v>
      </c>
      <c r="K328" s="217">
        <v>6</v>
      </c>
      <c r="L328" s="217">
        <v>47</v>
      </c>
      <c r="M328" s="217" t="s">
        <v>31</v>
      </c>
      <c r="N328" s="217" t="s">
        <v>32</v>
      </c>
      <c r="O328" s="217" t="s">
        <v>68</v>
      </c>
      <c r="P328" s="217" t="s">
        <v>34</v>
      </c>
      <c r="Q328" s="217" t="s">
        <v>35</v>
      </c>
      <c r="R328" s="217" t="s">
        <v>23</v>
      </c>
      <c r="S328" s="217" t="s">
        <v>22</v>
      </c>
      <c r="T328" s="217" t="s">
        <v>84</v>
      </c>
      <c r="U328" s="217" t="s">
        <v>85</v>
      </c>
      <c r="V328" s="217" t="s">
        <v>97</v>
      </c>
      <c r="W328" s="217" t="s">
        <v>98</v>
      </c>
      <c r="BC328" s="217" t="s">
        <v>85</v>
      </c>
      <c r="BD328" s="217" t="s">
        <v>98</v>
      </c>
      <c r="BE328" s="217" t="s">
        <v>1174</v>
      </c>
      <c r="BF328" s="217" t="s">
        <v>395</v>
      </c>
      <c r="BG328" s="217" t="s">
        <v>1998</v>
      </c>
      <c r="BH328" s="217" t="s">
        <v>1658</v>
      </c>
      <c r="BI328" s="217" t="s">
        <v>1658</v>
      </c>
      <c r="BJ328" s="217" t="s">
        <v>1660</v>
      </c>
      <c r="BK328" s="217" t="s">
        <v>637</v>
      </c>
      <c r="BL328" s="217"/>
      <c r="BM328" s="217"/>
      <c r="BN328" s="217">
        <v>0</v>
      </c>
      <c r="BO328" s="217">
        <v>0</v>
      </c>
      <c r="BR328" s="217" t="s">
        <v>85</v>
      </c>
      <c r="BS328" s="217" t="s">
        <v>98</v>
      </c>
      <c r="BT328" s="217" t="s">
        <v>626</v>
      </c>
      <c r="BU328" s="217" t="s">
        <v>1512</v>
      </c>
      <c r="BV328" s="217">
        <v>0</v>
      </c>
      <c r="BW328" s="217">
        <v>0</v>
      </c>
      <c r="BX328" s="217">
        <v>0</v>
      </c>
      <c r="BY328" s="217">
        <v>0</v>
      </c>
      <c r="BZ328" s="217">
        <v>0</v>
      </c>
      <c r="CA328" s="217">
        <v>0</v>
      </c>
      <c r="CB328" s="217">
        <v>0</v>
      </c>
      <c r="CC328" s="217">
        <v>0</v>
      </c>
      <c r="CD328" s="217">
        <v>0</v>
      </c>
      <c r="CE328" s="217">
        <v>0</v>
      </c>
      <c r="CF328" s="217">
        <v>0</v>
      </c>
      <c r="CG328" s="217">
        <v>0</v>
      </c>
      <c r="CH328" s="217">
        <v>0</v>
      </c>
      <c r="CI328" s="217">
        <v>0</v>
      </c>
      <c r="CJ328" s="217">
        <v>0</v>
      </c>
    </row>
    <row r="329" spans="1:88" x14ac:dyDescent="0.25">
      <c r="A329" s="217" t="s">
        <v>22</v>
      </c>
      <c r="B329" s="217" t="s">
        <v>23</v>
      </c>
      <c r="C329" s="217" t="s">
        <v>85</v>
      </c>
      <c r="D329" s="217" t="s">
        <v>84</v>
      </c>
      <c r="E329" s="217" t="s">
        <v>157</v>
      </c>
      <c r="F329" s="217" t="s">
        <v>156</v>
      </c>
      <c r="G329" s="217" t="s">
        <v>357</v>
      </c>
      <c r="H329" s="217" t="s">
        <v>1044</v>
      </c>
      <c r="I329" s="217" t="s">
        <v>29</v>
      </c>
      <c r="J329" s="217" t="s">
        <v>1855</v>
      </c>
      <c r="K329" s="217">
        <v>2</v>
      </c>
      <c r="L329" s="217">
        <v>9</v>
      </c>
      <c r="M329" s="217" t="s">
        <v>31</v>
      </c>
      <c r="N329" s="217" t="s">
        <v>32</v>
      </c>
      <c r="O329" s="217" t="s">
        <v>68</v>
      </c>
      <c r="P329" s="217" t="s">
        <v>34</v>
      </c>
      <c r="Q329" s="217" t="s">
        <v>35</v>
      </c>
      <c r="R329" s="217" t="s">
        <v>23</v>
      </c>
      <c r="S329" s="217" t="s">
        <v>22</v>
      </c>
      <c r="T329" s="217" t="s">
        <v>84</v>
      </c>
      <c r="U329" s="217" t="s">
        <v>85</v>
      </c>
      <c r="V329" s="217" t="s">
        <v>150</v>
      </c>
      <c r="W329" s="217" t="s">
        <v>151</v>
      </c>
      <c r="BC329" s="217" t="s">
        <v>85</v>
      </c>
      <c r="BD329" s="217" t="s">
        <v>98</v>
      </c>
      <c r="BE329" s="217" t="s">
        <v>1175</v>
      </c>
      <c r="BF329" s="217" t="s">
        <v>396</v>
      </c>
      <c r="BG329" s="217" t="s">
        <v>1998</v>
      </c>
      <c r="BH329" s="217" t="s">
        <v>1658</v>
      </c>
      <c r="BI329" s="217" t="s">
        <v>1660</v>
      </c>
      <c r="BJ329" s="217" t="s">
        <v>1660</v>
      </c>
      <c r="BK329" s="217" t="s">
        <v>637</v>
      </c>
      <c r="BL329" s="217"/>
      <c r="BM329" s="217"/>
      <c r="BN329" s="217">
        <v>0</v>
      </c>
      <c r="BO329" s="217">
        <v>0</v>
      </c>
      <c r="BR329" s="217" t="s">
        <v>85</v>
      </c>
      <c r="BS329" s="217" t="s">
        <v>98</v>
      </c>
      <c r="BT329" s="217" t="s">
        <v>809</v>
      </c>
      <c r="BU329" s="217" t="s">
        <v>1165</v>
      </c>
      <c r="BV329" s="217">
        <v>22</v>
      </c>
      <c r="BW329" s="217">
        <v>106</v>
      </c>
      <c r="BX329" s="217">
        <v>11</v>
      </c>
      <c r="BY329" s="217">
        <v>49</v>
      </c>
      <c r="BZ329" s="217">
        <v>0</v>
      </c>
      <c r="CA329" s="217">
        <v>0</v>
      </c>
      <c r="CB329" s="217">
        <v>22</v>
      </c>
      <c r="CC329" s="217">
        <v>106</v>
      </c>
      <c r="CD329" s="217">
        <v>11</v>
      </c>
      <c r="CE329" s="217">
        <v>49</v>
      </c>
      <c r="CF329" s="217">
        <v>0</v>
      </c>
      <c r="CG329" s="217">
        <v>0</v>
      </c>
      <c r="CH329" s="217">
        <v>0</v>
      </c>
      <c r="CI329" s="217">
        <v>0</v>
      </c>
      <c r="CJ329" s="217">
        <v>0</v>
      </c>
    </row>
    <row r="330" spans="1:88" x14ac:dyDescent="0.25">
      <c r="A330" s="217" t="s">
        <v>22</v>
      </c>
      <c r="B330" s="217" t="s">
        <v>23</v>
      </c>
      <c r="C330" s="217" t="s">
        <v>85</v>
      </c>
      <c r="D330" s="217" t="s">
        <v>84</v>
      </c>
      <c r="E330" s="217" t="s">
        <v>157</v>
      </c>
      <c r="F330" s="217" t="s">
        <v>156</v>
      </c>
      <c r="G330" s="217" t="s">
        <v>357</v>
      </c>
      <c r="H330" s="217" t="s">
        <v>1044</v>
      </c>
      <c r="I330" s="217" t="s">
        <v>29</v>
      </c>
      <c r="J330" s="217" t="s">
        <v>1856</v>
      </c>
      <c r="K330" s="217">
        <v>6</v>
      </c>
      <c r="L330" s="217">
        <v>33</v>
      </c>
      <c r="M330" s="217" t="s">
        <v>31</v>
      </c>
      <c r="N330" s="217" t="s">
        <v>32</v>
      </c>
      <c r="O330" s="217" t="s">
        <v>68</v>
      </c>
      <c r="P330" s="217" t="s">
        <v>34</v>
      </c>
      <c r="Q330" s="217" t="s">
        <v>35</v>
      </c>
      <c r="R330" s="217" t="s">
        <v>23</v>
      </c>
      <c r="S330" s="217" t="s">
        <v>22</v>
      </c>
      <c r="T330" s="217" t="s">
        <v>84</v>
      </c>
      <c r="U330" s="217" t="s">
        <v>85</v>
      </c>
      <c r="V330" s="217" t="s">
        <v>150</v>
      </c>
      <c r="W330" s="217" t="s">
        <v>151</v>
      </c>
      <c r="BC330" s="217" t="s">
        <v>85</v>
      </c>
      <c r="BD330" s="217" t="s">
        <v>98</v>
      </c>
      <c r="BE330" s="217" t="s">
        <v>1176</v>
      </c>
      <c r="BF330" s="217" t="s">
        <v>397</v>
      </c>
      <c r="BG330" s="217" t="s">
        <v>1998</v>
      </c>
      <c r="BH330" s="217" t="s">
        <v>1658</v>
      </c>
      <c r="BI330" s="217" t="s">
        <v>1660</v>
      </c>
      <c r="BJ330" s="217" t="s">
        <v>1660</v>
      </c>
      <c r="BK330" s="217" t="s">
        <v>637</v>
      </c>
      <c r="BL330" s="217"/>
      <c r="BM330" s="217"/>
      <c r="BN330" s="217">
        <v>0</v>
      </c>
      <c r="BO330" s="217">
        <v>0</v>
      </c>
      <c r="BR330" s="217" t="s">
        <v>85</v>
      </c>
      <c r="BS330" s="217" t="s">
        <v>98</v>
      </c>
      <c r="BT330" s="217" t="s">
        <v>158</v>
      </c>
      <c r="BU330" s="217" t="s">
        <v>1148</v>
      </c>
      <c r="BV330" s="217">
        <v>207</v>
      </c>
      <c r="BW330" s="217">
        <v>1736</v>
      </c>
      <c r="BX330" s="217">
        <v>9</v>
      </c>
      <c r="BY330" s="217">
        <v>50</v>
      </c>
      <c r="BZ330" s="217">
        <v>0</v>
      </c>
      <c r="CA330" s="217">
        <v>0</v>
      </c>
      <c r="CB330" s="217">
        <v>207</v>
      </c>
      <c r="CC330" s="217">
        <v>1736</v>
      </c>
      <c r="CD330" s="217">
        <v>9</v>
      </c>
      <c r="CE330" s="217">
        <v>50</v>
      </c>
      <c r="CF330" s="217">
        <v>0</v>
      </c>
      <c r="CG330" s="217">
        <v>0</v>
      </c>
      <c r="CH330" s="217">
        <v>0</v>
      </c>
      <c r="CI330" s="217">
        <v>0</v>
      </c>
      <c r="CJ330" s="217">
        <v>0</v>
      </c>
    </row>
    <row r="331" spans="1:88" x14ac:dyDescent="0.25">
      <c r="A331" s="217" t="s">
        <v>22</v>
      </c>
      <c r="B331" s="217" t="s">
        <v>23</v>
      </c>
      <c r="C331" s="217" t="s">
        <v>85</v>
      </c>
      <c r="D331" s="217" t="s">
        <v>84</v>
      </c>
      <c r="E331" s="217" t="s">
        <v>157</v>
      </c>
      <c r="F331" s="217" t="s">
        <v>156</v>
      </c>
      <c r="G331" s="217" t="s">
        <v>82</v>
      </c>
      <c r="H331" s="217" t="s">
        <v>1045</v>
      </c>
      <c r="I331" s="217" t="s">
        <v>29</v>
      </c>
      <c r="J331" s="217" t="s">
        <v>1855</v>
      </c>
      <c r="K331" s="217">
        <v>55</v>
      </c>
      <c r="L331" s="217">
        <v>275</v>
      </c>
      <c r="M331" s="217" t="s">
        <v>31</v>
      </c>
      <c r="N331" s="217" t="s">
        <v>32</v>
      </c>
      <c r="O331" s="217" t="s">
        <v>68</v>
      </c>
      <c r="P331" s="217" t="s">
        <v>34</v>
      </c>
      <c r="Q331" s="217" t="s">
        <v>35</v>
      </c>
      <c r="R331" s="217" t="s">
        <v>23</v>
      </c>
      <c r="S331" s="217" t="s">
        <v>22</v>
      </c>
      <c r="T331" s="217" t="s">
        <v>84</v>
      </c>
      <c r="U331" s="217" t="s">
        <v>85</v>
      </c>
      <c r="V331" s="217" t="s">
        <v>91</v>
      </c>
      <c r="W331" s="217" t="s">
        <v>92</v>
      </c>
      <c r="BC331" s="217" t="s">
        <v>85</v>
      </c>
      <c r="BD331" s="217" t="s">
        <v>98</v>
      </c>
      <c r="BE331" s="217" t="s">
        <v>1177</v>
      </c>
      <c r="BF331" s="217" t="s">
        <v>398</v>
      </c>
      <c r="BG331" s="217" t="s">
        <v>1998</v>
      </c>
      <c r="BH331" s="217" t="s">
        <v>1658</v>
      </c>
      <c r="BI331" s="217" t="s">
        <v>1660</v>
      </c>
      <c r="BJ331" s="217" t="s">
        <v>1660</v>
      </c>
      <c r="BK331" s="217" t="s">
        <v>637</v>
      </c>
      <c r="BL331" s="217"/>
      <c r="BM331" s="217"/>
      <c r="BN331" s="217">
        <v>0</v>
      </c>
      <c r="BO331" s="217">
        <v>0</v>
      </c>
      <c r="BR331" s="217" t="s">
        <v>85</v>
      </c>
      <c r="BS331" s="217" t="s">
        <v>98</v>
      </c>
      <c r="BT331" s="217" t="s">
        <v>633</v>
      </c>
      <c r="BU331" s="217" t="s">
        <v>1522</v>
      </c>
      <c r="BV331" s="217">
        <v>0</v>
      </c>
      <c r="BW331" s="217">
        <v>0</v>
      </c>
      <c r="BX331" s="217">
        <v>0</v>
      </c>
      <c r="BY331" s="217">
        <v>0</v>
      </c>
      <c r="BZ331" s="217">
        <v>0</v>
      </c>
      <c r="CA331" s="217">
        <v>0</v>
      </c>
      <c r="CB331" s="217">
        <v>0</v>
      </c>
      <c r="CC331" s="217">
        <v>0</v>
      </c>
      <c r="CD331" s="217">
        <v>0</v>
      </c>
      <c r="CE331" s="217">
        <v>0</v>
      </c>
      <c r="CF331" s="217">
        <v>0</v>
      </c>
      <c r="CG331" s="217">
        <v>0</v>
      </c>
      <c r="CH331" s="217">
        <v>0</v>
      </c>
      <c r="CI331" s="217">
        <v>0</v>
      </c>
      <c r="CJ331" s="217">
        <v>0</v>
      </c>
    </row>
    <row r="332" spans="1:88" x14ac:dyDescent="0.25">
      <c r="A332" s="217" t="s">
        <v>22</v>
      </c>
      <c r="B332" s="217" t="s">
        <v>23</v>
      </c>
      <c r="C332" s="217" t="s">
        <v>85</v>
      </c>
      <c r="D332" s="217" t="s">
        <v>84</v>
      </c>
      <c r="E332" s="217" t="s">
        <v>157</v>
      </c>
      <c r="F332" s="217" t="s">
        <v>156</v>
      </c>
      <c r="G332" s="217" t="s">
        <v>82</v>
      </c>
      <c r="H332" s="217" t="s">
        <v>1045</v>
      </c>
      <c r="I332" s="217" t="s">
        <v>29</v>
      </c>
      <c r="J332" s="217" t="s">
        <v>1856</v>
      </c>
      <c r="K332" s="217">
        <v>20</v>
      </c>
      <c r="L332" s="217">
        <v>100</v>
      </c>
      <c r="M332" s="217" t="s">
        <v>31</v>
      </c>
      <c r="N332" s="217" t="s">
        <v>32</v>
      </c>
      <c r="O332" s="217" t="s">
        <v>68</v>
      </c>
      <c r="P332" s="217" t="s">
        <v>34</v>
      </c>
      <c r="Q332" s="217" t="s">
        <v>35</v>
      </c>
      <c r="R332" s="217" t="s">
        <v>23</v>
      </c>
      <c r="S332" s="217" t="s">
        <v>22</v>
      </c>
      <c r="T332" s="217" t="s">
        <v>84</v>
      </c>
      <c r="U332" s="217" t="s">
        <v>85</v>
      </c>
      <c r="V332" s="217" t="s">
        <v>97</v>
      </c>
      <c r="W332" s="217" t="s">
        <v>98</v>
      </c>
      <c r="BC332" s="217" t="s">
        <v>85</v>
      </c>
      <c r="BD332" s="217" t="s">
        <v>98</v>
      </c>
      <c r="BE332" s="217" t="s">
        <v>1178</v>
      </c>
      <c r="BF332" s="217" t="s">
        <v>399</v>
      </c>
      <c r="BG332" s="217" t="s">
        <v>1998</v>
      </c>
      <c r="BH332" s="217" t="s">
        <v>1658</v>
      </c>
      <c r="BI332" s="217" t="s">
        <v>1658</v>
      </c>
      <c r="BJ332" s="217" t="s">
        <v>1660</v>
      </c>
      <c r="BK332" s="217" t="s">
        <v>637</v>
      </c>
      <c r="BL332" s="217"/>
      <c r="BM332" s="217"/>
      <c r="BN332" s="217">
        <v>0</v>
      </c>
      <c r="BO332" s="217">
        <v>0</v>
      </c>
      <c r="BR332" s="217" t="s">
        <v>85</v>
      </c>
      <c r="BS332" s="217" t="s">
        <v>98</v>
      </c>
      <c r="BT332" s="217" t="s">
        <v>289</v>
      </c>
      <c r="BU332" s="217" t="s">
        <v>1521</v>
      </c>
      <c r="BV332" s="217">
        <v>0</v>
      </c>
      <c r="BW332" s="217">
        <v>0</v>
      </c>
      <c r="BX332" s="217">
        <v>0</v>
      </c>
      <c r="BY332" s="217">
        <v>0</v>
      </c>
      <c r="BZ332" s="217">
        <v>0</v>
      </c>
      <c r="CA332" s="217">
        <v>0</v>
      </c>
      <c r="CB332" s="217">
        <v>0</v>
      </c>
      <c r="CC332" s="217">
        <v>0</v>
      </c>
      <c r="CD332" s="217">
        <v>0</v>
      </c>
      <c r="CE332" s="217">
        <v>0</v>
      </c>
      <c r="CF332" s="217">
        <v>0</v>
      </c>
      <c r="CG332" s="217">
        <v>0</v>
      </c>
      <c r="CH332" s="217">
        <v>0</v>
      </c>
      <c r="CI332" s="217">
        <v>0</v>
      </c>
      <c r="CJ332" s="217">
        <v>0</v>
      </c>
    </row>
    <row r="333" spans="1:88" x14ac:dyDescent="0.25">
      <c r="A333" s="217" t="s">
        <v>22</v>
      </c>
      <c r="B333" s="217" t="s">
        <v>23</v>
      </c>
      <c r="C333" s="217" t="s">
        <v>85</v>
      </c>
      <c r="D333" s="217" t="s">
        <v>84</v>
      </c>
      <c r="E333" s="217" t="s">
        <v>157</v>
      </c>
      <c r="F333" s="217" t="s">
        <v>156</v>
      </c>
      <c r="G333" s="217" t="s">
        <v>358</v>
      </c>
      <c r="H333" s="217" t="s">
        <v>1046</v>
      </c>
      <c r="I333" s="217" t="s">
        <v>29</v>
      </c>
      <c r="J333" s="217" t="s">
        <v>1856</v>
      </c>
      <c r="K333" s="217">
        <v>32</v>
      </c>
      <c r="L333" s="217">
        <v>160</v>
      </c>
      <c r="M333" s="217" t="s">
        <v>31</v>
      </c>
      <c r="N333" s="217" t="s">
        <v>32</v>
      </c>
      <c r="O333" s="217" t="s">
        <v>68</v>
      </c>
      <c r="P333" s="217" t="s">
        <v>34</v>
      </c>
      <c r="Q333" s="217" t="s">
        <v>35</v>
      </c>
      <c r="R333" s="217" t="s">
        <v>23</v>
      </c>
      <c r="S333" s="217" t="s">
        <v>22</v>
      </c>
      <c r="T333" s="217" t="s">
        <v>84</v>
      </c>
      <c r="U333" s="217" t="s">
        <v>85</v>
      </c>
      <c r="V333" s="217" t="s">
        <v>97</v>
      </c>
      <c r="W333" s="217" t="s">
        <v>98</v>
      </c>
      <c r="BC333" s="217" t="s">
        <v>85</v>
      </c>
      <c r="BD333" s="217" t="s">
        <v>98</v>
      </c>
      <c r="BE333" s="217" t="s">
        <v>1179</v>
      </c>
      <c r="BF333" s="217" t="s">
        <v>797</v>
      </c>
      <c r="BG333" s="217" t="s">
        <v>1998</v>
      </c>
      <c r="BH333" s="217" t="s">
        <v>1658</v>
      </c>
      <c r="BI333" s="217" t="s">
        <v>1660</v>
      </c>
      <c r="BJ333" s="217" t="s">
        <v>1660</v>
      </c>
      <c r="BK333" s="217" t="s">
        <v>637</v>
      </c>
      <c r="BL333" s="217"/>
      <c r="BM333" s="217"/>
      <c r="BN333" s="217">
        <v>0</v>
      </c>
      <c r="BO333" s="217">
        <v>0</v>
      </c>
      <c r="BR333" s="217" t="s">
        <v>85</v>
      </c>
      <c r="BS333" s="217" t="s">
        <v>98</v>
      </c>
      <c r="BT333" s="217" t="s">
        <v>421</v>
      </c>
      <c r="BU333" s="217" t="s">
        <v>1221</v>
      </c>
      <c r="BV333" s="217">
        <v>5</v>
      </c>
      <c r="BW333" s="217">
        <v>20</v>
      </c>
      <c r="BX333" s="217">
        <v>6</v>
      </c>
      <c r="BY333" s="217">
        <v>30</v>
      </c>
      <c r="BZ333" s="217">
        <v>0</v>
      </c>
      <c r="CA333" s="217">
        <v>0</v>
      </c>
      <c r="CB333" s="217">
        <v>5</v>
      </c>
      <c r="CC333" s="217">
        <v>20</v>
      </c>
      <c r="CD333" s="217">
        <v>6</v>
      </c>
      <c r="CE333" s="217">
        <v>30</v>
      </c>
      <c r="CF333" s="217">
        <v>0</v>
      </c>
      <c r="CG333" s="217">
        <v>0</v>
      </c>
      <c r="CH333" s="217">
        <v>0</v>
      </c>
      <c r="CI333" s="217">
        <v>0</v>
      </c>
      <c r="CJ333" s="217">
        <v>0</v>
      </c>
    </row>
    <row r="334" spans="1:88" x14ac:dyDescent="0.25">
      <c r="A334" s="217" t="s">
        <v>22</v>
      </c>
      <c r="B334" s="217" t="s">
        <v>23</v>
      </c>
      <c r="C334" s="217" t="s">
        <v>85</v>
      </c>
      <c r="D334" s="217" t="s">
        <v>84</v>
      </c>
      <c r="E334" s="217" t="s">
        <v>157</v>
      </c>
      <c r="F334" s="217" t="s">
        <v>156</v>
      </c>
      <c r="G334" s="217" t="s">
        <v>358</v>
      </c>
      <c r="H334" s="217" t="s">
        <v>1046</v>
      </c>
      <c r="I334" s="217" t="s">
        <v>29</v>
      </c>
      <c r="J334" s="217" t="s">
        <v>1857</v>
      </c>
      <c r="K334" s="217">
        <v>34</v>
      </c>
      <c r="L334" s="217">
        <v>220</v>
      </c>
      <c r="M334" s="217" t="s">
        <v>31</v>
      </c>
      <c r="N334" s="217" t="s">
        <v>32</v>
      </c>
      <c r="O334" s="217" t="s">
        <v>68</v>
      </c>
      <c r="P334" s="217" t="s">
        <v>34</v>
      </c>
      <c r="Q334" s="217" t="s">
        <v>35</v>
      </c>
      <c r="R334" s="217" t="s">
        <v>23</v>
      </c>
      <c r="S334" s="217" t="s">
        <v>22</v>
      </c>
      <c r="T334" s="217" t="s">
        <v>84</v>
      </c>
      <c r="U334" s="217" t="s">
        <v>85</v>
      </c>
      <c r="V334" s="217" t="s">
        <v>97</v>
      </c>
      <c r="W334" s="217" t="s">
        <v>98</v>
      </c>
      <c r="BC334" s="217" t="s">
        <v>85</v>
      </c>
      <c r="BD334" s="217" t="s">
        <v>98</v>
      </c>
      <c r="BE334" s="217" t="s">
        <v>1511</v>
      </c>
      <c r="BF334" s="217" t="s">
        <v>798</v>
      </c>
      <c r="BG334" s="217" t="s">
        <v>1998</v>
      </c>
      <c r="BH334" s="217" t="s">
        <v>1658</v>
      </c>
      <c r="BI334" s="217" t="s">
        <v>1658</v>
      </c>
      <c r="BJ334" s="217" t="s">
        <v>1660</v>
      </c>
      <c r="BK334" s="217" t="s">
        <v>637</v>
      </c>
      <c r="BL334" s="217"/>
      <c r="BM334" s="217"/>
      <c r="BN334" s="217">
        <v>0</v>
      </c>
      <c r="BO334" s="217">
        <v>0</v>
      </c>
      <c r="BR334" s="217" t="s">
        <v>85</v>
      </c>
      <c r="BS334" s="217" t="s">
        <v>98</v>
      </c>
      <c r="BT334" s="217" t="s">
        <v>630</v>
      </c>
      <c r="BU334" s="217" t="s">
        <v>1517</v>
      </c>
      <c r="BV334" s="217">
        <v>0</v>
      </c>
      <c r="BW334" s="217">
        <v>0</v>
      </c>
      <c r="BX334" s="217">
        <v>0</v>
      </c>
      <c r="BY334" s="217">
        <v>0</v>
      </c>
      <c r="BZ334" s="217">
        <v>0</v>
      </c>
      <c r="CA334" s="217">
        <v>0</v>
      </c>
      <c r="CB334" s="217">
        <v>0</v>
      </c>
      <c r="CC334" s="217">
        <v>0</v>
      </c>
      <c r="CD334" s="217">
        <v>0</v>
      </c>
      <c r="CE334" s="217">
        <v>0</v>
      </c>
      <c r="CF334" s="217">
        <v>0</v>
      </c>
      <c r="CG334" s="217">
        <v>0</v>
      </c>
      <c r="CH334" s="217">
        <v>0</v>
      </c>
      <c r="CI334" s="217">
        <v>0</v>
      </c>
      <c r="CJ334" s="217">
        <v>0</v>
      </c>
    </row>
    <row r="335" spans="1:88" x14ac:dyDescent="0.25">
      <c r="A335" s="217" t="s">
        <v>22</v>
      </c>
      <c r="B335" s="217" t="s">
        <v>23</v>
      </c>
      <c r="C335" s="217" t="s">
        <v>85</v>
      </c>
      <c r="D335" s="217" t="s">
        <v>84</v>
      </c>
      <c r="E335" s="217" t="s">
        <v>157</v>
      </c>
      <c r="F335" s="217" t="s">
        <v>156</v>
      </c>
      <c r="G335" s="217" t="s">
        <v>359</v>
      </c>
      <c r="H335" s="217" t="s">
        <v>1047</v>
      </c>
      <c r="I335" s="217" t="s">
        <v>29</v>
      </c>
      <c r="J335" s="217" t="s">
        <v>1855</v>
      </c>
      <c r="K335" s="217">
        <v>64</v>
      </c>
      <c r="L335" s="217">
        <v>317</v>
      </c>
      <c r="M335" s="217" t="s">
        <v>31</v>
      </c>
      <c r="N335" s="217" t="s">
        <v>32</v>
      </c>
      <c r="O335" s="217" t="s">
        <v>68</v>
      </c>
      <c r="P335" s="217" t="s">
        <v>34</v>
      </c>
      <c r="Q335" s="217" t="s">
        <v>35</v>
      </c>
      <c r="R335" s="217" t="s">
        <v>23</v>
      </c>
      <c r="S335" s="217" t="s">
        <v>22</v>
      </c>
      <c r="T335" s="217" t="s">
        <v>84</v>
      </c>
      <c r="U335" s="217" t="s">
        <v>85</v>
      </c>
      <c r="V335" s="217" t="s">
        <v>97</v>
      </c>
      <c r="W335" s="217" t="s">
        <v>98</v>
      </c>
      <c r="BC335" s="217" t="s">
        <v>85</v>
      </c>
      <c r="BD335" s="217" t="s">
        <v>98</v>
      </c>
      <c r="BE335" s="217" t="s">
        <v>1180</v>
      </c>
      <c r="BF335" s="217" t="s">
        <v>400</v>
      </c>
      <c r="BG335" s="217" t="s">
        <v>2001</v>
      </c>
      <c r="BH335" s="217" t="s">
        <v>1658</v>
      </c>
      <c r="BI335" s="217" t="s">
        <v>1660</v>
      </c>
      <c r="BJ335" s="217" t="s">
        <v>1660</v>
      </c>
      <c r="BK335" s="217" t="s">
        <v>637</v>
      </c>
      <c r="BL335" s="217"/>
      <c r="BM335" s="217"/>
      <c r="BN335" s="217">
        <v>0</v>
      </c>
      <c r="BO335" s="217">
        <v>0</v>
      </c>
      <c r="BR335" s="217" t="s">
        <v>85</v>
      </c>
      <c r="BS335" s="217" t="s">
        <v>98</v>
      </c>
      <c r="BT335" s="217" t="s">
        <v>823</v>
      </c>
      <c r="BU335" s="217" t="s">
        <v>1186</v>
      </c>
      <c r="BV335" s="217">
        <v>8</v>
      </c>
      <c r="BW335" s="217">
        <v>47</v>
      </c>
      <c r="BX335" s="217">
        <v>42</v>
      </c>
      <c r="BY335" s="217">
        <v>142</v>
      </c>
      <c r="BZ335" s="217">
        <v>0</v>
      </c>
      <c r="CA335" s="217">
        <v>0</v>
      </c>
      <c r="CB335" s="217">
        <v>8</v>
      </c>
      <c r="CC335" s="217">
        <v>47</v>
      </c>
      <c r="CD335" s="217">
        <v>43</v>
      </c>
      <c r="CE335" s="217">
        <v>146</v>
      </c>
      <c r="CF335" s="217">
        <v>0</v>
      </c>
      <c r="CG335" s="217">
        <v>0</v>
      </c>
      <c r="CH335" s="217">
        <v>0</v>
      </c>
      <c r="CI335" s="217">
        <v>-4</v>
      </c>
      <c r="CJ335" s="217">
        <v>0</v>
      </c>
    </row>
    <row r="336" spans="1:88" x14ac:dyDescent="0.25">
      <c r="A336" s="217" t="s">
        <v>22</v>
      </c>
      <c r="B336" s="217" t="s">
        <v>23</v>
      </c>
      <c r="C336" s="217" t="s">
        <v>85</v>
      </c>
      <c r="D336" s="217" t="s">
        <v>84</v>
      </c>
      <c r="E336" s="217" t="s">
        <v>157</v>
      </c>
      <c r="F336" s="217" t="s">
        <v>156</v>
      </c>
      <c r="G336" s="217" t="s">
        <v>359</v>
      </c>
      <c r="H336" s="217" t="s">
        <v>1047</v>
      </c>
      <c r="I336" s="217" t="s">
        <v>29</v>
      </c>
      <c r="J336" s="217" t="s">
        <v>1856</v>
      </c>
      <c r="K336" s="217">
        <v>35</v>
      </c>
      <c r="L336" s="217">
        <v>175</v>
      </c>
      <c r="M336" s="217" t="s">
        <v>31</v>
      </c>
      <c r="N336" s="217" t="s">
        <v>32</v>
      </c>
      <c r="O336" s="217" t="s">
        <v>68</v>
      </c>
      <c r="P336" s="217" t="s">
        <v>34</v>
      </c>
      <c r="Q336" s="217" t="s">
        <v>35</v>
      </c>
      <c r="R336" s="217" t="s">
        <v>23</v>
      </c>
      <c r="S336" s="217" t="s">
        <v>22</v>
      </c>
      <c r="T336" s="217" t="s">
        <v>84</v>
      </c>
      <c r="U336" s="217" t="s">
        <v>85</v>
      </c>
      <c r="V336" s="217" t="s">
        <v>97</v>
      </c>
      <c r="W336" s="217" t="s">
        <v>98</v>
      </c>
      <c r="BC336" s="217" t="s">
        <v>85</v>
      </c>
      <c r="BD336" s="217" t="s">
        <v>98</v>
      </c>
      <c r="BE336" s="217" t="s">
        <v>1181</v>
      </c>
      <c r="BF336" s="217" t="s">
        <v>298</v>
      </c>
      <c r="BG336" s="217" t="s">
        <v>1998</v>
      </c>
      <c r="BH336" s="217" t="s">
        <v>1658</v>
      </c>
      <c r="BI336" s="217" t="s">
        <v>1658</v>
      </c>
      <c r="BJ336" s="217" t="s">
        <v>1660</v>
      </c>
      <c r="BK336" s="217" t="s">
        <v>637</v>
      </c>
      <c r="BL336" s="217"/>
      <c r="BM336" s="217"/>
      <c r="BN336" s="217">
        <v>0</v>
      </c>
      <c r="BO336" s="217">
        <v>0</v>
      </c>
      <c r="BR336" s="217" t="s">
        <v>85</v>
      </c>
      <c r="BS336" s="217" t="s">
        <v>98</v>
      </c>
      <c r="BT336" s="217" t="s">
        <v>166</v>
      </c>
      <c r="BU336" s="217" t="s">
        <v>1222</v>
      </c>
      <c r="BV336" s="217">
        <v>6</v>
      </c>
      <c r="BW336" s="217">
        <v>27</v>
      </c>
      <c r="BX336" s="217">
        <v>7</v>
      </c>
      <c r="BY336" s="217">
        <v>31</v>
      </c>
      <c r="BZ336" s="217">
        <v>0</v>
      </c>
      <c r="CA336" s="217">
        <v>0</v>
      </c>
      <c r="CB336" s="217">
        <v>6</v>
      </c>
      <c r="CC336" s="217">
        <v>27</v>
      </c>
      <c r="CD336" s="217">
        <v>10</v>
      </c>
      <c r="CE336" s="217">
        <v>37</v>
      </c>
      <c r="CF336" s="217">
        <v>0</v>
      </c>
      <c r="CG336" s="217">
        <v>0</v>
      </c>
      <c r="CH336" s="217">
        <v>0</v>
      </c>
      <c r="CI336" s="217">
        <v>-6</v>
      </c>
      <c r="CJ336" s="217">
        <v>0</v>
      </c>
    </row>
    <row r="337" spans="1:88" x14ac:dyDescent="0.25">
      <c r="A337" s="217" t="s">
        <v>22</v>
      </c>
      <c r="B337" s="217" t="s">
        <v>23</v>
      </c>
      <c r="C337" s="217" t="s">
        <v>85</v>
      </c>
      <c r="D337" s="217" t="s">
        <v>84</v>
      </c>
      <c r="E337" s="217" t="s">
        <v>157</v>
      </c>
      <c r="F337" s="217" t="s">
        <v>156</v>
      </c>
      <c r="G337" s="217" t="s">
        <v>360</v>
      </c>
      <c r="H337" s="217" t="s">
        <v>1048</v>
      </c>
      <c r="I337" s="217" t="s">
        <v>29</v>
      </c>
      <c r="J337" s="217" t="s">
        <v>1855</v>
      </c>
      <c r="K337" s="217">
        <v>46</v>
      </c>
      <c r="L337" s="217">
        <v>225</v>
      </c>
      <c r="M337" s="217" t="s">
        <v>31</v>
      </c>
      <c r="N337" s="217" t="s">
        <v>32</v>
      </c>
      <c r="O337" s="217" t="s">
        <v>68</v>
      </c>
      <c r="P337" s="217" t="s">
        <v>34</v>
      </c>
      <c r="Q337" s="217" t="s">
        <v>35</v>
      </c>
      <c r="R337" s="217" t="s">
        <v>23</v>
      </c>
      <c r="S337" s="217" t="s">
        <v>22</v>
      </c>
      <c r="T337" s="217" t="s">
        <v>84</v>
      </c>
      <c r="U337" s="217" t="s">
        <v>85</v>
      </c>
      <c r="V337" s="217" t="s">
        <v>91</v>
      </c>
      <c r="W337" s="217" t="s">
        <v>92</v>
      </c>
      <c r="BC337" s="217" t="s">
        <v>85</v>
      </c>
      <c r="BD337" s="217" t="s">
        <v>98</v>
      </c>
      <c r="BE337" s="217" t="s">
        <v>1183</v>
      </c>
      <c r="BF337" s="217" t="s">
        <v>1182</v>
      </c>
      <c r="BG337" s="217" t="s">
        <v>2000</v>
      </c>
      <c r="BH337" s="217" t="s">
        <v>1658</v>
      </c>
      <c r="BI337" s="217" t="s">
        <v>1660</v>
      </c>
      <c r="BJ337" s="217" t="s">
        <v>1660</v>
      </c>
      <c r="BK337" s="217" t="s">
        <v>637</v>
      </c>
      <c r="BL337" s="217"/>
      <c r="BM337" s="217"/>
      <c r="BN337" s="217">
        <v>0</v>
      </c>
      <c r="BO337" s="217">
        <v>0</v>
      </c>
      <c r="BR337" s="217" t="s">
        <v>85</v>
      </c>
      <c r="BS337" s="217" t="s">
        <v>98</v>
      </c>
      <c r="BT337" s="217" t="s">
        <v>628</v>
      </c>
      <c r="BU337" s="217" t="s">
        <v>1515</v>
      </c>
      <c r="BV337" s="217">
        <v>0</v>
      </c>
      <c r="BW337" s="217">
        <v>0</v>
      </c>
      <c r="BX337" s="217">
        <v>0</v>
      </c>
      <c r="BY337" s="217">
        <v>0</v>
      </c>
      <c r="BZ337" s="217">
        <v>0</v>
      </c>
      <c r="CA337" s="217">
        <v>0</v>
      </c>
      <c r="CB337" s="217">
        <v>0</v>
      </c>
      <c r="CC337" s="217">
        <v>0</v>
      </c>
      <c r="CD337" s="217">
        <v>0</v>
      </c>
      <c r="CE337" s="217">
        <v>0</v>
      </c>
      <c r="CF337" s="217">
        <v>0</v>
      </c>
      <c r="CG337" s="217">
        <v>0</v>
      </c>
      <c r="CH337" s="217">
        <v>0</v>
      </c>
      <c r="CI337" s="217">
        <v>0</v>
      </c>
      <c r="CJ337" s="217">
        <v>0</v>
      </c>
    </row>
    <row r="338" spans="1:88" x14ac:dyDescent="0.25">
      <c r="A338" s="217" t="s">
        <v>22</v>
      </c>
      <c r="B338" s="217" t="s">
        <v>23</v>
      </c>
      <c r="C338" s="217" t="s">
        <v>85</v>
      </c>
      <c r="D338" s="217" t="s">
        <v>84</v>
      </c>
      <c r="E338" s="217" t="s">
        <v>157</v>
      </c>
      <c r="F338" s="217" t="s">
        <v>156</v>
      </c>
      <c r="G338" s="217" t="s">
        <v>360</v>
      </c>
      <c r="H338" s="217" t="s">
        <v>1048</v>
      </c>
      <c r="I338" s="217" t="s">
        <v>29</v>
      </c>
      <c r="J338" s="217" t="s">
        <v>1857</v>
      </c>
      <c r="K338" s="217">
        <v>7</v>
      </c>
      <c r="L338" s="217">
        <v>37</v>
      </c>
      <c r="M338" s="217" t="s">
        <v>31</v>
      </c>
      <c r="N338" s="217" t="s">
        <v>32</v>
      </c>
      <c r="O338" s="217" t="s">
        <v>68</v>
      </c>
      <c r="P338" s="217" t="s">
        <v>34</v>
      </c>
      <c r="Q338" s="217" t="s">
        <v>35</v>
      </c>
      <c r="R338" s="217" t="s">
        <v>23</v>
      </c>
      <c r="S338" s="217" t="s">
        <v>22</v>
      </c>
      <c r="T338" s="217" t="s">
        <v>84</v>
      </c>
      <c r="U338" s="217" t="s">
        <v>85</v>
      </c>
      <c r="V338" s="217" t="s">
        <v>97</v>
      </c>
      <c r="W338" s="217" t="s">
        <v>98</v>
      </c>
      <c r="BC338" s="217" t="s">
        <v>85</v>
      </c>
      <c r="BD338" s="217" t="s">
        <v>98</v>
      </c>
      <c r="BE338" s="217" t="s">
        <v>2015</v>
      </c>
      <c r="BF338" s="217" t="s">
        <v>2014</v>
      </c>
      <c r="BG338" s="217" t="s">
        <v>1999</v>
      </c>
      <c r="BH338" s="217" t="s">
        <v>1660</v>
      </c>
      <c r="BI338" s="217" t="s">
        <v>1658</v>
      </c>
      <c r="BJ338" s="217" t="s">
        <v>1660</v>
      </c>
      <c r="BK338" s="217" t="s">
        <v>637</v>
      </c>
      <c r="BL338" s="217"/>
      <c r="BM338" s="217"/>
      <c r="BN338" s="217">
        <v>0</v>
      </c>
      <c r="BO338" s="217">
        <v>0</v>
      </c>
      <c r="BR338" s="217" t="s">
        <v>85</v>
      </c>
      <c r="BS338" s="217" t="s">
        <v>98</v>
      </c>
      <c r="BT338" s="217" t="s">
        <v>811</v>
      </c>
      <c r="BU338" s="217" t="s">
        <v>1277</v>
      </c>
      <c r="BV338" s="217">
        <v>17</v>
      </c>
      <c r="BW338" s="217">
        <v>95</v>
      </c>
      <c r="BX338" s="217">
        <v>6</v>
      </c>
      <c r="BY338" s="217">
        <v>20</v>
      </c>
      <c r="BZ338" s="217">
        <v>0</v>
      </c>
      <c r="CA338" s="217">
        <v>0</v>
      </c>
      <c r="CB338" s="217">
        <v>17</v>
      </c>
      <c r="CC338" s="217">
        <v>95</v>
      </c>
      <c r="CD338" s="217">
        <v>7</v>
      </c>
      <c r="CE338" s="217">
        <v>29</v>
      </c>
      <c r="CF338" s="217">
        <v>0</v>
      </c>
      <c r="CG338" s="217">
        <v>0</v>
      </c>
      <c r="CH338" s="217">
        <v>0</v>
      </c>
      <c r="CI338" s="217">
        <v>-9</v>
      </c>
      <c r="CJ338" s="217">
        <v>0</v>
      </c>
    </row>
    <row r="339" spans="1:88" x14ac:dyDescent="0.25">
      <c r="A339" s="217" t="s">
        <v>22</v>
      </c>
      <c r="B339" s="217" t="s">
        <v>23</v>
      </c>
      <c r="C339" s="217" t="s">
        <v>85</v>
      </c>
      <c r="D339" s="217" t="s">
        <v>84</v>
      </c>
      <c r="E339" s="217" t="s">
        <v>157</v>
      </c>
      <c r="F339" s="217" t="s">
        <v>156</v>
      </c>
      <c r="G339" s="217" t="s">
        <v>361</v>
      </c>
      <c r="H339" s="217" t="s">
        <v>1049</v>
      </c>
      <c r="I339" s="217" t="s">
        <v>29</v>
      </c>
      <c r="J339" s="217" t="s">
        <v>1856</v>
      </c>
      <c r="K339" s="217">
        <v>10</v>
      </c>
      <c r="L339" s="217">
        <v>60</v>
      </c>
      <c r="M339" s="217" t="s">
        <v>31</v>
      </c>
      <c r="N339" s="217" t="s">
        <v>32</v>
      </c>
      <c r="O339" s="217" t="s">
        <v>68</v>
      </c>
      <c r="P339" s="217" t="s">
        <v>34</v>
      </c>
      <c r="Q339" s="217" t="s">
        <v>35</v>
      </c>
      <c r="R339" s="217" t="s">
        <v>23</v>
      </c>
      <c r="S339" s="217" t="s">
        <v>22</v>
      </c>
      <c r="T339" s="217" t="s">
        <v>84</v>
      </c>
      <c r="U339" s="217" t="s">
        <v>85</v>
      </c>
      <c r="V339" s="217" t="s">
        <v>97</v>
      </c>
      <c r="W339" s="217" t="s">
        <v>98</v>
      </c>
      <c r="BC339" s="217" t="s">
        <v>85</v>
      </c>
      <c r="BD339" s="217" t="s">
        <v>98</v>
      </c>
      <c r="BE339" s="217" t="s">
        <v>1184</v>
      </c>
      <c r="BF339" s="217" t="s">
        <v>401</v>
      </c>
      <c r="BG339" s="217" t="s">
        <v>1998</v>
      </c>
      <c r="BH339" s="217" t="s">
        <v>1658</v>
      </c>
      <c r="BI339" s="217" t="s">
        <v>1658</v>
      </c>
      <c r="BJ339" s="217" t="s">
        <v>1660</v>
      </c>
      <c r="BK339" s="217" t="s">
        <v>637</v>
      </c>
      <c r="BL339" s="217"/>
      <c r="BM339" s="217"/>
      <c r="BN339" s="217">
        <v>0</v>
      </c>
      <c r="BO339" s="217">
        <v>0</v>
      </c>
      <c r="BR339" s="217" t="s">
        <v>85</v>
      </c>
      <c r="BS339" s="217" t="s">
        <v>98</v>
      </c>
      <c r="BT339" s="217" t="s">
        <v>2014</v>
      </c>
      <c r="BU339" s="217" t="s">
        <v>2015</v>
      </c>
      <c r="BV339" s="217">
        <v>0</v>
      </c>
      <c r="BW339" s="217">
        <v>0</v>
      </c>
      <c r="BX339" s="217">
        <v>0</v>
      </c>
      <c r="BY339" s="217">
        <v>0</v>
      </c>
      <c r="BZ339" s="217">
        <v>0</v>
      </c>
      <c r="CA339" s="217">
        <v>0</v>
      </c>
      <c r="CB339" s="217">
        <v>0</v>
      </c>
      <c r="CC339" s="217">
        <v>0</v>
      </c>
      <c r="CD339" s="217">
        <v>0</v>
      </c>
      <c r="CE339" s="217">
        <v>0</v>
      </c>
      <c r="CF339" s="217">
        <v>0</v>
      </c>
      <c r="CG339" s="217">
        <v>0</v>
      </c>
      <c r="CH339" s="217">
        <v>0</v>
      </c>
      <c r="CI339" s="217">
        <v>0</v>
      </c>
      <c r="CJ339" s="217">
        <v>0</v>
      </c>
    </row>
    <row r="340" spans="1:88" x14ac:dyDescent="0.25">
      <c r="A340" s="217" t="s">
        <v>22</v>
      </c>
      <c r="B340" s="217" t="s">
        <v>23</v>
      </c>
      <c r="C340" s="217" t="s">
        <v>85</v>
      </c>
      <c r="D340" s="217" t="s">
        <v>84</v>
      </c>
      <c r="E340" s="217" t="s">
        <v>157</v>
      </c>
      <c r="F340" s="217" t="s">
        <v>156</v>
      </c>
      <c r="G340" s="217" t="s">
        <v>362</v>
      </c>
      <c r="H340" s="217" t="s">
        <v>1050</v>
      </c>
      <c r="I340" s="217" t="s">
        <v>29</v>
      </c>
      <c r="J340" s="217" t="s">
        <v>1855</v>
      </c>
      <c r="K340" s="217">
        <v>1</v>
      </c>
      <c r="L340" s="217">
        <v>9</v>
      </c>
      <c r="M340" s="217" t="s">
        <v>31</v>
      </c>
      <c r="N340" s="217" t="s">
        <v>32</v>
      </c>
      <c r="O340" s="217" t="s">
        <v>68</v>
      </c>
      <c r="P340" s="217" t="s">
        <v>34</v>
      </c>
      <c r="Q340" s="217" t="s">
        <v>35</v>
      </c>
      <c r="R340" s="217" t="s">
        <v>23</v>
      </c>
      <c r="S340" s="217" t="s">
        <v>22</v>
      </c>
      <c r="T340" s="217" t="s">
        <v>84</v>
      </c>
      <c r="U340" s="217" t="s">
        <v>85</v>
      </c>
      <c r="V340" s="217" t="s">
        <v>97</v>
      </c>
      <c r="W340" s="217" t="s">
        <v>98</v>
      </c>
      <c r="BC340" s="217" t="s">
        <v>85</v>
      </c>
      <c r="BD340" s="217" t="s">
        <v>98</v>
      </c>
      <c r="BE340" s="217" t="s">
        <v>1185</v>
      </c>
      <c r="BF340" s="217" t="s">
        <v>164</v>
      </c>
      <c r="BG340" s="217" t="s">
        <v>1998</v>
      </c>
      <c r="BH340" s="217" t="s">
        <v>1658</v>
      </c>
      <c r="BI340" s="217" t="s">
        <v>1658</v>
      </c>
      <c r="BJ340" s="217" t="s">
        <v>1658</v>
      </c>
      <c r="BK340" s="217" t="s">
        <v>637</v>
      </c>
      <c r="BL340" s="217"/>
      <c r="BM340" s="217"/>
      <c r="BN340" s="217">
        <v>0</v>
      </c>
      <c r="BO340" s="217">
        <v>0</v>
      </c>
      <c r="BR340" s="217" t="s">
        <v>85</v>
      </c>
      <c r="BS340" s="217" t="s">
        <v>98</v>
      </c>
      <c r="BT340" s="217" t="s">
        <v>782</v>
      </c>
      <c r="BU340" s="217" t="s">
        <v>1207</v>
      </c>
      <c r="BV340" s="217">
        <v>14</v>
      </c>
      <c r="BW340" s="217">
        <v>104</v>
      </c>
      <c r="BX340" s="217">
        <v>11</v>
      </c>
      <c r="BY340" s="217">
        <v>77</v>
      </c>
      <c r="BZ340" s="217">
        <v>0</v>
      </c>
      <c r="CA340" s="217">
        <v>0</v>
      </c>
      <c r="CB340" s="217">
        <v>14</v>
      </c>
      <c r="CC340" s="217">
        <v>102</v>
      </c>
      <c r="CD340" s="217">
        <v>15</v>
      </c>
      <c r="CE340" s="217">
        <v>104</v>
      </c>
      <c r="CF340" s="217">
        <v>0</v>
      </c>
      <c r="CG340" s="217">
        <v>0</v>
      </c>
      <c r="CH340" s="217">
        <v>2</v>
      </c>
      <c r="CI340" s="217">
        <v>-27</v>
      </c>
      <c r="CJ340" s="217">
        <v>0</v>
      </c>
    </row>
    <row r="341" spans="1:88" x14ac:dyDescent="0.25">
      <c r="A341" s="217" t="s">
        <v>22</v>
      </c>
      <c r="B341" s="217" t="s">
        <v>23</v>
      </c>
      <c r="C341" s="217" t="s">
        <v>85</v>
      </c>
      <c r="D341" s="217" t="s">
        <v>84</v>
      </c>
      <c r="E341" s="217" t="s">
        <v>157</v>
      </c>
      <c r="F341" s="217" t="s">
        <v>156</v>
      </c>
      <c r="G341" s="217" t="s">
        <v>362</v>
      </c>
      <c r="H341" s="217" t="s">
        <v>1050</v>
      </c>
      <c r="I341" s="217" t="s">
        <v>29</v>
      </c>
      <c r="J341" s="217" t="s">
        <v>1856</v>
      </c>
      <c r="K341" s="217">
        <v>3</v>
      </c>
      <c r="L341" s="217">
        <v>41</v>
      </c>
      <c r="M341" s="217" t="s">
        <v>31</v>
      </c>
      <c r="N341" s="217" t="s">
        <v>32</v>
      </c>
      <c r="O341" s="217" t="s">
        <v>68</v>
      </c>
      <c r="P341" s="217" t="s">
        <v>34</v>
      </c>
      <c r="Q341" s="217" t="s">
        <v>35</v>
      </c>
      <c r="R341" s="217" t="s">
        <v>23</v>
      </c>
      <c r="S341" s="217" t="s">
        <v>22</v>
      </c>
      <c r="T341" s="217" t="s">
        <v>84</v>
      </c>
      <c r="U341" s="217" t="s">
        <v>85</v>
      </c>
      <c r="V341" s="217" t="s">
        <v>97</v>
      </c>
      <c r="W341" s="217" t="s">
        <v>98</v>
      </c>
      <c r="BC341" s="217" t="s">
        <v>85</v>
      </c>
      <c r="BD341" s="217" t="s">
        <v>98</v>
      </c>
      <c r="BE341" s="217" t="s">
        <v>1186</v>
      </c>
      <c r="BF341" s="217" t="s">
        <v>823</v>
      </c>
      <c r="BG341" s="217" t="s">
        <v>1998</v>
      </c>
      <c r="BH341" s="217" t="s">
        <v>1658</v>
      </c>
      <c r="BI341" s="217" t="s">
        <v>1658</v>
      </c>
      <c r="BJ341" s="217" t="s">
        <v>1660</v>
      </c>
      <c r="BK341" s="217" t="s">
        <v>637</v>
      </c>
      <c r="BL341" s="217"/>
      <c r="BM341" s="217"/>
      <c r="BN341" s="217">
        <v>0</v>
      </c>
      <c r="BO341" s="217">
        <v>0</v>
      </c>
      <c r="BR341" s="217" t="s">
        <v>85</v>
      </c>
      <c r="BS341" s="217" t="s">
        <v>98</v>
      </c>
      <c r="BT341" s="217" t="s">
        <v>816</v>
      </c>
      <c r="BU341" s="217" t="s">
        <v>1198</v>
      </c>
      <c r="BV341" s="217">
        <v>11</v>
      </c>
      <c r="BW341" s="217">
        <v>94</v>
      </c>
      <c r="BX341" s="217">
        <v>11</v>
      </c>
      <c r="BY341" s="217">
        <v>92</v>
      </c>
      <c r="BZ341" s="217">
        <v>0</v>
      </c>
      <c r="CA341" s="217">
        <v>0</v>
      </c>
      <c r="CB341" s="217">
        <v>11</v>
      </c>
      <c r="CC341" s="217">
        <v>94</v>
      </c>
      <c r="CD341" s="217">
        <v>11</v>
      </c>
      <c r="CE341" s="217">
        <v>92</v>
      </c>
      <c r="CF341" s="217">
        <v>0</v>
      </c>
      <c r="CG341" s="217">
        <v>0</v>
      </c>
      <c r="CH341" s="217">
        <v>0</v>
      </c>
      <c r="CI341" s="217">
        <v>0</v>
      </c>
      <c r="CJ341" s="217">
        <v>0</v>
      </c>
    </row>
    <row r="342" spans="1:88" x14ac:dyDescent="0.25">
      <c r="A342" s="217" t="s">
        <v>22</v>
      </c>
      <c r="B342" s="217" t="s">
        <v>23</v>
      </c>
      <c r="C342" s="217" t="s">
        <v>85</v>
      </c>
      <c r="D342" s="217" t="s">
        <v>84</v>
      </c>
      <c r="E342" s="217" t="s">
        <v>157</v>
      </c>
      <c r="F342" s="217" t="s">
        <v>156</v>
      </c>
      <c r="G342" s="217" t="s">
        <v>363</v>
      </c>
      <c r="H342" s="217" t="s">
        <v>1051</v>
      </c>
      <c r="I342" s="217" t="s">
        <v>29</v>
      </c>
      <c r="J342" s="217" t="s">
        <v>1855</v>
      </c>
      <c r="K342" s="217">
        <v>31</v>
      </c>
      <c r="L342" s="217">
        <v>158</v>
      </c>
      <c r="M342" s="217" t="s">
        <v>31</v>
      </c>
      <c r="N342" s="217" t="s">
        <v>32</v>
      </c>
      <c r="O342" s="217" t="s">
        <v>68</v>
      </c>
      <c r="P342" s="217" t="s">
        <v>34</v>
      </c>
      <c r="Q342" s="217" t="s">
        <v>35</v>
      </c>
      <c r="R342" s="217" t="s">
        <v>23</v>
      </c>
      <c r="S342" s="217" t="s">
        <v>22</v>
      </c>
      <c r="T342" s="217" t="s">
        <v>84</v>
      </c>
      <c r="U342" s="217" t="s">
        <v>85</v>
      </c>
      <c r="V342" s="217" t="s">
        <v>91</v>
      </c>
      <c r="W342" s="217" t="s">
        <v>92</v>
      </c>
      <c r="BC342" s="217" t="s">
        <v>85</v>
      </c>
      <c r="BD342" s="217" t="s">
        <v>98</v>
      </c>
      <c r="BE342" s="217" t="s">
        <v>1683</v>
      </c>
      <c r="BF342" s="217" t="s">
        <v>794</v>
      </c>
      <c r="BG342" s="217" t="s">
        <v>1998</v>
      </c>
      <c r="BH342" s="217" t="s">
        <v>1660</v>
      </c>
      <c r="BI342" s="217" t="s">
        <v>1660</v>
      </c>
      <c r="BJ342" s="217" t="s">
        <v>1660</v>
      </c>
      <c r="BK342" s="217" t="s">
        <v>637</v>
      </c>
      <c r="BL342" s="217"/>
      <c r="BM342" s="217"/>
      <c r="BN342" s="217">
        <v>0</v>
      </c>
      <c r="BO342" s="217">
        <v>0</v>
      </c>
      <c r="BR342" s="217" t="s">
        <v>85</v>
      </c>
      <c r="BS342" s="217" t="s">
        <v>98</v>
      </c>
      <c r="BT342" s="217" t="s">
        <v>820</v>
      </c>
      <c r="BU342" s="217" t="s">
        <v>1281</v>
      </c>
      <c r="BV342" s="217">
        <v>34</v>
      </c>
      <c r="BW342" s="217">
        <v>218</v>
      </c>
      <c r="BX342" s="217">
        <v>3</v>
      </c>
      <c r="BY342" s="217">
        <v>23</v>
      </c>
      <c r="BZ342" s="217">
        <v>0</v>
      </c>
      <c r="CA342" s="217">
        <v>0</v>
      </c>
      <c r="CB342" s="217">
        <v>34</v>
      </c>
      <c r="CC342" s="217">
        <v>218</v>
      </c>
      <c r="CD342" s="217">
        <v>5</v>
      </c>
      <c r="CE342" s="217">
        <v>35</v>
      </c>
      <c r="CF342" s="217">
        <v>0</v>
      </c>
      <c r="CG342" s="217">
        <v>0</v>
      </c>
      <c r="CH342" s="217">
        <v>0</v>
      </c>
      <c r="CI342" s="217">
        <v>-12</v>
      </c>
      <c r="CJ342" s="217">
        <v>0</v>
      </c>
    </row>
    <row r="343" spans="1:88" x14ac:dyDescent="0.25">
      <c r="A343" s="217" t="s">
        <v>22</v>
      </c>
      <c r="B343" s="217" t="s">
        <v>23</v>
      </c>
      <c r="C343" s="217" t="s">
        <v>85</v>
      </c>
      <c r="D343" s="217" t="s">
        <v>84</v>
      </c>
      <c r="E343" s="217" t="s">
        <v>157</v>
      </c>
      <c r="F343" s="217" t="s">
        <v>156</v>
      </c>
      <c r="G343" s="217" t="s">
        <v>363</v>
      </c>
      <c r="H343" s="217" t="s">
        <v>1051</v>
      </c>
      <c r="I343" s="217" t="s">
        <v>29</v>
      </c>
      <c r="J343" s="217" t="s">
        <v>1856</v>
      </c>
      <c r="K343" s="217">
        <v>10</v>
      </c>
      <c r="L343" s="217">
        <v>59</v>
      </c>
      <c r="M343" s="217" t="s">
        <v>31</v>
      </c>
      <c r="N343" s="217" t="s">
        <v>32</v>
      </c>
      <c r="O343" s="217" t="s">
        <v>68</v>
      </c>
      <c r="P343" s="217" t="s">
        <v>34</v>
      </c>
      <c r="Q343" s="217" t="s">
        <v>35</v>
      </c>
      <c r="R343" s="217" t="s">
        <v>23</v>
      </c>
      <c r="S343" s="217" t="s">
        <v>22</v>
      </c>
      <c r="T343" s="217" t="s">
        <v>84</v>
      </c>
      <c r="U343" s="217" t="s">
        <v>85</v>
      </c>
      <c r="V343" s="217" t="s">
        <v>150</v>
      </c>
      <c r="W343" s="217" t="s">
        <v>151</v>
      </c>
      <c r="BC343" s="217" t="s">
        <v>85</v>
      </c>
      <c r="BD343" s="217" t="s">
        <v>98</v>
      </c>
      <c r="BE343" s="217" t="s">
        <v>1187</v>
      </c>
      <c r="BF343" s="217" t="s">
        <v>402</v>
      </c>
      <c r="BG343" s="217" t="s">
        <v>1998</v>
      </c>
      <c r="BH343" s="217" t="s">
        <v>1658</v>
      </c>
      <c r="BI343" s="217" t="s">
        <v>1658</v>
      </c>
      <c r="BJ343" s="217" t="s">
        <v>1660</v>
      </c>
      <c r="BK343" s="217" t="s">
        <v>637</v>
      </c>
      <c r="BL343" s="217"/>
      <c r="BM343" s="217"/>
      <c r="BN343" s="217">
        <v>0</v>
      </c>
      <c r="BO343" s="217">
        <v>0</v>
      </c>
      <c r="BR343" s="217" t="s">
        <v>85</v>
      </c>
      <c r="BS343" s="217" t="s">
        <v>98</v>
      </c>
      <c r="BT343" s="217" t="s">
        <v>1249</v>
      </c>
      <c r="BU343" s="217" t="s">
        <v>1250</v>
      </c>
      <c r="BV343" s="217">
        <v>6</v>
      </c>
      <c r="BW343" s="217">
        <v>35</v>
      </c>
      <c r="BX343" s="217">
        <v>0</v>
      </c>
      <c r="BY343" s="217">
        <v>0</v>
      </c>
      <c r="BZ343" s="217">
        <v>0</v>
      </c>
      <c r="CA343" s="217">
        <v>0</v>
      </c>
      <c r="CB343" s="217">
        <v>6</v>
      </c>
      <c r="CC343" s="217">
        <v>35</v>
      </c>
      <c r="CD343" s="217">
        <v>0</v>
      </c>
      <c r="CE343" s="217">
        <v>0</v>
      </c>
      <c r="CF343" s="217">
        <v>0</v>
      </c>
      <c r="CG343" s="217">
        <v>0</v>
      </c>
      <c r="CH343" s="217">
        <v>0</v>
      </c>
      <c r="CI343" s="217">
        <v>0</v>
      </c>
      <c r="CJ343" s="217">
        <v>0</v>
      </c>
    </row>
    <row r="344" spans="1:88" x14ac:dyDescent="0.25">
      <c r="A344" s="217" t="s">
        <v>22</v>
      </c>
      <c r="B344" s="217" t="s">
        <v>23</v>
      </c>
      <c r="C344" s="217" t="s">
        <v>85</v>
      </c>
      <c r="D344" s="217" t="s">
        <v>84</v>
      </c>
      <c r="E344" s="217" t="s">
        <v>157</v>
      </c>
      <c r="F344" s="217" t="s">
        <v>156</v>
      </c>
      <c r="G344" s="217" t="s">
        <v>363</v>
      </c>
      <c r="H344" s="217" t="s">
        <v>1051</v>
      </c>
      <c r="I344" s="217" t="s">
        <v>29</v>
      </c>
      <c r="J344" s="217" t="s">
        <v>1857</v>
      </c>
      <c r="K344" s="217">
        <v>3</v>
      </c>
      <c r="L344" s="217">
        <v>19</v>
      </c>
      <c r="M344" s="217" t="s">
        <v>31</v>
      </c>
      <c r="N344" s="217" t="s">
        <v>32</v>
      </c>
      <c r="O344" s="217" t="s">
        <v>68</v>
      </c>
      <c r="P344" s="217" t="s">
        <v>34</v>
      </c>
      <c r="Q344" s="217" t="s">
        <v>35</v>
      </c>
      <c r="R344" s="217" t="s">
        <v>23</v>
      </c>
      <c r="S344" s="217" t="s">
        <v>22</v>
      </c>
      <c r="T344" s="217" t="s">
        <v>84</v>
      </c>
      <c r="U344" s="217" t="s">
        <v>85</v>
      </c>
      <c r="V344" s="217" t="s">
        <v>97</v>
      </c>
      <c r="W344" s="217" t="s">
        <v>98</v>
      </c>
      <c r="BC344" s="217" t="s">
        <v>85</v>
      </c>
      <c r="BD344" s="217" t="s">
        <v>98</v>
      </c>
      <c r="BE344" s="217" t="s">
        <v>1188</v>
      </c>
      <c r="BF344" s="217" t="s">
        <v>403</v>
      </c>
      <c r="BG344" s="217" t="s">
        <v>1998</v>
      </c>
      <c r="BH344" s="217" t="s">
        <v>1658</v>
      </c>
      <c r="BI344" s="217" t="s">
        <v>1658</v>
      </c>
      <c r="BJ344" s="217" t="s">
        <v>1660</v>
      </c>
      <c r="BK344" s="217" t="s">
        <v>637</v>
      </c>
      <c r="BL344" s="217"/>
      <c r="BM344" s="217"/>
      <c r="BN344" s="217">
        <v>0</v>
      </c>
      <c r="BO344" s="217">
        <v>0</v>
      </c>
      <c r="BR344" s="217" t="s">
        <v>85</v>
      </c>
      <c r="BS344" s="217" t="s">
        <v>98</v>
      </c>
      <c r="BT344" s="217" t="s">
        <v>813</v>
      </c>
      <c r="BU344" s="217" t="s">
        <v>1283</v>
      </c>
      <c r="BV344" s="217">
        <v>16</v>
      </c>
      <c r="BW344" s="217">
        <v>111</v>
      </c>
      <c r="BX344" s="217">
        <v>7</v>
      </c>
      <c r="BY344" s="217">
        <v>49</v>
      </c>
      <c r="BZ344" s="217">
        <v>0</v>
      </c>
      <c r="CA344" s="217">
        <v>0</v>
      </c>
      <c r="CB344" s="217">
        <v>16</v>
      </c>
      <c r="CC344" s="217">
        <v>111</v>
      </c>
      <c r="CD344" s="217">
        <v>9</v>
      </c>
      <c r="CE344" s="217">
        <v>68</v>
      </c>
      <c r="CF344" s="217">
        <v>0</v>
      </c>
      <c r="CG344" s="217">
        <v>0</v>
      </c>
      <c r="CH344" s="217">
        <v>0</v>
      </c>
      <c r="CI344" s="217">
        <v>-19</v>
      </c>
      <c r="CJ344" s="217">
        <v>0</v>
      </c>
    </row>
    <row r="345" spans="1:88" x14ac:dyDescent="0.25">
      <c r="A345" s="217" t="s">
        <v>22</v>
      </c>
      <c r="B345" s="217" t="s">
        <v>23</v>
      </c>
      <c r="C345" s="217" t="s">
        <v>85</v>
      </c>
      <c r="D345" s="217" t="s">
        <v>84</v>
      </c>
      <c r="E345" s="217" t="s">
        <v>157</v>
      </c>
      <c r="F345" s="217" t="s">
        <v>156</v>
      </c>
      <c r="G345" s="217" t="s">
        <v>364</v>
      </c>
      <c r="H345" s="217" t="s">
        <v>1052</v>
      </c>
      <c r="I345" s="217" t="s">
        <v>29</v>
      </c>
      <c r="J345" s="217" t="s">
        <v>1856</v>
      </c>
      <c r="K345" s="217">
        <v>42</v>
      </c>
      <c r="L345" s="217">
        <v>235</v>
      </c>
      <c r="M345" s="217" t="s">
        <v>31</v>
      </c>
      <c r="N345" s="217" t="s">
        <v>32</v>
      </c>
      <c r="O345" s="217" t="s">
        <v>68</v>
      </c>
      <c r="P345" s="217" t="s">
        <v>34</v>
      </c>
      <c r="Q345" s="217" t="s">
        <v>35</v>
      </c>
      <c r="R345" s="217" t="s">
        <v>23</v>
      </c>
      <c r="S345" s="217" t="s">
        <v>22</v>
      </c>
      <c r="T345" s="217" t="s">
        <v>84</v>
      </c>
      <c r="U345" s="217" t="s">
        <v>85</v>
      </c>
      <c r="V345" s="217" t="s">
        <v>97</v>
      </c>
      <c r="W345" s="217" t="s">
        <v>98</v>
      </c>
      <c r="BC345" s="217" t="s">
        <v>85</v>
      </c>
      <c r="BD345" s="217" t="s">
        <v>98</v>
      </c>
      <c r="BE345" s="217" t="s">
        <v>1190</v>
      </c>
      <c r="BF345" s="217" t="s">
        <v>1189</v>
      </c>
      <c r="BG345" s="217" t="s">
        <v>1998</v>
      </c>
      <c r="BH345" s="217" t="s">
        <v>1658</v>
      </c>
      <c r="BI345" s="217" t="s">
        <v>1660</v>
      </c>
      <c r="BJ345" s="217" t="s">
        <v>1660</v>
      </c>
      <c r="BK345" s="217" t="s">
        <v>637</v>
      </c>
      <c r="BL345" s="217"/>
      <c r="BM345" s="217"/>
      <c r="BN345" s="217">
        <v>0</v>
      </c>
      <c r="BO345" s="217">
        <v>0</v>
      </c>
      <c r="BR345" s="217" t="s">
        <v>85</v>
      </c>
      <c r="BS345" s="217" t="s">
        <v>98</v>
      </c>
      <c r="BT345" s="217" t="s">
        <v>1239</v>
      </c>
      <c r="BU345" s="217" t="s">
        <v>1240</v>
      </c>
      <c r="BV345" s="217">
        <v>49</v>
      </c>
      <c r="BW345" s="217">
        <v>195</v>
      </c>
      <c r="BX345" s="217">
        <v>0</v>
      </c>
      <c r="BY345" s="217">
        <v>0</v>
      </c>
      <c r="BZ345" s="217">
        <v>0</v>
      </c>
      <c r="CA345" s="217">
        <v>0</v>
      </c>
      <c r="CB345" s="217">
        <v>49</v>
      </c>
      <c r="CC345" s="217">
        <v>195</v>
      </c>
      <c r="CD345" s="217">
        <v>0</v>
      </c>
      <c r="CE345" s="217">
        <v>0</v>
      </c>
      <c r="CF345" s="217">
        <v>0</v>
      </c>
      <c r="CG345" s="217">
        <v>0</v>
      </c>
      <c r="CH345" s="217">
        <v>0</v>
      </c>
      <c r="CI345" s="217">
        <v>0</v>
      </c>
      <c r="CJ345" s="217">
        <v>0</v>
      </c>
    </row>
    <row r="346" spans="1:88" x14ac:dyDescent="0.25">
      <c r="A346" s="217" t="s">
        <v>22</v>
      </c>
      <c r="B346" s="217" t="s">
        <v>23</v>
      </c>
      <c r="C346" s="217" t="s">
        <v>85</v>
      </c>
      <c r="D346" s="217" t="s">
        <v>84</v>
      </c>
      <c r="E346" s="217" t="s">
        <v>157</v>
      </c>
      <c r="F346" s="217" t="s">
        <v>156</v>
      </c>
      <c r="G346" s="217" t="s">
        <v>364</v>
      </c>
      <c r="H346" s="217" t="s">
        <v>1052</v>
      </c>
      <c r="I346" s="217" t="s">
        <v>29</v>
      </c>
      <c r="J346" s="217" t="s">
        <v>1858</v>
      </c>
      <c r="K346" s="217">
        <v>5</v>
      </c>
      <c r="L346" s="217">
        <v>43</v>
      </c>
      <c r="M346" s="217" t="s">
        <v>31</v>
      </c>
      <c r="N346" s="217" t="s">
        <v>32</v>
      </c>
      <c r="O346" s="217" t="s">
        <v>68</v>
      </c>
      <c r="P346" s="217" t="s">
        <v>34</v>
      </c>
      <c r="Q346" s="217" t="s">
        <v>35</v>
      </c>
      <c r="R346" s="217" t="s">
        <v>23</v>
      </c>
      <c r="S346" s="217" t="s">
        <v>22</v>
      </c>
      <c r="T346" s="217" t="s">
        <v>84</v>
      </c>
      <c r="U346" s="217" t="s">
        <v>85</v>
      </c>
      <c r="V346" s="217" t="s">
        <v>97</v>
      </c>
      <c r="W346" s="217" t="s">
        <v>98</v>
      </c>
      <c r="BC346" s="217" t="s">
        <v>85</v>
      </c>
      <c r="BD346" s="217" t="s">
        <v>98</v>
      </c>
      <c r="BE346" s="217" t="s">
        <v>1191</v>
      </c>
      <c r="BF346" s="217" t="s">
        <v>404</v>
      </c>
      <c r="BG346" s="217" t="s">
        <v>1998</v>
      </c>
      <c r="BH346" s="217" t="s">
        <v>1658</v>
      </c>
      <c r="BI346" s="217" t="s">
        <v>1658</v>
      </c>
      <c r="BJ346" s="217" t="s">
        <v>1660</v>
      </c>
      <c r="BK346" s="217" t="s">
        <v>637</v>
      </c>
      <c r="BL346" s="217"/>
      <c r="BM346" s="217"/>
      <c r="BN346" s="217">
        <v>0</v>
      </c>
      <c r="BO346" s="217">
        <v>0</v>
      </c>
      <c r="BR346" s="217" t="s">
        <v>85</v>
      </c>
      <c r="BS346" s="217" t="s">
        <v>98</v>
      </c>
      <c r="BT346" s="217" t="s">
        <v>1237</v>
      </c>
      <c r="BU346" s="217" t="s">
        <v>1238</v>
      </c>
      <c r="BV346" s="217">
        <v>25</v>
      </c>
      <c r="BW346" s="217">
        <v>100</v>
      </c>
      <c r="BX346" s="217">
        <v>0</v>
      </c>
      <c r="BY346" s="217">
        <v>0</v>
      </c>
      <c r="BZ346" s="217">
        <v>0</v>
      </c>
      <c r="CA346" s="217">
        <v>0</v>
      </c>
      <c r="CB346" s="217">
        <v>25</v>
      </c>
      <c r="CC346" s="217">
        <v>125</v>
      </c>
      <c r="CD346" s="217">
        <v>0</v>
      </c>
      <c r="CE346" s="217">
        <v>0</v>
      </c>
      <c r="CF346" s="217">
        <v>0</v>
      </c>
      <c r="CG346" s="217">
        <v>0</v>
      </c>
      <c r="CH346" s="217">
        <v>-25</v>
      </c>
      <c r="CI346" s="217">
        <v>0</v>
      </c>
      <c r="CJ346" s="217">
        <v>0</v>
      </c>
    </row>
    <row r="347" spans="1:88" x14ac:dyDescent="0.25">
      <c r="A347" s="217" t="s">
        <v>22</v>
      </c>
      <c r="B347" s="217" t="s">
        <v>23</v>
      </c>
      <c r="C347" s="217" t="s">
        <v>85</v>
      </c>
      <c r="D347" s="217" t="s">
        <v>84</v>
      </c>
      <c r="E347" s="217" t="s">
        <v>157</v>
      </c>
      <c r="F347" s="217" t="s">
        <v>156</v>
      </c>
      <c r="G347" s="217" t="s">
        <v>365</v>
      </c>
      <c r="H347" s="217" t="s">
        <v>1053</v>
      </c>
      <c r="I347" s="217" t="s">
        <v>29</v>
      </c>
      <c r="J347" s="217" t="s">
        <v>1856</v>
      </c>
      <c r="K347" s="217">
        <v>13</v>
      </c>
      <c r="L347" s="217">
        <v>80</v>
      </c>
      <c r="M347" s="217" t="s">
        <v>31</v>
      </c>
      <c r="N347" s="217" t="s">
        <v>32</v>
      </c>
      <c r="O347" s="217" t="s">
        <v>68</v>
      </c>
      <c r="P347" s="217" t="s">
        <v>34</v>
      </c>
      <c r="Q347" s="217" t="s">
        <v>35</v>
      </c>
      <c r="R347" s="217" t="s">
        <v>23</v>
      </c>
      <c r="S347" s="217" t="s">
        <v>22</v>
      </c>
      <c r="T347" s="217" t="s">
        <v>84</v>
      </c>
      <c r="U347" s="217" t="s">
        <v>85</v>
      </c>
      <c r="V347" s="217" t="s">
        <v>97</v>
      </c>
      <c r="W347" s="217" t="s">
        <v>98</v>
      </c>
      <c r="BC347" s="217" t="s">
        <v>85</v>
      </c>
      <c r="BD347" s="217" t="s">
        <v>98</v>
      </c>
      <c r="BE347" s="217" t="s">
        <v>1192</v>
      </c>
      <c r="BF347" s="217" t="s">
        <v>825</v>
      </c>
      <c r="BG347" s="217" t="s">
        <v>1998</v>
      </c>
      <c r="BH347" s="217" t="s">
        <v>1658</v>
      </c>
      <c r="BI347" s="217" t="s">
        <v>1658</v>
      </c>
      <c r="BJ347" s="217" t="s">
        <v>1660</v>
      </c>
      <c r="BK347" s="217" t="s">
        <v>637</v>
      </c>
      <c r="BL347" s="217"/>
      <c r="BM347" s="217"/>
      <c r="BN347" s="217">
        <v>0</v>
      </c>
      <c r="BO347" s="217">
        <v>0</v>
      </c>
      <c r="BR347" s="217" t="s">
        <v>85</v>
      </c>
      <c r="BS347" s="217" t="s">
        <v>98</v>
      </c>
      <c r="BT347" s="217" t="s">
        <v>1286</v>
      </c>
      <c r="BU347" s="217" t="s">
        <v>1287</v>
      </c>
      <c r="BV347" s="217">
        <v>7</v>
      </c>
      <c r="BW347" s="217">
        <v>41</v>
      </c>
      <c r="BX347" s="217">
        <v>0</v>
      </c>
      <c r="BY347" s="217">
        <v>0</v>
      </c>
      <c r="BZ347" s="217">
        <v>0</v>
      </c>
      <c r="CA347" s="217">
        <v>0</v>
      </c>
      <c r="CB347" s="217">
        <v>7</v>
      </c>
      <c r="CC347" s="217">
        <v>41</v>
      </c>
      <c r="CD347" s="217">
        <v>0</v>
      </c>
      <c r="CE347" s="217">
        <v>0</v>
      </c>
      <c r="CF347" s="217">
        <v>0</v>
      </c>
      <c r="CG347" s="217">
        <v>0</v>
      </c>
      <c r="CH347" s="217">
        <v>0</v>
      </c>
      <c r="CI347" s="217">
        <v>0</v>
      </c>
      <c r="CJ347" s="217">
        <v>0</v>
      </c>
    </row>
    <row r="348" spans="1:88" x14ac:dyDescent="0.25">
      <c r="A348" s="217" t="s">
        <v>22</v>
      </c>
      <c r="B348" s="217" t="s">
        <v>23</v>
      </c>
      <c r="C348" s="217" t="s">
        <v>85</v>
      </c>
      <c r="D348" s="217" t="s">
        <v>84</v>
      </c>
      <c r="E348" s="217" t="s">
        <v>157</v>
      </c>
      <c r="F348" s="217" t="s">
        <v>156</v>
      </c>
      <c r="G348" s="217" t="s">
        <v>365</v>
      </c>
      <c r="H348" s="217" t="s">
        <v>1053</v>
      </c>
      <c r="I348" s="217" t="s">
        <v>29</v>
      </c>
      <c r="J348" s="217" t="s">
        <v>1857</v>
      </c>
      <c r="K348" s="217">
        <v>5</v>
      </c>
      <c r="L348" s="217">
        <v>35</v>
      </c>
      <c r="M348" s="217" t="s">
        <v>31</v>
      </c>
      <c r="N348" s="217" t="s">
        <v>32</v>
      </c>
      <c r="O348" s="217" t="s">
        <v>68</v>
      </c>
      <c r="P348" s="217" t="s">
        <v>34</v>
      </c>
      <c r="Q348" s="217" t="s">
        <v>35</v>
      </c>
      <c r="R348" s="217" t="s">
        <v>23</v>
      </c>
      <c r="S348" s="217" t="s">
        <v>22</v>
      </c>
      <c r="T348" s="217" t="s">
        <v>84</v>
      </c>
      <c r="U348" s="217" t="s">
        <v>85</v>
      </c>
      <c r="V348" s="217" t="s">
        <v>97</v>
      </c>
      <c r="W348" s="217" t="s">
        <v>98</v>
      </c>
      <c r="BC348" s="217" t="s">
        <v>85</v>
      </c>
      <c r="BD348" s="217" t="s">
        <v>98</v>
      </c>
      <c r="BE348" s="217" t="s">
        <v>1193</v>
      </c>
      <c r="BF348" s="217" t="s">
        <v>826</v>
      </c>
      <c r="BG348" s="217" t="s">
        <v>1998</v>
      </c>
      <c r="BH348" s="217" t="s">
        <v>1658</v>
      </c>
      <c r="BI348" s="217" t="s">
        <v>1658</v>
      </c>
      <c r="BJ348" s="217" t="s">
        <v>1660</v>
      </c>
      <c r="BK348" s="217" t="s">
        <v>637</v>
      </c>
      <c r="BL348" s="217"/>
      <c r="BM348" s="217"/>
      <c r="BN348" s="217">
        <v>0</v>
      </c>
      <c r="BO348" s="217">
        <v>0</v>
      </c>
      <c r="BR348" s="217" t="s">
        <v>85</v>
      </c>
      <c r="BS348" s="217" t="s">
        <v>98</v>
      </c>
      <c r="BT348" s="217" t="s">
        <v>1245</v>
      </c>
      <c r="BU348" s="217" t="s">
        <v>1246</v>
      </c>
      <c r="BV348" s="217">
        <v>16</v>
      </c>
      <c r="BW348" s="217">
        <v>80</v>
      </c>
      <c r="BX348" s="217">
        <v>0</v>
      </c>
      <c r="BY348" s="217">
        <v>0</v>
      </c>
      <c r="BZ348" s="217">
        <v>0</v>
      </c>
      <c r="CA348" s="217">
        <v>0</v>
      </c>
      <c r="CB348" s="217">
        <v>16</v>
      </c>
      <c r="CC348" s="217">
        <v>80</v>
      </c>
      <c r="CD348" s="217">
        <v>0</v>
      </c>
      <c r="CE348" s="217">
        <v>0</v>
      </c>
      <c r="CF348" s="217">
        <v>0</v>
      </c>
      <c r="CG348" s="217">
        <v>0</v>
      </c>
      <c r="CH348" s="217">
        <v>0</v>
      </c>
      <c r="CI348" s="217">
        <v>0</v>
      </c>
      <c r="CJ348" s="217">
        <v>0</v>
      </c>
    </row>
    <row r="349" spans="1:88" x14ac:dyDescent="0.25">
      <c r="A349" s="217" t="s">
        <v>22</v>
      </c>
      <c r="B349" s="217" t="s">
        <v>23</v>
      </c>
      <c r="C349" s="217" t="s">
        <v>85</v>
      </c>
      <c r="D349" s="217" t="s">
        <v>84</v>
      </c>
      <c r="E349" s="217" t="s">
        <v>157</v>
      </c>
      <c r="F349" s="217" t="s">
        <v>156</v>
      </c>
      <c r="G349" s="217" t="s">
        <v>365</v>
      </c>
      <c r="H349" s="217" t="s">
        <v>1053</v>
      </c>
      <c r="I349" s="217" t="s">
        <v>29</v>
      </c>
      <c r="J349" s="217" t="s">
        <v>1858</v>
      </c>
      <c r="K349" s="217">
        <v>5</v>
      </c>
      <c r="L349" s="217">
        <v>42</v>
      </c>
      <c r="M349" s="217" t="s">
        <v>31</v>
      </c>
      <c r="N349" s="217" t="s">
        <v>32</v>
      </c>
      <c r="O349" s="217" t="s">
        <v>100</v>
      </c>
      <c r="P349" s="217" t="s">
        <v>34</v>
      </c>
      <c r="Q349" s="217" t="s">
        <v>35</v>
      </c>
      <c r="R349" s="217" t="s">
        <v>23</v>
      </c>
      <c r="S349" s="217" t="s">
        <v>22</v>
      </c>
      <c r="T349" s="217" t="s">
        <v>84</v>
      </c>
      <c r="U349" s="217" t="s">
        <v>85</v>
      </c>
      <c r="V349" s="217" t="s">
        <v>156</v>
      </c>
      <c r="W349" s="217" t="s">
        <v>157</v>
      </c>
      <c r="BC349" s="217" t="s">
        <v>85</v>
      </c>
      <c r="BD349" s="217" t="s">
        <v>98</v>
      </c>
      <c r="BE349" s="217" t="s">
        <v>1684</v>
      </c>
      <c r="BF349" s="217" t="s">
        <v>405</v>
      </c>
      <c r="BG349" s="217" t="s">
        <v>1998</v>
      </c>
      <c r="BH349" s="217" t="s">
        <v>1658</v>
      </c>
      <c r="BI349" s="217" t="s">
        <v>1660</v>
      </c>
      <c r="BJ349" s="217" t="s">
        <v>1660</v>
      </c>
      <c r="BK349" s="217" t="s">
        <v>637</v>
      </c>
      <c r="BL349" s="217"/>
      <c r="BM349" s="217"/>
      <c r="BN349" s="217">
        <v>0</v>
      </c>
      <c r="BO349" s="217">
        <v>0</v>
      </c>
      <c r="BR349" s="217" t="s">
        <v>85</v>
      </c>
      <c r="BS349" s="217" t="s">
        <v>98</v>
      </c>
      <c r="BT349" s="217" t="s">
        <v>1293</v>
      </c>
      <c r="BU349" s="217" t="s">
        <v>1294</v>
      </c>
      <c r="BV349" s="217">
        <v>36</v>
      </c>
      <c r="BW349" s="217">
        <v>100</v>
      </c>
      <c r="BX349" s="217">
        <v>0</v>
      </c>
      <c r="BY349" s="217">
        <v>0</v>
      </c>
      <c r="BZ349" s="217">
        <v>0</v>
      </c>
      <c r="CA349" s="217">
        <v>0</v>
      </c>
      <c r="CB349" s="217">
        <v>36</v>
      </c>
      <c r="CC349" s="217">
        <v>100</v>
      </c>
      <c r="CD349" s="217">
        <v>0</v>
      </c>
      <c r="CE349" s="217">
        <v>0</v>
      </c>
      <c r="CF349" s="217">
        <v>0</v>
      </c>
      <c r="CG349" s="217">
        <v>0</v>
      </c>
      <c r="CH349" s="217">
        <v>0</v>
      </c>
      <c r="CI349" s="217">
        <v>0</v>
      </c>
      <c r="CJ349" s="217">
        <v>0</v>
      </c>
    </row>
    <row r="350" spans="1:88" x14ac:dyDescent="0.25">
      <c r="A350" s="217" t="s">
        <v>22</v>
      </c>
      <c r="B350" s="217" t="s">
        <v>23</v>
      </c>
      <c r="C350" s="217" t="s">
        <v>85</v>
      </c>
      <c r="D350" s="217" t="s">
        <v>84</v>
      </c>
      <c r="E350" s="217" t="s">
        <v>151</v>
      </c>
      <c r="F350" s="217" t="s">
        <v>150</v>
      </c>
      <c r="G350" s="217" t="s">
        <v>1054</v>
      </c>
      <c r="H350" s="217" t="s">
        <v>1055</v>
      </c>
      <c r="I350" s="217" t="s">
        <v>29</v>
      </c>
      <c r="J350" s="217" t="s">
        <v>1858</v>
      </c>
      <c r="K350" s="217">
        <v>34</v>
      </c>
      <c r="L350" s="217">
        <v>98</v>
      </c>
      <c r="M350" s="217" t="s">
        <v>31</v>
      </c>
      <c r="N350" s="217" t="s">
        <v>32</v>
      </c>
      <c r="O350" s="217" t="s">
        <v>68</v>
      </c>
      <c r="P350" s="217" t="s">
        <v>34</v>
      </c>
      <c r="Q350" s="217" t="s">
        <v>35</v>
      </c>
      <c r="R350" s="217" t="s">
        <v>23</v>
      </c>
      <c r="S350" s="217" t="s">
        <v>22</v>
      </c>
      <c r="T350" s="217" t="s">
        <v>84</v>
      </c>
      <c r="U350" s="217" t="s">
        <v>85</v>
      </c>
      <c r="V350" s="217" t="s">
        <v>91</v>
      </c>
      <c r="W350" s="217" t="s">
        <v>92</v>
      </c>
      <c r="BC350" s="217" t="s">
        <v>85</v>
      </c>
      <c r="BD350" s="217" t="s">
        <v>98</v>
      </c>
      <c r="BE350" s="217" t="s">
        <v>1194</v>
      </c>
      <c r="BF350" s="217" t="s">
        <v>406</v>
      </c>
      <c r="BG350" s="217" t="s">
        <v>1998</v>
      </c>
      <c r="BH350" s="217" t="s">
        <v>1658</v>
      </c>
      <c r="BI350" s="217" t="s">
        <v>1660</v>
      </c>
      <c r="BJ350" s="217" t="s">
        <v>1660</v>
      </c>
      <c r="BK350" s="217" t="s">
        <v>637</v>
      </c>
      <c r="BL350" s="217"/>
      <c r="BM350" s="217"/>
      <c r="BN350" s="217">
        <v>0</v>
      </c>
      <c r="BO350" s="217">
        <v>0</v>
      </c>
      <c r="BR350" s="217" t="s">
        <v>85</v>
      </c>
      <c r="BS350" s="217" t="s">
        <v>98</v>
      </c>
      <c r="BT350" s="217" t="s">
        <v>159</v>
      </c>
      <c r="BU350" s="217" t="s">
        <v>1149</v>
      </c>
      <c r="BV350" s="217">
        <v>14</v>
      </c>
      <c r="BW350" s="217">
        <v>60</v>
      </c>
      <c r="BX350" s="217">
        <v>0</v>
      </c>
      <c r="BY350" s="217">
        <v>0</v>
      </c>
      <c r="BZ350" s="217">
        <v>20</v>
      </c>
      <c r="CA350" s="217">
        <v>80</v>
      </c>
      <c r="CB350" s="217">
        <v>14</v>
      </c>
      <c r="CC350" s="217">
        <v>60</v>
      </c>
      <c r="CD350" s="217">
        <v>0</v>
      </c>
      <c r="CE350" s="217">
        <v>0</v>
      </c>
      <c r="CF350" s="217">
        <v>20</v>
      </c>
      <c r="CG350" s="217">
        <v>80</v>
      </c>
      <c r="CH350" s="217">
        <v>0</v>
      </c>
      <c r="CI350" s="217">
        <v>0</v>
      </c>
      <c r="CJ350" s="217">
        <v>0</v>
      </c>
    </row>
    <row r="351" spans="1:88" x14ac:dyDescent="0.25">
      <c r="A351" s="217" t="s">
        <v>22</v>
      </c>
      <c r="B351" s="217" t="s">
        <v>23</v>
      </c>
      <c r="C351" s="217" t="s">
        <v>85</v>
      </c>
      <c r="D351" s="217" t="s">
        <v>84</v>
      </c>
      <c r="E351" s="217" t="s">
        <v>151</v>
      </c>
      <c r="F351" s="217" t="s">
        <v>150</v>
      </c>
      <c r="G351" s="217" t="s">
        <v>1056</v>
      </c>
      <c r="H351" s="217" t="s">
        <v>1057</v>
      </c>
      <c r="I351" s="217" t="s">
        <v>29</v>
      </c>
      <c r="J351" s="217" t="s">
        <v>1858</v>
      </c>
      <c r="K351" s="217">
        <v>70</v>
      </c>
      <c r="L351" s="217">
        <v>150</v>
      </c>
      <c r="M351" s="217" t="s">
        <v>31</v>
      </c>
      <c r="N351" s="217" t="s">
        <v>32</v>
      </c>
      <c r="O351" s="217" t="s">
        <v>100</v>
      </c>
      <c r="P351" s="217" t="s">
        <v>34</v>
      </c>
      <c r="Q351" s="217" t="s">
        <v>35</v>
      </c>
      <c r="R351" s="217" t="s">
        <v>23</v>
      </c>
      <c r="S351" s="217" t="s">
        <v>22</v>
      </c>
      <c r="T351" s="217" t="s">
        <v>84</v>
      </c>
      <c r="U351" s="217" t="s">
        <v>85</v>
      </c>
      <c r="V351" s="217" t="s">
        <v>150</v>
      </c>
      <c r="W351" s="217" t="s">
        <v>151</v>
      </c>
      <c r="BC351" s="217" t="s">
        <v>85</v>
      </c>
      <c r="BD351" s="217" t="s">
        <v>98</v>
      </c>
      <c r="BE351" s="217" t="s">
        <v>1196</v>
      </c>
      <c r="BF351" s="217" t="s">
        <v>1195</v>
      </c>
      <c r="BG351" s="217" t="s">
        <v>2000</v>
      </c>
      <c r="BH351" s="217" t="s">
        <v>1658</v>
      </c>
      <c r="BI351" s="217" t="s">
        <v>1660</v>
      </c>
      <c r="BJ351" s="217" t="s">
        <v>1660</v>
      </c>
      <c r="BK351" s="217" t="s">
        <v>637</v>
      </c>
      <c r="BL351" s="217"/>
      <c r="BM351" s="217"/>
      <c r="BN351" s="217">
        <v>0</v>
      </c>
      <c r="BO351" s="217">
        <v>0</v>
      </c>
      <c r="BR351" s="217" t="s">
        <v>85</v>
      </c>
      <c r="BS351" s="217" t="s">
        <v>98</v>
      </c>
      <c r="BT351" s="217" t="s">
        <v>162</v>
      </c>
      <c r="BU351" s="217" t="s">
        <v>1158</v>
      </c>
      <c r="BV351" s="217">
        <v>39</v>
      </c>
      <c r="BW351" s="217">
        <v>337</v>
      </c>
      <c r="BX351" s="217">
        <v>3</v>
      </c>
      <c r="BY351" s="217">
        <v>38</v>
      </c>
      <c r="BZ351" s="217">
        <v>33</v>
      </c>
      <c r="CA351" s="217">
        <v>165</v>
      </c>
      <c r="CB351" s="217">
        <v>39</v>
      </c>
      <c r="CC351" s="217">
        <v>337</v>
      </c>
      <c r="CD351" s="217">
        <v>3</v>
      </c>
      <c r="CE351" s="217">
        <v>38</v>
      </c>
      <c r="CF351" s="217">
        <v>33</v>
      </c>
      <c r="CG351" s="217">
        <v>165</v>
      </c>
      <c r="CH351" s="217">
        <v>0</v>
      </c>
      <c r="CI351" s="217">
        <v>0</v>
      </c>
      <c r="CJ351" s="217">
        <v>0</v>
      </c>
    </row>
    <row r="352" spans="1:88" x14ac:dyDescent="0.25">
      <c r="A352" s="217" t="s">
        <v>22</v>
      </c>
      <c r="B352" s="217" t="s">
        <v>23</v>
      </c>
      <c r="C352" s="217" t="s">
        <v>85</v>
      </c>
      <c r="D352" s="217" t="s">
        <v>84</v>
      </c>
      <c r="E352" s="217" t="s">
        <v>151</v>
      </c>
      <c r="F352" s="217" t="s">
        <v>150</v>
      </c>
      <c r="G352" s="217" t="s">
        <v>1058</v>
      </c>
      <c r="H352" s="217" t="s">
        <v>1059</v>
      </c>
      <c r="I352" s="217" t="s">
        <v>29</v>
      </c>
      <c r="J352" s="217" t="s">
        <v>1858</v>
      </c>
      <c r="K352" s="217">
        <v>30</v>
      </c>
      <c r="L352" s="217">
        <v>150</v>
      </c>
      <c r="M352" s="217" t="s">
        <v>31</v>
      </c>
      <c r="N352" s="217" t="s">
        <v>32</v>
      </c>
      <c r="O352" s="217" t="s">
        <v>100</v>
      </c>
      <c r="P352" s="217" t="s">
        <v>34</v>
      </c>
      <c r="Q352" s="217" t="s">
        <v>35</v>
      </c>
      <c r="R352" s="217" t="s">
        <v>23</v>
      </c>
      <c r="S352" s="217" t="s">
        <v>22</v>
      </c>
      <c r="T352" s="217" t="s">
        <v>84</v>
      </c>
      <c r="U352" s="217" t="s">
        <v>85</v>
      </c>
      <c r="V352" s="217" t="s">
        <v>150</v>
      </c>
      <c r="W352" s="217" t="s">
        <v>151</v>
      </c>
      <c r="BC352" s="217" t="s">
        <v>85</v>
      </c>
      <c r="BD352" s="217" t="s">
        <v>98</v>
      </c>
      <c r="BE352" s="217" t="s">
        <v>1687</v>
      </c>
      <c r="BF352" s="217" t="s">
        <v>805</v>
      </c>
      <c r="BG352" s="217" t="s">
        <v>2006</v>
      </c>
      <c r="BH352" s="217" t="s">
        <v>1660</v>
      </c>
      <c r="BI352" s="217" t="s">
        <v>1660</v>
      </c>
      <c r="BJ352" s="217" t="s">
        <v>1660</v>
      </c>
      <c r="BK352" s="217" t="s">
        <v>637</v>
      </c>
      <c r="BL352" s="217"/>
      <c r="BM352" s="217"/>
      <c r="BN352" s="217">
        <v>0</v>
      </c>
      <c r="BO352" s="217">
        <v>0</v>
      </c>
      <c r="BR352" s="217" t="s">
        <v>85</v>
      </c>
      <c r="BS352" s="217" t="s">
        <v>98</v>
      </c>
      <c r="BT352" s="217" t="s">
        <v>379</v>
      </c>
      <c r="BU352" s="217" t="s">
        <v>1137</v>
      </c>
      <c r="BV352" s="217">
        <v>7</v>
      </c>
      <c r="BW352" s="217">
        <v>37</v>
      </c>
      <c r="BX352" s="217">
        <v>0</v>
      </c>
      <c r="BY352" s="217">
        <v>0</v>
      </c>
      <c r="BZ352" s="217">
        <v>0</v>
      </c>
      <c r="CA352" s="217">
        <v>0</v>
      </c>
      <c r="CB352" s="217">
        <v>7</v>
      </c>
      <c r="CC352" s="217">
        <v>37</v>
      </c>
      <c r="CD352" s="217">
        <v>0</v>
      </c>
      <c r="CE352" s="217">
        <v>0</v>
      </c>
      <c r="CF352" s="217">
        <v>0</v>
      </c>
      <c r="CG352" s="217">
        <v>0</v>
      </c>
      <c r="CH352" s="217">
        <v>0</v>
      </c>
      <c r="CI352" s="217">
        <v>0</v>
      </c>
      <c r="CJ352" s="217">
        <v>0</v>
      </c>
    </row>
    <row r="353" spans="1:88" x14ac:dyDescent="0.25">
      <c r="A353" s="217" t="s">
        <v>22</v>
      </c>
      <c r="B353" s="217" t="s">
        <v>23</v>
      </c>
      <c r="C353" s="217" t="s">
        <v>85</v>
      </c>
      <c r="D353" s="217" t="s">
        <v>84</v>
      </c>
      <c r="E353" s="217" t="s">
        <v>151</v>
      </c>
      <c r="F353" s="217" t="s">
        <v>150</v>
      </c>
      <c r="G353" s="217" t="s">
        <v>774</v>
      </c>
      <c r="H353" s="217" t="s">
        <v>1061</v>
      </c>
      <c r="I353" s="217" t="s">
        <v>29</v>
      </c>
      <c r="J353" s="217" t="s">
        <v>1856</v>
      </c>
      <c r="K353" s="217">
        <v>33</v>
      </c>
      <c r="L353" s="217">
        <v>121</v>
      </c>
      <c r="M353" s="217" t="s">
        <v>31</v>
      </c>
      <c r="N353" s="217" t="s">
        <v>32</v>
      </c>
      <c r="O353" s="217" t="s">
        <v>100</v>
      </c>
      <c r="P353" s="217" t="s">
        <v>34</v>
      </c>
      <c r="Q353" s="217" t="s">
        <v>35</v>
      </c>
      <c r="R353" s="217" t="s">
        <v>23</v>
      </c>
      <c r="S353" s="217" t="s">
        <v>22</v>
      </c>
      <c r="T353" s="217" t="s">
        <v>84</v>
      </c>
      <c r="U353" s="217" t="s">
        <v>85</v>
      </c>
      <c r="V353" s="217" t="s">
        <v>150</v>
      </c>
      <c r="W353" s="217" t="s">
        <v>151</v>
      </c>
      <c r="BC353" s="217" t="s">
        <v>85</v>
      </c>
      <c r="BD353" s="217" t="s">
        <v>98</v>
      </c>
      <c r="BE353" s="217" t="s">
        <v>1197</v>
      </c>
      <c r="BF353" s="217" t="s">
        <v>407</v>
      </c>
      <c r="BG353" s="217" t="s">
        <v>1998</v>
      </c>
      <c r="BH353" s="217" t="s">
        <v>1658</v>
      </c>
      <c r="BI353" s="217" t="s">
        <v>1658</v>
      </c>
      <c r="BJ353" s="217" t="s">
        <v>1660</v>
      </c>
      <c r="BK353" s="217" t="s">
        <v>637</v>
      </c>
      <c r="BL353" s="217"/>
      <c r="BM353" s="217"/>
      <c r="BN353" s="217">
        <v>0</v>
      </c>
      <c r="BO353" s="217">
        <v>0</v>
      </c>
      <c r="BR353" s="217" t="s">
        <v>85</v>
      </c>
      <c r="BS353" s="217" t="s">
        <v>98</v>
      </c>
      <c r="BT353" s="217" t="s">
        <v>380</v>
      </c>
      <c r="BU353" s="217" t="s">
        <v>1138</v>
      </c>
      <c r="BV353" s="217">
        <v>6</v>
      </c>
      <c r="BW353" s="217">
        <v>34</v>
      </c>
      <c r="BX353" s="217">
        <v>0</v>
      </c>
      <c r="BY353" s="217">
        <v>0</v>
      </c>
      <c r="BZ353" s="217">
        <v>0</v>
      </c>
      <c r="CA353" s="217">
        <v>0</v>
      </c>
      <c r="CB353" s="217">
        <v>6</v>
      </c>
      <c r="CC353" s="217">
        <v>34</v>
      </c>
      <c r="CD353" s="217">
        <v>0</v>
      </c>
      <c r="CE353" s="217">
        <v>0</v>
      </c>
      <c r="CF353" s="217">
        <v>0</v>
      </c>
      <c r="CG353" s="217">
        <v>0</v>
      </c>
      <c r="CH353" s="217">
        <v>0</v>
      </c>
      <c r="CI353" s="217">
        <v>0</v>
      </c>
      <c r="CJ353" s="217">
        <v>0</v>
      </c>
    </row>
    <row r="354" spans="1:88" x14ac:dyDescent="0.25">
      <c r="A354" s="217" t="s">
        <v>22</v>
      </c>
      <c r="B354" s="217" t="s">
        <v>23</v>
      </c>
      <c r="C354" s="217" t="s">
        <v>85</v>
      </c>
      <c r="D354" s="217" t="s">
        <v>84</v>
      </c>
      <c r="E354" s="217" t="s">
        <v>151</v>
      </c>
      <c r="F354" s="217" t="s">
        <v>150</v>
      </c>
      <c r="G354" s="217" t="s">
        <v>774</v>
      </c>
      <c r="H354" s="217" t="s">
        <v>1061</v>
      </c>
      <c r="I354" s="217" t="s">
        <v>29</v>
      </c>
      <c r="J354" s="217" t="s">
        <v>1857</v>
      </c>
      <c r="K354" s="217">
        <v>2</v>
      </c>
      <c r="L354" s="217">
        <v>21</v>
      </c>
      <c r="M354" s="217" t="s">
        <v>31</v>
      </c>
      <c r="N354" s="217" t="s">
        <v>32</v>
      </c>
      <c r="O354" s="217" t="s">
        <v>100</v>
      </c>
      <c r="P354" s="217" t="s">
        <v>34</v>
      </c>
      <c r="Q354" s="217" t="s">
        <v>35</v>
      </c>
      <c r="R354" s="217" t="s">
        <v>23</v>
      </c>
      <c r="S354" s="217" t="s">
        <v>22</v>
      </c>
      <c r="T354" s="217" t="s">
        <v>84</v>
      </c>
      <c r="U354" s="217" t="s">
        <v>85</v>
      </c>
      <c r="V354" s="217" t="s">
        <v>150</v>
      </c>
      <c r="W354" s="217" t="s">
        <v>151</v>
      </c>
      <c r="BC354" s="217" t="s">
        <v>85</v>
      </c>
      <c r="BD354" s="217" t="s">
        <v>98</v>
      </c>
      <c r="BE354" s="217" t="s">
        <v>1198</v>
      </c>
      <c r="BF354" s="217" t="s">
        <v>816</v>
      </c>
      <c r="BG354" s="217" t="s">
        <v>1998</v>
      </c>
      <c r="BH354" s="217" t="s">
        <v>1658</v>
      </c>
      <c r="BI354" s="217" t="s">
        <v>1658</v>
      </c>
      <c r="BJ354" s="217" t="s">
        <v>1660</v>
      </c>
      <c r="BK354" s="217" t="s">
        <v>637</v>
      </c>
      <c r="BL354" s="217"/>
      <c r="BM354" s="217"/>
      <c r="BN354" s="217">
        <v>0</v>
      </c>
      <c r="BO354" s="217">
        <v>0</v>
      </c>
      <c r="BR354" s="217" t="s">
        <v>85</v>
      </c>
      <c r="BS354" s="217" t="s">
        <v>98</v>
      </c>
      <c r="BT354" s="217" t="s">
        <v>455</v>
      </c>
      <c r="BU354" s="217" t="s">
        <v>1282</v>
      </c>
      <c r="BV354" s="217">
        <v>19</v>
      </c>
      <c r="BW354" s="217">
        <v>82</v>
      </c>
      <c r="BX354" s="217">
        <v>20</v>
      </c>
      <c r="BY354" s="217">
        <v>120</v>
      </c>
      <c r="BZ354" s="217">
        <v>0</v>
      </c>
      <c r="CA354" s="217">
        <v>0</v>
      </c>
      <c r="CB354" s="217">
        <v>19</v>
      </c>
      <c r="CC354" s="217">
        <v>82</v>
      </c>
      <c r="CD354" s="217">
        <v>20</v>
      </c>
      <c r="CE354" s="217">
        <v>120</v>
      </c>
      <c r="CF354" s="217">
        <v>0</v>
      </c>
      <c r="CG354" s="217">
        <v>0</v>
      </c>
      <c r="CH354" s="217">
        <v>0</v>
      </c>
      <c r="CI354" s="217">
        <v>0</v>
      </c>
      <c r="CJ354" s="217">
        <v>0</v>
      </c>
    </row>
    <row r="355" spans="1:88" x14ac:dyDescent="0.25">
      <c r="A355" s="217" t="s">
        <v>22</v>
      </c>
      <c r="B355" s="217" t="s">
        <v>23</v>
      </c>
      <c r="C355" s="217" t="s">
        <v>85</v>
      </c>
      <c r="D355" s="217" t="s">
        <v>84</v>
      </c>
      <c r="E355" s="217" t="s">
        <v>151</v>
      </c>
      <c r="F355" s="217" t="s">
        <v>150</v>
      </c>
      <c r="G355" s="217" t="s">
        <v>366</v>
      </c>
      <c r="H355" s="217" t="s">
        <v>1062</v>
      </c>
      <c r="I355" s="217" t="s">
        <v>29</v>
      </c>
      <c r="J355" s="217" t="s">
        <v>1857</v>
      </c>
      <c r="K355" s="217">
        <v>96</v>
      </c>
      <c r="L355" s="217">
        <v>759</v>
      </c>
      <c r="M355" s="217" t="s">
        <v>31</v>
      </c>
      <c r="N355" s="217" t="s">
        <v>32</v>
      </c>
      <c r="O355" s="217" t="s">
        <v>100</v>
      </c>
      <c r="P355" s="217" t="s">
        <v>34</v>
      </c>
      <c r="Q355" s="217" t="s">
        <v>35</v>
      </c>
      <c r="R355" s="217" t="s">
        <v>23</v>
      </c>
      <c r="S355" s="217" t="s">
        <v>22</v>
      </c>
      <c r="T355" s="217" t="s">
        <v>84</v>
      </c>
      <c r="U355" s="217" t="s">
        <v>85</v>
      </c>
      <c r="V355" s="217" t="s">
        <v>150</v>
      </c>
      <c r="W355" s="217" t="s">
        <v>151</v>
      </c>
      <c r="BC355" s="217" t="s">
        <v>85</v>
      </c>
      <c r="BD355" s="217" t="s">
        <v>98</v>
      </c>
      <c r="BE355" s="217" t="s">
        <v>1680</v>
      </c>
      <c r="BF355" s="217" t="s">
        <v>700</v>
      </c>
      <c r="BG355" s="217" t="s">
        <v>1999</v>
      </c>
      <c r="BH355" s="217" t="s">
        <v>1660</v>
      </c>
      <c r="BI355" s="217" t="s">
        <v>1660</v>
      </c>
      <c r="BJ355" s="217" t="s">
        <v>1660</v>
      </c>
      <c r="BK355" s="217" t="s">
        <v>637</v>
      </c>
      <c r="BL355" s="217"/>
      <c r="BM355" s="217"/>
      <c r="BN355" s="217">
        <v>0</v>
      </c>
      <c r="BO355" s="217">
        <v>0</v>
      </c>
      <c r="BR355" s="217" t="s">
        <v>85</v>
      </c>
      <c r="BS355" s="217" t="s">
        <v>98</v>
      </c>
      <c r="BT355" s="217" t="s">
        <v>374</v>
      </c>
      <c r="BU355" s="217" t="s">
        <v>1121</v>
      </c>
      <c r="BV355" s="217">
        <v>36</v>
      </c>
      <c r="BW355" s="217">
        <v>139</v>
      </c>
      <c r="BX355" s="217">
        <v>0</v>
      </c>
      <c r="BY355" s="217">
        <v>0</v>
      </c>
      <c r="BZ355" s="217">
        <v>6</v>
      </c>
      <c r="CA355" s="217">
        <v>32</v>
      </c>
      <c r="CB355" s="217">
        <v>36</v>
      </c>
      <c r="CC355" s="217">
        <v>139</v>
      </c>
      <c r="CD355" s="217">
        <v>0</v>
      </c>
      <c r="CE355" s="217">
        <v>0</v>
      </c>
      <c r="CF355" s="217">
        <v>6</v>
      </c>
      <c r="CG355" s="217">
        <v>32</v>
      </c>
      <c r="CH355" s="217">
        <v>0</v>
      </c>
      <c r="CI355" s="217">
        <v>0</v>
      </c>
      <c r="CJ355" s="217">
        <v>0</v>
      </c>
    </row>
    <row r="356" spans="1:88" x14ac:dyDescent="0.25">
      <c r="A356" s="217" t="s">
        <v>22</v>
      </c>
      <c r="B356" s="217" t="s">
        <v>23</v>
      </c>
      <c r="C356" s="217" t="s">
        <v>85</v>
      </c>
      <c r="D356" s="217" t="s">
        <v>84</v>
      </c>
      <c r="E356" s="217" t="s">
        <v>151</v>
      </c>
      <c r="F356" s="217" t="s">
        <v>150</v>
      </c>
      <c r="G356" s="217" t="s">
        <v>1063</v>
      </c>
      <c r="H356" s="217" t="s">
        <v>1064</v>
      </c>
      <c r="I356" s="217" t="s">
        <v>29</v>
      </c>
      <c r="J356" s="217" t="s">
        <v>1858</v>
      </c>
      <c r="K356" s="217">
        <v>53</v>
      </c>
      <c r="L356" s="217">
        <v>205</v>
      </c>
      <c r="M356" s="217" t="s">
        <v>31</v>
      </c>
      <c r="N356" s="217" t="s">
        <v>32</v>
      </c>
      <c r="O356" s="217" t="s">
        <v>100</v>
      </c>
      <c r="P356" s="217" t="s">
        <v>34</v>
      </c>
      <c r="Q356" s="217" t="s">
        <v>35</v>
      </c>
      <c r="R356" s="217" t="s">
        <v>23</v>
      </c>
      <c r="S356" s="217" t="s">
        <v>22</v>
      </c>
      <c r="T356" s="217" t="s">
        <v>84</v>
      </c>
      <c r="U356" s="217" t="s">
        <v>85</v>
      </c>
      <c r="V356" s="217" t="s">
        <v>150</v>
      </c>
      <c r="W356" s="217" t="s">
        <v>151</v>
      </c>
      <c r="BC356" s="217" t="s">
        <v>85</v>
      </c>
      <c r="BD356" s="217" t="s">
        <v>98</v>
      </c>
      <c r="BE356" s="217" t="s">
        <v>1199</v>
      </c>
      <c r="BF356" s="217" t="s">
        <v>408</v>
      </c>
      <c r="BG356" s="217" t="s">
        <v>1998</v>
      </c>
      <c r="BH356" s="217" t="s">
        <v>1658</v>
      </c>
      <c r="BI356" s="217" t="s">
        <v>1658</v>
      </c>
      <c r="BJ356" s="217" t="s">
        <v>1660</v>
      </c>
      <c r="BK356" s="217" t="s">
        <v>637</v>
      </c>
      <c r="BL356" s="217"/>
      <c r="BM356" s="217"/>
      <c r="BN356" s="217">
        <v>0</v>
      </c>
      <c r="BO356" s="217">
        <v>0</v>
      </c>
      <c r="BR356" s="217" t="s">
        <v>85</v>
      </c>
      <c r="BS356" s="217" t="s">
        <v>98</v>
      </c>
      <c r="BT356" s="217" t="s">
        <v>446</v>
      </c>
      <c r="BU356" s="217" t="s">
        <v>1266</v>
      </c>
      <c r="BV356" s="217">
        <v>40</v>
      </c>
      <c r="BW356" s="217">
        <v>340</v>
      </c>
      <c r="BX356" s="217">
        <v>63</v>
      </c>
      <c r="BY356" s="217">
        <v>471</v>
      </c>
      <c r="BZ356" s="217">
        <v>0</v>
      </c>
      <c r="CA356" s="217">
        <v>0</v>
      </c>
      <c r="CB356" s="217">
        <v>40</v>
      </c>
      <c r="CC356" s="217">
        <v>340</v>
      </c>
      <c r="CD356" s="217">
        <v>63</v>
      </c>
      <c r="CE356" s="217">
        <v>471</v>
      </c>
      <c r="CF356" s="217">
        <v>0</v>
      </c>
      <c r="CG356" s="217">
        <v>0</v>
      </c>
      <c r="CH356" s="217">
        <v>0</v>
      </c>
      <c r="CI356" s="217">
        <v>0</v>
      </c>
      <c r="CJ356" s="217">
        <v>0</v>
      </c>
    </row>
    <row r="357" spans="1:88" x14ac:dyDescent="0.25">
      <c r="A357" s="217" t="s">
        <v>22</v>
      </c>
      <c r="B357" s="217" t="s">
        <v>23</v>
      </c>
      <c r="C357" s="217" t="s">
        <v>85</v>
      </c>
      <c r="D357" s="217" t="s">
        <v>84</v>
      </c>
      <c r="E357" s="217" t="s">
        <v>151</v>
      </c>
      <c r="F357" s="217" t="s">
        <v>150</v>
      </c>
      <c r="G357" s="217" t="s">
        <v>1065</v>
      </c>
      <c r="H357" s="217" t="s">
        <v>1066</v>
      </c>
      <c r="I357" s="217" t="s">
        <v>29</v>
      </c>
      <c r="J357" s="217" t="s">
        <v>1858</v>
      </c>
      <c r="K357" s="217">
        <v>22</v>
      </c>
      <c r="L357" s="217">
        <v>100</v>
      </c>
      <c r="M357" s="217" t="s">
        <v>31</v>
      </c>
      <c r="N357" s="217" t="s">
        <v>32</v>
      </c>
      <c r="O357" s="217" t="s">
        <v>68</v>
      </c>
      <c r="P357" s="217" t="s">
        <v>34</v>
      </c>
      <c r="Q357" s="217" t="s">
        <v>35</v>
      </c>
      <c r="R357" s="217" t="s">
        <v>23</v>
      </c>
      <c r="S357" s="217" t="s">
        <v>22</v>
      </c>
      <c r="T357" s="217" t="s">
        <v>84</v>
      </c>
      <c r="U357" s="217" t="s">
        <v>85</v>
      </c>
      <c r="V357" s="217" t="s">
        <v>174</v>
      </c>
      <c r="W357" s="217" t="s">
        <v>175</v>
      </c>
      <c r="BC357" s="217" t="s">
        <v>85</v>
      </c>
      <c r="BD357" s="217" t="s">
        <v>98</v>
      </c>
      <c r="BE357" s="217" t="s">
        <v>1200</v>
      </c>
      <c r="BF357" s="217" t="s">
        <v>804</v>
      </c>
      <c r="BG357" s="217" t="s">
        <v>1998</v>
      </c>
      <c r="BH357" s="217" t="s">
        <v>1658</v>
      </c>
      <c r="BI357" s="217" t="s">
        <v>1660</v>
      </c>
      <c r="BJ357" s="217" t="s">
        <v>1660</v>
      </c>
      <c r="BK357" s="217" t="s">
        <v>637</v>
      </c>
      <c r="BL357" s="217"/>
      <c r="BM357" s="217"/>
      <c r="BN357" s="217">
        <v>0</v>
      </c>
      <c r="BO357" s="217">
        <v>0</v>
      </c>
      <c r="BR357" s="217" t="s">
        <v>85</v>
      </c>
      <c r="BS357" s="217" t="s">
        <v>98</v>
      </c>
      <c r="BT357" s="217" t="s">
        <v>396</v>
      </c>
      <c r="BU357" s="217" t="s">
        <v>1175</v>
      </c>
      <c r="BV357" s="217">
        <v>13</v>
      </c>
      <c r="BW357" s="217">
        <v>77</v>
      </c>
      <c r="BX357" s="217">
        <v>0</v>
      </c>
      <c r="BY357" s="217">
        <v>0</v>
      </c>
      <c r="BZ357" s="217">
        <v>0</v>
      </c>
      <c r="CA357" s="217">
        <v>0</v>
      </c>
      <c r="CB357" s="217">
        <v>13</v>
      </c>
      <c r="CC357" s="217">
        <v>77</v>
      </c>
      <c r="CD357" s="217">
        <v>0</v>
      </c>
      <c r="CE357" s="217">
        <v>0</v>
      </c>
      <c r="CF357" s="217">
        <v>0</v>
      </c>
      <c r="CG357" s="217">
        <v>0</v>
      </c>
      <c r="CH357" s="217">
        <v>0</v>
      </c>
      <c r="CI357" s="217">
        <v>0</v>
      </c>
      <c r="CJ357" s="217">
        <v>0</v>
      </c>
    </row>
    <row r="358" spans="1:88" x14ac:dyDescent="0.25">
      <c r="A358" s="217" t="s">
        <v>22</v>
      </c>
      <c r="B358" s="217" t="s">
        <v>23</v>
      </c>
      <c r="C358" s="217" t="s">
        <v>85</v>
      </c>
      <c r="D358" s="217" t="s">
        <v>84</v>
      </c>
      <c r="E358" s="217" t="s">
        <v>151</v>
      </c>
      <c r="F358" s="217" t="s">
        <v>150</v>
      </c>
      <c r="G358" s="217" t="s">
        <v>778</v>
      </c>
      <c r="H358" s="217" t="s">
        <v>1067</v>
      </c>
      <c r="I358" s="217" t="s">
        <v>29</v>
      </c>
      <c r="J358" s="217" t="s">
        <v>1856</v>
      </c>
      <c r="K358" s="217">
        <v>19</v>
      </c>
      <c r="L358" s="217">
        <v>100</v>
      </c>
      <c r="M358" s="217" t="s">
        <v>31</v>
      </c>
      <c r="N358" s="217" t="s">
        <v>32</v>
      </c>
      <c r="O358" s="217" t="s">
        <v>100</v>
      </c>
      <c r="P358" s="217" t="s">
        <v>34</v>
      </c>
      <c r="Q358" s="217" t="s">
        <v>35</v>
      </c>
      <c r="R358" s="217" t="s">
        <v>23</v>
      </c>
      <c r="S358" s="217" t="s">
        <v>22</v>
      </c>
      <c r="T358" s="217" t="s">
        <v>84</v>
      </c>
      <c r="U358" s="217" t="s">
        <v>85</v>
      </c>
      <c r="V358" s="217" t="s">
        <v>150</v>
      </c>
      <c r="W358" s="217" t="s">
        <v>151</v>
      </c>
      <c r="BC358" s="217" t="s">
        <v>85</v>
      </c>
      <c r="BD358" s="217" t="s">
        <v>98</v>
      </c>
      <c r="BE358" s="217" t="s">
        <v>1201</v>
      </c>
      <c r="BF358" s="217" t="s">
        <v>814</v>
      </c>
      <c r="BG358" s="217" t="s">
        <v>1998</v>
      </c>
      <c r="BH358" s="217" t="s">
        <v>1658</v>
      </c>
      <c r="BI358" s="217" t="s">
        <v>1660</v>
      </c>
      <c r="BJ358" s="217" t="s">
        <v>1660</v>
      </c>
      <c r="BK358" s="217" t="s">
        <v>637</v>
      </c>
      <c r="BL358" s="217"/>
      <c r="BM358" s="217"/>
      <c r="BN358" s="217">
        <v>0</v>
      </c>
      <c r="BO358" s="217">
        <v>0</v>
      </c>
      <c r="BR358" s="217" t="s">
        <v>85</v>
      </c>
      <c r="BS358" s="217" t="s">
        <v>98</v>
      </c>
      <c r="BT358" s="217" t="s">
        <v>382</v>
      </c>
      <c r="BU358" s="217" t="s">
        <v>1140</v>
      </c>
      <c r="BV358" s="217">
        <v>4</v>
      </c>
      <c r="BW358" s="217">
        <v>19</v>
      </c>
      <c r="BX358" s="217">
        <v>9</v>
      </c>
      <c r="BY358" s="217">
        <v>41</v>
      </c>
      <c r="BZ358" s="217">
        <v>0</v>
      </c>
      <c r="CA358" s="217">
        <v>0</v>
      </c>
      <c r="CB358" s="217">
        <v>4</v>
      </c>
      <c r="CC358" s="217">
        <v>19</v>
      </c>
      <c r="CD358" s="217">
        <v>9</v>
      </c>
      <c r="CE358" s="217">
        <v>41</v>
      </c>
      <c r="CF358" s="217">
        <v>0</v>
      </c>
      <c r="CG358" s="217">
        <v>0</v>
      </c>
      <c r="CH358" s="217">
        <v>0</v>
      </c>
      <c r="CI358" s="217">
        <v>0</v>
      </c>
      <c r="CJ358" s="217">
        <v>0</v>
      </c>
    </row>
    <row r="359" spans="1:88" x14ac:dyDescent="0.25">
      <c r="A359" s="217" t="s">
        <v>22</v>
      </c>
      <c r="B359" s="217" t="s">
        <v>23</v>
      </c>
      <c r="C359" s="217" t="s">
        <v>85</v>
      </c>
      <c r="D359" s="217" t="s">
        <v>84</v>
      </c>
      <c r="E359" s="217" t="s">
        <v>151</v>
      </c>
      <c r="F359" s="217" t="s">
        <v>150</v>
      </c>
      <c r="G359" s="217" t="s">
        <v>780</v>
      </c>
      <c r="H359" s="217" t="s">
        <v>1068</v>
      </c>
      <c r="I359" s="217" t="s">
        <v>29</v>
      </c>
      <c r="J359" s="217" t="s">
        <v>1857</v>
      </c>
      <c r="K359" s="217">
        <v>60</v>
      </c>
      <c r="L359" s="217">
        <v>238</v>
      </c>
      <c r="M359" s="217" t="s">
        <v>31</v>
      </c>
      <c r="N359" s="217" t="s">
        <v>32</v>
      </c>
      <c r="O359" s="217" t="s">
        <v>100</v>
      </c>
      <c r="P359" s="217" t="s">
        <v>34</v>
      </c>
      <c r="Q359" s="217" t="s">
        <v>35</v>
      </c>
      <c r="R359" s="217" t="s">
        <v>23</v>
      </c>
      <c r="S359" s="217" t="s">
        <v>22</v>
      </c>
      <c r="T359" s="217" t="s">
        <v>84</v>
      </c>
      <c r="U359" s="217" t="s">
        <v>85</v>
      </c>
      <c r="V359" s="217" t="s">
        <v>150</v>
      </c>
      <c r="W359" s="217" t="s">
        <v>151</v>
      </c>
      <c r="BC359" s="217" t="s">
        <v>85</v>
      </c>
      <c r="BD359" s="217" t="s">
        <v>98</v>
      </c>
      <c r="BE359" s="217" t="s">
        <v>1822</v>
      </c>
      <c r="BF359" s="217" t="s">
        <v>1823</v>
      </c>
      <c r="BG359" s="217" t="s">
        <v>2006</v>
      </c>
      <c r="BH359" s="217" t="s">
        <v>1658</v>
      </c>
      <c r="BI359" s="217" t="s">
        <v>1658</v>
      </c>
      <c r="BJ359" s="217" t="s">
        <v>1660</v>
      </c>
      <c r="BK359" s="217" t="s">
        <v>637</v>
      </c>
      <c r="BL359" s="217"/>
      <c r="BM359" s="217"/>
      <c r="BN359" s="217">
        <v>0</v>
      </c>
      <c r="BO359" s="217">
        <v>0</v>
      </c>
      <c r="BR359" s="217" t="s">
        <v>85</v>
      </c>
      <c r="BS359" s="217" t="s">
        <v>98</v>
      </c>
      <c r="BT359" s="217" t="s">
        <v>624</v>
      </c>
      <c r="BU359" s="217" t="s">
        <v>1508</v>
      </c>
      <c r="BV359" s="217">
        <v>0</v>
      </c>
      <c r="BW359" s="217">
        <v>0</v>
      </c>
      <c r="BX359" s="217">
        <v>22</v>
      </c>
      <c r="BY359" s="217">
        <v>187</v>
      </c>
      <c r="BZ359" s="217">
        <v>0</v>
      </c>
      <c r="CA359" s="217">
        <v>0</v>
      </c>
      <c r="CB359" s="217">
        <v>0</v>
      </c>
      <c r="CC359" s="217">
        <v>0</v>
      </c>
      <c r="CD359" s="217">
        <v>22</v>
      </c>
      <c r="CE359" s="217">
        <v>187</v>
      </c>
      <c r="CF359" s="217">
        <v>0</v>
      </c>
      <c r="CG359" s="217">
        <v>0</v>
      </c>
      <c r="CH359" s="217">
        <v>0</v>
      </c>
      <c r="CI359" s="217">
        <v>0</v>
      </c>
      <c r="CJ359" s="217">
        <v>0</v>
      </c>
    </row>
    <row r="360" spans="1:88" x14ac:dyDescent="0.25">
      <c r="A360" s="217" t="s">
        <v>22</v>
      </c>
      <c r="B360" s="217" t="s">
        <v>23</v>
      </c>
      <c r="C360" s="217" t="s">
        <v>85</v>
      </c>
      <c r="D360" s="217" t="s">
        <v>84</v>
      </c>
      <c r="E360" s="217" t="s">
        <v>151</v>
      </c>
      <c r="F360" s="217" t="s">
        <v>150</v>
      </c>
      <c r="G360" s="217" t="s">
        <v>780</v>
      </c>
      <c r="H360" s="217" t="s">
        <v>1068</v>
      </c>
      <c r="I360" s="217" t="s">
        <v>29</v>
      </c>
      <c r="J360" s="217" t="s">
        <v>1858</v>
      </c>
      <c r="K360" s="217">
        <v>10</v>
      </c>
      <c r="L360" s="217">
        <v>60</v>
      </c>
      <c r="M360" s="217" t="s">
        <v>31</v>
      </c>
      <c r="N360" s="217" t="s">
        <v>32</v>
      </c>
      <c r="O360" s="217" t="s">
        <v>100</v>
      </c>
      <c r="P360" s="217" t="s">
        <v>34</v>
      </c>
      <c r="Q360" s="217" t="s">
        <v>35</v>
      </c>
      <c r="R360" s="217" t="s">
        <v>23</v>
      </c>
      <c r="S360" s="217" t="s">
        <v>22</v>
      </c>
      <c r="T360" s="217" t="s">
        <v>84</v>
      </c>
      <c r="U360" s="217" t="s">
        <v>85</v>
      </c>
      <c r="V360" s="217" t="s">
        <v>150</v>
      </c>
      <c r="W360" s="217" t="s">
        <v>151</v>
      </c>
      <c r="BC360" s="217" t="s">
        <v>85</v>
      </c>
      <c r="BD360" s="217" t="s">
        <v>98</v>
      </c>
      <c r="BE360" s="217" t="s">
        <v>1202</v>
      </c>
      <c r="BF360" s="217" t="s">
        <v>301</v>
      </c>
      <c r="BG360" s="217" t="s">
        <v>2000</v>
      </c>
      <c r="BH360" s="217" t="s">
        <v>1658</v>
      </c>
      <c r="BI360" s="217" t="s">
        <v>1660</v>
      </c>
      <c r="BJ360" s="217" t="s">
        <v>1660</v>
      </c>
      <c r="BK360" s="217" t="s">
        <v>637</v>
      </c>
      <c r="BL360" s="217"/>
      <c r="BM360" s="217"/>
      <c r="BN360" s="217">
        <v>0</v>
      </c>
      <c r="BO360" s="217">
        <v>0</v>
      </c>
      <c r="BR360" s="217" t="s">
        <v>85</v>
      </c>
      <c r="BS360" s="217" t="s">
        <v>98</v>
      </c>
      <c r="BT360" s="217" t="s">
        <v>163</v>
      </c>
      <c r="BU360" s="217" t="s">
        <v>1171</v>
      </c>
      <c r="BV360" s="217">
        <v>196</v>
      </c>
      <c r="BW360" s="217">
        <v>1365</v>
      </c>
      <c r="BX360" s="217">
        <v>21</v>
      </c>
      <c r="BY360" s="217">
        <v>250</v>
      </c>
      <c r="BZ360" s="217">
        <v>70</v>
      </c>
      <c r="CA360" s="217">
        <v>350</v>
      </c>
      <c r="CB360" s="217">
        <v>196</v>
      </c>
      <c r="CC360" s="217">
        <v>1365</v>
      </c>
      <c r="CD360" s="217">
        <v>21</v>
      </c>
      <c r="CE360" s="217">
        <v>250</v>
      </c>
      <c r="CF360" s="217">
        <v>70</v>
      </c>
      <c r="CG360" s="217">
        <v>350</v>
      </c>
      <c r="CH360" s="217">
        <v>0</v>
      </c>
      <c r="CI360" s="217">
        <v>0</v>
      </c>
      <c r="CJ360" s="217">
        <v>0</v>
      </c>
    </row>
    <row r="361" spans="1:88" x14ac:dyDescent="0.25">
      <c r="A361" s="217" t="s">
        <v>22</v>
      </c>
      <c r="B361" s="217" t="s">
        <v>23</v>
      </c>
      <c r="C361" s="217" t="s">
        <v>85</v>
      </c>
      <c r="D361" s="217" t="s">
        <v>84</v>
      </c>
      <c r="E361" s="217" t="s">
        <v>151</v>
      </c>
      <c r="F361" s="217" t="s">
        <v>150</v>
      </c>
      <c r="G361" s="217" t="s">
        <v>1069</v>
      </c>
      <c r="H361" s="217" t="s">
        <v>1070</v>
      </c>
      <c r="I361" s="217" t="s">
        <v>29</v>
      </c>
      <c r="J361" s="217" t="s">
        <v>1858</v>
      </c>
      <c r="K361" s="217">
        <v>52</v>
      </c>
      <c r="L361" s="217">
        <v>150</v>
      </c>
      <c r="M361" s="217" t="s">
        <v>31</v>
      </c>
      <c r="N361" s="217" t="s">
        <v>32</v>
      </c>
      <c r="O361" s="217" t="s">
        <v>100</v>
      </c>
      <c r="P361" s="217" t="s">
        <v>34</v>
      </c>
      <c r="Q361" s="217" t="s">
        <v>35</v>
      </c>
      <c r="R361" s="217" t="s">
        <v>23</v>
      </c>
      <c r="S361" s="217" t="s">
        <v>22</v>
      </c>
      <c r="T361" s="217" t="s">
        <v>84</v>
      </c>
      <c r="U361" s="217" t="s">
        <v>85</v>
      </c>
      <c r="V361" s="217" t="s">
        <v>150</v>
      </c>
      <c r="W361" s="217" t="s">
        <v>151</v>
      </c>
      <c r="BC361" s="217" t="s">
        <v>85</v>
      </c>
      <c r="BD361" s="217" t="s">
        <v>98</v>
      </c>
      <c r="BE361" s="217" t="s">
        <v>1203</v>
      </c>
      <c r="BF361" s="217" t="s">
        <v>818</v>
      </c>
      <c r="BG361" s="217" t="s">
        <v>1998</v>
      </c>
      <c r="BH361" s="217" t="s">
        <v>1658</v>
      </c>
      <c r="BI361" s="217" t="s">
        <v>1658</v>
      </c>
      <c r="BJ361" s="217" t="s">
        <v>1658</v>
      </c>
      <c r="BK361" s="217" t="s">
        <v>637</v>
      </c>
      <c r="BL361" s="217"/>
      <c r="BM361" s="217"/>
      <c r="BN361" s="217">
        <v>0</v>
      </c>
      <c r="BO361" s="217">
        <v>0</v>
      </c>
      <c r="BR361" s="217" t="s">
        <v>85</v>
      </c>
      <c r="BS361" s="217" t="s">
        <v>98</v>
      </c>
      <c r="BT361" s="217" t="s">
        <v>1820</v>
      </c>
      <c r="BU361" s="217" t="s">
        <v>1819</v>
      </c>
      <c r="BV361" s="217">
        <v>395</v>
      </c>
      <c r="BW361" s="217">
        <v>3630</v>
      </c>
      <c r="BX361" s="217">
        <v>0</v>
      </c>
      <c r="BY361" s="217">
        <v>0</v>
      </c>
      <c r="BZ361" s="217">
        <v>0</v>
      </c>
      <c r="CA361" s="217">
        <v>0</v>
      </c>
      <c r="CB361" s="217">
        <v>395</v>
      </c>
      <c r="CC361" s="217">
        <v>3630</v>
      </c>
      <c r="CD361" s="217">
        <v>0</v>
      </c>
      <c r="CE361" s="217">
        <v>0</v>
      </c>
      <c r="CF361" s="217">
        <v>0</v>
      </c>
      <c r="CG361" s="217">
        <v>0</v>
      </c>
      <c r="CH361" s="217">
        <v>0</v>
      </c>
      <c r="CI361" s="217">
        <v>0</v>
      </c>
      <c r="CJ361" s="217">
        <v>0</v>
      </c>
    </row>
    <row r="362" spans="1:88" x14ac:dyDescent="0.25">
      <c r="A362" s="217" t="s">
        <v>22</v>
      </c>
      <c r="B362" s="217" t="s">
        <v>23</v>
      </c>
      <c r="C362" s="217" t="s">
        <v>85</v>
      </c>
      <c r="D362" s="217" t="s">
        <v>84</v>
      </c>
      <c r="E362" s="217" t="s">
        <v>151</v>
      </c>
      <c r="F362" s="217" t="s">
        <v>150</v>
      </c>
      <c r="G362" s="217" t="s">
        <v>781</v>
      </c>
      <c r="H362" s="217" t="s">
        <v>1071</v>
      </c>
      <c r="I362" s="217" t="s">
        <v>29</v>
      </c>
      <c r="J362" s="217" t="s">
        <v>1856</v>
      </c>
      <c r="K362" s="217">
        <v>50</v>
      </c>
      <c r="L362" s="217">
        <v>283</v>
      </c>
      <c r="M362" s="217" t="s">
        <v>31</v>
      </c>
      <c r="N362" s="217" t="s">
        <v>32</v>
      </c>
      <c r="O362" s="217" t="s">
        <v>100</v>
      </c>
      <c r="P362" s="217" t="s">
        <v>34</v>
      </c>
      <c r="Q362" s="217" t="s">
        <v>35</v>
      </c>
      <c r="R362" s="217" t="s">
        <v>23</v>
      </c>
      <c r="S362" s="217" t="s">
        <v>22</v>
      </c>
      <c r="T362" s="217" t="s">
        <v>84</v>
      </c>
      <c r="U362" s="217" t="s">
        <v>85</v>
      </c>
      <c r="V362" s="217" t="s">
        <v>150</v>
      </c>
      <c r="W362" s="217" t="s">
        <v>151</v>
      </c>
      <c r="BC362" s="217" t="s">
        <v>85</v>
      </c>
      <c r="BD362" s="217" t="s">
        <v>98</v>
      </c>
      <c r="BE362" s="217" t="s">
        <v>1204</v>
      </c>
      <c r="BF362" s="217" t="s">
        <v>701</v>
      </c>
      <c r="BG362" s="217" t="s">
        <v>1998</v>
      </c>
      <c r="BH362" s="217" t="s">
        <v>1658</v>
      </c>
      <c r="BI362" s="217" t="s">
        <v>1658</v>
      </c>
      <c r="BJ362" s="217" t="s">
        <v>1658</v>
      </c>
      <c r="BK362" s="217" t="s">
        <v>637</v>
      </c>
      <c r="BL362" s="217"/>
      <c r="BM362" s="217"/>
      <c r="BN362" s="217">
        <v>0</v>
      </c>
      <c r="BO362" s="217">
        <v>0</v>
      </c>
      <c r="BR362" s="217" t="s">
        <v>85</v>
      </c>
      <c r="BS362" s="217" t="s">
        <v>98</v>
      </c>
      <c r="BT362" s="217" t="s">
        <v>389</v>
      </c>
      <c r="BU362" s="217" t="s">
        <v>1161</v>
      </c>
      <c r="BV362" s="217">
        <v>5</v>
      </c>
      <c r="BW362" s="217">
        <v>27</v>
      </c>
      <c r="BX362" s="217">
        <v>0</v>
      </c>
      <c r="BY362" s="217">
        <v>0</v>
      </c>
      <c r="BZ362" s="217">
        <v>0</v>
      </c>
      <c r="CA362" s="217">
        <v>0</v>
      </c>
      <c r="CB362" s="217">
        <v>5</v>
      </c>
      <c r="CC362" s="217">
        <v>27</v>
      </c>
      <c r="CD362" s="217">
        <v>0</v>
      </c>
      <c r="CE362" s="217">
        <v>0</v>
      </c>
      <c r="CF362" s="217">
        <v>0</v>
      </c>
      <c r="CG362" s="217">
        <v>0</v>
      </c>
      <c r="CH362" s="217">
        <v>0</v>
      </c>
      <c r="CI362" s="217">
        <v>0</v>
      </c>
      <c r="CJ362" s="217">
        <v>0</v>
      </c>
    </row>
    <row r="363" spans="1:88" x14ac:dyDescent="0.25">
      <c r="A363" s="217" t="s">
        <v>22</v>
      </c>
      <c r="B363" s="217" t="s">
        <v>23</v>
      </c>
      <c r="C363" s="217" t="s">
        <v>85</v>
      </c>
      <c r="D363" s="217" t="s">
        <v>84</v>
      </c>
      <c r="E363" s="217" t="s">
        <v>151</v>
      </c>
      <c r="F363" s="217" t="s">
        <v>150</v>
      </c>
      <c r="G363" s="217" t="s">
        <v>1072</v>
      </c>
      <c r="H363" s="217" t="s">
        <v>1073</v>
      </c>
      <c r="I363" s="217" t="s">
        <v>29</v>
      </c>
      <c r="J363" s="217" t="s">
        <v>1858</v>
      </c>
      <c r="K363" s="217">
        <v>17</v>
      </c>
      <c r="L363" s="217">
        <v>130</v>
      </c>
      <c r="M363" s="217" t="s">
        <v>31</v>
      </c>
      <c r="N363" s="217" t="s">
        <v>32</v>
      </c>
      <c r="O363" s="217" t="s">
        <v>68</v>
      </c>
      <c r="P363" s="217" t="s">
        <v>34</v>
      </c>
      <c r="Q363" s="217" t="s">
        <v>35</v>
      </c>
      <c r="R363" s="217" t="s">
        <v>23</v>
      </c>
      <c r="S363" s="217" t="s">
        <v>22</v>
      </c>
      <c r="T363" s="217" t="s">
        <v>84</v>
      </c>
      <c r="U363" s="217" t="s">
        <v>85</v>
      </c>
      <c r="V363" s="217" t="s">
        <v>174</v>
      </c>
      <c r="W363" s="217" t="s">
        <v>175</v>
      </c>
      <c r="BC363" s="217" t="s">
        <v>85</v>
      </c>
      <c r="BD363" s="217" t="s">
        <v>98</v>
      </c>
      <c r="BE363" s="217" t="s">
        <v>1205</v>
      </c>
      <c r="BF363" s="217" t="s">
        <v>409</v>
      </c>
      <c r="BG363" s="217" t="s">
        <v>1998</v>
      </c>
      <c r="BH363" s="217" t="s">
        <v>1658</v>
      </c>
      <c r="BI363" s="217" t="s">
        <v>1660</v>
      </c>
      <c r="BJ363" s="217" t="s">
        <v>1660</v>
      </c>
      <c r="BK363" s="217" t="s">
        <v>637</v>
      </c>
      <c r="BL363" s="217"/>
      <c r="BM363" s="217"/>
      <c r="BN363" s="217">
        <v>0</v>
      </c>
      <c r="BO363" s="217">
        <v>0</v>
      </c>
      <c r="BR363" s="217" t="s">
        <v>85</v>
      </c>
      <c r="BS363" s="217" t="s">
        <v>98</v>
      </c>
      <c r="BT363" s="217" t="s">
        <v>792</v>
      </c>
      <c r="BU363" s="217" t="s">
        <v>1170</v>
      </c>
      <c r="BV363" s="217">
        <v>6</v>
      </c>
      <c r="BW363" s="217">
        <v>51</v>
      </c>
      <c r="BX363" s="217">
        <v>8</v>
      </c>
      <c r="BY363" s="217">
        <v>68</v>
      </c>
      <c r="BZ363" s="217">
        <v>0</v>
      </c>
      <c r="CA363" s="217">
        <v>0</v>
      </c>
      <c r="CB363" s="217">
        <v>6</v>
      </c>
      <c r="CC363" s="217">
        <v>51</v>
      </c>
      <c r="CD363" s="217">
        <v>8</v>
      </c>
      <c r="CE363" s="217">
        <v>68</v>
      </c>
      <c r="CF363" s="217">
        <v>0</v>
      </c>
      <c r="CG363" s="217">
        <v>0</v>
      </c>
      <c r="CH363" s="217">
        <v>0</v>
      </c>
      <c r="CI363" s="217">
        <v>0</v>
      </c>
      <c r="CJ363" s="217">
        <v>0</v>
      </c>
    </row>
    <row r="364" spans="1:88" x14ac:dyDescent="0.25">
      <c r="A364" s="217" t="s">
        <v>22</v>
      </c>
      <c r="B364" s="217" t="s">
        <v>23</v>
      </c>
      <c r="C364" s="217" t="s">
        <v>85</v>
      </c>
      <c r="D364" s="217" t="s">
        <v>84</v>
      </c>
      <c r="E364" s="217" t="s">
        <v>151</v>
      </c>
      <c r="F364" s="217" t="s">
        <v>150</v>
      </c>
      <c r="G364" s="217" t="s">
        <v>1074</v>
      </c>
      <c r="H364" s="217" t="s">
        <v>1075</v>
      </c>
      <c r="I364" s="217" t="s">
        <v>29</v>
      </c>
      <c r="J364" s="217" t="s">
        <v>1858</v>
      </c>
      <c r="K364" s="217">
        <v>18</v>
      </c>
      <c r="L364" s="217">
        <v>130</v>
      </c>
      <c r="M364" s="217" t="s">
        <v>31</v>
      </c>
      <c r="N364" s="217" t="s">
        <v>32</v>
      </c>
      <c r="O364" s="217" t="s">
        <v>68</v>
      </c>
      <c r="P364" s="217" t="s">
        <v>34</v>
      </c>
      <c r="Q364" s="217" t="s">
        <v>35</v>
      </c>
      <c r="R364" s="217" t="s">
        <v>23</v>
      </c>
      <c r="S364" s="217" t="s">
        <v>22</v>
      </c>
      <c r="T364" s="217" t="s">
        <v>84</v>
      </c>
      <c r="U364" s="217" t="s">
        <v>85</v>
      </c>
      <c r="V364" s="217" t="s">
        <v>174</v>
      </c>
      <c r="W364" s="217" t="s">
        <v>175</v>
      </c>
      <c r="BC364" s="217" t="s">
        <v>85</v>
      </c>
      <c r="BD364" s="217" t="s">
        <v>98</v>
      </c>
      <c r="BE364" s="217" t="s">
        <v>2138</v>
      </c>
      <c r="BF364" s="217" t="s">
        <v>2137</v>
      </c>
      <c r="BG364" s="217" t="s">
        <v>1998</v>
      </c>
      <c r="BH364" s="217" t="s">
        <v>1658</v>
      </c>
      <c r="BI364" s="217" t="s">
        <v>1658</v>
      </c>
      <c r="BJ364" s="217" t="s">
        <v>1660</v>
      </c>
      <c r="BK364" s="217" t="s">
        <v>637</v>
      </c>
      <c r="BL364" s="217"/>
      <c r="BM364" s="217"/>
      <c r="BN364" s="217">
        <v>0</v>
      </c>
      <c r="BO364" s="217">
        <v>0</v>
      </c>
      <c r="BR364" s="217" t="s">
        <v>85</v>
      </c>
      <c r="BS364" s="217" t="s">
        <v>98</v>
      </c>
      <c r="BT364" s="217" t="s">
        <v>451</v>
      </c>
      <c r="BU364" s="217" t="s">
        <v>1272</v>
      </c>
      <c r="BV364" s="217">
        <v>233</v>
      </c>
      <c r="BW364" s="217">
        <v>1070</v>
      </c>
      <c r="BX364" s="217">
        <v>18</v>
      </c>
      <c r="BY364" s="217">
        <v>96</v>
      </c>
      <c r="BZ364" s="217">
        <v>18</v>
      </c>
      <c r="CA364" s="217">
        <v>96</v>
      </c>
      <c r="CB364" s="217">
        <v>233</v>
      </c>
      <c r="CC364" s="217">
        <v>1070</v>
      </c>
      <c r="CD364" s="217">
        <v>18</v>
      </c>
      <c r="CE364" s="217">
        <v>96</v>
      </c>
      <c r="CF364" s="217">
        <v>18</v>
      </c>
      <c r="CG364" s="217">
        <v>96</v>
      </c>
      <c r="CH364" s="217">
        <v>0</v>
      </c>
      <c r="CI364" s="217">
        <v>0</v>
      </c>
      <c r="CJ364" s="217">
        <v>0</v>
      </c>
    </row>
    <row r="365" spans="1:88" x14ac:dyDescent="0.25">
      <c r="A365" s="217" t="s">
        <v>22</v>
      </c>
      <c r="B365" s="217" t="s">
        <v>23</v>
      </c>
      <c r="C365" s="217" t="s">
        <v>85</v>
      </c>
      <c r="D365" s="217" t="s">
        <v>84</v>
      </c>
      <c r="E365" s="217" t="s">
        <v>151</v>
      </c>
      <c r="F365" s="217" t="s">
        <v>150</v>
      </c>
      <c r="G365" s="217" t="s">
        <v>1076</v>
      </c>
      <c r="H365" s="217" t="s">
        <v>1077</v>
      </c>
      <c r="I365" s="217" t="s">
        <v>29</v>
      </c>
      <c r="J365" s="217" t="s">
        <v>1858</v>
      </c>
      <c r="K365" s="217">
        <v>22</v>
      </c>
      <c r="L365" s="217">
        <v>100</v>
      </c>
      <c r="M365" s="217" t="s">
        <v>31</v>
      </c>
      <c r="N365" s="217" t="s">
        <v>32</v>
      </c>
      <c r="O365" s="217" t="s">
        <v>68</v>
      </c>
      <c r="P365" s="217" t="s">
        <v>34</v>
      </c>
      <c r="Q365" s="217" t="s">
        <v>35</v>
      </c>
      <c r="R365" s="217" t="s">
        <v>23</v>
      </c>
      <c r="S365" s="217" t="s">
        <v>22</v>
      </c>
      <c r="T365" s="217" t="s">
        <v>84</v>
      </c>
      <c r="U365" s="217" t="s">
        <v>85</v>
      </c>
      <c r="V365" s="217" t="s">
        <v>174</v>
      </c>
      <c r="W365" s="217" t="s">
        <v>175</v>
      </c>
      <c r="BC365" s="217" t="s">
        <v>85</v>
      </c>
      <c r="BD365" s="217" t="s">
        <v>98</v>
      </c>
      <c r="BE365" s="217" t="s">
        <v>1512</v>
      </c>
      <c r="BF365" s="217" t="s">
        <v>1979</v>
      </c>
      <c r="BG365" s="217" t="s">
        <v>2000</v>
      </c>
      <c r="BH365" s="217" t="s">
        <v>1660</v>
      </c>
      <c r="BI365" s="217" t="s">
        <v>1658</v>
      </c>
      <c r="BJ365" s="217" t="s">
        <v>1660</v>
      </c>
      <c r="BK365" s="217" t="s">
        <v>637</v>
      </c>
      <c r="BL365" s="217"/>
      <c r="BM365" s="217"/>
      <c r="BN365" s="217">
        <v>0</v>
      </c>
      <c r="BO365" s="217">
        <v>0</v>
      </c>
      <c r="BR365" s="217" t="s">
        <v>85</v>
      </c>
      <c r="BS365" s="217" t="s">
        <v>98</v>
      </c>
      <c r="BT365" s="217" t="s">
        <v>373</v>
      </c>
      <c r="BU365" s="217" t="s">
        <v>1118</v>
      </c>
      <c r="BV365" s="217">
        <v>376</v>
      </c>
      <c r="BW365" s="217">
        <v>3202</v>
      </c>
      <c r="BX365" s="217">
        <v>381</v>
      </c>
      <c r="BY365" s="217">
        <v>3240</v>
      </c>
      <c r="BZ365" s="217">
        <v>0</v>
      </c>
      <c r="CA365" s="217">
        <v>0</v>
      </c>
      <c r="CB365" s="217">
        <v>376</v>
      </c>
      <c r="CC365" s="217">
        <v>3196</v>
      </c>
      <c r="CD365" s="217">
        <v>378</v>
      </c>
      <c r="CE365" s="217">
        <v>3214</v>
      </c>
      <c r="CF365" s="217">
        <v>0</v>
      </c>
      <c r="CG365" s="217">
        <v>0</v>
      </c>
      <c r="CH365" s="217">
        <v>6</v>
      </c>
      <c r="CI365" s="217">
        <v>26</v>
      </c>
      <c r="CJ365" s="217">
        <v>0</v>
      </c>
    </row>
    <row r="366" spans="1:88" x14ac:dyDescent="0.25">
      <c r="A366" s="217" t="s">
        <v>22</v>
      </c>
      <c r="B366" s="217" t="s">
        <v>23</v>
      </c>
      <c r="C366" s="217" t="s">
        <v>85</v>
      </c>
      <c r="D366" s="217" t="s">
        <v>84</v>
      </c>
      <c r="E366" s="217" t="s">
        <v>151</v>
      </c>
      <c r="F366" s="217" t="s">
        <v>150</v>
      </c>
      <c r="G366" s="217" t="s">
        <v>1078</v>
      </c>
      <c r="H366" s="217" t="s">
        <v>1079</v>
      </c>
      <c r="I366" s="217" t="s">
        <v>29</v>
      </c>
      <c r="J366" s="217" t="s">
        <v>1858</v>
      </c>
      <c r="K366" s="217">
        <v>100</v>
      </c>
      <c r="L366" s="217">
        <v>500</v>
      </c>
      <c r="M366" s="217" t="s">
        <v>31</v>
      </c>
      <c r="N366" s="217" t="s">
        <v>32</v>
      </c>
      <c r="O366" s="217" t="s">
        <v>100</v>
      </c>
      <c r="P366" s="217" t="s">
        <v>34</v>
      </c>
      <c r="Q366" s="217" t="s">
        <v>35</v>
      </c>
      <c r="R366" s="217" t="s">
        <v>23</v>
      </c>
      <c r="S366" s="217" t="s">
        <v>22</v>
      </c>
      <c r="T366" s="217" t="s">
        <v>84</v>
      </c>
      <c r="U366" s="217" t="s">
        <v>85</v>
      </c>
      <c r="V366" s="217" t="s">
        <v>150</v>
      </c>
      <c r="W366" s="217" t="s">
        <v>151</v>
      </c>
      <c r="BC366" s="217" t="s">
        <v>85</v>
      </c>
      <c r="BD366" s="217" t="s">
        <v>98</v>
      </c>
      <c r="BE366" s="217" t="s">
        <v>1513</v>
      </c>
      <c r="BF366" s="217" t="s">
        <v>827</v>
      </c>
      <c r="BG366" s="217" t="s">
        <v>1998</v>
      </c>
      <c r="BH366" s="217" t="s">
        <v>1660</v>
      </c>
      <c r="BI366" s="217" t="s">
        <v>1660</v>
      </c>
      <c r="BJ366" s="217" t="s">
        <v>1660</v>
      </c>
      <c r="BK366" s="217" t="s">
        <v>637</v>
      </c>
      <c r="BL366" s="217"/>
      <c r="BM366" s="217"/>
      <c r="BN366" s="217">
        <v>0</v>
      </c>
      <c r="BO366" s="217">
        <v>0</v>
      </c>
      <c r="BR366" s="217" t="s">
        <v>85</v>
      </c>
      <c r="BS366" s="217" t="s">
        <v>98</v>
      </c>
      <c r="BT366" s="217" t="s">
        <v>800</v>
      </c>
      <c r="BU366" s="217" t="s">
        <v>1688</v>
      </c>
      <c r="BV366" s="217">
        <v>0</v>
      </c>
      <c r="BW366" s="217">
        <v>0</v>
      </c>
      <c r="BX366" s="217">
        <v>0</v>
      </c>
      <c r="BY366" s="217">
        <v>0</v>
      </c>
      <c r="BZ366" s="217">
        <v>0</v>
      </c>
      <c r="CA366" s="217">
        <v>0</v>
      </c>
      <c r="CB366" s="217">
        <v>0</v>
      </c>
      <c r="CC366" s="217">
        <v>0</v>
      </c>
      <c r="CD366" s="217">
        <v>0</v>
      </c>
      <c r="CE366" s="217">
        <v>0</v>
      </c>
      <c r="CF366" s="217">
        <v>0</v>
      </c>
      <c r="CG366" s="217">
        <v>0</v>
      </c>
      <c r="CH366" s="217">
        <v>0</v>
      </c>
      <c r="CI366" s="217">
        <v>0</v>
      </c>
      <c r="CJ366" s="217">
        <v>0</v>
      </c>
    </row>
    <row r="367" spans="1:88" x14ac:dyDescent="0.25">
      <c r="A367" s="217" t="s">
        <v>22</v>
      </c>
      <c r="B367" s="217" t="s">
        <v>23</v>
      </c>
      <c r="C367" s="217" t="s">
        <v>85</v>
      </c>
      <c r="D367" s="217" t="s">
        <v>84</v>
      </c>
      <c r="E367" s="217" t="s">
        <v>151</v>
      </c>
      <c r="F367" s="217" t="s">
        <v>150</v>
      </c>
      <c r="G367" s="217" t="s">
        <v>367</v>
      </c>
      <c r="H367" s="217" t="s">
        <v>1080</v>
      </c>
      <c r="I367" s="217" t="s">
        <v>29</v>
      </c>
      <c r="J367" s="217" t="s">
        <v>1856</v>
      </c>
      <c r="K367" s="217">
        <v>173</v>
      </c>
      <c r="L367" s="217">
        <v>1123</v>
      </c>
      <c r="M367" s="217" t="s">
        <v>31</v>
      </c>
      <c r="N367" s="217" t="s">
        <v>32</v>
      </c>
      <c r="O367" s="217" t="s">
        <v>100</v>
      </c>
      <c r="P367" s="217" t="s">
        <v>34</v>
      </c>
      <c r="Q367" s="217" t="s">
        <v>35</v>
      </c>
      <c r="R367" s="217" t="s">
        <v>23</v>
      </c>
      <c r="S367" s="217" t="s">
        <v>22</v>
      </c>
      <c r="T367" s="217" t="s">
        <v>84</v>
      </c>
      <c r="U367" s="217" t="s">
        <v>85</v>
      </c>
      <c r="V367" s="217" t="s">
        <v>150</v>
      </c>
      <c r="W367" s="217" t="s">
        <v>151</v>
      </c>
      <c r="BC367" s="217" t="s">
        <v>85</v>
      </c>
      <c r="BD367" s="217" t="s">
        <v>98</v>
      </c>
      <c r="BE367" s="217" t="s">
        <v>1206</v>
      </c>
      <c r="BF367" s="217" t="s">
        <v>410</v>
      </c>
      <c r="BG367" s="217" t="s">
        <v>1998</v>
      </c>
      <c r="BH367" s="217" t="s">
        <v>1658</v>
      </c>
      <c r="BI367" s="217" t="s">
        <v>1660</v>
      </c>
      <c r="BJ367" s="217" t="s">
        <v>1660</v>
      </c>
      <c r="BK367" s="217" t="s">
        <v>637</v>
      </c>
      <c r="BL367" s="217"/>
      <c r="BM367" s="217"/>
      <c r="BN367" s="217">
        <v>0</v>
      </c>
      <c r="BO367" s="217">
        <v>0</v>
      </c>
      <c r="BR367" s="217" t="s">
        <v>85</v>
      </c>
      <c r="BS367" s="217" t="s">
        <v>98</v>
      </c>
      <c r="BT367" s="217" t="s">
        <v>793</v>
      </c>
      <c r="BU367" s="217" t="s">
        <v>1215</v>
      </c>
      <c r="BV367" s="217">
        <v>13</v>
      </c>
      <c r="BW367" s="217">
        <v>111</v>
      </c>
      <c r="BX367" s="217">
        <v>21</v>
      </c>
      <c r="BY367" s="217">
        <v>149</v>
      </c>
      <c r="BZ367" s="217">
        <v>0</v>
      </c>
      <c r="CA367" s="217">
        <v>0</v>
      </c>
      <c r="CB367" s="217">
        <v>13</v>
      </c>
      <c r="CC367" s="217">
        <v>111</v>
      </c>
      <c r="CD367" s="217">
        <v>21</v>
      </c>
      <c r="CE367" s="217">
        <v>149</v>
      </c>
      <c r="CF367" s="217">
        <v>0</v>
      </c>
      <c r="CG367" s="217">
        <v>0</v>
      </c>
      <c r="CH367" s="217">
        <v>0</v>
      </c>
      <c r="CI367" s="217">
        <v>0</v>
      </c>
      <c r="CJ367" s="217">
        <v>0</v>
      </c>
    </row>
    <row r="368" spans="1:88" x14ac:dyDescent="0.25">
      <c r="A368" s="217" t="s">
        <v>22</v>
      </c>
      <c r="B368" s="217" t="s">
        <v>23</v>
      </c>
      <c r="C368" s="217" t="s">
        <v>85</v>
      </c>
      <c r="D368" s="217" t="s">
        <v>84</v>
      </c>
      <c r="E368" s="217" t="s">
        <v>151</v>
      </c>
      <c r="F368" s="217" t="s">
        <v>150</v>
      </c>
      <c r="G368" s="217" t="s">
        <v>368</v>
      </c>
      <c r="H368" s="217" t="s">
        <v>1081</v>
      </c>
      <c r="I368" s="217" t="s">
        <v>29</v>
      </c>
      <c r="J368" s="217" t="s">
        <v>1856</v>
      </c>
      <c r="K368" s="217">
        <v>191</v>
      </c>
      <c r="L368" s="217">
        <v>950</v>
      </c>
      <c r="M368" s="217" t="s">
        <v>31</v>
      </c>
      <c r="N368" s="217" t="s">
        <v>32</v>
      </c>
      <c r="O368" s="217" t="s">
        <v>68</v>
      </c>
      <c r="P368" s="217" t="s">
        <v>34</v>
      </c>
      <c r="Q368" s="217" t="s">
        <v>35</v>
      </c>
      <c r="R368" s="217" t="s">
        <v>23</v>
      </c>
      <c r="S368" s="217" t="s">
        <v>22</v>
      </c>
      <c r="T368" s="217" t="s">
        <v>84</v>
      </c>
      <c r="U368" s="217" t="s">
        <v>85</v>
      </c>
      <c r="V368" s="217" t="s">
        <v>150</v>
      </c>
      <c r="W368" s="217" t="s">
        <v>151</v>
      </c>
      <c r="BC368" s="217" t="s">
        <v>85</v>
      </c>
      <c r="BD368" s="217" t="s">
        <v>98</v>
      </c>
      <c r="BE368" s="217" t="s">
        <v>1514</v>
      </c>
      <c r="BF368" s="217" t="s">
        <v>627</v>
      </c>
      <c r="BG368" s="217" t="s">
        <v>2000</v>
      </c>
      <c r="BH368" s="217" t="s">
        <v>1660</v>
      </c>
      <c r="BI368" s="217" t="s">
        <v>1658</v>
      </c>
      <c r="BJ368" s="217" t="s">
        <v>1660</v>
      </c>
      <c r="BK368" s="217" t="s">
        <v>637</v>
      </c>
      <c r="BL368" s="217"/>
      <c r="BM368" s="217"/>
      <c r="BN368" s="217">
        <v>0</v>
      </c>
      <c r="BO368" s="217">
        <v>0</v>
      </c>
      <c r="BR368" s="217" t="s">
        <v>85</v>
      </c>
      <c r="BS368" s="217" t="s">
        <v>98</v>
      </c>
      <c r="BT368" s="217" t="s">
        <v>432</v>
      </c>
      <c r="BU368" s="217" t="s">
        <v>1236</v>
      </c>
      <c r="BV368" s="217">
        <v>7</v>
      </c>
      <c r="BW368" s="217">
        <v>46</v>
      </c>
      <c r="BX368" s="217">
        <v>13</v>
      </c>
      <c r="BY368" s="217">
        <v>73</v>
      </c>
      <c r="BZ368" s="217">
        <v>0</v>
      </c>
      <c r="CA368" s="217">
        <v>0</v>
      </c>
      <c r="CB368" s="217">
        <v>7</v>
      </c>
      <c r="CC368" s="217">
        <v>46</v>
      </c>
      <c r="CD368" s="217">
        <v>13</v>
      </c>
      <c r="CE368" s="217">
        <v>73</v>
      </c>
      <c r="CF368" s="217">
        <v>0</v>
      </c>
      <c r="CG368" s="217">
        <v>0</v>
      </c>
      <c r="CH368" s="217">
        <v>0</v>
      </c>
      <c r="CI368" s="217">
        <v>0</v>
      </c>
      <c r="CJ368" s="217">
        <v>0</v>
      </c>
    </row>
    <row r="369" spans="1:88" x14ac:dyDescent="0.25">
      <c r="A369" s="217" t="s">
        <v>22</v>
      </c>
      <c r="B369" s="217" t="s">
        <v>23</v>
      </c>
      <c r="C369" s="217" t="s">
        <v>85</v>
      </c>
      <c r="D369" s="217" t="s">
        <v>84</v>
      </c>
      <c r="E369" s="217" t="s">
        <v>151</v>
      </c>
      <c r="F369" s="217" t="s">
        <v>150</v>
      </c>
      <c r="G369" s="217" t="s">
        <v>852</v>
      </c>
      <c r="H369" s="217" t="s">
        <v>1082</v>
      </c>
      <c r="I369" s="217" t="s">
        <v>29</v>
      </c>
      <c r="J369" s="217" t="s">
        <v>1854</v>
      </c>
      <c r="K369" s="217">
        <v>18</v>
      </c>
      <c r="L369" s="217">
        <v>87</v>
      </c>
      <c r="M369" s="217" t="s">
        <v>31</v>
      </c>
      <c r="N369" s="217" t="s">
        <v>32</v>
      </c>
      <c r="O369" s="217" t="s">
        <v>68</v>
      </c>
      <c r="P369" s="217" t="s">
        <v>34</v>
      </c>
      <c r="Q369" s="217" t="s">
        <v>35</v>
      </c>
      <c r="R369" s="217" t="s">
        <v>23</v>
      </c>
      <c r="S369" s="217" t="s">
        <v>22</v>
      </c>
      <c r="T369" s="217" t="s">
        <v>84</v>
      </c>
      <c r="U369" s="217" t="s">
        <v>85</v>
      </c>
      <c r="V369" s="217" t="s">
        <v>174</v>
      </c>
      <c r="W369" s="217" t="s">
        <v>175</v>
      </c>
      <c r="BC369" s="217" t="s">
        <v>85</v>
      </c>
      <c r="BD369" s="217" t="s">
        <v>98</v>
      </c>
      <c r="BE369" s="217" t="s">
        <v>1207</v>
      </c>
      <c r="BF369" s="217" t="s">
        <v>782</v>
      </c>
      <c r="BG369" s="217" t="s">
        <v>2001</v>
      </c>
      <c r="BH369" s="217" t="s">
        <v>1658</v>
      </c>
      <c r="BI369" s="217" t="s">
        <v>1658</v>
      </c>
      <c r="BJ369" s="217" t="s">
        <v>1660</v>
      </c>
      <c r="BK369" s="217" t="s">
        <v>637</v>
      </c>
      <c r="BL369" s="217"/>
      <c r="BM369" s="217"/>
      <c r="BN369" s="217">
        <v>0</v>
      </c>
      <c r="BO369" s="217">
        <v>0</v>
      </c>
      <c r="BR369" s="217" t="s">
        <v>85</v>
      </c>
      <c r="BS369" s="217" t="s">
        <v>98</v>
      </c>
      <c r="BT369" s="217" t="s">
        <v>825</v>
      </c>
      <c r="BU369" s="217" t="s">
        <v>1192</v>
      </c>
      <c r="BV369" s="217">
        <v>36</v>
      </c>
      <c r="BW369" s="217">
        <v>298</v>
      </c>
      <c r="BX369" s="217">
        <v>5</v>
      </c>
      <c r="BY369" s="217">
        <v>25</v>
      </c>
      <c r="BZ369" s="217">
        <v>0</v>
      </c>
      <c r="CA369" s="217">
        <v>0</v>
      </c>
      <c r="CB369" s="217">
        <v>36</v>
      </c>
      <c r="CC369" s="217">
        <v>298</v>
      </c>
      <c r="CD369" s="217">
        <v>5</v>
      </c>
      <c r="CE369" s="217">
        <v>25</v>
      </c>
      <c r="CF369" s="217">
        <v>0</v>
      </c>
      <c r="CG369" s="217">
        <v>0</v>
      </c>
      <c r="CH369" s="217">
        <v>0</v>
      </c>
      <c r="CI369" s="217">
        <v>0</v>
      </c>
      <c r="CJ369" s="217">
        <v>0</v>
      </c>
    </row>
    <row r="370" spans="1:88" x14ac:dyDescent="0.25">
      <c r="A370" s="217" t="s">
        <v>22</v>
      </c>
      <c r="B370" s="217" t="s">
        <v>23</v>
      </c>
      <c r="C370" s="217" t="s">
        <v>85</v>
      </c>
      <c r="D370" s="217" t="s">
        <v>84</v>
      </c>
      <c r="E370" s="217" t="s">
        <v>151</v>
      </c>
      <c r="F370" s="217" t="s">
        <v>150</v>
      </c>
      <c r="G370" s="217" t="s">
        <v>777</v>
      </c>
      <c r="H370" s="217" t="s">
        <v>1664</v>
      </c>
      <c r="I370" s="217" t="s">
        <v>29</v>
      </c>
      <c r="J370" s="217" t="s">
        <v>1857</v>
      </c>
      <c r="K370" s="217">
        <v>32</v>
      </c>
      <c r="L370" s="217">
        <v>128</v>
      </c>
      <c r="M370" s="217" t="s">
        <v>31</v>
      </c>
      <c r="N370" s="217" t="s">
        <v>32</v>
      </c>
      <c r="O370" s="217" t="s">
        <v>100</v>
      </c>
      <c r="P370" s="217" t="s">
        <v>34</v>
      </c>
      <c r="Q370" s="217" t="s">
        <v>35</v>
      </c>
      <c r="R370" s="217" t="s">
        <v>23</v>
      </c>
      <c r="S370" s="217" t="s">
        <v>22</v>
      </c>
      <c r="T370" s="217" t="s">
        <v>84</v>
      </c>
      <c r="U370" s="217" t="s">
        <v>85</v>
      </c>
      <c r="V370" s="217" t="s">
        <v>150</v>
      </c>
      <c r="W370" s="217" t="s">
        <v>151</v>
      </c>
      <c r="BC370" s="217" t="s">
        <v>85</v>
      </c>
      <c r="BD370" s="217" t="s">
        <v>98</v>
      </c>
      <c r="BE370" s="217" t="s">
        <v>1208</v>
      </c>
      <c r="BF370" s="217" t="s">
        <v>165</v>
      </c>
      <c r="BG370" s="217" t="s">
        <v>1998</v>
      </c>
      <c r="BH370" s="217" t="s">
        <v>1658</v>
      </c>
      <c r="BI370" s="217" t="s">
        <v>1660</v>
      </c>
      <c r="BJ370" s="217" t="s">
        <v>1658</v>
      </c>
      <c r="BK370" s="217" t="s">
        <v>637</v>
      </c>
      <c r="BL370" s="217"/>
      <c r="BM370" s="217"/>
      <c r="BN370" s="217">
        <v>0</v>
      </c>
      <c r="BO370" s="217">
        <v>0</v>
      </c>
      <c r="BR370" s="217" t="s">
        <v>85</v>
      </c>
      <c r="BS370" s="217" t="s">
        <v>98</v>
      </c>
      <c r="BT370" s="217" t="s">
        <v>826</v>
      </c>
      <c r="BU370" s="217" t="s">
        <v>1193</v>
      </c>
      <c r="BV370" s="217">
        <v>7</v>
      </c>
      <c r="BW370" s="217">
        <v>60</v>
      </c>
      <c r="BX370" s="217">
        <v>11</v>
      </c>
      <c r="BY370" s="217">
        <v>94</v>
      </c>
      <c r="BZ370" s="217">
        <v>0</v>
      </c>
      <c r="CA370" s="217">
        <v>0</v>
      </c>
      <c r="CB370" s="217">
        <v>7</v>
      </c>
      <c r="CC370" s="217">
        <v>60</v>
      </c>
      <c r="CD370" s="217">
        <v>11</v>
      </c>
      <c r="CE370" s="217">
        <v>94</v>
      </c>
      <c r="CF370" s="217">
        <v>0</v>
      </c>
      <c r="CG370" s="217">
        <v>0</v>
      </c>
      <c r="CH370" s="217">
        <v>0</v>
      </c>
      <c r="CI370" s="217">
        <v>0</v>
      </c>
      <c r="CJ370" s="217">
        <v>0</v>
      </c>
    </row>
    <row r="371" spans="1:88" x14ac:dyDescent="0.25">
      <c r="A371" s="217" t="s">
        <v>22</v>
      </c>
      <c r="B371" s="217" t="s">
        <v>23</v>
      </c>
      <c r="C371" s="217" t="s">
        <v>85</v>
      </c>
      <c r="D371" s="217" t="s">
        <v>84</v>
      </c>
      <c r="E371" s="217" t="s">
        <v>151</v>
      </c>
      <c r="F371" s="217" t="s">
        <v>150</v>
      </c>
      <c r="G371" s="217" t="s">
        <v>697</v>
      </c>
      <c r="H371" s="217" t="s">
        <v>1083</v>
      </c>
      <c r="I371" s="217" t="s">
        <v>29</v>
      </c>
      <c r="J371" s="217" t="s">
        <v>1856</v>
      </c>
      <c r="K371" s="217">
        <v>35</v>
      </c>
      <c r="L371" s="217">
        <v>350</v>
      </c>
      <c r="M371" s="217" t="s">
        <v>31</v>
      </c>
      <c r="N371" s="217" t="s">
        <v>32</v>
      </c>
      <c r="O371" s="217" t="s">
        <v>68</v>
      </c>
      <c r="P371" s="217" t="s">
        <v>34</v>
      </c>
      <c r="Q371" s="217" t="s">
        <v>35</v>
      </c>
      <c r="R371" s="217" t="s">
        <v>23</v>
      </c>
      <c r="S371" s="217" t="s">
        <v>22</v>
      </c>
      <c r="T371" s="217" t="s">
        <v>84</v>
      </c>
      <c r="U371" s="217" t="s">
        <v>85</v>
      </c>
      <c r="V371" s="217" t="s">
        <v>150</v>
      </c>
      <c r="W371" s="217" t="s">
        <v>151</v>
      </c>
      <c r="BC371" s="217" t="s">
        <v>85</v>
      </c>
      <c r="BD371" s="217" t="s">
        <v>98</v>
      </c>
      <c r="BE371" s="217" t="s">
        <v>1209</v>
      </c>
      <c r="BF371" s="217" t="s">
        <v>411</v>
      </c>
      <c r="BG371" s="217" t="s">
        <v>1998</v>
      </c>
      <c r="BH371" s="217" t="s">
        <v>1658</v>
      </c>
      <c r="BI371" s="217" t="s">
        <v>1660</v>
      </c>
      <c r="BJ371" s="217" t="s">
        <v>1660</v>
      </c>
      <c r="BK371" s="217" t="s">
        <v>637</v>
      </c>
      <c r="BL371" s="217"/>
      <c r="BM371" s="217"/>
      <c r="BN371" s="217">
        <v>0</v>
      </c>
      <c r="BO371" s="217">
        <v>0</v>
      </c>
      <c r="BR371" s="217" t="s">
        <v>85</v>
      </c>
      <c r="BS371" s="217" t="s">
        <v>98</v>
      </c>
      <c r="BT371" s="217" t="s">
        <v>695</v>
      </c>
      <c r="BU371" s="217" t="s">
        <v>1686</v>
      </c>
      <c r="BV371" s="217">
        <v>18</v>
      </c>
      <c r="BW371" s="217">
        <v>90</v>
      </c>
      <c r="BX371" s="217">
        <v>0</v>
      </c>
      <c r="BY371" s="217">
        <v>0</v>
      </c>
      <c r="BZ371" s="217">
        <v>0</v>
      </c>
      <c r="CA371" s="217">
        <v>0</v>
      </c>
      <c r="CB371" s="217">
        <v>18</v>
      </c>
      <c r="CC371" s="217">
        <v>90</v>
      </c>
      <c r="CD371" s="217">
        <v>0</v>
      </c>
      <c r="CE371" s="217">
        <v>0</v>
      </c>
      <c r="CF371" s="217">
        <v>0</v>
      </c>
      <c r="CG371" s="217">
        <v>0</v>
      </c>
      <c r="CH371" s="217">
        <v>0</v>
      </c>
      <c r="CI371" s="217">
        <v>0</v>
      </c>
      <c r="CJ371" s="217">
        <v>0</v>
      </c>
    </row>
    <row r="372" spans="1:88" x14ac:dyDescent="0.25">
      <c r="A372" s="217" t="s">
        <v>22</v>
      </c>
      <c r="B372" s="217" t="s">
        <v>23</v>
      </c>
      <c r="C372" s="217" t="s">
        <v>85</v>
      </c>
      <c r="D372" s="217" t="s">
        <v>84</v>
      </c>
      <c r="E372" s="217" t="s">
        <v>151</v>
      </c>
      <c r="F372" s="217" t="s">
        <v>150</v>
      </c>
      <c r="G372" s="217" t="s">
        <v>152</v>
      </c>
      <c r="H372" s="217" t="s">
        <v>1084</v>
      </c>
      <c r="I372" s="217" t="s">
        <v>29</v>
      </c>
      <c r="J372" s="217" t="s">
        <v>1854</v>
      </c>
      <c r="K372" s="217">
        <v>84</v>
      </c>
      <c r="L372" s="217">
        <v>519</v>
      </c>
      <c r="M372" s="217" t="s">
        <v>99</v>
      </c>
      <c r="N372" s="217" t="s">
        <v>32</v>
      </c>
      <c r="O372" s="217" t="s">
        <v>100</v>
      </c>
      <c r="P372" s="217" t="s">
        <v>34</v>
      </c>
      <c r="Q372" s="217" t="s">
        <v>35</v>
      </c>
      <c r="R372" s="217" t="s">
        <v>23</v>
      </c>
      <c r="S372" s="217" t="s">
        <v>22</v>
      </c>
      <c r="T372" s="217" t="s">
        <v>84</v>
      </c>
      <c r="U372" s="217" t="s">
        <v>85</v>
      </c>
      <c r="V372" s="217" t="s">
        <v>150</v>
      </c>
      <c r="W372" s="217" t="s">
        <v>151</v>
      </c>
      <c r="BC372" s="217" t="s">
        <v>85</v>
      </c>
      <c r="BD372" s="217" t="s">
        <v>98</v>
      </c>
      <c r="BE372" s="217" t="s">
        <v>1210</v>
      </c>
      <c r="BF372" s="217" t="s">
        <v>412</v>
      </c>
      <c r="BG372" s="217" t="s">
        <v>1998</v>
      </c>
      <c r="BH372" s="217" t="s">
        <v>1658</v>
      </c>
      <c r="BI372" s="217" t="s">
        <v>1660</v>
      </c>
      <c r="BJ372" s="217" t="s">
        <v>1660</v>
      </c>
      <c r="BK372" s="217" t="s">
        <v>637</v>
      </c>
      <c r="BL372" s="217"/>
      <c r="BM372" s="217"/>
      <c r="BN372" s="217">
        <v>0</v>
      </c>
      <c r="BO372" s="217">
        <v>0</v>
      </c>
      <c r="BR372" s="217" t="s">
        <v>85</v>
      </c>
      <c r="BS372" s="217" t="s">
        <v>98</v>
      </c>
      <c r="BT372" s="217" t="s">
        <v>426</v>
      </c>
      <c r="BU372" s="217" t="s">
        <v>1227</v>
      </c>
      <c r="BV372" s="217">
        <v>49</v>
      </c>
      <c r="BW372" s="217">
        <v>257</v>
      </c>
      <c r="BX372" s="217">
        <v>11</v>
      </c>
      <c r="BY372" s="217">
        <v>33</v>
      </c>
      <c r="BZ372" s="217">
        <v>0</v>
      </c>
      <c r="CA372" s="217">
        <v>0</v>
      </c>
      <c r="CB372" s="217">
        <v>49</v>
      </c>
      <c r="CC372" s="217">
        <v>257</v>
      </c>
      <c r="CD372" s="217">
        <v>0</v>
      </c>
      <c r="CE372" s="217">
        <v>0</v>
      </c>
      <c r="CF372" s="217">
        <v>0</v>
      </c>
      <c r="CG372" s="217">
        <v>0</v>
      </c>
      <c r="CH372" s="217">
        <v>0</v>
      </c>
      <c r="CI372" s="217">
        <v>33</v>
      </c>
      <c r="CJ372" s="217">
        <v>0</v>
      </c>
    </row>
    <row r="373" spans="1:88" x14ac:dyDescent="0.25">
      <c r="A373" s="217" t="s">
        <v>22</v>
      </c>
      <c r="B373" s="217" t="s">
        <v>23</v>
      </c>
      <c r="C373" s="217" t="s">
        <v>85</v>
      </c>
      <c r="D373" s="217" t="s">
        <v>84</v>
      </c>
      <c r="E373" s="217" t="s">
        <v>151</v>
      </c>
      <c r="F373" s="217" t="s">
        <v>150</v>
      </c>
      <c r="G373" s="217" t="s">
        <v>152</v>
      </c>
      <c r="H373" s="217" t="s">
        <v>1084</v>
      </c>
      <c r="I373" s="217" t="s">
        <v>29</v>
      </c>
      <c r="J373" s="217" t="s">
        <v>1856</v>
      </c>
      <c r="K373" s="217">
        <v>53</v>
      </c>
      <c r="L373" s="217">
        <v>295</v>
      </c>
      <c r="M373" s="217" t="s">
        <v>31</v>
      </c>
      <c r="N373" s="217" t="s">
        <v>32</v>
      </c>
      <c r="O373" s="217" t="s">
        <v>100</v>
      </c>
      <c r="P373" s="217" t="s">
        <v>34</v>
      </c>
      <c r="Q373" s="217" t="s">
        <v>35</v>
      </c>
      <c r="R373" s="217" t="s">
        <v>23</v>
      </c>
      <c r="S373" s="217" t="s">
        <v>22</v>
      </c>
      <c r="T373" s="217" t="s">
        <v>84</v>
      </c>
      <c r="U373" s="217" t="s">
        <v>85</v>
      </c>
      <c r="V373" s="217" t="s">
        <v>150</v>
      </c>
      <c r="W373" s="217" t="s">
        <v>151</v>
      </c>
      <c r="BC373" s="217" t="s">
        <v>85</v>
      </c>
      <c r="BD373" s="217" t="s">
        <v>98</v>
      </c>
      <c r="BE373" s="217" t="s">
        <v>1211</v>
      </c>
      <c r="BF373" s="217" t="s">
        <v>413</v>
      </c>
      <c r="BG373" s="217" t="s">
        <v>1998</v>
      </c>
      <c r="BH373" s="217" t="s">
        <v>1658</v>
      </c>
      <c r="BI373" s="217" t="s">
        <v>1658</v>
      </c>
      <c r="BJ373" s="217" t="s">
        <v>1660</v>
      </c>
      <c r="BK373" s="217" t="s">
        <v>637</v>
      </c>
      <c r="BL373" s="217"/>
      <c r="BM373" s="217"/>
      <c r="BN373" s="217">
        <v>0</v>
      </c>
      <c r="BO373" s="217">
        <v>0</v>
      </c>
      <c r="BR373" s="217" t="s">
        <v>85</v>
      </c>
      <c r="BS373" s="217" t="s">
        <v>98</v>
      </c>
      <c r="BT373" s="217" t="s">
        <v>814</v>
      </c>
      <c r="BU373" s="217" t="s">
        <v>1201</v>
      </c>
      <c r="BV373" s="217">
        <v>13</v>
      </c>
      <c r="BW373" s="217">
        <v>111</v>
      </c>
      <c r="BX373" s="217">
        <v>0</v>
      </c>
      <c r="BY373" s="217">
        <v>0</v>
      </c>
      <c r="BZ373" s="217">
        <v>0</v>
      </c>
      <c r="CA373" s="217">
        <v>0</v>
      </c>
      <c r="CB373" s="217">
        <v>13</v>
      </c>
      <c r="CC373" s="217">
        <v>111</v>
      </c>
      <c r="CD373" s="217">
        <v>0</v>
      </c>
      <c r="CE373" s="217">
        <v>0</v>
      </c>
      <c r="CF373" s="217">
        <v>0</v>
      </c>
      <c r="CG373" s="217">
        <v>0</v>
      </c>
      <c r="CH373" s="217">
        <v>0</v>
      </c>
      <c r="CI373" s="217">
        <v>0</v>
      </c>
      <c r="CJ373" s="217">
        <v>0</v>
      </c>
    </row>
    <row r="374" spans="1:88" x14ac:dyDescent="0.25">
      <c r="A374" s="217" t="s">
        <v>22</v>
      </c>
      <c r="B374" s="217" t="s">
        <v>23</v>
      </c>
      <c r="C374" s="217" t="s">
        <v>85</v>
      </c>
      <c r="D374" s="217" t="s">
        <v>84</v>
      </c>
      <c r="E374" s="217" t="s">
        <v>151</v>
      </c>
      <c r="F374" s="217" t="s">
        <v>150</v>
      </c>
      <c r="G374" s="217" t="s">
        <v>1085</v>
      </c>
      <c r="H374" s="217" t="s">
        <v>1086</v>
      </c>
      <c r="I374" s="217" t="s">
        <v>29</v>
      </c>
      <c r="J374" s="217" t="s">
        <v>1858</v>
      </c>
      <c r="K374" s="217">
        <v>7</v>
      </c>
      <c r="L374" s="217">
        <v>45</v>
      </c>
      <c r="M374" s="217" t="s">
        <v>31</v>
      </c>
      <c r="N374" s="217" t="s">
        <v>32</v>
      </c>
      <c r="O374" s="217" t="s">
        <v>100</v>
      </c>
      <c r="P374" s="217" t="s">
        <v>34</v>
      </c>
      <c r="Q374" s="217" t="s">
        <v>35</v>
      </c>
      <c r="R374" s="217" t="s">
        <v>23</v>
      </c>
      <c r="S374" s="217" t="s">
        <v>22</v>
      </c>
      <c r="T374" s="217" t="s">
        <v>84</v>
      </c>
      <c r="U374" s="217" t="s">
        <v>85</v>
      </c>
      <c r="V374" s="217" t="s">
        <v>150</v>
      </c>
      <c r="W374" s="217" t="s">
        <v>151</v>
      </c>
      <c r="BC374" s="217" t="s">
        <v>85</v>
      </c>
      <c r="BD374" s="217" t="s">
        <v>98</v>
      </c>
      <c r="BE374" s="217" t="s">
        <v>1212</v>
      </c>
      <c r="BF374" s="217" t="s">
        <v>414</v>
      </c>
      <c r="BG374" s="217" t="s">
        <v>1998</v>
      </c>
      <c r="BH374" s="217" t="s">
        <v>1658</v>
      </c>
      <c r="BI374" s="217" t="s">
        <v>1658</v>
      </c>
      <c r="BJ374" s="217" t="s">
        <v>1660</v>
      </c>
      <c r="BK374" s="217" t="s">
        <v>637</v>
      </c>
      <c r="BL374" s="217"/>
      <c r="BM374" s="217"/>
      <c r="BN374" s="217">
        <v>0</v>
      </c>
      <c r="BO374" s="217">
        <v>0</v>
      </c>
      <c r="BR374" s="217" t="s">
        <v>85</v>
      </c>
      <c r="BS374" s="217" t="s">
        <v>98</v>
      </c>
      <c r="BT374" s="217" t="s">
        <v>795</v>
      </c>
      <c r="BU374" s="217" t="s">
        <v>1135</v>
      </c>
      <c r="BV374" s="217">
        <v>4</v>
      </c>
      <c r="BW374" s="217">
        <v>18</v>
      </c>
      <c r="BX374" s="217">
        <v>4</v>
      </c>
      <c r="BY374" s="217">
        <v>18</v>
      </c>
      <c r="BZ374" s="217">
        <v>0</v>
      </c>
      <c r="CA374" s="217">
        <v>0</v>
      </c>
      <c r="CB374" s="217">
        <v>4</v>
      </c>
      <c r="CC374" s="217">
        <v>18</v>
      </c>
      <c r="CD374" s="217">
        <v>4</v>
      </c>
      <c r="CE374" s="217">
        <v>18</v>
      </c>
      <c r="CF374" s="217">
        <v>0</v>
      </c>
      <c r="CG374" s="217">
        <v>0</v>
      </c>
      <c r="CH374" s="217">
        <v>0</v>
      </c>
      <c r="CI374" s="217">
        <v>0</v>
      </c>
      <c r="CJ374" s="217">
        <v>0</v>
      </c>
    </row>
    <row r="375" spans="1:88" x14ac:dyDescent="0.25">
      <c r="A375" s="217" t="s">
        <v>22</v>
      </c>
      <c r="B375" s="217" t="s">
        <v>23</v>
      </c>
      <c r="C375" s="217" t="s">
        <v>85</v>
      </c>
      <c r="D375" s="217" t="s">
        <v>84</v>
      </c>
      <c r="E375" s="217" t="s">
        <v>151</v>
      </c>
      <c r="F375" s="217" t="s">
        <v>150</v>
      </c>
      <c r="G375" s="217" t="s">
        <v>1087</v>
      </c>
      <c r="H375" s="217" t="s">
        <v>1088</v>
      </c>
      <c r="I375" s="217" t="s">
        <v>29</v>
      </c>
      <c r="J375" s="217" t="s">
        <v>1858</v>
      </c>
      <c r="K375" s="217">
        <v>4</v>
      </c>
      <c r="L375" s="217">
        <v>25</v>
      </c>
      <c r="M375" s="217" t="s">
        <v>31</v>
      </c>
      <c r="N375" s="217" t="s">
        <v>32</v>
      </c>
      <c r="O375" s="217" t="s">
        <v>100</v>
      </c>
      <c r="P375" s="217" t="s">
        <v>34</v>
      </c>
      <c r="Q375" s="217" t="s">
        <v>35</v>
      </c>
      <c r="R375" s="217" t="s">
        <v>23</v>
      </c>
      <c r="S375" s="217" t="s">
        <v>22</v>
      </c>
      <c r="T375" s="217" t="s">
        <v>84</v>
      </c>
      <c r="U375" s="217" t="s">
        <v>85</v>
      </c>
      <c r="V375" s="217" t="s">
        <v>150</v>
      </c>
      <c r="W375" s="217" t="s">
        <v>151</v>
      </c>
      <c r="BC375" s="217" t="s">
        <v>85</v>
      </c>
      <c r="BD375" s="217" t="s">
        <v>98</v>
      </c>
      <c r="BE375" s="217" t="s">
        <v>1515</v>
      </c>
      <c r="BF375" s="217" t="s">
        <v>628</v>
      </c>
      <c r="BG375" s="217" t="s">
        <v>1999</v>
      </c>
      <c r="BH375" s="217" t="s">
        <v>1660</v>
      </c>
      <c r="BI375" s="217" t="s">
        <v>1658</v>
      </c>
      <c r="BJ375" s="217" t="s">
        <v>1660</v>
      </c>
      <c r="BK375" s="217" t="s">
        <v>637</v>
      </c>
      <c r="BL375" s="217"/>
      <c r="BM375" s="217"/>
      <c r="BN375" s="217">
        <v>0</v>
      </c>
      <c r="BO375" s="217">
        <v>0</v>
      </c>
      <c r="BR375" s="217" t="s">
        <v>85</v>
      </c>
      <c r="BS375" s="217" t="s">
        <v>98</v>
      </c>
      <c r="BT375" s="217" t="s">
        <v>819</v>
      </c>
      <c r="BU375" s="217" t="s">
        <v>1134</v>
      </c>
      <c r="BV375" s="217">
        <v>3</v>
      </c>
      <c r="BW375" s="217">
        <v>15</v>
      </c>
      <c r="BX375" s="217">
        <v>4</v>
      </c>
      <c r="BY375" s="217">
        <v>25</v>
      </c>
      <c r="BZ375" s="217">
        <v>0</v>
      </c>
      <c r="CA375" s="217">
        <v>0</v>
      </c>
      <c r="CB375" s="217">
        <v>3</v>
      </c>
      <c r="CC375" s="217">
        <v>15</v>
      </c>
      <c r="CD375" s="217">
        <v>4</v>
      </c>
      <c r="CE375" s="217">
        <v>25</v>
      </c>
      <c r="CF375" s="217">
        <v>0</v>
      </c>
      <c r="CG375" s="217">
        <v>0</v>
      </c>
      <c r="CH375" s="217">
        <v>0</v>
      </c>
      <c r="CI375" s="217">
        <v>0</v>
      </c>
      <c r="CJ375" s="217">
        <v>0</v>
      </c>
    </row>
    <row r="376" spans="1:88" x14ac:dyDescent="0.25">
      <c r="A376" s="217" t="s">
        <v>22</v>
      </c>
      <c r="B376" s="217" t="s">
        <v>23</v>
      </c>
      <c r="C376" s="217" t="s">
        <v>85</v>
      </c>
      <c r="D376" s="217" t="s">
        <v>84</v>
      </c>
      <c r="E376" s="217" t="s">
        <v>151</v>
      </c>
      <c r="F376" s="217" t="s">
        <v>150</v>
      </c>
      <c r="G376" s="217" t="s">
        <v>1089</v>
      </c>
      <c r="H376" s="217" t="s">
        <v>1090</v>
      </c>
      <c r="I376" s="217" t="s">
        <v>29</v>
      </c>
      <c r="J376" s="217" t="s">
        <v>1858</v>
      </c>
      <c r="K376" s="217">
        <v>22</v>
      </c>
      <c r="L376" s="217">
        <v>140</v>
      </c>
      <c r="M376" s="217" t="s">
        <v>31</v>
      </c>
      <c r="N376" s="217" t="s">
        <v>32</v>
      </c>
      <c r="O376" s="217" t="s">
        <v>68</v>
      </c>
      <c r="P376" s="217" t="s">
        <v>34</v>
      </c>
      <c r="Q376" s="217" t="s">
        <v>35</v>
      </c>
      <c r="R376" s="217" t="s">
        <v>23</v>
      </c>
      <c r="S376" s="217" t="s">
        <v>22</v>
      </c>
      <c r="T376" s="217" t="s">
        <v>84</v>
      </c>
      <c r="U376" s="217" t="s">
        <v>85</v>
      </c>
      <c r="V376" s="217" t="s">
        <v>174</v>
      </c>
      <c r="W376" s="217" t="s">
        <v>175</v>
      </c>
      <c r="BC376" s="217" t="s">
        <v>85</v>
      </c>
      <c r="BD376" s="217" t="s">
        <v>98</v>
      </c>
      <c r="BE376" s="217" t="s">
        <v>1213</v>
      </c>
      <c r="BF376" s="217" t="s">
        <v>415</v>
      </c>
      <c r="BG376" s="217" t="s">
        <v>1998</v>
      </c>
      <c r="BH376" s="217" t="s">
        <v>1658</v>
      </c>
      <c r="BI376" s="217" t="s">
        <v>1660</v>
      </c>
      <c r="BJ376" s="217" t="s">
        <v>1660</v>
      </c>
      <c r="BK376" s="217" t="s">
        <v>637</v>
      </c>
      <c r="BL376" s="217"/>
      <c r="BM376" s="217"/>
      <c r="BN376" s="217">
        <v>0</v>
      </c>
      <c r="BO376" s="217">
        <v>0</v>
      </c>
      <c r="BR376" s="217" t="s">
        <v>85</v>
      </c>
      <c r="BS376" s="217" t="s">
        <v>98</v>
      </c>
      <c r="BT376" s="217" t="s">
        <v>815</v>
      </c>
      <c r="BU376" s="217" t="s">
        <v>1524</v>
      </c>
      <c r="BV376" s="217">
        <v>0</v>
      </c>
      <c r="BW376" s="217">
        <v>0</v>
      </c>
      <c r="BX376" s="217">
        <v>9</v>
      </c>
      <c r="BY376" s="217">
        <v>77</v>
      </c>
      <c r="BZ376" s="217">
        <v>0</v>
      </c>
      <c r="CA376" s="217">
        <v>0</v>
      </c>
      <c r="CB376" s="217">
        <v>0</v>
      </c>
      <c r="CC376" s="217">
        <v>0</v>
      </c>
      <c r="CD376" s="217">
        <v>9</v>
      </c>
      <c r="CE376" s="217">
        <v>77</v>
      </c>
      <c r="CF376" s="217">
        <v>0</v>
      </c>
      <c r="CG376" s="217">
        <v>0</v>
      </c>
      <c r="CH376" s="217">
        <v>0</v>
      </c>
      <c r="CI376" s="217">
        <v>0</v>
      </c>
      <c r="CJ376" s="217">
        <v>0</v>
      </c>
    </row>
    <row r="377" spans="1:88" x14ac:dyDescent="0.25">
      <c r="A377" s="217" t="s">
        <v>22</v>
      </c>
      <c r="B377" s="217" t="s">
        <v>23</v>
      </c>
      <c r="C377" s="217" t="s">
        <v>85</v>
      </c>
      <c r="D377" s="217" t="s">
        <v>84</v>
      </c>
      <c r="E377" s="217" t="s">
        <v>151</v>
      </c>
      <c r="F377" s="217" t="s">
        <v>150</v>
      </c>
      <c r="G377" s="217" t="s">
        <v>779</v>
      </c>
      <c r="H377" s="217" t="s">
        <v>1091</v>
      </c>
      <c r="I377" s="217" t="s">
        <v>29</v>
      </c>
      <c r="J377" s="217" t="s">
        <v>1856</v>
      </c>
      <c r="K377" s="217">
        <v>35</v>
      </c>
      <c r="L377" s="217">
        <v>147</v>
      </c>
      <c r="M377" s="217" t="s">
        <v>31</v>
      </c>
      <c r="N377" s="217" t="s">
        <v>32</v>
      </c>
      <c r="O377" s="217" t="s">
        <v>100</v>
      </c>
      <c r="P377" s="217" t="s">
        <v>34</v>
      </c>
      <c r="Q377" s="217" t="s">
        <v>35</v>
      </c>
      <c r="R377" s="217" t="s">
        <v>23</v>
      </c>
      <c r="S377" s="217" t="s">
        <v>22</v>
      </c>
      <c r="T377" s="217" t="s">
        <v>84</v>
      </c>
      <c r="U377" s="217" t="s">
        <v>85</v>
      </c>
      <c r="V377" s="217" t="s">
        <v>150</v>
      </c>
      <c r="W377" s="217" t="s">
        <v>151</v>
      </c>
      <c r="BC377" s="217" t="s">
        <v>85</v>
      </c>
      <c r="BD377" s="217" t="s">
        <v>98</v>
      </c>
      <c r="BE377" s="217" t="s">
        <v>1214</v>
      </c>
      <c r="BF377" s="217" t="s">
        <v>416</v>
      </c>
      <c r="BG377" s="217" t="s">
        <v>1998</v>
      </c>
      <c r="BH377" s="217" t="s">
        <v>1658</v>
      </c>
      <c r="BI377" s="217" t="s">
        <v>1658</v>
      </c>
      <c r="BJ377" s="217" t="s">
        <v>1660</v>
      </c>
      <c r="BK377" s="217" t="s">
        <v>637</v>
      </c>
      <c r="BL377" s="217"/>
      <c r="BM377" s="217"/>
      <c r="BN377" s="217">
        <v>0</v>
      </c>
      <c r="BO377" s="217">
        <v>0</v>
      </c>
      <c r="BR377" s="217" t="s">
        <v>85</v>
      </c>
      <c r="BS377" s="217" t="s">
        <v>98</v>
      </c>
      <c r="BT377" s="217" t="s">
        <v>808</v>
      </c>
      <c r="BU377" s="217" t="s">
        <v>1273</v>
      </c>
      <c r="BV377" s="217">
        <v>12</v>
      </c>
      <c r="BW377" s="217">
        <v>109</v>
      </c>
      <c r="BX377" s="217">
        <v>0</v>
      </c>
      <c r="BY377" s="217">
        <v>0</v>
      </c>
      <c r="BZ377" s="217">
        <v>0</v>
      </c>
      <c r="CA377" s="217">
        <v>0</v>
      </c>
      <c r="CB377" s="217">
        <v>12</v>
      </c>
      <c r="CC377" s="217">
        <v>109</v>
      </c>
      <c r="CD377" s="217">
        <v>0</v>
      </c>
      <c r="CE377" s="217">
        <v>0</v>
      </c>
      <c r="CF377" s="217">
        <v>0</v>
      </c>
      <c r="CG377" s="217">
        <v>0</v>
      </c>
      <c r="CH377" s="217">
        <v>0</v>
      </c>
      <c r="CI377" s="217">
        <v>0</v>
      </c>
      <c r="CJ377" s="217">
        <v>0</v>
      </c>
    </row>
    <row r="378" spans="1:88" x14ac:dyDescent="0.25">
      <c r="A378" s="217" t="s">
        <v>22</v>
      </c>
      <c r="B378" s="217" t="s">
        <v>23</v>
      </c>
      <c r="C378" s="217" t="s">
        <v>85</v>
      </c>
      <c r="D378" s="217" t="s">
        <v>84</v>
      </c>
      <c r="E378" s="217" t="s">
        <v>151</v>
      </c>
      <c r="F378" s="217" t="s">
        <v>150</v>
      </c>
      <c r="G378" s="217" t="s">
        <v>783</v>
      </c>
      <c r="H378" s="217" t="s">
        <v>1092</v>
      </c>
      <c r="I378" s="217" t="s">
        <v>29</v>
      </c>
      <c r="J378" s="217" t="s">
        <v>1856</v>
      </c>
      <c r="K378" s="217">
        <v>10</v>
      </c>
      <c r="L378" s="217">
        <v>69</v>
      </c>
      <c r="M378" s="217" t="s">
        <v>31</v>
      </c>
      <c r="N378" s="217" t="s">
        <v>32</v>
      </c>
      <c r="O378" s="217" t="s">
        <v>100</v>
      </c>
      <c r="P378" s="217" t="s">
        <v>34</v>
      </c>
      <c r="Q378" s="217" t="s">
        <v>35</v>
      </c>
      <c r="R378" s="217" t="s">
        <v>23</v>
      </c>
      <c r="S378" s="217" t="s">
        <v>22</v>
      </c>
      <c r="T378" s="217" t="s">
        <v>84</v>
      </c>
      <c r="U378" s="217" t="s">
        <v>85</v>
      </c>
      <c r="V378" s="217" t="s">
        <v>150</v>
      </c>
      <c r="W378" s="217" t="s">
        <v>151</v>
      </c>
      <c r="BC378" s="217" t="s">
        <v>85</v>
      </c>
      <c r="BD378" s="217" t="s">
        <v>98</v>
      </c>
      <c r="BE378" s="217" t="s">
        <v>1215</v>
      </c>
      <c r="BF378" s="217" t="s">
        <v>793</v>
      </c>
      <c r="BG378" s="217" t="s">
        <v>1998</v>
      </c>
      <c r="BH378" s="217" t="s">
        <v>1658</v>
      </c>
      <c r="BI378" s="217" t="s">
        <v>1658</v>
      </c>
      <c r="BJ378" s="217" t="s">
        <v>1660</v>
      </c>
      <c r="BK378" s="217" t="s">
        <v>637</v>
      </c>
      <c r="BL378" s="217"/>
      <c r="BM378" s="217"/>
      <c r="BN378" s="217">
        <v>0</v>
      </c>
      <c r="BO378" s="217">
        <v>0</v>
      </c>
      <c r="BR378" s="217" t="s">
        <v>85</v>
      </c>
      <c r="BS378" s="217" t="s">
        <v>98</v>
      </c>
      <c r="BT378" s="217" t="s">
        <v>461</v>
      </c>
      <c r="BU378" s="217" t="s">
        <v>1299</v>
      </c>
      <c r="BV378" s="217">
        <v>15</v>
      </c>
      <c r="BW378" s="217">
        <v>91</v>
      </c>
      <c r="BX378" s="217">
        <v>8</v>
      </c>
      <c r="BY378" s="217">
        <v>124</v>
      </c>
      <c r="BZ378" s="217">
        <v>0</v>
      </c>
      <c r="CA378" s="217">
        <v>0</v>
      </c>
      <c r="CB378" s="217">
        <v>15</v>
      </c>
      <c r="CC378" s="217">
        <v>91</v>
      </c>
      <c r="CD378" s="217">
        <v>8</v>
      </c>
      <c r="CE378" s="217">
        <v>124</v>
      </c>
      <c r="CF378" s="217">
        <v>0</v>
      </c>
      <c r="CG378" s="217">
        <v>0</v>
      </c>
      <c r="CH378" s="217">
        <v>0</v>
      </c>
      <c r="CI378" s="217">
        <v>0</v>
      </c>
      <c r="CJ378" s="217">
        <v>0</v>
      </c>
    </row>
    <row r="379" spans="1:88" x14ac:dyDescent="0.25">
      <c r="A379" s="217" t="s">
        <v>22</v>
      </c>
      <c r="B379" s="217" t="s">
        <v>23</v>
      </c>
      <c r="C379" s="217" t="s">
        <v>85</v>
      </c>
      <c r="D379" s="217" t="s">
        <v>84</v>
      </c>
      <c r="E379" s="217" t="s">
        <v>151</v>
      </c>
      <c r="F379" s="217" t="s">
        <v>150</v>
      </c>
      <c r="G379" s="217" t="s">
        <v>783</v>
      </c>
      <c r="H379" s="217" t="s">
        <v>1092</v>
      </c>
      <c r="I379" s="217" t="s">
        <v>29</v>
      </c>
      <c r="J379" s="217" t="s">
        <v>1858</v>
      </c>
      <c r="K379" s="217">
        <v>8</v>
      </c>
      <c r="L379" s="217">
        <v>56</v>
      </c>
      <c r="M379" s="217" t="s">
        <v>31</v>
      </c>
      <c r="N379" s="217" t="s">
        <v>32</v>
      </c>
      <c r="O379" s="217" t="s">
        <v>100</v>
      </c>
      <c r="P379" s="217" t="s">
        <v>34</v>
      </c>
      <c r="Q379" s="217" t="s">
        <v>35</v>
      </c>
      <c r="R379" s="217" t="s">
        <v>23</v>
      </c>
      <c r="S379" s="217" t="s">
        <v>22</v>
      </c>
      <c r="T379" s="217" t="s">
        <v>84</v>
      </c>
      <c r="U379" s="217" t="s">
        <v>85</v>
      </c>
      <c r="V379" s="217" t="s">
        <v>150</v>
      </c>
      <c r="W379" s="217" t="s">
        <v>151</v>
      </c>
      <c r="BC379" s="217" t="s">
        <v>85</v>
      </c>
      <c r="BD379" s="217" t="s">
        <v>98</v>
      </c>
      <c r="BE379" s="217" t="s">
        <v>1216</v>
      </c>
      <c r="BF379" s="217" t="s">
        <v>2010</v>
      </c>
      <c r="BG379" s="217" t="s">
        <v>2000</v>
      </c>
      <c r="BH379" s="217" t="s">
        <v>1658</v>
      </c>
      <c r="BI379" s="217" t="s">
        <v>1660</v>
      </c>
      <c r="BJ379" s="217" t="s">
        <v>1660</v>
      </c>
      <c r="BK379" s="217" t="s">
        <v>637</v>
      </c>
      <c r="BL379" s="217"/>
      <c r="BM379" s="217"/>
      <c r="BN379" s="217">
        <v>0</v>
      </c>
      <c r="BO379" s="217">
        <v>0</v>
      </c>
      <c r="BR379" s="217" t="s">
        <v>85</v>
      </c>
      <c r="BS379" s="217" t="s">
        <v>98</v>
      </c>
      <c r="BT379" s="217" t="s">
        <v>822</v>
      </c>
      <c r="BU379" s="217" t="s">
        <v>1264</v>
      </c>
      <c r="BV379" s="217">
        <v>7</v>
      </c>
      <c r="BW379" s="217">
        <v>37</v>
      </c>
      <c r="BX379" s="217">
        <v>0</v>
      </c>
      <c r="BY379" s="217">
        <v>0</v>
      </c>
      <c r="BZ379" s="217">
        <v>0</v>
      </c>
      <c r="CA379" s="217">
        <v>0</v>
      </c>
      <c r="CB379" s="217">
        <v>7</v>
      </c>
      <c r="CC379" s="217">
        <v>37</v>
      </c>
      <c r="CD379" s="217">
        <v>0</v>
      </c>
      <c r="CE379" s="217">
        <v>0</v>
      </c>
      <c r="CF379" s="217">
        <v>0</v>
      </c>
      <c r="CG379" s="217">
        <v>0</v>
      </c>
      <c r="CH379" s="217">
        <v>0</v>
      </c>
      <c r="CI379" s="217">
        <v>0</v>
      </c>
      <c r="CJ379" s="217">
        <v>0</v>
      </c>
    </row>
    <row r="380" spans="1:88" x14ac:dyDescent="0.25">
      <c r="A380" s="217" t="s">
        <v>22</v>
      </c>
      <c r="B380" s="217" t="s">
        <v>23</v>
      </c>
      <c r="C380" s="217" t="s">
        <v>85</v>
      </c>
      <c r="D380" s="217" t="s">
        <v>84</v>
      </c>
      <c r="E380" s="217" t="s">
        <v>151</v>
      </c>
      <c r="F380" s="217" t="s">
        <v>150</v>
      </c>
      <c r="G380" s="217" t="s">
        <v>784</v>
      </c>
      <c r="H380" s="217" t="s">
        <v>1093</v>
      </c>
      <c r="I380" s="217" t="s">
        <v>29</v>
      </c>
      <c r="J380" s="217" t="s">
        <v>1856</v>
      </c>
      <c r="K380" s="217">
        <v>29</v>
      </c>
      <c r="L380" s="217">
        <v>166</v>
      </c>
      <c r="M380" s="217" t="s">
        <v>31</v>
      </c>
      <c r="N380" s="217" t="s">
        <v>32</v>
      </c>
      <c r="O380" s="217" t="s">
        <v>100</v>
      </c>
      <c r="P380" s="217" t="s">
        <v>34</v>
      </c>
      <c r="Q380" s="217" t="s">
        <v>35</v>
      </c>
      <c r="R380" s="217" t="s">
        <v>23</v>
      </c>
      <c r="S380" s="217" t="s">
        <v>22</v>
      </c>
      <c r="T380" s="217" t="s">
        <v>84</v>
      </c>
      <c r="U380" s="217" t="s">
        <v>85</v>
      </c>
      <c r="V380" s="217" t="s">
        <v>150</v>
      </c>
      <c r="W380" s="217" t="s">
        <v>151</v>
      </c>
      <c r="BC380" s="217" t="s">
        <v>85</v>
      </c>
      <c r="BD380" s="217" t="s">
        <v>98</v>
      </c>
      <c r="BE380" s="217" t="s">
        <v>1217</v>
      </c>
      <c r="BF380" s="217" t="s">
        <v>417</v>
      </c>
      <c r="BG380" s="217" t="s">
        <v>1998</v>
      </c>
      <c r="BH380" s="217" t="s">
        <v>1658</v>
      </c>
      <c r="BI380" s="217" t="s">
        <v>1658</v>
      </c>
      <c r="BJ380" s="217" t="s">
        <v>1660</v>
      </c>
      <c r="BK380" s="217" t="s">
        <v>637</v>
      </c>
      <c r="BL380" s="217"/>
      <c r="BM380" s="217"/>
      <c r="BN380" s="217">
        <v>0</v>
      </c>
      <c r="BO380" s="217">
        <v>0</v>
      </c>
      <c r="BR380" s="217" t="s">
        <v>85</v>
      </c>
      <c r="BS380" s="217" t="s">
        <v>98</v>
      </c>
      <c r="BT380" s="217" t="s">
        <v>806</v>
      </c>
      <c r="BU380" s="217" t="s">
        <v>1268</v>
      </c>
      <c r="BV380" s="217">
        <v>4</v>
      </c>
      <c r="BW380" s="217">
        <v>34</v>
      </c>
      <c r="BX380" s="217">
        <v>29</v>
      </c>
      <c r="BY380" s="217">
        <v>247</v>
      </c>
      <c r="BZ380" s="217">
        <v>0</v>
      </c>
      <c r="CA380" s="217">
        <v>0</v>
      </c>
      <c r="CB380" s="217">
        <v>4</v>
      </c>
      <c r="CC380" s="217">
        <v>34</v>
      </c>
      <c r="CD380" s="217">
        <v>29</v>
      </c>
      <c r="CE380" s="217">
        <v>247</v>
      </c>
      <c r="CF380" s="217">
        <v>0</v>
      </c>
      <c r="CG380" s="217">
        <v>0</v>
      </c>
      <c r="CH380" s="217">
        <v>0</v>
      </c>
      <c r="CI380" s="217">
        <v>0</v>
      </c>
      <c r="CJ380" s="217">
        <v>0</v>
      </c>
    </row>
    <row r="381" spans="1:88" x14ac:dyDescent="0.25">
      <c r="A381" s="217" t="s">
        <v>22</v>
      </c>
      <c r="B381" s="217" t="s">
        <v>23</v>
      </c>
      <c r="C381" s="217" t="s">
        <v>85</v>
      </c>
      <c r="D381" s="217" t="s">
        <v>84</v>
      </c>
      <c r="E381" s="217" t="s">
        <v>151</v>
      </c>
      <c r="F381" s="217" t="s">
        <v>150</v>
      </c>
      <c r="G381" s="217" t="s">
        <v>785</v>
      </c>
      <c r="H381" s="217" t="s">
        <v>1094</v>
      </c>
      <c r="I381" s="217" t="s">
        <v>29</v>
      </c>
      <c r="J381" s="217" t="s">
        <v>1856</v>
      </c>
      <c r="K381" s="217">
        <v>6</v>
      </c>
      <c r="L381" s="217">
        <v>56</v>
      </c>
      <c r="M381" s="217" t="s">
        <v>31</v>
      </c>
      <c r="N381" s="217" t="s">
        <v>32</v>
      </c>
      <c r="O381" s="217" t="s">
        <v>100</v>
      </c>
      <c r="P381" s="217" t="s">
        <v>34</v>
      </c>
      <c r="Q381" s="217" t="s">
        <v>35</v>
      </c>
      <c r="R381" s="217" t="s">
        <v>23</v>
      </c>
      <c r="S381" s="217" t="s">
        <v>22</v>
      </c>
      <c r="T381" s="217" t="s">
        <v>84</v>
      </c>
      <c r="U381" s="217" t="s">
        <v>85</v>
      </c>
      <c r="V381" s="217" t="s">
        <v>150</v>
      </c>
      <c r="W381" s="217" t="s">
        <v>151</v>
      </c>
      <c r="BC381" s="217" t="s">
        <v>85</v>
      </c>
      <c r="BD381" s="217" t="s">
        <v>98</v>
      </c>
      <c r="BE381" s="217" t="s">
        <v>1218</v>
      </c>
      <c r="BF381" s="217" t="s">
        <v>418</v>
      </c>
      <c r="BG381" s="217" t="s">
        <v>1998</v>
      </c>
      <c r="BH381" s="217" t="s">
        <v>1658</v>
      </c>
      <c r="BI381" s="217" t="s">
        <v>1660</v>
      </c>
      <c r="BJ381" s="217" t="s">
        <v>1660</v>
      </c>
      <c r="BK381" s="217" t="s">
        <v>637</v>
      </c>
      <c r="BL381" s="217"/>
      <c r="BM381" s="217"/>
      <c r="BN381" s="217">
        <v>0</v>
      </c>
      <c r="BO381" s="217">
        <v>0</v>
      </c>
      <c r="BR381" s="217" t="s">
        <v>85</v>
      </c>
      <c r="BS381" s="217" t="s">
        <v>98</v>
      </c>
      <c r="BT381" s="217" t="s">
        <v>392</v>
      </c>
      <c r="BU381" s="217" t="s">
        <v>1169</v>
      </c>
      <c r="BV381" s="217">
        <v>20</v>
      </c>
      <c r="BW381" s="217">
        <v>83</v>
      </c>
      <c r="BX381" s="217">
        <v>4</v>
      </c>
      <c r="BY381" s="217">
        <v>6</v>
      </c>
      <c r="BZ381" s="217">
        <v>17</v>
      </c>
      <c r="CA381" s="217">
        <v>60</v>
      </c>
      <c r="CB381" s="217">
        <v>20</v>
      </c>
      <c r="CC381" s="217">
        <v>83</v>
      </c>
      <c r="CD381" s="217">
        <v>8</v>
      </c>
      <c r="CE381" s="217">
        <v>14</v>
      </c>
      <c r="CF381" s="217">
        <v>17</v>
      </c>
      <c r="CG381" s="217">
        <v>50</v>
      </c>
      <c r="CH381" s="217">
        <v>0</v>
      </c>
      <c r="CI381" s="217">
        <v>-8</v>
      </c>
      <c r="CJ381" s="217">
        <v>10</v>
      </c>
    </row>
    <row r="382" spans="1:88" x14ac:dyDescent="0.25">
      <c r="A382" s="217" t="s">
        <v>22</v>
      </c>
      <c r="B382" s="217" t="s">
        <v>23</v>
      </c>
      <c r="C382" s="217" t="s">
        <v>85</v>
      </c>
      <c r="D382" s="217" t="s">
        <v>84</v>
      </c>
      <c r="E382" s="217" t="s">
        <v>151</v>
      </c>
      <c r="F382" s="217" t="s">
        <v>150</v>
      </c>
      <c r="G382" s="217" t="s">
        <v>786</v>
      </c>
      <c r="H382" s="217" t="s">
        <v>1095</v>
      </c>
      <c r="I382" s="217" t="s">
        <v>29</v>
      </c>
      <c r="J382" s="217" t="s">
        <v>1856</v>
      </c>
      <c r="K382" s="217">
        <v>7</v>
      </c>
      <c r="L382" s="217">
        <v>49</v>
      </c>
      <c r="M382" s="217" t="s">
        <v>31</v>
      </c>
      <c r="N382" s="217" t="s">
        <v>32</v>
      </c>
      <c r="O382" s="217" t="s">
        <v>100</v>
      </c>
      <c r="P382" s="217" t="s">
        <v>34</v>
      </c>
      <c r="Q382" s="217" t="s">
        <v>35</v>
      </c>
      <c r="R382" s="217" t="s">
        <v>23</v>
      </c>
      <c r="S382" s="217" t="s">
        <v>22</v>
      </c>
      <c r="T382" s="217" t="s">
        <v>84</v>
      </c>
      <c r="U382" s="217" t="s">
        <v>85</v>
      </c>
      <c r="V382" s="217" t="s">
        <v>150</v>
      </c>
      <c r="W382" s="217" t="s">
        <v>151</v>
      </c>
      <c r="BC382" s="217" t="s">
        <v>85</v>
      </c>
      <c r="BD382" s="217" t="s">
        <v>98</v>
      </c>
      <c r="BE382" s="217" t="s">
        <v>1682</v>
      </c>
      <c r="BF382" s="217" t="s">
        <v>697</v>
      </c>
      <c r="BG382" s="217" t="s">
        <v>2007</v>
      </c>
      <c r="BH382" s="217" t="s">
        <v>1660</v>
      </c>
      <c r="BI382" s="217" t="s">
        <v>1660</v>
      </c>
      <c r="BJ382" s="217" t="s">
        <v>1660</v>
      </c>
      <c r="BK382" s="217" t="s">
        <v>637</v>
      </c>
      <c r="BL382" s="217"/>
      <c r="BM382" s="217"/>
      <c r="BN382" s="217">
        <v>0</v>
      </c>
      <c r="BO382" s="217">
        <v>0</v>
      </c>
      <c r="BR382" s="217" t="s">
        <v>85</v>
      </c>
      <c r="BS382" s="217" t="s">
        <v>98</v>
      </c>
      <c r="BT382" s="217" t="s">
        <v>435</v>
      </c>
      <c r="BU382" s="217" t="s">
        <v>1247</v>
      </c>
      <c r="BV382" s="217">
        <v>12</v>
      </c>
      <c r="BW382" s="217">
        <v>70</v>
      </c>
      <c r="BX382" s="217">
        <v>0</v>
      </c>
      <c r="BY382" s="217">
        <v>0</v>
      </c>
      <c r="BZ382" s="217">
        <v>0</v>
      </c>
      <c r="CA382" s="217">
        <v>0</v>
      </c>
      <c r="CB382" s="217">
        <v>12</v>
      </c>
      <c r="CC382" s="217">
        <v>70</v>
      </c>
      <c r="CD382" s="217">
        <v>0</v>
      </c>
      <c r="CE382" s="217">
        <v>0</v>
      </c>
      <c r="CF382" s="217">
        <v>0</v>
      </c>
      <c r="CG382" s="217">
        <v>0</v>
      </c>
      <c r="CH382" s="217">
        <v>0</v>
      </c>
      <c r="CI382" s="217">
        <v>0</v>
      </c>
      <c r="CJ382" s="217">
        <v>0</v>
      </c>
    </row>
    <row r="383" spans="1:88" x14ac:dyDescent="0.25">
      <c r="A383" s="217" t="s">
        <v>22</v>
      </c>
      <c r="B383" s="217" t="s">
        <v>23</v>
      </c>
      <c r="C383" s="217" t="s">
        <v>85</v>
      </c>
      <c r="D383" s="217" t="s">
        <v>84</v>
      </c>
      <c r="E383" s="217" t="s">
        <v>151</v>
      </c>
      <c r="F383" s="217" t="s">
        <v>150</v>
      </c>
      <c r="G383" s="217" t="s">
        <v>1096</v>
      </c>
      <c r="H383" s="217" t="s">
        <v>1097</v>
      </c>
      <c r="I383" s="217" t="s">
        <v>29</v>
      </c>
      <c r="J383" s="217" t="s">
        <v>1858</v>
      </c>
      <c r="K383" s="217">
        <v>6</v>
      </c>
      <c r="L383" s="217">
        <v>54</v>
      </c>
      <c r="M383" s="217" t="s">
        <v>31</v>
      </c>
      <c r="N383" s="217" t="s">
        <v>32</v>
      </c>
      <c r="O383" s="217" t="s">
        <v>100</v>
      </c>
      <c r="P383" s="217" t="s">
        <v>34</v>
      </c>
      <c r="Q383" s="217" t="s">
        <v>35</v>
      </c>
      <c r="R383" s="217" t="s">
        <v>23</v>
      </c>
      <c r="S383" s="217" t="s">
        <v>22</v>
      </c>
      <c r="T383" s="217" t="s">
        <v>84</v>
      </c>
      <c r="U383" s="217" t="s">
        <v>85</v>
      </c>
      <c r="V383" s="217" t="s">
        <v>150</v>
      </c>
      <c r="W383" s="217" t="s">
        <v>151</v>
      </c>
      <c r="BC383" s="217" t="s">
        <v>85</v>
      </c>
      <c r="BD383" s="217" t="s">
        <v>98</v>
      </c>
      <c r="BE383" s="217" t="s">
        <v>1219</v>
      </c>
      <c r="BF383" s="217" t="s">
        <v>419</v>
      </c>
      <c r="BG383" s="217" t="s">
        <v>1998</v>
      </c>
      <c r="BH383" s="217" t="s">
        <v>1658</v>
      </c>
      <c r="BI383" s="217" t="s">
        <v>1660</v>
      </c>
      <c r="BJ383" s="217" t="s">
        <v>1660</v>
      </c>
      <c r="BK383" s="217" t="s">
        <v>637</v>
      </c>
      <c r="BL383" s="217"/>
      <c r="BM383" s="217"/>
      <c r="BN383" s="217">
        <v>0</v>
      </c>
      <c r="BO383" s="217">
        <v>0</v>
      </c>
      <c r="BR383" s="217" t="s">
        <v>85</v>
      </c>
      <c r="BS383" s="217" t="s">
        <v>98</v>
      </c>
      <c r="BT383" s="217" t="s">
        <v>171</v>
      </c>
      <c r="BU383" s="217" t="s">
        <v>1297</v>
      </c>
      <c r="BV383" s="217">
        <v>13</v>
      </c>
      <c r="BW383" s="217">
        <v>75</v>
      </c>
      <c r="BX383" s="217">
        <v>2</v>
      </c>
      <c r="BY383" s="217">
        <v>15</v>
      </c>
      <c r="BZ383" s="217">
        <v>3</v>
      </c>
      <c r="CA383" s="217">
        <v>10</v>
      </c>
      <c r="CB383" s="217">
        <v>13</v>
      </c>
      <c r="CC383" s="217">
        <v>75</v>
      </c>
      <c r="CD383" s="217">
        <v>2</v>
      </c>
      <c r="CE383" s="217">
        <v>15</v>
      </c>
      <c r="CF383" s="217">
        <v>3</v>
      </c>
      <c r="CG383" s="217">
        <v>10</v>
      </c>
      <c r="CH383" s="217">
        <v>0</v>
      </c>
      <c r="CI383" s="217">
        <v>0</v>
      </c>
      <c r="CJ383" s="217">
        <v>0</v>
      </c>
    </row>
    <row r="384" spans="1:88" x14ac:dyDescent="0.25">
      <c r="A384" s="217" t="s">
        <v>22</v>
      </c>
      <c r="B384" s="217" t="s">
        <v>23</v>
      </c>
      <c r="C384" s="217" t="s">
        <v>85</v>
      </c>
      <c r="D384" s="217" t="s">
        <v>84</v>
      </c>
      <c r="E384" s="217" t="s">
        <v>151</v>
      </c>
      <c r="F384" s="217" t="s">
        <v>150</v>
      </c>
      <c r="G384" s="217" t="s">
        <v>787</v>
      </c>
      <c r="H384" s="217" t="s">
        <v>1098</v>
      </c>
      <c r="I384" s="217" t="s">
        <v>29</v>
      </c>
      <c r="J384" s="217" t="s">
        <v>1856</v>
      </c>
      <c r="K384" s="217">
        <v>89</v>
      </c>
      <c r="L384" s="217">
        <v>440</v>
      </c>
      <c r="M384" s="217" t="s">
        <v>31</v>
      </c>
      <c r="N384" s="217" t="s">
        <v>32</v>
      </c>
      <c r="O384" s="217" t="s">
        <v>100</v>
      </c>
      <c r="P384" s="217" t="s">
        <v>34</v>
      </c>
      <c r="Q384" s="217" t="s">
        <v>35</v>
      </c>
      <c r="R384" s="217" t="s">
        <v>23</v>
      </c>
      <c r="S384" s="217" t="s">
        <v>22</v>
      </c>
      <c r="T384" s="217" t="s">
        <v>84</v>
      </c>
      <c r="U384" s="217" t="s">
        <v>85</v>
      </c>
      <c r="V384" s="217" t="s">
        <v>150</v>
      </c>
      <c r="W384" s="217" t="s">
        <v>151</v>
      </c>
      <c r="BC384" s="217" t="s">
        <v>85</v>
      </c>
      <c r="BD384" s="217" t="s">
        <v>98</v>
      </c>
      <c r="BE384" s="217" t="s">
        <v>1220</v>
      </c>
      <c r="BF384" s="217" t="s">
        <v>420</v>
      </c>
      <c r="BG384" s="217" t="s">
        <v>1998</v>
      </c>
      <c r="BH384" s="217" t="s">
        <v>1658</v>
      </c>
      <c r="BI384" s="217" t="s">
        <v>1660</v>
      </c>
      <c r="BJ384" s="217" t="s">
        <v>1660</v>
      </c>
      <c r="BK384" s="217" t="s">
        <v>637</v>
      </c>
      <c r="BL384" s="217"/>
      <c r="BM384" s="217"/>
      <c r="BN384" s="217">
        <v>0</v>
      </c>
      <c r="BO384" s="217">
        <v>0</v>
      </c>
      <c r="BR384" s="217" t="s">
        <v>85</v>
      </c>
      <c r="BS384" s="217" t="s">
        <v>98</v>
      </c>
      <c r="BT384" s="217" t="s">
        <v>452</v>
      </c>
      <c r="BU384" s="217" t="s">
        <v>1278</v>
      </c>
      <c r="BV384" s="217">
        <v>30</v>
      </c>
      <c r="BW384" s="217">
        <v>100</v>
      </c>
      <c r="BX384" s="217">
        <v>0</v>
      </c>
      <c r="BY384" s="217">
        <v>0</v>
      </c>
      <c r="BZ384" s="217">
        <v>0</v>
      </c>
      <c r="CA384" s="217">
        <v>0</v>
      </c>
      <c r="CB384" s="217">
        <v>30</v>
      </c>
      <c r="CC384" s="217">
        <v>100</v>
      </c>
      <c r="CD384" s="217">
        <v>0</v>
      </c>
      <c r="CE384" s="217">
        <v>0</v>
      </c>
      <c r="CF384" s="217">
        <v>0</v>
      </c>
      <c r="CG384" s="217">
        <v>0</v>
      </c>
      <c r="CH384" s="217">
        <v>0</v>
      </c>
      <c r="CI384" s="217">
        <v>0</v>
      </c>
      <c r="CJ384" s="217">
        <v>0</v>
      </c>
    </row>
    <row r="385" spans="1:88" x14ac:dyDescent="0.25">
      <c r="A385" s="217" t="s">
        <v>22</v>
      </c>
      <c r="B385" s="217" t="s">
        <v>23</v>
      </c>
      <c r="C385" s="217" t="s">
        <v>85</v>
      </c>
      <c r="D385" s="217" t="s">
        <v>84</v>
      </c>
      <c r="E385" s="217" t="s">
        <v>151</v>
      </c>
      <c r="F385" s="217" t="s">
        <v>150</v>
      </c>
      <c r="G385" s="217" t="s">
        <v>1099</v>
      </c>
      <c r="H385" s="217" t="s">
        <v>1100</v>
      </c>
      <c r="I385" s="217" t="s">
        <v>29</v>
      </c>
      <c r="J385" s="217" t="s">
        <v>1858</v>
      </c>
      <c r="K385" s="217">
        <v>35</v>
      </c>
      <c r="L385" s="217">
        <v>150</v>
      </c>
      <c r="M385" s="217" t="s">
        <v>31</v>
      </c>
      <c r="N385" s="217" t="s">
        <v>32</v>
      </c>
      <c r="O385" s="217" t="s">
        <v>100</v>
      </c>
      <c r="P385" s="217" t="s">
        <v>34</v>
      </c>
      <c r="Q385" s="217" t="s">
        <v>35</v>
      </c>
      <c r="R385" s="217" t="s">
        <v>23</v>
      </c>
      <c r="S385" s="217" t="s">
        <v>22</v>
      </c>
      <c r="T385" s="217" t="s">
        <v>84</v>
      </c>
      <c r="U385" s="217" t="s">
        <v>85</v>
      </c>
      <c r="V385" s="217" t="s">
        <v>150</v>
      </c>
      <c r="W385" s="217" t="s">
        <v>151</v>
      </c>
      <c r="BC385" s="217" t="s">
        <v>85</v>
      </c>
      <c r="BD385" s="217" t="s">
        <v>98</v>
      </c>
      <c r="BE385" s="217" t="s">
        <v>1221</v>
      </c>
      <c r="BF385" s="217" t="s">
        <v>421</v>
      </c>
      <c r="BG385" s="217" t="s">
        <v>1998</v>
      </c>
      <c r="BH385" s="217" t="s">
        <v>1658</v>
      </c>
      <c r="BI385" s="217" t="s">
        <v>1658</v>
      </c>
      <c r="BJ385" s="217" t="s">
        <v>1660</v>
      </c>
      <c r="BK385" s="217" t="s">
        <v>637</v>
      </c>
      <c r="BL385" s="217"/>
      <c r="BM385" s="217"/>
      <c r="BN385" s="217">
        <v>0</v>
      </c>
      <c r="BO385" s="217">
        <v>0</v>
      </c>
      <c r="BR385" s="217" t="s">
        <v>85</v>
      </c>
      <c r="BS385" s="217" t="s">
        <v>98</v>
      </c>
      <c r="BT385" s="217" t="s">
        <v>390</v>
      </c>
      <c r="BU385" s="217" t="s">
        <v>1166</v>
      </c>
      <c r="BV385" s="217">
        <v>8</v>
      </c>
      <c r="BW385" s="217">
        <v>51</v>
      </c>
      <c r="BX385" s="217">
        <v>12</v>
      </c>
      <c r="BY385" s="217">
        <v>114</v>
      </c>
      <c r="BZ385" s="217">
        <v>0</v>
      </c>
      <c r="CA385" s="217">
        <v>0</v>
      </c>
      <c r="CB385" s="217">
        <v>8</v>
      </c>
      <c r="CC385" s="217">
        <v>51</v>
      </c>
      <c r="CD385" s="217">
        <v>14</v>
      </c>
      <c r="CE385" s="217">
        <v>130</v>
      </c>
      <c r="CF385" s="217">
        <v>0</v>
      </c>
      <c r="CG385" s="217">
        <v>0</v>
      </c>
      <c r="CH385" s="217">
        <v>0</v>
      </c>
      <c r="CI385" s="217">
        <v>-16</v>
      </c>
      <c r="CJ385" s="217">
        <v>0</v>
      </c>
    </row>
    <row r="386" spans="1:88" x14ac:dyDescent="0.25">
      <c r="A386" s="217" t="s">
        <v>22</v>
      </c>
      <c r="B386" s="217" t="s">
        <v>23</v>
      </c>
      <c r="C386" s="217" t="s">
        <v>85</v>
      </c>
      <c r="D386" s="217" t="s">
        <v>84</v>
      </c>
      <c r="E386" s="217" t="s">
        <v>151</v>
      </c>
      <c r="F386" s="217" t="s">
        <v>150</v>
      </c>
      <c r="G386" s="217" t="s">
        <v>788</v>
      </c>
      <c r="H386" s="217" t="s">
        <v>1101</v>
      </c>
      <c r="I386" s="217" t="s">
        <v>29</v>
      </c>
      <c r="J386" s="217" t="s">
        <v>1856</v>
      </c>
      <c r="K386" s="217">
        <v>100</v>
      </c>
      <c r="L386" s="217">
        <v>447</v>
      </c>
      <c r="M386" s="217" t="s">
        <v>31</v>
      </c>
      <c r="N386" s="217" t="s">
        <v>32</v>
      </c>
      <c r="O386" s="217" t="s">
        <v>100</v>
      </c>
      <c r="P386" s="217" t="s">
        <v>34</v>
      </c>
      <c r="Q386" s="217" t="s">
        <v>35</v>
      </c>
      <c r="R386" s="217" t="s">
        <v>23</v>
      </c>
      <c r="S386" s="217" t="s">
        <v>22</v>
      </c>
      <c r="T386" s="217" t="s">
        <v>84</v>
      </c>
      <c r="U386" s="217" t="s">
        <v>85</v>
      </c>
      <c r="V386" s="217" t="s">
        <v>150</v>
      </c>
      <c r="W386" s="217" t="s">
        <v>151</v>
      </c>
      <c r="BC386" s="217" t="s">
        <v>85</v>
      </c>
      <c r="BD386" s="217" t="s">
        <v>98</v>
      </c>
      <c r="BE386" s="217" t="s">
        <v>1222</v>
      </c>
      <c r="BF386" s="217" t="s">
        <v>166</v>
      </c>
      <c r="BG386" s="217" t="s">
        <v>1998</v>
      </c>
      <c r="BH386" s="217" t="s">
        <v>1658</v>
      </c>
      <c r="BI386" s="217" t="s">
        <v>1658</v>
      </c>
      <c r="BJ386" s="217" t="s">
        <v>1660</v>
      </c>
      <c r="BK386" s="217" t="s">
        <v>637</v>
      </c>
      <c r="BL386" s="217"/>
      <c r="BM386" s="217"/>
      <c r="BN386" s="217">
        <v>0</v>
      </c>
      <c r="BO386" s="217">
        <v>0</v>
      </c>
      <c r="BR386" s="217" t="s">
        <v>85</v>
      </c>
      <c r="BS386" s="217" t="s">
        <v>98</v>
      </c>
      <c r="BT386" s="217" t="s">
        <v>425</v>
      </c>
      <c r="BU386" s="217" t="s">
        <v>1226</v>
      </c>
      <c r="BV386" s="217">
        <v>12</v>
      </c>
      <c r="BW386" s="217">
        <v>58</v>
      </c>
      <c r="BX386" s="217">
        <v>0</v>
      </c>
      <c r="BY386" s="217">
        <v>0</v>
      </c>
      <c r="BZ386" s="217">
        <v>0</v>
      </c>
      <c r="CA386" s="217">
        <v>0</v>
      </c>
      <c r="CB386" s="217">
        <v>14</v>
      </c>
      <c r="CC386" s="217">
        <v>70</v>
      </c>
      <c r="CD386" s="217">
        <v>0</v>
      </c>
      <c r="CE386" s="217">
        <v>0</v>
      </c>
      <c r="CF386" s="217">
        <v>0</v>
      </c>
      <c r="CG386" s="217">
        <v>0</v>
      </c>
      <c r="CH386" s="217">
        <v>-12</v>
      </c>
      <c r="CI386" s="217">
        <v>0</v>
      </c>
      <c r="CJ386" s="217">
        <v>0</v>
      </c>
    </row>
    <row r="387" spans="1:88" x14ac:dyDescent="0.25">
      <c r="A387" s="217" t="s">
        <v>22</v>
      </c>
      <c r="B387" s="217" t="s">
        <v>23</v>
      </c>
      <c r="C387" s="217" t="s">
        <v>85</v>
      </c>
      <c r="D387" s="217" t="s">
        <v>84</v>
      </c>
      <c r="E387" s="217" t="s">
        <v>151</v>
      </c>
      <c r="F387" s="217" t="s">
        <v>150</v>
      </c>
      <c r="G387" s="217" t="s">
        <v>775</v>
      </c>
      <c r="H387" s="217" t="s">
        <v>1102</v>
      </c>
      <c r="I387" s="217" t="s">
        <v>29</v>
      </c>
      <c r="J387" s="217" t="s">
        <v>1858</v>
      </c>
      <c r="K387" s="217">
        <v>8</v>
      </c>
      <c r="L387" s="217">
        <v>71</v>
      </c>
      <c r="M387" s="217" t="s">
        <v>31</v>
      </c>
      <c r="N387" s="217" t="s">
        <v>32</v>
      </c>
      <c r="O387" s="217" t="s">
        <v>100</v>
      </c>
      <c r="P387" s="217" t="s">
        <v>34</v>
      </c>
      <c r="Q387" s="217" t="s">
        <v>35</v>
      </c>
      <c r="R387" s="217" t="s">
        <v>23</v>
      </c>
      <c r="S387" s="217" t="s">
        <v>22</v>
      </c>
      <c r="T387" s="217" t="s">
        <v>84</v>
      </c>
      <c r="U387" s="217" t="s">
        <v>85</v>
      </c>
      <c r="V387" s="217" t="s">
        <v>150</v>
      </c>
      <c r="W387" s="217" t="s">
        <v>151</v>
      </c>
      <c r="BC387" s="217" t="s">
        <v>85</v>
      </c>
      <c r="BD387" s="217" t="s">
        <v>98</v>
      </c>
      <c r="BE387" s="217" t="s">
        <v>1223</v>
      </c>
      <c r="BF387" s="217" t="s">
        <v>422</v>
      </c>
      <c r="BG387" s="217" t="s">
        <v>1998</v>
      </c>
      <c r="BH387" s="217" t="s">
        <v>1658</v>
      </c>
      <c r="BI387" s="217" t="s">
        <v>1660</v>
      </c>
      <c r="BJ387" s="217" t="s">
        <v>1658</v>
      </c>
      <c r="BK387" s="217" t="s">
        <v>637</v>
      </c>
      <c r="BL387" s="217"/>
      <c r="BM387" s="217"/>
      <c r="BN387" s="217">
        <v>0</v>
      </c>
      <c r="BO387" s="217">
        <v>0</v>
      </c>
      <c r="BR387" s="217" t="s">
        <v>85</v>
      </c>
      <c r="BS387" s="217" t="s">
        <v>98</v>
      </c>
      <c r="BT387" s="217" t="s">
        <v>453</v>
      </c>
      <c r="BU387" s="217" t="s">
        <v>1279</v>
      </c>
      <c r="BV387" s="217">
        <v>18</v>
      </c>
      <c r="BW387" s="217">
        <v>105</v>
      </c>
      <c r="BX387" s="217">
        <v>0</v>
      </c>
      <c r="BY387" s="217">
        <v>0</v>
      </c>
      <c r="BZ387" s="217">
        <v>0</v>
      </c>
      <c r="CA387" s="217">
        <v>0</v>
      </c>
      <c r="CB387" s="217">
        <v>18</v>
      </c>
      <c r="CC387" s="217">
        <v>105</v>
      </c>
      <c r="CD387" s="217">
        <v>0</v>
      </c>
      <c r="CE387" s="217">
        <v>0</v>
      </c>
      <c r="CF387" s="217">
        <v>0</v>
      </c>
      <c r="CG387" s="217">
        <v>0</v>
      </c>
      <c r="CH387" s="217">
        <v>0</v>
      </c>
      <c r="CI387" s="217">
        <v>0</v>
      </c>
      <c r="CJ387" s="217">
        <v>0</v>
      </c>
    </row>
    <row r="388" spans="1:88" x14ac:dyDescent="0.25">
      <c r="A388" s="217" t="s">
        <v>22</v>
      </c>
      <c r="B388" s="217" t="s">
        <v>23</v>
      </c>
      <c r="C388" s="217" t="s">
        <v>85</v>
      </c>
      <c r="D388" s="217" t="s">
        <v>84</v>
      </c>
      <c r="E388" s="217" t="s">
        <v>151</v>
      </c>
      <c r="F388" s="217" t="s">
        <v>150</v>
      </c>
      <c r="G388" s="217" t="s">
        <v>789</v>
      </c>
      <c r="H388" s="217" t="s">
        <v>1103</v>
      </c>
      <c r="I388" s="217" t="s">
        <v>29</v>
      </c>
      <c r="J388" s="217" t="s">
        <v>1856</v>
      </c>
      <c r="K388" s="217">
        <v>84</v>
      </c>
      <c r="L388" s="217">
        <v>432</v>
      </c>
      <c r="M388" s="217" t="s">
        <v>31</v>
      </c>
      <c r="N388" s="217" t="s">
        <v>32</v>
      </c>
      <c r="O388" s="217" t="s">
        <v>100</v>
      </c>
      <c r="P388" s="217" t="s">
        <v>34</v>
      </c>
      <c r="Q388" s="217" t="s">
        <v>35</v>
      </c>
      <c r="R388" s="217" t="s">
        <v>23</v>
      </c>
      <c r="S388" s="217" t="s">
        <v>22</v>
      </c>
      <c r="T388" s="217" t="s">
        <v>84</v>
      </c>
      <c r="U388" s="217" t="s">
        <v>85</v>
      </c>
      <c r="V388" s="217" t="s">
        <v>150</v>
      </c>
      <c r="W388" s="217" t="s">
        <v>151</v>
      </c>
      <c r="BC388" s="217" t="s">
        <v>85</v>
      </c>
      <c r="BD388" s="217" t="s">
        <v>98</v>
      </c>
      <c r="BE388" s="217" t="s">
        <v>1681</v>
      </c>
      <c r="BF388" s="217" t="s">
        <v>696</v>
      </c>
      <c r="BG388" s="217" t="s">
        <v>2007</v>
      </c>
      <c r="BH388" s="217" t="s">
        <v>1660</v>
      </c>
      <c r="BI388" s="217" t="s">
        <v>1660</v>
      </c>
      <c r="BJ388" s="217" t="s">
        <v>1660</v>
      </c>
      <c r="BK388" s="217" t="s">
        <v>637</v>
      </c>
      <c r="BL388" s="217"/>
      <c r="BM388" s="217"/>
      <c r="BN388" s="217">
        <v>0</v>
      </c>
      <c r="BO388" s="217">
        <v>0</v>
      </c>
      <c r="BR388" s="217" t="s">
        <v>85</v>
      </c>
      <c r="BS388" s="217" t="s">
        <v>98</v>
      </c>
      <c r="BT388" s="217" t="s">
        <v>817</v>
      </c>
      <c r="BU388" s="217" t="s">
        <v>1678</v>
      </c>
      <c r="BV388" s="217">
        <v>0</v>
      </c>
      <c r="BW388" s="217">
        <v>0</v>
      </c>
      <c r="BX388" s="217">
        <v>0</v>
      </c>
      <c r="BY388" s="217">
        <v>0</v>
      </c>
      <c r="BZ388" s="217">
        <v>0</v>
      </c>
      <c r="CA388" s="217">
        <v>0</v>
      </c>
      <c r="CB388" s="217">
        <v>0</v>
      </c>
      <c r="CC388" s="217">
        <v>0</v>
      </c>
      <c r="CD388" s="217">
        <v>0</v>
      </c>
      <c r="CE388" s="217">
        <v>0</v>
      </c>
      <c r="CF388" s="217">
        <v>0</v>
      </c>
      <c r="CG388" s="217">
        <v>0</v>
      </c>
      <c r="CH388" s="217">
        <v>0</v>
      </c>
      <c r="CI388" s="217">
        <v>0</v>
      </c>
      <c r="CJ388" s="217">
        <v>0</v>
      </c>
    </row>
    <row r="389" spans="1:88" x14ac:dyDescent="0.25">
      <c r="A389" s="217" t="s">
        <v>22</v>
      </c>
      <c r="B389" s="217" t="s">
        <v>23</v>
      </c>
      <c r="C389" s="217" t="s">
        <v>85</v>
      </c>
      <c r="D389" s="217" t="s">
        <v>84</v>
      </c>
      <c r="E389" s="217" t="s">
        <v>151</v>
      </c>
      <c r="F389" s="217" t="s">
        <v>150</v>
      </c>
      <c r="G389" s="217" t="s">
        <v>1104</v>
      </c>
      <c r="H389" s="217" t="s">
        <v>1105</v>
      </c>
      <c r="I389" s="217" t="s">
        <v>29</v>
      </c>
      <c r="J389" s="217" t="s">
        <v>1857</v>
      </c>
      <c r="K389" s="217">
        <v>82</v>
      </c>
      <c r="L389" s="217">
        <v>656</v>
      </c>
      <c r="M389" s="217" t="s">
        <v>31</v>
      </c>
      <c r="N389" s="217" t="s">
        <v>32</v>
      </c>
      <c r="O389" s="217" t="s">
        <v>100</v>
      </c>
      <c r="P389" s="217" t="s">
        <v>34</v>
      </c>
      <c r="Q389" s="217" t="s">
        <v>35</v>
      </c>
      <c r="R389" s="217" t="s">
        <v>23</v>
      </c>
      <c r="S389" s="217" t="s">
        <v>22</v>
      </c>
      <c r="T389" s="217" t="s">
        <v>84</v>
      </c>
      <c r="U389" s="217" t="s">
        <v>85</v>
      </c>
      <c r="V389" s="217" t="s">
        <v>150</v>
      </c>
      <c r="W389" s="217" t="s">
        <v>151</v>
      </c>
      <c r="BC389" s="217" t="s">
        <v>85</v>
      </c>
      <c r="BD389" s="217" t="s">
        <v>98</v>
      </c>
      <c r="BE389" s="217" t="s">
        <v>1224</v>
      </c>
      <c r="BF389" s="217" t="s">
        <v>423</v>
      </c>
      <c r="BG389" s="217" t="s">
        <v>1998</v>
      </c>
      <c r="BH389" s="217" t="s">
        <v>1658</v>
      </c>
      <c r="BI389" s="217" t="s">
        <v>1660</v>
      </c>
      <c r="BJ389" s="217" t="s">
        <v>1660</v>
      </c>
      <c r="BK389" s="217" t="s">
        <v>637</v>
      </c>
      <c r="BL389" s="217"/>
      <c r="BM389" s="217"/>
      <c r="BN389" s="217">
        <v>0</v>
      </c>
      <c r="BO389" s="217">
        <v>0</v>
      </c>
      <c r="BR389" s="217" t="s">
        <v>85</v>
      </c>
      <c r="BS389" s="217" t="s">
        <v>98</v>
      </c>
      <c r="BT389" s="217" t="s">
        <v>460</v>
      </c>
      <c r="BU389" s="217" t="s">
        <v>1298</v>
      </c>
      <c r="BV389" s="217">
        <v>7</v>
      </c>
      <c r="BW389" s="217">
        <v>60</v>
      </c>
      <c r="BX389" s="217">
        <v>0</v>
      </c>
      <c r="BY389" s="217">
        <v>0</v>
      </c>
      <c r="BZ389" s="217">
        <v>0</v>
      </c>
      <c r="CA389" s="217">
        <v>0</v>
      </c>
      <c r="CB389" s="217">
        <v>7</v>
      </c>
      <c r="CC389" s="217">
        <v>60</v>
      </c>
      <c r="CD389" s="217">
        <v>0</v>
      </c>
      <c r="CE389" s="217">
        <v>0</v>
      </c>
      <c r="CF389" s="217">
        <v>0</v>
      </c>
      <c r="CG389" s="217">
        <v>0</v>
      </c>
      <c r="CH389" s="217">
        <v>0</v>
      </c>
      <c r="CI389" s="217">
        <v>0</v>
      </c>
      <c r="CJ389" s="217">
        <v>0</v>
      </c>
    </row>
    <row r="390" spans="1:88" x14ac:dyDescent="0.25">
      <c r="A390" s="217" t="s">
        <v>22</v>
      </c>
      <c r="B390" s="217" t="s">
        <v>23</v>
      </c>
      <c r="C390" s="217" t="s">
        <v>85</v>
      </c>
      <c r="D390" s="217" t="s">
        <v>84</v>
      </c>
      <c r="E390" s="217" t="s">
        <v>151</v>
      </c>
      <c r="F390" s="217" t="s">
        <v>150</v>
      </c>
      <c r="G390" s="217" t="s">
        <v>369</v>
      </c>
      <c r="H390" s="217" t="s">
        <v>1106</v>
      </c>
      <c r="I390" s="217" t="s">
        <v>29</v>
      </c>
      <c r="J390" s="217" t="s">
        <v>1856</v>
      </c>
      <c r="K390" s="217">
        <v>203</v>
      </c>
      <c r="L390" s="217">
        <v>1513</v>
      </c>
      <c r="M390" s="217" t="s">
        <v>31</v>
      </c>
      <c r="N390" s="217" t="s">
        <v>32</v>
      </c>
      <c r="O390" s="217" t="s">
        <v>100</v>
      </c>
      <c r="P390" s="217" t="s">
        <v>34</v>
      </c>
      <c r="Q390" s="217" t="s">
        <v>35</v>
      </c>
      <c r="R390" s="217" t="s">
        <v>23</v>
      </c>
      <c r="S390" s="217" t="s">
        <v>22</v>
      </c>
      <c r="T390" s="217" t="s">
        <v>84</v>
      </c>
      <c r="U390" s="217" t="s">
        <v>85</v>
      </c>
      <c r="V390" s="217" t="s">
        <v>150</v>
      </c>
      <c r="W390" s="217" t="s">
        <v>151</v>
      </c>
      <c r="BC390" s="217" t="s">
        <v>85</v>
      </c>
      <c r="BD390" s="217" t="s">
        <v>98</v>
      </c>
      <c r="BE390" s="217" t="s">
        <v>1225</v>
      </c>
      <c r="BF390" s="217" t="s">
        <v>424</v>
      </c>
      <c r="BG390" s="217" t="s">
        <v>1998</v>
      </c>
      <c r="BH390" s="217" t="s">
        <v>1658</v>
      </c>
      <c r="BI390" s="217" t="s">
        <v>1658</v>
      </c>
      <c r="BJ390" s="217" t="s">
        <v>1660</v>
      </c>
      <c r="BK390" s="217" t="s">
        <v>637</v>
      </c>
      <c r="BL390" s="217"/>
      <c r="BM390" s="217"/>
      <c r="BN390" s="217">
        <v>0</v>
      </c>
      <c r="BO390" s="217">
        <v>0</v>
      </c>
      <c r="BR390" s="217" t="s">
        <v>85</v>
      </c>
      <c r="BS390" s="217" t="s">
        <v>98</v>
      </c>
      <c r="BT390" s="217" t="s">
        <v>1676</v>
      </c>
      <c r="BU390" s="217" t="s">
        <v>1675</v>
      </c>
      <c r="BV390" s="217">
        <v>0</v>
      </c>
      <c r="BW390" s="217">
        <v>0</v>
      </c>
      <c r="BX390" s="217">
        <v>0</v>
      </c>
      <c r="BY390" s="217">
        <v>0</v>
      </c>
      <c r="BZ390" s="217">
        <v>0</v>
      </c>
      <c r="CA390" s="217">
        <v>0</v>
      </c>
      <c r="CB390" s="217">
        <v>0</v>
      </c>
      <c r="CC390" s="217">
        <v>0</v>
      </c>
      <c r="CD390" s="217">
        <v>0</v>
      </c>
      <c r="CE390" s="217">
        <v>0</v>
      </c>
      <c r="CF390" s="217">
        <v>0</v>
      </c>
      <c r="CG390" s="217">
        <v>0</v>
      </c>
      <c r="CH390" s="217">
        <v>0</v>
      </c>
      <c r="CI390" s="217">
        <v>0</v>
      </c>
      <c r="CJ390" s="217">
        <v>0</v>
      </c>
    </row>
    <row r="391" spans="1:88" x14ac:dyDescent="0.25">
      <c r="A391" s="217" t="s">
        <v>22</v>
      </c>
      <c r="B391" s="217" t="s">
        <v>23</v>
      </c>
      <c r="C391" s="217" t="s">
        <v>85</v>
      </c>
      <c r="D391" s="217" t="s">
        <v>84</v>
      </c>
      <c r="E391" s="217" t="s">
        <v>151</v>
      </c>
      <c r="F391" s="217" t="s">
        <v>150</v>
      </c>
      <c r="G391" s="217" t="s">
        <v>369</v>
      </c>
      <c r="H391" s="217" t="s">
        <v>1106</v>
      </c>
      <c r="I391" s="217" t="s">
        <v>29</v>
      </c>
      <c r="J391" s="217" t="s">
        <v>1858</v>
      </c>
      <c r="K391" s="217">
        <v>10</v>
      </c>
      <c r="L391" s="217">
        <v>85</v>
      </c>
      <c r="M391" s="217" t="s">
        <v>31</v>
      </c>
      <c r="N391" s="217" t="s">
        <v>32</v>
      </c>
      <c r="O391" s="217" t="s">
        <v>100</v>
      </c>
      <c r="P391" s="217" t="s">
        <v>34</v>
      </c>
      <c r="Q391" s="217" t="s">
        <v>35</v>
      </c>
      <c r="R391" s="217" t="s">
        <v>23</v>
      </c>
      <c r="S391" s="217" t="s">
        <v>22</v>
      </c>
      <c r="T391" s="217" t="s">
        <v>84</v>
      </c>
      <c r="U391" s="217" t="s">
        <v>85</v>
      </c>
      <c r="V391" s="217" t="s">
        <v>150</v>
      </c>
      <c r="W391" s="217" t="s">
        <v>151</v>
      </c>
      <c r="BC391" s="217" t="s">
        <v>85</v>
      </c>
      <c r="BD391" s="217" t="s">
        <v>98</v>
      </c>
      <c r="BE391" s="217" t="s">
        <v>1226</v>
      </c>
      <c r="BF391" s="217" t="s">
        <v>425</v>
      </c>
      <c r="BG391" s="217" t="s">
        <v>1998</v>
      </c>
      <c r="BH391" s="217" t="s">
        <v>1658</v>
      </c>
      <c r="BI391" s="217" t="s">
        <v>1660</v>
      </c>
      <c r="BJ391" s="217" t="s">
        <v>1660</v>
      </c>
      <c r="BK391" s="217" t="s">
        <v>637</v>
      </c>
      <c r="BL391" s="217"/>
      <c r="BM391" s="217"/>
      <c r="BN391" s="217">
        <v>0</v>
      </c>
      <c r="BO391" s="217">
        <v>0</v>
      </c>
      <c r="BR391" s="217" t="s">
        <v>85</v>
      </c>
      <c r="BS391" s="217" t="s">
        <v>98</v>
      </c>
      <c r="BT391" s="217" t="s">
        <v>391</v>
      </c>
      <c r="BU391" s="217" t="s">
        <v>1167</v>
      </c>
      <c r="BV391" s="217">
        <v>6</v>
      </c>
      <c r="BW391" s="217">
        <v>42</v>
      </c>
      <c r="BX391" s="217">
        <v>0</v>
      </c>
      <c r="BY391" s="217">
        <v>0</v>
      </c>
      <c r="BZ391" s="217">
        <v>0</v>
      </c>
      <c r="CA391" s="217">
        <v>0</v>
      </c>
      <c r="CB391" s="217">
        <v>6</v>
      </c>
      <c r="CC391" s="217">
        <v>42</v>
      </c>
      <c r="CD391" s="217">
        <v>0</v>
      </c>
      <c r="CE391" s="217">
        <v>0</v>
      </c>
      <c r="CF391" s="217">
        <v>0</v>
      </c>
      <c r="CG391" s="217">
        <v>0</v>
      </c>
      <c r="CH391" s="217">
        <v>0</v>
      </c>
      <c r="CI391" s="217">
        <v>0</v>
      </c>
      <c r="CJ391" s="217">
        <v>0</v>
      </c>
    </row>
    <row r="392" spans="1:88" x14ac:dyDescent="0.25">
      <c r="A392" s="217" t="s">
        <v>22</v>
      </c>
      <c r="B392" s="217" t="s">
        <v>23</v>
      </c>
      <c r="C392" s="217" t="s">
        <v>85</v>
      </c>
      <c r="D392" s="217" t="s">
        <v>84</v>
      </c>
      <c r="E392" s="217" t="s">
        <v>151</v>
      </c>
      <c r="F392" s="217" t="s">
        <v>150</v>
      </c>
      <c r="G392" s="217" t="s">
        <v>790</v>
      </c>
      <c r="H392" s="217" t="s">
        <v>1107</v>
      </c>
      <c r="I392" s="217" t="s">
        <v>29</v>
      </c>
      <c r="J392" s="217" t="s">
        <v>1856</v>
      </c>
      <c r="K392" s="217">
        <v>17</v>
      </c>
      <c r="L392" s="217">
        <v>128</v>
      </c>
      <c r="M392" s="217" t="s">
        <v>31</v>
      </c>
      <c r="N392" s="217" t="s">
        <v>32</v>
      </c>
      <c r="O392" s="217" t="s">
        <v>100</v>
      </c>
      <c r="P392" s="217" t="s">
        <v>34</v>
      </c>
      <c r="Q392" s="217" t="s">
        <v>35</v>
      </c>
      <c r="R392" s="217" t="s">
        <v>23</v>
      </c>
      <c r="S392" s="217" t="s">
        <v>22</v>
      </c>
      <c r="T392" s="217" t="s">
        <v>84</v>
      </c>
      <c r="U392" s="217" t="s">
        <v>85</v>
      </c>
      <c r="V392" s="217" t="s">
        <v>150</v>
      </c>
      <c r="W392" s="217" t="s">
        <v>151</v>
      </c>
      <c r="BC392" s="217" t="s">
        <v>85</v>
      </c>
      <c r="BD392" s="217" t="s">
        <v>98</v>
      </c>
      <c r="BE392" s="217" t="s">
        <v>1227</v>
      </c>
      <c r="BF392" s="217" t="s">
        <v>426</v>
      </c>
      <c r="BG392" s="217" t="s">
        <v>1998</v>
      </c>
      <c r="BH392" s="217" t="s">
        <v>1658</v>
      </c>
      <c r="BI392" s="217" t="s">
        <v>1658</v>
      </c>
      <c r="BJ392" s="217" t="s">
        <v>1660</v>
      </c>
      <c r="BK392" s="217" t="s">
        <v>637</v>
      </c>
      <c r="BL392" s="217"/>
      <c r="BM392" s="217"/>
      <c r="BN392" s="217">
        <v>0</v>
      </c>
      <c r="BO392" s="217">
        <v>0</v>
      </c>
      <c r="BR392" s="217" t="s">
        <v>85</v>
      </c>
      <c r="BS392" s="217" t="s">
        <v>98</v>
      </c>
      <c r="BT392" s="217" t="s">
        <v>1275</v>
      </c>
      <c r="BU392" s="217" t="s">
        <v>1276</v>
      </c>
      <c r="BV392" s="217">
        <v>4</v>
      </c>
      <c r="BW392" s="217">
        <v>24</v>
      </c>
      <c r="BX392" s="217">
        <v>0</v>
      </c>
      <c r="BY392" s="217">
        <v>0</v>
      </c>
      <c r="BZ392" s="217">
        <v>0</v>
      </c>
      <c r="CA392" s="217">
        <v>0</v>
      </c>
      <c r="CB392" s="217">
        <v>4</v>
      </c>
      <c r="CC392" s="217">
        <v>24</v>
      </c>
      <c r="CD392" s="217">
        <v>0</v>
      </c>
      <c r="CE392" s="217">
        <v>0</v>
      </c>
      <c r="CF392" s="217">
        <v>0</v>
      </c>
      <c r="CG392" s="217">
        <v>0</v>
      </c>
      <c r="CH392" s="217">
        <v>0</v>
      </c>
      <c r="CI392" s="217">
        <v>0</v>
      </c>
      <c r="CJ392" s="217">
        <v>0</v>
      </c>
    </row>
    <row r="393" spans="1:88" x14ac:dyDescent="0.25">
      <c r="A393" s="217" t="s">
        <v>22</v>
      </c>
      <c r="B393" s="217" t="s">
        <v>23</v>
      </c>
      <c r="C393" s="217" t="s">
        <v>85</v>
      </c>
      <c r="D393" s="217" t="s">
        <v>84</v>
      </c>
      <c r="E393" s="217" t="s">
        <v>151</v>
      </c>
      <c r="F393" s="217" t="s">
        <v>150</v>
      </c>
      <c r="G393" s="217" t="s">
        <v>370</v>
      </c>
      <c r="H393" s="217" t="s">
        <v>1108</v>
      </c>
      <c r="I393" s="217" t="s">
        <v>29</v>
      </c>
      <c r="J393" s="217" t="s">
        <v>1856</v>
      </c>
      <c r="K393" s="217">
        <v>98</v>
      </c>
      <c r="L393" s="217">
        <v>869</v>
      </c>
      <c r="M393" s="217" t="s">
        <v>31</v>
      </c>
      <c r="N393" s="217" t="s">
        <v>32</v>
      </c>
      <c r="O393" s="217" t="s">
        <v>33</v>
      </c>
      <c r="P393" s="217" t="s">
        <v>34</v>
      </c>
      <c r="Q393" s="217" t="s">
        <v>35</v>
      </c>
      <c r="R393" s="217" t="s">
        <v>23</v>
      </c>
      <c r="S393" s="217" t="s">
        <v>22</v>
      </c>
      <c r="T393" s="217" t="s">
        <v>47</v>
      </c>
      <c r="U393" s="217" t="s">
        <v>48</v>
      </c>
      <c r="V393" s="217" t="s">
        <v>61</v>
      </c>
      <c r="W393" s="217" t="s">
        <v>62</v>
      </c>
      <c r="BC393" s="217" t="s">
        <v>85</v>
      </c>
      <c r="BD393" s="217" t="s">
        <v>98</v>
      </c>
      <c r="BE393" s="217" t="s">
        <v>1516</v>
      </c>
      <c r="BF393" s="217" t="s">
        <v>629</v>
      </c>
      <c r="BG393" s="217" t="s">
        <v>2000</v>
      </c>
      <c r="BH393" s="217" t="s">
        <v>1660</v>
      </c>
      <c r="BI393" s="217" t="s">
        <v>1658</v>
      </c>
      <c r="BJ393" s="217" t="s">
        <v>1660</v>
      </c>
      <c r="BK393" s="217" t="s">
        <v>637</v>
      </c>
      <c r="BL393" s="217"/>
      <c r="BM393" s="217"/>
      <c r="BN393" s="217">
        <v>0</v>
      </c>
      <c r="BO393" s="217">
        <v>0</v>
      </c>
      <c r="BR393" s="217" t="s">
        <v>85</v>
      </c>
      <c r="BS393" s="217" t="s">
        <v>98</v>
      </c>
      <c r="BT393" s="217" t="s">
        <v>449</v>
      </c>
      <c r="BU393" s="217" t="s">
        <v>1270</v>
      </c>
      <c r="BV393" s="217">
        <v>7</v>
      </c>
      <c r="BW393" s="217">
        <v>36</v>
      </c>
      <c r="BX393" s="217">
        <v>9</v>
      </c>
      <c r="BY393" s="217">
        <v>45</v>
      </c>
      <c r="BZ393" s="217">
        <v>0</v>
      </c>
      <c r="CA393" s="217">
        <v>0</v>
      </c>
      <c r="CB393" s="217">
        <v>7</v>
      </c>
      <c r="CC393" s="217">
        <v>36</v>
      </c>
      <c r="CD393" s="217">
        <v>9</v>
      </c>
      <c r="CE393" s="217">
        <v>45</v>
      </c>
      <c r="CF393" s="217">
        <v>0</v>
      </c>
      <c r="CG393" s="217">
        <v>0</v>
      </c>
      <c r="CH393" s="217">
        <v>0</v>
      </c>
      <c r="CI393" s="217">
        <v>0</v>
      </c>
      <c r="CJ393" s="217">
        <v>0</v>
      </c>
    </row>
    <row r="394" spans="1:88" x14ac:dyDescent="0.25">
      <c r="A394" s="217" t="s">
        <v>22</v>
      </c>
      <c r="B394" s="217" t="s">
        <v>23</v>
      </c>
      <c r="C394" s="217" t="s">
        <v>85</v>
      </c>
      <c r="D394" s="217" t="s">
        <v>84</v>
      </c>
      <c r="E394" s="217" t="s">
        <v>98</v>
      </c>
      <c r="F394" s="217" t="s">
        <v>97</v>
      </c>
      <c r="G394" s="217" t="s">
        <v>1820</v>
      </c>
      <c r="H394" s="217" t="s">
        <v>1819</v>
      </c>
      <c r="I394" s="217" t="s">
        <v>29</v>
      </c>
      <c r="J394" s="217" t="s">
        <v>1855</v>
      </c>
      <c r="K394" s="217">
        <v>375</v>
      </c>
      <c r="L394" s="217">
        <v>3510</v>
      </c>
      <c r="M394" s="217" t="s">
        <v>31</v>
      </c>
      <c r="N394" s="217" t="s">
        <v>32</v>
      </c>
      <c r="O394" s="217" t="s">
        <v>100</v>
      </c>
      <c r="P394" s="217" t="s">
        <v>34</v>
      </c>
      <c r="Q394" s="217" t="s">
        <v>35</v>
      </c>
      <c r="R394" s="217" t="s">
        <v>23</v>
      </c>
      <c r="S394" s="217" t="s">
        <v>22</v>
      </c>
      <c r="T394" s="217" t="s">
        <v>84</v>
      </c>
      <c r="U394" s="217" t="s">
        <v>85</v>
      </c>
      <c r="V394" s="217" t="s">
        <v>97</v>
      </c>
      <c r="W394" s="217" t="s">
        <v>98</v>
      </c>
      <c r="BC394" s="217" t="s">
        <v>85</v>
      </c>
      <c r="BD394" s="217" t="s">
        <v>98</v>
      </c>
      <c r="BE394" s="217" t="s">
        <v>1228</v>
      </c>
      <c r="BF394" s="217" t="s">
        <v>427</v>
      </c>
      <c r="BG394" s="217" t="s">
        <v>1998</v>
      </c>
      <c r="BH394" s="217" t="s">
        <v>1658</v>
      </c>
      <c r="BI394" s="217" t="s">
        <v>1660</v>
      </c>
      <c r="BJ394" s="217" t="s">
        <v>1660</v>
      </c>
      <c r="BK394" s="217" t="s">
        <v>637</v>
      </c>
      <c r="BL394" s="217"/>
      <c r="BM394" s="217"/>
      <c r="BN394" s="217">
        <v>0</v>
      </c>
      <c r="BO394" s="217">
        <v>0</v>
      </c>
      <c r="BR394" s="217" t="s">
        <v>85</v>
      </c>
      <c r="BS394" s="217" t="s">
        <v>98</v>
      </c>
      <c r="BT394" s="217" t="s">
        <v>804</v>
      </c>
      <c r="BU394" s="217" t="s">
        <v>1200</v>
      </c>
      <c r="BV394" s="217">
        <v>4</v>
      </c>
      <c r="BW394" s="217">
        <v>36</v>
      </c>
      <c r="BX394" s="217">
        <v>0</v>
      </c>
      <c r="BY394" s="217">
        <v>0</v>
      </c>
      <c r="BZ394" s="217">
        <v>0</v>
      </c>
      <c r="CA394" s="217">
        <v>0</v>
      </c>
      <c r="CB394" s="217">
        <v>4</v>
      </c>
      <c r="CC394" s="217">
        <v>36</v>
      </c>
      <c r="CD394" s="217">
        <v>0</v>
      </c>
      <c r="CE394" s="217">
        <v>0</v>
      </c>
      <c r="CF394" s="217">
        <v>0</v>
      </c>
      <c r="CG394" s="217">
        <v>0</v>
      </c>
      <c r="CH394" s="217">
        <v>0</v>
      </c>
      <c r="CI394" s="217">
        <v>0</v>
      </c>
      <c r="CJ394" s="217">
        <v>0</v>
      </c>
    </row>
    <row r="395" spans="1:88" x14ac:dyDescent="0.25">
      <c r="A395" s="217" t="s">
        <v>22</v>
      </c>
      <c r="B395" s="217" t="s">
        <v>23</v>
      </c>
      <c r="C395" s="217" t="s">
        <v>85</v>
      </c>
      <c r="D395" s="217" t="s">
        <v>84</v>
      </c>
      <c r="E395" s="217" t="s">
        <v>98</v>
      </c>
      <c r="F395" s="217" t="s">
        <v>97</v>
      </c>
      <c r="G395" s="217" t="s">
        <v>1820</v>
      </c>
      <c r="H395" s="217" t="s">
        <v>1819</v>
      </c>
      <c r="I395" s="217" t="s">
        <v>29</v>
      </c>
      <c r="J395" s="217" t="s">
        <v>1858</v>
      </c>
      <c r="K395" s="217">
        <v>20</v>
      </c>
      <c r="L395" s="217">
        <v>120</v>
      </c>
      <c r="M395" s="217" t="s">
        <v>31</v>
      </c>
      <c r="N395" s="217" t="s">
        <v>32</v>
      </c>
      <c r="O395" s="217" t="s">
        <v>68</v>
      </c>
      <c r="P395" s="217" t="s">
        <v>34</v>
      </c>
      <c r="Q395" s="217" t="s">
        <v>35</v>
      </c>
      <c r="R395" s="217" t="s">
        <v>23</v>
      </c>
      <c r="S395" s="217" t="s">
        <v>22</v>
      </c>
      <c r="T395" s="217" t="s">
        <v>84</v>
      </c>
      <c r="U395" s="217" t="s">
        <v>85</v>
      </c>
      <c r="V395" s="217" t="s">
        <v>109</v>
      </c>
      <c r="W395" s="217" t="s">
        <v>110</v>
      </c>
      <c r="BC395" s="217" t="s">
        <v>85</v>
      </c>
      <c r="BD395" s="217" t="s">
        <v>98</v>
      </c>
      <c r="BE395" s="217" t="s">
        <v>1229</v>
      </c>
      <c r="BF395" s="217" t="s">
        <v>428</v>
      </c>
      <c r="BG395" s="217" t="s">
        <v>1998</v>
      </c>
      <c r="BH395" s="217" t="s">
        <v>1658</v>
      </c>
      <c r="BI395" s="217" t="s">
        <v>1660</v>
      </c>
      <c r="BJ395" s="217" t="s">
        <v>1660</v>
      </c>
      <c r="BK395" s="217" t="s">
        <v>637</v>
      </c>
      <c r="BL395" s="217"/>
      <c r="BM395" s="217"/>
      <c r="BN395" s="217">
        <v>0</v>
      </c>
      <c r="BO395" s="217">
        <v>0</v>
      </c>
      <c r="BR395" s="217" t="s">
        <v>85</v>
      </c>
      <c r="BS395" s="217" t="s">
        <v>98</v>
      </c>
      <c r="BT395" s="217" t="s">
        <v>812</v>
      </c>
      <c r="BU395" s="217" t="s">
        <v>1296</v>
      </c>
      <c r="BV395" s="217">
        <v>25</v>
      </c>
      <c r="BW395" s="217">
        <v>213</v>
      </c>
      <c r="BX395" s="217">
        <v>11</v>
      </c>
      <c r="BY395" s="217">
        <v>94</v>
      </c>
      <c r="BZ395" s="217">
        <v>0</v>
      </c>
      <c r="CA395" s="217">
        <v>0</v>
      </c>
      <c r="CB395" s="217">
        <v>25</v>
      </c>
      <c r="CC395" s="217">
        <v>213</v>
      </c>
      <c r="CD395" s="217">
        <v>11</v>
      </c>
      <c r="CE395" s="217">
        <v>94</v>
      </c>
      <c r="CF395" s="217">
        <v>0</v>
      </c>
      <c r="CG395" s="217">
        <v>0</v>
      </c>
      <c r="CH395" s="217">
        <v>0</v>
      </c>
      <c r="CI395" s="217">
        <v>0</v>
      </c>
      <c r="CJ395" s="217">
        <v>0</v>
      </c>
    </row>
    <row r="396" spans="1:88" x14ac:dyDescent="0.25">
      <c r="A396" s="217" t="s">
        <v>22</v>
      </c>
      <c r="B396" s="217" t="s">
        <v>23</v>
      </c>
      <c r="C396" s="217" t="s">
        <v>85</v>
      </c>
      <c r="D396" s="217" t="s">
        <v>84</v>
      </c>
      <c r="E396" s="217" t="s">
        <v>98</v>
      </c>
      <c r="F396" s="217" t="s">
        <v>97</v>
      </c>
      <c r="G396" s="217" t="s">
        <v>371</v>
      </c>
      <c r="H396" s="217" t="s">
        <v>1109</v>
      </c>
      <c r="I396" s="217" t="s">
        <v>29</v>
      </c>
      <c r="J396" s="217" t="s">
        <v>1855</v>
      </c>
      <c r="K396" s="217">
        <v>6</v>
      </c>
      <c r="L396" s="217">
        <v>36</v>
      </c>
      <c r="M396" s="217" t="s">
        <v>31</v>
      </c>
      <c r="N396" s="217" t="s">
        <v>32</v>
      </c>
      <c r="O396" s="217" t="s">
        <v>68</v>
      </c>
      <c r="P396" s="217" t="s">
        <v>34</v>
      </c>
      <c r="Q396" s="217" t="s">
        <v>35</v>
      </c>
      <c r="R396" s="217" t="s">
        <v>23</v>
      </c>
      <c r="S396" s="217" t="s">
        <v>22</v>
      </c>
      <c r="T396" s="217" t="s">
        <v>84</v>
      </c>
      <c r="U396" s="217" t="s">
        <v>85</v>
      </c>
      <c r="V396" s="217" t="s">
        <v>91</v>
      </c>
      <c r="W396" s="217" t="s">
        <v>92</v>
      </c>
      <c r="BC396" s="217" t="s">
        <v>85</v>
      </c>
      <c r="BD396" s="217" t="s">
        <v>98</v>
      </c>
      <c r="BE396" s="217" t="s">
        <v>1517</v>
      </c>
      <c r="BF396" s="217" t="s">
        <v>630</v>
      </c>
      <c r="BG396" s="217" t="s">
        <v>2000</v>
      </c>
      <c r="BH396" s="217" t="s">
        <v>1660</v>
      </c>
      <c r="BI396" s="217" t="s">
        <v>1658</v>
      </c>
      <c r="BJ396" s="217" t="s">
        <v>1660</v>
      </c>
      <c r="BK396" s="217" t="s">
        <v>637</v>
      </c>
      <c r="BL396" s="217"/>
      <c r="BM396" s="217"/>
      <c r="BN396" s="217">
        <v>0</v>
      </c>
      <c r="BO396" s="217">
        <v>0</v>
      </c>
      <c r="BR396" s="217" t="s">
        <v>85</v>
      </c>
      <c r="BS396" s="217" t="s">
        <v>98</v>
      </c>
      <c r="BT396" s="217" t="s">
        <v>459</v>
      </c>
      <c r="BU396" s="217" t="s">
        <v>1295</v>
      </c>
      <c r="BV396" s="217">
        <v>23</v>
      </c>
      <c r="BW396" s="217">
        <v>134</v>
      </c>
      <c r="BX396" s="217">
        <v>0</v>
      </c>
      <c r="BY396" s="217">
        <v>0</v>
      </c>
      <c r="BZ396" s="217">
        <v>0</v>
      </c>
      <c r="CA396" s="217">
        <v>0</v>
      </c>
      <c r="CB396" s="217">
        <v>23</v>
      </c>
      <c r="CC396" s="217">
        <v>134</v>
      </c>
      <c r="CD396" s="217">
        <v>0</v>
      </c>
      <c r="CE396" s="217">
        <v>0</v>
      </c>
      <c r="CF396" s="217">
        <v>0</v>
      </c>
      <c r="CG396" s="217">
        <v>0</v>
      </c>
      <c r="CH396" s="217">
        <v>0</v>
      </c>
      <c r="CI396" s="217">
        <v>0</v>
      </c>
      <c r="CJ396" s="217">
        <v>0</v>
      </c>
    </row>
    <row r="397" spans="1:88" x14ac:dyDescent="0.25">
      <c r="A397" s="217" t="s">
        <v>22</v>
      </c>
      <c r="B397" s="217" t="s">
        <v>23</v>
      </c>
      <c r="C397" s="217" t="s">
        <v>85</v>
      </c>
      <c r="D397" s="217" t="s">
        <v>84</v>
      </c>
      <c r="E397" s="217" t="s">
        <v>98</v>
      </c>
      <c r="F397" s="217" t="s">
        <v>97</v>
      </c>
      <c r="G397" s="217" t="s">
        <v>371</v>
      </c>
      <c r="H397" s="217" t="s">
        <v>1109</v>
      </c>
      <c r="I397" s="217" t="s">
        <v>29</v>
      </c>
      <c r="J397" s="217" t="s">
        <v>1856</v>
      </c>
      <c r="K397" s="217">
        <v>8</v>
      </c>
      <c r="L397" s="217">
        <v>36</v>
      </c>
      <c r="M397" s="217" t="s">
        <v>31</v>
      </c>
      <c r="N397" s="217" t="s">
        <v>32</v>
      </c>
      <c r="O397" s="217" t="s">
        <v>68</v>
      </c>
      <c r="P397" s="217" t="s">
        <v>34</v>
      </c>
      <c r="Q397" s="217" t="s">
        <v>35</v>
      </c>
      <c r="R397" s="217" t="s">
        <v>23</v>
      </c>
      <c r="S397" s="217" t="s">
        <v>22</v>
      </c>
      <c r="T397" s="217" t="s">
        <v>84</v>
      </c>
      <c r="U397" s="217" t="s">
        <v>85</v>
      </c>
      <c r="V397" s="217" t="s">
        <v>94</v>
      </c>
      <c r="W397" s="217" t="s">
        <v>95</v>
      </c>
      <c r="BC397" s="217" t="s">
        <v>85</v>
      </c>
      <c r="BD397" s="217" t="s">
        <v>98</v>
      </c>
      <c r="BE397" s="217" t="s">
        <v>1230</v>
      </c>
      <c r="BF397" s="217" t="s">
        <v>429</v>
      </c>
      <c r="BG397" s="217" t="s">
        <v>1998</v>
      </c>
      <c r="BH397" s="217" t="s">
        <v>1658</v>
      </c>
      <c r="BI397" s="217" t="s">
        <v>1660</v>
      </c>
      <c r="BJ397" s="217" t="s">
        <v>1660</v>
      </c>
      <c r="BK397" s="217" t="s">
        <v>637</v>
      </c>
      <c r="BL397" s="217"/>
      <c r="BM397" s="217"/>
      <c r="BN397" s="217">
        <v>0</v>
      </c>
      <c r="BO397" s="217">
        <v>0</v>
      </c>
      <c r="BR397" s="217" t="s">
        <v>85</v>
      </c>
      <c r="BS397" s="217" t="s">
        <v>98</v>
      </c>
      <c r="BT397" s="217" t="s">
        <v>429</v>
      </c>
      <c r="BU397" s="217" t="s">
        <v>1230</v>
      </c>
      <c r="BV397" s="217">
        <v>5</v>
      </c>
      <c r="BW397" s="217">
        <v>59</v>
      </c>
      <c r="BX397" s="217">
        <v>0</v>
      </c>
      <c r="BY397" s="217">
        <v>0</v>
      </c>
      <c r="BZ397" s="217">
        <v>0</v>
      </c>
      <c r="CA397" s="217">
        <v>0</v>
      </c>
      <c r="CB397" s="217">
        <v>5</v>
      </c>
      <c r="CC397" s="217">
        <v>59</v>
      </c>
      <c r="CD397" s="217">
        <v>0</v>
      </c>
      <c r="CE397" s="217">
        <v>0</v>
      </c>
      <c r="CF397" s="217">
        <v>0</v>
      </c>
      <c r="CG397" s="217">
        <v>0</v>
      </c>
      <c r="CH397" s="217">
        <v>0</v>
      </c>
      <c r="CI397" s="217">
        <v>0</v>
      </c>
      <c r="CJ397" s="217">
        <v>0</v>
      </c>
    </row>
    <row r="398" spans="1:88" x14ac:dyDescent="0.25">
      <c r="A398" s="217" t="s">
        <v>22</v>
      </c>
      <c r="B398" s="217" t="s">
        <v>23</v>
      </c>
      <c r="C398" s="217" t="s">
        <v>85</v>
      </c>
      <c r="D398" s="217" t="s">
        <v>84</v>
      </c>
      <c r="E398" s="217" t="s">
        <v>98</v>
      </c>
      <c r="F398" s="217" t="s">
        <v>97</v>
      </c>
      <c r="G398" s="217" t="s">
        <v>371</v>
      </c>
      <c r="H398" s="217" t="s">
        <v>1109</v>
      </c>
      <c r="I398" s="217" t="s">
        <v>29</v>
      </c>
      <c r="J398" s="217" t="s">
        <v>1858</v>
      </c>
      <c r="K398" s="217">
        <v>3</v>
      </c>
      <c r="L398" s="217">
        <v>14</v>
      </c>
      <c r="M398" s="217" t="s">
        <v>31</v>
      </c>
      <c r="N398" s="217" t="s">
        <v>32</v>
      </c>
      <c r="O398" s="217" t="s">
        <v>68</v>
      </c>
      <c r="P398" s="217" t="s">
        <v>34</v>
      </c>
      <c r="Q398" s="217" t="s">
        <v>35</v>
      </c>
      <c r="R398" s="217" t="s">
        <v>23</v>
      </c>
      <c r="S398" s="217" t="s">
        <v>22</v>
      </c>
      <c r="T398" s="217" t="s">
        <v>84</v>
      </c>
      <c r="U398" s="217" t="s">
        <v>85</v>
      </c>
      <c r="V398" s="217" t="s">
        <v>109</v>
      </c>
      <c r="W398" s="217" t="s">
        <v>110</v>
      </c>
      <c r="BC398" s="217" t="s">
        <v>85</v>
      </c>
      <c r="BD398" s="217" t="s">
        <v>98</v>
      </c>
      <c r="BE398" s="217" t="s">
        <v>1231</v>
      </c>
      <c r="BF398" s="217" t="s">
        <v>430</v>
      </c>
      <c r="BG398" s="217" t="s">
        <v>1998</v>
      </c>
      <c r="BH398" s="217" t="s">
        <v>1658</v>
      </c>
      <c r="BI398" s="217" t="s">
        <v>1660</v>
      </c>
      <c r="BJ398" s="217" t="s">
        <v>1658</v>
      </c>
      <c r="BK398" s="217" t="s">
        <v>637</v>
      </c>
      <c r="BL398" s="217"/>
      <c r="BM398" s="217"/>
      <c r="BN398" s="217">
        <v>0</v>
      </c>
      <c r="BO398" s="217">
        <v>0</v>
      </c>
      <c r="BR398" s="217" t="s">
        <v>85</v>
      </c>
      <c r="BS398" s="217" t="s">
        <v>98</v>
      </c>
      <c r="BT398" s="217" t="s">
        <v>412</v>
      </c>
      <c r="BU398" s="217" t="s">
        <v>1210</v>
      </c>
      <c r="BV398" s="217">
        <v>23</v>
      </c>
      <c r="BW398" s="217">
        <v>77</v>
      </c>
      <c r="BX398" s="217">
        <v>0</v>
      </c>
      <c r="BY398" s="217">
        <v>0</v>
      </c>
      <c r="BZ398" s="217">
        <v>0</v>
      </c>
      <c r="CA398" s="217">
        <v>0</v>
      </c>
      <c r="CB398" s="217">
        <v>23</v>
      </c>
      <c r="CC398" s="217">
        <v>77</v>
      </c>
      <c r="CD398" s="217">
        <v>0</v>
      </c>
      <c r="CE398" s="217">
        <v>0</v>
      </c>
      <c r="CF398" s="217">
        <v>0</v>
      </c>
      <c r="CG398" s="217">
        <v>0</v>
      </c>
      <c r="CH398" s="217">
        <v>0</v>
      </c>
      <c r="CI398" s="217">
        <v>0</v>
      </c>
      <c r="CJ398" s="217">
        <v>0</v>
      </c>
    </row>
    <row r="399" spans="1:88" x14ac:dyDescent="0.25">
      <c r="A399" s="217" t="s">
        <v>22</v>
      </c>
      <c r="B399" s="217" t="s">
        <v>23</v>
      </c>
      <c r="C399" s="217" t="s">
        <v>85</v>
      </c>
      <c r="D399" s="217" t="s">
        <v>84</v>
      </c>
      <c r="E399" s="217" t="s">
        <v>98</v>
      </c>
      <c r="F399" s="217" t="s">
        <v>97</v>
      </c>
      <c r="G399" s="217" t="s">
        <v>1110</v>
      </c>
      <c r="H399" s="217" t="s">
        <v>1111</v>
      </c>
      <c r="I399" s="217" t="s">
        <v>29</v>
      </c>
      <c r="J399" s="217" t="s">
        <v>1858</v>
      </c>
      <c r="K399" s="217">
        <v>3</v>
      </c>
      <c r="L399" s="217">
        <v>9</v>
      </c>
      <c r="M399" s="217" t="s">
        <v>31</v>
      </c>
      <c r="N399" s="217" t="s">
        <v>32</v>
      </c>
      <c r="O399" s="217" t="s">
        <v>68</v>
      </c>
      <c r="P399" s="217" t="s">
        <v>34</v>
      </c>
      <c r="Q399" s="217" t="s">
        <v>35</v>
      </c>
      <c r="R399" s="217" t="s">
        <v>23</v>
      </c>
      <c r="S399" s="217" t="s">
        <v>22</v>
      </c>
      <c r="T399" s="217" t="s">
        <v>84</v>
      </c>
      <c r="U399" s="217" t="s">
        <v>85</v>
      </c>
      <c r="V399" s="217" t="s">
        <v>91</v>
      </c>
      <c r="W399" s="217" t="s">
        <v>92</v>
      </c>
      <c r="BC399" s="217" t="s">
        <v>85</v>
      </c>
      <c r="BD399" s="217" t="s">
        <v>98</v>
      </c>
      <c r="BE399" s="217" t="s">
        <v>1518</v>
      </c>
      <c r="BF399" s="217" t="s">
        <v>631</v>
      </c>
      <c r="BG399" s="217" t="s">
        <v>1999</v>
      </c>
      <c r="BH399" s="217" t="s">
        <v>1660</v>
      </c>
      <c r="BI399" s="217" t="s">
        <v>1658</v>
      </c>
      <c r="BJ399" s="217" t="s">
        <v>1660</v>
      </c>
      <c r="BK399" s="217" t="s">
        <v>637</v>
      </c>
      <c r="BL399" s="217"/>
      <c r="BM399" s="217"/>
      <c r="BN399" s="217">
        <v>0</v>
      </c>
      <c r="BO399" s="217">
        <v>0</v>
      </c>
      <c r="BR399" s="217" t="s">
        <v>85</v>
      </c>
      <c r="BS399" s="217" t="s">
        <v>98</v>
      </c>
      <c r="BT399" s="217" t="s">
        <v>801</v>
      </c>
      <c r="BU399" s="217" t="s">
        <v>1142</v>
      </c>
      <c r="BV399" s="217">
        <v>65</v>
      </c>
      <c r="BW399" s="217">
        <v>551</v>
      </c>
      <c r="BX399" s="217">
        <v>23</v>
      </c>
      <c r="BY399" s="217">
        <v>296</v>
      </c>
      <c r="BZ399" s="217">
        <v>0</v>
      </c>
      <c r="CA399" s="217">
        <v>0</v>
      </c>
      <c r="CB399" s="217">
        <v>31</v>
      </c>
      <c r="CC399" s="217">
        <v>262</v>
      </c>
      <c r="CD399" s="217">
        <v>15</v>
      </c>
      <c r="CE399" s="217">
        <v>228</v>
      </c>
      <c r="CF399" s="217">
        <v>0</v>
      </c>
      <c r="CG399" s="217">
        <v>0</v>
      </c>
      <c r="CH399" s="217">
        <v>289</v>
      </c>
      <c r="CI399" s="217">
        <v>68</v>
      </c>
      <c r="CJ399" s="217">
        <v>0</v>
      </c>
    </row>
    <row r="400" spans="1:88" x14ac:dyDescent="0.25">
      <c r="A400" s="217" t="s">
        <v>22</v>
      </c>
      <c r="B400" s="217" t="s">
        <v>23</v>
      </c>
      <c r="C400" s="217" t="s">
        <v>85</v>
      </c>
      <c r="D400" s="217" t="s">
        <v>84</v>
      </c>
      <c r="E400" s="217" t="s">
        <v>98</v>
      </c>
      <c r="F400" s="217" t="s">
        <v>97</v>
      </c>
      <c r="G400" s="217" t="s">
        <v>1112</v>
      </c>
      <c r="H400" s="217" t="s">
        <v>1113</v>
      </c>
      <c r="I400" s="217" t="s">
        <v>29</v>
      </c>
      <c r="J400" s="217" t="s">
        <v>1858</v>
      </c>
      <c r="K400" s="217">
        <v>12</v>
      </c>
      <c r="L400" s="217">
        <v>87</v>
      </c>
      <c r="M400" s="217" t="s">
        <v>31</v>
      </c>
      <c r="N400" s="217" t="s">
        <v>32</v>
      </c>
      <c r="O400" s="217" t="s">
        <v>68</v>
      </c>
      <c r="P400" s="217" t="s">
        <v>34</v>
      </c>
      <c r="Q400" s="217" t="s">
        <v>35</v>
      </c>
      <c r="R400" s="217" t="s">
        <v>23</v>
      </c>
      <c r="S400" s="217" t="s">
        <v>22</v>
      </c>
      <c r="T400" s="217" t="s">
        <v>84</v>
      </c>
      <c r="U400" s="217" t="s">
        <v>85</v>
      </c>
      <c r="V400" s="217" t="s">
        <v>91</v>
      </c>
      <c r="W400" s="217" t="s">
        <v>92</v>
      </c>
      <c r="BC400" s="217" t="s">
        <v>85</v>
      </c>
      <c r="BD400" s="217" t="s">
        <v>98</v>
      </c>
      <c r="BE400" s="217" t="s">
        <v>1519</v>
      </c>
      <c r="BF400" s="217" t="s">
        <v>632</v>
      </c>
      <c r="BG400" s="217" t="s">
        <v>1999</v>
      </c>
      <c r="BH400" s="217" t="s">
        <v>1660</v>
      </c>
      <c r="BI400" s="217" t="s">
        <v>1658</v>
      </c>
      <c r="BJ400" s="217" t="s">
        <v>1660</v>
      </c>
      <c r="BK400" s="217" t="s">
        <v>637</v>
      </c>
      <c r="BL400" s="217"/>
      <c r="BM400" s="217"/>
      <c r="BN400" s="217">
        <v>0</v>
      </c>
      <c r="BO400" s="217">
        <v>0</v>
      </c>
      <c r="BR400" s="217" t="s">
        <v>85</v>
      </c>
      <c r="BS400" s="217" t="s">
        <v>98</v>
      </c>
      <c r="BT400" s="217" t="s">
        <v>1129</v>
      </c>
      <c r="BU400" s="217" t="s">
        <v>1130</v>
      </c>
      <c r="BV400" s="217">
        <v>10</v>
      </c>
      <c r="BW400" s="217">
        <v>85</v>
      </c>
      <c r="BX400" s="217">
        <v>0</v>
      </c>
      <c r="BY400" s="217">
        <v>0</v>
      </c>
      <c r="BZ400" s="217">
        <v>0</v>
      </c>
      <c r="CA400" s="217">
        <v>0</v>
      </c>
      <c r="CB400" s="217">
        <v>10</v>
      </c>
      <c r="CC400" s="217">
        <v>85</v>
      </c>
      <c r="CD400" s="217">
        <v>0</v>
      </c>
      <c r="CE400" s="217">
        <v>0</v>
      </c>
      <c r="CF400" s="217">
        <v>0</v>
      </c>
      <c r="CG400" s="217">
        <v>0</v>
      </c>
      <c r="CH400" s="217">
        <v>0</v>
      </c>
      <c r="CI400" s="217">
        <v>0</v>
      </c>
      <c r="CJ400" s="217">
        <v>0</v>
      </c>
    </row>
    <row r="401" spans="1:88" x14ac:dyDescent="0.25">
      <c r="A401" s="217" t="s">
        <v>22</v>
      </c>
      <c r="B401" s="217" t="s">
        <v>23</v>
      </c>
      <c r="C401" s="217" t="s">
        <v>85</v>
      </c>
      <c r="D401" s="217" t="s">
        <v>84</v>
      </c>
      <c r="E401" s="217" t="s">
        <v>98</v>
      </c>
      <c r="F401" s="217" t="s">
        <v>97</v>
      </c>
      <c r="G401" s="217" t="s">
        <v>1114</v>
      </c>
      <c r="H401" s="217" t="s">
        <v>1115</v>
      </c>
      <c r="I401" s="217" t="s">
        <v>29</v>
      </c>
      <c r="J401" s="217" t="s">
        <v>1858</v>
      </c>
      <c r="K401" s="217">
        <v>10</v>
      </c>
      <c r="L401" s="217">
        <v>50</v>
      </c>
      <c r="M401" s="217" t="s">
        <v>31</v>
      </c>
      <c r="N401" s="217" t="s">
        <v>32</v>
      </c>
      <c r="O401" s="217" t="s">
        <v>68</v>
      </c>
      <c r="P401" s="217" t="s">
        <v>34</v>
      </c>
      <c r="Q401" s="217" t="s">
        <v>35</v>
      </c>
      <c r="R401" s="217" t="s">
        <v>23</v>
      </c>
      <c r="S401" s="217" t="s">
        <v>22</v>
      </c>
      <c r="T401" s="217" t="s">
        <v>84</v>
      </c>
      <c r="U401" s="217" t="s">
        <v>85</v>
      </c>
      <c r="V401" s="217" t="s">
        <v>91</v>
      </c>
      <c r="W401" s="217" t="s">
        <v>92</v>
      </c>
      <c r="BC401" s="217" t="s">
        <v>85</v>
      </c>
      <c r="BD401" s="217" t="s">
        <v>98</v>
      </c>
      <c r="BE401" s="217" t="s">
        <v>1232</v>
      </c>
      <c r="BF401" s="217" t="s">
        <v>167</v>
      </c>
      <c r="BG401" s="217" t="s">
        <v>1998</v>
      </c>
      <c r="BH401" s="217" t="s">
        <v>1658</v>
      </c>
      <c r="BI401" s="217" t="s">
        <v>1660</v>
      </c>
      <c r="BJ401" s="217" t="s">
        <v>1658</v>
      </c>
      <c r="BK401" s="217" t="s">
        <v>637</v>
      </c>
      <c r="BL401" s="217"/>
      <c r="BM401" s="217"/>
      <c r="BN401" s="217">
        <v>0</v>
      </c>
      <c r="BO401" s="217">
        <v>0</v>
      </c>
      <c r="BR401" s="217" t="s">
        <v>85</v>
      </c>
      <c r="BS401" s="217" t="s">
        <v>98</v>
      </c>
      <c r="BT401" s="217" t="s">
        <v>383</v>
      </c>
      <c r="BU401" s="217" t="s">
        <v>1141</v>
      </c>
      <c r="BV401" s="217">
        <v>12</v>
      </c>
      <c r="BW401" s="217">
        <v>56</v>
      </c>
      <c r="BX401" s="217">
        <v>0</v>
      </c>
      <c r="BY401" s="217">
        <v>0</v>
      </c>
      <c r="BZ401" s="217">
        <v>6</v>
      </c>
      <c r="CA401" s="217">
        <v>30</v>
      </c>
      <c r="CB401" s="217">
        <v>12</v>
      </c>
      <c r="CC401" s="217">
        <v>56</v>
      </c>
      <c r="CD401" s="217">
        <v>0</v>
      </c>
      <c r="CE401" s="217">
        <v>0</v>
      </c>
      <c r="CF401" s="217">
        <v>6</v>
      </c>
      <c r="CG401" s="217">
        <v>30</v>
      </c>
      <c r="CH401" s="217">
        <v>0</v>
      </c>
      <c r="CI401" s="217">
        <v>0</v>
      </c>
      <c r="CJ401" s="217">
        <v>0</v>
      </c>
    </row>
    <row r="402" spans="1:88" x14ac:dyDescent="0.25">
      <c r="A402" s="217" t="s">
        <v>22</v>
      </c>
      <c r="B402" s="217" t="s">
        <v>23</v>
      </c>
      <c r="C402" s="217" t="s">
        <v>85</v>
      </c>
      <c r="D402" s="217" t="s">
        <v>84</v>
      </c>
      <c r="E402" s="217" t="s">
        <v>98</v>
      </c>
      <c r="F402" s="217" t="s">
        <v>97</v>
      </c>
      <c r="G402" s="217" t="s">
        <v>372</v>
      </c>
      <c r="H402" s="217" t="s">
        <v>1116</v>
      </c>
      <c r="I402" s="217" t="s">
        <v>29</v>
      </c>
      <c r="J402" s="217" t="s">
        <v>1855</v>
      </c>
      <c r="K402" s="217">
        <v>7</v>
      </c>
      <c r="L402" s="217">
        <v>42</v>
      </c>
      <c r="M402" s="217" t="s">
        <v>31</v>
      </c>
      <c r="N402" s="217" t="s">
        <v>32</v>
      </c>
      <c r="O402" s="217" t="s">
        <v>68</v>
      </c>
      <c r="P402" s="217" t="s">
        <v>34</v>
      </c>
      <c r="Q402" s="217" t="s">
        <v>35</v>
      </c>
      <c r="R402" s="217" t="s">
        <v>23</v>
      </c>
      <c r="S402" s="217" t="s">
        <v>22</v>
      </c>
      <c r="T402" s="217" t="s">
        <v>84</v>
      </c>
      <c r="U402" s="217" t="s">
        <v>85</v>
      </c>
      <c r="V402" s="217" t="s">
        <v>91</v>
      </c>
      <c r="W402" s="217" t="s">
        <v>92</v>
      </c>
      <c r="BC402" s="217" t="s">
        <v>85</v>
      </c>
      <c r="BD402" s="217" t="s">
        <v>98</v>
      </c>
      <c r="BE402" s="217" t="s">
        <v>1685</v>
      </c>
      <c r="BF402" s="217" t="s">
        <v>431</v>
      </c>
      <c r="BG402" s="217" t="s">
        <v>1998</v>
      </c>
      <c r="BH402" s="217" t="s">
        <v>1660</v>
      </c>
      <c r="BI402" s="217" t="s">
        <v>1660</v>
      </c>
      <c r="BJ402" s="217" t="s">
        <v>1658</v>
      </c>
      <c r="BK402" s="217" t="s">
        <v>637</v>
      </c>
      <c r="BL402" s="217" t="s">
        <v>3724</v>
      </c>
      <c r="BM402" s="217" t="s">
        <v>3725</v>
      </c>
      <c r="BN402" s="217">
        <v>0</v>
      </c>
      <c r="BO402" s="217">
        <v>0</v>
      </c>
      <c r="BR402" s="217" t="s">
        <v>85</v>
      </c>
      <c r="BS402" s="217" t="s">
        <v>98</v>
      </c>
      <c r="BT402" s="217" t="s">
        <v>411</v>
      </c>
      <c r="BU402" s="217" t="s">
        <v>1209</v>
      </c>
      <c r="BV402" s="217">
        <v>3</v>
      </c>
      <c r="BW402" s="217">
        <v>20</v>
      </c>
      <c r="BX402" s="217">
        <v>0</v>
      </c>
      <c r="BY402" s="217">
        <v>0</v>
      </c>
      <c r="BZ402" s="217">
        <v>0</v>
      </c>
      <c r="CA402" s="217">
        <v>0</v>
      </c>
      <c r="CB402" s="217">
        <v>3</v>
      </c>
      <c r="CC402" s="217">
        <v>20</v>
      </c>
      <c r="CD402" s="217">
        <v>0</v>
      </c>
      <c r="CE402" s="217">
        <v>0</v>
      </c>
      <c r="CF402" s="217">
        <v>0</v>
      </c>
      <c r="CG402" s="217">
        <v>0</v>
      </c>
      <c r="CH402" s="217">
        <v>0</v>
      </c>
      <c r="CI402" s="217">
        <v>0</v>
      </c>
      <c r="CJ402" s="217">
        <v>0</v>
      </c>
    </row>
    <row r="403" spans="1:88" x14ac:dyDescent="0.25">
      <c r="A403" s="217" t="s">
        <v>22</v>
      </c>
      <c r="B403" s="217" t="s">
        <v>23</v>
      </c>
      <c r="C403" s="217" t="s">
        <v>85</v>
      </c>
      <c r="D403" s="217" t="s">
        <v>84</v>
      </c>
      <c r="E403" s="217" t="s">
        <v>98</v>
      </c>
      <c r="F403" s="217" t="s">
        <v>97</v>
      </c>
      <c r="G403" s="217" t="s">
        <v>372</v>
      </c>
      <c r="H403" s="217" t="s">
        <v>1116</v>
      </c>
      <c r="I403" s="217" t="s">
        <v>29</v>
      </c>
      <c r="J403" s="217" t="s">
        <v>1856</v>
      </c>
      <c r="K403" s="217">
        <v>3</v>
      </c>
      <c r="L403" s="217">
        <v>18</v>
      </c>
      <c r="M403" s="217" t="s">
        <v>31</v>
      </c>
      <c r="N403" s="217" t="s">
        <v>32</v>
      </c>
      <c r="O403" s="217" t="s">
        <v>68</v>
      </c>
      <c r="P403" s="217" t="s">
        <v>34</v>
      </c>
      <c r="Q403" s="217" t="s">
        <v>35</v>
      </c>
      <c r="R403" s="217" t="s">
        <v>23</v>
      </c>
      <c r="S403" s="217" t="s">
        <v>22</v>
      </c>
      <c r="T403" s="217" t="s">
        <v>84</v>
      </c>
      <c r="U403" s="217" t="s">
        <v>85</v>
      </c>
      <c r="V403" s="217" t="s">
        <v>91</v>
      </c>
      <c r="W403" s="217" t="s">
        <v>92</v>
      </c>
      <c r="BC403" s="217" t="s">
        <v>85</v>
      </c>
      <c r="BD403" s="217" t="s">
        <v>98</v>
      </c>
      <c r="BE403" s="217" t="s">
        <v>1234</v>
      </c>
      <c r="BF403" s="217" t="s">
        <v>1233</v>
      </c>
      <c r="BG403" s="217" t="s">
        <v>1999</v>
      </c>
      <c r="BH403" s="217" t="s">
        <v>1660</v>
      </c>
      <c r="BI403" s="217" t="s">
        <v>1660</v>
      </c>
      <c r="BJ403" s="217" t="s">
        <v>1660</v>
      </c>
      <c r="BK403" s="217" t="s">
        <v>637</v>
      </c>
      <c r="BL403" s="217"/>
      <c r="BM403" s="217"/>
      <c r="BN403" s="217">
        <v>0</v>
      </c>
      <c r="BO403" s="217">
        <v>0</v>
      </c>
      <c r="BR403" s="217" t="s">
        <v>85</v>
      </c>
      <c r="BS403" s="217" t="s">
        <v>98</v>
      </c>
      <c r="BT403" s="217" t="s">
        <v>1195</v>
      </c>
      <c r="BU403" s="217" t="s">
        <v>1196</v>
      </c>
      <c r="BV403" s="217">
        <v>9</v>
      </c>
      <c r="BW403" s="217">
        <v>27</v>
      </c>
      <c r="BX403" s="217">
        <v>0</v>
      </c>
      <c r="BY403" s="217">
        <v>0</v>
      </c>
      <c r="BZ403" s="217">
        <v>0</v>
      </c>
      <c r="CA403" s="217">
        <v>0</v>
      </c>
      <c r="CB403" s="217">
        <v>9</v>
      </c>
      <c r="CC403" s="217">
        <v>29</v>
      </c>
      <c r="CD403" s="217">
        <v>0</v>
      </c>
      <c r="CE403" s="217">
        <v>0</v>
      </c>
      <c r="CF403" s="217">
        <v>0</v>
      </c>
      <c r="CG403" s="217">
        <v>0</v>
      </c>
      <c r="CH403" s="217">
        <v>-2</v>
      </c>
      <c r="CI403" s="217">
        <v>0</v>
      </c>
      <c r="CJ403" s="217">
        <v>0</v>
      </c>
    </row>
    <row r="404" spans="1:88" x14ac:dyDescent="0.25">
      <c r="A404" s="217" t="s">
        <v>22</v>
      </c>
      <c r="B404" s="217" t="s">
        <v>23</v>
      </c>
      <c r="C404" s="217" t="s">
        <v>85</v>
      </c>
      <c r="D404" s="217" t="s">
        <v>84</v>
      </c>
      <c r="E404" s="217" t="s">
        <v>98</v>
      </c>
      <c r="F404" s="217" t="s">
        <v>97</v>
      </c>
      <c r="G404" s="217" t="s">
        <v>153</v>
      </c>
      <c r="H404" s="217" t="s">
        <v>1117</v>
      </c>
      <c r="I404" s="217" t="s">
        <v>29</v>
      </c>
      <c r="J404" s="217" t="s">
        <v>1855</v>
      </c>
      <c r="K404" s="217">
        <v>155</v>
      </c>
      <c r="L404" s="217">
        <v>1318</v>
      </c>
      <c r="M404" s="217" t="s">
        <v>31</v>
      </c>
      <c r="N404" s="217" t="s">
        <v>32</v>
      </c>
      <c r="O404" s="217" t="s">
        <v>68</v>
      </c>
      <c r="P404" s="217" t="s">
        <v>34</v>
      </c>
      <c r="Q404" s="217" t="s">
        <v>35</v>
      </c>
      <c r="R404" s="217" t="s">
        <v>23</v>
      </c>
      <c r="S404" s="217" t="s">
        <v>22</v>
      </c>
      <c r="T404" s="217" t="s">
        <v>84</v>
      </c>
      <c r="U404" s="217" t="s">
        <v>85</v>
      </c>
      <c r="V404" s="217" t="s">
        <v>91</v>
      </c>
      <c r="W404" s="217" t="s">
        <v>92</v>
      </c>
      <c r="BC404" s="217" t="s">
        <v>85</v>
      </c>
      <c r="BD404" s="217" t="s">
        <v>98</v>
      </c>
      <c r="BE404" s="217" t="s">
        <v>1235</v>
      </c>
      <c r="BF404" s="217" t="s">
        <v>168</v>
      </c>
      <c r="BG404" s="217" t="s">
        <v>1998</v>
      </c>
      <c r="BH404" s="217" t="s">
        <v>1658</v>
      </c>
      <c r="BI404" s="217" t="s">
        <v>1658</v>
      </c>
      <c r="BJ404" s="217" t="s">
        <v>1658</v>
      </c>
      <c r="BK404" s="217" t="s">
        <v>637</v>
      </c>
      <c r="BL404" s="217"/>
      <c r="BM404" s="217"/>
      <c r="BN404" s="217">
        <v>0</v>
      </c>
      <c r="BO404" s="217">
        <v>0</v>
      </c>
      <c r="BR404" s="217" t="s">
        <v>85</v>
      </c>
      <c r="BS404" s="217" t="s">
        <v>98</v>
      </c>
      <c r="BT404" s="217" t="s">
        <v>394</v>
      </c>
      <c r="BU404" s="217" t="s">
        <v>1173</v>
      </c>
      <c r="BV404" s="217">
        <v>9</v>
      </c>
      <c r="BW404" s="217">
        <v>51</v>
      </c>
      <c r="BX404" s="217">
        <v>0</v>
      </c>
      <c r="BY404" s="217">
        <v>0</v>
      </c>
      <c r="BZ404" s="217">
        <v>0</v>
      </c>
      <c r="CA404" s="217">
        <v>0</v>
      </c>
      <c r="CB404" s="217">
        <v>9</v>
      </c>
      <c r="CC404" s="217">
        <v>51</v>
      </c>
      <c r="CD404" s="217">
        <v>0</v>
      </c>
      <c r="CE404" s="217">
        <v>0</v>
      </c>
      <c r="CF404" s="217">
        <v>0</v>
      </c>
      <c r="CG404" s="217">
        <v>0</v>
      </c>
      <c r="CH404" s="217">
        <v>0</v>
      </c>
      <c r="CI404" s="217">
        <v>0</v>
      </c>
      <c r="CJ404" s="217">
        <v>0</v>
      </c>
    </row>
    <row r="405" spans="1:88" x14ac:dyDescent="0.25">
      <c r="A405" s="217" t="s">
        <v>22</v>
      </c>
      <c r="B405" s="217" t="s">
        <v>23</v>
      </c>
      <c r="C405" s="217" t="s">
        <v>85</v>
      </c>
      <c r="D405" s="217" t="s">
        <v>84</v>
      </c>
      <c r="E405" s="217" t="s">
        <v>98</v>
      </c>
      <c r="F405" s="217" t="s">
        <v>97</v>
      </c>
      <c r="G405" s="217" t="s">
        <v>153</v>
      </c>
      <c r="H405" s="217" t="s">
        <v>1117</v>
      </c>
      <c r="I405" s="217" t="s">
        <v>29</v>
      </c>
      <c r="J405" s="217" t="s">
        <v>1856</v>
      </c>
      <c r="K405" s="217">
        <v>388</v>
      </c>
      <c r="L405" s="217">
        <v>3298</v>
      </c>
      <c r="M405" s="217" t="s">
        <v>31</v>
      </c>
      <c r="N405" s="217" t="s">
        <v>32</v>
      </c>
      <c r="O405" s="217" t="s">
        <v>68</v>
      </c>
      <c r="P405" s="217" t="s">
        <v>34</v>
      </c>
      <c r="Q405" s="217" t="s">
        <v>35</v>
      </c>
      <c r="R405" s="217" t="s">
        <v>23</v>
      </c>
      <c r="S405" s="217" t="s">
        <v>22</v>
      </c>
      <c r="T405" s="217" t="s">
        <v>84</v>
      </c>
      <c r="U405" s="217" t="s">
        <v>85</v>
      </c>
      <c r="V405" s="217" t="s">
        <v>91</v>
      </c>
      <c r="W405" s="217" t="s">
        <v>92</v>
      </c>
      <c r="BC405" s="217" t="s">
        <v>85</v>
      </c>
      <c r="BD405" s="217" t="s">
        <v>98</v>
      </c>
      <c r="BE405" s="217" t="s">
        <v>1236</v>
      </c>
      <c r="BF405" s="217" t="s">
        <v>432</v>
      </c>
      <c r="BG405" s="217" t="s">
        <v>1998</v>
      </c>
      <c r="BH405" s="217" t="s">
        <v>1658</v>
      </c>
      <c r="BI405" s="217" t="s">
        <v>1658</v>
      </c>
      <c r="BJ405" s="217" t="s">
        <v>1660</v>
      </c>
      <c r="BK405" s="217" t="s">
        <v>637</v>
      </c>
      <c r="BL405" s="217"/>
      <c r="BM405" s="217"/>
      <c r="BN405" s="217">
        <v>0</v>
      </c>
      <c r="BO405" s="217">
        <v>0</v>
      </c>
      <c r="BR405" s="217" t="s">
        <v>85</v>
      </c>
      <c r="BS405" s="217" t="s">
        <v>98</v>
      </c>
      <c r="BT405" s="217" t="s">
        <v>818</v>
      </c>
      <c r="BU405" s="217" t="s">
        <v>1203</v>
      </c>
      <c r="BV405" s="217">
        <v>4</v>
      </c>
      <c r="BW405" s="217">
        <v>15</v>
      </c>
      <c r="BX405" s="217">
        <v>30</v>
      </c>
      <c r="BY405" s="217">
        <v>150</v>
      </c>
      <c r="BZ405" s="217">
        <v>15</v>
      </c>
      <c r="CA405" s="217">
        <v>80</v>
      </c>
      <c r="CB405" s="217">
        <v>4</v>
      </c>
      <c r="CC405" s="217">
        <v>15</v>
      </c>
      <c r="CD405" s="217">
        <v>30</v>
      </c>
      <c r="CE405" s="217">
        <v>150</v>
      </c>
      <c r="CF405" s="217">
        <v>15</v>
      </c>
      <c r="CG405" s="217">
        <v>80</v>
      </c>
      <c r="CH405" s="217">
        <v>0</v>
      </c>
      <c r="CI405" s="217">
        <v>0</v>
      </c>
      <c r="CJ405" s="217">
        <v>0</v>
      </c>
    </row>
    <row r="406" spans="1:88" x14ac:dyDescent="0.25">
      <c r="A406" s="217" t="s">
        <v>22</v>
      </c>
      <c r="B406" s="217" t="s">
        <v>23</v>
      </c>
      <c r="C406" s="217" t="s">
        <v>85</v>
      </c>
      <c r="D406" s="217" t="s">
        <v>84</v>
      </c>
      <c r="E406" s="217" t="s">
        <v>98</v>
      </c>
      <c r="F406" s="217" t="s">
        <v>97</v>
      </c>
      <c r="G406" s="217" t="s">
        <v>153</v>
      </c>
      <c r="H406" s="217" t="s">
        <v>1117</v>
      </c>
      <c r="I406" s="217" t="s">
        <v>29</v>
      </c>
      <c r="J406" s="217" t="s">
        <v>1857</v>
      </c>
      <c r="K406" s="217">
        <v>435</v>
      </c>
      <c r="L406" s="217">
        <v>3698</v>
      </c>
      <c r="M406" s="217" t="s">
        <v>31</v>
      </c>
      <c r="N406" s="217" t="s">
        <v>32</v>
      </c>
      <c r="O406" s="217" t="s">
        <v>100</v>
      </c>
      <c r="P406" s="217" t="s">
        <v>34</v>
      </c>
      <c r="Q406" s="217" t="s">
        <v>35</v>
      </c>
      <c r="R406" s="217" t="s">
        <v>23</v>
      </c>
      <c r="S406" s="217" t="s">
        <v>22</v>
      </c>
      <c r="T406" s="217" t="s">
        <v>84</v>
      </c>
      <c r="U406" s="217" t="s">
        <v>85</v>
      </c>
      <c r="V406" s="217" t="s">
        <v>97</v>
      </c>
      <c r="W406" s="217" t="s">
        <v>98</v>
      </c>
      <c r="BC406" s="217" t="s">
        <v>85</v>
      </c>
      <c r="BD406" s="217" t="s">
        <v>98</v>
      </c>
      <c r="BE406" s="217" t="s">
        <v>1238</v>
      </c>
      <c r="BF406" s="217" t="s">
        <v>1237</v>
      </c>
      <c r="BG406" s="217" t="s">
        <v>1998</v>
      </c>
      <c r="BH406" s="217" t="s">
        <v>1658</v>
      </c>
      <c r="BI406" s="217" t="s">
        <v>1660</v>
      </c>
      <c r="BJ406" s="217" t="s">
        <v>1660</v>
      </c>
      <c r="BK406" s="217" t="s">
        <v>637</v>
      </c>
      <c r="BL406" s="217"/>
      <c r="BM406" s="217"/>
      <c r="BN406" s="217">
        <v>0</v>
      </c>
      <c r="BO406" s="217">
        <v>0</v>
      </c>
      <c r="BR406" s="217" t="s">
        <v>85</v>
      </c>
      <c r="BS406" s="217" t="s">
        <v>98</v>
      </c>
      <c r="BT406" s="217" t="s">
        <v>828</v>
      </c>
      <c r="BU406" s="217" t="s">
        <v>1216</v>
      </c>
      <c r="BV406" s="217">
        <v>0</v>
      </c>
      <c r="BW406" s="217">
        <v>0</v>
      </c>
      <c r="BX406" s="217">
        <v>0</v>
      </c>
      <c r="BY406" s="217">
        <v>0</v>
      </c>
      <c r="BZ406" s="217">
        <v>0</v>
      </c>
      <c r="CA406" s="217">
        <v>0</v>
      </c>
      <c r="CB406" s="217">
        <v>34</v>
      </c>
      <c r="CC406" s="217">
        <v>289</v>
      </c>
      <c r="CD406" s="217">
        <v>8</v>
      </c>
      <c r="CE406" s="217">
        <v>68</v>
      </c>
      <c r="CF406" s="217">
        <v>0</v>
      </c>
      <c r="CG406" s="217">
        <v>0</v>
      </c>
      <c r="CH406" s="217">
        <v>-289</v>
      </c>
      <c r="CI406" s="217">
        <v>-68</v>
      </c>
      <c r="CJ406" s="217">
        <v>0</v>
      </c>
    </row>
    <row r="407" spans="1:88" x14ac:dyDescent="0.25">
      <c r="A407" s="217" t="s">
        <v>22</v>
      </c>
      <c r="B407" s="217" t="s">
        <v>23</v>
      </c>
      <c r="C407" s="217" t="s">
        <v>85</v>
      </c>
      <c r="D407" s="217" t="s">
        <v>84</v>
      </c>
      <c r="E407" s="217" t="s">
        <v>98</v>
      </c>
      <c r="F407" s="217" t="s">
        <v>97</v>
      </c>
      <c r="G407" s="217" t="s">
        <v>373</v>
      </c>
      <c r="H407" s="217" t="s">
        <v>1118</v>
      </c>
      <c r="I407" s="217" t="s">
        <v>29</v>
      </c>
      <c r="J407" s="217" t="s">
        <v>1857</v>
      </c>
      <c r="K407" s="217">
        <v>154</v>
      </c>
      <c r="L407" s="217">
        <v>1309</v>
      </c>
      <c r="M407" s="217" t="s">
        <v>31</v>
      </c>
      <c r="N407" s="217" t="s">
        <v>32</v>
      </c>
      <c r="O407" s="217" t="s">
        <v>100</v>
      </c>
      <c r="P407" s="217" t="s">
        <v>34</v>
      </c>
      <c r="Q407" s="217" t="s">
        <v>35</v>
      </c>
      <c r="R407" s="217" t="s">
        <v>23</v>
      </c>
      <c r="S407" s="217" t="s">
        <v>22</v>
      </c>
      <c r="T407" s="217" t="s">
        <v>84</v>
      </c>
      <c r="U407" s="217" t="s">
        <v>85</v>
      </c>
      <c r="V407" s="217" t="s">
        <v>97</v>
      </c>
      <c r="W407" s="217" t="s">
        <v>98</v>
      </c>
      <c r="BC407" s="217" t="s">
        <v>85</v>
      </c>
      <c r="BD407" s="217" t="s">
        <v>98</v>
      </c>
      <c r="BE407" s="217" t="s">
        <v>1240</v>
      </c>
      <c r="BF407" s="217" t="s">
        <v>1239</v>
      </c>
      <c r="BG407" s="217" t="s">
        <v>1998</v>
      </c>
      <c r="BH407" s="217" t="s">
        <v>1658</v>
      </c>
      <c r="BI407" s="217" t="s">
        <v>1660</v>
      </c>
      <c r="BJ407" s="217" t="s">
        <v>1660</v>
      </c>
      <c r="BK407" s="217" t="s">
        <v>637</v>
      </c>
      <c r="BL407" s="217"/>
      <c r="BM407" s="217"/>
      <c r="BN407" s="217">
        <v>0</v>
      </c>
      <c r="BO407" s="217">
        <v>0</v>
      </c>
      <c r="BR407" s="217" t="s">
        <v>85</v>
      </c>
      <c r="BS407" s="217" t="s">
        <v>98</v>
      </c>
      <c r="BT407" s="217" t="s">
        <v>168</v>
      </c>
      <c r="BU407" s="217" t="s">
        <v>1235</v>
      </c>
      <c r="BV407" s="217">
        <v>8</v>
      </c>
      <c r="BW407" s="217">
        <v>50</v>
      </c>
      <c r="BX407" s="217">
        <v>12</v>
      </c>
      <c r="BY407" s="217">
        <v>70</v>
      </c>
      <c r="BZ407" s="217">
        <v>11</v>
      </c>
      <c r="CA407" s="217">
        <v>50</v>
      </c>
      <c r="CB407" s="217">
        <v>8</v>
      </c>
      <c r="CC407" s="217">
        <v>50</v>
      </c>
      <c r="CD407" s="217">
        <v>12</v>
      </c>
      <c r="CE407" s="217">
        <v>70</v>
      </c>
      <c r="CF407" s="217">
        <v>11</v>
      </c>
      <c r="CG407" s="217">
        <v>50</v>
      </c>
      <c r="CH407" s="217">
        <v>0</v>
      </c>
      <c r="CI407" s="217">
        <v>0</v>
      </c>
      <c r="CJ407" s="217">
        <v>0</v>
      </c>
    </row>
    <row r="408" spans="1:88" x14ac:dyDescent="0.25">
      <c r="A408" s="217" t="s">
        <v>22</v>
      </c>
      <c r="B408" s="217" t="s">
        <v>23</v>
      </c>
      <c r="C408" s="217" t="s">
        <v>85</v>
      </c>
      <c r="D408" s="217" t="s">
        <v>84</v>
      </c>
      <c r="E408" s="217" t="s">
        <v>98</v>
      </c>
      <c r="F408" s="217" t="s">
        <v>97</v>
      </c>
      <c r="G408" s="217" t="s">
        <v>373</v>
      </c>
      <c r="H408" s="217" t="s">
        <v>1118</v>
      </c>
      <c r="I408" s="217" t="s">
        <v>29</v>
      </c>
      <c r="J408" s="217" t="s">
        <v>1858</v>
      </c>
      <c r="K408" s="217">
        <v>222</v>
      </c>
      <c r="L408" s="217">
        <v>1893</v>
      </c>
      <c r="M408" s="217" t="s">
        <v>31</v>
      </c>
      <c r="N408" s="217" t="s">
        <v>32</v>
      </c>
      <c r="O408" s="217" t="s">
        <v>100</v>
      </c>
      <c r="P408" s="217" t="s">
        <v>34</v>
      </c>
      <c r="Q408" s="217" t="s">
        <v>35</v>
      </c>
      <c r="R408" s="217" t="s">
        <v>23</v>
      </c>
      <c r="S408" s="217" t="s">
        <v>22</v>
      </c>
      <c r="T408" s="217" t="s">
        <v>84</v>
      </c>
      <c r="U408" s="217" t="s">
        <v>85</v>
      </c>
      <c r="V408" s="217" t="s">
        <v>97</v>
      </c>
      <c r="W408" s="217" t="s">
        <v>98</v>
      </c>
      <c r="BC408" s="217" t="s">
        <v>85</v>
      </c>
      <c r="BD408" s="217" t="s">
        <v>98</v>
      </c>
      <c r="BE408" s="217" t="s">
        <v>1241</v>
      </c>
      <c r="BF408" s="217" t="s">
        <v>433</v>
      </c>
      <c r="BG408" s="217" t="s">
        <v>1998</v>
      </c>
      <c r="BH408" s="217" t="s">
        <v>1658</v>
      </c>
      <c r="BI408" s="217" t="s">
        <v>1658</v>
      </c>
      <c r="BJ408" s="217" t="s">
        <v>1660</v>
      </c>
      <c r="BK408" s="217" t="s">
        <v>637</v>
      </c>
      <c r="BL408" s="217"/>
      <c r="BM408" s="217"/>
      <c r="BN408" s="217">
        <v>0</v>
      </c>
      <c r="BO408" s="217">
        <v>0</v>
      </c>
      <c r="BR408" s="217" t="s">
        <v>85</v>
      </c>
      <c r="BS408" s="217" t="s">
        <v>98</v>
      </c>
      <c r="BT408" s="217" t="s">
        <v>169</v>
      </c>
      <c r="BU408" s="217" t="s">
        <v>1262</v>
      </c>
      <c r="BV408" s="217">
        <v>18</v>
      </c>
      <c r="BW408" s="217">
        <v>87</v>
      </c>
      <c r="BX408" s="217">
        <v>7</v>
      </c>
      <c r="BY408" s="217">
        <v>18</v>
      </c>
      <c r="BZ408" s="217">
        <v>0</v>
      </c>
      <c r="CA408" s="217">
        <v>0</v>
      </c>
      <c r="CB408" s="217">
        <v>18</v>
      </c>
      <c r="CC408" s="217">
        <v>87</v>
      </c>
      <c r="CD408" s="217">
        <v>7</v>
      </c>
      <c r="CE408" s="217">
        <v>18</v>
      </c>
      <c r="CF408" s="217">
        <v>0</v>
      </c>
      <c r="CG408" s="217">
        <v>0</v>
      </c>
      <c r="CH408" s="217">
        <v>0</v>
      </c>
      <c r="CI408" s="217">
        <v>0</v>
      </c>
      <c r="CJ408" s="217">
        <v>0</v>
      </c>
    </row>
    <row r="409" spans="1:88" x14ac:dyDescent="0.25">
      <c r="A409" s="217" t="s">
        <v>22</v>
      </c>
      <c r="B409" s="217" t="s">
        <v>23</v>
      </c>
      <c r="C409" s="217" t="s">
        <v>85</v>
      </c>
      <c r="D409" s="217" t="s">
        <v>84</v>
      </c>
      <c r="E409" s="217" t="s">
        <v>98</v>
      </c>
      <c r="F409" s="217" t="s">
        <v>97</v>
      </c>
      <c r="G409" s="217" t="s">
        <v>1119</v>
      </c>
      <c r="H409" s="217" t="s">
        <v>1120</v>
      </c>
      <c r="I409" s="217" t="s">
        <v>29</v>
      </c>
      <c r="J409" s="217" t="s">
        <v>1858</v>
      </c>
      <c r="K409" s="217">
        <v>13</v>
      </c>
      <c r="L409" s="217">
        <v>87</v>
      </c>
      <c r="M409" s="217" t="s">
        <v>31</v>
      </c>
      <c r="N409" s="217" t="s">
        <v>32</v>
      </c>
      <c r="O409" s="217" t="s">
        <v>68</v>
      </c>
      <c r="P409" s="217" t="s">
        <v>34</v>
      </c>
      <c r="Q409" s="217" t="s">
        <v>35</v>
      </c>
      <c r="R409" s="217" t="s">
        <v>23</v>
      </c>
      <c r="S409" s="217" t="s">
        <v>22</v>
      </c>
      <c r="T409" s="217" t="s">
        <v>84</v>
      </c>
      <c r="U409" s="217" t="s">
        <v>85</v>
      </c>
      <c r="V409" s="217" t="s">
        <v>109</v>
      </c>
      <c r="W409" s="217" t="s">
        <v>110</v>
      </c>
      <c r="BC409" s="217" t="s">
        <v>85</v>
      </c>
      <c r="BD409" s="217" t="s">
        <v>98</v>
      </c>
      <c r="BE409" s="217" t="s">
        <v>1520</v>
      </c>
      <c r="BF409" s="217" t="s">
        <v>702</v>
      </c>
      <c r="BG409" s="217" t="s">
        <v>1998</v>
      </c>
      <c r="BH409" s="217" t="s">
        <v>1658</v>
      </c>
      <c r="BI409" s="217" t="s">
        <v>1658</v>
      </c>
      <c r="BJ409" s="217" t="s">
        <v>1660</v>
      </c>
      <c r="BK409" s="217" t="s">
        <v>637</v>
      </c>
      <c r="BL409" s="217"/>
      <c r="BM409" s="217"/>
      <c r="BN409" s="217">
        <v>0</v>
      </c>
      <c r="BO409" s="217">
        <v>0</v>
      </c>
      <c r="BR409" s="217" t="s">
        <v>85</v>
      </c>
      <c r="BS409" s="217" t="s">
        <v>98</v>
      </c>
      <c r="BT409" s="217" t="s">
        <v>444</v>
      </c>
      <c r="BU409" s="217" t="s">
        <v>1261</v>
      </c>
      <c r="BV409" s="217">
        <v>6</v>
      </c>
      <c r="BW409" s="217">
        <v>35</v>
      </c>
      <c r="BX409" s="217">
        <v>7</v>
      </c>
      <c r="BY409" s="217">
        <v>33</v>
      </c>
      <c r="BZ409" s="217">
        <v>0</v>
      </c>
      <c r="CA409" s="217">
        <v>0</v>
      </c>
      <c r="CB409" s="217">
        <v>6</v>
      </c>
      <c r="CC409" s="217">
        <v>35</v>
      </c>
      <c r="CD409" s="217">
        <v>7</v>
      </c>
      <c r="CE409" s="217">
        <v>33</v>
      </c>
      <c r="CF409" s="217">
        <v>0</v>
      </c>
      <c r="CG409" s="217">
        <v>0</v>
      </c>
      <c r="CH409" s="217">
        <v>0</v>
      </c>
      <c r="CI409" s="217">
        <v>0</v>
      </c>
      <c r="CJ409" s="217">
        <v>0</v>
      </c>
    </row>
    <row r="410" spans="1:88" x14ac:dyDescent="0.25">
      <c r="A410" s="217" t="s">
        <v>22</v>
      </c>
      <c r="B410" s="217" t="s">
        <v>23</v>
      </c>
      <c r="C410" s="217" t="s">
        <v>85</v>
      </c>
      <c r="D410" s="217" t="s">
        <v>84</v>
      </c>
      <c r="E410" s="217" t="s">
        <v>98</v>
      </c>
      <c r="F410" s="217" t="s">
        <v>97</v>
      </c>
      <c r="G410" s="217" t="s">
        <v>374</v>
      </c>
      <c r="H410" s="217" t="s">
        <v>1121</v>
      </c>
      <c r="I410" s="217" t="s">
        <v>29</v>
      </c>
      <c r="J410" s="217" t="s">
        <v>1856</v>
      </c>
      <c r="K410" s="217">
        <v>22</v>
      </c>
      <c r="L410" s="217">
        <v>88</v>
      </c>
      <c r="M410" s="217" t="s">
        <v>31</v>
      </c>
      <c r="N410" s="217" t="s">
        <v>32</v>
      </c>
      <c r="O410" s="217" t="s">
        <v>68</v>
      </c>
      <c r="P410" s="217" t="s">
        <v>34</v>
      </c>
      <c r="Q410" s="217" t="s">
        <v>35</v>
      </c>
      <c r="R410" s="217" t="s">
        <v>23</v>
      </c>
      <c r="S410" s="217" t="s">
        <v>22</v>
      </c>
      <c r="T410" s="217" t="s">
        <v>84</v>
      </c>
      <c r="U410" s="217" t="s">
        <v>85</v>
      </c>
      <c r="V410" s="217" t="s">
        <v>91</v>
      </c>
      <c r="W410" s="217" t="s">
        <v>92</v>
      </c>
      <c r="BC410" s="217" t="s">
        <v>85</v>
      </c>
      <c r="BD410" s="217" t="s">
        <v>98</v>
      </c>
      <c r="BE410" s="217" t="s">
        <v>1242</v>
      </c>
      <c r="BF410" s="217" t="s">
        <v>434</v>
      </c>
      <c r="BG410" s="217" t="s">
        <v>1998</v>
      </c>
      <c r="BH410" s="217" t="s">
        <v>1658</v>
      </c>
      <c r="BI410" s="217" t="s">
        <v>1660</v>
      </c>
      <c r="BJ410" s="217" t="s">
        <v>1660</v>
      </c>
      <c r="BK410" s="217" t="s">
        <v>637</v>
      </c>
      <c r="BL410" s="217"/>
      <c r="BM410" s="217"/>
      <c r="BN410" s="217">
        <v>0</v>
      </c>
      <c r="BO410" s="217">
        <v>0</v>
      </c>
      <c r="BR410" s="217" t="s">
        <v>85</v>
      </c>
      <c r="BS410" s="217" t="s">
        <v>98</v>
      </c>
      <c r="BT410" s="217" t="s">
        <v>403</v>
      </c>
      <c r="BU410" s="217" t="s">
        <v>1188</v>
      </c>
      <c r="BV410" s="217">
        <v>8</v>
      </c>
      <c r="BW410" s="217">
        <v>47</v>
      </c>
      <c r="BX410" s="217">
        <v>1</v>
      </c>
      <c r="BY410" s="217">
        <v>4</v>
      </c>
      <c r="BZ410" s="217">
        <v>0</v>
      </c>
      <c r="CA410" s="217">
        <v>0</v>
      </c>
      <c r="CB410" s="217">
        <v>8</v>
      </c>
      <c r="CC410" s="217">
        <v>47</v>
      </c>
      <c r="CD410" s="217">
        <v>1</v>
      </c>
      <c r="CE410" s="217">
        <v>4</v>
      </c>
      <c r="CF410" s="217">
        <v>0</v>
      </c>
      <c r="CG410" s="217">
        <v>0</v>
      </c>
      <c r="CH410" s="217">
        <v>0</v>
      </c>
      <c r="CI410" s="217">
        <v>0</v>
      </c>
      <c r="CJ410" s="217">
        <v>0</v>
      </c>
    </row>
    <row r="411" spans="1:88" x14ac:dyDescent="0.25">
      <c r="A411" s="217" t="s">
        <v>22</v>
      </c>
      <c r="B411" s="217" t="s">
        <v>23</v>
      </c>
      <c r="C411" s="217" t="s">
        <v>85</v>
      </c>
      <c r="D411" s="217" t="s">
        <v>84</v>
      </c>
      <c r="E411" s="217" t="s">
        <v>98</v>
      </c>
      <c r="F411" s="217" t="s">
        <v>97</v>
      </c>
      <c r="G411" s="217" t="s">
        <v>374</v>
      </c>
      <c r="H411" s="217" t="s">
        <v>1121</v>
      </c>
      <c r="I411" s="217" t="s">
        <v>29</v>
      </c>
      <c r="J411" s="217" t="s">
        <v>1857</v>
      </c>
      <c r="K411" s="217">
        <v>8</v>
      </c>
      <c r="L411" s="217">
        <v>32</v>
      </c>
      <c r="M411" s="217" t="s">
        <v>31</v>
      </c>
      <c r="N411" s="217" t="s">
        <v>32</v>
      </c>
      <c r="O411" s="217" t="s">
        <v>68</v>
      </c>
      <c r="P411" s="217" t="s">
        <v>34</v>
      </c>
      <c r="Q411" s="217" t="s">
        <v>35</v>
      </c>
      <c r="R411" s="217" t="s">
        <v>23</v>
      </c>
      <c r="S411" s="217" t="s">
        <v>22</v>
      </c>
      <c r="T411" s="217" t="s">
        <v>84</v>
      </c>
      <c r="U411" s="217" t="s">
        <v>85</v>
      </c>
      <c r="V411" s="217" t="s">
        <v>109</v>
      </c>
      <c r="W411" s="217" t="s">
        <v>110</v>
      </c>
      <c r="BC411" s="217" t="s">
        <v>85</v>
      </c>
      <c r="BD411" s="217" t="s">
        <v>98</v>
      </c>
      <c r="BE411" s="217" t="s">
        <v>1244</v>
      </c>
      <c r="BF411" s="217" t="s">
        <v>1243</v>
      </c>
      <c r="BG411" s="217" t="s">
        <v>2000</v>
      </c>
      <c r="BH411" s="217" t="s">
        <v>1658</v>
      </c>
      <c r="BI411" s="217" t="s">
        <v>1660</v>
      </c>
      <c r="BJ411" s="217" t="s">
        <v>1660</v>
      </c>
      <c r="BK411" s="217" t="s">
        <v>637</v>
      </c>
      <c r="BL411" s="217"/>
      <c r="BM411" s="217"/>
      <c r="BN411" s="217">
        <v>0</v>
      </c>
      <c r="BO411" s="217">
        <v>0</v>
      </c>
      <c r="BR411" s="217" t="s">
        <v>85</v>
      </c>
      <c r="BS411" s="217" t="s">
        <v>98</v>
      </c>
      <c r="BT411" s="217" t="s">
        <v>378</v>
      </c>
      <c r="BU411" s="217" t="s">
        <v>1133</v>
      </c>
      <c r="BV411" s="217">
        <v>10</v>
      </c>
      <c r="BW411" s="217">
        <v>60</v>
      </c>
      <c r="BX411" s="217">
        <v>6</v>
      </c>
      <c r="BY411" s="217">
        <v>40</v>
      </c>
      <c r="BZ411" s="217">
        <v>0</v>
      </c>
      <c r="CA411" s="217">
        <v>0</v>
      </c>
      <c r="CB411" s="217">
        <v>10</v>
      </c>
      <c r="CC411" s="217">
        <v>60</v>
      </c>
      <c r="CD411" s="217">
        <v>6</v>
      </c>
      <c r="CE411" s="217">
        <v>40</v>
      </c>
      <c r="CF411" s="217">
        <v>0</v>
      </c>
      <c r="CG411" s="217">
        <v>0</v>
      </c>
      <c r="CH411" s="217">
        <v>0</v>
      </c>
      <c r="CI411" s="217">
        <v>0</v>
      </c>
      <c r="CJ411" s="217">
        <v>0</v>
      </c>
    </row>
    <row r="412" spans="1:88" x14ac:dyDescent="0.25">
      <c r="A412" s="217" t="s">
        <v>22</v>
      </c>
      <c r="B412" s="217" t="s">
        <v>23</v>
      </c>
      <c r="C412" s="217" t="s">
        <v>85</v>
      </c>
      <c r="D412" s="217" t="s">
        <v>84</v>
      </c>
      <c r="E412" s="217" t="s">
        <v>98</v>
      </c>
      <c r="F412" s="217" t="s">
        <v>97</v>
      </c>
      <c r="G412" s="217" t="s">
        <v>374</v>
      </c>
      <c r="H412" s="217" t="s">
        <v>1121</v>
      </c>
      <c r="I412" s="217" t="s">
        <v>29</v>
      </c>
      <c r="J412" s="217" t="s">
        <v>1858</v>
      </c>
      <c r="K412" s="217">
        <v>6</v>
      </c>
      <c r="L412" s="217">
        <v>19</v>
      </c>
      <c r="M412" s="217" t="s">
        <v>31</v>
      </c>
      <c r="N412" s="217" t="s">
        <v>32</v>
      </c>
      <c r="O412" s="217" t="s">
        <v>68</v>
      </c>
      <c r="P412" s="217" t="s">
        <v>34</v>
      </c>
      <c r="Q412" s="217" t="s">
        <v>35</v>
      </c>
      <c r="R412" s="217" t="s">
        <v>23</v>
      </c>
      <c r="S412" s="217" t="s">
        <v>22</v>
      </c>
      <c r="T412" s="217" t="s">
        <v>84</v>
      </c>
      <c r="U412" s="217" t="s">
        <v>85</v>
      </c>
      <c r="V412" s="217" t="s">
        <v>94</v>
      </c>
      <c r="W412" s="217" t="s">
        <v>95</v>
      </c>
      <c r="BC412" s="217" t="s">
        <v>85</v>
      </c>
      <c r="BD412" s="217" t="s">
        <v>98</v>
      </c>
      <c r="BE412" s="217" t="s">
        <v>1246</v>
      </c>
      <c r="BF412" s="217" t="s">
        <v>1245</v>
      </c>
      <c r="BG412" s="217" t="s">
        <v>1998</v>
      </c>
      <c r="BH412" s="217" t="s">
        <v>1658</v>
      </c>
      <c r="BI412" s="217" t="s">
        <v>1660</v>
      </c>
      <c r="BJ412" s="217" t="s">
        <v>1660</v>
      </c>
      <c r="BK412" s="217" t="s">
        <v>637</v>
      </c>
      <c r="BL412" s="217"/>
      <c r="BM412" s="217"/>
      <c r="BN412" s="217">
        <v>0</v>
      </c>
      <c r="BO412" s="217">
        <v>0</v>
      </c>
      <c r="BR412" s="217" t="s">
        <v>85</v>
      </c>
      <c r="BS412" s="217" t="s">
        <v>98</v>
      </c>
      <c r="BT412" s="217" t="s">
        <v>398</v>
      </c>
      <c r="BU412" s="217" t="s">
        <v>1177</v>
      </c>
      <c r="BV412" s="217">
        <v>29</v>
      </c>
      <c r="BW412" s="217">
        <v>152</v>
      </c>
      <c r="BX412" s="217">
        <v>0</v>
      </c>
      <c r="BY412" s="217">
        <v>0</v>
      </c>
      <c r="BZ412" s="217">
        <v>0</v>
      </c>
      <c r="CA412" s="217">
        <v>0</v>
      </c>
      <c r="CB412" s="217">
        <v>29</v>
      </c>
      <c r="CC412" s="217">
        <v>152</v>
      </c>
      <c r="CD412" s="217">
        <v>0</v>
      </c>
      <c r="CE412" s="217">
        <v>0</v>
      </c>
      <c r="CF412" s="217">
        <v>0</v>
      </c>
      <c r="CG412" s="217">
        <v>0</v>
      </c>
      <c r="CH412" s="217">
        <v>0</v>
      </c>
      <c r="CI412" s="217">
        <v>0</v>
      </c>
      <c r="CJ412" s="217">
        <v>0</v>
      </c>
    </row>
    <row r="413" spans="1:88" x14ac:dyDescent="0.25">
      <c r="A413" s="217" t="s">
        <v>22</v>
      </c>
      <c r="B413" s="217" t="s">
        <v>23</v>
      </c>
      <c r="C413" s="217" t="s">
        <v>85</v>
      </c>
      <c r="D413" s="217" t="s">
        <v>84</v>
      </c>
      <c r="E413" s="217" t="s">
        <v>98</v>
      </c>
      <c r="F413" s="217" t="s">
        <v>97</v>
      </c>
      <c r="G413" s="217" t="s">
        <v>375</v>
      </c>
      <c r="H413" s="217" t="s">
        <v>1122</v>
      </c>
      <c r="I413" s="217" t="s">
        <v>29</v>
      </c>
      <c r="J413" s="217" t="s">
        <v>1856</v>
      </c>
      <c r="K413" s="217">
        <v>2</v>
      </c>
      <c r="L413" s="217">
        <v>6</v>
      </c>
      <c r="M413" s="217" t="s">
        <v>31</v>
      </c>
      <c r="N413" s="217" t="s">
        <v>32</v>
      </c>
      <c r="O413" s="217" t="s">
        <v>100</v>
      </c>
      <c r="P413" s="217" t="s">
        <v>34</v>
      </c>
      <c r="Q413" s="217" t="s">
        <v>35</v>
      </c>
      <c r="R413" s="217" t="s">
        <v>23</v>
      </c>
      <c r="S413" s="217" t="s">
        <v>22</v>
      </c>
      <c r="T413" s="217" t="s">
        <v>84</v>
      </c>
      <c r="U413" s="217" t="s">
        <v>85</v>
      </c>
      <c r="V413" s="217" t="s">
        <v>97</v>
      </c>
      <c r="W413" s="217" t="s">
        <v>98</v>
      </c>
      <c r="BC413" s="217" t="s">
        <v>85</v>
      </c>
      <c r="BD413" s="217" t="s">
        <v>98</v>
      </c>
      <c r="BE413" s="217" t="s">
        <v>1247</v>
      </c>
      <c r="BF413" s="217" t="s">
        <v>435</v>
      </c>
      <c r="BG413" s="217" t="s">
        <v>1998</v>
      </c>
      <c r="BH413" s="217" t="s">
        <v>1658</v>
      </c>
      <c r="BI413" s="217" t="s">
        <v>1660</v>
      </c>
      <c r="BJ413" s="217" t="s">
        <v>1660</v>
      </c>
      <c r="BK413" s="217" t="s">
        <v>637</v>
      </c>
      <c r="BL413" s="217"/>
      <c r="BM413" s="217"/>
      <c r="BN413" s="217">
        <v>0</v>
      </c>
      <c r="BO413" s="217">
        <v>0</v>
      </c>
      <c r="BR413" s="217" t="s">
        <v>85</v>
      </c>
      <c r="BS413" s="217" t="s">
        <v>98</v>
      </c>
      <c r="BT413" s="217" t="s">
        <v>372</v>
      </c>
      <c r="BU413" s="217" t="s">
        <v>1116</v>
      </c>
      <c r="BV413" s="217">
        <v>10</v>
      </c>
      <c r="BW413" s="217">
        <v>60</v>
      </c>
      <c r="BX413" s="217">
        <v>7</v>
      </c>
      <c r="BY413" s="217">
        <v>40</v>
      </c>
      <c r="BZ413" s="217">
        <v>0</v>
      </c>
      <c r="CA413" s="217">
        <v>0</v>
      </c>
      <c r="CB413" s="217">
        <v>10</v>
      </c>
      <c r="CC413" s="217">
        <v>60</v>
      </c>
      <c r="CD413" s="217">
        <v>7</v>
      </c>
      <c r="CE413" s="217">
        <v>40</v>
      </c>
      <c r="CF413" s="217">
        <v>0</v>
      </c>
      <c r="CG413" s="217">
        <v>0</v>
      </c>
      <c r="CH413" s="217">
        <v>0</v>
      </c>
      <c r="CI413" s="217">
        <v>0</v>
      </c>
      <c r="CJ413" s="217">
        <v>0</v>
      </c>
    </row>
    <row r="414" spans="1:88" x14ac:dyDescent="0.25">
      <c r="A414" s="217" t="s">
        <v>22</v>
      </c>
      <c r="B414" s="217" t="s">
        <v>23</v>
      </c>
      <c r="C414" s="217" t="s">
        <v>85</v>
      </c>
      <c r="D414" s="217" t="s">
        <v>84</v>
      </c>
      <c r="E414" s="217" t="s">
        <v>98</v>
      </c>
      <c r="F414" s="217" t="s">
        <v>97</v>
      </c>
      <c r="G414" s="217" t="s">
        <v>375</v>
      </c>
      <c r="H414" s="217" t="s">
        <v>1122</v>
      </c>
      <c r="I414" s="217" t="s">
        <v>29</v>
      </c>
      <c r="J414" s="217" t="s">
        <v>1857</v>
      </c>
      <c r="K414" s="217">
        <v>6</v>
      </c>
      <c r="L414" s="217">
        <v>30</v>
      </c>
      <c r="M414" s="217" t="s">
        <v>31</v>
      </c>
      <c r="N414" s="217" t="s">
        <v>32</v>
      </c>
      <c r="O414" s="217" t="s">
        <v>100</v>
      </c>
      <c r="P414" s="217" t="s">
        <v>34</v>
      </c>
      <c r="Q414" s="217" t="s">
        <v>35</v>
      </c>
      <c r="R414" s="217" t="s">
        <v>23</v>
      </c>
      <c r="S414" s="217" t="s">
        <v>22</v>
      </c>
      <c r="T414" s="217" t="s">
        <v>84</v>
      </c>
      <c r="U414" s="217" t="s">
        <v>85</v>
      </c>
      <c r="V414" s="217" t="s">
        <v>97</v>
      </c>
      <c r="W414" s="217" t="s">
        <v>98</v>
      </c>
      <c r="BC414" s="217" t="s">
        <v>85</v>
      </c>
      <c r="BD414" s="217" t="s">
        <v>98</v>
      </c>
      <c r="BE414" s="217" t="s">
        <v>1248</v>
      </c>
      <c r="BF414" s="217" t="s">
        <v>436</v>
      </c>
      <c r="BG414" s="217" t="s">
        <v>1998</v>
      </c>
      <c r="BH414" s="217" t="s">
        <v>1658</v>
      </c>
      <c r="BI414" s="217" t="s">
        <v>1660</v>
      </c>
      <c r="BJ414" s="217" t="s">
        <v>1660</v>
      </c>
      <c r="BK414" s="217" t="s">
        <v>637</v>
      </c>
      <c r="BL414" s="217"/>
      <c r="BM414" s="217"/>
      <c r="BN414" s="217">
        <v>0</v>
      </c>
      <c r="BO414" s="217">
        <v>0</v>
      </c>
      <c r="BR414" s="217" t="s">
        <v>85</v>
      </c>
      <c r="BS414" s="217" t="s">
        <v>98</v>
      </c>
      <c r="BT414" s="217" t="s">
        <v>416</v>
      </c>
      <c r="BU414" s="217" t="s">
        <v>1214</v>
      </c>
      <c r="BV414" s="217">
        <v>26</v>
      </c>
      <c r="BW414" s="217">
        <v>100</v>
      </c>
      <c r="BX414" s="217">
        <v>4</v>
      </c>
      <c r="BY414" s="217">
        <v>27</v>
      </c>
      <c r="BZ414" s="217">
        <v>0</v>
      </c>
      <c r="CA414" s="217">
        <v>0</v>
      </c>
      <c r="CB414" s="217">
        <v>26</v>
      </c>
      <c r="CC414" s="217">
        <v>100</v>
      </c>
      <c r="CD414" s="217">
        <v>4</v>
      </c>
      <c r="CE414" s="217">
        <v>27</v>
      </c>
      <c r="CF414" s="217">
        <v>0</v>
      </c>
      <c r="CG414" s="217">
        <v>0</v>
      </c>
      <c r="CH414" s="217">
        <v>0</v>
      </c>
      <c r="CI414" s="217">
        <v>0</v>
      </c>
      <c r="CJ414" s="217">
        <v>0</v>
      </c>
    </row>
    <row r="415" spans="1:88" x14ac:dyDescent="0.25">
      <c r="A415" s="217" t="s">
        <v>22</v>
      </c>
      <c r="B415" s="217" t="s">
        <v>23</v>
      </c>
      <c r="C415" s="217" t="s">
        <v>85</v>
      </c>
      <c r="D415" s="217" t="s">
        <v>84</v>
      </c>
      <c r="E415" s="217" t="s">
        <v>98</v>
      </c>
      <c r="F415" s="217" t="s">
        <v>97</v>
      </c>
      <c r="G415" s="217" t="s">
        <v>376</v>
      </c>
      <c r="H415" s="217" t="s">
        <v>1123</v>
      </c>
      <c r="I415" s="217" t="s">
        <v>29</v>
      </c>
      <c r="J415" s="217" t="s">
        <v>1855</v>
      </c>
      <c r="K415" s="217">
        <v>29</v>
      </c>
      <c r="L415" s="217">
        <v>247</v>
      </c>
      <c r="M415" s="217" t="s">
        <v>31</v>
      </c>
      <c r="N415" s="217" t="s">
        <v>32</v>
      </c>
      <c r="O415" s="217" t="s">
        <v>100</v>
      </c>
      <c r="P415" s="217" t="s">
        <v>34</v>
      </c>
      <c r="Q415" s="217" t="s">
        <v>35</v>
      </c>
      <c r="R415" s="217" t="s">
        <v>23</v>
      </c>
      <c r="S415" s="217" t="s">
        <v>22</v>
      </c>
      <c r="T415" s="217" t="s">
        <v>84</v>
      </c>
      <c r="U415" s="217" t="s">
        <v>85</v>
      </c>
      <c r="V415" s="217" t="s">
        <v>97</v>
      </c>
      <c r="W415" s="217" t="s">
        <v>98</v>
      </c>
      <c r="BC415" s="217" t="s">
        <v>85</v>
      </c>
      <c r="BD415" s="217" t="s">
        <v>98</v>
      </c>
      <c r="BE415" s="217" t="s">
        <v>2140</v>
      </c>
      <c r="BF415" s="217" t="s">
        <v>2139</v>
      </c>
      <c r="BG415" s="217" t="s">
        <v>1998</v>
      </c>
      <c r="BH415" s="217" t="s">
        <v>1658</v>
      </c>
      <c r="BI415" s="217" t="s">
        <v>1660</v>
      </c>
      <c r="BJ415" s="217" t="s">
        <v>1660</v>
      </c>
      <c r="BK415" s="217" t="s">
        <v>637</v>
      </c>
      <c r="BL415" s="217"/>
      <c r="BM415" s="217"/>
      <c r="BN415" s="217">
        <v>0</v>
      </c>
      <c r="BO415" s="217">
        <v>0</v>
      </c>
      <c r="BR415" s="217" t="s">
        <v>85</v>
      </c>
      <c r="BS415" s="217" t="s">
        <v>98</v>
      </c>
      <c r="BT415" s="217" t="s">
        <v>408</v>
      </c>
      <c r="BU415" s="217" t="s">
        <v>1199</v>
      </c>
      <c r="BV415" s="217">
        <v>1</v>
      </c>
      <c r="BW415" s="217">
        <v>5</v>
      </c>
      <c r="BX415" s="217">
        <v>2</v>
      </c>
      <c r="BY415" s="217">
        <v>15</v>
      </c>
      <c r="BZ415" s="217">
        <v>0</v>
      </c>
      <c r="CA415" s="217">
        <v>0</v>
      </c>
      <c r="CB415" s="217">
        <v>1</v>
      </c>
      <c r="CC415" s="217">
        <v>5</v>
      </c>
      <c r="CD415" s="217">
        <v>2</v>
      </c>
      <c r="CE415" s="217">
        <v>15</v>
      </c>
      <c r="CF415" s="217">
        <v>0</v>
      </c>
      <c r="CG415" s="217">
        <v>0</v>
      </c>
      <c r="CH415" s="217">
        <v>0</v>
      </c>
      <c r="CI415" s="217">
        <v>0</v>
      </c>
      <c r="CJ415" s="217">
        <v>0</v>
      </c>
    </row>
    <row r="416" spans="1:88" x14ac:dyDescent="0.25">
      <c r="A416" s="217" t="s">
        <v>22</v>
      </c>
      <c r="B416" s="217" t="s">
        <v>23</v>
      </c>
      <c r="C416" s="217" t="s">
        <v>85</v>
      </c>
      <c r="D416" s="217" t="s">
        <v>84</v>
      </c>
      <c r="E416" s="217" t="s">
        <v>98</v>
      </c>
      <c r="F416" s="217" t="s">
        <v>97</v>
      </c>
      <c r="G416" s="217" t="s">
        <v>376</v>
      </c>
      <c r="H416" s="217" t="s">
        <v>1123</v>
      </c>
      <c r="I416" s="217" t="s">
        <v>29</v>
      </c>
      <c r="J416" s="217" t="s">
        <v>1856</v>
      </c>
      <c r="K416" s="217">
        <v>13</v>
      </c>
      <c r="L416" s="217">
        <v>111</v>
      </c>
      <c r="M416" s="217" t="s">
        <v>31</v>
      </c>
      <c r="N416" s="217" t="s">
        <v>32</v>
      </c>
      <c r="O416" s="217" t="s">
        <v>100</v>
      </c>
      <c r="P416" s="217" t="s">
        <v>34</v>
      </c>
      <c r="Q416" s="217" t="s">
        <v>35</v>
      </c>
      <c r="R416" s="217" t="s">
        <v>23</v>
      </c>
      <c r="S416" s="217" t="s">
        <v>22</v>
      </c>
      <c r="T416" s="217" t="s">
        <v>84</v>
      </c>
      <c r="U416" s="217" t="s">
        <v>85</v>
      </c>
      <c r="V416" s="217" t="s">
        <v>97</v>
      </c>
      <c r="W416" s="217" t="s">
        <v>98</v>
      </c>
      <c r="BC416" s="217" t="s">
        <v>85</v>
      </c>
      <c r="BD416" s="217" t="s">
        <v>98</v>
      </c>
      <c r="BE416" s="217" t="s">
        <v>1250</v>
      </c>
      <c r="BF416" s="217" t="s">
        <v>1249</v>
      </c>
      <c r="BG416" s="217" t="s">
        <v>1998</v>
      </c>
      <c r="BH416" s="217" t="s">
        <v>1658</v>
      </c>
      <c r="BI416" s="217" t="s">
        <v>1660</v>
      </c>
      <c r="BJ416" s="217" t="s">
        <v>1660</v>
      </c>
      <c r="BK416" s="217" t="s">
        <v>637</v>
      </c>
      <c r="BL416" s="217"/>
      <c r="BM416" s="217"/>
      <c r="BN416" s="217">
        <v>0</v>
      </c>
      <c r="BO416" s="217">
        <v>0</v>
      </c>
      <c r="BR416" s="217" t="s">
        <v>85</v>
      </c>
      <c r="BS416" s="217" t="s">
        <v>98</v>
      </c>
      <c r="BT416" s="217" t="s">
        <v>424</v>
      </c>
      <c r="BU416" s="217" t="s">
        <v>1225</v>
      </c>
      <c r="BV416" s="217">
        <v>30</v>
      </c>
      <c r="BW416" s="217">
        <v>162</v>
      </c>
      <c r="BX416" s="217">
        <v>4</v>
      </c>
      <c r="BY416" s="217">
        <v>18</v>
      </c>
      <c r="BZ416" s="217">
        <v>0</v>
      </c>
      <c r="CA416" s="217">
        <v>0</v>
      </c>
      <c r="CB416" s="217">
        <v>30</v>
      </c>
      <c r="CC416" s="217">
        <v>162</v>
      </c>
      <c r="CD416" s="217">
        <v>5</v>
      </c>
      <c r="CE416" s="217">
        <v>31</v>
      </c>
      <c r="CF416" s="217">
        <v>0</v>
      </c>
      <c r="CG416" s="217">
        <v>0</v>
      </c>
      <c r="CH416" s="217">
        <v>0</v>
      </c>
      <c r="CI416" s="217">
        <v>-13</v>
      </c>
      <c r="CJ416" s="217">
        <v>0</v>
      </c>
    </row>
    <row r="417" spans="1:88" x14ac:dyDescent="0.25">
      <c r="A417" s="217" t="s">
        <v>22</v>
      </c>
      <c r="B417" s="217" t="s">
        <v>23</v>
      </c>
      <c r="C417" s="217" t="s">
        <v>85</v>
      </c>
      <c r="D417" s="217" t="s">
        <v>84</v>
      </c>
      <c r="E417" s="217" t="s">
        <v>98</v>
      </c>
      <c r="F417" s="217" t="s">
        <v>97</v>
      </c>
      <c r="G417" s="217" t="s">
        <v>376</v>
      </c>
      <c r="H417" s="217" t="s">
        <v>1123</v>
      </c>
      <c r="I417" s="217" t="s">
        <v>29</v>
      </c>
      <c r="J417" s="217" t="s">
        <v>1857</v>
      </c>
      <c r="K417" s="217">
        <v>4</v>
      </c>
      <c r="L417" s="217">
        <v>34</v>
      </c>
      <c r="M417" s="217" t="s">
        <v>31</v>
      </c>
      <c r="N417" s="217" t="s">
        <v>32</v>
      </c>
      <c r="O417" s="217" t="s">
        <v>100</v>
      </c>
      <c r="P417" s="217" t="s">
        <v>34</v>
      </c>
      <c r="Q417" s="217" t="s">
        <v>35</v>
      </c>
      <c r="R417" s="217" t="s">
        <v>23</v>
      </c>
      <c r="S417" s="217" t="s">
        <v>22</v>
      </c>
      <c r="T417" s="217" t="s">
        <v>84</v>
      </c>
      <c r="U417" s="217" t="s">
        <v>85</v>
      </c>
      <c r="V417" s="217" t="s">
        <v>97</v>
      </c>
      <c r="W417" s="217" t="s">
        <v>98</v>
      </c>
      <c r="BC417" s="217" t="s">
        <v>85</v>
      </c>
      <c r="BD417" s="217" t="s">
        <v>98</v>
      </c>
      <c r="BE417" s="217" t="s">
        <v>1252</v>
      </c>
      <c r="BF417" s="217" t="s">
        <v>1251</v>
      </c>
      <c r="BG417" s="217" t="s">
        <v>1998</v>
      </c>
      <c r="BH417" s="217" t="s">
        <v>1658</v>
      </c>
      <c r="BI417" s="217" t="s">
        <v>1660</v>
      </c>
      <c r="BJ417" s="217" t="s">
        <v>1660</v>
      </c>
      <c r="BK417" s="217" t="s">
        <v>637</v>
      </c>
      <c r="BL417" s="217"/>
      <c r="BM417" s="217"/>
      <c r="BN417" s="217">
        <v>0</v>
      </c>
      <c r="BO417" s="217">
        <v>0</v>
      </c>
      <c r="BR417" s="217" t="s">
        <v>85</v>
      </c>
      <c r="BS417" s="217" t="s">
        <v>98</v>
      </c>
      <c r="BT417" s="217" t="s">
        <v>420</v>
      </c>
      <c r="BU417" s="217" t="s">
        <v>1220</v>
      </c>
      <c r="BV417" s="217">
        <v>200</v>
      </c>
      <c r="BW417" s="217">
        <v>795</v>
      </c>
      <c r="BX417" s="217">
        <v>0</v>
      </c>
      <c r="BY417" s="217">
        <v>0</v>
      </c>
      <c r="BZ417" s="217">
        <v>0</v>
      </c>
      <c r="CA417" s="217">
        <v>0</v>
      </c>
      <c r="CB417" s="217">
        <v>200</v>
      </c>
      <c r="CC417" s="217">
        <v>795</v>
      </c>
      <c r="CD417" s="217">
        <v>0</v>
      </c>
      <c r="CE417" s="217">
        <v>0</v>
      </c>
      <c r="CF417" s="217">
        <v>0</v>
      </c>
      <c r="CG417" s="217">
        <v>0</v>
      </c>
      <c r="CH417" s="217">
        <v>0</v>
      </c>
      <c r="CI417" s="217">
        <v>0</v>
      </c>
      <c r="CJ417" s="217">
        <v>0</v>
      </c>
    </row>
    <row r="418" spans="1:88" x14ac:dyDescent="0.25">
      <c r="A418" s="217" t="s">
        <v>22</v>
      </c>
      <c r="B418" s="217" t="s">
        <v>23</v>
      </c>
      <c r="C418" s="217" t="s">
        <v>85</v>
      </c>
      <c r="D418" s="217" t="s">
        <v>84</v>
      </c>
      <c r="E418" s="217" t="s">
        <v>98</v>
      </c>
      <c r="F418" s="217" t="s">
        <v>97</v>
      </c>
      <c r="G418" s="217" t="s">
        <v>377</v>
      </c>
      <c r="H418" s="217" t="s">
        <v>1124</v>
      </c>
      <c r="I418" s="217" t="s">
        <v>29</v>
      </c>
      <c r="J418" s="217" t="s">
        <v>1856</v>
      </c>
      <c r="K418" s="217">
        <v>5</v>
      </c>
      <c r="L418" s="217">
        <v>26</v>
      </c>
      <c r="M418" s="217" t="s">
        <v>31</v>
      </c>
      <c r="N418" s="217" t="s">
        <v>32</v>
      </c>
      <c r="O418" s="217" t="s">
        <v>100</v>
      </c>
      <c r="P418" s="217" t="s">
        <v>34</v>
      </c>
      <c r="Q418" s="217" t="s">
        <v>35</v>
      </c>
      <c r="R418" s="217" t="s">
        <v>23</v>
      </c>
      <c r="S418" s="217" t="s">
        <v>22</v>
      </c>
      <c r="T418" s="217" t="s">
        <v>84</v>
      </c>
      <c r="U418" s="217" t="s">
        <v>85</v>
      </c>
      <c r="V418" s="217" t="s">
        <v>97</v>
      </c>
      <c r="W418" s="217" t="s">
        <v>98</v>
      </c>
      <c r="BC418" s="217" t="s">
        <v>85</v>
      </c>
      <c r="BD418" s="217" t="s">
        <v>98</v>
      </c>
      <c r="BE418" s="217" t="s">
        <v>1253</v>
      </c>
      <c r="BF418" s="217" t="s">
        <v>437</v>
      </c>
      <c r="BG418" s="217" t="s">
        <v>1998</v>
      </c>
      <c r="BH418" s="217" t="s">
        <v>1658</v>
      </c>
      <c r="BI418" s="217" t="s">
        <v>1658</v>
      </c>
      <c r="BJ418" s="217" t="s">
        <v>1658</v>
      </c>
      <c r="BK418" s="217" t="s">
        <v>637</v>
      </c>
      <c r="BL418" s="217"/>
      <c r="BM418" s="217"/>
      <c r="BN418" s="217">
        <v>0</v>
      </c>
      <c r="BO418" s="217">
        <v>0</v>
      </c>
      <c r="BR418" s="217" t="s">
        <v>85</v>
      </c>
      <c r="BS418" s="217" t="s">
        <v>98</v>
      </c>
      <c r="BT418" s="217" t="s">
        <v>1125</v>
      </c>
      <c r="BU418" s="217" t="s">
        <v>1126</v>
      </c>
      <c r="BV418" s="217">
        <v>11</v>
      </c>
      <c r="BW418" s="217">
        <v>90</v>
      </c>
      <c r="BX418" s="217">
        <v>0</v>
      </c>
      <c r="BY418" s="217">
        <v>0</v>
      </c>
      <c r="BZ418" s="217">
        <v>0</v>
      </c>
      <c r="CA418" s="217">
        <v>0</v>
      </c>
      <c r="CB418" s="217">
        <v>11</v>
      </c>
      <c r="CC418" s="217">
        <v>90</v>
      </c>
      <c r="CD418" s="217">
        <v>0</v>
      </c>
      <c r="CE418" s="217">
        <v>0</v>
      </c>
      <c r="CF418" s="217">
        <v>0</v>
      </c>
      <c r="CG418" s="217">
        <v>0</v>
      </c>
      <c r="CH418" s="217">
        <v>0</v>
      </c>
      <c r="CI418" s="217">
        <v>0</v>
      </c>
      <c r="CJ418" s="217">
        <v>0</v>
      </c>
    </row>
    <row r="419" spans="1:88" x14ac:dyDescent="0.25">
      <c r="A419" s="217" t="s">
        <v>22</v>
      </c>
      <c r="B419" s="217" t="s">
        <v>23</v>
      </c>
      <c r="C419" s="217" t="s">
        <v>85</v>
      </c>
      <c r="D419" s="217" t="s">
        <v>84</v>
      </c>
      <c r="E419" s="217" t="s">
        <v>98</v>
      </c>
      <c r="F419" s="217" t="s">
        <v>97</v>
      </c>
      <c r="G419" s="217" t="s">
        <v>377</v>
      </c>
      <c r="H419" s="217" t="s">
        <v>1124</v>
      </c>
      <c r="I419" s="217" t="s">
        <v>29</v>
      </c>
      <c r="J419" s="217" t="s">
        <v>1857</v>
      </c>
      <c r="K419" s="217">
        <v>2</v>
      </c>
      <c r="L419" s="217">
        <v>9</v>
      </c>
      <c r="M419" s="217" t="s">
        <v>31</v>
      </c>
      <c r="N419" s="217" t="s">
        <v>32</v>
      </c>
      <c r="O419" s="217" t="s">
        <v>100</v>
      </c>
      <c r="P419" s="217" t="s">
        <v>34</v>
      </c>
      <c r="Q419" s="217" t="s">
        <v>35</v>
      </c>
      <c r="R419" s="217" t="s">
        <v>23</v>
      </c>
      <c r="S419" s="217" t="s">
        <v>22</v>
      </c>
      <c r="T419" s="217" t="s">
        <v>84</v>
      </c>
      <c r="U419" s="217" t="s">
        <v>85</v>
      </c>
      <c r="V419" s="217" t="s">
        <v>97</v>
      </c>
      <c r="W419" s="217" t="s">
        <v>98</v>
      </c>
      <c r="BC419" s="217" t="s">
        <v>85</v>
      </c>
      <c r="BD419" s="217" t="s">
        <v>98</v>
      </c>
      <c r="BE419" s="217" t="s">
        <v>1254</v>
      </c>
      <c r="BF419" s="217" t="s">
        <v>438</v>
      </c>
      <c r="BG419" s="217" t="s">
        <v>1998</v>
      </c>
      <c r="BH419" s="217" t="s">
        <v>1658</v>
      </c>
      <c r="BI419" s="217" t="s">
        <v>1660</v>
      </c>
      <c r="BJ419" s="217" t="s">
        <v>1660</v>
      </c>
      <c r="BK419" s="217" t="s">
        <v>637</v>
      </c>
      <c r="BL419" s="217"/>
      <c r="BM419" s="217"/>
      <c r="BN419" s="217">
        <v>0</v>
      </c>
      <c r="BO419" s="217">
        <v>0</v>
      </c>
      <c r="BR419" s="217" t="s">
        <v>85</v>
      </c>
      <c r="BS419" s="217" t="s">
        <v>98</v>
      </c>
      <c r="BT419" s="217" t="s">
        <v>1156</v>
      </c>
      <c r="BU419" s="217" t="s">
        <v>1157</v>
      </c>
      <c r="BV419" s="217">
        <v>10</v>
      </c>
      <c r="BW419" s="217">
        <v>81</v>
      </c>
      <c r="BX419" s="217">
        <v>0</v>
      </c>
      <c r="BY419" s="217">
        <v>0</v>
      </c>
      <c r="BZ419" s="217">
        <v>0</v>
      </c>
      <c r="CA419" s="217">
        <v>0</v>
      </c>
      <c r="CB419" s="217">
        <v>10</v>
      </c>
      <c r="CC419" s="217">
        <v>81</v>
      </c>
      <c r="CD419" s="217">
        <v>0</v>
      </c>
      <c r="CE419" s="217">
        <v>0</v>
      </c>
      <c r="CF419" s="217">
        <v>0</v>
      </c>
      <c r="CG419" s="217">
        <v>0</v>
      </c>
      <c r="CH419" s="217">
        <v>0</v>
      </c>
      <c r="CI419" s="217">
        <v>0</v>
      </c>
      <c r="CJ419" s="217">
        <v>0</v>
      </c>
    </row>
    <row r="420" spans="1:88" x14ac:dyDescent="0.25">
      <c r="A420" s="217" t="s">
        <v>22</v>
      </c>
      <c r="B420" s="217" t="s">
        <v>23</v>
      </c>
      <c r="C420" s="217" t="s">
        <v>85</v>
      </c>
      <c r="D420" s="217" t="s">
        <v>84</v>
      </c>
      <c r="E420" s="217" t="s">
        <v>98</v>
      </c>
      <c r="F420" s="217" t="s">
        <v>97</v>
      </c>
      <c r="G420" s="217" t="s">
        <v>1125</v>
      </c>
      <c r="H420" s="217" t="s">
        <v>1126</v>
      </c>
      <c r="I420" s="217" t="s">
        <v>29</v>
      </c>
      <c r="J420" s="217" t="s">
        <v>1858</v>
      </c>
      <c r="K420" s="217">
        <v>11</v>
      </c>
      <c r="L420" s="217">
        <v>90</v>
      </c>
      <c r="M420" s="217" t="s">
        <v>31</v>
      </c>
      <c r="N420" s="217" t="s">
        <v>32</v>
      </c>
      <c r="O420" s="217" t="s">
        <v>68</v>
      </c>
      <c r="P420" s="217" t="s">
        <v>34</v>
      </c>
      <c r="Q420" s="217" t="s">
        <v>35</v>
      </c>
      <c r="R420" s="217" t="s">
        <v>23</v>
      </c>
      <c r="S420" s="217" t="s">
        <v>22</v>
      </c>
      <c r="T420" s="217" t="s">
        <v>84</v>
      </c>
      <c r="U420" s="217" t="s">
        <v>85</v>
      </c>
      <c r="V420" s="217" t="s">
        <v>91</v>
      </c>
      <c r="W420" s="217" t="s">
        <v>92</v>
      </c>
      <c r="BC420" s="217" t="s">
        <v>85</v>
      </c>
      <c r="BD420" s="217" t="s">
        <v>98</v>
      </c>
      <c r="BE420" s="217" t="s">
        <v>1255</v>
      </c>
      <c r="BF420" s="217" t="s">
        <v>439</v>
      </c>
      <c r="BG420" s="217" t="s">
        <v>1998</v>
      </c>
      <c r="BH420" s="217" t="s">
        <v>1658</v>
      </c>
      <c r="BI420" s="217" t="s">
        <v>1660</v>
      </c>
      <c r="BJ420" s="217" t="s">
        <v>1660</v>
      </c>
      <c r="BK420" s="217" t="s">
        <v>637</v>
      </c>
      <c r="BL420" s="217"/>
      <c r="BM420" s="217"/>
      <c r="BN420" s="217">
        <v>0</v>
      </c>
      <c r="BO420" s="217">
        <v>0</v>
      </c>
      <c r="BR420" s="217" t="s">
        <v>85</v>
      </c>
      <c r="BS420" s="217" t="s">
        <v>98</v>
      </c>
      <c r="BT420" s="217" t="s">
        <v>1110</v>
      </c>
      <c r="BU420" s="217" t="s">
        <v>1111</v>
      </c>
      <c r="BV420" s="217">
        <v>3</v>
      </c>
      <c r="BW420" s="217">
        <v>9</v>
      </c>
      <c r="BX420" s="217">
        <v>0</v>
      </c>
      <c r="BY420" s="217">
        <v>0</v>
      </c>
      <c r="BZ420" s="217">
        <v>0</v>
      </c>
      <c r="CA420" s="217">
        <v>0</v>
      </c>
      <c r="CB420" s="217">
        <v>3</v>
      </c>
      <c r="CC420" s="217">
        <v>9</v>
      </c>
      <c r="CD420" s="217">
        <v>0</v>
      </c>
      <c r="CE420" s="217">
        <v>0</v>
      </c>
      <c r="CF420" s="217">
        <v>0</v>
      </c>
      <c r="CG420" s="217">
        <v>0</v>
      </c>
      <c r="CH420" s="217">
        <v>0</v>
      </c>
      <c r="CI420" s="217">
        <v>0</v>
      </c>
      <c r="CJ420" s="217">
        <v>0</v>
      </c>
    </row>
    <row r="421" spans="1:88" x14ac:dyDescent="0.25">
      <c r="A421" s="217" t="s">
        <v>22</v>
      </c>
      <c r="B421" s="217" t="s">
        <v>23</v>
      </c>
      <c r="C421" s="217" t="s">
        <v>85</v>
      </c>
      <c r="D421" s="217" t="s">
        <v>84</v>
      </c>
      <c r="E421" s="217" t="s">
        <v>98</v>
      </c>
      <c r="F421" s="217" t="s">
        <v>97</v>
      </c>
      <c r="G421" s="217" t="s">
        <v>1127</v>
      </c>
      <c r="H421" s="217" t="s">
        <v>1128</v>
      </c>
      <c r="I421" s="217" t="s">
        <v>29</v>
      </c>
      <c r="J421" s="217" t="s">
        <v>1858</v>
      </c>
      <c r="K421" s="217">
        <v>7</v>
      </c>
      <c r="L421" s="217">
        <v>32</v>
      </c>
      <c r="M421" s="217" t="s">
        <v>31</v>
      </c>
      <c r="N421" s="217" t="s">
        <v>32</v>
      </c>
      <c r="O421" s="217" t="s">
        <v>68</v>
      </c>
      <c r="P421" s="217" t="s">
        <v>34</v>
      </c>
      <c r="Q421" s="217" t="s">
        <v>35</v>
      </c>
      <c r="R421" s="217" t="s">
        <v>23</v>
      </c>
      <c r="S421" s="217" t="s">
        <v>22</v>
      </c>
      <c r="T421" s="217" t="s">
        <v>84</v>
      </c>
      <c r="U421" s="217" t="s">
        <v>85</v>
      </c>
      <c r="V421" s="217" t="s">
        <v>109</v>
      </c>
      <c r="W421" s="217" t="s">
        <v>110</v>
      </c>
      <c r="BC421" s="217" t="s">
        <v>85</v>
      </c>
      <c r="BD421" s="217" t="s">
        <v>98</v>
      </c>
      <c r="BE421" s="217" t="s">
        <v>1256</v>
      </c>
      <c r="BF421" s="217" t="s">
        <v>821</v>
      </c>
      <c r="BG421" s="217" t="s">
        <v>1998</v>
      </c>
      <c r="BH421" s="217" t="s">
        <v>1658</v>
      </c>
      <c r="BI421" s="217" t="s">
        <v>1660</v>
      </c>
      <c r="BJ421" s="217" t="s">
        <v>1660</v>
      </c>
      <c r="BK421" s="217" t="s">
        <v>637</v>
      </c>
      <c r="BL421" s="217"/>
      <c r="BM421" s="217"/>
      <c r="BN421" s="217">
        <v>0</v>
      </c>
      <c r="BO421" s="217">
        <v>0</v>
      </c>
      <c r="BR421" s="217" t="s">
        <v>85</v>
      </c>
      <c r="BS421" s="217" t="s">
        <v>98</v>
      </c>
      <c r="BT421" s="217" t="s">
        <v>295</v>
      </c>
      <c r="BU421" s="217" t="s">
        <v>1136</v>
      </c>
      <c r="BV421" s="217">
        <v>13</v>
      </c>
      <c r="BW421" s="217">
        <v>87</v>
      </c>
      <c r="BX421" s="217">
        <v>0</v>
      </c>
      <c r="BY421" s="217">
        <v>0</v>
      </c>
      <c r="BZ421" s="217">
        <v>0</v>
      </c>
      <c r="CA421" s="217">
        <v>0</v>
      </c>
      <c r="CB421" s="217">
        <v>13</v>
      </c>
      <c r="CC421" s="217">
        <v>87</v>
      </c>
      <c r="CD421" s="217">
        <v>0</v>
      </c>
      <c r="CE421" s="217">
        <v>0</v>
      </c>
      <c r="CF421" s="217">
        <v>0</v>
      </c>
      <c r="CG421" s="217">
        <v>0</v>
      </c>
      <c r="CH421" s="217">
        <v>0</v>
      </c>
      <c r="CI421" s="217">
        <v>0</v>
      </c>
      <c r="CJ421" s="217">
        <v>0</v>
      </c>
    </row>
    <row r="422" spans="1:88" x14ac:dyDescent="0.25">
      <c r="A422" s="217" t="s">
        <v>22</v>
      </c>
      <c r="B422" s="217" t="s">
        <v>23</v>
      </c>
      <c r="C422" s="217" t="s">
        <v>85</v>
      </c>
      <c r="D422" s="217" t="s">
        <v>84</v>
      </c>
      <c r="E422" s="217" t="s">
        <v>98</v>
      </c>
      <c r="F422" s="217" t="s">
        <v>97</v>
      </c>
      <c r="G422" s="217" t="s">
        <v>1129</v>
      </c>
      <c r="H422" s="217" t="s">
        <v>1130</v>
      </c>
      <c r="I422" s="217" t="s">
        <v>29</v>
      </c>
      <c r="J422" s="217" t="s">
        <v>1857</v>
      </c>
      <c r="K422" s="217">
        <v>10</v>
      </c>
      <c r="L422" s="217">
        <v>85</v>
      </c>
      <c r="M422" s="217" t="s">
        <v>31</v>
      </c>
      <c r="N422" s="217" t="s">
        <v>32</v>
      </c>
      <c r="O422" s="217" t="s">
        <v>100</v>
      </c>
      <c r="P422" s="217" t="s">
        <v>34</v>
      </c>
      <c r="Q422" s="217" t="s">
        <v>35</v>
      </c>
      <c r="R422" s="217" t="s">
        <v>23</v>
      </c>
      <c r="S422" s="217" t="s">
        <v>22</v>
      </c>
      <c r="T422" s="217" t="s">
        <v>84</v>
      </c>
      <c r="U422" s="217" t="s">
        <v>85</v>
      </c>
      <c r="V422" s="217" t="s">
        <v>97</v>
      </c>
      <c r="W422" s="217" t="s">
        <v>98</v>
      </c>
      <c r="BC422" s="217" t="s">
        <v>85</v>
      </c>
      <c r="BD422" s="217" t="s">
        <v>98</v>
      </c>
      <c r="BE422" s="217" t="s">
        <v>1257</v>
      </c>
      <c r="BF422" s="217" t="s">
        <v>440</v>
      </c>
      <c r="BG422" s="217" t="s">
        <v>1998</v>
      </c>
      <c r="BH422" s="217" t="s">
        <v>1658</v>
      </c>
      <c r="BI422" s="217" t="s">
        <v>1660</v>
      </c>
      <c r="BJ422" s="217" t="s">
        <v>1660</v>
      </c>
      <c r="BK422" s="217" t="s">
        <v>637</v>
      </c>
      <c r="BL422" s="217"/>
      <c r="BM422" s="217"/>
      <c r="BN422" s="217">
        <v>0</v>
      </c>
      <c r="BO422" s="217">
        <v>0</v>
      </c>
      <c r="BR422" s="217" t="s">
        <v>85</v>
      </c>
      <c r="BS422" s="217" t="s">
        <v>98</v>
      </c>
      <c r="BT422" s="217" t="s">
        <v>1119</v>
      </c>
      <c r="BU422" s="217" t="s">
        <v>1120</v>
      </c>
      <c r="BV422" s="217">
        <v>13</v>
      </c>
      <c r="BW422" s="217">
        <v>87</v>
      </c>
      <c r="BX422" s="217">
        <v>0</v>
      </c>
      <c r="BY422" s="217">
        <v>0</v>
      </c>
      <c r="BZ422" s="217">
        <v>0</v>
      </c>
      <c r="CA422" s="217">
        <v>0</v>
      </c>
      <c r="CB422" s="217">
        <v>17</v>
      </c>
      <c r="CC422" s="217">
        <v>87</v>
      </c>
      <c r="CD422" s="217">
        <v>0</v>
      </c>
      <c r="CE422" s="217">
        <v>0</v>
      </c>
      <c r="CF422" s="217">
        <v>0</v>
      </c>
      <c r="CG422" s="217">
        <v>0</v>
      </c>
      <c r="CH422" s="217">
        <v>0</v>
      </c>
      <c r="CI422" s="217">
        <v>0</v>
      </c>
      <c r="CJ422" s="217">
        <v>0</v>
      </c>
    </row>
    <row r="423" spans="1:88" x14ac:dyDescent="0.25">
      <c r="A423" s="217" t="s">
        <v>22</v>
      </c>
      <c r="B423" s="217" t="s">
        <v>23</v>
      </c>
      <c r="C423" s="217" t="s">
        <v>85</v>
      </c>
      <c r="D423" s="217" t="s">
        <v>84</v>
      </c>
      <c r="E423" s="217" t="s">
        <v>98</v>
      </c>
      <c r="F423" s="217" t="s">
        <v>97</v>
      </c>
      <c r="G423" s="217" t="s">
        <v>1131</v>
      </c>
      <c r="H423" s="217" t="s">
        <v>1132</v>
      </c>
      <c r="I423" s="217" t="s">
        <v>29</v>
      </c>
      <c r="J423" s="217" t="s">
        <v>1858</v>
      </c>
      <c r="K423" s="217">
        <v>10</v>
      </c>
      <c r="L423" s="217">
        <v>45</v>
      </c>
      <c r="M423" s="217" t="s">
        <v>31</v>
      </c>
      <c r="N423" s="217" t="s">
        <v>32</v>
      </c>
      <c r="O423" s="217" t="s">
        <v>68</v>
      </c>
      <c r="P423" s="217" t="s">
        <v>34</v>
      </c>
      <c r="Q423" s="217" t="s">
        <v>35</v>
      </c>
      <c r="R423" s="217" t="s">
        <v>23</v>
      </c>
      <c r="S423" s="217" t="s">
        <v>22</v>
      </c>
      <c r="T423" s="217" t="s">
        <v>84</v>
      </c>
      <c r="U423" s="217" t="s">
        <v>85</v>
      </c>
      <c r="V423" s="217" t="s">
        <v>91</v>
      </c>
      <c r="W423" s="217" t="s">
        <v>92</v>
      </c>
      <c r="BC423" s="217" t="s">
        <v>85</v>
      </c>
      <c r="BD423" s="217" t="s">
        <v>98</v>
      </c>
      <c r="BE423" s="217" t="s">
        <v>1258</v>
      </c>
      <c r="BF423" s="217" t="s">
        <v>441</v>
      </c>
      <c r="BG423" s="217" t="s">
        <v>1998</v>
      </c>
      <c r="BH423" s="217" t="s">
        <v>1658</v>
      </c>
      <c r="BI423" s="217" t="s">
        <v>1660</v>
      </c>
      <c r="BJ423" s="217" t="s">
        <v>1660</v>
      </c>
      <c r="BK423" s="217" t="s">
        <v>637</v>
      </c>
      <c r="BL423" s="217"/>
      <c r="BM423" s="217"/>
      <c r="BN423" s="217">
        <v>0</v>
      </c>
      <c r="BO423" s="217">
        <v>0</v>
      </c>
      <c r="BR423" s="217" t="s">
        <v>85</v>
      </c>
      <c r="BS423" s="217" t="s">
        <v>98</v>
      </c>
      <c r="BT423" s="217" t="s">
        <v>1182</v>
      </c>
      <c r="BU423" s="217" t="s">
        <v>1183</v>
      </c>
      <c r="BV423" s="217">
        <v>13</v>
      </c>
      <c r="BW423" s="217">
        <v>85</v>
      </c>
      <c r="BX423" s="217">
        <v>0</v>
      </c>
      <c r="BY423" s="217">
        <v>0</v>
      </c>
      <c r="BZ423" s="217">
        <v>0</v>
      </c>
      <c r="CA423" s="217">
        <v>0</v>
      </c>
      <c r="CB423" s="217">
        <v>13</v>
      </c>
      <c r="CC423" s="217">
        <v>85</v>
      </c>
      <c r="CD423" s="217">
        <v>0</v>
      </c>
      <c r="CE423" s="217">
        <v>0</v>
      </c>
      <c r="CF423" s="217">
        <v>0</v>
      </c>
      <c r="CG423" s="217">
        <v>0</v>
      </c>
      <c r="CH423" s="217">
        <v>0</v>
      </c>
      <c r="CI423" s="217">
        <v>0</v>
      </c>
      <c r="CJ423" s="217">
        <v>0</v>
      </c>
    </row>
    <row r="424" spans="1:88" x14ac:dyDescent="0.25">
      <c r="A424" s="217" t="s">
        <v>22</v>
      </c>
      <c r="B424" s="217" t="s">
        <v>23</v>
      </c>
      <c r="C424" s="217" t="s">
        <v>85</v>
      </c>
      <c r="D424" s="217" t="s">
        <v>84</v>
      </c>
      <c r="E424" s="217" t="s">
        <v>98</v>
      </c>
      <c r="F424" s="217" t="s">
        <v>97</v>
      </c>
      <c r="G424" s="217" t="s">
        <v>378</v>
      </c>
      <c r="H424" s="217" t="s">
        <v>1133</v>
      </c>
      <c r="I424" s="217" t="s">
        <v>29</v>
      </c>
      <c r="J424" s="217" t="s">
        <v>1856</v>
      </c>
      <c r="K424" s="217">
        <v>6</v>
      </c>
      <c r="L424" s="217">
        <v>42</v>
      </c>
      <c r="M424" s="217" t="s">
        <v>31</v>
      </c>
      <c r="N424" s="217" t="s">
        <v>32</v>
      </c>
      <c r="O424" s="217" t="s">
        <v>100</v>
      </c>
      <c r="P424" s="217" t="s">
        <v>34</v>
      </c>
      <c r="Q424" s="217" t="s">
        <v>35</v>
      </c>
      <c r="R424" s="217" t="s">
        <v>23</v>
      </c>
      <c r="S424" s="217" t="s">
        <v>22</v>
      </c>
      <c r="T424" s="217" t="s">
        <v>84</v>
      </c>
      <c r="U424" s="217" t="s">
        <v>85</v>
      </c>
      <c r="V424" s="217" t="s">
        <v>97</v>
      </c>
      <c r="W424" s="217" t="s">
        <v>98</v>
      </c>
      <c r="BC424" s="217" t="s">
        <v>85</v>
      </c>
      <c r="BD424" s="217" t="s">
        <v>98</v>
      </c>
      <c r="BE424" s="217" t="s">
        <v>1259</v>
      </c>
      <c r="BF424" s="217" t="s">
        <v>442</v>
      </c>
      <c r="BG424" s="217" t="s">
        <v>1998</v>
      </c>
      <c r="BH424" s="217" t="s">
        <v>1658</v>
      </c>
      <c r="BI424" s="217" t="s">
        <v>1660</v>
      </c>
      <c r="BJ424" s="217" t="s">
        <v>1660</v>
      </c>
      <c r="BK424" s="217" t="s">
        <v>637</v>
      </c>
      <c r="BL424" s="217"/>
      <c r="BM424" s="217"/>
      <c r="BN424" s="217">
        <v>0</v>
      </c>
      <c r="BO424" s="217">
        <v>0</v>
      </c>
      <c r="BR424" s="217" t="s">
        <v>85</v>
      </c>
      <c r="BS424" s="217" t="s">
        <v>98</v>
      </c>
      <c r="BT424" s="217" t="s">
        <v>301</v>
      </c>
      <c r="BU424" s="217" t="s">
        <v>1202</v>
      </c>
      <c r="BV424" s="217">
        <v>10</v>
      </c>
      <c r="BW424" s="217">
        <v>57</v>
      </c>
      <c r="BX424" s="217">
        <v>0</v>
      </c>
      <c r="BY424" s="217">
        <v>0</v>
      </c>
      <c r="BZ424" s="217">
        <v>0</v>
      </c>
      <c r="CA424" s="217">
        <v>0</v>
      </c>
      <c r="CB424" s="217">
        <v>10</v>
      </c>
      <c r="CC424" s="217">
        <v>57</v>
      </c>
      <c r="CD424" s="217">
        <v>0</v>
      </c>
      <c r="CE424" s="217">
        <v>0</v>
      </c>
      <c r="CF424" s="217">
        <v>0</v>
      </c>
      <c r="CG424" s="217">
        <v>0</v>
      </c>
      <c r="CH424" s="217">
        <v>0</v>
      </c>
      <c r="CI424" s="217">
        <v>0</v>
      </c>
      <c r="CJ424" s="217">
        <v>0</v>
      </c>
    </row>
    <row r="425" spans="1:88" x14ac:dyDescent="0.25">
      <c r="A425" s="217" t="s">
        <v>22</v>
      </c>
      <c r="B425" s="217" t="s">
        <v>23</v>
      </c>
      <c r="C425" s="217" t="s">
        <v>85</v>
      </c>
      <c r="D425" s="217" t="s">
        <v>84</v>
      </c>
      <c r="E425" s="217" t="s">
        <v>98</v>
      </c>
      <c r="F425" s="217" t="s">
        <v>97</v>
      </c>
      <c r="G425" s="217" t="s">
        <v>378</v>
      </c>
      <c r="H425" s="217" t="s">
        <v>1133</v>
      </c>
      <c r="I425" s="217" t="s">
        <v>29</v>
      </c>
      <c r="J425" s="217" t="s">
        <v>1857</v>
      </c>
      <c r="K425" s="217">
        <v>4</v>
      </c>
      <c r="L425" s="217">
        <v>18</v>
      </c>
      <c r="M425" s="217" t="s">
        <v>31</v>
      </c>
      <c r="N425" s="217" t="s">
        <v>32</v>
      </c>
      <c r="O425" s="217" t="s">
        <v>100</v>
      </c>
      <c r="P425" s="217" t="s">
        <v>34</v>
      </c>
      <c r="Q425" s="217" t="s">
        <v>35</v>
      </c>
      <c r="R425" s="217" t="s">
        <v>23</v>
      </c>
      <c r="S425" s="217" t="s">
        <v>22</v>
      </c>
      <c r="T425" s="217" t="s">
        <v>84</v>
      </c>
      <c r="U425" s="217" t="s">
        <v>85</v>
      </c>
      <c r="V425" s="217" t="s">
        <v>97</v>
      </c>
      <c r="W425" s="217" t="s">
        <v>98</v>
      </c>
      <c r="BC425" s="217" t="s">
        <v>85</v>
      </c>
      <c r="BD425" s="217" t="s">
        <v>98</v>
      </c>
      <c r="BE425" s="217" t="s">
        <v>1260</v>
      </c>
      <c r="BF425" s="217" t="s">
        <v>443</v>
      </c>
      <c r="BG425" s="217" t="s">
        <v>1998</v>
      </c>
      <c r="BH425" s="217" t="s">
        <v>1658</v>
      </c>
      <c r="BI425" s="217" t="s">
        <v>1660</v>
      </c>
      <c r="BJ425" s="217" t="s">
        <v>1660</v>
      </c>
      <c r="BK425" s="217" t="s">
        <v>637</v>
      </c>
      <c r="BL425" s="217"/>
      <c r="BM425" s="217"/>
      <c r="BN425" s="217">
        <v>0</v>
      </c>
      <c r="BO425" s="217">
        <v>0</v>
      </c>
      <c r="BR425" s="217" t="s">
        <v>85</v>
      </c>
      <c r="BS425" s="217" t="s">
        <v>98</v>
      </c>
      <c r="BT425" s="217" t="s">
        <v>1243</v>
      </c>
      <c r="BU425" s="217" t="s">
        <v>1244</v>
      </c>
      <c r="BV425" s="217">
        <v>3</v>
      </c>
      <c r="BW425" s="217">
        <v>21</v>
      </c>
      <c r="BX425" s="217">
        <v>0</v>
      </c>
      <c r="BY425" s="217">
        <v>0</v>
      </c>
      <c r="BZ425" s="217">
        <v>0</v>
      </c>
      <c r="CA425" s="217">
        <v>0</v>
      </c>
      <c r="CB425" s="217">
        <v>3</v>
      </c>
      <c r="CC425" s="217">
        <v>21</v>
      </c>
      <c r="CD425" s="217">
        <v>0</v>
      </c>
      <c r="CE425" s="217">
        <v>0</v>
      </c>
      <c r="CF425" s="217">
        <v>0</v>
      </c>
      <c r="CG425" s="217">
        <v>0</v>
      </c>
      <c r="CH425" s="217">
        <v>0</v>
      </c>
      <c r="CI425" s="217">
        <v>0</v>
      </c>
      <c r="CJ425" s="217">
        <v>0</v>
      </c>
    </row>
    <row r="426" spans="1:88" x14ac:dyDescent="0.25">
      <c r="A426" s="217" t="s">
        <v>22</v>
      </c>
      <c r="B426" s="217" t="s">
        <v>23</v>
      </c>
      <c r="C426" s="217" t="s">
        <v>85</v>
      </c>
      <c r="D426" s="217" t="s">
        <v>84</v>
      </c>
      <c r="E426" s="217" t="s">
        <v>98</v>
      </c>
      <c r="F426" s="217" t="s">
        <v>97</v>
      </c>
      <c r="G426" s="217" t="s">
        <v>819</v>
      </c>
      <c r="H426" s="217" t="s">
        <v>1134</v>
      </c>
      <c r="I426" s="217" t="s">
        <v>29</v>
      </c>
      <c r="J426" s="217" t="s">
        <v>1857</v>
      </c>
      <c r="K426" s="217">
        <v>3</v>
      </c>
      <c r="L426" s="217">
        <v>15</v>
      </c>
      <c r="M426" s="217" t="s">
        <v>31</v>
      </c>
      <c r="N426" s="217" t="s">
        <v>32</v>
      </c>
      <c r="O426" s="217" t="s">
        <v>68</v>
      </c>
      <c r="P426" s="217" t="s">
        <v>34</v>
      </c>
      <c r="Q426" s="217" t="s">
        <v>35</v>
      </c>
      <c r="R426" s="217" t="s">
        <v>23</v>
      </c>
      <c r="S426" s="217" t="s">
        <v>22</v>
      </c>
      <c r="T426" s="217" t="s">
        <v>84</v>
      </c>
      <c r="U426" s="217" t="s">
        <v>85</v>
      </c>
      <c r="V426" s="217" t="s">
        <v>91</v>
      </c>
      <c r="W426" s="217" t="s">
        <v>92</v>
      </c>
      <c r="BC426" s="217" t="s">
        <v>85</v>
      </c>
      <c r="BD426" s="217" t="s">
        <v>98</v>
      </c>
      <c r="BE426" s="217" t="s">
        <v>1686</v>
      </c>
      <c r="BF426" s="217" t="s">
        <v>695</v>
      </c>
      <c r="BG426" s="217" t="s">
        <v>1998</v>
      </c>
      <c r="BH426" s="217" t="s">
        <v>1658</v>
      </c>
      <c r="BI426" s="217" t="s">
        <v>1660</v>
      </c>
      <c r="BJ426" s="217" t="s">
        <v>1660</v>
      </c>
      <c r="BK426" s="217" t="s">
        <v>637</v>
      </c>
      <c r="BL426" s="217"/>
      <c r="BM426" s="217"/>
      <c r="BN426" s="217">
        <v>0</v>
      </c>
      <c r="BO426" s="217">
        <v>0</v>
      </c>
      <c r="BR426" s="217" t="s">
        <v>85</v>
      </c>
      <c r="BS426" s="217" t="s">
        <v>98</v>
      </c>
      <c r="BT426" s="217" t="s">
        <v>413</v>
      </c>
      <c r="BU426" s="217" t="s">
        <v>1211</v>
      </c>
      <c r="BV426" s="217">
        <v>22</v>
      </c>
      <c r="BW426" s="217">
        <v>187</v>
      </c>
      <c r="BX426" s="217">
        <v>17</v>
      </c>
      <c r="BY426" s="217">
        <v>145</v>
      </c>
      <c r="BZ426" s="217">
        <v>0</v>
      </c>
      <c r="CA426" s="217">
        <v>0</v>
      </c>
      <c r="CB426" s="217">
        <v>22</v>
      </c>
      <c r="CC426" s="217">
        <v>187</v>
      </c>
      <c r="CD426" s="217">
        <v>17</v>
      </c>
      <c r="CE426" s="217">
        <v>145</v>
      </c>
      <c r="CF426" s="217">
        <v>0</v>
      </c>
      <c r="CG426" s="217">
        <v>0</v>
      </c>
      <c r="CH426" s="217">
        <v>0</v>
      </c>
      <c r="CI426" s="217">
        <v>0</v>
      </c>
      <c r="CJ426" s="217">
        <v>0</v>
      </c>
    </row>
    <row r="427" spans="1:88" x14ac:dyDescent="0.25">
      <c r="A427" s="217" t="s">
        <v>22</v>
      </c>
      <c r="B427" s="217" t="s">
        <v>23</v>
      </c>
      <c r="C427" s="217" t="s">
        <v>85</v>
      </c>
      <c r="D427" s="217" t="s">
        <v>84</v>
      </c>
      <c r="E427" s="217" t="s">
        <v>98</v>
      </c>
      <c r="F427" s="217" t="s">
        <v>97</v>
      </c>
      <c r="G427" s="217" t="s">
        <v>795</v>
      </c>
      <c r="H427" s="217" t="s">
        <v>1135</v>
      </c>
      <c r="I427" s="217" t="s">
        <v>29</v>
      </c>
      <c r="J427" s="217" t="s">
        <v>1857</v>
      </c>
      <c r="K427" s="217">
        <v>4</v>
      </c>
      <c r="L427" s="217">
        <v>18</v>
      </c>
      <c r="M427" s="217" t="s">
        <v>31</v>
      </c>
      <c r="N427" s="217" t="s">
        <v>32</v>
      </c>
      <c r="O427" s="217" t="s">
        <v>68</v>
      </c>
      <c r="P427" s="217" t="s">
        <v>34</v>
      </c>
      <c r="Q427" s="217" t="s">
        <v>35</v>
      </c>
      <c r="R427" s="217" t="s">
        <v>23</v>
      </c>
      <c r="S427" s="217" t="s">
        <v>22</v>
      </c>
      <c r="T427" s="217" t="s">
        <v>84</v>
      </c>
      <c r="U427" s="217" t="s">
        <v>85</v>
      </c>
      <c r="V427" s="217" t="s">
        <v>91</v>
      </c>
      <c r="W427" s="217" t="s">
        <v>92</v>
      </c>
      <c r="BC427" s="217" t="s">
        <v>85</v>
      </c>
      <c r="BD427" s="217" t="s">
        <v>98</v>
      </c>
      <c r="BE427" s="217" t="s">
        <v>1261</v>
      </c>
      <c r="BF427" s="217" t="s">
        <v>444</v>
      </c>
      <c r="BG427" s="217" t="s">
        <v>2000</v>
      </c>
      <c r="BH427" s="217" t="s">
        <v>1658</v>
      </c>
      <c r="BI427" s="217" t="s">
        <v>1658</v>
      </c>
      <c r="BJ427" s="217" t="s">
        <v>1660</v>
      </c>
      <c r="BK427" s="217" t="s">
        <v>637</v>
      </c>
      <c r="BL427" s="217"/>
      <c r="BM427" s="217"/>
      <c r="BN427" s="217">
        <v>0</v>
      </c>
      <c r="BO427" s="217">
        <v>0</v>
      </c>
      <c r="BR427" s="217" t="s">
        <v>85</v>
      </c>
      <c r="BS427" s="217" t="s">
        <v>98</v>
      </c>
      <c r="BT427" s="217" t="s">
        <v>155</v>
      </c>
      <c r="BU427" s="217" t="s">
        <v>1143</v>
      </c>
      <c r="BV427" s="217">
        <v>92</v>
      </c>
      <c r="BW427" s="217">
        <v>460</v>
      </c>
      <c r="BX427" s="217">
        <v>0</v>
      </c>
      <c r="BY427" s="217">
        <v>0</v>
      </c>
      <c r="BZ427" s="217">
        <v>16</v>
      </c>
      <c r="CA427" s="217">
        <v>80</v>
      </c>
      <c r="CB427" s="217">
        <v>92</v>
      </c>
      <c r="CC427" s="217">
        <v>460</v>
      </c>
      <c r="CD427" s="217">
        <v>0</v>
      </c>
      <c r="CE427" s="217">
        <v>0</v>
      </c>
      <c r="CF427" s="217">
        <v>16</v>
      </c>
      <c r="CG427" s="217">
        <v>80</v>
      </c>
      <c r="CH427" s="217">
        <v>0</v>
      </c>
      <c r="CI427" s="217">
        <v>0</v>
      </c>
      <c r="CJ427" s="217">
        <v>0</v>
      </c>
    </row>
    <row r="428" spans="1:88" x14ac:dyDescent="0.25">
      <c r="A428" s="217" t="s">
        <v>22</v>
      </c>
      <c r="B428" s="217" t="s">
        <v>23</v>
      </c>
      <c r="C428" s="217" t="s">
        <v>85</v>
      </c>
      <c r="D428" s="217" t="s">
        <v>84</v>
      </c>
      <c r="E428" s="217" t="s">
        <v>98</v>
      </c>
      <c r="F428" s="217" t="s">
        <v>97</v>
      </c>
      <c r="G428" s="217" t="s">
        <v>295</v>
      </c>
      <c r="H428" s="217" t="s">
        <v>1136</v>
      </c>
      <c r="I428" s="217" t="s">
        <v>29</v>
      </c>
      <c r="J428" s="217" t="s">
        <v>1858</v>
      </c>
      <c r="K428" s="217">
        <v>13</v>
      </c>
      <c r="L428" s="217">
        <v>87</v>
      </c>
      <c r="M428" s="217" t="s">
        <v>31</v>
      </c>
      <c r="N428" s="217" t="s">
        <v>32</v>
      </c>
      <c r="O428" s="217" t="s">
        <v>68</v>
      </c>
      <c r="P428" s="217" t="s">
        <v>34</v>
      </c>
      <c r="Q428" s="217" t="s">
        <v>35</v>
      </c>
      <c r="R428" s="217" t="s">
        <v>23</v>
      </c>
      <c r="S428" s="217" t="s">
        <v>22</v>
      </c>
      <c r="T428" s="217" t="s">
        <v>84</v>
      </c>
      <c r="U428" s="217" t="s">
        <v>85</v>
      </c>
      <c r="V428" s="217" t="s">
        <v>109</v>
      </c>
      <c r="W428" s="217" t="s">
        <v>110</v>
      </c>
      <c r="BC428" s="217" t="s">
        <v>85</v>
      </c>
      <c r="BD428" s="217" t="s">
        <v>98</v>
      </c>
      <c r="BE428" s="217" t="s">
        <v>1262</v>
      </c>
      <c r="BF428" s="217" t="s">
        <v>169</v>
      </c>
      <c r="BG428" s="217" t="s">
        <v>2000</v>
      </c>
      <c r="BH428" s="217" t="s">
        <v>1658</v>
      </c>
      <c r="BI428" s="217" t="s">
        <v>1658</v>
      </c>
      <c r="BJ428" s="217" t="s">
        <v>1660</v>
      </c>
      <c r="BK428" s="217" t="s">
        <v>637</v>
      </c>
      <c r="BL428" s="217"/>
      <c r="BM428" s="217"/>
      <c r="BN428" s="217">
        <v>0</v>
      </c>
      <c r="BO428" s="217">
        <v>0</v>
      </c>
      <c r="BR428" s="217" t="s">
        <v>85</v>
      </c>
      <c r="BS428" s="217" t="s">
        <v>98</v>
      </c>
      <c r="BT428" s="217" t="s">
        <v>167</v>
      </c>
      <c r="BU428" s="217" t="s">
        <v>1232</v>
      </c>
      <c r="BV428" s="217">
        <v>24</v>
      </c>
      <c r="BW428" s="217">
        <v>157</v>
      </c>
      <c r="BX428" s="217">
        <v>0</v>
      </c>
      <c r="BY428" s="217">
        <v>0</v>
      </c>
      <c r="BZ428" s="217">
        <v>24</v>
      </c>
      <c r="CA428" s="217">
        <v>120</v>
      </c>
      <c r="CB428" s="217">
        <v>24</v>
      </c>
      <c r="CC428" s="217">
        <v>157</v>
      </c>
      <c r="CD428" s="217">
        <v>0</v>
      </c>
      <c r="CE428" s="217">
        <v>0</v>
      </c>
      <c r="CF428" s="217">
        <v>24</v>
      </c>
      <c r="CG428" s="217">
        <v>120</v>
      </c>
      <c r="CH428" s="217">
        <v>0</v>
      </c>
      <c r="CI428" s="217">
        <v>0</v>
      </c>
      <c r="CJ428" s="217">
        <v>0</v>
      </c>
    </row>
    <row r="429" spans="1:88" x14ac:dyDescent="0.25">
      <c r="A429" s="217" t="s">
        <v>22</v>
      </c>
      <c r="B429" s="217" t="s">
        <v>23</v>
      </c>
      <c r="C429" s="217" t="s">
        <v>85</v>
      </c>
      <c r="D429" s="217" t="s">
        <v>84</v>
      </c>
      <c r="E429" s="217" t="s">
        <v>98</v>
      </c>
      <c r="F429" s="217" t="s">
        <v>97</v>
      </c>
      <c r="G429" s="217" t="s">
        <v>379</v>
      </c>
      <c r="H429" s="217" t="s">
        <v>1137</v>
      </c>
      <c r="I429" s="217" t="s">
        <v>29</v>
      </c>
      <c r="J429" s="217" t="s">
        <v>1855</v>
      </c>
      <c r="K429" s="217">
        <v>1</v>
      </c>
      <c r="L429" s="217">
        <v>6</v>
      </c>
      <c r="M429" s="217" t="s">
        <v>31</v>
      </c>
      <c r="N429" s="217" t="s">
        <v>32</v>
      </c>
      <c r="O429" s="217" t="s">
        <v>68</v>
      </c>
      <c r="P429" s="217" t="s">
        <v>34</v>
      </c>
      <c r="Q429" s="217" t="s">
        <v>35</v>
      </c>
      <c r="R429" s="217" t="s">
        <v>23</v>
      </c>
      <c r="S429" s="217" t="s">
        <v>22</v>
      </c>
      <c r="T429" s="217" t="s">
        <v>84</v>
      </c>
      <c r="U429" s="217" t="s">
        <v>85</v>
      </c>
      <c r="V429" s="217" t="s">
        <v>91</v>
      </c>
      <c r="W429" s="217" t="s">
        <v>92</v>
      </c>
      <c r="BC429" s="217" t="s">
        <v>85</v>
      </c>
      <c r="BD429" s="217" t="s">
        <v>98</v>
      </c>
      <c r="BE429" s="217" t="s">
        <v>1263</v>
      </c>
      <c r="BF429" s="217" t="s">
        <v>445</v>
      </c>
      <c r="BG429" s="217" t="s">
        <v>1998</v>
      </c>
      <c r="BH429" s="217" t="s">
        <v>1658</v>
      </c>
      <c r="BI429" s="217" t="s">
        <v>1660</v>
      </c>
      <c r="BJ429" s="217" t="s">
        <v>1660</v>
      </c>
      <c r="BK429" s="217" t="s">
        <v>637</v>
      </c>
      <c r="BL429" s="217"/>
      <c r="BM429" s="217"/>
      <c r="BN429" s="217">
        <v>0</v>
      </c>
      <c r="BO429" s="217">
        <v>0</v>
      </c>
      <c r="BR429" s="217" t="s">
        <v>85</v>
      </c>
      <c r="BS429" s="217" t="s">
        <v>98</v>
      </c>
      <c r="BT429" s="217" t="s">
        <v>1127</v>
      </c>
      <c r="BU429" s="217" t="s">
        <v>1128</v>
      </c>
      <c r="BV429" s="217">
        <v>7</v>
      </c>
      <c r="BW429" s="217">
        <v>32</v>
      </c>
      <c r="BX429" s="217">
        <v>0</v>
      </c>
      <c r="BY429" s="217">
        <v>0</v>
      </c>
      <c r="BZ429" s="217">
        <v>0</v>
      </c>
      <c r="CA429" s="217">
        <v>0</v>
      </c>
      <c r="CB429" s="217">
        <v>7</v>
      </c>
      <c r="CC429" s="217">
        <v>32</v>
      </c>
      <c r="CD429" s="217">
        <v>0</v>
      </c>
      <c r="CE429" s="217">
        <v>0</v>
      </c>
      <c r="CF429" s="217">
        <v>0</v>
      </c>
      <c r="CG429" s="217">
        <v>0</v>
      </c>
      <c r="CH429" s="217">
        <v>0</v>
      </c>
      <c r="CI429" s="217">
        <v>0</v>
      </c>
      <c r="CJ429" s="217">
        <v>0</v>
      </c>
    </row>
    <row r="430" spans="1:88" x14ac:dyDescent="0.25">
      <c r="A430" s="217" t="s">
        <v>22</v>
      </c>
      <c r="B430" s="217" t="s">
        <v>23</v>
      </c>
      <c r="C430" s="217" t="s">
        <v>85</v>
      </c>
      <c r="D430" s="217" t="s">
        <v>84</v>
      </c>
      <c r="E430" s="217" t="s">
        <v>98</v>
      </c>
      <c r="F430" s="217" t="s">
        <v>97</v>
      </c>
      <c r="G430" s="217" t="s">
        <v>379</v>
      </c>
      <c r="H430" s="217" t="s">
        <v>1137</v>
      </c>
      <c r="I430" s="217" t="s">
        <v>29</v>
      </c>
      <c r="J430" s="217" t="s">
        <v>1856</v>
      </c>
      <c r="K430" s="217">
        <v>3</v>
      </c>
      <c r="L430" s="217">
        <v>15</v>
      </c>
      <c r="M430" s="217" t="s">
        <v>31</v>
      </c>
      <c r="N430" s="217" t="s">
        <v>32</v>
      </c>
      <c r="O430" s="217" t="s">
        <v>68</v>
      </c>
      <c r="P430" s="217" t="s">
        <v>34</v>
      </c>
      <c r="Q430" s="217" t="s">
        <v>35</v>
      </c>
      <c r="R430" s="217" t="s">
        <v>23</v>
      </c>
      <c r="S430" s="217" t="s">
        <v>22</v>
      </c>
      <c r="T430" s="217" t="s">
        <v>84</v>
      </c>
      <c r="U430" s="217" t="s">
        <v>85</v>
      </c>
      <c r="V430" s="217" t="s">
        <v>91</v>
      </c>
      <c r="W430" s="217" t="s">
        <v>92</v>
      </c>
      <c r="BC430" s="217" t="s">
        <v>85</v>
      </c>
      <c r="BD430" s="217" t="s">
        <v>98</v>
      </c>
      <c r="BE430" s="217" t="s">
        <v>1264</v>
      </c>
      <c r="BF430" s="217" t="s">
        <v>822</v>
      </c>
      <c r="BG430" s="217" t="s">
        <v>1998</v>
      </c>
      <c r="BH430" s="217" t="s">
        <v>1658</v>
      </c>
      <c r="BI430" s="217" t="s">
        <v>1660</v>
      </c>
      <c r="BJ430" s="217" t="s">
        <v>1660</v>
      </c>
      <c r="BK430" s="217" t="s">
        <v>637</v>
      </c>
      <c r="BL430" s="217"/>
      <c r="BM430" s="217"/>
      <c r="BN430" s="217">
        <v>0</v>
      </c>
      <c r="BO430" s="217">
        <v>0</v>
      </c>
      <c r="BR430" s="217" t="s">
        <v>85</v>
      </c>
      <c r="BS430" s="217" t="s">
        <v>98</v>
      </c>
      <c r="BT430" s="217" t="s">
        <v>434</v>
      </c>
      <c r="BU430" s="217" t="s">
        <v>1242</v>
      </c>
      <c r="BV430" s="217">
        <v>123</v>
      </c>
      <c r="BW430" s="217">
        <v>1432</v>
      </c>
      <c r="BX430" s="217">
        <v>0</v>
      </c>
      <c r="BY430" s="217">
        <v>0</v>
      </c>
      <c r="BZ430" s="217">
        <v>0</v>
      </c>
      <c r="CA430" s="217">
        <v>0</v>
      </c>
      <c r="CB430" s="217">
        <v>123</v>
      </c>
      <c r="CC430" s="217">
        <v>1432</v>
      </c>
      <c r="CD430" s="217">
        <v>0</v>
      </c>
      <c r="CE430" s="217">
        <v>0</v>
      </c>
      <c r="CF430" s="217">
        <v>0</v>
      </c>
      <c r="CG430" s="217">
        <v>0</v>
      </c>
      <c r="CH430" s="217">
        <v>0</v>
      </c>
      <c r="CI430" s="217">
        <v>0</v>
      </c>
      <c r="CJ430" s="217">
        <v>0</v>
      </c>
    </row>
    <row r="431" spans="1:88" x14ac:dyDescent="0.25">
      <c r="A431" s="217" t="s">
        <v>22</v>
      </c>
      <c r="B431" s="217" t="s">
        <v>23</v>
      </c>
      <c r="C431" s="217" t="s">
        <v>85</v>
      </c>
      <c r="D431" s="217" t="s">
        <v>84</v>
      </c>
      <c r="E431" s="217" t="s">
        <v>98</v>
      </c>
      <c r="F431" s="217" t="s">
        <v>97</v>
      </c>
      <c r="G431" s="217" t="s">
        <v>379</v>
      </c>
      <c r="H431" s="217" t="s">
        <v>1137</v>
      </c>
      <c r="I431" s="217" t="s">
        <v>29</v>
      </c>
      <c r="J431" s="217" t="s">
        <v>1857</v>
      </c>
      <c r="K431" s="217">
        <v>3</v>
      </c>
      <c r="L431" s="217">
        <v>16</v>
      </c>
      <c r="M431" s="217" t="s">
        <v>31</v>
      </c>
      <c r="N431" s="217" t="s">
        <v>32</v>
      </c>
      <c r="O431" s="217" t="s">
        <v>68</v>
      </c>
      <c r="P431" s="217" t="s">
        <v>34</v>
      </c>
      <c r="Q431" s="217" t="s">
        <v>35</v>
      </c>
      <c r="R431" s="217" t="s">
        <v>23</v>
      </c>
      <c r="S431" s="217" t="s">
        <v>22</v>
      </c>
      <c r="T431" s="217" t="s">
        <v>84</v>
      </c>
      <c r="U431" s="217" t="s">
        <v>85</v>
      </c>
      <c r="V431" s="217" t="s">
        <v>91</v>
      </c>
      <c r="W431" s="217" t="s">
        <v>92</v>
      </c>
      <c r="BC431" s="217" t="s">
        <v>85</v>
      </c>
      <c r="BD431" s="217" t="s">
        <v>98</v>
      </c>
      <c r="BE431" s="217" t="s">
        <v>1265</v>
      </c>
      <c r="BF431" s="217" t="s">
        <v>831</v>
      </c>
      <c r="BG431" s="217" t="s">
        <v>1998</v>
      </c>
      <c r="BH431" s="217" t="s">
        <v>1658</v>
      </c>
      <c r="BI431" s="217" t="s">
        <v>1660</v>
      </c>
      <c r="BJ431" s="217" t="s">
        <v>1660</v>
      </c>
      <c r="BK431" s="217" t="s">
        <v>637</v>
      </c>
      <c r="BL431" s="217"/>
      <c r="BM431" s="217"/>
      <c r="BN431" s="217">
        <v>0</v>
      </c>
      <c r="BO431" s="217">
        <v>0</v>
      </c>
      <c r="BR431" s="217" t="s">
        <v>85</v>
      </c>
      <c r="BS431" s="217" t="s">
        <v>98</v>
      </c>
      <c r="BT431" s="217" t="s">
        <v>1114</v>
      </c>
      <c r="BU431" s="217" t="s">
        <v>1115</v>
      </c>
      <c r="BV431" s="217">
        <v>10</v>
      </c>
      <c r="BW431" s="217">
        <v>50</v>
      </c>
      <c r="BX431" s="217">
        <v>0</v>
      </c>
      <c r="BY431" s="217">
        <v>0</v>
      </c>
      <c r="BZ431" s="217">
        <v>0</v>
      </c>
      <c r="CA431" s="217">
        <v>0</v>
      </c>
      <c r="CB431" s="217">
        <v>10</v>
      </c>
      <c r="CC431" s="217">
        <v>50</v>
      </c>
      <c r="CD431" s="217">
        <v>0</v>
      </c>
      <c r="CE431" s="217">
        <v>0</v>
      </c>
      <c r="CF431" s="217">
        <v>0</v>
      </c>
      <c r="CG431" s="217">
        <v>0</v>
      </c>
      <c r="CH431" s="217">
        <v>0</v>
      </c>
      <c r="CI431" s="217">
        <v>0</v>
      </c>
      <c r="CJ431" s="217">
        <v>0</v>
      </c>
    </row>
    <row r="432" spans="1:88" x14ac:dyDescent="0.25">
      <c r="A432" s="217" t="s">
        <v>22</v>
      </c>
      <c r="B432" s="217" t="s">
        <v>23</v>
      </c>
      <c r="C432" s="217" t="s">
        <v>85</v>
      </c>
      <c r="D432" s="217" t="s">
        <v>84</v>
      </c>
      <c r="E432" s="217" t="s">
        <v>98</v>
      </c>
      <c r="F432" s="217" t="s">
        <v>97</v>
      </c>
      <c r="G432" s="217" t="s">
        <v>380</v>
      </c>
      <c r="H432" s="217" t="s">
        <v>1138</v>
      </c>
      <c r="I432" s="217" t="s">
        <v>29</v>
      </c>
      <c r="J432" s="217" t="s">
        <v>1856</v>
      </c>
      <c r="K432" s="217">
        <v>2</v>
      </c>
      <c r="L432" s="217">
        <v>14</v>
      </c>
      <c r="M432" s="217" t="s">
        <v>31</v>
      </c>
      <c r="N432" s="217" t="s">
        <v>32</v>
      </c>
      <c r="O432" s="217" t="s">
        <v>68</v>
      </c>
      <c r="P432" s="217" t="s">
        <v>34</v>
      </c>
      <c r="Q432" s="217" t="s">
        <v>35</v>
      </c>
      <c r="R432" s="217" t="s">
        <v>23</v>
      </c>
      <c r="S432" s="217" t="s">
        <v>22</v>
      </c>
      <c r="T432" s="217" t="s">
        <v>84</v>
      </c>
      <c r="U432" s="217" t="s">
        <v>85</v>
      </c>
      <c r="V432" s="217" t="s">
        <v>97</v>
      </c>
      <c r="W432" s="217" t="s">
        <v>98</v>
      </c>
      <c r="BC432" s="217" t="s">
        <v>85</v>
      </c>
      <c r="BD432" s="217" t="s">
        <v>98</v>
      </c>
      <c r="BE432" s="217" t="s">
        <v>1266</v>
      </c>
      <c r="BF432" s="217" t="s">
        <v>446</v>
      </c>
      <c r="BG432" s="217" t="s">
        <v>1998</v>
      </c>
      <c r="BH432" s="217" t="s">
        <v>1658</v>
      </c>
      <c r="BI432" s="217" t="s">
        <v>1658</v>
      </c>
      <c r="BJ432" s="217" t="s">
        <v>1660</v>
      </c>
      <c r="BK432" s="217" t="s">
        <v>637</v>
      </c>
      <c r="BL432" s="217"/>
      <c r="BM432" s="217"/>
      <c r="BN432" s="217">
        <v>0</v>
      </c>
      <c r="BO432" s="217">
        <v>0</v>
      </c>
      <c r="BR432" s="217" t="s">
        <v>85</v>
      </c>
      <c r="BS432" s="217" t="s">
        <v>98</v>
      </c>
      <c r="BT432" s="217" t="s">
        <v>631</v>
      </c>
      <c r="BU432" s="217" t="s">
        <v>1518</v>
      </c>
      <c r="BV432" s="217">
        <v>0</v>
      </c>
      <c r="BW432" s="217">
        <v>0</v>
      </c>
      <c r="BX432" s="217">
        <v>0</v>
      </c>
      <c r="BY432" s="217">
        <v>0</v>
      </c>
      <c r="BZ432" s="217">
        <v>0</v>
      </c>
      <c r="CA432" s="217">
        <v>0</v>
      </c>
      <c r="CB432" s="217">
        <v>0</v>
      </c>
      <c r="CC432" s="217">
        <v>0</v>
      </c>
      <c r="CD432" s="217">
        <v>5</v>
      </c>
      <c r="CE432" s="217">
        <v>43</v>
      </c>
      <c r="CF432" s="217">
        <v>12</v>
      </c>
      <c r="CG432" s="217">
        <v>102</v>
      </c>
      <c r="CH432" s="217">
        <v>0</v>
      </c>
      <c r="CI432" s="217">
        <v>-43</v>
      </c>
      <c r="CJ432" s="217">
        <v>-102</v>
      </c>
    </row>
    <row r="433" spans="1:88" x14ac:dyDescent="0.25">
      <c r="A433" s="217" t="s">
        <v>22</v>
      </c>
      <c r="B433" s="217" t="s">
        <v>23</v>
      </c>
      <c r="C433" s="217" t="s">
        <v>85</v>
      </c>
      <c r="D433" s="217" t="s">
        <v>84</v>
      </c>
      <c r="E433" s="217" t="s">
        <v>98</v>
      </c>
      <c r="F433" s="217" t="s">
        <v>97</v>
      </c>
      <c r="G433" s="217" t="s">
        <v>380</v>
      </c>
      <c r="H433" s="217" t="s">
        <v>1138</v>
      </c>
      <c r="I433" s="217" t="s">
        <v>29</v>
      </c>
      <c r="J433" s="217" t="s">
        <v>1857</v>
      </c>
      <c r="K433" s="217">
        <v>4</v>
      </c>
      <c r="L433" s="217">
        <v>20</v>
      </c>
      <c r="M433" s="217" t="s">
        <v>31</v>
      </c>
      <c r="N433" s="217" t="s">
        <v>32</v>
      </c>
      <c r="O433" s="217" t="s">
        <v>68</v>
      </c>
      <c r="P433" s="217" t="s">
        <v>34</v>
      </c>
      <c r="Q433" s="217" t="s">
        <v>35</v>
      </c>
      <c r="R433" s="217" t="s">
        <v>23</v>
      </c>
      <c r="S433" s="217" t="s">
        <v>22</v>
      </c>
      <c r="T433" s="217" t="s">
        <v>84</v>
      </c>
      <c r="U433" s="217" t="s">
        <v>85</v>
      </c>
      <c r="V433" s="217" t="s">
        <v>91</v>
      </c>
      <c r="W433" s="217" t="s">
        <v>92</v>
      </c>
      <c r="BC433" s="217" t="s">
        <v>85</v>
      </c>
      <c r="BD433" s="217" t="s">
        <v>98</v>
      </c>
      <c r="BE433" s="217" t="s">
        <v>1267</v>
      </c>
      <c r="BF433" s="217" t="s">
        <v>447</v>
      </c>
      <c r="BG433" s="217" t="s">
        <v>1998</v>
      </c>
      <c r="BH433" s="217" t="s">
        <v>1658</v>
      </c>
      <c r="BI433" s="217" t="s">
        <v>1658</v>
      </c>
      <c r="BJ433" s="217" t="s">
        <v>1660</v>
      </c>
      <c r="BK433" s="217" t="s">
        <v>637</v>
      </c>
      <c r="BL433" s="217"/>
      <c r="BM433" s="217"/>
      <c r="BN433" s="217">
        <v>0</v>
      </c>
      <c r="BO433" s="217">
        <v>0</v>
      </c>
      <c r="BR433" s="217" t="s">
        <v>85</v>
      </c>
      <c r="BS433" s="217" t="s">
        <v>98</v>
      </c>
      <c r="BT433" s="217" t="s">
        <v>170</v>
      </c>
      <c r="BU433" s="217" t="s">
        <v>1274</v>
      </c>
      <c r="BV433" s="217">
        <v>130</v>
      </c>
      <c r="BW433" s="217">
        <v>1078</v>
      </c>
      <c r="BX433" s="217">
        <v>0</v>
      </c>
      <c r="BY433" s="217">
        <v>0</v>
      </c>
      <c r="BZ433" s="217">
        <v>0</v>
      </c>
      <c r="CA433" s="217">
        <v>0</v>
      </c>
      <c r="CB433" s="217">
        <v>130</v>
      </c>
      <c r="CC433" s="217">
        <v>1078</v>
      </c>
      <c r="CD433" s="217">
        <v>0</v>
      </c>
      <c r="CE433" s="217">
        <v>0</v>
      </c>
      <c r="CF433" s="217">
        <v>12</v>
      </c>
      <c r="CG433" s="217">
        <v>60</v>
      </c>
      <c r="CH433" s="217">
        <v>0</v>
      </c>
      <c r="CI433" s="217">
        <v>0</v>
      </c>
      <c r="CJ433" s="217">
        <v>-60</v>
      </c>
    </row>
    <row r="434" spans="1:88" x14ac:dyDescent="0.25">
      <c r="A434" s="217" t="s">
        <v>22</v>
      </c>
      <c r="B434" s="217" t="s">
        <v>23</v>
      </c>
      <c r="C434" s="217" t="s">
        <v>85</v>
      </c>
      <c r="D434" s="217" t="s">
        <v>84</v>
      </c>
      <c r="E434" s="217" t="s">
        <v>98</v>
      </c>
      <c r="F434" s="217" t="s">
        <v>97</v>
      </c>
      <c r="G434" s="217" t="s">
        <v>381</v>
      </c>
      <c r="H434" s="217" t="s">
        <v>1139</v>
      </c>
      <c r="I434" s="217" t="s">
        <v>29</v>
      </c>
      <c r="J434" s="217" t="s">
        <v>1856</v>
      </c>
      <c r="K434" s="217">
        <v>4</v>
      </c>
      <c r="L434" s="217">
        <v>32</v>
      </c>
      <c r="M434" s="217" t="s">
        <v>31</v>
      </c>
      <c r="N434" s="217" t="s">
        <v>32</v>
      </c>
      <c r="O434" s="217" t="s">
        <v>100</v>
      </c>
      <c r="P434" s="217" t="s">
        <v>34</v>
      </c>
      <c r="Q434" s="217" t="s">
        <v>35</v>
      </c>
      <c r="R434" s="217" t="s">
        <v>23</v>
      </c>
      <c r="S434" s="217" t="s">
        <v>22</v>
      </c>
      <c r="T434" s="217" t="s">
        <v>84</v>
      </c>
      <c r="U434" s="217" t="s">
        <v>85</v>
      </c>
      <c r="V434" s="217" t="s">
        <v>97</v>
      </c>
      <c r="W434" s="217" t="s">
        <v>98</v>
      </c>
      <c r="BC434" s="217" t="s">
        <v>85</v>
      </c>
      <c r="BD434" s="217" t="s">
        <v>98</v>
      </c>
      <c r="BE434" s="217" t="s">
        <v>1268</v>
      </c>
      <c r="BF434" s="217" t="s">
        <v>806</v>
      </c>
      <c r="BG434" s="217" t="s">
        <v>1998</v>
      </c>
      <c r="BH434" s="217" t="s">
        <v>1658</v>
      </c>
      <c r="BI434" s="217" t="s">
        <v>1658</v>
      </c>
      <c r="BJ434" s="217" t="s">
        <v>1660</v>
      </c>
      <c r="BK434" s="217" t="s">
        <v>637</v>
      </c>
      <c r="BL434" s="217"/>
      <c r="BM434" s="217"/>
      <c r="BN434" s="217">
        <v>0</v>
      </c>
      <c r="BO434" s="217">
        <v>0</v>
      </c>
      <c r="BR434" s="217" t="s">
        <v>85</v>
      </c>
      <c r="BS434" s="217" t="s">
        <v>98</v>
      </c>
      <c r="BT434" s="217" t="s">
        <v>1189</v>
      </c>
      <c r="BU434" s="217" t="s">
        <v>1190</v>
      </c>
      <c r="BV434" s="217">
        <v>35</v>
      </c>
      <c r="BW434" s="217">
        <v>175</v>
      </c>
      <c r="BX434" s="217">
        <v>0</v>
      </c>
      <c r="BY434" s="217">
        <v>0</v>
      </c>
      <c r="BZ434" s="217">
        <v>0</v>
      </c>
      <c r="CA434" s="217">
        <v>0</v>
      </c>
      <c r="CB434" s="217">
        <v>35</v>
      </c>
      <c r="CC434" s="217">
        <v>175</v>
      </c>
      <c r="CD434" s="217">
        <v>0</v>
      </c>
      <c r="CE434" s="217">
        <v>0</v>
      </c>
      <c r="CF434" s="217">
        <v>0</v>
      </c>
      <c r="CG434" s="217">
        <v>0</v>
      </c>
      <c r="CH434" s="217">
        <v>0</v>
      </c>
      <c r="CI434" s="217">
        <v>0</v>
      </c>
      <c r="CJ434" s="217">
        <v>0</v>
      </c>
    </row>
    <row r="435" spans="1:88" x14ac:dyDescent="0.25">
      <c r="A435" s="217" t="s">
        <v>22</v>
      </c>
      <c r="B435" s="217" t="s">
        <v>23</v>
      </c>
      <c r="C435" s="217" t="s">
        <v>85</v>
      </c>
      <c r="D435" s="217" t="s">
        <v>84</v>
      </c>
      <c r="E435" s="217" t="s">
        <v>98</v>
      </c>
      <c r="F435" s="217" t="s">
        <v>97</v>
      </c>
      <c r="G435" s="217" t="s">
        <v>381</v>
      </c>
      <c r="H435" s="217" t="s">
        <v>1139</v>
      </c>
      <c r="I435" s="217" t="s">
        <v>29</v>
      </c>
      <c r="J435" s="217" t="s">
        <v>1857</v>
      </c>
      <c r="K435" s="217">
        <v>3</v>
      </c>
      <c r="L435" s="217">
        <v>20</v>
      </c>
      <c r="M435" s="217" t="s">
        <v>31</v>
      </c>
      <c r="N435" s="217" t="s">
        <v>32</v>
      </c>
      <c r="O435" s="217" t="s">
        <v>100</v>
      </c>
      <c r="P435" s="217" t="s">
        <v>34</v>
      </c>
      <c r="Q435" s="217" t="s">
        <v>35</v>
      </c>
      <c r="R435" s="217" t="s">
        <v>23</v>
      </c>
      <c r="S435" s="217" t="s">
        <v>22</v>
      </c>
      <c r="T435" s="217" t="s">
        <v>84</v>
      </c>
      <c r="U435" s="217" t="s">
        <v>85</v>
      </c>
      <c r="V435" s="217" t="s">
        <v>97</v>
      </c>
      <c r="W435" s="217" t="s">
        <v>98</v>
      </c>
      <c r="BC435" s="217" t="s">
        <v>85</v>
      </c>
      <c r="BD435" s="217" t="s">
        <v>98</v>
      </c>
      <c r="BE435" s="217" t="s">
        <v>1269</v>
      </c>
      <c r="BF435" s="217" t="s">
        <v>448</v>
      </c>
      <c r="BG435" s="217" t="s">
        <v>1998</v>
      </c>
      <c r="BH435" s="217" t="s">
        <v>1658</v>
      </c>
      <c r="BI435" s="217" t="s">
        <v>1660</v>
      </c>
      <c r="BJ435" s="217" t="s">
        <v>1660</v>
      </c>
      <c r="BK435" s="217" t="s">
        <v>637</v>
      </c>
      <c r="BL435" s="217"/>
      <c r="BM435" s="217"/>
      <c r="BN435" s="217">
        <v>0</v>
      </c>
      <c r="BO435" s="217">
        <v>0</v>
      </c>
      <c r="BR435" s="217" t="s">
        <v>85</v>
      </c>
      <c r="BS435" s="217" t="s">
        <v>98</v>
      </c>
      <c r="BT435" s="217" t="s">
        <v>632</v>
      </c>
      <c r="BU435" s="217" t="s">
        <v>1519</v>
      </c>
      <c r="BV435" s="217">
        <v>0</v>
      </c>
      <c r="BW435" s="217">
        <v>0</v>
      </c>
      <c r="BX435" s="217">
        <v>0</v>
      </c>
      <c r="BY435" s="217">
        <v>0</v>
      </c>
      <c r="BZ435" s="217">
        <v>0</v>
      </c>
      <c r="CA435" s="217">
        <v>0</v>
      </c>
      <c r="CB435" s="217">
        <v>0</v>
      </c>
      <c r="CC435" s="217">
        <v>0</v>
      </c>
      <c r="CD435" s="217">
        <v>7</v>
      </c>
      <c r="CE435" s="217">
        <v>60</v>
      </c>
      <c r="CF435" s="217">
        <v>14</v>
      </c>
      <c r="CG435" s="217">
        <v>119</v>
      </c>
      <c r="CH435" s="217">
        <v>0</v>
      </c>
      <c r="CI435" s="217">
        <v>-60</v>
      </c>
      <c r="CJ435" s="217">
        <v>-119</v>
      </c>
    </row>
    <row r="436" spans="1:88" x14ac:dyDescent="0.25">
      <c r="A436" s="217" t="s">
        <v>22</v>
      </c>
      <c r="B436" s="217" t="s">
        <v>23</v>
      </c>
      <c r="C436" s="217" t="s">
        <v>85</v>
      </c>
      <c r="D436" s="217" t="s">
        <v>84</v>
      </c>
      <c r="E436" s="217" t="s">
        <v>98</v>
      </c>
      <c r="F436" s="217" t="s">
        <v>97</v>
      </c>
      <c r="G436" s="217" t="s">
        <v>382</v>
      </c>
      <c r="H436" s="217" t="s">
        <v>1140</v>
      </c>
      <c r="I436" s="217" t="s">
        <v>29</v>
      </c>
      <c r="J436" s="217" t="s">
        <v>1855</v>
      </c>
      <c r="K436" s="217">
        <v>2</v>
      </c>
      <c r="L436" s="217">
        <v>17</v>
      </c>
      <c r="M436" s="217" t="s">
        <v>31</v>
      </c>
      <c r="N436" s="217" t="s">
        <v>32</v>
      </c>
      <c r="O436" s="217" t="s">
        <v>100</v>
      </c>
      <c r="P436" s="217" t="s">
        <v>34</v>
      </c>
      <c r="Q436" s="217" t="s">
        <v>35</v>
      </c>
      <c r="R436" s="217" t="s">
        <v>23</v>
      </c>
      <c r="S436" s="217" t="s">
        <v>22</v>
      </c>
      <c r="T436" s="217" t="s">
        <v>84</v>
      </c>
      <c r="U436" s="217" t="s">
        <v>85</v>
      </c>
      <c r="V436" s="217" t="s">
        <v>97</v>
      </c>
      <c r="W436" s="217" t="s">
        <v>98</v>
      </c>
      <c r="BC436" s="217" t="s">
        <v>85</v>
      </c>
      <c r="BD436" s="217" t="s">
        <v>98</v>
      </c>
      <c r="BE436" s="217" t="s">
        <v>1270</v>
      </c>
      <c r="BF436" s="217" t="s">
        <v>449</v>
      </c>
      <c r="BG436" s="217" t="s">
        <v>1998</v>
      </c>
      <c r="BH436" s="217" t="s">
        <v>1658</v>
      </c>
      <c r="BI436" s="217" t="s">
        <v>1658</v>
      </c>
      <c r="BJ436" s="217" t="s">
        <v>1660</v>
      </c>
      <c r="BK436" s="217" t="s">
        <v>637</v>
      </c>
      <c r="BL436" s="217"/>
      <c r="BM436" s="217"/>
      <c r="BN436" s="217">
        <v>0</v>
      </c>
      <c r="BO436" s="217">
        <v>0</v>
      </c>
      <c r="BR436" s="217" t="s">
        <v>85</v>
      </c>
      <c r="BS436" s="217" t="s">
        <v>98</v>
      </c>
      <c r="BT436" s="217" t="s">
        <v>1131</v>
      </c>
      <c r="BU436" s="217" t="s">
        <v>1132</v>
      </c>
      <c r="BV436" s="217">
        <v>10</v>
      </c>
      <c r="BW436" s="217">
        <v>45</v>
      </c>
      <c r="BX436" s="217">
        <v>0</v>
      </c>
      <c r="BY436" s="217">
        <v>0</v>
      </c>
      <c r="BZ436" s="217">
        <v>0</v>
      </c>
      <c r="CA436" s="217">
        <v>0</v>
      </c>
      <c r="CB436" s="217">
        <v>10</v>
      </c>
      <c r="CC436" s="217">
        <v>45</v>
      </c>
      <c r="CD436" s="217">
        <v>0</v>
      </c>
      <c r="CE436" s="217">
        <v>0</v>
      </c>
      <c r="CF436" s="217">
        <v>0</v>
      </c>
      <c r="CG436" s="217">
        <v>0</v>
      </c>
      <c r="CH436" s="217">
        <v>0</v>
      </c>
      <c r="CI436" s="217">
        <v>0</v>
      </c>
      <c r="CJ436" s="217">
        <v>0</v>
      </c>
    </row>
    <row r="437" spans="1:88" x14ac:dyDescent="0.25">
      <c r="A437" s="217" t="s">
        <v>22</v>
      </c>
      <c r="B437" s="217" t="s">
        <v>23</v>
      </c>
      <c r="C437" s="217" t="s">
        <v>85</v>
      </c>
      <c r="D437" s="217" t="s">
        <v>84</v>
      </c>
      <c r="E437" s="217" t="s">
        <v>98</v>
      </c>
      <c r="F437" s="217" t="s">
        <v>97</v>
      </c>
      <c r="G437" s="217" t="s">
        <v>382</v>
      </c>
      <c r="H437" s="217" t="s">
        <v>1140</v>
      </c>
      <c r="I437" s="217" t="s">
        <v>29</v>
      </c>
      <c r="J437" s="217" t="s">
        <v>1856</v>
      </c>
      <c r="K437" s="217">
        <v>2</v>
      </c>
      <c r="L437" s="217">
        <v>2</v>
      </c>
      <c r="M437" s="217" t="s">
        <v>31</v>
      </c>
      <c r="N437" s="217" t="s">
        <v>32</v>
      </c>
      <c r="O437" s="217" t="s">
        <v>100</v>
      </c>
      <c r="P437" s="217" t="s">
        <v>34</v>
      </c>
      <c r="Q437" s="217" t="s">
        <v>35</v>
      </c>
      <c r="R437" s="217" t="s">
        <v>23</v>
      </c>
      <c r="S437" s="217" t="s">
        <v>22</v>
      </c>
      <c r="T437" s="217" t="s">
        <v>84</v>
      </c>
      <c r="U437" s="217" t="s">
        <v>85</v>
      </c>
      <c r="V437" s="217" t="s">
        <v>97</v>
      </c>
      <c r="W437" s="217" t="s">
        <v>98</v>
      </c>
      <c r="BC437" s="217" t="s">
        <v>85</v>
      </c>
      <c r="BD437" s="217" t="s">
        <v>98</v>
      </c>
      <c r="BE437" s="217" t="s">
        <v>1271</v>
      </c>
      <c r="BF437" s="217" t="s">
        <v>450</v>
      </c>
      <c r="BG437" s="217" t="s">
        <v>1998</v>
      </c>
      <c r="BH437" s="217" t="s">
        <v>1658</v>
      </c>
      <c r="BI437" s="217" t="s">
        <v>1658</v>
      </c>
      <c r="BJ437" s="217" t="s">
        <v>1660</v>
      </c>
      <c r="BK437" s="217" t="s">
        <v>637</v>
      </c>
      <c r="BL437" s="217"/>
      <c r="BM437" s="217"/>
      <c r="BN437" s="217">
        <v>0</v>
      </c>
      <c r="BO437" s="217">
        <v>0</v>
      </c>
      <c r="BR437" s="217" t="s">
        <v>85</v>
      </c>
      <c r="BS437" s="217" t="s">
        <v>98</v>
      </c>
      <c r="BT437" s="217" t="s">
        <v>1112</v>
      </c>
      <c r="BU437" s="217" t="s">
        <v>1113</v>
      </c>
      <c r="BV437" s="217">
        <v>12</v>
      </c>
      <c r="BW437" s="217">
        <v>87</v>
      </c>
      <c r="BX437" s="217">
        <v>0</v>
      </c>
      <c r="BY437" s="217">
        <v>0</v>
      </c>
      <c r="BZ437" s="217">
        <v>0</v>
      </c>
      <c r="CA437" s="217">
        <v>0</v>
      </c>
      <c r="CB437" s="217">
        <v>12</v>
      </c>
      <c r="CC437" s="217">
        <v>70</v>
      </c>
      <c r="CD437" s="217">
        <v>0</v>
      </c>
      <c r="CE437" s="217">
        <v>0</v>
      </c>
      <c r="CF437" s="217">
        <v>0</v>
      </c>
      <c r="CG437" s="217">
        <v>0</v>
      </c>
      <c r="CH437" s="217">
        <v>17</v>
      </c>
      <c r="CI437" s="217">
        <v>0</v>
      </c>
      <c r="CJ437" s="217">
        <v>0</v>
      </c>
    </row>
    <row r="438" spans="1:88" x14ac:dyDescent="0.25">
      <c r="A438" s="217" t="s">
        <v>22</v>
      </c>
      <c r="B438" s="217" t="s">
        <v>23</v>
      </c>
      <c r="C438" s="217" t="s">
        <v>85</v>
      </c>
      <c r="D438" s="217" t="s">
        <v>84</v>
      </c>
      <c r="E438" s="217" t="s">
        <v>98</v>
      </c>
      <c r="F438" s="217" t="s">
        <v>97</v>
      </c>
      <c r="G438" s="217" t="s">
        <v>383</v>
      </c>
      <c r="H438" s="217" t="s">
        <v>1141</v>
      </c>
      <c r="I438" s="217" t="s">
        <v>29</v>
      </c>
      <c r="J438" s="217" t="s">
        <v>1855</v>
      </c>
      <c r="K438" s="217">
        <v>2</v>
      </c>
      <c r="L438" s="217">
        <v>16</v>
      </c>
      <c r="M438" s="217" t="s">
        <v>31</v>
      </c>
      <c r="N438" s="217" t="s">
        <v>32</v>
      </c>
      <c r="O438" s="217" t="s">
        <v>68</v>
      </c>
      <c r="P438" s="217" t="s">
        <v>34</v>
      </c>
      <c r="Q438" s="217" t="s">
        <v>35</v>
      </c>
      <c r="R438" s="217" t="s">
        <v>23</v>
      </c>
      <c r="S438" s="217" t="s">
        <v>22</v>
      </c>
      <c r="T438" s="217" t="s">
        <v>84</v>
      </c>
      <c r="U438" s="217" t="s">
        <v>85</v>
      </c>
      <c r="V438" s="217" t="s">
        <v>109</v>
      </c>
      <c r="W438" s="217" t="s">
        <v>110</v>
      </c>
      <c r="BC438" s="217" t="s">
        <v>85</v>
      </c>
      <c r="BD438" s="217" t="s">
        <v>98</v>
      </c>
      <c r="BE438" s="217" t="s">
        <v>1272</v>
      </c>
      <c r="BF438" s="217" t="s">
        <v>451</v>
      </c>
      <c r="BG438" s="217" t="s">
        <v>1998</v>
      </c>
      <c r="BH438" s="217" t="s">
        <v>1658</v>
      </c>
      <c r="BI438" s="217" t="s">
        <v>1658</v>
      </c>
      <c r="BJ438" s="217" t="s">
        <v>1658</v>
      </c>
      <c r="BK438" s="217" t="s">
        <v>637</v>
      </c>
      <c r="BL438" s="217"/>
      <c r="BM438" s="217"/>
      <c r="BN438" s="217">
        <v>0</v>
      </c>
      <c r="BO438" s="217">
        <v>0</v>
      </c>
      <c r="BR438" s="217" t="s">
        <v>85</v>
      </c>
      <c r="BS438" s="217" t="s">
        <v>98</v>
      </c>
      <c r="BT438" s="217" t="s">
        <v>1162</v>
      </c>
      <c r="BU438" s="217" t="s">
        <v>1163</v>
      </c>
      <c r="BV438" s="217">
        <v>5</v>
      </c>
      <c r="BW438" s="217">
        <v>37</v>
      </c>
      <c r="BX438" s="217">
        <v>0</v>
      </c>
      <c r="BY438" s="217">
        <v>0</v>
      </c>
      <c r="BZ438" s="217">
        <v>0</v>
      </c>
      <c r="CA438" s="217">
        <v>0</v>
      </c>
      <c r="CB438" s="217">
        <v>5</v>
      </c>
      <c r="CC438" s="217">
        <v>37</v>
      </c>
      <c r="CD438" s="217">
        <v>0</v>
      </c>
      <c r="CE438" s="217">
        <v>0</v>
      </c>
      <c r="CF438" s="217">
        <v>0</v>
      </c>
      <c r="CG438" s="217">
        <v>0</v>
      </c>
      <c r="CH438" s="217">
        <v>0</v>
      </c>
      <c r="CI438" s="217">
        <v>0</v>
      </c>
      <c r="CJ438" s="217">
        <v>0</v>
      </c>
    </row>
    <row r="439" spans="1:88" x14ac:dyDescent="0.25">
      <c r="A439" s="217" t="s">
        <v>22</v>
      </c>
      <c r="B439" s="217" t="s">
        <v>23</v>
      </c>
      <c r="C439" s="217" t="s">
        <v>85</v>
      </c>
      <c r="D439" s="217" t="s">
        <v>84</v>
      </c>
      <c r="E439" s="217" t="s">
        <v>98</v>
      </c>
      <c r="F439" s="217" t="s">
        <v>97</v>
      </c>
      <c r="G439" s="217" t="s">
        <v>383</v>
      </c>
      <c r="H439" s="217" t="s">
        <v>1141</v>
      </c>
      <c r="I439" s="217" t="s">
        <v>29</v>
      </c>
      <c r="J439" s="217" t="s">
        <v>1856</v>
      </c>
      <c r="K439" s="217">
        <v>4</v>
      </c>
      <c r="L439" s="217">
        <v>20</v>
      </c>
      <c r="M439" s="217" t="s">
        <v>31</v>
      </c>
      <c r="N439" s="217" t="s">
        <v>32</v>
      </c>
      <c r="O439" s="217" t="s">
        <v>68</v>
      </c>
      <c r="P439" s="217" t="s">
        <v>34</v>
      </c>
      <c r="Q439" s="217" t="s">
        <v>35</v>
      </c>
      <c r="R439" s="217" t="s">
        <v>23</v>
      </c>
      <c r="S439" s="217" t="s">
        <v>22</v>
      </c>
      <c r="T439" s="217" t="s">
        <v>84</v>
      </c>
      <c r="U439" s="217" t="s">
        <v>85</v>
      </c>
      <c r="V439" s="217" t="s">
        <v>91</v>
      </c>
      <c r="W439" s="217" t="s">
        <v>92</v>
      </c>
      <c r="BC439" s="217" t="s">
        <v>85</v>
      </c>
      <c r="BD439" s="217" t="s">
        <v>98</v>
      </c>
      <c r="BE439" s="217" t="s">
        <v>1273</v>
      </c>
      <c r="BF439" s="217" t="s">
        <v>808</v>
      </c>
      <c r="BG439" s="217" t="s">
        <v>1998</v>
      </c>
      <c r="BH439" s="217" t="s">
        <v>1658</v>
      </c>
      <c r="BI439" s="217" t="s">
        <v>1660</v>
      </c>
      <c r="BJ439" s="217" t="s">
        <v>1660</v>
      </c>
      <c r="BK439" s="217" t="s">
        <v>637</v>
      </c>
      <c r="BL439" s="217"/>
      <c r="BM439" s="217"/>
      <c r="BN439" s="217">
        <v>0</v>
      </c>
      <c r="BO439" s="217">
        <v>0</v>
      </c>
      <c r="BR439" s="217" t="s">
        <v>85</v>
      </c>
      <c r="BS439" s="217" t="s">
        <v>98</v>
      </c>
      <c r="BT439" s="217" t="s">
        <v>1152</v>
      </c>
      <c r="BU439" s="217" t="s">
        <v>1153</v>
      </c>
      <c r="BV439" s="217">
        <v>85</v>
      </c>
      <c r="BW439" s="217">
        <v>425</v>
      </c>
      <c r="BX439" s="217">
        <v>0</v>
      </c>
      <c r="BY439" s="217">
        <v>0</v>
      </c>
      <c r="BZ439" s="217">
        <v>0</v>
      </c>
      <c r="CA439" s="217">
        <v>0</v>
      </c>
      <c r="CB439" s="217">
        <v>85</v>
      </c>
      <c r="CC439" s="217">
        <v>425</v>
      </c>
      <c r="CD439" s="217">
        <v>0</v>
      </c>
      <c r="CE439" s="217">
        <v>0</v>
      </c>
      <c r="CF439" s="217">
        <v>0</v>
      </c>
      <c r="CG439" s="217">
        <v>0</v>
      </c>
      <c r="CH439" s="217">
        <v>0</v>
      </c>
      <c r="CI439" s="217">
        <v>0</v>
      </c>
      <c r="CJ439" s="217">
        <v>0</v>
      </c>
    </row>
    <row r="440" spans="1:88" x14ac:dyDescent="0.25">
      <c r="A440" s="217" t="s">
        <v>22</v>
      </c>
      <c r="B440" s="217" t="s">
        <v>23</v>
      </c>
      <c r="C440" s="217" t="s">
        <v>85</v>
      </c>
      <c r="D440" s="217" t="s">
        <v>84</v>
      </c>
      <c r="E440" s="217" t="s">
        <v>98</v>
      </c>
      <c r="F440" s="217" t="s">
        <v>97</v>
      </c>
      <c r="G440" s="217" t="s">
        <v>383</v>
      </c>
      <c r="H440" s="217" t="s">
        <v>1141</v>
      </c>
      <c r="I440" s="217" t="s">
        <v>29</v>
      </c>
      <c r="J440" s="217" t="s">
        <v>1857</v>
      </c>
      <c r="K440" s="217">
        <v>6</v>
      </c>
      <c r="L440" s="217">
        <v>20</v>
      </c>
      <c r="M440" s="217" t="s">
        <v>31</v>
      </c>
      <c r="N440" s="217" t="s">
        <v>32</v>
      </c>
      <c r="O440" s="217" t="s">
        <v>68</v>
      </c>
      <c r="P440" s="217" t="s">
        <v>34</v>
      </c>
      <c r="Q440" s="217" t="s">
        <v>35</v>
      </c>
      <c r="R440" s="217" t="s">
        <v>23</v>
      </c>
      <c r="S440" s="217" t="s">
        <v>22</v>
      </c>
      <c r="T440" s="217" t="s">
        <v>84</v>
      </c>
      <c r="U440" s="217" t="s">
        <v>85</v>
      </c>
      <c r="V440" s="217" t="s">
        <v>91</v>
      </c>
      <c r="W440" s="217" t="s">
        <v>92</v>
      </c>
      <c r="BC440" s="217" t="s">
        <v>85</v>
      </c>
      <c r="BD440" s="217" t="s">
        <v>98</v>
      </c>
      <c r="BE440" s="217" t="s">
        <v>1274</v>
      </c>
      <c r="BF440" s="217" t="s">
        <v>170</v>
      </c>
      <c r="BG440" s="217" t="s">
        <v>1998</v>
      </c>
      <c r="BH440" s="217" t="s">
        <v>1658</v>
      </c>
      <c r="BI440" s="217" t="s">
        <v>1660</v>
      </c>
      <c r="BJ440" s="217" t="s">
        <v>1660</v>
      </c>
      <c r="BK440" s="217" t="s">
        <v>637</v>
      </c>
      <c r="BL440" s="217"/>
      <c r="BM440" s="217"/>
      <c r="BN440" s="217">
        <v>0</v>
      </c>
      <c r="BO440" s="217">
        <v>0</v>
      </c>
      <c r="BR440" s="217" t="s">
        <v>85</v>
      </c>
      <c r="BS440" s="217" t="s">
        <v>98</v>
      </c>
      <c r="BT440" s="217" t="s">
        <v>1284</v>
      </c>
      <c r="BU440" s="217" t="s">
        <v>1285</v>
      </c>
      <c r="BV440" s="217">
        <v>35</v>
      </c>
      <c r="BW440" s="217">
        <v>135</v>
      </c>
      <c r="BX440" s="217">
        <v>0</v>
      </c>
      <c r="BY440" s="217">
        <v>0</v>
      </c>
      <c r="BZ440" s="217">
        <v>0</v>
      </c>
      <c r="CA440" s="217">
        <v>0</v>
      </c>
      <c r="CB440" s="217">
        <v>35</v>
      </c>
      <c r="CC440" s="217">
        <v>135</v>
      </c>
      <c r="CD440" s="217">
        <v>0</v>
      </c>
      <c r="CE440" s="217">
        <v>0</v>
      </c>
      <c r="CF440" s="217">
        <v>0</v>
      </c>
      <c r="CG440" s="217">
        <v>0</v>
      </c>
      <c r="CH440" s="217">
        <v>0</v>
      </c>
      <c r="CI440" s="217">
        <v>0</v>
      </c>
      <c r="CJ440" s="217">
        <v>0</v>
      </c>
    </row>
    <row r="441" spans="1:88" x14ac:dyDescent="0.25">
      <c r="A441" s="217" t="s">
        <v>22</v>
      </c>
      <c r="B441" s="217" t="s">
        <v>23</v>
      </c>
      <c r="C441" s="217" t="s">
        <v>85</v>
      </c>
      <c r="D441" s="217" t="s">
        <v>84</v>
      </c>
      <c r="E441" s="217" t="s">
        <v>98</v>
      </c>
      <c r="F441" s="217" t="s">
        <v>97</v>
      </c>
      <c r="G441" s="217" t="s">
        <v>801</v>
      </c>
      <c r="H441" s="217" t="s">
        <v>1142</v>
      </c>
      <c r="I441" s="217" t="s">
        <v>29</v>
      </c>
      <c r="J441" s="217" t="s">
        <v>1857</v>
      </c>
      <c r="K441" s="217">
        <v>31</v>
      </c>
      <c r="L441" s="217">
        <v>262</v>
      </c>
      <c r="M441" s="217" t="s">
        <v>31</v>
      </c>
      <c r="N441" s="217" t="s">
        <v>32</v>
      </c>
      <c r="O441" s="217" t="s">
        <v>100</v>
      </c>
      <c r="P441" s="217" t="s">
        <v>34</v>
      </c>
      <c r="Q441" s="217" t="s">
        <v>35</v>
      </c>
      <c r="R441" s="217" t="s">
        <v>23</v>
      </c>
      <c r="S441" s="217" t="s">
        <v>22</v>
      </c>
      <c r="T441" s="217" t="s">
        <v>84</v>
      </c>
      <c r="U441" s="217" t="s">
        <v>85</v>
      </c>
      <c r="V441" s="217" t="s">
        <v>97</v>
      </c>
      <c r="W441" s="217" t="s">
        <v>98</v>
      </c>
      <c r="BC441" s="217" t="s">
        <v>85</v>
      </c>
      <c r="BD441" s="217" t="s">
        <v>98</v>
      </c>
      <c r="BE441" s="217" t="s">
        <v>1276</v>
      </c>
      <c r="BF441" s="217" t="s">
        <v>1275</v>
      </c>
      <c r="BG441" s="217" t="s">
        <v>2006</v>
      </c>
      <c r="BH441" s="217" t="s">
        <v>1658</v>
      </c>
      <c r="BI441" s="217" t="s">
        <v>1660</v>
      </c>
      <c r="BJ441" s="217" t="s">
        <v>1660</v>
      </c>
      <c r="BK441" s="217" t="s">
        <v>637</v>
      </c>
      <c r="BL441" s="217"/>
      <c r="BM441" s="217"/>
      <c r="BN441" s="217">
        <v>0</v>
      </c>
      <c r="BO441" s="217">
        <v>0</v>
      </c>
      <c r="BR441" s="217" t="s">
        <v>85</v>
      </c>
      <c r="BS441" s="217" t="s">
        <v>98</v>
      </c>
      <c r="BT441" s="217" t="s">
        <v>1291</v>
      </c>
      <c r="BU441" s="217" t="s">
        <v>1292</v>
      </c>
      <c r="BV441" s="217">
        <v>32</v>
      </c>
      <c r="BW441" s="217">
        <v>160</v>
      </c>
      <c r="BX441" s="217">
        <v>0</v>
      </c>
      <c r="BY441" s="217">
        <v>0</v>
      </c>
      <c r="BZ441" s="217">
        <v>0</v>
      </c>
      <c r="CA441" s="217">
        <v>0</v>
      </c>
      <c r="CB441" s="217">
        <v>36</v>
      </c>
      <c r="CC441" s="217">
        <v>107</v>
      </c>
      <c r="CD441" s="217">
        <v>0</v>
      </c>
      <c r="CE441" s="217">
        <v>0</v>
      </c>
      <c r="CF441" s="217">
        <v>0</v>
      </c>
      <c r="CG441" s="217">
        <v>0</v>
      </c>
      <c r="CH441" s="217">
        <v>53</v>
      </c>
      <c r="CI441" s="217">
        <v>0</v>
      </c>
      <c r="CJ441" s="217">
        <v>0</v>
      </c>
    </row>
    <row r="442" spans="1:88" x14ac:dyDescent="0.25">
      <c r="A442" s="217" t="s">
        <v>22</v>
      </c>
      <c r="B442" s="217" t="s">
        <v>23</v>
      </c>
      <c r="C442" s="217" t="s">
        <v>85</v>
      </c>
      <c r="D442" s="217" t="s">
        <v>84</v>
      </c>
      <c r="E442" s="217" t="s">
        <v>98</v>
      </c>
      <c r="F442" s="217" t="s">
        <v>97</v>
      </c>
      <c r="G442" s="217" t="s">
        <v>801</v>
      </c>
      <c r="H442" s="217" t="s">
        <v>1142</v>
      </c>
      <c r="I442" s="217" t="s">
        <v>29</v>
      </c>
      <c r="J442" s="217" t="s">
        <v>1859</v>
      </c>
      <c r="K442" s="217">
        <v>34</v>
      </c>
      <c r="L442" s="217">
        <v>289</v>
      </c>
      <c r="M442" s="217" t="s">
        <v>31</v>
      </c>
      <c r="N442" s="217" t="s">
        <v>32</v>
      </c>
      <c r="O442" s="217" t="s">
        <v>100</v>
      </c>
      <c r="P442" s="217" t="s">
        <v>34</v>
      </c>
      <c r="Q442" s="217" t="s">
        <v>35</v>
      </c>
      <c r="R442" s="217" t="s">
        <v>23</v>
      </c>
      <c r="S442" s="217" t="s">
        <v>22</v>
      </c>
      <c r="T442" s="217" t="s">
        <v>84</v>
      </c>
      <c r="U442" s="217" t="s">
        <v>85</v>
      </c>
      <c r="V442" s="217" t="s">
        <v>97</v>
      </c>
      <c r="W442" s="217" t="s">
        <v>98</v>
      </c>
      <c r="BC442" s="217" t="s">
        <v>85</v>
      </c>
      <c r="BD442" s="217" t="s">
        <v>98</v>
      </c>
      <c r="BE442" s="217" t="s">
        <v>1277</v>
      </c>
      <c r="BF442" s="217" t="s">
        <v>811</v>
      </c>
      <c r="BG442" s="217" t="s">
        <v>2002</v>
      </c>
      <c r="BH442" s="217" t="s">
        <v>1658</v>
      </c>
      <c r="BI442" s="217" t="s">
        <v>1658</v>
      </c>
      <c r="BJ442" s="217" t="s">
        <v>1660</v>
      </c>
      <c r="BK442" s="217" t="s">
        <v>637</v>
      </c>
      <c r="BL442" s="217"/>
      <c r="BM442" s="217"/>
      <c r="BN442" s="217">
        <v>0</v>
      </c>
      <c r="BO442" s="217">
        <v>0</v>
      </c>
      <c r="BR442" s="217" t="s">
        <v>85</v>
      </c>
      <c r="BS442" s="217" t="s">
        <v>98</v>
      </c>
      <c r="BT442" s="217" t="s">
        <v>422</v>
      </c>
      <c r="BU442" s="217" t="s">
        <v>1223</v>
      </c>
      <c r="BV442" s="217">
        <v>10</v>
      </c>
      <c r="BW442" s="217">
        <v>56</v>
      </c>
      <c r="BX442" s="217">
        <v>0</v>
      </c>
      <c r="BY442" s="217">
        <v>0</v>
      </c>
      <c r="BZ442" s="217">
        <v>7</v>
      </c>
      <c r="CA442" s="217">
        <v>28</v>
      </c>
      <c r="CB442" s="217">
        <v>10</v>
      </c>
      <c r="CC442" s="217">
        <v>56</v>
      </c>
      <c r="CD442" s="217">
        <v>0</v>
      </c>
      <c r="CE442" s="217">
        <v>0</v>
      </c>
      <c r="CF442" s="217">
        <v>7</v>
      </c>
      <c r="CG442" s="217">
        <v>28</v>
      </c>
      <c r="CH442" s="217">
        <v>0</v>
      </c>
      <c r="CI442" s="217">
        <v>0</v>
      </c>
      <c r="CJ442" s="217">
        <v>0</v>
      </c>
    </row>
    <row r="443" spans="1:88" x14ac:dyDescent="0.25">
      <c r="A443" s="217" t="s">
        <v>22</v>
      </c>
      <c r="B443" s="217" t="s">
        <v>23</v>
      </c>
      <c r="C443" s="217" t="s">
        <v>85</v>
      </c>
      <c r="D443" s="217" t="s">
        <v>84</v>
      </c>
      <c r="E443" s="217" t="s">
        <v>98</v>
      </c>
      <c r="F443" s="217" t="s">
        <v>97</v>
      </c>
      <c r="G443" s="217" t="s">
        <v>155</v>
      </c>
      <c r="H443" s="217" t="s">
        <v>1143</v>
      </c>
      <c r="I443" s="217" t="s">
        <v>29</v>
      </c>
      <c r="J443" s="217" t="s">
        <v>1856</v>
      </c>
      <c r="K443" s="217">
        <v>40</v>
      </c>
      <c r="L443" s="217">
        <v>200</v>
      </c>
      <c r="M443" s="217" t="s">
        <v>31</v>
      </c>
      <c r="N443" s="217" t="s">
        <v>32</v>
      </c>
      <c r="O443" s="217" t="s">
        <v>100</v>
      </c>
      <c r="P443" s="217" t="s">
        <v>34</v>
      </c>
      <c r="Q443" s="217" t="s">
        <v>35</v>
      </c>
      <c r="R443" s="217" t="s">
        <v>23</v>
      </c>
      <c r="S443" s="217" t="s">
        <v>22</v>
      </c>
      <c r="T443" s="217" t="s">
        <v>84</v>
      </c>
      <c r="U443" s="217" t="s">
        <v>85</v>
      </c>
      <c r="V443" s="217" t="s">
        <v>97</v>
      </c>
      <c r="W443" s="217" t="s">
        <v>98</v>
      </c>
      <c r="BC443" s="217" t="s">
        <v>85</v>
      </c>
      <c r="BD443" s="217" t="s">
        <v>98</v>
      </c>
      <c r="BE443" s="217" t="s">
        <v>1278</v>
      </c>
      <c r="BF443" s="217" t="s">
        <v>452</v>
      </c>
      <c r="BG443" s="217" t="s">
        <v>1998</v>
      </c>
      <c r="BH443" s="217" t="s">
        <v>1658</v>
      </c>
      <c r="BI443" s="217" t="s">
        <v>1660</v>
      </c>
      <c r="BJ443" s="217" t="s">
        <v>1660</v>
      </c>
      <c r="BK443" s="217" t="s">
        <v>637</v>
      </c>
      <c r="BL443" s="217"/>
      <c r="BM443" s="217"/>
      <c r="BN443" s="217">
        <v>0</v>
      </c>
      <c r="BO443" s="217">
        <v>0</v>
      </c>
      <c r="BR443" s="217" t="s">
        <v>85</v>
      </c>
      <c r="BS443" s="217" t="s">
        <v>98</v>
      </c>
      <c r="BT443" s="217" t="s">
        <v>454</v>
      </c>
      <c r="BU443" s="217" t="s">
        <v>1280</v>
      </c>
      <c r="BV443" s="217">
        <v>11</v>
      </c>
      <c r="BW443" s="217">
        <v>40</v>
      </c>
      <c r="BX443" s="217">
        <v>0</v>
      </c>
      <c r="BY443" s="217">
        <v>0</v>
      </c>
      <c r="BZ443" s="217">
        <v>3</v>
      </c>
      <c r="CA443" s="217">
        <v>8</v>
      </c>
      <c r="CB443" s="217">
        <v>11</v>
      </c>
      <c r="CC443" s="217">
        <v>40</v>
      </c>
      <c r="CD443" s="217">
        <v>0</v>
      </c>
      <c r="CE443" s="217">
        <v>0</v>
      </c>
      <c r="CF443" s="217">
        <v>3</v>
      </c>
      <c r="CG443" s="217">
        <v>8</v>
      </c>
      <c r="CH443" s="217">
        <v>0</v>
      </c>
      <c r="CI443" s="217">
        <v>0</v>
      </c>
      <c r="CJ443" s="217">
        <v>0</v>
      </c>
    </row>
    <row r="444" spans="1:88" x14ac:dyDescent="0.25">
      <c r="A444" s="217" t="s">
        <v>22</v>
      </c>
      <c r="B444" s="217" t="s">
        <v>23</v>
      </c>
      <c r="C444" s="217" t="s">
        <v>85</v>
      </c>
      <c r="D444" s="217" t="s">
        <v>84</v>
      </c>
      <c r="E444" s="217" t="s">
        <v>98</v>
      </c>
      <c r="F444" s="217" t="s">
        <v>97</v>
      </c>
      <c r="G444" s="217" t="s">
        <v>155</v>
      </c>
      <c r="H444" s="217" t="s">
        <v>1143</v>
      </c>
      <c r="I444" s="217" t="s">
        <v>29</v>
      </c>
      <c r="J444" s="217" t="s">
        <v>1857</v>
      </c>
      <c r="K444" s="217">
        <v>52</v>
      </c>
      <c r="L444" s="217">
        <v>260</v>
      </c>
      <c r="M444" s="217" t="s">
        <v>31</v>
      </c>
      <c r="N444" s="217" t="s">
        <v>32</v>
      </c>
      <c r="O444" s="217" t="s">
        <v>100</v>
      </c>
      <c r="P444" s="217" t="s">
        <v>34</v>
      </c>
      <c r="Q444" s="217" t="s">
        <v>35</v>
      </c>
      <c r="R444" s="217" t="s">
        <v>23</v>
      </c>
      <c r="S444" s="217" t="s">
        <v>22</v>
      </c>
      <c r="T444" s="217" t="s">
        <v>84</v>
      </c>
      <c r="U444" s="217" t="s">
        <v>85</v>
      </c>
      <c r="V444" s="217" t="s">
        <v>97</v>
      </c>
      <c r="W444" s="217" t="s">
        <v>98</v>
      </c>
      <c r="BC444" s="217" t="s">
        <v>85</v>
      </c>
      <c r="BD444" s="217" t="s">
        <v>98</v>
      </c>
      <c r="BE444" s="217" t="s">
        <v>1279</v>
      </c>
      <c r="BF444" s="217" t="s">
        <v>453</v>
      </c>
      <c r="BG444" s="217" t="s">
        <v>1998</v>
      </c>
      <c r="BH444" s="217" t="s">
        <v>1658</v>
      </c>
      <c r="BI444" s="217" t="s">
        <v>1660</v>
      </c>
      <c r="BJ444" s="217" t="s">
        <v>1660</v>
      </c>
      <c r="BK444" s="217" t="s">
        <v>637</v>
      </c>
      <c r="BL444" s="217"/>
      <c r="BM444" s="217"/>
      <c r="BN444" s="217">
        <v>0</v>
      </c>
      <c r="BO444" s="217">
        <v>0</v>
      </c>
      <c r="BR444" s="217" t="s">
        <v>85</v>
      </c>
      <c r="BS444" s="217" t="s">
        <v>98</v>
      </c>
      <c r="BT444" s="217" t="s">
        <v>165</v>
      </c>
      <c r="BU444" s="217" t="s">
        <v>1208</v>
      </c>
      <c r="BV444" s="217">
        <v>10</v>
      </c>
      <c r="BW444" s="217">
        <v>61</v>
      </c>
      <c r="BX444" s="217">
        <v>0</v>
      </c>
      <c r="BY444" s="217">
        <v>0</v>
      </c>
      <c r="BZ444" s="217">
        <v>4</v>
      </c>
      <c r="CA444" s="217">
        <v>13</v>
      </c>
      <c r="CB444" s="217">
        <v>10</v>
      </c>
      <c r="CC444" s="217">
        <v>61</v>
      </c>
      <c r="CD444" s="217">
        <v>0</v>
      </c>
      <c r="CE444" s="217">
        <v>0</v>
      </c>
      <c r="CF444" s="217">
        <v>4</v>
      </c>
      <c r="CG444" s="217">
        <v>13</v>
      </c>
      <c r="CH444" s="217">
        <v>0</v>
      </c>
      <c r="CI444" s="217">
        <v>0</v>
      </c>
      <c r="CJ444" s="217">
        <v>0</v>
      </c>
    </row>
    <row r="445" spans="1:88" x14ac:dyDescent="0.25">
      <c r="A445" s="217" t="s">
        <v>22</v>
      </c>
      <c r="B445" s="217" t="s">
        <v>23</v>
      </c>
      <c r="C445" s="217" t="s">
        <v>85</v>
      </c>
      <c r="D445" s="217" t="s">
        <v>84</v>
      </c>
      <c r="E445" s="217" t="s">
        <v>98</v>
      </c>
      <c r="F445" s="217" t="s">
        <v>97</v>
      </c>
      <c r="G445" s="217" t="s">
        <v>384</v>
      </c>
      <c r="H445" s="217" t="s">
        <v>1144</v>
      </c>
      <c r="I445" s="217" t="s">
        <v>29</v>
      </c>
      <c r="J445" s="217" t="s">
        <v>1856</v>
      </c>
      <c r="K445" s="217">
        <v>41</v>
      </c>
      <c r="L445" s="217">
        <v>205</v>
      </c>
      <c r="M445" s="217" t="s">
        <v>31</v>
      </c>
      <c r="N445" s="217" t="s">
        <v>32</v>
      </c>
      <c r="O445" s="217" t="s">
        <v>100</v>
      </c>
      <c r="P445" s="217" t="s">
        <v>34</v>
      </c>
      <c r="Q445" s="217" t="s">
        <v>35</v>
      </c>
      <c r="R445" s="217" t="s">
        <v>23</v>
      </c>
      <c r="S445" s="217" t="s">
        <v>22</v>
      </c>
      <c r="T445" s="217" t="s">
        <v>84</v>
      </c>
      <c r="U445" s="217" t="s">
        <v>85</v>
      </c>
      <c r="V445" s="217" t="s">
        <v>97</v>
      </c>
      <c r="W445" s="217" t="s">
        <v>98</v>
      </c>
      <c r="BC445" s="217" t="s">
        <v>85</v>
      </c>
      <c r="BD445" s="217" t="s">
        <v>98</v>
      </c>
      <c r="BE445" s="217" t="s">
        <v>1521</v>
      </c>
      <c r="BF445" s="217" t="s">
        <v>289</v>
      </c>
      <c r="BG445" s="217" t="s">
        <v>2007</v>
      </c>
      <c r="BH445" s="217" t="s">
        <v>1660</v>
      </c>
      <c r="BI445" s="217" t="s">
        <v>1658</v>
      </c>
      <c r="BJ445" s="217" t="s">
        <v>1660</v>
      </c>
      <c r="BK445" s="217" t="s">
        <v>637</v>
      </c>
      <c r="BL445" s="217"/>
      <c r="BM445" s="217"/>
      <c r="BN445" s="217">
        <v>0</v>
      </c>
      <c r="BO445" s="217">
        <v>0</v>
      </c>
      <c r="BR445" s="217" t="s">
        <v>85</v>
      </c>
      <c r="BS445" s="217" t="s">
        <v>98</v>
      </c>
      <c r="BT445" s="217" t="s">
        <v>437</v>
      </c>
      <c r="BU445" s="217" t="s">
        <v>1253</v>
      </c>
      <c r="BV445" s="217">
        <v>6</v>
      </c>
      <c r="BW445" s="217">
        <v>32</v>
      </c>
      <c r="BX445" s="217">
        <v>6</v>
      </c>
      <c r="BY445" s="217">
        <v>20</v>
      </c>
      <c r="BZ445" s="217">
        <v>8</v>
      </c>
      <c r="CA445" s="217">
        <v>35</v>
      </c>
      <c r="CB445" s="217">
        <v>6</v>
      </c>
      <c r="CC445" s="217">
        <v>32</v>
      </c>
      <c r="CD445" s="217">
        <v>6</v>
      </c>
      <c r="CE445" s="217">
        <v>20</v>
      </c>
      <c r="CF445" s="217">
        <v>8</v>
      </c>
      <c r="CG445" s="217">
        <v>35</v>
      </c>
      <c r="CH445" s="217">
        <v>0</v>
      </c>
      <c r="CI445" s="217">
        <v>0</v>
      </c>
      <c r="CJ445" s="217">
        <v>0</v>
      </c>
    </row>
    <row r="446" spans="1:88" x14ac:dyDescent="0.25">
      <c r="A446" s="217" t="s">
        <v>22</v>
      </c>
      <c r="B446" s="217" t="s">
        <v>23</v>
      </c>
      <c r="C446" s="217" t="s">
        <v>85</v>
      </c>
      <c r="D446" s="217" t="s">
        <v>84</v>
      </c>
      <c r="E446" s="217" t="s">
        <v>98</v>
      </c>
      <c r="F446" s="217" t="s">
        <v>97</v>
      </c>
      <c r="G446" s="217" t="s">
        <v>384</v>
      </c>
      <c r="H446" s="217" t="s">
        <v>1144</v>
      </c>
      <c r="I446" s="217" t="s">
        <v>29</v>
      </c>
      <c r="J446" s="217" t="s">
        <v>1857</v>
      </c>
      <c r="K446" s="217">
        <v>31</v>
      </c>
      <c r="L446" s="217">
        <v>85</v>
      </c>
      <c r="M446" s="217" t="s">
        <v>31</v>
      </c>
      <c r="N446" s="217" t="s">
        <v>32</v>
      </c>
      <c r="O446" s="217" t="s">
        <v>100</v>
      </c>
      <c r="P446" s="217" t="s">
        <v>34</v>
      </c>
      <c r="Q446" s="217" t="s">
        <v>35</v>
      </c>
      <c r="R446" s="217" t="s">
        <v>23</v>
      </c>
      <c r="S446" s="217" t="s">
        <v>22</v>
      </c>
      <c r="T446" s="217" t="s">
        <v>84</v>
      </c>
      <c r="U446" s="217" t="s">
        <v>85</v>
      </c>
      <c r="V446" s="217" t="s">
        <v>97</v>
      </c>
      <c r="W446" s="217" t="s">
        <v>98</v>
      </c>
      <c r="BC446" s="217" t="s">
        <v>85</v>
      </c>
      <c r="BD446" s="217" t="s">
        <v>98</v>
      </c>
      <c r="BE446" s="217" t="s">
        <v>1280</v>
      </c>
      <c r="BF446" s="217" t="s">
        <v>454</v>
      </c>
      <c r="BG446" s="217" t="s">
        <v>1998</v>
      </c>
      <c r="BH446" s="217" t="s">
        <v>1658</v>
      </c>
      <c r="BI446" s="217" t="s">
        <v>1660</v>
      </c>
      <c r="BJ446" s="217" t="s">
        <v>1658</v>
      </c>
      <c r="BK446" s="217" t="s">
        <v>637</v>
      </c>
      <c r="BL446" s="217"/>
      <c r="BM446" s="217"/>
      <c r="BN446" s="217">
        <v>0</v>
      </c>
      <c r="BO446" s="217">
        <v>0</v>
      </c>
      <c r="BR446" s="217" t="s">
        <v>85</v>
      </c>
      <c r="BS446" s="217" t="s">
        <v>98</v>
      </c>
      <c r="BT446" s="217" t="s">
        <v>701</v>
      </c>
      <c r="BU446" s="217" t="s">
        <v>1204</v>
      </c>
      <c r="BV446" s="217">
        <v>7</v>
      </c>
      <c r="BW446" s="217">
        <v>60</v>
      </c>
      <c r="BX446" s="217">
        <v>9</v>
      </c>
      <c r="BY446" s="217">
        <v>77</v>
      </c>
      <c r="BZ446" s="217">
        <v>5</v>
      </c>
      <c r="CA446" s="217">
        <v>43</v>
      </c>
      <c r="CB446" s="217">
        <v>7</v>
      </c>
      <c r="CC446" s="217">
        <v>60</v>
      </c>
      <c r="CD446" s="217">
        <v>9</v>
      </c>
      <c r="CE446" s="217">
        <v>77</v>
      </c>
      <c r="CF446" s="217">
        <v>5</v>
      </c>
      <c r="CG446" s="217">
        <v>43</v>
      </c>
      <c r="CH446" s="217">
        <v>0</v>
      </c>
      <c r="CI446" s="217">
        <v>0</v>
      </c>
      <c r="CJ446" s="217">
        <v>0</v>
      </c>
    </row>
    <row r="447" spans="1:88" x14ac:dyDescent="0.25">
      <c r="A447" s="217" t="s">
        <v>22</v>
      </c>
      <c r="B447" s="217" t="s">
        <v>23</v>
      </c>
      <c r="C447" s="217" t="s">
        <v>85</v>
      </c>
      <c r="D447" s="217" t="s">
        <v>84</v>
      </c>
      <c r="E447" s="217" t="s">
        <v>98</v>
      </c>
      <c r="F447" s="217" t="s">
        <v>97</v>
      </c>
      <c r="G447" s="217" t="s">
        <v>384</v>
      </c>
      <c r="H447" s="217" t="s">
        <v>1144</v>
      </c>
      <c r="I447" s="217" t="s">
        <v>29</v>
      </c>
      <c r="J447" s="217" t="s">
        <v>1858</v>
      </c>
      <c r="K447" s="217">
        <v>2</v>
      </c>
      <c r="L447" s="217">
        <v>17</v>
      </c>
      <c r="M447" s="217" t="s">
        <v>31</v>
      </c>
      <c r="N447" s="217" t="s">
        <v>32</v>
      </c>
      <c r="O447" s="217" t="s">
        <v>68</v>
      </c>
      <c r="P447" s="217" t="s">
        <v>34</v>
      </c>
      <c r="Q447" s="217" t="s">
        <v>35</v>
      </c>
      <c r="R447" s="217" t="s">
        <v>23</v>
      </c>
      <c r="S447" s="217" t="s">
        <v>22</v>
      </c>
      <c r="T447" s="217" t="s">
        <v>84</v>
      </c>
      <c r="U447" s="217" t="s">
        <v>85</v>
      </c>
      <c r="V447" s="217" t="s">
        <v>109</v>
      </c>
      <c r="W447" s="217" t="s">
        <v>110</v>
      </c>
      <c r="BC447" s="217" t="s">
        <v>85</v>
      </c>
      <c r="BD447" s="217" t="s">
        <v>98</v>
      </c>
      <c r="BE447" s="217" t="s">
        <v>1522</v>
      </c>
      <c r="BF447" s="217" t="s">
        <v>633</v>
      </c>
      <c r="BG447" s="217" t="s">
        <v>2000</v>
      </c>
      <c r="BH447" s="217" t="s">
        <v>1660</v>
      </c>
      <c r="BI447" s="217" t="s">
        <v>1658</v>
      </c>
      <c r="BJ447" s="217" t="s">
        <v>1660</v>
      </c>
      <c r="BK447" s="217" t="s">
        <v>637</v>
      </c>
      <c r="BL447" s="217"/>
      <c r="BM447" s="217"/>
      <c r="BN447" s="217">
        <v>0</v>
      </c>
      <c r="BO447" s="217">
        <v>0</v>
      </c>
      <c r="BR447" s="217" t="s">
        <v>85</v>
      </c>
      <c r="BS447" s="217" t="s">
        <v>98</v>
      </c>
      <c r="BT447" s="217" t="s">
        <v>1969</v>
      </c>
      <c r="BU447" s="217" t="s">
        <v>1970</v>
      </c>
      <c r="BV447" s="217">
        <v>0</v>
      </c>
      <c r="BW447" s="217">
        <v>0</v>
      </c>
      <c r="BX447" s="217">
        <v>47</v>
      </c>
      <c r="BY447" s="217">
        <v>400</v>
      </c>
      <c r="BZ447" s="217">
        <v>0</v>
      </c>
      <c r="CA447" s="217">
        <v>0</v>
      </c>
      <c r="CB447" s="217">
        <v>0</v>
      </c>
      <c r="CC447" s="217">
        <v>0</v>
      </c>
      <c r="CD447" s="217">
        <v>47</v>
      </c>
      <c r="CE447" s="217">
        <v>400</v>
      </c>
      <c r="CF447" s="217">
        <v>0</v>
      </c>
      <c r="CG447" s="217">
        <v>0</v>
      </c>
      <c r="CH447" s="217">
        <v>0</v>
      </c>
      <c r="CI447" s="217">
        <v>0</v>
      </c>
      <c r="CJ447" s="217">
        <v>0</v>
      </c>
    </row>
    <row r="448" spans="1:88" x14ac:dyDescent="0.25">
      <c r="A448" s="217" t="s">
        <v>22</v>
      </c>
      <c r="B448" s="217" t="s">
        <v>23</v>
      </c>
      <c r="C448" s="217" t="s">
        <v>85</v>
      </c>
      <c r="D448" s="217" t="s">
        <v>84</v>
      </c>
      <c r="E448" s="217" t="s">
        <v>98</v>
      </c>
      <c r="F448" s="217" t="s">
        <v>97</v>
      </c>
      <c r="G448" s="217" t="s">
        <v>1145</v>
      </c>
      <c r="H448" s="217" t="s">
        <v>1146</v>
      </c>
      <c r="I448" s="217" t="s">
        <v>29</v>
      </c>
      <c r="J448" s="217" t="s">
        <v>1855</v>
      </c>
      <c r="K448" s="217">
        <v>7</v>
      </c>
      <c r="L448" s="217">
        <v>55</v>
      </c>
      <c r="M448" s="217" t="s">
        <v>31</v>
      </c>
      <c r="N448" s="217" t="s">
        <v>32</v>
      </c>
      <c r="O448" s="217" t="s">
        <v>68</v>
      </c>
      <c r="P448" s="217" t="s">
        <v>34</v>
      </c>
      <c r="Q448" s="217" t="s">
        <v>35</v>
      </c>
      <c r="R448" s="217" t="s">
        <v>23</v>
      </c>
      <c r="S448" s="217" t="s">
        <v>22</v>
      </c>
      <c r="T448" s="217" t="s">
        <v>84</v>
      </c>
      <c r="U448" s="217" t="s">
        <v>85</v>
      </c>
      <c r="V448" s="217" t="s">
        <v>91</v>
      </c>
      <c r="W448" s="217" t="s">
        <v>92</v>
      </c>
      <c r="BC448" s="217" t="s">
        <v>85</v>
      </c>
      <c r="BD448" s="217" t="s">
        <v>98</v>
      </c>
      <c r="BE448" s="217" t="s">
        <v>1281</v>
      </c>
      <c r="BF448" s="217" t="s">
        <v>820</v>
      </c>
      <c r="BG448" s="217" t="s">
        <v>2006</v>
      </c>
      <c r="BH448" s="217" t="s">
        <v>1658</v>
      </c>
      <c r="BI448" s="217" t="s">
        <v>1658</v>
      </c>
      <c r="BJ448" s="217" t="s">
        <v>1660</v>
      </c>
      <c r="BK448" s="217" t="s">
        <v>637</v>
      </c>
      <c r="BL448" s="217"/>
      <c r="BM448" s="217"/>
      <c r="BN448" s="217">
        <v>0</v>
      </c>
      <c r="BO448" s="217">
        <v>0</v>
      </c>
      <c r="BR448" s="217" t="s">
        <v>85</v>
      </c>
      <c r="BS448" s="217" t="s">
        <v>98</v>
      </c>
      <c r="BT448" s="217" t="s">
        <v>694</v>
      </c>
      <c r="BU448" s="217" t="s">
        <v>1677</v>
      </c>
      <c r="BV448" s="217">
        <v>0</v>
      </c>
      <c r="BW448" s="217">
        <v>0</v>
      </c>
      <c r="BX448" s="217">
        <v>0</v>
      </c>
      <c r="BY448" s="217">
        <v>0</v>
      </c>
      <c r="BZ448" s="217">
        <v>0</v>
      </c>
      <c r="CA448" s="217">
        <v>0</v>
      </c>
      <c r="CB448" s="217">
        <v>0</v>
      </c>
      <c r="CC448" s="217">
        <v>0</v>
      </c>
      <c r="CD448" s="217">
        <v>0</v>
      </c>
      <c r="CE448" s="217">
        <v>0</v>
      </c>
      <c r="CF448" s="217">
        <v>0</v>
      </c>
      <c r="CG448" s="217">
        <v>0</v>
      </c>
      <c r="CH448" s="217">
        <v>0</v>
      </c>
      <c r="CI448" s="217">
        <v>0</v>
      </c>
      <c r="CJ448" s="217">
        <v>0</v>
      </c>
    </row>
    <row r="449" spans="1:88" x14ac:dyDescent="0.25">
      <c r="A449" s="217" t="s">
        <v>22</v>
      </c>
      <c r="B449" s="217" t="s">
        <v>23</v>
      </c>
      <c r="C449" s="217" t="s">
        <v>85</v>
      </c>
      <c r="D449" s="217" t="s">
        <v>84</v>
      </c>
      <c r="E449" s="217" t="s">
        <v>98</v>
      </c>
      <c r="F449" s="217" t="s">
        <v>97</v>
      </c>
      <c r="G449" s="217" t="s">
        <v>385</v>
      </c>
      <c r="H449" s="217" t="s">
        <v>1147</v>
      </c>
      <c r="I449" s="217" t="s">
        <v>29</v>
      </c>
      <c r="J449" s="217" t="s">
        <v>1856</v>
      </c>
      <c r="K449" s="217">
        <v>10</v>
      </c>
      <c r="L449" s="217">
        <v>47</v>
      </c>
      <c r="M449" s="217" t="s">
        <v>31</v>
      </c>
      <c r="N449" s="217" t="s">
        <v>32</v>
      </c>
      <c r="O449" s="217" t="s">
        <v>100</v>
      </c>
      <c r="P449" s="217" t="s">
        <v>34</v>
      </c>
      <c r="Q449" s="217" t="s">
        <v>35</v>
      </c>
      <c r="R449" s="217" t="s">
        <v>23</v>
      </c>
      <c r="S449" s="217" t="s">
        <v>22</v>
      </c>
      <c r="T449" s="217" t="s">
        <v>84</v>
      </c>
      <c r="U449" s="217" t="s">
        <v>85</v>
      </c>
      <c r="V449" s="217" t="s">
        <v>97</v>
      </c>
      <c r="W449" s="217" t="s">
        <v>98</v>
      </c>
      <c r="BC449" s="217" t="s">
        <v>85</v>
      </c>
      <c r="BD449" s="217" t="s">
        <v>98</v>
      </c>
      <c r="BE449" s="217" t="s">
        <v>1523</v>
      </c>
      <c r="BF449" s="217" t="s">
        <v>698</v>
      </c>
      <c r="BG449" s="217" t="s">
        <v>2002</v>
      </c>
      <c r="BH449" s="217" t="s">
        <v>1660</v>
      </c>
      <c r="BI449" s="217" t="s">
        <v>1658</v>
      </c>
      <c r="BJ449" s="217" t="s">
        <v>1660</v>
      </c>
      <c r="BK449" s="217" t="s">
        <v>637</v>
      </c>
      <c r="BL449" s="217"/>
      <c r="BM449" s="217"/>
      <c r="BN449" s="217">
        <v>0</v>
      </c>
      <c r="BO449" s="217">
        <v>0</v>
      </c>
      <c r="BR449" s="217" t="s">
        <v>85</v>
      </c>
      <c r="BS449" s="217" t="s">
        <v>98</v>
      </c>
      <c r="BT449" s="217" t="s">
        <v>699</v>
      </c>
      <c r="BU449" s="217" t="s">
        <v>1679</v>
      </c>
      <c r="BV449" s="217">
        <v>0</v>
      </c>
      <c r="BW449" s="217">
        <v>0</v>
      </c>
      <c r="BX449" s="217">
        <v>0</v>
      </c>
      <c r="BY449" s="217">
        <v>0</v>
      </c>
      <c r="BZ449" s="217">
        <v>0</v>
      </c>
      <c r="CA449" s="217">
        <v>0</v>
      </c>
      <c r="CB449" s="217">
        <v>0</v>
      </c>
      <c r="CC449" s="217">
        <v>0</v>
      </c>
      <c r="CD449" s="217">
        <v>0</v>
      </c>
      <c r="CE449" s="217">
        <v>0</v>
      </c>
      <c r="CF449" s="217">
        <v>0</v>
      </c>
      <c r="CG449" s="217">
        <v>0</v>
      </c>
      <c r="CH449" s="217">
        <v>0</v>
      </c>
      <c r="CI449" s="217">
        <v>0</v>
      </c>
      <c r="CJ449" s="217">
        <v>0</v>
      </c>
    </row>
    <row r="450" spans="1:88" x14ac:dyDescent="0.25">
      <c r="A450" s="217" t="s">
        <v>22</v>
      </c>
      <c r="B450" s="217" t="s">
        <v>23</v>
      </c>
      <c r="C450" s="217" t="s">
        <v>85</v>
      </c>
      <c r="D450" s="217" t="s">
        <v>84</v>
      </c>
      <c r="E450" s="217" t="s">
        <v>98</v>
      </c>
      <c r="F450" s="217" t="s">
        <v>97</v>
      </c>
      <c r="G450" s="217" t="s">
        <v>385</v>
      </c>
      <c r="H450" s="217" t="s">
        <v>1147</v>
      </c>
      <c r="I450" s="217" t="s">
        <v>29</v>
      </c>
      <c r="J450" s="217" t="s">
        <v>1857</v>
      </c>
      <c r="K450" s="217">
        <v>5</v>
      </c>
      <c r="L450" s="217">
        <v>48</v>
      </c>
      <c r="M450" s="217" t="s">
        <v>31</v>
      </c>
      <c r="N450" s="217" t="s">
        <v>32</v>
      </c>
      <c r="O450" s="217" t="s">
        <v>100</v>
      </c>
      <c r="P450" s="217" t="s">
        <v>34</v>
      </c>
      <c r="Q450" s="217" t="s">
        <v>35</v>
      </c>
      <c r="R450" s="217" t="s">
        <v>23</v>
      </c>
      <c r="S450" s="217" t="s">
        <v>22</v>
      </c>
      <c r="T450" s="217" t="s">
        <v>84</v>
      </c>
      <c r="U450" s="217" t="s">
        <v>85</v>
      </c>
      <c r="V450" s="217" t="s">
        <v>97</v>
      </c>
      <c r="W450" s="217" t="s">
        <v>98</v>
      </c>
      <c r="BC450" s="217" t="s">
        <v>85</v>
      </c>
      <c r="BD450" s="217" t="s">
        <v>98</v>
      </c>
      <c r="BE450" s="217" t="s">
        <v>1282</v>
      </c>
      <c r="BF450" s="217" t="s">
        <v>455</v>
      </c>
      <c r="BG450" s="217" t="s">
        <v>1998</v>
      </c>
      <c r="BH450" s="217" t="s">
        <v>1658</v>
      </c>
      <c r="BI450" s="217" t="s">
        <v>1658</v>
      </c>
      <c r="BJ450" s="217" t="s">
        <v>1660</v>
      </c>
      <c r="BK450" s="217" t="s">
        <v>637</v>
      </c>
      <c r="BL450" s="217"/>
      <c r="BM450" s="217"/>
      <c r="BN450" s="217">
        <v>0</v>
      </c>
      <c r="BO450" s="217">
        <v>0</v>
      </c>
      <c r="BR450" s="217" t="s">
        <v>85</v>
      </c>
      <c r="BS450" s="217" t="s">
        <v>98</v>
      </c>
      <c r="BT450" s="217" t="s">
        <v>393</v>
      </c>
      <c r="BU450" s="217" t="s">
        <v>1172</v>
      </c>
      <c r="BV450" s="217">
        <v>6</v>
      </c>
      <c r="BW450" s="217">
        <v>35</v>
      </c>
      <c r="BX450" s="217">
        <v>3</v>
      </c>
      <c r="BY450" s="217">
        <v>16</v>
      </c>
      <c r="BZ450" s="217">
        <v>2</v>
      </c>
      <c r="CA450" s="217">
        <v>37</v>
      </c>
      <c r="CB450" s="217">
        <v>6</v>
      </c>
      <c r="CC450" s="217">
        <v>35</v>
      </c>
      <c r="CD450" s="217">
        <v>3</v>
      </c>
      <c r="CE450" s="217">
        <v>16</v>
      </c>
      <c r="CF450" s="217">
        <v>2</v>
      </c>
      <c r="CG450" s="217">
        <v>37</v>
      </c>
      <c r="CH450" s="217">
        <v>0</v>
      </c>
      <c r="CI450" s="217">
        <v>0</v>
      </c>
      <c r="CJ450" s="217">
        <v>0</v>
      </c>
    </row>
    <row r="451" spans="1:88" x14ac:dyDescent="0.25">
      <c r="A451" s="217" t="s">
        <v>22</v>
      </c>
      <c r="B451" s="217" t="s">
        <v>23</v>
      </c>
      <c r="C451" s="217" t="s">
        <v>85</v>
      </c>
      <c r="D451" s="217" t="s">
        <v>84</v>
      </c>
      <c r="E451" s="217" t="s">
        <v>98</v>
      </c>
      <c r="F451" s="217" t="s">
        <v>97</v>
      </c>
      <c r="G451" s="217" t="s">
        <v>385</v>
      </c>
      <c r="H451" s="217" t="s">
        <v>1147</v>
      </c>
      <c r="I451" s="217" t="s">
        <v>29</v>
      </c>
      <c r="J451" s="217" t="s">
        <v>1858</v>
      </c>
      <c r="K451" s="217">
        <v>1</v>
      </c>
      <c r="L451" s="217">
        <v>8</v>
      </c>
      <c r="M451" s="217" t="s">
        <v>31</v>
      </c>
      <c r="N451" s="217" t="s">
        <v>32</v>
      </c>
      <c r="O451" s="217" t="s">
        <v>68</v>
      </c>
      <c r="P451" s="217" t="s">
        <v>34</v>
      </c>
      <c r="Q451" s="217" t="s">
        <v>35</v>
      </c>
      <c r="R451" s="217" t="s">
        <v>23</v>
      </c>
      <c r="S451" s="217" t="s">
        <v>22</v>
      </c>
      <c r="T451" s="217" t="s">
        <v>84</v>
      </c>
      <c r="U451" s="217" t="s">
        <v>85</v>
      </c>
      <c r="V451" s="217" t="s">
        <v>91</v>
      </c>
      <c r="W451" s="217" t="s">
        <v>92</v>
      </c>
      <c r="BC451" s="217" t="s">
        <v>85</v>
      </c>
      <c r="BD451" s="217" t="s">
        <v>98</v>
      </c>
      <c r="BE451" s="217" t="s">
        <v>1283</v>
      </c>
      <c r="BF451" s="217" t="s">
        <v>813</v>
      </c>
      <c r="BG451" s="217" t="s">
        <v>1998</v>
      </c>
      <c r="BH451" s="217" t="s">
        <v>1658</v>
      </c>
      <c r="BI451" s="217" t="s">
        <v>1658</v>
      </c>
      <c r="BJ451" s="217" t="s">
        <v>1660</v>
      </c>
      <c r="BK451" s="217" t="s">
        <v>637</v>
      </c>
      <c r="BL451" s="217"/>
      <c r="BM451" s="217"/>
      <c r="BN451" s="217">
        <v>0</v>
      </c>
      <c r="BO451" s="217">
        <v>0</v>
      </c>
      <c r="BR451" s="217" t="s">
        <v>85</v>
      </c>
      <c r="BS451" s="217" t="s">
        <v>98</v>
      </c>
      <c r="BT451" s="217" t="s">
        <v>700</v>
      </c>
      <c r="BU451" s="217" t="s">
        <v>1680</v>
      </c>
      <c r="BV451" s="217">
        <v>0</v>
      </c>
      <c r="BW451" s="217">
        <v>0</v>
      </c>
      <c r="BX451" s="217">
        <v>0</v>
      </c>
      <c r="BY451" s="217">
        <v>0</v>
      </c>
      <c r="BZ451" s="217">
        <v>0</v>
      </c>
      <c r="CA451" s="217">
        <v>0</v>
      </c>
      <c r="CB451" s="217">
        <v>0</v>
      </c>
      <c r="CC451" s="217">
        <v>0</v>
      </c>
      <c r="CD451" s="217">
        <v>0</v>
      </c>
      <c r="CE451" s="217">
        <v>0</v>
      </c>
      <c r="CF451" s="217">
        <v>0</v>
      </c>
      <c r="CG451" s="217">
        <v>0</v>
      </c>
      <c r="CH451" s="217">
        <v>0</v>
      </c>
      <c r="CI451" s="217">
        <v>0</v>
      </c>
      <c r="CJ451" s="217">
        <v>0</v>
      </c>
    </row>
    <row r="452" spans="1:88" x14ac:dyDescent="0.25">
      <c r="A452" s="217" t="s">
        <v>22</v>
      </c>
      <c r="B452" s="217" t="s">
        <v>23</v>
      </c>
      <c r="C452" s="217" t="s">
        <v>85</v>
      </c>
      <c r="D452" s="217" t="s">
        <v>84</v>
      </c>
      <c r="E452" s="217" t="s">
        <v>98</v>
      </c>
      <c r="F452" s="217" t="s">
        <v>97</v>
      </c>
      <c r="G452" s="217" t="s">
        <v>158</v>
      </c>
      <c r="H452" s="217" t="s">
        <v>1148</v>
      </c>
      <c r="I452" s="217" t="s">
        <v>29</v>
      </c>
      <c r="J452" s="217" t="s">
        <v>1856</v>
      </c>
      <c r="K452" s="217">
        <v>7</v>
      </c>
      <c r="L452" s="217">
        <v>36</v>
      </c>
      <c r="M452" s="217" t="s">
        <v>31</v>
      </c>
      <c r="N452" s="217" t="s">
        <v>32</v>
      </c>
      <c r="O452" s="217" t="s">
        <v>68</v>
      </c>
      <c r="P452" s="217" t="s">
        <v>34</v>
      </c>
      <c r="Q452" s="217" t="s">
        <v>35</v>
      </c>
      <c r="R452" s="217" t="s">
        <v>23</v>
      </c>
      <c r="S452" s="217" t="s">
        <v>22</v>
      </c>
      <c r="T452" s="217" t="s">
        <v>84</v>
      </c>
      <c r="U452" s="217" t="s">
        <v>85</v>
      </c>
      <c r="V452" s="217" t="s">
        <v>91</v>
      </c>
      <c r="W452" s="217" t="s">
        <v>92</v>
      </c>
      <c r="BC452" s="217" t="s">
        <v>85</v>
      </c>
      <c r="BD452" s="217" t="s">
        <v>98</v>
      </c>
      <c r="BE452" s="217" t="s">
        <v>1285</v>
      </c>
      <c r="BF452" s="217" t="s">
        <v>1284</v>
      </c>
      <c r="BG452" s="217" t="s">
        <v>1998</v>
      </c>
      <c r="BH452" s="217" t="s">
        <v>1658</v>
      </c>
      <c r="BI452" s="217" t="s">
        <v>1660</v>
      </c>
      <c r="BJ452" s="217" t="s">
        <v>1660</v>
      </c>
      <c r="BK452" s="217" t="s">
        <v>637</v>
      </c>
      <c r="BL452" s="217"/>
      <c r="BM452" s="217"/>
      <c r="BN452" s="217">
        <v>0</v>
      </c>
      <c r="BO452" s="217">
        <v>0</v>
      </c>
      <c r="BR452" s="217" t="s">
        <v>85</v>
      </c>
      <c r="BS452" s="217" t="s">
        <v>98</v>
      </c>
      <c r="BT452" s="217" t="s">
        <v>407</v>
      </c>
      <c r="BU452" s="217" t="s">
        <v>1197</v>
      </c>
      <c r="BV452" s="217">
        <v>4</v>
      </c>
      <c r="BW452" s="217">
        <v>43</v>
      </c>
      <c r="BX452" s="217">
        <v>3</v>
      </c>
      <c r="BY452" s="217">
        <v>15</v>
      </c>
      <c r="BZ452" s="217">
        <v>0</v>
      </c>
      <c r="CA452" s="217">
        <v>0</v>
      </c>
      <c r="CB452" s="217">
        <v>4</v>
      </c>
      <c r="CC452" s="217">
        <v>43</v>
      </c>
      <c r="CD452" s="217">
        <v>3</v>
      </c>
      <c r="CE452" s="217">
        <v>15</v>
      </c>
      <c r="CF452" s="217">
        <v>0</v>
      </c>
      <c r="CG452" s="217">
        <v>0</v>
      </c>
      <c r="CH452" s="217">
        <v>0</v>
      </c>
      <c r="CI452" s="217">
        <v>0</v>
      </c>
      <c r="CJ452" s="217">
        <v>0</v>
      </c>
    </row>
    <row r="453" spans="1:88" x14ac:dyDescent="0.25">
      <c r="A453" s="217" t="s">
        <v>22</v>
      </c>
      <c r="B453" s="217" t="s">
        <v>23</v>
      </c>
      <c r="C453" s="217" t="s">
        <v>85</v>
      </c>
      <c r="D453" s="217" t="s">
        <v>84</v>
      </c>
      <c r="E453" s="217" t="s">
        <v>98</v>
      </c>
      <c r="F453" s="217" t="s">
        <v>97</v>
      </c>
      <c r="G453" s="217" t="s">
        <v>158</v>
      </c>
      <c r="H453" s="217" t="s">
        <v>1148</v>
      </c>
      <c r="I453" s="217" t="s">
        <v>29</v>
      </c>
      <c r="J453" s="217" t="s">
        <v>1857</v>
      </c>
      <c r="K453" s="217">
        <v>200</v>
      </c>
      <c r="L453" s="217">
        <v>1700</v>
      </c>
      <c r="M453" s="217" t="s">
        <v>31</v>
      </c>
      <c r="N453" s="217" t="s">
        <v>32</v>
      </c>
      <c r="O453" s="217" t="s">
        <v>68</v>
      </c>
      <c r="P453" s="217" t="s">
        <v>34</v>
      </c>
      <c r="Q453" s="217" t="s">
        <v>35</v>
      </c>
      <c r="R453" s="217" t="s">
        <v>23</v>
      </c>
      <c r="S453" s="217" t="s">
        <v>22</v>
      </c>
      <c r="T453" s="217" t="s">
        <v>84</v>
      </c>
      <c r="U453" s="217" t="s">
        <v>85</v>
      </c>
      <c r="V453" s="217" t="s">
        <v>91</v>
      </c>
      <c r="W453" s="217" t="s">
        <v>92</v>
      </c>
      <c r="BC453" s="217" t="s">
        <v>85</v>
      </c>
      <c r="BD453" s="217" t="s">
        <v>98</v>
      </c>
      <c r="BE453" s="217" t="s">
        <v>1287</v>
      </c>
      <c r="BF453" s="217" t="s">
        <v>1286</v>
      </c>
      <c r="BG453" s="217" t="s">
        <v>1998</v>
      </c>
      <c r="BH453" s="217" t="s">
        <v>1658</v>
      </c>
      <c r="BI453" s="217" t="s">
        <v>1660</v>
      </c>
      <c r="BJ453" s="217" t="s">
        <v>1660</v>
      </c>
      <c r="BK453" s="217" t="s">
        <v>637</v>
      </c>
      <c r="BL453" s="217"/>
      <c r="BM453" s="217"/>
      <c r="BN453" s="217">
        <v>0</v>
      </c>
      <c r="BO453" s="217">
        <v>0</v>
      </c>
      <c r="BR453" s="217" t="s">
        <v>85</v>
      </c>
      <c r="BS453" s="217" t="s">
        <v>98</v>
      </c>
      <c r="BT453" s="217" t="s">
        <v>697</v>
      </c>
      <c r="BU453" s="217" t="s">
        <v>1682</v>
      </c>
      <c r="BV453" s="217">
        <v>0</v>
      </c>
      <c r="BW453" s="217">
        <v>0</v>
      </c>
      <c r="BX453" s="217">
        <v>0</v>
      </c>
      <c r="BY453" s="217">
        <v>0</v>
      </c>
      <c r="BZ453" s="217">
        <v>0</v>
      </c>
      <c r="CA453" s="217">
        <v>0</v>
      </c>
      <c r="CB453" s="217">
        <v>0</v>
      </c>
      <c r="CC453" s="217">
        <v>0</v>
      </c>
      <c r="CD453" s="217">
        <v>0</v>
      </c>
      <c r="CE453" s="217">
        <v>0</v>
      </c>
      <c r="CF453" s="217">
        <v>0</v>
      </c>
      <c r="CG453" s="217">
        <v>0</v>
      </c>
      <c r="CH453" s="217">
        <v>0</v>
      </c>
      <c r="CI453" s="217">
        <v>0</v>
      </c>
      <c r="CJ453" s="217">
        <v>0</v>
      </c>
    </row>
    <row r="454" spans="1:88" x14ac:dyDescent="0.25">
      <c r="A454" s="217" t="s">
        <v>22</v>
      </c>
      <c r="B454" s="217" t="s">
        <v>23</v>
      </c>
      <c r="C454" s="217" t="s">
        <v>85</v>
      </c>
      <c r="D454" s="217" t="s">
        <v>84</v>
      </c>
      <c r="E454" s="217" t="s">
        <v>98</v>
      </c>
      <c r="F454" s="217" t="s">
        <v>97</v>
      </c>
      <c r="G454" s="217" t="s">
        <v>159</v>
      </c>
      <c r="H454" s="217" t="s">
        <v>1149</v>
      </c>
      <c r="I454" s="217" t="s">
        <v>29</v>
      </c>
      <c r="J454" s="217" t="s">
        <v>1855</v>
      </c>
      <c r="K454" s="217">
        <v>3</v>
      </c>
      <c r="L454" s="217">
        <v>18</v>
      </c>
      <c r="M454" s="217" t="s">
        <v>31</v>
      </c>
      <c r="N454" s="217" t="s">
        <v>32</v>
      </c>
      <c r="O454" s="217" t="s">
        <v>68</v>
      </c>
      <c r="P454" s="217" t="s">
        <v>34</v>
      </c>
      <c r="Q454" s="217" t="s">
        <v>35</v>
      </c>
      <c r="R454" s="217" t="s">
        <v>23</v>
      </c>
      <c r="S454" s="217" t="s">
        <v>22</v>
      </c>
      <c r="T454" s="217" t="s">
        <v>84</v>
      </c>
      <c r="U454" s="217" t="s">
        <v>85</v>
      </c>
      <c r="V454" s="217" t="s">
        <v>91</v>
      </c>
      <c r="W454" s="217" t="s">
        <v>92</v>
      </c>
      <c r="BC454" s="217" t="s">
        <v>85</v>
      </c>
      <c r="BD454" s="217" t="s">
        <v>98</v>
      </c>
      <c r="BE454" s="217" t="s">
        <v>1288</v>
      </c>
      <c r="BF454" s="217" t="s">
        <v>456</v>
      </c>
      <c r="BG454" s="217" t="s">
        <v>1998</v>
      </c>
      <c r="BH454" s="217" t="s">
        <v>1658</v>
      </c>
      <c r="BI454" s="217" t="s">
        <v>1660</v>
      </c>
      <c r="BJ454" s="217" t="s">
        <v>1660</v>
      </c>
      <c r="BK454" s="217" t="s">
        <v>637</v>
      </c>
      <c r="BL454" s="217"/>
      <c r="BM454" s="217"/>
      <c r="BN454" s="217">
        <v>0</v>
      </c>
      <c r="BO454" s="217">
        <v>0</v>
      </c>
      <c r="BR454" s="217" t="s">
        <v>85</v>
      </c>
      <c r="BS454" s="217" t="s">
        <v>98</v>
      </c>
      <c r="BT454" s="217" t="s">
        <v>298</v>
      </c>
      <c r="BU454" s="217" t="s">
        <v>1181</v>
      </c>
      <c r="BV454" s="217">
        <v>11</v>
      </c>
      <c r="BW454" s="217">
        <v>60</v>
      </c>
      <c r="BX454" s="217">
        <v>5</v>
      </c>
      <c r="BY454" s="217">
        <v>26</v>
      </c>
      <c r="BZ454" s="217">
        <v>0</v>
      </c>
      <c r="CA454" s="217">
        <v>0</v>
      </c>
      <c r="CB454" s="217">
        <v>11</v>
      </c>
      <c r="CC454" s="217">
        <v>60</v>
      </c>
      <c r="CD454" s="217">
        <v>5</v>
      </c>
      <c r="CE454" s="217">
        <v>26</v>
      </c>
      <c r="CF454" s="217">
        <v>0</v>
      </c>
      <c r="CG454" s="217">
        <v>0</v>
      </c>
      <c r="CH454" s="217">
        <v>0</v>
      </c>
      <c r="CI454" s="217">
        <v>0</v>
      </c>
      <c r="CJ454" s="217">
        <v>0</v>
      </c>
    </row>
    <row r="455" spans="1:88" x14ac:dyDescent="0.25">
      <c r="A455" s="217" t="s">
        <v>22</v>
      </c>
      <c r="B455" s="217" t="s">
        <v>23</v>
      </c>
      <c r="C455" s="217" t="s">
        <v>85</v>
      </c>
      <c r="D455" s="217" t="s">
        <v>84</v>
      </c>
      <c r="E455" s="217" t="s">
        <v>98</v>
      </c>
      <c r="F455" s="217" t="s">
        <v>97</v>
      </c>
      <c r="G455" s="217" t="s">
        <v>159</v>
      </c>
      <c r="H455" s="217" t="s">
        <v>1149</v>
      </c>
      <c r="I455" s="217" t="s">
        <v>29</v>
      </c>
      <c r="J455" s="217" t="s">
        <v>1856</v>
      </c>
      <c r="K455" s="217">
        <v>7</v>
      </c>
      <c r="L455" s="217">
        <v>22</v>
      </c>
      <c r="M455" s="217" t="s">
        <v>31</v>
      </c>
      <c r="N455" s="217" t="s">
        <v>32</v>
      </c>
      <c r="O455" s="217" t="s">
        <v>68</v>
      </c>
      <c r="P455" s="217" t="s">
        <v>34</v>
      </c>
      <c r="Q455" s="217" t="s">
        <v>35</v>
      </c>
      <c r="R455" s="217" t="s">
        <v>23</v>
      </c>
      <c r="S455" s="217" t="s">
        <v>22</v>
      </c>
      <c r="T455" s="217" t="s">
        <v>84</v>
      </c>
      <c r="U455" s="217" t="s">
        <v>85</v>
      </c>
      <c r="V455" s="217" t="s">
        <v>91</v>
      </c>
      <c r="W455" s="217" t="s">
        <v>92</v>
      </c>
      <c r="BC455" s="217" t="s">
        <v>85</v>
      </c>
      <c r="BD455" s="217" t="s">
        <v>98</v>
      </c>
      <c r="BE455" s="217" t="s">
        <v>1289</v>
      </c>
      <c r="BF455" s="217" t="s">
        <v>457</v>
      </c>
      <c r="BG455" s="217" t="s">
        <v>1998</v>
      </c>
      <c r="BH455" s="217" t="s">
        <v>1658</v>
      </c>
      <c r="BI455" s="217" t="s">
        <v>1660</v>
      </c>
      <c r="BJ455" s="217" t="s">
        <v>1660</v>
      </c>
      <c r="BK455" s="217" t="s">
        <v>637</v>
      </c>
      <c r="BL455" s="217"/>
      <c r="BM455" s="217"/>
      <c r="BN455" s="217">
        <v>0</v>
      </c>
      <c r="BO455" s="217">
        <v>0</v>
      </c>
      <c r="BR455" s="217" t="s">
        <v>85</v>
      </c>
      <c r="BS455" s="217" t="s">
        <v>98</v>
      </c>
      <c r="BT455" s="217" t="s">
        <v>696</v>
      </c>
      <c r="BU455" s="217" t="s">
        <v>1681</v>
      </c>
      <c r="BV455" s="217">
        <v>0</v>
      </c>
      <c r="BW455" s="217">
        <v>0</v>
      </c>
      <c r="BX455" s="217">
        <v>0</v>
      </c>
      <c r="BY455" s="217">
        <v>0</v>
      </c>
      <c r="BZ455" s="217">
        <v>0</v>
      </c>
      <c r="CA455" s="217">
        <v>0</v>
      </c>
      <c r="CB455" s="217">
        <v>0</v>
      </c>
      <c r="CC455" s="217">
        <v>0</v>
      </c>
      <c r="CD455" s="217">
        <v>0</v>
      </c>
      <c r="CE455" s="217">
        <v>0</v>
      </c>
      <c r="CF455" s="217">
        <v>0</v>
      </c>
      <c r="CG455" s="217">
        <v>0</v>
      </c>
      <c r="CH455" s="217">
        <v>0</v>
      </c>
      <c r="CI455" s="217">
        <v>0</v>
      </c>
      <c r="CJ455" s="217">
        <v>0</v>
      </c>
    </row>
    <row r="456" spans="1:88" x14ac:dyDescent="0.25">
      <c r="A456" s="217" t="s">
        <v>22</v>
      </c>
      <c r="B456" s="217" t="s">
        <v>23</v>
      </c>
      <c r="C456" s="217" t="s">
        <v>85</v>
      </c>
      <c r="D456" s="217" t="s">
        <v>84</v>
      </c>
      <c r="E456" s="217" t="s">
        <v>98</v>
      </c>
      <c r="F456" s="217" t="s">
        <v>97</v>
      </c>
      <c r="G456" s="217" t="s">
        <v>159</v>
      </c>
      <c r="H456" s="217" t="s">
        <v>1149</v>
      </c>
      <c r="I456" s="217" t="s">
        <v>29</v>
      </c>
      <c r="J456" s="217" t="s">
        <v>1857</v>
      </c>
      <c r="K456" s="217">
        <v>4</v>
      </c>
      <c r="L456" s="217">
        <v>20</v>
      </c>
      <c r="M456" s="217" t="s">
        <v>31</v>
      </c>
      <c r="N456" s="217" t="s">
        <v>32</v>
      </c>
      <c r="O456" s="217" t="s">
        <v>68</v>
      </c>
      <c r="P456" s="217" t="s">
        <v>34</v>
      </c>
      <c r="Q456" s="217" t="s">
        <v>35</v>
      </c>
      <c r="R456" s="217" t="s">
        <v>23</v>
      </c>
      <c r="S456" s="217" t="s">
        <v>22</v>
      </c>
      <c r="T456" s="217" t="s">
        <v>84</v>
      </c>
      <c r="U456" s="217" t="s">
        <v>85</v>
      </c>
      <c r="V456" s="217" t="s">
        <v>91</v>
      </c>
      <c r="W456" s="217" t="s">
        <v>92</v>
      </c>
      <c r="BC456" s="217" t="s">
        <v>85</v>
      </c>
      <c r="BD456" s="217" t="s">
        <v>98</v>
      </c>
      <c r="BE456" s="217" t="s">
        <v>1290</v>
      </c>
      <c r="BF456" s="217" t="s">
        <v>458</v>
      </c>
      <c r="BG456" s="217" t="s">
        <v>1998</v>
      </c>
      <c r="BH456" s="217" t="s">
        <v>1658</v>
      </c>
      <c r="BI456" s="217" t="s">
        <v>1660</v>
      </c>
      <c r="BJ456" s="217" t="s">
        <v>1660</v>
      </c>
      <c r="BK456" s="217" t="s">
        <v>637</v>
      </c>
      <c r="BL456" s="217"/>
      <c r="BM456" s="217"/>
      <c r="BN456" s="217">
        <v>0</v>
      </c>
      <c r="BO456" s="217">
        <v>0</v>
      </c>
      <c r="BR456" s="217" t="s">
        <v>85</v>
      </c>
      <c r="BS456" s="217" t="s">
        <v>98</v>
      </c>
      <c r="BT456" s="217" t="s">
        <v>445</v>
      </c>
      <c r="BU456" s="217" t="s">
        <v>1263</v>
      </c>
      <c r="BV456" s="217">
        <v>20</v>
      </c>
      <c r="BW456" s="217">
        <v>107</v>
      </c>
      <c r="BX456" s="217">
        <v>0</v>
      </c>
      <c r="BY456" s="217">
        <v>0</v>
      </c>
      <c r="BZ456" s="217">
        <v>0</v>
      </c>
      <c r="CA456" s="217">
        <v>0</v>
      </c>
      <c r="CB456" s="217">
        <v>20</v>
      </c>
      <c r="CC456" s="217">
        <v>107</v>
      </c>
      <c r="CD456" s="217">
        <v>0</v>
      </c>
      <c r="CE456" s="217">
        <v>0</v>
      </c>
      <c r="CF456" s="217">
        <v>0</v>
      </c>
      <c r="CG456" s="217">
        <v>0</v>
      </c>
      <c r="CH456" s="217">
        <v>0</v>
      </c>
      <c r="CI456" s="217">
        <v>0</v>
      </c>
      <c r="CJ456" s="217">
        <v>0</v>
      </c>
    </row>
    <row r="457" spans="1:88" x14ac:dyDescent="0.25">
      <c r="A457" s="217" t="s">
        <v>22</v>
      </c>
      <c r="B457" s="217" t="s">
        <v>23</v>
      </c>
      <c r="C457" s="217" t="s">
        <v>85</v>
      </c>
      <c r="D457" s="217" t="s">
        <v>84</v>
      </c>
      <c r="E457" s="217" t="s">
        <v>98</v>
      </c>
      <c r="F457" s="217" t="s">
        <v>97</v>
      </c>
      <c r="G457" s="217" t="s">
        <v>160</v>
      </c>
      <c r="H457" s="217" t="s">
        <v>1150</v>
      </c>
      <c r="I457" s="217" t="s">
        <v>29</v>
      </c>
      <c r="J457" s="217" t="s">
        <v>1855</v>
      </c>
      <c r="K457" s="217">
        <v>6</v>
      </c>
      <c r="L457" s="217">
        <v>27</v>
      </c>
      <c r="M457" s="217" t="s">
        <v>31</v>
      </c>
      <c r="N457" s="217" t="s">
        <v>32</v>
      </c>
      <c r="O457" s="217" t="s">
        <v>68</v>
      </c>
      <c r="P457" s="217" t="s">
        <v>34</v>
      </c>
      <c r="Q457" s="217" t="s">
        <v>35</v>
      </c>
      <c r="R457" s="217" t="s">
        <v>23</v>
      </c>
      <c r="S457" s="217" t="s">
        <v>22</v>
      </c>
      <c r="T457" s="217" t="s">
        <v>84</v>
      </c>
      <c r="U457" s="217" t="s">
        <v>85</v>
      </c>
      <c r="V457" s="217" t="s">
        <v>91</v>
      </c>
      <c r="W457" s="217" t="s">
        <v>92</v>
      </c>
      <c r="BC457" s="217" t="s">
        <v>85</v>
      </c>
      <c r="BD457" s="217" t="s">
        <v>98</v>
      </c>
      <c r="BE457" s="217" t="s">
        <v>1292</v>
      </c>
      <c r="BF457" s="217" t="s">
        <v>1291</v>
      </c>
      <c r="BG457" s="217" t="s">
        <v>1998</v>
      </c>
      <c r="BH457" s="217" t="s">
        <v>1658</v>
      </c>
      <c r="BI457" s="217" t="s">
        <v>1660</v>
      </c>
      <c r="BJ457" s="217" t="s">
        <v>1660</v>
      </c>
      <c r="BK457" s="217" t="s">
        <v>637</v>
      </c>
      <c r="BL457" s="217"/>
      <c r="BM457" s="217"/>
      <c r="BN457" s="217">
        <v>0</v>
      </c>
      <c r="BO457" s="217">
        <v>0</v>
      </c>
      <c r="BR457" s="217" t="s">
        <v>85</v>
      </c>
      <c r="BS457" s="217" t="s">
        <v>98</v>
      </c>
      <c r="BT457" s="217" t="s">
        <v>1233</v>
      </c>
      <c r="BU457" s="217" t="s">
        <v>1234</v>
      </c>
      <c r="BV457" s="217">
        <v>0</v>
      </c>
      <c r="BW457" s="217">
        <v>0</v>
      </c>
      <c r="BX457" s="217">
        <v>0</v>
      </c>
      <c r="BY457" s="217">
        <v>0</v>
      </c>
      <c r="BZ457" s="217">
        <v>0</v>
      </c>
      <c r="CA457" s="217">
        <v>0</v>
      </c>
      <c r="CB457" s="217">
        <v>92</v>
      </c>
      <c r="CC457" s="217">
        <v>782</v>
      </c>
      <c r="CD457" s="217">
        <v>0</v>
      </c>
      <c r="CE457" s="217">
        <v>0</v>
      </c>
      <c r="CF457" s="217">
        <v>0</v>
      </c>
      <c r="CG457" s="217">
        <v>0</v>
      </c>
      <c r="CH457" s="217">
        <v>-782</v>
      </c>
      <c r="CI457" s="217">
        <v>0</v>
      </c>
      <c r="CJ457" s="217">
        <v>0</v>
      </c>
    </row>
    <row r="458" spans="1:88" x14ac:dyDescent="0.25">
      <c r="A458" s="217" t="s">
        <v>22</v>
      </c>
      <c r="B458" s="217" t="s">
        <v>23</v>
      </c>
      <c r="C458" s="217" t="s">
        <v>85</v>
      </c>
      <c r="D458" s="217" t="s">
        <v>84</v>
      </c>
      <c r="E458" s="217" t="s">
        <v>98</v>
      </c>
      <c r="F458" s="217" t="s">
        <v>97</v>
      </c>
      <c r="G458" s="217" t="s">
        <v>161</v>
      </c>
      <c r="H458" s="217" t="s">
        <v>1151</v>
      </c>
      <c r="I458" s="217" t="s">
        <v>29</v>
      </c>
      <c r="J458" s="217" t="s">
        <v>1855</v>
      </c>
      <c r="K458" s="217">
        <v>27</v>
      </c>
      <c r="L458" s="217">
        <v>208</v>
      </c>
      <c r="M458" s="217" t="s">
        <v>31</v>
      </c>
      <c r="N458" s="217" t="s">
        <v>32</v>
      </c>
      <c r="O458" s="217" t="s">
        <v>68</v>
      </c>
      <c r="P458" s="217" t="s">
        <v>34</v>
      </c>
      <c r="Q458" s="217" t="s">
        <v>35</v>
      </c>
      <c r="R458" s="217" t="s">
        <v>23</v>
      </c>
      <c r="S458" s="217" t="s">
        <v>22</v>
      </c>
      <c r="T458" s="217" t="s">
        <v>84</v>
      </c>
      <c r="U458" s="217" t="s">
        <v>85</v>
      </c>
      <c r="V458" s="217" t="s">
        <v>91</v>
      </c>
      <c r="W458" s="217" t="s">
        <v>92</v>
      </c>
      <c r="BC458" s="217" t="s">
        <v>85</v>
      </c>
      <c r="BD458" s="217" t="s">
        <v>98</v>
      </c>
      <c r="BE458" s="217" t="s">
        <v>1294</v>
      </c>
      <c r="BF458" s="217" t="s">
        <v>1293</v>
      </c>
      <c r="BG458" s="217" t="s">
        <v>2006</v>
      </c>
      <c r="BH458" s="217" t="s">
        <v>1658</v>
      </c>
      <c r="BI458" s="217" t="s">
        <v>1660</v>
      </c>
      <c r="BJ458" s="217" t="s">
        <v>1660</v>
      </c>
      <c r="BK458" s="217" t="s">
        <v>637</v>
      </c>
      <c r="BL458" s="217"/>
      <c r="BM458" s="217"/>
      <c r="BN458" s="217">
        <v>0</v>
      </c>
      <c r="BO458" s="217">
        <v>0</v>
      </c>
      <c r="BR458" s="217" t="s">
        <v>85</v>
      </c>
      <c r="BS458" s="217" t="s">
        <v>98</v>
      </c>
      <c r="BT458" s="217" t="s">
        <v>388</v>
      </c>
      <c r="BU458" s="217" t="s">
        <v>1160</v>
      </c>
      <c r="BV458" s="217">
        <v>30</v>
      </c>
      <c r="BW458" s="217">
        <v>243</v>
      </c>
      <c r="BX458" s="217">
        <v>53</v>
      </c>
      <c r="BY458" s="217">
        <v>451</v>
      </c>
      <c r="BZ458" s="217">
        <v>0</v>
      </c>
      <c r="CA458" s="217">
        <v>0</v>
      </c>
      <c r="CB458" s="217">
        <v>30</v>
      </c>
      <c r="CC458" s="217">
        <v>243</v>
      </c>
      <c r="CD458" s="217">
        <v>53</v>
      </c>
      <c r="CE458" s="217">
        <v>451</v>
      </c>
      <c r="CF458" s="217">
        <v>0</v>
      </c>
      <c r="CG458" s="217">
        <v>0</v>
      </c>
      <c r="CH458" s="217">
        <v>0</v>
      </c>
      <c r="CI458" s="217">
        <v>0</v>
      </c>
      <c r="CJ458" s="217">
        <v>0</v>
      </c>
    </row>
    <row r="459" spans="1:88" x14ac:dyDescent="0.25">
      <c r="A459" s="217" t="s">
        <v>22</v>
      </c>
      <c r="B459" s="217" t="s">
        <v>23</v>
      </c>
      <c r="C459" s="217" t="s">
        <v>85</v>
      </c>
      <c r="D459" s="217" t="s">
        <v>84</v>
      </c>
      <c r="E459" s="217" t="s">
        <v>98</v>
      </c>
      <c r="F459" s="217" t="s">
        <v>97</v>
      </c>
      <c r="G459" s="217" t="s">
        <v>1152</v>
      </c>
      <c r="H459" s="217" t="s">
        <v>1153</v>
      </c>
      <c r="I459" s="217" t="s">
        <v>29</v>
      </c>
      <c r="J459" s="217" t="s">
        <v>1858</v>
      </c>
      <c r="K459" s="217">
        <v>85</v>
      </c>
      <c r="L459" s="217">
        <v>425</v>
      </c>
      <c r="M459" s="217" t="s">
        <v>31</v>
      </c>
      <c r="N459" s="217" t="s">
        <v>32</v>
      </c>
      <c r="O459" s="217" t="s">
        <v>68</v>
      </c>
      <c r="P459" s="217" t="s">
        <v>34</v>
      </c>
      <c r="Q459" s="217" t="s">
        <v>35</v>
      </c>
      <c r="R459" s="217" t="s">
        <v>23</v>
      </c>
      <c r="S459" s="217" t="s">
        <v>22</v>
      </c>
      <c r="T459" s="217" t="s">
        <v>84</v>
      </c>
      <c r="U459" s="217" t="s">
        <v>85</v>
      </c>
      <c r="V459" s="217" t="s">
        <v>97</v>
      </c>
      <c r="W459" s="217" t="s">
        <v>98</v>
      </c>
      <c r="BC459" s="217" t="s">
        <v>85</v>
      </c>
      <c r="BD459" s="217" t="s">
        <v>98</v>
      </c>
      <c r="BE459" s="217" t="s">
        <v>1295</v>
      </c>
      <c r="BF459" s="217" t="s">
        <v>459</v>
      </c>
      <c r="BG459" s="217" t="s">
        <v>1998</v>
      </c>
      <c r="BH459" s="217" t="s">
        <v>1658</v>
      </c>
      <c r="BI459" s="217" t="s">
        <v>1660</v>
      </c>
      <c r="BJ459" s="217" t="s">
        <v>1660</v>
      </c>
      <c r="BK459" s="217" t="s">
        <v>637</v>
      </c>
      <c r="BL459" s="217"/>
      <c r="BM459" s="217"/>
      <c r="BN459" s="217">
        <v>0</v>
      </c>
      <c r="BO459" s="217">
        <v>0</v>
      </c>
      <c r="BR459" s="217" t="s">
        <v>85</v>
      </c>
      <c r="BS459" s="217" t="s">
        <v>98</v>
      </c>
      <c r="BT459" s="217" t="s">
        <v>794</v>
      </c>
      <c r="BU459" s="217" t="s">
        <v>1683</v>
      </c>
      <c r="BV459" s="217">
        <v>0</v>
      </c>
      <c r="BW459" s="217">
        <v>0</v>
      </c>
      <c r="BX459" s="217">
        <v>0</v>
      </c>
      <c r="BY459" s="217">
        <v>0</v>
      </c>
      <c r="BZ459" s="217">
        <v>0</v>
      </c>
      <c r="CA459" s="217">
        <v>0</v>
      </c>
      <c r="CB459" s="217">
        <v>0</v>
      </c>
      <c r="CC459" s="217">
        <v>0</v>
      </c>
      <c r="CD459" s="217">
        <v>0</v>
      </c>
      <c r="CE459" s="217">
        <v>0</v>
      </c>
      <c r="CF459" s="217">
        <v>0</v>
      </c>
      <c r="CG459" s="217">
        <v>0</v>
      </c>
      <c r="CH459" s="217">
        <v>0</v>
      </c>
      <c r="CI459" s="217">
        <v>0</v>
      </c>
      <c r="CJ459" s="217">
        <v>0</v>
      </c>
    </row>
    <row r="460" spans="1:88" x14ac:dyDescent="0.25">
      <c r="A460" s="217" t="s">
        <v>22</v>
      </c>
      <c r="B460" s="217" t="s">
        <v>23</v>
      </c>
      <c r="C460" s="217" t="s">
        <v>85</v>
      </c>
      <c r="D460" s="217" t="s">
        <v>84</v>
      </c>
      <c r="E460" s="217" t="s">
        <v>98</v>
      </c>
      <c r="F460" s="217" t="s">
        <v>97</v>
      </c>
      <c r="G460" s="217" t="s">
        <v>386</v>
      </c>
      <c r="H460" s="217" t="s">
        <v>1154</v>
      </c>
      <c r="I460" s="217" t="s">
        <v>29</v>
      </c>
      <c r="J460" s="217" t="s">
        <v>1856</v>
      </c>
      <c r="K460" s="217">
        <v>3</v>
      </c>
      <c r="L460" s="217">
        <v>19</v>
      </c>
      <c r="M460" s="217" t="s">
        <v>31</v>
      </c>
      <c r="N460" s="217" t="s">
        <v>32</v>
      </c>
      <c r="O460" s="217" t="s">
        <v>68</v>
      </c>
      <c r="P460" s="217" t="s">
        <v>34</v>
      </c>
      <c r="Q460" s="217" t="s">
        <v>35</v>
      </c>
      <c r="R460" s="217" t="s">
        <v>23</v>
      </c>
      <c r="S460" s="217" t="s">
        <v>22</v>
      </c>
      <c r="T460" s="217" t="s">
        <v>84</v>
      </c>
      <c r="U460" s="217" t="s">
        <v>85</v>
      </c>
      <c r="V460" s="217" t="s">
        <v>91</v>
      </c>
      <c r="W460" s="217" t="s">
        <v>92</v>
      </c>
      <c r="BC460" s="217" t="s">
        <v>85</v>
      </c>
      <c r="BD460" s="217" t="s">
        <v>98</v>
      </c>
      <c r="BE460" s="217" t="s">
        <v>1524</v>
      </c>
      <c r="BF460" s="217" t="s">
        <v>815</v>
      </c>
      <c r="BG460" s="217" t="s">
        <v>1998</v>
      </c>
      <c r="BH460" s="217" t="s">
        <v>1660</v>
      </c>
      <c r="BI460" s="217" t="s">
        <v>1658</v>
      </c>
      <c r="BJ460" s="217" t="s">
        <v>1660</v>
      </c>
      <c r="BK460" s="217" t="s">
        <v>637</v>
      </c>
      <c r="BL460" s="217"/>
      <c r="BM460" s="217"/>
      <c r="BN460" s="217">
        <v>0</v>
      </c>
      <c r="BO460" s="217">
        <v>0</v>
      </c>
      <c r="BR460" s="217" t="s">
        <v>85</v>
      </c>
      <c r="BS460" s="217" t="s">
        <v>98</v>
      </c>
      <c r="BT460" s="217" t="s">
        <v>384</v>
      </c>
      <c r="BU460" s="217" t="s">
        <v>1144</v>
      </c>
      <c r="BV460" s="217">
        <v>74</v>
      </c>
      <c r="BW460" s="217">
        <v>307</v>
      </c>
      <c r="BX460" s="217">
        <v>267</v>
      </c>
      <c r="BY460" s="217">
        <v>2271</v>
      </c>
      <c r="BZ460" s="217">
        <v>0</v>
      </c>
      <c r="CA460" s="217">
        <v>0</v>
      </c>
      <c r="CB460" s="217">
        <v>94</v>
      </c>
      <c r="CC460" s="217">
        <v>477</v>
      </c>
      <c r="CD460" s="217">
        <v>267</v>
      </c>
      <c r="CE460" s="217">
        <v>2271</v>
      </c>
      <c r="CF460" s="217">
        <v>0</v>
      </c>
      <c r="CG460" s="217">
        <v>0</v>
      </c>
      <c r="CH460" s="217">
        <v>-170</v>
      </c>
      <c r="CI460" s="217">
        <v>0</v>
      </c>
      <c r="CJ460" s="217">
        <v>0</v>
      </c>
    </row>
    <row r="461" spans="1:88" x14ac:dyDescent="0.25">
      <c r="A461" s="217" t="s">
        <v>22</v>
      </c>
      <c r="B461" s="217" t="s">
        <v>23</v>
      </c>
      <c r="C461" s="217" t="s">
        <v>85</v>
      </c>
      <c r="D461" s="217" t="s">
        <v>84</v>
      </c>
      <c r="E461" s="217" t="s">
        <v>98</v>
      </c>
      <c r="F461" s="217" t="s">
        <v>97</v>
      </c>
      <c r="G461" s="217" t="s">
        <v>386</v>
      </c>
      <c r="H461" s="217" t="s">
        <v>1154</v>
      </c>
      <c r="I461" s="217" t="s">
        <v>29</v>
      </c>
      <c r="J461" s="217" t="s">
        <v>1857</v>
      </c>
      <c r="K461" s="217">
        <v>10</v>
      </c>
      <c r="L461" s="217">
        <v>30</v>
      </c>
      <c r="M461" s="217" t="s">
        <v>31</v>
      </c>
      <c r="N461" s="217" t="s">
        <v>32</v>
      </c>
      <c r="O461" s="217" t="s">
        <v>68</v>
      </c>
      <c r="P461" s="217" t="s">
        <v>34</v>
      </c>
      <c r="Q461" s="217" t="s">
        <v>35</v>
      </c>
      <c r="R461" s="217" t="s">
        <v>23</v>
      </c>
      <c r="S461" s="217" t="s">
        <v>22</v>
      </c>
      <c r="T461" s="217" t="s">
        <v>84</v>
      </c>
      <c r="U461" s="217" t="s">
        <v>85</v>
      </c>
      <c r="V461" s="217" t="s">
        <v>91</v>
      </c>
      <c r="W461" s="217" t="s">
        <v>92</v>
      </c>
      <c r="BC461" s="217" t="s">
        <v>85</v>
      </c>
      <c r="BD461" s="217" t="s">
        <v>98</v>
      </c>
      <c r="BE461" s="217" t="s">
        <v>1296</v>
      </c>
      <c r="BF461" s="217" t="s">
        <v>812</v>
      </c>
      <c r="BG461" s="217" t="s">
        <v>1998</v>
      </c>
      <c r="BH461" s="217" t="s">
        <v>1658</v>
      </c>
      <c r="BI461" s="217" t="s">
        <v>1658</v>
      </c>
      <c r="BJ461" s="217" t="s">
        <v>1660</v>
      </c>
      <c r="BK461" s="217" t="s">
        <v>637</v>
      </c>
      <c r="BL461" s="217"/>
      <c r="BM461" s="217"/>
      <c r="BN461" s="217">
        <v>0</v>
      </c>
      <c r="BO461" s="217">
        <v>0</v>
      </c>
      <c r="BR461" s="217" t="s">
        <v>85</v>
      </c>
      <c r="BS461" s="217" t="s">
        <v>98</v>
      </c>
      <c r="BT461" s="217" t="s">
        <v>402</v>
      </c>
      <c r="BU461" s="217" t="s">
        <v>1187</v>
      </c>
      <c r="BV461" s="217">
        <v>6</v>
      </c>
      <c r="BW461" s="217">
        <v>51</v>
      </c>
      <c r="BX461" s="217">
        <v>10</v>
      </c>
      <c r="BY461" s="217">
        <v>85</v>
      </c>
      <c r="BZ461" s="217">
        <v>0</v>
      </c>
      <c r="CA461" s="217">
        <v>0</v>
      </c>
      <c r="CB461" s="217">
        <v>6</v>
      </c>
      <c r="CC461" s="217">
        <v>51</v>
      </c>
      <c r="CD461" s="217">
        <v>10</v>
      </c>
      <c r="CE461" s="217">
        <v>85</v>
      </c>
      <c r="CF461" s="217">
        <v>0</v>
      </c>
      <c r="CG461" s="217">
        <v>0</v>
      </c>
      <c r="CH461" s="217">
        <v>0</v>
      </c>
      <c r="CI461" s="217">
        <v>0</v>
      </c>
      <c r="CJ461" s="217">
        <v>0</v>
      </c>
    </row>
    <row r="462" spans="1:88" x14ac:dyDescent="0.25">
      <c r="A462" s="217" t="s">
        <v>22</v>
      </c>
      <c r="B462" s="217" t="s">
        <v>23</v>
      </c>
      <c r="C462" s="217" t="s">
        <v>85</v>
      </c>
      <c r="D462" s="217" t="s">
        <v>84</v>
      </c>
      <c r="E462" s="217" t="s">
        <v>98</v>
      </c>
      <c r="F462" s="217" t="s">
        <v>97</v>
      </c>
      <c r="G462" s="217" t="s">
        <v>387</v>
      </c>
      <c r="H462" s="217" t="s">
        <v>1155</v>
      </c>
      <c r="I462" s="217" t="s">
        <v>29</v>
      </c>
      <c r="J462" s="217" t="s">
        <v>1855</v>
      </c>
      <c r="K462" s="217">
        <v>1</v>
      </c>
      <c r="L462" s="217">
        <v>4</v>
      </c>
      <c r="M462" s="217" t="s">
        <v>31</v>
      </c>
      <c r="N462" s="217" t="s">
        <v>32</v>
      </c>
      <c r="O462" s="217" t="s">
        <v>68</v>
      </c>
      <c r="P462" s="217" t="s">
        <v>34</v>
      </c>
      <c r="Q462" s="217" t="s">
        <v>35</v>
      </c>
      <c r="R462" s="217" t="s">
        <v>23</v>
      </c>
      <c r="S462" s="217" t="s">
        <v>22</v>
      </c>
      <c r="T462" s="217" t="s">
        <v>84</v>
      </c>
      <c r="U462" s="217" t="s">
        <v>85</v>
      </c>
      <c r="V462" s="217" t="s">
        <v>91</v>
      </c>
      <c r="W462" s="217" t="s">
        <v>92</v>
      </c>
      <c r="BC462" s="217" t="s">
        <v>85</v>
      </c>
      <c r="BD462" s="217" t="s">
        <v>98</v>
      </c>
      <c r="BE462" s="217" t="s">
        <v>1297</v>
      </c>
      <c r="BF462" s="217" t="s">
        <v>171</v>
      </c>
      <c r="BG462" s="217" t="s">
        <v>1998</v>
      </c>
      <c r="BH462" s="217" t="s">
        <v>1658</v>
      </c>
      <c r="BI462" s="217" t="s">
        <v>1658</v>
      </c>
      <c r="BJ462" s="217" t="s">
        <v>1658</v>
      </c>
      <c r="BK462" s="217" t="s">
        <v>637</v>
      </c>
      <c r="BL462" s="217"/>
      <c r="BM462" s="217"/>
      <c r="BN462" s="217">
        <v>0</v>
      </c>
      <c r="BO462" s="217">
        <v>0</v>
      </c>
      <c r="BR462" s="217" t="s">
        <v>85</v>
      </c>
      <c r="BS462" s="217" t="s">
        <v>98</v>
      </c>
      <c r="BT462" s="217" t="s">
        <v>440</v>
      </c>
      <c r="BU462" s="217" t="s">
        <v>1257</v>
      </c>
      <c r="BV462" s="217">
        <v>14</v>
      </c>
      <c r="BW462" s="217">
        <v>78</v>
      </c>
      <c r="BX462" s="217">
        <v>0</v>
      </c>
      <c r="BY462" s="217">
        <v>0</v>
      </c>
      <c r="BZ462" s="217">
        <v>0</v>
      </c>
      <c r="CA462" s="217">
        <v>0</v>
      </c>
      <c r="CB462" s="217">
        <v>14</v>
      </c>
      <c r="CC462" s="217">
        <v>78</v>
      </c>
      <c r="CD462" s="217">
        <v>0</v>
      </c>
      <c r="CE462" s="217">
        <v>0</v>
      </c>
      <c r="CF462" s="217">
        <v>0</v>
      </c>
      <c r="CG462" s="217">
        <v>0</v>
      </c>
      <c r="CH462" s="217">
        <v>0</v>
      </c>
      <c r="CI462" s="217">
        <v>0</v>
      </c>
      <c r="CJ462" s="217">
        <v>0</v>
      </c>
    </row>
    <row r="463" spans="1:88" x14ac:dyDescent="0.25">
      <c r="A463" s="217" t="s">
        <v>22</v>
      </c>
      <c r="B463" s="217" t="s">
        <v>23</v>
      </c>
      <c r="C463" s="217" t="s">
        <v>85</v>
      </c>
      <c r="D463" s="217" t="s">
        <v>84</v>
      </c>
      <c r="E463" s="217" t="s">
        <v>98</v>
      </c>
      <c r="F463" s="217" t="s">
        <v>97</v>
      </c>
      <c r="G463" s="217" t="s">
        <v>387</v>
      </c>
      <c r="H463" s="217" t="s">
        <v>1155</v>
      </c>
      <c r="I463" s="217" t="s">
        <v>29</v>
      </c>
      <c r="J463" s="217" t="s">
        <v>1856</v>
      </c>
      <c r="K463" s="217">
        <v>2</v>
      </c>
      <c r="L463" s="217">
        <v>11</v>
      </c>
      <c r="M463" s="217" t="s">
        <v>31</v>
      </c>
      <c r="N463" s="217" t="s">
        <v>32</v>
      </c>
      <c r="O463" s="217" t="s">
        <v>68</v>
      </c>
      <c r="P463" s="217" t="s">
        <v>34</v>
      </c>
      <c r="Q463" s="217" t="s">
        <v>35</v>
      </c>
      <c r="R463" s="217" t="s">
        <v>23</v>
      </c>
      <c r="S463" s="217" t="s">
        <v>22</v>
      </c>
      <c r="T463" s="217" t="s">
        <v>84</v>
      </c>
      <c r="U463" s="217" t="s">
        <v>85</v>
      </c>
      <c r="V463" s="217" t="s">
        <v>91</v>
      </c>
      <c r="W463" s="217" t="s">
        <v>92</v>
      </c>
      <c r="BC463" s="217" t="s">
        <v>85</v>
      </c>
      <c r="BD463" s="217" t="s">
        <v>98</v>
      </c>
      <c r="BE463" s="217" t="s">
        <v>1298</v>
      </c>
      <c r="BF463" s="217" t="s">
        <v>460</v>
      </c>
      <c r="BG463" s="217" t="s">
        <v>2006</v>
      </c>
      <c r="BH463" s="217" t="s">
        <v>1658</v>
      </c>
      <c r="BI463" s="217" t="s">
        <v>1660</v>
      </c>
      <c r="BJ463" s="217" t="s">
        <v>1660</v>
      </c>
      <c r="BK463" s="217" t="s">
        <v>637</v>
      </c>
      <c r="BL463" s="217"/>
      <c r="BM463" s="217"/>
      <c r="BN463" s="217">
        <v>0</v>
      </c>
      <c r="BO463" s="217">
        <v>0</v>
      </c>
      <c r="BR463" s="217" t="s">
        <v>85</v>
      </c>
      <c r="BS463" s="217" t="s">
        <v>98</v>
      </c>
      <c r="BT463" s="217" t="s">
        <v>414</v>
      </c>
      <c r="BU463" s="217" t="s">
        <v>1212</v>
      </c>
      <c r="BV463" s="217">
        <v>138</v>
      </c>
      <c r="BW463" s="217">
        <v>1174</v>
      </c>
      <c r="BX463" s="217">
        <v>16</v>
      </c>
      <c r="BY463" s="217">
        <v>137</v>
      </c>
      <c r="BZ463" s="217">
        <v>0</v>
      </c>
      <c r="CA463" s="217">
        <v>0</v>
      </c>
      <c r="CB463" s="217">
        <v>138</v>
      </c>
      <c r="CC463" s="217">
        <v>1174</v>
      </c>
      <c r="CD463" s="217">
        <v>16</v>
      </c>
      <c r="CE463" s="217">
        <v>137</v>
      </c>
      <c r="CF463" s="217">
        <v>0</v>
      </c>
      <c r="CG463" s="217">
        <v>0</v>
      </c>
      <c r="CH463" s="217">
        <v>0</v>
      </c>
      <c r="CI463" s="217">
        <v>0</v>
      </c>
      <c r="CJ463" s="217">
        <v>0</v>
      </c>
    </row>
    <row r="464" spans="1:88" x14ac:dyDescent="0.25">
      <c r="A464" s="217" t="s">
        <v>22</v>
      </c>
      <c r="B464" s="217" t="s">
        <v>23</v>
      </c>
      <c r="C464" s="217" t="s">
        <v>85</v>
      </c>
      <c r="D464" s="217" t="s">
        <v>84</v>
      </c>
      <c r="E464" s="217" t="s">
        <v>98</v>
      </c>
      <c r="F464" s="217" t="s">
        <v>97</v>
      </c>
      <c r="G464" s="217" t="s">
        <v>387</v>
      </c>
      <c r="H464" s="217" t="s">
        <v>1155</v>
      </c>
      <c r="I464" s="217" t="s">
        <v>29</v>
      </c>
      <c r="J464" s="217" t="s">
        <v>1857</v>
      </c>
      <c r="K464" s="217">
        <v>6</v>
      </c>
      <c r="L464" s="217">
        <v>20</v>
      </c>
      <c r="M464" s="217" t="s">
        <v>31</v>
      </c>
      <c r="N464" s="217" t="s">
        <v>32</v>
      </c>
      <c r="O464" s="217" t="s">
        <v>68</v>
      </c>
      <c r="P464" s="217" t="s">
        <v>34</v>
      </c>
      <c r="Q464" s="217" t="s">
        <v>35</v>
      </c>
      <c r="R464" s="217" t="s">
        <v>23</v>
      </c>
      <c r="S464" s="217" t="s">
        <v>22</v>
      </c>
      <c r="T464" s="217" t="s">
        <v>84</v>
      </c>
      <c r="U464" s="217" t="s">
        <v>85</v>
      </c>
      <c r="V464" s="217" t="s">
        <v>91</v>
      </c>
      <c r="W464" s="217" t="s">
        <v>92</v>
      </c>
      <c r="BC464" s="217" t="s">
        <v>85</v>
      </c>
      <c r="BD464" s="217" t="s">
        <v>98</v>
      </c>
      <c r="BE464" s="217" t="s">
        <v>1299</v>
      </c>
      <c r="BF464" s="217" t="s">
        <v>461</v>
      </c>
      <c r="BG464" s="217" t="s">
        <v>1998</v>
      </c>
      <c r="BH464" s="217" t="s">
        <v>1658</v>
      </c>
      <c r="BI464" s="217" t="s">
        <v>1658</v>
      </c>
      <c r="BJ464" s="217" t="s">
        <v>1660</v>
      </c>
      <c r="BK464" s="217" t="s">
        <v>637</v>
      </c>
      <c r="BL464" s="217"/>
      <c r="BM464" s="217"/>
      <c r="BN464" s="217">
        <v>0</v>
      </c>
      <c r="BO464" s="217">
        <v>0</v>
      </c>
      <c r="BR464" s="217" t="s">
        <v>85</v>
      </c>
      <c r="BS464" s="217" t="s">
        <v>98</v>
      </c>
      <c r="BT464" s="217" t="s">
        <v>442</v>
      </c>
      <c r="BU464" s="217" t="s">
        <v>1259</v>
      </c>
      <c r="BV464" s="217">
        <v>25</v>
      </c>
      <c r="BW464" s="217">
        <v>128</v>
      </c>
      <c r="BX464" s="217">
        <v>0</v>
      </c>
      <c r="BY464" s="217">
        <v>0</v>
      </c>
      <c r="BZ464" s="217">
        <v>0</v>
      </c>
      <c r="CA464" s="217">
        <v>0</v>
      </c>
      <c r="CB464" s="217">
        <v>25</v>
      </c>
      <c r="CC464" s="217">
        <v>128</v>
      </c>
      <c r="CD464" s="217">
        <v>0</v>
      </c>
      <c r="CE464" s="217">
        <v>0</v>
      </c>
      <c r="CF464" s="217">
        <v>0</v>
      </c>
      <c r="CG464" s="217">
        <v>0</v>
      </c>
      <c r="CH464" s="217">
        <v>0</v>
      </c>
      <c r="CI464" s="217">
        <v>0</v>
      </c>
      <c r="CJ464" s="217">
        <v>0</v>
      </c>
    </row>
    <row r="465" spans="1:88" x14ac:dyDescent="0.25">
      <c r="A465" s="217" t="s">
        <v>22</v>
      </c>
      <c r="B465" s="217" t="s">
        <v>23</v>
      </c>
      <c r="C465" s="217" t="s">
        <v>85</v>
      </c>
      <c r="D465" s="217" t="s">
        <v>84</v>
      </c>
      <c r="E465" s="217" t="s">
        <v>98</v>
      </c>
      <c r="F465" s="217" t="s">
        <v>97</v>
      </c>
      <c r="G465" s="217" t="s">
        <v>1156</v>
      </c>
      <c r="H465" s="217" t="s">
        <v>1157</v>
      </c>
      <c r="I465" s="217" t="s">
        <v>29</v>
      </c>
      <c r="J465" s="217" t="s">
        <v>1858</v>
      </c>
      <c r="K465" s="217">
        <v>10</v>
      </c>
      <c r="L465" s="217">
        <v>81</v>
      </c>
      <c r="M465" s="217" t="s">
        <v>31</v>
      </c>
      <c r="N465" s="217" t="s">
        <v>32</v>
      </c>
      <c r="O465" s="217" t="s">
        <v>68</v>
      </c>
      <c r="P465" s="217" t="s">
        <v>34</v>
      </c>
      <c r="Q465" s="217" t="s">
        <v>35</v>
      </c>
      <c r="R465" s="217" t="s">
        <v>23</v>
      </c>
      <c r="S465" s="217" t="s">
        <v>22</v>
      </c>
      <c r="T465" s="217" t="s">
        <v>84</v>
      </c>
      <c r="U465" s="217" t="s">
        <v>85</v>
      </c>
      <c r="V465" s="217" t="s">
        <v>94</v>
      </c>
      <c r="W465" s="217" t="s">
        <v>95</v>
      </c>
      <c r="BC465" s="217" t="s">
        <v>85</v>
      </c>
      <c r="BD465" s="217" t="s">
        <v>98</v>
      </c>
      <c r="BE465" s="217" t="s">
        <v>1688</v>
      </c>
      <c r="BF465" s="217" t="s">
        <v>800</v>
      </c>
      <c r="BG465" s="217" t="s">
        <v>1998</v>
      </c>
      <c r="BH465" s="217" t="s">
        <v>1660</v>
      </c>
      <c r="BI465" s="217" t="s">
        <v>1660</v>
      </c>
      <c r="BJ465" s="217" t="s">
        <v>1660</v>
      </c>
      <c r="BK465" s="217" t="s">
        <v>637</v>
      </c>
      <c r="BL465" s="217"/>
      <c r="BM465" s="217"/>
      <c r="BN465" s="217">
        <v>0</v>
      </c>
      <c r="BO465" s="217">
        <v>0</v>
      </c>
      <c r="BR465" s="217" t="s">
        <v>85</v>
      </c>
      <c r="BS465" s="217" t="s">
        <v>98</v>
      </c>
      <c r="BT465" s="217" t="s">
        <v>441</v>
      </c>
      <c r="BU465" s="217" t="s">
        <v>1258</v>
      </c>
      <c r="BV465" s="217">
        <v>14</v>
      </c>
      <c r="BW465" s="217">
        <v>58</v>
      </c>
      <c r="BX465" s="217">
        <v>0</v>
      </c>
      <c r="BY465" s="217">
        <v>0</v>
      </c>
      <c r="BZ465" s="217">
        <v>0</v>
      </c>
      <c r="CA465" s="217">
        <v>0</v>
      </c>
      <c r="CB465" s="217">
        <v>14</v>
      </c>
      <c r="CC465" s="217">
        <v>58</v>
      </c>
      <c r="CD465" s="217">
        <v>0</v>
      </c>
      <c r="CE465" s="217">
        <v>0</v>
      </c>
      <c r="CF465" s="217">
        <v>0</v>
      </c>
      <c r="CG465" s="217">
        <v>0</v>
      </c>
      <c r="CH465" s="217">
        <v>0</v>
      </c>
      <c r="CI465" s="217">
        <v>0</v>
      </c>
      <c r="CJ465" s="217">
        <v>0</v>
      </c>
    </row>
    <row r="466" spans="1:88" x14ac:dyDescent="0.25">
      <c r="A466" s="217" t="s">
        <v>22</v>
      </c>
      <c r="B466" s="217" t="s">
        <v>23</v>
      </c>
      <c r="C466" s="217" t="s">
        <v>85</v>
      </c>
      <c r="D466" s="217" t="s">
        <v>84</v>
      </c>
      <c r="E466" s="217" t="s">
        <v>98</v>
      </c>
      <c r="F466" s="217" t="s">
        <v>97</v>
      </c>
      <c r="G466" s="217" t="s">
        <v>162</v>
      </c>
      <c r="H466" s="217" t="s">
        <v>1158</v>
      </c>
      <c r="I466" s="217" t="s">
        <v>29</v>
      </c>
      <c r="J466" s="217" t="s">
        <v>1857</v>
      </c>
      <c r="K466" s="217">
        <v>39</v>
      </c>
      <c r="L466" s="217">
        <v>337</v>
      </c>
      <c r="M466" s="217" t="s">
        <v>31</v>
      </c>
      <c r="N466" s="217" t="s">
        <v>32</v>
      </c>
      <c r="O466" s="217" t="s">
        <v>100</v>
      </c>
      <c r="P466" s="217" t="s">
        <v>34</v>
      </c>
      <c r="Q466" s="217" t="s">
        <v>35</v>
      </c>
      <c r="R466" s="217" t="s">
        <v>23</v>
      </c>
      <c r="S466" s="217" t="s">
        <v>22</v>
      </c>
      <c r="T466" s="217" t="s">
        <v>84</v>
      </c>
      <c r="U466" s="217" t="s">
        <v>85</v>
      </c>
      <c r="V466" s="217" t="s">
        <v>97</v>
      </c>
      <c r="W466" s="217" t="s">
        <v>98</v>
      </c>
      <c r="BC466" s="217" t="s">
        <v>85</v>
      </c>
      <c r="BD466" s="217" t="s">
        <v>98</v>
      </c>
      <c r="BE466" s="217" t="s">
        <v>1300</v>
      </c>
      <c r="BF466" s="217" t="s">
        <v>462</v>
      </c>
      <c r="BG466" s="217" t="s">
        <v>1998</v>
      </c>
      <c r="BH466" s="217" t="s">
        <v>1658</v>
      </c>
      <c r="BI466" s="217" t="s">
        <v>1660</v>
      </c>
      <c r="BJ466" s="217" t="s">
        <v>1658</v>
      </c>
      <c r="BK466" s="217" t="s">
        <v>637</v>
      </c>
      <c r="BL466" s="217"/>
      <c r="BM466" s="217"/>
      <c r="BN466" s="217">
        <v>0</v>
      </c>
      <c r="BO466" s="217">
        <v>0</v>
      </c>
      <c r="BR466" s="217" t="s">
        <v>85</v>
      </c>
      <c r="BS466" s="217" t="s">
        <v>98</v>
      </c>
      <c r="BT466" s="217" t="s">
        <v>824</v>
      </c>
      <c r="BU466" s="217" t="s">
        <v>1507</v>
      </c>
      <c r="BV466" s="217">
        <v>0</v>
      </c>
      <c r="BW466" s="217">
        <v>0</v>
      </c>
      <c r="BX466" s="217">
        <v>47</v>
      </c>
      <c r="BY466" s="217">
        <v>400</v>
      </c>
      <c r="BZ466" s="217">
        <v>0</v>
      </c>
      <c r="CA466" s="217">
        <v>0</v>
      </c>
      <c r="CB466" s="217">
        <v>0</v>
      </c>
      <c r="CC466" s="217">
        <v>0</v>
      </c>
      <c r="CD466" s="217">
        <v>47</v>
      </c>
      <c r="CE466" s="217">
        <v>400</v>
      </c>
      <c r="CF466" s="217">
        <v>0</v>
      </c>
      <c r="CG466" s="217">
        <v>0</v>
      </c>
      <c r="CH466" s="217">
        <v>0</v>
      </c>
      <c r="CI466" s="217">
        <v>0</v>
      </c>
      <c r="CJ466" s="217">
        <v>0</v>
      </c>
    </row>
    <row r="467" spans="1:88" x14ac:dyDescent="0.25">
      <c r="A467" s="217" t="s">
        <v>22</v>
      </c>
      <c r="B467" s="217" t="s">
        <v>23</v>
      </c>
      <c r="C467" s="217" t="s">
        <v>85</v>
      </c>
      <c r="D467" s="217" t="s">
        <v>84</v>
      </c>
      <c r="E467" s="217" t="s">
        <v>98</v>
      </c>
      <c r="F467" s="217" t="s">
        <v>97</v>
      </c>
      <c r="G467" s="217" t="s">
        <v>807</v>
      </c>
      <c r="H467" s="217" t="s">
        <v>1159</v>
      </c>
      <c r="I467" s="217" t="s">
        <v>29</v>
      </c>
      <c r="J467" s="217" t="s">
        <v>1857</v>
      </c>
      <c r="K467" s="217">
        <v>7</v>
      </c>
      <c r="L467" s="217">
        <v>20</v>
      </c>
      <c r="M467" s="217" t="s">
        <v>31</v>
      </c>
      <c r="N467" s="217" t="s">
        <v>32</v>
      </c>
      <c r="O467" s="217" t="s">
        <v>68</v>
      </c>
      <c r="P467" s="217" t="s">
        <v>34</v>
      </c>
      <c r="Q467" s="217" t="s">
        <v>35</v>
      </c>
      <c r="R467" s="217" t="s">
        <v>23</v>
      </c>
      <c r="S467" s="217" t="s">
        <v>22</v>
      </c>
      <c r="T467" s="217" t="s">
        <v>84</v>
      </c>
      <c r="U467" s="217" t="s">
        <v>85</v>
      </c>
      <c r="V467" s="217" t="s">
        <v>91</v>
      </c>
      <c r="W467" s="217" t="s">
        <v>92</v>
      </c>
      <c r="BC467" s="217" t="s">
        <v>85</v>
      </c>
      <c r="BD467" s="217" t="s">
        <v>175</v>
      </c>
      <c r="BE467" s="217" t="s">
        <v>1301</v>
      </c>
      <c r="BF467" s="217" t="s">
        <v>295</v>
      </c>
      <c r="BG467" s="217" t="s">
        <v>1998</v>
      </c>
      <c r="BH467" s="217" t="s">
        <v>1658</v>
      </c>
      <c r="BI467" s="217" t="s">
        <v>1658</v>
      </c>
      <c r="BJ467" s="217" t="s">
        <v>1658</v>
      </c>
      <c r="BK467" s="217" t="s">
        <v>637</v>
      </c>
      <c r="BL467" s="217"/>
      <c r="BM467" s="217"/>
      <c r="BN467" s="217">
        <v>0</v>
      </c>
      <c r="BO467" s="217">
        <v>0</v>
      </c>
      <c r="BR467" s="217" t="s">
        <v>85</v>
      </c>
      <c r="BS467" s="217" t="s">
        <v>98</v>
      </c>
      <c r="BT467" s="217" t="s">
        <v>433</v>
      </c>
      <c r="BU467" s="217" t="s">
        <v>1241</v>
      </c>
      <c r="BV467" s="217">
        <v>14</v>
      </c>
      <c r="BW467" s="217">
        <v>77</v>
      </c>
      <c r="BX467" s="217">
        <v>8</v>
      </c>
      <c r="BY467" s="217">
        <v>42</v>
      </c>
      <c r="BZ467" s="217">
        <v>0</v>
      </c>
      <c r="CA467" s="217">
        <v>0</v>
      </c>
      <c r="CB467" s="217">
        <v>10</v>
      </c>
      <c r="CC467" s="217">
        <v>52</v>
      </c>
      <c r="CD467" s="217">
        <v>8</v>
      </c>
      <c r="CE467" s="217">
        <v>42</v>
      </c>
      <c r="CF467" s="217">
        <v>0</v>
      </c>
      <c r="CG467" s="217">
        <v>0</v>
      </c>
      <c r="CH467" s="217">
        <v>25</v>
      </c>
      <c r="CI467" s="217">
        <v>0</v>
      </c>
      <c r="CJ467" s="217">
        <v>0</v>
      </c>
    </row>
    <row r="468" spans="1:88" x14ac:dyDescent="0.25">
      <c r="A468" s="217" t="s">
        <v>22</v>
      </c>
      <c r="B468" s="217" t="s">
        <v>23</v>
      </c>
      <c r="C468" s="217" t="s">
        <v>85</v>
      </c>
      <c r="D468" s="217" t="s">
        <v>84</v>
      </c>
      <c r="E468" s="217" t="s">
        <v>98</v>
      </c>
      <c r="F468" s="217" t="s">
        <v>97</v>
      </c>
      <c r="G468" s="217" t="s">
        <v>807</v>
      </c>
      <c r="H468" s="217" t="s">
        <v>1159</v>
      </c>
      <c r="I468" s="217" t="s">
        <v>29</v>
      </c>
      <c r="J468" s="217" t="s">
        <v>1858</v>
      </c>
      <c r="K468" s="217">
        <v>6</v>
      </c>
      <c r="L468" s="217">
        <v>22</v>
      </c>
      <c r="M468" s="217" t="s">
        <v>31</v>
      </c>
      <c r="N468" s="217" t="s">
        <v>32</v>
      </c>
      <c r="O468" s="217" t="s">
        <v>68</v>
      </c>
      <c r="P468" s="217" t="s">
        <v>34</v>
      </c>
      <c r="Q468" s="217" t="s">
        <v>35</v>
      </c>
      <c r="R468" s="217" t="s">
        <v>23</v>
      </c>
      <c r="S468" s="217" t="s">
        <v>22</v>
      </c>
      <c r="T468" s="217" t="s">
        <v>84</v>
      </c>
      <c r="U468" s="217" t="s">
        <v>85</v>
      </c>
      <c r="V468" s="217" t="s">
        <v>109</v>
      </c>
      <c r="W468" s="217" t="s">
        <v>110</v>
      </c>
      <c r="BC468" s="217" t="s">
        <v>85</v>
      </c>
      <c r="BD468" s="217" t="s">
        <v>175</v>
      </c>
      <c r="BE468" s="217" t="s">
        <v>1525</v>
      </c>
      <c r="BF468" s="217" t="s">
        <v>176</v>
      </c>
      <c r="BG468" s="217" t="s">
        <v>1998</v>
      </c>
      <c r="BH468" s="217" t="s">
        <v>1660</v>
      </c>
      <c r="BI468" s="217" t="s">
        <v>1658</v>
      </c>
      <c r="BJ468" s="217" t="s">
        <v>1660</v>
      </c>
      <c r="BK468" s="217" t="s">
        <v>637</v>
      </c>
      <c r="BL468" s="217"/>
      <c r="BM468" s="217"/>
      <c r="BN468" s="217">
        <v>0</v>
      </c>
      <c r="BO468" s="217">
        <v>0</v>
      </c>
      <c r="BR468" s="217" t="s">
        <v>85</v>
      </c>
      <c r="BS468" s="217" t="s">
        <v>98</v>
      </c>
      <c r="BT468" s="217" t="s">
        <v>1823</v>
      </c>
      <c r="BU468" s="217" t="s">
        <v>1822</v>
      </c>
      <c r="BV468" s="217">
        <v>8</v>
      </c>
      <c r="BW468" s="217">
        <v>70</v>
      </c>
      <c r="BX468" s="217">
        <v>10</v>
      </c>
      <c r="BY468" s="217">
        <v>80</v>
      </c>
      <c r="BZ468" s="217">
        <v>0</v>
      </c>
      <c r="CA468" s="217">
        <v>0</v>
      </c>
      <c r="CB468" s="217">
        <v>8</v>
      </c>
      <c r="CC468" s="217">
        <v>70</v>
      </c>
      <c r="CD468" s="217">
        <v>10</v>
      </c>
      <c r="CE468" s="217">
        <v>80</v>
      </c>
      <c r="CF468" s="217">
        <v>0</v>
      </c>
      <c r="CG468" s="217">
        <v>0</v>
      </c>
      <c r="CH468" s="217">
        <v>0</v>
      </c>
      <c r="CI468" s="217">
        <v>0</v>
      </c>
      <c r="CJ468" s="217">
        <v>0</v>
      </c>
    </row>
    <row r="469" spans="1:88" x14ac:dyDescent="0.25">
      <c r="A469" s="217" t="s">
        <v>22</v>
      </c>
      <c r="B469" s="217" t="s">
        <v>23</v>
      </c>
      <c r="C469" s="217" t="s">
        <v>85</v>
      </c>
      <c r="D469" s="217" t="s">
        <v>84</v>
      </c>
      <c r="E469" s="217" t="s">
        <v>98</v>
      </c>
      <c r="F469" s="217" t="s">
        <v>97</v>
      </c>
      <c r="G469" s="217" t="s">
        <v>388</v>
      </c>
      <c r="H469" s="217" t="s">
        <v>1160</v>
      </c>
      <c r="I469" s="217" t="s">
        <v>29</v>
      </c>
      <c r="J469" s="217" t="s">
        <v>1856</v>
      </c>
      <c r="K469" s="217">
        <v>25</v>
      </c>
      <c r="L469" s="217">
        <v>200</v>
      </c>
      <c r="M469" s="217" t="s">
        <v>31</v>
      </c>
      <c r="N469" s="217" t="s">
        <v>32</v>
      </c>
      <c r="O469" s="217" t="s">
        <v>100</v>
      </c>
      <c r="P469" s="217" t="s">
        <v>34</v>
      </c>
      <c r="Q469" s="217" t="s">
        <v>35</v>
      </c>
      <c r="R469" s="217" t="s">
        <v>23</v>
      </c>
      <c r="S469" s="217" t="s">
        <v>22</v>
      </c>
      <c r="T469" s="217" t="s">
        <v>84</v>
      </c>
      <c r="U469" s="217" t="s">
        <v>85</v>
      </c>
      <c r="V469" s="217" t="s">
        <v>97</v>
      </c>
      <c r="W469" s="217" t="s">
        <v>98</v>
      </c>
      <c r="BC469" s="217" t="s">
        <v>85</v>
      </c>
      <c r="BD469" s="217" t="s">
        <v>175</v>
      </c>
      <c r="BE469" s="217" t="s">
        <v>1302</v>
      </c>
      <c r="BF469" s="217" t="s">
        <v>463</v>
      </c>
      <c r="BG469" s="217" t="s">
        <v>1998</v>
      </c>
      <c r="BH469" s="217" t="s">
        <v>1658</v>
      </c>
      <c r="BI469" s="217" t="s">
        <v>1658</v>
      </c>
      <c r="BJ469" s="217" t="s">
        <v>1660</v>
      </c>
      <c r="BK469" s="217" t="s">
        <v>637</v>
      </c>
      <c r="BL469" s="217"/>
      <c r="BM469" s="217"/>
      <c r="BN469" s="217">
        <v>0</v>
      </c>
      <c r="BO469" s="217">
        <v>0</v>
      </c>
      <c r="BR469" s="217" t="s">
        <v>85</v>
      </c>
      <c r="BS469" s="217" t="s">
        <v>98</v>
      </c>
      <c r="BT469" s="217" t="s">
        <v>160</v>
      </c>
      <c r="BU469" s="217" t="s">
        <v>1150</v>
      </c>
      <c r="BV469" s="217">
        <v>6</v>
      </c>
      <c r="BW469" s="217">
        <v>27</v>
      </c>
      <c r="BX469" s="217">
        <v>8</v>
      </c>
      <c r="BY469" s="217">
        <v>42</v>
      </c>
      <c r="BZ469" s="217">
        <v>0</v>
      </c>
      <c r="CA469" s="217">
        <v>0</v>
      </c>
      <c r="CB469" s="217">
        <v>6</v>
      </c>
      <c r="CC469" s="217">
        <v>27</v>
      </c>
      <c r="CD469" s="217">
        <v>8</v>
      </c>
      <c r="CE469" s="217">
        <v>42</v>
      </c>
      <c r="CF469" s="217">
        <v>0</v>
      </c>
      <c r="CG469" s="217">
        <v>0</v>
      </c>
      <c r="CH469" s="217">
        <v>0</v>
      </c>
      <c r="CI469" s="217">
        <v>0</v>
      </c>
      <c r="CJ469" s="217">
        <v>0</v>
      </c>
    </row>
    <row r="470" spans="1:88" x14ac:dyDescent="0.25">
      <c r="A470" s="217" t="s">
        <v>22</v>
      </c>
      <c r="B470" s="217" t="s">
        <v>23</v>
      </c>
      <c r="C470" s="217" t="s">
        <v>85</v>
      </c>
      <c r="D470" s="217" t="s">
        <v>84</v>
      </c>
      <c r="E470" s="217" t="s">
        <v>98</v>
      </c>
      <c r="F470" s="217" t="s">
        <v>97</v>
      </c>
      <c r="G470" s="217" t="s">
        <v>388</v>
      </c>
      <c r="H470" s="217" t="s">
        <v>1160</v>
      </c>
      <c r="I470" s="217" t="s">
        <v>29</v>
      </c>
      <c r="J470" s="217" t="s">
        <v>1858</v>
      </c>
      <c r="K470" s="217">
        <v>5</v>
      </c>
      <c r="L470" s="217">
        <v>43</v>
      </c>
      <c r="M470" s="217" t="s">
        <v>31</v>
      </c>
      <c r="N470" s="217" t="s">
        <v>32</v>
      </c>
      <c r="O470" s="217" t="s">
        <v>100</v>
      </c>
      <c r="P470" s="217" t="s">
        <v>34</v>
      </c>
      <c r="Q470" s="217" t="s">
        <v>35</v>
      </c>
      <c r="R470" s="217" t="s">
        <v>23</v>
      </c>
      <c r="S470" s="217" t="s">
        <v>22</v>
      </c>
      <c r="T470" s="217" t="s">
        <v>84</v>
      </c>
      <c r="U470" s="217" t="s">
        <v>85</v>
      </c>
      <c r="V470" s="217" t="s">
        <v>97</v>
      </c>
      <c r="W470" s="217" t="s">
        <v>98</v>
      </c>
      <c r="BC470" s="217" t="s">
        <v>85</v>
      </c>
      <c r="BD470" s="217" t="s">
        <v>175</v>
      </c>
      <c r="BE470" s="217" t="s">
        <v>1663</v>
      </c>
      <c r="BF470" s="217" t="s">
        <v>829</v>
      </c>
      <c r="BG470" s="217" t="s">
        <v>1998</v>
      </c>
      <c r="BH470" s="217" t="s">
        <v>1660</v>
      </c>
      <c r="BI470" s="217" t="s">
        <v>1660</v>
      </c>
      <c r="BJ470" s="217" t="s">
        <v>1660</v>
      </c>
      <c r="BK470" s="217" t="s">
        <v>637</v>
      </c>
      <c r="BL470" s="217"/>
      <c r="BM470" s="217"/>
      <c r="BN470" s="217">
        <v>0</v>
      </c>
      <c r="BO470" s="217">
        <v>0</v>
      </c>
      <c r="BR470" s="217" t="s">
        <v>85</v>
      </c>
      <c r="BS470" s="217" t="s">
        <v>98</v>
      </c>
      <c r="BT470" s="217" t="s">
        <v>376</v>
      </c>
      <c r="BU470" s="217" t="s">
        <v>1123</v>
      </c>
      <c r="BV470" s="217">
        <v>46</v>
      </c>
      <c r="BW470" s="217">
        <v>392</v>
      </c>
      <c r="BX470" s="217">
        <v>0</v>
      </c>
      <c r="BY470" s="217">
        <v>0</v>
      </c>
      <c r="BZ470" s="217">
        <v>0</v>
      </c>
      <c r="CA470" s="217">
        <v>0</v>
      </c>
      <c r="CB470" s="217">
        <v>46</v>
      </c>
      <c r="CC470" s="217">
        <v>392</v>
      </c>
      <c r="CD470" s="217">
        <v>0</v>
      </c>
      <c r="CE470" s="217">
        <v>0</v>
      </c>
      <c r="CF470" s="217">
        <v>0</v>
      </c>
      <c r="CG470" s="217">
        <v>0</v>
      </c>
      <c r="CH470" s="217">
        <v>0</v>
      </c>
      <c r="CI470" s="217">
        <v>0</v>
      </c>
      <c r="CJ470" s="217">
        <v>0</v>
      </c>
    </row>
    <row r="471" spans="1:88" x14ac:dyDescent="0.25">
      <c r="A471" s="217" t="s">
        <v>22</v>
      </c>
      <c r="B471" s="217" t="s">
        <v>23</v>
      </c>
      <c r="C471" s="217" t="s">
        <v>85</v>
      </c>
      <c r="D471" s="217" t="s">
        <v>84</v>
      </c>
      <c r="E471" s="217" t="s">
        <v>98</v>
      </c>
      <c r="F471" s="217" t="s">
        <v>97</v>
      </c>
      <c r="G471" s="217" t="s">
        <v>389</v>
      </c>
      <c r="H471" s="217" t="s">
        <v>1161</v>
      </c>
      <c r="I471" s="217" t="s">
        <v>29</v>
      </c>
      <c r="J471" s="217" t="s">
        <v>1856</v>
      </c>
      <c r="K471" s="217">
        <v>2</v>
      </c>
      <c r="L471" s="217">
        <v>12</v>
      </c>
      <c r="M471" s="217" t="s">
        <v>31</v>
      </c>
      <c r="N471" s="217" t="s">
        <v>32</v>
      </c>
      <c r="O471" s="217" t="s">
        <v>100</v>
      </c>
      <c r="P471" s="217" t="s">
        <v>34</v>
      </c>
      <c r="Q471" s="217" t="s">
        <v>35</v>
      </c>
      <c r="R471" s="217" t="s">
        <v>23</v>
      </c>
      <c r="S471" s="217" t="s">
        <v>22</v>
      </c>
      <c r="T471" s="217" t="s">
        <v>84</v>
      </c>
      <c r="U471" s="217" t="s">
        <v>85</v>
      </c>
      <c r="V471" s="217" t="s">
        <v>97</v>
      </c>
      <c r="W471" s="217" t="s">
        <v>98</v>
      </c>
      <c r="BC471" s="217" t="s">
        <v>85</v>
      </c>
      <c r="BD471" s="217" t="s">
        <v>175</v>
      </c>
      <c r="BE471" s="217" t="s">
        <v>1972</v>
      </c>
      <c r="BF471" s="217" t="s">
        <v>1971</v>
      </c>
      <c r="BG471" s="217" t="s">
        <v>1998</v>
      </c>
      <c r="BH471" s="217" t="s">
        <v>1660</v>
      </c>
      <c r="BI471" s="217" t="s">
        <v>1658</v>
      </c>
      <c r="BJ471" s="217" t="s">
        <v>1658</v>
      </c>
      <c r="BK471" s="217" t="s">
        <v>637</v>
      </c>
      <c r="BL471" s="217"/>
      <c r="BM471" s="217"/>
      <c r="BN471" s="217">
        <v>0</v>
      </c>
      <c r="BO471" s="217">
        <v>0</v>
      </c>
      <c r="BR471" s="217" t="s">
        <v>85</v>
      </c>
      <c r="BS471" s="217" t="s">
        <v>98</v>
      </c>
      <c r="BT471" s="217" t="s">
        <v>377</v>
      </c>
      <c r="BU471" s="217" t="s">
        <v>1124</v>
      </c>
      <c r="BV471" s="217">
        <v>7</v>
      </c>
      <c r="BW471" s="217">
        <v>35</v>
      </c>
      <c r="BX471" s="217">
        <v>0</v>
      </c>
      <c r="BY471" s="217">
        <v>0</v>
      </c>
      <c r="BZ471" s="217">
        <v>0</v>
      </c>
      <c r="CA471" s="217">
        <v>0</v>
      </c>
      <c r="CB471" s="217">
        <v>7</v>
      </c>
      <c r="CC471" s="217">
        <v>35</v>
      </c>
      <c r="CD471" s="217">
        <v>0</v>
      </c>
      <c r="CE471" s="217">
        <v>0</v>
      </c>
      <c r="CF471" s="217">
        <v>0</v>
      </c>
      <c r="CG471" s="217">
        <v>0</v>
      </c>
      <c r="CH471" s="217">
        <v>0</v>
      </c>
      <c r="CI471" s="217">
        <v>0</v>
      </c>
      <c r="CJ471" s="217">
        <v>0</v>
      </c>
    </row>
    <row r="472" spans="1:88" x14ac:dyDescent="0.25">
      <c r="A472" s="217" t="s">
        <v>22</v>
      </c>
      <c r="B472" s="217" t="s">
        <v>23</v>
      </c>
      <c r="C472" s="217" t="s">
        <v>85</v>
      </c>
      <c r="D472" s="217" t="s">
        <v>84</v>
      </c>
      <c r="E472" s="217" t="s">
        <v>98</v>
      </c>
      <c r="F472" s="217" t="s">
        <v>97</v>
      </c>
      <c r="G472" s="217" t="s">
        <v>389</v>
      </c>
      <c r="H472" s="217" t="s">
        <v>1161</v>
      </c>
      <c r="I472" s="217" t="s">
        <v>29</v>
      </c>
      <c r="J472" s="217" t="s">
        <v>1857</v>
      </c>
      <c r="K472" s="217">
        <v>3</v>
      </c>
      <c r="L472" s="217">
        <v>15</v>
      </c>
      <c r="M472" s="217" t="s">
        <v>31</v>
      </c>
      <c r="N472" s="217" t="s">
        <v>32</v>
      </c>
      <c r="O472" s="217" t="s">
        <v>100</v>
      </c>
      <c r="P472" s="217" t="s">
        <v>34</v>
      </c>
      <c r="Q472" s="217" t="s">
        <v>35</v>
      </c>
      <c r="R472" s="217" t="s">
        <v>23</v>
      </c>
      <c r="S472" s="217" t="s">
        <v>22</v>
      </c>
      <c r="T472" s="217" t="s">
        <v>84</v>
      </c>
      <c r="U472" s="217" t="s">
        <v>85</v>
      </c>
      <c r="V472" s="217" t="s">
        <v>97</v>
      </c>
      <c r="W472" s="217" t="s">
        <v>98</v>
      </c>
      <c r="BC472" s="217" t="s">
        <v>85</v>
      </c>
      <c r="BD472" s="217" t="s">
        <v>175</v>
      </c>
      <c r="BE472" s="217" t="s">
        <v>1303</v>
      </c>
      <c r="BF472" s="217" t="s">
        <v>464</v>
      </c>
      <c r="BG472" s="217" t="s">
        <v>2000</v>
      </c>
      <c r="BH472" s="217" t="s">
        <v>1658</v>
      </c>
      <c r="BI472" s="217" t="s">
        <v>1658</v>
      </c>
      <c r="BJ472" s="217" t="s">
        <v>1658</v>
      </c>
      <c r="BK472" s="217" t="s">
        <v>637</v>
      </c>
      <c r="BL472" s="217"/>
      <c r="BM472" s="217"/>
      <c r="BN472" s="217">
        <v>0</v>
      </c>
      <c r="BO472" s="217">
        <v>0</v>
      </c>
      <c r="BR472" s="217" t="s">
        <v>85</v>
      </c>
      <c r="BS472" s="217" t="s">
        <v>98</v>
      </c>
      <c r="BT472" s="217" t="s">
        <v>810</v>
      </c>
      <c r="BU472" s="217" t="s">
        <v>1506</v>
      </c>
      <c r="BV472" s="217">
        <v>0</v>
      </c>
      <c r="BW472" s="217">
        <v>0</v>
      </c>
      <c r="BX472" s="217">
        <v>20</v>
      </c>
      <c r="BY472" s="217">
        <v>170</v>
      </c>
      <c r="BZ472" s="217">
        <v>0</v>
      </c>
      <c r="CA472" s="217">
        <v>0</v>
      </c>
      <c r="CB472" s="217">
        <v>0</v>
      </c>
      <c r="CC472" s="217">
        <v>0</v>
      </c>
      <c r="CD472" s="217">
        <v>20</v>
      </c>
      <c r="CE472" s="217">
        <v>170</v>
      </c>
      <c r="CF472" s="217">
        <v>0</v>
      </c>
      <c r="CG472" s="217">
        <v>0</v>
      </c>
      <c r="CH472" s="217">
        <v>0</v>
      </c>
      <c r="CI472" s="217">
        <v>0</v>
      </c>
      <c r="CJ472" s="217">
        <v>0</v>
      </c>
    </row>
    <row r="473" spans="1:88" x14ac:dyDescent="0.25">
      <c r="A473" s="217" t="s">
        <v>22</v>
      </c>
      <c r="B473" s="217" t="s">
        <v>23</v>
      </c>
      <c r="C473" s="217" t="s">
        <v>85</v>
      </c>
      <c r="D473" s="217" t="s">
        <v>84</v>
      </c>
      <c r="E473" s="217" t="s">
        <v>98</v>
      </c>
      <c r="F473" s="217" t="s">
        <v>97</v>
      </c>
      <c r="G473" s="217" t="s">
        <v>1162</v>
      </c>
      <c r="H473" s="217" t="s">
        <v>1163</v>
      </c>
      <c r="I473" s="217" t="s">
        <v>29</v>
      </c>
      <c r="J473" s="217" t="s">
        <v>1858</v>
      </c>
      <c r="K473" s="217">
        <v>5</v>
      </c>
      <c r="L473" s="217">
        <v>37</v>
      </c>
      <c r="M473" s="217" t="s">
        <v>31</v>
      </c>
      <c r="N473" s="217" t="s">
        <v>32</v>
      </c>
      <c r="O473" s="217" t="s">
        <v>100</v>
      </c>
      <c r="P473" s="217" t="s">
        <v>34</v>
      </c>
      <c r="Q473" s="217" t="s">
        <v>35</v>
      </c>
      <c r="R473" s="217" t="s">
        <v>23</v>
      </c>
      <c r="S473" s="217" t="s">
        <v>22</v>
      </c>
      <c r="T473" s="217" t="s">
        <v>84</v>
      </c>
      <c r="U473" s="217" t="s">
        <v>85</v>
      </c>
      <c r="V473" s="217" t="s">
        <v>97</v>
      </c>
      <c r="W473" s="217" t="s">
        <v>98</v>
      </c>
      <c r="BC473" s="217" t="s">
        <v>85</v>
      </c>
      <c r="BD473" s="217" t="s">
        <v>175</v>
      </c>
      <c r="BE473" s="217" t="s">
        <v>1526</v>
      </c>
      <c r="BF473" s="217" t="s">
        <v>177</v>
      </c>
      <c r="BG473" s="217" t="s">
        <v>1998</v>
      </c>
      <c r="BH473" s="217" t="s">
        <v>1660</v>
      </c>
      <c r="BI473" s="217" t="s">
        <v>1658</v>
      </c>
      <c r="BJ473" s="217" t="s">
        <v>1658</v>
      </c>
      <c r="BK473" s="217" t="s">
        <v>637</v>
      </c>
      <c r="BL473" s="217"/>
      <c r="BM473" s="217"/>
      <c r="BN473" s="217">
        <v>0</v>
      </c>
      <c r="BO473" s="217">
        <v>0</v>
      </c>
      <c r="BR473" s="217" t="s">
        <v>85</v>
      </c>
      <c r="BS473" s="217" t="s">
        <v>98</v>
      </c>
      <c r="BT473" s="217" t="s">
        <v>430</v>
      </c>
      <c r="BU473" s="217" t="s">
        <v>1231</v>
      </c>
      <c r="BV473" s="217">
        <v>47</v>
      </c>
      <c r="BW473" s="217">
        <v>434</v>
      </c>
      <c r="BX473" s="217">
        <v>0</v>
      </c>
      <c r="BY473" s="217">
        <v>0</v>
      </c>
      <c r="BZ473" s="217">
        <v>5</v>
      </c>
      <c r="CA473" s="217">
        <v>56</v>
      </c>
      <c r="CB473" s="217">
        <v>47</v>
      </c>
      <c r="CC473" s="217">
        <v>434</v>
      </c>
      <c r="CD473" s="217">
        <v>0</v>
      </c>
      <c r="CE473" s="217">
        <v>0</v>
      </c>
      <c r="CF473" s="217">
        <v>5</v>
      </c>
      <c r="CG473" s="217">
        <v>56</v>
      </c>
      <c r="CH473" s="217">
        <v>0</v>
      </c>
      <c r="CI473" s="217">
        <v>0</v>
      </c>
      <c r="CJ473" s="217">
        <v>0</v>
      </c>
    </row>
    <row r="474" spans="1:88" x14ac:dyDescent="0.25">
      <c r="A474" s="217" t="s">
        <v>22</v>
      </c>
      <c r="B474" s="217" t="s">
        <v>23</v>
      </c>
      <c r="C474" s="217" t="s">
        <v>85</v>
      </c>
      <c r="D474" s="217" t="s">
        <v>84</v>
      </c>
      <c r="E474" s="217" t="s">
        <v>98</v>
      </c>
      <c r="F474" s="217" t="s">
        <v>97</v>
      </c>
      <c r="G474" s="217" t="s">
        <v>791</v>
      </c>
      <c r="H474" s="217" t="s">
        <v>1164</v>
      </c>
      <c r="I474" s="217" t="s">
        <v>29</v>
      </c>
      <c r="J474" s="217" t="s">
        <v>1856</v>
      </c>
      <c r="K474" s="217">
        <v>17</v>
      </c>
      <c r="L474" s="217">
        <v>68</v>
      </c>
      <c r="M474" s="217" t="s">
        <v>31</v>
      </c>
      <c r="N474" s="217" t="s">
        <v>32</v>
      </c>
      <c r="O474" s="217" t="s">
        <v>100</v>
      </c>
      <c r="P474" s="217" t="s">
        <v>34</v>
      </c>
      <c r="Q474" s="217" t="s">
        <v>35</v>
      </c>
      <c r="R474" s="217" t="s">
        <v>23</v>
      </c>
      <c r="S474" s="217" t="s">
        <v>22</v>
      </c>
      <c r="T474" s="217" t="s">
        <v>84</v>
      </c>
      <c r="U474" s="217" t="s">
        <v>85</v>
      </c>
      <c r="V474" s="217" t="s">
        <v>97</v>
      </c>
      <c r="W474" s="217" t="s">
        <v>98</v>
      </c>
      <c r="BC474" s="217" t="s">
        <v>85</v>
      </c>
      <c r="BD474" s="217" t="s">
        <v>175</v>
      </c>
      <c r="BE474" s="217" t="s">
        <v>1304</v>
      </c>
      <c r="BF474" s="217" t="s">
        <v>465</v>
      </c>
      <c r="BG474" s="217" t="s">
        <v>1998</v>
      </c>
      <c r="BH474" s="217" t="s">
        <v>1658</v>
      </c>
      <c r="BI474" s="217" t="s">
        <v>1658</v>
      </c>
      <c r="BJ474" s="217" t="s">
        <v>1658</v>
      </c>
      <c r="BK474" s="217" t="s">
        <v>637</v>
      </c>
      <c r="BL474" s="217"/>
      <c r="BM474" s="217"/>
      <c r="BN474" s="217">
        <v>0</v>
      </c>
      <c r="BO474" s="217">
        <v>0</v>
      </c>
      <c r="BR474" s="217" t="s">
        <v>85</v>
      </c>
      <c r="BS474" s="217" t="s">
        <v>98</v>
      </c>
      <c r="BT474" s="217" t="s">
        <v>406</v>
      </c>
      <c r="BU474" s="217" t="s">
        <v>1194</v>
      </c>
      <c r="BV474" s="217">
        <v>34</v>
      </c>
      <c r="BW474" s="217">
        <v>202</v>
      </c>
      <c r="BX474" s="217">
        <v>0</v>
      </c>
      <c r="BY474" s="217">
        <v>0</v>
      </c>
      <c r="BZ474" s="217">
        <v>0</v>
      </c>
      <c r="CA474" s="217">
        <v>0</v>
      </c>
      <c r="CB474" s="217">
        <v>34</v>
      </c>
      <c r="CC474" s="217">
        <v>202</v>
      </c>
      <c r="CD474" s="217">
        <v>0</v>
      </c>
      <c r="CE474" s="217">
        <v>0</v>
      </c>
      <c r="CF474" s="217">
        <v>0</v>
      </c>
      <c r="CG474" s="217">
        <v>0</v>
      </c>
      <c r="CH474" s="217">
        <v>0</v>
      </c>
      <c r="CI474" s="217">
        <v>0</v>
      </c>
      <c r="CJ474" s="217">
        <v>0</v>
      </c>
    </row>
    <row r="475" spans="1:88" x14ac:dyDescent="0.25">
      <c r="A475" s="217" t="s">
        <v>22</v>
      </c>
      <c r="B475" s="217" t="s">
        <v>23</v>
      </c>
      <c r="C475" s="217" t="s">
        <v>85</v>
      </c>
      <c r="D475" s="217" t="s">
        <v>84</v>
      </c>
      <c r="E475" s="217" t="s">
        <v>98</v>
      </c>
      <c r="F475" s="217" t="s">
        <v>97</v>
      </c>
      <c r="G475" s="217" t="s">
        <v>791</v>
      </c>
      <c r="H475" s="217" t="s">
        <v>1164</v>
      </c>
      <c r="I475" s="217" t="s">
        <v>29</v>
      </c>
      <c r="J475" s="217" t="s">
        <v>1858</v>
      </c>
      <c r="K475" s="217">
        <v>5</v>
      </c>
      <c r="L475" s="217">
        <v>34</v>
      </c>
      <c r="M475" s="217" t="s">
        <v>31</v>
      </c>
      <c r="N475" s="217" t="s">
        <v>32</v>
      </c>
      <c r="O475" s="217" t="s">
        <v>100</v>
      </c>
      <c r="P475" s="217" t="s">
        <v>34</v>
      </c>
      <c r="Q475" s="217" t="s">
        <v>35</v>
      </c>
      <c r="R475" s="217" t="s">
        <v>23</v>
      </c>
      <c r="S475" s="217" t="s">
        <v>22</v>
      </c>
      <c r="T475" s="217" t="s">
        <v>84</v>
      </c>
      <c r="U475" s="217" t="s">
        <v>85</v>
      </c>
      <c r="V475" s="217" t="s">
        <v>97</v>
      </c>
      <c r="W475" s="217" t="s">
        <v>98</v>
      </c>
      <c r="BC475" s="217" t="s">
        <v>85</v>
      </c>
      <c r="BD475" s="217" t="s">
        <v>175</v>
      </c>
      <c r="BE475" s="217" t="s">
        <v>1662</v>
      </c>
      <c r="BF475" s="217" t="s">
        <v>691</v>
      </c>
      <c r="BG475" s="217" t="s">
        <v>1999</v>
      </c>
      <c r="BH475" s="217" t="s">
        <v>1660</v>
      </c>
      <c r="BI475" s="217" t="s">
        <v>1660</v>
      </c>
      <c r="BJ475" s="217" t="s">
        <v>1660</v>
      </c>
      <c r="BK475" s="217" t="s">
        <v>637</v>
      </c>
      <c r="BL475" s="217"/>
      <c r="BM475" s="217"/>
      <c r="BN475" s="217">
        <v>0</v>
      </c>
      <c r="BO475" s="217">
        <v>0</v>
      </c>
      <c r="BR475" s="217" t="s">
        <v>85</v>
      </c>
      <c r="BS475" s="217" t="s">
        <v>98</v>
      </c>
      <c r="BT475" s="217" t="s">
        <v>448</v>
      </c>
      <c r="BU475" s="217" t="s">
        <v>1269</v>
      </c>
      <c r="BV475" s="217">
        <v>19</v>
      </c>
      <c r="BW475" s="217">
        <v>178</v>
      </c>
      <c r="BX475" s="217">
        <v>0</v>
      </c>
      <c r="BY475" s="217">
        <v>0</v>
      </c>
      <c r="BZ475" s="217">
        <v>0</v>
      </c>
      <c r="CA475" s="217">
        <v>0</v>
      </c>
      <c r="CB475" s="217">
        <v>19</v>
      </c>
      <c r="CC475" s="217">
        <v>178</v>
      </c>
      <c r="CD475" s="217">
        <v>0</v>
      </c>
      <c r="CE475" s="217">
        <v>0</v>
      </c>
      <c r="CF475" s="217">
        <v>0</v>
      </c>
      <c r="CG475" s="217">
        <v>0</v>
      </c>
      <c r="CH475" s="217">
        <v>0</v>
      </c>
      <c r="CI475" s="217">
        <v>0</v>
      </c>
      <c r="CJ475" s="217">
        <v>0</v>
      </c>
    </row>
    <row r="476" spans="1:88" x14ac:dyDescent="0.25">
      <c r="A476" s="217" t="s">
        <v>22</v>
      </c>
      <c r="B476" s="217" t="s">
        <v>23</v>
      </c>
      <c r="C476" s="217" t="s">
        <v>85</v>
      </c>
      <c r="D476" s="217" t="s">
        <v>84</v>
      </c>
      <c r="E476" s="217" t="s">
        <v>98</v>
      </c>
      <c r="F476" s="217" t="s">
        <v>97</v>
      </c>
      <c r="G476" s="217" t="s">
        <v>809</v>
      </c>
      <c r="H476" s="217" t="s">
        <v>1165</v>
      </c>
      <c r="I476" s="217" t="s">
        <v>29</v>
      </c>
      <c r="J476" s="217" t="s">
        <v>1856</v>
      </c>
      <c r="K476" s="217">
        <v>16</v>
      </c>
      <c r="L476" s="217">
        <v>70</v>
      </c>
      <c r="M476" s="217" t="s">
        <v>31</v>
      </c>
      <c r="N476" s="217" t="s">
        <v>32</v>
      </c>
      <c r="O476" s="217" t="s">
        <v>100</v>
      </c>
      <c r="P476" s="217" t="s">
        <v>34</v>
      </c>
      <c r="Q476" s="217" t="s">
        <v>35</v>
      </c>
      <c r="R476" s="217" t="s">
        <v>23</v>
      </c>
      <c r="S476" s="217" t="s">
        <v>22</v>
      </c>
      <c r="T476" s="217" t="s">
        <v>84</v>
      </c>
      <c r="U476" s="217" t="s">
        <v>85</v>
      </c>
      <c r="V476" s="217" t="s">
        <v>97</v>
      </c>
      <c r="W476" s="217" t="s">
        <v>98</v>
      </c>
      <c r="BC476" s="217" t="s">
        <v>85</v>
      </c>
      <c r="BD476" s="217" t="s">
        <v>175</v>
      </c>
      <c r="BE476" s="217" t="s">
        <v>1305</v>
      </c>
      <c r="BF476" s="217" t="s">
        <v>420</v>
      </c>
      <c r="BG476" s="217" t="s">
        <v>1999</v>
      </c>
      <c r="BH476" s="217" t="s">
        <v>1660</v>
      </c>
      <c r="BI476" s="217" t="s">
        <v>1660</v>
      </c>
      <c r="BJ476" s="217" t="s">
        <v>1660</v>
      </c>
      <c r="BK476" s="217" t="s">
        <v>637</v>
      </c>
      <c r="BL476" s="217"/>
      <c r="BM476" s="217"/>
      <c r="BN476" s="217">
        <v>0</v>
      </c>
      <c r="BO476" s="217">
        <v>0</v>
      </c>
      <c r="BR476" s="217" t="s">
        <v>85</v>
      </c>
      <c r="BS476" s="217" t="s">
        <v>98</v>
      </c>
      <c r="BT476" s="217" t="s">
        <v>400</v>
      </c>
      <c r="BU476" s="217" t="s">
        <v>1180</v>
      </c>
      <c r="BV476" s="217">
        <v>15</v>
      </c>
      <c r="BW476" s="217">
        <v>134</v>
      </c>
      <c r="BX476" s="217">
        <v>0</v>
      </c>
      <c r="BY476" s="217">
        <v>0</v>
      </c>
      <c r="BZ476" s="217">
        <v>0</v>
      </c>
      <c r="CA476" s="217">
        <v>0</v>
      </c>
      <c r="CB476" s="217">
        <v>15</v>
      </c>
      <c r="CC476" s="217">
        <v>134</v>
      </c>
      <c r="CD476" s="217">
        <v>0</v>
      </c>
      <c r="CE476" s="217">
        <v>0</v>
      </c>
      <c r="CF476" s="217">
        <v>0</v>
      </c>
      <c r="CG476" s="217">
        <v>0</v>
      </c>
      <c r="CH476" s="217">
        <v>0</v>
      </c>
      <c r="CI476" s="217">
        <v>0</v>
      </c>
      <c r="CJ476" s="217">
        <v>0</v>
      </c>
    </row>
    <row r="477" spans="1:88" x14ac:dyDescent="0.25">
      <c r="A477" s="217" t="s">
        <v>22</v>
      </c>
      <c r="B477" s="217" t="s">
        <v>23</v>
      </c>
      <c r="C477" s="217" t="s">
        <v>85</v>
      </c>
      <c r="D477" s="217" t="s">
        <v>84</v>
      </c>
      <c r="E477" s="217" t="s">
        <v>98</v>
      </c>
      <c r="F477" s="217" t="s">
        <v>97</v>
      </c>
      <c r="G477" s="217" t="s">
        <v>809</v>
      </c>
      <c r="H477" s="217" t="s">
        <v>1165</v>
      </c>
      <c r="I477" s="217" t="s">
        <v>29</v>
      </c>
      <c r="J477" s="217" t="s">
        <v>1858</v>
      </c>
      <c r="K477" s="217">
        <v>4</v>
      </c>
      <c r="L477" s="217">
        <v>22</v>
      </c>
      <c r="M477" s="217" t="s">
        <v>31</v>
      </c>
      <c r="N477" s="217" t="s">
        <v>32</v>
      </c>
      <c r="O477" s="217" t="s">
        <v>100</v>
      </c>
      <c r="P477" s="217" t="s">
        <v>34</v>
      </c>
      <c r="Q477" s="217" t="s">
        <v>35</v>
      </c>
      <c r="R477" s="217" t="s">
        <v>23</v>
      </c>
      <c r="S477" s="217" t="s">
        <v>22</v>
      </c>
      <c r="T477" s="217" t="s">
        <v>84</v>
      </c>
      <c r="U477" s="217" t="s">
        <v>85</v>
      </c>
      <c r="V477" s="217" t="s">
        <v>97</v>
      </c>
      <c r="W477" s="217" t="s">
        <v>98</v>
      </c>
      <c r="BC477" s="217" t="s">
        <v>85</v>
      </c>
      <c r="BD477" s="217" t="s">
        <v>175</v>
      </c>
      <c r="BE477" s="217" t="s">
        <v>1527</v>
      </c>
      <c r="BF477" s="217" t="s">
        <v>634</v>
      </c>
      <c r="BG477" s="217" t="s">
        <v>1998</v>
      </c>
      <c r="BH477" s="217" t="s">
        <v>1660</v>
      </c>
      <c r="BI477" s="217" t="s">
        <v>1658</v>
      </c>
      <c r="BJ477" s="217" t="s">
        <v>1658</v>
      </c>
      <c r="BK477" s="217" t="s">
        <v>637</v>
      </c>
      <c r="BL477" s="217"/>
      <c r="BM477" s="217"/>
      <c r="BN477" s="217">
        <v>0</v>
      </c>
      <c r="BO477" s="217">
        <v>0</v>
      </c>
      <c r="BR477" s="217" t="s">
        <v>85</v>
      </c>
      <c r="BS477" s="217" t="s">
        <v>98</v>
      </c>
      <c r="BT477" s="217" t="s">
        <v>399</v>
      </c>
      <c r="BU477" s="217" t="s">
        <v>1178</v>
      </c>
      <c r="BV477" s="217">
        <v>33</v>
      </c>
      <c r="BW477" s="217">
        <v>102</v>
      </c>
      <c r="BX477" s="217">
        <v>12</v>
      </c>
      <c r="BY477" s="217">
        <v>102</v>
      </c>
      <c r="BZ477" s="217">
        <v>0</v>
      </c>
      <c r="CA477" s="217">
        <v>0</v>
      </c>
      <c r="CB477" s="217">
        <v>33</v>
      </c>
      <c r="CC477" s="217">
        <v>102</v>
      </c>
      <c r="CD477" s="217">
        <v>12</v>
      </c>
      <c r="CE477" s="217">
        <v>102</v>
      </c>
      <c r="CF477" s="217">
        <v>0</v>
      </c>
      <c r="CG477" s="217">
        <v>0</v>
      </c>
      <c r="CH477" s="217">
        <v>0</v>
      </c>
      <c r="CI477" s="217">
        <v>0</v>
      </c>
      <c r="CJ477" s="217">
        <v>0</v>
      </c>
    </row>
    <row r="478" spans="1:88" x14ac:dyDescent="0.25">
      <c r="A478" s="217" t="s">
        <v>22</v>
      </c>
      <c r="B478" s="217" t="s">
        <v>23</v>
      </c>
      <c r="C478" s="217" t="s">
        <v>85</v>
      </c>
      <c r="D478" s="217" t="s">
        <v>84</v>
      </c>
      <c r="E478" s="217" t="s">
        <v>98</v>
      </c>
      <c r="F478" s="217" t="s">
        <v>97</v>
      </c>
      <c r="G478" s="217" t="s">
        <v>809</v>
      </c>
      <c r="H478" s="217" t="s">
        <v>1165</v>
      </c>
      <c r="I478" s="217" t="s">
        <v>29</v>
      </c>
      <c r="J478" s="217" t="s">
        <v>1859</v>
      </c>
      <c r="K478" s="217">
        <v>2</v>
      </c>
      <c r="L478" s="217">
        <v>14</v>
      </c>
      <c r="M478" s="217" t="s">
        <v>31</v>
      </c>
      <c r="N478" s="217" t="s">
        <v>32</v>
      </c>
      <c r="O478" s="217" t="s">
        <v>100</v>
      </c>
      <c r="P478" s="217" t="s">
        <v>34</v>
      </c>
      <c r="Q478" s="217" t="s">
        <v>35</v>
      </c>
      <c r="R478" s="217" t="s">
        <v>23</v>
      </c>
      <c r="S478" s="217" t="s">
        <v>22</v>
      </c>
      <c r="T478" s="217" t="s">
        <v>84</v>
      </c>
      <c r="U478" s="217" t="s">
        <v>85</v>
      </c>
      <c r="V478" s="217" t="s">
        <v>97</v>
      </c>
      <c r="W478" s="217" t="s">
        <v>98</v>
      </c>
      <c r="BC478" s="217" t="s">
        <v>85</v>
      </c>
      <c r="BD478" s="217" t="s">
        <v>175</v>
      </c>
      <c r="BE478" s="217" t="s">
        <v>1528</v>
      </c>
      <c r="BF478" s="217" t="s">
        <v>832</v>
      </c>
      <c r="BG478" s="217" t="s">
        <v>1998</v>
      </c>
      <c r="BH478" s="217" t="s">
        <v>1660</v>
      </c>
      <c r="BI478" s="217" t="s">
        <v>1658</v>
      </c>
      <c r="BJ478" s="217" t="s">
        <v>1660</v>
      </c>
      <c r="BK478" s="217" t="s">
        <v>637</v>
      </c>
      <c r="BL478" s="217"/>
      <c r="BM478" s="217"/>
      <c r="BN478" s="217">
        <v>0</v>
      </c>
      <c r="BO478" s="217">
        <v>0</v>
      </c>
      <c r="BR478" s="217" t="s">
        <v>85</v>
      </c>
      <c r="BS478" s="217" t="s">
        <v>98</v>
      </c>
      <c r="BT478" s="217" t="s">
        <v>450</v>
      </c>
      <c r="BU478" s="217" t="s">
        <v>1271</v>
      </c>
      <c r="BV478" s="217">
        <v>14</v>
      </c>
      <c r="BW478" s="217">
        <v>95</v>
      </c>
      <c r="BX478" s="217">
        <v>3</v>
      </c>
      <c r="BY478" s="217">
        <v>20</v>
      </c>
      <c r="BZ478" s="217">
        <v>0</v>
      </c>
      <c r="CA478" s="217">
        <v>0</v>
      </c>
      <c r="CB478" s="217">
        <v>14</v>
      </c>
      <c r="CC478" s="217">
        <v>95</v>
      </c>
      <c r="CD478" s="217">
        <v>3</v>
      </c>
      <c r="CE478" s="217">
        <v>20</v>
      </c>
      <c r="CF478" s="217">
        <v>0</v>
      </c>
      <c r="CG478" s="217">
        <v>0</v>
      </c>
      <c r="CH478" s="217">
        <v>0</v>
      </c>
      <c r="CI478" s="217">
        <v>0</v>
      </c>
      <c r="CJ478" s="217">
        <v>0</v>
      </c>
    </row>
    <row r="479" spans="1:88" x14ac:dyDescent="0.25">
      <c r="A479" s="217" t="s">
        <v>22</v>
      </c>
      <c r="B479" s="217" t="s">
        <v>23</v>
      </c>
      <c r="C479" s="217" t="s">
        <v>85</v>
      </c>
      <c r="D479" s="217" t="s">
        <v>84</v>
      </c>
      <c r="E479" s="217" t="s">
        <v>98</v>
      </c>
      <c r="F479" s="217" t="s">
        <v>97</v>
      </c>
      <c r="G479" s="217" t="s">
        <v>390</v>
      </c>
      <c r="H479" s="217" t="s">
        <v>1166</v>
      </c>
      <c r="I479" s="217" t="s">
        <v>29</v>
      </c>
      <c r="J479" s="217" t="s">
        <v>1856</v>
      </c>
      <c r="K479" s="217">
        <v>8</v>
      </c>
      <c r="L479" s="217">
        <v>51</v>
      </c>
      <c r="M479" s="217" t="s">
        <v>31</v>
      </c>
      <c r="N479" s="217" t="s">
        <v>32</v>
      </c>
      <c r="O479" s="217" t="s">
        <v>100</v>
      </c>
      <c r="P479" s="217" t="s">
        <v>34</v>
      </c>
      <c r="Q479" s="217" t="s">
        <v>35</v>
      </c>
      <c r="R479" s="217" t="s">
        <v>23</v>
      </c>
      <c r="S479" s="217" t="s">
        <v>22</v>
      </c>
      <c r="T479" s="217" t="s">
        <v>84</v>
      </c>
      <c r="U479" s="217" t="s">
        <v>85</v>
      </c>
      <c r="V479" s="217" t="s">
        <v>97</v>
      </c>
      <c r="W479" s="217" t="s">
        <v>98</v>
      </c>
      <c r="BC479" s="217" t="s">
        <v>85</v>
      </c>
      <c r="BD479" s="217" t="s">
        <v>175</v>
      </c>
      <c r="BE479" s="217" t="s">
        <v>1306</v>
      </c>
      <c r="BF479" s="217" t="s">
        <v>830</v>
      </c>
      <c r="BG479" s="217" t="s">
        <v>1998</v>
      </c>
      <c r="BH479" s="217" t="s">
        <v>1658</v>
      </c>
      <c r="BI479" s="217" t="s">
        <v>1658</v>
      </c>
      <c r="BJ479" s="217" t="s">
        <v>1658</v>
      </c>
      <c r="BK479" s="217" t="s">
        <v>637</v>
      </c>
      <c r="BL479" s="217"/>
      <c r="BM479" s="217"/>
      <c r="BN479" s="217">
        <v>0</v>
      </c>
      <c r="BO479" s="217">
        <v>0</v>
      </c>
      <c r="BR479" s="217" t="s">
        <v>85</v>
      </c>
      <c r="BS479" s="217" t="s">
        <v>98</v>
      </c>
      <c r="BT479" s="217" t="s">
        <v>438</v>
      </c>
      <c r="BU479" s="217" t="s">
        <v>1254</v>
      </c>
      <c r="BV479" s="217">
        <v>7</v>
      </c>
      <c r="BW479" s="217">
        <v>56</v>
      </c>
      <c r="BX479" s="217">
        <v>0</v>
      </c>
      <c r="BY479" s="217">
        <v>0</v>
      </c>
      <c r="BZ479" s="217">
        <v>0</v>
      </c>
      <c r="CA479" s="217">
        <v>0</v>
      </c>
      <c r="CB479" s="217">
        <v>7</v>
      </c>
      <c r="CC479" s="217">
        <v>56</v>
      </c>
      <c r="CD479" s="217">
        <v>0</v>
      </c>
      <c r="CE479" s="217">
        <v>0</v>
      </c>
      <c r="CF479" s="217">
        <v>0</v>
      </c>
      <c r="CG479" s="217">
        <v>0</v>
      </c>
      <c r="CH479" s="217">
        <v>0</v>
      </c>
      <c r="CI479" s="217">
        <v>0</v>
      </c>
      <c r="CJ479" s="217">
        <v>0</v>
      </c>
    </row>
    <row r="480" spans="1:88" x14ac:dyDescent="0.25">
      <c r="A480" s="217" t="s">
        <v>22</v>
      </c>
      <c r="B480" s="217" t="s">
        <v>23</v>
      </c>
      <c r="C480" s="217" t="s">
        <v>85</v>
      </c>
      <c r="D480" s="217" t="s">
        <v>84</v>
      </c>
      <c r="E480" s="217" t="s">
        <v>98</v>
      </c>
      <c r="F480" s="217" t="s">
        <v>97</v>
      </c>
      <c r="G480" s="217" t="s">
        <v>391</v>
      </c>
      <c r="H480" s="217" t="s">
        <v>1167</v>
      </c>
      <c r="I480" s="217" t="s">
        <v>29</v>
      </c>
      <c r="J480" s="217" t="s">
        <v>1856</v>
      </c>
      <c r="K480" s="217">
        <v>6</v>
      </c>
      <c r="L480" s="217">
        <v>42</v>
      </c>
      <c r="M480" s="217" t="s">
        <v>31</v>
      </c>
      <c r="N480" s="217" t="s">
        <v>32</v>
      </c>
      <c r="O480" s="217" t="s">
        <v>68</v>
      </c>
      <c r="P480" s="217" t="s">
        <v>34</v>
      </c>
      <c r="Q480" s="217" t="s">
        <v>35</v>
      </c>
      <c r="R480" s="217" t="s">
        <v>23</v>
      </c>
      <c r="S480" s="217" t="s">
        <v>22</v>
      </c>
      <c r="T480" s="217" t="s">
        <v>84</v>
      </c>
      <c r="U480" s="217" t="s">
        <v>85</v>
      </c>
      <c r="V480" s="217" t="s">
        <v>94</v>
      </c>
      <c r="W480" s="217" t="s">
        <v>95</v>
      </c>
      <c r="BC480" s="217" t="s">
        <v>85</v>
      </c>
      <c r="BD480" s="217" t="s">
        <v>175</v>
      </c>
      <c r="BE480" s="217" t="s">
        <v>1561</v>
      </c>
      <c r="BF480" s="217" t="s">
        <v>853</v>
      </c>
      <c r="BG480" s="217" t="s">
        <v>1998</v>
      </c>
      <c r="BH480" s="217" t="s">
        <v>1660</v>
      </c>
      <c r="BI480" s="217" t="s">
        <v>1660</v>
      </c>
      <c r="BJ480" s="217" t="s">
        <v>1658</v>
      </c>
      <c r="BK480" s="217" t="s">
        <v>637</v>
      </c>
      <c r="BL480" s="217"/>
      <c r="BM480" s="217"/>
      <c r="BN480" s="217">
        <v>0</v>
      </c>
      <c r="BO480" s="217">
        <v>0</v>
      </c>
      <c r="BR480" s="217" t="s">
        <v>85</v>
      </c>
      <c r="BS480" s="217" t="s">
        <v>98</v>
      </c>
      <c r="BT480" s="217" t="s">
        <v>436</v>
      </c>
      <c r="BU480" s="217" t="s">
        <v>1248</v>
      </c>
      <c r="BV480" s="217">
        <v>16</v>
      </c>
      <c r="BW480" s="217">
        <v>113</v>
      </c>
      <c r="BX480" s="217">
        <v>0</v>
      </c>
      <c r="BY480" s="217">
        <v>0</v>
      </c>
      <c r="BZ480" s="217">
        <v>0</v>
      </c>
      <c r="CA480" s="217">
        <v>0</v>
      </c>
      <c r="CB480" s="217">
        <v>16</v>
      </c>
      <c r="CC480" s="217">
        <v>113</v>
      </c>
      <c r="CD480" s="217">
        <v>0</v>
      </c>
      <c r="CE480" s="217">
        <v>0</v>
      </c>
      <c r="CF480" s="217">
        <v>0</v>
      </c>
      <c r="CG480" s="217">
        <v>0</v>
      </c>
      <c r="CH480" s="217">
        <v>0</v>
      </c>
      <c r="CI480" s="217">
        <v>0</v>
      </c>
      <c r="CJ480" s="217">
        <v>0</v>
      </c>
    </row>
    <row r="481" spans="1:88" x14ac:dyDescent="0.25">
      <c r="A481" s="217" t="s">
        <v>22</v>
      </c>
      <c r="B481" s="217" t="s">
        <v>23</v>
      </c>
      <c r="C481" s="217" t="s">
        <v>85</v>
      </c>
      <c r="D481" s="217" t="s">
        <v>84</v>
      </c>
      <c r="E481" s="217" t="s">
        <v>98</v>
      </c>
      <c r="F481" s="217" t="s">
        <v>97</v>
      </c>
      <c r="G481" s="217" t="s">
        <v>802</v>
      </c>
      <c r="H481" s="217" t="s">
        <v>1168</v>
      </c>
      <c r="I481" s="217" t="s">
        <v>29</v>
      </c>
      <c r="J481" s="217" t="s">
        <v>1857</v>
      </c>
      <c r="K481" s="217">
        <v>2</v>
      </c>
      <c r="L481" s="217">
        <v>14</v>
      </c>
      <c r="M481" s="217" t="s">
        <v>31</v>
      </c>
      <c r="N481" s="217" t="s">
        <v>32</v>
      </c>
      <c r="O481" s="217" t="s">
        <v>68</v>
      </c>
      <c r="P481" s="217" t="s">
        <v>34</v>
      </c>
      <c r="Q481" s="217" t="s">
        <v>35</v>
      </c>
      <c r="R481" s="217" t="s">
        <v>23</v>
      </c>
      <c r="S481" s="217" t="s">
        <v>22</v>
      </c>
      <c r="T481" s="217" t="s">
        <v>84</v>
      </c>
      <c r="U481" s="217" t="s">
        <v>85</v>
      </c>
      <c r="V481" s="217" t="s">
        <v>91</v>
      </c>
      <c r="W481" s="217" t="s">
        <v>92</v>
      </c>
      <c r="BC481" s="217" t="s">
        <v>85</v>
      </c>
      <c r="BD481" s="217" t="s">
        <v>175</v>
      </c>
      <c r="BE481" s="217" t="s">
        <v>1562</v>
      </c>
      <c r="BF481" s="217" t="s">
        <v>178</v>
      </c>
      <c r="BG481" s="217" t="s">
        <v>1998</v>
      </c>
      <c r="BH481" s="217" t="s">
        <v>1660</v>
      </c>
      <c r="BI481" s="217" t="s">
        <v>1660</v>
      </c>
      <c r="BJ481" s="217" t="s">
        <v>1658</v>
      </c>
      <c r="BK481" s="217" t="s">
        <v>637</v>
      </c>
      <c r="BL481" s="217" t="s">
        <v>3726</v>
      </c>
      <c r="BM481" s="217" t="s">
        <v>3727</v>
      </c>
      <c r="BN481" s="217">
        <v>0</v>
      </c>
      <c r="BO481" s="217">
        <v>0</v>
      </c>
      <c r="BR481" s="217" t="s">
        <v>85</v>
      </c>
      <c r="BS481" s="217" t="s">
        <v>110</v>
      </c>
      <c r="BT481" s="217" t="s">
        <v>322</v>
      </c>
      <c r="BU481" s="217" t="s">
        <v>1006</v>
      </c>
      <c r="BV481" s="217">
        <v>25</v>
      </c>
      <c r="BW481" s="217">
        <v>207</v>
      </c>
      <c r="BX481" s="217">
        <v>0</v>
      </c>
      <c r="BY481" s="217">
        <v>0</v>
      </c>
      <c r="BZ481" s="217">
        <v>21</v>
      </c>
      <c r="CA481" s="217">
        <v>147</v>
      </c>
      <c r="CB481" s="217">
        <v>15</v>
      </c>
      <c r="CC481" s="217">
        <v>137</v>
      </c>
      <c r="CD481" s="217">
        <v>0</v>
      </c>
      <c r="CE481" s="217">
        <v>0</v>
      </c>
      <c r="CF481" s="217">
        <v>0</v>
      </c>
      <c r="CG481" s="217">
        <v>0</v>
      </c>
      <c r="CH481" s="217">
        <v>70</v>
      </c>
      <c r="CI481" s="217">
        <v>0</v>
      </c>
      <c r="CJ481" s="217">
        <v>147</v>
      </c>
    </row>
    <row r="482" spans="1:88" x14ac:dyDescent="0.25">
      <c r="A482" s="217" t="s">
        <v>22</v>
      </c>
      <c r="B482" s="217" t="s">
        <v>23</v>
      </c>
      <c r="C482" s="217" t="s">
        <v>85</v>
      </c>
      <c r="D482" s="217" t="s">
        <v>84</v>
      </c>
      <c r="E482" s="217" t="s">
        <v>98</v>
      </c>
      <c r="F482" s="217" t="s">
        <v>97</v>
      </c>
      <c r="G482" s="217" t="s">
        <v>802</v>
      </c>
      <c r="H482" s="217" t="s">
        <v>1168</v>
      </c>
      <c r="I482" s="217" t="s">
        <v>29</v>
      </c>
      <c r="J482" s="217" t="s">
        <v>1858</v>
      </c>
      <c r="K482" s="217">
        <v>6</v>
      </c>
      <c r="L482" s="217">
        <v>33</v>
      </c>
      <c r="M482" s="217" t="s">
        <v>31</v>
      </c>
      <c r="N482" s="217" t="s">
        <v>32</v>
      </c>
      <c r="O482" s="217" t="s">
        <v>68</v>
      </c>
      <c r="P482" s="217" t="s">
        <v>34</v>
      </c>
      <c r="Q482" s="217" t="s">
        <v>35</v>
      </c>
      <c r="R482" s="217" t="s">
        <v>23</v>
      </c>
      <c r="S482" s="217" t="s">
        <v>22</v>
      </c>
      <c r="T482" s="217" t="s">
        <v>84</v>
      </c>
      <c r="U482" s="217" t="s">
        <v>85</v>
      </c>
      <c r="V482" s="217" t="s">
        <v>94</v>
      </c>
      <c r="W482" s="217" t="s">
        <v>95</v>
      </c>
      <c r="BC482" s="217" t="s">
        <v>85</v>
      </c>
      <c r="BD482" s="217" t="s">
        <v>175</v>
      </c>
      <c r="BE482" s="217" t="s">
        <v>1529</v>
      </c>
      <c r="BF482" s="217" t="s">
        <v>831</v>
      </c>
      <c r="BG482" s="217" t="s">
        <v>1998</v>
      </c>
      <c r="BH482" s="217" t="s">
        <v>1660</v>
      </c>
      <c r="BI482" s="217" t="s">
        <v>1658</v>
      </c>
      <c r="BJ482" s="217" t="s">
        <v>1660</v>
      </c>
      <c r="BK482" s="217" t="s">
        <v>637</v>
      </c>
      <c r="BL482" s="217"/>
      <c r="BM482" s="217"/>
      <c r="BN482" s="217">
        <v>0</v>
      </c>
      <c r="BO482" s="217">
        <v>0</v>
      </c>
      <c r="BR482" s="217" t="s">
        <v>85</v>
      </c>
      <c r="BS482" s="217" t="s">
        <v>110</v>
      </c>
      <c r="BT482" s="217" t="s">
        <v>285</v>
      </c>
      <c r="BU482" s="217" t="s">
        <v>1011</v>
      </c>
      <c r="BV482" s="217">
        <v>7</v>
      </c>
      <c r="BW482" s="217">
        <v>64</v>
      </c>
      <c r="BX482" s="217">
        <v>0</v>
      </c>
      <c r="BY482" s="217">
        <v>0</v>
      </c>
      <c r="BZ482" s="217">
        <v>0</v>
      </c>
      <c r="CA482" s="217">
        <v>0</v>
      </c>
      <c r="CB482" s="217">
        <v>7</v>
      </c>
      <c r="CC482" s="217">
        <v>64</v>
      </c>
      <c r="CD482" s="217">
        <v>0</v>
      </c>
      <c r="CE482" s="217">
        <v>0</v>
      </c>
      <c r="CF482" s="217">
        <v>0</v>
      </c>
      <c r="CG482" s="217">
        <v>0</v>
      </c>
      <c r="CH482" s="217">
        <v>0</v>
      </c>
      <c r="CI482" s="217">
        <v>0</v>
      </c>
      <c r="CJ482" s="217">
        <v>0</v>
      </c>
    </row>
    <row r="483" spans="1:88" x14ac:dyDescent="0.25">
      <c r="A483" s="217" t="s">
        <v>22</v>
      </c>
      <c r="B483" s="217" t="s">
        <v>23</v>
      </c>
      <c r="C483" s="217" t="s">
        <v>85</v>
      </c>
      <c r="D483" s="217" t="s">
        <v>84</v>
      </c>
      <c r="E483" s="217" t="s">
        <v>98</v>
      </c>
      <c r="F483" s="217" t="s">
        <v>97</v>
      </c>
      <c r="G483" s="217" t="s">
        <v>392</v>
      </c>
      <c r="H483" s="217" t="s">
        <v>1169</v>
      </c>
      <c r="I483" s="217" t="s">
        <v>29</v>
      </c>
      <c r="J483" s="217" t="s">
        <v>1855</v>
      </c>
      <c r="K483" s="217">
        <v>14</v>
      </c>
      <c r="L483" s="217">
        <v>53</v>
      </c>
      <c r="M483" s="217" t="s">
        <v>31</v>
      </c>
      <c r="N483" s="217" t="s">
        <v>32</v>
      </c>
      <c r="O483" s="217" t="s">
        <v>68</v>
      </c>
      <c r="P483" s="217" t="s">
        <v>34</v>
      </c>
      <c r="Q483" s="217" t="s">
        <v>35</v>
      </c>
      <c r="R483" s="217" t="s">
        <v>23</v>
      </c>
      <c r="S483" s="217" t="s">
        <v>22</v>
      </c>
      <c r="T483" s="217" t="s">
        <v>84</v>
      </c>
      <c r="U483" s="217" t="s">
        <v>85</v>
      </c>
      <c r="V483" s="217" t="s">
        <v>91</v>
      </c>
      <c r="W483" s="217" t="s">
        <v>92</v>
      </c>
      <c r="BC483" s="217" t="s">
        <v>85</v>
      </c>
      <c r="BD483" s="217" t="s">
        <v>175</v>
      </c>
      <c r="BE483" s="217" t="s">
        <v>1530</v>
      </c>
      <c r="BF483" s="217" t="s">
        <v>635</v>
      </c>
      <c r="BG483" s="217" t="s">
        <v>1998</v>
      </c>
      <c r="BH483" s="217" t="s">
        <v>1660</v>
      </c>
      <c r="BI483" s="217" t="s">
        <v>1658</v>
      </c>
      <c r="BJ483" s="217" t="s">
        <v>1658</v>
      </c>
      <c r="BK483" s="217" t="s">
        <v>637</v>
      </c>
      <c r="BL483" s="217"/>
      <c r="BM483" s="217"/>
      <c r="BN483" s="217">
        <v>0</v>
      </c>
      <c r="BO483" s="217">
        <v>0</v>
      </c>
      <c r="BR483" s="217" t="s">
        <v>85</v>
      </c>
      <c r="BS483" s="217" t="s">
        <v>110</v>
      </c>
      <c r="BT483" s="217" t="s">
        <v>1837</v>
      </c>
      <c r="BU483" s="217" t="s">
        <v>1836</v>
      </c>
      <c r="BV483" s="217">
        <v>9</v>
      </c>
      <c r="BW483" s="217">
        <v>73</v>
      </c>
      <c r="BX483" s="217">
        <v>0</v>
      </c>
      <c r="BY483" s="217">
        <v>0</v>
      </c>
      <c r="BZ483" s="217">
        <v>0</v>
      </c>
      <c r="CA483" s="217">
        <v>0</v>
      </c>
      <c r="CB483" s="217">
        <v>11</v>
      </c>
      <c r="CC483" s="217">
        <v>89</v>
      </c>
      <c r="CD483" s="217">
        <v>0</v>
      </c>
      <c r="CE483" s="217">
        <v>0</v>
      </c>
      <c r="CF483" s="217">
        <v>0</v>
      </c>
      <c r="CG483" s="217">
        <v>0</v>
      </c>
      <c r="CH483" s="217">
        <v>-16</v>
      </c>
      <c r="CI483" s="217">
        <v>0</v>
      </c>
      <c r="CJ483" s="217">
        <v>0</v>
      </c>
    </row>
    <row r="484" spans="1:88" x14ac:dyDescent="0.25">
      <c r="A484" s="217" t="s">
        <v>22</v>
      </c>
      <c r="B484" s="217" t="s">
        <v>23</v>
      </c>
      <c r="C484" s="217" t="s">
        <v>85</v>
      </c>
      <c r="D484" s="217" t="s">
        <v>84</v>
      </c>
      <c r="E484" s="217" t="s">
        <v>98</v>
      </c>
      <c r="F484" s="217" t="s">
        <v>97</v>
      </c>
      <c r="G484" s="217" t="s">
        <v>392</v>
      </c>
      <c r="H484" s="217" t="s">
        <v>1169</v>
      </c>
      <c r="I484" s="217" t="s">
        <v>29</v>
      </c>
      <c r="J484" s="217" t="s">
        <v>1856</v>
      </c>
      <c r="K484" s="217">
        <v>6</v>
      </c>
      <c r="L484" s="217">
        <v>30</v>
      </c>
      <c r="M484" s="217" t="s">
        <v>31</v>
      </c>
      <c r="N484" s="217" t="s">
        <v>32</v>
      </c>
      <c r="O484" s="217" t="s">
        <v>68</v>
      </c>
      <c r="P484" s="217" t="s">
        <v>34</v>
      </c>
      <c r="Q484" s="217" t="s">
        <v>35</v>
      </c>
      <c r="R484" s="217" t="s">
        <v>23</v>
      </c>
      <c r="S484" s="217" t="s">
        <v>22</v>
      </c>
      <c r="T484" s="217" t="s">
        <v>84</v>
      </c>
      <c r="U484" s="217" t="s">
        <v>85</v>
      </c>
      <c r="V484" s="217" t="s">
        <v>94</v>
      </c>
      <c r="W484" s="217" t="s">
        <v>95</v>
      </c>
      <c r="BC484" s="217" t="s">
        <v>85</v>
      </c>
      <c r="BD484" s="217" t="s">
        <v>175</v>
      </c>
      <c r="BE484" s="217" t="s">
        <v>1307</v>
      </c>
      <c r="BF484" s="217" t="s">
        <v>466</v>
      </c>
      <c r="BG484" s="217" t="s">
        <v>1998</v>
      </c>
      <c r="BH484" s="217" t="s">
        <v>1658</v>
      </c>
      <c r="BI484" s="217" t="s">
        <v>1658</v>
      </c>
      <c r="BJ484" s="217" t="s">
        <v>1660</v>
      </c>
      <c r="BK484" s="217" t="s">
        <v>637</v>
      </c>
      <c r="BL484" s="217"/>
      <c r="BM484" s="217"/>
      <c r="BN484" s="217">
        <v>0</v>
      </c>
      <c r="BO484" s="217">
        <v>0</v>
      </c>
      <c r="BR484" s="217" t="s">
        <v>85</v>
      </c>
      <c r="BS484" s="217" t="s">
        <v>110</v>
      </c>
      <c r="BT484" s="217" t="s">
        <v>1833</v>
      </c>
      <c r="BU484" s="217" t="s">
        <v>1832</v>
      </c>
      <c r="BV484" s="217">
        <v>10</v>
      </c>
      <c r="BW484" s="217">
        <v>80</v>
      </c>
      <c r="BX484" s="217">
        <v>0</v>
      </c>
      <c r="BY484" s="217">
        <v>0</v>
      </c>
      <c r="BZ484" s="217">
        <v>0</v>
      </c>
      <c r="CA484" s="217">
        <v>0</v>
      </c>
      <c r="CB484" s="217">
        <v>12</v>
      </c>
      <c r="CC484" s="217">
        <v>96</v>
      </c>
      <c r="CD484" s="217">
        <v>0</v>
      </c>
      <c r="CE484" s="217">
        <v>0</v>
      </c>
      <c r="CF484" s="217">
        <v>0</v>
      </c>
      <c r="CG484" s="217">
        <v>0</v>
      </c>
      <c r="CH484" s="217">
        <v>-16</v>
      </c>
      <c r="CI484" s="217">
        <v>0</v>
      </c>
      <c r="CJ484" s="217">
        <v>0</v>
      </c>
    </row>
    <row r="485" spans="1:88" x14ac:dyDescent="0.25">
      <c r="A485" s="217" t="s">
        <v>22</v>
      </c>
      <c r="B485" s="217" t="s">
        <v>23</v>
      </c>
      <c r="C485" s="217" t="s">
        <v>85</v>
      </c>
      <c r="D485" s="217" t="s">
        <v>84</v>
      </c>
      <c r="E485" s="217" t="s">
        <v>98</v>
      </c>
      <c r="F485" s="217" t="s">
        <v>97</v>
      </c>
      <c r="G485" s="217" t="s">
        <v>792</v>
      </c>
      <c r="H485" s="217" t="s">
        <v>1170</v>
      </c>
      <c r="I485" s="217" t="s">
        <v>29</v>
      </c>
      <c r="J485" s="217" t="s">
        <v>1857</v>
      </c>
      <c r="K485" s="217">
        <v>6</v>
      </c>
      <c r="L485" s="217">
        <v>51</v>
      </c>
      <c r="M485" s="217" t="s">
        <v>31</v>
      </c>
      <c r="N485" s="217" t="s">
        <v>32</v>
      </c>
      <c r="O485" s="217" t="s">
        <v>100</v>
      </c>
      <c r="P485" s="217" t="s">
        <v>34</v>
      </c>
      <c r="Q485" s="217" t="s">
        <v>35</v>
      </c>
      <c r="R485" s="217" t="s">
        <v>23</v>
      </c>
      <c r="S485" s="217" t="s">
        <v>22</v>
      </c>
      <c r="T485" s="217" t="s">
        <v>84</v>
      </c>
      <c r="U485" s="217" t="s">
        <v>85</v>
      </c>
      <c r="V485" s="217" t="s">
        <v>97</v>
      </c>
      <c r="W485" s="217" t="s">
        <v>98</v>
      </c>
      <c r="BC485" s="217" t="s">
        <v>85</v>
      </c>
      <c r="BD485" s="217" t="s">
        <v>175</v>
      </c>
      <c r="BE485" s="217" t="s">
        <v>1308</v>
      </c>
      <c r="BF485" s="217" t="s">
        <v>467</v>
      </c>
      <c r="BG485" s="217" t="s">
        <v>2000</v>
      </c>
      <c r="BH485" s="217" t="s">
        <v>1658</v>
      </c>
      <c r="BI485" s="217" t="s">
        <v>1658</v>
      </c>
      <c r="BJ485" s="217" t="s">
        <v>1658</v>
      </c>
      <c r="BK485" s="217" t="s">
        <v>637</v>
      </c>
      <c r="BL485" s="217"/>
      <c r="BM485" s="217"/>
      <c r="BN485" s="217">
        <v>0</v>
      </c>
      <c r="BO485" s="217">
        <v>0</v>
      </c>
      <c r="BR485" s="217" t="s">
        <v>85</v>
      </c>
      <c r="BS485" s="217" t="s">
        <v>110</v>
      </c>
      <c r="BT485" s="217" t="s">
        <v>1831</v>
      </c>
      <c r="BU485" s="217" t="s">
        <v>1830</v>
      </c>
      <c r="BV485" s="217">
        <v>3</v>
      </c>
      <c r="BW485" s="217">
        <v>25</v>
      </c>
      <c r="BX485" s="217">
        <v>0</v>
      </c>
      <c r="BY485" s="217">
        <v>0</v>
      </c>
      <c r="BZ485" s="217">
        <v>0</v>
      </c>
      <c r="CA485" s="217">
        <v>0</v>
      </c>
      <c r="CB485" s="217">
        <v>6</v>
      </c>
      <c r="CC485" s="217">
        <v>49</v>
      </c>
      <c r="CD485" s="217">
        <v>0</v>
      </c>
      <c r="CE485" s="217">
        <v>0</v>
      </c>
      <c r="CF485" s="217">
        <v>0</v>
      </c>
      <c r="CG485" s="217">
        <v>0</v>
      </c>
      <c r="CH485" s="217">
        <v>-24</v>
      </c>
      <c r="CI485" s="217">
        <v>0</v>
      </c>
      <c r="CJ485" s="217">
        <v>0</v>
      </c>
    </row>
    <row r="486" spans="1:88" x14ac:dyDescent="0.25">
      <c r="A486" s="217" t="s">
        <v>22</v>
      </c>
      <c r="B486" s="217" t="s">
        <v>23</v>
      </c>
      <c r="C486" s="217" t="s">
        <v>85</v>
      </c>
      <c r="D486" s="217" t="s">
        <v>84</v>
      </c>
      <c r="E486" s="217" t="s">
        <v>98</v>
      </c>
      <c r="F486" s="217" t="s">
        <v>97</v>
      </c>
      <c r="G486" s="217" t="s">
        <v>163</v>
      </c>
      <c r="H486" s="217" t="s">
        <v>1171</v>
      </c>
      <c r="I486" s="217" t="s">
        <v>29</v>
      </c>
      <c r="J486" s="217" t="s">
        <v>1855</v>
      </c>
      <c r="K486" s="217">
        <v>41</v>
      </c>
      <c r="L486" s="217">
        <v>205</v>
      </c>
      <c r="M486" s="217" t="s">
        <v>31</v>
      </c>
      <c r="N486" s="217" t="s">
        <v>32</v>
      </c>
      <c r="O486" s="217" t="s">
        <v>100</v>
      </c>
      <c r="P486" s="217" t="s">
        <v>34</v>
      </c>
      <c r="Q486" s="217" t="s">
        <v>35</v>
      </c>
      <c r="R486" s="217" t="s">
        <v>23</v>
      </c>
      <c r="S486" s="217" t="s">
        <v>22</v>
      </c>
      <c r="T486" s="217" t="s">
        <v>84</v>
      </c>
      <c r="U486" s="217" t="s">
        <v>85</v>
      </c>
      <c r="V486" s="217" t="s">
        <v>97</v>
      </c>
      <c r="W486" s="217" t="s">
        <v>98</v>
      </c>
      <c r="BC486" s="217" t="s">
        <v>85</v>
      </c>
      <c r="BD486" s="217" t="s">
        <v>175</v>
      </c>
      <c r="BE486" s="217" t="s">
        <v>1309</v>
      </c>
      <c r="BF486" s="217" t="s">
        <v>468</v>
      </c>
      <c r="BG486" s="217" t="s">
        <v>2000</v>
      </c>
      <c r="BH486" s="217" t="s">
        <v>1658</v>
      </c>
      <c r="BI486" s="217" t="s">
        <v>1658</v>
      </c>
      <c r="BJ486" s="217" t="s">
        <v>1660</v>
      </c>
      <c r="BK486" s="217" t="s">
        <v>637</v>
      </c>
      <c r="BL486" s="217"/>
      <c r="BM486" s="217"/>
      <c r="BN486" s="217">
        <v>0</v>
      </c>
      <c r="BO486" s="217">
        <v>0</v>
      </c>
      <c r="BR486" s="217" t="s">
        <v>85</v>
      </c>
      <c r="BS486" s="217" t="s">
        <v>110</v>
      </c>
      <c r="BT486" s="217" t="s">
        <v>1827</v>
      </c>
      <c r="BU486" s="217" t="s">
        <v>1826</v>
      </c>
      <c r="BV486" s="217">
        <v>13</v>
      </c>
      <c r="BW486" s="217">
        <v>104</v>
      </c>
      <c r="BX486" s="217">
        <v>0</v>
      </c>
      <c r="BY486" s="217">
        <v>0</v>
      </c>
      <c r="BZ486" s="217">
        <v>0</v>
      </c>
      <c r="CA486" s="217">
        <v>0</v>
      </c>
      <c r="CB486" s="217">
        <v>13</v>
      </c>
      <c r="CC486" s="217">
        <v>104</v>
      </c>
      <c r="CD486" s="217">
        <v>0</v>
      </c>
      <c r="CE486" s="217">
        <v>0</v>
      </c>
      <c r="CF486" s="217">
        <v>0</v>
      </c>
      <c r="CG486" s="217">
        <v>0</v>
      </c>
      <c r="CH486" s="217">
        <v>0</v>
      </c>
      <c r="CI486" s="217">
        <v>0</v>
      </c>
      <c r="CJ486" s="217">
        <v>0</v>
      </c>
    </row>
    <row r="487" spans="1:88" x14ac:dyDescent="0.25">
      <c r="A487" s="217" t="s">
        <v>22</v>
      </c>
      <c r="B487" s="217" t="s">
        <v>23</v>
      </c>
      <c r="C487" s="217" t="s">
        <v>85</v>
      </c>
      <c r="D487" s="217" t="s">
        <v>84</v>
      </c>
      <c r="E487" s="217" t="s">
        <v>98</v>
      </c>
      <c r="F487" s="217" t="s">
        <v>97</v>
      </c>
      <c r="G487" s="217" t="s">
        <v>163</v>
      </c>
      <c r="H487" s="217" t="s">
        <v>1171</v>
      </c>
      <c r="I487" s="217" t="s">
        <v>29</v>
      </c>
      <c r="J487" s="217" t="s">
        <v>1856</v>
      </c>
      <c r="K487" s="217">
        <v>45</v>
      </c>
      <c r="L487" s="217">
        <v>225</v>
      </c>
      <c r="M487" s="217" t="s">
        <v>31</v>
      </c>
      <c r="N487" s="217" t="s">
        <v>32</v>
      </c>
      <c r="O487" s="217" t="s">
        <v>100</v>
      </c>
      <c r="P487" s="217" t="s">
        <v>34</v>
      </c>
      <c r="Q487" s="217" t="s">
        <v>35</v>
      </c>
      <c r="R487" s="217" t="s">
        <v>23</v>
      </c>
      <c r="S487" s="217" t="s">
        <v>22</v>
      </c>
      <c r="T487" s="217" t="s">
        <v>84</v>
      </c>
      <c r="U487" s="217" t="s">
        <v>85</v>
      </c>
      <c r="V487" s="217" t="s">
        <v>97</v>
      </c>
      <c r="W487" s="217" t="s">
        <v>98</v>
      </c>
      <c r="BC487" s="217" t="s">
        <v>85</v>
      </c>
      <c r="BD487" s="217" t="s">
        <v>175</v>
      </c>
      <c r="BE487" s="217" t="s">
        <v>1531</v>
      </c>
      <c r="BF487" s="217" t="s">
        <v>469</v>
      </c>
      <c r="BG487" s="217" t="s">
        <v>1998</v>
      </c>
      <c r="BH487" s="217" t="s">
        <v>1658</v>
      </c>
      <c r="BI487" s="217" t="s">
        <v>1658</v>
      </c>
      <c r="BJ487" s="217" t="s">
        <v>1658</v>
      </c>
      <c r="BK487" s="217" t="s">
        <v>637</v>
      </c>
      <c r="BL487" s="217"/>
      <c r="BM487" s="217"/>
      <c r="BN487" s="217">
        <v>0</v>
      </c>
      <c r="BO487" s="217">
        <v>0</v>
      </c>
      <c r="BR487" s="217" t="s">
        <v>85</v>
      </c>
      <c r="BS487" s="217" t="s">
        <v>110</v>
      </c>
      <c r="BT487" s="217" t="s">
        <v>1825</v>
      </c>
      <c r="BU487" s="217" t="s">
        <v>1824</v>
      </c>
      <c r="BV487" s="217">
        <v>14</v>
      </c>
      <c r="BW487" s="217">
        <v>106</v>
      </c>
      <c r="BX487" s="217">
        <v>0</v>
      </c>
      <c r="BY487" s="217">
        <v>0</v>
      </c>
      <c r="BZ487" s="217">
        <v>0</v>
      </c>
      <c r="CA487" s="217">
        <v>0</v>
      </c>
      <c r="CB487" s="217">
        <v>14</v>
      </c>
      <c r="CC487" s="217">
        <v>112</v>
      </c>
      <c r="CD487" s="217">
        <v>0</v>
      </c>
      <c r="CE487" s="217">
        <v>0</v>
      </c>
      <c r="CF487" s="217">
        <v>0</v>
      </c>
      <c r="CG487" s="217">
        <v>0</v>
      </c>
      <c r="CH487" s="217">
        <v>-6</v>
      </c>
      <c r="CI487" s="217">
        <v>0</v>
      </c>
      <c r="CJ487" s="217">
        <v>0</v>
      </c>
    </row>
    <row r="488" spans="1:88" x14ac:dyDescent="0.25">
      <c r="A488" s="217" t="s">
        <v>22</v>
      </c>
      <c r="B488" s="217" t="s">
        <v>23</v>
      </c>
      <c r="C488" s="217" t="s">
        <v>85</v>
      </c>
      <c r="D488" s="217" t="s">
        <v>84</v>
      </c>
      <c r="E488" s="217" t="s">
        <v>98</v>
      </c>
      <c r="F488" s="217" t="s">
        <v>97</v>
      </c>
      <c r="G488" s="217" t="s">
        <v>163</v>
      </c>
      <c r="H488" s="217" t="s">
        <v>1171</v>
      </c>
      <c r="I488" s="217" t="s">
        <v>29</v>
      </c>
      <c r="J488" s="217" t="s">
        <v>1857</v>
      </c>
      <c r="K488" s="217">
        <v>110</v>
      </c>
      <c r="L488" s="217">
        <v>935</v>
      </c>
      <c r="M488" s="217" t="s">
        <v>31</v>
      </c>
      <c r="N488" s="217" t="s">
        <v>32</v>
      </c>
      <c r="O488" s="217" t="s">
        <v>100</v>
      </c>
      <c r="P488" s="217" t="s">
        <v>34</v>
      </c>
      <c r="Q488" s="217" t="s">
        <v>35</v>
      </c>
      <c r="R488" s="217" t="s">
        <v>23</v>
      </c>
      <c r="S488" s="217" t="s">
        <v>22</v>
      </c>
      <c r="T488" s="217" t="s">
        <v>84</v>
      </c>
      <c r="U488" s="217" t="s">
        <v>85</v>
      </c>
      <c r="V488" s="217" t="s">
        <v>97</v>
      </c>
      <c r="W488" s="217" t="s">
        <v>98</v>
      </c>
      <c r="BC488" s="217" t="s">
        <v>85</v>
      </c>
      <c r="BD488" s="217" t="s">
        <v>175</v>
      </c>
      <c r="BE488" s="217" t="s">
        <v>1310</v>
      </c>
      <c r="BF488" s="217" t="s">
        <v>833</v>
      </c>
      <c r="BG488" s="217" t="s">
        <v>1998</v>
      </c>
      <c r="BH488" s="217" t="s">
        <v>1658</v>
      </c>
      <c r="BI488" s="217" t="s">
        <v>1658</v>
      </c>
      <c r="BJ488" s="217" t="s">
        <v>1658</v>
      </c>
      <c r="BK488" s="217" t="s">
        <v>637</v>
      </c>
      <c r="BL488" s="217"/>
      <c r="BM488" s="217"/>
      <c r="BN488" s="217">
        <v>0</v>
      </c>
      <c r="BO488" s="217">
        <v>0</v>
      </c>
      <c r="BR488" s="217" t="s">
        <v>85</v>
      </c>
      <c r="BS488" s="217" t="s">
        <v>110</v>
      </c>
      <c r="BT488" s="217" t="s">
        <v>147</v>
      </c>
      <c r="BU488" s="217" t="s">
        <v>1560</v>
      </c>
      <c r="BV488" s="217">
        <v>0</v>
      </c>
      <c r="BW488" s="217">
        <v>0</v>
      </c>
      <c r="BX488" s="217">
        <v>0</v>
      </c>
      <c r="BY488" s="217">
        <v>0</v>
      </c>
      <c r="BZ488" s="217">
        <v>0</v>
      </c>
      <c r="CA488" s="217">
        <v>0</v>
      </c>
      <c r="CB488" s="217">
        <v>0</v>
      </c>
      <c r="CC488" s="217">
        <v>0</v>
      </c>
      <c r="CD488" s="217">
        <v>0</v>
      </c>
      <c r="CE488" s="217">
        <v>0</v>
      </c>
      <c r="CF488" s="217">
        <v>0</v>
      </c>
      <c r="CG488" s="217">
        <v>0</v>
      </c>
      <c r="CH488" s="217">
        <v>0</v>
      </c>
      <c r="CI488" s="217">
        <v>0</v>
      </c>
      <c r="CJ488" s="217">
        <v>0</v>
      </c>
    </row>
    <row r="489" spans="1:88" x14ac:dyDescent="0.25">
      <c r="A489" s="217" t="s">
        <v>22</v>
      </c>
      <c r="B489" s="217" t="s">
        <v>23</v>
      </c>
      <c r="C489" s="217" t="s">
        <v>85</v>
      </c>
      <c r="D489" s="217" t="s">
        <v>84</v>
      </c>
      <c r="E489" s="217" t="s">
        <v>98</v>
      </c>
      <c r="F489" s="217" t="s">
        <v>97</v>
      </c>
      <c r="G489" s="217" t="s">
        <v>393</v>
      </c>
      <c r="H489" s="217" t="s">
        <v>1172</v>
      </c>
      <c r="I489" s="217" t="s">
        <v>29</v>
      </c>
      <c r="J489" s="217" t="s">
        <v>1856</v>
      </c>
      <c r="K489" s="217">
        <v>2</v>
      </c>
      <c r="L489" s="217">
        <v>11</v>
      </c>
      <c r="M489" s="217" t="s">
        <v>31</v>
      </c>
      <c r="N489" s="217" t="s">
        <v>32</v>
      </c>
      <c r="O489" s="217" t="s">
        <v>100</v>
      </c>
      <c r="P489" s="217" t="s">
        <v>34</v>
      </c>
      <c r="Q489" s="217" t="s">
        <v>35</v>
      </c>
      <c r="R489" s="217" t="s">
        <v>23</v>
      </c>
      <c r="S489" s="217" t="s">
        <v>22</v>
      </c>
      <c r="T489" s="217" t="s">
        <v>84</v>
      </c>
      <c r="U489" s="217" t="s">
        <v>85</v>
      </c>
      <c r="V489" s="217" t="s">
        <v>97</v>
      </c>
      <c r="W489" s="217" t="s">
        <v>98</v>
      </c>
      <c r="BC489" s="217" t="s">
        <v>85</v>
      </c>
      <c r="BD489" s="217" t="s">
        <v>175</v>
      </c>
      <c r="BE489" s="217" t="s">
        <v>1311</v>
      </c>
      <c r="BF489" s="217" t="s">
        <v>470</v>
      </c>
      <c r="BG489" s="217" t="s">
        <v>1998</v>
      </c>
      <c r="BH489" s="217" t="s">
        <v>1658</v>
      </c>
      <c r="BI489" s="217" t="s">
        <v>1658</v>
      </c>
      <c r="BJ489" s="217" t="s">
        <v>1660</v>
      </c>
      <c r="BK489" s="217" t="s">
        <v>637</v>
      </c>
      <c r="BL489" s="217"/>
      <c r="BM489" s="217"/>
      <c r="BN489" s="217">
        <v>0</v>
      </c>
      <c r="BO489" s="217">
        <v>0</v>
      </c>
      <c r="BR489" s="217" t="s">
        <v>85</v>
      </c>
      <c r="BS489" s="217" t="s">
        <v>110</v>
      </c>
      <c r="BT489" s="217" t="s">
        <v>146</v>
      </c>
      <c r="BU489" s="217" t="s">
        <v>1559</v>
      </c>
      <c r="BV489" s="217">
        <v>0</v>
      </c>
      <c r="BW489" s="217">
        <v>0</v>
      </c>
      <c r="BX489" s="217">
        <v>0</v>
      </c>
      <c r="BY489" s="217">
        <v>0</v>
      </c>
      <c r="BZ489" s="217">
        <v>0</v>
      </c>
      <c r="CA489" s="217">
        <v>0</v>
      </c>
      <c r="CB489" s="217">
        <v>0</v>
      </c>
      <c r="CC489" s="217">
        <v>0</v>
      </c>
      <c r="CD489" s="217">
        <v>0</v>
      </c>
      <c r="CE489" s="217">
        <v>0</v>
      </c>
      <c r="CF489" s="217">
        <v>0</v>
      </c>
      <c r="CG489" s="217">
        <v>0</v>
      </c>
      <c r="CH489" s="217">
        <v>0</v>
      </c>
      <c r="CI489" s="217">
        <v>0</v>
      </c>
      <c r="CJ489" s="217">
        <v>0</v>
      </c>
    </row>
    <row r="490" spans="1:88" x14ac:dyDescent="0.25">
      <c r="A490" s="217" t="s">
        <v>22</v>
      </c>
      <c r="B490" s="217" t="s">
        <v>23</v>
      </c>
      <c r="C490" s="217" t="s">
        <v>85</v>
      </c>
      <c r="D490" s="217" t="s">
        <v>84</v>
      </c>
      <c r="E490" s="217" t="s">
        <v>98</v>
      </c>
      <c r="F490" s="217" t="s">
        <v>97</v>
      </c>
      <c r="G490" s="217" t="s">
        <v>393</v>
      </c>
      <c r="H490" s="217" t="s">
        <v>1172</v>
      </c>
      <c r="I490" s="217" t="s">
        <v>29</v>
      </c>
      <c r="J490" s="217" t="s">
        <v>1857</v>
      </c>
      <c r="K490" s="217">
        <v>4</v>
      </c>
      <c r="L490" s="217">
        <v>24</v>
      </c>
      <c r="M490" s="217" t="s">
        <v>31</v>
      </c>
      <c r="N490" s="217" t="s">
        <v>32</v>
      </c>
      <c r="O490" s="217" t="s">
        <v>100</v>
      </c>
      <c r="P490" s="217" t="s">
        <v>34</v>
      </c>
      <c r="Q490" s="217" t="s">
        <v>35</v>
      </c>
      <c r="R490" s="217" t="s">
        <v>23</v>
      </c>
      <c r="S490" s="217" t="s">
        <v>22</v>
      </c>
      <c r="T490" s="217" t="s">
        <v>84</v>
      </c>
      <c r="U490" s="217" t="s">
        <v>85</v>
      </c>
      <c r="V490" s="217" t="s">
        <v>97</v>
      </c>
      <c r="W490" s="217" t="s">
        <v>98</v>
      </c>
      <c r="BC490" s="217" t="s">
        <v>85</v>
      </c>
      <c r="BD490" s="217" t="s">
        <v>175</v>
      </c>
      <c r="BE490" s="217" t="s">
        <v>2141</v>
      </c>
      <c r="BF490" s="217" t="s">
        <v>815</v>
      </c>
      <c r="BG490" s="217" t="s">
        <v>2006</v>
      </c>
      <c r="BH490" s="217" t="s">
        <v>1658</v>
      </c>
      <c r="BI490" s="217" t="s">
        <v>1658</v>
      </c>
      <c r="BJ490" s="217" t="s">
        <v>1660</v>
      </c>
      <c r="BK490" s="217" t="s">
        <v>637</v>
      </c>
      <c r="BL490" s="217"/>
      <c r="BM490" s="217"/>
      <c r="BN490" s="217">
        <v>0</v>
      </c>
      <c r="BO490" s="217">
        <v>0</v>
      </c>
      <c r="BR490" s="217" t="s">
        <v>85</v>
      </c>
      <c r="BS490" s="217" t="s">
        <v>110</v>
      </c>
      <c r="BT490" s="217" t="s">
        <v>321</v>
      </c>
      <c r="BU490" s="217" t="s">
        <v>1005</v>
      </c>
      <c r="BV490" s="217">
        <v>16</v>
      </c>
      <c r="BW490" s="217">
        <v>109</v>
      </c>
      <c r="BX490" s="217">
        <v>0</v>
      </c>
      <c r="BY490" s="217">
        <v>0</v>
      </c>
      <c r="BZ490" s="217">
        <v>0</v>
      </c>
      <c r="CA490" s="217">
        <v>0</v>
      </c>
      <c r="CB490" s="217">
        <v>16</v>
      </c>
      <c r="CC490" s="217">
        <v>109</v>
      </c>
      <c r="CD490" s="217">
        <v>0</v>
      </c>
      <c r="CE490" s="217">
        <v>0</v>
      </c>
      <c r="CF490" s="217">
        <v>0</v>
      </c>
      <c r="CG490" s="217">
        <v>0</v>
      </c>
      <c r="CH490" s="217">
        <v>0</v>
      </c>
      <c r="CI490" s="217">
        <v>0</v>
      </c>
      <c r="CJ490" s="217">
        <v>0</v>
      </c>
    </row>
    <row r="491" spans="1:88" x14ac:dyDescent="0.25">
      <c r="A491" s="217" t="s">
        <v>22</v>
      </c>
      <c r="B491" s="217" t="s">
        <v>23</v>
      </c>
      <c r="C491" s="217" t="s">
        <v>85</v>
      </c>
      <c r="D491" s="217" t="s">
        <v>84</v>
      </c>
      <c r="E491" s="217" t="s">
        <v>98</v>
      </c>
      <c r="F491" s="217" t="s">
        <v>97</v>
      </c>
      <c r="G491" s="217" t="s">
        <v>394</v>
      </c>
      <c r="H491" s="217" t="s">
        <v>1173</v>
      </c>
      <c r="I491" s="217" t="s">
        <v>29</v>
      </c>
      <c r="J491" s="217" t="s">
        <v>1855</v>
      </c>
      <c r="K491" s="217">
        <v>5</v>
      </c>
      <c r="L491" s="217">
        <v>25</v>
      </c>
      <c r="M491" s="217" t="s">
        <v>31</v>
      </c>
      <c r="N491" s="217" t="s">
        <v>32</v>
      </c>
      <c r="O491" s="217" t="s">
        <v>68</v>
      </c>
      <c r="P491" s="217" t="s">
        <v>34</v>
      </c>
      <c r="Q491" s="217" t="s">
        <v>35</v>
      </c>
      <c r="R491" s="217" t="s">
        <v>23</v>
      </c>
      <c r="S491" s="217" t="s">
        <v>22</v>
      </c>
      <c r="T491" s="217" t="s">
        <v>84</v>
      </c>
      <c r="U491" s="217" t="s">
        <v>85</v>
      </c>
      <c r="V491" s="217" t="s">
        <v>91</v>
      </c>
      <c r="W491" s="217" t="s">
        <v>92</v>
      </c>
      <c r="BC491" s="217" t="s">
        <v>85</v>
      </c>
      <c r="BD491" s="217" t="s">
        <v>175</v>
      </c>
      <c r="BE491" s="217" t="s">
        <v>1312</v>
      </c>
      <c r="BF491" s="217" t="s">
        <v>179</v>
      </c>
      <c r="BG491" s="217" t="s">
        <v>1998</v>
      </c>
      <c r="BH491" s="217" t="s">
        <v>1658</v>
      </c>
      <c r="BI491" s="217" t="s">
        <v>1658</v>
      </c>
      <c r="BJ491" s="217" t="s">
        <v>1658</v>
      </c>
      <c r="BK491" s="217" t="s">
        <v>637</v>
      </c>
      <c r="BL491" s="217"/>
      <c r="BM491" s="217"/>
      <c r="BN491" s="217">
        <v>0</v>
      </c>
      <c r="BO491" s="217">
        <v>0</v>
      </c>
      <c r="BR491" s="217" t="s">
        <v>85</v>
      </c>
      <c r="BS491" s="217" t="s">
        <v>110</v>
      </c>
      <c r="BT491" s="217" t="s">
        <v>320</v>
      </c>
      <c r="BU491" s="217" t="s">
        <v>1004</v>
      </c>
      <c r="BV491" s="217">
        <v>21</v>
      </c>
      <c r="BW491" s="217">
        <v>126</v>
      </c>
      <c r="BX491" s="217">
        <v>0</v>
      </c>
      <c r="BY491" s="217">
        <v>0</v>
      </c>
      <c r="BZ491" s="217">
        <v>0</v>
      </c>
      <c r="CA491" s="217">
        <v>0</v>
      </c>
      <c r="CB491" s="217">
        <v>21</v>
      </c>
      <c r="CC491" s="217">
        <v>126</v>
      </c>
      <c r="CD491" s="217">
        <v>0</v>
      </c>
      <c r="CE491" s="217">
        <v>0</v>
      </c>
      <c r="CF491" s="217">
        <v>0</v>
      </c>
      <c r="CG491" s="217">
        <v>0</v>
      </c>
      <c r="CH491" s="217">
        <v>0</v>
      </c>
      <c r="CI491" s="217">
        <v>0</v>
      </c>
      <c r="CJ491" s="217">
        <v>0</v>
      </c>
    </row>
    <row r="492" spans="1:88" x14ac:dyDescent="0.25">
      <c r="A492" s="217" t="s">
        <v>22</v>
      </c>
      <c r="B492" s="217" t="s">
        <v>23</v>
      </c>
      <c r="C492" s="217" t="s">
        <v>85</v>
      </c>
      <c r="D492" s="217" t="s">
        <v>84</v>
      </c>
      <c r="E492" s="217" t="s">
        <v>98</v>
      </c>
      <c r="F492" s="217" t="s">
        <v>97</v>
      </c>
      <c r="G492" s="217" t="s">
        <v>394</v>
      </c>
      <c r="H492" s="217" t="s">
        <v>1173</v>
      </c>
      <c r="I492" s="217" t="s">
        <v>29</v>
      </c>
      <c r="J492" s="217" t="s">
        <v>1856</v>
      </c>
      <c r="K492" s="217">
        <v>3</v>
      </c>
      <c r="L492" s="217">
        <v>22</v>
      </c>
      <c r="M492" s="217" t="s">
        <v>31</v>
      </c>
      <c r="N492" s="217" t="s">
        <v>32</v>
      </c>
      <c r="O492" s="217" t="s">
        <v>68</v>
      </c>
      <c r="P492" s="217" t="s">
        <v>34</v>
      </c>
      <c r="Q492" s="217" t="s">
        <v>35</v>
      </c>
      <c r="R492" s="217" t="s">
        <v>23</v>
      </c>
      <c r="S492" s="217" t="s">
        <v>22</v>
      </c>
      <c r="T492" s="217" t="s">
        <v>84</v>
      </c>
      <c r="U492" s="217" t="s">
        <v>85</v>
      </c>
      <c r="V492" s="217" t="s">
        <v>91</v>
      </c>
      <c r="W492" s="217" t="s">
        <v>92</v>
      </c>
      <c r="BC492" s="217" t="s">
        <v>85</v>
      </c>
      <c r="BD492" s="217" t="s">
        <v>175</v>
      </c>
      <c r="BE492" s="217" t="s">
        <v>1532</v>
      </c>
      <c r="BF492" s="217" t="s">
        <v>636</v>
      </c>
      <c r="BG492" s="217" t="s">
        <v>1998</v>
      </c>
      <c r="BH492" s="217" t="s">
        <v>1658</v>
      </c>
      <c r="BI492" s="217" t="s">
        <v>1658</v>
      </c>
      <c r="BJ492" s="217" t="s">
        <v>1660</v>
      </c>
      <c r="BK492" s="217" t="s">
        <v>637</v>
      </c>
      <c r="BL492" s="217"/>
      <c r="BM492" s="217"/>
      <c r="BN492" s="217">
        <v>0</v>
      </c>
      <c r="BO492" s="217">
        <v>0</v>
      </c>
      <c r="BR492" s="217" t="s">
        <v>85</v>
      </c>
      <c r="BS492" s="217" t="s">
        <v>110</v>
      </c>
      <c r="BT492" s="217" t="s">
        <v>319</v>
      </c>
      <c r="BU492" s="217" t="s">
        <v>1003</v>
      </c>
      <c r="BV492" s="217">
        <v>251</v>
      </c>
      <c r="BW492" s="217">
        <v>1836</v>
      </c>
      <c r="BX492" s="217">
        <v>0</v>
      </c>
      <c r="BY492" s="217">
        <v>0</v>
      </c>
      <c r="BZ492" s="217">
        <v>0</v>
      </c>
      <c r="CA492" s="217">
        <v>0</v>
      </c>
      <c r="CB492" s="217">
        <v>251</v>
      </c>
      <c r="CC492" s="217">
        <v>1836</v>
      </c>
      <c r="CD492" s="217">
        <v>0</v>
      </c>
      <c r="CE492" s="217">
        <v>0</v>
      </c>
      <c r="CF492" s="217">
        <v>0</v>
      </c>
      <c r="CG492" s="217">
        <v>0</v>
      </c>
      <c r="CH492" s="217">
        <v>0</v>
      </c>
      <c r="CI492" s="217">
        <v>0</v>
      </c>
      <c r="CJ492" s="217">
        <v>0</v>
      </c>
    </row>
    <row r="493" spans="1:88" x14ac:dyDescent="0.25">
      <c r="A493" s="217" t="s">
        <v>22</v>
      </c>
      <c r="B493" s="217" t="s">
        <v>23</v>
      </c>
      <c r="C493" s="217" t="s">
        <v>85</v>
      </c>
      <c r="D493" s="217" t="s">
        <v>84</v>
      </c>
      <c r="E493" s="217" t="s">
        <v>98</v>
      </c>
      <c r="F493" s="217" t="s">
        <v>97</v>
      </c>
      <c r="G493" s="217" t="s">
        <v>394</v>
      </c>
      <c r="H493" s="217" t="s">
        <v>1173</v>
      </c>
      <c r="I493" s="217" t="s">
        <v>29</v>
      </c>
      <c r="J493" s="217" t="s">
        <v>1858</v>
      </c>
      <c r="K493" s="217">
        <v>1</v>
      </c>
      <c r="L493" s="217">
        <v>4</v>
      </c>
      <c r="M493" s="217" t="s">
        <v>31</v>
      </c>
      <c r="N493" s="217" t="s">
        <v>32</v>
      </c>
      <c r="O493" s="217" t="s">
        <v>68</v>
      </c>
      <c r="P493" s="217" t="s">
        <v>34</v>
      </c>
      <c r="Q493" s="217" t="s">
        <v>35</v>
      </c>
      <c r="R493" s="217" t="s">
        <v>23</v>
      </c>
      <c r="S493" s="217" t="s">
        <v>22</v>
      </c>
      <c r="T493" s="217" t="s">
        <v>84</v>
      </c>
      <c r="U493" s="217" t="s">
        <v>85</v>
      </c>
      <c r="V493" s="217" t="s">
        <v>109</v>
      </c>
      <c r="W493" s="217" t="s">
        <v>110</v>
      </c>
      <c r="BC493" s="217" t="s">
        <v>85</v>
      </c>
      <c r="BD493" s="217" t="s">
        <v>181</v>
      </c>
      <c r="BE493" s="217" t="s">
        <v>1313</v>
      </c>
      <c r="BF493" s="217" t="s">
        <v>182</v>
      </c>
      <c r="BG493" s="217" t="s">
        <v>2006</v>
      </c>
      <c r="BH493" s="217" t="s">
        <v>1658</v>
      </c>
      <c r="BI493" s="217" t="s">
        <v>1660</v>
      </c>
      <c r="BJ493" s="217" t="s">
        <v>1658</v>
      </c>
      <c r="BK493" s="217" t="s">
        <v>637</v>
      </c>
      <c r="BL493" s="217" t="s">
        <v>3748</v>
      </c>
      <c r="BM493" s="217" t="s">
        <v>182</v>
      </c>
      <c r="BN493" s="217">
        <v>11</v>
      </c>
      <c r="BO493" s="217">
        <v>2017</v>
      </c>
      <c r="BR493" s="217" t="s">
        <v>85</v>
      </c>
      <c r="BS493" s="217" t="s">
        <v>110</v>
      </c>
      <c r="BT493" s="217" t="s">
        <v>326</v>
      </c>
      <c r="BU493" s="217" t="s">
        <v>1010</v>
      </c>
      <c r="BV493" s="217">
        <v>0</v>
      </c>
      <c r="BW493" s="217">
        <v>0</v>
      </c>
      <c r="BX493" s="217">
        <v>0</v>
      </c>
      <c r="BY493" s="217">
        <v>0</v>
      </c>
      <c r="BZ493" s="217">
        <v>0</v>
      </c>
      <c r="CA493" s="217">
        <v>0</v>
      </c>
      <c r="CB493" s="217">
        <v>0</v>
      </c>
      <c r="CC493" s="217">
        <v>0</v>
      </c>
      <c r="CD493" s="217">
        <v>0</v>
      </c>
      <c r="CE493" s="217">
        <v>0</v>
      </c>
      <c r="CF493" s="217">
        <v>0</v>
      </c>
      <c r="CG493" s="217">
        <v>0</v>
      </c>
      <c r="CH493" s="217">
        <v>0</v>
      </c>
      <c r="CI493" s="217">
        <v>0</v>
      </c>
      <c r="CJ493" s="217">
        <v>0</v>
      </c>
    </row>
    <row r="494" spans="1:88" x14ac:dyDescent="0.25">
      <c r="A494" s="217" t="s">
        <v>22</v>
      </c>
      <c r="B494" s="217" t="s">
        <v>23</v>
      </c>
      <c r="C494" s="217" t="s">
        <v>85</v>
      </c>
      <c r="D494" s="217" t="s">
        <v>84</v>
      </c>
      <c r="E494" s="217" t="s">
        <v>98</v>
      </c>
      <c r="F494" s="217" t="s">
        <v>97</v>
      </c>
      <c r="G494" s="217" t="s">
        <v>395</v>
      </c>
      <c r="H494" s="217" t="s">
        <v>1174</v>
      </c>
      <c r="I494" s="217" t="s">
        <v>29</v>
      </c>
      <c r="J494" s="217" t="s">
        <v>1856</v>
      </c>
      <c r="K494" s="217">
        <v>5</v>
      </c>
      <c r="L494" s="217">
        <v>45</v>
      </c>
      <c r="M494" s="217" t="s">
        <v>31</v>
      </c>
      <c r="N494" s="217" t="s">
        <v>32</v>
      </c>
      <c r="O494" s="217" t="s">
        <v>100</v>
      </c>
      <c r="P494" s="217" t="s">
        <v>34</v>
      </c>
      <c r="Q494" s="217" t="s">
        <v>35</v>
      </c>
      <c r="R494" s="217" t="s">
        <v>23</v>
      </c>
      <c r="S494" s="217" t="s">
        <v>22</v>
      </c>
      <c r="T494" s="217" t="s">
        <v>84</v>
      </c>
      <c r="U494" s="217" t="s">
        <v>85</v>
      </c>
      <c r="V494" s="217" t="s">
        <v>97</v>
      </c>
      <c r="W494" s="217" t="s">
        <v>98</v>
      </c>
      <c r="BC494" s="217" t="s">
        <v>85</v>
      </c>
      <c r="BD494" s="217" t="s">
        <v>181</v>
      </c>
      <c r="BE494" s="217" t="s">
        <v>1314</v>
      </c>
      <c r="BF494" s="217" t="s">
        <v>185</v>
      </c>
      <c r="BG494" s="217" t="s">
        <v>2006</v>
      </c>
      <c r="BH494" s="217" t="s">
        <v>1658</v>
      </c>
      <c r="BI494" s="217" t="s">
        <v>1660</v>
      </c>
      <c r="BJ494" s="217" t="s">
        <v>1658</v>
      </c>
      <c r="BK494" s="217" t="s">
        <v>637</v>
      </c>
      <c r="BL494" s="217"/>
      <c r="BM494" s="217"/>
      <c r="BN494" s="217">
        <v>0</v>
      </c>
      <c r="BO494" s="217">
        <v>0</v>
      </c>
      <c r="BR494" s="217" t="s">
        <v>85</v>
      </c>
      <c r="BS494" s="217" t="s">
        <v>110</v>
      </c>
      <c r="BT494" s="217" t="s">
        <v>149</v>
      </c>
      <c r="BU494" s="217" t="s">
        <v>1013</v>
      </c>
      <c r="BV494" s="217">
        <v>25</v>
      </c>
      <c r="BW494" s="217">
        <v>224</v>
      </c>
      <c r="BX494" s="217">
        <v>0</v>
      </c>
      <c r="BY494" s="217">
        <v>0</v>
      </c>
      <c r="BZ494" s="217">
        <v>96</v>
      </c>
      <c r="CA494" s="217">
        <v>512</v>
      </c>
      <c r="CB494" s="217">
        <v>25</v>
      </c>
      <c r="CC494" s="217">
        <v>224</v>
      </c>
      <c r="CD494" s="217">
        <v>0</v>
      </c>
      <c r="CE494" s="217">
        <v>0</v>
      </c>
      <c r="CF494" s="217">
        <v>96</v>
      </c>
      <c r="CG494" s="217">
        <v>512</v>
      </c>
      <c r="CH494" s="217">
        <v>0</v>
      </c>
      <c r="CI494" s="217">
        <v>0</v>
      </c>
      <c r="CJ494" s="217">
        <v>0</v>
      </c>
    </row>
    <row r="495" spans="1:88" x14ac:dyDescent="0.25">
      <c r="A495" s="217" t="s">
        <v>22</v>
      </c>
      <c r="B495" s="217" t="s">
        <v>23</v>
      </c>
      <c r="C495" s="217" t="s">
        <v>85</v>
      </c>
      <c r="D495" s="217" t="s">
        <v>84</v>
      </c>
      <c r="E495" s="217" t="s">
        <v>98</v>
      </c>
      <c r="F495" s="217" t="s">
        <v>97</v>
      </c>
      <c r="G495" s="217" t="s">
        <v>396</v>
      </c>
      <c r="H495" s="217" t="s">
        <v>1175</v>
      </c>
      <c r="I495" s="217" t="s">
        <v>29</v>
      </c>
      <c r="J495" s="217" t="s">
        <v>1856</v>
      </c>
      <c r="K495" s="217">
        <v>13</v>
      </c>
      <c r="L495" s="217">
        <v>77</v>
      </c>
      <c r="M495" s="217" t="s">
        <v>31</v>
      </c>
      <c r="N495" s="217" t="s">
        <v>32</v>
      </c>
      <c r="O495" s="217" t="s">
        <v>68</v>
      </c>
      <c r="P495" s="217" t="s">
        <v>34</v>
      </c>
      <c r="Q495" s="217" t="s">
        <v>35</v>
      </c>
      <c r="R495" s="217" t="s">
        <v>23</v>
      </c>
      <c r="S495" s="217" t="s">
        <v>22</v>
      </c>
      <c r="T495" s="217" t="s">
        <v>84</v>
      </c>
      <c r="U495" s="217" t="s">
        <v>85</v>
      </c>
      <c r="V495" s="217" t="s">
        <v>109</v>
      </c>
      <c r="W495" s="217" t="s">
        <v>110</v>
      </c>
      <c r="BC495" s="217" t="s">
        <v>85</v>
      </c>
      <c r="BD495" s="217" t="s">
        <v>181</v>
      </c>
      <c r="BE495" s="217" t="s">
        <v>1315</v>
      </c>
      <c r="BF495" s="217" t="s">
        <v>186</v>
      </c>
      <c r="BG495" s="217" t="s">
        <v>1998</v>
      </c>
      <c r="BH495" s="217" t="s">
        <v>1658</v>
      </c>
      <c r="BI495" s="217" t="s">
        <v>1660</v>
      </c>
      <c r="BJ495" s="217" t="s">
        <v>1658</v>
      </c>
      <c r="BK495" s="217" t="s">
        <v>637</v>
      </c>
      <c r="BL495" s="217"/>
      <c r="BM495" s="217"/>
      <c r="BN495" s="217">
        <v>0</v>
      </c>
      <c r="BO495" s="217">
        <v>0</v>
      </c>
      <c r="BR495" s="217" t="s">
        <v>85</v>
      </c>
      <c r="BS495" s="217" t="s">
        <v>110</v>
      </c>
      <c r="BT495" s="217" t="s">
        <v>325</v>
      </c>
      <c r="BU495" s="217" t="s">
        <v>1009</v>
      </c>
      <c r="BV495" s="217">
        <v>30</v>
      </c>
      <c r="BW495" s="217">
        <v>188</v>
      </c>
      <c r="BX495" s="217">
        <v>0</v>
      </c>
      <c r="BY495" s="217">
        <v>0</v>
      </c>
      <c r="BZ495" s="217">
        <v>0</v>
      </c>
      <c r="CA495" s="217">
        <v>0</v>
      </c>
      <c r="CB495" s="217">
        <v>41</v>
      </c>
      <c r="CC495" s="217">
        <v>265</v>
      </c>
      <c r="CD495" s="217">
        <v>0</v>
      </c>
      <c r="CE495" s="217">
        <v>0</v>
      </c>
      <c r="CF495" s="217">
        <v>0</v>
      </c>
      <c r="CG495" s="217">
        <v>0</v>
      </c>
      <c r="CH495" s="217">
        <v>-77</v>
      </c>
      <c r="CI495" s="217">
        <v>0</v>
      </c>
      <c r="CJ495" s="217">
        <v>0</v>
      </c>
    </row>
    <row r="496" spans="1:88" x14ac:dyDescent="0.25">
      <c r="A496" s="217" t="s">
        <v>22</v>
      </c>
      <c r="B496" s="217" t="s">
        <v>23</v>
      </c>
      <c r="C496" s="217" t="s">
        <v>85</v>
      </c>
      <c r="D496" s="217" t="s">
        <v>84</v>
      </c>
      <c r="E496" s="217" t="s">
        <v>98</v>
      </c>
      <c r="F496" s="217" t="s">
        <v>97</v>
      </c>
      <c r="G496" s="217" t="s">
        <v>397</v>
      </c>
      <c r="H496" s="217" t="s">
        <v>1176</v>
      </c>
      <c r="I496" s="217" t="s">
        <v>29</v>
      </c>
      <c r="J496" s="217" t="s">
        <v>1855</v>
      </c>
      <c r="K496" s="217">
        <v>12</v>
      </c>
      <c r="L496" s="217">
        <v>65</v>
      </c>
      <c r="M496" s="217" t="s">
        <v>31</v>
      </c>
      <c r="N496" s="217" t="s">
        <v>32</v>
      </c>
      <c r="O496" s="217" t="s">
        <v>68</v>
      </c>
      <c r="P496" s="217" t="s">
        <v>34</v>
      </c>
      <c r="Q496" s="217" t="s">
        <v>35</v>
      </c>
      <c r="R496" s="217" t="s">
        <v>23</v>
      </c>
      <c r="S496" s="217" t="s">
        <v>22</v>
      </c>
      <c r="T496" s="217" t="s">
        <v>84</v>
      </c>
      <c r="U496" s="217" t="s">
        <v>85</v>
      </c>
      <c r="V496" s="217" t="s">
        <v>91</v>
      </c>
      <c r="W496" s="217" t="s">
        <v>92</v>
      </c>
      <c r="BC496" s="217" t="s">
        <v>85</v>
      </c>
      <c r="BD496" s="217" t="s">
        <v>181</v>
      </c>
      <c r="BE496" s="217" t="s">
        <v>1316</v>
      </c>
      <c r="BF496" s="217" t="s">
        <v>187</v>
      </c>
      <c r="BG496" s="217" t="s">
        <v>2006</v>
      </c>
      <c r="BH496" s="217" t="s">
        <v>1658</v>
      </c>
      <c r="BI496" s="217" t="s">
        <v>1660</v>
      </c>
      <c r="BJ496" s="217" t="s">
        <v>1658</v>
      </c>
      <c r="BK496" s="217" t="s">
        <v>637</v>
      </c>
      <c r="BL496" s="217"/>
      <c r="BM496" s="217"/>
      <c r="BN496" s="217">
        <v>0</v>
      </c>
      <c r="BO496" s="217">
        <v>0</v>
      </c>
      <c r="BR496" s="217" t="s">
        <v>85</v>
      </c>
      <c r="BS496" s="217" t="s">
        <v>110</v>
      </c>
      <c r="BT496" s="217" t="s">
        <v>148</v>
      </c>
      <c r="BU496" s="217" t="s">
        <v>1012</v>
      </c>
      <c r="BV496" s="217">
        <v>68</v>
      </c>
      <c r="BW496" s="217">
        <v>544</v>
      </c>
      <c r="BX496" s="217">
        <v>0</v>
      </c>
      <c r="BY496" s="217">
        <v>0</v>
      </c>
      <c r="BZ496" s="217">
        <v>101</v>
      </c>
      <c r="CA496" s="217">
        <v>808</v>
      </c>
      <c r="CB496" s="217">
        <v>68</v>
      </c>
      <c r="CC496" s="217">
        <v>544</v>
      </c>
      <c r="CD496" s="217">
        <v>0</v>
      </c>
      <c r="CE496" s="217">
        <v>0</v>
      </c>
      <c r="CF496" s="217">
        <v>46</v>
      </c>
      <c r="CG496" s="217">
        <v>368</v>
      </c>
      <c r="CH496" s="217">
        <v>0</v>
      </c>
      <c r="CI496" s="217">
        <v>0</v>
      </c>
      <c r="CJ496" s="217">
        <v>440</v>
      </c>
    </row>
    <row r="497" spans="1:88" x14ac:dyDescent="0.25">
      <c r="A497" s="217" t="s">
        <v>22</v>
      </c>
      <c r="B497" s="217" t="s">
        <v>23</v>
      </c>
      <c r="C497" s="217" t="s">
        <v>85</v>
      </c>
      <c r="D497" s="217" t="s">
        <v>84</v>
      </c>
      <c r="E497" s="217" t="s">
        <v>98</v>
      </c>
      <c r="F497" s="217" t="s">
        <v>97</v>
      </c>
      <c r="G497" s="217" t="s">
        <v>397</v>
      </c>
      <c r="H497" s="217" t="s">
        <v>1176</v>
      </c>
      <c r="I497" s="217" t="s">
        <v>29</v>
      </c>
      <c r="J497" s="217" t="s">
        <v>1856</v>
      </c>
      <c r="K497" s="217">
        <v>3</v>
      </c>
      <c r="L497" s="217">
        <v>15</v>
      </c>
      <c r="M497" s="217" t="s">
        <v>31</v>
      </c>
      <c r="N497" s="217" t="s">
        <v>32</v>
      </c>
      <c r="O497" s="217" t="s">
        <v>68</v>
      </c>
      <c r="P497" s="217" t="s">
        <v>34</v>
      </c>
      <c r="Q497" s="217" t="s">
        <v>35</v>
      </c>
      <c r="R497" s="217" t="s">
        <v>23</v>
      </c>
      <c r="S497" s="217" t="s">
        <v>22</v>
      </c>
      <c r="T497" s="217" t="s">
        <v>84</v>
      </c>
      <c r="U497" s="217" t="s">
        <v>85</v>
      </c>
      <c r="V497" s="217" t="s">
        <v>91</v>
      </c>
      <c r="W497" s="217" t="s">
        <v>92</v>
      </c>
      <c r="BC497" s="217" t="s">
        <v>85</v>
      </c>
      <c r="BD497" s="217" t="s">
        <v>181</v>
      </c>
      <c r="BE497" s="217" t="s">
        <v>1317</v>
      </c>
      <c r="BF497" s="217" t="s">
        <v>188</v>
      </c>
      <c r="BG497" s="217" t="s">
        <v>1998</v>
      </c>
      <c r="BH497" s="217" t="s">
        <v>1658</v>
      </c>
      <c r="BI497" s="217" t="s">
        <v>1660</v>
      </c>
      <c r="BJ497" s="217" t="s">
        <v>1658</v>
      </c>
      <c r="BK497" s="217" t="s">
        <v>637</v>
      </c>
      <c r="BL497" s="217"/>
      <c r="BM497" s="217"/>
      <c r="BN497" s="217">
        <v>0</v>
      </c>
      <c r="BO497" s="217">
        <v>0</v>
      </c>
      <c r="BR497" s="217" t="s">
        <v>85</v>
      </c>
      <c r="BS497" s="217" t="s">
        <v>110</v>
      </c>
      <c r="BT497" s="217" t="s">
        <v>323</v>
      </c>
      <c r="BU497" s="217" t="s">
        <v>1007</v>
      </c>
      <c r="BV497" s="217">
        <v>0</v>
      </c>
      <c r="BW497" s="217">
        <v>0</v>
      </c>
      <c r="BX497" s="217">
        <v>0</v>
      </c>
      <c r="BY497" s="217">
        <v>0</v>
      </c>
      <c r="BZ497" s="217">
        <v>0</v>
      </c>
      <c r="CA497" s="217">
        <v>0</v>
      </c>
      <c r="CB497" s="217">
        <v>13</v>
      </c>
      <c r="CC497" s="217">
        <v>104</v>
      </c>
      <c r="CD497" s="217">
        <v>0</v>
      </c>
      <c r="CE497" s="217">
        <v>0</v>
      </c>
      <c r="CF497" s="217">
        <v>0</v>
      </c>
      <c r="CG497" s="217">
        <v>0</v>
      </c>
      <c r="CH497" s="217">
        <v>-104</v>
      </c>
      <c r="CI497" s="217">
        <v>0</v>
      </c>
      <c r="CJ497" s="217">
        <v>0</v>
      </c>
    </row>
    <row r="498" spans="1:88" x14ac:dyDescent="0.25">
      <c r="A498" s="217" t="s">
        <v>22</v>
      </c>
      <c r="B498" s="217" t="s">
        <v>23</v>
      </c>
      <c r="C498" s="217" t="s">
        <v>85</v>
      </c>
      <c r="D498" s="217" t="s">
        <v>84</v>
      </c>
      <c r="E498" s="217" t="s">
        <v>98</v>
      </c>
      <c r="F498" s="217" t="s">
        <v>97</v>
      </c>
      <c r="G498" s="217" t="s">
        <v>397</v>
      </c>
      <c r="H498" s="217" t="s">
        <v>1176</v>
      </c>
      <c r="I498" s="217" t="s">
        <v>29</v>
      </c>
      <c r="J498" s="217" t="s">
        <v>1857</v>
      </c>
      <c r="K498" s="217">
        <v>2</v>
      </c>
      <c r="L498" s="217">
        <v>10</v>
      </c>
      <c r="M498" s="217" t="s">
        <v>31</v>
      </c>
      <c r="N498" s="217" t="s">
        <v>32</v>
      </c>
      <c r="O498" s="217" t="s">
        <v>68</v>
      </c>
      <c r="P498" s="217" t="s">
        <v>34</v>
      </c>
      <c r="Q498" s="217" t="s">
        <v>35</v>
      </c>
      <c r="R498" s="217" t="s">
        <v>23</v>
      </c>
      <c r="S498" s="217" t="s">
        <v>22</v>
      </c>
      <c r="T498" s="217" t="s">
        <v>84</v>
      </c>
      <c r="U498" s="217" t="s">
        <v>85</v>
      </c>
      <c r="V498" s="217" t="s">
        <v>91</v>
      </c>
      <c r="W498" s="217" t="s">
        <v>92</v>
      </c>
      <c r="BC498" s="217" t="s">
        <v>85</v>
      </c>
      <c r="BD498" s="217" t="s">
        <v>181</v>
      </c>
      <c r="BE498" s="217" t="s">
        <v>1318</v>
      </c>
      <c r="BF498" s="217" t="s">
        <v>189</v>
      </c>
      <c r="BG498" s="217" t="s">
        <v>1998</v>
      </c>
      <c r="BH498" s="217" t="s">
        <v>1658</v>
      </c>
      <c r="BI498" s="217" t="s">
        <v>1660</v>
      </c>
      <c r="BJ498" s="217" t="s">
        <v>1658</v>
      </c>
      <c r="BK498" s="217" t="s">
        <v>637</v>
      </c>
      <c r="BL498" s="217"/>
      <c r="BM498" s="217"/>
      <c r="BN498" s="217">
        <v>0</v>
      </c>
      <c r="BO498" s="217">
        <v>0</v>
      </c>
      <c r="BR498" s="217" t="s">
        <v>85</v>
      </c>
      <c r="BS498" s="217" t="s">
        <v>110</v>
      </c>
      <c r="BT498" s="217" t="s">
        <v>1829</v>
      </c>
      <c r="BU498" s="217" t="s">
        <v>1828</v>
      </c>
      <c r="BV498" s="217">
        <v>15</v>
      </c>
      <c r="BW498" s="217">
        <v>120</v>
      </c>
      <c r="BX498" s="217">
        <v>0</v>
      </c>
      <c r="BY498" s="217">
        <v>0</v>
      </c>
      <c r="BZ498" s="217">
        <v>0</v>
      </c>
      <c r="CA498" s="217">
        <v>0</v>
      </c>
      <c r="CB498" s="217">
        <v>15</v>
      </c>
      <c r="CC498" s="217">
        <v>120</v>
      </c>
      <c r="CD498" s="217">
        <v>0</v>
      </c>
      <c r="CE498" s="217">
        <v>0</v>
      </c>
      <c r="CF498" s="217">
        <v>0</v>
      </c>
      <c r="CG498" s="217">
        <v>0</v>
      </c>
      <c r="CH498" s="217">
        <v>0</v>
      </c>
      <c r="CI498" s="217">
        <v>0</v>
      </c>
      <c r="CJ498" s="217">
        <v>0</v>
      </c>
    </row>
    <row r="499" spans="1:88" x14ac:dyDescent="0.25">
      <c r="A499" s="217" t="s">
        <v>22</v>
      </c>
      <c r="B499" s="217" t="s">
        <v>23</v>
      </c>
      <c r="C499" s="217" t="s">
        <v>85</v>
      </c>
      <c r="D499" s="217" t="s">
        <v>84</v>
      </c>
      <c r="E499" s="217" t="s">
        <v>98</v>
      </c>
      <c r="F499" s="217" t="s">
        <v>97</v>
      </c>
      <c r="G499" s="217" t="s">
        <v>398</v>
      </c>
      <c r="H499" s="217" t="s">
        <v>1177</v>
      </c>
      <c r="I499" s="217" t="s">
        <v>29</v>
      </c>
      <c r="J499" s="217" t="s">
        <v>1856</v>
      </c>
      <c r="K499" s="217">
        <v>6</v>
      </c>
      <c r="L499" s="217">
        <v>37</v>
      </c>
      <c r="M499" s="217" t="s">
        <v>31</v>
      </c>
      <c r="N499" s="217" t="s">
        <v>32</v>
      </c>
      <c r="O499" s="217" t="s">
        <v>68</v>
      </c>
      <c r="P499" s="217" t="s">
        <v>34</v>
      </c>
      <c r="Q499" s="217" t="s">
        <v>35</v>
      </c>
      <c r="R499" s="217" t="s">
        <v>23</v>
      </c>
      <c r="S499" s="217" t="s">
        <v>22</v>
      </c>
      <c r="T499" s="217" t="s">
        <v>84</v>
      </c>
      <c r="U499" s="217" t="s">
        <v>85</v>
      </c>
      <c r="V499" s="217" t="s">
        <v>91</v>
      </c>
      <c r="W499" s="217" t="s">
        <v>92</v>
      </c>
      <c r="BC499" s="217" t="s">
        <v>85</v>
      </c>
      <c r="BD499" s="217" t="s">
        <v>181</v>
      </c>
      <c r="BE499" s="217" t="s">
        <v>1319</v>
      </c>
      <c r="BF499" s="217" t="s">
        <v>190</v>
      </c>
      <c r="BG499" s="217" t="s">
        <v>2006</v>
      </c>
      <c r="BH499" s="217" t="s">
        <v>1658</v>
      </c>
      <c r="BI499" s="217" t="s">
        <v>1660</v>
      </c>
      <c r="BJ499" s="217" t="s">
        <v>1658</v>
      </c>
      <c r="BK499" s="217" t="s">
        <v>637</v>
      </c>
      <c r="BL499" s="217"/>
      <c r="BM499" s="217"/>
      <c r="BN499" s="217">
        <v>0</v>
      </c>
      <c r="BO499" s="217">
        <v>0</v>
      </c>
      <c r="BR499" s="217" t="s">
        <v>85</v>
      </c>
      <c r="BS499" s="217" t="s">
        <v>110</v>
      </c>
      <c r="BT499" s="217" t="s">
        <v>324</v>
      </c>
      <c r="BU499" s="217" t="s">
        <v>1008</v>
      </c>
      <c r="BV499" s="217">
        <v>129</v>
      </c>
      <c r="BW499" s="217">
        <v>870</v>
      </c>
      <c r="BX499" s="217">
        <v>0</v>
      </c>
      <c r="BY499" s="217">
        <v>0</v>
      </c>
      <c r="BZ499" s="217">
        <v>0</v>
      </c>
      <c r="CA499" s="217">
        <v>0</v>
      </c>
      <c r="CB499" s="217">
        <v>129</v>
      </c>
      <c r="CC499" s="217">
        <v>870</v>
      </c>
      <c r="CD499" s="217">
        <v>0</v>
      </c>
      <c r="CE499" s="217">
        <v>0</v>
      </c>
      <c r="CF499" s="217">
        <v>0</v>
      </c>
      <c r="CG499" s="217">
        <v>0</v>
      </c>
      <c r="CH499" s="217">
        <v>0</v>
      </c>
      <c r="CI499" s="217">
        <v>0</v>
      </c>
      <c r="CJ499" s="217">
        <v>0</v>
      </c>
    </row>
    <row r="500" spans="1:88" x14ac:dyDescent="0.25">
      <c r="A500" s="217" t="s">
        <v>22</v>
      </c>
      <c r="B500" s="217" t="s">
        <v>23</v>
      </c>
      <c r="C500" s="217" t="s">
        <v>85</v>
      </c>
      <c r="D500" s="217" t="s">
        <v>84</v>
      </c>
      <c r="E500" s="217" t="s">
        <v>98</v>
      </c>
      <c r="F500" s="217" t="s">
        <v>97</v>
      </c>
      <c r="G500" s="217" t="s">
        <v>398</v>
      </c>
      <c r="H500" s="217" t="s">
        <v>1177</v>
      </c>
      <c r="I500" s="217" t="s">
        <v>29</v>
      </c>
      <c r="J500" s="217" t="s">
        <v>1857</v>
      </c>
      <c r="K500" s="217">
        <v>23</v>
      </c>
      <c r="L500" s="217">
        <v>115</v>
      </c>
      <c r="M500" s="217" t="s">
        <v>31</v>
      </c>
      <c r="N500" s="217" t="s">
        <v>32</v>
      </c>
      <c r="O500" s="217" t="s">
        <v>68</v>
      </c>
      <c r="P500" s="217" t="s">
        <v>34</v>
      </c>
      <c r="Q500" s="217" t="s">
        <v>35</v>
      </c>
      <c r="R500" s="217" t="s">
        <v>23</v>
      </c>
      <c r="S500" s="217" t="s">
        <v>22</v>
      </c>
      <c r="T500" s="217" t="s">
        <v>84</v>
      </c>
      <c r="U500" s="217" t="s">
        <v>85</v>
      </c>
      <c r="V500" s="217" t="s">
        <v>91</v>
      </c>
      <c r="W500" s="217" t="s">
        <v>92</v>
      </c>
      <c r="BC500" s="217" t="s">
        <v>85</v>
      </c>
      <c r="BD500" s="217" t="s">
        <v>181</v>
      </c>
      <c r="BE500" s="217" t="s">
        <v>1667</v>
      </c>
      <c r="BF500" s="217" t="s">
        <v>692</v>
      </c>
      <c r="BG500" s="217" t="s">
        <v>1998</v>
      </c>
      <c r="BH500" s="217" t="s">
        <v>1660</v>
      </c>
      <c r="BI500" s="217" t="s">
        <v>1660</v>
      </c>
      <c r="BJ500" s="217" t="s">
        <v>1660</v>
      </c>
      <c r="BK500" s="217" t="s">
        <v>637</v>
      </c>
      <c r="BL500" s="217"/>
      <c r="BM500" s="217"/>
      <c r="BN500" s="217">
        <v>0</v>
      </c>
      <c r="BO500" s="217">
        <v>0</v>
      </c>
      <c r="BR500" s="217" t="s">
        <v>85</v>
      </c>
      <c r="BS500" s="217" t="s">
        <v>110</v>
      </c>
      <c r="BT500" s="217" t="s">
        <v>703</v>
      </c>
      <c r="BU500" s="217" t="s">
        <v>1689</v>
      </c>
      <c r="BV500" s="217">
        <v>0</v>
      </c>
      <c r="BW500" s="217">
        <v>0</v>
      </c>
      <c r="BX500" s="217">
        <v>0</v>
      </c>
      <c r="BY500" s="217">
        <v>0</v>
      </c>
      <c r="BZ500" s="217">
        <v>0</v>
      </c>
      <c r="CA500" s="217">
        <v>0</v>
      </c>
      <c r="CB500" s="217">
        <v>0</v>
      </c>
      <c r="CC500" s="217">
        <v>0</v>
      </c>
      <c r="CD500" s="217">
        <v>0</v>
      </c>
      <c r="CE500" s="217">
        <v>0</v>
      </c>
      <c r="CF500" s="217">
        <v>0</v>
      </c>
      <c r="CG500" s="217">
        <v>0</v>
      </c>
      <c r="CH500" s="217">
        <v>0</v>
      </c>
      <c r="CI500" s="217">
        <v>0</v>
      </c>
      <c r="CJ500" s="217">
        <v>0</v>
      </c>
    </row>
    <row r="501" spans="1:88" x14ac:dyDescent="0.25">
      <c r="A501" s="217" t="s">
        <v>22</v>
      </c>
      <c r="B501" s="217" t="s">
        <v>23</v>
      </c>
      <c r="C501" s="217" t="s">
        <v>85</v>
      </c>
      <c r="D501" s="217" t="s">
        <v>84</v>
      </c>
      <c r="E501" s="217" t="s">
        <v>98</v>
      </c>
      <c r="F501" s="217" t="s">
        <v>97</v>
      </c>
      <c r="G501" s="217" t="s">
        <v>399</v>
      </c>
      <c r="H501" s="217" t="s">
        <v>1178</v>
      </c>
      <c r="I501" s="217" t="s">
        <v>29</v>
      </c>
      <c r="J501" s="217" t="s">
        <v>1856</v>
      </c>
      <c r="K501" s="217">
        <v>33</v>
      </c>
      <c r="L501" s="217">
        <v>102</v>
      </c>
      <c r="M501" s="217" t="s">
        <v>31</v>
      </c>
      <c r="N501" s="217" t="s">
        <v>32</v>
      </c>
      <c r="O501" s="217" t="s">
        <v>100</v>
      </c>
      <c r="P501" s="217" t="s">
        <v>34</v>
      </c>
      <c r="Q501" s="217" t="s">
        <v>35</v>
      </c>
      <c r="R501" s="217" t="s">
        <v>23</v>
      </c>
      <c r="S501" s="217" t="s">
        <v>22</v>
      </c>
      <c r="T501" s="217" t="s">
        <v>84</v>
      </c>
      <c r="U501" s="217" t="s">
        <v>85</v>
      </c>
      <c r="V501" s="217" t="s">
        <v>97</v>
      </c>
      <c r="W501" s="217" t="s">
        <v>98</v>
      </c>
      <c r="BC501" s="217" t="s">
        <v>85</v>
      </c>
      <c r="BD501" s="217" t="s">
        <v>181</v>
      </c>
      <c r="BE501" s="217" t="s">
        <v>1320</v>
      </c>
      <c r="BF501" s="217" t="s">
        <v>191</v>
      </c>
      <c r="BG501" s="217" t="s">
        <v>1998</v>
      </c>
      <c r="BH501" s="217" t="s">
        <v>1658</v>
      </c>
      <c r="BI501" s="217" t="s">
        <v>1660</v>
      </c>
      <c r="BJ501" s="217" t="s">
        <v>1658</v>
      </c>
      <c r="BK501" s="217" t="s">
        <v>637</v>
      </c>
      <c r="BL501" s="217"/>
      <c r="BM501" s="217"/>
      <c r="BN501" s="217">
        <v>0</v>
      </c>
      <c r="BO501" s="217">
        <v>0</v>
      </c>
      <c r="BR501" s="217" t="s">
        <v>85</v>
      </c>
      <c r="BS501" s="217" t="s">
        <v>110</v>
      </c>
      <c r="BT501" s="217" t="s">
        <v>1835</v>
      </c>
      <c r="BU501" s="217" t="s">
        <v>1834</v>
      </c>
      <c r="BV501" s="217">
        <v>20</v>
      </c>
      <c r="BW501" s="217">
        <v>160</v>
      </c>
      <c r="BX501" s="217">
        <v>0</v>
      </c>
      <c r="BY501" s="217">
        <v>0</v>
      </c>
      <c r="BZ501" s="217">
        <v>0</v>
      </c>
      <c r="CA501" s="217">
        <v>0</v>
      </c>
      <c r="CB501" s="217">
        <v>33</v>
      </c>
      <c r="CC501" s="217">
        <v>264</v>
      </c>
      <c r="CD501" s="217">
        <v>0</v>
      </c>
      <c r="CE501" s="217">
        <v>0</v>
      </c>
      <c r="CF501" s="217">
        <v>0</v>
      </c>
      <c r="CG501" s="217">
        <v>0</v>
      </c>
      <c r="CH501" s="217">
        <v>-104</v>
      </c>
      <c r="CI501" s="217">
        <v>0</v>
      </c>
      <c r="CJ501" s="217">
        <v>0</v>
      </c>
    </row>
    <row r="502" spans="1:88" x14ac:dyDescent="0.25">
      <c r="A502" s="217" t="s">
        <v>22</v>
      </c>
      <c r="B502" s="217" t="s">
        <v>23</v>
      </c>
      <c r="C502" s="217" t="s">
        <v>85</v>
      </c>
      <c r="D502" s="217" t="s">
        <v>84</v>
      </c>
      <c r="E502" s="217" t="s">
        <v>98</v>
      </c>
      <c r="F502" s="217" t="s">
        <v>97</v>
      </c>
      <c r="G502" s="217" t="s">
        <v>797</v>
      </c>
      <c r="H502" s="217" t="s">
        <v>1179</v>
      </c>
      <c r="I502" s="217" t="s">
        <v>29</v>
      </c>
      <c r="J502" s="217" t="s">
        <v>1856</v>
      </c>
      <c r="K502" s="217">
        <v>5</v>
      </c>
      <c r="L502" s="217">
        <v>52</v>
      </c>
      <c r="M502" s="217" t="s">
        <v>31</v>
      </c>
      <c r="N502" s="217" t="s">
        <v>32</v>
      </c>
      <c r="O502" s="217" t="s">
        <v>100</v>
      </c>
      <c r="P502" s="217" t="s">
        <v>34</v>
      </c>
      <c r="Q502" s="217" t="s">
        <v>35</v>
      </c>
      <c r="R502" s="217" t="s">
        <v>23</v>
      </c>
      <c r="S502" s="217" t="s">
        <v>22</v>
      </c>
      <c r="T502" s="217" t="s">
        <v>84</v>
      </c>
      <c r="U502" s="217" t="s">
        <v>85</v>
      </c>
      <c r="V502" s="217" t="s">
        <v>97</v>
      </c>
      <c r="W502" s="217" t="s">
        <v>98</v>
      </c>
      <c r="BC502" s="217" t="s">
        <v>85</v>
      </c>
      <c r="BD502" s="217" t="s">
        <v>181</v>
      </c>
      <c r="BE502" s="217" t="s">
        <v>1321</v>
      </c>
      <c r="BF502" s="217" t="s">
        <v>192</v>
      </c>
      <c r="BG502" s="217" t="s">
        <v>1998</v>
      </c>
      <c r="BH502" s="217" t="s">
        <v>1658</v>
      </c>
      <c r="BI502" s="217" t="s">
        <v>1660</v>
      </c>
      <c r="BJ502" s="217" t="s">
        <v>1658</v>
      </c>
      <c r="BK502" s="217" t="s">
        <v>637</v>
      </c>
      <c r="BL502" s="217"/>
      <c r="BM502" s="217"/>
      <c r="BN502" s="217">
        <v>0</v>
      </c>
      <c r="BO502" s="217">
        <v>0</v>
      </c>
      <c r="BR502" s="217" t="s">
        <v>184</v>
      </c>
      <c r="BS502" s="217" t="s">
        <v>206</v>
      </c>
      <c r="BT502" s="217" t="s">
        <v>483</v>
      </c>
      <c r="BU502" s="217" t="s">
        <v>1338</v>
      </c>
      <c r="BV502" s="217">
        <v>27</v>
      </c>
      <c r="BW502" s="217">
        <v>185</v>
      </c>
      <c r="BX502" s="217">
        <v>0</v>
      </c>
      <c r="BY502" s="217">
        <v>0</v>
      </c>
      <c r="BZ502" s="217">
        <v>7</v>
      </c>
      <c r="CA502" s="217">
        <v>101</v>
      </c>
      <c r="CB502" s="217">
        <v>27</v>
      </c>
      <c r="CC502" s="217">
        <v>185</v>
      </c>
      <c r="CD502" s="217">
        <v>0</v>
      </c>
      <c r="CE502" s="217">
        <v>0</v>
      </c>
      <c r="CF502" s="217">
        <v>7</v>
      </c>
      <c r="CG502" s="217">
        <v>101</v>
      </c>
      <c r="CH502" s="217">
        <v>0</v>
      </c>
      <c r="CI502" s="217">
        <v>0</v>
      </c>
      <c r="CJ502" s="217">
        <v>0</v>
      </c>
    </row>
    <row r="503" spans="1:88" x14ac:dyDescent="0.25">
      <c r="A503" s="217" t="s">
        <v>22</v>
      </c>
      <c r="B503" s="217" t="s">
        <v>23</v>
      </c>
      <c r="C503" s="217" t="s">
        <v>85</v>
      </c>
      <c r="D503" s="217" t="s">
        <v>84</v>
      </c>
      <c r="E503" s="217" t="s">
        <v>98</v>
      </c>
      <c r="F503" s="217" t="s">
        <v>97</v>
      </c>
      <c r="G503" s="217" t="s">
        <v>797</v>
      </c>
      <c r="H503" s="217" t="s">
        <v>1179</v>
      </c>
      <c r="I503" s="217" t="s">
        <v>29</v>
      </c>
      <c r="J503" s="217" t="s">
        <v>1857</v>
      </c>
      <c r="K503" s="217">
        <v>2</v>
      </c>
      <c r="L503" s="217">
        <v>11</v>
      </c>
      <c r="M503" s="217" t="s">
        <v>31</v>
      </c>
      <c r="N503" s="217" t="s">
        <v>32</v>
      </c>
      <c r="O503" s="217" t="s">
        <v>100</v>
      </c>
      <c r="P503" s="217" t="s">
        <v>34</v>
      </c>
      <c r="Q503" s="217" t="s">
        <v>35</v>
      </c>
      <c r="R503" s="217" t="s">
        <v>23</v>
      </c>
      <c r="S503" s="217" t="s">
        <v>22</v>
      </c>
      <c r="T503" s="217" t="s">
        <v>84</v>
      </c>
      <c r="U503" s="217" t="s">
        <v>85</v>
      </c>
      <c r="V503" s="217" t="s">
        <v>97</v>
      </c>
      <c r="W503" s="217" t="s">
        <v>98</v>
      </c>
      <c r="BC503" s="217" t="s">
        <v>85</v>
      </c>
      <c r="BD503" s="217" t="s">
        <v>181</v>
      </c>
      <c r="BE503" s="217" t="s">
        <v>1563</v>
      </c>
      <c r="BF503" s="217" t="s">
        <v>193</v>
      </c>
      <c r="BG503" s="217" t="s">
        <v>1998</v>
      </c>
      <c r="BH503" s="217" t="s">
        <v>1660</v>
      </c>
      <c r="BI503" s="217" t="s">
        <v>1660</v>
      </c>
      <c r="BJ503" s="217" t="s">
        <v>1658</v>
      </c>
      <c r="BK503" s="217" t="s">
        <v>637</v>
      </c>
      <c r="BL503" s="217"/>
      <c r="BM503" s="217"/>
      <c r="BN503" s="217">
        <v>0</v>
      </c>
      <c r="BO503" s="217">
        <v>0</v>
      </c>
      <c r="BR503" s="217" t="s">
        <v>184</v>
      </c>
      <c r="BS503" s="217" t="s">
        <v>206</v>
      </c>
      <c r="BT503" s="217" t="s">
        <v>209</v>
      </c>
      <c r="BU503" s="217" t="s">
        <v>1569</v>
      </c>
      <c r="BV503" s="217">
        <v>0</v>
      </c>
      <c r="BW503" s="217">
        <v>0</v>
      </c>
      <c r="BX503" s="217">
        <v>0</v>
      </c>
      <c r="BY503" s="217">
        <v>0</v>
      </c>
      <c r="BZ503" s="217">
        <v>214</v>
      </c>
      <c r="CA503" s="217">
        <v>1290</v>
      </c>
      <c r="CB503" s="217">
        <v>0</v>
      </c>
      <c r="CC503" s="217">
        <v>0</v>
      </c>
      <c r="CD503" s="217">
        <v>0</v>
      </c>
      <c r="CE503" s="217">
        <v>0</v>
      </c>
      <c r="CF503" s="217">
        <v>214</v>
      </c>
      <c r="CG503" s="217">
        <v>1290</v>
      </c>
      <c r="CH503" s="217">
        <v>0</v>
      </c>
      <c r="CI503" s="217">
        <v>0</v>
      </c>
      <c r="CJ503" s="217">
        <v>0</v>
      </c>
    </row>
    <row r="504" spans="1:88" x14ac:dyDescent="0.25">
      <c r="A504" s="217" t="s">
        <v>22</v>
      </c>
      <c r="B504" s="217" t="s">
        <v>23</v>
      </c>
      <c r="C504" s="217" t="s">
        <v>85</v>
      </c>
      <c r="D504" s="217" t="s">
        <v>84</v>
      </c>
      <c r="E504" s="217" t="s">
        <v>98</v>
      </c>
      <c r="F504" s="217" t="s">
        <v>97</v>
      </c>
      <c r="G504" s="217" t="s">
        <v>798</v>
      </c>
      <c r="H504" s="217" t="s">
        <v>1511</v>
      </c>
      <c r="I504" s="217" t="s">
        <v>29</v>
      </c>
      <c r="J504" s="217" t="s">
        <v>1856</v>
      </c>
      <c r="K504" s="217">
        <v>2</v>
      </c>
      <c r="L504" s="217">
        <v>17</v>
      </c>
      <c r="M504" s="217" t="s">
        <v>31</v>
      </c>
      <c r="N504" s="217" t="s">
        <v>32</v>
      </c>
      <c r="O504" s="217" t="s">
        <v>100</v>
      </c>
      <c r="P504" s="217" t="s">
        <v>34</v>
      </c>
      <c r="Q504" s="217" t="s">
        <v>35</v>
      </c>
      <c r="R504" s="217" t="s">
        <v>23</v>
      </c>
      <c r="S504" s="217" t="s">
        <v>22</v>
      </c>
      <c r="T504" s="217" t="s">
        <v>84</v>
      </c>
      <c r="U504" s="217" t="s">
        <v>85</v>
      </c>
      <c r="V504" s="217" t="s">
        <v>97</v>
      </c>
      <c r="W504" s="217" t="s">
        <v>98</v>
      </c>
      <c r="BC504" s="217" t="s">
        <v>85</v>
      </c>
      <c r="BD504" s="217" t="s">
        <v>181</v>
      </c>
      <c r="BE504" s="217" t="s">
        <v>1322</v>
      </c>
      <c r="BF504" s="217" t="s">
        <v>194</v>
      </c>
      <c r="BG504" s="217" t="s">
        <v>1998</v>
      </c>
      <c r="BH504" s="217" t="s">
        <v>1658</v>
      </c>
      <c r="BI504" s="217" t="s">
        <v>1660</v>
      </c>
      <c r="BJ504" s="217" t="s">
        <v>1658</v>
      </c>
      <c r="BK504" s="217" t="s">
        <v>637</v>
      </c>
      <c r="BL504" s="217"/>
      <c r="BM504" s="217"/>
      <c r="BN504" s="217">
        <v>0</v>
      </c>
      <c r="BO504" s="217">
        <v>0</v>
      </c>
      <c r="BR504" s="217" t="s">
        <v>184</v>
      </c>
      <c r="BS504" s="217" t="s">
        <v>206</v>
      </c>
      <c r="BT504" s="217" t="s">
        <v>674</v>
      </c>
      <c r="BU504" s="217" t="s">
        <v>1570</v>
      </c>
      <c r="BV504" s="217">
        <v>0</v>
      </c>
      <c r="BW504" s="217">
        <v>0</v>
      </c>
      <c r="BX504" s="217">
        <v>0</v>
      </c>
      <c r="BY504" s="217">
        <v>0</v>
      </c>
      <c r="BZ504" s="217">
        <v>27</v>
      </c>
      <c r="CA504" s="217">
        <v>190</v>
      </c>
      <c r="CB504" s="217">
        <v>0</v>
      </c>
      <c r="CC504" s="217">
        <v>0</v>
      </c>
      <c r="CD504" s="217">
        <v>0</v>
      </c>
      <c r="CE504" s="217">
        <v>0</v>
      </c>
      <c r="CF504" s="217">
        <v>27</v>
      </c>
      <c r="CG504" s="217">
        <v>190</v>
      </c>
      <c r="CH504" s="217">
        <v>0</v>
      </c>
      <c r="CI504" s="217">
        <v>0</v>
      </c>
      <c r="CJ504" s="217">
        <v>0</v>
      </c>
    </row>
    <row r="505" spans="1:88" x14ac:dyDescent="0.25">
      <c r="A505" s="217" t="s">
        <v>22</v>
      </c>
      <c r="B505" s="217" t="s">
        <v>23</v>
      </c>
      <c r="C505" s="217" t="s">
        <v>85</v>
      </c>
      <c r="D505" s="217" t="s">
        <v>84</v>
      </c>
      <c r="E505" s="217" t="s">
        <v>98</v>
      </c>
      <c r="F505" s="217" t="s">
        <v>97</v>
      </c>
      <c r="G505" s="217" t="s">
        <v>400</v>
      </c>
      <c r="H505" s="217" t="s">
        <v>1180</v>
      </c>
      <c r="I505" s="217" t="s">
        <v>29</v>
      </c>
      <c r="J505" s="217" t="s">
        <v>1856</v>
      </c>
      <c r="K505" s="217">
        <v>6</v>
      </c>
      <c r="L505" s="217">
        <v>65</v>
      </c>
      <c r="M505" s="217" t="s">
        <v>31</v>
      </c>
      <c r="N505" s="217" t="s">
        <v>32</v>
      </c>
      <c r="O505" s="217" t="s">
        <v>100</v>
      </c>
      <c r="P505" s="217" t="s">
        <v>34</v>
      </c>
      <c r="Q505" s="217" t="s">
        <v>35</v>
      </c>
      <c r="R505" s="217" t="s">
        <v>23</v>
      </c>
      <c r="S505" s="217" t="s">
        <v>22</v>
      </c>
      <c r="T505" s="217" t="s">
        <v>84</v>
      </c>
      <c r="U505" s="217" t="s">
        <v>85</v>
      </c>
      <c r="V505" s="217" t="s">
        <v>97</v>
      </c>
      <c r="W505" s="217" t="s">
        <v>98</v>
      </c>
      <c r="BC505" s="217" t="s">
        <v>184</v>
      </c>
      <c r="BD505" s="217" t="s">
        <v>471</v>
      </c>
      <c r="BE505" s="217" t="s">
        <v>1323</v>
      </c>
      <c r="BF505" s="217" t="s">
        <v>473</v>
      </c>
      <c r="BG505" s="217" t="s">
        <v>1998</v>
      </c>
      <c r="BH505" s="217" t="s">
        <v>1658</v>
      </c>
      <c r="BI505" s="217" t="s">
        <v>1660</v>
      </c>
      <c r="BJ505" s="217" t="s">
        <v>1660</v>
      </c>
      <c r="BK505" s="217" t="s">
        <v>637</v>
      </c>
      <c r="BL505" s="217"/>
      <c r="BM505" s="217"/>
      <c r="BN505" s="217">
        <v>0</v>
      </c>
      <c r="BO505" s="217">
        <v>0</v>
      </c>
      <c r="BR505" s="217" t="s">
        <v>184</v>
      </c>
      <c r="BS505" s="217" t="s">
        <v>206</v>
      </c>
      <c r="BT505" s="217" t="s">
        <v>210</v>
      </c>
      <c r="BU505" s="217" t="s">
        <v>1339</v>
      </c>
      <c r="BV505" s="217">
        <v>42</v>
      </c>
      <c r="BW505" s="217">
        <v>254</v>
      </c>
      <c r="BX505" s="217">
        <v>0</v>
      </c>
      <c r="BY505" s="217">
        <v>0</v>
      </c>
      <c r="BZ505" s="217">
        <v>23</v>
      </c>
      <c r="CA505" s="217">
        <v>142</v>
      </c>
      <c r="CB505" s="217">
        <v>42</v>
      </c>
      <c r="CC505" s="217">
        <v>254</v>
      </c>
      <c r="CD505" s="217">
        <v>0</v>
      </c>
      <c r="CE505" s="217">
        <v>0</v>
      </c>
      <c r="CF505" s="217">
        <v>23</v>
      </c>
      <c r="CG505" s="217">
        <v>142</v>
      </c>
      <c r="CH505" s="217">
        <v>0</v>
      </c>
      <c r="CI505" s="217">
        <v>0</v>
      </c>
      <c r="CJ505" s="217">
        <v>0</v>
      </c>
    </row>
    <row r="506" spans="1:88" x14ac:dyDescent="0.25">
      <c r="A506" s="217" t="s">
        <v>22</v>
      </c>
      <c r="B506" s="217" t="s">
        <v>23</v>
      </c>
      <c r="C506" s="217" t="s">
        <v>85</v>
      </c>
      <c r="D506" s="217" t="s">
        <v>84</v>
      </c>
      <c r="E506" s="217" t="s">
        <v>98</v>
      </c>
      <c r="F506" s="217" t="s">
        <v>97</v>
      </c>
      <c r="G506" s="217" t="s">
        <v>400</v>
      </c>
      <c r="H506" s="217" t="s">
        <v>1180</v>
      </c>
      <c r="I506" s="217" t="s">
        <v>29</v>
      </c>
      <c r="J506" s="217" t="s">
        <v>1857</v>
      </c>
      <c r="K506" s="217">
        <v>9</v>
      </c>
      <c r="L506" s="217">
        <v>69</v>
      </c>
      <c r="M506" s="217" t="s">
        <v>31</v>
      </c>
      <c r="N506" s="217" t="s">
        <v>32</v>
      </c>
      <c r="O506" s="217" t="s">
        <v>100</v>
      </c>
      <c r="P506" s="217" t="s">
        <v>34</v>
      </c>
      <c r="Q506" s="217" t="s">
        <v>35</v>
      </c>
      <c r="R506" s="217" t="s">
        <v>23</v>
      </c>
      <c r="S506" s="217" t="s">
        <v>22</v>
      </c>
      <c r="T506" s="217" t="s">
        <v>84</v>
      </c>
      <c r="U506" s="217" t="s">
        <v>85</v>
      </c>
      <c r="V506" s="217" t="s">
        <v>97</v>
      </c>
      <c r="W506" s="217" t="s">
        <v>98</v>
      </c>
      <c r="BC506" s="217" t="s">
        <v>184</v>
      </c>
      <c r="BD506" s="217" t="s">
        <v>471</v>
      </c>
      <c r="BE506" s="217" t="s">
        <v>1324</v>
      </c>
      <c r="BF506" s="217" t="s">
        <v>474</v>
      </c>
      <c r="BG506" s="217" t="s">
        <v>1998</v>
      </c>
      <c r="BH506" s="217" t="s">
        <v>1658</v>
      </c>
      <c r="BI506" s="217" t="s">
        <v>1660</v>
      </c>
      <c r="BJ506" s="217" t="s">
        <v>1660</v>
      </c>
      <c r="BK506" s="217" t="s">
        <v>637</v>
      </c>
      <c r="BL506" s="217"/>
      <c r="BM506" s="217"/>
      <c r="BN506" s="217">
        <v>0</v>
      </c>
      <c r="BO506" s="217">
        <v>0</v>
      </c>
      <c r="BR506" s="217" t="s">
        <v>184</v>
      </c>
      <c r="BS506" s="217" t="s">
        <v>206</v>
      </c>
      <c r="BT506" s="217" t="s">
        <v>484</v>
      </c>
      <c r="BU506" s="217" t="s">
        <v>1340</v>
      </c>
      <c r="BV506" s="217">
        <v>2</v>
      </c>
      <c r="BW506" s="217">
        <v>15</v>
      </c>
      <c r="BX506" s="217">
        <v>0</v>
      </c>
      <c r="BY506" s="217">
        <v>0</v>
      </c>
      <c r="BZ506" s="217">
        <v>45</v>
      </c>
      <c r="CA506" s="217">
        <v>280</v>
      </c>
      <c r="CB506" s="217">
        <v>2</v>
      </c>
      <c r="CC506" s="217">
        <v>15</v>
      </c>
      <c r="CD506" s="217">
        <v>0</v>
      </c>
      <c r="CE506" s="217">
        <v>0</v>
      </c>
      <c r="CF506" s="217">
        <v>45</v>
      </c>
      <c r="CG506" s="217">
        <v>280</v>
      </c>
      <c r="CH506" s="217">
        <v>0</v>
      </c>
      <c r="CI506" s="217">
        <v>0</v>
      </c>
      <c r="CJ506" s="217">
        <v>0</v>
      </c>
    </row>
    <row r="507" spans="1:88" x14ac:dyDescent="0.25">
      <c r="A507" s="217" t="s">
        <v>22</v>
      </c>
      <c r="B507" s="217" t="s">
        <v>23</v>
      </c>
      <c r="C507" s="217" t="s">
        <v>85</v>
      </c>
      <c r="D507" s="217" t="s">
        <v>84</v>
      </c>
      <c r="E507" s="217" t="s">
        <v>98</v>
      </c>
      <c r="F507" s="217" t="s">
        <v>97</v>
      </c>
      <c r="G507" s="217" t="s">
        <v>298</v>
      </c>
      <c r="H507" s="217" t="s">
        <v>1181</v>
      </c>
      <c r="I507" s="217" t="s">
        <v>29</v>
      </c>
      <c r="J507" s="217" t="s">
        <v>1856</v>
      </c>
      <c r="K507" s="217">
        <v>2</v>
      </c>
      <c r="L507" s="217">
        <v>10</v>
      </c>
      <c r="M507" s="217" t="s">
        <v>31</v>
      </c>
      <c r="N507" s="217" t="s">
        <v>32</v>
      </c>
      <c r="O507" s="217" t="s">
        <v>100</v>
      </c>
      <c r="P507" s="217" t="s">
        <v>34</v>
      </c>
      <c r="Q507" s="217" t="s">
        <v>35</v>
      </c>
      <c r="R507" s="217" t="s">
        <v>23</v>
      </c>
      <c r="S507" s="217" t="s">
        <v>22</v>
      </c>
      <c r="T507" s="217" t="s">
        <v>84</v>
      </c>
      <c r="U507" s="217" t="s">
        <v>85</v>
      </c>
      <c r="V507" s="217" t="s">
        <v>97</v>
      </c>
      <c r="W507" s="217" t="s">
        <v>98</v>
      </c>
      <c r="BC507" s="217" t="s">
        <v>184</v>
      </c>
      <c r="BD507" s="217" t="s">
        <v>471</v>
      </c>
      <c r="BE507" s="217" t="s">
        <v>1325</v>
      </c>
      <c r="BF507" s="217" t="s">
        <v>475</v>
      </c>
      <c r="BG507" s="217" t="s">
        <v>1998</v>
      </c>
      <c r="BH507" s="217" t="s">
        <v>1658</v>
      </c>
      <c r="BI507" s="217" t="s">
        <v>1660</v>
      </c>
      <c r="BJ507" s="217" t="s">
        <v>1660</v>
      </c>
      <c r="BK507" s="217" t="s">
        <v>637</v>
      </c>
      <c r="BL507" s="217"/>
      <c r="BM507" s="217"/>
      <c r="BN507" s="217">
        <v>0</v>
      </c>
      <c r="BO507" s="217">
        <v>0</v>
      </c>
      <c r="BR507" s="217" t="s">
        <v>184</v>
      </c>
      <c r="BS507" s="217" t="s">
        <v>206</v>
      </c>
      <c r="BT507" s="217" t="s">
        <v>675</v>
      </c>
      <c r="BU507" s="217" t="s">
        <v>1571</v>
      </c>
      <c r="BV507" s="217">
        <v>0</v>
      </c>
      <c r="BW507" s="217">
        <v>0</v>
      </c>
      <c r="BX507" s="217">
        <v>0</v>
      </c>
      <c r="BY507" s="217">
        <v>0</v>
      </c>
      <c r="BZ507" s="217">
        <v>13</v>
      </c>
      <c r="CA507" s="217">
        <v>102</v>
      </c>
      <c r="CB507" s="217">
        <v>0</v>
      </c>
      <c r="CC507" s="217">
        <v>0</v>
      </c>
      <c r="CD507" s="217">
        <v>0</v>
      </c>
      <c r="CE507" s="217">
        <v>0</v>
      </c>
      <c r="CF507" s="217">
        <v>13</v>
      </c>
      <c r="CG507" s="217">
        <v>102</v>
      </c>
      <c r="CH507" s="217">
        <v>0</v>
      </c>
      <c r="CI507" s="217">
        <v>0</v>
      </c>
      <c r="CJ507" s="217">
        <v>0</v>
      </c>
    </row>
    <row r="508" spans="1:88" x14ac:dyDescent="0.25">
      <c r="A508" s="217" t="s">
        <v>22</v>
      </c>
      <c r="B508" s="217" t="s">
        <v>23</v>
      </c>
      <c r="C508" s="217" t="s">
        <v>85</v>
      </c>
      <c r="D508" s="217" t="s">
        <v>84</v>
      </c>
      <c r="E508" s="217" t="s">
        <v>98</v>
      </c>
      <c r="F508" s="217" t="s">
        <v>97</v>
      </c>
      <c r="G508" s="217" t="s">
        <v>298</v>
      </c>
      <c r="H508" s="217" t="s">
        <v>1181</v>
      </c>
      <c r="I508" s="217" t="s">
        <v>29</v>
      </c>
      <c r="J508" s="217" t="s">
        <v>1857</v>
      </c>
      <c r="K508" s="217">
        <v>9</v>
      </c>
      <c r="L508" s="217">
        <v>50</v>
      </c>
      <c r="M508" s="217" t="s">
        <v>31</v>
      </c>
      <c r="N508" s="217" t="s">
        <v>32</v>
      </c>
      <c r="O508" s="217" t="s">
        <v>100</v>
      </c>
      <c r="P508" s="217" t="s">
        <v>34</v>
      </c>
      <c r="Q508" s="217" t="s">
        <v>35</v>
      </c>
      <c r="R508" s="217" t="s">
        <v>23</v>
      </c>
      <c r="S508" s="217" t="s">
        <v>22</v>
      </c>
      <c r="T508" s="217" t="s">
        <v>84</v>
      </c>
      <c r="U508" s="217" t="s">
        <v>85</v>
      </c>
      <c r="V508" s="217" t="s">
        <v>97</v>
      </c>
      <c r="W508" s="217" t="s">
        <v>98</v>
      </c>
      <c r="BC508" s="217" t="s">
        <v>184</v>
      </c>
      <c r="BD508" s="217" t="s">
        <v>471</v>
      </c>
      <c r="BE508" s="217" t="s">
        <v>1533</v>
      </c>
      <c r="BF508" s="217" t="s">
        <v>638</v>
      </c>
      <c r="BG508" s="217" t="s">
        <v>1998</v>
      </c>
      <c r="BH508" s="217" t="s">
        <v>1660</v>
      </c>
      <c r="BI508" s="217" t="s">
        <v>1658</v>
      </c>
      <c r="BJ508" s="217" t="s">
        <v>1658</v>
      </c>
      <c r="BK508" s="217" t="s">
        <v>637</v>
      </c>
      <c r="BL508" s="217"/>
      <c r="BM508" s="217"/>
      <c r="BN508" s="217">
        <v>0</v>
      </c>
      <c r="BO508" s="217">
        <v>0</v>
      </c>
      <c r="BR508" s="217" t="s">
        <v>184</v>
      </c>
      <c r="BS508" s="217" t="s">
        <v>206</v>
      </c>
      <c r="BT508" s="217" t="s">
        <v>207</v>
      </c>
      <c r="BU508" s="217" t="s">
        <v>1568</v>
      </c>
      <c r="BV508" s="217">
        <v>0</v>
      </c>
      <c r="BW508" s="217">
        <v>0</v>
      </c>
      <c r="BX508" s="217">
        <v>0</v>
      </c>
      <c r="BY508" s="217">
        <v>0</v>
      </c>
      <c r="BZ508" s="217">
        <v>202</v>
      </c>
      <c r="CA508" s="217">
        <v>1212</v>
      </c>
      <c r="CB508" s="217">
        <v>0</v>
      </c>
      <c r="CC508" s="217">
        <v>0</v>
      </c>
      <c r="CD508" s="217">
        <v>0</v>
      </c>
      <c r="CE508" s="217">
        <v>0</v>
      </c>
      <c r="CF508" s="217">
        <v>202</v>
      </c>
      <c r="CG508" s="217">
        <v>1212</v>
      </c>
      <c r="CH508" s="217">
        <v>0</v>
      </c>
      <c r="CI508" s="217">
        <v>0</v>
      </c>
      <c r="CJ508" s="217">
        <v>0</v>
      </c>
    </row>
    <row r="509" spans="1:88" x14ac:dyDescent="0.25">
      <c r="A509" s="217" t="s">
        <v>22</v>
      </c>
      <c r="B509" s="217" t="s">
        <v>23</v>
      </c>
      <c r="C509" s="217" t="s">
        <v>85</v>
      </c>
      <c r="D509" s="217" t="s">
        <v>84</v>
      </c>
      <c r="E509" s="217" t="s">
        <v>98</v>
      </c>
      <c r="F509" s="217" t="s">
        <v>97</v>
      </c>
      <c r="G509" s="217" t="s">
        <v>1182</v>
      </c>
      <c r="H509" s="217" t="s">
        <v>1183</v>
      </c>
      <c r="I509" s="217" t="s">
        <v>29</v>
      </c>
      <c r="J509" s="217" t="s">
        <v>1858</v>
      </c>
      <c r="K509" s="217">
        <v>13</v>
      </c>
      <c r="L509" s="217">
        <v>85</v>
      </c>
      <c r="M509" s="217" t="s">
        <v>31</v>
      </c>
      <c r="N509" s="217" t="s">
        <v>32</v>
      </c>
      <c r="O509" s="217" t="s">
        <v>68</v>
      </c>
      <c r="P509" s="217" t="s">
        <v>34</v>
      </c>
      <c r="Q509" s="217" t="s">
        <v>35</v>
      </c>
      <c r="R509" s="217" t="s">
        <v>23</v>
      </c>
      <c r="S509" s="217" t="s">
        <v>22</v>
      </c>
      <c r="T509" s="217" t="s">
        <v>84</v>
      </c>
      <c r="U509" s="217" t="s">
        <v>85</v>
      </c>
      <c r="V509" s="217" t="s">
        <v>94</v>
      </c>
      <c r="W509" s="217" t="s">
        <v>95</v>
      </c>
      <c r="BC509" s="217" t="s">
        <v>184</v>
      </c>
      <c r="BD509" s="217" t="s">
        <v>471</v>
      </c>
      <c r="BE509" s="217" t="s">
        <v>1326</v>
      </c>
      <c r="BF509" s="217" t="s">
        <v>476</v>
      </c>
      <c r="BG509" s="217" t="s">
        <v>1998</v>
      </c>
      <c r="BH509" s="217" t="s">
        <v>1658</v>
      </c>
      <c r="BI509" s="217" t="s">
        <v>1660</v>
      </c>
      <c r="BJ509" s="217" t="s">
        <v>1660</v>
      </c>
      <c r="BK509" s="217" t="s">
        <v>637</v>
      </c>
      <c r="BL509" s="217"/>
      <c r="BM509" s="217"/>
      <c r="BN509" s="217">
        <v>0</v>
      </c>
      <c r="BO509" s="217">
        <v>0</v>
      </c>
      <c r="BR509" s="217" t="s">
        <v>184</v>
      </c>
      <c r="BS509" s="217" t="s">
        <v>206</v>
      </c>
      <c r="BT509" s="217" t="s">
        <v>208</v>
      </c>
      <c r="BU509" s="217" t="s">
        <v>1337</v>
      </c>
      <c r="BV509" s="217">
        <v>15</v>
      </c>
      <c r="BW509" s="217">
        <v>82</v>
      </c>
      <c r="BX509" s="217">
        <v>0</v>
      </c>
      <c r="BY509" s="217">
        <v>0</v>
      </c>
      <c r="BZ509" s="217">
        <v>45</v>
      </c>
      <c r="CA509" s="217">
        <v>275</v>
      </c>
      <c r="CB509" s="217">
        <v>15</v>
      </c>
      <c r="CC509" s="217">
        <v>82</v>
      </c>
      <c r="CD509" s="217">
        <v>0</v>
      </c>
      <c r="CE509" s="217">
        <v>0</v>
      </c>
      <c r="CF509" s="217">
        <v>45</v>
      </c>
      <c r="CG509" s="217">
        <v>275</v>
      </c>
      <c r="CH509" s="217">
        <v>0</v>
      </c>
      <c r="CI509" s="217">
        <v>0</v>
      </c>
      <c r="CJ509" s="217">
        <v>0</v>
      </c>
    </row>
    <row r="510" spans="1:88" x14ac:dyDescent="0.25">
      <c r="A510" s="217" t="s">
        <v>22</v>
      </c>
      <c r="B510" s="217" t="s">
        <v>23</v>
      </c>
      <c r="C510" s="217" t="s">
        <v>85</v>
      </c>
      <c r="D510" s="217" t="s">
        <v>84</v>
      </c>
      <c r="E510" s="217" t="s">
        <v>98</v>
      </c>
      <c r="F510" s="217" t="s">
        <v>97</v>
      </c>
      <c r="G510" s="217" t="s">
        <v>401</v>
      </c>
      <c r="H510" s="217" t="s">
        <v>1184</v>
      </c>
      <c r="I510" s="217" t="s">
        <v>29</v>
      </c>
      <c r="J510" s="217" t="s">
        <v>1856</v>
      </c>
      <c r="K510" s="217">
        <v>6</v>
      </c>
      <c r="L510" s="217">
        <v>32</v>
      </c>
      <c r="M510" s="217" t="s">
        <v>31</v>
      </c>
      <c r="N510" s="217" t="s">
        <v>32</v>
      </c>
      <c r="O510" s="217" t="s">
        <v>68</v>
      </c>
      <c r="P510" s="217" t="s">
        <v>34</v>
      </c>
      <c r="Q510" s="217" t="s">
        <v>35</v>
      </c>
      <c r="R510" s="217" t="s">
        <v>23</v>
      </c>
      <c r="S510" s="217" t="s">
        <v>22</v>
      </c>
      <c r="T510" s="217" t="s">
        <v>84</v>
      </c>
      <c r="U510" s="217" t="s">
        <v>85</v>
      </c>
      <c r="V510" s="217" t="s">
        <v>91</v>
      </c>
      <c r="W510" s="217" t="s">
        <v>92</v>
      </c>
      <c r="BC510" s="217" t="s">
        <v>184</v>
      </c>
      <c r="BD510" s="217" t="s">
        <v>471</v>
      </c>
      <c r="BE510" s="217" t="s">
        <v>1327</v>
      </c>
      <c r="BF510" s="217" t="s">
        <v>477</v>
      </c>
      <c r="BG510" s="217" t="s">
        <v>1998</v>
      </c>
      <c r="BH510" s="217" t="s">
        <v>1658</v>
      </c>
      <c r="BI510" s="217" t="s">
        <v>1660</v>
      </c>
      <c r="BJ510" s="217" t="s">
        <v>1660</v>
      </c>
      <c r="BK510" s="217" t="s">
        <v>637</v>
      </c>
      <c r="BL510" s="217"/>
      <c r="BM510" s="217"/>
      <c r="BN510" s="217">
        <v>0</v>
      </c>
      <c r="BO510" s="217">
        <v>0</v>
      </c>
      <c r="BR510" s="217" t="s">
        <v>184</v>
      </c>
      <c r="BS510" s="217" t="s">
        <v>206</v>
      </c>
      <c r="BT510" s="217" t="s">
        <v>211</v>
      </c>
      <c r="BU510" s="217" t="s">
        <v>1341</v>
      </c>
      <c r="BV510" s="217">
        <v>6</v>
      </c>
      <c r="BW510" s="217">
        <v>38</v>
      </c>
      <c r="BX510" s="217">
        <v>0</v>
      </c>
      <c r="BY510" s="217">
        <v>0</v>
      </c>
      <c r="BZ510" s="217">
        <v>15</v>
      </c>
      <c r="CA510" s="217">
        <v>107</v>
      </c>
      <c r="CB510" s="217">
        <v>6</v>
      </c>
      <c r="CC510" s="217">
        <v>38</v>
      </c>
      <c r="CD510" s="217">
        <v>0</v>
      </c>
      <c r="CE510" s="217">
        <v>0</v>
      </c>
      <c r="CF510" s="217">
        <v>15</v>
      </c>
      <c r="CG510" s="217">
        <v>107</v>
      </c>
      <c r="CH510" s="217">
        <v>0</v>
      </c>
      <c r="CI510" s="217">
        <v>0</v>
      </c>
      <c r="CJ510" s="217">
        <v>0</v>
      </c>
    </row>
    <row r="511" spans="1:88" x14ac:dyDescent="0.25">
      <c r="A511" s="217" t="s">
        <v>22</v>
      </c>
      <c r="B511" s="217" t="s">
        <v>23</v>
      </c>
      <c r="C511" s="217" t="s">
        <v>85</v>
      </c>
      <c r="D511" s="217" t="s">
        <v>84</v>
      </c>
      <c r="E511" s="217" t="s">
        <v>98</v>
      </c>
      <c r="F511" s="217" t="s">
        <v>97</v>
      </c>
      <c r="G511" s="217" t="s">
        <v>164</v>
      </c>
      <c r="H511" s="217" t="s">
        <v>1185</v>
      </c>
      <c r="I511" s="217" t="s">
        <v>29</v>
      </c>
      <c r="J511" s="217" t="s">
        <v>1856</v>
      </c>
      <c r="K511" s="217">
        <v>7</v>
      </c>
      <c r="L511" s="217">
        <v>26</v>
      </c>
      <c r="M511" s="217" t="s">
        <v>31</v>
      </c>
      <c r="N511" s="217" t="s">
        <v>32</v>
      </c>
      <c r="O511" s="217" t="s">
        <v>68</v>
      </c>
      <c r="P511" s="217" t="s">
        <v>34</v>
      </c>
      <c r="Q511" s="217" t="s">
        <v>35</v>
      </c>
      <c r="R511" s="217" t="s">
        <v>23</v>
      </c>
      <c r="S511" s="217" t="s">
        <v>22</v>
      </c>
      <c r="T511" s="217" t="s">
        <v>84</v>
      </c>
      <c r="U511" s="217" t="s">
        <v>85</v>
      </c>
      <c r="V511" s="217" t="s">
        <v>91</v>
      </c>
      <c r="W511" s="217" t="s">
        <v>92</v>
      </c>
      <c r="BC511" s="217" t="s">
        <v>184</v>
      </c>
      <c r="BD511" s="217" t="s">
        <v>471</v>
      </c>
      <c r="BE511" s="217" t="s">
        <v>1328</v>
      </c>
      <c r="BF511" s="217" t="s">
        <v>478</v>
      </c>
      <c r="BG511" s="217" t="s">
        <v>1998</v>
      </c>
      <c r="BH511" s="217" t="s">
        <v>1658</v>
      </c>
      <c r="BI511" s="217" t="s">
        <v>1660</v>
      </c>
      <c r="BJ511" s="217" t="s">
        <v>1660</v>
      </c>
      <c r="BK511" s="217" t="s">
        <v>637</v>
      </c>
      <c r="BL511" s="217"/>
      <c r="BM511" s="217"/>
      <c r="BN511" s="217">
        <v>0</v>
      </c>
      <c r="BO511" s="217">
        <v>0</v>
      </c>
      <c r="BR511" s="217" t="s">
        <v>184</v>
      </c>
      <c r="BS511" s="217" t="s">
        <v>215</v>
      </c>
      <c r="BT511" s="217" t="s">
        <v>487</v>
      </c>
      <c r="BU511" s="217" t="s">
        <v>1345</v>
      </c>
      <c r="BV511" s="217">
        <v>52</v>
      </c>
      <c r="BW511" s="217">
        <v>364</v>
      </c>
      <c r="BX511" s="217">
        <v>0</v>
      </c>
      <c r="BY511" s="217">
        <v>0</v>
      </c>
      <c r="BZ511" s="217">
        <v>1</v>
      </c>
      <c r="CA511" s="217">
        <v>4</v>
      </c>
      <c r="CB511" s="217">
        <v>52</v>
      </c>
      <c r="CC511" s="217">
        <v>364</v>
      </c>
      <c r="CD511" s="217">
        <v>0</v>
      </c>
      <c r="CE511" s="217">
        <v>0</v>
      </c>
      <c r="CF511" s="217">
        <v>0</v>
      </c>
      <c r="CG511" s="217">
        <v>0</v>
      </c>
      <c r="CH511" s="217">
        <v>0</v>
      </c>
      <c r="CI511" s="217">
        <v>0</v>
      </c>
      <c r="CJ511" s="217">
        <v>4</v>
      </c>
    </row>
    <row r="512" spans="1:88" x14ac:dyDescent="0.25">
      <c r="A512" s="217" t="s">
        <v>22</v>
      </c>
      <c r="B512" s="217" t="s">
        <v>23</v>
      </c>
      <c r="C512" s="217" t="s">
        <v>85</v>
      </c>
      <c r="D512" s="217" t="s">
        <v>84</v>
      </c>
      <c r="E512" s="217" t="s">
        <v>98</v>
      </c>
      <c r="F512" s="217" t="s">
        <v>97</v>
      </c>
      <c r="G512" s="217" t="s">
        <v>823</v>
      </c>
      <c r="H512" s="217" t="s">
        <v>1186</v>
      </c>
      <c r="I512" s="217" t="s">
        <v>29</v>
      </c>
      <c r="J512" s="217" t="s">
        <v>1856</v>
      </c>
      <c r="K512" s="217">
        <v>5</v>
      </c>
      <c r="L512" s="217">
        <v>37</v>
      </c>
      <c r="M512" s="217" t="s">
        <v>31</v>
      </c>
      <c r="N512" s="217" t="s">
        <v>32</v>
      </c>
      <c r="O512" s="217" t="s">
        <v>100</v>
      </c>
      <c r="P512" s="217" t="s">
        <v>34</v>
      </c>
      <c r="Q512" s="217" t="s">
        <v>35</v>
      </c>
      <c r="R512" s="217" t="s">
        <v>23</v>
      </c>
      <c r="S512" s="217" t="s">
        <v>22</v>
      </c>
      <c r="T512" s="217" t="s">
        <v>84</v>
      </c>
      <c r="U512" s="217" t="s">
        <v>85</v>
      </c>
      <c r="V512" s="217" t="s">
        <v>97</v>
      </c>
      <c r="W512" s="217" t="s">
        <v>98</v>
      </c>
      <c r="BC512" s="217" t="s">
        <v>184</v>
      </c>
      <c r="BD512" s="217" t="s">
        <v>471</v>
      </c>
      <c r="BE512" s="217" t="s">
        <v>1329</v>
      </c>
      <c r="BF512" s="217" t="s">
        <v>479</v>
      </c>
      <c r="BG512" s="217" t="s">
        <v>1998</v>
      </c>
      <c r="BH512" s="217" t="s">
        <v>1658</v>
      </c>
      <c r="BI512" s="217" t="s">
        <v>1660</v>
      </c>
      <c r="BJ512" s="217" t="s">
        <v>1660</v>
      </c>
      <c r="BK512" s="217" t="s">
        <v>637</v>
      </c>
      <c r="BL512" s="217"/>
      <c r="BM512" s="217"/>
      <c r="BN512" s="217">
        <v>0</v>
      </c>
      <c r="BO512" s="217">
        <v>0</v>
      </c>
      <c r="BR512" s="217" t="s">
        <v>184</v>
      </c>
      <c r="BS512" s="217" t="s">
        <v>215</v>
      </c>
      <c r="BT512" s="217" t="s">
        <v>488</v>
      </c>
      <c r="BU512" s="217" t="s">
        <v>1346</v>
      </c>
      <c r="BV512" s="217">
        <v>324</v>
      </c>
      <c r="BW512" s="217">
        <v>2417</v>
      </c>
      <c r="BX512" s="217">
        <v>0</v>
      </c>
      <c r="BY512" s="217">
        <v>0</v>
      </c>
      <c r="BZ512" s="217">
        <v>0</v>
      </c>
      <c r="CA512" s="217">
        <v>0</v>
      </c>
      <c r="CB512" s="217">
        <v>324</v>
      </c>
      <c r="CC512" s="217">
        <v>2410</v>
      </c>
      <c r="CD512" s="217">
        <v>0</v>
      </c>
      <c r="CE512" s="217">
        <v>0</v>
      </c>
      <c r="CF512" s="217">
        <v>0</v>
      </c>
      <c r="CG512" s="217">
        <v>0</v>
      </c>
      <c r="CH512" s="217">
        <v>7</v>
      </c>
      <c r="CI512" s="217">
        <v>0</v>
      </c>
      <c r="CJ512" s="217">
        <v>0</v>
      </c>
    </row>
    <row r="513" spans="1:88" x14ac:dyDescent="0.25">
      <c r="A513" s="217" t="s">
        <v>22</v>
      </c>
      <c r="B513" s="217" t="s">
        <v>23</v>
      </c>
      <c r="C513" s="217" t="s">
        <v>85</v>
      </c>
      <c r="D513" s="217" t="s">
        <v>84</v>
      </c>
      <c r="E513" s="217" t="s">
        <v>98</v>
      </c>
      <c r="F513" s="217" t="s">
        <v>97</v>
      </c>
      <c r="G513" s="217" t="s">
        <v>823</v>
      </c>
      <c r="H513" s="217" t="s">
        <v>1186</v>
      </c>
      <c r="I513" s="217" t="s">
        <v>29</v>
      </c>
      <c r="J513" s="217" t="s">
        <v>1858</v>
      </c>
      <c r="K513" s="217">
        <v>3</v>
      </c>
      <c r="L513" s="217">
        <v>10</v>
      </c>
      <c r="M513" s="217" t="s">
        <v>31</v>
      </c>
      <c r="N513" s="217" t="s">
        <v>32</v>
      </c>
      <c r="O513" s="217" t="s">
        <v>100</v>
      </c>
      <c r="P513" s="217" t="s">
        <v>34</v>
      </c>
      <c r="Q513" s="217" t="s">
        <v>35</v>
      </c>
      <c r="R513" s="217" t="s">
        <v>23</v>
      </c>
      <c r="S513" s="217" t="s">
        <v>22</v>
      </c>
      <c r="T513" s="217" t="s">
        <v>84</v>
      </c>
      <c r="U513" s="217" t="s">
        <v>85</v>
      </c>
      <c r="V513" s="217" t="s">
        <v>97</v>
      </c>
      <c r="W513" s="217" t="s">
        <v>98</v>
      </c>
      <c r="BC513" s="217" t="s">
        <v>184</v>
      </c>
      <c r="BD513" s="217" t="s">
        <v>471</v>
      </c>
      <c r="BE513" s="217" t="s">
        <v>1330</v>
      </c>
      <c r="BF513" s="217" t="s">
        <v>480</v>
      </c>
      <c r="BG513" s="217" t="s">
        <v>1998</v>
      </c>
      <c r="BH513" s="217" t="s">
        <v>1658</v>
      </c>
      <c r="BI513" s="217" t="s">
        <v>1660</v>
      </c>
      <c r="BJ513" s="217" t="s">
        <v>1660</v>
      </c>
      <c r="BK513" s="217" t="s">
        <v>637</v>
      </c>
      <c r="BL513" s="217"/>
      <c r="BM513" s="217"/>
      <c r="BN513" s="217">
        <v>0</v>
      </c>
      <c r="BO513" s="217">
        <v>0</v>
      </c>
      <c r="BR513" s="217" t="s">
        <v>184</v>
      </c>
      <c r="BS513" s="217" t="s">
        <v>215</v>
      </c>
      <c r="BT513" s="217" t="s">
        <v>216</v>
      </c>
      <c r="BU513" s="217" t="s">
        <v>1342</v>
      </c>
      <c r="BV513" s="217">
        <v>36</v>
      </c>
      <c r="BW513" s="217">
        <v>190</v>
      </c>
      <c r="BX513" s="217">
        <v>0</v>
      </c>
      <c r="BY513" s="217">
        <v>0</v>
      </c>
      <c r="BZ513" s="217">
        <v>2</v>
      </c>
      <c r="CA513" s="217">
        <v>13</v>
      </c>
      <c r="CB513" s="217">
        <v>36</v>
      </c>
      <c r="CC513" s="217">
        <v>190</v>
      </c>
      <c r="CD513" s="217">
        <v>0</v>
      </c>
      <c r="CE513" s="217">
        <v>0</v>
      </c>
      <c r="CF513" s="217">
        <v>2</v>
      </c>
      <c r="CG513" s="217">
        <v>13</v>
      </c>
      <c r="CH513" s="217">
        <v>0</v>
      </c>
      <c r="CI513" s="217">
        <v>0</v>
      </c>
      <c r="CJ513" s="217">
        <v>0</v>
      </c>
    </row>
    <row r="514" spans="1:88" x14ac:dyDescent="0.25">
      <c r="A514" s="217" t="s">
        <v>22</v>
      </c>
      <c r="B514" s="217" t="s">
        <v>23</v>
      </c>
      <c r="C514" s="217" t="s">
        <v>85</v>
      </c>
      <c r="D514" s="217" t="s">
        <v>84</v>
      </c>
      <c r="E514" s="217" t="s">
        <v>98</v>
      </c>
      <c r="F514" s="217" t="s">
        <v>97</v>
      </c>
      <c r="G514" s="217" t="s">
        <v>402</v>
      </c>
      <c r="H514" s="217" t="s">
        <v>1187</v>
      </c>
      <c r="I514" s="217" t="s">
        <v>29</v>
      </c>
      <c r="J514" s="217" t="s">
        <v>1856</v>
      </c>
      <c r="K514" s="217">
        <v>6</v>
      </c>
      <c r="L514" s="217">
        <v>51</v>
      </c>
      <c r="M514" s="217" t="s">
        <v>31</v>
      </c>
      <c r="N514" s="217" t="s">
        <v>32</v>
      </c>
      <c r="O514" s="217" t="s">
        <v>100</v>
      </c>
      <c r="P514" s="217" t="s">
        <v>34</v>
      </c>
      <c r="Q514" s="217" t="s">
        <v>35</v>
      </c>
      <c r="R514" s="217" t="s">
        <v>23</v>
      </c>
      <c r="S514" s="217" t="s">
        <v>22</v>
      </c>
      <c r="T514" s="217" t="s">
        <v>84</v>
      </c>
      <c r="U514" s="217" t="s">
        <v>85</v>
      </c>
      <c r="V514" s="217" t="s">
        <v>97</v>
      </c>
      <c r="W514" s="217" t="s">
        <v>98</v>
      </c>
      <c r="BC514" s="217" t="s">
        <v>184</v>
      </c>
      <c r="BD514" s="217" t="s">
        <v>196</v>
      </c>
      <c r="BE514" s="217" t="s">
        <v>1331</v>
      </c>
      <c r="BF514" s="217" t="s">
        <v>481</v>
      </c>
      <c r="BG514" s="217" t="s">
        <v>1998</v>
      </c>
      <c r="BH514" s="217" t="s">
        <v>1658</v>
      </c>
      <c r="BI514" s="217" t="s">
        <v>1660</v>
      </c>
      <c r="BJ514" s="217" t="s">
        <v>1658</v>
      </c>
      <c r="BK514" s="217" t="s">
        <v>637</v>
      </c>
      <c r="BL514" s="217"/>
      <c r="BM514" s="217"/>
      <c r="BN514" s="217">
        <v>0</v>
      </c>
      <c r="BO514" s="217">
        <v>0</v>
      </c>
      <c r="BR514" s="217" t="s">
        <v>184</v>
      </c>
      <c r="BS514" s="217" t="s">
        <v>215</v>
      </c>
      <c r="BT514" s="217" t="s">
        <v>485</v>
      </c>
      <c r="BU514" s="217" t="s">
        <v>1343</v>
      </c>
      <c r="BV514" s="217">
        <v>102</v>
      </c>
      <c r="BW514" s="217">
        <v>1528</v>
      </c>
      <c r="BX514" s="217">
        <v>0</v>
      </c>
      <c r="BY514" s="217">
        <v>0</v>
      </c>
      <c r="BZ514" s="217">
        <v>0</v>
      </c>
      <c r="CA514" s="217">
        <v>0</v>
      </c>
      <c r="CB514" s="217">
        <v>102</v>
      </c>
      <c r="CC514" s="217">
        <v>1518</v>
      </c>
      <c r="CD514" s="217">
        <v>0</v>
      </c>
      <c r="CE514" s="217">
        <v>0</v>
      </c>
      <c r="CF514" s="217">
        <v>0</v>
      </c>
      <c r="CG514" s="217">
        <v>0</v>
      </c>
      <c r="CH514" s="217">
        <v>10</v>
      </c>
      <c r="CI514" s="217">
        <v>0</v>
      </c>
      <c r="CJ514" s="217">
        <v>0</v>
      </c>
    </row>
    <row r="515" spans="1:88" x14ac:dyDescent="0.25">
      <c r="A515" s="217" t="s">
        <v>22</v>
      </c>
      <c r="B515" s="217" t="s">
        <v>23</v>
      </c>
      <c r="C515" s="217" t="s">
        <v>85</v>
      </c>
      <c r="D515" s="217" t="s">
        <v>84</v>
      </c>
      <c r="E515" s="217" t="s">
        <v>98</v>
      </c>
      <c r="F515" s="217" t="s">
        <v>97</v>
      </c>
      <c r="G515" s="217" t="s">
        <v>403</v>
      </c>
      <c r="H515" s="217" t="s">
        <v>1188</v>
      </c>
      <c r="I515" s="217" t="s">
        <v>29</v>
      </c>
      <c r="J515" s="217" t="s">
        <v>1856</v>
      </c>
      <c r="K515" s="217">
        <v>4</v>
      </c>
      <c r="L515" s="217">
        <v>18</v>
      </c>
      <c r="M515" s="217" t="s">
        <v>31</v>
      </c>
      <c r="N515" s="217" t="s">
        <v>32</v>
      </c>
      <c r="O515" s="217" t="s">
        <v>68</v>
      </c>
      <c r="P515" s="217" t="s">
        <v>34</v>
      </c>
      <c r="Q515" s="217" t="s">
        <v>35</v>
      </c>
      <c r="R515" s="217" t="s">
        <v>23</v>
      </c>
      <c r="S515" s="217" t="s">
        <v>22</v>
      </c>
      <c r="T515" s="217" t="s">
        <v>84</v>
      </c>
      <c r="U515" s="217" t="s">
        <v>85</v>
      </c>
      <c r="V515" s="217" t="s">
        <v>91</v>
      </c>
      <c r="W515" s="217" t="s">
        <v>92</v>
      </c>
      <c r="BC515" s="217" t="s">
        <v>184</v>
      </c>
      <c r="BD515" s="217" t="s">
        <v>196</v>
      </c>
      <c r="BE515" s="217" t="s">
        <v>1332</v>
      </c>
      <c r="BF515" s="217" t="s">
        <v>197</v>
      </c>
      <c r="BG515" s="217" t="s">
        <v>1998</v>
      </c>
      <c r="BH515" s="217" t="s">
        <v>1658</v>
      </c>
      <c r="BI515" s="217" t="s">
        <v>1660</v>
      </c>
      <c r="BJ515" s="217" t="s">
        <v>1658</v>
      </c>
      <c r="BK515" s="217" t="s">
        <v>637</v>
      </c>
      <c r="BL515" s="217"/>
      <c r="BM515" s="217"/>
      <c r="BN515" s="217">
        <v>0</v>
      </c>
      <c r="BO515" s="217">
        <v>0</v>
      </c>
      <c r="BR515" s="217" t="s">
        <v>184</v>
      </c>
      <c r="BS515" s="217" t="s">
        <v>215</v>
      </c>
      <c r="BT515" s="217" t="s">
        <v>486</v>
      </c>
      <c r="BU515" s="217" t="s">
        <v>1344</v>
      </c>
      <c r="BV515" s="217">
        <v>68</v>
      </c>
      <c r="BW515" s="217">
        <v>578</v>
      </c>
      <c r="BX515" s="217">
        <v>0</v>
      </c>
      <c r="BY515" s="217">
        <v>0</v>
      </c>
      <c r="BZ515" s="217">
        <v>0</v>
      </c>
      <c r="CA515" s="217">
        <v>0</v>
      </c>
      <c r="CB515" s="217">
        <v>68</v>
      </c>
      <c r="CC515" s="217">
        <v>578</v>
      </c>
      <c r="CD515" s="217">
        <v>0</v>
      </c>
      <c r="CE515" s="217">
        <v>0</v>
      </c>
      <c r="CF515" s="217">
        <v>0</v>
      </c>
      <c r="CG515" s="217">
        <v>0</v>
      </c>
      <c r="CH515" s="217">
        <v>0</v>
      </c>
      <c r="CI515" s="217">
        <v>0</v>
      </c>
      <c r="CJ515" s="217">
        <v>0</v>
      </c>
    </row>
    <row r="516" spans="1:88" x14ac:dyDescent="0.25">
      <c r="A516" s="217" t="s">
        <v>22</v>
      </c>
      <c r="B516" s="217" t="s">
        <v>23</v>
      </c>
      <c r="C516" s="217" t="s">
        <v>85</v>
      </c>
      <c r="D516" s="217" t="s">
        <v>84</v>
      </c>
      <c r="E516" s="217" t="s">
        <v>98</v>
      </c>
      <c r="F516" s="217" t="s">
        <v>97</v>
      </c>
      <c r="G516" s="217" t="s">
        <v>403</v>
      </c>
      <c r="H516" s="217" t="s">
        <v>1188</v>
      </c>
      <c r="I516" s="217" t="s">
        <v>29</v>
      </c>
      <c r="J516" s="217" t="s">
        <v>1857</v>
      </c>
      <c r="K516" s="217">
        <v>2</v>
      </c>
      <c r="L516" s="217">
        <v>14</v>
      </c>
      <c r="M516" s="217" t="s">
        <v>31</v>
      </c>
      <c r="N516" s="217" t="s">
        <v>32</v>
      </c>
      <c r="O516" s="217" t="s">
        <v>68</v>
      </c>
      <c r="P516" s="217" t="s">
        <v>34</v>
      </c>
      <c r="Q516" s="217" t="s">
        <v>35</v>
      </c>
      <c r="R516" s="217" t="s">
        <v>23</v>
      </c>
      <c r="S516" s="217" t="s">
        <v>22</v>
      </c>
      <c r="T516" s="217" t="s">
        <v>84</v>
      </c>
      <c r="U516" s="217" t="s">
        <v>85</v>
      </c>
      <c r="V516" s="217" t="s">
        <v>91</v>
      </c>
      <c r="W516" s="217" t="s">
        <v>92</v>
      </c>
      <c r="BC516" s="217" t="s">
        <v>184</v>
      </c>
      <c r="BD516" s="217" t="s">
        <v>196</v>
      </c>
      <c r="BE516" s="217" t="s">
        <v>1333</v>
      </c>
      <c r="BF516" s="217" t="s">
        <v>198</v>
      </c>
      <c r="BG516" s="217" t="s">
        <v>1998</v>
      </c>
      <c r="BH516" s="217" t="s">
        <v>1658</v>
      </c>
      <c r="BI516" s="217" t="s">
        <v>1660</v>
      </c>
      <c r="BJ516" s="217" t="s">
        <v>1658</v>
      </c>
      <c r="BK516" s="217" t="s">
        <v>637</v>
      </c>
      <c r="BL516" s="217"/>
      <c r="BM516" s="217"/>
      <c r="BN516" s="217">
        <v>0</v>
      </c>
      <c r="BO516" s="217">
        <v>0</v>
      </c>
      <c r="BR516" s="217" t="s">
        <v>184</v>
      </c>
      <c r="BS516" s="217" t="s">
        <v>215</v>
      </c>
      <c r="BT516" s="217" t="s">
        <v>1838</v>
      </c>
      <c r="BU516" s="217" t="s">
        <v>1347</v>
      </c>
      <c r="BV516" s="217">
        <v>33</v>
      </c>
      <c r="BW516" s="217">
        <v>179</v>
      </c>
      <c r="BX516" s="217">
        <v>0</v>
      </c>
      <c r="BY516" s="217">
        <v>0</v>
      </c>
      <c r="BZ516" s="217">
        <v>56</v>
      </c>
      <c r="CA516" s="217">
        <v>352</v>
      </c>
      <c r="CB516" s="217">
        <v>33</v>
      </c>
      <c r="CC516" s="217">
        <v>179</v>
      </c>
      <c r="CD516" s="217">
        <v>0</v>
      </c>
      <c r="CE516" s="217">
        <v>0</v>
      </c>
      <c r="CF516" s="217">
        <v>120</v>
      </c>
      <c r="CG516" s="217">
        <v>850</v>
      </c>
      <c r="CH516" s="217">
        <v>0</v>
      </c>
      <c r="CI516" s="217">
        <v>0</v>
      </c>
      <c r="CJ516" s="217">
        <v>-498</v>
      </c>
    </row>
    <row r="517" spans="1:88" x14ac:dyDescent="0.25">
      <c r="A517" s="217" t="s">
        <v>22</v>
      </c>
      <c r="B517" s="217" t="s">
        <v>23</v>
      </c>
      <c r="C517" s="217" t="s">
        <v>85</v>
      </c>
      <c r="D517" s="217" t="s">
        <v>84</v>
      </c>
      <c r="E517" s="217" t="s">
        <v>98</v>
      </c>
      <c r="F517" s="217" t="s">
        <v>97</v>
      </c>
      <c r="G517" s="217" t="s">
        <v>403</v>
      </c>
      <c r="H517" s="217" t="s">
        <v>1188</v>
      </c>
      <c r="I517" s="217" t="s">
        <v>29</v>
      </c>
      <c r="J517" s="217" t="s">
        <v>1858</v>
      </c>
      <c r="K517" s="217">
        <v>2</v>
      </c>
      <c r="L517" s="217">
        <v>15</v>
      </c>
      <c r="M517" s="217" t="s">
        <v>31</v>
      </c>
      <c r="N517" s="217" t="s">
        <v>32</v>
      </c>
      <c r="O517" s="217" t="s">
        <v>68</v>
      </c>
      <c r="P517" s="217" t="s">
        <v>34</v>
      </c>
      <c r="Q517" s="217" t="s">
        <v>35</v>
      </c>
      <c r="R517" s="217" t="s">
        <v>23</v>
      </c>
      <c r="S517" s="217" t="s">
        <v>22</v>
      </c>
      <c r="T517" s="217" t="s">
        <v>84</v>
      </c>
      <c r="U517" s="217" t="s">
        <v>85</v>
      </c>
      <c r="V517" s="217" t="s">
        <v>109</v>
      </c>
      <c r="W517" s="217" t="s">
        <v>110</v>
      </c>
      <c r="BC517" s="217" t="s">
        <v>184</v>
      </c>
      <c r="BD517" s="217" t="s">
        <v>196</v>
      </c>
      <c r="BE517" s="217" t="s">
        <v>1334</v>
      </c>
      <c r="BF517" s="217" t="s">
        <v>201</v>
      </c>
      <c r="BG517" s="217" t="s">
        <v>1998</v>
      </c>
      <c r="BH517" s="217" t="s">
        <v>1658</v>
      </c>
      <c r="BI517" s="217" t="s">
        <v>1660</v>
      </c>
      <c r="BJ517" s="217" t="s">
        <v>1658</v>
      </c>
      <c r="BK517" s="217" t="s">
        <v>637</v>
      </c>
      <c r="BL517" s="217"/>
      <c r="BM517" s="217"/>
      <c r="BN517" s="217">
        <v>0</v>
      </c>
      <c r="BO517" s="217">
        <v>0</v>
      </c>
      <c r="BR517" s="217" t="s">
        <v>184</v>
      </c>
      <c r="BS517" s="217" t="s">
        <v>196</v>
      </c>
      <c r="BT517" s="217" t="s">
        <v>481</v>
      </c>
      <c r="BU517" s="217" t="s">
        <v>1331</v>
      </c>
      <c r="BV517" s="217">
        <v>35</v>
      </c>
      <c r="BW517" s="217">
        <v>280</v>
      </c>
      <c r="BX517" s="217">
        <v>0</v>
      </c>
      <c r="BY517" s="217">
        <v>0</v>
      </c>
      <c r="BZ517" s="217">
        <v>15</v>
      </c>
      <c r="CA517" s="217">
        <v>75</v>
      </c>
      <c r="CB517" s="217">
        <v>35</v>
      </c>
      <c r="CC517" s="217">
        <v>280</v>
      </c>
      <c r="CD517" s="217">
        <v>0</v>
      </c>
      <c r="CE517" s="217">
        <v>0</v>
      </c>
      <c r="CF517" s="217">
        <v>15</v>
      </c>
      <c r="CG517" s="217">
        <v>75</v>
      </c>
      <c r="CH517" s="217">
        <v>0</v>
      </c>
      <c r="CI517" s="217">
        <v>0</v>
      </c>
      <c r="CJ517" s="217">
        <v>0</v>
      </c>
    </row>
    <row r="518" spans="1:88" x14ac:dyDescent="0.25">
      <c r="A518" s="217" t="s">
        <v>22</v>
      </c>
      <c r="B518" s="217" t="s">
        <v>23</v>
      </c>
      <c r="C518" s="217" t="s">
        <v>85</v>
      </c>
      <c r="D518" s="217" t="s">
        <v>84</v>
      </c>
      <c r="E518" s="217" t="s">
        <v>98</v>
      </c>
      <c r="F518" s="217" t="s">
        <v>97</v>
      </c>
      <c r="G518" s="217" t="s">
        <v>1189</v>
      </c>
      <c r="H518" s="217" t="s">
        <v>1190</v>
      </c>
      <c r="I518" s="217" t="s">
        <v>29</v>
      </c>
      <c r="J518" s="217" t="s">
        <v>1858</v>
      </c>
      <c r="K518" s="217">
        <v>35</v>
      </c>
      <c r="L518" s="217">
        <v>175</v>
      </c>
      <c r="M518" s="217" t="s">
        <v>31</v>
      </c>
      <c r="N518" s="217" t="s">
        <v>32</v>
      </c>
      <c r="O518" s="217" t="s">
        <v>68</v>
      </c>
      <c r="P518" s="217" t="s">
        <v>34</v>
      </c>
      <c r="Q518" s="217" t="s">
        <v>35</v>
      </c>
      <c r="R518" s="217" t="s">
        <v>23</v>
      </c>
      <c r="S518" s="217" t="s">
        <v>22</v>
      </c>
      <c r="T518" s="217" t="s">
        <v>84</v>
      </c>
      <c r="U518" s="217" t="s">
        <v>85</v>
      </c>
      <c r="V518" s="217" t="s">
        <v>91</v>
      </c>
      <c r="W518" s="217" t="s">
        <v>92</v>
      </c>
      <c r="BC518" s="217" t="s">
        <v>184</v>
      </c>
      <c r="BD518" s="217" t="s">
        <v>196</v>
      </c>
      <c r="BE518" s="217" t="s">
        <v>1335</v>
      </c>
      <c r="BF518" s="217" t="s">
        <v>482</v>
      </c>
      <c r="BG518" s="217" t="s">
        <v>1998</v>
      </c>
      <c r="BH518" s="217" t="s">
        <v>1658</v>
      </c>
      <c r="BI518" s="217" t="s">
        <v>1660</v>
      </c>
      <c r="BJ518" s="217" t="s">
        <v>1660</v>
      </c>
      <c r="BK518" s="217" t="s">
        <v>637</v>
      </c>
      <c r="BL518" s="217"/>
      <c r="BM518" s="217"/>
      <c r="BN518" s="217">
        <v>0</v>
      </c>
      <c r="BO518" s="217">
        <v>0</v>
      </c>
      <c r="BR518" s="217" t="s">
        <v>184</v>
      </c>
      <c r="BS518" s="217" t="s">
        <v>196</v>
      </c>
      <c r="BT518" s="217" t="s">
        <v>482</v>
      </c>
      <c r="BU518" s="217" t="s">
        <v>1335</v>
      </c>
      <c r="BV518" s="217">
        <v>6</v>
      </c>
      <c r="BW518" s="217">
        <v>48</v>
      </c>
      <c r="BX518" s="217">
        <v>0</v>
      </c>
      <c r="BY518" s="217">
        <v>0</v>
      </c>
      <c r="BZ518" s="217">
        <v>0</v>
      </c>
      <c r="CA518" s="217">
        <v>0</v>
      </c>
      <c r="CB518" s="217">
        <v>6</v>
      </c>
      <c r="CC518" s="217">
        <v>48</v>
      </c>
      <c r="CD518" s="217">
        <v>0</v>
      </c>
      <c r="CE518" s="217">
        <v>0</v>
      </c>
      <c r="CF518" s="217">
        <v>0</v>
      </c>
      <c r="CG518" s="217">
        <v>0</v>
      </c>
      <c r="CH518" s="217">
        <v>0</v>
      </c>
      <c r="CI518" s="217">
        <v>0</v>
      </c>
      <c r="CJ518" s="217">
        <v>0</v>
      </c>
    </row>
    <row r="519" spans="1:88" x14ac:dyDescent="0.25">
      <c r="A519" s="217" t="s">
        <v>22</v>
      </c>
      <c r="B519" s="217" t="s">
        <v>23</v>
      </c>
      <c r="C519" s="217" t="s">
        <v>85</v>
      </c>
      <c r="D519" s="217" t="s">
        <v>84</v>
      </c>
      <c r="E519" s="217" t="s">
        <v>98</v>
      </c>
      <c r="F519" s="217" t="s">
        <v>97</v>
      </c>
      <c r="G519" s="217" t="s">
        <v>404</v>
      </c>
      <c r="H519" s="217" t="s">
        <v>1191</v>
      </c>
      <c r="I519" s="217" t="s">
        <v>29</v>
      </c>
      <c r="J519" s="217" t="s">
        <v>1855</v>
      </c>
      <c r="K519" s="217">
        <v>1</v>
      </c>
      <c r="L519" s="217">
        <v>7</v>
      </c>
      <c r="M519" s="217" t="s">
        <v>31</v>
      </c>
      <c r="N519" s="217" t="s">
        <v>32</v>
      </c>
      <c r="O519" s="217" t="s">
        <v>68</v>
      </c>
      <c r="P519" s="217" t="s">
        <v>34</v>
      </c>
      <c r="Q519" s="217" t="s">
        <v>35</v>
      </c>
      <c r="R519" s="217" t="s">
        <v>23</v>
      </c>
      <c r="S519" s="217" t="s">
        <v>22</v>
      </c>
      <c r="T519" s="217" t="s">
        <v>84</v>
      </c>
      <c r="U519" s="217" t="s">
        <v>85</v>
      </c>
      <c r="V519" s="217" t="s">
        <v>91</v>
      </c>
      <c r="W519" s="217" t="s">
        <v>92</v>
      </c>
      <c r="BC519" s="217" t="s">
        <v>184</v>
      </c>
      <c r="BD519" s="217" t="s">
        <v>203</v>
      </c>
      <c r="BE519" s="217" t="s">
        <v>1564</v>
      </c>
      <c r="BF519" s="217" t="s">
        <v>671</v>
      </c>
      <c r="BG519" s="217" t="s">
        <v>1998</v>
      </c>
      <c r="BH519" s="217" t="s">
        <v>1660</v>
      </c>
      <c r="BI519" s="217" t="s">
        <v>1660</v>
      </c>
      <c r="BJ519" s="217" t="s">
        <v>1658</v>
      </c>
      <c r="BK519" s="217" t="s">
        <v>637</v>
      </c>
      <c r="BL519" s="217"/>
      <c r="BM519" s="217"/>
      <c r="BN519" s="217">
        <v>0</v>
      </c>
      <c r="BO519" s="217">
        <v>0</v>
      </c>
      <c r="BR519" s="217" t="s">
        <v>184</v>
      </c>
      <c r="BS519" s="217" t="s">
        <v>196</v>
      </c>
      <c r="BT519" s="217" t="s">
        <v>201</v>
      </c>
      <c r="BU519" s="217" t="s">
        <v>1334</v>
      </c>
      <c r="BV519" s="217">
        <v>100</v>
      </c>
      <c r="BW519" s="217">
        <v>500</v>
      </c>
      <c r="BX519" s="217">
        <v>0</v>
      </c>
      <c r="BY519" s="217">
        <v>0</v>
      </c>
      <c r="BZ519" s="217">
        <v>30</v>
      </c>
      <c r="CA519" s="217">
        <v>150</v>
      </c>
      <c r="CB519" s="217">
        <v>100</v>
      </c>
      <c r="CC519" s="217">
        <v>500</v>
      </c>
      <c r="CD519" s="217">
        <v>0</v>
      </c>
      <c r="CE519" s="217">
        <v>0</v>
      </c>
      <c r="CF519" s="217">
        <v>30</v>
      </c>
      <c r="CG519" s="217">
        <v>150</v>
      </c>
      <c r="CH519" s="217">
        <v>0</v>
      </c>
      <c r="CI519" s="217">
        <v>0</v>
      </c>
      <c r="CJ519" s="217">
        <v>0</v>
      </c>
    </row>
    <row r="520" spans="1:88" x14ac:dyDescent="0.25">
      <c r="A520" s="217" t="s">
        <v>22</v>
      </c>
      <c r="B520" s="217" t="s">
        <v>23</v>
      </c>
      <c r="C520" s="217" t="s">
        <v>85</v>
      </c>
      <c r="D520" s="217" t="s">
        <v>84</v>
      </c>
      <c r="E520" s="217" t="s">
        <v>98</v>
      </c>
      <c r="F520" s="217" t="s">
        <v>97</v>
      </c>
      <c r="G520" s="217" t="s">
        <v>825</v>
      </c>
      <c r="H520" s="217" t="s">
        <v>1192</v>
      </c>
      <c r="I520" s="217" t="s">
        <v>29</v>
      </c>
      <c r="J520" s="217" t="s">
        <v>1856</v>
      </c>
      <c r="K520" s="217">
        <v>36</v>
      </c>
      <c r="L520" s="217">
        <v>298</v>
      </c>
      <c r="M520" s="217" t="s">
        <v>31</v>
      </c>
      <c r="N520" s="217" t="s">
        <v>32</v>
      </c>
      <c r="O520" s="217" t="s">
        <v>100</v>
      </c>
      <c r="P520" s="217" t="s">
        <v>34</v>
      </c>
      <c r="Q520" s="217" t="s">
        <v>35</v>
      </c>
      <c r="R520" s="217" t="s">
        <v>23</v>
      </c>
      <c r="S520" s="217" t="s">
        <v>22</v>
      </c>
      <c r="T520" s="217" t="s">
        <v>84</v>
      </c>
      <c r="U520" s="217" t="s">
        <v>85</v>
      </c>
      <c r="V520" s="217" t="s">
        <v>97</v>
      </c>
      <c r="W520" s="217" t="s">
        <v>98</v>
      </c>
      <c r="BC520" s="217" t="s">
        <v>184</v>
      </c>
      <c r="BD520" s="217" t="s">
        <v>203</v>
      </c>
      <c r="BE520" s="217" t="s">
        <v>1565</v>
      </c>
      <c r="BF520" s="217" t="s">
        <v>704</v>
      </c>
      <c r="BG520" s="217" t="s">
        <v>1998</v>
      </c>
      <c r="BH520" s="217" t="s">
        <v>1660</v>
      </c>
      <c r="BI520" s="217" t="s">
        <v>1660</v>
      </c>
      <c r="BJ520" s="217" t="s">
        <v>1658</v>
      </c>
      <c r="BK520" s="217" t="s">
        <v>637</v>
      </c>
      <c r="BL520" s="217"/>
      <c r="BM520" s="217"/>
      <c r="BN520" s="217">
        <v>0</v>
      </c>
      <c r="BO520" s="217">
        <v>0</v>
      </c>
      <c r="BR520" s="217" t="s">
        <v>184</v>
      </c>
      <c r="BS520" s="217" t="s">
        <v>196</v>
      </c>
      <c r="BT520" s="217" t="s">
        <v>198</v>
      </c>
      <c r="BU520" s="217" t="s">
        <v>1333</v>
      </c>
      <c r="BV520" s="217">
        <v>56</v>
      </c>
      <c r="BW520" s="217">
        <v>370</v>
      </c>
      <c r="BX520" s="217">
        <v>0</v>
      </c>
      <c r="BY520" s="217">
        <v>0</v>
      </c>
      <c r="BZ520" s="217">
        <v>15</v>
      </c>
      <c r="CA520" s="217">
        <v>75</v>
      </c>
      <c r="CB520" s="217">
        <v>56</v>
      </c>
      <c r="CC520" s="217">
        <v>370</v>
      </c>
      <c r="CD520" s="217">
        <v>0</v>
      </c>
      <c r="CE520" s="217">
        <v>0</v>
      </c>
      <c r="CF520" s="217">
        <v>15</v>
      </c>
      <c r="CG520" s="217">
        <v>75</v>
      </c>
      <c r="CH520" s="217">
        <v>0</v>
      </c>
      <c r="CI520" s="217">
        <v>0</v>
      </c>
      <c r="CJ520" s="217">
        <v>0</v>
      </c>
    </row>
    <row r="521" spans="1:88" x14ac:dyDescent="0.25">
      <c r="A521" s="217" t="s">
        <v>22</v>
      </c>
      <c r="B521" s="217" t="s">
        <v>23</v>
      </c>
      <c r="C521" s="217" t="s">
        <v>85</v>
      </c>
      <c r="D521" s="217" t="s">
        <v>84</v>
      </c>
      <c r="E521" s="217" t="s">
        <v>98</v>
      </c>
      <c r="F521" s="217" t="s">
        <v>97</v>
      </c>
      <c r="G521" s="217" t="s">
        <v>826</v>
      </c>
      <c r="H521" s="217" t="s">
        <v>1193</v>
      </c>
      <c r="I521" s="217" t="s">
        <v>29</v>
      </c>
      <c r="J521" s="217" t="s">
        <v>1857</v>
      </c>
      <c r="K521" s="217">
        <v>7</v>
      </c>
      <c r="L521" s="217">
        <v>60</v>
      </c>
      <c r="M521" s="217" t="s">
        <v>31</v>
      </c>
      <c r="N521" s="217" t="s">
        <v>32</v>
      </c>
      <c r="O521" s="217" t="s">
        <v>100</v>
      </c>
      <c r="P521" s="217" t="s">
        <v>34</v>
      </c>
      <c r="Q521" s="217" t="s">
        <v>35</v>
      </c>
      <c r="R521" s="217" t="s">
        <v>23</v>
      </c>
      <c r="S521" s="217" t="s">
        <v>22</v>
      </c>
      <c r="T521" s="217" t="s">
        <v>84</v>
      </c>
      <c r="U521" s="217" t="s">
        <v>85</v>
      </c>
      <c r="V521" s="217" t="s">
        <v>97</v>
      </c>
      <c r="W521" s="217" t="s">
        <v>98</v>
      </c>
      <c r="BC521" s="217" t="s">
        <v>184</v>
      </c>
      <c r="BD521" s="217" t="s">
        <v>203</v>
      </c>
      <c r="BE521" s="217" t="s">
        <v>1566</v>
      </c>
      <c r="BF521" s="217" t="s">
        <v>672</v>
      </c>
      <c r="BG521" s="217" t="s">
        <v>1998</v>
      </c>
      <c r="BH521" s="217" t="s">
        <v>1660</v>
      </c>
      <c r="BI521" s="217" t="s">
        <v>1660</v>
      </c>
      <c r="BJ521" s="217" t="s">
        <v>1658</v>
      </c>
      <c r="BK521" s="217" t="s">
        <v>637</v>
      </c>
      <c r="BL521" s="217"/>
      <c r="BM521" s="217"/>
      <c r="BN521" s="217">
        <v>0</v>
      </c>
      <c r="BO521" s="217">
        <v>0</v>
      </c>
      <c r="BR521" s="217" t="s">
        <v>184</v>
      </c>
      <c r="BS521" s="217" t="s">
        <v>196</v>
      </c>
      <c r="BT521" s="217" t="s">
        <v>197</v>
      </c>
      <c r="BU521" s="217" t="s">
        <v>1332</v>
      </c>
      <c r="BV521" s="217">
        <v>40</v>
      </c>
      <c r="BW521" s="217">
        <v>420</v>
      </c>
      <c r="BX521" s="217">
        <v>0</v>
      </c>
      <c r="BY521" s="217">
        <v>0</v>
      </c>
      <c r="BZ521" s="217">
        <v>24</v>
      </c>
      <c r="CA521" s="217">
        <v>120</v>
      </c>
      <c r="CB521" s="217">
        <v>40</v>
      </c>
      <c r="CC521" s="217">
        <v>420</v>
      </c>
      <c r="CD521" s="217">
        <v>0</v>
      </c>
      <c r="CE521" s="217">
        <v>0</v>
      </c>
      <c r="CF521" s="217">
        <v>24</v>
      </c>
      <c r="CG521" s="217">
        <v>120</v>
      </c>
      <c r="CH521" s="217">
        <v>0</v>
      </c>
      <c r="CI521" s="217">
        <v>0</v>
      </c>
      <c r="CJ521" s="217">
        <v>0</v>
      </c>
    </row>
    <row r="522" spans="1:88" x14ac:dyDescent="0.25">
      <c r="A522" s="217" t="s">
        <v>22</v>
      </c>
      <c r="B522" s="217" t="s">
        <v>23</v>
      </c>
      <c r="C522" s="217" t="s">
        <v>85</v>
      </c>
      <c r="D522" s="217" t="s">
        <v>84</v>
      </c>
      <c r="E522" s="217" t="s">
        <v>98</v>
      </c>
      <c r="F522" s="217" t="s">
        <v>97</v>
      </c>
      <c r="G522" s="217" t="s">
        <v>405</v>
      </c>
      <c r="H522" s="217" t="s">
        <v>1684</v>
      </c>
      <c r="I522" s="217" t="s">
        <v>29</v>
      </c>
      <c r="J522" s="217" t="s">
        <v>1856</v>
      </c>
      <c r="K522" s="217">
        <v>10</v>
      </c>
      <c r="L522" s="217">
        <v>55</v>
      </c>
      <c r="M522" s="217" t="s">
        <v>31</v>
      </c>
      <c r="N522" s="217" t="s">
        <v>32</v>
      </c>
      <c r="O522" s="217" t="s">
        <v>100</v>
      </c>
      <c r="P522" s="217" t="s">
        <v>34</v>
      </c>
      <c r="Q522" s="217" t="s">
        <v>35</v>
      </c>
      <c r="R522" s="217" t="s">
        <v>23</v>
      </c>
      <c r="S522" s="217" t="s">
        <v>22</v>
      </c>
      <c r="T522" s="217" t="s">
        <v>84</v>
      </c>
      <c r="U522" s="217" t="s">
        <v>85</v>
      </c>
      <c r="V522" s="217" t="s">
        <v>97</v>
      </c>
      <c r="W522" s="217" t="s">
        <v>98</v>
      </c>
      <c r="BC522" s="217" t="s">
        <v>184</v>
      </c>
      <c r="BD522" s="217" t="s">
        <v>203</v>
      </c>
      <c r="BE522" s="217" t="s">
        <v>1567</v>
      </c>
      <c r="BF522" s="217" t="s">
        <v>673</v>
      </c>
      <c r="BG522" s="217" t="s">
        <v>1998</v>
      </c>
      <c r="BH522" s="217" t="s">
        <v>1660</v>
      </c>
      <c r="BI522" s="217" t="s">
        <v>1660</v>
      </c>
      <c r="BJ522" s="217" t="s">
        <v>1658</v>
      </c>
      <c r="BK522" s="217" t="s">
        <v>637</v>
      </c>
      <c r="BL522" s="217"/>
      <c r="BM522" s="217"/>
      <c r="BN522" s="217">
        <v>0</v>
      </c>
      <c r="BO522" s="217">
        <v>0</v>
      </c>
      <c r="BR522" s="217" t="s">
        <v>184</v>
      </c>
      <c r="BS522" s="217" t="s">
        <v>213</v>
      </c>
      <c r="BT522" s="217" t="s">
        <v>489</v>
      </c>
      <c r="BU522" s="217" t="s">
        <v>1348</v>
      </c>
      <c r="BV522" s="217">
        <v>262</v>
      </c>
      <c r="BW522" s="217">
        <v>1200</v>
      </c>
      <c r="BX522" s="217">
        <v>0</v>
      </c>
      <c r="BY522" s="217">
        <v>0</v>
      </c>
      <c r="BZ522" s="217">
        <v>0</v>
      </c>
      <c r="CA522" s="217">
        <v>0</v>
      </c>
      <c r="CB522" s="217">
        <v>262</v>
      </c>
      <c r="CC522" s="217">
        <v>1200</v>
      </c>
      <c r="CD522" s="217">
        <v>0</v>
      </c>
      <c r="CE522" s="217">
        <v>0</v>
      </c>
      <c r="CF522" s="217">
        <v>0</v>
      </c>
      <c r="CG522" s="217">
        <v>0</v>
      </c>
      <c r="CH522" s="217">
        <v>0</v>
      </c>
      <c r="CI522" s="217">
        <v>0</v>
      </c>
      <c r="CJ522" s="217">
        <v>0</v>
      </c>
    </row>
    <row r="523" spans="1:88" x14ac:dyDescent="0.25">
      <c r="A523" s="217" t="s">
        <v>22</v>
      </c>
      <c r="B523" s="217" t="s">
        <v>23</v>
      </c>
      <c r="C523" s="217" t="s">
        <v>85</v>
      </c>
      <c r="D523" s="217" t="s">
        <v>84</v>
      </c>
      <c r="E523" s="217" t="s">
        <v>98</v>
      </c>
      <c r="F523" s="217" t="s">
        <v>97</v>
      </c>
      <c r="G523" s="217" t="s">
        <v>405</v>
      </c>
      <c r="H523" s="217" t="s">
        <v>1684</v>
      </c>
      <c r="I523" s="217" t="s">
        <v>29</v>
      </c>
      <c r="J523" s="217" t="s">
        <v>1857</v>
      </c>
      <c r="K523" s="217">
        <v>3</v>
      </c>
      <c r="L523" s="217">
        <v>17</v>
      </c>
      <c r="M523" s="217" t="s">
        <v>31</v>
      </c>
      <c r="N523" s="217" t="s">
        <v>32</v>
      </c>
      <c r="O523" s="217" t="s">
        <v>100</v>
      </c>
      <c r="P523" s="217" t="s">
        <v>34</v>
      </c>
      <c r="Q523" s="217" t="s">
        <v>35</v>
      </c>
      <c r="R523" s="217" t="s">
        <v>23</v>
      </c>
      <c r="S523" s="217" t="s">
        <v>22</v>
      </c>
      <c r="T523" s="217" t="s">
        <v>84</v>
      </c>
      <c r="U523" s="217" t="s">
        <v>85</v>
      </c>
      <c r="V523" s="217" t="s">
        <v>97</v>
      </c>
      <c r="W523" s="217" t="s">
        <v>98</v>
      </c>
      <c r="BC523" s="217" t="s">
        <v>184</v>
      </c>
      <c r="BD523" s="217" t="s">
        <v>203</v>
      </c>
      <c r="BE523" s="217" t="s">
        <v>1336</v>
      </c>
      <c r="BF523" s="217" t="s">
        <v>204</v>
      </c>
      <c r="BG523" s="217" t="s">
        <v>1998</v>
      </c>
      <c r="BH523" s="217" t="s">
        <v>1658</v>
      </c>
      <c r="BI523" s="217" t="s">
        <v>1660</v>
      </c>
      <c r="BJ523" s="217" t="s">
        <v>1658</v>
      </c>
      <c r="BK523" s="217" t="s">
        <v>637</v>
      </c>
      <c r="BL523" s="217"/>
      <c r="BM523" s="217"/>
      <c r="BN523" s="217">
        <v>0</v>
      </c>
      <c r="BO523" s="217">
        <v>0</v>
      </c>
      <c r="BR523" s="217" t="s">
        <v>184</v>
      </c>
      <c r="BS523" s="217" t="s">
        <v>213</v>
      </c>
      <c r="BT523" s="217" t="s">
        <v>2034</v>
      </c>
      <c r="BU523" s="217" t="s">
        <v>2033</v>
      </c>
      <c r="BV523" s="217">
        <v>10</v>
      </c>
      <c r="BW523" s="217">
        <v>50</v>
      </c>
      <c r="BX523" s="217">
        <v>0</v>
      </c>
      <c r="BY523" s="217">
        <v>0</v>
      </c>
      <c r="BZ523" s="217">
        <v>70</v>
      </c>
      <c r="CA523" s="217">
        <v>350</v>
      </c>
      <c r="CB523" s="217">
        <v>10</v>
      </c>
      <c r="CC523" s="217">
        <v>50</v>
      </c>
      <c r="CD523" s="217">
        <v>0</v>
      </c>
      <c r="CE523" s="217">
        <v>0</v>
      </c>
      <c r="CF523" s="217">
        <v>70</v>
      </c>
      <c r="CG523" s="217">
        <v>350</v>
      </c>
      <c r="CH523" s="217">
        <v>0</v>
      </c>
      <c r="CI523" s="217">
        <v>0</v>
      </c>
      <c r="CJ523" s="217">
        <v>0</v>
      </c>
    </row>
    <row r="524" spans="1:88" x14ac:dyDescent="0.25">
      <c r="A524" s="217" t="s">
        <v>22</v>
      </c>
      <c r="B524" s="217" t="s">
        <v>23</v>
      </c>
      <c r="C524" s="217" t="s">
        <v>85</v>
      </c>
      <c r="D524" s="217" t="s">
        <v>84</v>
      </c>
      <c r="E524" s="217" t="s">
        <v>98</v>
      </c>
      <c r="F524" s="217" t="s">
        <v>97</v>
      </c>
      <c r="G524" s="217" t="s">
        <v>406</v>
      </c>
      <c r="H524" s="217" t="s">
        <v>1194</v>
      </c>
      <c r="I524" s="217" t="s">
        <v>29</v>
      </c>
      <c r="J524" s="217" t="s">
        <v>1856</v>
      </c>
      <c r="K524" s="217">
        <v>5</v>
      </c>
      <c r="L524" s="217">
        <v>42</v>
      </c>
      <c r="M524" s="217" t="s">
        <v>31</v>
      </c>
      <c r="N524" s="217" t="s">
        <v>32</v>
      </c>
      <c r="O524" s="217" t="s">
        <v>100</v>
      </c>
      <c r="P524" s="217" t="s">
        <v>34</v>
      </c>
      <c r="Q524" s="217" t="s">
        <v>35</v>
      </c>
      <c r="R524" s="217" t="s">
        <v>23</v>
      </c>
      <c r="S524" s="217" t="s">
        <v>22</v>
      </c>
      <c r="T524" s="217" t="s">
        <v>84</v>
      </c>
      <c r="U524" s="217" t="s">
        <v>85</v>
      </c>
      <c r="V524" s="217" t="s">
        <v>97</v>
      </c>
      <c r="W524" s="217" t="s">
        <v>98</v>
      </c>
      <c r="BC524" s="217" t="s">
        <v>184</v>
      </c>
      <c r="BD524" s="217" t="s">
        <v>206</v>
      </c>
      <c r="BE524" s="217" t="s">
        <v>1568</v>
      </c>
      <c r="BF524" s="217" t="s">
        <v>207</v>
      </c>
      <c r="BG524" s="217" t="s">
        <v>1998</v>
      </c>
      <c r="BH524" s="217" t="s">
        <v>1660</v>
      </c>
      <c r="BI524" s="217" t="s">
        <v>1660</v>
      </c>
      <c r="BJ524" s="217" t="s">
        <v>1658</v>
      </c>
      <c r="BK524" s="217" t="s">
        <v>637</v>
      </c>
      <c r="BL524" s="217"/>
      <c r="BM524" s="217"/>
      <c r="BN524" s="217">
        <v>0</v>
      </c>
      <c r="BO524" s="217">
        <v>0</v>
      </c>
      <c r="BR524" s="217" t="s">
        <v>184</v>
      </c>
      <c r="BS524" s="217" t="s">
        <v>213</v>
      </c>
      <c r="BT524" s="217" t="s">
        <v>2032</v>
      </c>
      <c r="BU524" s="217" t="s">
        <v>2031</v>
      </c>
      <c r="BV524" s="217">
        <v>12</v>
      </c>
      <c r="BW524" s="217">
        <v>60</v>
      </c>
      <c r="BX524" s="217">
        <v>0</v>
      </c>
      <c r="BY524" s="217">
        <v>0</v>
      </c>
      <c r="BZ524" s="217">
        <v>90</v>
      </c>
      <c r="CA524" s="217">
        <v>450</v>
      </c>
      <c r="CB524" s="217">
        <v>12</v>
      </c>
      <c r="CC524" s="217">
        <v>60</v>
      </c>
      <c r="CD524" s="217">
        <v>0</v>
      </c>
      <c r="CE524" s="217">
        <v>0</v>
      </c>
      <c r="CF524" s="217">
        <v>90</v>
      </c>
      <c r="CG524" s="217">
        <v>450</v>
      </c>
      <c r="CH524" s="217">
        <v>0</v>
      </c>
      <c r="CI524" s="217">
        <v>0</v>
      </c>
      <c r="CJ524" s="217">
        <v>0</v>
      </c>
    </row>
    <row r="525" spans="1:88" x14ac:dyDescent="0.25">
      <c r="A525" s="217" t="s">
        <v>22</v>
      </c>
      <c r="B525" s="217" t="s">
        <v>23</v>
      </c>
      <c r="C525" s="217" t="s">
        <v>85</v>
      </c>
      <c r="D525" s="217" t="s">
        <v>84</v>
      </c>
      <c r="E525" s="217" t="s">
        <v>98</v>
      </c>
      <c r="F525" s="217" t="s">
        <v>97</v>
      </c>
      <c r="G525" s="217" t="s">
        <v>406</v>
      </c>
      <c r="H525" s="217" t="s">
        <v>1194</v>
      </c>
      <c r="I525" s="217" t="s">
        <v>29</v>
      </c>
      <c r="J525" s="217" t="s">
        <v>1857</v>
      </c>
      <c r="K525" s="217">
        <v>11</v>
      </c>
      <c r="L525" s="217">
        <v>59</v>
      </c>
      <c r="M525" s="217" t="s">
        <v>31</v>
      </c>
      <c r="N525" s="217" t="s">
        <v>32</v>
      </c>
      <c r="O525" s="217" t="s">
        <v>100</v>
      </c>
      <c r="P525" s="217" t="s">
        <v>34</v>
      </c>
      <c r="Q525" s="217" t="s">
        <v>35</v>
      </c>
      <c r="R525" s="217" t="s">
        <v>23</v>
      </c>
      <c r="S525" s="217" t="s">
        <v>22</v>
      </c>
      <c r="T525" s="217" t="s">
        <v>84</v>
      </c>
      <c r="U525" s="217" t="s">
        <v>85</v>
      </c>
      <c r="V525" s="217" t="s">
        <v>97</v>
      </c>
      <c r="W525" s="217" t="s">
        <v>98</v>
      </c>
      <c r="BC525" s="217" t="s">
        <v>184</v>
      </c>
      <c r="BD525" s="217" t="s">
        <v>206</v>
      </c>
      <c r="BE525" s="217" t="s">
        <v>1337</v>
      </c>
      <c r="BF525" s="217" t="s">
        <v>208</v>
      </c>
      <c r="BG525" s="217" t="s">
        <v>1998</v>
      </c>
      <c r="BH525" s="217" t="s">
        <v>1658</v>
      </c>
      <c r="BI525" s="217" t="s">
        <v>1660</v>
      </c>
      <c r="BJ525" s="217" t="s">
        <v>1658</v>
      </c>
      <c r="BK525" s="217" t="s">
        <v>637</v>
      </c>
      <c r="BL525" s="217"/>
      <c r="BM525" s="217"/>
      <c r="BN525" s="217">
        <v>0</v>
      </c>
      <c r="BO525" s="217">
        <v>0</v>
      </c>
      <c r="BR525" s="217" t="s">
        <v>184</v>
      </c>
      <c r="BS525" s="217" t="s">
        <v>203</v>
      </c>
      <c r="BT525" s="217" t="s">
        <v>671</v>
      </c>
      <c r="BU525" s="217" t="s">
        <v>1564</v>
      </c>
      <c r="BV525" s="217">
        <v>0</v>
      </c>
      <c r="BW525" s="217">
        <v>0</v>
      </c>
      <c r="BX525" s="217">
        <v>0</v>
      </c>
      <c r="BY525" s="217">
        <v>0</v>
      </c>
      <c r="BZ525" s="217">
        <v>50</v>
      </c>
      <c r="CA525" s="217">
        <v>281</v>
      </c>
      <c r="CB525" s="217">
        <v>0</v>
      </c>
      <c r="CC525" s="217">
        <v>0</v>
      </c>
      <c r="CD525" s="217">
        <v>0</v>
      </c>
      <c r="CE525" s="217">
        <v>0</v>
      </c>
      <c r="CF525" s="217">
        <v>50</v>
      </c>
      <c r="CG525" s="217">
        <v>250</v>
      </c>
      <c r="CH525" s="217">
        <v>0</v>
      </c>
      <c r="CI525" s="217">
        <v>0</v>
      </c>
      <c r="CJ525" s="217">
        <v>31</v>
      </c>
    </row>
    <row r="526" spans="1:88" x14ac:dyDescent="0.25">
      <c r="A526" s="217" t="s">
        <v>22</v>
      </c>
      <c r="B526" s="217" t="s">
        <v>23</v>
      </c>
      <c r="C526" s="217" t="s">
        <v>85</v>
      </c>
      <c r="D526" s="217" t="s">
        <v>84</v>
      </c>
      <c r="E526" s="217" t="s">
        <v>98</v>
      </c>
      <c r="F526" s="217" t="s">
        <v>97</v>
      </c>
      <c r="G526" s="217" t="s">
        <v>406</v>
      </c>
      <c r="H526" s="217" t="s">
        <v>1194</v>
      </c>
      <c r="I526" s="217" t="s">
        <v>29</v>
      </c>
      <c r="J526" s="217" t="s">
        <v>1858</v>
      </c>
      <c r="K526" s="217">
        <v>18</v>
      </c>
      <c r="L526" s="217">
        <v>101</v>
      </c>
      <c r="M526" s="217" t="s">
        <v>31</v>
      </c>
      <c r="N526" s="217" t="s">
        <v>32</v>
      </c>
      <c r="O526" s="217" t="s">
        <v>100</v>
      </c>
      <c r="P526" s="217" t="s">
        <v>34</v>
      </c>
      <c r="Q526" s="217" t="s">
        <v>35</v>
      </c>
      <c r="R526" s="217" t="s">
        <v>23</v>
      </c>
      <c r="S526" s="217" t="s">
        <v>22</v>
      </c>
      <c r="T526" s="217" t="s">
        <v>84</v>
      </c>
      <c r="U526" s="217" t="s">
        <v>85</v>
      </c>
      <c r="V526" s="217" t="s">
        <v>97</v>
      </c>
      <c r="W526" s="217" t="s">
        <v>98</v>
      </c>
      <c r="BC526" s="217" t="s">
        <v>184</v>
      </c>
      <c r="BD526" s="217" t="s">
        <v>206</v>
      </c>
      <c r="BE526" s="217" t="s">
        <v>1569</v>
      </c>
      <c r="BF526" s="217" t="s">
        <v>209</v>
      </c>
      <c r="BG526" s="217" t="s">
        <v>1998</v>
      </c>
      <c r="BH526" s="217" t="s">
        <v>1660</v>
      </c>
      <c r="BI526" s="217" t="s">
        <v>1660</v>
      </c>
      <c r="BJ526" s="217" t="s">
        <v>1658</v>
      </c>
      <c r="BK526" s="217" t="s">
        <v>637</v>
      </c>
      <c r="BL526" s="217"/>
      <c r="BM526" s="217"/>
      <c r="BN526" s="217">
        <v>0</v>
      </c>
      <c r="BO526" s="217">
        <v>0</v>
      </c>
      <c r="BR526" s="217" t="s">
        <v>184</v>
      </c>
      <c r="BS526" s="217" t="s">
        <v>203</v>
      </c>
      <c r="BT526" s="217" t="s">
        <v>204</v>
      </c>
      <c r="BU526" s="217" t="s">
        <v>1336</v>
      </c>
      <c r="BV526" s="217">
        <v>7</v>
      </c>
      <c r="BW526" s="217">
        <v>33</v>
      </c>
      <c r="BX526" s="217">
        <v>0</v>
      </c>
      <c r="BY526" s="217">
        <v>0</v>
      </c>
      <c r="BZ526" s="217">
        <v>18</v>
      </c>
      <c r="CA526" s="217">
        <v>227</v>
      </c>
      <c r="CB526" s="217">
        <v>7</v>
      </c>
      <c r="CC526" s="217">
        <v>33</v>
      </c>
      <c r="CD526" s="217">
        <v>0</v>
      </c>
      <c r="CE526" s="217">
        <v>0</v>
      </c>
      <c r="CF526" s="217">
        <v>18</v>
      </c>
      <c r="CG526" s="217">
        <v>227</v>
      </c>
      <c r="CH526" s="217">
        <v>0</v>
      </c>
      <c r="CI526" s="217">
        <v>0</v>
      </c>
      <c r="CJ526" s="217">
        <v>0</v>
      </c>
    </row>
    <row r="527" spans="1:88" x14ac:dyDescent="0.25">
      <c r="A527" s="217" t="s">
        <v>22</v>
      </c>
      <c r="B527" s="217" t="s">
        <v>23</v>
      </c>
      <c r="C527" s="217" t="s">
        <v>85</v>
      </c>
      <c r="D527" s="217" t="s">
        <v>84</v>
      </c>
      <c r="E527" s="217" t="s">
        <v>98</v>
      </c>
      <c r="F527" s="217" t="s">
        <v>97</v>
      </c>
      <c r="G527" s="217" t="s">
        <v>1195</v>
      </c>
      <c r="H527" s="217" t="s">
        <v>1196</v>
      </c>
      <c r="I527" s="217" t="s">
        <v>29</v>
      </c>
      <c r="J527" s="217" t="s">
        <v>1858</v>
      </c>
      <c r="K527" s="217">
        <v>9</v>
      </c>
      <c r="L527" s="217">
        <v>27</v>
      </c>
      <c r="M527" s="217" t="s">
        <v>31</v>
      </c>
      <c r="N527" s="217" t="s">
        <v>32</v>
      </c>
      <c r="O527" s="217" t="s">
        <v>68</v>
      </c>
      <c r="P527" s="217" t="s">
        <v>34</v>
      </c>
      <c r="Q527" s="217" t="s">
        <v>35</v>
      </c>
      <c r="R527" s="217" t="s">
        <v>23</v>
      </c>
      <c r="S527" s="217" t="s">
        <v>22</v>
      </c>
      <c r="T527" s="217" t="s">
        <v>84</v>
      </c>
      <c r="U527" s="217" t="s">
        <v>85</v>
      </c>
      <c r="V527" s="217" t="s">
        <v>109</v>
      </c>
      <c r="W527" s="217" t="s">
        <v>110</v>
      </c>
      <c r="BC527" s="217" t="s">
        <v>184</v>
      </c>
      <c r="BD527" s="217" t="s">
        <v>206</v>
      </c>
      <c r="BE527" s="217" t="s">
        <v>1338</v>
      </c>
      <c r="BF527" s="217" t="s">
        <v>483</v>
      </c>
      <c r="BG527" s="217" t="s">
        <v>1998</v>
      </c>
      <c r="BH527" s="217" t="s">
        <v>1658</v>
      </c>
      <c r="BI527" s="217" t="s">
        <v>1660</v>
      </c>
      <c r="BJ527" s="217" t="s">
        <v>1658</v>
      </c>
      <c r="BK527" s="217" t="s">
        <v>637</v>
      </c>
      <c r="BL527" s="217"/>
      <c r="BM527" s="217"/>
      <c r="BN527" s="217">
        <v>0</v>
      </c>
      <c r="BO527" s="217">
        <v>0</v>
      </c>
      <c r="BR527" s="217" t="s">
        <v>184</v>
      </c>
      <c r="BS527" s="217" t="s">
        <v>203</v>
      </c>
      <c r="BT527" s="217" t="s">
        <v>673</v>
      </c>
      <c r="BU527" s="217" t="s">
        <v>1567</v>
      </c>
      <c r="BV527" s="217">
        <v>0</v>
      </c>
      <c r="BW527" s="217">
        <v>0</v>
      </c>
      <c r="BX527" s="217">
        <v>0</v>
      </c>
      <c r="BY527" s="217">
        <v>0</v>
      </c>
      <c r="BZ527" s="217">
        <v>20</v>
      </c>
      <c r="CA527" s="217">
        <v>200</v>
      </c>
      <c r="CB527" s="217">
        <v>0</v>
      </c>
      <c r="CC527" s="217">
        <v>0</v>
      </c>
      <c r="CD527" s="217">
        <v>0</v>
      </c>
      <c r="CE527" s="217">
        <v>0</v>
      </c>
      <c r="CF527" s="217">
        <v>20</v>
      </c>
      <c r="CG527" s="217">
        <v>200</v>
      </c>
      <c r="CH527" s="217">
        <v>0</v>
      </c>
      <c r="CI527" s="217">
        <v>0</v>
      </c>
      <c r="CJ527" s="217">
        <v>0</v>
      </c>
    </row>
    <row r="528" spans="1:88" x14ac:dyDescent="0.25">
      <c r="A528" s="217" t="s">
        <v>22</v>
      </c>
      <c r="B528" s="217" t="s">
        <v>23</v>
      </c>
      <c r="C528" s="217" t="s">
        <v>85</v>
      </c>
      <c r="D528" s="217" t="s">
        <v>84</v>
      </c>
      <c r="E528" s="217" t="s">
        <v>98</v>
      </c>
      <c r="F528" s="217" t="s">
        <v>97</v>
      </c>
      <c r="G528" s="217" t="s">
        <v>407</v>
      </c>
      <c r="H528" s="217" t="s">
        <v>1197</v>
      </c>
      <c r="I528" s="217" t="s">
        <v>29</v>
      </c>
      <c r="J528" s="217" t="s">
        <v>1857</v>
      </c>
      <c r="K528" s="217">
        <v>4</v>
      </c>
      <c r="L528" s="217">
        <v>43</v>
      </c>
      <c r="M528" s="217" t="s">
        <v>31</v>
      </c>
      <c r="N528" s="217" t="s">
        <v>32</v>
      </c>
      <c r="O528" s="217" t="s">
        <v>100</v>
      </c>
      <c r="P528" s="217" t="s">
        <v>34</v>
      </c>
      <c r="Q528" s="217" t="s">
        <v>35</v>
      </c>
      <c r="R528" s="217" t="s">
        <v>23</v>
      </c>
      <c r="S528" s="217" t="s">
        <v>22</v>
      </c>
      <c r="T528" s="217" t="s">
        <v>84</v>
      </c>
      <c r="U528" s="217" t="s">
        <v>85</v>
      </c>
      <c r="V528" s="217" t="s">
        <v>97</v>
      </c>
      <c r="W528" s="217" t="s">
        <v>98</v>
      </c>
      <c r="BC528" s="217" t="s">
        <v>184</v>
      </c>
      <c r="BD528" s="217" t="s">
        <v>206</v>
      </c>
      <c r="BE528" s="217" t="s">
        <v>1339</v>
      </c>
      <c r="BF528" s="217" t="s">
        <v>210</v>
      </c>
      <c r="BG528" s="217" t="s">
        <v>1998</v>
      </c>
      <c r="BH528" s="217" t="s">
        <v>1658</v>
      </c>
      <c r="BI528" s="217" t="s">
        <v>1660</v>
      </c>
      <c r="BJ528" s="217" t="s">
        <v>1658</v>
      </c>
      <c r="BK528" s="217" t="s">
        <v>637</v>
      </c>
      <c r="BL528" s="217"/>
      <c r="BM528" s="217"/>
      <c r="BN528" s="217">
        <v>0</v>
      </c>
      <c r="BO528" s="217">
        <v>0</v>
      </c>
      <c r="BR528" s="217" t="s">
        <v>184</v>
      </c>
      <c r="BS528" s="217" t="s">
        <v>203</v>
      </c>
      <c r="BT528" s="217" t="s">
        <v>704</v>
      </c>
      <c r="BU528" s="217" t="s">
        <v>1565</v>
      </c>
      <c r="BV528" s="217">
        <v>0</v>
      </c>
      <c r="BW528" s="217">
        <v>0</v>
      </c>
      <c r="BX528" s="217">
        <v>0</v>
      </c>
      <c r="BY528" s="217">
        <v>0</v>
      </c>
      <c r="BZ528" s="217">
        <v>60</v>
      </c>
      <c r="CA528" s="217">
        <v>300</v>
      </c>
      <c r="CB528" s="217">
        <v>0</v>
      </c>
      <c r="CC528" s="217">
        <v>0</v>
      </c>
      <c r="CD528" s="217">
        <v>0</v>
      </c>
      <c r="CE528" s="217">
        <v>0</v>
      </c>
      <c r="CF528" s="217">
        <v>60</v>
      </c>
      <c r="CG528" s="217">
        <v>300</v>
      </c>
      <c r="CH528" s="217">
        <v>0</v>
      </c>
      <c r="CI528" s="217">
        <v>0</v>
      </c>
      <c r="CJ528" s="217">
        <v>0</v>
      </c>
    </row>
    <row r="529" spans="1:88" x14ac:dyDescent="0.25">
      <c r="A529" s="217" t="s">
        <v>22</v>
      </c>
      <c r="B529" s="217" t="s">
        <v>23</v>
      </c>
      <c r="C529" s="217" t="s">
        <v>85</v>
      </c>
      <c r="D529" s="217" t="s">
        <v>84</v>
      </c>
      <c r="E529" s="217" t="s">
        <v>98</v>
      </c>
      <c r="F529" s="217" t="s">
        <v>97</v>
      </c>
      <c r="G529" s="217" t="s">
        <v>816</v>
      </c>
      <c r="H529" s="217" t="s">
        <v>1198</v>
      </c>
      <c r="I529" s="217" t="s">
        <v>29</v>
      </c>
      <c r="J529" s="217" t="s">
        <v>1856</v>
      </c>
      <c r="K529" s="217">
        <v>11</v>
      </c>
      <c r="L529" s="217">
        <v>94</v>
      </c>
      <c r="M529" s="217" t="s">
        <v>31</v>
      </c>
      <c r="N529" s="217" t="s">
        <v>32</v>
      </c>
      <c r="O529" s="217" t="s">
        <v>100</v>
      </c>
      <c r="P529" s="217" t="s">
        <v>34</v>
      </c>
      <c r="Q529" s="217" t="s">
        <v>35</v>
      </c>
      <c r="R529" s="217" t="s">
        <v>23</v>
      </c>
      <c r="S529" s="217" t="s">
        <v>22</v>
      </c>
      <c r="T529" s="217" t="s">
        <v>84</v>
      </c>
      <c r="U529" s="217" t="s">
        <v>85</v>
      </c>
      <c r="V529" s="217" t="s">
        <v>97</v>
      </c>
      <c r="W529" s="217" t="s">
        <v>98</v>
      </c>
      <c r="BC529" s="217" t="s">
        <v>184</v>
      </c>
      <c r="BD529" s="217" t="s">
        <v>206</v>
      </c>
      <c r="BE529" s="217" t="s">
        <v>1570</v>
      </c>
      <c r="BF529" s="217" t="s">
        <v>674</v>
      </c>
      <c r="BG529" s="217" t="s">
        <v>1998</v>
      </c>
      <c r="BH529" s="217" t="s">
        <v>1660</v>
      </c>
      <c r="BI529" s="217" t="s">
        <v>1660</v>
      </c>
      <c r="BJ529" s="217" t="s">
        <v>1658</v>
      </c>
      <c r="BK529" s="217" t="s">
        <v>637</v>
      </c>
      <c r="BL529" s="217"/>
      <c r="BM529" s="217"/>
      <c r="BN529" s="217">
        <v>0</v>
      </c>
      <c r="BO529" s="217">
        <v>0</v>
      </c>
      <c r="BR529" s="217" t="s">
        <v>184</v>
      </c>
      <c r="BS529" s="217" t="s">
        <v>203</v>
      </c>
      <c r="BT529" s="217" t="s">
        <v>672</v>
      </c>
      <c r="BU529" s="217" t="s">
        <v>1566</v>
      </c>
      <c r="BV529" s="217">
        <v>0</v>
      </c>
      <c r="BW529" s="217">
        <v>0</v>
      </c>
      <c r="BX529" s="217">
        <v>0</v>
      </c>
      <c r="BY529" s="217">
        <v>0</v>
      </c>
      <c r="BZ529" s="217">
        <v>15</v>
      </c>
      <c r="CA529" s="217">
        <v>92</v>
      </c>
      <c r="CB529" s="217">
        <v>0</v>
      </c>
      <c r="CC529" s="217">
        <v>0</v>
      </c>
      <c r="CD529" s="217">
        <v>0</v>
      </c>
      <c r="CE529" s="217">
        <v>0</v>
      </c>
      <c r="CF529" s="217">
        <v>15</v>
      </c>
      <c r="CG529" s="217">
        <v>92</v>
      </c>
      <c r="CH529" s="217">
        <v>0</v>
      </c>
      <c r="CI529" s="217">
        <v>0</v>
      </c>
      <c r="CJ529" s="217">
        <v>0</v>
      </c>
    </row>
    <row r="530" spans="1:88" x14ac:dyDescent="0.25">
      <c r="A530" s="217" t="s">
        <v>22</v>
      </c>
      <c r="B530" s="217" t="s">
        <v>23</v>
      </c>
      <c r="C530" s="217" t="s">
        <v>85</v>
      </c>
      <c r="D530" s="217" t="s">
        <v>84</v>
      </c>
      <c r="E530" s="217" t="s">
        <v>98</v>
      </c>
      <c r="F530" s="217" t="s">
        <v>97</v>
      </c>
      <c r="G530" s="217" t="s">
        <v>408</v>
      </c>
      <c r="H530" s="217" t="s">
        <v>1199</v>
      </c>
      <c r="I530" s="217" t="s">
        <v>29</v>
      </c>
      <c r="J530" s="217" t="s">
        <v>1856</v>
      </c>
      <c r="K530" s="217">
        <v>1</v>
      </c>
      <c r="L530" s="217">
        <v>5</v>
      </c>
      <c r="M530" s="217" t="s">
        <v>31</v>
      </c>
      <c r="N530" s="217" t="s">
        <v>32</v>
      </c>
      <c r="O530" s="217" t="s">
        <v>68</v>
      </c>
      <c r="P530" s="217" t="s">
        <v>34</v>
      </c>
      <c r="Q530" s="217" t="s">
        <v>35</v>
      </c>
      <c r="R530" s="217" t="s">
        <v>23</v>
      </c>
      <c r="S530" s="217" t="s">
        <v>22</v>
      </c>
      <c r="T530" s="217" t="s">
        <v>84</v>
      </c>
      <c r="U530" s="217" t="s">
        <v>85</v>
      </c>
      <c r="V530" s="217" t="s">
        <v>91</v>
      </c>
      <c r="W530" s="217" t="s">
        <v>92</v>
      </c>
      <c r="BC530" s="217" t="s">
        <v>184</v>
      </c>
      <c r="BD530" s="217" t="s">
        <v>206</v>
      </c>
      <c r="BE530" s="217" t="s">
        <v>1340</v>
      </c>
      <c r="BF530" s="217" t="s">
        <v>484</v>
      </c>
      <c r="BG530" s="217" t="s">
        <v>1998</v>
      </c>
      <c r="BH530" s="217" t="s">
        <v>1658</v>
      </c>
      <c r="BI530" s="217" t="s">
        <v>1660</v>
      </c>
      <c r="BJ530" s="217" t="s">
        <v>1658</v>
      </c>
      <c r="BK530" s="217" t="s">
        <v>637</v>
      </c>
      <c r="BL530" s="217"/>
      <c r="BM530" s="217"/>
      <c r="BN530" s="217">
        <v>0</v>
      </c>
      <c r="BO530" s="217">
        <v>0</v>
      </c>
      <c r="BR530" s="217" t="s">
        <v>184</v>
      </c>
      <c r="BS530" s="217" t="s">
        <v>471</v>
      </c>
      <c r="BT530" s="217" t="s">
        <v>474</v>
      </c>
      <c r="BU530" s="217" t="s">
        <v>1324</v>
      </c>
      <c r="BV530" s="217">
        <v>31</v>
      </c>
      <c r="BW530" s="217">
        <v>153</v>
      </c>
      <c r="BX530" s="217">
        <v>0</v>
      </c>
      <c r="BY530" s="217">
        <v>0</v>
      </c>
      <c r="BZ530" s="217">
        <v>0</v>
      </c>
      <c r="CA530" s="217">
        <v>0</v>
      </c>
      <c r="CB530" s="217">
        <v>31</v>
      </c>
      <c r="CC530" s="217">
        <v>153</v>
      </c>
      <c r="CD530" s="217">
        <v>0</v>
      </c>
      <c r="CE530" s="217">
        <v>0</v>
      </c>
      <c r="CF530" s="217">
        <v>0</v>
      </c>
      <c r="CG530" s="217">
        <v>0</v>
      </c>
      <c r="CH530" s="217">
        <v>0</v>
      </c>
      <c r="CI530" s="217">
        <v>0</v>
      </c>
      <c r="CJ530" s="217">
        <v>0</v>
      </c>
    </row>
    <row r="531" spans="1:88" x14ac:dyDescent="0.25">
      <c r="A531" s="217" t="s">
        <v>22</v>
      </c>
      <c r="B531" s="217" t="s">
        <v>23</v>
      </c>
      <c r="C531" s="217" t="s">
        <v>85</v>
      </c>
      <c r="D531" s="217" t="s">
        <v>84</v>
      </c>
      <c r="E531" s="217" t="s">
        <v>98</v>
      </c>
      <c r="F531" s="217" t="s">
        <v>97</v>
      </c>
      <c r="G531" s="217" t="s">
        <v>804</v>
      </c>
      <c r="H531" s="217" t="s">
        <v>1200</v>
      </c>
      <c r="I531" s="217" t="s">
        <v>29</v>
      </c>
      <c r="J531" s="217" t="s">
        <v>1856</v>
      </c>
      <c r="K531" s="217">
        <v>4</v>
      </c>
      <c r="L531" s="217">
        <v>36</v>
      </c>
      <c r="M531" s="217" t="s">
        <v>31</v>
      </c>
      <c r="N531" s="217" t="s">
        <v>32</v>
      </c>
      <c r="O531" s="217" t="s">
        <v>100</v>
      </c>
      <c r="P531" s="217" t="s">
        <v>34</v>
      </c>
      <c r="Q531" s="217" t="s">
        <v>35</v>
      </c>
      <c r="R531" s="217" t="s">
        <v>23</v>
      </c>
      <c r="S531" s="217" t="s">
        <v>22</v>
      </c>
      <c r="T531" s="217" t="s">
        <v>84</v>
      </c>
      <c r="U531" s="217" t="s">
        <v>85</v>
      </c>
      <c r="V531" s="217" t="s">
        <v>97</v>
      </c>
      <c r="W531" s="217" t="s">
        <v>98</v>
      </c>
      <c r="BC531" s="217" t="s">
        <v>184</v>
      </c>
      <c r="BD531" s="217" t="s">
        <v>206</v>
      </c>
      <c r="BE531" s="217" t="s">
        <v>1341</v>
      </c>
      <c r="BF531" s="217" t="s">
        <v>211</v>
      </c>
      <c r="BG531" s="217" t="s">
        <v>1998</v>
      </c>
      <c r="BH531" s="217" t="s">
        <v>1658</v>
      </c>
      <c r="BI531" s="217" t="s">
        <v>1660</v>
      </c>
      <c r="BJ531" s="217" t="s">
        <v>1658</v>
      </c>
      <c r="BK531" s="217" t="s">
        <v>637</v>
      </c>
      <c r="BL531" s="217"/>
      <c r="BM531" s="217"/>
      <c r="BN531" s="217">
        <v>0</v>
      </c>
      <c r="BO531" s="217">
        <v>0</v>
      </c>
      <c r="BR531" s="217" t="s">
        <v>184</v>
      </c>
      <c r="BS531" s="217" t="s">
        <v>471</v>
      </c>
      <c r="BT531" s="217" t="s">
        <v>478</v>
      </c>
      <c r="BU531" s="217" t="s">
        <v>1328</v>
      </c>
      <c r="BV531" s="217">
        <v>26</v>
      </c>
      <c r="BW531" s="217">
        <v>164</v>
      </c>
      <c r="BX531" s="217">
        <v>0</v>
      </c>
      <c r="BY531" s="217">
        <v>0</v>
      </c>
      <c r="BZ531" s="217">
        <v>0</v>
      </c>
      <c r="CA531" s="217">
        <v>0</v>
      </c>
      <c r="CB531" s="217">
        <v>26</v>
      </c>
      <c r="CC531" s="217">
        <v>164</v>
      </c>
      <c r="CD531" s="217">
        <v>0</v>
      </c>
      <c r="CE531" s="217">
        <v>0</v>
      </c>
      <c r="CF531" s="217">
        <v>0</v>
      </c>
      <c r="CG531" s="217">
        <v>0</v>
      </c>
      <c r="CH531" s="217">
        <v>0</v>
      </c>
      <c r="CI531" s="217">
        <v>0</v>
      </c>
      <c r="CJ531" s="217">
        <v>0</v>
      </c>
    </row>
    <row r="532" spans="1:88" x14ac:dyDescent="0.25">
      <c r="A532" s="217" t="s">
        <v>22</v>
      </c>
      <c r="B532" s="217" t="s">
        <v>23</v>
      </c>
      <c r="C532" s="217" t="s">
        <v>85</v>
      </c>
      <c r="D532" s="217" t="s">
        <v>84</v>
      </c>
      <c r="E532" s="217" t="s">
        <v>98</v>
      </c>
      <c r="F532" s="217" t="s">
        <v>97</v>
      </c>
      <c r="G532" s="217" t="s">
        <v>814</v>
      </c>
      <c r="H532" s="217" t="s">
        <v>1201</v>
      </c>
      <c r="I532" s="217" t="s">
        <v>29</v>
      </c>
      <c r="J532" s="217" t="s">
        <v>1857</v>
      </c>
      <c r="K532" s="217">
        <v>13</v>
      </c>
      <c r="L532" s="217">
        <v>111</v>
      </c>
      <c r="M532" s="217" t="s">
        <v>31</v>
      </c>
      <c r="N532" s="217" t="s">
        <v>32</v>
      </c>
      <c r="O532" s="217" t="s">
        <v>100</v>
      </c>
      <c r="P532" s="217" t="s">
        <v>34</v>
      </c>
      <c r="Q532" s="217" t="s">
        <v>35</v>
      </c>
      <c r="R532" s="217" t="s">
        <v>23</v>
      </c>
      <c r="S532" s="217" t="s">
        <v>22</v>
      </c>
      <c r="T532" s="217" t="s">
        <v>84</v>
      </c>
      <c r="U532" s="217" t="s">
        <v>85</v>
      </c>
      <c r="V532" s="217" t="s">
        <v>97</v>
      </c>
      <c r="W532" s="217" t="s">
        <v>98</v>
      </c>
      <c r="BC532" s="217" t="s">
        <v>184</v>
      </c>
      <c r="BD532" s="217" t="s">
        <v>206</v>
      </c>
      <c r="BE532" s="217" t="s">
        <v>1571</v>
      </c>
      <c r="BF532" s="217" t="s">
        <v>675</v>
      </c>
      <c r="BG532" s="217" t="s">
        <v>1998</v>
      </c>
      <c r="BH532" s="217" t="s">
        <v>1660</v>
      </c>
      <c r="BI532" s="217" t="s">
        <v>1660</v>
      </c>
      <c r="BJ532" s="217" t="s">
        <v>1658</v>
      </c>
      <c r="BK532" s="217" t="s">
        <v>637</v>
      </c>
      <c r="BL532" s="217"/>
      <c r="BM532" s="217"/>
      <c r="BN532" s="217">
        <v>0</v>
      </c>
      <c r="BO532" s="217">
        <v>0</v>
      </c>
      <c r="BR532" s="217" t="s">
        <v>184</v>
      </c>
      <c r="BS532" s="217" t="s">
        <v>471</v>
      </c>
      <c r="BT532" s="217" t="s">
        <v>479</v>
      </c>
      <c r="BU532" s="217" t="s">
        <v>1329</v>
      </c>
      <c r="BV532" s="217">
        <v>28</v>
      </c>
      <c r="BW532" s="217">
        <v>172</v>
      </c>
      <c r="BX532" s="217">
        <v>0</v>
      </c>
      <c r="BY532" s="217">
        <v>0</v>
      </c>
      <c r="BZ532" s="217">
        <v>0</v>
      </c>
      <c r="CA532" s="217">
        <v>0</v>
      </c>
      <c r="CB532" s="217">
        <v>28</v>
      </c>
      <c r="CC532" s="217">
        <v>172</v>
      </c>
      <c r="CD532" s="217">
        <v>0</v>
      </c>
      <c r="CE532" s="217">
        <v>0</v>
      </c>
      <c r="CF532" s="217">
        <v>0</v>
      </c>
      <c r="CG532" s="217">
        <v>0</v>
      </c>
      <c r="CH532" s="217">
        <v>0</v>
      </c>
      <c r="CI532" s="217">
        <v>0</v>
      </c>
      <c r="CJ532" s="217">
        <v>0</v>
      </c>
    </row>
    <row r="533" spans="1:88" x14ac:dyDescent="0.25">
      <c r="A533" s="217" t="s">
        <v>22</v>
      </c>
      <c r="B533" s="217" t="s">
        <v>23</v>
      </c>
      <c r="C533" s="217" t="s">
        <v>85</v>
      </c>
      <c r="D533" s="217" t="s">
        <v>84</v>
      </c>
      <c r="E533" s="217" t="s">
        <v>98</v>
      </c>
      <c r="F533" s="217" t="s">
        <v>97</v>
      </c>
      <c r="G533" s="217" t="s">
        <v>1823</v>
      </c>
      <c r="H533" s="217" t="s">
        <v>1822</v>
      </c>
      <c r="I533" s="217" t="s">
        <v>29</v>
      </c>
      <c r="J533" s="217" t="s">
        <v>1856</v>
      </c>
      <c r="K533" s="217">
        <v>8</v>
      </c>
      <c r="L533" s="217">
        <v>70</v>
      </c>
      <c r="M533" s="217" t="s">
        <v>31</v>
      </c>
      <c r="N533" s="217" t="s">
        <v>32</v>
      </c>
      <c r="O533" s="217" t="s">
        <v>68</v>
      </c>
      <c r="P533" s="217" t="s">
        <v>34</v>
      </c>
      <c r="Q533" s="217" t="s">
        <v>35</v>
      </c>
      <c r="R533" s="217" t="s">
        <v>23</v>
      </c>
      <c r="S533" s="217" t="s">
        <v>22</v>
      </c>
      <c r="T533" s="217" t="s">
        <v>84</v>
      </c>
      <c r="U533" s="217" t="s">
        <v>85</v>
      </c>
      <c r="V533" s="217" t="s">
        <v>91</v>
      </c>
      <c r="W533" s="217" t="s">
        <v>92</v>
      </c>
      <c r="BC533" s="217" t="s">
        <v>184</v>
      </c>
      <c r="BD533" s="217" t="s">
        <v>215</v>
      </c>
      <c r="BE533" s="217" t="s">
        <v>1342</v>
      </c>
      <c r="BF533" s="217" t="s">
        <v>216</v>
      </c>
      <c r="BG533" s="217" t="s">
        <v>1998</v>
      </c>
      <c r="BH533" s="217" t="s">
        <v>1658</v>
      </c>
      <c r="BI533" s="217" t="s">
        <v>1660</v>
      </c>
      <c r="BJ533" s="217" t="s">
        <v>1658</v>
      </c>
      <c r="BK533" s="217" t="s">
        <v>637</v>
      </c>
      <c r="BL533" s="217"/>
      <c r="BM533" s="217"/>
      <c r="BN533" s="217">
        <v>0</v>
      </c>
      <c r="BO533" s="217">
        <v>0</v>
      </c>
      <c r="BR533" s="217" t="s">
        <v>184</v>
      </c>
      <c r="BS533" s="217" t="s">
        <v>471</v>
      </c>
      <c r="BT533" s="217" t="s">
        <v>480</v>
      </c>
      <c r="BU533" s="217" t="s">
        <v>1330</v>
      </c>
      <c r="BV533" s="217">
        <v>17</v>
      </c>
      <c r="BW533" s="217">
        <v>97</v>
      </c>
      <c r="BX533" s="217">
        <v>0</v>
      </c>
      <c r="BY533" s="217">
        <v>0</v>
      </c>
      <c r="BZ533" s="217">
        <v>0</v>
      </c>
      <c r="CA533" s="217">
        <v>0</v>
      </c>
      <c r="CB533" s="217">
        <v>17</v>
      </c>
      <c r="CC533" s="217">
        <v>97</v>
      </c>
      <c r="CD533" s="217">
        <v>0</v>
      </c>
      <c r="CE533" s="217">
        <v>0</v>
      </c>
      <c r="CF533" s="217">
        <v>0</v>
      </c>
      <c r="CG533" s="217">
        <v>0</v>
      </c>
      <c r="CH533" s="217">
        <v>0</v>
      </c>
      <c r="CI533" s="217">
        <v>0</v>
      </c>
      <c r="CJ533" s="217">
        <v>0</v>
      </c>
    </row>
    <row r="534" spans="1:88" x14ac:dyDescent="0.25">
      <c r="A534" s="217" t="s">
        <v>22</v>
      </c>
      <c r="B534" s="217" t="s">
        <v>23</v>
      </c>
      <c r="C534" s="217" t="s">
        <v>85</v>
      </c>
      <c r="D534" s="217" t="s">
        <v>84</v>
      </c>
      <c r="E534" s="217" t="s">
        <v>98</v>
      </c>
      <c r="F534" s="217" t="s">
        <v>97</v>
      </c>
      <c r="G534" s="217" t="s">
        <v>301</v>
      </c>
      <c r="H534" s="217" t="s">
        <v>1202</v>
      </c>
      <c r="I534" s="217" t="s">
        <v>29</v>
      </c>
      <c r="J534" s="217" t="s">
        <v>1858</v>
      </c>
      <c r="K534" s="217">
        <v>10</v>
      </c>
      <c r="L534" s="217">
        <v>57</v>
      </c>
      <c r="M534" s="217" t="s">
        <v>31</v>
      </c>
      <c r="N534" s="217" t="s">
        <v>32</v>
      </c>
      <c r="O534" s="217" t="s">
        <v>68</v>
      </c>
      <c r="P534" s="217" t="s">
        <v>34</v>
      </c>
      <c r="Q534" s="217" t="s">
        <v>35</v>
      </c>
      <c r="R534" s="217" t="s">
        <v>23</v>
      </c>
      <c r="S534" s="217" t="s">
        <v>22</v>
      </c>
      <c r="T534" s="217" t="s">
        <v>84</v>
      </c>
      <c r="U534" s="217" t="s">
        <v>85</v>
      </c>
      <c r="V534" s="217" t="s">
        <v>109</v>
      </c>
      <c r="W534" s="217" t="s">
        <v>110</v>
      </c>
      <c r="BC534" s="217" t="s">
        <v>184</v>
      </c>
      <c r="BD534" s="217" t="s">
        <v>215</v>
      </c>
      <c r="BE534" s="217" t="s">
        <v>1343</v>
      </c>
      <c r="BF534" s="217" t="s">
        <v>485</v>
      </c>
      <c r="BG534" s="217" t="s">
        <v>1998</v>
      </c>
      <c r="BH534" s="217" t="s">
        <v>1658</v>
      </c>
      <c r="BI534" s="217" t="s">
        <v>1660</v>
      </c>
      <c r="BJ534" s="217" t="s">
        <v>1660</v>
      </c>
      <c r="BK534" s="217" t="s">
        <v>637</v>
      </c>
      <c r="BL534" s="217"/>
      <c r="BM534" s="217"/>
      <c r="BN534" s="217">
        <v>0</v>
      </c>
      <c r="BO534" s="217">
        <v>0</v>
      </c>
      <c r="BR534" s="217" t="s">
        <v>184</v>
      </c>
      <c r="BS534" s="217" t="s">
        <v>471</v>
      </c>
      <c r="BT534" s="217" t="s">
        <v>475</v>
      </c>
      <c r="BU534" s="217" t="s">
        <v>1325</v>
      </c>
      <c r="BV534" s="217">
        <v>18</v>
      </c>
      <c r="BW534" s="217">
        <v>104</v>
      </c>
      <c r="BX534" s="217">
        <v>0</v>
      </c>
      <c r="BY534" s="217">
        <v>0</v>
      </c>
      <c r="BZ534" s="217">
        <v>0</v>
      </c>
      <c r="CA534" s="217">
        <v>0</v>
      </c>
      <c r="CB534" s="217">
        <v>18</v>
      </c>
      <c r="CC534" s="217">
        <v>104</v>
      </c>
      <c r="CD534" s="217">
        <v>4</v>
      </c>
      <c r="CE534" s="217">
        <v>13</v>
      </c>
      <c r="CF534" s="217">
        <v>0</v>
      </c>
      <c r="CG534" s="217">
        <v>0</v>
      </c>
      <c r="CH534" s="217">
        <v>0</v>
      </c>
      <c r="CI534" s="217">
        <v>-13</v>
      </c>
      <c r="CJ534" s="217">
        <v>0</v>
      </c>
    </row>
    <row r="535" spans="1:88" x14ac:dyDescent="0.25">
      <c r="A535" s="217" t="s">
        <v>22</v>
      </c>
      <c r="B535" s="217" t="s">
        <v>23</v>
      </c>
      <c r="C535" s="217" t="s">
        <v>85</v>
      </c>
      <c r="D535" s="217" t="s">
        <v>84</v>
      </c>
      <c r="E535" s="217" t="s">
        <v>98</v>
      </c>
      <c r="F535" s="217" t="s">
        <v>97</v>
      </c>
      <c r="G535" s="217" t="s">
        <v>818</v>
      </c>
      <c r="H535" s="217" t="s">
        <v>1203</v>
      </c>
      <c r="I535" s="217" t="s">
        <v>29</v>
      </c>
      <c r="J535" s="217" t="s">
        <v>1856</v>
      </c>
      <c r="K535" s="217">
        <v>2</v>
      </c>
      <c r="L535" s="217">
        <v>7</v>
      </c>
      <c r="M535" s="217" t="s">
        <v>31</v>
      </c>
      <c r="N535" s="217" t="s">
        <v>32</v>
      </c>
      <c r="O535" s="217" t="s">
        <v>68</v>
      </c>
      <c r="P535" s="217" t="s">
        <v>34</v>
      </c>
      <c r="Q535" s="217" t="s">
        <v>35</v>
      </c>
      <c r="R535" s="217" t="s">
        <v>23</v>
      </c>
      <c r="S535" s="217" t="s">
        <v>22</v>
      </c>
      <c r="T535" s="217" t="s">
        <v>84</v>
      </c>
      <c r="U535" s="217" t="s">
        <v>85</v>
      </c>
      <c r="V535" s="217" t="s">
        <v>91</v>
      </c>
      <c r="W535" s="217" t="s">
        <v>92</v>
      </c>
      <c r="BC535" s="217" t="s">
        <v>184</v>
      </c>
      <c r="BD535" s="217" t="s">
        <v>215</v>
      </c>
      <c r="BE535" s="217" t="s">
        <v>1344</v>
      </c>
      <c r="BF535" s="217" t="s">
        <v>486</v>
      </c>
      <c r="BG535" s="217" t="s">
        <v>1998</v>
      </c>
      <c r="BH535" s="217" t="s">
        <v>1658</v>
      </c>
      <c r="BI535" s="217" t="s">
        <v>1660</v>
      </c>
      <c r="BJ535" s="217" t="s">
        <v>1660</v>
      </c>
      <c r="BK535" s="217" t="s">
        <v>637</v>
      </c>
      <c r="BL535" s="217"/>
      <c r="BM535" s="217"/>
      <c r="BN535" s="217">
        <v>0</v>
      </c>
      <c r="BO535" s="217">
        <v>0</v>
      </c>
      <c r="BR535" s="217" t="s">
        <v>184</v>
      </c>
      <c r="BS535" s="217" t="s">
        <v>471</v>
      </c>
      <c r="BT535" s="217" t="s">
        <v>473</v>
      </c>
      <c r="BU535" s="217" t="s">
        <v>1323</v>
      </c>
      <c r="BV535" s="217">
        <v>44</v>
      </c>
      <c r="BW535" s="217">
        <v>313</v>
      </c>
      <c r="BX535" s="217">
        <v>0</v>
      </c>
      <c r="BY535" s="217">
        <v>0</v>
      </c>
      <c r="BZ535" s="217">
        <v>0</v>
      </c>
      <c r="CA535" s="217">
        <v>0</v>
      </c>
      <c r="CB535" s="217">
        <v>44</v>
      </c>
      <c r="CC535" s="217">
        <v>313</v>
      </c>
      <c r="CD535" s="217">
        <v>0</v>
      </c>
      <c r="CE535" s="217">
        <v>0</v>
      </c>
      <c r="CF535" s="217">
        <v>0</v>
      </c>
      <c r="CG535" s="217">
        <v>0</v>
      </c>
      <c r="CH535" s="217">
        <v>0</v>
      </c>
      <c r="CI535" s="217">
        <v>0</v>
      </c>
      <c r="CJ535" s="217">
        <v>0</v>
      </c>
    </row>
    <row r="536" spans="1:88" x14ac:dyDescent="0.25">
      <c r="A536" s="217" t="s">
        <v>22</v>
      </c>
      <c r="B536" s="217" t="s">
        <v>23</v>
      </c>
      <c r="C536" s="217" t="s">
        <v>85</v>
      </c>
      <c r="D536" s="217" t="s">
        <v>84</v>
      </c>
      <c r="E536" s="217" t="s">
        <v>98</v>
      </c>
      <c r="F536" s="217" t="s">
        <v>97</v>
      </c>
      <c r="G536" s="217" t="s">
        <v>818</v>
      </c>
      <c r="H536" s="217" t="s">
        <v>1203</v>
      </c>
      <c r="I536" s="217" t="s">
        <v>29</v>
      </c>
      <c r="J536" s="217" t="s">
        <v>1857</v>
      </c>
      <c r="K536" s="217">
        <v>2</v>
      </c>
      <c r="L536" s="217">
        <v>8</v>
      </c>
      <c r="M536" s="217" t="s">
        <v>31</v>
      </c>
      <c r="N536" s="217" t="s">
        <v>32</v>
      </c>
      <c r="O536" s="217" t="s">
        <v>68</v>
      </c>
      <c r="P536" s="217" t="s">
        <v>34</v>
      </c>
      <c r="Q536" s="217" t="s">
        <v>35</v>
      </c>
      <c r="R536" s="217" t="s">
        <v>23</v>
      </c>
      <c r="S536" s="217" t="s">
        <v>22</v>
      </c>
      <c r="T536" s="217" t="s">
        <v>84</v>
      </c>
      <c r="U536" s="217" t="s">
        <v>85</v>
      </c>
      <c r="V536" s="217" t="s">
        <v>91</v>
      </c>
      <c r="W536" s="217" t="s">
        <v>92</v>
      </c>
      <c r="BC536" s="217" t="s">
        <v>184</v>
      </c>
      <c r="BD536" s="217" t="s">
        <v>215</v>
      </c>
      <c r="BE536" s="217" t="s">
        <v>1345</v>
      </c>
      <c r="BF536" s="217" t="s">
        <v>487</v>
      </c>
      <c r="BG536" s="217" t="s">
        <v>1998</v>
      </c>
      <c r="BH536" s="217" t="s">
        <v>1658</v>
      </c>
      <c r="BI536" s="217" t="s">
        <v>1660</v>
      </c>
      <c r="BJ536" s="217" t="s">
        <v>1658</v>
      </c>
      <c r="BK536" s="217" t="s">
        <v>637</v>
      </c>
      <c r="BL536" s="217"/>
      <c r="BM536" s="217"/>
      <c r="BN536" s="217">
        <v>0</v>
      </c>
      <c r="BO536" s="217">
        <v>0</v>
      </c>
      <c r="BR536" s="217" t="s">
        <v>184</v>
      </c>
      <c r="BS536" s="217" t="s">
        <v>471</v>
      </c>
      <c r="BT536" s="217" t="s">
        <v>476</v>
      </c>
      <c r="BU536" s="217" t="s">
        <v>1326</v>
      </c>
      <c r="BV536" s="217">
        <v>37</v>
      </c>
      <c r="BW536" s="217">
        <v>196</v>
      </c>
      <c r="BX536" s="217">
        <v>0</v>
      </c>
      <c r="BY536" s="217">
        <v>0</v>
      </c>
      <c r="BZ536" s="217">
        <v>0</v>
      </c>
      <c r="CA536" s="217">
        <v>0</v>
      </c>
      <c r="CB536" s="217">
        <v>37</v>
      </c>
      <c r="CC536" s="217">
        <v>196</v>
      </c>
      <c r="CD536" s="217">
        <v>0</v>
      </c>
      <c r="CE536" s="217">
        <v>0</v>
      </c>
      <c r="CF536" s="217">
        <v>0</v>
      </c>
      <c r="CG536" s="217">
        <v>0</v>
      </c>
      <c r="CH536" s="217">
        <v>0</v>
      </c>
      <c r="CI536" s="217">
        <v>0</v>
      </c>
      <c r="CJ536" s="217">
        <v>0</v>
      </c>
    </row>
    <row r="537" spans="1:88" x14ac:dyDescent="0.25">
      <c r="A537" s="217" t="s">
        <v>22</v>
      </c>
      <c r="B537" s="217" t="s">
        <v>23</v>
      </c>
      <c r="C537" s="217" t="s">
        <v>85</v>
      </c>
      <c r="D537" s="217" t="s">
        <v>84</v>
      </c>
      <c r="E537" s="217" t="s">
        <v>98</v>
      </c>
      <c r="F537" s="217" t="s">
        <v>97</v>
      </c>
      <c r="G537" s="217" t="s">
        <v>701</v>
      </c>
      <c r="H537" s="217" t="s">
        <v>1204</v>
      </c>
      <c r="I537" s="217" t="s">
        <v>29</v>
      </c>
      <c r="J537" s="217" t="s">
        <v>1858</v>
      </c>
      <c r="K537" s="217">
        <v>7</v>
      </c>
      <c r="L537" s="217">
        <v>60</v>
      </c>
      <c r="M537" s="217" t="s">
        <v>31</v>
      </c>
      <c r="N537" s="217" t="s">
        <v>32</v>
      </c>
      <c r="O537" s="217" t="s">
        <v>100</v>
      </c>
      <c r="P537" s="217" t="s">
        <v>34</v>
      </c>
      <c r="Q537" s="217" t="s">
        <v>35</v>
      </c>
      <c r="R537" s="217" t="s">
        <v>23</v>
      </c>
      <c r="S537" s="217" t="s">
        <v>22</v>
      </c>
      <c r="T537" s="217" t="s">
        <v>84</v>
      </c>
      <c r="U537" s="217" t="s">
        <v>85</v>
      </c>
      <c r="V537" s="217" t="s">
        <v>97</v>
      </c>
      <c r="W537" s="217" t="s">
        <v>98</v>
      </c>
      <c r="BC537" s="217" t="s">
        <v>184</v>
      </c>
      <c r="BD537" s="217" t="s">
        <v>215</v>
      </c>
      <c r="BE537" s="217" t="s">
        <v>1346</v>
      </c>
      <c r="BF537" s="217" t="s">
        <v>488</v>
      </c>
      <c r="BG537" s="217" t="s">
        <v>1998</v>
      </c>
      <c r="BH537" s="217" t="s">
        <v>1658</v>
      </c>
      <c r="BI537" s="217" t="s">
        <v>1660</v>
      </c>
      <c r="BJ537" s="217" t="s">
        <v>1660</v>
      </c>
      <c r="BK537" s="217" t="s">
        <v>637</v>
      </c>
      <c r="BL537" s="217"/>
      <c r="BM537" s="217"/>
      <c r="BN537" s="217">
        <v>0</v>
      </c>
      <c r="BO537" s="217">
        <v>0</v>
      </c>
      <c r="BR537" s="217" t="s">
        <v>184</v>
      </c>
      <c r="BS537" s="217" t="s">
        <v>471</v>
      </c>
      <c r="BT537" s="217" t="s">
        <v>477</v>
      </c>
      <c r="BU537" s="217" t="s">
        <v>1327</v>
      </c>
      <c r="BV537" s="217">
        <v>51</v>
      </c>
      <c r="BW537" s="217">
        <v>324</v>
      </c>
      <c r="BX537" s="217">
        <v>0</v>
      </c>
      <c r="BY537" s="217">
        <v>0</v>
      </c>
      <c r="BZ537" s="217">
        <v>0</v>
      </c>
      <c r="CA537" s="217">
        <v>0</v>
      </c>
      <c r="CB537" s="217">
        <v>51</v>
      </c>
      <c r="CC537" s="217">
        <v>324</v>
      </c>
      <c r="CD537" s="217">
        <v>0</v>
      </c>
      <c r="CE537" s="217">
        <v>0</v>
      </c>
      <c r="CF537" s="217">
        <v>0</v>
      </c>
      <c r="CG537" s="217">
        <v>0</v>
      </c>
      <c r="CH537" s="217">
        <v>0</v>
      </c>
      <c r="CI537" s="217">
        <v>0</v>
      </c>
      <c r="CJ537" s="217">
        <v>0</v>
      </c>
    </row>
    <row r="538" spans="1:88" x14ac:dyDescent="0.25">
      <c r="A538" s="217" t="s">
        <v>22</v>
      </c>
      <c r="B538" s="217" t="s">
        <v>23</v>
      </c>
      <c r="C538" s="217" t="s">
        <v>85</v>
      </c>
      <c r="D538" s="217" t="s">
        <v>84</v>
      </c>
      <c r="E538" s="217" t="s">
        <v>98</v>
      </c>
      <c r="F538" s="217" t="s">
        <v>97</v>
      </c>
      <c r="G538" s="217" t="s">
        <v>409</v>
      </c>
      <c r="H538" s="217" t="s">
        <v>1205</v>
      </c>
      <c r="I538" s="217" t="s">
        <v>29</v>
      </c>
      <c r="J538" s="217" t="s">
        <v>1856</v>
      </c>
      <c r="K538" s="217">
        <v>7</v>
      </c>
      <c r="L538" s="217">
        <v>49</v>
      </c>
      <c r="M538" s="217" t="s">
        <v>31</v>
      </c>
      <c r="N538" s="217" t="s">
        <v>32</v>
      </c>
      <c r="O538" s="217" t="s">
        <v>100</v>
      </c>
      <c r="P538" s="217" t="s">
        <v>34</v>
      </c>
      <c r="Q538" s="217" t="s">
        <v>35</v>
      </c>
      <c r="R538" s="217" t="s">
        <v>23</v>
      </c>
      <c r="S538" s="217" t="s">
        <v>22</v>
      </c>
      <c r="T538" s="217" t="s">
        <v>84</v>
      </c>
      <c r="U538" s="217" t="s">
        <v>85</v>
      </c>
      <c r="V538" s="217" t="s">
        <v>97</v>
      </c>
      <c r="W538" s="217" t="s">
        <v>98</v>
      </c>
      <c r="BC538" s="217" t="s">
        <v>184</v>
      </c>
      <c r="BD538" s="217" t="s">
        <v>215</v>
      </c>
      <c r="BE538" s="217" t="s">
        <v>1347</v>
      </c>
      <c r="BF538" s="217" t="s">
        <v>1838</v>
      </c>
      <c r="BG538" s="217" t="s">
        <v>1998</v>
      </c>
      <c r="BH538" s="217" t="s">
        <v>1658</v>
      </c>
      <c r="BI538" s="217" t="s">
        <v>1660</v>
      </c>
      <c r="BJ538" s="217" t="s">
        <v>1658</v>
      </c>
      <c r="BK538" s="217" t="s">
        <v>637</v>
      </c>
      <c r="BL538" s="217"/>
      <c r="BM538" s="217"/>
      <c r="BN538" s="217">
        <v>0</v>
      </c>
      <c r="BO538" s="217">
        <v>0</v>
      </c>
      <c r="BR538" s="217" t="s">
        <v>184</v>
      </c>
      <c r="BS538" s="217" t="s">
        <v>471</v>
      </c>
      <c r="BT538" s="217" t="s">
        <v>638</v>
      </c>
      <c r="BU538" s="217" t="s">
        <v>1533</v>
      </c>
      <c r="BV538" s="217">
        <v>0</v>
      </c>
      <c r="BW538" s="217">
        <v>0</v>
      </c>
      <c r="BX538" s="217">
        <v>25</v>
      </c>
      <c r="BY538" s="217">
        <v>119</v>
      </c>
      <c r="BZ538" s="217">
        <v>7</v>
      </c>
      <c r="CA538" s="217">
        <v>41</v>
      </c>
      <c r="CB538" s="217">
        <v>0</v>
      </c>
      <c r="CC538" s="217">
        <v>0</v>
      </c>
      <c r="CD538" s="217">
        <v>24</v>
      </c>
      <c r="CE538" s="217">
        <v>112</v>
      </c>
      <c r="CF538" s="217">
        <v>9</v>
      </c>
      <c r="CG538" s="217">
        <v>50</v>
      </c>
      <c r="CH538" s="217">
        <v>0</v>
      </c>
      <c r="CI538" s="217">
        <v>7</v>
      </c>
      <c r="CJ538" s="217">
        <v>-9</v>
      </c>
    </row>
    <row r="539" spans="1:88" x14ac:dyDescent="0.25">
      <c r="A539" s="217" t="s">
        <v>22</v>
      </c>
      <c r="B539" s="217" t="s">
        <v>23</v>
      </c>
      <c r="C539" s="217" t="s">
        <v>85</v>
      </c>
      <c r="D539" s="217" t="s">
        <v>84</v>
      </c>
      <c r="E539" s="217" t="s">
        <v>98</v>
      </c>
      <c r="F539" s="217" t="s">
        <v>97</v>
      </c>
      <c r="G539" s="217" t="s">
        <v>409</v>
      </c>
      <c r="H539" s="217" t="s">
        <v>1205</v>
      </c>
      <c r="I539" s="217" t="s">
        <v>29</v>
      </c>
      <c r="J539" s="217" t="s">
        <v>1857</v>
      </c>
      <c r="K539" s="217">
        <v>12</v>
      </c>
      <c r="L539" s="217">
        <v>119</v>
      </c>
      <c r="M539" s="217" t="s">
        <v>31</v>
      </c>
      <c r="N539" s="217" t="s">
        <v>32</v>
      </c>
      <c r="O539" s="217" t="s">
        <v>100</v>
      </c>
      <c r="P539" s="217" t="s">
        <v>34</v>
      </c>
      <c r="Q539" s="217" t="s">
        <v>35</v>
      </c>
      <c r="R539" s="217" t="s">
        <v>23</v>
      </c>
      <c r="S539" s="217" t="s">
        <v>22</v>
      </c>
      <c r="T539" s="217" t="s">
        <v>84</v>
      </c>
      <c r="U539" s="217" t="s">
        <v>85</v>
      </c>
      <c r="V539" s="217" t="s">
        <v>97</v>
      </c>
      <c r="W539" s="217" t="s">
        <v>98</v>
      </c>
      <c r="BC539" s="217" t="s">
        <v>184</v>
      </c>
      <c r="BD539" s="217" t="s">
        <v>213</v>
      </c>
      <c r="BE539" s="217" t="s">
        <v>1348</v>
      </c>
      <c r="BF539" s="217" t="s">
        <v>489</v>
      </c>
      <c r="BG539" s="217" t="s">
        <v>1998</v>
      </c>
      <c r="BH539" s="217" t="s">
        <v>1658</v>
      </c>
      <c r="BI539" s="217" t="s">
        <v>1660</v>
      </c>
      <c r="BJ539" s="217" t="s">
        <v>1660</v>
      </c>
      <c r="BK539" s="217" t="s">
        <v>637</v>
      </c>
      <c r="BL539" s="217"/>
      <c r="BM539" s="217"/>
      <c r="BN539" s="217">
        <v>0</v>
      </c>
      <c r="BO539" s="217">
        <v>0</v>
      </c>
      <c r="BR539" s="217" t="s">
        <v>218</v>
      </c>
      <c r="BS539" s="217" t="s">
        <v>676</v>
      </c>
      <c r="BT539" s="217" t="s">
        <v>680</v>
      </c>
      <c r="BU539" s="217" t="s">
        <v>1574</v>
      </c>
      <c r="BV539" s="217">
        <v>0</v>
      </c>
      <c r="BW539" s="217">
        <v>0</v>
      </c>
      <c r="BX539" s="217">
        <v>0</v>
      </c>
      <c r="BY539" s="217">
        <v>0</v>
      </c>
      <c r="BZ539" s="217">
        <v>2</v>
      </c>
      <c r="CA539" s="217">
        <v>42</v>
      </c>
      <c r="CB539" s="217">
        <v>0</v>
      </c>
      <c r="CC539" s="217">
        <v>0</v>
      </c>
      <c r="CD539" s="217">
        <v>0</v>
      </c>
      <c r="CE539" s="217">
        <v>0</v>
      </c>
      <c r="CF539" s="217">
        <v>2</v>
      </c>
      <c r="CG539" s="217">
        <v>39</v>
      </c>
      <c r="CH539" s="217">
        <v>0</v>
      </c>
      <c r="CI539" s="217">
        <v>0</v>
      </c>
      <c r="CJ539" s="217">
        <v>3</v>
      </c>
    </row>
    <row r="540" spans="1:88" x14ac:dyDescent="0.25">
      <c r="A540" s="217" t="s">
        <v>22</v>
      </c>
      <c r="B540" s="217" t="s">
        <v>23</v>
      </c>
      <c r="C540" s="217" t="s">
        <v>85</v>
      </c>
      <c r="D540" s="217" t="s">
        <v>84</v>
      </c>
      <c r="E540" s="217" t="s">
        <v>98</v>
      </c>
      <c r="F540" s="217" t="s">
        <v>97</v>
      </c>
      <c r="G540" s="217" t="s">
        <v>2137</v>
      </c>
      <c r="H540" s="217" t="s">
        <v>2138</v>
      </c>
      <c r="I540" s="217" t="s">
        <v>29</v>
      </c>
      <c r="J540" s="217" t="s">
        <v>1858</v>
      </c>
      <c r="K540" s="217">
        <v>5</v>
      </c>
      <c r="L540" s="217">
        <v>43</v>
      </c>
      <c r="M540" s="217" t="s">
        <v>31</v>
      </c>
      <c r="N540" s="217" t="s">
        <v>32</v>
      </c>
      <c r="O540" s="217" t="s">
        <v>100</v>
      </c>
      <c r="P540" s="217" t="s">
        <v>34</v>
      </c>
      <c r="Q540" s="217" t="s">
        <v>35</v>
      </c>
      <c r="R540" s="217" t="s">
        <v>23</v>
      </c>
      <c r="S540" s="217" t="s">
        <v>22</v>
      </c>
      <c r="T540" s="217" t="s">
        <v>84</v>
      </c>
      <c r="U540" s="217" t="s">
        <v>85</v>
      </c>
      <c r="V540" s="217" t="s">
        <v>97</v>
      </c>
      <c r="W540" s="217" t="s">
        <v>98</v>
      </c>
      <c r="BC540" s="217" t="s">
        <v>184</v>
      </c>
      <c r="BD540" s="217" t="s">
        <v>213</v>
      </c>
      <c r="BE540" s="217" t="s">
        <v>2031</v>
      </c>
      <c r="BF540" s="217" t="s">
        <v>2032</v>
      </c>
      <c r="BG540" s="217" t="s">
        <v>1998</v>
      </c>
      <c r="BH540" s="217" t="s">
        <v>1658</v>
      </c>
      <c r="BI540" s="217" t="s">
        <v>1660</v>
      </c>
      <c r="BJ540" s="217" t="s">
        <v>1658</v>
      </c>
      <c r="BK540" s="217" t="s">
        <v>637</v>
      </c>
      <c r="BL540" s="217"/>
      <c r="BM540" s="217"/>
      <c r="BN540" s="217">
        <v>0</v>
      </c>
      <c r="BO540" s="217">
        <v>0</v>
      </c>
      <c r="BR540" s="217" t="s">
        <v>218</v>
      </c>
      <c r="BS540" s="217" t="s">
        <v>676</v>
      </c>
      <c r="BT540" s="217" t="s">
        <v>678</v>
      </c>
      <c r="BU540" s="217" t="s">
        <v>1572</v>
      </c>
      <c r="BV540" s="217">
        <v>0</v>
      </c>
      <c r="BW540" s="217">
        <v>0</v>
      </c>
      <c r="BX540" s="217">
        <v>0</v>
      </c>
      <c r="BY540" s="217">
        <v>0</v>
      </c>
      <c r="BZ540" s="217">
        <v>1</v>
      </c>
      <c r="CA540" s="217">
        <v>6</v>
      </c>
      <c r="CB540" s="217">
        <v>0</v>
      </c>
      <c r="CC540" s="217">
        <v>0</v>
      </c>
      <c r="CD540" s="217">
        <v>0</v>
      </c>
      <c r="CE540" s="217">
        <v>0</v>
      </c>
      <c r="CF540" s="217">
        <v>1</v>
      </c>
      <c r="CG540" s="217">
        <v>6</v>
      </c>
      <c r="CH540" s="217">
        <v>0</v>
      </c>
      <c r="CI540" s="217">
        <v>0</v>
      </c>
      <c r="CJ540" s="217">
        <v>0</v>
      </c>
    </row>
    <row r="541" spans="1:88" x14ac:dyDescent="0.25">
      <c r="A541" s="217" t="s">
        <v>22</v>
      </c>
      <c r="B541" s="217" t="s">
        <v>23</v>
      </c>
      <c r="C541" s="217" t="s">
        <v>85</v>
      </c>
      <c r="D541" s="217" t="s">
        <v>84</v>
      </c>
      <c r="E541" s="217" t="s">
        <v>98</v>
      </c>
      <c r="F541" s="217" t="s">
        <v>97</v>
      </c>
      <c r="G541" s="217" t="s">
        <v>410</v>
      </c>
      <c r="H541" s="217" t="s">
        <v>1206</v>
      </c>
      <c r="I541" s="217" t="s">
        <v>29</v>
      </c>
      <c r="J541" s="217" t="s">
        <v>1856</v>
      </c>
      <c r="K541" s="217">
        <v>6</v>
      </c>
      <c r="L541" s="217">
        <v>25</v>
      </c>
      <c r="M541" s="217" t="s">
        <v>31</v>
      </c>
      <c r="N541" s="217" t="s">
        <v>32</v>
      </c>
      <c r="O541" s="217" t="s">
        <v>68</v>
      </c>
      <c r="P541" s="217" t="s">
        <v>34</v>
      </c>
      <c r="Q541" s="217" t="s">
        <v>35</v>
      </c>
      <c r="R541" s="217" t="s">
        <v>23</v>
      </c>
      <c r="S541" s="217" t="s">
        <v>22</v>
      </c>
      <c r="T541" s="217" t="s">
        <v>84</v>
      </c>
      <c r="U541" s="217" t="s">
        <v>85</v>
      </c>
      <c r="V541" s="217" t="s">
        <v>91</v>
      </c>
      <c r="W541" s="217" t="s">
        <v>92</v>
      </c>
      <c r="BC541" s="217" t="s">
        <v>184</v>
      </c>
      <c r="BD541" s="217" t="s">
        <v>213</v>
      </c>
      <c r="BE541" s="217" t="s">
        <v>2033</v>
      </c>
      <c r="BF541" s="217" t="s">
        <v>2034</v>
      </c>
      <c r="BG541" s="217" t="s">
        <v>1998</v>
      </c>
      <c r="BH541" s="217" t="s">
        <v>1658</v>
      </c>
      <c r="BI541" s="217" t="s">
        <v>1660</v>
      </c>
      <c r="BJ541" s="217" t="s">
        <v>1658</v>
      </c>
      <c r="BK541" s="217" t="s">
        <v>637</v>
      </c>
      <c r="BL541" s="217"/>
      <c r="BM541" s="217"/>
      <c r="BN541" s="217">
        <v>0</v>
      </c>
      <c r="BO541" s="217">
        <v>0</v>
      </c>
      <c r="BR541" s="217" t="s">
        <v>218</v>
      </c>
      <c r="BS541" s="217" t="s">
        <v>676</v>
      </c>
      <c r="BT541" s="217" t="s">
        <v>679</v>
      </c>
      <c r="BU541" s="217" t="s">
        <v>1573</v>
      </c>
      <c r="BV541" s="217">
        <v>0</v>
      </c>
      <c r="BW541" s="217">
        <v>0</v>
      </c>
      <c r="BX541" s="217">
        <v>0</v>
      </c>
      <c r="BY541" s="217">
        <v>0</v>
      </c>
      <c r="BZ541" s="217">
        <v>1</v>
      </c>
      <c r="CA541" s="217">
        <v>4</v>
      </c>
      <c r="CB541" s="217">
        <v>0</v>
      </c>
      <c r="CC541" s="217">
        <v>0</v>
      </c>
      <c r="CD541" s="217">
        <v>0</v>
      </c>
      <c r="CE541" s="217">
        <v>0</v>
      </c>
      <c r="CF541" s="217">
        <v>1</v>
      </c>
      <c r="CG541" s="217">
        <v>4</v>
      </c>
      <c r="CH541" s="217">
        <v>0</v>
      </c>
      <c r="CI541" s="217">
        <v>0</v>
      </c>
      <c r="CJ541" s="217">
        <v>0</v>
      </c>
    </row>
    <row r="542" spans="1:88" x14ac:dyDescent="0.25">
      <c r="A542" s="217" t="s">
        <v>22</v>
      </c>
      <c r="B542" s="217" t="s">
        <v>23</v>
      </c>
      <c r="C542" s="217" t="s">
        <v>85</v>
      </c>
      <c r="D542" s="217" t="s">
        <v>84</v>
      </c>
      <c r="E542" s="217" t="s">
        <v>98</v>
      </c>
      <c r="F542" s="217" t="s">
        <v>97</v>
      </c>
      <c r="G542" s="217" t="s">
        <v>410</v>
      </c>
      <c r="H542" s="217" t="s">
        <v>1206</v>
      </c>
      <c r="I542" s="217" t="s">
        <v>29</v>
      </c>
      <c r="J542" s="217" t="s">
        <v>1857</v>
      </c>
      <c r="K542" s="217">
        <v>4</v>
      </c>
      <c r="L542" s="217">
        <v>12</v>
      </c>
      <c r="M542" s="217" t="s">
        <v>31</v>
      </c>
      <c r="N542" s="217" t="s">
        <v>32</v>
      </c>
      <c r="O542" s="217" t="s">
        <v>68</v>
      </c>
      <c r="P542" s="217" t="s">
        <v>34</v>
      </c>
      <c r="Q542" s="217" t="s">
        <v>35</v>
      </c>
      <c r="R542" s="217" t="s">
        <v>23</v>
      </c>
      <c r="S542" s="217" t="s">
        <v>22</v>
      </c>
      <c r="T542" s="217" t="s">
        <v>84</v>
      </c>
      <c r="U542" s="217" t="s">
        <v>85</v>
      </c>
      <c r="V542" s="217" t="s">
        <v>109</v>
      </c>
      <c r="W542" s="217" t="s">
        <v>110</v>
      </c>
      <c r="BC542" s="217" t="s">
        <v>218</v>
      </c>
      <c r="BD542" s="217" t="s">
        <v>676</v>
      </c>
      <c r="BE542" s="217" t="s">
        <v>1572</v>
      </c>
      <c r="BF542" s="217" t="s">
        <v>678</v>
      </c>
      <c r="BG542" s="217" t="s">
        <v>1998</v>
      </c>
      <c r="BH542" s="217" t="s">
        <v>1660</v>
      </c>
      <c r="BI542" s="217" t="s">
        <v>1660</v>
      </c>
      <c r="BJ542" s="217" t="s">
        <v>1658</v>
      </c>
      <c r="BK542" s="217" t="s">
        <v>637</v>
      </c>
      <c r="BL542" s="217"/>
      <c r="BM542" s="217"/>
      <c r="BN542" s="217">
        <v>0</v>
      </c>
      <c r="BO542" s="217">
        <v>0</v>
      </c>
      <c r="BR542" s="217" t="s">
        <v>218</v>
      </c>
      <c r="BS542" s="217" t="s">
        <v>676</v>
      </c>
      <c r="BT542" s="217" t="s">
        <v>682</v>
      </c>
      <c r="BU542" s="217" t="s">
        <v>1576</v>
      </c>
      <c r="BV542" s="217">
        <v>0</v>
      </c>
      <c r="BW542" s="217">
        <v>0</v>
      </c>
      <c r="BX542" s="217">
        <v>0</v>
      </c>
      <c r="BY542" s="217">
        <v>0</v>
      </c>
      <c r="BZ542" s="217">
        <v>1</v>
      </c>
      <c r="CA542" s="217">
        <v>6</v>
      </c>
      <c r="CB542" s="217">
        <v>0</v>
      </c>
      <c r="CC542" s="217">
        <v>0</v>
      </c>
      <c r="CD542" s="217">
        <v>0</v>
      </c>
      <c r="CE542" s="217">
        <v>0</v>
      </c>
      <c r="CF542" s="217">
        <v>1</v>
      </c>
      <c r="CG542" s="217">
        <v>6</v>
      </c>
      <c r="CH542" s="217">
        <v>0</v>
      </c>
      <c r="CI542" s="217">
        <v>0</v>
      </c>
      <c r="CJ542" s="217">
        <v>0</v>
      </c>
    </row>
    <row r="543" spans="1:88" x14ac:dyDescent="0.25">
      <c r="A543" s="217" t="s">
        <v>22</v>
      </c>
      <c r="B543" s="217" t="s">
        <v>23</v>
      </c>
      <c r="C543" s="217" t="s">
        <v>85</v>
      </c>
      <c r="D543" s="217" t="s">
        <v>84</v>
      </c>
      <c r="E543" s="217" t="s">
        <v>98</v>
      </c>
      <c r="F543" s="217" t="s">
        <v>97</v>
      </c>
      <c r="G543" s="217" t="s">
        <v>782</v>
      </c>
      <c r="H543" s="217" t="s">
        <v>1207</v>
      </c>
      <c r="I543" s="217" t="s">
        <v>29</v>
      </c>
      <c r="J543" s="217" t="s">
        <v>1857</v>
      </c>
      <c r="K543" s="217">
        <v>6</v>
      </c>
      <c r="L543" s="217">
        <v>41</v>
      </c>
      <c r="M543" s="217" t="s">
        <v>31</v>
      </c>
      <c r="N543" s="217" t="s">
        <v>32</v>
      </c>
      <c r="O543" s="217" t="s">
        <v>100</v>
      </c>
      <c r="P543" s="217" t="s">
        <v>34</v>
      </c>
      <c r="Q543" s="217" t="s">
        <v>35</v>
      </c>
      <c r="R543" s="217" t="s">
        <v>23</v>
      </c>
      <c r="S543" s="217" t="s">
        <v>22</v>
      </c>
      <c r="T543" s="217" t="s">
        <v>84</v>
      </c>
      <c r="U543" s="217" t="s">
        <v>85</v>
      </c>
      <c r="V543" s="217" t="s">
        <v>97</v>
      </c>
      <c r="W543" s="217" t="s">
        <v>98</v>
      </c>
      <c r="BC543" s="217" t="s">
        <v>218</v>
      </c>
      <c r="BD543" s="217" t="s">
        <v>676</v>
      </c>
      <c r="BE543" s="217" t="s">
        <v>1573</v>
      </c>
      <c r="BF543" s="217" t="s">
        <v>679</v>
      </c>
      <c r="BG543" s="217" t="s">
        <v>1998</v>
      </c>
      <c r="BH543" s="217" t="s">
        <v>1660</v>
      </c>
      <c r="BI543" s="217" t="s">
        <v>1660</v>
      </c>
      <c r="BJ543" s="217" t="s">
        <v>1658</v>
      </c>
      <c r="BK543" s="217" t="s">
        <v>637</v>
      </c>
      <c r="BL543" s="217"/>
      <c r="BM543" s="217"/>
      <c r="BN543" s="217">
        <v>0</v>
      </c>
      <c r="BO543" s="217">
        <v>0</v>
      </c>
      <c r="BR543" s="217" t="s">
        <v>218</v>
      </c>
      <c r="BS543" s="217" t="s">
        <v>676</v>
      </c>
      <c r="BT543" s="217" t="s">
        <v>681</v>
      </c>
      <c r="BU543" s="217" t="s">
        <v>1575</v>
      </c>
      <c r="BV543" s="217">
        <v>0</v>
      </c>
      <c r="BW543" s="217">
        <v>0</v>
      </c>
      <c r="BX543" s="217">
        <v>0</v>
      </c>
      <c r="BY543" s="217">
        <v>0</v>
      </c>
      <c r="BZ543" s="217">
        <v>2</v>
      </c>
      <c r="CA543" s="217">
        <v>24</v>
      </c>
      <c r="CB543" s="217">
        <v>0</v>
      </c>
      <c r="CC543" s="217">
        <v>0</v>
      </c>
      <c r="CD543" s="217">
        <v>0</v>
      </c>
      <c r="CE543" s="217">
        <v>0</v>
      </c>
      <c r="CF543" s="217">
        <v>2</v>
      </c>
      <c r="CG543" s="217">
        <v>22</v>
      </c>
      <c r="CH543" s="217">
        <v>0</v>
      </c>
      <c r="CI543" s="217">
        <v>0</v>
      </c>
      <c r="CJ543" s="217">
        <v>2</v>
      </c>
    </row>
    <row r="544" spans="1:88" x14ac:dyDescent="0.25">
      <c r="A544" s="217" t="s">
        <v>22</v>
      </c>
      <c r="B544" s="217" t="s">
        <v>23</v>
      </c>
      <c r="C544" s="217" t="s">
        <v>85</v>
      </c>
      <c r="D544" s="217" t="s">
        <v>84</v>
      </c>
      <c r="E544" s="217" t="s">
        <v>98</v>
      </c>
      <c r="F544" s="217" t="s">
        <v>97</v>
      </c>
      <c r="G544" s="217" t="s">
        <v>782</v>
      </c>
      <c r="H544" s="217" t="s">
        <v>1207</v>
      </c>
      <c r="I544" s="217" t="s">
        <v>29</v>
      </c>
      <c r="J544" s="217" t="s">
        <v>1858</v>
      </c>
      <c r="K544" s="217">
        <v>5</v>
      </c>
      <c r="L544" s="217">
        <v>38</v>
      </c>
      <c r="M544" s="217" t="s">
        <v>31</v>
      </c>
      <c r="N544" s="217" t="s">
        <v>32</v>
      </c>
      <c r="O544" s="217" t="s">
        <v>100</v>
      </c>
      <c r="P544" s="217" t="s">
        <v>34</v>
      </c>
      <c r="Q544" s="217" t="s">
        <v>35</v>
      </c>
      <c r="R544" s="217" t="s">
        <v>23</v>
      </c>
      <c r="S544" s="217" t="s">
        <v>22</v>
      </c>
      <c r="T544" s="217" t="s">
        <v>84</v>
      </c>
      <c r="U544" s="217" t="s">
        <v>85</v>
      </c>
      <c r="V544" s="217" t="s">
        <v>97</v>
      </c>
      <c r="W544" s="217" t="s">
        <v>98</v>
      </c>
      <c r="BC544" s="217" t="s">
        <v>218</v>
      </c>
      <c r="BD544" s="217" t="s">
        <v>676</v>
      </c>
      <c r="BE544" s="217" t="s">
        <v>1574</v>
      </c>
      <c r="BF544" s="217" t="s">
        <v>680</v>
      </c>
      <c r="BG544" s="217" t="s">
        <v>1998</v>
      </c>
      <c r="BH544" s="217" t="s">
        <v>1660</v>
      </c>
      <c r="BI544" s="217" t="s">
        <v>1660</v>
      </c>
      <c r="BJ544" s="217" t="s">
        <v>1658</v>
      </c>
      <c r="BK544" s="217" t="s">
        <v>637</v>
      </c>
      <c r="BL544" s="217"/>
      <c r="BM544" s="217"/>
      <c r="BN544" s="217">
        <v>0</v>
      </c>
      <c r="BO544" s="217">
        <v>0</v>
      </c>
      <c r="BR544" s="217" t="s">
        <v>218</v>
      </c>
      <c r="BS544" s="217" t="s">
        <v>228</v>
      </c>
      <c r="BT544" s="217" t="s">
        <v>229</v>
      </c>
      <c r="BU544" s="217" t="s">
        <v>1581</v>
      </c>
      <c r="BV544" s="217">
        <v>0</v>
      </c>
      <c r="BW544" s="217">
        <v>0</v>
      </c>
      <c r="BX544" s="217">
        <v>0</v>
      </c>
      <c r="BY544" s="217">
        <v>0</v>
      </c>
      <c r="BZ544" s="217">
        <v>64</v>
      </c>
      <c r="CA544" s="217">
        <v>357</v>
      </c>
      <c r="CB544" s="217">
        <v>0</v>
      </c>
      <c r="CC544" s="217">
        <v>0</v>
      </c>
      <c r="CD544" s="217">
        <v>0</v>
      </c>
      <c r="CE544" s="217">
        <v>0</v>
      </c>
      <c r="CF544" s="217">
        <v>71</v>
      </c>
      <c r="CG544" s="217">
        <v>373</v>
      </c>
      <c r="CH544" s="217">
        <v>0</v>
      </c>
      <c r="CI544" s="217">
        <v>0</v>
      </c>
      <c r="CJ544" s="217">
        <v>-16</v>
      </c>
    </row>
    <row r="545" spans="1:88" x14ac:dyDescent="0.25">
      <c r="A545" s="217" t="s">
        <v>22</v>
      </c>
      <c r="B545" s="217" t="s">
        <v>23</v>
      </c>
      <c r="C545" s="217" t="s">
        <v>85</v>
      </c>
      <c r="D545" s="217" t="s">
        <v>84</v>
      </c>
      <c r="E545" s="217" t="s">
        <v>98</v>
      </c>
      <c r="F545" s="217" t="s">
        <v>97</v>
      </c>
      <c r="G545" s="217" t="s">
        <v>782</v>
      </c>
      <c r="H545" s="217" t="s">
        <v>1207</v>
      </c>
      <c r="I545" s="217" t="s">
        <v>29</v>
      </c>
      <c r="J545" s="217" t="s">
        <v>1859</v>
      </c>
      <c r="K545" s="217">
        <v>3</v>
      </c>
      <c r="L545" s="217">
        <v>25</v>
      </c>
      <c r="M545" s="217" t="s">
        <v>31</v>
      </c>
      <c r="N545" s="217" t="s">
        <v>32</v>
      </c>
      <c r="O545" s="217" t="s">
        <v>100</v>
      </c>
      <c r="P545" s="217" t="s">
        <v>34</v>
      </c>
      <c r="Q545" s="217" t="s">
        <v>35</v>
      </c>
      <c r="R545" s="217" t="s">
        <v>23</v>
      </c>
      <c r="S545" s="217" t="s">
        <v>22</v>
      </c>
      <c r="T545" s="217" t="s">
        <v>84</v>
      </c>
      <c r="U545" s="217" t="s">
        <v>85</v>
      </c>
      <c r="V545" s="217" t="s">
        <v>97</v>
      </c>
      <c r="W545" s="217" t="s">
        <v>98</v>
      </c>
      <c r="BC545" s="217" t="s">
        <v>218</v>
      </c>
      <c r="BD545" s="217" t="s">
        <v>676</v>
      </c>
      <c r="BE545" s="217" t="s">
        <v>1575</v>
      </c>
      <c r="BF545" s="217" t="s">
        <v>681</v>
      </c>
      <c r="BG545" s="217" t="s">
        <v>1998</v>
      </c>
      <c r="BH545" s="217" t="s">
        <v>1660</v>
      </c>
      <c r="BI545" s="217" t="s">
        <v>1660</v>
      </c>
      <c r="BJ545" s="217" t="s">
        <v>1658</v>
      </c>
      <c r="BK545" s="217" t="s">
        <v>637</v>
      </c>
      <c r="BL545" s="217"/>
      <c r="BM545" s="217"/>
      <c r="BN545" s="217">
        <v>0</v>
      </c>
      <c r="BO545" s="217">
        <v>0</v>
      </c>
      <c r="BR545" s="217" t="s">
        <v>218</v>
      </c>
      <c r="BS545" s="217" t="s">
        <v>228</v>
      </c>
      <c r="BT545" s="217" t="s">
        <v>230</v>
      </c>
      <c r="BU545" s="217" t="s">
        <v>1582</v>
      </c>
      <c r="BV545" s="217">
        <v>0</v>
      </c>
      <c r="BW545" s="217">
        <v>0</v>
      </c>
      <c r="BX545" s="217">
        <v>0</v>
      </c>
      <c r="BY545" s="217">
        <v>0</v>
      </c>
      <c r="BZ545" s="217">
        <v>15</v>
      </c>
      <c r="CA545" s="217">
        <v>72</v>
      </c>
      <c r="CB545" s="217">
        <v>0</v>
      </c>
      <c r="CC545" s="217">
        <v>0</v>
      </c>
      <c r="CD545" s="217">
        <v>0</v>
      </c>
      <c r="CE545" s="217">
        <v>0</v>
      </c>
      <c r="CF545" s="217">
        <v>15</v>
      </c>
      <c r="CG545" s="217">
        <v>71</v>
      </c>
      <c r="CH545" s="217">
        <v>0</v>
      </c>
      <c r="CI545" s="217">
        <v>0</v>
      </c>
      <c r="CJ545" s="217">
        <v>1</v>
      </c>
    </row>
    <row r="546" spans="1:88" x14ac:dyDescent="0.25">
      <c r="A546" s="217" t="s">
        <v>22</v>
      </c>
      <c r="B546" s="217" t="s">
        <v>23</v>
      </c>
      <c r="C546" s="217" t="s">
        <v>85</v>
      </c>
      <c r="D546" s="217" t="s">
        <v>84</v>
      </c>
      <c r="E546" s="217" t="s">
        <v>98</v>
      </c>
      <c r="F546" s="217" t="s">
        <v>97</v>
      </c>
      <c r="G546" s="217" t="s">
        <v>165</v>
      </c>
      <c r="H546" s="217" t="s">
        <v>1208</v>
      </c>
      <c r="I546" s="217" t="s">
        <v>29</v>
      </c>
      <c r="J546" s="217" t="s">
        <v>1855</v>
      </c>
      <c r="K546" s="217">
        <v>4</v>
      </c>
      <c r="L546" s="217">
        <v>26</v>
      </c>
      <c r="M546" s="217" t="s">
        <v>31</v>
      </c>
      <c r="N546" s="217" t="s">
        <v>32</v>
      </c>
      <c r="O546" s="217" t="s">
        <v>68</v>
      </c>
      <c r="P546" s="217" t="s">
        <v>34</v>
      </c>
      <c r="Q546" s="217" t="s">
        <v>35</v>
      </c>
      <c r="R546" s="217" t="s">
        <v>23</v>
      </c>
      <c r="S546" s="217" t="s">
        <v>22</v>
      </c>
      <c r="T546" s="217" t="s">
        <v>84</v>
      </c>
      <c r="U546" s="217" t="s">
        <v>85</v>
      </c>
      <c r="V546" s="217" t="s">
        <v>91</v>
      </c>
      <c r="W546" s="217" t="s">
        <v>92</v>
      </c>
      <c r="BC546" s="217" t="s">
        <v>218</v>
      </c>
      <c r="BD546" s="217" t="s">
        <v>676</v>
      </c>
      <c r="BE546" s="217" t="s">
        <v>1576</v>
      </c>
      <c r="BF546" s="217" t="s">
        <v>682</v>
      </c>
      <c r="BG546" s="217" t="s">
        <v>1998</v>
      </c>
      <c r="BH546" s="217" t="s">
        <v>1660</v>
      </c>
      <c r="BI546" s="217" t="s">
        <v>1660</v>
      </c>
      <c r="BJ546" s="217" t="s">
        <v>1658</v>
      </c>
      <c r="BK546" s="217" t="s">
        <v>637</v>
      </c>
      <c r="BL546" s="217"/>
      <c r="BM546" s="217"/>
      <c r="BN546" s="217">
        <v>0</v>
      </c>
      <c r="BO546" s="217">
        <v>0</v>
      </c>
      <c r="BR546" s="217" t="s">
        <v>218</v>
      </c>
      <c r="BS546" s="217" t="s">
        <v>497</v>
      </c>
      <c r="BT546" s="217" t="s">
        <v>500</v>
      </c>
      <c r="BU546" s="217" t="s">
        <v>1357</v>
      </c>
      <c r="BV546" s="217">
        <v>4</v>
      </c>
      <c r="BW546" s="217">
        <v>36</v>
      </c>
      <c r="BX546" s="217">
        <v>0</v>
      </c>
      <c r="BY546" s="217">
        <v>0</v>
      </c>
      <c r="BZ546" s="217">
        <v>1</v>
      </c>
      <c r="CA546" s="217">
        <v>4</v>
      </c>
      <c r="CB546" s="217">
        <v>4</v>
      </c>
      <c r="CC546" s="217">
        <v>36</v>
      </c>
      <c r="CD546" s="217">
        <v>0</v>
      </c>
      <c r="CE546" s="217">
        <v>0</v>
      </c>
      <c r="CF546" s="217">
        <v>1</v>
      </c>
      <c r="CG546" s="217">
        <v>4</v>
      </c>
      <c r="CH546" s="217">
        <v>0</v>
      </c>
      <c r="CI546" s="217">
        <v>0</v>
      </c>
      <c r="CJ546" s="217">
        <v>0</v>
      </c>
    </row>
    <row r="547" spans="1:88" x14ac:dyDescent="0.25">
      <c r="A547" s="217" t="s">
        <v>22</v>
      </c>
      <c r="B547" s="217" t="s">
        <v>23</v>
      </c>
      <c r="C547" s="217" t="s">
        <v>85</v>
      </c>
      <c r="D547" s="217" t="s">
        <v>84</v>
      </c>
      <c r="E547" s="217" t="s">
        <v>98</v>
      </c>
      <c r="F547" s="217" t="s">
        <v>97</v>
      </c>
      <c r="G547" s="217" t="s">
        <v>165</v>
      </c>
      <c r="H547" s="217" t="s">
        <v>1208</v>
      </c>
      <c r="I547" s="217" t="s">
        <v>29</v>
      </c>
      <c r="J547" s="217" t="s">
        <v>1856</v>
      </c>
      <c r="K547" s="217">
        <v>6</v>
      </c>
      <c r="L547" s="217">
        <v>35</v>
      </c>
      <c r="M547" s="217" t="s">
        <v>31</v>
      </c>
      <c r="N547" s="217" t="s">
        <v>32</v>
      </c>
      <c r="O547" s="217" t="s">
        <v>68</v>
      </c>
      <c r="P547" s="217" t="s">
        <v>34</v>
      </c>
      <c r="Q547" s="217" t="s">
        <v>35</v>
      </c>
      <c r="R547" s="217" t="s">
        <v>23</v>
      </c>
      <c r="S547" s="217" t="s">
        <v>22</v>
      </c>
      <c r="T547" s="217" t="s">
        <v>84</v>
      </c>
      <c r="U547" s="217" t="s">
        <v>85</v>
      </c>
      <c r="V547" s="217" t="s">
        <v>91</v>
      </c>
      <c r="W547" s="217" t="s">
        <v>92</v>
      </c>
      <c r="BC547" s="217" t="s">
        <v>218</v>
      </c>
      <c r="BD547" s="217" t="s">
        <v>224</v>
      </c>
      <c r="BE547" s="217" t="s">
        <v>1349</v>
      </c>
      <c r="BF547" s="217" t="s">
        <v>490</v>
      </c>
      <c r="BG547" s="217" t="s">
        <v>1998</v>
      </c>
      <c r="BH547" s="217" t="s">
        <v>1660</v>
      </c>
      <c r="BI547" s="217" t="s">
        <v>1660</v>
      </c>
      <c r="BJ547" s="217" t="s">
        <v>1658</v>
      </c>
      <c r="BK547" s="217" t="s">
        <v>637</v>
      </c>
      <c r="BL547" s="217"/>
      <c r="BM547" s="217"/>
      <c r="BN547" s="217">
        <v>0</v>
      </c>
      <c r="BO547" s="217">
        <v>0</v>
      </c>
      <c r="BR547" s="217" t="s">
        <v>218</v>
      </c>
      <c r="BS547" s="217" t="s">
        <v>497</v>
      </c>
      <c r="BT547" s="217" t="s">
        <v>640</v>
      </c>
      <c r="BU547" s="217" t="s">
        <v>1535</v>
      </c>
      <c r="BV547" s="217">
        <v>0</v>
      </c>
      <c r="BW547" s="217">
        <v>0</v>
      </c>
      <c r="BX547" s="217">
        <v>1</v>
      </c>
      <c r="BY547" s="217">
        <v>11</v>
      </c>
      <c r="BZ547" s="217">
        <v>0</v>
      </c>
      <c r="CA547" s="217">
        <v>0</v>
      </c>
      <c r="CB547" s="217">
        <v>0</v>
      </c>
      <c r="CC547" s="217">
        <v>0</v>
      </c>
      <c r="CD547" s="217">
        <v>1</v>
      </c>
      <c r="CE547" s="217">
        <v>11</v>
      </c>
      <c r="CF547" s="217">
        <v>0</v>
      </c>
      <c r="CG547" s="217">
        <v>0</v>
      </c>
      <c r="CH547" s="217">
        <v>0</v>
      </c>
      <c r="CI547" s="217">
        <v>0</v>
      </c>
      <c r="CJ547" s="217">
        <v>0</v>
      </c>
    </row>
    <row r="548" spans="1:88" x14ac:dyDescent="0.25">
      <c r="A548" s="217" t="s">
        <v>22</v>
      </c>
      <c r="B548" s="217" t="s">
        <v>23</v>
      </c>
      <c r="C548" s="217" t="s">
        <v>85</v>
      </c>
      <c r="D548" s="217" t="s">
        <v>84</v>
      </c>
      <c r="E548" s="217" t="s">
        <v>98</v>
      </c>
      <c r="F548" s="217" t="s">
        <v>97</v>
      </c>
      <c r="G548" s="217" t="s">
        <v>411</v>
      </c>
      <c r="H548" s="217" t="s">
        <v>1209</v>
      </c>
      <c r="I548" s="217" t="s">
        <v>29</v>
      </c>
      <c r="J548" s="217" t="s">
        <v>1856</v>
      </c>
      <c r="K548" s="217">
        <v>3</v>
      </c>
      <c r="L548" s="217">
        <v>20</v>
      </c>
      <c r="M548" s="217" t="s">
        <v>31</v>
      </c>
      <c r="N548" s="217" t="s">
        <v>32</v>
      </c>
      <c r="O548" s="217" t="s">
        <v>68</v>
      </c>
      <c r="P548" s="217" t="s">
        <v>34</v>
      </c>
      <c r="Q548" s="217" t="s">
        <v>35</v>
      </c>
      <c r="R548" s="217" t="s">
        <v>23</v>
      </c>
      <c r="S548" s="217" t="s">
        <v>22</v>
      </c>
      <c r="T548" s="217" t="s">
        <v>84</v>
      </c>
      <c r="U548" s="217" t="s">
        <v>85</v>
      </c>
      <c r="V548" s="217" t="s">
        <v>91</v>
      </c>
      <c r="W548" s="217" t="s">
        <v>92</v>
      </c>
      <c r="BC548" s="217" t="s">
        <v>218</v>
      </c>
      <c r="BD548" s="217" t="s">
        <v>224</v>
      </c>
      <c r="BE548" s="217" t="s">
        <v>1350</v>
      </c>
      <c r="BF548" s="217" t="s">
        <v>491</v>
      </c>
      <c r="BG548" s="217" t="s">
        <v>1998</v>
      </c>
      <c r="BH548" s="217" t="s">
        <v>1658</v>
      </c>
      <c r="BI548" s="217" t="s">
        <v>1660</v>
      </c>
      <c r="BJ548" s="217" t="s">
        <v>1660</v>
      </c>
      <c r="BK548" s="217" t="s">
        <v>637</v>
      </c>
      <c r="BL548" s="217"/>
      <c r="BM548" s="217"/>
      <c r="BN548" s="217">
        <v>0</v>
      </c>
      <c r="BO548" s="217">
        <v>0</v>
      </c>
      <c r="BR548" s="217" t="s">
        <v>218</v>
      </c>
      <c r="BS548" s="217" t="s">
        <v>497</v>
      </c>
      <c r="BT548" s="217" t="s">
        <v>499</v>
      </c>
      <c r="BU548" s="217" t="s">
        <v>1356</v>
      </c>
      <c r="BV548" s="217">
        <v>3</v>
      </c>
      <c r="BW548" s="217">
        <v>16</v>
      </c>
      <c r="BX548" s="217">
        <v>0</v>
      </c>
      <c r="BY548" s="217">
        <v>0</v>
      </c>
      <c r="BZ548" s="217">
        <v>0</v>
      </c>
      <c r="CA548" s="217">
        <v>0</v>
      </c>
      <c r="CB548" s="217">
        <v>3</v>
      </c>
      <c r="CC548" s="217">
        <v>16</v>
      </c>
      <c r="CD548" s="217">
        <v>0</v>
      </c>
      <c r="CE548" s="217">
        <v>0</v>
      </c>
      <c r="CF548" s="217">
        <v>0</v>
      </c>
      <c r="CG548" s="217">
        <v>0</v>
      </c>
      <c r="CH548" s="217">
        <v>0</v>
      </c>
      <c r="CI548" s="217">
        <v>0</v>
      </c>
      <c r="CJ548" s="217">
        <v>0</v>
      </c>
    </row>
    <row r="549" spans="1:88" x14ac:dyDescent="0.25">
      <c r="A549" s="217" t="s">
        <v>22</v>
      </c>
      <c r="B549" s="217" t="s">
        <v>23</v>
      </c>
      <c r="C549" s="217" t="s">
        <v>85</v>
      </c>
      <c r="D549" s="217" t="s">
        <v>84</v>
      </c>
      <c r="E549" s="217" t="s">
        <v>98</v>
      </c>
      <c r="F549" s="217" t="s">
        <v>97</v>
      </c>
      <c r="G549" s="217" t="s">
        <v>412</v>
      </c>
      <c r="H549" s="217" t="s">
        <v>1210</v>
      </c>
      <c r="I549" s="217" t="s">
        <v>29</v>
      </c>
      <c r="J549" s="217" t="s">
        <v>1855</v>
      </c>
      <c r="K549" s="217">
        <v>23</v>
      </c>
      <c r="L549" s="217">
        <v>77</v>
      </c>
      <c r="M549" s="217" t="s">
        <v>31</v>
      </c>
      <c r="N549" s="217" t="s">
        <v>32</v>
      </c>
      <c r="O549" s="217" t="s">
        <v>68</v>
      </c>
      <c r="P549" s="217" t="s">
        <v>34</v>
      </c>
      <c r="Q549" s="217" t="s">
        <v>35</v>
      </c>
      <c r="R549" s="217" t="s">
        <v>23</v>
      </c>
      <c r="S549" s="217" t="s">
        <v>22</v>
      </c>
      <c r="T549" s="217" t="s">
        <v>84</v>
      </c>
      <c r="U549" s="217" t="s">
        <v>85</v>
      </c>
      <c r="V549" s="217" t="s">
        <v>91</v>
      </c>
      <c r="W549" s="217" t="s">
        <v>92</v>
      </c>
      <c r="BC549" s="217" t="s">
        <v>218</v>
      </c>
      <c r="BD549" s="217" t="s">
        <v>224</v>
      </c>
      <c r="BE549" s="217" t="s">
        <v>1351</v>
      </c>
      <c r="BF549" s="217" t="s">
        <v>492</v>
      </c>
      <c r="BG549" s="217" t="s">
        <v>1998</v>
      </c>
      <c r="BH549" s="217" t="s">
        <v>1660</v>
      </c>
      <c r="BI549" s="217" t="s">
        <v>1660</v>
      </c>
      <c r="BJ549" s="217" t="s">
        <v>1658</v>
      </c>
      <c r="BK549" s="217" t="s">
        <v>637</v>
      </c>
      <c r="BL549" s="217"/>
      <c r="BM549" s="217"/>
      <c r="BN549" s="217">
        <v>0</v>
      </c>
      <c r="BO549" s="217">
        <v>0</v>
      </c>
      <c r="BR549" s="217" t="s">
        <v>218</v>
      </c>
      <c r="BS549" s="217" t="s">
        <v>224</v>
      </c>
      <c r="BT549" s="217" t="s">
        <v>496</v>
      </c>
      <c r="BU549" s="217" t="s">
        <v>1355</v>
      </c>
      <c r="BV549" s="217">
        <v>0</v>
      </c>
      <c r="BW549" s="217">
        <v>0</v>
      </c>
      <c r="BX549" s="217">
        <v>0</v>
      </c>
      <c r="BY549" s="217">
        <v>0</v>
      </c>
      <c r="BZ549" s="217">
        <v>3</v>
      </c>
      <c r="CA549" s="217">
        <v>22</v>
      </c>
      <c r="CB549" s="217">
        <v>0</v>
      </c>
      <c r="CC549" s="217">
        <v>0</v>
      </c>
      <c r="CD549" s="217">
        <v>0</v>
      </c>
      <c r="CE549" s="217">
        <v>0</v>
      </c>
      <c r="CF549" s="217">
        <v>3</v>
      </c>
      <c r="CG549" s="217">
        <v>22</v>
      </c>
      <c r="CH549" s="217">
        <v>0</v>
      </c>
      <c r="CI549" s="217">
        <v>0</v>
      </c>
      <c r="CJ549" s="217">
        <v>0</v>
      </c>
    </row>
    <row r="550" spans="1:88" x14ac:dyDescent="0.25">
      <c r="A550" s="217" t="s">
        <v>22</v>
      </c>
      <c r="B550" s="217" t="s">
        <v>23</v>
      </c>
      <c r="C550" s="217" t="s">
        <v>85</v>
      </c>
      <c r="D550" s="217" t="s">
        <v>84</v>
      </c>
      <c r="E550" s="217" t="s">
        <v>98</v>
      </c>
      <c r="F550" s="217" t="s">
        <v>97</v>
      </c>
      <c r="G550" s="217" t="s">
        <v>413</v>
      </c>
      <c r="H550" s="217" t="s">
        <v>1211</v>
      </c>
      <c r="I550" s="217" t="s">
        <v>29</v>
      </c>
      <c r="J550" s="217" t="s">
        <v>1856</v>
      </c>
      <c r="K550" s="217">
        <v>18</v>
      </c>
      <c r="L550" s="217">
        <v>153</v>
      </c>
      <c r="M550" s="217" t="s">
        <v>31</v>
      </c>
      <c r="N550" s="217" t="s">
        <v>32</v>
      </c>
      <c r="O550" s="217" t="s">
        <v>100</v>
      </c>
      <c r="P550" s="217" t="s">
        <v>34</v>
      </c>
      <c r="Q550" s="217" t="s">
        <v>35</v>
      </c>
      <c r="R550" s="217" t="s">
        <v>23</v>
      </c>
      <c r="S550" s="217" t="s">
        <v>22</v>
      </c>
      <c r="T550" s="217" t="s">
        <v>84</v>
      </c>
      <c r="U550" s="217" t="s">
        <v>85</v>
      </c>
      <c r="V550" s="217" t="s">
        <v>97</v>
      </c>
      <c r="W550" s="217" t="s">
        <v>98</v>
      </c>
      <c r="BC550" s="217" t="s">
        <v>218</v>
      </c>
      <c r="BD550" s="217" t="s">
        <v>224</v>
      </c>
      <c r="BE550" s="217" t="s">
        <v>1352</v>
      </c>
      <c r="BF550" s="217" t="s">
        <v>493</v>
      </c>
      <c r="BG550" s="217" t="s">
        <v>1998</v>
      </c>
      <c r="BH550" s="217" t="s">
        <v>1658</v>
      </c>
      <c r="BI550" s="217" t="s">
        <v>1660</v>
      </c>
      <c r="BJ550" s="217" t="s">
        <v>1658</v>
      </c>
      <c r="BK550" s="217" t="s">
        <v>637</v>
      </c>
      <c r="BL550" s="217"/>
      <c r="BM550" s="217"/>
      <c r="BN550" s="217">
        <v>0</v>
      </c>
      <c r="BO550" s="217">
        <v>0</v>
      </c>
      <c r="BR550" s="217" t="s">
        <v>218</v>
      </c>
      <c r="BS550" s="217" t="s">
        <v>224</v>
      </c>
      <c r="BT550" s="217" t="s">
        <v>490</v>
      </c>
      <c r="BU550" s="217" t="s">
        <v>1349</v>
      </c>
      <c r="BV550" s="217">
        <v>0</v>
      </c>
      <c r="BW550" s="217">
        <v>0</v>
      </c>
      <c r="BX550" s="217">
        <v>0</v>
      </c>
      <c r="BY550" s="217">
        <v>0</v>
      </c>
      <c r="BZ550" s="217">
        <v>4</v>
      </c>
      <c r="CA550" s="217">
        <v>24</v>
      </c>
      <c r="CB550" s="217">
        <v>0</v>
      </c>
      <c r="CC550" s="217">
        <v>0</v>
      </c>
      <c r="CD550" s="217">
        <v>0</v>
      </c>
      <c r="CE550" s="217">
        <v>0</v>
      </c>
      <c r="CF550" s="217">
        <v>3</v>
      </c>
      <c r="CG550" s="217">
        <v>20</v>
      </c>
      <c r="CH550" s="217">
        <v>0</v>
      </c>
      <c r="CI550" s="217">
        <v>0</v>
      </c>
      <c r="CJ550" s="217">
        <v>4</v>
      </c>
    </row>
    <row r="551" spans="1:88" x14ac:dyDescent="0.25">
      <c r="A551" s="217" t="s">
        <v>22</v>
      </c>
      <c r="B551" s="217" t="s">
        <v>23</v>
      </c>
      <c r="C551" s="217" t="s">
        <v>85</v>
      </c>
      <c r="D551" s="217" t="s">
        <v>84</v>
      </c>
      <c r="E551" s="217" t="s">
        <v>98</v>
      </c>
      <c r="F551" s="217" t="s">
        <v>97</v>
      </c>
      <c r="G551" s="217" t="s">
        <v>413</v>
      </c>
      <c r="H551" s="217" t="s">
        <v>1211</v>
      </c>
      <c r="I551" s="217" t="s">
        <v>29</v>
      </c>
      <c r="J551" s="217" t="s">
        <v>1857</v>
      </c>
      <c r="K551" s="217">
        <v>4</v>
      </c>
      <c r="L551" s="217">
        <v>34</v>
      </c>
      <c r="M551" s="217" t="s">
        <v>31</v>
      </c>
      <c r="N551" s="217" t="s">
        <v>32</v>
      </c>
      <c r="O551" s="217" t="s">
        <v>100</v>
      </c>
      <c r="P551" s="217" t="s">
        <v>34</v>
      </c>
      <c r="Q551" s="217" t="s">
        <v>35</v>
      </c>
      <c r="R551" s="217" t="s">
        <v>23</v>
      </c>
      <c r="S551" s="217" t="s">
        <v>22</v>
      </c>
      <c r="T551" s="217" t="s">
        <v>84</v>
      </c>
      <c r="U551" s="217" t="s">
        <v>85</v>
      </c>
      <c r="V551" s="217" t="s">
        <v>97</v>
      </c>
      <c r="W551" s="217" t="s">
        <v>98</v>
      </c>
      <c r="BC551" s="217" t="s">
        <v>218</v>
      </c>
      <c r="BD551" s="217" t="s">
        <v>224</v>
      </c>
      <c r="BE551" s="217" t="s">
        <v>1353</v>
      </c>
      <c r="BF551" s="217" t="s">
        <v>494</v>
      </c>
      <c r="BG551" s="217" t="s">
        <v>1998</v>
      </c>
      <c r="BH551" s="217" t="s">
        <v>1658</v>
      </c>
      <c r="BI551" s="217" t="s">
        <v>1660</v>
      </c>
      <c r="BJ551" s="217" t="s">
        <v>1660</v>
      </c>
      <c r="BK551" s="217" t="s">
        <v>637</v>
      </c>
      <c r="BL551" s="217"/>
      <c r="BM551" s="217"/>
      <c r="BN551" s="217">
        <v>0</v>
      </c>
      <c r="BO551" s="217">
        <v>0</v>
      </c>
      <c r="BR551" s="217" t="s">
        <v>218</v>
      </c>
      <c r="BS551" s="217" t="s">
        <v>224</v>
      </c>
      <c r="BT551" s="217" t="s">
        <v>491</v>
      </c>
      <c r="BU551" s="217" t="s">
        <v>1350</v>
      </c>
      <c r="BV551" s="217">
        <v>2</v>
      </c>
      <c r="BW551" s="217">
        <v>18</v>
      </c>
      <c r="BX551" s="217">
        <v>0</v>
      </c>
      <c r="BY551" s="217">
        <v>0</v>
      </c>
      <c r="BZ551" s="217">
        <v>0</v>
      </c>
      <c r="CA551" s="217">
        <v>0</v>
      </c>
      <c r="CB551" s="217">
        <v>2</v>
      </c>
      <c r="CC551" s="217">
        <v>17</v>
      </c>
      <c r="CD551" s="217">
        <v>0</v>
      </c>
      <c r="CE551" s="217">
        <v>0</v>
      </c>
      <c r="CF551" s="217">
        <v>0</v>
      </c>
      <c r="CG551" s="217">
        <v>0</v>
      </c>
      <c r="CH551" s="217">
        <v>1</v>
      </c>
      <c r="CI551" s="217">
        <v>0</v>
      </c>
      <c r="CJ551" s="217">
        <v>0</v>
      </c>
    </row>
    <row r="552" spans="1:88" x14ac:dyDescent="0.25">
      <c r="A552" s="217" t="s">
        <v>22</v>
      </c>
      <c r="B552" s="217" t="s">
        <v>23</v>
      </c>
      <c r="C552" s="217" t="s">
        <v>85</v>
      </c>
      <c r="D552" s="217" t="s">
        <v>84</v>
      </c>
      <c r="E552" s="217" t="s">
        <v>98</v>
      </c>
      <c r="F552" s="217" t="s">
        <v>97</v>
      </c>
      <c r="G552" s="217" t="s">
        <v>414</v>
      </c>
      <c r="H552" s="217" t="s">
        <v>1212</v>
      </c>
      <c r="I552" s="217" t="s">
        <v>29</v>
      </c>
      <c r="J552" s="217" t="s">
        <v>1855</v>
      </c>
      <c r="K552" s="217">
        <v>32</v>
      </c>
      <c r="L552" s="217">
        <v>272</v>
      </c>
      <c r="M552" s="217" t="s">
        <v>31</v>
      </c>
      <c r="N552" s="217" t="s">
        <v>32</v>
      </c>
      <c r="O552" s="217" t="s">
        <v>100</v>
      </c>
      <c r="P552" s="217" t="s">
        <v>34</v>
      </c>
      <c r="Q552" s="217" t="s">
        <v>35</v>
      </c>
      <c r="R552" s="217" t="s">
        <v>23</v>
      </c>
      <c r="S552" s="217" t="s">
        <v>22</v>
      </c>
      <c r="T552" s="217" t="s">
        <v>84</v>
      </c>
      <c r="U552" s="217" t="s">
        <v>85</v>
      </c>
      <c r="V552" s="217" t="s">
        <v>97</v>
      </c>
      <c r="W552" s="217" t="s">
        <v>98</v>
      </c>
      <c r="BC552" s="217" t="s">
        <v>218</v>
      </c>
      <c r="BD552" s="217" t="s">
        <v>224</v>
      </c>
      <c r="BE552" s="217" t="s">
        <v>1354</v>
      </c>
      <c r="BF552" s="217" t="s">
        <v>495</v>
      </c>
      <c r="BG552" s="217" t="s">
        <v>1998</v>
      </c>
      <c r="BH552" s="217" t="s">
        <v>1660</v>
      </c>
      <c r="BI552" s="217" t="s">
        <v>1660</v>
      </c>
      <c r="BJ552" s="217" t="s">
        <v>1658</v>
      </c>
      <c r="BK552" s="217" t="s">
        <v>637</v>
      </c>
      <c r="BL552" s="217"/>
      <c r="BM552" s="217"/>
      <c r="BN552" s="217">
        <v>0</v>
      </c>
      <c r="BO552" s="217">
        <v>0</v>
      </c>
      <c r="BR552" s="217" t="s">
        <v>218</v>
      </c>
      <c r="BS552" s="217" t="s">
        <v>224</v>
      </c>
      <c r="BT552" s="217" t="s">
        <v>494</v>
      </c>
      <c r="BU552" s="217" t="s">
        <v>1353</v>
      </c>
      <c r="BV552" s="217">
        <v>4</v>
      </c>
      <c r="BW552" s="217">
        <v>22</v>
      </c>
      <c r="BX552" s="217">
        <v>0</v>
      </c>
      <c r="BY552" s="217">
        <v>0</v>
      </c>
      <c r="BZ552" s="217">
        <v>0</v>
      </c>
      <c r="CA552" s="217">
        <v>0</v>
      </c>
      <c r="CB552" s="217">
        <v>5</v>
      </c>
      <c r="CC552" s="217">
        <v>26</v>
      </c>
      <c r="CD552" s="217">
        <v>0</v>
      </c>
      <c r="CE552" s="217">
        <v>0</v>
      </c>
      <c r="CF552" s="217">
        <v>0</v>
      </c>
      <c r="CG552" s="217">
        <v>0</v>
      </c>
      <c r="CH552" s="217">
        <v>-4</v>
      </c>
      <c r="CI552" s="217">
        <v>0</v>
      </c>
      <c r="CJ552" s="217">
        <v>0</v>
      </c>
    </row>
    <row r="553" spans="1:88" x14ac:dyDescent="0.25">
      <c r="A553" s="217" t="s">
        <v>22</v>
      </c>
      <c r="B553" s="217" t="s">
        <v>23</v>
      </c>
      <c r="C553" s="217" t="s">
        <v>85</v>
      </c>
      <c r="D553" s="217" t="s">
        <v>84</v>
      </c>
      <c r="E553" s="217" t="s">
        <v>98</v>
      </c>
      <c r="F553" s="217" t="s">
        <v>97</v>
      </c>
      <c r="G553" s="217" t="s">
        <v>414</v>
      </c>
      <c r="H553" s="217" t="s">
        <v>1212</v>
      </c>
      <c r="I553" s="217" t="s">
        <v>29</v>
      </c>
      <c r="J553" s="217" t="s">
        <v>1856</v>
      </c>
      <c r="K553" s="217">
        <v>43</v>
      </c>
      <c r="L553" s="217">
        <v>366</v>
      </c>
      <c r="M553" s="217" t="s">
        <v>31</v>
      </c>
      <c r="N553" s="217" t="s">
        <v>32</v>
      </c>
      <c r="O553" s="217" t="s">
        <v>100</v>
      </c>
      <c r="P553" s="217" t="s">
        <v>34</v>
      </c>
      <c r="Q553" s="217" t="s">
        <v>35</v>
      </c>
      <c r="R553" s="217" t="s">
        <v>23</v>
      </c>
      <c r="S553" s="217" t="s">
        <v>22</v>
      </c>
      <c r="T553" s="217" t="s">
        <v>84</v>
      </c>
      <c r="U553" s="217" t="s">
        <v>85</v>
      </c>
      <c r="V553" s="217" t="s">
        <v>97</v>
      </c>
      <c r="W553" s="217" t="s">
        <v>98</v>
      </c>
      <c r="BC553" s="217" t="s">
        <v>218</v>
      </c>
      <c r="BD553" s="217" t="s">
        <v>224</v>
      </c>
      <c r="BE553" s="217" t="s">
        <v>1355</v>
      </c>
      <c r="BF553" s="217" t="s">
        <v>496</v>
      </c>
      <c r="BG553" s="217" t="s">
        <v>1998</v>
      </c>
      <c r="BH553" s="217" t="s">
        <v>1660</v>
      </c>
      <c r="BI553" s="217" t="s">
        <v>1660</v>
      </c>
      <c r="BJ553" s="217" t="s">
        <v>1658</v>
      </c>
      <c r="BK553" s="217" t="s">
        <v>637</v>
      </c>
      <c r="BL553" s="217"/>
      <c r="BM553" s="217"/>
      <c r="BN553" s="217">
        <v>0</v>
      </c>
      <c r="BO553" s="217">
        <v>0</v>
      </c>
      <c r="BR553" s="217" t="s">
        <v>218</v>
      </c>
      <c r="BS553" s="217" t="s">
        <v>224</v>
      </c>
      <c r="BT553" s="217" t="s">
        <v>495</v>
      </c>
      <c r="BU553" s="217" t="s">
        <v>1354</v>
      </c>
      <c r="BV553" s="217">
        <v>0</v>
      </c>
      <c r="BW553" s="217">
        <v>0</v>
      </c>
      <c r="BX553" s="217">
        <v>0</v>
      </c>
      <c r="BY553" s="217">
        <v>0</v>
      </c>
      <c r="BZ553" s="217">
        <v>1</v>
      </c>
      <c r="CA553" s="217">
        <v>6</v>
      </c>
      <c r="CB553" s="217">
        <v>0</v>
      </c>
      <c r="CC553" s="217">
        <v>0</v>
      </c>
      <c r="CD553" s="217">
        <v>0</v>
      </c>
      <c r="CE553" s="217">
        <v>0</v>
      </c>
      <c r="CF553" s="217">
        <v>1</v>
      </c>
      <c r="CG553" s="217">
        <v>6</v>
      </c>
      <c r="CH553" s="217">
        <v>0</v>
      </c>
      <c r="CI553" s="217">
        <v>0</v>
      </c>
      <c r="CJ553" s="217">
        <v>0</v>
      </c>
    </row>
    <row r="554" spans="1:88" x14ac:dyDescent="0.25">
      <c r="A554" s="217" t="s">
        <v>22</v>
      </c>
      <c r="B554" s="217" t="s">
        <v>23</v>
      </c>
      <c r="C554" s="217" t="s">
        <v>85</v>
      </c>
      <c r="D554" s="217" t="s">
        <v>84</v>
      </c>
      <c r="E554" s="217" t="s">
        <v>98</v>
      </c>
      <c r="F554" s="217" t="s">
        <v>97</v>
      </c>
      <c r="G554" s="217" t="s">
        <v>414</v>
      </c>
      <c r="H554" s="217" t="s">
        <v>1212</v>
      </c>
      <c r="I554" s="217" t="s">
        <v>29</v>
      </c>
      <c r="J554" s="217" t="s">
        <v>1857</v>
      </c>
      <c r="K554" s="217">
        <v>63</v>
      </c>
      <c r="L554" s="217">
        <v>536</v>
      </c>
      <c r="M554" s="217" t="s">
        <v>31</v>
      </c>
      <c r="N554" s="217" t="s">
        <v>32</v>
      </c>
      <c r="O554" s="217" t="s">
        <v>100</v>
      </c>
      <c r="P554" s="217" t="s">
        <v>34</v>
      </c>
      <c r="Q554" s="217" t="s">
        <v>35</v>
      </c>
      <c r="R554" s="217" t="s">
        <v>23</v>
      </c>
      <c r="S554" s="217" t="s">
        <v>22</v>
      </c>
      <c r="T554" s="217" t="s">
        <v>84</v>
      </c>
      <c r="U554" s="217" t="s">
        <v>85</v>
      </c>
      <c r="V554" s="217" t="s">
        <v>97</v>
      </c>
      <c r="W554" s="217" t="s">
        <v>98</v>
      </c>
      <c r="BC554" s="217" t="s">
        <v>218</v>
      </c>
      <c r="BD554" s="217" t="s">
        <v>220</v>
      </c>
      <c r="BE554" s="217" t="s">
        <v>1690</v>
      </c>
      <c r="BF554" s="217" t="s">
        <v>221</v>
      </c>
      <c r="BG554" s="217" t="s">
        <v>1999</v>
      </c>
      <c r="BH554" s="217" t="s">
        <v>1660</v>
      </c>
      <c r="BI554" s="217" t="s">
        <v>1660</v>
      </c>
      <c r="BJ554" s="217" t="s">
        <v>1660</v>
      </c>
      <c r="BK554" s="217" t="s">
        <v>637</v>
      </c>
      <c r="BL554" s="217"/>
      <c r="BM554" s="217"/>
      <c r="BN554" s="217">
        <v>0</v>
      </c>
      <c r="BO554" s="217">
        <v>0</v>
      </c>
      <c r="BR554" s="217" t="s">
        <v>218</v>
      </c>
      <c r="BS554" s="217" t="s">
        <v>224</v>
      </c>
      <c r="BT554" s="217" t="s">
        <v>492</v>
      </c>
      <c r="BU554" s="217" t="s">
        <v>1351</v>
      </c>
      <c r="BV554" s="217">
        <v>0</v>
      </c>
      <c r="BW554" s="217">
        <v>0</v>
      </c>
      <c r="BX554" s="217">
        <v>0</v>
      </c>
      <c r="BY554" s="217">
        <v>0</v>
      </c>
      <c r="BZ554" s="217">
        <v>4</v>
      </c>
      <c r="CA554" s="217">
        <v>58</v>
      </c>
      <c r="CB554" s="217">
        <v>0</v>
      </c>
      <c r="CC554" s="217">
        <v>0</v>
      </c>
      <c r="CD554" s="217">
        <v>0</v>
      </c>
      <c r="CE554" s="217">
        <v>0</v>
      </c>
      <c r="CF554" s="217">
        <v>4</v>
      </c>
      <c r="CG554" s="217">
        <v>58</v>
      </c>
      <c r="CH554" s="217">
        <v>0</v>
      </c>
      <c r="CI554" s="217">
        <v>0</v>
      </c>
      <c r="CJ554" s="217">
        <v>0</v>
      </c>
    </row>
    <row r="555" spans="1:88" x14ac:dyDescent="0.25">
      <c r="A555" s="217" t="s">
        <v>22</v>
      </c>
      <c r="B555" s="217" t="s">
        <v>23</v>
      </c>
      <c r="C555" s="217" t="s">
        <v>85</v>
      </c>
      <c r="D555" s="217" t="s">
        <v>84</v>
      </c>
      <c r="E555" s="217" t="s">
        <v>98</v>
      </c>
      <c r="F555" s="217" t="s">
        <v>97</v>
      </c>
      <c r="G555" s="217" t="s">
        <v>415</v>
      </c>
      <c r="H555" s="217" t="s">
        <v>1213</v>
      </c>
      <c r="I555" s="217" t="s">
        <v>29</v>
      </c>
      <c r="J555" s="217" t="s">
        <v>1856</v>
      </c>
      <c r="K555" s="217">
        <v>8</v>
      </c>
      <c r="L555" s="217">
        <v>43</v>
      </c>
      <c r="M555" s="217" t="s">
        <v>31</v>
      </c>
      <c r="N555" s="217" t="s">
        <v>32</v>
      </c>
      <c r="O555" s="217" t="s">
        <v>100</v>
      </c>
      <c r="P555" s="217" t="s">
        <v>34</v>
      </c>
      <c r="Q555" s="217" t="s">
        <v>35</v>
      </c>
      <c r="R555" s="217" t="s">
        <v>23</v>
      </c>
      <c r="S555" s="217" t="s">
        <v>22</v>
      </c>
      <c r="T555" s="217" t="s">
        <v>84</v>
      </c>
      <c r="U555" s="217" t="s">
        <v>85</v>
      </c>
      <c r="V555" s="217" t="s">
        <v>97</v>
      </c>
      <c r="W555" s="217" t="s">
        <v>98</v>
      </c>
      <c r="BC555" s="217" t="s">
        <v>218</v>
      </c>
      <c r="BD555" s="217" t="s">
        <v>220</v>
      </c>
      <c r="BE555" s="217" t="s">
        <v>1577</v>
      </c>
      <c r="BF555" s="217" t="s">
        <v>222</v>
      </c>
      <c r="BG555" s="217" t="s">
        <v>1998</v>
      </c>
      <c r="BH555" s="217" t="s">
        <v>1660</v>
      </c>
      <c r="BI555" s="217" t="s">
        <v>1660</v>
      </c>
      <c r="BJ555" s="217" t="s">
        <v>1658</v>
      </c>
      <c r="BK555" s="217" t="s">
        <v>637</v>
      </c>
      <c r="BL555" s="217"/>
      <c r="BM555" s="217"/>
      <c r="BN555" s="217">
        <v>0</v>
      </c>
      <c r="BO555" s="217">
        <v>0</v>
      </c>
      <c r="BR555" s="217" t="s">
        <v>218</v>
      </c>
      <c r="BS555" s="217" t="s">
        <v>224</v>
      </c>
      <c r="BT555" s="217" t="s">
        <v>493</v>
      </c>
      <c r="BU555" s="217" t="s">
        <v>1352</v>
      </c>
      <c r="BV555" s="217">
        <v>6</v>
      </c>
      <c r="BW555" s="217">
        <v>37</v>
      </c>
      <c r="BX555" s="217">
        <v>0</v>
      </c>
      <c r="BY555" s="217">
        <v>0</v>
      </c>
      <c r="BZ555" s="217">
        <v>1</v>
      </c>
      <c r="CA555" s="217">
        <v>5</v>
      </c>
      <c r="CB555" s="217">
        <v>6</v>
      </c>
      <c r="CC555" s="217">
        <v>37</v>
      </c>
      <c r="CD555" s="217">
        <v>0</v>
      </c>
      <c r="CE555" s="217">
        <v>0</v>
      </c>
      <c r="CF555" s="217">
        <v>0</v>
      </c>
      <c r="CG555" s="217">
        <v>0</v>
      </c>
      <c r="CH555" s="217">
        <v>0</v>
      </c>
      <c r="CI555" s="217">
        <v>0</v>
      </c>
      <c r="CJ555" s="217">
        <v>5</v>
      </c>
    </row>
    <row r="556" spans="1:88" x14ac:dyDescent="0.25">
      <c r="A556" s="217" t="s">
        <v>22</v>
      </c>
      <c r="B556" s="217" t="s">
        <v>23</v>
      </c>
      <c r="C556" s="217" t="s">
        <v>85</v>
      </c>
      <c r="D556" s="217" t="s">
        <v>84</v>
      </c>
      <c r="E556" s="217" t="s">
        <v>98</v>
      </c>
      <c r="F556" s="217" t="s">
        <v>97</v>
      </c>
      <c r="G556" s="217" t="s">
        <v>415</v>
      </c>
      <c r="H556" s="217" t="s">
        <v>1213</v>
      </c>
      <c r="I556" s="217" t="s">
        <v>29</v>
      </c>
      <c r="J556" s="217" t="s">
        <v>1857</v>
      </c>
      <c r="K556" s="217">
        <v>11</v>
      </c>
      <c r="L556" s="217">
        <v>56</v>
      </c>
      <c r="M556" s="217" t="s">
        <v>31</v>
      </c>
      <c r="N556" s="217" t="s">
        <v>32</v>
      </c>
      <c r="O556" s="217" t="s">
        <v>100</v>
      </c>
      <c r="P556" s="217" t="s">
        <v>34</v>
      </c>
      <c r="Q556" s="217" t="s">
        <v>35</v>
      </c>
      <c r="R556" s="217" t="s">
        <v>23</v>
      </c>
      <c r="S556" s="217" t="s">
        <v>22</v>
      </c>
      <c r="T556" s="217" t="s">
        <v>84</v>
      </c>
      <c r="U556" s="217" t="s">
        <v>85</v>
      </c>
      <c r="V556" s="217" t="s">
        <v>97</v>
      </c>
      <c r="W556" s="217" t="s">
        <v>98</v>
      </c>
      <c r="BC556" s="217" t="s">
        <v>218</v>
      </c>
      <c r="BD556" s="217" t="s">
        <v>220</v>
      </c>
      <c r="BE556" s="217" t="s">
        <v>1534</v>
      </c>
      <c r="BF556" s="217" t="s">
        <v>225</v>
      </c>
      <c r="BG556" s="217" t="s">
        <v>1998</v>
      </c>
      <c r="BH556" s="217" t="s">
        <v>1660</v>
      </c>
      <c r="BI556" s="217" t="s">
        <v>1658</v>
      </c>
      <c r="BJ556" s="217" t="s">
        <v>1660</v>
      </c>
      <c r="BK556" s="217" t="s">
        <v>637</v>
      </c>
      <c r="BL556" s="217"/>
      <c r="BM556" s="217"/>
      <c r="BN556" s="217">
        <v>0</v>
      </c>
      <c r="BO556" s="217">
        <v>0</v>
      </c>
      <c r="BR556" s="217" t="s">
        <v>218</v>
      </c>
      <c r="BS556" s="217" t="s">
        <v>220</v>
      </c>
      <c r="BT556" s="217" t="s">
        <v>222</v>
      </c>
      <c r="BU556" s="217" t="s">
        <v>1577</v>
      </c>
      <c r="BV556" s="217">
        <v>0</v>
      </c>
      <c r="BW556" s="217">
        <v>0</v>
      </c>
      <c r="BX556" s="217">
        <v>0</v>
      </c>
      <c r="BY556" s="217">
        <v>0</v>
      </c>
      <c r="BZ556" s="217">
        <v>3</v>
      </c>
      <c r="CA556" s="217">
        <v>16</v>
      </c>
      <c r="CB556" s="217">
        <v>0</v>
      </c>
      <c r="CC556" s="217">
        <v>0</v>
      </c>
      <c r="CD556" s="217">
        <v>0</v>
      </c>
      <c r="CE556" s="217">
        <v>0</v>
      </c>
      <c r="CF556" s="217">
        <v>3</v>
      </c>
      <c r="CG556" s="217">
        <v>16</v>
      </c>
      <c r="CH556" s="217">
        <v>0</v>
      </c>
      <c r="CI556" s="217">
        <v>0</v>
      </c>
      <c r="CJ556" s="217">
        <v>0</v>
      </c>
    </row>
    <row r="557" spans="1:88" x14ac:dyDescent="0.25">
      <c r="A557" s="217" t="s">
        <v>22</v>
      </c>
      <c r="B557" s="217" t="s">
        <v>23</v>
      </c>
      <c r="C557" s="217" t="s">
        <v>85</v>
      </c>
      <c r="D557" s="217" t="s">
        <v>84</v>
      </c>
      <c r="E557" s="217" t="s">
        <v>98</v>
      </c>
      <c r="F557" s="217" t="s">
        <v>97</v>
      </c>
      <c r="G557" s="217" t="s">
        <v>416</v>
      </c>
      <c r="H557" s="217" t="s">
        <v>1214</v>
      </c>
      <c r="I557" s="217" t="s">
        <v>29</v>
      </c>
      <c r="J557" s="217" t="s">
        <v>1856</v>
      </c>
      <c r="K557" s="217">
        <v>11</v>
      </c>
      <c r="L557" s="217">
        <v>48</v>
      </c>
      <c r="M557" s="217" t="s">
        <v>31</v>
      </c>
      <c r="N557" s="217" t="s">
        <v>32</v>
      </c>
      <c r="O557" s="217" t="s">
        <v>68</v>
      </c>
      <c r="P557" s="217" t="s">
        <v>34</v>
      </c>
      <c r="Q557" s="217" t="s">
        <v>35</v>
      </c>
      <c r="R557" s="217" t="s">
        <v>23</v>
      </c>
      <c r="S557" s="217" t="s">
        <v>22</v>
      </c>
      <c r="T557" s="217" t="s">
        <v>84</v>
      </c>
      <c r="U557" s="217" t="s">
        <v>85</v>
      </c>
      <c r="V557" s="217" t="s">
        <v>91</v>
      </c>
      <c r="W557" s="217" t="s">
        <v>92</v>
      </c>
      <c r="BC557" s="217" t="s">
        <v>218</v>
      </c>
      <c r="BD557" s="217" t="s">
        <v>220</v>
      </c>
      <c r="BE557" s="217" t="s">
        <v>1578</v>
      </c>
      <c r="BF557" s="217" t="s">
        <v>226</v>
      </c>
      <c r="BG557" s="217" t="s">
        <v>1998</v>
      </c>
      <c r="BH557" s="217" t="s">
        <v>1660</v>
      </c>
      <c r="BI557" s="217" t="s">
        <v>1660</v>
      </c>
      <c r="BJ557" s="217" t="s">
        <v>1658</v>
      </c>
      <c r="BK557" s="217" t="s">
        <v>637</v>
      </c>
      <c r="BL557" s="217"/>
      <c r="BM557" s="217"/>
      <c r="BN557" s="217">
        <v>0</v>
      </c>
      <c r="BO557" s="217">
        <v>0</v>
      </c>
      <c r="BR557" s="217" t="s">
        <v>218</v>
      </c>
      <c r="BS557" s="217" t="s">
        <v>220</v>
      </c>
      <c r="BT557" s="217" t="s">
        <v>1579</v>
      </c>
      <c r="BU557" s="217" t="s">
        <v>1580</v>
      </c>
      <c r="BV557" s="217">
        <v>0</v>
      </c>
      <c r="BW557" s="217">
        <v>0</v>
      </c>
      <c r="BX557" s="217">
        <v>0</v>
      </c>
      <c r="BY557" s="217">
        <v>0</v>
      </c>
      <c r="BZ557" s="217">
        <v>4</v>
      </c>
      <c r="CA557" s="217">
        <v>13</v>
      </c>
      <c r="CB557" s="217">
        <v>0</v>
      </c>
      <c r="CC557" s="217">
        <v>0</v>
      </c>
      <c r="CD557" s="217">
        <v>0</v>
      </c>
      <c r="CE557" s="217">
        <v>0</v>
      </c>
      <c r="CF557" s="217">
        <v>4</v>
      </c>
      <c r="CG557" s="217">
        <v>13</v>
      </c>
      <c r="CH557" s="217">
        <v>0</v>
      </c>
      <c r="CI557" s="217">
        <v>0</v>
      </c>
      <c r="CJ557" s="217">
        <v>0</v>
      </c>
    </row>
    <row r="558" spans="1:88" x14ac:dyDescent="0.25">
      <c r="A558" s="217" t="s">
        <v>22</v>
      </c>
      <c r="B558" s="217" t="s">
        <v>23</v>
      </c>
      <c r="C558" s="217" t="s">
        <v>85</v>
      </c>
      <c r="D558" s="217" t="s">
        <v>84</v>
      </c>
      <c r="E558" s="217" t="s">
        <v>98</v>
      </c>
      <c r="F558" s="217" t="s">
        <v>97</v>
      </c>
      <c r="G558" s="217" t="s">
        <v>416</v>
      </c>
      <c r="H558" s="217" t="s">
        <v>1214</v>
      </c>
      <c r="I558" s="217" t="s">
        <v>29</v>
      </c>
      <c r="J558" s="217" t="s">
        <v>1857</v>
      </c>
      <c r="K558" s="217">
        <v>15</v>
      </c>
      <c r="L558" s="217">
        <v>52</v>
      </c>
      <c r="M558" s="217" t="s">
        <v>31</v>
      </c>
      <c r="N558" s="217" t="s">
        <v>32</v>
      </c>
      <c r="O558" s="217" t="s">
        <v>68</v>
      </c>
      <c r="P558" s="217" t="s">
        <v>34</v>
      </c>
      <c r="Q558" s="217" t="s">
        <v>35</v>
      </c>
      <c r="R558" s="217" t="s">
        <v>23</v>
      </c>
      <c r="S558" s="217" t="s">
        <v>22</v>
      </c>
      <c r="T558" s="217" t="s">
        <v>84</v>
      </c>
      <c r="U558" s="217" t="s">
        <v>85</v>
      </c>
      <c r="V558" s="217" t="s">
        <v>91</v>
      </c>
      <c r="W558" s="217" t="s">
        <v>92</v>
      </c>
      <c r="BC558" s="217" t="s">
        <v>218</v>
      </c>
      <c r="BD558" s="217" t="s">
        <v>220</v>
      </c>
      <c r="BE558" s="217" t="s">
        <v>1580</v>
      </c>
      <c r="BF558" s="217" t="s">
        <v>1579</v>
      </c>
      <c r="BG558" s="217" t="s">
        <v>1998</v>
      </c>
      <c r="BH558" s="217" t="s">
        <v>1660</v>
      </c>
      <c r="BI558" s="217" t="s">
        <v>1660</v>
      </c>
      <c r="BJ558" s="217" t="s">
        <v>1658</v>
      </c>
      <c r="BK558" s="217" t="s">
        <v>637</v>
      </c>
      <c r="BL558" s="217"/>
      <c r="BM558" s="217"/>
      <c r="BN558" s="217">
        <v>0</v>
      </c>
      <c r="BO558" s="217">
        <v>0</v>
      </c>
      <c r="BR558" s="217" t="s">
        <v>218</v>
      </c>
      <c r="BS558" s="217" t="s">
        <v>220</v>
      </c>
      <c r="BT558" s="217" t="s">
        <v>225</v>
      </c>
      <c r="BU558" s="217" t="s">
        <v>1534</v>
      </c>
      <c r="BV558" s="217">
        <v>0</v>
      </c>
      <c r="BW558" s="217">
        <v>0</v>
      </c>
      <c r="BX558" s="217">
        <v>2</v>
      </c>
      <c r="BY558" s="217">
        <v>9</v>
      </c>
      <c r="BZ558" s="217">
        <v>0</v>
      </c>
      <c r="CA558" s="217">
        <v>0</v>
      </c>
      <c r="CB558" s="217">
        <v>0</v>
      </c>
      <c r="CC558" s="217">
        <v>0</v>
      </c>
      <c r="CD558" s="217">
        <v>2</v>
      </c>
      <c r="CE558" s="217">
        <v>9</v>
      </c>
      <c r="CF558" s="217">
        <v>0</v>
      </c>
      <c r="CG558" s="217">
        <v>0</v>
      </c>
      <c r="CH558" s="217">
        <v>0</v>
      </c>
      <c r="CI558" s="217">
        <v>0</v>
      </c>
      <c r="CJ558" s="217">
        <v>0</v>
      </c>
    </row>
    <row r="559" spans="1:88" x14ac:dyDescent="0.25">
      <c r="A559" s="217" t="s">
        <v>22</v>
      </c>
      <c r="B559" s="217" t="s">
        <v>23</v>
      </c>
      <c r="C559" s="217" t="s">
        <v>85</v>
      </c>
      <c r="D559" s="217" t="s">
        <v>84</v>
      </c>
      <c r="E559" s="217" t="s">
        <v>98</v>
      </c>
      <c r="F559" s="217" t="s">
        <v>97</v>
      </c>
      <c r="G559" s="217" t="s">
        <v>793</v>
      </c>
      <c r="H559" s="217" t="s">
        <v>1215</v>
      </c>
      <c r="I559" s="217" t="s">
        <v>29</v>
      </c>
      <c r="J559" s="217" t="s">
        <v>1856</v>
      </c>
      <c r="K559" s="217">
        <v>13</v>
      </c>
      <c r="L559" s="217">
        <v>111</v>
      </c>
      <c r="M559" s="217" t="s">
        <v>31</v>
      </c>
      <c r="N559" s="217" t="s">
        <v>32</v>
      </c>
      <c r="O559" s="217" t="s">
        <v>100</v>
      </c>
      <c r="P559" s="217" t="s">
        <v>34</v>
      </c>
      <c r="Q559" s="217" t="s">
        <v>35</v>
      </c>
      <c r="R559" s="217" t="s">
        <v>23</v>
      </c>
      <c r="S559" s="217" t="s">
        <v>22</v>
      </c>
      <c r="T559" s="217" t="s">
        <v>84</v>
      </c>
      <c r="U559" s="217" t="s">
        <v>85</v>
      </c>
      <c r="V559" s="217" t="s">
        <v>97</v>
      </c>
      <c r="W559" s="217" t="s">
        <v>98</v>
      </c>
      <c r="BC559" s="217" t="s">
        <v>218</v>
      </c>
      <c r="BD559" s="217" t="s">
        <v>228</v>
      </c>
      <c r="BE559" s="217" t="s">
        <v>1581</v>
      </c>
      <c r="BF559" s="217" t="s">
        <v>229</v>
      </c>
      <c r="BG559" s="217" t="s">
        <v>1998</v>
      </c>
      <c r="BH559" s="217" t="s">
        <v>1660</v>
      </c>
      <c r="BI559" s="217" t="s">
        <v>1660</v>
      </c>
      <c r="BJ559" s="217" t="s">
        <v>1658</v>
      </c>
      <c r="BK559" s="217" t="s">
        <v>637</v>
      </c>
      <c r="BL559" s="217"/>
      <c r="BM559" s="217"/>
      <c r="BN559" s="217">
        <v>0</v>
      </c>
      <c r="BO559" s="217">
        <v>0</v>
      </c>
      <c r="BR559" s="217" t="s">
        <v>218</v>
      </c>
      <c r="BS559" s="217" t="s">
        <v>220</v>
      </c>
      <c r="BT559" s="217" t="s">
        <v>221</v>
      </c>
      <c r="BU559" s="217" t="s">
        <v>1690</v>
      </c>
      <c r="BV559" s="217">
        <v>0</v>
      </c>
      <c r="BW559" s="217">
        <v>0</v>
      </c>
      <c r="BX559" s="217">
        <v>0</v>
      </c>
      <c r="BY559" s="217">
        <v>0</v>
      </c>
      <c r="BZ559" s="217">
        <v>0</v>
      </c>
      <c r="CA559" s="217">
        <v>0</v>
      </c>
      <c r="CB559" s="217">
        <v>0</v>
      </c>
      <c r="CC559" s="217">
        <v>0</v>
      </c>
      <c r="CD559" s="217">
        <v>0</v>
      </c>
      <c r="CE559" s="217">
        <v>0</v>
      </c>
      <c r="CF559" s="217">
        <v>0</v>
      </c>
      <c r="CG559" s="217">
        <v>0</v>
      </c>
      <c r="CH559" s="217">
        <v>0</v>
      </c>
      <c r="CI559" s="217">
        <v>0</v>
      </c>
      <c r="CJ559" s="217">
        <v>0</v>
      </c>
    </row>
    <row r="560" spans="1:88" x14ac:dyDescent="0.25">
      <c r="A560" s="217" t="s">
        <v>22</v>
      </c>
      <c r="B560" s="217" t="s">
        <v>23</v>
      </c>
      <c r="C560" s="217" t="s">
        <v>85</v>
      </c>
      <c r="D560" s="217" t="s">
        <v>84</v>
      </c>
      <c r="E560" s="217" t="s">
        <v>98</v>
      </c>
      <c r="F560" s="217" t="s">
        <v>97</v>
      </c>
      <c r="G560" s="217" t="s">
        <v>417</v>
      </c>
      <c r="H560" s="217" t="s">
        <v>1217</v>
      </c>
      <c r="I560" s="217" t="s">
        <v>29</v>
      </c>
      <c r="J560" s="217" t="s">
        <v>1855</v>
      </c>
      <c r="K560" s="217">
        <v>5</v>
      </c>
      <c r="L560" s="217">
        <v>22</v>
      </c>
      <c r="M560" s="217" t="s">
        <v>31</v>
      </c>
      <c r="N560" s="217" t="s">
        <v>32</v>
      </c>
      <c r="O560" s="217" t="s">
        <v>68</v>
      </c>
      <c r="P560" s="217" t="s">
        <v>34</v>
      </c>
      <c r="Q560" s="217" t="s">
        <v>35</v>
      </c>
      <c r="R560" s="217" t="s">
        <v>23</v>
      </c>
      <c r="S560" s="217" t="s">
        <v>22</v>
      </c>
      <c r="T560" s="217" t="s">
        <v>84</v>
      </c>
      <c r="U560" s="217" t="s">
        <v>85</v>
      </c>
      <c r="V560" s="217" t="s">
        <v>91</v>
      </c>
      <c r="W560" s="217" t="s">
        <v>92</v>
      </c>
      <c r="BC560" s="217" t="s">
        <v>218</v>
      </c>
      <c r="BD560" s="217" t="s">
        <v>228</v>
      </c>
      <c r="BE560" s="217" t="s">
        <v>1582</v>
      </c>
      <c r="BF560" s="217" t="s">
        <v>230</v>
      </c>
      <c r="BG560" s="217" t="s">
        <v>1998</v>
      </c>
      <c r="BH560" s="217" t="s">
        <v>1660</v>
      </c>
      <c r="BI560" s="217" t="s">
        <v>1660</v>
      </c>
      <c r="BJ560" s="217" t="s">
        <v>1658</v>
      </c>
      <c r="BK560" s="217" t="s">
        <v>637</v>
      </c>
      <c r="BL560" s="217"/>
      <c r="BM560" s="217"/>
      <c r="BN560" s="217">
        <v>0</v>
      </c>
      <c r="BO560" s="217">
        <v>0</v>
      </c>
      <c r="BR560" s="217" t="s">
        <v>218</v>
      </c>
      <c r="BS560" s="217" t="s">
        <v>220</v>
      </c>
      <c r="BT560" s="217" t="s">
        <v>226</v>
      </c>
      <c r="BU560" s="217" t="s">
        <v>1578</v>
      </c>
      <c r="BV560" s="217">
        <v>0</v>
      </c>
      <c r="BW560" s="217">
        <v>0</v>
      </c>
      <c r="BX560" s="217">
        <v>0</v>
      </c>
      <c r="BY560" s="217">
        <v>0</v>
      </c>
      <c r="BZ560" s="217">
        <v>1</v>
      </c>
      <c r="CA560" s="217">
        <v>8</v>
      </c>
      <c r="CB560" s="217">
        <v>0</v>
      </c>
      <c r="CC560" s="217">
        <v>0</v>
      </c>
      <c r="CD560" s="217">
        <v>0</v>
      </c>
      <c r="CE560" s="217">
        <v>0</v>
      </c>
      <c r="CF560" s="217">
        <v>1</v>
      </c>
      <c r="CG560" s="217">
        <v>8</v>
      </c>
      <c r="CH560" s="217">
        <v>0</v>
      </c>
      <c r="CI560" s="217">
        <v>0</v>
      </c>
      <c r="CJ560" s="217">
        <v>0</v>
      </c>
    </row>
    <row r="561" spans="1:88" x14ac:dyDescent="0.25">
      <c r="A561" s="217" t="s">
        <v>22</v>
      </c>
      <c r="B561" s="217" t="s">
        <v>23</v>
      </c>
      <c r="C561" s="217" t="s">
        <v>85</v>
      </c>
      <c r="D561" s="217" t="s">
        <v>84</v>
      </c>
      <c r="E561" s="217" t="s">
        <v>98</v>
      </c>
      <c r="F561" s="217" t="s">
        <v>97</v>
      </c>
      <c r="G561" s="217" t="s">
        <v>418</v>
      </c>
      <c r="H561" s="217" t="s">
        <v>1218</v>
      </c>
      <c r="I561" s="217" t="s">
        <v>29</v>
      </c>
      <c r="J561" s="217" t="s">
        <v>1856</v>
      </c>
      <c r="K561" s="217">
        <v>10</v>
      </c>
      <c r="L561" s="217">
        <v>56</v>
      </c>
      <c r="M561" s="217" t="s">
        <v>31</v>
      </c>
      <c r="N561" s="217" t="s">
        <v>32</v>
      </c>
      <c r="O561" s="217" t="s">
        <v>100</v>
      </c>
      <c r="P561" s="217" t="s">
        <v>34</v>
      </c>
      <c r="Q561" s="217" t="s">
        <v>35</v>
      </c>
      <c r="R561" s="217" t="s">
        <v>23</v>
      </c>
      <c r="S561" s="217" t="s">
        <v>22</v>
      </c>
      <c r="T561" s="217" t="s">
        <v>84</v>
      </c>
      <c r="U561" s="217" t="s">
        <v>85</v>
      </c>
      <c r="V561" s="217" t="s">
        <v>97</v>
      </c>
      <c r="W561" s="217" t="s">
        <v>98</v>
      </c>
      <c r="BC561" s="217" t="s">
        <v>218</v>
      </c>
      <c r="BD561" s="217" t="s">
        <v>497</v>
      </c>
      <c r="BE561" s="217" t="s">
        <v>1535</v>
      </c>
      <c r="BF561" s="217" t="s">
        <v>640</v>
      </c>
      <c r="BG561" s="217" t="s">
        <v>1998</v>
      </c>
      <c r="BH561" s="217" t="s">
        <v>1660</v>
      </c>
      <c r="BI561" s="217" t="s">
        <v>1658</v>
      </c>
      <c r="BJ561" s="217" t="s">
        <v>1660</v>
      </c>
      <c r="BK561" s="217" t="s">
        <v>637</v>
      </c>
      <c r="BL561" s="217"/>
      <c r="BM561" s="217"/>
      <c r="BN561" s="217">
        <v>0</v>
      </c>
      <c r="BO561" s="217">
        <v>0</v>
      </c>
      <c r="BR561" s="217" t="s">
        <v>48</v>
      </c>
      <c r="BS561" s="217" t="s">
        <v>232</v>
      </c>
      <c r="BT561" s="217" t="s">
        <v>710</v>
      </c>
      <c r="BU561" s="217" t="s">
        <v>1698</v>
      </c>
      <c r="BV561" s="217">
        <v>0</v>
      </c>
      <c r="BW561" s="217">
        <v>0</v>
      </c>
      <c r="BX561" s="217">
        <v>0</v>
      </c>
      <c r="BY561" s="217">
        <v>0</v>
      </c>
      <c r="BZ561" s="217">
        <v>0</v>
      </c>
      <c r="CA561" s="217">
        <v>0</v>
      </c>
      <c r="CB561" s="217">
        <v>0</v>
      </c>
      <c r="CC561" s="217">
        <v>0</v>
      </c>
      <c r="CD561" s="217">
        <v>0</v>
      </c>
      <c r="CE561" s="217">
        <v>0</v>
      </c>
      <c r="CF561" s="217">
        <v>0</v>
      </c>
      <c r="CG561" s="217">
        <v>0</v>
      </c>
      <c r="CH561" s="217">
        <v>0</v>
      </c>
      <c r="CI561" s="217">
        <v>0</v>
      </c>
      <c r="CJ561" s="217">
        <v>0</v>
      </c>
    </row>
    <row r="562" spans="1:88" x14ac:dyDescent="0.25">
      <c r="A562" s="217" t="s">
        <v>22</v>
      </c>
      <c r="B562" s="217" t="s">
        <v>23</v>
      </c>
      <c r="C562" s="217" t="s">
        <v>85</v>
      </c>
      <c r="D562" s="217" t="s">
        <v>84</v>
      </c>
      <c r="E562" s="217" t="s">
        <v>98</v>
      </c>
      <c r="F562" s="217" t="s">
        <v>97</v>
      </c>
      <c r="G562" s="217" t="s">
        <v>418</v>
      </c>
      <c r="H562" s="217" t="s">
        <v>1218</v>
      </c>
      <c r="I562" s="217" t="s">
        <v>29</v>
      </c>
      <c r="J562" s="217" t="s">
        <v>1857</v>
      </c>
      <c r="K562" s="217">
        <v>5</v>
      </c>
      <c r="L562" s="217">
        <v>36</v>
      </c>
      <c r="M562" s="217" t="s">
        <v>31</v>
      </c>
      <c r="N562" s="217" t="s">
        <v>32</v>
      </c>
      <c r="O562" s="217" t="s">
        <v>68</v>
      </c>
      <c r="P562" s="217" t="s">
        <v>34</v>
      </c>
      <c r="Q562" s="217" t="s">
        <v>35</v>
      </c>
      <c r="R562" s="217" t="s">
        <v>23</v>
      </c>
      <c r="S562" s="217" t="s">
        <v>22</v>
      </c>
      <c r="T562" s="217" t="s">
        <v>84</v>
      </c>
      <c r="U562" s="217" t="s">
        <v>85</v>
      </c>
      <c r="V562" s="217" t="s">
        <v>91</v>
      </c>
      <c r="W562" s="217" t="s">
        <v>92</v>
      </c>
      <c r="BC562" s="217" t="s">
        <v>218</v>
      </c>
      <c r="BD562" s="217" t="s">
        <v>497</v>
      </c>
      <c r="BE562" s="217" t="s">
        <v>1356</v>
      </c>
      <c r="BF562" s="217" t="s">
        <v>499</v>
      </c>
      <c r="BG562" s="217" t="s">
        <v>1998</v>
      </c>
      <c r="BH562" s="217" t="s">
        <v>1658</v>
      </c>
      <c r="BI562" s="217" t="s">
        <v>1660</v>
      </c>
      <c r="BJ562" s="217" t="s">
        <v>1660</v>
      </c>
      <c r="BK562" s="217" t="s">
        <v>637</v>
      </c>
      <c r="BL562" s="217"/>
      <c r="BM562" s="217"/>
      <c r="BN562" s="217">
        <v>0</v>
      </c>
      <c r="BO562" s="217">
        <v>0</v>
      </c>
      <c r="BR562" s="217" t="s">
        <v>48</v>
      </c>
      <c r="BS562" s="217" t="s">
        <v>232</v>
      </c>
      <c r="BT562" s="217" t="s">
        <v>705</v>
      </c>
      <c r="BU562" s="217" t="s">
        <v>1693</v>
      </c>
      <c r="BV562" s="217">
        <v>0</v>
      </c>
      <c r="BW562" s="217">
        <v>0</v>
      </c>
      <c r="BX562" s="217">
        <v>0</v>
      </c>
      <c r="BY562" s="217">
        <v>0</v>
      </c>
      <c r="BZ562" s="217">
        <v>0</v>
      </c>
      <c r="CA562" s="217">
        <v>0</v>
      </c>
      <c r="CB562" s="217">
        <v>0</v>
      </c>
      <c r="CC562" s="217">
        <v>0</v>
      </c>
      <c r="CD562" s="217">
        <v>0</v>
      </c>
      <c r="CE562" s="217">
        <v>0</v>
      </c>
      <c r="CF562" s="217">
        <v>0</v>
      </c>
      <c r="CG562" s="217">
        <v>0</v>
      </c>
      <c r="CH562" s="217">
        <v>0</v>
      </c>
      <c r="CI562" s="217">
        <v>0</v>
      </c>
      <c r="CJ562" s="217">
        <v>0</v>
      </c>
    </row>
    <row r="563" spans="1:88" x14ac:dyDescent="0.25">
      <c r="A563" s="217" t="s">
        <v>22</v>
      </c>
      <c r="B563" s="217" t="s">
        <v>23</v>
      </c>
      <c r="C563" s="217" t="s">
        <v>85</v>
      </c>
      <c r="D563" s="217" t="s">
        <v>84</v>
      </c>
      <c r="E563" s="217" t="s">
        <v>98</v>
      </c>
      <c r="F563" s="217" t="s">
        <v>97</v>
      </c>
      <c r="G563" s="217" t="s">
        <v>419</v>
      </c>
      <c r="H563" s="217" t="s">
        <v>1219</v>
      </c>
      <c r="I563" s="217" t="s">
        <v>29</v>
      </c>
      <c r="J563" s="217" t="s">
        <v>1856</v>
      </c>
      <c r="K563" s="217">
        <v>4</v>
      </c>
      <c r="L563" s="217">
        <v>10</v>
      </c>
      <c r="M563" s="217" t="s">
        <v>31</v>
      </c>
      <c r="N563" s="217" t="s">
        <v>32</v>
      </c>
      <c r="O563" s="217" t="s">
        <v>68</v>
      </c>
      <c r="P563" s="217" t="s">
        <v>34</v>
      </c>
      <c r="Q563" s="217" t="s">
        <v>35</v>
      </c>
      <c r="R563" s="217" t="s">
        <v>23</v>
      </c>
      <c r="S563" s="217" t="s">
        <v>22</v>
      </c>
      <c r="T563" s="217" t="s">
        <v>84</v>
      </c>
      <c r="U563" s="217" t="s">
        <v>85</v>
      </c>
      <c r="V563" s="217" t="s">
        <v>109</v>
      </c>
      <c r="W563" s="217" t="s">
        <v>110</v>
      </c>
      <c r="BC563" s="217" t="s">
        <v>218</v>
      </c>
      <c r="BD563" s="217" t="s">
        <v>497</v>
      </c>
      <c r="BE563" s="217" t="s">
        <v>1357</v>
      </c>
      <c r="BF563" s="217" t="s">
        <v>500</v>
      </c>
      <c r="BG563" s="217" t="s">
        <v>1998</v>
      </c>
      <c r="BH563" s="217" t="s">
        <v>1658</v>
      </c>
      <c r="BI563" s="217" t="s">
        <v>1660</v>
      </c>
      <c r="BJ563" s="217" t="s">
        <v>1658</v>
      </c>
      <c r="BK563" s="217" t="s">
        <v>637</v>
      </c>
      <c r="BL563" s="217"/>
      <c r="BM563" s="217"/>
      <c r="BN563" s="217">
        <v>0</v>
      </c>
      <c r="BO563" s="217">
        <v>0</v>
      </c>
      <c r="BR563" s="217" t="s">
        <v>48</v>
      </c>
      <c r="BS563" s="217" t="s">
        <v>232</v>
      </c>
      <c r="BT563" s="217" t="s">
        <v>1692</v>
      </c>
      <c r="BU563" s="217" t="s">
        <v>1691</v>
      </c>
      <c r="BV563" s="217">
        <v>0</v>
      </c>
      <c r="BW563" s="217">
        <v>0</v>
      </c>
      <c r="BX563" s="217">
        <v>0</v>
      </c>
      <c r="BY563" s="217">
        <v>0</v>
      </c>
      <c r="BZ563" s="217">
        <v>0</v>
      </c>
      <c r="CA563" s="217">
        <v>0</v>
      </c>
      <c r="CB563" s="217">
        <v>0</v>
      </c>
      <c r="CC563" s="217">
        <v>0</v>
      </c>
      <c r="CD563" s="217">
        <v>0</v>
      </c>
      <c r="CE563" s="217">
        <v>0</v>
      </c>
      <c r="CF563" s="217">
        <v>0</v>
      </c>
      <c r="CG563" s="217">
        <v>0</v>
      </c>
      <c r="CH563" s="217">
        <v>0</v>
      </c>
      <c r="CI563" s="217">
        <v>0</v>
      </c>
      <c r="CJ563" s="217">
        <v>0</v>
      </c>
    </row>
    <row r="564" spans="1:88" x14ac:dyDescent="0.25">
      <c r="A564" s="217" t="s">
        <v>22</v>
      </c>
      <c r="B564" s="217" t="s">
        <v>23</v>
      </c>
      <c r="C564" s="217" t="s">
        <v>85</v>
      </c>
      <c r="D564" s="217" t="s">
        <v>84</v>
      </c>
      <c r="E564" s="217" t="s">
        <v>98</v>
      </c>
      <c r="F564" s="217" t="s">
        <v>97</v>
      </c>
      <c r="G564" s="217" t="s">
        <v>419</v>
      </c>
      <c r="H564" s="217" t="s">
        <v>1219</v>
      </c>
      <c r="I564" s="217" t="s">
        <v>29</v>
      </c>
      <c r="J564" s="217" t="s">
        <v>1857</v>
      </c>
      <c r="K564" s="217">
        <v>8</v>
      </c>
      <c r="L564" s="217">
        <v>61</v>
      </c>
      <c r="M564" s="217" t="s">
        <v>31</v>
      </c>
      <c r="N564" s="217" t="s">
        <v>32</v>
      </c>
      <c r="O564" s="217" t="s">
        <v>68</v>
      </c>
      <c r="P564" s="217" t="s">
        <v>34</v>
      </c>
      <c r="Q564" s="217" t="s">
        <v>35</v>
      </c>
      <c r="R564" s="217" t="s">
        <v>23</v>
      </c>
      <c r="S564" s="217" t="s">
        <v>22</v>
      </c>
      <c r="T564" s="217" t="s">
        <v>84</v>
      </c>
      <c r="U564" s="217" t="s">
        <v>85</v>
      </c>
      <c r="V564" s="217" t="s">
        <v>109</v>
      </c>
      <c r="W564" s="217" t="s">
        <v>110</v>
      </c>
      <c r="BC564" s="217" t="s">
        <v>48</v>
      </c>
      <c r="BD564" s="217" t="s">
        <v>232</v>
      </c>
      <c r="BE564" s="217" t="s">
        <v>2017</v>
      </c>
      <c r="BF564" s="217" t="s">
        <v>2016</v>
      </c>
      <c r="BG564" s="217" t="s">
        <v>2000</v>
      </c>
      <c r="BH564" s="217" t="s">
        <v>1660</v>
      </c>
      <c r="BI564" s="217" t="s">
        <v>1660</v>
      </c>
      <c r="BJ564" s="217" t="s">
        <v>1660</v>
      </c>
      <c r="BK564" s="217" t="s">
        <v>637</v>
      </c>
      <c r="BL564" s="217"/>
      <c r="BM564" s="217"/>
      <c r="BN564" s="217">
        <v>0</v>
      </c>
      <c r="BO564" s="217">
        <v>0</v>
      </c>
      <c r="BR564" s="217" t="s">
        <v>48</v>
      </c>
      <c r="BS564" s="217" t="s">
        <v>232</v>
      </c>
      <c r="BT564" s="217" t="s">
        <v>709</v>
      </c>
      <c r="BU564" s="217" t="s">
        <v>1694</v>
      </c>
      <c r="BV564" s="217">
        <v>0</v>
      </c>
      <c r="BW564" s="217">
        <v>0</v>
      </c>
      <c r="BX564" s="217">
        <v>0</v>
      </c>
      <c r="BY564" s="217">
        <v>0</v>
      </c>
      <c r="BZ564" s="217">
        <v>0</v>
      </c>
      <c r="CA564" s="217">
        <v>0</v>
      </c>
      <c r="CB564" s="217">
        <v>0</v>
      </c>
      <c r="CC564" s="217">
        <v>0</v>
      </c>
      <c r="CD564" s="217">
        <v>0</v>
      </c>
      <c r="CE564" s="217">
        <v>0</v>
      </c>
      <c r="CF564" s="217">
        <v>0</v>
      </c>
      <c r="CG564" s="217">
        <v>0</v>
      </c>
      <c r="CH564" s="217">
        <v>0</v>
      </c>
      <c r="CI564" s="217">
        <v>0</v>
      </c>
      <c r="CJ564" s="217">
        <v>0</v>
      </c>
    </row>
    <row r="565" spans="1:88" x14ac:dyDescent="0.25">
      <c r="A565" s="217" t="s">
        <v>22</v>
      </c>
      <c r="B565" s="217" t="s">
        <v>23</v>
      </c>
      <c r="C565" s="217" t="s">
        <v>85</v>
      </c>
      <c r="D565" s="217" t="s">
        <v>84</v>
      </c>
      <c r="E565" s="217" t="s">
        <v>98</v>
      </c>
      <c r="F565" s="217" t="s">
        <v>97</v>
      </c>
      <c r="G565" s="217" t="s">
        <v>420</v>
      </c>
      <c r="H565" s="217" t="s">
        <v>1220</v>
      </c>
      <c r="I565" s="217" t="s">
        <v>29</v>
      </c>
      <c r="J565" s="217" t="s">
        <v>1856</v>
      </c>
      <c r="K565" s="217">
        <v>82</v>
      </c>
      <c r="L565" s="217">
        <v>300</v>
      </c>
      <c r="M565" s="217" t="s">
        <v>31</v>
      </c>
      <c r="N565" s="217" t="s">
        <v>32</v>
      </c>
      <c r="O565" s="217" t="s">
        <v>68</v>
      </c>
      <c r="P565" s="217" t="s">
        <v>34</v>
      </c>
      <c r="Q565" s="217" t="s">
        <v>35</v>
      </c>
      <c r="R565" s="217" t="s">
        <v>23</v>
      </c>
      <c r="S565" s="217" t="s">
        <v>22</v>
      </c>
      <c r="T565" s="217" t="s">
        <v>84</v>
      </c>
      <c r="U565" s="217" t="s">
        <v>85</v>
      </c>
      <c r="V565" s="217" t="s">
        <v>91</v>
      </c>
      <c r="W565" s="217" t="s">
        <v>92</v>
      </c>
      <c r="BC565" s="217" t="s">
        <v>48</v>
      </c>
      <c r="BD565" s="217" t="s">
        <v>232</v>
      </c>
      <c r="BE565" s="217" t="s">
        <v>1694</v>
      </c>
      <c r="BF565" s="217" t="s">
        <v>709</v>
      </c>
      <c r="BG565" s="217" t="s">
        <v>2000</v>
      </c>
      <c r="BH565" s="217" t="s">
        <v>1660</v>
      </c>
      <c r="BI565" s="217" t="s">
        <v>1660</v>
      </c>
      <c r="BJ565" s="217" t="s">
        <v>1660</v>
      </c>
      <c r="BK565" s="217" t="s">
        <v>637</v>
      </c>
      <c r="BL565" s="217"/>
      <c r="BM565" s="217"/>
      <c r="BN565" s="217">
        <v>0</v>
      </c>
      <c r="BO565" s="217">
        <v>0</v>
      </c>
      <c r="BR565" s="217" t="s">
        <v>48</v>
      </c>
      <c r="BS565" s="217" t="s">
        <v>232</v>
      </c>
      <c r="BT565" s="217" t="s">
        <v>711</v>
      </c>
      <c r="BU565" s="217" t="s">
        <v>1696</v>
      </c>
      <c r="BV565" s="217">
        <v>0</v>
      </c>
      <c r="BW565" s="217">
        <v>0</v>
      </c>
      <c r="BX565" s="217">
        <v>0</v>
      </c>
      <c r="BY565" s="217">
        <v>0</v>
      </c>
      <c r="BZ565" s="217">
        <v>0</v>
      </c>
      <c r="CA565" s="217">
        <v>0</v>
      </c>
      <c r="CB565" s="217">
        <v>0</v>
      </c>
      <c r="CC565" s="217">
        <v>0</v>
      </c>
      <c r="CD565" s="217">
        <v>0</v>
      </c>
      <c r="CE565" s="217">
        <v>0</v>
      </c>
      <c r="CF565" s="217">
        <v>0</v>
      </c>
      <c r="CG565" s="217">
        <v>0</v>
      </c>
      <c r="CH565" s="217">
        <v>0</v>
      </c>
      <c r="CI565" s="217">
        <v>0</v>
      </c>
      <c r="CJ565" s="217">
        <v>0</v>
      </c>
    </row>
    <row r="566" spans="1:88" x14ac:dyDescent="0.25">
      <c r="A566" s="217" t="s">
        <v>22</v>
      </c>
      <c r="B566" s="217" t="s">
        <v>23</v>
      </c>
      <c r="C566" s="217" t="s">
        <v>85</v>
      </c>
      <c r="D566" s="217" t="s">
        <v>84</v>
      </c>
      <c r="E566" s="217" t="s">
        <v>98</v>
      </c>
      <c r="F566" s="217" t="s">
        <v>97</v>
      </c>
      <c r="G566" s="217" t="s">
        <v>420</v>
      </c>
      <c r="H566" s="217" t="s">
        <v>1220</v>
      </c>
      <c r="I566" s="217" t="s">
        <v>29</v>
      </c>
      <c r="J566" s="217" t="s">
        <v>1857</v>
      </c>
      <c r="K566" s="217">
        <v>103</v>
      </c>
      <c r="L566" s="217">
        <v>420</v>
      </c>
      <c r="M566" s="217" t="s">
        <v>31</v>
      </c>
      <c r="N566" s="217" t="s">
        <v>32</v>
      </c>
      <c r="O566" s="217" t="s">
        <v>68</v>
      </c>
      <c r="P566" s="217" t="s">
        <v>34</v>
      </c>
      <c r="Q566" s="217" t="s">
        <v>35</v>
      </c>
      <c r="R566" s="217" t="s">
        <v>23</v>
      </c>
      <c r="S566" s="217" t="s">
        <v>22</v>
      </c>
      <c r="T566" s="217" t="s">
        <v>84</v>
      </c>
      <c r="U566" s="217" t="s">
        <v>85</v>
      </c>
      <c r="V566" s="217" t="s">
        <v>94</v>
      </c>
      <c r="W566" s="217" t="s">
        <v>95</v>
      </c>
      <c r="BC566" s="217" t="s">
        <v>48</v>
      </c>
      <c r="BD566" s="217" t="s">
        <v>232</v>
      </c>
      <c r="BE566" s="217" t="s">
        <v>1358</v>
      </c>
      <c r="BF566" s="217" t="s">
        <v>233</v>
      </c>
      <c r="BG566" s="217" t="s">
        <v>1998</v>
      </c>
      <c r="BH566" s="217" t="s">
        <v>1658</v>
      </c>
      <c r="BI566" s="217" t="s">
        <v>1660</v>
      </c>
      <c r="BJ566" s="217" t="s">
        <v>1658</v>
      </c>
      <c r="BK566" s="217" t="s">
        <v>2011</v>
      </c>
      <c r="BL566" s="217"/>
      <c r="BM566" s="217" t="s">
        <v>3728</v>
      </c>
      <c r="BN566" s="217">
        <v>10</v>
      </c>
      <c r="BO566" s="217">
        <v>2017</v>
      </c>
      <c r="BR566" s="217" t="s">
        <v>48</v>
      </c>
      <c r="BS566" s="217" t="s">
        <v>232</v>
      </c>
      <c r="BT566" s="217" t="s">
        <v>708</v>
      </c>
      <c r="BU566" s="217" t="s">
        <v>1697</v>
      </c>
      <c r="BV566" s="217">
        <v>0</v>
      </c>
      <c r="BW566" s="217">
        <v>0</v>
      </c>
      <c r="BX566" s="217">
        <v>0</v>
      </c>
      <c r="BY566" s="217">
        <v>0</v>
      </c>
      <c r="BZ566" s="217">
        <v>0</v>
      </c>
      <c r="CA566" s="217">
        <v>0</v>
      </c>
      <c r="CB566" s="217">
        <v>0</v>
      </c>
      <c r="CC566" s="217">
        <v>0</v>
      </c>
      <c r="CD566" s="217">
        <v>0</v>
      </c>
      <c r="CE566" s="217">
        <v>0</v>
      </c>
      <c r="CF566" s="217">
        <v>0</v>
      </c>
      <c r="CG566" s="217">
        <v>0</v>
      </c>
      <c r="CH566" s="217">
        <v>0</v>
      </c>
      <c r="CI566" s="217">
        <v>0</v>
      </c>
      <c r="CJ566" s="217">
        <v>0</v>
      </c>
    </row>
    <row r="567" spans="1:88" x14ac:dyDescent="0.25">
      <c r="A567" s="217" t="s">
        <v>22</v>
      </c>
      <c r="B567" s="217" t="s">
        <v>23</v>
      </c>
      <c r="C567" s="217" t="s">
        <v>85</v>
      </c>
      <c r="D567" s="217" t="s">
        <v>84</v>
      </c>
      <c r="E567" s="217" t="s">
        <v>98</v>
      </c>
      <c r="F567" s="217" t="s">
        <v>97</v>
      </c>
      <c r="G567" s="217" t="s">
        <v>420</v>
      </c>
      <c r="H567" s="217" t="s">
        <v>1220</v>
      </c>
      <c r="I567" s="217" t="s">
        <v>29</v>
      </c>
      <c r="J567" s="217" t="s">
        <v>1858</v>
      </c>
      <c r="K567" s="217">
        <v>15</v>
      </c>
      <c r="L567" s="217">
        <v>75</v>
      </c>
      <c r="M567" s="217" t="s">
        <v>31</v>
      </c>
      <c r="N567" s="217" t="s">
        <v>32</v>
      </c>
      <c r="O567" s="217" t="s">
        <v>68</v>
      </c>
      <c r="P567" s="217" t="s">
        <v>34</v>
      </c>
      <c r="Q567" s="217" t="s">
        <v>35</v>
      </c>
      <c r="R567" s="217" t="s">
        <v>23</v>
      </c>
      <c r="S567" s="217" t="s">
        <v>22</v>
      </c>
      <c r="T567" s="217" t="s">
        <v>84</v>
      </c>
      <c r="U567" s="217" t="s">
        <v>85</v>
      </c>
      <c r="V567" s="217" t="s">
        <v>109</v>
      </c>
      <c r="W567" s="217" t="s">
        <v>110</v>
      </c>
      <c r="BC567" s="217" t="s">
        <v>48</v>
      </c>
      <c r="BD567" s="217" t="s">
        <v>232</v>
      </c>
      <c r="BE567" s="217" t="s">
        <v>1695</v>
      </c>
      <c r="BF567" s="217" t="s">
        <v>501</v>
      </c>
      <c r="BG567" s="217" t="s">
        <v>2000</v>
      </c>
      <c r="BH567" s="217" t="s">
        <v>1660</v>
      </c>
      <c r="BI567" s="217" t="s">
        <v>1660</v>
      </c>
      <c r="BJ567" s="217" t="s">
        <v>1660</v>
      </c>
      <c r="BK567" s="217" t="s">
        <v>637</v>
      </c>
      <c r="BL567" s="217"/>
      <c r="BM567" s="217"/>
      <c r="BN567" s="217">
        <v>0</v>
      </c>
      <c r="BO567" s="217">
        <v>0</v>
      </c>
      <c r="BR567" s="217" t="s">
        <v>48</v>
      </c>
      <c r="BS567" s="217" t="s">
        <v>232</v>
      </c>
      <c r="BT567" s="217" t="s">
        <v>501</v>
      </c>
      <c r="BU567" s="217" t="s">
        <v>1695</v>
      </c>
      <c r="BV567" s="217">
        <v>0</v>
      </c>
      <c r="BW567" s="217">
        <v>0</v>
      </c>
      <c r="BX567" s="217">
        <v>0</v>
      </c>
      <c r="BY567" s="217">
        <v>0</v>
      </c>
      <c r="BZ567" s="217">
        <v>0</v>
      </c>
      <c r="CA567" s="217">
        <v>0</v>
      </c>
      <c r="CB567" s="217">
        <v>0</v>
      </c>
      <c r="CC567" s="217">
        <v>0</v>
      </c>
      <c r="CD567" s="217">
        <v>0</v>
      </c>
      <c r="CE567" s="217">
        <v>0</v>
      </c>
      <c r="CF567" s="217">
        <v>0</v>
      </c>
      <c r="CG567" s="217">
        <v>0</v>
      </c>
      <c r="CH567" s="217">
        <v>0</v>
      </c>
      <c r="CI567" s="217">
        <v>0</v>
      </c>
      <c r="CJ567" s="217">
        <v>0</v>
      </c>
    </row>
    <row r="568" spans="1:88" x14ac:dyDescent="0.25">
      <c r="A568" s="217" t="s">
        <v>22</v>
      </c>
      <c r="B568" s="217" t="s">
        <v>23</v>
      </c>
      <c r="C568" s="217" t="s">
        <v>85</v>
      </c>
      <c r="D568" s="217" t="s">
        <v>84</v>
      </c>
      <c r="E568" s="217" t="s">
        <v>98</v>
      </c>
      <c r="F568" s="217" t="s">
        <v>97</v>
      </c>
      <c r="G568" s="217" t="s">
        <v>421</v>
      </c>
      <c r="H568" s="217" t="s">
        <v>1221</v>
      </c>
      <c r="I568" s="217" t="s">
        <v>29</v>
      </c>
      <c r="J568" s="217" t="s">
        <v>1855</v>
      </c>
      <c r="K568" s="217">
        <v>5</v>
      </c>
      <c r="L568" s="217">
        <v>20</v>
      </c>
      <c r="M568" s="217" t="s">
        <v>31</v>
      </c>
      <c r="N568" s="217" t="s">
        <v>32</v>
      </c>
      <c r="O568" s="217" t="s">
        <v>68</v>
      </c>
      <c r="P568" s="217" t="s">
        <v>34</v>
      </c>
      <c r="Q568" s="217" t="s">
        <v>35</v>
      </c>
      <c r="R568" s="217" t="s">
        <v>23</v>
      </c>
      <c r="S568" s="217" t="s">
        <v>22</v>
      </c>
      <c r="T568" s="217" t="s">
        <v>84</v>
      </c>
      <c r="U568" s="217" t="s">
        <v>85</v>
      </c>
      <c r="V568" s="217" t="s">
        <v>91</v>
      </c>
      <c r="W568" s="217" t="s">
        <v>92</v>
      </c>
      <c r="BC568" s="217" t="s">
        <v>48</v>
      </c>
      <c r="BD568" s="217" t="s">
        <v>232</v>
      </c>
      <c r="BE568" s="217" t="s">
        <v>1696</v>
      </c>
      <c r="BF568" s="217" t="s">
        <v>711</v>
      </c>
      <c r="BG568" s="217" t="s">
        <v>2000</v>
      </c>
      <c r="BH568" s="217" t="s">
        <v>1660</v>
      </c>
      <c r="BI568" s="217" t="s">
        <v>1660</v>
      </c>
      <c r="BJ568" s="217" t="s">
        <v>1660</v>
      </c>
      <c r="BK568" s="217" t="s">
        <v>637</v>
      </c>
      <c r="BL568" s="217"/>
      <c r="BM568" s="217"/>
      <c r="BN568" s="217">
        <v>0</v>
      </c>
      <c r="BO568" s="217">
        <v>0</v>
      </c>
      <c r="BR568" s="217" t="s">
        <v>48</v>
      </c>
      <c r="BS568" s="217" t="s">
        <v>232</v>
      </c>
      <c r="BT568" s="217" t="s">
        <v>1360</v>
      </c>
      <c r="BU568" s="217" t="s">
        <v>1361</v>
      </c>
      <c r="BV568" s="217">
        <v>579</v>
      </c>
      <c r="BW568" s="217">
        <v>4624</v>
      </c>
      <c r="BX568" s="217">
        <v>0</v>
      </c>
      <c r="BY568" s="217">
        <v>0</v>
      </c>
      <c r="BZ568" s="217">
        <v>17</v>
      </c>
      <c r="CA568" s="217">
        <v>119</v>
      </c>
      <c r="CB568" s="217">
        <v>579</v>
      </c>
      <c r="CC568" s="217">
        <v>4624</v>
      </c>
      <c r="CD568" s="217">
        <v>0</v>
      </c>
      <c r="CE568" s="217">
        <v>0</v>
      </c>
      <c r="CF568" s="217">
        <v>13</v>
      </c>
      <c r="CG568" s="217">
        <v>91</v>
      </c>
      <c r="CH568" s="217">
        <v>0</v>
      </c>
      <c r="CI568" s="217">
        <v>0</v>
      </c>
      <c r="CJ568" s="217">
        <v>28</v>
      </c>
    </row>
    <row r="569" spans="1:88" x14ac:dyDescent="0.25">
      <c r="A569" s="217" t="s">
        <v>22</v>
      </c>
      <c r="B569" s="217" t="s">
        <v>23</v>
      </c>
      <c r="C569" s="217" t="s">
        <v>85</v>
      </c>
      <c r="D569" s="217" t="s">
        <v>84</v>
      </c>
      <c r="E569" s="217" t="s">
        <v>98</v>
      </c>
      <c r="F569" s="217" t="s">
        <v>97</v>
      </c>
      <c r="G569" s="217" t="s">
        <v>166</v>
      </c>
      <c r="H569" s="217" t="s">
        <v>1222</v>
      </c>
      <c r="I569" s="217" t="s">
        <v>29</v>
      </c>
      <c r="J569" s="217" t="s">
        <v>1855</v>
      </c>
      <c r="K569" s="217">
        <v>6</v>
      </c>
      <c r="L569" s="217">
        <v>27</v>
      </c>
      <c r="M569" s="217" t="s">
        <v>31</v>
      </c>
      <c r="N569" s="217" t="s">
        <v>32</v>
      </c>
      <c r="O569" s="217" t="s">
        <v>68</v>
      </c>
      <c r="P569" s="217" t="s">
        <v>34</v>
      </c>
      <c r="Q569" s="217" t="s">
        <v>35</v>
      </c>
      <c r="R569" s="217" t="s">
        <v>23</v>
      </c>
      <c r="S569" s="217" t="s">
        <v>22</v>
      </c>
      <c r="T569" s="217" t="s">
        <v>84</v>
      </c>
      <c r="U569" s="217" t="s">
        <v>85</v>
      </c>
      <c r="V569" s="217" t="s">
        <v>91</v>
      </c>
      <c r="W569" s="217" t="s">
        <v>92</v>
      </c>
      <c r="BC569" s="217" t="s">
        <v>48</v>
      </c>
      <c r="BD569" s="217" t="s">
        <v>232</v>
      </c>
      <c r="BE569" s="217" t="s">
        <v>1697</v>
      </c>
      <c r="BF569" s="217" t="s">
        <v>708</v>
      </c>
      <c r="BG569" s="217" t="s">
        <v>2000</v>
      </c>
      <c r="BH569" s="217" t="s">
        <v>1660</v>
      </c>
      <c r="BI569" s="217" t="s">
        <v>1660</v>
      </c>
      <c r="BJ569" s="217" t="s">
        <v>1660</v>
      </c>
      <c r="BK569" s="217" t="s">
        <v>637</v>
      </c>
      <c r="BL569" s="217"/>
      <c r="BM569" s="217"/>
      <c r="BN569" s="217">
        <v>0</v>
      </c>
      <c r="BO569" s="217">
        <v>0</v>
      </c>
      <c r="BR569" s="217" t="s">
        <v>48</v>
      </c>
      <c r="BS569" s="217" t="s">
        <v>232</v>
      </c>
      <c r="BT569" s="217" t="s">
        <v>233</v>
      </c>
      <c r="BU569" s="217" t="s">
        <v>1358</v>
      </c>
      <c r="BV569" s="217">
        <v>566</v>
      </c>
      <c r="BW569" s="217">
        <v>3888</v>
      </c>
      <c r="BX569" s="217">
        <v>0</v>
      </c>
      <c r="BY569" s="217">
        <v>0</v>
      </c>
      <c r="BZ569" s="217">
        <v>1098</v>
      </c>
      <c r="CA569" s="217">
        <v>7967</v>
      </c>
      <c r="CB569" s="217">
        <v>566</v>
      </c>
      <c r="CC569" s="217">
        <v>3888</v>
      </c>
      <c r="CD569" s="217">
        <v>0</v>
      </c>
      <c r="CE569" s="217">
        <v>0</v>
      </c>
      <c r="CF569" s="217">
        <v>713</v>
      </c>
      <c r="CG569" s="217">
        <v>4592</v>
      </c>
      <c r="CH569" s="217">
        <v>0</v>
      </c>
      <c r="CI569" s="217">
        <v>0</v>
      </c>
      <c r="CJ569" s="217">
        <v>3375</v>
      </c>
    </row>
    <row r="570" spans="1:88" x14ac:dyDescent="0.25">
      <c r="A570" s="217" t="s">
        <v>22</v>
      </c>
      <c r="B570" s="217" t="s">
        <v>23</v>
      </c>
      <c r="C570" s="217" t="s">
        <v>85</v>
      </c>
      <c r="D570" s="217" t="s">
        <v>84</v>
      </c>
      <c r="E570" s="217" t="s">
        <v>98</v>
      </c>
      <c r="F570" s="217" t="s">
        <v>97</v>
      </c>
      <c r="G570" s="217" t="s">
        <v>422</v>
      </c>
      <c r="H570" s="217" t="s">
        <v>1223</v>
      </c>
      <c r="I570" s="217" t="s">
        <v>29</v>
      </c>
      <c r="J570" s="217" t="s">
        <v>1855</v>
      </c>
      <c r="K570" s="217">
        <v>3</v>
      </c>
      <c r="L570" s="217">
        <v>18</v>
      </c>
      <c r="M570" s="217" t="s">
        <v>31</v>
      </c>
      <c r="N570" s="217" t="s">
        <v>32</v>
      </c>
      <c r="O570" s="217" t="s">
        <v>68</v>
      </c>
      <c r="P570" s="217" t="s">
        <v>34</v>
      </c>
      <c r="Q570" s="217" t="s">
        <v>35</v>
      </c>
      <c r="R570" s="217" t="s">
        <v>23</v>
      </c>
      <c r="S570" s="217" t="s">
        <v>22</v>
      </c>
      <c r="T570" s="217" t="s">
        <v>84</v>
      </c>
      <c r="U570" s="217" t="s">
        <v>85</v>
      </c>
      <c r="V570" s="217" t="s">
        <v>91</v>
      </c>
      <c r="W570" s="217" t="s">
        <v>92</v>
      </c>
      <c r="BC570" s="217" t="s">
        <v>48</v>
      </c>
      <c r="BD570" s="217" t="s">
        <v>232</v>
      </c>
      <c r="BE570" s="217" t="s">
        <v>1583</v>
      </c>
      <c r="BF570" s="217" t="s">
        <v>706</v>
      </c>
      <c r="BG570" s="217" t="s">
        <v>1998</v>
      </c>
      <c r="BH570" s="217" t="s">
        <v>1660</v>
      </c>
      <c r="BI570" s="217" t="s">
        <v>1660</v>
      </c>
      <c r="BJ570" s="217" t="s">
        <v>1658</v>
      </c>
      <c r="BK570" s="217" t="s">
        <v>637</v>
      </c>
      <c r="BL570" s="217"/>
      <c r="BM570" s="217"/>
      <c r="BN570" s="217">
        <v>0</v>
      </c>
      <c r="BO570" s="217">
        <v>0</v>
      </c>
      <c r="BR570" s="217" t="s">
        <v>48</v>
      </c>
      <c r="BS570" s="217" t="s">
        <v>232</v>
      </c>
      <c r="BT570" s="217" t="s">
        <v>707</v>
      </c>
      <c r="BU570" s="217" t="s">
        <v>1584</v>
      </c>
      <c r="BV570" s="217">
        <v>0</v>
      </c>
      <c r="BW570" s="217">
        <v>0</v>
      </c>
      <c r="BX570" s="217">
        <v>0</v>
      </c>
      <c r="BY570" s="217">
        <v>0</v>
      </c>
      <c r="BZ570" s="217">
        <v>20</v>
      </c>
      <c r="CA570" s="217">
        <v>105</v>
      </c>
      <c r="CB570" s="217">
        <v>0</v>
      </c>
      <c r="CC570" s="217">
        <v>0</v>
      </c>
      <c r="CD570" s="217">
        <v>0</v>
      </c>
      <c r="CE570" s="217">
        <v>0</v>
      </c>
      <c r="CF570" s="217">
        <v>20</v>
      </c>
      <c r="CG570" s="217">
        <v>105</v>
      </c>
      <c r="CH570" s="217">
        <v>0</v>
      </c>
      <c r="CI570" s="217">
        <v>0</v>
      </c>
      <c r="CJ570" s="217">
        <v>0</v>
      </c>
    </row>
    <row r="571" spans="1:88" x14ac:dyDescent="0.25">
      <c r="A571" s="217" t="s">
        <v>22</v>
      </c>
      <c r="B571" s="217" t="s">
        <v>23</v>
      </c>
      <c r="C571" s="217" t="s">
        <v>85</v>
      </c>
      <c r="D571" s="217" t="s">
        <v>84</v>
      </c>
      <c r="E571" s="217" t="s">
        <v>98</v>
      </c>
      <c r="F571" s="217" t="s">
        <v>97</v>
      </c>
      <c r="G571" s="217" t="s">
        <v>422</v>
      </c>
      <c r="H571" s="217" t="s">
        <v>1223</v>
      </c>
      <c r="I571" s="217" t="s">
        <v>29</v>
      </c>
      <c r="J571" s="217" t="s">
        <v>1856</v>
      </c>
      <c r="K571" s="217">
        <v>5</v>
      </c>
      <c r="L571" s="217">
        <v>30</v>
      </c>
      <c r="M571" s="217" t="s">
        <v>31</v>
      </c>
      <c r="N571" s="217" t="s">
        <v>32</v>
      </c>
      <c r="O571" s="217" t="s">
        <v>68</v>
      </c>
      <c r="P571" s="217" t="s">
        <v>34</v>
      </c>
      <c r="Q571" s="217" t="s">
        <v>35</v>
      </c>
      <c r="R571" s="217" t="s">
        <v>23</v>
      </c>
      <c r="S571" s="217" t="s">
        <v>22</v>
      </c>
      <c r="T571" s="217" t="s">
        <v>84</v>
      </c>
      <c r="U571" s="217" t="s">
        <v>85</v>
      </c>
      <c r="V571" s="217" t="s">
        <v>91</v>
      </c>
      <c r="W571" s="217" t="s">
        <v>92</v>
      </c>
      <c r="BC571" s="217" t="s">
        <v>48</v>
      </c>
      <c r="BD571" s="217" t="s">
        <v>232</v>
      </c>
      <c r="BE571" s="217" t="s">
        <v>1359</v>
      </c>
      <c r="BF571" s="217" t="s">
        <v>834</v>
      </c>
      <c r="BG571" s="217" t="s">
        <v>1998</v>
      </c>
      <c r="BH571" s="217" t="s">
        <v>1658</v>
      </c>
      <c r="BI571" s="217" t="s">
        <v>1660</v>
      </c>
      <c r="BJ571" s="217" t="s">
        <v>1658</v>
      </c>
      <c r="BK571" s="217" t="s">
        <v>637</v>
      </c>
      <c r="BL571" s="217" t="s">
        <v>3729</v>
      </c>
      <c r="BM571" s="217" t="s">
        <v>3730</v>
      </c>
      <c r="BN571" s="217">
        <v>0</v>
      </c>
      <c r="BO571" s="217">
        <v>0</v>
      </c>
      <c r="BR571" s="217" t="s">
        <v>48</v>
      </c>
      <c r="BS571" s="217" t="s">
        <v>232</v>
      </c>
      <c r="BT571" s="217" t="s">
        <v>706</v>
      </c>
      <c r="BU571" s="217" t="s">
        <v>1583</v>
      </c>
      <c r="BV571" s="217">
        <v>0</v>
      </c>
      <c r="BW571" s="217">
        <v>0</v>
      </c>
      <c r="BX571" s="217">
        <v>0</v>
      </c>
      <c r="BY571" s="217">
        <v>0</v>
      </c>
      <c r="BZ571" s="217">
        <v>16</v>
      </c>
      <c r="CA571" s="217">
        <v>75</v>
      </c>
      <c r="CB571" s="217">
        <v>0</v>
      </c>
      <c r="CC571" s="217">
        <v>0</v>
      </c>
      <c r="CD571" s="217">
        <v>0</v>
      </c>
      <c r="CE571" s="217">
        <v>0</v>
      </c>
      <c r="CF571" s="217">
        <v>16</v>
      </c>
      <c r="CG571" s="217">
        <v>75</v>
      </c>
      <c r="CH571" s="217">
        <v>0</v>
      </c>
      <c r="CI571" s="217">
        <v>0</v>
      </c>
      <c r="CJ571" s="217">
        <v>0</v>
      </c>
    </row>
    <row r="572" spans="1:88" x14ac:dyDescent="0.25">
      <c r="A572" s="217" t="s">
        <v>22</v>
      </c>
      <c r="B572" s="217" t="s">
        <v>23</v>
      </c>
      <c r="C572" s="217" t="s">
        <v>85</v>
      </c>
      <c r="D572" s="217" t="s">
        <v>84</v>
      </c>
      <c r="E572" s="217" t="s">
        <v>98</v>
      </c>
      <c r="F572" s="217" t="s">
        <v>97</v>
      </c>
      <c r="G572" s="217" t="s">
        <v>422</v>
      </c>
      <c r="H572" s="217" t="s">
        <v>1223</v>
      </c>
      <c r="I572" s="217" t="s">
        <v>29</v>
      </c>
      <c r="J572" s="217" t="s">
        <v>1857</v>
      </c>
      <c r="K572" s="217">
        <v>2</v>
      </c>
      <c r="L572" s="217">
        <v>8</v>
      </c>
      <c r="M572" s="217" t="s">
        <v>31</v>
      </c>
      <c r="N572" s="217" t="s">
        <v>32</v>
      </c>
      <c r="O572" s="217" t="s">
        <v>68</v>
      </c>
      <c r="P572" s="217" t="s">
        <v>34</v>
      </c>
      <c r="Q572" s="217" t="s">
        <v>35</v>
      </c>
      <c r="R572" s="217" t="s">
        <v>23</v>
      </c>
      <c r="S572" s="217" t="s">
        <v>22</v>
      </c>
      <c r="T572" s="217" t="s">
        <v>84</v>
      </c>
      <c r="U572" s="217" t="s">
        <v>85</v>
      </c>
      <c r="V572" s="217" t="s">
        <v>91</v>
      </c>
      <c r="W572" s="217" t="s">
        <v>92</v>
      </c>
      <c r="BC572" s="217" t="s">
        <v>48</v>
      </c>
      <c r="BD572" s="217" t="s">
        <v>232</v>
      </c>
      <c r="BE572" s="217" t="s">
        <v>1361</v>
      </c>
      <c r="BF572" s="217" t="s">
        <v>1360</v>
      </c>
      <c r="BG572" s="217" t="s">
        <v>1998</v>
      </c>
      <c r="BH572" s="217" t="s">
        <v>1658</v>
      </c>
      <c r="BI572" s="217" t="s">
        <v>1660</v>
      </c>
      <c r="BJ572" s="217" t="s">
        <v>1658</v>
      </c>
      <c r="BK572" s="217" t="s">
        <v>637</v>
      </c>
      <c r="BL572" s="217"/>
      <c r="BM572" s="217"/>
      <c r="BN572" s="217">
        <v>0</v>
      </c>
      <c r="BO572" s="217">
        <v>0</v>
      </c>
      <c r="BR572" s="217" t="s">
        <v>48</v>
      </c>
      <c r="BS572" s="217" t="s">
        <v>232</v>
      </c>
      <c r="BT572" s="217" t="s">
        <v>234</v>
      </c>
      <c r="BU572" s="217" t="s">
        <v>1362</v>
      </c>
      <c r="BV572" s="217">
        <v>961</v>
      </c>
      <c r="BW572" s="217">
        <v>5827</v>
      </c>
      <c r="BX572" s="217">
        <v>0</v>
      </c>
      <c r="BY572" s="217">
        <v>0</v>
      </c>
      <c r="BZ572" s="217">
        <v>115</v>
      </c>
      <c r="CA572" s="217">
        <v>650</v>
      </c>
      <c r="CB572" s="217">
        <v>947</v>
      </c>
      <c r="CC572" s="217">
        <v>5754</v>
      </c>
      <c r="CD572" s="217">
        <v>0</v>
      </c>
      <c r="CE572" s="217">
        <v>0</v>
      </c>
      <c r="CF572" s="217">
        <v>107</v>
      </c>
      <c r="CG572" s="217">
        <v>607</v>
      </c>
      <c r="CH572" s="217">
        <v>73</v>
      </c>
      <c r="CI572" s="217">
        <v>0</v>
      </c>
      <c r="CJ572" s="217">
        <v>43</v>
      </c>
    </row>
    <row r="573" spans="1:88" x14ac:dyDescent="0.25">
      <c r="A573" s="217" t="s">
        <v>22</v>
      </c>
      <c r="B573" s="217" t="s">
        <v>23</v>
      </c>
      <c r="C573" s="217" t="s">
        <v>85</v>
      </c>
      <c r="D573" s="217" t="s">
        <v>84</v>
      </c>
      <c r="E573" s="217" t="s">
        <v>98</v>
      </c>
      <c r="F573" s="217" t="s">
        <v>97</v>
      </c>
      <c r="G573" s="217" t="s">
        <v>423</v>
      </c>
      <c r="H573" s="217" t="s">
        <v>1224</v>
      </c>
      <c r="I573" s="217" t="s">
        <v>29</v>
      </c>
      <c r="J573" s="217" t="s">
        <v>1856</v>
      </c>
      <c r="K573" s="217">
        <v>879</v>
      </c>
      <c r="L573" s="217">
        <v>3738</v>
      </c>
      <c r="M573" s="217" t="s">
        <v>31</v>
      </c>
      <c r="N573" s="217" t="s">
        <v>32</v>
      </c>
      <c r="O573" s="217" t="s">
        <v>68</v>
      </c>
      <c r="P573" s="217" t="s">
        <v>34</v>
      </c>
      <c r="Q573" s="217" t="s">
        <v>35</v>
      </c>
      <c r="R573" s="217" t="s">
        <v>23</v>
      </c>
      <c r="S573" s="217" t="s">
        <v>22</v>
      </c>
      <c r="T573" s="217" t="s">
        <v>84</v>
      </c>
      <c r="U573" s="217" t="s">
        <v>85</v>
      </c>
      <c r="V573" s="217" t="s">
        <v>91</v>
      </c>
      <c r="W573" s="217" t="s">
        <v>92</v>
      </c>
      <c r="BC573" s="217" t="s">
        <v>48</v>
      </c>
      <c r="BD573" s="217" t="s">
        <v>232</v>
      </c>
      <c r="BE573" s="217" t="s">
        <v>1362</v>
      </c>
      <c r="BF573" s="217" t="s">
        <v>234</v>
      </c>
      <c r="BG573" s="217" t="s">
        <v>1998</v>
      </c>
      <c r="BH573" s="217" t="s">
        <v>1658</v>
      </c>
      <c r="BI573" s="217" t="s">
        <v>1660</v>
      </c>
      <c r="BJ573" s="217" t="s">
        <v>1658</v>
      </c>
      <c r="BK573" s="217" t="s">
        <v>637</v>
      </c>
      <c r="BL573" s="217" t="s">
        <v>3731</v>
      </c>
      <c r="BM573" s="217" t="s">
        <v>3732</v>
      </c>
      <c r="BN573" s="217">
        <v>0</v>
      </c>
      <c r="BO573" s="217">
        <v>0</v>
      </c>
      <c r="BR573" s="217" t="s">
        <v>48</v>
      </c>
      <c r="BS573" s="217" t="s">
        <v>232</v>
      </c>
      <c r="BT573" s="217" t="s">
        <v>834</v>
      </c>
      <c r="BU573" s="217" t="s">
        <v>1359</v>
      </c>
      <c r="BV573" s="217">
        <v>23</v>
      </c>
      <c r="BW573" s="217">
        <v>182</v>
      </c>
      <c r="BX573" s="217">
        <v>0</v>
      </c>
      <c r="BY573" s="217">
        <v>0</v>
      </c>
      <c r="BZ573" s="217">
        <v>35</v>
      </c>
      <c r="CA573" s="217">
        <v>212</v>
      </c>
      <c r="CB573" s="217">
        <v>23</v>
      </c>
      <c r="CC573" s="217">
        <v>182</v>
      </c>
      <c r="CD573" s="217">
        <v>0</v>
      </c>
      <c r="CE573" s="217">
        <v>0</v>
      </c>
      <c r="CF573" s="217">
        <v>35</v>
      </c>
      <c r="CG573" s="217">
        <v>212</v>
      </c>
      <c r="CH573" s="217">
        <v>0</v>
      </c>
      <c r="CI573" s="217">
        <v>0</v>
      </c>
      <c r="CJ573" s="217">
        <v>0</v>
      </c>
    </row>
    <row r="574" spans="1:88" x14ac:dyDescent="0.25">
      <c r="A574" s="217" t="s">
        <v>22</v>
      </c>
      <c r="B574" s="217" t="s">
        <v>23</v>
      </c>
      <c r="C574" s="217" t="s">
        <v>85</v>
      </c>
      <c r="D574" s="217" t="s">
        <v>84</v>
      </c>
      <c r="E574" s="217" t="s">
        <v>98</v>
      </c>
      <c r="F574" s="217" t="s">
        <v>97</v>
      </c>
      <c r="G574" s="217" t="s">
        <v>423</v>
      </c>
      <c r="H574" s="217" t="s">
        <v>1224</v>
      </c>
      <c r="I574" s="217" t="s">
        <v>29</v>
      </c>
      <c r="J574" s="217" t="s">
        <v>1857</v>
      </c>
      <c r="K574" s="217">
        <v>1000</v>
      </c>
      <c r="L574" s="217">
        <v>5539</v>
      </c>
      <c r="M574" s="217" t="s">
        <v>31</v>
      </c>
      <c r="N574" s="217" t="s">
        <v>32</v>
      </c>
      <c r="O574" s="217" t="s">
        <v>68</v>
      </c>
      <c r="P574" s="217" t="s">
        <v>34</v>
      </c>
      <c r="Q574" s="217" t="s">
        <v>35</v>
      </c>
      <c r="R574" s="217" t="s">
        <v>23</v>
      </c>
      <c r="S574" s="217" t="s">
        <v>22</v>
      </c>
      <c r="T574" s="217" t="s">
        <v>84</v>
      </c>
      <c r="U574" s="217" t="s">
        <v>85</v>
      </c>
      <c r="V574" s="217" t="s">
        <v>91</v>
      </c>
      <c r="W574" s="217" t="s">
        <v>92</v>
      </c>
      <c r="BC574" s="217" t="s">
        <v>48</v>
      </c>
      <c r="BD574" s="217" t="s">
        <v>232</v>
      </c>
      <c r="BE574" s="217" t="s">
        <v>1691</v>
      </c>
      <c r="BF574" s="217" t="s">
        <v>1692</v>
      </c>
      <c r="BG574" s="217" t="s">
        <v>2000</v>
      </c>
      <c r="BH574" s="217" t="s">
        <v>1660</v>
      </c>
      <c r="BI574" s="217" t="s">
        <v>1660</v>
      </c>
      <c r="BJ574" s="217" t="s">
        <v>1660</v>
      </c>
      <c r="BK574" s="217" t="s">
        <v>637</v>
      </c>
      <c r="BL574" s="217"/>
      <c r="BM574" s="217"/>
      <c r="BN574" s="217">
        <v>0</v>
      </c>
      <c r="BO574" s="217">
        <v>0</v>
      </c>
      <c r="BR574" s="217" t="s">
        <v>48</v>
      </c>
      <c r="BS574" s="217" t="s">
        <v>232</v>
      </c>
      <c r="BT574" s="217" t="s">
        <v>2016</v>
      </c>
      <c r="BU574" s="217" t="s">
        <v>2017</v>
      </c>
      <c r="BV574" s="217">
        <v>0</v>
      </c>
      <c r="BW574" s="217">
        <v>0</v>
      </c>
      <c r="BX574" s="217">
        <v>0</v>
      </c>
      <c r="BY574" s="217">
        <v>0</v>
      </c>
      <c r="BZ574" s="217">
        <v>0</v>
      </c>
      <c r="CA574" s="217">
        <v>0</v>
      </c>
      <c r="CB574" s="217">
        <v>0</v>
      </c>
      <c r="CC574" s="217">
        <v>0</v>
      </c>
      <c r="CD574" s="217">
        <v>0</v>
      </c>
      <c r="CE574" s="217">
        <v>0</v>
      </c>
      <c r="CF574" s="217">
        <v>0</v>
      </c>
      <c r="CG574" s="217">
        <v>0</v>
      </c>
      <c r="CH574" s="217">
        <v>0</v>
      </c>
      <c r="CI574" s="217">
        <v>0</v>
      </c>
      <c r="CJ574" s="217">
        <v>0</v>
      </c>
    </row>
    <row r="575" spans="1:88" x14ac:dyDescent="0.25">
      <c r="A575" s="217" t="s">
        <v>22</v>
      </c>
      <c r="B575" s="217" t="s">
        <v>23</v>
      </c>
      <c r="C575" s="217" t="s">
        <v>85</v>
      </c>
      <c r="D575" s="217" t="s">
        <v>84</v>
      </c>
      <c r="E575" s="217" t="s">
        <v>98</v>
      </c>
      <c r="F575" s="217" t="s">
        <v>97</v>
      </c>
      <c r="G575" s="217" t="s">
        <v>423</v>
      </c>
      <c r="H575" s="217" t="s">
        <v>1224</v>
      </c>
      <c r="I575" s="217" t="s">
        <v>29</v>
      </c>
      <c r="J575" s="217" t="s">
        <v>1858</v>
      </c>
      <c r="K575" s="217">
        <v>187</v>
      </c>
      <c r="L575" s="217">
        <v>950</v>
      </c>
      <c r="M575" s="217" t="s">
        <v>31</v>
      </c>
      <c r="N575" s="217" t="s">
        <v>32</v>
      </c>
      <c r="O575" s="217" t="s">
        <v>68</v>
      </c>
      <c r="P575" s="217" t="s">
        <v>34</v>
      </c>
      <c r="Q575" s="217" t="s">
        <v>35</v>
      </c>
      <c r="R575" s="217" t="s">
        <v>23</v>
      </c>
      <c r="S575" s="217" t="s">
        <v>22</v>
      </c>
      <c r="T575" s="217" t="s">
        <v>84</v>
      </c>
      <c r="U575" s="217" t="s">
        <v>85</v>
      </c>
      <c r="V575" s="217" t="s">
        <v>91</v>
      </c>
      <c r="W575" s="217" t="s">
        <v>92</v>
      </c>
      <c r="BC575" s="217" t="s">
        <v>48</v>
      </c>
      <c r="BD575" s="217" t="s">
        <v>232</v>
      </c>
      <c r="BE575" s="217" t="s">
        <v>1584</v>
      </c>
      <c r="BF575" s="217" t="s">
        <v>707</v>
      </c>
      <c r="BG575" s="217" t="s">
        <v>1998</v>
      </c>
      <c r="BH575" s="217" t="s">
        <v>1660</v>
      </c>
      <c r="BI575" s="217" t="s">
        <v>1660</v>
      </c>
      <c r="BJ575" s="217" t="s">
        <v>1658</v>
      </c>
      <c r="BK575" s="217" t="s">
        <v>637</v>
      </c>
      <c r="BL575" s="217"/>
      <c r="BM575" s="217"/>
      <c r="BN575" s="217">
        <v>0</v>
      </c>
      <c r="BO575" s="217">
        <v>0</v>
      </c>
      <c r="BR575" s="217" t="s">
        <v>48</v>
      </c>
      <c r="BS575" s="217" t="s">
        <v>62</v>
      </c>
      <c r="BT575" s="217" t="s">
        <v>521</v>
      </c>
      <c r="BU575" s="217" t="s">
        <v>1386</v>
      </c>
      <c r="BV575" s="217">
        <v>50</v>
      </c>
      <c r="BW575" s="217">
        <v>413</v>
      </c>
      <c r="BX575" s="217">
        <v>0</v>
      </c>
      <c r="BY575" s="217">
        <v>0</v>
      </c>
      <c r="BZ575" s="217">
        <v>0</v>
      </c>
      <c r="CA575" s="217">
        <v>0</v>
      </c>
      <c r="CB575" s="217">
        <v>52</v>
      </c>
      <c r="CC575" s="217">
        <v>422</v>
      </c>
      <c r="CD575" s="217">
        <v>0</v>
      </c>
      <c r="CE575" s="217">
        <v>0</v>
      </c>
      <c r="CF575" s="217">
        <v>0</v>
      </c>
      <c r="CG575" s="217">
        <v>0</v>
      </c>
      <c r="CH575" s="217">
        <v>-9</v>
      </c>
      <c r="CI575" s="217">
        <v>0</v>
      </c>
      <c r="CJ575" s="217">
        <v>0</v>
      </c>
    </row>
    <row r="576" spans="1:88" x14ac:dyDescent="0.25">
      <c r="A576" s="217" t="s">
        <v>22</v>
      </c>
      <c r="B576" s="217" t="s">
        <v>23</v>
      </c>
      <c r="C576" s="217" t="s">
        <v>85</v>
      </c>
      <c r="D576" s="217" t="s">
        <v>84</v>
      </c>
      <c r="E576" s="217" t="s">
        <v>98</v>
      </c>
      <c r="F576" s="217" t="s">
        <v>97</v>
      </c>
      <c r="G576" s="217" t="s">
        <v>424</v>
      </c>
      <c r="H576" s="217" t="s">
        <v>1225</v>
      </c>
      <c r="I576" s="217" t="s">
        <v>29</v>
      </c>
      <c r="J576" s="217" t="s">
        <v>1856</v>
      </c>
      <c r="K576" s="217">
        <v>14</v>
      </c>
      <c r="L576" s="217">
        <v>72</v>
      </c>
      <c r="M576" s="217" t="s">
        <v>31</v>
      </c>
      <c r="N576" s="217" t="s">
        <v>32</v>
      </c>
      <c r="O576" s="217" t="s">
        <v>100</v>
      </c>
      <c r="P576" s="217" t="s">
        <v>34</v>
      </c>
      <c r="Q576" s="217" t="s">
        <v>35</v>
      </c>
      <c r="R576" s="217" t="s">
        <v>23</v>
      </c>
      <c r="S576" s="217" t="s">
        <v>22</v>
      </c>
      <c r="T576" s="217" t="s">
        <v>84</v>
      </c>
      <c r="U576" s="217" t="s">
        <v>85</v>
      </c>
      <c r="V576" s="217" t="s">
        <v>97</v>
      </c>
      <c r="W576" s="217" t="s">
        <v>98</v>
      </c>
      <c r="BC576" s="217" t="s">
        <v>48</v>
      </c>
      <c r="BD576" s="217" t="s">
        <v>232</v>
      </c>
      <c r="BE576" s="217" t="s">
        <v>1698</v>
      </c>
      <c r="BF576" s="217" t="s">
        <v>710</v>
      </c>
      <c r="BG576" s="217" t="s">
        <v>2000</v>
      </c>
      <c r="BH576" s="217" t="s">
        <v>1660</v>
      </c>
      <c r="BI576" s="217" t="s">
        <v>1660</v>
      </c>
      <c r="BJ576" s="217" t="s">
        <v>1660</v>
      </c>
      <c r="BK576" s="217" t="s">
        <v>637</v>
      </c>
      <c r="BL576" s="217"/>
      <c r="BM576" s="217"/>
      <c r="BN576" s="217">
        <v>0</v>
      </c>
      <c r="BO576" s="217">
        <v>0</v>
      </c>
      <c r="BR576" s="217" t="s">
        <v>48</v>
      </c>
      <c r="BS576" s="217" t="s">
        <v>62</v>
      </c>
      <c r="BT576" s="217" t="s">
        <v>516</v>
      </c>
      <c r="BU576" s="217" t="s">
        <v>1381</v>
      </c>
      <c r="BV576" s="217">
        <v>188</v>
      </c>
      <c r="BW576" s="217">
        <v>400</v>
      </c>
      <c r="BX576" s="217">
        <v>0</v>
      </c>
      <c r="BY576" s="217">
        <v>0</v>
      </c>
      <c r="BZ576" s="217">
        <v>0</v>
      </c>
      <c r="CA576" s="217">
        <v>0</v>
      </c>
      <c r="CB576" s="217">
        <v>191</v>
      </c>
      <c r="CC576" s="217">
        <v>416</v>
      </c>
      <c r="CD576" s="217">
        <v>0</v>
      </c>
      <c r="CE576" s="217">
        <v>0</v>
      </c>
      <c r="CF576" s="217">
        <v>0</v>
      </c>
      <c r="CG576" s="217">
        <v>0</v>
      </c>
      <c r="CH576" s="217">
        <v>-16</v>
      </c>
      <c r="CI576" s="217">
        <v>0</v>
      </c>
      <c r="CJ576" s="217">
        <v>0</v>
      </c>
    </row>
    <row r="577" spans="1:88" x14ac:dyDescent="0.25">
      <c r="A577" s="217" t="s">
        <v>22</v>
      </c>
      <c r="B577" s="217" t="s">
        <v>23</v>
      </c>
      <c r="C577" s="217" t="s">
        <v>85</v>
      </c>
      <c r="D577" s="217" t="s">
        <v>84</v>
      </c>
      <c r="E577" s="217" t="s">
        <v>98</v>
      </c>
      <c r="F577" s="217" t="s">
        <v>97</v>
      </c>
      <c r="G577" s="217" t="s">
        <v>424</v>
      </c>
      <c r="H577" s="217" t="s">
        <v>1225</v>
      </c>
      <c r="I577" s="217" t="s">
        <v>29</v>
      </c>
      <c r="J577" s="217" t="s">
        <v>1857</v>
      </c>
      <c r="K577" s="217">
        <v>16</v>
      </c>
      <c r="L577" s="217">
        <v>90</v>
      </c>
      <c r="M577" s="217" t="s">
        <v>31</v>
      </c>
      <c r="N577" s="217" t="s">
        <v>32</v>
      </c>
      <c r="O577" s="217" t="s">
        <v>100</v>
      </c>
      <c r="P577" s="217" t="s">
        <v>34</v>
      </c>
      <c r="Q577" s="217" t="s">
        <v>35</v>
      </c>
      <c r="R577" s="217" t="s">
        <v>23</v>
      </c>
      <c r="S577" s="217" t="s">
        <v>22</v>
      </c>
      <c r="T577" s="217" t="s">
        <v>84</v>
      </c>
      <c r="U577" s="217" t="s">
        <v>85</v>
      </c>
      <c r="V577" s="217" t="s">
        <v>97</v>
      </c>
      <c r="W577" s="217" t="s">
        <v>98</v>
      </c>
      <c r="BC577" s="217" t="s">
        <v>48</v>
      </c>
      <c r="BD577" s="217" t="s">
        <v>232</v>
      </c>
      <c r="BE577" s="217" t="s">
        <v>1693</v>
      </c>
      <c r="BF577" s="217" t="s">
        <v>705</v>
      </c>
      <c r="BG577" s="217" t="s">
        <v>2000</v>
      </c>
      <c r="BH577" s="217" t="s">
        <v>1660</v>
      </c>
      <c r="BI577" s="217" t="s">
        <v>1660</v>
      </c>
      <c r="BJ577" s="217" t="s">
        <v>1660</v>
      </c>
      <c r="BK577" s="217" t="s">
        <v>637</v>
      </c>
      <c r="BL577" s="217"/>
      <c r="BM577" s="217"/>
      <c r="BN577" s="217">
        <v>0</v>
      </c>
      <c r="BO577" s="217">
        <v>0</v>
      </c>
      <c r="BR577" s="217" t="s">
        <v>48</v>
      </c>
      <c r="BS577" s="217" t="s">
        <v>62</v>
      </c>
      <c r="BT577" s="217" t="s">
        <v>507</v>
      </c>
      <c r="BU577" s="217" t="s">
        <v>1369</v>
      </c>
      <c r="BV577" s="217">
        <v>119</v>
      </c>
      <c r="BW577" s="217">
        <v>555</v>
      </c>
      <c r="BX577" s="217">
        <v>0</v>
      </c>
      <c r="BY577" s="217">
        <v>0</v>
      </c>
      <c r="BZ577" s="217">
        <v>0</v>
      </c>
      <c r="CA577" s="217">
        <v>0</v>
      </c>
      <c r="CB577" s="217">
        <v>121</v>
      </c>
      <c r="CC577" s="217">
        <v>565</v>
      </c>
      <c r="CD577" s="217">
        <v>0</v>
      </c>
      <c r="CE577" s="217">
        <v>0</v>
      </c>
      <c r="CF577" s="217">
        <v>0</v>
      </c>
      <c r="CG577" s="217">
        <v>0</v>
      </c>
      <c r="CH577" s="217">
        <v>-10</v>
      </c>
      <c r="CI577" s="217">
        <v>0</v>
      </c>
      <c r="CJ577" s="217">
        <v>0</v>
      </c>
    </row>
    <row r="578" spans="1:88" x14ac:dyDescent="0.25">
      <c r="A578" s="217" t="s">
        <v>22</v>
      </c>
      <c r="B578" s="217" t="s">
        <v>23</v>
      </c>
      <c r="C578" s="217" t="s">
        <v>85</v>
      </c>
      <c r="D578" s="217" t="s">
        <v>84</v>
      </c>
      <c r="E578" s="217" t="s">
        <v>98</v>
      </c>
      <c r="F578" s="217" t="s">
        <v>97</v>
      </c>
      <c r="G578" s="217" t="s">
        <v>425</v>
      </c>
      <c r="H578" s="217" t="s">
        <v>1226</v>
      </c>
      <c r="I578" s="217" t="s">
        <v>29</v>
      </c>
      <c r="J578" s="217" t="s">
        <v>1856</v>
      </c>
      <c r="K578" s="217">
        <v>12</v>
      </c>
      <c r="L578" s="217">
        <v>58</v>
      </c>
      <c r="M578" s="217" t="s">
        <v>31</v>
      </c>
      <c r="N578" s="217" t="s">
        <v>32</v>
      </c>
      <c r="O578" s="217" t="s">
        <v>68</v>
      </c>
      <c r="P578" s="217" t="s">
        <v>34</v>
      </c>
      <c r="Q578" s="217" t="s">
        <v>35</v>
      </c>
      <c r="R578" s="217" t="s">
        <v>23</v>
      </c>
      <c r="S578" s="217" t="s">
        <v>22</v>
      </c>
      <c r="T578" s="217" t="s">
        <v>84</v>
      </c>
      <c r="U578" s="217" t="s">
        <v>85</v>
      </c>
      <c r="V578" s="217" t="s">
        <v>91</v>
      </c>
      <c r="W578" s="217" t="s">
        <v>92</v>
      </c>
      <c r="BC578" s="217" t="s">
        <v>48</v>
      </c>
      <c r="BD578" s="217" t="s">
        <v>62</v>
      </c>
      <c r="BE578" s="217" t="s">
        <v>1363</v>
      </c>
      <c r="BF578" s="217" t="s">
        <v>502</v>
      </c>
      <c r="BG578" s="217" t="s">
        <v>1998</v>
      </c>
      <c r="BH578" s="217" t="s">
        <v>1658</v>
      </c>
      <c r="BI578" s="217" t="s">
        <v>1660</v>
      </c>
      <c r="BJ578" s="217" t="s">
        <v>1660</v>
      </c>
      <c r="BK578" s="217" t="s">
        <v>637</v>
      </c>
      <c r="BL578" s="217"/>
      <c r="BM578" s="217"/>
      <c r="BN578" s="217">
        <v>0</v>
      </c>
      <c r="BO578" s="217">
        <v>0</v>
      </c>
      <c r="BR578" s="217" t="s">
        <v>48</v>
      </c>
      <c r="BS578" s="217" t="s">
        <v>62</v>
      </c>
      <c r="BT578" s="217" t="s">
        <v>508</v>
      </c>
      <c r="BU578" s="217" t="s">
        <v>1370</v>
      </c>
      <c r="BV578" s="217">
        <v>129</v>
      </c>
      <c r="BW578" s="217">
        <v>530</v>
      </c>
      <c r="BX578" s="217">
        <v>0</v>
      </c>
      <c r="BY578" s="217">
        <v>0</v>
      </c>
      <c r="BZ578" s="217">
        <v>0</v>
      </c>
      <c r="CA578" s="217">
        <v>0</v>
      </c>
      <c r="CB578" s="217">
        <v>129</v>
      </c>
      <c r="CC578" s="217">
        <v>530</v>
      </c>
      <c r="CD578" s="217">
        <v>0</v>
      </c>
      <c r="CE578" s="217">
        <v>0</v>
      </c>
      <c r="CF578" s="217">
        <v>0</v>
      </c>
      <c r="CG578" s="217">
        <v>0</v>
      </c>
      <c r="CH578" s="217">
        <v>0</v>
      </c>
      <c r="CI578" s="217">
        <v>0</v>
      </c>
      <c r="CJ578" s="217">
        <v>0</v>
      </c>
    </row>
    <row r="579" spans="1:88" x14ac:dyDescent="0.25">
      <c r="A579" s="217" t="s">
        <v>22</v>
      </c>
      <c r="B579" s="217" t="s">
        <v>23</v>
      </c>
      <c r="C579" s="217" t="s">
        <v>85</v>
      </c>
      <c r="D579" s="217" t="s">
        <v>84</v>
      </c>
      <c r="E579" s="217" t="s">
        <v>98</v>
      </c>
      <c r="F579" s="217" t="s">
        <v>97</v>
      </c>
      <c r="G579" s="217" t="s">
        <v>426</v>
      </c>
      <c r="H579" s="217" t="s">
        <v>1227</v>
      </c>
      <c r="I579" s="217" t="s">
        <v>29</v>
      </c>
      <c r="J579" s="217" t="s">
        <v>1856</v>
      </c>
      <c r="K579" s="217">
        <v>49</v>
      </c>
      <c r="L579" s="217">
        <v>257</v>
      </c>
      <c r="M579" s="217" t="s">
        <v>31</v>
      </c>
      <c r="N579" s="217" t="s">
        <v>32</v>
      </c>
      <c r="O579" s="217" t="s">
        <v>100</v>
      </c>
      <c r="P579" s="217" t="s">
        <v>34</v>
      </c>
      <c r="Q579" s="217" t="s">
        <v>35</v>
      </c>
      <c r="R579" s="217" t="s">
        <v>23</v>
      </c>
      <c r="S579" s="217" t="s">
        <v>22</v>
      </c>
      <c r="T579" s="217" t="s">
        <v>84</v>
      </c>
      <c r="U579" s="217" t="s">
        <v>85</v>
      </c>
      <c r="V579" s="217" t="s">
        <v>97</v>
      </c>
      <c r="W579" s="217" t="s">
        <v>98</v>
      </c>
      <c r="BC579" s="217" t="s">
        <v>48</v>
      </c>
      <c r="BD579" s="217" t="s">
        <v>62</v>
      </c>
      <c r="BE579" s="217" t="s">
        <v>1364</v>
      </c>
      <c r="BF579" s="217" t="s">
        <v>503</v>
      </c>
      <c r="BG579" s="217" t="s">
        <v>1998</v>
      </c>
      <c r="BH579" s="217" t="s">
        <v>1658</v>
      </c>
      <c r="BI579" s="217" t="s">
        <v>1660</v>
      </c>
      <c r="BJ579" s="217" t="s">
        <v>1660</v>
      </c>
      <c r="BK579" s="217" t="s">
        <v>637</v>
      </c>
      <c r="BL579" s="217"/>
      <c r="BM579" s="217"/>
      <c r="BN579" s="217">
        <v>0</v>
      </c>
      <c r="BO579" s="217">
        <v>0</v>
      </c>
      <c r="BR579" s="217" t="s">
        <v>48</v>
      </c>
      <c r="BS579" s="217" t="s">
        <v>62</v>
      </c>
      <c r="BT579" s="217" t="s">
        <v>511</v>
      </c>
      <c r="BU579" s="217" t="s">
        <v>1374</v>
      </c>
      <c r="BV579" s="217">
        <v>100</v>
      </c>
      <c r="BW579" s="217">
        <v>465</v>
      </c>
      <c r="BX579" s="217">
        <v>0</v>
      </c>
      <c r="BY579" s="217">
        <v>0</v>
      </c>
      <c r="BZ579" s="217">
        <v>0</v>
      </c>
      <c r="CA579" s="217">
        <v>0</v>
      </c>
      <c r="CB579" s="217">
        <v>100</v>
      </c>
      <c r="CC579" s="217">
        <v>465</v>
      </c>
      <c r="CD579" s="217">
        <v>0</v>
      </c>
      <c r="CE579" s="217">
        <v>0</v>
      </c>
      <c r="CF579" s="217">
        <v>0</v>
      </c>
      <c r="CG579" s="217">
        <v>0</v>
      </c>
      <c r="CH579" s="217">
        <v>0</v>
      </c>
      <c r="CI579" s="217">
        <v>0</v>
      </c>
      <c r="CJ579" s="217">
        <v>0</v>
      </c>
    </row>
    <row r="580" spans="1:88" x14ac:dyDescent="0.25">
      <c r="A580" s="217" t="s">
        <v>22</v>
      </c>
      <c r="B580" s="217" t="s">
        <v>23</v>
      </c>
      <c r="C580" s="217" t="s">
        <v>85</v>
      </c>
      <c r="D580" s="217" t="s">
        <v>84</v>
      </c>
      <c r="E580" s="217" t="s">
        <v>98</v>
      </c>
      <c r="F580" s="217" t="s">
        <v>97</v>
      </c>
      <c r="G580" s="217" t="s">
        <v>427</v>
      </c>
      <c r="H580" s="217" t="s">
        <v>1228</v>
      </c>
      <c r="I580" s="217" t="s">
        <v>29</v>
      </c>
      <c r="J580" s="217" t="s">
        <v>1855</v>
      </c>
      <c r="K580" s="217">
        <v>9</v>
      </c>
      <c r="L580" s="217">
        <v>100</v>
      </c>
      <c r="M580" s="217" t="s">
        <v>31</v>
      </c>
      <c r="N580" s="217" t="s">
        <v>32</v>
      </c>
      <c r="O580" s="217" t="s">
        <v>68</v>
      </c>
      <c r="P580" s="217" t="s">
        <v>34</v>
      </c>
      <c r="Q580" s="217" t="s">
        <v>35</v>
      </c>
      <c r="R580" s="217" t="s">
        <v>23</v>
      </c>
      <c r="S580" s="217" t="s">
        <v>22</v>
      </c>
      <c r="T580" s="217" t="s">
        <v>84</v>
      </c>
      <c r="U580" s="217" t="s">
        <v>85</v>
      </c>
      <c r="V580" s="217" t="s">
        <v>109</v>
      </c>
      <c r="W580" s="217" t="s">
        <v>110</v>
      </c>
      <c r="BC580" s="217" t="s">
        <v>48</v>
      </c>
      <c r="BD580" s="217" t="s">
        <v>62</v>
      </c>
      <c r="BE580" s="217" t="s">
        <v>1365</v>
      </c>
      <c r="BF580" s="217" t="s">
        <v>836</v>
      </c>
      <c r="BG580" s="217" t="s">
        <v>2001</v>
      </c>
      <c r="BH580" s="217" t="s">
        <v>1658</v>
      </c>
      <c r="BI580" s="217" t="s">
        <v>1660</v>
      </c>
      <c r="BJ580" s="217" t="s">
        <v>1660</v>
      </c>
      <c r="BK580" s="217" t="s">
        <v>637</v>
      </c>
      <c r="BL580" s="217"/>
      <c r="BM580" s="217"/>
      <c r="BN580" s="217">
        <v>0</v>
      </c>
      <c r="BO580" s="217">
        <v>0</v>
      </c>
      <c r="BR580" s="217" t="s">
        <v>48</v>
      </c>
      <c r="BS580" s="217" t="s">
        <v>62</v>
      </c>
      <c r="BT580" s="217" t="s">
        <v>510</v>
      </c>
      <c r="BU580" s="217" t="s">
        <v>1373</v>
      </c>
      <c r="BV580" s="217">
        <v>179</v>
      </c>
      <c r="BW580" s="217">
        <v>523</v>
      </c>
      <c r="BX580" s="217">
        <v>0</v>
      </c>
      <c r="BY580" s="217">
        <v>0</v>
      </c>
      <c r="BZ580" s="217">
        <v>0</v>
      </c>
      <c r="CA580" s="217">
        <v>0</v>
      </c>
      <c r="CB580" s="217">
        <v>180</v>
      </c>
      <c r="CC580" s="217">
        <v>527</v>
      </c>
      <c r="CD580" s="217">
        <v>0</v>
      </c>
      <c r="CE580" s="217">
        <v>0</v>
      </c>
      <c r="CF580" s="217">
        <v>0</v>
      </c>
      <c r="CG580" s="217">
        <v>0</v>
      </c>
      <c r="CH580" s="217">
        <v>-4</v>
      </c>
      <c r="CI580" s="217">
        <v>0</v>
      </c>
      <c r="CJ580" s="217">
        <v>0</v>
      </c>
    </row>
    <row r="581" spans="1:88" x14ac:dyDescent="0.25">
      <c r="A581" s="217" t="s">
        <v>22</v>
      </c>
      <c r="B581" s="217" t="s">
        <v>23</v>
      </c>
      <c r="C581" s="217" t="s">
        <v>85</v>
      </c>
      <c r="D581" s="217" t="s">
        <v>84</v>
      </c>
      <c r="E581" s="217" t="s">
        <v>98</v>
      </c>
      <c r="F581" s="217" t="s">
        <v>97</v>
      </c>
      <c r="G581" s="217" t="s">
        <v>427</v>
      </c>
      <c r="H581" s="217" t="s">
        <v>1228</v>
      </c>
      <c r="I581" s="217" t="s">
        <v>29</v>
      </c>
      <c r="J581" s="217" t="s">
        <v>1857</v>
      </c>
      <c r="K581" s="217">
        <v>6</v>
      </c>
      <c r="L581" s="217">
        <v>23</v>
      </c>
      <c r="M581" s="217" t="s">
        <v>31</v>
      </c>
      <c r="N581" s="217" t="s">
        <v>32</v>
      </c>
      <c r="O581" s="217" t="s">
        <v>68</v>
      </c>
      <c r="P581" s="217" t="s">
        <v>34</v>
      </c>
      <c r="Q581" s="217" t="s">
        <v>35</v>
      </c>
      <c r="R581" s="217" t="s">
        <v>23</v>
      </c>
      <c r="S581" s="217" t="s">
        <v>22</v>
      </c>
      <c r="T581" s="217" t="s">
        <v>84</v>
      </c>
      <c r="U581" s="217" t="s">
        <v>85</v>
      </c>
      <c r="V581" s="217" t="s">
        <v>109</v>
      </c>
      <c r="W581" s="217" t="s">
        <v>110</v>
      </c>
      <c r="BC581" s="217" t="s">
        <v>48</v>
      </c>
      <c r="BD581" s="217" t="s">
        <v>62</v>
      </c>
      <c r="BE581" s="217" t="s">
        <v>1585</v>
      </c>
      <c r="BF581" s="217" t="s">
        <v>839</v>
      </c>
      <c r="BG581" s="217" t="s">
        <v>1998</v>
      </c>
      <c r="BH581" s="217" t="s">
        <v>1660</v>
      </c>
      <c r="BI581" s="217" t="s">
        <v>1660</v>
      </c>
      <c r="BJ581" s="217" t="s">
        <v>1658</v>
      </c>
      <c r="BK581" s="217" t="s">
        <v>637</v>
      </c>
      <c r="BL581" s="217"/>
      <c r="BM581" s="217"/>
      <c r="BN581" s="217">
        <v>0</v>
      </c>
      <c r="BO581" s="217">
        <v>0</v>
      </c>
      <c r="BR581" s="217" t="s">
        <v>48</v>
      </c>
      <c r="BS581" s="217" t="s">
        <v>62</v>
      </c>
      <c r="BT581" s="217" t="s">
        <v>513</v>
      </c>
      <c r="BU581" s="217" t="s">
        <v>1377</v>
      </c>
      <c r="BV581" s="217">
        <v>554</v>
      </c>
      <c r="BW581" s="217">
        <v>3089</v>
      </c>
      <c r="BX581" s="217">
        <v>0</v>
      </c>
      <c r="BY581" s="217">
        <v>0</v>
      </c>
      <c r="BZ581" s="217">
        <v>0</v>
      </c>
      <c r="CA581" s="217">
        <v>0</v>
      </c>
      <c r="CB581" s="217">
        <v>554</v>
      </c>
      <c r="CC581" s="217">
        <v>3089</v>
      </c>
      <c r="CD581" s="217">
        <v>0</v>
      </c>
      <c r="CE581" s="217">
        <v>0</v>
      </c>
      <c r="CF581" s="217">
        <v>0</v>
      </c>
      <c r="CG581" s="217">
        <v>0</v>
      </c>
      <c r="CH581" s="217">
        <v>0</v>
      </c>
      <c r="CI581" s="217">
        <v>0</v>
      </c>
      <c r="CJ581" s="217">
        <v>0</v>
      </c>
    </row>
    <row r="582" spans="1:88" x14ac:dyDescent="0.25">
      <c r="A582" s="217" t="s">
        <v>22</v>
      </c>
      <c r="B582" s="217" t="s">
        <v>23</v>
      </c>
      <c r="C582" s="217" t="s">
        <v>85</v>
      </c>
      <c r="D582" s="217" t="s">
        <v>84</v>
      </c>
      <c r="E582" s="217" t="s">
        <v>98</v>
      </c>
      <c r="F582" s="217" t="s">
        <v>97</v>
      </c>
      <c r="G582" s="217" t="s">
        <v>427</v>
      </c>
      <c r="H582" s="217" t="s">
        <v>1228</v>
      </c>
      <c r="I582" s="217" t="s">
        <v>29</v>
      </c>
      <c r="J582" s="217" t="s">
        <v>1858</v>
      </c>
      <c r="K582" s="217">
        <v>12</v>
      </c>
      <c r="L582" s="217">
        <v>70</v>
      </c>
      <c r="M582" s="217" t="s">
        <v>31</v>
      </c>
      <c r="N582" s="217" t="s">
        <v>32</v>
      </c>
      <c r="O582" s="217" t="s">
        <v>68</v>
      </c>
      <c r="P582" s="217" t="s">
        <v>34</v>
      </c>
      <c r="Q582" s="217" t="s">
        <v>35</v>
      </c>
      <c r="R582" s="217" t="s">
        <v>23</v>
      </c>
      <c r="S582" s="217" t="s">
        <v>22</v>
      </c>
      <c r="T582" s="217" t="s">
        <v>84</v>
      </c>
      <c r="U582" s="217" t="s">
        <v>85</v>
      </c>
      <c r="V582" s="217" t="s">
        <v>109</v>
      </c>
      <c r="W582" s="217" t="s">
        <v>110</v>
      </c>
      <c r="BC582" s="217" t="s">
        <v>48</v>
      </c>
      <c r="BD582" s="217" t="s">
        <v>62</v>
      </c>
      <c r="BE582" s="217" t="s">
        <v>1366</v>
      </c>
      <c r="BF582" s="217" t="s">
        <v>504</v>
      </c>
      <c r="BG582" s="217" t="s">
        <v>1998</v>
      </c>
      <c r="BH582" s="217" t="s">
        <v>1658</v>
      </c>
      <c r="BI582" s="217" t="s">
        <v>1660</v>
      </c>
      <c r="BJ582" s="217" t="s">
        <v>1660</v>
      </c>
      <c r="BK582" s="217" t="s">
        <v>637</v>
      </c>
      <c r="BL582" s="217"/>
      <c r="BM582" s="217"/>
      <c r="BN582" s="217">
        <v>0</v>
      </c>
      <c r="BO582" s="217">
        <v>0</v>
      </c>
      <c r="BR582" s="217" t="s">
        <v>48</v>
      </c>
      <c r="BS582" s="217" t="s">
        <v>62</v>
      </c>
      <c r="BT582" s="217" t="s">
        <v>522</v>
      </c>
      <c r="BU582" s="217" t="s">
        <v>1387</v>
      </c>
      <c r="BV582" s="217">
        <v>118</v>
      </c>
      <c r="BW582" s="217">
        <v>665</v>
      </c>
      <c r="BX582" s="217">
        <v>0</v>
      </c>
      <c r="BY582" s="217">
        <v>0</v>
      </c>
      <c r="BZ582" s="217">
        <v>0</v>
      </c>
      <c r="CA582" s="217">
        <v>0</v>
      </c>
      <c r="CB582" s="217">
        <v>118</v>
      </c>
      <c r="CC582" s="217">
        <v>665</v>
      </c>
      <c r="CD582" s="217">
        <v>0</v>
      </c>
      <c r="CE582" s="217">
        <v>0</v>
      </c>
      <c r="CF582" s="217">
        <v>0</v>
      </c>
      <c r="CG582" s="217">
        <v>0</v>
      </c>
      <c r="CH582" s="217">
        <v>0</v>
      </c>
      <c r="CI582" s="217">
        <v>0</v>
      </c>
      <c r="CJ582" s="217">
        <v>0</v>
      </c>
    </row>
    <row r="583" spans="1:88" x14ac:dyDescent="0.25">
      <c r="A583" s="217" t="s">
        <v>22</v>
      </c>
      <c r="B583" s="217" t="s">
        <v>23</v>
      </c>
      <c r="C583" s="217" t="s">
        <v>85</v>
      </c>
      <c r="D583" s="217" t="s">
        <v>84</v>
      </c>
      <c r="E583" s="217" t="s">
        <v>98</v>
      </c>
      <c r="F583" s="217" t="s">
        <v>97</v>
      </c>
      <c r="G583" s="217" t="s">
        <v>428</v>
      </c>
      <c r="H583" s="217" t="s">
        <v>1229</v>
      </c>
      <c r="I583" s="217" t="s">
        <v>29</v>
      </c>
      <c r="J583" s="217" t="s">
        <v>1855</v>
      </c>
      <c r="K583" s="217">
        <v>10</v>
      </c>
      <c r="L583" s="217">
        <v>72</v>
      </c>
      <c r="M583" s="217" t="s">
        <v>31</v>
      </c>
      <c r="N583" s="217" t="s">
        <v>32</v>
      </c>
      <c r="O583" s="217" t="s">
        <v>68</v>
      </c>
      <c r="P583" s="217" t="s">
        <v>34</v>
      </c>
      <c r="Q583" s="217" t="s">
        <v>35</v>
      </c>
      <c r="R583" s="217" t="s">
        <v>23</v>
      </c>
      <c r="S583" s="217" t="s">
        <v>22</v>
      </c>
      <c r="T583" s="217" t="s">
        <v>84</v>
      </c>
      <c r="U583" s="217" t="s">
        <v>85</v>
      </c>
      <c r="V583" s="217" t="s">
        <v>109</v>
      </c>
      <c r="W583" s="217" t="s">
        <v>110</v>
      </c>
      <c r="BC583" s="217" t="s">
        <v>48</v>
      </c>
      <c r="BD583" s="217" t="s">
        <v>62</v>
      </c>
      <c r="BE583" s="217" t="s">
        <v>1367</v>
      </c>
      <c r="BF583" s="217" t="s">
        <v>505</v>
      </c>
      <c r="BG583" s="217" t="s">
        <v>2001</v>
      </c>
      <c r="BH583" s="217" t="s">
        <v>1658</v>
      </c>
      <c r="BI583" s="217" t="s">
        <v>1660</v>
      </c>
      <c r="BJ583" s="217" t="s">
        <v>1658</v>
      </c>
      <c r="BK583" s="217" t="s">
        <v>637</v>
      </c>
      <c r="BL583" s="217"/>
      <c r="BM583" s="217"/>
      <c r="BN583" s="217">
        <v>0</v>
      </c>
      <c r="BO583" s="217">
        <v>0</v>
      </c>
      <c r="BR583" s="217" t="s">
        <v>48</v>
      </c>
      <c r="BS583" s="217" t="s">
        <v>62</v>
      </c>
      <c r="BT583" s="217" t="s">
        <v>506</v>
      </c>
      <c r="BU583" s="217" t="s">
        <v>1368</v>
      </c>
      <c r="BV583" s="217">
        <v>127</v>
      </c>
      <c r="BW583" s="217">
        <v>412</v>
      </c>
      <c r="BX583" s="217">
        <v>0</v>
      </c>
      <c r="BY583" s="217">
        <v>0</v>
      </c>
      <c r="BZ583" s="217">
        <v>290</v>
      </c>
      <c r="CA583" s="217">
        <v>1697</v>
      </c>
      <c r="CB583" s="217">
        <v>127</v>
      </c>
      <c r="CC583" s="217">
        <v>412</v>
      </c>
      <c r="CD583" s="217">
        <v>0</v>
      </c>
      <c r="CE583" s="217">
        <v>0</v>
      </c>
      <c r="CF583" s="217">
        <v>284</v>
      </c>
      <c r="CG583" s="217">
        <v>1665</v>
      </c>
      <c r="CH583" s="217">
        <v>0</v>
      </c>
      <c r="CI583" s="217">
        <v>0</v>
      </c>
      <c r="CJ583" s="217">
        <v>32</v>
      </c>
    </row>
    <row r="584" spans="1:88" x14ac:dyDescent="0.25">
      <c r="A584" s="217" t="s">
        <v>22</v>
      </c>
      <c r="B584" s="217" t="s">
        <v>23</v>
      </c>
      <c r="C584" s="217" t="s">
        <v>85</v>
      </c>
      <c r="D584" s="217" t="s">
        <v>84</v>
      </c>
      <c r="E584" s="217" t="s">
        <v>98</v>
      </c>
      <c r="F584" s="217" t="s">
        <v>97</v>
      </c>
      <c r="G584" s="217" t="s">
        <v>429</v>
      </c>
      <c r="H584" s="217" t="s">
        <v>1230</v>
      </c>
      <c r="I584" s="217" t="s">
        <v>29</v>
      </c>
      <c r="J584" s="217" t="s">
        <v>1855</v>
      </c>
      <c r="K584" s="217">
        <v>3</v>
      </c>
      <c r="L584" s="217">
        <v>37</v>
      </c>
      <c r="M584" s="217" t="s">
        <v>31</v>
      </c>
      <c r="N584" s="217" t="s">
        <v>32</v>
      </c>
      <c r="O584" s="217" t="s">
        <v>68</v>
      </c>
      <c r="P584" s="217" t="s">
        <v>34</v>
      </c>
      <c r="Q584" s="217" t="s">
        <v>35</v>
      </c>
      <c r="R584" s="217" t="s">
        <v>23</v>
      </c>
      <c r="S584" s="217" t="s">
        <v>22</v>
      </c>
      <c r="T584" s="217" t="s">
        <v>84</v>
      </c>
      <c r="U584" s="217" t="s">
        <v>85</v>
      </c>
      <c r="V584" s="217" t="s">
        <v>109</v>
      </c>
      <c r="W584" s="217" t="s">
        <v>110</v>
      </c>
      <c r="BC584" s="217" t="s">
        <v>48</v>
      </c>
      <c r="BD584" s="217" t="s">
        <v>62</v>
      </c>
      <c r="BE584" s="217" t="s">
        <v>1368</v>
      </c>
      <c r="BF584" s="217" t="s">
        <v>506</v>
      </c>
      <c r="BG584" s="217" t="s">
        <v>1998</v>
      </c>
      <c r="BH584" s="217" t="s">
        <v>1658</v>
      </c>
      <c r="BI584" s="217" t="s">
        <v>1660</v>
      </c>
      <c r="BJ584" s="217" t="s">
        <v>1658</v>
      </c>
      <c r="BK584" s="217" t="s">
        <v>637</v>
      </c>
      <c r="BL584" s="217"/>
      <c r="BM584" s="217" t="s">
        <v>3733</v>
      </c>
      <c r="BN584" s="217">
        <v>10</v>
      </c>
      <c r="BO584" s="217">
        <v>2017</v>
      </c>
      <c r="BR584" s="217" t="s">
        <v>48</v>
      </c>
      <c r="BS584" s="217" t="s">
        <v>62</v>
      </c>
      <c r="BT584" s="217" t="s">
        <v>840</v>
      </c>
      <c r="BU584" s="217" t="s">
        <v>1378</v>
      </c>
      <c r="BV584" s="217">
        <v>63</v>
      </c>
      <c r="BW584" s="217">
        <v>521</v>
      </c>
      <c r="BX584" s="217">
        <v>0</v>
      </c>
      <c r="BY584" s="217">
        <v>0</v>
      </c>
      <c r="BZ584" s="217">
        <v>138</v>
      </c>
      <c r="CA584" s="217">
        <v>923</v>
      </c>
      <c r="CB584" s="217">
        <v>63</v>
      </c>
      <c r="CC584" s="217">
        <v>521</v>
      </c>
      <c r="CD584" s="217">
        <v>0</v>
      </c>
      <c r="CE584" s="217">
        <v>0</v>
      </c>
      <c r="CF584" s="217">
        <v>132</v>
      </c>
      <c r="CG584" s="217">
        <v>879</v>
      </c>
      <c r="CH584" s="217">
        <v>0</v>
      </c>
      <c r="CI584" s="217">
        <v>0</v>
      </c>
      <c r="CJ584" s="217">
        <v>44</v>
      </c>
    </row>
    <row r="585" spans="1:88" x14ac:dyDescent="0.25">
      <c r="A585" s="217" t="s">
        <v>22</v>
      </c>
      <c r="B585" s="217" t="s">
        <v>23</v>
      </c>
      <c r="C585" s="217" t="s">
        <v>85</v>
      </c>
      <c r="D585" s="217" t="s">
        <v>84</v>
      </c>
      <c r="E585" s="217" t="s">
        <v>98</v>
      </c>
      <c r="F585" s="217" t="s">
        <v>97</v>
      </c>
      <c r="G585" s="217" t="s">
        <v>429</v>
      </c>
      <c r="H585" s="217" t="s">
        <v>1230</v>
      </c>
      <c r="I585" s="217" t="s">
        <v>29</v>
      </c>
      <c r="J585" s="217" t="s">
        <v>1856</v>
      </c>
      <c r="K585" s="217">
        <v>2</v>
      </c>
      <c r="L585" s="217">
        <v>22</v>
      </c>
      <c r="M585" s="217" t="s">
        <v>31</v>
      </c>
      <c r="N585" s="217" t="s">
        <v>32</v>
      </c>
      <c r="O585" s="217" t="s">
        <v>68</v>
      </c>
      <c r="P585" s="217" t="s">
        <v>34</v>
      </c>
      <c r="Q585" s="217" t="s">
        <v>35</v>
      </c>
      <c r="R585" s="217" t="s">
        <v>23</v>
      </c>
      <c r="S585" s="217" t="s">
        <v>22</v>
      </c>
      <c r="T585" s="217" t="s">
        <v>84</v>
      </c>
      <c r="U585" s="217" t="s">
        <v>85</v>
      </c>
      <c r="V585" s="217" t="s">
        <v>94</v>
      </c>
      <c r="W585" s="217" t="s">
        <v>95</v>
      </c>
      <c r="BC585" s="217" t="s">
        <v>48</v>
      </c>
      <c r="BD585" s="217" t="s">
        <v>62</v>
      </c>
      <c r="BE585" s="217" t="s">
        <v>1369</v>
      </c>
      <c r="BF585" s="217" t="s">
        <v>507</v>
      </c>
      <c r="BG585" s="217" t="s">
        <v>1998</v>
      </c>
      <c r="BH585" s="217" t="s">
        <v>1658</v>
      </c>
      <c r="BI585" s="217" t="s">
        <v>1660</v>
      </c>
      <c r="BJ585" s="217" t="s">
        <v>1660</v>
      </c>
      <c r="BK585" s="217" t="s">
        <v>637</v>
      </c>
      <c r="BL585" s="217"/>
      <c r="BM585" s="217"/>
      <c r="BN585" s="217">
        <v>0</v>
      </c>
      <c r="BO585" s="217">
        <v>0</v>
      </c>
      <c r="BR585" s="217" t="s">
        <v>48</v>
      </c>
      <c r="BS585" s="217" t="s">
        <v>62</v>
      </c>
      <c r="BT585" s="217" t="s">
        <v>837</v>
      </c>
      <c r="BU585" s="217" t="s">
        <v>1376</v>
      </c>
      <c r="BV585" s="217">
        <v>1716</v>
      </c>
      <c r="BW585" s="217">
        <v>10403</v>
      </c>
      <c r="BX585" s="217">
        <v>0</v>
      </c>
      <c r="BY585" s="217">
        <v>0</v>
      </c>
      <c r="BZ585" s="217">
        <v>173</v>
      </c>
      <c r="CA585" s="217">
        <v>1177</v>
      </c>
      <c r="CB585" s="217">
        <v>1718</v>
      </c>
      <c r="CC585" s="217">
        <v>10418</v>
      </c>
      <c r="CD585" s="217">
        <v>0</v>
      </c>
      <c r="CE585" s="217">
        <v>0</v>
      </c>
      <c r="CF585" s="217">
        <v>173</v>
      </c>
      <c r="CG585" s="217">
        <v>1177</v>
      </c>
      <c r="CH585" s="217">
        <v>-15</v>
      </c>
      <c r="CI585" s="217">
        <v>0</v>
      </c>
      <c r="CJ585" s="217">
        <v>0</v>
      </c>
    </row>
    <row r="586" spans="1:88" x14ac:dyDescent="0.25">
      <c r="A586" s="217" t="s">
        <v>22</v>
      </c>
      <c r="B586" s="217" t="s">
        <v>23</v>
      </c>
      <c r="C586" s="217" t="s">
        <v>85</v>
      </c>
      <c r="D586" s="217" t="s">
        <v>84</v>
      </c>
      <c r="E586" s="217" t="s">
        <v>98</v>
      </c>
      <c r="F586" s="217" t="s">
        <v>97</v>
      </c>
      <c r="G586" s="217" t="s">
        <v>430</v>
      </c>
      <c r="H586" s="217" t="s">
        <v>1231</v>
      </c>
      <c r="I586" s="217" t="s">
        <v>29</v>
      </c>
      <c r="J586" s="217" t="s">
        <v>1856</v>
      </c>
      <c r="K586" s="217">
        <v>6</v>
      </c>
      <c r="L586" s="217">
        <v>32</v>
      </c>
      <c r="M586" s="217" t="s">
        <v>31</v>
      </c>
      <c r="N586" s="217" t="s">
        <v>32</v>
      </c>
      <c r="O586" s="217" t="s">
        <v>100</v>
      </c>
      <c r="P586" s="217" t="s">
        <v>34</v>
      </c>
      <c r="Q586" s="217" t="s">
        <v>35</v>
      </c>
      <c r="R586" s="217" t="s">
        <v>23</v>
      </c>
      <c r="S586" s="217" t="s">
        <v>22</v>
      </c>
      <c r="T586" s="217" t="s">
        <v>84</v>
      </c>
      <c r="U586" s="217" t="s">
        <v>85</v>
      </c>
      <c r="V586" s="217" t="s">
        <v>97</v>
      </c>
      <c r="W586" s="217" t="s">
        <v>98</v>
      </c>
      <c r="BC586" s="217" t="s">
        <v>48</v>
      </c>
      <c r="BD586" s="217" t="s">
        <v>62</v>
      </c>
      <c r="BE586" s="217" t="s">
        <v>1370</v>
      </c>
      <c r="BF586" s="217" t="s">
        <v>508</v>
      </c>
      <c r="BG586" s="217" t="s">
        <v>1998</v>
      </c>
      <c r="BH586" s="217" t="s">
        <v>1658</v>
      </c>
      <c r="BI586" s="217" t="s">
        <v>1660</v>
      </c>
      <c r="BJ586" s="217" t="s">
        <v>1660</v>
      </c>
      <c r="BK586" s="217" t="s">
        <v>637</v>
      </c>
      <c r="BL586" s="217"/>
      <c r="BM586" s="217"/>
      <c r="BN586" s="217">
        <v>0</v>
      </c>
      <c r="BO586" s="217">
        <v>0</v>
      </c>
      <c r="BR586" s="217" t="s">
        <v>48</v>
      </c>
      <c r="BS586" s="217" t="s">
        <v>62</v>
      </c>
      <c r="BT586" s="217" t="s">
        <v>503</v>
      </c>
      <c r="BU586" s="217" t="s">
        <v>1364</v>
      </c>
      <c r="BV586" s="217">
        <v>50</v>
      </c>
      <c r="BW586" s="217">
        <v>259</v>
      </c>
      <c r="BX586" s="217">
        <v>0</v>
      </c>
      <c r="BY586" s="217">
        <v>0</v>
      </c>
      <c r="BZ586" s="217">
        <v>0</v>
      </c>
      <c r="CA586" s="217">
        <v>0</v>
      </c>
      <c r="CB586" s="217">
        <v>53</v>
      </c>
      <c r="CC586" s="217">
        <v>278</v>
      </c>
      <c r="CD586" s="217">
        <v>0</v>
      </c>
      <c r="CE586" s="217">
        <v>0</v>
      </c>
      <c r="CF586" s="217">
        <v>0</v>
      </c>
      <c r="CG586" s="217">
        <v>0</v>
      </c>
      <c r="CH586" s="217">
        <v>-19</v>
      </c>
      <c r="CI586" s="217">
        <v>0</v>
      </c>
      <c r="CJ586" s="217">
        <v>0</v>
      </c>
    </row>
    <row r="587" spans="1:88" x14ac:dyDescent="0.25">
      <c r="A587" s="217" t="s">
        <v>22</v>
      </c>
      <c r="B587" s="217" t="s">
        <v>23</v>
      </c>
      <c r="C587" s="217" t="s">
        <v>85</v>
      </c>
      <c r="D587" s="217" t="s">
        <v>84</v>
      </c>
      <c r="E587" s="217" t="s">
        <v>98</v>
      </c>
      <c r="F587" s="217" t="s">
        <v>97</v>
      </c>
      <c r="G587" s="217" t="s">
        <v>430</v>
      </c>
      <c r="H587" s="217" t="s">
        <v>1231</v>
      </c>
      <c r="I587" s="217" t="s">
        <v>29</v>
      </c>
      <c r="J587" s="217" t="s">
        <v>1857</v>
      </c>
      <c r="K587" s="217">
        <v>21</v>
      </c>
      <c r="L587" s="217">
        <v>192</v>
      </c>
      <c r="M587" s="217" t="s">
        <v>31</v>
      </c>
      <c r="N587" s="217" t="s">
        <v>32</v>
      </c>
      <c r="O587" s="217" t="s">
        <v>100</v>
      </c>
      <c r="P587" s="217" t="s">
        <v>34</v>
      </c>
      <c r="Q587" s="217" t="s">
        <v>35</v>
      </c>
      <c r="R587" s="217" t="s">
        <v>23</v>
      </c>
      <c r="S587" s="217" t="s">
        <v>22</v>
      </c>
      <c r="T587" s="217" t="s">
        <v>84</v>
      </c>
      <c r="U587" s="217" t="s">
        <v>85</v>
      </c>
      <c r="V587" s="217" t="s">
        <v>97</v>
      </c>
      <c r="W587" s="217" t="s">
        <v>98</v>
      </c>
      <c r="BC587" s="217" t="s">
        <v>48</v>
      </c>
      <c r="BD587" s="217" t="s">
        <v>62</v>
      </c>
      <c r="BE587" s="217" t="s">
        <v>1371</v>
      </c>
      <c r="BF587" s="217" t="s">
        <v>509</v>
      </c>
      <c r="BG587" s="217" t="s">
        <v>1998</v>
      </c>
      <c r="BH587" s="217" t="s">
        <v>1658</v>
      </c>
      <c r="BI587" s="217" t="s">
        <v>1660</v>
      </c>
      <c r="BJ587" s="217" t="s">
        <v>1660</v>
      </c>
      <c r="BK587" s="217" t="s">
        <v>637</v>
      </c>
      <c r="BL587" s="217"/>
      <c r="BM587" s="217"/>
      <c r="BN587" s="217">
        <v>0</v>
      </c>
      <c r="BO587" s="217">
        <v>0</v>
      </c>
      <c r="BR587" s="217" t="s">
        <v>48</v>
      </c>
      <c r="BS587" s="217" t="s">
        <v>62</v>
      </c>
      <c r="BT587" s="217" t="s">
        <v>509</v>
      </c>
      <c r="BU587" s="217" t="s">
        <v>1371</v>
      </c>
      <c r="BV587" s="217">
        <v>46</v>
      </c>
      <c r="BW587" s="217">
        <v>236</v>
      </c>
      <c r="BX587" s="217">
        <v>0</v>
      </c>
      <c r="BY587" s="217">
        <v>0</v>
      </c>
      <c r="BZ587" s="217">
        <v>0</v>
      </c>
      <c r="CA587" s="217">
        <v>0</v>
      </c>
      <c r="CB587" s="217">
        <v>48</v>
      </c>
      <c r="CC587" s="217">
        <v>243</v>
      </c>
      <c r="CD587" s="217">
        <v>0</v>
      </c>
      <c r="CE587" s="217">
        <v>0</v>
      </c>
      <c r="CF587" s="217">
        <v>0</v>
      </c>
      <c r="CG587" s="217">
        <v>0</v>
      </c>
      <c r="CH587" s="217">
        <v>-7</v>
      </c>
      <c r="CI587" s="217">
        <v>0</v>
      </c>
      <c r="CJ587" s="217">
        <v>0</v>
      </c>
    </row>
    <row r="588" spans="1:88" x14ac:dyDescent="0.25">
      <c r="A588" s="217" t="s">
        <v>22</v>
      </c>
      <c r="B588" s="217" t="s">
        <v>23</v>
      </c>
      <c r="C588" s="217" t="s">
        <v>85</v>
      </c>
      <c r="D588" s="217" t="s">
        <v>84</v>
      </c>
      <c r="E588" s="217" t="s">
        <v>98</v>
      </c>
      <c r="F588" s="217" t="s">
        <v>97</v>
      </c>
      <c r="G588" s="217" t="s">
        <v>430</v>
      </c>
      <c r="H588" s="217" t="s">
        <v>1231</v>
      </c>
      <c r="I588" s="217" t="s">
        <v>29</v>
      </c>
      <c r="J588" s="217" t="s">
        <v>1858</v>
      </c>
      <c r="K588" s="217">
        <v>20</v>
      </c>
      <c r="L588" s="217">
        <v>210</v>
      </c>
      <c r="M588" s="217" t="s">
        <v>31</v>
      </c>
      <c r="N588" s="217" t="s">
        <v>32</v>
      </c>
      <c r="O588" s="217" t="s">
        <v>100</v>
      </c>
      <c r="P588" s="217" t="s">
        <v>34</v>
      </c>
      <c r="Q588" s="217" t="s">
        <v>35</v>
      </c>
      <c r="R588" s="217" t="s">
        <v>23</v>
      </c>
      <c r="S588" s="217" t="s">
        <v>22</v>
      </c>
      <c r="T588" s="217" t="s">
        <v>84</v>
      </c>
      <c r="U588" s="217" t="s">
        <v>85</v>
      </c>
      <c r="V588" s="217" t="s">
        <v>97</v>
      </c>
      <c r="W588" s="217" t="s">
        <v>98</v>
      </c>
      <c r="BC588" s="217" t="s">
        <v>48</v>
      </c>
      <c r="BD588" s="217" t="s">
        <v>62</v>
      </c>
      <c r="BE588" s="217" t="s">
        <v>1372</v>
      </c>
      <c r="BF588" s="217" t="s">
        <v>835</v>
      </c>
      <c r="BG588" s="217" t="s">
        <v>1998</v>
      </c>
      <c r="BH588" s="217" t="s">
        <v>1658</v>
      </c>
      <c r="BI588" s="217" t="s">
        <v>1660</v>
      </c>
      <c r="BJ588" s="217" t="s">
        <v>1660</v>
      </c>
      <c r="BK588" s="217" t="s">
        <v>637</v>
      </c>
      <c r="BL588" s="217"/>
      <c r="BM588" s="217"/>
      <c r="BN588" s="217">
        <v>0</v>
      </c>
      <c r="BO588" s="217">
        <v>0</v>
      </c>
      <c r="BR588" s="217" t="s">
        <v>48</v>
      </c>
      <c r="BS588" s="217" t="s">
        <v>62</v>
      </c>
      <c r="BT588" s="217" t="s">
        <v>515</v>
      </c>
      <c r="BU588" s="217" t="s">
        <v>1380</v>
      </c>
      <c r="BV588" s="217">
        <v>140</v>
      </c>
      <c r="BW588" s="217">
        <v>409</v>
      </c>
      <c r="BX588" s="217">
        <v>0</v>
      </c>
      <c r="BY588" s="217">
        <v>0</v>
      </c>
      <c r="BZ588" s="217">
        <v>0</v>
      </c>
      <c r="CA588" s="217">
        <v>0</v>
      </c>
      <c r="CB588" s="217">
        <v>146</v>
      </c>
      <c r="CC588" s="217">
        <v>442</v>
      </c>
      <c r="CD588" s="217">
        <v>0</v>
      </c>
      <c r="CE588" s="217">
        <v>0</v>
      </c>
      <c r="CF588" s="217">
        <v>0</v>
      </c>
      <c r="CG588" s="217">
        <v>0</v>
      </c>
      <c r="CH588" s="217">
        <v>-33</v>
      </c>
      <c r="CI588" s="217">
        <v>0</v>
      </c>
      <c r="CJ588" s="217">
        <v>0</v>
      </c>
    </row>
    <row r="589" spans="1:88" x14ac:dyDescent="0.25">
      <c r="A589" s="217" t="s">
        <v>22</v>
      </c>
      <c r="B589" s="217" t="s">
        <v>23</v>
      </c>
      <c r="C589" s="217" t="s">
        <v>85</v>
      </c>
      <c r="D589" s="217" t="s">
        <v>84</v>
      </c>
      <c r="E589" s="217" t="s">
        <v>98</v>
      </c>
      <c r="F589" s="217" t="s">
        <v>97</v>
      </c>
      <c r="G589" s="217" t="s">
        <v>167</v>
      </c>
      <c r="H589" s="217" t="s">
        <v>1232</v>
      </c>
      <c r="I589" s="217" t="s">
        <v>29</v>
      </c>
      <c r="J589" s="217" t="s">
        <v>1857</v>
      </c>
      <c r="K589" s="217">
        <v>24</v>
      </c>
      <c r="L589" s="217">
        <v>157</v>
      </c>
      <c r="M589" s="217" t="s">
        <v>31</v>
      </c>
      <c r="N589" s="217" t="s">
        <v>32</v>
      </c>
      <c r="O589" s="217" t="s">
        <v>100</v>
      </c>
      <c r="P589" s="217" t="s">
        <v>34</v>
      </c>
      <c r="Q589" s="217" t="s">
        <v>35</v>
      </c>
      <c r="R589" s="217" t="s">
        <v>23</v>
      </c>
      <c r="S589" s="217" t="s">
        <v>22</v>
      </c>
      <c r="T589" s="217" t="s">
        <v>84</v>
      </c>
      <c r="U589" s="217" t="s">
        <v>85</v>
      </c>
      <c r="V589" s="217" t="s">
        <v>97</v>
      </c>
      <c r="W589" s="217" t="s">
        <v>98</v>
      </c>
      <c r="BC589" s="217" t="s">
        <v>48</v>
      </c>
      <c r="BD589" s="217" t="s">
        <v>62</v>
      </c>
      <c r="BE589" s="217" t="s">
        <v>1373</v>
      </c>
      <c r="BF589" s="217" t="s">
        <v>510</v>
      </c>
      <c r="BG589" s="217" t="s">
        <v>1998</v>
      </c>
      <c r="BH589" s="217" t="s">
        <v>1658</v>
      </c>
      <c r="BI589" s="217" t="s">
        <v>1660</v>
      </c>
      <c r="BJ589" s="217" t="s">
        <v>1660</v>
      </c>
      <c r="BK589" s="217" t="s">
        <v>637</v>
      </c>
      <c r="BL589" s="217"/>
      <c r="BM589" s="217"/>
      <c r="BN589" s="217">
        <v>0</v>
      </c>
      <c r="BO589" s="217">
        <v>0</v>
      </c>
      <c r="BR589" s="217" t="s">
        <v>48</v>
      </c>
      <c r="BS589" s="217" t="s">
        <v>62</v>
      </c>
      <c r="BT589" s="217" t="s">
        <v>517</v>
      </c>
      <c r="BU589" s="217" t="s">
        <v>1382</v>
      </c>
      <c r="BV589" s="217">
        <v>102</v>
      </c>
      <c r="BW589" s="217">
        <v>507</v>
      </c>
      <c r="BX589" s="217">
        <v>0</v>
      </c>
      <c r="BY589" s="217">
        <v>0</v>
      </c>
      <c r="BZ589" s="217">
        <v>0</v>
      </c>
      <c r="CA589" s="217">
        <v>0</v>
      </c>
      <c r="CB589" s="217">
        <v>104</v>
      </c>
      <c r="CC589" s="217">
        <v>520</v>
      </c>
      <c r="CD589" s="217">
        <v>0</v>
      </c>
      <c r="CE589" s="217">
        <v>0</v>
      </c>
      <c r="CF589" s="217">
        <v>0</v>
      </c>
      <c r="CG589" s="217">
        <v>0</v>
      </c>
      <c r="CH589" s="217">
        <v>-13</v>
      </c>
      <c r="CI589" s="217">
        <v>0</v>
      </c>
      <c r="CJ589" s="217">
        <v>0</v>
      </c>
    </row>
    <row r="590" spans="1:88" x14ac:dyDescent="0.25">
      <c r="A590" s="217" t="s">
        <v>22</v>
      </c>
      <c r="B590" s="217" t="s">
        <v>23</v>
      </c>
      <c r="C590" s="217" t="s">
        <v>85</v>
      </c>
      <c r="D590" s="217" t="s">
        <v>84</v>
      </c>
      <c r="E590" s="217" t="s">
        <v>98</v>
      </c>
      <c r="F590" s="217" t="s">
        <v>97</v>
      </c>
      <c r="G590" s="217" t="s">
        <v>168</v>
      </c>
      <c r="H590" s="217" t="s">
        <v>1235</v>
      </c>
      <c r="I590" s="217" t="s">
        <v>29</v>
      </c>
      <c r="J590" s="217" t="s">
        <v>1856</v>
      </c>
      <c r="K590" s="217">
        <v>5</v>
      </c>
      <c r="L590" s="217">
        <v>36</v>
      </c>
      <c r="M590" s="217" t="s">
        <v>31</v>
      </c>
      <c r="N590" s="217" t="s">
        <v>32</v>
      </c>
      <c r="O590" s="217" t="s">
        <v>68</v>
      </c>
      <c r="P590" s="217" t="s">
        <v>34</v>
      </c>
      <c r="Q590" s="217" t="s">
        <v>35</v>
      </c>
      <c r="R590" s="217" t="s">
        <v>23</v>
      </c>
      <c r="S590" s="217" t="s">
        <v>22</v>
      </c>
      <c r="T590" s="217" t="s">
        <v>84</v>
      </c>
      <c r="U590" s="217" t="s">
        <v>85</v>
      </c>
      <c r="V590" s="217" t="s">
        <v>91</v>
      </c>
      <c r="W590" s="217" t="s">
        <v>92</v>
      </c>
      <c r="BC590" s="217" t="s">
        <v>48</v>
      </c>
      <c r="BD590" s="217" t="s">
        <v>62</v>
      </c>
      <c r="BE590" s="217" t="s">
        <v>1374</v>
      </c>
      <c r="BF590" s="217" t="s">
        <v>511</v>
      </c>
      <c r="BG590" s="217" t="s">
        <v>1998</v>
      </c>
      <c r="BH590" s="217" t="s">
        <v>1658</v>
      </c>
      <c r="BI590" s="217" t="s">
        <v>1660</v>
      </c>
      <c r="BJ590" s="217" t="s">
        <v>1660</v>
      </c>
      <c r="BK590" s="217" t="s">
        <v>637</v>
      </c>
      <c r="BL590" s="217"/>
      <c r="BM590" s="217"/>
      <c r="BN590" s="217">
        <v>0</v>
      </c>
      <c r="BO590" s="217">
        <v>0</v>
      </c>
      <c r="BR590" s="217" t="s">
        <v>48</v>
      </c>
      <c r="BS590" s="217" t="s">
        <v>62</v>
      </c>
      <c r="BT590" s="217" t="s">
        <v>519</v>
      </c>
      <c r="BU590" s="217" t="s">
        <v>1384</v>
      </c>
      <c r="BV590" s="217">
        <v>76</v>
      </c>
      <c r="BW590" s="217">
        <v>168</v>
      </c>
      <c r="BX590" s="217">
        <v>0</v>
      </c>
      <c r="BY590" s="217">
        <v>0</v>
      </c>
      <c r="BZ590" s="217">
        <v>0</v>
      </c>
      <c r="CA590" s="217">
        <v>0</v>
      </c>
      <c r="CB590" s="217">
        <v>77</v>
      </c>
      <c r="CC590" s="217">
        <v>173</v>
      </c>
      <c r="CD590" s="217">
        <v>0</v>
      </c>
      <c r="CE590" s="217">
        <v>0</v>
      </c>
      <c r="CF590" s="217">
        <v>0</v>
      </c>
      <c r="CG590" s="217">
        <v>0</v>
      </c>
      <c r="CH590" s="217">
        <v>-5</v>
      </c>
      <c r="CI590" s="217">
        <v>0</v>
      </c>
      <c r="CJ590" s="217">
        <v>0</v>
      </c>
    </row>
    <row r="591" spans="1:88" x14ac:dyDescent="0.25">
      <c r="A591" s="217" t="s">
        <v>22</v>
      </c>
      <c r="B591" s="217" t="s">
        <v>23</v>
      </c>
      <c r="C591" s="217" t="s">
        <v>85</v>
      </c>
      <c r="D591" s="217" t="s">
        <v>84</v>
      </c>
      <c r="E591" s="217" t="s">
        <v>98</v>
      </c>
      <c r="F591" s="217" t="s">
        <v>97</v>
      </c>
      <c r="G591" s="217" t="s">
        <v>168</v>
      </c>
      <c r="H591" s="217" t="s">
        <v>1235</v>
      </c>
      <c r="I591" s="217" t="s">
        <v>29</v>
      </c>
      <c r="J591" s="217" t="s">
        <v>1857</v>
      </c>
      <c r="K591" s="217">
        <v>3</v>
      </c>
      <c r="L591" s="217">
        <v>14</v>
      </c>
      <c r="M591" s="217" t="s">
        <v>31</v>
      </c>
      <c r="N591" s="217" t="s">
        <v>32</v>
      </c>
      <c r="O591" s="217" t="s">
        <v>68</v>
      </c>
      <c r="P591" s="217" t="s">
        <v>34</v>
      </c>
      <c r="Q591" s="217" t="s">
        <v>35</v>
      </c>
      <c r="R591" s="217" t="s">
        <v>23</v>
      </c>
      <c r="S591" s="217" t="s">
        <v>22</v>
      </c>
      <c r="T591" s="217" t="s">
        <v>84</v>
      </c>
      <c r="U591" s="217" t="s">
        <v>85</v>
      </c>
      <c r="V591" s="217" t="s">
        <v>91</v>
      </c>
      <c r="W591" s="217" t="s">
        <v>92</v>
      </c>
      <c r="BC591" s="217" t="s">
        <v>48</v>
      </c>
      <c r="BD591" s="217" t="s">
        <v>62</v>
      </c>
      <c r="BE591" s="217" t="s">
        <v>1375</v>
      </c>
      <c r="BF591" s="217" t="s">
        <v>512</v>
      </c>
      <c r="BG591" s="217" t="s">
        <v>1998</v>
      </c>
      <c r="BH591" s="217" t="s">
        <v>1658</v>
      </c>
      <c r="BI591" s="217" t="s">
        <v>1660</v>
      </c>
      <c r="BJ591" s="217" t="s">
        <v>1660</v>
      </c>
      <c r="BK591" s="217" t="s">
        <v>637</v>
      </c>
      <c r="BL591" s="217"/>
      <c r="BM591" s="217"/>
      <c r="BN591" s="217">
        <v>0</v>
      </c>
      <c r="BO591" s="217">
        <v>0</v>
      </c>
      <c r="BR591" s="217" t="s">
        <v>48</v>
      </c>
      <c r="BS591" s="217" t="s">
        <v>62</v>
      </c>
      <c r="BT591" s="217" t="s">
        <v>520</v>
      </c>
      <c r="BU591" s="217" t="s">
        <v>1385</v>
      </c>
      <c r="BV591" s="217">
        <v>58</v>
      </c>
      <c r="BW591" s="217">
        <v>349</v>
      </c>
      <c r="BX591" s="217">
        <v>0</v>
      </c>
      <c r="BY591" s="217">
        <v>0</v>
      </c>
      <c r="BZ591" s="217">
        <v>0</v>
      </c>
      <c r="CA591" s="217">
        <v>0</v>
      </c>
      <c r="CB591" s="217">
        <v>61</v>
      </c>
      <c r="CC591" s="217">
        <v>365</v>
      </c>
      <c r="CD591" s="217">
        <v>0</v>
      </c>
      <c r="CE591" s="217">
        <v>0</v>
      </c>
      <c r="CF591" s="217">
        <v>0</v>
      </c>
      <c r="CG591" s="217">
        <v>0</v>
      </c>
      <c r="CH591" s="217">
        <v>-16</v>
      </c>
      <c r="CI591" s="217">
        <v>0</v>
      </c>
      <c r="CJ591" s="217">
        <v>0</v>
      </c>
    </row>
    <row r="592" spans="1:88" x14ac:dyDescent="0.25">
      <c r="A592" s="217" t="s">
        <v>22</v>
      </c>
      <c r="B592" s="217" t="s">
        <v>23</v>
      </c>
      <c r="C592" s="217" t="s">
        <v>85</v>
      </c>
      <c r="D592" s="217" t="s">
        <v>84</v>
      </c>
      <c r="E592" s="217" t="s">
        <v>98</v>
      </c>
      <c r="F592" s="217" t="s">
        <v>97</v>
      </c>
      <c r="G592" s="217" t="s">
        <v>432</v>
      </c>
      <c r="H592" s="217" t="s">
        <v>1236</v>
      </c>
      <c r="I592" s="217" t="s">
        <v>29</v>
      </c>
      <c r="J592" s="217" t="s">
        <v>1856</v>
      </c>
      <c r="K592" s="217">
        <v>7</v>
      </c>
      <c r="L592" s="217">
        <v>46</v>
      </c>
      <c r="M592" s="217" t="s">
        <v>31</v>
      </c>
      <c r="N592" s="217" t="s">
        <v>32</v>
      </c>
      <c r="O592" s="217" t="s">
        <v>100</v>
      </c>
      <c r="P592" s="217" t="s">
        <v>34</v>
      </c>
      <c r="Q592" s="217" t="s">
        <v>35</v>
      </c>
      <c r="R592" s="217" t="s">
        <v>23</v>
      </c>
      <c r="S592" s="217" t="s">
        <v>22</v>
      </c>
      <c r="T592" s="217" t="s">
        <v>84</v>
      </c>
      <c r="U592" s="217" t="s">
        <v>85</v>
      </c>
      <c r="V592" s="217" t="s">
        <v>97</v>
      </c>
      <c r="W592" s="217" t="s">
        <v>98</v>
      </c>
      <c r="BC592" s="217" t="s">
        <v>48</v>
      </c>
      <c r="BD592" s="217" t="s">
        <v>62</v>
      </c>
      <c r="BE592" s="217" t="s">
        <v>1376</v>
      </c>
      <c r="BF592" s="217" t="s">
        <v>837</v>
      </c>
      <c r="BG592" s="217" t="s">
        <v>1999</v>
      </c>
      <c r="BH592" s="217" t="s">
        <v>1658</v>
      </c>
      <c r="BI592" s="217" t="s">
        <v>1660</v>
      </c>
      <c r="BJ592" s="217" t="s">
        <v>1658</v>
      </c>
      <c r="BK592" s="217" t="s">
        <v>637</v>
      </c>
      <c r="BL592" s="217"/>
      <c r="BM592" s="217"/>
      <c r="BN592" s="217">
        <v>0</v>
      </c>
      <c r="BO592" s="217">
        <v>0</v>
      </c>
      <c r="BR592" s="217" t="s">
        <v>48</v>
      </c>
      <c r="BS592" s="217" t="s">
        <v>62</v>
      </c>
      <c r="BT592" s="217" t="s">
        <v>526</v>
      </c>
      <c r="BU592" s="217" t="s">
        <v>1391</v>
      </c>
      <c r="BV592" s="217">
        <v>133</v>
      </c>
      <c r="BW592" s="217">
        <v>540</v>
      </c>
      <c r="BX592" s="217">
        <v>0</v>
      </c>
      <c r="BY592" s="217">
        <v>0</v>
      </c>
      <c r="BZ592" s="217">
        <v>0</v>
      </c>
      <c r="CA592" s="217">
        <v>0</v>
      </c>
      <c r="CB592" s="217">
        <v>136</v>
      </c>
      <c r="CC592" s="217">
        <v>552</v>
      </c>
      <c r="CD592" s="217">
        <v>0</v>
      </c>
      <c r="CE592" s="217">
        <v>0</v>
      </c>
      <c r="CF592" s="217">
        <v>0</v>
      </c>
      <c r="CG592" s="217">
        <v>0</v>
      </c>
      <c r="CH592" s="217">
        <v>-12</v>
      </c>
      <c r="CI592" s="217">
        <v>0</v>
      </c>
      <c r="CJ592" s="217">
        <v>0</v>
      </c>
    </row>
    <row r="593" spans="1:88" x14ac:dyDescent="0.25">
      <c r="A593" s="217" t="s">
        <v>22</v>
      </c>
      <c r="B593" s="217" t="s">
        <v>23</v>
      </c>
      <c r="C593" s="217" t="s">
        <v>85</v>
      </c>
      <c r="D593" s="217" t="s">
        <v>84</v>
      </c>
      <c r="E593" s="217" t="s">
        <v>98</v>
      </c>
      <c r="F593" s="217" t="s">
        <v>97</v>
      </c>
      <c r="G593" s="217" t="s">
        <v>1237</v>
      </c>
      <c r="H593" s="217" t="s">
        <v>1238</v>
      </c>
      <c r="I593" s="217" t="s">
        <v>29</v>
      </c>
      <c r="J593" s="217" t="s">
        <v>1858</v>
      </c>
      <c r="K593" s="217">
        <v>25</v>
      </c>
      <c r="L593" s="217">
        <v>100</v>
      </c>
      <c r="M593" s="217" t="s">
        <v>31</v>
      </c>
      <c r="N593" s="217" t="s">
        <v>32</v>
      </c>
      <c r="O593" s="217" t="s">
        <v>68</v>
      </c>
      <c r="P593" s="217" t="s">
        <v>34</v>
      </c>
      <c r="Q593" s="217" t="s">
        <v>35</v>
      </c>
      <c r="R593" s="217" t="s">
        <v>23</v>
      </c>
      <c r="S593" s="217" t="s">
        <v>22</v>
      </c>
      <c r="T593" s="217" t="s">
        <v>84</v>
      </c>
      <c r="U593" s="217" t="s">
        <v>85</v>
      </c>
      <c r="V593" s="217" t="s">
        <v>91</v>
      </c>
      <c r="W593" s="217" t="s">
        <v>92</v>
      </c>
      <c r="BC593" s="217" t="s">
        <v>48</v>
      </c>
      <c r="BD593" s="217" t="s">
        <v>62</v>
      </c>
      <c r="BE593" s="217" t="s">
        <v>1377</v>
      </c>
      <c r="BF593" s="217" t="s">
        <v>513</v>
      </c>
      <c r="BG593" s="217" t="s">
        <v>1998</v>
      </c>
      <c r="BH593" s="217" t="s">
        <v>1658</v>
      </c>
      <c r="BI593" s="217" t="s">
        <v>1660</v>
      </c>
      <c r="BJ593" s="217" t="s">
        <v>1660</v>
      </c>
      <c r="BK593" s="217" t="s">
        <v>637</v>
      </c>
      <c r="BL593" s="217"/>
      <c r="BM593" s="217"/>
      <c r="BN593" s="217">
        <v>0</v>
      </c>
      <c r="BO593" s="217">
        <v>0</v>
      </c>
      <c r="BR593" s="217" t="s">
        <v>48</v>
      </c>
      <c r="BS593" s="217" t="s">
        <v>62</v>
      </c>
      <c r="BT593" s="217" t="s">
        <v>525</v>
      </c>
      <c r="BU593" s="217" t="s">
        <v>1390</v>
      </c>
      <c r="BV593" s="217">
        <v>118</v>
      </c>
      <c r="BW593" s="217">
        <v>417</v>
      </c>
      <c r="BX593" s="217">
        <v>0</v>
      </c>
      <c r="BY593" s="217">
        <v>0</v>
      </c>
      <c r="BZ593" s="217">
        <v>0</v>
      </c>
      <c r="CA593" s="217">
        <v>0</v>
      </c>
      <c r="CB593" s="217">
        <v>122</v>
      </c>
      <c r="CC593" s="217">
        <v>435</v>
      </c>
      <c r="CD593" s="217">
        <v>0</v>
      </c>
      <c r="CE593" s="217">
        <v>0</v>
      </c>
      <c r="CF593" s="217">
        <v>0</v>
      </c>
      <c r="CG593" s="217">
        <v>0</v>
      </c>
      <c r="CH593" s="217">
        <v>-18</v>
      </c>
      <c r="CI593" s="217">
        <v>0</v>
      </c>
      <c r="CJ593" s="217">
        <v>0</v>
      </c>
    </row>
    <row r="594" spans="1:88" x14ac:dyDescent="0.25">
      <c r="A594" s="217" t="s">
        <v>22</v>
      </c>
      <c r="B594" s="217" t="s">
        <v>23</v>
      </c>
      <c r="C594" s="217" t="s">
        <v>85</v>
      </c>
      <c r="D594" s="217" t="s">
        <v>84</v>
      </c>
      <c r="E594" s="217" t="s">
        <v>98</v>
      </c>
      <c r="F594" s="217" t="s">
        <v>97</v>
      </c>
      <c r="G594" s="217" t="s">
        <v>1239</v>
      </c>
      <c r="H594" s="217" t="s">
        <v>1240</v>
      </c>
      <c r="I594" s="217" t="s">
        <v>29</v>
      </c>
      <c r="J594" s="217" t="s">
        <v>1858</v>
      </c>
      <c r="K594" s="217">
        <v>49</v>
      </c>
      <c r="L594" s="217">
        <v>195</v>
      </c>
      <c r="M594" s="217" t="s">
        <v>31</v>
      </c>
      <c r="N594" s="217" t="s">
        <v>32</v>
      </c>
      <c r="O594" s="217" t="s">
        <v>68</v>
      </c>
      <c r="P594" s="217" t="s">
        <v>34</v>
      </c>
      <c r="Q594" s="217" t="s">
        <v>35</v>
      </c>
      <c r="R594" s="217" t="s">
        <v>23</v>
      </c>
      <c r="S594" s="217" t="s">
        <v>22</v>
      </c>
      <c r="T594" s="217" t="s">
        <v>84</v>
      </c>
      <c r="U594" s="217" t="s">
        <v>85</v>
      </c>
      <c r="V594" s="217" t="s">
        <v>91</v>
      </c>
      <c r="W594" s="217" t="s">
        <v>92</v>
      </c>
      <c r="BC594" s="217" t="s">
        <v>48</v>
      </c>
      <c r="BD594" s="217" t="s">
        <v>62</v>
      </c>
      <c r="BE594" s="217" t="s">
        <v>1586</v>
      </c>
      <c r="BF594" s="217" t="s">
        <v>838</v>
      </c>
      <c r="BG594" s="217" t="s">
        <v>1998</v>
      </c>
      <c r="BH594" s="217" t="s">
        <v>1658</v>
      </c>
      <c r="BI594" s="217" t="s">
        <v>1660</v>
      </c>
      <c r="BJ594" s="217" t="s">
        <v>1658</v>
      </c>
      <c r="BK594" s="217" t="s">
        <v>637</v>
      </c>
      <c r="BL594" s="217"/>
      <c r="BM594" s="217" t="s">
        <v>3734</v>
      </c>
      <c r="BN594" s="217">
        <v>11</v>
      </c>
      <c r="BO594" s="217">
        <v>2017</v>
      </c>
      <c r="BR594" s="217" t="s">
        <v>48</v>
      </c>
      <c r="BS594" s="217" t="s">
        <v>62</v>
      </c>
      <c r="BT594" s="217" t="s">
        <v>502</v>
      </c>
      <c r="BU594" s="217" t="s">
        <v>1363</v>
      </c>
      <c r="BV594" s="217">
        <v>187</v>
      </c>
      <c r="BW594" s="217">
        <v>836</v>
      </c>
      <c r="BX594" s="217">
        <v>0</v>
      </c>
      <c r="BY594" s="217">
        <v>0</v>
      </c>
      <c r="BZ594" s="217">
        <v>0</v>
      </c>
      <c r="CA594" s="217">
        <v>0</v>
      </c>
      <c r="CB594" s="217">
        <v>188</v>
      </c>
      <c r="CC594" s="217">
        <v>842</v>
      </c>
      <c r="CD594" s="217">
        <v>0</v>
      </c>
      <c r="CE594" s="217">
        <v>0</v>
      </c>
      <c r="CF594" s="217">
        <v>0</v>
      </c>
      <c r="CG594" s="217">
        <v>0</v>
      </c>
      <c r="CH594" s="217">
        <v>-6</v>
      </c>
      <c r="CI594" s="217">
        <v>0</v>
      </c>
      <c r="CJ594" s="217">
        <v>0</v>
      </c>
    </row>
    <row r="595" spans="1:88" x14ac:dyDescent="0.25">
      <c r="A595" s="217" t="s">
        <v>22</v>
      </c>
      <c r="B595" s="217" t="s">
        <v>23</v>
      </c>
      <c r="C595" s="217" t="s">
        <v>85</v>
      </c>
      <c r="D595" s="217" t="s">
        <v>84</v>
      </c>
      <c r="E595" s="217" t="s">
        <v>98</v>
      </c>
      <c r="F595" s="217" t="s">
        <v>97</v>
      </c>
      <c r="G595" s="217" t="s">
        <v>433</v>
      </c>
      <c r="H595" s="217" t="s">
        <v>1241</v>
      </c>
      <c r="I595" s="217" t="s">
        <v>29</v>
      </c>
      <c r="J595" s="217" t="s">
        <v>1855</v>
      </c>
      <c r="K595" s="217">
        <v>10</v>
      </c>
      <c r="L595" s="217">
        <v>52</v>
      </c>
      <c r="M595" s="217" t="s">
        <v>31</v>
      </c>
      <c r="N595" s="217" t="s">
        <v>32</v>
      </c>
      <c r="O595" s="217" t="s">
        <v>68</v>
      </c>
      <c r="P595" s="217" t="s">
        <v>34</v>
      </c>
      <c r="Q595" s="217" t="s">
        <v>35</v>
      </c>
      <c r="R595" s="217" t="s">
        <v>23</v>
      </c>
      <c r="S595" s="217" t="s">
        <v>22</v>
      </c>
      <c r="T595" s="217" t="s">
        <v>84</v>
      </c>
      <c r="U595" s="217" t="s">
        <v>85</v>
      </c>
      <c r="V595" s="217" t="s">
        <v>91</v>
      </c>
      <c r="W595" s="217" t="s">
        <v>92</v>
      </c>
      <c r="BC595" s="217" t="s">
        <v>48</v>
      </c>
      <c r="BD595" s="217" t="s">
        <v>62</v>
      </c>
      <c r="BE595" s="217" t="s">
        <v>1378</v>
      </c>
      <c r="BF595" s="217" t="s">
        <v>840</v>
      </c>
      <c r="BG595" s="217" t="s">
        <v>1998</v>
      </c>
      <c r="BH595" s="217" t="s">
        <v>1658</v>
      </c>
      <c r="BI595" s="217" t="s">
        <v>1660</v>
      </c>
      <c r="BJ595" s="217" t="s">
        <v>1658</v>
      </c>
      <c r="BK595" s="217" t="s">
        <v>637</v>
      </c>
      <c r="BL595" s="217"/>
      <c r="BM595" s="217" t="s">
        <v>3735</v>
      </c>
      <c r="BN595" s="217">
        <v>11</v>
      </c>
      <c r="BO595" s="217">
        <v>2017</v>
      </c>
      <c r="BR595" s="217" t="s">
        <v>48</v>
      </c>
      <c r="BS595" s="217" t="s">
        <v>62</v>
      </c>
      <c r="BT595" s="217" t="s">
        <v>523</v>
      </c>
      <c r="BU595" s="217" t="s">
        <v>1388</v>
      </c>
      <c r="BV595" s="217">
        <v>140</v>
      </c>
      <c r="BW595" s="217">
        <v>386</v>
      </c>
      <c r="BX595" s="217">
        <v>0</v>
      </c>
      <c r="BY595" s="217">
        <v>0</v>
      </c>
      <c r="BZ595" s="217">
        <v>0</v>
      </c>
      <c r="CA595" s="217">
        <v>0</v>
      </c>
      <c r="CB595" s="217">
        <v>143</v>
      </c>
      <c r="CC595" s="217">
        <v>406</v>
      </c>
      <c r="CD595" s="217">
        <v>0</v>
      </c>
      <c r="CE595" s="217">
        <v>0</v>
      </c>
      <c r="CF595" s="217">
        <v>0</v>
      </c>
      <c r="CG595" s="217">
        <v>0</v>
      </c>
      <c r="CH595" s="217">
        <v>-20</v>
      </c>
      <c r="CI595" s="217">
        <v>0</v>
      </c>
      <c r="CJ595" s="217">
        <v>0</v>
      </c>
    </row>
    <row r="596" spans="1:88" x14ac:dyDescent="0.25">
      <c r="A596" s="217" t="s">
        <v>22</v>
      </c>
      <c r="B596" s="217" t="s">
        <v>23</v>
      </c>
      <c r="C596" s="217" t="s">
        <v>85</v>
      </c>
      <c r="D596" s="217" t="s">
        <v>84</v>
      </c>
      <c r="E596" s="217" t="s">
        <v>98</v>
      </c>
      <c r="F596" s="217" t="s">
        <v>97</v>
      </c>
      <c r="G596" s="217" t="s">
        <v>433</v>
      </c>
      <c r="H596" s="217" t="s">
        <v>1241</v>
      </c>
      <c r="I596" s="217" t="s">
        <v>29</v>
      </c>
      <c r="J596" s="217" t="s">
        <v>1858</v>
      </c>
      <c r="K596" s="217">
        <v>4</v>
      </c>
      <c r="L596" s="217">
        <v>25</v>
      </c>
      <c r="M596" s="217" t="s">
        <v>31</v>
      </c>
      <c r="N596" s="217" t="s">
        <v>32</v>
      </c>
      <c r="O596" s="217" t="s">
        <v>68</v>
      </c>
      <c r="P596" s="217" t="s">
        <v>34</v>
      </c>
      <c r="Q596" s="217" t="s">
        <v>35</v>
      </c>
      <c r="R596" s="217" t="s">
        <v>23</v>
      </c>
      <c r="S596" s="217" t="s">
        <v>22</v>
      </c>
      <c r="T596" s="217" t="s">
        <v>84</v>
      </c>
      <c r="U596" s="217" t="s">
        <v>85</v>
      </c>
      <c r="V596" s="217" t="s">
        <v>109</v>
      </c>
      <c r="W596" s="217" t="s">
        <v>110</v>
      </c>
      <c r="BC596" s="217" t="s">
        <v>48</v>
      </c>
      <c r="BD596" s="217" t="s">
        <v>62</v>
      </c>
      <c r="BE596" s="217" t="s">
        <v>1379</v>
      </c>
      <c r="BF596" s="217" t="s">
        <v>514</v>
      </c>
      <c r="BG596" s="217" t="s">
        <v>2001</v>
      </c>
      <c r="BH596" s="217" t="s">
        <v>1658</v>
      </c>
      <c r="BI596" s="217" t="s">
        <v>1660</v>
      </c>
      <c r="BJ596" s="217" t="s">
        <v>1660</v>
      </c>
      <c r="BK596" s="217" t="s">
        <v>637</v>
      </c>
      <c r="BL596" s="217"/>
      <c r="BM596" s="217"/>
      <c r="BN596" s="217">
        <v>0</v>
      </c>
      <c r="BO596" s="217">
        <v>0</v>
      </c>
      <c r="BR596" s="217" t="s">
        <v>48</v>
      </c>
      <c r="BS596" s="217" t="s">
        <v>62</v>
      </c>
      <c r="BT596" s="217" t="s">
        <v>518</v>
      </c>
      <c r="BU596" s="217" t="s">
        <v>1383</v>
      </c>
      <c r="BV596" s="217">
        <v>2124</v>
      </c>
      <c r="BW596" s="217">
        <v>16541</v>
      </c>
      <c r="BX596" s="217">
        <v>0</v>
      </c>
      <c r="BY596" s="217">
        <v>0</v>
      </c>
      <c r="BZ596" s="217">
        <v>0</v>
      </c>
      <c r="CA596" s="217">
        <v>0</v>
      </c>
      <c r="CB596" s="217">
        <v>2129</v>
      </c>
      <c r="CC596" s="217">
        <v>16558</v>
      </c>
      <c r="CD596" s="217">
        <v>0</v>
      </c>
      <c r="CE596" s="217">
        <v>0</v>
      </c>
      <c r="CF596" s="217">
        <v>0</v>
      </c>
      <c r="CG596" s="217">
        <v>0</v>
      </c>
      <c r="CH596" s="217">
        <v>-17</v>
      </c>
      <c r="CI596" s="217">
        <v>0</v>
      </c>
      <c r="CJ596" s="217">
        <v>0</v>
      </c>
    </row>
    <row r="597" spans="1:88" x14ac:dyDescent="0.25">
      <c r="A597" s="217" t="s">
        <v>22</v>
      </c>
      <c r="B597" s="217" t="s">
        <v>23</v>
      </c>
      <c r="C597" s="217" t="s">
        <v>85</v>
      </c>
      <c r="D597" s="217" t="s">
        <v>84</v>
      </c>
      <c r="E597" s="217" t="s">
        <v>98</v>
      </c>
      <c r="F597" s="217" t="s">
        <v>97</v>
      </c>
      <c r="G597" s="217" t="s">
        <v>702</v>
      </c>
      <c r="H597" s="217" t="s">
        <v>1520</v>
      </c>
      <c r="I597" s="217" t="s">
        <v>29</v>
      </c>
      <c r="J597" s="217" t="s">
        <v>1858</v>
      </c>
      <c r="K597" s="217">
        <v>3</v>
      </c>
      <c r="L597" s="217">
        <v>17</v>
      </c>
      <c r="M597" s="217" t="s">
        <v>31</v>
      </c>
      <c r="N597" s="217" t="s">
        <v>32</v>
      </c>
      <c r="O597" s="217" t="s">
        <v>100</v>
      </c>
      <c r="P597" s="217" t="s">
        <v>34</v>
      </c>
      <c r="Q597" s="217" t="s">
        <v>35</v>
      </c>
      <c r="R597" s="217" t="s">
        <v>23</v>
      </c>
      <c r="S597" s="217" t="s">
        <v>22</v>
      </c>
      <c r="T597" s="217" t="s">
        <v>84</v>
      </c>
      <c r="U597" s="217" t="s">
        <v>85</v>
      </c>
      <c r="V597" s="217" t="s">
        <v>97</v>
      </c>
      <c r="W597" s="217" t="s">
        <v>98</v>
      </c>
      <c r="BC597" s="217" t="s">
        <v>48</v>
      </c>
      <c r="BD597" s="217" t="s">
        <v>62</v>
      </c>
      <c r="BE597" s="217" t="s">
        <v>1380</v>
      </c>
      <c r="BF597" s="217" t="s">
        <v>515</v>
      </c>
      <c r="BG597" s="217" t="s">
        <v>1998</v>
      </c>
      <c r="BH597" s="217" t="s">
        <v>1658</v>
      </c>
      <c r="BI597" s="217" t="s">
        <v>1660</v>
      </c>
      <c r="BJ597" s="217" t="s">
        <v>1660</v>
      </c>
      <c r="BK597" s="217" t="s">
        <v>637</v>
      </c>
      <c r="BL597" s="217"/>
      <c r="BM597" s="217"/>
      <c r="BN597" s="217">
        <v>0</v>
      </c>
      <c r="BO597" s="217">
        <v>0</v>
      </c>
      <c r="BR597" s="217" t="s">
        <v>48</v>
      </c>
      <c r="BS597" s="217" t="s">
        <v>62</v>
      </c>
      <c r="BT597" s="217" t="s">
        <v>505</v>
      </c>
      <c r="BU597" s="217" t="s">
        <v>1367</v>
      </c>
      <c r="BV597" s="217">
        <v>518</v>
      </c>
      <c r="BW597" s="217">
        <v>1780</v>
      </c>
      <c r="BX597" s="217">
        <v>0</v>
      </c>
      <c r="BY597" s="217">
        <v>0</v>
      </c>
      <c r="BZ597" s="217">
        <v>41</v>
      </c>
      <c r="CA597" s="217">
        <v>231</v>
      </c>
      <c r="CB597" s="217">
        <v>518</v>
      </c>
      <c r="CC597" s="217">
        <v>1780</v>
      </c>
      <c r="CD597" s="217">
        <v>0</v>
      </c>
      <c r="CE597" s="217">
        <v>0</v>
      </c>
      <c r="CF597" s="217">
        <v>41</v>
      </c>
      <c r="CG597" s="217">
        <v>231</v>
      </c>
      <c r="CH597" s="217">
        <v>0</v>
      </c>
      <c r="CI597" s="217">
        <v>0</v>
      </c>
      <c r="CJ597" s="217">
        <v>0</v>
      </c>
    </row>
    <row r="598" spans="1:88" x14ac:dyDescent="0.25">
      <c r="A598" s="217" t="s">
        <v>22</v>
      </c>
      <c r="B598" s="217" t="s">
        <v>23</v>
      </c>
      <c r="C598" s="217" t="s">
        <v>85</v>
      </c>
      <c r="D598" s="217" t="s">
        <v>84</v>
      </c>
      <c r="E598" s="217" t="s">
        <v>98</v>
      </c>
      <c r="F598" s="217" t="s">
        <v>97</v>
      </c>
      <c r="G598" s="217" t="s">
        <v>434</v>
      </c>
      <c r="H598" s="217" t="s">
        <v>1242</v>
      </c>
      <c r="I598" s="217" t="s">
        <v>29</v>
      </c>
      <c r="J598" s="217" t="s">
        <v>1856</v>
      </c>
      <c r="K598" s="217">
        <v>2</v>
      </c>
      <c r="L598" s="217">
        <v>25</v>
      </c>
      <c r="M598" s="217" t="s">
        <v>31</v>
      </c>
      <c r="N598" s="217" t="s">
        <v>32</v>
      </c>
      <c r="O598" s="217" t="s">
        <v>100</v>
      </c>
      <c r="P598" s="217" t="s">
        <v>34</v>
      </c>
      <c r="Q598" s="217" t="s">
        <v>35</v>
      </c>
      <c r="R598" s="217" t="s">
        <v>23</v>
      </c>
      <c r="S598" s="217" t="s">
        <v>22</v>
      </c>
      <c r="T598" s="217" t="s">
        <v>84</v>
      </c>
      <c r="U598" s="217" t="s">
        <v>85</v>
      </c>
      <c r="V598" s="217" t="s">
        <v>97</v>
      </c>
      <c r="W598" s="217" t="s">
        <v>98</v>
      </c>
      <c r="BC598" s="217" t="s">
        <v>48</v>
      </c>
      <c r="BD598" s="217" t="s">
        <v>62</v>
      </c>
      <c r="BE598" s="217" t="s">
        <v>1381</v>
      </c>
      <c r="BF598" s="217" t="s">
        <v>516</v>
      </c>
      <c r="BG598" s="217" t="s">
        <v>1998</v>
      </c>
      <c r="BH598" s="217" t="s">
        <v>1658</v>
      </c>
      <c r="BI598" s="217" t="s">
        <v>1660</v>
      </c>
      <c r="BJ598" s="217" t="s">
        <v>1660</v>
      </c>
      <c r="BK598" s="217" t="s">
        <v>637</v>
      </c>
      <c r="BL598" s="217"/>
      <c r="BM598" s="217"/>
      <c r="BN598" s="217">
        <v>0</v>
      </c>
      <c r="BO598" s="217">
        <v>0</v>
      </c>
      <c r="BR598" s="217" t="s">
        <v>48</v>
      </c>
      <c r="BS598" s="217" t="s">
        <v>62</v>
      </c>
      <c r="BT598" s="217" t="s">
        <v>514</v>
      </c>
      <c r="BU598" s="217" t="s">
        <v>1379</v>
      </c>
      <c r="BV598" s="217">
        <v>48</v>
      </c>
      <c r="BW598" s="217">
        <v>289</v>
      </c>
      <c r="BX598" s="217">
        <v>0</v>
      </c>
      <c r="BY598" s="217">
        <v>0</v>
      </c>
      <c r="BZ598" s="217">
        <v>0</v>
      </c>
      <c r="CA598" s="217">
        <v>0</v>
      </c>
      <c r="CB598" s="217">
        <v>49</v>
      </c>
      <c r="CC598" s="217">
        <v>293</v>
      </c>
      <c r="CD598" s="217">
        <v>0</v>
      </c>
      <c r="CE598" s="217">
        <v>0</v>
      </c>
      <c r="CF598" s="217">
        <v>0</v>
      </c>
      <c r="CG598" s="217">
        <v>0</v>
      </c>
      <c r="CH598" s="217">
        <v>-4</v>
      </c>
      <c r="CI598" s="217">
        <v>0</v>
      </c>
      <c r="CJ598" s="217">
        <v>0</v>
      </c>
    </row>
    <row r="599" spans="1:88" x14ac:dyDescent="0.25">
      <c r="A599" s="217" t="s">
        <v>22</v>
      </c>
      <c r="B599" s="217" t="s">
        <v>23</v>
      </c>
      <c r="C599" s="217" t="s">
        <v>85</v>
      </c>
      <c r="D599" s="217" t="s">
        <v>84</v>
      </c>
      <c r="E599" s="217" t="s">
        <v>98</v>
      </c>
      <c r="F599" s="217" t="s">
        <v>97</v>
      </c>
      <c r="G599" s="217" t="s">
        <v>434</v>
      </c>
      <c r="H599" s="217" t="s">
        <v>1242</v>
      </c>
      <c r="I599" s="217" t="s">
        <v>29</v>
      </c>
      <c r="J599" s="217" t="s">
        <v>1857</v>
      </c>
      <c r="K599" s="217">
        <v>82</v>
      </c>
      <c r="L599" s="217">
        <v>1075</v>
      </c>
      <c r="M599" s="217" t="s">
        <v>31</v>
      </c>
      <c r="N599" s="217" t="s">
        <v>32</v>
      </c>
      <c r="O599" s="217" t="s">
        <v>100</v>
      </c>
      <c r="P599" s="217" t="s">
        <v>34</v>
      </c>
      <c r="Q599" s="217" t="s">
        <v>35</v>
      </c>
      <c r="R599" s="217" t="s">
        <v>23</v>
      </c>
      <c r="S599" s="217" t="s">
        <v>22</v>
      </c>
      <c r="T599" s="217" t="s">
        <v>84</v>
      </c>
      <c r="U599" s="217" t="s">
        <v>85</v>
      </c>
      <c r="V599" s="217" t="s">
        <v>97</v>
      </c>
      <c r="W599" s="217" t="s">
        <v>98</v>
      </c>
      <c r="BC599" s="217" t="s">
        <v>48</v>
      </c>
      <c r="BD599" s="217" t="s">
        <v>62</v>
      </c>
      <c r="BE599" s="217" t="s">
        <v>1382</v>
      </c>
      <c r="BF599" s="217" t="s">
        <v>517</v>
      </c>
      <c r="BG599" s="217" t="s">
        <v>1998</v>
      </c>
      <c r="BH599" s="217" t="s">
        <v>1658</v>
      </c>
      <c r="BI599" s="217" t="s">
        <v>1660</v>
      </c>
      <c r="BJ599" s="217" t="s">
        <v>1660</v>
      </c>
      <c r="BK599" s="217" t="s">
        <v>637</v>
      </c>
      <c r="BL599" s="217"/>
      <c r="BM599" s="217"/>
      <c r="BN599" s="217">
        <v>0</v>
      </c>
      <c r="BO599" s="217">
        <v>0</v>
      </c>
      <c r="BR599" s="217" t="s">
        <v>48</v>
      </c>
      <c r="BS599" s="217" t="s">
        <v>62</v>
      </c>
      <c r="BT599" s="217" t="s">
        <v>839</v>
      </c>
      <c r="BU599" s="217" t="s">
        <v>1585</v>
      </c>
      <c r="BV599" s="217">
        <v>0</v>
      </c>
      <c r="BW599" s="217">
        <v>0</v>
      </c>
      <c r="BX599" s="217">
        <v>0</v>
      </c>
      <c r="BY599" s="217">
        <v>0</v>
      </c>
      <c r="BZ599" s="217">
        <v>305</v>
      </c>
      <c r="CA599" s="217">
        <v>1722</v>
      </c>
      <c r="CB599" s="217">
        <v>0</v>
      </c>
      <c r="CC599" s="217">
        <v>0</v>
      </c>
      <c r="CD599" s="217">
        <v>0</v>
      </c>
      <c r="CE599" s="217">
        <v>0</v>
      </c>
      <c r="CF599" s="217">
        <v>305</v>
      </c>
      <c r="CG599" s="217">
        <v>1722</v>
      </c>
      <c r="CH599" s="217">
        <v>0</v>
      </c>
      <c r="CI599" s="217">
        <v>0</v>
      </c>
      <c r="CJ599" s="217">
        <v>0</v>
      </c>
    </row>
    <row r="600" spans="1:88" x14ac:dyDescent="0.25">
      <c r="A600" s="217" t="s">
        <v>22</v>
      </c>
      <c r="B600" s="217" t="s">
        <v>23</v>
      </c>
      <c r="C600" s="217" t="s">
        <v>85</v>
      </c>
      <c r="D600" s="217" t="s">
        <v>84</v>
      </c>
      <c r="E600" s="217" t="s">
        <v>98</v>
      </c>
      <c r="F600" s="217" t="s">
        <v>97</v>
      </c>
      <c r="G600" s="217" t="s">
        <v>434</v>
      </c>
      <c r="H600" s="217" t="s">
        <v>1242</v>
      </c>
      <c r="I600" s="217" t="s">
        <v>29</v>
      </c>
      <c r="J600" s="217" t="s">
        <v>1858</v>
      </c>
      <c r="K600" s="217">
        <v>39</v>
      </c>
      <c r="L600" s="217">
        <v>332</v>
      </c>
      <c r="M600" s="217" t="s">
        <v>31</v>
      </c>
      <c r="N600" s="217" t="s">
        <v>32</v>
      </c>
      <c r="O600" s="217" t="s">
        <v>100</v>
      </c>
      <c r="P600" s="217" t="s">
        <v>34</v>
      </c>
      <c r="Q600" s="217" t="s">
        <v>35</v>
      </c>
      <c r="R600" s="217" t="s">
        <v>23</v>
      </c>
      <c r="S600" s="217" t="s">
        <v>22</v>
      </c>
      <c r="T600" s="217" t="s">
        <v>84</v>
      </c>
      <c r="U600" s="217" t="s">
        <v>85</v>
      </c>
      <c r="V600" s="217" t="s">
        <v>97</v>
      </c>
      <c r="W600" s="217" t="s">
        <v>98</v>
      </c>
      <c r="BC600" s="217" t="s">
        <v>48</v>
      </c>
      <c r="BD600" s="217" t="s">
        <v>62</v>
      </c>
      <c r="BE600" s="217" t="s">
        <v>1383</v>
      </c>
      <c r="BF600" s="217" t="s">
        <v>518</v>
      </c>
      <c r="BG600" s="217" t="s">
        <v>2001</v>
      </c>
      <c r="BH600" s="217" t="s">
        <v>1658</v>
      </c>
      <c r="BI600" s="217" t="s">
        <v>1660</v>
      </c>
      <c r="BJ600" s="217" t="s">
        <v>1660</v>
      </c>
      <c r="BK600" s="217" t="s">
        <v>637</v>
      </c>
      <c r="BL600" s="217"/>
      <c r="BM600" s="217"/>
      <c r="BN600" s="217">
        <v>0</v>
      </c>
      <c r="BO600" s="217">
        <v>0</v>
      </c>
      <c r="BR600" s="217" t="s">
        <v>48</v>
      </c>
      <c r="BS600" s="217" t="s">
        <v>62</v>
      </c>
      <c r="BT600" s="217" t="s">
        <v>841</v>
      </c>
      <c r="BU600" s="217" t="s">
        <v>1587</v>
      </c>
      <c r="BV600" s="217">
        <v>0</v>
      </c>
      <c r="BW600" s="217">
        <v>0</v>
      </c>
      <c r="BX600" s="217">
        <v>0</v>
      </c>
      <c r="BY600" s="217">
        <v>0</v>
      </c>
      <c r="BZ600" s="217">
        <v>90</v>
      </c>
      <c r="CA600" s="217">
        <v>512</v>
      </c>
      <c r="CB600" s="217">
        <v>0</v>
      </c>
      <c r="CC600" s="217">
        <v>0</v>
      </c>
      <c r="CD600" s="217">
        <v>0</v>
      </c>
      <c r="CE600" s="217">
        <v>0</v>
      </c>
      <c r="CF600" s="217">
        <v>90</v>
      </c>
      <c r="CG600" s="217">
        <v>512</v>
      </c>
      <c r="CH600" s="217">
        <v>0</v>
      </c>
      <c r="CI600" s="217">
        <v>0</v>
      </c>
      <c r="CJ600" s="217">
        <v>0</v>
      </c>
    </row>
    <row r="601" spans="1:88" x14ac:dyDescent="0.25">
      <c r="A601" s="217" t="s">
        <v>22</v>
      </c>
      <c r="B601" s="217" t="s">
        <v>23</v>
      </c>
      <c r="C601" s="217" t="s">
        <v>85</v>
      </c>
      <c r="D601" s="217" t="s">
        <v>84</v>
      </c>
      <c r="E601" s="217" t="s">
        <v>98</v>
      </c>
      <c r="F601" s="217" t="s">
        <v>97</v>
      </c>
      <c r="G601" s="217" t="s">
        <v>1243</v>
      </c>
      <c r="H601" s="217" t="s">
        <v>1244</v>
      </c>
      <c r="I601" s="217" t="s">
        <v>29</v>
      </c>
      <c r="J601" s="217" t="s">
        <v>1858</v>
      </c>
      <c r="K601" s="217">
        <v>3</v>
      </c>
      <c r="L601" s="217">
        <v>21</v>
      </c>
      <c r="M601" s="217" t="s">
        <v>31</v>
      </c>
      <c r="N601" s="217" t="s">
        <v>32</v>
      </c>
      <c r="O601" s="217" t="s">
        <v>68</v>
      </c>
      <c r="P601" s="217" t="s">
        <v>34</v>
      </c>
      <c r="Q601" s="217" t="s">
        <v>35</v>
      </c>
      <c r="R601" s="217" t="s">
        <v>23</v>
      </c>
      <c r="S601" s="217" t="s">
        <v>22</v>
      </c>
      <c r="T601" s="217" t="s">
        <v>84</v>
      </c>
      <c r="U601" s="217" t="s">
        <v>85</v>
      </c>
      <c r="V601" s="217" t="s">
        <v>91</v>
      </c>
      <c r="W601" s="217" t="s">
        <v>92</v>
      </c>
      <c r="BC601" s="217" t="s">
        <v>48</v>
      </c>
      <c r="BD601" s="217" t="s">
        <v>62</v>
      </c>
      <c r="BE601" s="217" t="s">
        <v>1384</v>
      </c>
      <c r="BF601" s="217" t="s">
        <v>519</v>
      </c>
      <c r="BG601" s="217" t="s">
        <v>1998</v>
      </c>
      <c r="BH601" s="217" t="s">
        <v>1658</v>
      </c>
      <c r="BI601" s="217" t="s">
        <v>1660</v>
      </c>
      <c r="BJ601" s="217" t="s">
        <v>1660</v>
      </c>
      <c r="BK601" s="217" t="s">
        <v>637</v>
      </c>
      <c r="BL601" s="217"/>
      <c r="BM601" s="217"/>
      <c r="BN601" s="217">
        <v>0</v>
      </c>
      <c r="BO601" s="217">
        <v>0</v>
      </c>
      <c r="BR601" s="217" t="s">
        <v>48</v>
      </c>
      <c r="BS601" s="217" t="s">
        <v>62</v>
      </c>
      <c r="BT601" s="217" t="s">
        <v>836</v>
      </c>
      <c r="BU601" s="217" t="s">
        <v>1365</v>
      </c>
      <c r="BV601" s="217">
        <v>56</v>
      </c>
      <c r="BW601" s="217">
        <v>285</v>
      </c>
      <c r="BX601" s="217">
        <v>0</v>
      </c>
      <c r="BY601" s="217">
        <v>0</v>
      </c>
      <c r="BZ601" s="217">
        <v>0</v>
      </c>
      <c r="CA601" s="217">
        <v>0</v>
      </c>
      <c r="CB601" s="217">
        <v>56</v>
      </c>
      <c r="CC601" s="217">
        <v>285</v>
      </c>
      <c r="CD601" s="217">
        <v>0</v>
      </c>
      <c r="CE601" s="217">
        <v>0</v>
      </c>
      <c r="CF601" s="217">
        <v>0</v>
      </c>
      <c r="CG601" s="217">
        <v>0</v>
      </c>
      <c r="CH601" s="217">
        <v>0</v>
      </c>
      <c r="CI601" s="217">
        <v>0</v>
      </c>
      <c r="CJ601" s="217">
        <v>0</v>
      </c>
    </row>
    <row r="602" spans="1:88" x14ac:dyDescent="0.25">
      <c r="A602" s="217" t="s">
        <v>22</v>
      </c>
      <c r="B602" s="217" t="s">
        <v>23</v>
      </c>
      <c r="C602" s="217" t="s">
        <v>85</v>
      </c>
      <c r="D602" s="217" t="s">
        <v>84</v>
      </c>
      <c r="E602" s="217" t="s">
        <v>98</v>
      </c>
      <c r="F602" s="217" t="s">
        <v>97</v>
      </c>
      <c r="G602" s="217" t="s">
        <v>1245</v>
      </c>
      <c r="H602" s="217" t="s">
        <v>1246</v>
      </c>
      <c r="I602" s="217" t="s">
        <v>29</v>
      </c>
      <c r="J602" s="217" t="s">
        <v>1858</v>
      </c>
      <c r="K602" s="217">
        <v>16</v>
      </c>
      <c r="L602" s="217">
        <v>80</v>
      </c>
      <c r="M602" s="217" t="s">
        <v>31</v>
      </c>
      <c r="N602" s="217" t="s">
        <v>32</v>
      </c>
      <c r="O602" s="217" t="s">
        <v>100</v>
      </c>
      <c r="P602" s="217" t="s">
        <v>34</v>
      </c>
      <c r="Q602" s="217" t="s">
        <v>35</v>
      </c>
      <c r="R602" s="217" t="s">
        <v>23</v>
      </c>
      <c r="S602" s="217" t="s">
        <v>22</v>
      </c>
      <c r="T602" s="217" t="s">
        <v>84</v>
      </c>
      <c r="U602" s="217" t="s">
        <v>85</v>
      </c>
      <c r="V602" s="217" t="s">
        <v>97</v>
      </c>
      <c r="W602" s="217" t="s">
        <v>98</v>
      </c>
      <c r="BC602" s="217" t="s">
        <v>48</v>
      </c>
      <c r="BD602" s="217" t="s">
        <v>62</v>
      </c>
      <c r="BE602" s="217" t="s">
        <v>1385</v>
      </c>
      <c r="BF602" s="217" t="s">
        <v>520</v>
      </c>
      <c r="BG602" s="217" t="s">
        <v>1998</v>
      </c>
      <c r="BH602" s="217" t="s">
        <v>1658</v>
      </c>
      <c r="BI602" s="217" t="s">
        <v>1660</v>
      </c>
      <c r="BJ602" s="217" t="s">
        <v>1660</v>
      </c>
      <c r="BK602" s="217" t="s">
        <v>637</v>
      </c>
      <c r="BL602" s="217"/>
      <c r="BM602" s="217"/>
      <c r="BN602" s="217">
        <v>0</v>
      </c>
      <c r="BO602" s="217">
        <v>0</v>
      </c>
      <c r="BR602" s="217" t="s">
        <v>48</v>
      </c>
      <c r="BS602" s="217" t="s">
        <v>62</v>
      </c>
      <c r="BT602" s="217" t="s">
        <v>838</v>
      </c>
      <c r="BU602" s="217" t="s">
        <v>1586</v>
      </c>
      <c r="BV602" s="217">
        <v>2</v>
      </c>
      <c r="BW602" s="217">
        <v>17</v>
      </c>
      <c r="BX602" s="217">
        <v>0</v>
      </c>
      <c r="BY602" s="217">
        <v>0</v>
      </c>
      <c r="BZ602" s="217">
        <v>261</v>
      </c>
      <c r="CA602" s="217">
        <v>1738</v>
      </c>
      <c r="CB602" s="217">
        <v>2</v>
      </c>
      <c r="CC602" s="217">
        <v>17</v>
      </c>
      <c r="CD602" s="217">
        <v>0</v>
      </c>
      <c r="CE602" s="217">
        <v>0</v>
      </c>
      <c r="CF602" s="217">
        <v>243</v>
      </c>
      <c r="CG602" s="217">
        <v>1599</v>
      </c>
      <c r="CH602" s="217">
        <v>0</v>
      </c>
      <c r="CI602" s="217">
        <v>0</v>
      </c>
      <c r="CJ602" s="217">
        <v>139</v>
      </c>
    </row>
    <row r="603" spans="1:88" x14ac:dyDescent="0.25">
      <c r="A603" s="217" t="s">
        <v>22</v>
      </c>
      <c r="B603" s="217" t="s">
        <v>23</v>
      </c>
      <c r="C603" s="217" t="s">
        <v>85</v>
      </c>
      <c r="D603" s="217" t="s">
        <v>84</v>
      </c>
      <c r="E603" s="217" t="s">
        <v>98</v>
      </c>
      <c r="F603" s="217" t="s">
        <v>97</v>
      </c>
      <c r="G603" s="217" t="s">
        <v>435</v>
      </c>
      <c r="H603" s="217" t="s">
        <v>1247</v>
      </c>
      <c r="I603" s="217" t="s">
        <v>29</v>
      </c>
      <c r="J603" s="217" t="s">
        <v>1856</v>
      </c>
      <c r="K603" s="217">
        <v>8</v>
      </c>
      <c r="L603" s="217">
        <v>47</v>
      </c>
      <c r="M603" s="217" t="s">
        <v>31</v>
      </c>
      <c r="N603" s="217" t="s">
        <v>32</v>
      </c>
      <c r="O603" s="217" t="s">
        <v>100</v>
      </c>
      <c r="P603" s="217" t="s">
        <v>34</v>
      </c>
      <c r="Q603" s="217" t="s">
        <v>35</v>
      </c>
      <c r="R603" s="217" t="s">
        <v>23</v>
      </c>
      <c r="S603" s="217" t="s">
        <v>22</v>
      </c>
      <c r="T603" s="217" t="s">
        <v>84</v>
      </c>
      <c r="U603" s="217" t="s">
        <v>85</v>
      </c>
      <c r="V603" s="217" t="s">
        <v>97</v>
      </c>
      <c r="W603" s="217" t="s">
        <v>98</v>
      </c>
      <c r="BC603" s="217" t="s">
        <v>48</v>
      </c>
      <c r="BD603" s="217" t="s">
        <v>62</v>
      </c>
      <c r="BE603" s="217" t="s">
        <v>1386</v>
      </c>
      <c r="BF603" s="217" t="s">
        <v>521</v>
      </c>
      <c r="BG603" s="217" t="s">
        <v>1998</v>
      </c>
      <c r="BH603" s="217" t="s">
        <v>1658</v>
      </c>
      <c r="BI603" s="217" t="s">
        <v>1660</v>
      </c>
      <c r="BJ603" s="217" t="s">
        <v>1660</v>
      </c>
      <c r="BK603" s="217" t="s">
        <v>637</v>
      </c>
      <c r="BL603" s="217"/>
      <c r="BM603" s="217"/>
      <c r="BN603" s="217">
        <v>0</v>
      </c>
      <c r="BO603" s="217">
        <v>0</v>
      </c>
      <c r="BR603" s="217" t="s">
        <v>48</v>
      </c>
      <c r="BS603" s="217" t="s">
        <v>62</v>
      </c>
      <c r="BT603" s="217" t="s">
        <v>504</v>
      </c>
      <c r="BU603" s="217" t="s">
        <v>1366</v>
      </c>
      <c r="BV603" s="217">
        <v>59</v>
      </c>
      <c r="BW603" s="217">
        <v>365</v>
      </c>
      <c r="BX603" s="217">
        <v>0</v>
      </c>
      <c r="BY603" s="217">
        <v>0</v>
      </c>
      <c r="BZ603" s="217">
        <v>0</v>
      </c>
      <c r="CA603" s="217">
        <v>0</v>
      </c>
      <c r="CB603" s="217">
        <v>59</v>
      </c>
      <c r="CC603" s="217">
        <v>365</v>
      </c>
      <c r="CD603" s="217">
        <v>0</v>
      </c>
      <c r="CE603" s="217">
        <v>0</v>
      </c>
      <c r="CF603" s="217">
        <v>0</v>
      </c>
      <c r="CG603" s="217">
        <v>0</v>
      </c>
      <c r="CH603" s="217">
        <v>0</v>
      </c>
      <c r="CI603" s="217">
        <v>0</v>
      </c>
      <c r="CJ603" s="217">
        <v>0</v>
      </c>
    </row>
    <row r="604" spans="1:88" x14ac:dyDescent="0.25">
      <c r="A604" s="217" t="s">
        <v>22</v>
      </c>
      <c r="B604" s="217" t="s">
        <v>23</v>
      </c>
      <c r="C604" s="217" t="s">
        <v>85</v>
      </c>
      <c r="D604" s="217" t="s">
        <v>84</v>
      </c>
      <c r="E604" s="217" t="s">
        <v>98</v>
      </c>
      <c r="F604" s="217" t="s">
        <v>97</v>
      </c>
      <c r="G604" s="217" t="s">
        <v>435</v>
      </c>
      <c r="H604" s="217" t="s">
        <v>1247</v>
      </c>
      <c r="I604" s="217" t="s">
        <v>29</v>
      </c>
      <c r="J604" s="217" t="s">
        <v>1857</v>
      </c>
      <c r="K604" s="217">
        <v>4</v>
      </c>
      <c r="L604" s="217">
        <v>23</v>
      </c>
      <c r="M604" s="217" t="s">
        <v>31</v>
      </c>
      <c r="N604" s="217" t="s">
        <v>32</v>
      </c>
      <c r="O604" s="217" t="s">
        <v>100</v>
      </c>
      <c r="P604" s="217" t="s">
        <v>34</v>
      </c>
      <c r="Q604" s="217" t="s">
        <v>35</v>
      </c>
      <c r="R604" s="217" t="s">
        <v>23</v>
      </c>
      <c r="S604" s="217" t="s">
        <v>22</v>
      </c>
      <c r="T604" s="217" t="s">
        <v>84</v>
      </c>
      <c r="U604" s="217" t="s">
        <v>85</v>
      </c>
      <c r="V604" s="217" t="s">
        <v>97</v>
      </c>
      <c r="W604" s="217" t="s">
        <v>98</v>
      </c>
      <c r="BC604" s="217" t="s">
        <v>48</v>
      </c>
      <c r="BD604" s="217" t="s">
        <v>62</v>
      </c>
      <c r="BE604" s="217" t="s">
        <v>1387</v>
      </c>
      <c r="BF604" s="217" t="s">
        <v>522</v>
      </c>
      <c r="BG604" s="217" t="s">
        <v>1998</v>
      </c>
      <c r="BH604" s="217" t="s">
        <v>1658</v>
      </c>
      <c r="BI604" s="217" t="s">
        <v>1660</v>
      </c>
      <c r="BJ604" s="217" t="s">
        <v>1660</v>
      </c>
      <c r="BK604" s="217" t="s">
        <v>637</v>
      </c>
      <c r="BL604" s="217"/>
      <c r="BM604" s="217"/>
      <c r="BN604" s="217">
        <v>0</v>
      </c>
      <c r="BO604" s="217">
        <v>0</v>
      </c>
      <c r="BR604" s="217" t="s">
        <v>48</v>
      </c>
      <c r="BS604" s="217" t="s">
        <v>62</v>
      </c>
      <c r="BT604" s="217" t="s">
        <v>512</v>
      </c>
      <c r="BU604" s="217" t="s">
        <v>1375</v>
      </c>
      <c r="BV604" s="217">
        <v>668</v>
      </c>
      <c r="BW604" s="217">
        <v>1512</v>
      </c>
      <c r="BX604" s="217">
        <v>0</v>
      </c>
      <c r="BY604" s="217">
        <v>0</v>
      </c>
      <c r="BZ604" s="217">
        <v>0</v>
      </c>
      <c r="CA604" s="217">
        <v>0</v>
      </c>
      <c r="CB604" s="217">
        <v>688</v>
      </c>
      <c r="CC604" s="217">
        <v>1710</v>
      </c>
      <c r="CD604" s="217">
        <v>0</v>
      </c>
      <c r="CE604" s="217">
        <v>0</v>
      </c>
      <c r="CF604" s="217">
        <v>0</v>
      </c>
      <c r="CG604" s="217">
        <v>0</v>
      </c>
      <c r="CH604" s="217">
        <v>-198</v>
      </c>
      <c r="CI604" s="217">
        <v>0</v>
      </c>
      <c r="CJ604" s="217">
        <v>0</v>
      </c>
    </row>
    <row r="605" spans="1:88" x14ac:dyDescent="0.25">
      <c r="A605" s="217" t="s">
        <v>22</v>
      </c>
      <c r="B605" s="217" t="s">
        <v>23</v>
      </c>
      <c r="C605" s="217" t="s">
        <v>85</v>
      </c>
      <c r="D605" s="217" t="s">
        <v>84</v>
      </c>
      <c r="E605" s="217" t="s">
        <v>98</v>
      </c>
      <c r="F605" s="217" t="s">
        <v>97</v>
      </c>
      <c r="G605" s="217" t="s">
        <v>436</v>
      </c>
      <c r="H605" s="217" t="s">
        <v>1248</v>
      </c>
      <c r="I605" s="217" t="s">
        <v>29</v>
      </c>
      <c r="J605" s="217" t="s">
        <v>1856</v>
      </c>
      <c r="K605" s="217">
        <v>7</v>
      </c>
      <c r="L605" s="217">
        <v>68</v>
      </c>
      <c r="M605" s="217" t="s">
        <v>31</v>
      </c>
      <c r="N605" s="217" t="s">
        <v>32</v>
      </c>
      <c r="O605" s="217" t="s">
        <v>68</v>
      </c>
      <c r="P605" s="217" t="s">
        <v>34</v>
      </c>
      <c r="Q605" s="217" t="s">
        <v>35</v>
      </c>
      <c r="R605" s="217" t="s">
        <v>23</v>
      </c>
      <c r="S605" s="217" t="s">
        <v>22</v>
      </c>
      <c r="T605" s="217" t="s">
        <v>84</v>
      </c>
      <c r="U605" s="217" t="s">
        <v>85</v>
      </c>
      <c r="V605" s="217" t="s">
        <v>109</v>
      </c>
      <c r="W605" s="217" t="s">
        <v>110</v>
      </c>
      <c r="BC605" s="217" t="s">
        <v>48</v>
      </c>
      <c r="BD605" s="217" t="s">
        <v>62</v>
      </c>
      <c r="BE605" s="217" t="s">
        <v>1388</v>
      </c>
      <c r="BF605" s="217" t="s">
        <v>523</v>
      </c>
      <c r="BG605" s="217" t="s">
        <v>1998</v>
      </c>
      <c r="BH605" s="217" t="s">
        <v>1658</v>
      </c>
      <c r="BI605" s="217" t="s">
        <v>1660</v>
      </c>
      <c r="BJ605" s="217" t="s">
        <v>1660</v>
      </c>
      <c r="BK605" s="217" t="s">
        <v>637</v>
      </c>
      <c r="BL605" s="217"/>
      <c r="BM605" s="217"/>
      <c r="BN605" s="217">
        <v>0</v>
      </c>
      <c r="BO605" s="217">
        <v>0</v>
      </c>
      <c r="BR605" s="217" t="s">
        <v>48</v>
      </c>
      <c r="BS605" s="217" t="s">
        <v>62</v>
      </c>
      <c r="BT605" s="217" t="s">
        <v>524</v>
      </c>
      <c r="BU605" s="217" t="s">
        <v>1389</v>
      </c>
      <c r="BV605" s="217">
        <v>51</v>
      </c>
      <c r="BW605" s="217">
        <v>300</v>
      </c>
      <c r="BX605" s="217">
        <v>0</v>
      </c>
      <c r="BY605" s="217">
        <v>0</v>
      </c>
      <c r="BZ605" s="217">
        <v>0</v>
      </c>
      <c r="CA605" s="217">
        <v>0</v>
      </c>
      <c r="CB605" s="217">
        <v>51</v>
      </c>
      <c r="CC605" s="217">
        <v>300</v>
      </c>
      <c r="CD605" s="217">
        <v>0</v>
      </c>
      <c r="CE605" s="217">
        <v>0</v>
      </c>
      <c r="CF605" s="217">
        <v>0</v>
      </c>
      <c r="CG605" s="217">
        <v>0</v>
      </c>
      <c r="CH605" s="217">
        <v>0</v>
      </c>
      <c r="CI605" s="217">
        <v>0</v>
      </c>
      <c r="CJ605" s="217">
        <v>0</v>
      </c>
    </row>
    <row r="606" spans="1:88" x14ac:dyDescent="0.25">
      <c r="A606" s="217" t="s">
        <v>22</v>
      </c>
      <c r="B606" s="217" t="s">
        <v>23</v>
      </c>
      <c r="C606" s="217" t="s">
        <v>85</v>
      </c>
      <c r="D606" s="217" t="s">
        <v>84</v>
      </c>
      <c r="E606" s="217" t="s">
        <v>98</v>
      </c>
      <c r="F606" s="217" t="s">
        <v>97</v>
      </c>
      <c r="G606" s="217" t="s">
        <v>436</v>
      </c>
      <c r="H606" s="217" t="s">
        <v>1248</v>
      </c>
      <c r="I606" s="217" t="s">
        <v>29</v>
      </c>
      <c r="J606" s="217" t="s">
        <v>1858</v>
      </c>
      <c r="K606" s="217">
        <v>9</v>
      </c>
      <c r="L606" s="217">
        <v>45</v>
      </c>
      <c r="M606" s="217" t="s">
        <v>31</v>
      </c>
      <c r="N606" s="217" t="s">
        <v>32</v>
      </c>
      <c r="O606" s="217" t="s">
        <v>68</v>
      </c>
      <c r="P606" s="217" t="s">
        <v>34</v>
      </c>
      <c r="Q606" s="217" t="s">
        <v>35</v>
      </c>
      <c r="R606" s="217" t="s">
        <v>23</v>
      </c>
      <c r="S606" s="217" t="s">
        <v>22</v>
      </c>
      <c r="T606" s="217" t="s">
        <v>84</v>
      </c>
      <c r="U606" s="217" t="s">
        <v>85</v>
      </c>
      <c r="V606" s="217" t="s">
        <v>109</v>
      </c>
      <c r="W606" s="217" t="s">
        <v>110</v>
      </c>
      <c r="BC606" s="217" t="s">
        <v>48</v>
      </c>
      <c r="BD606" s="217" t="s">
        <v>62</v>
      </c>
      <c r="BE606" s="217" t="s">
        <v>1389</v>
      </c>
      <c r="BF606" s="217" t="s">
        <v>524</v>
      </c>
      <c r="BG606" s="217" t="s">
        <v>1998</v>
      </c>
      <c r="BH606" s="217" t="s">
        <v>1658</v>
      </c>
      <c r="BI606" s="217" t="s">
        <v>1660</v>
      </c>
      <c r="BJ606" s="217" t="s">
        <v>1660</v>
      </c>
      <c r="BK606" s="217" t="s">
        <v>637</v>
      </c>
      <c r="BL606" s="217"/>
      <c r="BM606" s="217"/>
      <c r="BN606" s="217">
        <v>0</v>
      </c>
      <c r="BO606" s="217">
        <v>0</v>
      </c>
      <c r="BR606" s="217" t="s">
        <v>48</v>
      </c>
      <c r="BS606" s="217" t="s">
        <v>62</v>
      </c>
      <c r="BT606" s="217" t="s">
        <v>835</v>
      </c>
      <c r="BU606" s="217" t="s">
        <v>1372</v>
      </c>
      <c r="BV606" s="217">
        <v>21</v>
      </c>
      <c r="BW606" s="217">
        <v>85</v>
      </c>
      <c r="BX606" s="217">
        <v>0</v>
      </c>
      <c r="BY606" s="217">
        <v>0</v>
      </c>
      <c r="BZ606" s="217">
        <v>0</v>
      </c>
      <c r="CA606" s="217">
        <v>0</v>
      </c>
      <c r="CB606" s="217">
        <v>25</v>
      </c>
      <c r="CC606" s="217">
        <v>103</v>
      </c>
      <c r="CD606" s="217">
        <v>0</v>
      </c>
      <c r="CE606" s="217">
        <v>0</v>
      </c>
      <c r="CF606" s="217">
        <v>0</v>
      </c>
      <c r="CG606" s="217">
        <v>0</v>
      </c>
      <c r="CH606" s="217">
        <v>-18</v>
      </c>
      <c r="CI606" s="217">
        <v>0</v>
      </c>
      <c r="CJ606" s="217">
        <v>0</v>
      </c>
    </row>
    <row r="607" spans="1:88" x14ac:dyDescent="0.25">
      <c r="A607" s="217" t="s">
        <v>22</v>
      </c>
      <c r="B607" s="217" t="s">
        <v>23</v>
      </c>
      <c r="C607" s="217" t="s">
        <v>85</v>
      </c>
      <c r="D607" s="217" t="s">
        <v>84</v>
      </c>
      <c r="E607" s="217" t="s">
        <v>98</v>
      </c>
      <c r="F607" s="217" t="s">
        <v>97</v>
      </c>
      <c r="G607" s="217" t="s">
        <v>2139</v>
      </c>
      <c r="H607" s="217" t="s">
        <v>2140</v>
      </c>
      <c r="I607" s="217" t="s">
        <v>29</v>
      </c>
      <c r="J607" s="217" t="s">
        <v>1858</v>
      </c>
      <c r="K607" s="217">
        <v>20</v>
      </c>
      <c r="L607" s="217">
        <v>170</v>
      </c>
      <c r="M607" s="217" t="s">
        <v>31</v>
      </c>
      <c r="N607" s="217" t="s">
        <v>32</v>
      </c>
      <c r="O607" s="217" t="s">
        <v>100</v>
      </c>
      <c r="P607" s="217" t="s">
        <v>34</v>
      </c>
      <c r="Q607" s="217" t="s">
        <v>35</v>
      </c>
      <c r="R607" s="217" t="s">
        <v>23</v>
      </c>
      <c r="S607" s="217" t="s">
        <v>22</v>
      </c>
      <c r="T607" s="217" t="s">
        <v>84</v>
      </c>
      <c r="U607" s="217" t="s">
        <v>85</v>
      </c>
      <c r="V607" s="217" t="s">
        <v>97</v>
      </c>
      <c r="W607" s="217" t="s">
        <v>98</v>
      </c>
      <c r="BC607" s="217" t="s">
        <v>48</v>
      </c>
      <c r="BD607" s="217" t="s">
        <v>62</v>
      </c>
      <c r="BE607" s="217" t="s">
        <v>1390</v>
      </c>
      <c r="BF607" s="217" t="s">
        <v>525</v>
      </c>
      <c r="BG607" s="217" t="s">
        <v>1998</v>
      </c>
      <c r="BH607" s="217" t="s">
        <v>1658</v>
      </c>
      <c r="BI607" s="217" t="s">
        <v>1660</v>
      </c>
      <c r="BJ607" s="217" t="s">
        <v>1660</v>
      </c>
      <c r="BK607" s="217" t="s">
        <v>637</v>
      </c>
      <c r="BL607" s="217"/>
      <c r="BM607" s="217"/>
      <c r="BN607" s="217">
        <v>0</v>
      </c>
      <c r="BO607" s="217">
        <v>0</v>
      </c>
      <c r="BR607" s="217" t="s">
        <v>48</v>
      </c>
      <c r="BS607" s="217" t="s">
        <v>527</v>
      </c>
      <c r="BT607" s="217" t="s">
        <v>529</v>
      </c>
      <c r="BU607" s="217" t="s">
        <v>1393</v>
      </c>
      <c r="BV607" s="217">
        <v>6</v>
      </c>
      <c r="BW607" s="217">
        <v>23</v>
      </c>
      <c r="BX607" s="217">
        <v>0</v>
      </c>
      <c r="BY607" s="217">
        <v>0</v>
      </c>
      <c r="BZ607" s="217">
        <v>0</v>
      </c>
      <c r="CA607" s="217">
        <v>0</v>
      </c>
      <c r="CB607" s="217">
        <v>6</v>
      </c>
      <c r="CC607" s="217">
        <v>23</v>
      </c>
      <c r="CD607" s="217">
        <v>0</v>
      </c>
      <c r="CE607" s="217">
        <v>0</v>
      </c>
      <c r="CF607" s="217">
        <v>0</v>
      </c>
      <c r="CG607" s="217">
        <v>0</v>
      </c>
      <c r="CH607" s="217">
        <v>0</v>
      </c>
      <c r="CI607" s="217">
        <v>0</v>
      </c>
      <c r="CJ607" s="217">
        <v>0</v>
      </c>
    </row>
    <row r="608" spans="1:88" x14ac:dyDescent="0.25">
      <c r="A608" s="217" t="s">
        <v>22</v>
      </c>
      <c r="B608" s="217" t="s">
        <v>23</v>
      </c>
      <c r="C608" s="217" t="s">
        <v>85</v>
      </c>
      <c r="D608" s="217" t="s">
        <v>84</v>
      </c>
      <c r="E608" s="217" t="s">
        <v>98</v>
      </c>
      <c r="F608" s="217" t="s">
        <v>97</v>
      </c>
      <c r="G608" s="217" t="s">
        <v>1249</v>
      </c>
      <c r="H608" s="217" t="s">
        <v>1250</v>
      </c>
      <c r="I608" s="217" t="s">
        <v>29</v>
      </c>
      <c r="J608" s="217" t="s">
        <v>1858</v>
      </c>
      <c r="K608" s="217">
        <v>6</v>
      </c>
      <c r="L608" s="217">
        <v>35</v>
      </c>
      <c r="M608" s="217" t="s">
        <v>31</v>
      </c>
      <c r="N608" s="217" t="s">
        <v>32</v>
      </c>
      <c r="O608" s="217" t="s">
        <v>68</v>
      </c>
      <c r="P608" s="217" t="s">
        <v>34</v>
      </c>
      <c r="Q608" s="217" t="s">
        <v>35</v>
      </c>
      <c r="R608" s="217" t="s">
        <v>23</v>
      </c>
      <c r="S608" s="217" t="s">
        <v>22</v>
      </c>
      <c r="T608" s="217" t="s">
        <v>84</v>
      </c>
      <c r="U608" s="217" t="s">
        <v>85</v>
      </c>
      <c r="V608" s="217" t="s">
        <v>91</v>
      </c>
      <c r="W608" s="217" t="s">
        <v>92</v>
      </c>
      <c r="BC608" s="217" t="s">
        <v>48</v>
      </c>
      <c r="BD608" s="217" t="s">
        <v>62</v>
      </c>
      <c r="BE608" s="217" t="s">
        <v>1391</v>
      </c>
      <c r="BF608" s="217" t="s">
        <v>526</v>
      </c>
      <c r="BG608" s="217" t="s">
        <v>1998</v>
      </c>
      <c r="BH608" s="217" t="s">
        <v>1658</v>
      </c>
      <c r="BI608" s="217" t="s">
        <v>1660</v>
      </c>
      <c r="BJ608" s="217" t="s">
        <v>1660</v>
      </c>
      <c r="BK608" s="217" t="s">
        <v>637</v>
      </c>
      <c r="BL608" s="217"/>
      <c r="BM608" s="217"/>
      <c r="BN608" s="217">
        <v>0</v>
      </c>
      <c r="BO608" s="217">
        <v>0</v>
      </c>
      <c r="BR608" s="217" t="s">
        <v>48</v>
      </c>
      <c r="BS608" s="217" t="s">
        <v>527</v>
      </c>
      <c r="BT608" s="217" t="s">
        <v>532</v>
      </c>
      <c r="BU608" s="217" t="s">
        <v>1396</v>
      </c>
      <c r="BV608" s="217">
        <v>38</v>
      </c>
      <c r="BW608" s="217">
        <v>93</v>
      </c>
      <c r="BX608" s="217">
        <v>0</v>
      </c>
      <c r="BY608" s="217">
        <v>0</v>
      </c>
      <c r="BZ608" s="217">
        <v>0</v>
      </c>
      <c r="CA608" s="217">
        <v>0</v>
      </c>
      <c r="CB608" s="217">
        <v>38</v>
      </c>
      <c r="CC608" s="217">
        <v>93</v>
      </c>
      <c r="CD608" s="217">
        <v>0</v>
      </c>
      <c r="CE608" s="217">
        <v>0</v>
      </c>
      <c r="CF608" s="217">
        <v>0</v>
      </c>
      <c r="CG608" s="217">
        <v>0</v>
      </c>
      <c r="CH608" s="217">
        <v>0</v>
      </c>
      <c r="CI608" s="217">
        <v>0</v>
      </c>
      <c r="CJ608" s="217">
        <v>0</v>
      </c>
    </row>
    <row r="609" spans="1:88" x14ac:dyDescent="0.25">
      <c r="A609" s="217" t="s">
        <v>22</v>
      </c>
      <c r="B609" s="217" t="s">
        <v>23</v>
      </c>
      <c r="C609" s="217" t="s">
        <v>85</v>
      </c>
      <c r="D609" s="217" t="s">
        <v>84</v>
      </c>
      <c r="E609" s="217" t="s">
        <v>98</v>
      </c>
      <c r="F609" s="217" t="s">
        <v>97</v>
      </c>
      <c r="G609" s="217" t="s">
        <v>1251</v>
      </c>
      <c r="H609" s="217" t="s">
        <v>1252</v>
      </c>
      <c r="I609" s="217" t="s">
        <v>29</v>
      </c>
      <c r="J609" s="217" t="s">
        <v>1855</v>
      </c>
      <c r="K609" s="217">
        <v>7</v>
      </c>
      <c r="L609" s="217">
        <v>55</v>
      </c>
      <c r="M609" s="217" t="s">
        <v>31</v>
      </c>
      <c r="N609" s="217" t="s">
        <v>32</v>
      </c>
      <c r="O609" s="217" t="s">
        <v>100</v>
      </c>
      <c r="P609" s="217" t="s">
        <v>34</v>
      </c>
      <c r="Q609" s="217" t="s">
        <v>35</v>
      </c>
      <c r="R609" s="217" t="s">
        <v>23</v>
      </c>
      <c r="S609" s="217" t="s">
        <v>22</v>
      </c>
      <c r="T609" s="217" t="s">
        <v>84</v>
      </c>
      <c r="U609" s="217" t="s">
        <v>85</v>
      </c>
      <c r="V609" s="217" t="s">
        <v>97</v>
      </c>
      <c r="W609" s="217" t="s">
        <v>98</v>
      </c>
      <c r="BC609" s="217" t="s">
        <v>48</v>
      </c>
      <c r="BD609" s="217" t="s">
        <v>62</v>
      </c>
      <c r="BE609" s="217" t="s">
        <v>1587</v>
      </c>
      <c r="BF609" s="217" t="s">
        <v>841</v>
      </c>
      <c r="BG609" s="217" t="s">
        <v>1998</v>
      </c>
      <c r="BH609" s="217" t="s">
        <v>1660</v>
      </c>
      <c r="BI609" s="217" t="s">
        <v>1660</v>
      </c>
      <c r="BJ609" s="217" t="s">
        <v>1658</v>
      </c>
      <c r="BK609" s="217" t="s">
        <v>637</v>
      </c>
      <c r="BL609" s="217"/>
      <c r="BM609" s="217"/>
      <c r="BN609" s="217">
        <v>0</v>
      </c>
      <c r="BO609" s="217">
        <v>0</v>
      </c>
      <c r="BR609" s="217" t="s">
        <v>48</v>
      </c>
      <c r="BS609" s="217" t="s">
        <v>527</v>
      </c>
      <c r="BT609" s="217" t="s">
        <v>531</v>
      </c>
      <c r="BU609" s="217" t="s">
        <v>1395</v>
      </c>
      <c r="BV609" s="217">
        <v>33</v>
      </c>
      <c r="BW609" s="217">
        <v>356</v>
      </c>
      <c r="BX609" s="217">
        <v>0</v>
      </c>
      <c r="BY609" s="217">
        <v>0</v>
      </c>
      <c r="BZ609" s="217">
        <v>0</v>
      </c>
      <c r="CA609" s="217">
        <v>0</v>
      </c>
      <c r="CB609" s="217">
        <v>34</v>
      </c>
      <c r="CC609" s="217">
        <v>361</v>
      </c>
      <c r="CD609" s="217">
        <v>0</v>
      </c>
      <c r="CE609" s="217">
        <v>0</v>
      </c>
      <c r="CF609" s="217">
        <v>0</v>
      </c>
      <c r="CG609" s="217">
        <v>0</v>
      </c>
      <c r="CH609" s="217">
        <v>-5</v>
      </c>
      <c r="CI609" s="217">
        <v>0</v>
      </c>
      <c r="CJ609" s="217">
        <v>0</v>
      </c>
    </row>
    <row r="610" spans="1:88" x14ac:dyDescent="0.25">
      <c r="A610" s="217" t="s">
        <v>22</v>
      </c>
      <c r="B610" s="217" t="s">
        <v>23</v>
      </c>
      <c r="C610" s="217" t="s">
        <v>85</v>
      </c>
      <c r="D610" s="217" t="s">
        <v>84</v>
      </c>
      <c r="E610" s="217" t="s">
        <v>98</v>
      </c>
      <c r="F610" s="217" t="s">
        <v>97</v>
      </c>
      <c r="G610" s="217" t="s">
        <v>437</v>
      </c>
      <c r="H610" s="217" t="s">
        <v>1253</v>
      </c>
      <c r="I610" s="217" t="s">
        <v>29</v>
      </c>
      <c r="J610" s="217" t="s">
        <v>1855</v>
      </c>
      <c r="K610" s="217">
        <v>6</v>
      </c>
      <c r="L610" s="217">
        <v>32</v>
      </c>
      <c r="M610" s="217" t="s">
        <v>31</v>
      </c>
      <c r="N610" s="217" t="s">
        <v>32</v>
      </c>
      <c r="O610" s="217" t="s">
        <v>68</v>
      </c>
      <c r="P610" s="217" t="s">
        <v>34</v>
      </c>
      <c r="Q610" s="217" t="s">
        <v>35</v>
      </c>
      <c r="R610" s="217" t="s">
        <v>23</v>
      </c>
      <c r="S610" s="217" t="s">
        <v>22</v>
      </c>
      <c r="T610" s="217" t="s">
        <v>84</v>
      </c>
      <c r="U610" s="217" t="s">
        <v>85</v>
      </c>
      <c r="V610" s="217" t="s">
        <v>91</v>
      </c>
      <c r="W610" s="217" t="s">
        <v>92</v>
      </c>
      <c r="BC610" s="217" t="s">
        <v>48</v>
      </c>
      <c r="BD610" s="217" t="s">
        <v>527</v>
      </c>
      <c r="BE610" s="217" t="s">
        <v>1699</v>
      </c>
      <c r="BF610" s="217" t="s">
        <v>842</v>
      </c>
      <c r="BG610" s="217" t="s">
        <v>1998</v>
      </c>
      <c r="BH610" s="217" t="s">
        <v>1660</v>
      </c>
      <c r="BI610" s="217" t="s">
        <v>1660</v>
      </c>
      <c r="BJ610" s="217" t="s">
        <v>1660</v>
      </c>
      <c r="BK610" s="217" t="s">
        <v>637</v>
      </c>
      <c r="BL610" s="217"/>
      <c r="BM610" s="217"/>
      <c r="BN610" s="217">
        <v>0</v>
      </c>
      <c r="BO610" s="217">
        <v>0</v>
      </c>
      <c r="BR610" s="217" t="s">
        <v>48</v>
      </c>
      <c r="BS610" s="217" t="s">
        <v>527</v>
      </c>
      <c r="BT610" s="217" t="s">
        <v>530</v>
      </c>
      <c r="BU610" s="217" t="s">
        <v>1394</v>
      </c>
      <c r="BV610" s="217">
        <v>153</v>
      </c>
      <c r="BW610" s="217">
        <v>320</v>
      </c>
      <c r="BX610" s="217">
        <v>0</v>
      </c>
      <c r="BY610" s="217">
        <v>0</v>
      </c>
      <c r="BZ610" s="217">
        <v>0</v>
      </c>
      <c r="CA610" s="217">
        <v>0</v>
      </c>
      <c r="CB610" s="217">
        <v>158</v>
      </c>
      <c r="CC610" s="217">
        <v>351</v>
      </c>
      <c r="CD610" s="217">
        <v>0</v>
      </c>
      <c r="CE610" s="217">
        <v>0</v>
      </c>
      <c r="CF610" s="217">
        <v>0</v>
      </c>
      <c r="CG610" s="217">
        <v>0</v>
      </c>
      <c r="CH610" s="217">
        <v>-31</v>
      </c>
      <c r="CI610" s="217">
        <v>0</v>
      </c>
      <c r="CJ610" s="217">
        <v>0</v>
      </c>
    </row>
    <row r="611" spans="1:88" x14ac:dyDescent="0.25">
      <c r="A611" s="217" t="s">
        <v>22</v>
      </c>
      <c r="B611" s="217" t="s">
        <v>23</v>
      </c>
      <c r="C611" s="217" t="s">
        <v>85</v>
      </c>
      <c r="D611" s="217" t="s">
        <v>84</v>
      </c>
      <c r="E611" s="217" t="s">
        <v>98</v>
      </c>
      <c r="F611" s="217" t="s">
        <v>97</v>
      </c>
      <c r="G611" s="217" t="s">
        <v>438</v>
      </c>
      <c r="H611" s="217" t="s">
        <v>1254</v>
      </c>
      <c r="I611" s="217" t="s">
        <v>29</v>
      </c>
      <c r="J611" s="217" t="s">
        <v>1857</v>
      </c>
      <c r="K611" s="217">
        <v>7</v>
      </c>
      <c r="L611" s="217">
        <v>56</v>
      </c>
      <c r="M611" s="217" t="s">
        <v>31</v>
      </c>
      <c r="N611" s="217" t="s">
        <v>32</v>
      </c>
      <c r="O611" s="217" t="s">
        <v>68</v>
      </c>
      <c r="P611" s="217" t="s">
        <v>34</v>
      </c>
      <c r="Q611" s="217" t="s">
        <v>35</v>
      </c>
      <c r="R611" s="217" t="s">
        <v>23</v>
      </c>
      <c r="S611" s="217" t="s">
        <v>22</v>
      </c>
      <c r="T611" s="217" t="s">
        <v>84</v>
      </c>
      <c r="U611" s="217" t="s">
        <v>85</v>
      </c>
      <c r="V611" s="217" t="s">
        <v>109</v>
      </c>
      <c r="W611" s="217" t="s">
        <v>110</v>
      </c>
      <c r="BC611" s="217" t="s">
        <v>48</v>
      </c>
      <c r="BD611" s="217" t="s">
        <v>527</v>
      </c>
      <c r="BE611" s="217" t="s">
        <v>1392</v>
      </c>
      <c r="BF611" s="217" t="s">
        <v>844</v>
      </c>
      <c r="BG611" s="217" t="s">
        <v>1998</v>
      </c>
      <c r="BH611" s="217" t="s">
        <v>1660</v>
      </c>
      <c r="BI611" s="217" t="s">
        <v>1660</v>
      </c>
      <c r="BJ611" s="217" t="s">
        <v>1660</v>
      </c>
      <c r="BK611" s="217" t="s">
        <v>637</v>
      </c>
      <c r="BL611" s="217"/>
      <c r="BM611" s="217"/>
      <c r="BN611" s="217">
        <v>0</v>
      </c>
      <c r="BO611" s="217">
        <v>0</v>
      </c>
      <c r="BR611" s="217" t="s">
        <v>48</v>
      </c>
      <c r="BS611" s="217" t="s">
        <v>527</v>
      </c>
      <c r="BT611" s="217" t="s">
        <v>533</v>
      </c>
      <c r="BU611" s="217" t="s">
        <v>1397</v>
      </c>
      <c r="BV611" s="217">
        <v>12</v>
      </c>
      <c r="BW611" s="217">
        <v>118</v>
      </c>
      <c r="BX611" s="217">
        <v>0</v>
      </c>
      <c r="BY611" s="217">
        <v>0</v>
      </c>
      <c r="BZ611" s="217">
        <v>0</v>
      </c>
      <c r="CA611" s="217">
        <v>0</v>
      </c>
      <c r="CB611" s="217">
        <v>13</v>
      </c>
      <c r="CC611" s="217">
        <v>124</v>
      </c>
      <c r="CD611" s="217">
        <v>0</v>
      </c>
      <c r="CE611" s="217">
        <v>0</v>
      </c>
      <c r="CF611" s="217">
        <v>0</v>
      </c>
      <c r="CG611" s="217">
        <v>0</v>
      </c>
      <c r="CH611" s="217">
        <v>-6</v>
      </c>
      <c r="CI611" s="217">
        <v>0</v>
      </c>
      <c r="CJ611" s="217">
        <v>0</v>
      </c>
    </row>
    <row r="612" spans="1:88" x14ac:dyDescent="0.25">
      <c r="A612" s="217" t="s">
        <v>22</v>
      </c>
      <c r="B612" s="217" t="s">
        <v>23</v>
      </c>
      <c r="C612" s="217" t="s">
        <v>85</v>
      </c>
      <c r="D612" s="217" t="s">
        <v>84</v>
      </c>
      <c r="E612" s="217" t="s">
        <v>98</v>
      </c>
      <c r="F612" s="217" t="s">
        <v>97</v>
      </c>
      <c r="G612" s="217" t="s">
        <v>439</v>
      </c>
      <c r="H612" s="217" t="s">
        <v>1255</v>
      </c>
      <c r="I612" s="217" t="s">
        <v>29</v>
      </c>
      <c r="J612" s="217" t="s">
        <v>1855</v>
      </c>
      <c r="K612" s="217">
        <v>6</v>
      </c>
      <c r="L612" s="217">
        <v>30</v>
      </c>
      <c r="M612" s="217" t="s">
        <v>31</v>
      </c>
      <c r="N612" s="217" t="s">
        <v>32</v>
      </c>
      <c r="O612" s="217" t="s">
        <v>68</v>
      </c>
      <c r="P612" s="217" t="s">
        <v>34</v>
      </c>
      <c r="Q612" s="217" t="s">
        <v>35</v>
      </c>
      <c r="R612" s="217" t="s">
        <v>23</v>
      </c>
      <c r="S612" s="217" t="s">
        <v>22</v>
      </c>
      <c r="T612" s="217" t="s">
        <v>84</v>
      </c>
      <c r="U612" s="217" t="s">
        <v>85</v>
      </c>
      <c r="V612" s="217" t="s">
        <v>91</v>
      </c>
      <c r="W612" s="217" t="s">
        <v>92</v>
      </c>
      <c r="BC612" s="217" t="s">
        <v>48</v>
      </c>
      <c r="BD612" s="217" t="s">
        <v>527</v>
      </c>
      <c r="BE612" s="217" t="s">
        <v>1700</v>
      </c>
      <c r="BF612" s="217" t="s">
        <v>843</v>
      </c>
      <c r="BG612" s="217" t="s">
        <v>1998</v>
      </c>
      <c r="BH612" s="217" t="s">
        <v>1660</v>
      </c>
      <c r="BI612" s="217" t="s">
        <v>1660</v>
      </c>
      <c r="BJ612" s="217" t="s">
        <v>1660</v>
      </c>
      <c r="BK612" s="217" t="s">
        <v>637</v>
      </c>
      <c r="BL612" s="217"/>
      <c r="BM612" s="217"/>
      <c r="BN612" s="217">
        <v>0</v>
      </c>
      <c r="BO612" s="217">
        <v>0</v>
      </c>
      <c r="BR612" s="217" t="s">
        <v>48</v>
      </c>
      <c r="BS612" s="217" t="s">
        <v>527</v>
      </c>
      <c r="BT612" s="217" t="s">
        <v>534</v>
      </c>
      <c r="BU612" s="217" t="s">
        <v>1398</v>
      </c>
      <c r="BV612" s="217">
        <v>29</v>
      </c>
      <c r="BW612" s="217">
        <v>113</v>
      </c>
      <c r="BX612" s="217">
        <v>0</v>
      </c>
      <c r="BY612" s="217">
        <v>0</v>
      </c>
      <c r="BZ612" s="217">
        <v>0</v>
      </c>
      <c r="CA612" s="217">
        <v>0</v>
      </c>
      <c r="CB612" s="217">
        <v>30</v>
      </c>
      <c r="CC612" s="217">
        <v>116</v>
      </c>
      <c r="CD612" s="217">
        <v>0</v>
      </c>
      <c r="CE612" s="217">
        <v>0</v>
      </c>
      <c r="CF612" s="217">
        <v>0</v>
      </c>
      <c r="CG612" s="217">
        <v>0</v>
      </c>
      <c r="CH612" s="217">
        <v>-3</v>
      </c>
      <c r="CI612" s="217">
        <v>0</v>
      </c>
      <c r="CJ612" s="217">
        <v>0</v>
      </c>
    </row>
    <row r="613" spans="1:88" x14ac:dyDescent="0.25">
      <c r="A613" s="217" t="s">
        <v>22</v>
      </c>
      <c r="B613" s="217" t="s">
        <v>23</v>
      </c>
      <c r="C613" s="217" t="s">
        <v>85</v>
      </c>
      <c r="D613" s="217" t="s">
        <v>84</v>
      </c>
      <c r="E613" s="217" t="s">
        <v>98</v>
      </c>
      <c r="F613" s="217" t="s">
        <v>97</v>
      </c>
      <c r="G613" s="217" t="s">
        <v>439</v>
      </c>
      <c r="H613" s="217" t="s">
        <v>1255</v>
      </c>
      <c r="I613" s="217" t="s">
        <v>29</v>
      </c>
      <c r="J613" s="217" t="s">
        <v>1856</v>
      </c>
      <c r="K613" s="217">
        <v>7</v>
      </c>
      <c r="L613" s="217">
        <v>35</v>
      </c>
      <c r="M613" s="217" t="s">
        <v>31</v>
      </c>
      <c r="N613" s="217" t="s">
        <v>32</v>
      </c>
      <c r="O613" s="217" t="s">
        <v>68</v>
      </c>
      <c r="P613" s="217" t="s">
        <v>34</v>
      </c>
      <c r="Q613" s="217" t="s">
        <v>35</v>
      </c>
      <c r="R613" s="217" t="s">
        <v>23</v>
      </c>
      <c r="S613" s="217" t="s">
        <v>22</v>
      </c>
      <c r="T613" s="217" t="s">
        <v>84</v>
      </c>
      <c r="U613" s="217" t="s">
        <v>85</v>
      </c>
      <c r="V613" s="217" t="s">
        <v>91</v>
      </c>
      <c r="W613" s="217" t="s">
        <v>92</v>
      </c>
      <c r="BC613" s="217" t="s">
        <v>48</v>
      </c>
      <c r="BD613" s="217" t="s">
        <v>527</v>
      </c>
      <c r="BE613" s="217" t="s">
        <v>1393</v>
      </c>
      <c r="BF613" s="217" t="s">
        <v>529</v>
      </c>
      <c r="BG613" s="217" t="s">
        <v>1998</v>
      </c>
      <c r="BH613" s="217" t="s">
        <v>1658</v>
      </c>
      <c r="BI613" s="217" t="s">
        <v>1660</v>
      </c>
      <c r="BJ613" s="217" t="s">
        <v>1660</v>
      </c>
      <c r="BK613" s="217" t="s">
        <v>637</v>
      </c>
      <c r="BL613" s="217"/>
      <c r="BM613" s="217"/>
      <c r="BN613" s="217">
        <v>0</v>
      </c>
      <c r="BO613" s="217">
        <v>0</v>
      </c>
      <c r="BR613" s="217" t="s">
        <v>48</v>
      </c>
      <c r="BS613" s="217" t="s">
        <v>527</v>
      </c>
      <c r="BT613" s="217" t="s">
        <v>536</v>
      </c>
      <c r="BU613" s="217" t="s">
        <v>1400</v>
      </c>
      <c r="BV613" s="217">
        <v>49</v>
      </c>
      <c r="BW613" s="217">
        <v>71</v>
      </c>
      <c r="BX613" s="217">
        <v>0</v>
      </c>
      <c r="BY613" s="217">
        <v>0</v>
      </c>
      <c r="BZ613" s="217">
        <v>0</v>
      </c>
      <c r="CA613" s="217">
        <v>0</v>
      </c>
      <c r="CB613" s="217">
        <v>51</v>
      </c>
      <c r="CC613" s="217">
        <v>80</v>
      </c>
      <c r="CD613" s="217">
        <v>0</v>
      </c>
      <c r="CE613" s="217">
        <v>0</v>
      </c>
      <c r="CF613" s="217">
        <v>0</v>
      </c>
      <c r="CG613" s="217">
        <v>0</v>
      </c>
      <c r="CH613" s="217">
        <v>-9</v>
      </c>
      <c r="CI613" s="217">
        <v>0</v>
      </c>
      <c r="CJ613" s="217">
        <v>0</v>
      </c>
    </row>
    <row r="614" spans="1:88" x14ac:dyDescent="0.25">
      <c r="A614" s="217" t="s">
        <v>22</v>
      </c>
      <c r="B614" s="217" t="s">
        <v>23</v>
      </c>
      <c r="C614" s="217" t="s">
        <v>85</v>
      </c>
      <c r="D614" s="217" t="s">
        <v>84</v>
      </c>
      <c r="E614" s="217" t="s">
        <v>98</v>
      </c>
      <c r="F614" s="217" t="s">
        <v>97</v>
      </c>
      <c r="G614" s="217" t="s">
        <v>439</v>
      </c>
      <c r="H614" s="217" t="s">
        <v>1255</v>
      </c>
      <c r="I614" s="217" t="s">
        <v>29</v>
      </c>
      <c r="J614" s="217" t="s">
        <v>1858</v>
      </c>
      <c r="K614" s="217">
        <v>7</v>
      </c>
      <c r="L614" s="217">
        <v>30</v>
      </c>
      <c r="M614" s="217" t="s">
        <v>31</v>
      </c>
      <c r="N614" s="217" t="s">
        <v>32</v>
      </c>
      <c r="O614" s="217" t="s">
        <v>68</v>
      </c>
      <c r="P614" s="217" t="s">
        <v>34</v>
      </c>
      <c r="Q614" s="217" t="s">
        <v>35</v>
      </c>
      <c r="R614" s="217" t="s">
        <v>23</v>
      </c>
      <c r="S614" s="217" t="s">
        <v>22</v>
      </c>
      <c r="T614" s="217" t="s">
        <v>84</v>
      </c>
      <c r="U614" s="217" t="s">
        <v>85</v>
      </c>
      <c r="V614" s="217" t="s">
        <v>91</v>
      </c>
      <c r="W614" s="217" t="s">
        <v>92</v>
      </c>
      <c r="BC614" s="217" t="s">
        <v>48</v>
      </c>
      <c r="BD614" s="217" t="s">
        <v>527</v>
      </c>
      <c r="BE614" s="217" t="s">
        <v>1394</v>
      </c>
      <c r="BF614" s="217" t="s">
        <v>530</v>
      </c>
      <c r="BG614" s="217" t="s">
        <v>1998</v>
      </c>
      <c r="BH614" s="217" t="s">
        <v>1658</v>
      </c>
      <c r="BI614" s="217" t="s">
        <v>1660</v>
      </c>
      <c r="BJ614" s="217" t="s">
        <v>1660</v>
      </c>
      <c r="BK614" s="217" t="s">
        <v>637</v>
      </c>
      <c r="BL614" s="217"/>
      <c r="BM614" s="217"/>
      <c r="BN614" s="217">
        <v>0</v>
      </c>
      <c r="BO614" s="217">
        <v>0</v>
      </c>
      <c r="BR614" s="217" t="s">
        <v>48</v>
      </c>
      <c r="BS614" s="217" t="s">
        <v>527</v>
      </c>
      <c r="BT614" s="217" t="s">
        <v>537</v>
      </c>
      <c r="BU614" s="217" t="s">
        <v>1401</v>
      </c>
      <c r="BV614" s="217">
        <v>8</v>
      </c>
      <c r="BW614" s="217">
        <v>51</v>
      </c>
      <c r="BX614" s="217">
        <v>0</v>
      </c>
      <c r="BY614" s="217">
        <v>0</v>
      </c>
      <c r="BZ614" s="217">
        <v>0</v>
      </c>
      <c r="CA614" s="217">
        <v>0</v>
      </c>
      <c r="CB614" s="217">
        <v>8</v>
      </c>
      <c r="CC614" s="217">
        <v>51</v>
      </c>
      <c r="CD614" s="217">
        <v>0</v>
      </c>
      <c r="CE614" s="217">
        <v>0</v>
      </c>
      <c r="CF614" s="217">
        <v>0</v>
      </c>
      <c r="CG614" s="217">
        <v>0</v>
      </c>
      <c r="CH614" s="217">
        <v>0</v>
      </c>
      <c r="CI614" s="217">
        <v>0</v>
      </c>
      <c r="CJ614" s="217">
        <v>0</v>
      </c>
    </row>
    <row r="615" spans="1:88" x14ac:dyDescent="0.25">
      <c r="A615" s="217" t="s">
        <v>22</v>
      </c>
      <c r="B615" s="217" t="s">
        <v>23</v>
      </c>
      <c r="C615" s="217" t="s">
        <v>85</v>
      </c>
      <c r="D615" s="217" t="s">
        <v>84</v>
      </c>
      <c r="E615" s="217" t="s">
        <v>98</v>
      </c>
      <c r="F615" s="217" t="s">
        <v>97</v>
      </c>
      <c r="G615" s="217" t="s">
        <v>821</v>
      </c>
      <c r="H615" s="217" t="s">
        <v>1256</v>
      </c>
      <c r="I615" s="217" t="s">
        <v>29</v>
      </c>
      <c r="J615" s="217" t="s">
        <v>1857</v>
      </c>
      <c r="K615" s="217">
        <v>4</v>
      </c>
      <c r="L615" s="217">
        <v>34</v>
      </c>
      <c r="M615" s="217" t="s">
        <v>31</v>
      </c>
      <c r="N615" s="217" t="s">
        <v>32</v>
      </c>
      <c r="O615" s="217" t="s">
        <v>68</v>
      </c>
      <c r="P615" s="217" t="s">
        <v>34</v>
      </c>
      <c r="Q615" s="217" t="s">
        <v>35</v>
      </c>
      <c r="R615" s="217" t="s">
        <v>23</v>
      </c>
      <c r="S615" s="217" t="s">
        <v>22</v>
      </c>
      <c r="T615" s="217" t="s">
        <v>84</v>
      </c>
      <c r="U615" s="217" t="s">
        <v>85</v>
      </c>
      <c r="V615" s="217" t="s">
        <v>91</v>
      </c>
      <c r="W615" s="217" t="s">
        <v>92</v>
      </c>
      <c r="BC615" s="217" t="s">
        <v>48</v>
      </c>
      <c r="BD615" s="217" t="s">
        <v>527</v>
      </c>
      <c r="BE615" s="217" t="s">
        <v>1395</v>
      </c>
      <c r="BF615" s="217" t="s">
        <v>531</v>
      </c>
      <c r="BG615" s="217" t="s">
        <v>1998</v>
      </c>
      <c r="BH615" s="217" t="s">
        <v>1658</v>
      </c>
      <c r="BI615" s="217" t="s">
        <v>1660</v>
      </c>
      <c r="BJ615" s="217" t="s">
        <v>1660</v>
      </c>
      <c r="BK615" s="217" t="s">
        <v>637</v>
      </c>
      <c r="BL615" s="217"/>
      <c r="BM615" s="217"/>
      <c r="BN615" s="217">
        <v>0</v>
      </c>
      <c r="BO615" s="217">
        <v>0</v>
      </c>
      <c r="BR615" s="217" t="s">
        <v>48</v>
      </c>
      <c r="BS615" s="217" t="s">
        <v>527</v>
      </c>
      <c r="BT615" s="217" t="s">
        <v>539</v>
      </c>
      <c r="BU615" s="217" t="s">
        <v>1403</v>
      </c>
      <c r="BV615" s="217">
        <v>52</v>
      </c>
      <c r="BW615" s="217">
        <v>260</v>
      </c>
      <c r="BX615" s="217">
        <v>0</v>
      </c>
      <c r="BY615" s="217">
        <v>0</v>
      </c>
      <c r="BZ615" s="217">
        <v>0</v>
      </c>
      <c r="CA615" s="217">
        <v>0</v>
      </c>
      <c r="CB615" s="217">
        <v>58</v>
      </c>
      <c r="CC615" s="217">
        <v>289</v>
      </c>
      <c r="CD615" s="217">
        <v>0</v>
      </c>
      <c r="CE615" s="217">
        <v>0</v>
      </c>
      <c r="CF615" s="217">
        <v>0</v>
      </c>
      <c r="CG615" s="217">
        <v>0</v>
      </c>
      <c r="CH615" s="217">
        <v>-29</v>
      </c>
      <c r="CI615" s="217">
        <v>0</v>
      </c>
      <c r="CJ615" s="217">
        <v>0</v>
      </c>
    </row>
    <row r="616" spans="1:88" x14ac:dyDescent="0.25">
      <c r="A616" s="217" t="s">
        <v>22</v>
      </c>
      <c r="B616" s="217" t="s">
        <v>23</v>
      </c>
      <c r="C616" s="217" t="s">
        <v>85</v>
      </c>
      <c r="D616" s="217" t="s">
        <v>84</v>
      </c>
      <c r="E616" s="217" t="s">
        <v>98</v>
      </c>
      <c r="F616" s="217" t="s">
        <v>97</v>
      </c>
      <c r="G616" s="217" t="s">
        <v>821</v>
      </c>
      <c r="H616" s="217" t="s">
        <v>1256</v>
      </c>
      <c r="I616" s="217" t="s">
        <v>29</v>
      </c>
      <c r="J616" s="217" t="s">
        <v>1858</v>
      </c>
      <c r="K616" s="217">
        <v>4</v>
      </c>
      <c r="L616" s="217">
        <v>34</v>
      </c>
      <c r="M616" s="217" t="s">
        <v>31</v>
      </c>
      <c r="N616" s="217" t="s">
        <v>32</v>
      </c>
      <c r="O616" s="217" t="s">
        <v>68</v>
      </c>
      <c r="P616" s="217" t="s">
        <v>34</v>
      </c>
      <c r="Q616" s="217" t="s">
        <v>35</v>
      </c>
      <c r="R616" s="217" t="s">
        <v>23</v>
      </c>
      <c r="S616" s="217" t="s">
        <v>22</v>
      </c>
      <c r="T616" s="217" t="s">
        <v>84</v>
      </c>
      <c r="U616" s="217" t="s">
        <v>85</v>
      </c>
      <c r="V616" s="217" t="s">
        <v>109</v>
      </c>
      <c r="W616" s="217" t="s">
        <v>110</v>
      </c>
      <c r="BC616" s="217" t="s">
        <v>48</v>
      </c>
      <c r="BD616" s="217" t="s">
        <v>527</v>
      </c>
      <c r="BE616" s="217" t="s">
        <v>1396</v>
      </c>
      <c r="BF616" s="217" t="s">
        <v>532</v>
      </c>
      <c r="BG616" s="217" t="s">
        <v>1998</v>
      </c>
      <c r="BH616" s="217" t="s">
        <v>1658</v>
      </c>
      <c r="BI616" s="217" t="s">
        <v>1660</v>
      </c>
      <c r="BJ616" s="217" t="s">
        <v>1660</v>
      </c>
      <c r="BK616" s="217" t="s">
        <v>637</v>
      </c>
      <c r="BL616" s="217"/>
      <c r="BM616" s="217"/>
      <c r="BN616" s="217">
        <v>0</v>
      </c>
      <c r="BO616" s="217">
        <v>0</v>
      </c>
      <c r="BR616" s="217" t="s">
        <v>48</v>
      </c>
      <c r="BS616" s="217" t="s">
        <v>527</v>
      </c>
      <c r="BT616" s="217" t="s">
        <v>538</v>
      </c>
      <c r="BU616" s="217" t="s">
        <v>1402</v>
      </c>
      <c r="BV616" s="217">
        <v>21</v>
      </c>
      <c r="BW616" s="217">
        <v>132</v>
      </c>
      <c r="BX616" s="217">
        <v>0</v>
      </c>
      <c r="BY616" s="217">
        <v>0</v>
      </c>
      <c r="BZ616" s="217">
        <v>0</v>
      </c>
      <c r="CA616" s="217">
        <v>0</v>
      </c>
      <c r="CB616" s="217">
        <v>21</v>
      </c>
      <c r="CC616" s="217">
        <v>132</v>
      </c>
      <c r="CD616" s="217">
        <v>0</v>
      </c>
      <c r="CE616" s="217">
        <v>0</v>
      </c>
      <c r="CF616" s="217">
        <v>0</v>
      </c>
      <c r="CG616" s="217">
        <v>0</v>
      </c>
      <c r="CH616" s="217">
        <v>0</v>
      </c>
      <c r="CI616" s="217">
        <v>0</v>
      </c>
      <c r="CJ616" s="217">
        <v>0</v>
      </c>
    </row>
    <row r="617" spans="1:88" x14ac:dyDescent="0.25">
      <c r="A617" s="217" t="s">
        <v>22</v>
      </c>
      <c r="B617" s="217" t="s">
        <v>23</v>
      </c>
      <c r="C617" s="217" t="s">
        <v>85</v>
      </c>
      <c r="D617" s="217" t="s">
        <v>84</v>
      </c>
      <c r="E617" s="217" t="s">
        <v>98</v>
      </c>
      <c r="F617" s="217" t="s">
        <v>97</v>
      </c>
      <c r="G617" s="217" t="s">
        <v>440</v>
      </c>
      <c r="H617" s="217" t="s">
        <v>1257</v>
      </c>
      <c r="I617" s="217" t="s">
        <v>29</v>
      </c>
      <c r="J617" s="217" t="s">
        <v>1856</v>
      </c>
      <c r="K617" s="217">
        <v>8</v>
      </c>
      <c r="L617" s="217">
        <v>45</v>
      </c>
      <c r="M617" s="217" t="s">
        <v>31</v>
      </c>
      <c r="N617" s="217" t="s">
        <v>32</v>
      </c>
      <c r="O617" s="217" t="s">
        <v>68</v>
      </c>
      <c r="P617" s="217" t="s">
        <v>34</v>
      </c>
      <c r="Q617" s="217" t="s">
        <v>35</v>
      </c>
      <c r="R617" s="217" t="s">
        <v>23</v>
      </c>
      <c r="S617" s="217" t="s">
        <v>22</v>
      </c>
      <c r="T617" s="217" t="s">
        <v>84</v>
      </c>
      <c r="U617" s="217" t="s">
        <v>85</v>
      </c>
      <c r="V617" s="217" t="s">
        <v>91</v>
      </c>
      <c r="W617" s="217" t="s">
        <v>92</v>
      </c>
      <c r="BC617" s="217" t="s">
        <v>48</v>
      </c>
      <c r="BD617" s="217" t="s">
        <v>527</v>
      </c>
      <c r="BE617" s="217" t="s">
        <v>1397</v>
      </c>
      <c r="BF617" s="217" t="s">
        <v>533</v>
      </c>
      <c r="BG617" s="217" t="s">
        <v>1998</v>
      </c>
      <c r="BH617" s="217" t="s">
        <v>1658</v>
      </c>
      <c r="BI617" s="217" t="s">
        <v>1660</v>
      </c>
      <c r="BJ617" s="217" t="s">
        <v>1660</v>
      </c>
      <c r="BK617" s="217" t="s">
        <v>637</v>
      </c>
      <c r="BL617" s="217"/>
      <c r="BM617" s="217"/>
      <c r="BN617" s="217">
        <v>0</v>
      </c>
      <c r="BO617" s="217">
        <v>0</v>
      </c>
      <c r="BR617" s="217" t="s">
        <v>48</v>
      </c>
      <c r="BS617" s="217" t="s">
        <v>527</v>
      </c>
      <c r="BT617" s="217" t="s">
        <v>535</v>
      </c>
      <c r="BU617" s="217" t="s">
        <v>1399</v>
      </c>
      <c r="BV617" s="217">
        <v>42</v>
      </c>
      <c r="BW617" s="217">
        <v>191</v>
      </c>
      <c r="BX617" s="217">
        <v>0</v>
      </c>
      <c r="BY617" s="217">
        <v>0</v>
      </c>
      <c r="BZ617" s="217">
        <v>0</v>
      </c>
      <c r="CA617" s="217">
        <v>0</v>
      </c>
      <c r="CB617" s="217">
        <v>44</v>
      </c>
      <c r="CC617" s="217">
        <v>202</v>
      </c>
      <c r="CD617" s="217">
        <v>0</v>
      </c>
      <c r="CE617" s="217">
        <v>0</v>
      </c>
      <c r="CF617" s="217">
        <v>0</v>
      </c>
      <c r="CG617" s="217">
        <v>0</v>
      </c>
      <c r="CH617" s="217">
        <v>-11</v>
      </c>
      <c r="CI617" s="217">
        <v>0</v>
      </c>
      <c r="CJ617" s="217">
        <v>0</v>
      </c>
    </row>
    <row r="618" spans="1:88" x14ac:dyDescent="0.25">
      <c r="A618" s="217" t="s">
        <v>22</v>
      </c>
      <c r="B618" s="217" t="s">
        <v>23</v>
      </c>
      <c r="C618" s="217" t="s">
        <v>85</v>
      </c>
      <c r="D618" s="217" t="s">
        <v>84</v>
      </c>
      <c r="E618" s="217" t="s">
        <v>98</v>
      </c>
      <c r="F618" s="217" t="s">
        <v>97</v>
      </c>
      <c r="G618" s="217" t="s">
        <v>440</v>
      </c>
      <c r="H618" s="217" t="s">
        <v>1257</v>
      </c>
      <c r="I618" s="217" t="s">
        <v>29</v>
      </c>
      <c r="J618" s="217" t="s">
        <v>1858</v>
      </c>
      <c r="K618" s="217">
        <v>6</v>
      </c>
      <c r="L618" s="217">
        <v>33</v>
      </c>
      <c r="M618" s="217" t="s">
        <v>31</v>
      </c>
      <c r="N618" s="217" t="s">
        <v>32</v>
      </c>
      <c r="O618" s="217" t="s">
        <v>68</v>
      </c>
      <c r="P618" s="217" t="s">
        <v>34</v>
      </c>
      <c r="Q618" s="217" t="s">
        <v>35</v>
      </c>
      <c r="R618" s="217" t="s">
        <v>23</v>
      </c>
      <c r="S618" s="217" t="s">
        <v>22</v>
      </c>
      <c r="T618" s="217" t="s">
        <v>84</v>
      </c>
      <c r="U618" s="217" t="s">
        <v>85</v>
      </c>
      <c r="V618" s="217" t="s">
        <v>91</v>
      </c>
      <c r="W618" s="217" t="s">
        <v>92</v>
      </c>
      <c r="BC618" s="217" t="s">
        <v>48</v>
      </c>
      <c r="BD618" s="217" t="s">
        <v>527</v>
      </c>
      <c r="BE618" s="217" t="s">
        <v>1398</v>
      </c>
      <c r="BF618" s="217" t="s">
        <v>534</v>
      </c>
      <c r="BG618" s="217" t="s">
        <v>1998</v>
      </c>
      <c r="BH618" s="217" t="s">
        <v>1658</v>
      </c>
      <c r="BI618" s="217" t="s">
        <v>1660</v>
      </c>
      <c r="BJ618" s="217" t="s">
        <v>1660</v>
      </c>
      <c r="BK618" s="217" t="s">
        <v>637</v>
      </c>
      <c r="BL618" s="217"/>
      <c r="BM618" s="217"/>
      <c r="BN618" s="217">
        <v>0</v>
      </c>
      <c r="BO618" s="217">
        <v>0</v>
      </c>
      <c r="BR618" s="217" t="s">
        <v>48</v>
      </c>
      <c r="BS618" s="217" t="s">
        <v>527</v>
      </c>
      <c r="BT618" s="217" t="s">
        <v>842</v>
      </c>
      <c r="BU618" s="217" t="s">
        <v>1699</v>
      </c>
      <c r="BV618" s="217">
        <v>0</v>
      </c>
      <c r="BW618" s="217">
        <v>0</v>
      </c>
      <c r="BX618" s="217">
        <v>0</v>
      </c>
      <c r="BY618" s="217">
        <v>0</v>
      </c>
      <c r="BZ618" s="217">
        <v>0</v>
      </c>
      <c r="CA618" s="217">
        <v>0</v>
      </c>
      <c r="CB618" s="217">
        <v>0</v>
      </c>
      <c r="CC618" s="217">
        <v>0</v>
      </c>
      <c r="CD618" s="217">
        <v>0</v>
      </c>
      <c r="CE618" s="217">
        <v>0</v>
      </c>
      <c r="CF618" s="217">
        <v>0</v>
      </c>
      <c r="CG618" s="217">
        <v>0</v>
      </c>
      <c r="CH618" s="217">
        <v>0</v>
      </c>
      <c r="CI618" s="217">
        <v>0</v>
      </c>
      <c r="CJ618" s="217">
        <v>0</v>
      </c>
    </row>
    <row r="619" spans="1:88" x14ac:dyDescent="0.25">
      <c r="A619" s="217" t="s">
        <v>22</v>
      </c>
      <c r="B619" s="217" t="s">
        <v>23</v>
      </c>
      <c r="C619" s="217" t="s">
        <v>85</v>
      </c>
      <c r="D619" s="217" t="s">
        <v>84</v>
      </c>
      <c r="E619" s="217" t="s">
        <v>98</v>
      </c>
      <c r="F619" s="217" t="s">
        <v>97</v>
      </c>
      <c r="G619" s="217" t="s">
        <v>441</v>
      </c>
      <c r="H619" s="217" t="s">
        <v>1258</v>
      </c>
      <c r="I619" s="217" t="s">
        <v>29</v>
      </c>
      <c r="J619" s="217" t="s">
        <v>1855</v>
      </c>
      <c r="K619" s="217">
        <v>7</v>
      </c>
      <c r="L619" s="217">
        <v>30</v>
      </c>
      <c r="M619" s="217" t="s">
        <v>31</v>
      </c>
      <c r="N619" s="217" t="s">
        <v>32</v>
      </c>
      <c r="O619" s="217" t="s">
        <v>68</v>
      </c>
      <c r="P619" s="217" t="s">
        <v>34</v>
      </c>
      <c r="Q619" s="217" t="s">
        <v>35</v>
      </c>
      <c r="R619" s="217" t="s">
        <v>23</v>
      </c>
      <c r="S619" s="217" t="s">
        <v>22</v>
      </c>
      <c r="T619" s="217" t="s">
        <v>84</v>
      </c>
      <c r="U619" s="217" t="s">
        <v>85</v>
      </c>
      <c r="V619" s="217" t="s">
        <v>109</v>
      </c>
      <c r="W619" s="217" t="s">
        <v>110</v>
      </c>
      <c r="BC619" s="217" t="s">
        <v>48</v>
      </c>
      <c r="BD619" s="217" t="s">
        <v>527</v>
      </c>
      <c r="BE619" s="217" t="s">
        <v>1399</v>
      </c>
      <c r="BF619" s="217" t="s">
        <v>535</v>
      </c>
      <c r="BG619" s="217" t="s">
        <v>1998</v>
      </c>
      <c r="BH619" s="217" t="s">
        <v>1658</v>
      </c>
      <c r="BI619" s="217" t="s">
        <v>1660</v>
      </c>
      <c r="BJ619" s="217" t="s">
        <v>1660</v>
      </c>
      <c r="BK619" s="217" t="s">
        <v>637</v>
      </c>
      <c r="BL619" s="217"/>
      <c r="BM619" s="217"/>
      <c r="BN619" s="217">
        <v>0</v>
      </c>
      <c r="BO619" s="217">
        <v>0</v>
      </c>
      <c r="BR619" s="217" t="s">
        <v>48</v>
      </c>
      <c r="BS619" s="217" t="s">
        <v>527</v>
      </c>
      <c r="BT619" s="217" t="s">
        <v>843</v>
      </c>
      <c r="BU619" s="217" t="s">
        <v>1700</v>
      </c>
      <c r="BV619" s="217">
        <v>0</v>
      </c>
      <c r="BW619" s="217">
        <v>0</v>
      </c>
      <c r="BX619" s="217">
        <v>0</v>
      </c>
      <c r="BY619" s="217">
        <v>0</v>
      </c>
      <c r="BZ619" s="217">
        <v>0</v>
      </c>
      <c r="CA619" s="217">
        <v>0</v>
      </c>
      <c r="CB619" s="217">
        <v>0</v>
      </c>
      <c r="CC619" s="217">
        <v>0</v>
      </c>
      <c r="CD619" s="217">
        <v>0</v>
      </c>
      <c r="CE619" s="217">
        <v>0</v>
      </c>
      <c r="CF619" s="217">
        <v>0</v>
      </c>
      <c r="CG619" s="217">
        <v>0</v>
      </c>
      <c r="CH619" s="217">
        <v>0</v>
      </c>
      <c r="CI619" s="217">
        <v>0</v>
      </c>
      <c r="CJ619" s="217">
        <v>0</v>
      </c>
    </row>
    <row r="620" spans="1:88" x14ac:dyDescent="0.25">
      <c r="A620" s="217" t="s">
        <v>22</v>
      </c>
      <c r="B620" s="217" t="s">
        <v>23</v>
      </c>
      <c r="C620" s="217" t="s">
        <v>85</v>
      </c>
      <c r="D620" s="217" t="s">
        <v>84</v>
      </c>
      <c r="E620" s="217" t="s">
        <v>98</v>
      </c>
      <c r="F620" s="217" t="s">
        <v>97</v>
      </c>
      <c r="G620" s="217" t="s">
        <v>441</v>
      </c>
      <c r="H620" s="217" t="s">
        <v>1258</v>
      </c>
      <c r="I620" s="217" t="s">
        <v>29</v>
      </c>
      <c r="J620" s="217" t="s">
        <v>1858</v>
      </c>
      <c r="K620" s="217">
        <v>7</v>
      </c>
      <c r="L620" s="217">
        <v>28</v>
      </c>
      <c r="M620" s="217" t="s">
        <v>31</v>
      </c>
      <c r="N620" s="217" t="s">
        <v>32</v>
      </c>
      <c r="O620" s="217" t="s">
        <v>68</v>
      </c>
      <c r="P620" s="217" t="s">
        <v>34</v>
      </c>
      <c r="Q620" s="217" t="s">
        <v>35</v>
      </c>
      <c r="R620" s="217" t="s">
        <v>23</v>
      </c>
      <c r="S620" s="217" t="s">
        <v>22</v>
      </c>
      <c r="T620" s="217" t="s">
        <v>84</v>
      </c>
      <c r="U620" s="217" t="s">
        <v>85</v>
      </c>
      <c r="V620" s="217" t="s">
        <v>109</v>
      </c>
      <c r="W620" s="217" t="s">
        <v>110</v>
      </c>
      <c r="BC620" s="217" t="s">
        <v>48</v>
      </c>
      <c r="BD620" s="217" t="s">
        <v>527</v>
      </c>
      <c r="BE620" s="217" t="s">
        <v>1400</v>
      </c>
      <c r="BF620" s="217" t="s">
        <v>536</v>
      </c>
      <c r="BG620" s="217" t="s">
        <v>1998</v>
      </c>
      <c r="BH620" s="217" t="s">
        <v>1658</v>
      </c>
      <c r="BI620" s="217" t="s">
        <v>1660</v>
      </c>
      <c r="BJ620" s="217" t="s">
        <v>1660</v>
      </c>
      <c r="BK620" s="217" t="s">
        <v>637</v>
      </c>
      <c r="BL620" s="217"/>
      <c r="BM620" s="217"/>
      <c r="BN620" s="217">
        <v>0</v>
      </c>
      <c r="BO620" s="217">
        <v>0</v>
      </c>
      <c r="BR620" s="217" t="s">
        <v>48</v>
      </c>
      <c r="BS620" s="217" t="s">
        <v>527</v>
      </c>
      <c r="BT620" s="217" t="s">
        <v>844</v>
      </c>
      <c r="BU620" s="217" t="s">
        <v>1392</v>
      </c>
      <c r="BV620" s="217">
        <v>0</v>
      </c>
      <c r="BW620" s="217">
        <v>0</v>
      </c>
      <c r="BX620" s="217">
        <v>0</v>
      </c>
      <c r="BY620" s="217">
        <v>0</v>
      </c>
      <c r="BZ620" s="217">
        <v>0</v>
      </c>
      <c r="CA620" s="217">
        <v>0</v>
      </c>
      <c r="CB620" s="217">
        <v>0</v>
      </c>
      <c r="CC620" s="217">
        <v>0</v>
      </c>
      <c r="CD620" s="217">
        <v>0</v>
      </c>
      <c r="CE620" s="217">
        <v>0</v>
      </c>
      <c r="CF620" s="217">
        <v>0</v>
      </c>
      <c r="CG620" s="217">
        <v>0</v>
      </c>
      <c r="CH620" s="217">
        <v>0</v>
      </c>
      <c r="CI620" s="217">
        <v>0</v>
      </c>
      <c r="CJ620" s="217">
        <v>0</v>
      </c>
    </row>
    <row r="621" spans="1:88" x14ac:dyDescent="0.25">
      <c r="A621" s="217" t="s">
        <v>22</v>
      </c>
      <c r="B621" s="217" t="s">
        <v>23</v>
      </c>
      <c r="C621" s="217" t="s">
        <v>85</v>
      </c>
      <c r="D621" s="217" t="s">
        <v>84</v>
      </c>
      <c r="E621" s="217" t="s">
        <v>98</v>
      </c>
      <c r="F621" s="217" t="s">
        <v>97</v>
      </c>
      <c r="G621" s="217" t="s">
        <v>442</v>
      </c>
      <c r="H621" s="217" t="s">
        <v>1259</v>
      </c>
      <c r="I621" s="217" t="s">
        <v>29</v>
      </c>
      <c r="J621" s="217" t="s">
        <v>1855</v>
      </c>
      <c r="K621" s="217">
        <v>11</v>
      </c>
      <c r="L621" s="217">
        <v>72</v>
      </c>
      <c r="M621" s="217" t="s">
        <v>31</v>
      </c>
      <c r="N621" s="217" t="s">
        <v>32</v>
      </c>
      <c r="O621" s="217" t="s">
        <v>68</v>
      </c>
      <c r="P621" s="217" t="s">
        <v>34</v>
      </c>
      <c r="Q621" s="217" t="s">
        <v>35</v>
      </c>
      <c r="R621" s="217" t="s">
        <v>23</v>
      </c>
      <c r="S621" s="217" t="s">
        <v>22</v>
      </c>
      <c r="T621" s="217" t="s">
        <v>84</v>
      </c>
      <c r="U621" s="217" t="s">
        <v>85</v>
      </c>
      <c r="V621" s="217" t="s">
        <v>91</v>
      </c>
      <c r="W621" s="217" t="s">
        <v>92</v>
      </c>
      <c r="BC621" s="217" t="s">
        <v>48</v>
      </c>
      <c r="BD621" s="217" t="s">
        <v>527</v>
      </c>
      <c r="BE621" s="217" t="s">
        <v>1401</v>
      </c>
      <c r="BF621" s="217" t="s">
        <v>537</v>
      </c>
      <c r="BG621" s="217" t="s">
        <v>1998</v>
      </c>
      <c r="BH621" s="217" t="s">
        <v>1658</v>
      </c>
      <c r="BI621" s="217" t="s">
        <v>1660</v>
      </c>
      <c r="BJ621" s="217" t="s">
        <v>1660</v>
      </c>
      <c r="BK621" s="217" t="s">
        <v>637</v>
      </c>
      <c r="BL621" s="217"/>
      <c r="BM621" s="217"/>
      <c r="BN621" s="217">
        <v>0</v>
      </c>
      <c r="BO621" s="217">
        <v>0</v>
      </c>
      <c r="BR621" s="217" t="s">
        <v>37</v>
      </c>
      <c r="BS621" s="217" t="s">
        <v>244</v>
      </c>
      <c r="BT621" s="217" t="s">
        <v>648</v>
      </c>
      <c r="BU621" s="217" t="s">
        <v>1544</v>
      </c>
      <c r="BV621" s="217">
        <v>0</v>
      </c>
      <c r="BW621" s="217">
        <v>0</v>
      </c>
      <c r="BX621" s="217">
        <v>9</v>
      </c>
      <c r="BY621" s="217">
        <v>42</v>
      </c>
      <c r="BZ621" s="217">
        <v>14</v>
      </c>
      <c r="CA621" s="217">
        <v>37</v>
      </c>
      <c r="CB621" s="217">
        <v>0</v>
      </c>
      <c r="CC621" s="217">
        <v>0</v>
      </c>
      <c r="CD621" s="217">
        <v>9</v>
      </c>
      <c r="CE621" s="217">
        <v>42</v>
      </c>
      <c r="CF621" s="217">
        <v>14</v>
      </c>
      <c r="CG621" s="217">
        <v>37</v>
      </c>
      <c r="CH621" s="217">
        <v>0</v>
      </c>
      <c r="CI621" s="217">
        <v>0</v>
      </c>
      <c r="CJ621" s="217">
        <v>0</v>
      </c>
    </row>
    <row r="622" spans="1:88" x14ac:dyDescent="0.25">
      <c r="A622" s="217" t="s">
        <v>22</v>
      </c>
      <c r="B622" s="217" t="s">
        <v>23</v>
      </c>
      <c r="C622" s="217" t="s">
        <v>85</v>
      </c>
      <c r="D622" s="217" t="s">
        <v>84</v>
      </c>
      <c r="E622" s="217" t="s">
        <v>98</v>
      </c>
      <c r="F622" s="217" t="s">
        <v>97</v>
      </c>
      <c r="G622" s="217" t="s">
        <v>442</v>
      </c>
      <c r="H622" s="217" t="s">
        <v>1259</v>
      </c>
      <c r="I622" s="217" t="s">
        <v>29</v>
      </c>
      <c r="J622" s="217" t="s">
        <v>1858</v>
      </c>
      <c r="K622" s="217">
        <v>14</v>
      </c>
      <c r="L622" s="217">
        <v>56</v>
      </c>
      <c r="M622" s="217" t="s">
        <v>31</v>
      </c>
      <c r="N622" s="217" t="s">
        <v>32</v>
      </c>
      <c r="O622" s="217" t="s">
        <v>68</v>
      </c>
      <c r="P622" s="217" t="s">
        <v>34</v>
      </c>
      <c r="Q622" s="217" t="s">
        <v>35</v>
      </c>
      <c r="R622" s="217" t="s">
        <v>23</v>
      </c>
      <c r="S622" s="217" t="s">
        <v>22</v>
      </c>
      <c r="T622" s="217" t="s">
        <v>84</v>
      </c>
      <c r="U622" s="217" t="s">
        <v>85</v>
      </c>
      <c r="V622" s="217" t="s">
        <v>91</v>
      </c>
      <c r="W622" s="217" t="s">
        <v>92</v>
      </c>
      <c r="BC622" s="217" t="s">
        <v>48</v>
      </c>
      <c r="BD622" s="217" t="s">
        <v>527</v>
      </c>
      <c r="BE622" s="217" t="s">
        <v>1402</v>
      </c>
      <c r="BF622" s="217" t="s">
        <v>538</v>
      </c>
      <c r="BG622" s="217" t="s">
        <v>1998</v>
      </c>
      <c r="BH622" s="217" t="s">
        <v>1658</v>
      </c>
      <c r="BI622" s="217" t="s">
        <v>1660</v>
      </c>
      <c r="BJ622" s="217" t="s">
        <v>1660</v>
      </c>
      <c r="BK622" s="217" t="s">
        <v>637</v>
      </c>
      <c r="BL622" s="217"/>
      <c r="BM622" s="217"/>
      <c r="BN622" s="217">
        <v>0</v>
      </c>
      <c r="BO622" s="217">
        <v>0</v>
      </c>
      <c r="BR622" s="217" t="s">
        <v>37</v>
      </c>
      <c r="BS622" s="217" t="s">
        <v>244</v>
      </c>
      <c r="BT622" s="217" t="s">
        <v>655</v>
      </c>
      <c r="BU622" s="217" t="s">
        <v>1551</v>
      </c>
      <c r="BV622" s="217">
        <v>0</v>
      </c>
      <c r="BW622" s="217">
        <v>0</v>
      </c>
      <c r="BX622" s="217">
        <v>25</v>
      </c>
      <c r="BY622" s="217">
        <v>202</v>
      </c>
      <c r="BZ622" s="217">
        <v>5</v>
      </c>
      <c r="CA622" s="217">
        <v>31</v>
      </c>
      <c r="CB622" s="217">
        <v>0</v>
      </c>
      <c r="CC622" s="217">
        <v>0</v>
      </c>
      <c r="CD622" s="217">
        <v>25</v>
      </c>
      <c r="CE622" s="217">
        <v>202</v>
      </c>
      <c r="CF622" s="217">
        <v>4</v>
      </c>
      <c r="CG622" s="217">
        <v>28</v>
      </c>
      <c r="CH622" s="217">
        <v>0</v>
      </c>
      <c r="CI622" s="217">
        <v>0</v>
      </c>
      <c r="CJ622" s="217">
        <v>3</v>
      </c>
    </row>
    <row r="623" spans="1:88" x14ac:dyDescent="0.25">
      <c r="A623" s="217" t="s">
        <v>22</v>
      </c>
      <c r="B623" s="217" t="s">
        <v>23</v>
      </c>
      <c r="C623" s="217" t="s">
        <v>85</v>
      </c>
      <c r="D623" s="217" t="s">
        <v>84</v>
      </c>
      <c r="E623" s="217" t="s">
        <v>98</v>
      </c>
      <c r="F623" s="217" t="s">
        <v>97</v>
      </c>
      <c r="G623" s="217" t="s">
        <v>443</v>
      </c>
      <c r="H623" s="217" t="s">
        <v>1260</v>
      </c>
      <c r="I623" s="217" t="s">
        <v>29</v>
      </c>
      <c r="J623" s="217" t="s">
        <v>1855</v>
      </c>
      <c r="K623" s="217">
        <v>11</v>
      </c>
      <c r="L623" s="217">
        <v>64</v>
      </c>
      <c r="M623" s="217" t="s">
        <v>31</v>
      </c>
      <c r="N623" s="217" t="s">
        <v>32</v>
      </c>
      <c r="O623" s="217" t="s">
        <v>100</v>
      </c>
      <c r="P623" s="217" t="s">
        <v>34</v>
      </c>
      <c r="Q623" s="217" t="s">
        <v>35</v>
      </c>
      <c r="R623" s="217" t="s">
        <v>23</v>
      </c>
      <c r="S623" s="217" t="s">
        <v>22</v>
      </c>
      <c r="T623" s="217" t="s">
        <v>84</v>
      </c>
      <c r="U623" s="217" t="s">
        <v>85</v>
      </c>
      <c r="V623" s="217" t="s">
        <v>97</v>
      </c>
      <c r="W623" s="217" t="s">
        <v>98</v>
      </c>
      <c r="BC623" s="217" t="s">
        <v>48</v>
      </c>
      <c r="BD623" s="217" t="s">
        <v>527</v>
      </c>
      <c r="BE623" s="217" t="s">
        <v>1403</v>
      </c>
      <c r="BF623" s="217" t="s">
        <v>539</v>
      </c>
      <c r="BG623" s="217" t="s">
        <v>1998</v>
      </c>
      <c r="BH623" s="217" t="s">
        <v>1658</v>
      </c>
      <c r="BI623" s="217" t="s">
        <v>1660</v>
      </c>
      <c r="BJ623" s="217" t="s">
        <v>1660</v>
      </c>
      <c r="BK623" s="217" t="s">
        <v>637</v>
      </c>
      <c r="BL623" s="217"/>
      <c r="BM623" s="217"/>
      <c r="BN623" s="217">
        <v>0</v>
      </c>
      <c r="BO623" s="217">
        <v>0</v>
      </c>
      <c r="BR623" s="217" t="s">
        <v>37</v>
      </c>
      <c r="BS623" s="217" t="s">
        <v>244</v>
      </c>
      <c r="BT623" s="217" t="s">
        <v>649</v>
      </c>
      <c r="BU623" s="217" t="s">
        <v>1545</v>
      </c>
      <c r="BV623" s="217">
        <v>0</v>
      </c>
      <c r="BW623" s="217">
        <v>0</v>
      </c>
      <c r="BX623" s="217">
        <v>15</v>
      </c>
      <c r="BY623" s="217">
        <v>100</v>
      </c>
      <c r="BZ623" s="217">
        <v>16</v>
      </c>
      <c r="CA623" s="217">
        <v>69</v>
      </c>
      <c r="CB623" s="217">
        <v>0</v>
      </c>
      <c r="CC623" s="217">
        <v>0</v>
      </c>
      <c r="CD623" s="217">
        <v>15</v>
      </c>
      <c r="CE623" s="217">
        <v>100</v>
      </c>
      <c r="CF623" s="217">
        <v>16</v>
      </c>
      <c r="CG623" s="217">
        <v>69</v>
      </c>
      <c r="CH623" s="217">
        <v>0</v>
      </c>
      <c r="CI623" s="217">
        <v>0</v>
      </c>
      <c r="CJ623" s="217">
        <v>0</v>
      </c>
    </row>
    <row r="624" spans="1:88" x14ac:dyDescent="0.25">
      <c r="A624" s="217" t="s">
        <v>22</v>
      </c>
      <c r="B624" s="217" t="s">
        <v>23</v>
      </c>
      <c r="C624" s="217" t="s">
        <v>85</v>
      </c>
      <c r="D624" s="217" t="s">
        <v>84</v>
      </c>
      <c r="E624" s="217" t="s">
        <v>98</v>
      </c>
      <c r="F624" s="217" t="s">
        <v>97</v>
      </c>
      <c r="G624" s="217" t="s">
        <v>443</v>
      </c>
      <c r="H624" s="217" t="s">
        <v>1260</v>
      </c>
      <c r="I624" s="217" t="s">
        <v>29</v>
      </c>
      <c r="J624" s="217" t="s">
        <v>1856</v>
      </c>
      <c r="K624" s="217">
        <v>4</v>
      </c>
      <c r="L624" s="217">
        <v>20</v>
      </c>
      <c r="M624" s="217" t="s">
        <v>31</v>
      </c>
      <c r="N624" s="217" t="s">
        <v>32</v>
      </c>
      <c r="O624" s="217" t="s">
        <v>100</v>
      </c>
      <c r="P624" s="217" t="s">
        <v>34</v>
      </c>
      <c r="Q624" s="217" t="s">
        <v>35</v>
      </c>
      <c r="R624" s="217" t="s">
        <v>23</v>
      </c>
      <c r="S624" s="217" t="s">
        <v>22</v>
      </c>
      <c r="T624" s="217" t="s">
        <v>84</v>
      </c>
      <c r="U624" s="217" t="s">
        <v>85</v>
      </c>
      <c r="V624" s="217" t="s">
        <v>97</v>
      </c>
      <c r="W624" s="217" t="s">
        <v>98</v>
      </c>
      <c r="BC624" s="217" t="s">
        <v>37</v>
      </c>
      <c r="BD624" s="217" t="s">
        <v>236</v>
      </c>
      <c r="BE624" s="217" t="s">
        <v>1588</v>
      </c>
      <c r="BF624" s="217" t="s">
        <v>237</v>
      </c>
      <c r="BG624" s="217" t="s">
        <v>1998</v>
      </c>
      <c r="BH624" s="217" t="s">
        <v>1658</v>
      </c>
      <c r="BI624" s="217" t="s">
        <v>1660</v>
      </c>
      <c r="BJ624" s="217" t="s">
        <v>1658</v>
      </c>
      <c r="BK624" s="217" t="s">
        <v>637</v>
      </c>
      <c r="BL624" s="217"/>
      <c r="BM624" s="217"/>
      <c r="BN624" s="217">
        <v>0</v>
      </c>
      <c r="BO624" s="217">
        <v>0</v>
      </c>
      <c r="BR624" s="217" t="s">
        <v>37</v>
      </c>
      <c r="BS624" s="217" t="s">
        <v>244</v>
      </c>
      <c r="BT624" s="217" t="s">
        <v>245</v>
      </c>
      <c r="BU624" s="217" t="s">
        <v>1543</v>
      </c>
      <c r="BV624" s="217">
        <v>0</v>
      </c>
      <c r="BW624" s="217">
        <v>0</v>
      </c>
      <c r="BX624" s="217">
        <v>30</v>
      </c>
      <c r="BY624" s="217">
        <v>270</v>
      </c>
      <c r="BZ624" s="217">
        <v>50</v>
      </c>
      <c r="CA624" s="217">
        <v>300</v>
      </c>
      <c r="CB624" s="217">
        <v>0</v>
      </c>
      <c r="CC624" s="217">
        <v>0</v>
      </c>
      <c r="CD624" s="217">
        <v>32</v>
      </c>
      <c r="CE624" s="217">
        <v>284</v>
      </c>
      <c r="CF624" s="217">
        <v>50</v>
      </c>
      <c r="CG624" s="217">
        <v>300</v>
      </c>
      <c r="CH624" s="217">
        <v>0</v>
      </c>
      <c r="CI624" s="217">
        <v>-14</v>
      </c>
      <c r="CJ624" s="217">
        <v>0</v>
      </c>
    </row>
    <row r="625" spans="1:88" x14ac:dyDescent="0.25">
      <c r="A625" s="217" t="s">
        <v>22</v>
      </c>
      <c r="B625" s="217" t="s">
        <v>23</v>
      </c>
      <c r="C625" s="217" t="s">
        <v>85</v>
      </c>
      <c r="D625" s="217" t="s">
        <v>84</v>
      </c>
      <c r="E625" s="217" t="s">
        <v>98</v>
      </c>
      <c r="F625" s="217" t="s">
        <v>97</v>
      </c>
      <c r="G625" s="217" t="s">
        <v>443</v>
      </c>
      <c r="H625" s="217" t="s">
        <v>1260</v>
      </c>
      <c r="I625" s="217" t="s">
        <v>29</v>
      </c>
      <c r="J625" s="217" t="s">
        <v>1857</v>
      </c>
      <c r="K625" s="217">
        <v>8</v>
      </c>
      <c r="L625" s="217">
        <v>68</v>
      </c>
      <c r="M625" s="217" t="s">
        <v>31</v>
      </c>
      <c r="N625" s="217" t="s">
        <v>32</v>
      </c>
      <c r="O625" s="217" t="s">
        <v>100</v>
      </c>
      <c r="P625" s="217" t="s">
        <v>34</v>
      </c>
      <c r="Q625" s="217" t="s">
        <v>35</v>
      </c>
      <c r="R625" s="217" t="s">
        <v>23</v>
      </c>
      <c r="S625" s="217" t="s">
        <v>22</v>
      </c>
      <c r="T625" s="217" t="s">
        <v>84</v>
      </c>
      <c r="U625" s="217" t="s">
        <v>85</v>
      </c>
      <c r="V625" s="217" t="s">
        <v>97</v>
      </c>
      <c r="W625" s="217" t="s">
        <v>98</v>
      </c>
      <c r="BC625" s="217" t="s">
        <v>37</v>
      </c>
      <c r="BD625" s="217" t="s">
        <v>236</v>
      </c>
      <c r="BE625" s="217" t="s">
        <v>1701</v>
      </c>
      <c r="BF625" s="217" t="s">
        <v>238</v>
      </c>
      <c r="BG625" s="217" t="s">
        <v>1998</v>
      </c>
      <c r="BH625" s="217" t="s">
        <v>1660</v>
      </c>
      <c r="BI625" s="217" t="s">
        <v>1660</v>
      </c>
      <c r="BJ625" s="217" t="s">
        <v>1660</v>
      </c>
      <c r="BK625" s="217" t="s">
        <v>637</v>
      </c>
      <c r="BL625" s="217"/>
      <c r="BM625" s="217"/>
      <c r="BN625" s="217">
        <v>0</v>
      </c>
      <c r="BO625" s="217">
        <v>0</v>
      </c>
      <c r="BR625" s="217" t="s">
        <v>37</v>
      </c>
      <c r="BS625" s="217" t="s">
        <v>244</v>
      </c>
      <c r="BT625" s="217" t="s">
        <v>650</v>
      </c>
      <c r="BU625" s="217" t="s">
        <v>1546</v>
      </c>
      <c r="BV625" s="217">
        <v>0</v>
      </c>
      <c r="BW625" s="217">
        <v>0</v>
      </c>
      <c r="BX625" s="217">
        <v>22</v>
      </c>
      <c r="BY625" s="217">
        <v>103</v>
      </c>
      <c r="BZ625" s="217">
        <v>17</v>
      </c>
      <c r="CA625" s="217">
        <v>80</v>
      </c>
      <c r="CB625" s="217">
        <v>0</v>
      </c>
      <c r="CC625" s="217">
        <v>0</v>
      </c>
      <c r="CD625" s="217">
        <v>22</v>
      </c>
      <c r="CE625" s="217">
        <v>103</v>
      </c>
      <c r="CF625" s="217">
        <v>17</v>
      </c>
      <c r="CG625" s="217">
        <v>80</v>
      </c>
      <c r="CH625" s="217">
        <v>0</v>
      </c>
      <c r="CI625" s="217">
        <v>0</v>
      </c>
      <c r="CJ625" s="217">
        <v>0</v>
      </c>
    </row>
    <row r="626" spans="1:88" x14ac:dyDescent="0.25">
      <c r="A626" s="217" t="s">
        <v>22</v>
      </c>
      <c r="B626" s="217" t="s">
        <v>23</v>
      </c>
      <c r="C626" s="217" t="s">
        <v>85</v>
      </c>
      <c r="D626" s="217" t="s">
        <v>84</v>
      </c>
      <c r="E626" s="217" t="s">
        <v>98</v>
      </c>
      <c r="F626" s="217" t="s">
        <v>97</v>
      </c>
      <c r="G626" s="217" t="s">
        <v>695</v>
      </c>
      <c r="H626" s="217" t="s">
        <v>1686</v>
      </c>
      <c r="I626" s="217" t="s">
        <v>29</v>
      </c>
      <c r="J626" s="217" t="s">
        <v>1858</v>
      </c>
      <c r="K626" s="217">
        <v>18</v>
      </c>
      <c r="L626" s="217">
        <v>90</v>
      </c>
      <c r="M626" s="217" t="s">
        <v>31</v>
      </c>
      <c r="N626" s="217" t="s">
        <v>32</v>
      </c>
      <c r="O626" s="217" t="s">
        <v>100</v>
      </c>
      <c r="P626" s="217" t="s">
        <v>34</v>
      </c>
      <c r="Q626" s="217" t="s">
        <v>35</v>
      </c>
      <c r="R626" s="217" t="s">
        <v>23</v>
      </c>
      <c r="S626" s="217" t="s">
        <v>22</v>
      </c>
      <c r="T626" s="217" t="s">
        <v>84</v>
      </c>
      <c r="U626" s="217" t="s">
        <v>85</v>
      </c>
      <c r="V626" s="217" t="s">
        <v>97</v>
      </c>
      <c r="W626" s="217" t="s">
        <v>98</v>
      </c>
      <c r="BC626" s="217" t="s">
        <v>37</v>
      </c>
      <c r="BD626" s="217" t="s">
        <v>236</v>
      </c>
      <c r="BE626" s="217" t="s">
        <v>1589</v>
      </c>
      <c r="BF626" s="217" t="s">
        <v>241</v>
      </c>
      <c r="BG626" s="217" t="s">
        <v>1998</v>
      </c>
      <c r="BH626" s="217" t="s">
        <v>1660</v>
      </c>
      <c r="BI626" s="217" t="s">
        <v>1660</v>
      </c>
      <c r="BJ626" s="217" t="s">
        <v>1658</v>
      </c>
      <c r="BK626" s="217" t="s">
        <v>637</v>
      </c>
      <c r="BL626" s="217"/>
      <c r="BM626" s="217"/>
      <c r="BN626" s="217">
        <v>0</v>
      </c>
      <c r="BO626" s="217">
        <v>0</v>
      </c>
      <c r="BR626" s="217" t="s">
        <v>37</v>
      </c>
      <c r="BS626" s="217" t="s">
        <v>244</v>
      </c>
      <c r="BT626" s="217" t="s">
        <v>645</v>
      </c>
      <c r="BU626" s="217" t="s">
        <v>1538</v>
      </c>
      <c r="BV626" s="217">
        <v>0</v>
      </c>
      <c r="BW626" s="217">
        <v>0</v>
      </c>
      <c r="BX626" s="217">
        <v>30</v>
      </c>
      <c r="BY626" s="217">
        <v>152</v>
      </c>
      <c r="BZ626" s="217">
        <v>13</v>
      </c>
      <c r="CA626" s="217">
        <v>73</v>
      </c>
      <c r="CB626" s="217">
        <v>0</v>
      </c>
      <c r="CC626" s="217">
        <v>0</v>
      </c>
      <c r="CD626" s="217">
        <v>30</v>
      </c>
      <c r="CE626" s="217">
        <v>152</v>
      </c>
      <c r="CF626" s="217">
        <v>13</v>
      </c>
      <c r="CG626" s="217">
        <v>73</v>
      </c>
      <c r="CH626" s="217">
        <v>0</v>
      </c>
      <c r="CI626" s="217">
        <v>0</v>
      </c>
      <c r="CJ626" s="217">
        <v>0</v>
      </c>
    </row>
    <row r="627" spans="1:88" x14ac:dyDescent="0.25">
      <c r="A627" s="217" t="s">
        <v>22</v>
      </c>
      <c r="B627" s="217" t="s">
        <v>23</v>
      </c>
      <c r="C627" s="217" t="s">
        <v>85</v>
      </c>
      <c r="D627" s="217" t="s">
        <v>84</v>
      </c>
      <c r="E627" s="217" t="s">
        <v>98</v>
      </c>
      <c r="F627" s="217" t="s">
        <v>97</v>
      </c>
      <c r="G627" s="217" t="s">
        <v>444</v>
      </c>
      <c r="H627" s="217" t="s">
        <v>1261</v>
      </c>
      <c r="I627" s="217" t="s">
        <v>29</v>
      </c>
      <c r="J627" s="217" t="s">
        <v>1856</v>
      </c>
      <c r="K627" s="217">
        <v>3</v>
      </c>
      <c r="L627" s="217">
        <v>17</v>
      </c>
      <c r="M627" s="217" t="s">
        <v>31</v>
      </c>
      <c r="N627" s="217" t="s">
        <v>32</v>
      </c>
      <c r="O627" s="217" t="s">
        <v>68</v>
      </c>
      <c r="P627" s="217" t="s">
        <v>34</v>
      </c>
      <c r="Q627" s="217" t="s">
        <v>35</v>
      </c>
      <c r="R627" s="217" t="s">
        <v>23</v>
      </c>
      <c r="S627" s="217" t="s">
        <v>22</v>
      </c>
      <c r="T627" s="217" t="s">
        <v>84</v>
      </c>
      <c r="U627" s="217" t="s">
        <v>85</v>
      </c>
      <c r="V627" s="217" t="s">
        <v>91</v>
      </c>
      <c r="W627" s="217" t="s">
        <v>92</v>
      </c>
      <c r="BC627" s="217" t="s">
        <v>37</v>
      </c>
      <c r="BD627" s="217" t="s">
        <v>236</v>
      </c>
      <c r="BE627" s="217" t="s">
        <v>1404</v>
      </c>
      <c r="BF627" s="217" t="s">
        <v>242</v>
      </c>
      <c r="BG627" s="217" t="s">
        <v>1998</v>
      </c>
      <c r="BH627" s="217" t="s">
        <v>1658</v>
      </c>
      <c r="BI627" s="217" t="s">
        <v>1660</v>
      </c>
      <c r="BJ627" s="217" t="s">
        <v>1658</v>
      </c>
      <c r="BK627" s="217" t="s">
        <v>637</v>
      </c>
      <c r="BL627" s="217"/>
      <c r="BM627" s="217"/>
      <c r="BN627" s="217">
        <v>0</v>
      </c>
      <c r="BO627" s="217">
        <v>0</v>
      </c>
      <c r="BR627" s="217" t="s">
        <v>37</v>
      </c>
      <c r="BS627" s="217" t="s">
        <v>244</v>
      </c>
      <c r="BT627" s="217" t="s">
        <v>651</v>
      </c>
      <c r="BU627" s="217" t="s">
        <v>1547</v>
      </c>
      <c r="BV627" s="217">
        <v>0</v>
      </c>
      <c r="BW627" s="217">
        <v>0</v>
      </c>
      <c r="BX627" s="217">
        <v>30</v>
      </c>
      <c r="BY627" s="217">
        <v>87</v>
      </c>
      <c r="BZ627" s="217">
        <v>52</v>
      </c>
      <c r="CA627" s="217">
        <v>170</v>
      </c>
      <c r="CB627" s="217">
        <v>0</v>
      </c>
      <c r="CC627" s="217">
        <v>0</v>
      </c>
      <c r="CD627" s="217">
        <v>33</v>
      </c>
      <c r="CE627" s="217">
        <v>97</v>
      </c>
      <c r="CF627" s="217">
        <v>52</v>
      </c>
      <c r="CG627" s="217">
        <v>170</v>
      </c>
      <c r="CH627" s="217">
        <v>0</v>
      </c>
      <c r="CI627" s="217">
        <v>-10</v>
      </c>
      <c r="CJ627" s="217">
        <v>0</v>
      </c>
    </row>
    <row r="628" spans="1:88" x14ac:dyDescent="0.25">
      <c r="A628" s="217" t="s">
        <v>22</v>
      </c>
      <c r="B628" s="217" t="s">
        <v>23</v>
      </c>
      <c r="C628" s="217" t="s">
        <v>85</v>
      </c>
      <c r="D628" s="217" t="s">
        <v>84</v>
      </c>
      <c r="E628" s="217" t="s">
        <v>98</v>
      </c>
      <c r="F628" s="217" t="s">
        <v>97</v>
      </c>
      <c r="G628" s="217" t="s">
        <v>444</v>
      </c>
      <c r="H628" s="217" t="s">
        <v>1261</v>
      </c>
      <c r="I628" s="217" t="s">
        <v>29</v>
      </c>
      <c r="J628" s="217" t="s">
        <v>1857</v>
      </c>
      <c r="K628" s="217">
        <v>2</v>
      </c>
      <c r="L628" s="217">
        <v>13</v>
      </c>
      <c r="M628" s="217" t="s">
        <v>31</v>
      </c>
      <c r="N628" s="217" t="s">
        <v>32</v>
      </c>
      <c r="O628" s="217" t="s">
        <v>68</v>
      </c>
      <c r="P628" s="217" t="s">
        <v>34</v>
      </c>
      <c r="Q628" s="217" t="s">
        <v>35</v>
      </c>
      <c r="R628" s="217" t="s">
        <v>23</v>
      </c>
      <c r="S628" s="217" t="s">
        <v>22</v>
      </c>
      <c r="T628" s="217" t="s">
        <v>84</v>
      </c>
      <c r="U628" s="217" t="s">
        <v>85</v>
      </c>
      <c r="V628" s="217" t="s">
        <v>91</v>
      </c>
      <c r="W628" s="217" t="s">
        <v>92</v>
      </c>
      <c r="BC628" s="217" t="s">
        <v>37</v>
      </c>
      <c r="BD628" s="217" t="s">
        <v>236</v>
      </c>
      <c r="BE628" s="217" t="s">
        <v>1536</v>
      </c>
      <c r="BF628" s="217" t="s">
        <v>643</v>
      </c>
      <c r="BG628" s="217" t="s">
        <v>1998</v>
      </c>
      <c r="BH628" s="217" t="s">
        <v>1660</v>
      </c>
      <c r="BI628" s="217" t="s">
        <v>1658</v>
      </c>
      <c r="BJ628" s="217" t="s">
        <v>1658</v>
      </c>
      <c r="BK628" s="217" t="s">
        <v>637</v>
      </c>
      <c r="BL628" s="217"/>
      <c r="BM628" s="217"/>
      <c r="BN628" s="217">
        <v>0</v>
      </c>
      <c r="BO628" s="217">
        <v>0</v>
      </c>
      <c r="BR628" s="217" t="s">
        <v>37</v>
      </c>
      <c r="BS628" s="217" t="s">
        <v>244</v>
      </c>
      <c r="BT628" s="217" t="s">
        <v>652</v>
      </c>
      <c r="BU628" s="217" t="s">
        <v>1548</v>
      </c>
      <c r="BV628" s="217">
        <v>0</v>
      </c>
      <c r="BW628" s="217">
        <v>0</v>
      </c>
      <c r="BX628" s="217">
        <v>30</v>
      </c>
      <c r="BY628" s="217">
        <v>161</v>
      </c>
      <c r="BZ628" s="217">
        <v>50</v>
      </c>
      <c r="CA628" s="217">
        <v>150</v>
      </c>
      <c r="CB628" s="217">
        <v>0</v>
      </c>
      <c r="CC628" s="217">
        <v>0</v>
      </c>
      <c r="CD628" s="217">
        <v>30</v>
      </c>
      <c r="CE628" s="217">
        <v>161</v>
      </c>
      <c r="CF628" s="217">
        <v>50</v>
      </c>
      <c r="CG628" s="217">
        <v>150</v>
      </c>
      <c r="CH628" s="217">
        <v>0</v>
      </c>
      <c r="CI628" s="217">
        <v>0</v>
      </c>
      <c r="CJ628" s="217">
        <v>0</v>
      </c>
    </row>
    <row r="629" spans="1:88" x14ac:dyDescent="0.25">
      <c r="A629" s="217" t="s">
        <v>22</v>
      </c>
      <c r="B629" s="217" t="s">
        <v>23</v>
      </c>
      <c r="C629" s="217" t="s">
        <v>85</v>
      </c>
      <c r="D629" s="217" t="s">
        <v>84</v>
      </c>
      <c r="E629" s="217" t="s">
        <v>98</v>
      </c>
      <c r="F629" s="217" t="s">
        <v>97</v>
      </c>
      <c r="G629" s="217" t="s">
        <v>444</v>
      </c>
      <c r="H629" s="217" t="s">
        <v>1261</v>
      </c>
      <c r="I629" s="217" t="s">
        <v>29</v>
      </c>
      <c r="J629" s="217" t="s">
        <v>1858</v>
      </c>
      <c r="K629" s="217">
        <v>1</v>
      </c>
      <c r="L629" s="217">
        <v>5</v>
      </c>
      <c r="M629" s="217" t="s">
        <v>31</v>
      </c>
      <c r="N629" s="217" t="s">
        <v>32</v>
      </c>
      <c r="O629" s="217" t="s">
        <v>68</v>
      </c>
      <c r="P629" s="217" t="s">
        <v>34</v>
      </c>
      <c r="Q629" s="217" t="s">
        <v>35</v>
      </c>
      <c r="R629" s="217" t="s">
        <v>23</v>
      </c>
      <c r="S629" s="217" t="s">
        <v>22</v>
      </c>
      <c r="T629" s="217" t="s">
        <v>84</v>
      </c>
      <c r="U629" s="217" t="s">
        <v>85</v>
      </c>
      <c r="V629" s="217" t="s">
        <v>91</v>
      </c>
      <c r="W629" s="217" t="s">
        <v>92</v>
      </c>
      <c r="BC629" s="217" t="s">
        <v>37</v>
      </c>
      <c r="BD629" s="217" t="s">
        <v>540</v>
      </c>
      <c r="BE629" s="217" t="s">
        <v>1405</v>
      </c>
      <c r="BF629" s="217" t="s">
        <v>542</v>
      </c>
      <c r="BG629" s="217" t="s">
        <v>1998</v>
      </c>
      <c r="BH629" s="217" t="s">
        <v>1658</v>
      </c>
      <c r="BI629" s="217" t="s">
        <v>1660</v>
      </c>
      <c r="BJ629" s="217" t="s">
        <v>1658</v>
      </c>
      <c r="BK629" s="217" t="s">
        <v>637</v>
      </c>
      <c r="BL629" s="217"/>
      <c r="BM629" s="217"/>
      <c r="BN629" s="217">
        <v>0</v>
      </c>
      <c r="BO629" s="217">
        <v>0</v>
      </c>
      <c r="BR629" s="217" t="s">
        <v>37</v>
      </c>
      <c r="BS629" s="217" t="s">
        <v>244</v>
      </c>
      <c r="BT629" s="217" t="s">
        <v>647</v>
      </c>
      <c r="BU629" s="217" t="s">
        <v>1542</v>
      </c>
      <c r="BV629" s="217">
        <v>0</v>
      </c>
      <c r="BW629" s="217">
        <v>0</v>
      </c>
      <c r="BX629" s="217">
        <v>9</v>
      </c>
      <c r="BY629" s="217">
        <v>46</v>
      </c>
      <c r="BZ629" s="217">
        <v>0</v>
      </c>
      <c r="CA629" s="217">
        <v>0</v>
      </c>
      <c r="CB629" s="217">
        <v>0</v>
      </c>
      <c r="CC629" s="217">
        <v>0</v>
      </c>
      <c r="CD629" s="217">
        <v>9</v>
      </c>
      <c r="CE629" s="217">
        <v>46</v>
      </c>
      <c r="CF629" s="217">
        <v>0</v>
      </c>
      <c r="CG629" s="217">
        <v>0</v>
      </c>
      <c r="CH629" s="217">
        <v>0</v>
      </c>
      <c r="CI629" s="217">
        <v>0</v>
      </c>
      <c r="CJ629" s="217">
        <v>0</v>
      </c>
    </row>
    <row r="630" spans="1:88" x14ac:dyDescent="0.25">
      <c r="A630" s="217" t="s">
        <v>22</v>
      </c>
      <c r="B630" s="217" t="s">
        <v>23</v>
      </c>
      <c r="C630" s="217" t="s">
        <v>85</v>
      </c>
      <c r="D630" s="217" t="s">
        <v>84</v>
      </c>
      <c r="E630" s="217" t="s">
        <v>98</v>
      </c>
      <c r="F630" s="217" t="s">
        <v>97</v>
      </c>
      <c r="G630" s="217" t="s">
        <v>169</v>
      </c>
      <c r="H630" s="217" t="s">
        <v>1262</v>
      </c>
      <c r="I630" s="217" t="s">
        <v>29</v>
      </c>
      <c r="J630" s="217" t="s">
        <v>1856</v>
      </c>
      <c r="K630" s="217">
        <v>7</v>
      </c>
      <c r="L630" s="217">
        <v>40</v>
      </c>
      <c r="M630" s="217" t="s">
        <v>31</v>
      </c>
      <c r="N630" s="217" t="s">
        <v>32</v>
      </c>
      <c r="O630" s="217" t="s">
        <v>68</v>
      </c>
      <c r="P630" s="217" t="s">
        <v>34</v>
      </c>
      <c r="Q630" s="217" t="s">
        <v>35</v>
      </c>
      <c r="R630" s="217" t="s">
        <v>23</v>
      </c>
      <c r="S630" s="217" t="s">
        <v>22</v>
      </c>
      <c r="T630" s="217" t="s">
        <v>84</v>
      </c>
      <c r="U630" s="217" t="s">
        <v>85</v>
      </c>
      <c r="V630" s="217" t="s">
        <v>91</v>
      </c>
      <c r="W630" s="217" t="s">
        <v>92</v>
      </c>
      <c r="BC630" s="217" t="s">
        <v>37</v>
      </c>
      <c r="BD630" s="217" t="s">
        <v>540</v>
      </c>
      <c r="BE630" s="217" t="s">
        <v>1406</v>
      </c>
      <c r="BF630" s="217" t="s">
        <v>543</v>
      </c>
      <c r="BG630" s="217" t="s">
        <v>1998</v>
      </c>
      <c r="BH630" s="217" t="s">
        <v>1658</v>
      </c>
      <c r="BI630" s="217" t="s">
        <v>1660</v>
      </c>
      <c r="BJ630" s="217" t="s">
        <v>1658</v>
      </c>
      <c r="BK630" s="217" t="s">
        <v>637</v>
      </c>
      <c r="BL630" s="217"/>
      <c r="BM630" s="217"/>
      <c r="BN630" s="217">
        <v>0</v>
      </c>
      <c r="BO630" s="217">
        <v>0</v>
      </c>
      <c r="BR630" s="217" t="s">
        <v>37</v>
      </c>
      <c r="BS630" s="217" t="s">
        <v>244</v>
      </c>
      <c r="BT630" s="217" t="s">
        <v>2043</v>
      </c>
      <c r="BU630" s="217" t="s">
        <v>2042</v>
      </c>
      <c r="BV630" s="217">
        <v>0</v>
      </c>
      <c r="BW630" s="217">
        <v>0</v>
      </c>
      <c r="BX630" s="217">
        <v>2</v>
      </c>
      <c r="BY630" s="217">
        <v>8</v>
      </c>
      <c r="BZ630" s="217">
        <v>0</v>
      </c>
      <c r="CA630" s="217">
        <v>0</v>
      </c>
      <c r="CB630" s="217">
        <v>0</v>
      </c>
      <c r="CC630" s="217">
        <v>0</v>
      </c>
      <c r="CD630" s="217">
        <v>2</v>
      </c>
      <c r="CE630" s="217">
        <v>8</v>
      </c>
      <c r="CF630" s="217">
        <v>0</v>
      </c>
      <c r="CG630" s="217">
        <v>0</v>
      </c>
      <c r="CH630" s="217">
        <v>0</v>
      </c>
      <c r="CI630" s="217">
        <v>0</v>
      </c>
      <c r="CJ630" s="217">
        <v>0</v>
      </c>
    </row>
    <row r="631" spans="1:88" x14ac:dyDescent="0.25">
      <c r="A631" s="217" t="s">
        <v>22</v>
      </c>
      <c r="B631" s="217" t="s">
        <v>23</v>
      </c>
      <c r="C631" s="217" t="s">
        <v>85</v>
      </c>
      <c r="D631" s="217" t="s">
        <v>84</v>
      </c>
      <c r="E631" s="217" t="s">
        <v>98</v>
      </c>
      <c r="F631" s="217" t="s">
        <v>97</v>
      </c>
      <c r="G631" s="217" t="s">
        <v>169</v>
      </c>
      <c r="H631" s="217" t="s">
        <v>1262</v>
      </c>
      <c r="I631" s="217" t="s">
        <v>29</v>
      </c>
      <c r="J631" s="217" t="s">
        <v>1857</v>
      </c>
      <c r="K631" s="217">
        <v>8</v>
      </c>
      <c r="L631" s="217">
        <v>32</v>
      </c>
      <c r="M631" s="217" t="s">
        <v>31</v>
      </c>
      <c r="N631" s="217" t="s">
        <v>32</v>
      </c>
      <c r="O631" s="217" t="s">
        <v>68</v>
      </c>
      <c r="P631" s="217" t="s">
        <v>34</v>
      </c>
      <c r="Q631" s="217" t="s">
        <v>35</v>
      </c>
      <c r="R631" s="217" t="s">
        <v>23</v>
      </c>
      <c r="S631" s="217" t="s">
        <v>22</v>
      </c>
      <c r="T631" s="217" t="s">
        <v>84</v>
      </c>
      <c r="U631" s="217" t="s">
        <v>85</v>
      </c>
      <c r="V631" s="217" t="s">
        <v>91</v>
      </c>
      <c r="W631" s="217" t="s">
        <v>92</v>
      </c>
      <c r="BC631" s="217" t="s">
        <v>37</v>
      </c>
      <c r="BD631" s="217" t="s">
        <v>540</v>
      </c>
      <c r="BE631" s="217" t="s">
        <v>1407</v>
      </c>
      <c r="BF631" s="217" t="s">
        <v>544</v>
      </c>
      <c r="BG631" s="217" t="s">
        <v>1998</v>
      </c>
      <c r="BH631" s="217" t="s">
        <v>1658</v>
      </c>
      <c r="BI631" s="217" t="s">
        <v>1660</v>
      </c>
      <c r="BJ631" s="217" t="s">
        <v>1658</v>
      </c>
      <c r="BK631" s="217" t="s">
        <v>637</v>
      </c>
      <c r="BL631" s="217"/>
      <c r="BM631" s="217"/>
      <c r="BN631" s="217">
        <v>0</v>
      </c>
      <c r="BO631" s="217">
        <v>0</v>
      </c>
      <c r="BR631" s="217" t="s">
        <v>37</v>
      </c>
      <c r="BS631" s="217" t="s">
        <v>244</v>
      </c>
      <c r="BT631" s="217" t="s">
        <v>644</v>
      </c>
      <c r="BU631" s="217" t="s">
        <v>1537</v>
      </c>
      <c r="BV631" s="217">
        <v>0</v>
      </c>
      <c r="BW631" s="217">
        <v>0</v>
      </c>
      <c r="BX631" s="217">
        <v>6</v>
      </c>
      <c r="BY631" s="217">
        <v>35</v>
      </c>
      <c r="BZ631" s="217">
        <v>2</v>
      </c>
      <c r="CA631" s="217">
        <v>8</v>
      </c>
      <c r="CB631" s="217">
        <v>0</v>
      </c>
      <c r="CC631" s="217">
        <v>0</v>
      </c>
      <c r="CD631" s="217">
        <v>6</v>
      </c>
      <c r="CE631" s="217">
        <v>35</v>
      </c>
      <c r="CF631" s="217">
        <v>2</v>
      </c>
      <c r="CG631" s="217">
        <v>8</v>
      </c>
      <c r="CH631" s="217">
        <v>0</v>
      </c>
      <c r="CI631" s="217">
        <v>0</v>
      </c>
      <c r="CJ631" s="217">
        <v>0</v>
      </c>
    </row>
    <row r="632" spans="1:88" x14ac:dyDescent="0.25">
      <c r="A632" s="217" t="s">
        <v>22</v>
      </c>
      <c r="B632" s="217" t="s">
        <v>23</v>
      </c>
      <c r="C632" s="217" t="s">
        <v>85</v>
      </c>
      <c r="D632" s="217" t="s">
        <v>84</v>
      </c>
      <c r="E632" s="217" t="s">
        <v>98</v>
      </c>
      <c r="F632" s="217" t="s">
        <v>97</v>
      </c>
      <c r="G632" s="217" t="s">
        <v>169</v>
      </c>
      <c r="H632" s="217" t="s">
        <v>1262</v>
      </c>
      <c r="I632" s="217" t="s">
        <v>29</v>
      </c>
      <c r="J632" s="217" t="s">
        <v>1858</v>
      </c>
      <c r="K632" s="217">
        <v>3</v>
      </c>
      <c r="L632" s="217">
        <v>15</v>
      </c>
      <c r="M632" s="217" t="s">
        <v>31</v>
      </c>
      <c r="N632" s="217" t="s">
        <v>32</v>
      </c>
      <c r="O632" s="217" t="s">
        <v>68</v>
      </c>
      <c r="P632" s="217" t="s">
        <v>34</v>
      </c>
      <c r="Q632" s="217" t="s">
        <v>35</v>
      </c>
      <c r="R632" s="217" t="s">
        <v>23</v>
      </c>
      <c r="S632" s="217" t="s">
        <v>22</v>
      </c>
      <c r="T632" s="217" t="s">
        <v>84</v>
      </c>
      <c r="U632" s="217" t="s">
        <v>85</v>
      </c>
      <c r="V632" s="217" t="s">
        <v>91</v>
      </c>
      <c r="W632" s="217" t="s">
        <v>92</v>
      </c>
      <c r="BC632" s="217" t="s">
        <v>37</v>
      </c>
      <c r="BD632" s="217" t="s">
        <v>540</v>
      </c>
      <c r="BE632" s="217" t="s">
        <v>1408</v>
      </c>
      <c r="BF632" s="217" t="s">
        <v>545</v>
      </c>
      <c r="BG632" s="217" t="s">
        <v>1998</v>
      </c>
      <c r="BH632" s="217" t="s">
        <v>1658</v>
      </c>
      <c r="BI632" s="217" t="s">
        <v>1660</v>
      </c>
      <c r="BJ632" s="217" t="s">
        <v>1658</v>
      </c>
      <c r="BK632" s="217" t="s">
        <v>637</v>
      </c>
      <c r="BL632" s="217"/>
      <c r="BM632" s="217"/>
      <c r="BN632" s="217">
        <v>0</v>
      </c>
      <c r="BO632" s="217">
        <v>0</v>
      </c>
      <c r="BR632" s="217" t="s">
        <v>37</v>
      </c>
      <c r="BS632" s="217" t="s">
        <v>244</v>
      </c>
      <c r="BT632" s="217" t="s">
        <v>654</v>
      </c>
      <c r="BU632" s="217" t="s">
        <v>1550</v>
      </c>
      <c r="BV632" s="217">
        <v>0</v>
      </c>
      <c r="BW632" s="217">
        <v>0</v>
      </c>
      <c r="BX632" s="217">
        <v>12</v>
      </c>
      <c r="BY632" s="217">
        <v>65</v>
      </c>
      <c r="BZ632" s="217">
        <v>8</v>
      </c>
      <c r="CA632" s="217">
        <v>35</v>
      </c>
      <c r="CB632" s="217">
        <v>0</v>
      </c>
      <c r="CC632" s="217">
        <v>0</v>
      </c>
      <c r="CD632" s="217">
        <v>12</v>
      </c>
      <c r="CE632" s="217">
        <v>65</v>
      </c>
      <c r="CF632" s="217">
        <v>8</v>
      </c>
      <c r="CG632" s="217">
        <v>35</v>
      </c>
      <c r="CH632" s="217">
        <v>0</v>
      </c>
      <c r="CI632" s="217">
        <v>0</v>
      </c>
      <c r="CJ632" s="217">
        <v>0</v>
      </c>
    </row>
    <row r="633" spans="1:88" x14ac:dyDescent="0.25">
      <c r="A633" s="217" t="s">
        <v>22</v>
      </c>
      <c r="B633" s="217" t="s">
        <v>23</v>
      </c>
      <c r="C633" s="217" t="s">
        <v>85</v>
      </c>
      <c r="D633" s="217" t="s">
        <v>84</v>
      </c>
      <c r="E633" s="217" t="s">
        <v>98</v>
      </c>
      <c r="F633" s="217" t="s">
        <v>97</v>
      </c>
      <c r="G633" s="217" t="s">
        <v>445</v>
      </c>
      <c r="H633" s="217" t="s">
        <v>1263</v>
      </c>
      <c r="I633" s="217" t="s">
        <v>29</v>
      </c>
      <c r="J633" s="217" t="s">
        <v>1856</v>
      </c>
      <c r="K633" s="217">
        <v>11</v>
      </c>
      <c r="L633" s="217">
        <v>61</v>
      </c>
      <c r="M633" s="217" t="s">
        <v>31</v>
      </c>
      <c r="N633" s="217" t="s">
        <v>32</v>
      </c>
      <c r="O633" s="217" t="s">
        <v>100</v>
      </c>
      <c r="P633" s="217" t="s">
        <v>34</v>
      </c>
      <c r="Q633" s="217" t="s">
        <v>35</v>
      </c>
      <c r="R633" s="217" t="s">
        <v>23</v>
      </c>
      <c r="S633" s="217" t="s">
        <v>22</v>
      </c>
      <c r="T633" s="217" t="s">
        <v>84</v>
      </c>
      <c r="U633" s="217" t="s">
        <v>85</v>
      </c>
      <c r="V633" s="217" t="s">
        <v>97</v>
      </c>
      <c r="W633" s="217" t="s">
        <v>98</v>
      </c>
      <c r="BC633" s="217" t="s">
        <v>37</v>
      </c>
      <c r="BD633" s="217" t="s">
        <v>540</v>
      </c>
      <c r="BE633" s="217" t="s">
        <v>1409</v>
      </c>
      <c r="BF633" s="217" t="s">
        <v>285</v>
      </c>
      <c r="BG633" s="217" t="s">
        <v>1998</v>
      </c>
      <c r="BH633" s="217" t="s">
        <v>1658</v>
      </c>
      <c r="BI633" s="217" t="s">
        <v>1660</v>
      </c>
      <c r="BJ633" s="217" t="s">
        <v>1658</v>
      </c>
      <c r="BK633" s="217" t="s">
        <v>637</v>
      </c>
      <c r="BL633" s="217"/>
      <c r="BM633" s="217"/>
      <c r="BN633" s="217">
        <v>0</v>
      </c>
      <c r="BO633" s="217">
        <v>0</v>
      </c>
      <c r="BR633" s="217" t="s">
        <v>37</v>
      </c>
      <c r="BS633" s="217" t="s">
        <v>244</v>
      </c>
      <c r="BT633" s="217" t="s">
        <v>646</v>
      </c>
      <c r="BU633" s="217" t="s">
        <v>1539</v>
      </c>
      <c r="BV633" s="217">
        <v>0</v>
      </c>
      <c r="BW633" s="217">
        <v>0</v>
      </c>
      <c r="BX633" s="217">
        <v>5</v>
      </c>
      <c r="BY633" s="217">
        <v>20</v>
      </c>
      <c r="BZ633" s="217">
        <v>5</v>
      </c>
      <c r="CA633" s="217">
        <v>30</v>
      </c>
      <c r="CB633" s="217">
        <v>0</v>
      </c>
      <c r="CC633" s="217">
        <v>0</v>
      </c>
      <c r="CD633" s="217">
        <v>5</v>
      </c>
      <c r="CE633" s="217">
        <v>20</v>
      </c>
      <c r="CF633" s="217">
        <v>5</v>
      </c>
      <c r="CG633" s="217">
        <v>30</v>
      </c>
      <c r="CH633" s="217">
        <v>0</v>
      </c>
      <c r="CI633" s="217">
        <v>0</v>
      </c>
      <c r="CJ633" s="217">
        <v>0</v>
      </c>
    </row>
    <row r="634" spans="1:88" x14ac:dyDescent="0.25">
      <c r="A634" s="217" t="s">
        <v>22</v>
      </c>
      <c r="B634" s="217" t="s">
        <v>23</v>
      </c>
      <c r="C634" s="217" t="s">
        <v>85</v>
      </c>
      <c r="D634" s="217" t="s">
        <v>84</v>
      </c>
      <c r="E634" s="217" t="s">
        <v>98</v>
      </c>
      <c r="F634" s="217" t="s">
        <v>97</v>
      </c>
      <c r="G634" s="217" t="s">
        <v>445</v>
      </c>
      <c r="H634" s="217" t="s">
        <v>1263</v>
      </c>
      <c r="I634" s="217" t="s">
        <v>29</v>
      </c>
      <c r="J634" s="217" t="s">
        <v>1857</v>
      </c>
      <c r="K634" s="217">
        <v>9</v>
      </c>
      <c r="L634" s="217">
        <v>46</v>
      </c>
      <c r="M634" s="217" t="s">
        <v>31</v>
      </c>
      <c r="N634" s="217" t="s">
        <v>32</v>
      </c>
      <c r="O634" s="217" t="s">
        <v>100</v>
      </c>
      <c r="P634" s="217" t="s">
        <v>34</v>
      </c>
      <c r="Q634" s="217" t="s">
        <v>35</v>
      </c>
      <c r="R634" s="217" t="s">
        <v>23</v>
      </c>
      <c r="S634" s="217" t="s">
        <v>22</v>
      </c>
      <c r="T634" s="217" t="s">
        <v>84</v>
      </c>
      <c r="U634" s="217" t="s">
        <v>85</v>
      </c>
      <c r="V634" s="217" t="s">
        <v>97</v>
      </c>
      <c r="W634" s="217" t="s">
        <v>98</v>
      </c>
      <c r="BC634" s="217" t="s">
        <v>37</v>
      </c>
      <c r="BD634" s="217" t="s">
        <v>540</v>
      </c>
      <c r="BE634" s="217" t="s">
        <v>1410</v>
      </c>
      <c r="BF634" s="217" t="s">
        <v>546</v>
      </c>
      <c r="BG634" s="217" t="s">
        <v>1998</v>
      </c>
      <c r="BH634" s="217" t="s">
        <v>1660</v>
      </c>
      <c r="BI634" s="217" t="s">
        <v>1660</v>
      </c>
      <c r="BJ634" s="217" t="s">
        <v>1658</v>
      </c>
      <c r="BK634" s="217" t="s">
        <v>637</v>
      </c>
      <c r="BL634" s="217"/>
      <c r="BM634" s="217"/>
      <c r="BN634" s="217">
        <v>0</v>
      </c>
      <c r="BO634" s="217">
        <v>0</v>
      </c>
      <c r="BR634" s="217" t="s">
        <v>37</v>
      </c>
      <c r="BS634" s="217" t="s">
        <v>244</v>
      </c>
      <c r="BT634" s="217" t="s">
        <v>653</v>
      </c>
      <c r="BU634" s="217" t="s">
        <v>1549</v>
      </c>
      <c r="BV634" s="217">
        <v>0</v>
      </c>
      <c r="BW634" s="217">
        <v>0</v>
      </c>
      <c r="BX634" s="217">
        <v>3</v>
      </c>
      <c r="BY634" s="217">
        <v>18</v>
      </c>
      <c r="BZ634" s="217">
        <v>0</v>
      </c>
      <c r="CA634" s="217">
        <v>0</v>
      </c>
      <c r="CB634" s="217">
        <v>0</v>
      </c>
      <c r="CC634" s="217">
        <v>0</v>
      </c>
      <c r="CD634" s="217">
        <v>3</v>
      </c>
      <c r="CE634" s="217">
        <v>20</v>
      </c>
      <c r="CF634" s="217">
        <v>0</v>
      </c>
      <c r="CG634" s="217">
        <v>0</v>
      </c>
      <c r="CH634" s="217">
        <v>0</v>
      </c>
      <c r="CI634" s="217">
        <v>-2</v>
      </c>
      <c r="CJ634" s="217">
        <v>0</v>
      </c>
    </row>
    <row r="635" spans="1:88" x14ac:dyDescent="0.25">
      <c r="A635" s="217" t="s">
        <v>22</v>
      </c>
      <c r="B635" s="217" t="s">
        <v>23</v>
      </c>
      <c r="C635" s="217" t="s">
        <v>85</v>
      </c>
      <c r="D635" s="217" t="s">
        <v>84</v>
      </c>
      <c r="E635" s="217" t="s">
        <v>98</v>
      </c>
      <c r="F635" s="217" t="s">
        <v>97</v>
      </c>
      <c r="G635" s="217" t="s">
        <v>822</v>
      </c>
      <c r="H635" s="217" t="s">
        <v>1264</v>
      </c>
      <c r="I635" s="217" t="s">
        <v>29</v>
      </c>
      <c r="J635" s="217" t="s">
        <v>1857</v>
      </c>
      <c r="K635" s="217">
        <v>3</v>
      </c>
      <c r="L635" s="217">
        <v>16</v>
      </c>
      <c r="M635" s="217" t="s">
        <v>31</v>
      </c>
      <c r="N635" s="217" t="s">
        <v>32</v>
      </c>
      <c r="O635" s="217" t="s">
        <v>68</v>
      </c>
      <c r="P635" s="217" t="s">
        <v>34</v>
      </c>
      <c r="Q635" s="217" t="s">
        <v>35</v>
      </c>
      <c r="R635" s="217" t="s">
        <v>23</v>
      </c>
      <c r="S635" s="217" t="s">
        <v>22</v>
      </c>
      <c r="T635" s="217" t="s">
        <v>84</v>
      </c>
      <c r="U635" s="217" t="s">
        <v>85</v>
      </c>
      <c r="V635" s="217" t="s">
        <v>91</v>
      </c>
      <c r="W635" s="217" t="s">
        <v>92</v>
      </c>
      <c r="BC635" s="217" t="s">
        <v>37</v>
      </c>
      <c r="BD635" s="217" t="s">
        <v>547</v>
      </c>
      <c r="BE635" s="217" t="s">
        <v>1411</v>
      </c>
      <c r="BF635" s="217" t="s">
        <v>549</v>
      </c>
      <c r="BG635" s="217" t="s">
        <v>1998</v>
      </c>
      <c r="BH635" s="217" t="s">
        <v>1658</v>
      </c>
      <c r="BI635" s="217" t="s">
        <v>1660</v>
      </c>
      <c r="BJ635" s="217" t="s">
        <v>1658</v>
      </c>
      <c r="BK635" s="217" t="s">
        <v>637</v>
      </c>
      <c r="BL635" s="217"/>
      <c r="BM635" s="217"/>
      <c r="BN635" s="217">
        <v>0</v>
      </c>
      <c r="BO635" s="217">
        <v>0</v>
      </c>
      <c r="BR635" s="217" t="s">
        <v>37</v>
      </c>
      <c r="BS635" s="217" t="s">
        <v>247</v>
      </c>
      <c r="BT635" s="217" t="s">
        <v>248</v>
      </c>
      <c r="BU635" s="217" t="s">
        <v>1452</v>
      </c>
      <c r="BV635" s="217">
        <v>142</v>
      </c>
      <c r="BW635" s="217">
        <v>705</v>
      </c>
      <c r="BX635" s="217">
        <v>0</v>
      </c>
      <c r="BY635" s="217">
        <v>0</v>
      </c>
      <c r="BZ635" s="217">
        <v>15</v>
      </c>
      <c r="CA635" s="217">
        <v>75</v>
      </c>
      <c r="CB635" s="217">
        <v>142</v>
      </c>
      <c r="CC635" s="217">
        <v>705</v>
      </c>
      <c r="CD635" s="217">
        <v>0</v>
      </c>
      <c r="CE635" s="217">
        <v>0</v>
      </c>
      <c r="CF635" s="217">
        <v>15</v>
      </c>
      <c r="CG635" s="217">
        <v>75</v>
      </c>
      <c r="CH635" s="217">
        <v>0</v>
      </c>
      <c r="CI635" s="217">
        <v>0</v>
      </c>
      <c r="CJ635" s="217">
        <v>0</v>
      </c>
    </row>
    <row r="636" spans="1:88" x14ac:dyDescent="0.25">
      <c r="A636" s="217" t="s">
        <v>22</v>
      </c>
      <c r="B636" s="217" t="s">
        <v>23</v>
      </c>
      <c r="C636" s="217" t="s">
        <v>85</v>
      </c>
      <c r="D636" s="217" t="s">
        <v>84</v>
      </c>
      <c r="E636" s="217" t="s">
        <v>98</v>
      </c>
      <c r="F636" s="217" t="s">
        <v>97</v>
      </c>
      <c r="G636" s="217" t="s">
        <v>822</v>
      </c>
      <c r="H636" s="217" t="s">
        <v>1264</v>
      </c>
      <c r="I636" s="217" t="s">
        <v>29</v>
      </c>
      <c r="J636" s="217" t="s">
        <v>1858</v>
      </c>
      <c r="K636" s="217">
        <v>4</v>
      </c>
      <c r="L636" s="217">
        <v>21</v>
      </c>
      <c r="M636" s="217" t="s">
        <v>31</v>
      </c>
      <c r="N636" s="217" t="s">
        <v>32</v>
      </c>
      <c r="O636" s="217" t="s">
        <v>68</v>
      </c>
      <c r="P636" s="217" t="s">
        <v>34</v>
      </c>
      <c r="Q636" s="217" t="s">
        <v>35</v>
      </c>
      <c r="R636" s="217" t="s">
        <v>23</v>
      </c>
      <c r="S636" s="217" t="s">
        <v>22</v>
      </c>
      <c r="T636" s="217" t="s">
        <v>84</v>
      </c>
      <c r="U636" s="217" t="s">
        <v>85</v>
      </c>
      <c r="V636" s="217" t="s">
        <v>109</v>
      </c>
      <c r="W636" s="217" t="s">
        <v>110</v>
      </c>
      <c r="BC636" s="217" t="s">
        <v>37</v>
      </c>
      <c r="BD636" s="217" t="s">
        <v>547</v>
      </c>
      <c r="BE636" s="217" t="s">
        <v>1412</v>
      </c>
      <c r="BF636" s="217" t="s">
        <v>550</v>
      </c>
      <c r="BG636" s="217" t="s">
        <v>1998</v>
      </c>
      <c r="BH636" s="217" t="s">
        <v>1658</v>
      </c>
      <c r="BI636" s="217" t="s">
        <v>1660</v>
      </c>
      <c r="BJ636" s="217" t="s">
        <v>1658</v>
      </c>
      <c r="BK636" s="217" t="s">
        <v>637</v>
      </c>
      <c r="BL636" s="217"/>
      <c r="BM636" s="217"/>
      <c r="BN636" s="217">
        <v>0</v>
      </c>
      <c r="BO636" s="217">
        <v>0</v>
      </c>
      <c r="BR636" s="217" t="s">
        <v>37</v>
      </c>
      <c r="BS636" s="217" t="s">
        <v>247</v>
      </c>
      <c r="BT636" s="217" t="s">
        <v>589</v>
      </c>
      <c r="BU636" s="217" t="s">
        <v>1456</v>
      </c>
      <c r="BV636" s="217">
        <v>3</v>
      </c>
      <c r="BW636" s="217">
        <v>15</v>
      </c>
      <c r="BX636" s="217">
        <v>0</v>
      </c>
      <c r="BY636" s="217">
        <v>0</v>
      </c>
      <c r="BZ636" s="217">
        <v>10</v>
      </c>
      <c r="CA636" s="217">
        <v>55</v>
      </c>
      <c r="CB636" s="217">
        <v>3</v>
      </c>
      <c r="CC636" s="217">
        <v>15</v>
      </c>
      <c r="CD636" s="217">
        <v>0</v>
      </c>
      <c r="CE636" s="217">
        <v>0</v>
      </c>
      <c r="CF636" s="217">
        <v>10</v>
      </c>
      <c r="CG636" s="217">
        <v>55</v>
      </c>
      <c r="CH636" s="217">
        <v>0</v>
      </c>
      <c r="CI636" s="217">
        <v>0</v>
      </c>
      <c r="CJ636" s="217">
        <v>0</v>
      </c>
    </row>
    <row r="637" spans="1:88" x14ac:dyDescent="0.25">
      <c r="A637" s="217" t="s">
        <v>22</v>
      </c>
      <c r="B637" s="217" t="s">
        <v>23</v>
      </c>
      <c r="C637" s="217" t="s">
        <v>85</v>
      </c>
      <c r="D637" s="217" t="s">
        <v>84</v>
      </c>
      <c r="E637" s="217" t="s">
        <v>98</v>
      </c>
      <c r="F637" s="217" t="s">
        <v>97</v>
      </c>
      <c r="G637" s="217" t="s">
        <v>831</v>
      </c>
      <c r="H637" s="217" t="s">
        <v>1265</v>
      </c>
      <c r="I637" s="217" t="s">
        <v>29</v>
      </c>
      <c r="J637" s="217" t="s">
        <v>1858</v>
      </c>
      <c r="K637" s="217">
        <v>6</v>
      </c>
      <c r="L637" s="217">
        <v>32</v>
      </c>
      <c r="M637" s="217" t="s">
        <v>31</v>
      </c>
      <c r="N637" s="217" t="s">
        <v>32</v>
      </c>
      <c r="O637" s="217" t="s">
        <v>100</v>
      </c>
      <c r="P637" s="217" t="s">
        <v>34</v>
      </c>
      <c r="Q637" s="217" t="s">
        <v>35</v>
      </c>
      <c r="R637" s="217" t="s">
        <v>23</v>
      </c>
      <c r="S637" s="217" t="s">
        <v>22</v>
      </c>
      <c r="T637" s="217" t="s">
        <v>84</v>
      </c>
      <c r="U637" s="217" t="s">
        <v>85</v>
      </c>
      <c r="V637" s="217" t="s">
        <v>97</v>
      </c>
      <c r="W637" s="217" t="s">
        <v>98</v>
      </c>
      <c r="BC637" s="217" t="s">
        <v>37</v>
      </c>
      <c r="BD637" s="217" t="s">
        <v>547</v>
      </c>
      <c r="BE637" s="217" t="s">
        <v>1413</v>
      </c>
      <c r="BF637" s="217" t="s">
        <v>551</v>
      </c>
      <c r="BG637" s="217" t="s">
        <v>1998</v>
      </c>
      <c r="BH637" s="217" t="s">
        <v>1658</v>
      </c>
      <c r="BI637" s="217" t="s">
        <v>1660</v>
      </c>
      <c r="BJ637" s="217" t="s">
        <v>1658</v>
      </c>
      <c r="BK637" s="217" t="s">
        <v>637</v>
      </c>
      <c r="BL637" s="217"/>
      <c r="BM637" s="217"/>
      <c r="BN637" s="217">
        <v>0</v>
      </c>
      <c r="BO637" s="217">
        <v>0</v>
      </c>
      <c r="BR637" s="217" t="s">
        <v>37</v>
      </c>
      <c r="BS637" s="217" t="s">
        <v>247</v>
      </c>
      <c r="BT637" s="217" t="s">
        <v>585</v>
      </c>
      <c r="BU637" s="217" t="s">
        <v>1450</v>
      </c>
      <c r="BV637" s="217">
        <v>12</v>
      </c>
      <c r="BW637" s="217">
        <v>80</v>
      </c>
      <c r="BX637" s="217">
        <v>0</v>
      </c>
      <c r="BY637" s="217">
        <v>0</v>
      </c>
      <c r="BZ637" s="217">
        <v>16</v>
      </c>
      <c r="CA637" s="217">
        <v>86</v>
      </c>
      <c r="CB637" s="217">
        <v>12</v>
      </c>
      <c r="CC637" s="217">
        <v>80</v>
      </c>
      <c r="CD637" s="217">
        <v>0</v>
      </c>
      <c r="CE637" s="217">
        <v>0</v>
      </c>
      <c r="CF637" s="217">
        <v>16</v>
      </c>
      <c r="CG637" s="217">
        <v>86</v>
      </c>
      <c r="CH637" s="217">
        <v>0</v>
      </c>
      <c r="CI637" s="217">
        <v>0</v>
      </c>
      <c r="CJ637" s="217">
        <v>0</v>
      </c>
    </row>
    <row r="638" spans="1:88" x14ac:dyDescent="0.25">
      <c r="A638" s="217" t="s">
        <v>22</v>
      </c>
      <c r="B638" s="217" t="s">
        <v>23</v>
      </c>
      <c r="C638" s="217" t="s">
        <v>85</v>
      </c>
      <c r="D638" s="217" t="s">
        <v>84</v>
      </c>
      <c r="E638" s="217" t="s">
        <v>98</v>
      </c>
      <c r="F638" s="217" t="s">
        <v>97</v>
      </c>
      <c r="G638" s="217" t="s">
        <v>446</v>
      </c>
      <c r="H638" s="217" t="s">
        <v>1266</v>
      </c>
      <c r="I638" s="217" t="s">
        <v>29</v>
      </c>
      <c r="J638" s="217" t="s">
        <v>1855</v>
      </c>
      <c r="K638" s="217">
        <v>27</v>
      </c>
      <c r="L638" s="217">
        <v>230</v>
      </c>
      <c r="M638" s="217" t="s">
        <v>31</v>
      </c>
      <c r="N638" s="217" t="s">
        <v>32</v>
      </c>
      <c r="O638" s="217" t="s">
        <v>100</v>
      </c>
      <c r="P638" s="217" t="s">
        <v>34</v>
      </c>
      <c r="Q638" s="217" t="s">
        <v>35</v>
      </c>
      <c r="R638" s="217" t="s">
        <v>23</v>
      </c>
      <c r="S638" s="217" t="s">
        <v>22</v>
      </c>
      <c r="T638" s="217" t="s">
        <v>84</v>
      </c>
      <c r="U638" s="217" t="s">
        <v>85</v>
      </c>
      <c r="V638" s="217" t="s">
        <v>97</v>
      </c>
      <c r="W638" s="217" t="s">
        <v>98</v>
      </c>
      <c r="BC638" s="217" t="s">
        <v>37</v>
      </c>
      <c r="BD638" s="217" t="s">
        <v>547</v>
      </c>
      <c r="BE638" s="217" t="s">
        <v>1414</v>
      </c>
      <c r="BF638" s="217" t="s">
        <v>552</v>
      </c>
      <c r="BG638" s="217" t="s">
        <v>1998</v>
      </c>
      <c r="BH638" s="217" t="s">
        <v>1658</v>
      </c>
      <c r="BI638" s="217" t="s">
        <v>1658</v>
      </c>
      <c r="BJ638" s="217" t="s">
        <v>1658</v>
      </c>
      <c r="BK638" s="217" t="s">
        <v>637</v>
      </c>
      <c r="BL638" s="217"/>
      <c r="BM638" s="217"/>
      <c r="BN638" s="217">
        <v>0</v>
      </c>
      <c r="BO638" s="217">
        <v>0</v>
      </c>
      <c r="BR638" s="217" t="s">
        <v>37</v>
      </c>
      <c r="BS638" s="217" t="s">
        <v>247</v>
      </c>
      <c r="BT638" s="217" t="s">
        <v>593</v>
      </c>
      <c r="BU638" s="217" t="s">
        <v>1461</v>
      </c>
      <c r="BV638" s="217">
        <v>20</v>
      </c>
      <c r="BW638" s="217">
        <v>128</v>
      </c>
      <c r="BX638" s="217">
        <v>0</v>
      </c>
      <c r="BY638" s="217">
        <v>0</v>
      </c>
      <c r="BZ638" s="217">
        <v>8</v>
      </c>
      <c r="CA638" s="217">
        <v>40</v>
      </c>
      <c r="CB638" s="217">
        <v>20</v>
      </c>
      <c r="CC638" s="217">
        <v>128</v>
      </c>
      <c r="CD638" s="217">
        <v>0</v>
      </c>
      <c r="CE638" s="217">
        <v>0</v>
      </c>
      <c r="CF638" s="217">
        <v>8</v>
      </c>
      <c r="CG638" s="217">
        <v>40</v>
      </c>
      <c r="CH638" s="217">
        <v>0</v>
      </c>
      <c r="CI638" s="217">
        <v>0</v>
      </c>
      <c r="CJ638" s="217">
        <v>0</v>
      </c>
    </row>
    <row r="639" spans="1:88" x14ac:dyDescent="0.25">
      <c r="A639" s="217" t="s">
        <v>22</v>
      </c>
      <c r="B639" s="217" t="s">
        <v>23</v>
      </c>
      <c r="C639" s="217" t="s">
        <v>85</v>
      </c>
      <c r="D639" s="217" t="s">
        <v>84</v>
      </c>
      <c r="E639" s="217" t="s">
        <v>98</v>
      </c>
      <c r="F639" s="217" t="s">
        <v>97</v>
      </c>
      <c r="G639" s="217" t="s">
        <v>446</v>
      </c>
      <c r="H639" s="217" t="s">
        <v>1266</v>
      </c>
      <c r="I639" s="217" t="s">
        <v>29</v>
      </c>
      <c r="J639" s="217" t="s">
        <v>1856</v>
      </c>
      <c r="K639" s="217">
        <v>5</v>
      </c>
      <c r="L639" s="217">
        <v>43</v>
      </c>
      <c r="M639" s="217" t="s">
        <v>31</v>
      </c>
      <c r="N639" s="217" t="s">
        <v>32</v>
      </c>
      <c r="O639" s="217" t="s">
        <v>100</v>
      </c>
      <c r="P639" s="217" t="s">
        <v>34</v>
      </c>
      <c r="Q639" s="217" t="s">
        <v>35</v>
      </c>
      <c r="R639" s="217" t="s">
        <v>23</v>
      </c>
      <c r="S639" s="217" t="s">
        <v>22</v>
      </c>
      <c r="T639" s="217" t="s">
        <v>84</v>
      </c>
      <c r="U639" s="217" t="s">
        <v>85</v>
      </c>
      <c r="V639" s="217" t="s">
        <v>97</v>
      </c>
      <c r="W639" s="217" t="s">
        <v>98</v>
      </c>
      <c r="BC639" s="217" t="s">
        <v>37</v>
      </c>
      <c r="BD639" s="217" t="s">
        <v>547</v>
      </c>
      <c r="BE639" s="217" t="s">
        <v>1415</v>
      </c>
      <c r="BF639" s="217" t="s">
        <v>553</v>
      </c>
      <c r="BG639" s="217" t="s">
        <v>1998</v>
      </c>
      <c r="BH639" s="217" t="s">
        <v>1658</v>
      </c>
      <c r="BI639" s="217" t="s">
        <v>1660</v>
      </c>
      <c r="BJ639" s="217" t="s">
        <v>1658</v>
      </c>
      <c r="BK639" s="217" t="s">
        <v>637</v>
      </c>
      <c r="BL639" s="217"/>
      <c r="BM639" s="217"/>
      <c r="BN639" s="217">
        <v>0</v>
      </c>
      <c r="BO639" s="217">
        <v>0</v>
      </c>
      <c r="BR639" s="217" t="s">
        <v>37</v>
      </c>
      <c r="BS639" s="217" t="s">
        <v>247</v>
      </c>
      <c r="BT639" s="217" t="s">
        <v>583</v>
      </c>
      <c r="BU639" s="217" t="s">
        <v>1447</v>
      </c>
      <c r="BV639" s="217">
        <v>0</v>
      </c>
      <c r="BW639" s="217">
        <v>0</v>
      </c>
      <c r="BX639" s="217">
        <v>0</v>
      </c>
      <c r="BY639" s="217">
        <v>0</v>
      </c>
      <c r="BZ639" s="217">
        <v>6</v>
      </c>
      <c r="CA639" s="217">
        <v>48</v>
      </c>
      <c r="CB639" s="217">
        <v>0</v>
      </c>
      <c r="CC639" s="217">
        <v>0</v>
      </c>
      <c r="CD639" s="217">
        <v>0</v>
      </c>
      <c r="CE639" s="217">
        <v>0</v>
      </c>
      <c r="CF639" s="217">
        <v>6</v>
      </c>
      <c r="CG639" s="217">
        <v>48</v>
      </c>
      <c r="CH639" s="217">
        <v>0</v>
      </c>
      <c r="CI639" s="217">
        <v>0</v>
      </c>
      <c r="CJ639" s="217">
        <v>0</v>
      </c>
    </row>
    <row r="640" spans="1:88" x14ac:dyDescent="0.25">
      <c r="A640" s="217" t="s">
        <v>22</v>
      </c>
      <c r="B640" s="217" t="s">
        <v>23</v>
      </c>
      <c r="C640" s="217" t="s">
        <v>85</v>
      </c>
      <c r="D640" s="217" t="s">
        <v>84</v>
      </c>
      <c r="E640" s="217" t="s">
        <v>98</v>
      </c>
      <c r="F640" s="217" t="s">
        <v>97</v>
      </c>
      <c r="G640" s="217" t="s">
        <v>446</v>
      </c>
      <c r="H640" s="217" t="s">
        <v>1266</v>
      </c>
      <c r="I640" s="217" t="s">
        <v>29</v>
      </c>
      <c r="J640" s="217" t="s">
        <v>1858</v>
      </c>
      <c r="K640" s="217">
        <v>8</v>
      </c>
      <c r="L640" s="217">
        <v>67</v>
      </c>
      <c r="M640" s="217" t="s">
        <v>31</v>
      </c>
      <c r="N640" s="217" t="s">
        <v>32</v>
      </c>
      <c r="O640" s="217" t="s">
        <v>100</v>
      </c>
      <c r="P640" s="217" t="s">
        <v>34</v>
      </c>
      <c r="Q640" s="217" t="s">
        <v>35</v>
      </c>
      <c r="R640" s="217" t="s">
        <v>23</v>
      </c>
      <c r="S640" s="217" t="s">
        <v>22</v>
      </c>
      <c r="T640" s="217" t="s">
        <v>84</v>
      </c>
      <c r="U640" s="217" t="s">
        <v>85</v>
      </c>
      <c r="V640" s="217" t="s">
        <v>97</v>
      </c>
      <c r="W640" s="217" t="s">
        <v>98</v>
      </c>
      <c r="BC640" s="217" t="s">
        <v>37</v>
      </c>
      <c r="BD640" s="217" t="s">
        <v>547</v>
      </c>
      <c r="BE640" s="217" t="s">
        <v>1416</v>
      </c>
      <c r="BF640" s="217" t="s">
        <v>554</v>
      </c>
      <c r="BG640" s="217" t="s">
        <v>1998</v>
      </c>
      <c r="BH640" s="217" t="s">
        <v>1658</v>
      </c>
      <c r="BI640" s="217" t="s">
        <v>1660</v>
      </c>
      <c r="BJ640" s="217" t="s">
        <v>1660</v>
      </c>
      <c r="BK640" s="217" t="s">
        <v>637</v>
      </c>
      <c r="BL640" s="217"/>
      <c r="BM640" s="217"/>
      <c r="BN640" s="217">
        <v>0</v>
      </c>
      <c r="BO640" s="217">
        <v>0</v>
      </c>
      <c r="BR640" s="217" t="s">
        <v>37</v>
      </c>
      <c r="BS640" s="217" t="s">
        <v>247</v>
      </c>
      <c r="BT640" s="217" t="s">
        <v>582</v>
      </c>
      <c r="BU640" s="217" t="s">
        <v>1446</v>
      </c>
      <c r="BV640" s="217">
        <v>216</v>
      </c>
      <c r="BW640" s="217">
        <v>1080</v>
      </c>
      <c r="BX640" s="217">
        <v>0</v>
      </c>
      <c r="BY640" s="217">
        <v>0</v>
      </c>
      <c r="BZ640" s="217">
        <v>123</v>
      </c>
      <c r="CA640" s="217">
        <v>617</v>
      </c>
      <c r="CB640" s="217">
        <v>216</v>
      </c>
      <c r="CC640" s="217">
        <v>1080</v>
      </c>
      <c r="CD640" s="217">
        <v>0</v>
      </c>
      <c r="CE640" s="217">
        <v>0</v>
      </c>
      <c r="CF640" s="217">
        <v>123</v>
      </c>
      <c r="CG640" s="217">
        <v>617</v>
      </c>
      <c r="CH640" s="217">
        <v>0</v>
      </c>
      <c r="CI640" s="217">
        <v>0</v>
      </c>
      <c r="CJ640" s="217">
        <v>0</v>
      </c>
    </row>
    <row r="641" spans="1:88" x14ac:dyDescent="0.25">
      <c r="A641" s="217" t="s">
        <v>22</v>
      </c>
      <c r="B641" s="217" t="s">
        <v>23</v>
      </c>
      <c r="C641" s="217" t="s">
        <v>85</v>
      </c>
      <c r="D641" s="217" t="s">
        <v>84</v>
      </c>
      <c r="E641" s="217" t="s">
        <v>98</v>
      </c>
      <c r="F641" s="217" t="s">
        <v>97</v>
      </c>
      <c r="G641" s="217" t="s">
        <v>447</v>
      </c>
      <c r="H641" s="217" t="s">
        <v>1267</v>
      </c>
      <c r="I641" s="217" t="s">
        <v>29</v>
      </c>
      <c r="J641" s="217" t="s">
        <v>1856</v>
      </c>
      <c r="K641" s="217">
        <v>7</v>
      </c>
      <c r="L641" s="217">
        <v>38</v>
      </c>
      <c r="M641" s="217" t="s">
        <v>31</v>
      </c>
      <c r="N641" s="217" t="s">
        <v>32</v>
      </c>
      <c r="O641" s="217" t="s">
        <v>100</v>
      </c>
      <c r="P641" s="217" t="s">
        <v>34</v>
      </c>
      <c r="Q641" s="217" t="s">
        <v>35</v>
      </c>
      <c r="R641" s="217" t="s">
        <v>23</v>
      </c>
      <c r="S641" s="217" t="s">
        <v>22</v>
      </c>
      <c r="T641" s="217" t="s">
        <v>84</v>
      </c>
      <c r="U641" s="217" t="s">
        <v>85</v>
      </c>
      <c r="V641" s="217" t="s">
        <v>97</v>
      </c>
      <c r="W641" s="217" t="s">
        <v>98</v>
      </c>
      <c r="BC641" s="217" t="s">
        <v>37</v>
      </c>
      <c r="BD641" s="217" t="s">
        <v>547</v>
      </c>
      <c r="BE641" s="217" t="s">
        <v>1417</v>
      </c>
      <c r="BF641" s="217" t="s">
        <v>555</v>
      </c>
      <c r="BG641" s="217" t="s">
        <v>1998</v>
      </c>
      <c r="BH641" s="217" t="s">
        <v>1658</v>
      </c>
      <c r="BI641" s="217" t="s">
        <v>1660</v>
      </c>
      <c r="BJ641" s="217" t="s">
        <v>1658</v>
      </c>
      <c r="BK641" s="217" t="s">
        <v>637</v>
      </c>
      <c r="BL641" s="217"/>
      <c r="BM641" s="217"/>
      <c r="BN641" s="217">
        <v>0</v>
      </c>
      <c r="BO641" s="217">
        <v>0</v>
      </c>
      <c r="BR641" s="217" t="s">
        <v>37</v>
      </c>
      <c r="BS641" s="217" t="s">
        <v>247</v>
      </c>
      <c r="BT641" s="217" t="s">
        <v>591</v>
      </c>
      <c r="BU641" s="217" t="s">
        <v>1459</v>
      </c>
      <c r="BV641" s="217">
        <v>36</v>
      </c>
      <c r="BW641" s="217">
        <v>180</v>
      </c>
      <c r="BX641" s="217">
        <v>0</v>
      </c>
      <c r="BY641" s="217">
        <v>0</v>
      </c>
      <c r="BZ641" s="217">
        <v>7</v>
      </c>
      <c r="CA641" s="217">
        <v>41</v>
      </c>
      <c r="CB641" s="217">
        <v>36</v>
      </c>
      <c r="CC641" s="217">
        <v>180</v>
      </c>
      <c r="CD641" s="217">
        <v>0</v>
      </c>
      <c r="CE641" s="217">
        <v>0</v>
      </c>
      <c r="CF641" s="217">
        <v>7</v>
      </c>
      <c r="CG641" s="217">
        <v>41</v>
      </c>
      <c r="CH641" s="217">
        <v>0</v>
      </c>
      <c r="CI641" s="217">
        <v>0</v>
      </c>
      <c r="CJ641" s="217">
        <v>0</v>
      </c>
    </row>
    <row r="642" spans="1:88" x14ac:dyDescent="0.25">
      <c r="A642" s="217" t="s">
        <v>22</v>
      </c>
      <c r="B642" s="217" t="s">
        <v>23</v>
      </c>
      <c r="C642" s="217" t="s">
        <v>85</v>
      </c>
      <c r="D642" s="217" t="s">
        <v>84</v>
      </c>
      <c r="E642" s="217" t="s">
        <v>98</v>
      </c>
      <c r="F642" s="217" t="s">
        <v>97</v>
      </c>
      <c r="G642" s="217" t="s">
        <v>806</v>
      </c>
      <c r="H642" s="217" t="s">
        <v>1268</v>
      </c>
      <c r="I642" s="217" t="s">
        <v>29</v>
      </c>
      <c r="J642" s="217" t="s">
        <v>1856</v>
      </c>
      <c r="K642" s="217">
        <v>4</v>
      </c>
      <c r="L642" s="217">
        <v>34</v>
      </c>
      <c r="M642" s="217" t="s">
        <v>31</v>
      </c>
      <c r="N642" s="217" t="s">
        <v>32</v>
      </c>
      <c r="O642" s="217" t="s">
        <v>100</v>
      </c>
      <c r="P642" s="217" t="s">
        <v>34</v>
      </c>
      <c r="Q642" s="217" t="s">
        <v>35</v>
      </c>
      <c r="R642" s="217" t="s">
        <v>23</v>
      </c>
      <c r="S642" s="217" t="s">
        <v>22</v>
      </c>
      <c r="T642" s="217" t="s">
        <v>84</v>
      </c>
      <c r="U642" s="217" t="s">
        <v>85</v>
      </c>
      <c r="V642" s="217" t="s">
        <v>97</v>
      </c>
      <c r="W642" s="217" t="s">
        <v>98</v>
      </c>
      <c r="BC642" s="217" t="s">
        <v>37</v>
      </c>
      <c r="BD642" s="217" t="s">
        <v>547</v>
      </c>
      <c r="BE642" s="217" t="s">
        <v>1418</v>
      </c>
      <c r="BF642" s="217" t="s">
        <v>556</v>
      </c>
      <c r="BG642" s="217" t="s">
        <v>1998</v>
      </c>
      <c r="BH642" s="217" t="s">
        <v>1658</v>
      </c>
      <c r="BI642" s="217" t="s">
        <v>1660</v>
      </c>
      <c r="BJ642" s="217" t="s">
        <v>1658</v>
      </c>
      <c r="BK642" s="217" t="s">
        <v>637</v>
      </c>
      <c r="BL642" s="217"/>
      <c r="BM642" s="217"/>
      <c r="BN642" s="217">
        <v>0</v>
      </c>
      <c r="BO642" s="217">
        <v>0</v>
      </c>
      <c r="BR642" s="217" t="s">
        <v>37</v>
      </c>
      <c r="BS642" s="217" t="s">
        <v>247</v>
      </c>
      <c r="BT642" s="217" t="s">
        <v>587</v>
      </c>
      <c r="BU642" s="217" t="s">
        <v>1453</v>
      </c>
      <c r="BV642" s="217">
        <v>40</v>
      </c>
      <c r="BW642" s="217">
        <v>228</v>
      </c>
      <c r="BX642" s="217">
        <v>0</v>
      </c>
      <c r="BY642" s="217">
        <v>0</v>
      </c>
      <c r="BZ642" s="217">
        <v>127</v>
      </c>
      <c r="CA642" s="217">
        <v>686</v>
      </c>
      <c r="CB642" s="217">
        <v>40</v>
      </c>
      <c r="CC642" s="217">
        <v>228</v>
      </c>
      <c r="CD642" s="217">
        <v>0</v>
      </c>
      <c r="CE642" s="217">
        <v>0</v>
      </c>
      <c r="CF642" s="217">
        <v>127</v>
      </c>
      <c r="CG642" s="217">
        <v>686</v>
      </c>
      <c r="CH642" s="217">
        <v>0</v>
      </c>
      <c r="CI642" s="217">
        <v>0</v>
      </c>
      <c r="CJ642" s="217">
        <v>0</v>
      </c>
    </row>
    <row r="643" spans="1:88" x14ac:dyDescent="0.25">
      <c r="A643" s="217" t="s">
        <v>22</v>
      </c>
      <c r="B643" s="217" t="s">
        <v>23</v>
      </c>
      <c r="C643" s="217" t="s">
        <v>85</v>
      </c>
      <c r="D643" s="217" t="s">
        <v>84</v>
      </c>
      <c r="E643" s="217" t="s">
        <v>98</v>
      </c>
      <c r="F643" s="217" t="s">
        <v>97</v>
      </c>
      <c r="G643" s="217" t="s">
        <v>448</v>
      </c>
      <c r="H643" s="217" t="s">
        <v>1269</v>
      </c>
      <c r="I643" s="217" t="s">
        <v>29</v>
      </c>
      <c r="J643" s="217" t="s">
        <v>1856</v>
      </c>
      <c r="K643" s="217">
        <v>15</v>
      </c>
      <c r="L643" s="217">
        <v>127</v>
      </c>
      <c r="M643" s="217" t="s">
        <v>31</v>
      </c>
      <c r="N643" s="217" t="s">
        <v>32</v>
      </c>
      <c r="O643" s="217" t="s">
        <v>100</v>
      </c>
      <c r="P643" s="217" t="s">
        <v>34</v>
      </c>
      <c r="Q643" s="217" t="s">
        <v>35</v>
      </c>
      <c r="R643" s="217" t="s">
        <v>23</v>
      </c>
      <c r="S643" s="217" t="s">
        <v>22</v>
      </c>
      <c r="T643" s="217" t="s">
        <v>84</v>
      </c>
      <c r="U643" s="217" t="s">
        <v>85</v>
      </c>
      <c r="V643" s="217" t="s">
        <v>97</v>
      </c>
      <c r="W643" s="217" t="s">
        <v>98</v>
      </c>
      <c r="BC643" s="217" t="s">
        <v>37</v>
      </c>
      <c r="BD643" s="217" t="s">
        <v>547</v>
      </c>
      <c r="BE643" s="217" t="s">
        <v>1419</v>
      </c>
      <c r="BF643" s="217" t="s">
        <v>557</v>
      </c>
      <c r="BG643" s="217" t="s">
        <v>1998</v>
      </c>
      <c r="BH643" s="217" t="s">
        <v>1658</v>
      </c>
      <c r="BI643" s="217" t="s">
        <v>1660</v>
      </c>
      <c r="BJ643" s="217" t="s">
        <v>1658</v>
      </c>
      <c r="BK643" s="217" t="s">
        <v>637</v>
      </c>
      <c r="BL643" s="217"/>
      <c r="BM643" s="217"/>
      <c r="BN643" s="217">
        <v>0</v>
      </c>
      <c r="BO643" s="217">
        <v>0</v>
      </c>
      <c r="BR643" s="217" t="s">
        <v>37</v>
      </c>
      <c r="BS643" s="217" t="s">
        <v>247</v>
      </c>
      <c r="BT643" s="217" t="s">
        <v>580</v>
      </c>
      <c r="BU643" s="217" t="s">
        <v>1444</v>
      </c>
      <c r="BV643" s="217">
        <v>70</v>
      </c>
      <c r="BW643" s="217">
        <v>350</v>
      </c>
      <c r="BX643" s="217">
        <v>32</v>
      </c>
      <c r="BY643" s="217">
        <v>160</v>
      </c>
      <c r="BZ643" s="217">
        <v>20</v>
      </c>
      <c r="CA643" s="217">
        <v>100</v>
      </c>
      <c r="CB643" s="217">
        <v>70</v>
      </c>
      <c r="CC643" s="217">
        <v>350</v>
      </c>
      <c r="CD643" s="217">
        <v>32</v>
      </c>
      <c r="CE643" s="217">
        <v>160</v>
      </c>
      <c r="CF643" s="217">
        <v>20</v>
      </c>
      <c r="CG643" s="217">
        <v>100</v>
      </c>
      <c r="CH643" s="217">
        <v>0</v>
      </c>
      <c r="CI643" s="217">
        <v>0</v>
      </c>
      <c r="CJ643" s="217">
        <v>0</v>
      </c>
    </row>
    <row r="644" spans="1:88" x14ac:dyDescent="0.25">
      <c r="A644" s="217" t="s">
        <v>22</v>
      </c>
      <c r="B644" s="217" t="s">
        <v>23</v>
      </c>
      <c r="C644" s="217" t="s">
        <v>85</v>
      </c>
      <c r="D644" s="217" t="s">
        <v>84</v>
      </c>
      <c r="E644" s="217" t="s">
        <v>98</v>
      </c>
      <c r="F644" s="217" t="s">
        <v>97</v>
      </c>
      <c r="G644" s="217" t="s">
        <v>448</v>
      </c>
      <c r="H644" s="217" t="s">
        <v>1269</v>
      </c>
      <c r="I644" s="217" t="s">
        <v>29</v>
      </c>
      <c r="J644" s="217" t="s">
        <v>1857</v>
      </c>
      <c r="K644" s="217">
        <v>4</v>
      </c>
      <c r="L644" s="217">
        <v>51</v>
      </c>
      <c r="M644" s="217" t="s">
        <v>31</v>
      </c>
      <c r="N644" s="217" t="s">
        <v>32</v>
      </c>
      <c r="O644" s="217" t="s">
        <v>100</v>
      </c>
      <c r="P644" s="217" t="s">
        <v>34</v>
      </c>
      <c r="Q644" s="217" t="s">
        <v>35</v>
      </c>
      <c r="R644" s="217" t="s">
        <v>23</v>
      </c>
      <c r="S644" s="217" t="s">
        <v>22</v>
      </c>
      <c r="T644" s="217" t="s">
        <v>84</v>
      </c>
      <c r="U644" s="217" t="s">
        <v>85</v>
      </c>
      <c r="V644" s="217" t="s">
        <v>97</v>
      </c>
      <c r="W644" s="217" t="s">
        <v>98</v>
      </c>
      <c r="BC644" s="217" t="s">
        <v>37</v>
      </c>
      <c r="BD644" s="217" t="s">
        <v>547</v>
      </c>
      <c r="BE644" s="217" t="s">
        <v>1840</v>
      </c>
      <c r="BF644" s="217" t="s">
        <v>845</v>
      </c>
      <c r="BG644" s="217" t="s">
        <v>1998</v>
      </c>
      <c r="BH644" s="217" t="s">
        <v>1658</v>
      </c>
      <c r="BI644" s="217" t="s">
        <v>1660</v>
      </c>
      <c r="BJ644" s="217" t="s">
        <v>1658</v>
      </c>
      <c r="BK644" s="217" t="s">
        <v>637</v>
      </c>
      <c r="BL644" s="217"/>
      <c r="BM644" s="217"/>
      <c r="BN644" s="217">
        <v>0</v>
      </c>
      <c r="BO644" s="217">
        <v>0</v>
      </c>
      <c r="BR644" s="217" t="s">
        <v>37</v>
      </c>
      <c r="BS644" s="217" t="s">
        <v>247</v>
      </c>
      <c r="BT644" s="217" t="s">
        <v>1968</v>
      </c>
      <c r="BU644" s="217" t="s">
        <v>1457</v>
      </c>
      <c r="BV644" s="217">
        <v>62</v>
      </c>
      <c r="BW644" s="217">
        <v>375</v>
      </c>
      <c r="BX644" s="217">
        <v>0</v>
      </c>
      <c r="BY644" s="217">
        <v>0</v>
      </c>
      <c r="BZ644" s="217">
        <v>11</v>
      </c>
      <c r="CA644" s="217">
        <v>67</v>
      </c>
      <c r="CB644" s="217">
        <v>62</v>
      </c>
      <c r="CC644" s="217">
        <v>375</v>
      </c>
      <c r="CD644" s="217">
        <v>0</v>
      </c>
      <c r="CE644" s="217">
        <v>0</v>
      </c>
      <c r="CF644" s="217">
        <v>11</v>
      </c>
      <c r="CG644" s="217">
        <v>67</v>
      </c>
      <c r="CH644" s="217">
        <v>0</v>
      </c>
      <c r="CI644" s="217">
        <v>0</v>
      </c>
      <c r="CJ644" s="217">
        <v>0</v>
      </c>
    </row>
    <row r="645" spans="1:88" x14ac:dyDescent="0.25">
      <c r="A645" s="217" t="s">
        <v>22</v>
      </c>
      <c r="B645" s="217" t="s">
        <v>23</v>
      </c>
      <c r="C645" s="217" t="s">
        <v>85</v>
      </c>
      <c r="D645" s="217" t="s">
        <v>84</v>
      </c>
      <c r="E645" s="217" t="s">
        <v>98</v>
      </c>
      <c r="F645" s="217" t="s">
        <v>97</v>
      </c>
      <c r="G645" s="217" t="s">
        <v>449</v>
      </c>
      <c r="H645" s="217" t="s">
        <v>1270</v>
      </c>
      <c r="I645" s="217" t="s">
        <v>29</v>
      </c>
      <c r="J645" s="217" t="s">
        <v>1855</v>
      </c>
      <c r="K645" s="217">
        <v>6</v>
      </c>
      <c r="L645" s="217">
        <v>30</v>
      </c>
      <c r="M645" s="217" t="s">
        <v>31</v>
      </c>
      <c r="N645" s="217" t="s">
        <v>32</v>
      </c>
      <c r="O645" s="217" t="s">
        <v>100</v>
      </c>
      <c r="P645" s="217" t="s">
        <v>34</v>
      </c>
      <c r="Q645" s="217" t="s">
        <v>35</v>
      </c>
      <c r="R645" s="217" t="s">
        <v>23</v>
      </c>
      <c r="S645" s="217" t="s">
        <v>22</v>
      </c>
      <c r="T645" s="217" t="s">
        <v>84</v>
      </c>
      <c r="U645" s="217" t="s">
        <v>85</v>
      </c>
      <c r="V645" s="217" t="s">
        <v>97</v>
      </c>
      <c r="W645" s="217" t="s">
        <v>98</v>
      </c>
      <c r="BC645" s="217" t="s">
        <v>37</v>
      </c>
      <c r="BD645" s="217" t="s">
        <v>547</v>
      </c>
      <c r="BE645" s="217" t="s">
        <v>1420</v>
      </c>
      <c r="BF645" s="217" t="s">
        <v>558</v>
      </c>
      <c r="BG645" s="217" t="s">
        <v>1998</v>
      </c>
      <c r="BH645" s="217" t="s">
        <v>1658</v>
      </c>
      <c r="BI645" s="217" t="s">
        <v>1660</v>
      </c>
      <c r="BJ645" s="217" t="s">
        <v>1658</v>
      </c>
      <c r="BK645" s="217" t="s">
        <v>637</v>
      </c>
      <c r="BL645" s="217"/>
      <c r="BM645" s="217"/>
      <c r="BN645" s="217">
        <v>0</v>
      </c>
      <c r="BO645" s="217">
        <v>0</v>
      </c>
      <c r="BR645" s="217" t="s">
        <v>37</v>
      </c>
      <c r="BS645" s="217" t="s">
        <v>247</v>
      </c>
      <c r="BT645" s="217" t="s">
        <v>594</v>
      </c>
      <c r="BU645" s="217" t="s">
        <v>1462</v>
      </c>
      <c r="BV645" s="217">
        <v>49</v>
      </c>
      <c r="BW645" s="217">
        <v>243</v>
      </c>
      <c r="BX645" s="217">
        <v>0</v>
      </c>
      <c r="BY645" s="217">
        <v>0</v>
      </c>
      <c r="BZ645" s="217">
        <v>7</v>
      </c>
      <c r="CA645" s="217">
        <v>37</v>
      </c>
      <c r="CB645" s="217">
        <v>49</v>
      </c>
      <c r="CC645" s="217">
        <v>243</v>
      </c>
      <c r="CD645" s="217">
        <v>0</v>
      </c>
      <c r="CE645" s="217">
        <v>0</v>
      </c>
      <c r="CF645" s="217">
        <v>7</v>
      </c>
      <c r="CG645" s="217">
        <v>37</v>
      </c>
      <c r="CH645" s="217">
        <v>0</v>
      </c>
      <c r="CI645" s="217">
        <v>0</v>
      </c>
      <c r="CJ645" s="217">
        <v>0</v>
      </c>
    </row>
    <row r="646" spans="1:88" x14ac:dyDescent="0.25">
      <c r="A646" s="217" t="s">
        <v>22</v>
      </c>
      <c r="B646" s="217" t="s">
        <v>23</v>
      </c>
      <c r="C646" s="217" t="s">
        <v>85</v>
      </c>
      <c r="D646" s="217" t="s">
        <v>84</v>
      </c>
      <c r="E646" s="217" t="s">
        <v>98</v>
      </c>
      <c r="F646" s="217" t="s">
        <v>97</v>
      </c>
      <c r="G646" s="217" t="s">
        <v>449</v>
      </c>
      <c r="H646" s="217" t="s">
        <v>1270</v>
      </c>
      <c r="I646" s="217" t="s">
        <v>29</v>
      </c>
      <c r="J646" s="217" t="s">
        <v>1856</v>
      </c>
      <c r="K646" s="217">
        <v>1</v>
      </c>
      <c r="L646" s="217">
        <v>6</v>
      </c>
      <c r="M646" s="217" t="s">
        <v>31</v>
      </c>
      <c r="N646" s="217" t="s">
        <v>32</v>
      </c>
      <c r="O646" s="217" t="s">
        <v>100</v>
      </c>
      <c r="P646" s="217" t="s">
        <v>34</v>
      </c>
      <c r="Q646" s="217" t="s">
        <v>35</v>
      </c>
      <c r="R646" s="217" t="s">
        <v>23</v>
      </c>
      <c r="S646" s="217" t="s">
        <v>22</v>
      </c>
      <c r="T646" s="217" t="s">
        <v>84</v>
      </c>
      <c r="U646" s="217" t="s">
        <v>85</v>
      </c>
      <c r="V646" s="217" t="s">
        <v>97</v>
      </c>
      <c r="W646" s="217" t="s">
        <v>98</v>
      </c>
      <c r="BC646" s="217" t="s">
        <v>37</v>
      </c>
      <c r="BD646" s="217" t="s">
        <v>547</v>
      </c>
      <c r="BE646" s="217" t="s">
        <v>1421</v>
      </c>
      <c r="BF646" s="217" t="s">
        <v>559</v>
      </c>
      <c r="BG646" s="217" t="s">
        <v>1998</v>
      </c>
      <c r="BH646" s="217" t="s">
        <v>1658</v>
      </c>
      <c r="BI646" s="217" t="s">
        <v>1660</v>
      </c>
      <c r="BJ646" s="217" t="s">
        <v>1658</v>
      </c>
      <c r="BK646" s="217" t="s">
        <v>637</v>
      </c>
      <c r="BL646" s="217"/>
      <c r="BM646" s="217"/>
      <c r="BN646" s="217">
        <v>0</v>
      </c>
      <c r="BO646" s="217">
        <v>0</v>
      </c>
      <c r="BR646" s="217" t="s">
        <v>37</v>
      </c>
      <c r="BS646" s="217" t="s">
        <v>247</v>
      </c>
      <c r="BT646" s="217" t="s">
        <v>595</v>
      </c>
      <c r="BU646" s="217" t="s">
        <v>1463</v>
      </c>
      <c r="BV646" s="217">
        <v>60</v>
      </c>
      <c r="BW646" s="217">
        <v>356</v>
      </c>
      <c r="BX646" s="217">
        <v>0</v>
      </c>
      <c r="BY646" s="217">
        <v>0</v>
      </c>
      <c r="BZ646" s="217">
        <v>8</v>
      </c>
      <c r="CA646" s="217">
        <v>40</v>
      </c>
      <c r="CB646" s="217">
        <v>60</v>
      </c>
      <c r="CC646" s="217">
        <v>356</v>
      </c>
      <c r="CD646" s="217">
        <v>0</v>
      </c>
      <c r="CE646" s="217">
        <v>0</v>
      </c>
      <c r="CF646" s="217">
        <v>8</v>
      </c>
      <c r="CG646" s="217">
        <v>40</v>
      </c>
      <c r="CH646" s="217">
        <v>0</v>
      </c>
      <c r="CI646" s="217">
        <v>0</v>
      </c>
      <c r="CJ646" s="217">
        <v>0</v>
      </c>
    </row>
    <row r="647" spans="1:88" x14ac:dyDescent="0.25">
      <c r="A647" s="217" t="s">
        <v>22</v>
      </c>
      <c r="B647" s="217" t="s">
        <v>23</v>
      </c>
      <c r="C647" s="217" t="s">
        <v>85</v>
      </c>
      <c r="D647" s="217" t="s">
        <v>84</v>
      </c>
      <c r="E647" s="217" t="s">
        <v>98</v>
      </c>
      <c r="F647" s="217" t="s">
        <v>97</v>
      </c>
      <c r="G647" s="217" t="s">
        <v>450</v>
      </c>
      <c r="H647" s="217" t="s">
        <v>1271</v>
      </c>
      <c r="I647" s="217" t="s">
        <v>29</v>
      </c>
      <c r="J647" s="217" t="s">
        <v>1857</v>
      </c>
      <c r="K647" s="217">
        <v>8</v>
      </c>
      <c r="L647" s="217">
        <v>60</v>
      </c>
      <c r="M647" s="217" t="s">
        <v>31</v>
      </c>
      <c r="N647" s="217" t="s">
        <v>32</v>
      </c>
      <c r="O647" s="217" t="s">
        <v>100</v>
      </c>
      <c r="P647" s="217" t="s">
        <v>34</v>
      </c>
      <c r="Q647" s="217" t="s">
        <v>35</v>
      </c>
      <c r="R647" s="217" t="s">
        <v>23</v>
      </c>
      <c r="S647" s="217" t="s">
        <v>22</v>
      </c>
      <c r="T647" s="217" t="s">
        <v>84</v>
      </c>
      <c r="U647" s="217" t="s">
        <v>85</v>
      </c>
      <c r="V647" s="217" t="s">
        <v>97</v>
      </c>
      <c r="W647" s="217" t="s">
        <v>98</v>
      </c>
      <c r="BC647" s="217" t="s">
        <v>37</v>
      </c>
      <c r="BD647" s="217" t="s">
        <v>547</v>
      </c>
      <c r="BE647" s="217" t="s">
        <v>1422</v>
      </c>
      <c r="BF647" s="217" t="s">
        <v>560</v>
      </c>
      <c r="BG647" s="217" t="s">
        <v>1998</v>
      </c>
      <c r="BH647" s="217" t="s">
        <v>1658</v>
      </c>
      <c r="BI647" s="217" t="s">
        <v>1660</v>
      </c>
      <c r="BJ647" s="217" t="s">
        <v>1660</v>
      </c>
      <c r="BK647" s="217" t="s">
        <v>637</v>
      </c>
      <c r="BL647" s="217"/>
      <c r="BM647" s="217"/>
      <c r="BN647" s="217">
        <v>0</v>
      </c>
      <c r="BO647" s="217">
        <v>0</v>
      </c>
      <c r="BR647" s="217" t="s">
        <v>37</v>
      </c>
      <c r="BS647" s="217" t="s">
        <v>247</v>
      </c>
      <c r="BT647" s="217" t="s">
        <v>578</v>
      </c>
      <c r="BU647" s="217" t="s">
        <v>1442</v>
      </c>
      <c r="BV647" s="217">
        <v>2</v>
      </c>
      <c r="BW647" s="217">
        <v>14</v>
      </c>
      <c r="BX647" s="217">
        <v>0</v>
      </c>
      <c r="BY647" s="217">
        <v>0</v>
      </c>
      <c r="BZ647" s="217">
        <v>0</v>
      </c>
      <c r="CA647" s="217">
        <v>0</v>
      </c>
      <c r="CB647" s="217">
        <v>2</v>
      </c>
      <c r="CC647" s="217">
        <v>14</v>
      </c>
      <c r="CD647" s="217">
        <v>0</v>
      </c>
      <c r="CE647" s="217">
        <v>0</v>
      </c>
      <c r="CF647" s="217">
        <v>0</v>
      </c>
      <c r="CG647" s="217">
        <v>0</v>
      </c>
      <c r="CH647" s="217">
        <v>0</v>
      </c>
      <c r="CI647" s="217">
        <v>0</v>
      </c>
      <c r="CJ647" s="217">
        <v>0</v>
      </c>
    </row>
    <row r="648" spans="1:88" x14ac:dyDescent="0.25">
      <c r="A648" s="217" t="s">
        <v>22</v>
      </c>
      <c r="B648" s="217" t="s">
        <v>23</v>
      </c>
      <c r="C648" s="217" t="s">
        <v>85</v>
      </c>
      <c r="D648" s="217" t="s">
        <v>84</v>
      </c>
      <c r="E648" s="217" t="s">
        <v>98</v>
      </c>
      <c r="F648" s="217" t="s">
        <v>97</v>
      </c>
      <c r="G648" s="217" t="s">
        <v>450</v>
      </c>
      <c r="H648" s="217" t="s">
        <v>1271</v>
      </c>
      <c r="I648" s="217" t="s">
        <v>29</v>
      </c>
      <c r="J648" s="217" t="s">
        <v>1858</v>
      </c>
      <c r="K648" s="217">
        <v>6</v>
      </c>
      <c r="L648" s="217">
        <v>35</v>
      </c>
      <c r="M648" s="217" t="s">
        <v>31</v>
      </c>
      <c r="N648" s="217" t="s">
        <v>32</v>
      </c>
      <c r="O648" s="217" t="s">
        <v>100</v>
      </c>
      <c r="P648" s="217" t="s">
        <v>34</v>
      </c>
      <c r="Q648" s="217" t="s">
        <v>35</v>
      </c>
      <c r="R648" s="217" t="s">
        <v>23</v>
      </c>
      <c r="S648" s="217" t="s">
        <v>22</v>
      </c>
      <c r="T648" s="217" t="s">
        <v>84</v>
      </c>
      <c r="U648" s="217" t="s">
        <v>85</v>
      </c>
      <c r="V648" s="217" t="s">
        <v>97</v>
      </c>
      <c r="W648" s="217" t="s">
        <v>98</v>
      </c>
      <c r="BC648" s="217" t="s">
        <v>37</v>
      </c>
      <c r="BD648" s="217" t="s">
        <v>547</v>
      </c>
      <c r="BE648" s="217" t="s">
        <v>1423</v>
      </c>
      <c r="BF648" s="217" t="s">
        <v>561</v>
      </c>
      <c r="BG648" s="217" t="s">
        <v>1998</v>
      </c>
      <c r="BH648" s="217" t="s">
        <v>1658</v>
      </c>
      <c r="BI648" s="217" t="s">
        <v>1658</v>
      </c>
      <c r="BJ648" s="217" t="s">
        <v>1658</v>
      </c>
      <c r="BK648" s="217" t="s">
        <v>637</v>
      </c>
      <c r="BL648" s="217"/>
      <c r="BM648" s="217"/>
      <c r="BN648" s="217">
        <v>0</v>
      </c>
      <c r="BO648" s="217">
        <v>0</v>
      </c>
      <c r="BR648" s="217" t="s">
        <v>37</v>
      </c>
      <c r="BS648" s="217" t="s">
        <v>247</v>
      </c>
      <c r="BT648" s="217" t="s">
        <v>590</v>
      </c>
      <c r="BU648" s="217" t="s">
        <v>1458</v>
      </c>
      <c r="BV648" s="217">
        <v>39</v>
      </c>
      <c r="BW648" s="217">
        <v>312</v>
      </c>
      <c r="BX648" s="217">
        <v>0</v>
      </c>
      <c r="BY648" s="217">
        <v>0</v>
      </c>
      <c r="BZ648" s="217">
        <v>60</v>
      </c>
      <c r="CA648" s="217">
        <v>478</v>
      </c>
      <c r="CB648" s="217">
        <v>39</v>
      </c>
      <c r="CC648" s="217">
        <v>312</v>
      </c>
      <c r="CD648" s="217">
        <v>0</v>
      </c>
      <c r="CE648" s="217">
        <v>0</v>
      </c>
      <c r="CF648" s="217">
        <v>60</v>
      </c>
      <c r="CG648" s="217">
        <v>478</v>
      </c>
      <c r="CH648" s="217">
        <v>0</v>
      </c>
      <c r="CI648" s="217">
        <v>0</v>
      </c>
      <c r="CJ648" s="217">
        <v>0</v>
      </c>
    </row>
    <row r="649" spans="1:88" x14ac:dyDescent="0.25">
      <c r="A649" s="217" t="s">
        <v>22</v>
      </c>
      <c r="B649" s="217" t="s">
        <v>23</v>
      </c>
      <c r="C649" s="217" t="s">
        <v>85</v>
      </c>
      <c r="D649" s="217" t="s">
        <v>84</v>
      </c>
      <c r="E649" s="217" t="s">
        <v>98</v>
      </c>
      <c r="F649" s="217" t="s">
        <v>97</v>
      </c>
      <c r="G649" s="217" t="s">
        <v>451</v>
      </c>
      <c r="H649" s="217" t="s">
        <v>1272</v>
      </c>
      <c r="I649" s="217" t="s">
        <v>29</v>
      </c>
      <c r="J649" s="217" t="s">
        <v>1855</v>
      </c>
      <c r="K649" s="217">
        <v>22</v>
      </c>
      <c r="L649" s="217">
        <v>161</v>
      </c>
      <c r="M649" s="217" t="s">
        <v>31</v>
      </c>
      <c r="N649" s="217" t="s">
        <v>32</v>
      </c>
      <c r="O649" s="217" t="s">
        <v>68</v>
      </c>
      <c r="P649" s="217" t="s">
        <v>34</v>
      </c>
      <c r="Q649" s="217" t="s">
        <v>35</v>
      </c>
      <c r="R649" s="217" t="s">
        <v>23</v>
      </c>
      <c r="S649" s="217" t="s">
        <v>22</v>
      </c>
      <c r="T649" s="217" t="s">
        <v>84</v>
      </c>
      <c r="U649" s="217" t="s">
        <v>85</v>
      </c>
      <c r="V649" s="217" t="s">
        <v>91</v>
      </c>
      <c r="W649" s="217" t="s">
        <v>92</v>
      </c>
      <c r="BC649" s="217" t="s">
        <v>37</v>
      </c>
      <c r="BD649" s="217" t="s">
        <v>547</v>
      </c>
      <c r="BE649" s="217" t="s">
        <v>1424</v>
      </c>
      <c r="BF649" s="217" t="s">
        <v>562</v>
      </c>
      <c r="BG649" s="217" t="s">
        <v>1998</v>
      </c>
      <c r="BH649" s="217" t="s">
        <v>1658</v>
      </c>
      <c r="BI649" s="217" t="s">
        <v>1660</v>
      </c>
      <c r="BJ649" s="217" t="s">
        <v>1658</v>
      </c>
      <c r="BK649" s="217" t="s">
        <v>637</v>
      </c>
      <c r="BL649" s="217"/>
      <c r="BM649" s="217"/>
      <c r="BN649" s="217">
        <v>0</v>
      </c>
      <c r="BO649" s="217">
        <v>0</v>
      </c>
      <c r="BR649" s="217" t="s">
        <v>37</v>
      </c>
      <c r="BS649" s="217" t="s">
        <v>247</v>
      </c>
      <c r="BT649" s="217" t="s">
        <v>242</v>
      </c>
      <c r="BU649" s="217" t="s">
        <v>1448</v>
      </c>
      <c r="BV649" s="217">
        <v>120</v>
      </c>
      <c r="BW649" s="217">
        <v>952</v>
      </c>
      <c r="BX649" s="217">
        <v>0</v>
      </c>
      <c r="BY649" s="217">
        <v>0</v>
      </c>
      <c r="BZ649" s="217">
        <v>15</v>
      </c>
      <c r="CA649" s="217">
        <v>114</v>
      </c>
      <c r="CB649" s="217">
        <v>113</v>
      </c>
      <c r="CC649" s="217">
        <v>896</v>
      </c>
      <c r="CD649" s="217">
        <v>0</v>
      </c>
      <c r="CE649" s="217">
        <v>0</v>
      </c>
      <c r="CF649" s="217">
        <v>15</v>
      </c>
      <c r="CG649" s="217">
        <v>114</v>
      </c>
      <c r="CH649" s="217">
        <v>56</v>
      </c>
      <c r="CI649" s="217">
        <v>0</v>
      </c>
      <c r="CJ649" s="217">
        <v>0</v>
      </c>
    </row>
    <row r="650" spans="1:88" x14ac:dyDescent="0.25">
      <c r="A650" s="217" t="s">
        <v>22</v>
      </c>
      <c r="B650" s="217" t="s">
        <v>23</v>
      </c>
      <c r="C650" s="217" t="s">
        <v>85</v>
      </c>
      <c r="D650" s="217" t="s">
        <v>84</v>
      </c>
      <c r="E650" s="217" t="s">
        <v>98</v>
      </c>
      <c r="F650" s="217" t="s">
        <v>97</v>
      </c>
      <c r="G650" s="217" t="s">
        <v>451</v>
      </c>
      <c r="H650" s="217" t="s">
        <v>1272</v>
      </c>
      <c r="I650" s="217" t="s">
        <v>29</v>
      </c>
      <c r="J650" s="217" t="s">
        <v>1856</v>
      </c>
      <c r="K650" s="217">
        <v>68</v>
      </c>
      <c r="L650" s="217">
        <v>448</v>
      </c>
      <c r="M650" s="217" t="s">
        <v>31</v>
      </c>
      <c r="N650" s="217" t="s">
        <v>32</v>
      </c>
      <c r="O650" s="217" t="s">
        <v>68</v>
      </c>
      <c r="P650" s="217" t="s">
        <v>34</v>
      </c>
      <c r="Q650" s="217" t="s">
        <v>35</v>
      </c>
      <c r="R650" s="217" t="s">
        <v>23</v>
      </c>
      <c r="S650" s="217" t="s">
        <v>22</v>
      </c>
      <c r="T650" s="217" t="s">
        <v>84</v>
      </c>
      <c r="U650" s="217" t="s">
        <v>85</v>
      </c>
      <c r="V650" s="217" t="s">
        <v>91</v>
      </c>
      <c r="W650" s="217" t="s">
        <v>92</v>
      </c>
      <c r="BC650" s="217" t="s">
        <v>37</v>
      </c>
      <c r="BD650" s="217" t="s">
        <v>547</v>
      </c>
      <c r="BE650" s="217" t="s">
        <v>1425</v>
      </c>
      <c r="BF650" s="217" t="s">
        <v>563</v>
      </c>
      <c r="BG650" s="217" t="s">
        <v>1998</v>
      </c>
      <c r="BH650" s="217" t="s">
        <v>1658</v>
      </c>
      <c r="BI650" s="217" t="s">
        <v>1660</v>
      </c>
      <c r="BJ650" s="217" t="s">
        <v>1658</v>
      </c>
      <c r="BK650" s="217" t="s">
        <v>637</v>
      </c>
      <c r="BL650" s="217"/>
      <c r="BM650" s="217"/>
      <c r="BN650" s="217">
        <v>0</v>
      </c>
      <c r="BO650" s="217">
        <v>0</v>
      </c>
      <c r="BR650" s="217" t="s">
        <v>37</v>
      </c>
      <c r="BS650" s="217" t="s">
        <v>247</v>
      </c>
      <c r="BT650" s="217" t="s">
        <v>252</v>
      </c>
      <c r="BU650" s="217" t="s">
        <v>1465</v>
      </c>
      <c r="BV650" s="217">
        <v>263</v>
      </c>
      <c r="BW650" s="217">
        <v>1326</v>
      </c>
      <c r="BX650" s="217">
        <v>0</v>
      </c>
      <c r="BY650" s="217">
        <v>0</v>
      </c>
      <c r="BZ650" s="217">
        <v>57</v>
      </c>
      <c r="CA650" s="217">
        <v>283</v>
      </c>
      <c r="CB650" s="217">
        <v>263</v>
      </c>
      <c r="CC650" s="217">
        <v>1326</v>
      </c>
      <c r="CD650" s="217">
        <v>0</v>
      </c>
      <c r="CE650" s="217">
        <v>0</v>
      </c>
      <c r="CF650" s="217">
        <v>51</v>
      </c>
      <c r="CG650" s="217">
        <v>253</v>
      </c>
      <c r="CH650" s="217">
        <v>0</v>
      </c>
      <c r="CI650" s="217">
        <v>0</v>
      </c>
      <c r="CJ650" s="217">
        <v>30</v>
      </c>
    </row>
    <row r="651" spans="1:88" x14ac:dyDescent="0.25">
      <c r="A651" s="217" t="s">
        <v>22</v>
      </c>
      <c r="B651" s="217" t="s">
        <v>23</v>
      </c>
      <c r="C651" s="217" t="s">
        <v>85</v>
      </c>
      <c r="D651" s="217" t="s">
        <v>84</v>
      </c>
      <c r="E651" s="217" t="s">
        <v>98</v>
      </c>
      <c r="F651" s="217" t="s">
        <v>97</v>
      </c>
      <c r="G651" s="217" t="s">
        <v>451</v>
      </c>
      <c r="H651" s="217" t="s">
        <v>1272</v>
      </c>
      <c r="I651" s="217" t="s">
        <v>29</v>
      </c>
      <c r="J651" s="217" t="s">
        <v>1857</v>
      </c>
      <c r="K651" s="217">
        <v>6</v>
      </c>
      <c r="L651" s="217">
        <v>21</v>
      </c>
      <c r="M651" s="217" t="s">
        <v>31</v>
      </c>
      <c r="N651" s="217" t="s">
        <v>32</v>
      </c>
      <c r="O651" s="217" t="s">
        <v>68</v>
      </c>
      <c r="P651" s="217" t="s">
        <v>34</v>
      </c>
      <c r="Q651" s="217" t="s">
        <v>35</v>
      </c>
      <c r="R651" s="217" t="s">
        <v>23</v>
      </c>
      <c r="S651" s="217" t="s">
        <v>22</v>
      </c>
      <c r="T651" s="217" t="s">
        <v>84</v>
      </c>
      <c r="U651" s="217" t="s">
        <v>85</v>
      </c>
      <c r="V651" s="217" t="s">
        <v>91</v>
      </c>
      <c r="W651" s="217" t="s">
        <v>92</v>
      </c>
      <c r="BC651" s="217" t="s">
        <v>37</v>
      </c>
      <c r="BD651" s="217" t="s">
        <v>547</v>
      </c>
      <c r="BE651" s="217" t="s">
        <v>2035</v>
      </c>
      <c r="BF651" s="217" t="s">
        <v>2036</v>
      </c>
      <c r="BG651" s="217" t="s">
        <v>1998</v>
      </c>
      <c r="BH651" s="217" t="s">
        <v>1660</v>
      </c>
      <c r="BI651" s="217" t="s">
        <v>1660</v>
      </c>
      <c r="BJ651" s="217" t="s">
        <v>1658</v>
      </c>
      <c r="BK651" s="217" t="s">
        <v>637</v>
      </c>
      <c r="BL651" s="217"/>
      <c r="BM651" s="217"/>
      <c r="BN651" s="217">
        <v>0</v>
      </c>
      <c r="BO651" s="217">
        <v>0</v>
      </c>
      <c r="BR651" s="217" t="s">
        <v>37</v>
      </c>
      <c r="BS651" s="217" t="s">
        <v>247</v>
      </c>
      <c r="BT651" s="217" t="s">
        <v>1973</v>
      </c>
      <c r="BU651" s="217" t="s">
        <v>1974</v>
      </c>
      <c r="BV651" s="217">
        <v>0</v>
      </c>
      <c r="BW651" s="217">
        <v>0</v>
      </c>
      <c r="BX651" s="217">
        <v>42</v>
      </c>
      <c r="BY651" s="217">
        <v>271</v>
      </c>
      <c r="BZ651" s="217">
        <v>36</v>
      </c>
      <c r="CA651" s="217">
        <v>184</v>
      </c>
      <c r="CB651" s="217">
        <v>0</v>
      </c>
      <c r="CC651" s="217">
        <v>0</v>
      </c>
      <c r="CD651" s="217">
        <v>42</v>
      </c>
      <c r="CE651" s="217">
        <v>271</v>
      </c>
      <c r="CF651" s="217">
        <v>36</v>
      </c>
      <c r="CG651" s="217">
        <v>184</v>
      </c>
      <c r="CH651" s="217">
        <v>0</v>
      </c>
      <c r="CI651" s="217">
        <v>0</v>
      </c>
      <c r="CJ651" s="217">
        <v>0</v>
      </c>
    </row>
    <row r="652" spans="1:88" x14ac:dyDescent="0.25">
      <c r="A652" s="217" t="s">
        <v>22</v>
      </c>
      <c r="B652" s="217" t="s">
        <v>23</v>
      </c>
      <c r="C652" s="217" t="s">
        <v>85</v>
      </c>
      <c r="D652" s="217" t="s">
        <v>84</v>
      </c>
      <c r="E652" s="217" t="s">
        <v>98</v>
      </c>
      <c r="F652" s="217" t="s">
        <v>97</v>
      </c>
      <c r="G652" s="217" t="s">
        <v>451</v>
      </c>
      <c r="H652" s="217" t="s">
        <v>1272</v>
      </c>
      <c r="I652" s="217" t="s">
        <v>29</v>
      </c>
      <c r="J652" s="217" t="s">
        <v>1858</v>
      </c>
      <c r="K652" s="217">
        <v>137</v>
      </c>
      <c r="L652" s="217">
        <v>440</v>
      </c>
      <c r="M652" s="217" t="s">
        <v>31</v>
      </c>
      <c r="N652" s="217" t="s">
        <v>32</v>
      </c>
      <c r="O652" s="217" t="s">
        <v>68</v>
      </c>
      <c r="P652" s="217" t="s">
        <v>34</v>
      </c>
      <c r="Q652" s="217" t="s">
        <v>35</v>
      </c>
      <c r="R652" s="217" t="s">
        <v>23</v>
      </c>
      <c r="S652" s="217" t="s">
        <v>22</v>
      </c>
      <c r="T652" s="217" t="s">
        <v>84</v>
      </c>
      <c r="U652" s="217" t="s">
        <v>85</v>
      </c>
      <c r="V652" s="217" t="s">
        <v>91</v>
      </c>
      <c r="W652" s="217" t="s">
        <v>92</v>
      </c>
      <c r="BC652" s="217" t="s">
        <v>37</v>
      </c>
      <c r="BD652" s="217" t="s">
        <v>547</v>
      </c>
      <c r="BE652" s="217" t="s">
        <v>2037</v>
      </c>
      <c r="BF652" s="217" t="s">
        <v>2038</v>
      </c>
      <c r="BG652" s="217" t="s">
        <v>1998</v>
      </c>
      <c r="BH652" s="217" t="s">
        <v>1658</v>
      </c>
      <c r="BI652" s="217" t="s">
        <v>1660</v>
      </c>
      <c r="BJ652" s="217" t="s">
        <v>1660</v>
      </c>
      <c r="BK652" s="217" t="s">
        <v>637</v>
      </c>
      <c r="BL652" s="217"/>
      <c r="BM652" s="217"/>
      <c r="BN652" s="217">
        <v>0</v>
      </c>
      <c r="BO652" s="217">
        <v>0</v>
      </c>
      <c r="BR652" s="217" t="s">
        <v>37</v>
      </c>
      <c r="BS652" s="217" t="s">
        <v>247</v>
      </c>
      <c r="BT652" s="217" t="s">
        <v>581</v>
      </c>
      <c r="BU652" s="217" t="s">
        <v>1445</v>
      </c>
      <c r="BV652" s="217">
        <v>9</v>
      </c>
      <c r="BW652" s="217">
        <v>45</v>
      </c>
      <c r="BX652" s="217">
        <v>0</v>
      </c>
      <c r="BY652" s="217">
        <v>0</v>
      </c>
      <c r="BZ652" s="217">
        <v>0</v>
      </c>
      <c r="CA652" s="217">
        <v>0</v>
      </c>
      <c r="CB652" s="217">
        <v>9</v>
      </c>
      <c r="CC652" s="217">
        <v>45</v>
      </c>
      <c r="CD652" s="217">
        <v>0</v>
      </c>
      <c r="CE652" s="217">
        <v>0</v>
      </c>
      <c r="CF652" s="217">
        <v>0</v>
      </c>
      <c r="CG652" s="217">
        <v>0</v>
      </c>
      <c r="CH652" s="217">
        <v>0</v>
      </c>
      <c r="CI652" s="217">
        <v>0</v>
      </c>
      <c r="CJ652" s="217">
        <v>0</v>
      </c>
    </row>
    <row r="653" spans="1:88" x14ac:dyDescent="0.25">
      <c r="A653" s="217" t="s">
        <v>22</v>
      </c>
      <c r="B653" s="217" t="s">
        <v>23</v>
      </c>
      <c r="C653" s="217" t="s">
        <v>85</v>
      </c>
      <c r="D653" s="217" t="s">
        <v>84</v>
      </c>
      <c r="E653" s="217" t="s">
        <v>98</v>
      </c>
      <c r="F653" s="217" t="s">
        <v>97</v>
      </c>
      <c r="G653" s="217" t="s">
        <v>808</v>
      </c>
      <c r="H653" s="217" t="s">
        <v>1273</v>
      </c>
      <c r="I653" s="217" t="s">
        <v>29</v>
      </c>
      <c r="J653" s="217" t="s">
        <v>1856</v>
      </c>
      <c r="K653" s="217">
        <v>10</v>
      </c>
      <c r="L653" s="217">
        <v>85</v>
      </c>
      <c r="M653" s="217" t="s">
        <v>31</v>
      </c>
      <c r="N653" s="217" t="s">
        <v>32</v>
      </c>
      <c r="O653" s="217" t="s">
        <v>33</v>
      </c>
      <c r="P653" s="217" t="s">
        <v>34</v>
      </c>
      <c r="Q653" s="217" t="s">
        <v>35</v>
      </c>
      <c r="R653" s="217" t="s">
        <v>23</v>
      </c>
      <c r="S653" s="217" t="s">
        <v>22</v>
      </c>
      <c r="T653" s="217" t="s">
        <v>47</v>
      </c>
      <c r="U653" s="217" t="s">
        <v>48</v>
      </c>
      <c r="V653" s="217" t="s">
        <v>231</v>
      </c>
      <c r="W653" s="217" t="s">
        <v>232</v>
      </c>
      <c r="BC653" s="217" t="s">
        <v>37</v>
      </c>
      <c r="BD653" s="217" t="s">
        <v>547</v>
      </c>
      <c r="BE653" s="217" t="s">
        <v>1426</v>
      </c>
      <c r="BF653" s="217" t="s">
        <v>564</v>
      </c>
      <c r="BG653" s="217" t="s">
        <v>1998</v>
      </c>
      <c r="BH653" s="217" t="s">
        <v>1658</v>
      </c>
      <c r="BI653" s="217" t="s">
        <v>1660</v>
      </c>
      <c r="BJ653" s="217" t="s">
        <v>1660</v>
      </c>
      <c r="BK653" s="217" t="s">
        <v>637</v>
      </c>
      <c r="BL653" s="217"/>
      <c r="BM653" s="217"/>
      <c r="BN653" s="217">
        <v>0</v>
      </c>
      <c r="BO653" s="217">
        <v>0</v>
      </c>
      <c r="BR653" s="217" t="s">
        <v>37</v>
      </c>
      <c r="BS653" s="217" t="s">
        <v>247</v>
      </c>
      <c r="BT653" s="217" t="s">
        <v>2047</v>
      </c>
      <c r="BU653" s="217" t="s">
        <v>2046</v>
      </c>
      <c r="BV653" s="217">
        <v>256</v>
      </c>
      <c r="BW653" s="217">
        <v>1709</v>
      </c>
      <c r="BX653" s="217">
        <v>0</v>
      </c>
      <c r="BY653" s="217">
        <v>0</v>
      </c>
      <c r="BZ653" s="217">
        <v>30</v>
      </c>
      <c r="CA653" s="217">
        <v>248</v>
      </c>
      <c r="CB653" s="217">
        <v>256</v>
      </c>
      <c r="CC653" s="217">
        <v>1709</v>
      </c>
      <c r="CD653" s="217">
        <v>0</v>
      </c>
      <c r="CE653" s="217">
        <v>0</v>
      </c>
      <c r="CF653" s="217">
        <v>0</v>
      </c>
      <c r="CG653" s="217">
        <v>0</v>
      </c>
      <c r="CH653" s="217">
        <v>0</v>
      </c>
      <c r="CI653" s="217">
        <v>0</v>
      </c>
      <c r="CJ653" s="217">
        <v>248</v>
      </c>
    </row>
    <row r="654" spans="1:88" x14ac:dyDescent="0.25">
      <c r="A654" s="217" t="s">
        <v>22</v>
      </c>
      <c r="B654" s="217" t="s">
        <v>23</v>
      </c>
      <c r="C654" s="217" t="s">
        <v>85</v>
      </c>
      <c r="D654" s="217" t="s">
        <v>84</v>
      </c>
      <c r="E654" s="217" t="s">
        <v>98</v>
      </c>
      <c r="F654" s="217" t="s">
        <v>97</v>
      </c>
      <c r="G654" s="217" t="s">
        <v>808</v>
      </c>
      <c r="H654" s="217" t="s">
        <v>1273</v>
      </c>
      <c r="I654" s="217" t="s">
        <v>29</v>
      </c>
      <c r="J654" s="217" t="s">
        <v>1857</v>
      </c>
      <c r="K654" s="217">
        <v>2</v>
      </c>
      <c r="L654" s="217">
        <v>24</v>
      </c>
      <c r="M654" s="217" t="s">
        <v>31</v>
      </c>
      <c r="N654" s="217" t="s">
        <v>32</v>
      </c>
      <c r="O654" s="217" t="s">
        <v>33</v>
      </c>
      <c r="P654" s="217" t="s">
        <v>34</v>
      </c>
      <c r="Q654" s="217" t="s">
        <v>35</v>
      </c>
      <c r="R654" s="217" t="s">
        <v>23</v>
      </c>
      <c r="S654" s="217" t="s">
        <v>22</v>
      </c>
      <c r="T654" s="217" t="s">
        <v>47</v>
      </c>
      <c r="U654" s="217" t="s">
        <v>48</v>
      </c>
      <c r="V654" s="217" t="s">
        <v>231</v>
      </c>
      <c r="W654" s="217" t="s">
        <v>232</v>
      </c>
      <c r="BC654" s="217" t="s">
        <v>37</v>
      </c>
      <c r="BD654" s="217" t="s">
        <v>547</v>
      </c>
      <c r="BE654" s="217" t="s">
        <v>1427</v>
      </c>
      <c r="BF654" s="217" t="s">
        <v>565</v>
      </c>
      <c r="BG654" s="217" t="s">
        <v>1998</v>
      </c>
      <c r="BH654" s="217" t="s">
        <v>1658</v>
      </c>
      <c r="BI654" s="217" t="s">
        <v>1658</v>
      </c>
      <c r="BJ654" s="217" t="s">
        <v>1658</v>
      </c>
      <c r="BK654" s="217" t="s">
        <v>637</v>
      </c>
      <c r="BL654" s="217"/>
      <c r="BM654" s="217"/>
      <c r="BN654" s="217">
        <v>0</v>
      </c>
      <c r="BO654" s="217">
        <v>0</v>
      </c>
      <c r="BR654" s="217" t="s">
        <v>37</v>
      </c>
      <c r="BS654" s="217" t="s">
        <v>247</v>
      </c>
      <c r="BT654" s="217" t="s">
        <v>592</v>
      </c>
      <c r="BU654" s="217" t="s">
        <v>1460</v>
      </c>
      <c r="BV654" s="217">
        <v>30</v>
      </c>
      <c r="BW654" s="217">
        <v>150</v>
      </c>
      <c r="BX654" s="217">
        <v>0</v>
      </c>
      <c r="BY654" s="217">
        <v>0</v>
      </c>
      <c r="BZ654" s="217">
        <v>0</v>
      </c>
      <c r="CA654" s="217">
        <v>0</v>
      </c>
      <c r="CB654" s="217">
        <v>30</v>
      </c>
      <c r="CC654" s="217">
        <v>150</v>
      </c>
      <c r="CD654" s="217">
        <v>0</v>
      </c>
      <c r="CE654" s="217">
        <v>0</v>
      </c>
      <c r="CF654" s="217">
        <v>0</v>
      </c>
      <c r="CG654" s="217">
        <v>0</v>
      </c>
      <c r="CH654" s="217">
        <v>0</v>
      </c>
      <c r="CI654" s="217">
        <v>0</v>
      </c>
      <c r="CJ654" s="217">
        <v>0</v>
      </c>
    </row>
    <row r="655" spans="1:88" x14ac:dyDescent="0.25">
      <c r="A655" s="217" t="s">
        <v>22</v>
      </c>
      <c r="B655" s="217" t="s">
        <v>23</v>
      </c>
      <c r="C655" s="217" t="s">
        <v>85</v>
      </c>
      <c r="D655" s="217" t="s">
        <v>84</v>
      </c>
      <c r="E655" s="217" t="s">
        <v>98</v>
      </c>
      <c r="F655" s="217" t="s">
        <v>97</v>
      </c>
      <c r="G655" s="217" t="s">
        <v>170</v>
      </c>
      <c r="H655" s="217" t="s">
        <v>1274</v>
      </c>
      <c r="I655" s="217" t="s">
        <v>29</v>
      </c>
      <c r="J655" s="217" t="s">
        <v>1856</v>
      </c>
      <c r="K655" s="217">
        <v>10</v>
      </c>
      <c r="L655" s="217">
        <v>70</v>
      </c>
      <c r="M655" s="217" t="s">
        <v>31</v>
      </c>
      <c r="N655" s="217" t="s">
        <v>32</v>
      </c>
      <c r="O655" s="217" t="s">
        <v>100</v>
      </c>
      <c r="P655" s="217" t="s">
        <v>34</v>
      </c>
      <c r="Q655" s="217" t="s">
        <v>35</v>
      </c>
      <c r="R655" s="217" t="s">
        <v>23</v>
      </c>
      <c r="S655" s="217" t="s">
        <v>22</v>
      </c>
      <c r="T655" s="217" t="s">
        <v>84</v>
      </c>
      <c r="U655" s="217" t="s">
        <v>85</v>
      </c>
      <c r="V655" s="217" t="s">
        <v>97</v>
      </c>
      <c r="W655" s="217" t="s">
        <v>98</v>
      </c>
      <c r="BC655" s="217" t="s">
        <v>37</v>
      </c>
      <c r="BD655" s="217" t="s">
        <v>547</v>
      </c>
      <c r="BE655" s="217" t="s">
        <v>1428</v>
      </c>
      <c r="BF655" s="217" t="s">
        <v>242</v>
      </c>
      <c r="BG655" s="217" t="s">
        <v>1998</v>
      </c>
      <c r="BH655" s="217" t="s">
        <v>1658</v>
      </c>
      <c r="BI655" s="217" t="s">
        <v>1660</v>
      </c>
      <c r="BJ655" s="217" t="s">
        <v>1658</v>
      </c>
      <c r="BK655" s="217" t="s">
        <v>637</v>
      </c>
      <c r="BL655" s="217"/>
      <c r="BM655" s="217"/>
      <c r="BN655" s="217">
        <v>0</v>
      </c>
      <c r="BO655" s="217">
        <v>0</v>
      </c>
      <c r="BR655" s="217" t="s">
        <v>37</v>
      </c>
      <c r="BS655" s="217" t="s">
        <v>247</v>
      </c>
      <c r="BT655" s="217" t="s">
        <v>586</v>
      </c>
      <c r="BU655" s="217" t="s">
        <v>1451</v>
      </c>
      <c r="BV655" s="217">
        <v>24</v>
      </c>
      <c r="BW655" s="217">
        <v>120</v>
      </c>
      <c r="BX655" s="217">
        <v>0</v>
      </c>
      <c r="BY655" s="217">
        <v>0</v>
      </c>
      <c r="BZ655" s="217">
        <v>19</v>
      </c>
      <c r="CA655" s="217">
        <v>94</v>
      </c>
      <c r="CB655" s="217">
        <v>24</v>
      </c>
      <c r="CC655" s="217">
        <v>120</v>
      </c>
      <c r="CD655" s="217">
        <v>0</v>
      </c>
      <c r="CE655" s="217">
        <v>0</v>
      </c>
      <c r="CF655" s="217">
        <v>19</v>
      </c>
      <c r="CG655" s="217">
        <v>94</v>
      </c>
      <c r="CH655" s="217">
        <v>0</v>
      </c>
      <c r="CI655" s="217">
        <v>0</v>
      </c>
      <c r="CJ655" s="217">
        <v>0</v>
      </c>
    </row>
    <row r="656" spans="1:88" x14ac:dyDescent="0.25">
      <c r="A656" s="217" t="s">
        <v>22</v>
      </c>
      <c r="B656" s="217" t="s">
        <v>23</v>
      </c>
      <c r="C656" s="217" t="s">
        <v>85</v>
      </c>
      <c r="D656" s="217" t="s">
        <v>84</v>
      </c>
      <c r="E656" s="217" t="s">
        <v>98</v>
      </c>
      <c r="F656" s="217" t="s">
        <v>97</v>
      </c>
      <c r="G656" s="217" t="s">
        <v>170</v>
      </c>
      <c r="H656" s="217" t="s">
        <v>1274</v>
      </c>
      <c r="I656" s="217" t="s">
        <v>29</v>
      </c>
      <c r="J656" s="217" t="s">
        <v>1857</v>
      </c>
      <c r="K656" s="217">
        <v>82</v>
      </c>
      <c r="L656" s="217">
        <v>685</v>
      </c>
      <c r="M656" s="217" t="s">
        <v>31</v>
      </c>
      <c r="N656" s="217" t="s">
        <v>32</v>
      </c>
      <c r="O656" s="217" t="s">
        <v>100</v>
      </c>
      <c r="P656" s="217" t="s">
        <v>34</v>
      </c>
      <c r="Q656" s="217" t="s">
        <v>35</v>
      </c>
      <c r="R656" s="217" t="s">
        <v>23</v>
      </c>
      <c r="S656" s="217" t="s">
        <v>22</v>
      </c>
      <c r="T656" s="217" t="s">
        <v>84</v>
      </c>
      <c r="U656" s="217" t="s">
        <v>85</v>
      </c>
      <c r="V656" s="217" t="s">
        <v>97</v>
      </c>
      <c r="W656" s="217" t="s">
        <v>98</v>
      </c>
      <c r="BC656" s="217" t="s">
        <v>37</v>
      </c>
      <c r="BD656" s="217" t="s">
        <v>547</v>
      </c>
      <c r="BE656" s="217" t="s">
        <v>1429</v>
      </c>
      <c r="BF656" s="217" t="s">
        <v>566</v>
      </c>
      <c r="BG656" s="217" t="s">
        <v>1998</v>
      </c>
      <c r="BH656" s="217" t="s">
        <v>1658</v>
      </c>
      <c r="BI656" s="217" t="s">
        <v>1658</v>
      </c>
      <c r="BJ656" s="217" t="s">
        <v>1658</v>
      </c>
      <c r="BK656" s="217" t="s">
        <v>637</v>
      </c>
      <c r="BL656" s="217"/>
      <c r="BM656" s="217"/>
      <c r="BN656" s="217">
        <v>0</v>
      </c>
      <c r="BO656" s="217">
        <v>0</v>
      </c>
      <c r="BR656" s="217" t="s">
        <v>37</v>
      </c>
      <c r="BS656" s="217" t="s">
        <v>247</v>
      </c>
      <c r="BT656" s="217" t="s">
        <v>683</v>
      </c>
      <c r="BU656" s="217" t="s">
        <v>1590</v>
      </c>
      <c r="BV656" s="217">
        <v>0</v>
      </c>
      <c r="BW656" s="217">
        <v>0</v>
      </c>
      <c r="BX656" s="217">
        <v>0</v>
      </c>
      <c r="BY656" s="217">
        <v>0</v>
      </c>
      <c r="BZ656" s="217">
        <v>2</v>
      </c>
      <c r="CA656" s="217">
        <v>8</v>
      </c>
      <c r="CB656" s="217">
        <v>0</v>
      </c>
      <c r="CC656" s="217">
        <v>0</v>
      </c>
      <c r="CD656" s="217">
        <v>0</v>
      </c>
      <c r="CE656" s="217">
        <v>0</v>
      </c>
      <c r="CF656" s="217">
        <v>30</v>
      </c>
      <c r="CG656" s="217">
        <v>150</v>
      </c>
      <c r="CH656" s="217">
        <v>0</v>
      </c>
      <c r="CI656" s="217">
        <v>0</v>
      </c>
      <c r="CJ656" s="217">
        <v>-142</v>
      </c>
    </row>
    <row r="657" spans="1:88" x14ac:dyDescent="0.25">
      <c r="A657" s="217" t="s">
        <v>22</v>
      </c>
      <c r="B657" s="217" t="s">
        <v>23</v>
      </c>
      <c r="C657" s="217" t="s">
        <v>85</v>
      </c>
      <c r="D657" s="217" t="s">
        <v>84</v>
      </c>
      <c r="E657" s="217" t="s">
        <v>98</v>
      </c>
      <c r="F657" s="217" t="s">
        <v>97</v>
      </c>
      <c r="G657" s="217" t="s">
        <v>170</v>
      </c>
      <c r="H657" s="217" t="s">
        <v>1274</v>
      </c>
      <c r="I657" s="217" t="s">
        <v>29</v>
      </c>
      <c r="J657" s="217" t="s">
        <v>1858</v>
      </c>
      <c r="K657" s="217">
        <v>38</v>
      </c>
      <c r="L657" s="217">
        <v>323</v>
      </c>
      <c r="M657" s="217" t="s">
        <v>31</v>
      </c>
      <c r="N657" s="217" t="s">
        <v>32</v>
      </c>
      <c r="O657" s="217" t="s">
        <v>100</v>
      </c>
      <c r="P657" s="217" t="s">
        <v>34</v>
      </c>
      <c r="Q657" s="217" t="s">
        <v>35</v>
      </c>
      <c r="R657" s="217" t="s">
        <v>23</v>
      </c>
      <c r="S657" s="217" t="s">
        <v>22</v>
      </c>
      <c r="T657" s="217" t="s">
        <v>84</v>
      </c>
      <c r="U657" s="217" t="s">
        <v>85</v>
      </c>
      <c r="V657" s="217" t="s">
        <v>97</v>
      </c>
      <c r="W657" s="217" t="s">
        <v>98</v>
      </c>
      <c r="BC657" s="217" t="s">
        <v>37</v>
      </c>
      <c r="BD657" s="217" t="s">
        <v>547</v>
      </c>
      <c r="BE657" s="217" t="s">
        <v>1430</v>
      </c>
      <c r="BF657" s="217" t="s">
        <v>567</v>
      </c>
      <c r="BG657" s="217" t="s">
        <v>1998</v>
      </c>
      <c r="BH657" s="217" t="s">
        <v>1658</v>
      </c>
      <c r="BI657" s="217" t="s">
        <v>1660</v>
      </c>
      <c r="BJ657" s="217" t="s">
        <v>1658</v>
      </c>
      <c r="BK657" s="217" t="s">
        <v>637</v>
      </c>
      <c r="BL657" s="217"/>
      <c r="BM657" s="217"/>
      <c r="BN657" s="217">
        <v>0</v>
      </c>
      <c r="BO657" s="217">
        <v>0</v>
      </c>
      <c r="BR657" s="217" t="s">
        <v>37</v>
      </c>
      <c r="BS657" s="217" t="s">
        <v>247</v>
      </c>
      <c r="BT657" s="217" t="s">
        <v>579</v>
      </c>
      <c r="BU657" s="217" t="s">
        <v>1443</v>
      </c>
      <c r="BV657" s="217">
        <v>37</v>
      </c>
      <c r="BW657" s="217">
        <v>304</v>
      </c>
      <c r="BX657" s="217">
        <v>0</v>
      </c>
      <c r="BY657" s="217">
        <v>0</v>
      </c>
      <c r="BZ657" s="217">
        <v>6</v>
      </c>
      <c r="CA657" s="217">
        <v>48</v>
      </c>
      <c r="CB657" s="217">
        <v>37</v>
      </c>
      <c r="CC657" s="217">
        <v>304</v>
      </c>
      <c r="CD657" s="217">
        <v>0</v>
      </c>
      <c r="CE657" s="217">
        <v>0</v>
      </c>
      <c r="CF657" s="217">
        <v>6</v>
      </c>
      <c r="CG657" s="217">
        <v>48</v>
      </c>
      <c r="CH657" s="217">
        <v>0</v>
      </c>
      <c r="CI657" s="217">
        <v>0</v>
      </c>
      <c r="CJ657" s="217">
        <v>0</v>
      </c>
    </row>
    <row r="658" spans="1:88" x14ac:dyDescent="0.25">
      <c r="A658" s="217" t="s">
        <v>22</v>
      </c>
      <c r="B658" s="217" t="s">
        <v>23</v>
      </c>
      <c r="C658" s="217" t="s">
        <v>85</v>
      </c>
      <c r="D658" s="217" t="s">
        <v>84</v>
      </c>
      <c r="E658" s="217" t="s">
        <v>98</v>
      </c>
      <c r="F658" s="217" t="s">
        <v>97</v>
      </c>
      <c r="G658" s="217" t="s">
        <v>1275</v>
      </c>
      <c r="H658" s="217" t="s">
        <v>1276</v>
      </c>
      <c r="I658" s="217" t="s">
        <v>29</v>
      </c>
      <c r="J658" s="217" t="s">
        <v>1858</v>
      </c>
      <c r="K658" s="217">
        <v>4</v>
      </c>
      <c r="L658" s="217">
        <v>24</v>
      </c>
      <c r="M658" s="217" t="s">
        <v>31</v>
      </c>
      <c r="N658" s="217" t="s">
        <v>32</v>
      </c>
      <c r="O658" s="217" t="s">
        <v>100</v>
      </c>
      <c r="P658" s="217" t="s">
        <v>34</v>
      </c>
      <c r="Q658" s="217" t="s">
        <v>35</v>
      </c>
      <c r="R658" s="217" t="s">
        <v>23</v>
      </c>
      <c r="S658" s="217" t="s">
        <v>22</v>
      </c>
      <c r="T658" s="217" t="s">
        <v>84</v>
      </c>
      <c r="U658" s="217" t="s">
        <v>85</v>
      </c>
      <c r="V658" s="217" t="s">
        <v>97</v>
      </c>
      <c r="W658" s="217" t="s">
        <v>98</v>
      </c>
      <c r="BC658" s="217" t="s">
        <v>37</v>
      </c>
      <c r="BD658" s="217" t="s">
        <v>547</v>
      </c>
      <c r="BE658" s="217" t="s">
        <v>2039</v>
      </c>
      <c r="BF658" s="217" t="s">
        <v>586</v>
      </c>
      <c r="BG658" s="217" t="s">
        <v>1998</v>
      </c>
      <c r="BH658" s="217" t="s">
        <v>1658</v>
      </c>
      <c r="BI658" s="217" t="s">
        <v>1660</v>
      </c>
      <c r="BJ658" s="217" t="s">
        <v>1660</v>
      </c>
      <c r="BK658" s="217" t="s">
        <v>637</v>
      </c>
      <c r="BL658" s="217"/>
      <c r="BM658" s="217"/>
      <c r="BN658" s="217">
        <v>0</v>
      </c>
      <c r="BO658" s="217">
        <v>0</v>
      </c>
      <c r="BR658" s="217" t="s">
        <v>37</v>
      </c>
      <c r="BS658" s="217" t="s">
        <v>247</v>
      </c>
      <c r="BT658" s="217" t="s">
        <v>584</v>
      </c>
      <c r="BU658" s="217" t="s">
        <v>1449</v>
      </c>
      <c r="BV658" s="217">
        <v>92</v>
      </c>
      <c r="BW658" s="217">
        <v>551</v>
      </c>
      <c r="BX658" s="217">
        <v>0</v>
      </c>
      <c r="BY658" s="217">
        <v>0</v>
      </c>
      <c r="BZ658" s="217">
        <v>5</v>
      </c>
      <c r="CA658" s="217">
        <v>25</v>
      </c>
      <c r="CB658" s="217">
        <v>92</v>
      </c>
      <c r="CC658" s="217">
        <v>551</v>
      </c>
      <c r="CD658" s="217">
        <v>0</v>
      </c>
      <c r="CE658" s="217">
        <v>0</v>
      </c>
      <c r="CF658" s="217">
        <v>5</v>
      </c>
      <c r="CG658" s="217">
        <v>25</v>
      </c>
      <c r="CH658" s="217">
        <v>0</v>
      </c>
      <c r="CI658" s="217">
        <v>0</v>
      </c>
      <c r="CJ658" s="217">
        <v>0</v>
      </c>
    </row>
    <row r="659" spans="1:88" x14ac:dyDescent="0.25">
      <c r="A659" s="217" t="s">
        <v>22</v>
      </c>
      <c r="B659" s="217" t="s">
        <v>23</v>
      </c>
      <c r="C659" s="217" t="s">
        <v>85</v>
      </c>
      <c r="D659" s="217" t="s">
        <v>84</v>
      </c>
      <c r="E659" s="217" t="s">
        <v>98</v>
      </c>
      <c r="F659" s="217" t="s">
        <v>97</v>
      </c>
      <c r="G659" s="217" t="s">
        <v>811</v>
      </c>
      <c r="H659" s="217" t="s">
        <v>1277</v>
      </c>
      <c r="I659" s="217" t="s">
        <v>29</v>
      </c>
      <c r="J659" s="217" t="s">
        <v>1857</v>
      </c>
      <c r="K659" s="217">
        <v>6</v>
      </c>
      <c r="L659" s="217">
        <v>37</v>
      </c>
      <c r="M659" s="217" t="s">
        <v>31</v>
      </c>
      <c r="N659" s="217" t="s">
        <v>32</v>
      </c>
      <c r="O659" s="217" t="s">
        <v>100</v>
      </c>
      <c r="P659" s="217" t="s">
        <v>34</v>
      </c>
      <c r="Q659" s="217" t="s">
        <v>35</v>
      </c>
      <c r="R659" s="217" t="s">
        <v>23</v>
      </c>
      <c r="S659" s="217" t="s">
        <v>22</v>
      </c>
      <c r="T659" s="217" t="s">
        <v>84</v>
      </c>
      <c r="U659" s="217" t="s">
        <v>85</v>
      </c>
      <c r="V659" s="217" t="s">
        <v>97</v>
      </c>
      <c r="W659" s="217" t="s">
        <v>98</v>
      </c>
      <c r="BC659" s="217" t="s">
        <v>37</v>
      </c>
      <c r="BD659" s="217" t="s">
        <v>547</v>
      </c>
      <c r="BE659" s="217" t="s">
        <v>1431</v>
      </c>
      <c r="BF659" s="217" t="s">
        <v>599</v>
      </c>
      <c r="BG659" s="217" t="s">
        <v>1998</v>
      </c>
      <c r="BH659" s="217" t="s">
        <v>1658</v>
      </c>
      <c r="BI659" s="217" t="s">
        <v>1660</v>
      </c>
      <c r="BJ659" s="217" t="s">
        <v>1658</v>
      </c>
      <c r="BK659" s="217" t="s">
        <v>637</v>
      </c>
      <c r="BL659" s="217"/>
      <c r="BM659" s="217"/>
      <c r="BN659" s="217">
        <v>0</v>
      </c>
      <c r="BO659" s="217">
        <v>0</v>
      </c>
      <c r="BR659" s="217" t="s">
        <v>37</v>
      </c>
      <c r="BS659" s="217" t="s">
        <v>247</v>
      </c>
      <c r="BT659" s="217" t="s">
        <v>684</v>
      </c>
      <c r="BU659" s="217" t="s">
        <v>1552</v>
      </c>
      <c r="BV659" s="217">
        <v>0</v>
      </c>
      <c r="BW659" s="217">
        <v>0</v>
      </c>
      <c r="BX659" s="217">
        <v>0</v>
      </c>
      <c r="BY659" s="217">
        <v>0</v>
      </c>
      <c r="BZ659" s="217">
        <v>183</v>
      </c>
      <c r="CA659" s="217">
        <v>1448</v>
      </c>
      <c r="CB659" s="217">
        <v>0</v>
      </c>
      <c r="CC659" s="217">
        <v>0</v>
      </c>
      <c r="CD659" s="217">
        <v>4</v>
      </c>
      <c r="CE659" s="217">
        <v>32</v>
      </c>
      <c r="CF659" s="217">
        <v>183</v>
      </c>
      <c r="CG659" s="217">
        <v>1448</v>
      </c>
      <c r="CH659" s="217">
        <v>0</v>
      </c>
      <c r="CI659" s="217">
        <v>-32</v>
      </c>
      <c r="CJ659" s="217">
        <v>0</v>
      </c>
    </row>
    <row r="660" spans="1:88" x14ac:dyDescent="0.25">
      <c r="A660" s="217" t="s">
        <v>22</v>
      </c>
      <c r="B660" s="217" t="s">
        <v>23</v>
      </c>
      <c r="C660" s="217" t="s">
        <v>85</v>
      </c>
      <c r="D660" s="217" t="s">
        <v>84</v>
      </c>
      <c r="E660" s="217" t="s">
        <v>98</v>
      </c>
      <c r="F660" s="217" t="s">
        <v>97</v>
      </c>
      <c r="G660" s="217" t="s">
        <v>811</v>
      </c>
      <c r="H660" s="217" t="s">
        <v>1277</v>
      </c>
      <c r="I660" s="217" t="s">
        <v>29</v>
      </c>
      <c r="J660" s="217" t="s">
        <v>1858</v>
      </c>
      <c r="K660" s="217">
        <v>8</v>
      </c>
      <c r="L660" s="217">
        <v>45</v>
      </c>
      <c r="M660" s="217" t="s">
        <v>31</v>
      </c>
      <c r="N660" s="217" t="s">
        <v>32</v>
      </c>
      <c r="O660" s="217" t="s">
        <v>100</v>
      </c>
      <c r="P660" s="217" t="s">
        <v>34</v>
      </c>
      <c r="Q660" s="217" t="s">
        <v>35</v>
      </c>
      <c r="R660" s="217" t="s">
        <v>23</v>
      </c>
      <c r="S660" s="217" t="s">
        <v>22</v>
      </c>
      <c r="T660" s="217" t="s">
        <v>84</v>
      </c>
      <c r="U660" s="217" t="s">
        <v>85</v>
      </c>
      <c r="V660" s="217" t="s">
        <v>97</v>
      </c>
      <c r="W660" s="217" t="s">
        <v>98</v>
      </c>
      <c r="BC660" s="217" t="s">
        <v>37</v>
      </c>
      <c r="BD660" s="217" t="s">
        <v>547</v>
      </c>
      <c r="BE660" s="217" t="s">
        <v>1432</v>
      </c>
      <c r="BF660" s="217" t="s">
        <v>568</v>
      </c>
      <c r="BG660" s="217" t="s">
        <v>1998</v>
      </c>
      <c r="BH660" s="217" t="s">
        <v>1658</v>
      </c>
      <c r="BI660" s="217" t="s">
        <v>1660</v>
      </c>
      <c r="BJ660" s="217" t="s">
        <v>1658</v>
      </c>
      <c r="BK660" s="217" t="s">
        <v>637</v>
      </c>
      <c r="BL660" s="217"/>
      <c r="BM660" s="217"/>
      <c r="BN660" s="217">
        <v>0</v>
      </c>
      <c r="BO660" s="217">
        <v>0</v>
      </c>
      <c r="BR660" s="217" t="s">
        <v>37</v>
      </c>
      <c r="BS660" s="217" t="s">
        <v>247</v>
      </c>
      <c r="BT660" s="217" t="s">
        <v>577</v>
      </c>
      <c r="BU660" s="217" t="s">
        <v>1441</v>
      </c>
      <c r="BV660" s="217">
        <v>24</v>
      </c>
      <c r="BW660" s="217">
        <v>152</v>
      </c>
      <c r="BX660" s="217">
        <v>0</v>
      </c>
      <c r="BY660" s="217">
        <v>0</v>
      </c>
      <c r="BZ660" s="217">
        <v>156</v>
      </c>
      <c r="CA660" s="217">
        <v>1221</v>
      </c>
      <c r="CB660" s="217">
        <v>24</v>
      </c>
      <c r="CC660" s="217">
        <v>152</v>
      </c>
      <c r="CD660" s="217">
        <v>0</v>
      </c>
      <c r="CE660" s="217">
        <v>0</v>
      </c>
      <c r="CF660" s="217">
        <v>156</v>
      </c>
      <c r="CG660" s="217">
        <v>1221</v>
      </c>
      <c r="CH660" s="217">
        <v>0</v>
      </c>
      <c r="CI660" s="217">
        <v>0</v>
      </c>
      <c r="CJ660" s="217">
        <v>0</v>
      </c>
    </row>
    <row r="661" spans="1:88" x14ac:dyDescent="0.25">
      <c r="A661" s="217" t="s">
        <v>22</v>
      </c>
      <c r="B661" s="217" t="s">
        <v>23</v>
      </c>
      <c r="C661" s="217" t="s">
        <v>85</v>
      </c>
      <c r="D661" s="217" t="s">
        <v>84</v>
      </c>
      <c r="E661" s="217" t="s">
        <v>98</v>
      </c>
      <c r="F661" s="217" t="s">
        <v>97</v>
      </c>
      <c r="G661" s="217" t="s">
        <v>811</v>
      </c>
      <c r="H661" s="217" t="s">
        <v>1277</v>
      </c>
      <c r="I661" s="217" t="s">
        <v>29</v>
      </c>
      <c r="J661" s="217" t="s">
        <v>1859</v>
      </c>
      <c r="K661" s="217">
        <v>3</v>
      </c>
      <c r="L661" s="217">
        <v>13</v>
      </c>
      <c r="M661" s="217" t="s">
        <v>31</v>
      </c>
      <c r="N661" s="217" t="s">
        <v>32</v>
      </c>
      <c r="O661" s="217" t="s">
        <v>100</v>
      </c>
      <c r="P661" s="217" t="s">
        <v>34</v>
      </c>
      <c r="Q661" s="217" t="s">
        <v>35</v>
      </c>
      <c r="R661" s="217" t="s">
        <v>23</v>
      </c>
      <c r="S661" s="217" t="s">
        <v>22</v>
      </c>
      <c r="T661" s="217" t="s">
        <v>84</v>
      </c>
      <c r="U661" s="217" t="s">
        <v>85</v>
      </c>
      <c r="V661" s="217" t="s">
        <v>97</v>
      </c>
      <c r="W661" s="217" t="s">
        <v>98</v>
      </c>
      <c r="BC661" s="217" t="s">
        <v>37</v>
      </c>
      <c r="BD661" s="217" t="s">
        <v>547</v>
      </c>
      <c r="BE661" s="217" t="s">
        <v>1433</v>
      </c>
      <c r="BF661" s="217" t="s">
        <v>569</v>
      </c>
      <c r="BG661" s="217" t="s">
        <v>1998</v>
      </c>
      <c r="BH661" s="217" t="s">
        <v>1658</v>
      </c>
      <c r="BI661" s="217" t="s">
        <v>1660</v>
      </c>
      <c r="BJ661" s="217" t="s">
        <v>1658</v>
      </c>
      <c r="BK661" s="217" t="s">
        <v>637</v>
      </c>
      <c r="BL661" s="217"/>
      <c r="BM661" s="217"/>
      <c r="BN661" s="217">
        <v>0</v>
      </c>
      <c r="BO661" s="217">
        <v>0</v>
      </c>
      <c r="BR661" s="217" t="s">
        <v>37</v>
      </c>
      <c r="BS661" s="217" t="s">
        <v>247</v>
      </c>
      <c r="BT661" s="217" t="s">
        <v>2045</v>
      </c>
      <c r="BU661" s="217" t="s">
        <v>2044</v>
      </c>
      <c r="BV661" s="217">
        <v>9</v>
      </c>
      <c r="BW661" s="217">
        <v>45</v>
      </c>
      <c r="BX661" s="217">
        <v>0</v>
      </c>
      <c r="BY661" s="217">
        <v>0</v>
      </c>
      <c r="BZ661" s="217">
        <v>1</v>
      </c>
      <c r="CA661" s="217">
        <v>4</v>
      </c>
      <c r="CB661" s="217">
        <v>9</v>
      </c>
      <c r="CC661" s="217">
        <v>45</v>
      </c>
      <c r="CD661" s="217">
        <v>0</v>
      </c>
      <c r="CE661" s="217">
        <v>0</v>
      </c>
      <c r="CF661" s="217">
        <v>1</v>
      </c>
      <c r="CG661" s="217">
        <v>4</v>
      </c>
      <c r="CH661" s="217">
        <v>0</v>
      </c>
      <c r="CI661" s="217">
        <v>0</v>
      </c>
      <c r="CJ661" s="217">
        <v>0</v>
      </c>
    </row>
    <row r="662" spans="1:88" x14ac:dyDescent="0.25">
      <c r="A662" s="217" t="s">
        <v>22</v>
      </c>
      <c r="B662" s="217" t="s">
        <v>23</v>
      </c>
      <c r="C662" s="217" t="s">
        <v>85</v>
      </c>
      <c r="D662" s="217" t="s">
        <v>84</v>
      </c>
      <c r="E662" s="217" t="s">
        <v>98</v>
      </c>
      <c r="F662" s="217" t="s">
        <v>97</v>
      </c>
      <c r="G662" s="217" t="s">
        <v>452</v>
      </c>
      <c r="H662" s="217" t="s">
        <v>1278</v>
      </c>
      <c r="I662" s="217" t="s">
        <v>29</v>
      </c>
      <c r="J662" s="217" t="s">
        <v>1856</v>
      </c>
      <c r="K662" s="217">
        <v>28</v>
      </c>
      <c r="L662" s="217">
        <v>86</v>
      </c>
      <c r="M662" s="217" t="s">
        <v>31</v>
      </c>
      <c r="N662" s="217" t="s">
        <v>32</v>
      </c>
      <c r="O662" s="217" t="s">
        <v>68</v>
      </c>
      <c r="P662" s="217" t="s">
        <v>34</v>
      </c>
      <c r="Q662" s="217" t="s">
        <v>35</v>
      </c>
      <c r="R662" s="217" t="s">
        <v>23</v>
      </c>
      <c r="S662" s="217" t="s">
        <v>22</v>
      </c>
      <c r="T662" s="217" t="s">
        <v>84</v>
      </c>
      <c r="U662" s="217" t="s">
        <v>85</v>
      </c>
      <c r="V662" s="217" t="s">
        <v>150</v>
      </c>
      <c r="W662" s="217" t="s">
        <v>151</v>
      </c>
      <c r="BC662" s="217" t="s">
        <v>37</v>
      </c>
      <c r="BD662" s="217" t="s">
        <v>547</v>
      </c>
      <c r="BE662" s="217" t="s">
        <v>1434</v>
      </c>
      <c r="BF662" s="217" t="s">
        <v>570</v>
      </c>
      <c r="BG662" s="217" t="s">
        <v>1998</v>
      </c>
      <c r="BH662" s="217" t="s">
        <v>1658</v>
      </c>
      <c r="BI662" s="217" t="s">
        <v>1660</v>
      </c>
      <c r="BJ662" s="217" t="s">
        <v>1660</v>
      </c>
      <c r="BK662" s="217" t="s">
        <v>637</v>
      </c>
      <c r="BL662" s="217"/>
      <c r="BM662" s="217"/>
      <c r="BN662" s="217">
        <v>0</v>
      </c>
      <c r="BO662" s="217">
        <v>0</v>
      </c>
      <c r="BR662" s="217" t="s">
        <v>37</v>
      </c>
      <c r="BS662" s="217" t="s">
        <v>247</v>
      </c>
      <c r="BT662" s="217" t="s">
        <v>251</v>
      </c>
      <c r="BU662" s="217" t="s">
        <v>1454</v>
      </c>
      <c r="BV662" s="217">
        <v>14</v>
      </c>
      <c r="BW662" s="217">
        <v>70</v>
      </c>
      <c r="BX662" s="217">
        <v>0</v>
      </c>
      <c r="BY662" s="217">
        <v>0</v>
      </c>
      <c r="BZ662" s="217">
        <v>23</v>
      </c>
      <c r="CA662" s="217">
        <v>120</v>
      </c>
      <c r="CB662" s="217">
        <v>14</v>
      </c>
      <c r="CC662" s="217">
        <v>70</v>
      </c>
      <c r="CD662" s="217">
        <v>0</v>
      </c>
      <c r="CE662" s="217">
        <v>0</v>
      </c>
      <c r="CF662" s="217">
        <v>23</v>
      </c>
      <c r="CG662" s="217">
        <v>120</v>
      </c>
      <c r="CH662" s="217">
        <v>0</v>
      </c>
      <c r="CI662" s="217">
        <v>0</v>
      </c>
      <c r="CJ662" s="217">
        <v>0</v>
      </c>
    </row>
    <row r="663" spans="1:88" x14ac:dyDescent="0.25">
      <c r="A663" s="217" t="s">
        <v>22</v>
      </c>
      <c r="B663" s="217" t="s">
        <v>23</v>
      </c>
      <c r="C663" s="217" t="s">
        <v>85</v>
      </c>
      <c r="D663" s="217" t="s">
        <v>84</v>
      </c>
      <c r="E663" s="217" t="s">
        <v>98</v>
      </c>
      <c r="F663" s="217" t="s">
        <v>97</v>
      </c>
      <c r="G663" s="217" t="s">
        <v>452</v>
      </c>
      <c r="H663" s="217" t="s">
        <v>1278</v>
      </c>
      <c r="I663" s="217" t="s">
        <v>29</v>
      </c>
      <c r="J663" s="217" t="s">
        <v>1858</v>
      </c>
      <c r="K663" s="217">
        <v>2</v>
      </c>
      <c r="L663" s="217">
        <v>14</v>
      </c>
      <c r="M663" s="217" t="s">
        <v>31</v>
      </c>
      <c r="N663" s="217" t="s">
        <v>32</v>
      </c>
      <c r="O663" s="217" t="s">
        <v>68</v>
      </c>
      <c r="P663" s="217" t="s">
        <v>34</v>
      </c>
      <c r="Q663" s="217" t="s">
        <v>35</v>
      </c>
      <c r="R663" s="217" t="s">
        <v>23</v>
      </c>
      <c r="S663" s="217" t="s">
        <v>22</v>
      </c>
      <c r="T663" s="217" t="s">
        <v>84</v>
      </c>
      <c r="U663" s="217" t="s">
        <v>85</v>
      </c>
      <c r="V663" s="217" t="s">
        <v>150</v>
      </c>
      <c r="W663" s="217" t="s">
        <v>151</v>
      </c>
      <c r="BC663" s="217" t="s">
        <v>37</v>
      </c>
      <c r="BD663" s="217" t="s">
        <v>547</v>
      </c>
      <c r="BE663" s="217" t="s">
        <v>1435</v>
      </c>
      <c r="BF663" s="217" t="s">
        <v>571</v>
      </c>
      <c r="BG663" s="217" t="s">
        <v>1998</v>
      </c>
      <c r="BH663" s="217" t="s">
        <v>1658</v>
      </c>
      <c r="BI663" s="217" t="s">
        <v>1660</v>
      </c>
      <c r="BJ663" s="217" t="s">
        <v>1658</v>
      </c>
      <c r="BK663" s="217" t="s">
        <v>637</v>
      </c>
      <c r="BL663" s="217"/>
      <c r="BM663" s="217"/>
      <c r="BN663" s="217">
        <v>0</v>
      </c>
      <c r="BO663" s="217">
        <v>0</v>
      </c>
      <c r="BR663" s="217" t="s">
        <v>37</v>
      </c>
      <c r="BS663" s="217" t="s">
        <v>247</v>
      </c>
      <c r="BT663" s="217" t="s">
        <v>588</v>
      </c>
      <c r="BU663" s="217" t="s">
        <v>1455</v>
      </c>
      <c r="BV663" s="217">
        <v>17</v>
      </c>
      <c r="BW663" s="217">
        <v>102</v>
      </c>
      <c r="BX663" s="217">
        <v>0</v>
      </c>
      <c r="BY663" s="217">
        <v>0</v>
      </c>
      <c r="BZ663" s="217">
        <v>6</v>
      </c>
      <c r="CA663" s="217">
        <v>32</v>
      </c>
      <c r="CB663" s="217">
        <v>17</v>
      </c>
      <c r="CC663" s="217">
        <v>102</v>
      </c>
      <c r="CD663" s="217">
        <v>0</v>
      </c>
      <c r="CE663" s="217">
        <v>0</v>
      </c>
      <c r="CF663" s="217">
        <v>6</v>
      </c>
      <c r="CG663" s="217">
        <v>32</v>
      </c>
      <c r="CH663" s="217">
        <v>0</v>
      </c>
      <c r="CI663" s="217">
        <v>0</v>
      </c>
      <c r="CJ663" s="217">
        <v>0</v>
      </c>
    </row>
    <row r="664" spans="1:88" x14ac:dyDescent="0.25">
      <c r="A664" s="217" t="s">
        <v>22</v>
      </c>
      <c r="B664" s="217" t="s">
        <v>23</v>
      </c>
      <c r="C664" s="217" t="s">
        <v>85</v>
      </c>
      <c r="D664" s="217" t="s">
        <v>84</v>
      </c>
      <c r="E664" s="217" t="s">
        <v>98</v>
      </c>
      <c r="F664" s="217" t="s">
        <v>97</v>
      </c>
      <c r="G664" s="217" t="s">
        <v>453</v>
      </c>
      <c r="H664" s="217" t="s">
        <v>1279</v>
      </c>
      <c r="I664" s="217" t="s">
        <v>29</v>
      </c>
      <c r="J664" s="217" t="s">
        <v>1856</v>
      </c>
      <c r="K664" s="217">
        <v>4</v>
      </c>
      <c r="L664" s="217">
        <v>49</v>
      </c>
      <c r="M664" s="217" t="s">
        <v>31</v>
      </c>
      <c r="N664" s="217" t="s">
        <v>32</v>
      </c>
      <c r="O664" s="217" t="s">
        <v>68</v>
      </c>
      <c r="P664" s="217" t="s">
        <v>34</v>
      </c>
      <c r="Q664" s="217" t="s">
        <v>35</v>
      </c>
      <c r="R664" s="217" t="s">
        <v>23</v>
      </c>
      <c r="S664" s="217" t="s">
        <v>22</v>
      </c>
      <c r="T664" s="217" t="s">
        <v>84</v>
      </c>
      <c r="U664" s="217" t="s">
        <v>85</v>
      </c>
      <c r="V664" s="217" t="s">
        <v>150</v>
      </c>
      <c r="W664" s="217" t="s">
        <v>151</v>
      </c>
      <c r="BC664" s="217" t="s">
        <v>37</v>
      </c>
      <c r="BD664" s="217" t="s">
        <v>547</v>
      </c>
      <c r="BE664" s="217" t="s">
        <v>1436</v>
      </c>
      <c r="BF664" s="217" t="s">
        <v>572</v>
      </c>
      <c r="BG664" s="217" t="s">
        <v>1998</v>
      </c>
      <c r="BH664" s="217" t="s">
        <v>1658</v>
      </c>
      <c r="BI664" s="217" t="s">
        <v>1660</v>
      </c>
      <c r="BJ664" s="217" t="s">
        <v>1658</v>
      </c>
      <c r="BK664" s="217" t="s">
        <v>637</v>
      </c>
      <c r="BL664" s="217"/>
      <c r="BM664" s="217"/>
      <c r="BN664" s="217">
        <v>0</v>
      </c>
      <c r="BO664" s="217">
        <v>0</v>
      </c>
      <c r="BR664" s="217" t="s">
        <v>37</v>
      </c>
      <c r="BS664" s="217" t="s">
        <v>247</v>
      </c>
      <c r="BT664" s="217" t="s">
        <v>597</v>
      </c>
      <c r="BU664" s="217" t="s">
        <v>1466</v>
      </c>
      <c r="BV664" s="217">
        <v>210</v>
      </c>
      <c r="BW664" s="217">
        <v>896</v>
      </c>
      <c r="BX664" s="217">
        <v>0</v>
      </c>
      <c r="BY664" s="217">
        <v>0</v>
      </c>
      <c r="BZ664" s="217">
        <v>8</v>
      </c>
      <c r="CA664" s="217">
        <v>40</v>
      </c>
      <c r="CB664" s="217">
        <v>153</v>
      </c>
      <c r="CC664" s="217">
        <v>611</v>
      </c>
      <c r="CD664" s="217">
        <v>0</v>
      </c>
      <c r="CE664" s="217">
        <v>0</v>
      </c>
      <c r="CF664" s="217">
        <v>8</v>
      </c>
      <c r="CG664" s="217">
        <v>40</v>
      </c>
      <c r="CH664" s="217">
        <v>285</v>
      </c>
      <c r="CI664" s="217">
        <v>0</v>
      </c>
      <c r="CJ664" s="217">
        <v>0</v>
      </c>
    </row>
    <row r="665" spans="1:88" x14ac:dyDescent="0.25">
      <c r="A665" s="217" t="s">
        <v>22</v>
      </c>
      <c r="B665" s="217" t="s">
        <v>23</v>
      </c>
      <c r="C665" s="217" t="s">
        <v>85</v>
      </c>
      <c r="D665" s="217" t="s">
        <v>84</v>
      </c>
      <c r="E665" s="217" t="s">
        <v>98</v>
      </c>
      <c r="F665" s="217" t="s">
        <v>97</v>
      </c>
      <c r="G665" s="217" t="s">
        <v>453</v>
      </c>
      <c r="H665" s="217" t="s">
        <v>1279</v>
      </c>
      <c r="I665" s="217" t="s">
        <v>29</v>
      </c>
      <c r="J665" s="217" t="s">
        <v>1857</v>
      </c>
      <c r="K665" s="217">
        <v>2</v>
      </c>
      <c r="L665" s="217">
        <v>17</v>
      </c>
      <c r="M665" s="217" t="s">
        <v>31</v>
      </c>
      <c r="N665" s="217" t="s">
        <v>32</v>
      </c>
      <c r="O665" s="217" t="s">
        <v>68</v>
      </c>
      <c r="P665" s="217" t="s">
        <v>34</v>
      </c>
      <c r="Q665" s="217" t="s">
        <v>35</v>
      </c>
      <c r="R665" s="217" t="s">
        <v>23</v>
      </c>
      <c r="S665" s="217" t="s">
        <v>22</v>
      </c>
      <c r="T665" s="217" t="s">
        <v>84</v>
      </c>
      <c r="U665" s="217" t="s">
        <v>85</v>
      </c>
      <c r="V665" s="217" t="s">
        <v>150</v>
      </c>
      <c r="W665" s="217" t="s">
        <v>151</v>
      </c>
      <c r="BC665" s="217" t="s">
        <v>37</v>
      </c>
      <c r="BD665" s="217" t="s">
        <v>547</v>
      </c>
      <c r="BE665" s="217" t="s">
        <v>1437</v>
      </c>
      <c r="BF665" s="217" t="s">
        <v>573</v>
      </c>
      <c r="BG665" s="217" t="s">
        <v>1998</v>
      </c>
      <c r="BH665" s="217" t="s">
        <v>1658</v>
      </c>
      <c r="BI665" s="217" t="s">
        <v>1660</v>
      </c>
      <c r="BJ665" s="217" t="s">
        <v>1658</v>
      </c>
      <c r="BK665" s="217" t="s">
        <v>637</v>
      </c>
      <c r="BL665" s="217"/>
      <c r="BM665" s="217"/>
      <c r="BN665" s="217">
        <v>0</v>
      </c>
      <c r="BO665" s="217">
        <v>0</v>
      </c>
      <c r="BR665" s="217" t="s">
        <v>37</v>
      </c>
      <c r="BS665" s="217" t="s">
        <v>247</v>
      </c>
      <c r="BT665" s="217" t="s">
        <v>596</v>
      </c>
      <c r="BU665" s="217" t="s">
        <v>1464</v>
      </c>
      <c r="BV665" s="217">
        <v>30</v>
      </c>
      <c r="BW665" s="217">
        <v>150</v>
      </c>
      <c r="BX665" s="217">
        <v>0</v>
      </c>
      <c r="BY665" s="217">
        <v>0</v>
      </c>
      <c r="BZ665" s="217">
        <v>25</v>
      </c>
      <c r="CA665" s="217">
        <v>129</v>
      </c>
      <c r="CB665" s="217">
        <v>30</v>
      </c>
      <c r="CC665" s="217">
        <v>150</v>
      </c>
      <c r="CD665" s="217">
        <v>0</v>
      </c>
      <c r="CE665" s="217">
        <v>0</v>
      </c>
      <c r="CF665" s="217">
        <v>25</v>
      </c>
      <c r="CG665" s="217">
        <v>129</v>
      </c>
      <c r="CH665" s="217">
        <v>0</v>
      </c>
      <c r="CI665" s="217">
        <v>0</v>
      </c>
      <c r="CJ665" s="217">
        <v>0</v>
      </c>
    </row>
    <row r="666" spans="1:88" x14ac:dyDescent="0.25">
      <c r="A666" s="217" t="s">
        <v>22</v>
      </c>
      <c r="B666" s="217" t="s">
        <v>23</v>
      </c>
      <c r="C666" s="217" t="s">
        <v>85</v>
      </c>
      <c r="D666" s="217" t="s">
        <v>84</v>
      </c>
      <c r="E666" s="217" t="s">
        <v>98</v>
      </c>
      <c r="F666" s="217" t="s">
        <v>97</v>
      </c>
      <c r="G666" s="217" t="s">
        <v>453</v>
      </c>
      <c r="H666" s="217" t="s">
        <v>1279</v>
      </c>
      <c r="I666" s="217" t="s">
        <v>29</v>
      </c>
      <c r="J666" s="217" t="s">
        <v>1858</v>
      </c>
      <c r="K666" s="217">
        <v>12</v>
      </c>
      <c r="L666" s="217">
        <v>39</v>
      </c>
      <c r="M666" s="217" t="s">
        <v>31</v>
      </c>
      <c r="N666" s="217" t="s">
        <v>32</v>
      </c>
      <c r="O666" s="217" t="s">
        <v>68</v>
      </c>
      <c r="P666" s="217" t="s">
        <v>34</v>
      </c>
      <c r="Q666" s="217" t="s">
        <v>35</v>
      </c>
      <c r="R666" s="217" t="s">
        <v>23</v>
      </c>
      <c r="S666" s="217" t="s">
        <v>22</v>
      </c>
      <c r="T666" s="217" t="s">
        <v>84</v>
      </c>
      <c r="U666" s="217" t="s">
        <v>85</v>
      </c>
      <c r="V666" s="217" t="s">
        <v>150</v>
      </c>
      <c r="W666" s="217" t="s">
        <v>151</v>
      </c>
      <c r="BC666" s="217" t="s">
        <v>37</v>
      </c>
      <c r="BD666" s="217" t="s">
        <v>547</v>
      </c>
      <c r="BE666" s="217" t="s">
        <v>1438</v>
      </c>
      <c r="BF666" s="217" t="s">
        <v>574</v>
      </c>
      <c r="BG666" s="217" t="s">
        <v>1998</v>
      </c>
      <c r="BH666" s="217" t="s">
        <v>1658</v>
      </c>
      <c r="BI666" s="217" t="s">
        <v>1660</v>
      </c>
      <c r="BJ666" s="217" t="s">
        <v>1658</v>
      </c>
      <c r="BK666" s="217" t="s">
        <v>637</v>
      </c>
      <c r="BL666" s="217"/>
      <c r="BM666" s="217"/>
      <c r="BN666" s="217">
        <v>0</v>
      </c>
      <c r="BO666" s="217">
        <v>0</v>
      </c>
      <c r="BR666" s="217" t="s">
        <v>37</v>
      </c>
      <c r="BS666" s="217" t="s">
        <v>540</v>
      </c>
      <c r="BT666" s="217" t="s">
        <v>544</v>
      </c>
      <c r="BU666" s="217" t="s">
        <v>1407</v>
      </c>
      <c r="BV666" s="217">
        <v>8</v>
      </c>
      <c r="BW666" s="217">
        <v>55</v>
      </c>
      <c r="BX666" s="217">
        <v>0</v>
      </c>
      <c r="BY666" s="217">
        <v>0</v>
      </c>
      <c r="BZ666" s="217">
        <v>5</v>
      </c>
      <c r="CA666" s="217">
        <v>35</v>
      </c>
      <c r="CB666" s="217">
        <v>8</v>
      </c>
      <c r="CC666" s="217">
        <v>55</v>
      </c>
      <c r="CD666" s="217">
        <v>0</v>
      </c>
      <c r="CE666" s="217">
        <v>0</v>
      </c>
      <c r="CF666" s="217">
        <v>6</v>
      </c>
      <c r="CG666" s="217">
        <v>40</v>
      </c>
      <c r="CH666" s="217">
        <v>0</v>
      </c>
      <c r="CI666" s="217">
        <v>0</v>
      </c>
      <c r="CJ666" s="217">
        <v>-5</v>
      </c>
    </row>
    <row r="667" spans="1:88" x14ac:dyDescent="0.25">
      <c r="A667" s="217" t="s">
        <v>22</v>
      </c>
      <c r="B667" s="217" t="s">
        <v>23</v>
      </c>
      <c r="C667" s="217" t="s">
        <v>85</v>
      </c>
      <c r="D667" s="217" t="s">
        <v>84</v>
      </c>
      <c r="E667" s="217" t="s">
        <v>98</v>
      </c>
      <c r="F667" s="217" t="s">
        <v>97</v>
      </c>
      <c r="G667" s="217" t="s">
        <v>454</v>
      </c>
      <c r="H667" s="217" t="s">
        <v>1280</v>
      </c>
      <c r="I667" s="217" t="s">
        <v>29</v>
      </c>
      <c r="J667" s="217" t="s">
        <v>1855</v>
      </c>
      <c r="K667" s="217">
        <v>8</v>
      </c>
      <c r="L667" s="217">
        <v>29</v>
      </c>
      <c r="M667" s="217" t="s">
        <v>31</v>
      </c>
      <c r="N667" s="217" t="s">
        <v>32</v>
      </c>
      <c r="O667" s="217" t="s">
        <v>68</v>
      </c>
      <c r="P667" s="217" t="s">
        <v>34</v>
      </c>
      <c r="Q667" s="217" t="s">
        <v>35</v>
      </c>
      <c r="R667" s="217" t="s">
        <v>23</v>
      </c>
      <c r="S667" s="217" t="s">
        <v>22</v>
      </c>
      <c r="T667" s="217" t="s">
        <v>84</v>
      </c>
      <c r="U667" s="217" t="s">
        <v>85</v>
      </c>
      <c r="V667" s="217" t="s">
        <v>94</v>
      </c>
      <c r="W667" s="217" t="s">
        <v>95</v>
      </c>
      <c r="BC667" s="217" t="s">
        <v>37</v>
      </c>
      <c r="BD667" s="217" t="s">
        <v>547</v>
      </c>
      <c r="BE667" s="217" t="s">
        <v>1439</v>
      </c>
      <c r="BF667" s="217" t="s">
        <v>575</v>
      </c>
      <c r="BG667" s="217" t="s">
        <v>1998</v>
      </c>
      <c r="BH667" s="217" t="s">
        <v>1658</v>
      </c>
      <c r="BI667" s="217" t="s">
        <v>1658</v>
      </c>
      <c r="BJ667" s="217" t="s">
        <v>1658</v>
      </c>
      <c r="BK667" s="217" t="s">
        <v>637</v>
      </c>
      <c r="BL667" s="217"/>
      <c r="BM667" s="217"/>
      <c r="BN667" s="217">
        <v>0</v>
      </c>
      <c r="BO667" s="217">
        <v>0</v>
      </c>
      <c r="BR667" s="217" t="s">
        <v>37</v>
      </c>
      <c r="BS667" s="217" t="s">
        <v>540</v>
      </c>
      <c r="BT667" s="217" t="s">
        <v>543</v>
      </c>
      <c r="BU667" s="217" t="s">
        <v>1406</v>
      </c>
      <c r="BV667" s="217">
        <v>19</v>
      </c>
      <c r="BW667" s="217">
        <v>129</v>
      </c>
      <c r="BX667" s="217">
        <v>0</v>
      </c>
      <c r="BY667" s="217">
        <v>0</v>
      </c>
      <c r="BZ667" s="217">
        <v>11</v>
      </c>
      <c r="CA667" s="217">
        <v>65</v>
      </c>
      <c r="CB667" s="217">
        <v>19</v>
      </c>
      <c r="CC667" s="217">
        <v>129</v>
      </c>
      <c r="CD667" s="217">
        <v>0</v>
      </c>
      <c r="CE667" s="217">
        <v>0</v>
      </c>
      <c r="CF667" s="217">
        <v>11</v>
      </c>
      <c r="CG667" s="217">
        <v>65</v>
      </c>
      <c r="CH667" s="217">
        <v>0</v>
      </c>
      <c r="CI667" s="217">
        <v>0</v>
      </c>
      <c r="CJ667" s="217">
        <v>0</v>
      </c>
    </row>
    <row r="668" spans="1:88" x14ac:dyDescent="0.25">
      <c r="A668" s="217" t="s">
        <v>22</v>
      </c>
      <c r="B668" s="217" t="s">
        <v>23</v>
      </c>
      <c r="C668" s="217" t="s">
        <v>85</v>
      </c>
      <c r="D668" s="217" t="s">
        <v>84</v>
      </c>
      <c r="E668" s="217" t="s">
        <v>98</v>
      </c>
      <c r="F668" s="217" t="s">
        <v>97</v>
      </c>
      <c r="G668" s="217" t="s">
        <v>454</v>
      </c>
      <c r="H668" s="217" t="s">
        <v>1280</v>
      </c>
      <c r="I668" s="217" t="s">
        <v>29</v>
      </c>
      <c r="J668" s="217" t="s">
        <v>1856</v>
      </c>
      <c r="K668" s="217">
        <v>3</v>
      </c>
      <c r="L668" s="217">
        <v>11</v>
      </c>
      <c r="M668" s="217" t="s">
        <v>31</v>
      </c>
      <c r="N668" s="217" t="s">
        <v>32</v>
      </c>
      <c r="O668" s="217" t="s">
        <v>68</v>
      </c>
      <c r="P668" s="217" t="s">
        <v>34</v>
      </c>
      <c r="Q668" s="217" t="s">
        <v>35</v>
      </c>
      <c r="R668" s="217" t="s">
        <v>23</v>
      </c>
      <c r="S668" s="217" t="s">
        <v>22</v>
      </c>
      <c r="T668" s="217" t="s">
        <v>84</v>
      </c>
      <c r="U668" s="217" t="s">
        <v>85</v>
      </c>
      <c r="V668" s="217" t="s">
        <v>91</v>
      </c>
      <c r="W668" s="217" t="s">
        <v>92</v>
      </c>
      <c r="BC668" s="217" t="s">
        <v>37</v>
      </c>
      <c r="BD668" s="217" t="s">
        <v>547</v>
      </c>
      <c r="BE668" s="217" t="s">
        <v>2040</v>
      </c>
      <c r="BF668" s="217" t="s">
        <v>2041</v>
      </c>
      <c r="BG668" s="217" t="s">
        <v>1998</v>
      </c>
      <c r="BH668" s="217" t="s">
        <v>1658</v>
      </c>
      <c r="BI668" s="217" t="s">
        <v>1660</v>
      </c>
      <c r="BJ668" s="217" t="s">
        <v>1658</v>
      </c>
      <c r="BK668" s="217" t="s">
        <v>637</v>
      </c>
      <c r="BL668" s="217"/>
      <c r="BM668" s="217"/>
      <c r="BN668" s="217">
        <v>0</v>
      </c>
      <c r="BO668" s="217">
        <v>0</v>
      </c>
      <c r="BR668" s="217" t="s">
        <v>37</v>
      </c>
      <c r="BS668" s="217" t="s">
        <v>540</v>
      </c>
      <c r="BT668" s="217" t="s">
        <v>542</v>
      </c>
      <c r="BU668" s="217" t="s">
        <v>1405</v>
      </c>
      <c r="BV668" s="217">
        <v>7</v>
      </c>
      <c r="BW668" s="217">
        <v>55</v>
      </c>
      <c r="BX668" s="217">
        <v>0</v>
      </c>
      <c r="BY668" s="217">
        <v>0</v>
      </c>
      <c r="BZ668" s="217">
        <v>5</v>
      </c>
      <c r="CA668" s="217">
        <v>35</v>
      </c>
      <c r="CB668" s="217">
        <v>7</v>
      </c>
      <c r="CC668" s="217">
        <v>55</v>
      </c>
      <c r="CD668" s="217">
        <v>0</v>
      </c>
      <c r="CE668" s="217">
        <v>0</v>
      </c>
      <c r="CF668" s="217">
        <v>5</v>
      </c>
      <c r="CG668" s="217">
        <v>35</v>
      </c>
      <c r="CH668" s="217">
        <v>0</v>
      </c>
      <c r="CI668" s="217">
        <v>0</v>
      </c>
      <c r="CJ668" s="217">
        <v>0</v>
      </c>
    </row>
    <row r="669" spans="1:88" x14ac:dyDescent="0.25">
      <c r="A669" s="217" t="s">
        <v>22</v>
      </c>
      <c r="B669" s="217" t="s">
        <v>23</v>
      </c>
      <c r="C669" s="217" t="s">
        <v>85</v>
      </c>
      <c r="D669" s="217" t="s">
        <v>84</v>
      </c>
      <c r="E669" s="217" t="s">
        <v>98</v>
      </c>
      <c r="F669" s="217" t="s">
        <v>97</v>
      </c>
      <c r="G669" s="217" t="s">
        <v>820</v>
      </c>
      <c r="H669" s="217" t="s">
        <v>1281</v>
      </c>
      <c r="I669" s="217" t="s">
        <v>29</v>
      </c>
      <c r="J669" s="217" t="s">
        <v>1856</v>
      </c>
      <c r="K669" s="217">
        <v>26</v>
      </c>
      <c r="L669" s="217">
        <v>179</v>
      </c>
      <c r="M669" s="217" t="s">
        <v>31</v>
      </c>
      <c r="N669" s="217" t="s">
        <v>32</v>
      </c>
      <c r="O669" s="217" t="s">
        <v>100</v>
      </c>
      <c r="P669" s="217" t="s">
        <v>34</v>
      </c>
      <c r="Q669" s="217" t="s">
        <v>35</v>
      </c>
      <c r="R669" s="217" t="s">
        <v>23</v>
      </c>
      <c r="S669" s="217" t="s">
        <v>22</v>
      </c>
      <c r="T669" s="217" t="s">
        <v>84</v>
      </c>
      <c r="U669" s="217" t="s">
        <v>85</v>
      </c>
      <c r="V669" s="217" t="s">
        <v>97</v>
      </c>
      <c r="W669" s="217" t="s">
        <v>98</v>
      </c>
      <c r="BC669" s="217" t="s">
        <v>37</v>
      </c>
      <c r="BD669" s="217" t="s">
        <v>547</v>
      </c>
      <c r="BE669" s="217" t="s">
        <v>1440</v>
      </c>
      <c r="BF669" s="217" t="s">
        <v>576</v>
      </c>
      <c r="BG669" s="217" t="s">
        <v>1998</v>
      </c>
      <c r="BH669" s="217" t="s">
        <v>1658</v>
      </c>
      <c r="BI669" s="217" t="s">
        <v>1658</v>
      </c>
      <c r="BJ669" s="217" t="s">
        <v>1660</v>
      </c>
      <c r="BK669" s="217" t="s">
        <v>637</v>
      </c>
      <c r="BL669" s="217"/>
      <c r="BM669" s="217"/>
      <c r="BN669" s="217">
        <v>0</v>
      </c>
      <c r="BO669" s="217">
        <v>0</v>
      </c>
      <c r="BR669" s="217" t="s">
        <v>37</v>
      </c>
      <c r="BS669" s="217" t="s">
        <v>540</v>
      </c>
      <c r="BT669" s="217" t="s">
        <v>545</v>
      </c>
      <c r="BU669" s="217" t="s">
        <v>1408</v>
      </c>
      <c r="BV669" s="217">
        <v>26</v>
      </c>
      <c r="BW669" s="217">
        <v>148</v>
      </c>
      <c r="BX669" s="217">
        <v>0</v>
      </c>
      <c r="BY669" s="217">
        <v>0</v>
      </c>
      <c r="BZ669" s="217">
        <v>12</v>
      </c>
      <c r="CA669" s="217">
        <v>80</v>
      </c>
      <c r="CB669" s="217">
        <v>26</v>
      </c>
      <c r="CC669" s="217">
        <v>148</v>
      </c>
      <c r="CD669" s="217">
        <v>0</v>
      </c>
      <c r="CE669" s="217">
        <v>0</v>
      </c>
      <c r="CF669" s="217">
        <v>12</v>
      </c>
      <c r="CG669" s="217">
        <v>80</v>
      </c>
      <c r="CH669" s="217">
        <v>0</v>
      </c>
      <c r="CI669" s="217">
        <v>0</v>
      </c>
      <c r="CJ669" s="217">
        <v>0</v>
      </c>
    </row>
    <row r="670" spans="1:88" x14ac:dyDescent="0.25">
      <c r="A670" s="217" t="s">
        <v>22</v>
      </c>
      <c r="B670" s="217" t="s">
        <v>23</v>
      </c>
      <c r="C670" s="217" t="s">
        <v>85</v>
      </c>
      <c r="D670" s="217" t="s">
        <v>84</v>
      </c>
      <c r="E670" s="217" t="s">
        <v>98</v>
      </c>
      <c r="F670" s="217" t="s">
        <v>97</v>
      </c>
      <c r="G670" s="217" t="s">
        <v>820</v>
      </c>
      <c r="H670" s="217" t="s">
        <v>1281</v>
      </c>
      <c r="I670" s="217" t="s">
        <v>29</v>
      </c>
      <c r="J670" s="217" t="s">
        <v>1858</v>
      </c>
      <c r="K670" s="217">
        <v>8</v>
      </c>
      <c r="L670" s="217">
        <v>39</v>
      </c>
      <c r="M670" s="217" t="s">
        <v>31</v>
      </c>
      <c r="N670" s="217" t="s">
        <v>32</v>
      </c>
      <c r="O670" s="217" t="s">
        <v>100</v>
      </c>
      <c r="P670" s="217" t="s">
        <v>34</v>
      </c>
      <c r="Q670" s="217" t="s">
        <v>35</v>
      </c>
      <c r="R670" s="217" t="s">
        <v>23</v>
      </c>
      <c r="S670" s="217" t="s">
        <v>22</v>
      </c>
      <c r="T670" s="217" t="s">
        <v>84</v>
      </c>
      <c r="U670" s="217" t="s">
        <v>85</v>
      </c>
      <c r="V670" s="217" t="s">
        <v>97</v>
      </c>
      <c r="W670" s="217" t="s">
        <v>98</v>
      </c>
      <c r="BC670" s="217" t="s">
        <v>37</v>
      </c>
      <c r="BD670" s="217" t="s">
        <v>244</v>
      </c>
      <c r="BE670" s="217" t="s">
        <v>1537</v>
      </c>
      <c r="BF670" s="217" t="s">
        <v>644</v>
      </c>
      <c r="BG670" s="217" t="s">
        <v>1998</v>
      </c>
      <c r="BH670" s="217" t="s">
        <v>1660</v>
      </c>
      <c r="BI670" s="217" t="s">
        <v>1658</v>
      </c>
      <c r="BJ670" s="217" t="s">
        <v>1658</v>
      </c>
      <c r="BK670" s="217" t="s">
        <v>637</v>
      </c>
      <c r="BL670" s="217"/>
      <c r="BM670" s="217"/>
      <c r="BN670" s="217">
        <v>0</v>
      </c>
      <c r="BO670" s="217">
        <v>0</v>
      </c>
      <c r="BR670" s="217" t="s">
        <v>37</v>
      </c>
      <c r="BS670" s="217" t="s">
        <v>540</v>
      </c>
      <c r="BT670" s="217" t="s">
        <v>285</v>
      </c>
      <c r="BU670" s="217" t="s">
        <v>1409</v>
      </c>
      <c r="BV670" s="217">
        <v>4</v>
      </c>
      <c r="BW670" s="217">
        <v>17</v>
      </c>
      <c r="BX670" s="217">
        <v>0</v>
      </c>
      <c r="BY670" s="217">
        <v>0</v>
      </c>
      <c r="BZ670" s="217">
        <v>1</v>
      </c>
      <c r="CA670" s="217">
        <v>3</v>
      </c>
      <c r="CB670" s="217">
        <v>4</v>
      </c>
      <c r="CC670" s="217">
        <v>17</v>
      </c>
      <c r="CD670" s="217">
        <v>0</v>
      </c>
      <c r="CE670" s="217">
        <v>0</v>
      </c>
      <c r="CF670" s="217">
        <v>1</v>
      </c>
      <c r="CG670" s="217">
        <v>3</v>
      </c>
      <c r="CH670" s="217">
        <v>0</v>
      </c>
      <c r="CI670" s="217">
        <v>0</v>
      </c>
      <c r="CJ670" s="217">
        <v>0</v>
      </c>
    </row>
    <row r="671" spans="1:88" x14ac:dyDescent="0.25">
      <c r="A671" s="217" t="s">
        <v>22</v>
      </c>
      <c r="B671" s="217" t="s">
        <v>23</v>
      </c>
      <c r="C671" s="217" t="s">
        <v>85</v>
      </c>
      <c r="D671" s="217" t="s">
        <v>84</v>
      </c>
      <c r="E671" s="217" t="s">
        <v>98</v>
      </c>
      <c r="F671" s="217" t="s">
        <v>97</v>
      </c>
      <c r="G671" s="217" t="s">
        <v>455</v>
      </c>
      <c r="H671" s="217" t="s">
        <v>1282</v>
      </c>
      <c r="I671" s="217" t="s">
        <v>29</v>
      </c>
      <c r="J671" s="217" t="s">
        <v>1855</v>
      </c>
      <c r="K671" s="217">
        <v>5</v>
      </c>
      <c r="L671" s="217">
        <v>30</v>
      </c>
      <c r="M671" s="217" t="s">
        <v>31</v>
      </c>
      <c r="N671" s="217" t="s">
        <v>32</v>
      </c>
      <c r="O671" s="217" t="s">
        <v>68</v>
      </c>
      <c r="P671" s="217" t="s">
        <v>34</v>
      </c>
      <c r="Q671" s="217" t="s">
        <v>35</v>
      </c>
      <c r="R671" s="217" t="s">
        <v>23</v>
      </c>
      <c r="S671" s="217" t="s">
        <v>22</v>
      </c>
      <c r="T671" s="217" t="s">
        <v>84</v>
      </c>
      <c r="U671" s="217" t="s">
        <v>85</v>
      </c>
      <c r="V671" s="217" t="s">
        <v>91</v>
      </c>
      <c r="W671" s="217" t="s">
        <v>92</v>
      </c>
      <c r="BC671" s="217" t="s">
        <v>37</v>
      </c>
      <c r="BD671" s="217" t="s">
        <v>244</v>
      </c>
      <c r="BE671" s="217" t="s">
        <v>1538</v>
      </c>
      <c r="BF671" s="217" t="s">
        <v>645</v>
      </c>
      <c r="BG671" s="217" t="s">
        <v>1998</v>
      </c>
      <c r="BH671" s="217" t="s">
        <v>1660</v>
      </c>
      <c r="BI671" s="217" t="s">
        <v>1658</v>
      </c>
      <c r="BJ671" s="217" t="s">
        <v>1658</v>
      </c>
      <c r="BK671" s="217" t="s">
        <v>637</v>
      </c>
      <c r="BL671" s="217"/>
      <c r="BM671" s="217"/>
      <c r="BN671" s="217">
        <v>0</v>
      </c>
      <c r="BO671" s="217">
        <v>0</v>
      </c>
      <c r="BR671" s="217" t="s">
        <v>37</v>
      </c>
      <c r="BS671" s="217" t="s">
        <v>540</v>
      </c>
      <c r="BT671" s="217" t="s">
        <v>546</v>
      </c>
      <c r="BU671" s="217" t="s">
        <v>1410</v>
      </c>
      <c r="BV671" s="217">
        <v>0</v>
      </c>
      <c r="BW671" s="217">
        <v>0</v>
      </c>
      <c r="BX671" s="217">
        <v>0</v>
      </c>
      <c r="BY671" s="217">
        <v>0</v>
      </c>
      <c r="BZ671" s="217">
        <v>6</v>
      </c>
      <c r="CA671" s="217">
        <v>35</v>
      </c>
      <c r="CB671" s="217">
        <v>0</v>
      </c>
      <c r="CC671" s="217">
        <v>0</v>
      </c>
      <c r="CD671" s="217">
        <v>0</v>
      </c>
      <c r="CE671" s="217">
        <v>0</v>
      </c>
      <c r="CF671" s="217">
        <v>6</v>
      </c>
      <c r="CG671" s="217">
        <v>35</v>
      </c>
      <c r="CH671" s="217">
        <v>0</v>
      </c>
      <c r="CI671" s="217">
        <v>0</v>
      </c>
      <c r="CJ671" s="217">
        <v>0</v>
      </c>
    </row>
    <row r="672" spans="1:88" x14ac:dyDescent="0.25">
      <c r="A672" s="217" t="s">
        <v>22</v>
      </c>
      <c r="B672" s="217" t="s">
        <v>23</v>
      </c>
      <c r="C672" s="217" t="s">
        <v>85</v>
      </c>
      <c r="D672" s="217" t="s">
        <v>84</v>
      </c>
      <c r="E672" s="217" t="s">
        <v>98</v>
      </c>
      <c r="F672" s="217" t="s">
        <v>97</v>
      </c>
      <c r="G672" s="217" t="s">
        <v>455</v>
      </c>
      <c r="H672" s="217" t="s">
        <v>1282</v>
      </c>
      <c r="I672" s="217" t="s">
        <v>29</v>
      </c>
      <c r="J672" s="217" t="s">
        <v>1856</v>
      </c>
      <c r="K672" s="217">
        <v>4</v>
      </c>
      <c r="L672" s="217">
        <v>20</v>
      </c>
      <c r="M672" s="217" t="s">
        <v>31</v>
      </c>
      <c r="N672" s="217" t="s">
        <v>32</v>
      </c>
      <c r="O672" s="217" t="s">
        <v>68</v>
      </c>
      <c r="P672" s="217" t="s">
        <v>34</v>
      </c>
      <c r="Q672" s="217" t="s">
        <v>35</v>
      </c>
      <c r="R672" s="217" t="s">
        <v>23</v>
      </c>
      <c r="S672" s="217" t="s">
        <v>22</v>
      </c>
      <c r="T672" s="217" t="s">
        <v>84</v>
      </c>
      <c r="U672" s="217" t="s">
        <v>85</v>
      </c>
      <c r="V672" s="217" t="s">
        <v>91</v>
      </c>
      <c r="W672" s="217" t="s">
        <v>92</v>
      </c>
      <c r="BC672" s="217" t="s">
        <v>37</v>
      </c>
      <c r="BD672" s="217" t="s">
        <v>244</v>
      </c>
      <c r="BE672" s="217" t="s">
        <v>1539</v>
      </c>
      <c r="BF672" s="217" t="s">
        <v>646</v>
      </c>
      <c r="BG672" s="217" t="s">
        <v>1998</v>
      </c>
      <c r="BH672" s="217" t="s">
        <v>1660</v>
      </c>
      <c r="BI672" s="217" t="s">
        <v>1658</v>
      </c>
      <c r="BJ672" s="217" t="s">
        <v>1658</v>
      </c>
      <c r="BK672" s="217" t="s">
        <v>637</v>
      </c>
      <c r="BL672" s="217"/>
      <c r="BM672" s="217"/>
      <c r="BN672" s="217">
        <v>0</v>
      </c>
      <c r="BO672" s="217">
        <v>0</v>
      </c>
      <c r="BR672" s="217" t="s">
        <v>37</v>
      </c>
      <c r="BS672" s="217" t="s">
        <v>547</v>
      </c>
      <c r="BT672" s="217" t="s">
        <v>562</v>
      </c>
      <c r="BU672" s="217" t="s">
        <v>1424</v>
      </c>
      <c r="BV672" s="217">
        <v>51</v>
      </c>
      <c r="BW672" s="217">
        <v>438</v>
      </c>
      <c r="BX672" s="217">
        <v>0</v>
      </c>
      <c r="BY672" s="217">
        <v>0</v>
      </c>
      <c r="BZ672" s="217">
        <v>11</v>
      </c>
      <c r="CA672" s="217">
        <v>69</v>
      </c>
      <c r="CB672" s="217">
        <v>51</v>
      </c>
      <c r="CC672" s="217">
        <v>438</v>
      </c>
      <c r="CD672" s="217">
        <v>0</v>
      </c>
      <c r="CE672" s="217">
        <v>0</v>
      </c>
      <c r="CF672" s="217">
        <v>11</v>
      </c>
      <c r="CG672" s="217">
        <v>69</v>
      </c>
      <c r="CH672" s="217">
        <v>0</v>
      </c>
      <c r="CI672" s="217">
        <v>0</v>
      </c>
      <c r="CJ672" s="217">
        <v>0</v>
      </c>
    </row>
    <row r="673" spans="1:88" x14ac:dyDescent="0.25">
      <c r="A673" s="217" t="s">
        <v>22</v>
      </c>
      <c r="B673" s="217" t="s">
        <v>23</v>
      </c>
      <c r="C673" s="217" t="s">
        <v>85</v>
      </c>
      <c r="D673" s="217" t="s">
        <v>84</v>
      </c>
      <c r="E673" s="217" t="s">
        <v>98</v>
      </c>
      <c r="F673" s="217" t="s">
        <v>97</v>
      </c>
      <c r="G673" s="217" t="s">
        <v>455</v>
      </c>
      <c r="H673" s="217" t="s">
        <v>1282</v>
      </c>
      <c r="I673" s="217" t="s">
        <v>29</v>
      </c>
      <c r="J673" s="217" t="s">
        <v>1857</v>
      </c>
      <c r="K673" s="217">
        <v>8</v>
      </c>
      <c r="L673" s="217">
        <v>30</v>
      </c>
      <c r="M673" s="217" t="s">
        <v>31</v>
      </c>
      <c r="N673" s="217" t="s">
        <v>32</v>
      </c>
      <c r="O673" s="217" t="s">
        <v>68</v>
      </c>
      <c r="P673" s="217" t="s">
        <v>34</v>
      </c>
      <c r="Q673" s="217" t="s">
        <v>35</v>
      </c>
      <c r="R673" s="217" t="s">
        <v>23</v>
      </c>
      <c r="S673" s="217" t="s">
        <v>22</v>
      </c>
      <c r="T673" s="217" t="s">
        <v>84</v>
      </c>
      <c r="U673" s="217" t="s">
        <v>85</v>
      </c>
      <c r="V673" s="217" t="s">
        <v>91</v>
      </c>
      <c r="W673" s="217" t="s">
        <v>92</v>
      </c>
      <c r="BC673" s="217" t="s">
        <v>37</v>
      </c>
      <c r="BD673" s="217" t="s">
        <v>244</v>
      </c>
      <c r="BE673" s="217" t="s">
        <v>2042</v>
      </c>
      <c r="BF673" s="217" t="s">
        <v>2043</v>
      </c>
      <c r="BG673" s="217" t="s">
        <v>1998</v>
      </c>
      <c r="BH673" s="217" t="s">
        <v>1660</v>
      </c>
      <c r="BI673" s="217" t="s">
        <v>1658</v>
      </c>
      <c r="BJ673" s="217" t="s">
        <v>1660</v>
      </c>
      <c r="BK673" s="217" t="s">
        <v>637</v>
      </c>
      <c r="BL673" s="217"/>
      <c r="BM673" s="217"/>
      <c r="BN673" s="217">
        <v>0</v>
      </c>
      <c r="BO673" s="217">
        <v>0</v>
      </c>
      <c r="BR673" s="217" t="s">
        <v>37</v>
      </c>
      <c r="BS673" s="217" t="s">
        <v>547</v>
      </c>
      <c r="BT673" s="217" t="s">
        <v>558</v>
      </c>
      <c r="BU673" s="217" t="s">
        <v>1420</v>
      </c>
      <c r="BV673" s="217">
        <v>30</v>
      </c>
      <c r="BW673" s="217">
        <v>221</v>
      </c>
      <c r="BX673" s="217">
        <v>0</v>
      </c>
      <c r="BY673" s="217">
        <v>0</v>
      </c>
      <c r="BZ673" s="217">
        <v>6</v>
      </c>
      <c r="CA673" s="217">
        <v>48</v>
      </c>
      <c r="CB673" s="217">
        <v>30</v>
      </c>
      <c r="CC673" s="217">
        <v>221</v>
      </c>
      <c r="CD673" s="217">
        <v>0</v>
      </c>
      <c r="CE673" s="217">
        <v>0</v>
      </c>
      <c r="CF673" s="217">
        <v>6</v>
      </c>
      <c r="CG673" s="217">
        <v>48</v>
      </c>
      <c r="CH673" s="217">
        <v>0</v>
      </c>
      <c r="CI673" s="217">
        <v>0</v>
      </c>
      <c r="CJ673" s="217">
        <v>0</v>
      </c>
    </row>
    <row r="674" spans="1:88" x14ac:dyDescent="0.25">
      <c r="A674" s="217" t="s">
        <v>22</v>
      </c>
      <c r="B674" s="217" t="s">
        <v>23</v>
      </c>
      <c r="C674" s="217" t="s">
        <v>85</v>
      </c>
      <c r="D674" s="217" t="s">
        <v>84</v>
      </c>
      <c r="E674" s="217" t="s">
        <v>98</v>
      </c>
      <c r="F674" s="217" t="s">
        <v>97</v>
      </c>
      <c r="G674" s="217" t="s">
        <v>455</v>
      </c>
      <c r="H674" s="217" t="s">
        <v>1282</v>
      </c>
      <c r="I674" s="217" t="s">
        <v>29</v>
      </c>
      <c r="J674" s="217" t="s">
        <v>1858</v>
      </c>
      <c r="K674" s="217">
        <v>2</v>
      </c>
      <c r="L674" s="217">
        <v>2</v>
      </c>
      <c r="M674" s="217" t="s">
        <v>31</v>
      </c>
      <c r="N674" s="217" t="s">
        <v>32</v>
      </c>
      <c r="O674" s="217" t="s">
        <v>68</v>
      </c>
      <c r="P674" s="217" t="s">
        <v>34</v>
      </c>
      <c r="Q674" s="217" t="s">
        <v>35</v>
      </c>
      <c r="R674" s="217" t="s">
        <v>23</v>
      </c>
      <c r="S674" s="217" t="s">
        <v>22</v>
      </c>
      <c r="T674" s="217" t="s">
        <v>84</v>
      </c>
      <c r="U674" s="217" t="s">
        <v>85</v>
      </c>
      <c r="V674" s="217" t="s">
        <v>109</v>
      </c>
      <c r="W674" s="217" t="s">
        <v>110</v>
      </c>
      <c r="BC674" s="217" t="s">
        <v>37</v>
      </c>
      <c r="BD674" s="217" t="s">
        <v>244</v>
      </c>
      <c r="BE674" s="217" t="s">
        <v>1542</v>
      </c>
      <c r="BF674" s="217" t="s">
        <v>647</v>
      </c>
      <c r="BG674" s="217" t="s">
        <v>1998</v>
      </c>
      <c r="BH674" s="217" t="s">
        <v>1660</v>
      </c>
      <c r="BI674" s="217" t="s">
        <v>1658</v>
      </c>
      <c r="BJ674" s="217" t="s">
        <v>1660</v>
      </c>
      <c r="BK674" s="217" t="s">
        <v>637</v>
      </c>
      <c r="BL674" s="217"/>
      <c r="BM674" s="217"/>
      <c r="BN674" s="217">
        <v>0</v>
      </c>
      <c r="BO674" s="217">
        <v>0</v>
      </c>
      <c r="BR674" s="217" t="s">
        <v>37</v>
      </c>
      <c r="BS674" s="217" t="s">
        <v>547</v>
      </c>
      <c r="BT674" s="217" t="s">
        <v>576</v>
      </c>
      <c r="BU674" s="217" t="s">
        <v>1440</v>
      </c>
      <c r="BV674" s="217">
        <v>73</v>
      </c>
      <c r="BW674" s="217">
        <v>549</v>
      </c>
      <c r="BX674" s="217">
        <v>1</v>
      </c>
      <c r="BY674" s="217">
        <v>3</v>
      </c>
      <c r="BZ674" s="217">
        <v>0</v>
      </c>
      <c r="CA674" s="217">
        <v>0</v>
      </c>
      <c r="CB674" s="217">
        <v>73</v>
      </c>
      <c r="CC674" s="217">
        <v>549</v>
      </c>
      <c r="CD674" s="217">
        <v>1</v>
      </c>
      <c r="CE674" s="217">
        <v>3</v>
      </c>
      <c r="CF674" s="217">
        <v>0</v>
      </c>
      <c r="CG674" s="217">
        <v>0</v>
      </c>
      <c r="CH674" s="217">
        <v>0</v>
      </c>
      <c r="CI674" s="217">
        <v>0</v>
      </c>
      <c r="CJ674" s="217">
        <v>0</v>
      </c>
    </row>
    <row r="675" spans="1:88" x14ac:dyDescent="0.25">
      <c r="A675" s="217" t="s">
        <v>22</v>
      </c>
      <c r="B675" s="217" t="s">
        <v>23</v>
      </c>
      <c r="C675" s="217" t="s">
        <v>85</v>
      </c>
      <c r="D675" s="217" t="s">
        <v>84</v>
      </c>
      <c r="E675" s="217" t="s">
        <v>98</v>
      </c>
      <c r="F675" s="217" t="s">
        <v>97</v>
      </c>
      <c r="G675" s="217" t="s">
        <v>813</v>
      </c>
      <c r="H675" s="217" t="s">
        <v>1283</v>
      </c>
      <c r="I675" s="217" t="s">
        <v>29</v>
      </c>
      <c r="J675" s="217" t="s">
        <v>1857</v>
      </c>
      <c r="K675" s="217">
        <v>8</v>
      </c>
      <c r="L675" s="217">
        <v>68</v>
      </c>
      <c r="M675" s="217" t="s">
        <v>31</v>
      </c>
      <c r="N675" s="217" t="s">
        <v>32</v>
      </c>
      <c r="O675" s="217" t="s">
        <v>100</v>
      </c>
      <c r="P675" s="217" t="s">
        <v>34</v>
      </c>
      <c r="Q675" s="217" t="s">
        <v>35</v>
      </c>
      <c r="R675" s="217" t="s">
        <v>23</v>
      </c>
      <c r="S675" s="217" t="s">
        <v>22</v>
      </c>
      <c r="T675" s="217" t="s">
        <v>84</v>
      </c>
      <c r="U675" s="217" t="s">
        <v>85</v>
      </c>
      <c r="V675" s="217" t="s">
        <v>97</v>
      </c>
      <c r="W675" s="217" t="s">
        <v>98</v>
      </c>
      <c r="BC675" s="217" t="s">
        <v>37</v>
      </c>
      <c r="BD675" s="217" t="s">
        <v>244</v>
      </c>
      <c r="BE675" s="217" t="s">
        <v>1543</v>
      </c>
      <c r="BF675" s="217" t="s">
        <v>245</v>
      </c>
      <c r="BG675" s="217" t="s">
        <v>1998</v>
      </c>
      <c r="BH675" s="217" t="s">
        <v>1660</v>
      </c>
      <c r="BI675" s="217" t="s">
        <v>1658</v>
      </c>
      <c r="BJ675" s="217" t="s">
        <v>1658</v>
      </c>
      <c r="BK675" s="217" t="s">
        <v>637</v>
      </c>
      <c r="BL675" s="217"/>
      <c r="BM675" s="217"/>
      <c r="BN675" s="217">
        <v>0</v>
      </c>
      <c r="BO675" s="217">
        <v>0</v>
      </c>
      <c r="BR675" s="217" t="s">
        <v>37</v>
      </c>
      <c r="BS675" s="217" t="s">
        <v>547</v>
      </c>
      <c r="BT675" s="217" t="s">
        <v>845</v>
      </c>
      <c r="BU675" s="217" t="s">
        <v>1840</v>
      </c>
      <c r="BV675" s="217">
        <v>10</v>
      </c>
      <c r="BW675" s="217">
        <v>49</v>
      </c>
      <c r="BX675" s="217">
        <v>0</v>
      </c>
      <c r="BY675" s="217">
        <v>0</v>
      </c>
      <c r="BZ675" s="217">
        <v>15</v>
      </c>
      <c r="CA675" s="217">
        <v>82</v>
      </c>
      <c r="CB675" s="217">
        <v>10</v>
      </c>
      <c r="CC675" s="217">
        <v>49</v>
      </c>
      <c r="CD675" s="217">
        <v>0</v>
      </c>
      <c r="CE675" s="217">
        <v>0</v>
      </c>
      <c r="CF675" s="217">
        <v>15</v>
      </c>
      <c r="CG675" s="217">
        <v>82</v>
      </c>
      <c r="CH675" s="217">
        <v>0</v>
      </c>
      <c r="CI675" s="217">
        <v>0</v>
      </c>
      <c r="CJ675" s="217">
        <v>0</v>
      </c>
    </row>
    <row r="676" spans="1:88" x14ac:dyDescent="0.25">
      <c r="A676" s="217" t="s">
        <v>22</v>
      </c>
      <c r="B676" s="217" t="s">
        <v>23</v>
      </c>
      <c r="C676" s="217" t="s">
        <v>85</v>
      </c>
      <c r="D676" s="217" t="s">
        <v>84</v>
      </c>
      <c r="E676" s="217" t="s">
        <v>98</v>
      </c>
      <c r="F676" s="217" t="s">
        <v>97</v>
      </c>
      <c r="G676" s="217" t="s">
        <v>813</v>
      </c>
      <c r="H676" s="217" t="s">
        <v>1283</v>
      </c>
      <c r="I676" s="217" t="s">
        <v>29</v>
      </c>
      <c r="J676" s="217" t="s">
        <v>1858</v>
      </c>
      <c r="K676" s="217">
        <v>8</v>
      </c>
      <c r="L676" s="217">
        <v>43</v>
      </c>
      <c r="M676" s="217" t="s">
        <v>31</v>
      </c>
      <c r="N676" s="217" t="s">
        <v>32</v>
      </c>
      <c r="O676" s="217" t="s">
        <v>100</v>
      </c>
      <c r="P676" s="217" t="s">
        <v>34</v>
      </c>
      <c r="Q676" s="217" t="s">
        <v>35</v>
      </c>
      <c r="R676" s="217" t="s">
        <v>23</v>
      </c>
      <c r="S676" s="217" t="s">
        <v>22</v>
      </c>
      <c r="T676" s="217" t="s">
        <v>84</v>
      </c>
      <c r="U676" s="217" t="s">
        <v>85</v>
      </c>
      <c r="V676" s="217" t="s">
        <v>97</v>
      </c>
      <c r="W676" s="217" t="s">
        <v>98</v>
      </c>
      <c r="BC676" s="217" t="s">
        <v>37</v>
      </c>
      <c r="BD676" s="217" t="s">
        <v>244</v>
      </c>
      <c r="BE676" s="217" t="s">
        <v>1544</v>
      </c>
      <c r="BF676" s="217" t="s">
        <v>648</v>
      </c>
      <c r="BG676" s="217" t="s">
        <v>1998</v>
      </c>
      <c r="BH676" s="217" t="s">
        <v>1660</v>
      </c>
      <c r="BI676" s="217" t="s">
        <v>1658</v>
      </c>
      <c r="BJ676" s="217" t="s">
        <v>1658</v>
      </c>
      <c r="BK676" s="217" t="s">
        <v>637</v>
      </c>
      <c r="BL676" s="217"/>
      <c r="BM676" s="217"/>
      <c r="BN676" s="217">
        <v>0</v>
      </c>
      <c r="BO676" s="217">
        <v>0</v>
      </c>
      <c r="BR676" s="217" t="s">
        <v>37</v>
      </c>
      <c r="BS676" s="217" t="s">
        <v>547</v>
      </c>
      <c r="BT676" s="217" t="s">
        <v>572</v>
      </c>
      <c r="BU676" s="217" t="s">
        <v>1436</v>
      </c>
      <c r="BV676" s="217">
        <v>152</v>
      </c>
      <c r="BW676" s="217">
        <v>1138</v>
      </c>
      <c r="BX676" s="217">
        <v>0</v>
      </c>
      <c r="BY676" s="217">
        <v>0</v>
      </c>
      <c r="BZ676" s="217">
        <v>18</v>
      </c>
      <c r="CA676" s="217">
        <v>135</v>
      </c>
      <c r="CB676" s="217">
        <v>152</v>
      </c>
      <c r="CC676" s="217">
        <v>1138</v>
      </c>
      <c r="CD676" s="217">
        <v>0</v>
      </c>
      <c r="CE676" s="217">
        <v>0</v>
      </c>
      <c r="CF676" s="217">
        <v>18</v>
      </c>
      <c r="CG676" s="217">
        <v>135</v>
      </c>
      <c r="CH676" s="217">
        <v>0</v>
      </c>
      <c r="CI676" s="217">
        <v>0</v>
      </c>
      <c r="CJ676" s="217">
        <v>0</v>
      </c>
    </row>
    <row r="677" spans="1:88" x14ac:dyDescent="0.25">
      <c r="A677" s="217" t="s">
        <v>22</v>
      </c>
      <c r="B677" s="217" t="s">
        <v>23</v>
      </c>
      <c r="C677" s="217" t="s">
        <v>85</v>
      </c>
      <c r="D677" s="217" t="s">
        <v>84</v>
      </c>
      <c r="E677" s="217" t="s">
        <v>98</v>
      </c>
      <c r="F677" s="217" t="s">
        <v>97</v>
      </c>
      <c r="G677" s="217" t="s">
        <v>1284</v>
      </c>
      <c r="H677" s="217" t="s">
        <v>1285</v>
      </c>
      <c r="I677" s="217" t="s">
        <v>29</v>
      </c>
      <c r="J677" s="217" t="s">
        <v>1858</v>
      </c>
      <c r="K677" s="217">
        <v>35</v>
      </c>
      <c r="L677" s="217">
        <v>135</v>
      </c>
      <c r="M677" s="217" t="s">
        <v>31</v>
      </c>
      <c r="N677" s="217" t="s">
        <v>32</v>
      </c>
      <c r="O677" s="217" t="s">
        <v>100</v>
      </c>
      <c r="P677" s="217" t="s">
        <v>34</v>
      </c>
      <c r="Q677" s="217" t="s">
        <v>35</v>
      </c>
      <c r="R677" s="217" t="s">
        <v>23</v>
      </c>
      <c r="S677" s="217" t="s">
        <v>22</v>
      </c>
      <c r="T677" s="217" t="s">
        <v>84</v>
      </c>
      <c r="U677" s="217" t="s">
        <v>85</v>
      </c>
      <c r="V677" s="217" t="s">
        <v>97</v>
      </c>
      <c r="W677" s="217" t="s">
        <v>98</v>
      </c>
      <c r="BC677" s="217" t="s">
        <v>37</v>
      </c>
      <c r="BD677" s="217" t="s">
        <v>244</v>
      </c>
      <c r="BE677" s="217" t="s">
        <v>1545</v>
      </c>
      <c r="BF677" s="217" t="s">
        <v>649</v>
      </c>
      <c r="BG677" s="217" t="s">
        <v>1998</v>
      </c>
      <c r="BH677" s="217" t="s">
        <v>1660</v>
      </c>
      <c r="BI677" s="217" t="s">
        <v>1658</v>
      </c>
      <c r="BJ677" s="217" t="s">
        <v>1658</v>
      </c>
      <c r="BK677" s="217" t="s">
        <v>637</v>
      </c>
      <c r="BL677" s="217"/>
      <c r="BM677" s="217"/>
      <c r="BN677" s="217">
        <v>0</v>
      </c>
      <c r="BO677" s="217">
        <v>0</v>
      </c>
      <c r="BR677" s="217" t="s">
        <v>37</v>
      </c>
      <c r="BS677" s="217" t="s">
        <v>547</v>
      </c>
      <c r="BT677" s="217" t="s">
        <v>550</v>
      </c>
      <c r="BU677" s="217" t="s">
        <v>1412</v>
      </c>
      <c r="BV677" s="217">
        <v>42</v>
      </c>
      <c r="BW677" s="217">
        <v>226</v>
      </c>
      <c r="BX677" s="217">
        <v>0</v>
      </c>
      <c r="BY677" s="217">
        <v>0</v>
      </c>
      <c r="BZ677" s="217">
        <v>11</v>
      </c>
      <c r="CA677" s="217">
        <v>62</v>
      </c>
      <c r="CB677" s="217">
        <v>42</v>
      </c>
      <c r="CC677" s="217">
        <v>232</v>
      </c>
      <c r="CD677" s="217">
        <v>0</v>
      </c>
      <c r="CE677" s="217">
        <v>0</v>
      </c>
      <c r="CF677" s="217">
        <v>11</v>
      </c>
      <c r="CG677" s="217">
        <v>62</v>
      </c>
      <c r="CH677" s="217">
        <v>-6</v>
      </c>
      <c r="CI677" s="217">
        <v>0</v>
      </c>
      <c r="CJ677" s="217">
        <v>0</v>
      </c>
    </row>
    <row r="678" spans="1:88" x14ac:dyDescent="0.25">
      <c r="A678" s="217" t="s">
        <v>22</v>
      </c>
      <c r="B678" s="217" t="s">
        <v>23</v>
      </c>
      <c r="C678" s="217" t="s">
        <v>85</v>
      </c>
      <c r="D678" s="217" t="s">
        <v>84</v>
      </c>
      <c r="E678" s="217" t="s">
        <v>98</v>
      </c>
      <c r="F678" s="217" t="s">
        <v>97</v>
      </c>
      <c r="G678" s="217" t="s">
        <v>1286</v>
      </c>
      <c r="H678" s="217" t="s">
        <v>1287</v>
      </c>
      <c r="I678" s="217" t="s">
        <v>29</v>
      </c>
      <c r="J678" s="217" t="s">
        <v>1856</v>
      </c>
      <c r="K678" s="217">
        <v>7</v>
      </c>
      <c r="L678" s="217">
        <v>41</v>
      </c>
      <c r="M678" s="217" t="s">
        <v>31</v>
      </c>
      <c r="N678" s="217" t="s">
        <v>32</v>
      </c>
      <c r="O678" s="217" t="s">
        <v>100</v>
      </c>
      <c r="P678" s="217" t="s">
        <v>34</v>
      </c>
      <c r="Q678" s="217" t="s">
        <v>35</v>
      </c>
      <c r="R678" s="217" t="s">
        <v>23</v>
      </c>
      <c r="S678" s="217" t="s">
        <v>22</v>
      </c>
      <c r="T678" s="217" t="s">
        <v>84</v>
      </c>
      <c r="U678" s="217" t="s">
        <v>85</v>
      </c>
      <c r="V678" s="217" t="s">
        <v>97</v>
      </c>
      <c r="W678" s="217" t="s">
        <v>98</v>
      </c>
      <c r="BC678" s="217" t="s">
        <v>37</v>
      </c>
      <c r="BD678" s="217" t="s">
        <v>244</v>
      </c>
      <c r="BE678" s="217" t="s">
        <v>1546</v>
      </c>
      <c r="BF678" s="217" t="s">
        <v>650</v>
      </c>
      <c r="BG678" s="217" t="s">
        <v>1998</v>
      </c>
      <c r="BH678" s="217" t="s">
        <v>1660</v>
      </c>
      <c r="BI678" s="217" t="s">
        <v>1658</v>
      </c>
      <c r="BJ678" s="217" t="s">
        <v>1658</v>
      </c>
      <c r="BK678" s="217" t="s">
        <v>637</v>
      </c>
      <c r="BL678" s="217"/>
      <c r="BM678" s="217"/>
      <c r="BN678" s="217">
        <v>0</v>
      </c>
      <c r="BO678" s="217">
        <v>0</v>
      </c>
      <c r="BR678" s="217" t="s">
        <v>37</v>
      </c>
      <c r="BS678" s="217" t="s">
        <v>547</v>
      </c>
      <c r="BT678" s="217" t="s">
        <v>568</v>
      </c>
      <c r="BU678" s="217" t="s">
        <v>1432</v>
      </c>
      <c r="BV678" s="217">
        <v>43</v>
      </c>
      <c r="BW678" s="217">
        <v>302</v>
      </c>
      <c r="BX678" s="217">
        <v>0</v>
      </c>
      <c r="BY678" s="217">
        <v>0</v>
      </c>
      <c r="BZ678" s="217">
        <v>8</v>
      </c>
      <c r="CA678" s="217">
        <v>48</v>
      </c>
      <c r="CB678" s="217">
        <v>43</v>
      </c>
      <c r="CC678" s="217">
        <v>302</v>
      </c>
      <c r="CD678" s="217">
        <v>0</v>
      </c>
      <c r="CE678" s="217">
        <v>0</v>
      </c>
      <c r="CF678" s="217">
        <v>8</v>
      </c>
      <c r="CG678" s="217">
        <v>48</v>
      </c>
      <c r="CH678" s="217">
        <v>0</v>
      </c>
      <c r="CI678" s="217">
        <v>0</v>
      </c>
      <c r="CJ678" s="217">
        <v>0</v>
      </c>
    </row>
    <row r="679" spans="1:88" x14ac:dyDescent="0.25">
      <c r="A679" s="217" t="s">
        <v>22</v>
      </c>
      <c r="B679" s="217" t="s">
        <v>23</v>
      </c>
      <c r="C679" s="217" t="s">
        <v>85</v>
      </c>
      <c r="D679" s="217" t="s">
        <v>84</v>
      </c>
      <c r="E679" s="217" t="s">
        <v>98</v>
      </c>
      <c r="F679" s="217" t="s">
        <v>97</v>
      </c>
      <c r="G679" s="217" t="s">
        <v>456</v>
      </c>
      <c r="H679" s="217" t="s">
        <v>1288</v>
      </c>
      <c r="I679" s="217" t="s">
        <v>29</v>
      </c>
      <c r="J679" s="217" t="s">
        <v>1856</v>
      </c>
      <c r="K679" s="217">
        <v>80</v>
      </c>
      <c r="L679" s="217">
        <v>377</v>
      </c>
      <c r="M679" s="217" t="s">
        <v>31</v>
      </c>
      <c r="N679" s="217" t="s">
        <v>32</v>
      </c>
      <c r="O679" s="217" t="s">
        <v>100</v>
      </c>
      <c r="P679" s="217" t="s">
        <v>34</v>
      </c>
      <c r="Q679" s="217" t="s">
        <v>35</v>
      </c>
      <c r="R679" s="217" t="s">
        <v>23</v>
      </c>
      <c r="S679" s="217" t="s">
        <v>22</v>
      </c>
      <c r="T679" s="217" t="s">
        <v>84</v>
      </c>
      <c r="U679" s="217" t="s">
        <v>85</v>
      </c>
      <c r="V679" s="217" t="s">
        <v>97</v>
      </c>
      <c r="W679" s="217" t="s">
        <v>98</v>
      </c>
      <c r="BC679" s="217" t="s">
        <v>37</v>
      </c>
      <c r="BD679" s="217" t="s">
        <v>244</v>
      </c>
      <c r="BE679" s="217" t="s">
        <v>1547</v>
      </c>
      <c r="BF679" s="217" t="s">
        <v>651</v>
      </c>
      <c r="BG679" s="217" t="s">
        <v>1998</v>
      </c>
      <c r="BH679" s="217" t="s">
        <v>1660</v>
      </c>
      <c r="BI679" s="217" t="s">
        <v>1658</v>
      </c>
      <c r="BJ679" s="217" t="s">
        <v>1658</v>
      </c>
      <c r="BK679" s="217" t="s">
        <v>637</v>
      </c>
      <c r="BL679" s="217"/>
      <c r="BM679" s="217"/>
      <c r="BN679" s="217">
        <v>0</v>
      </c>
      <c r="BO679" s="217">
        <v>0</v>
      </c>
      <c r="BR679" s="217" t="s">
        <v>37</v>
      </c>
      <c r="BS679" s="217" t="s">
        <v>547</v>
      </c>
      <c r="BT679" s="217" t="s">
        <v>551</v>
      </c>
      <c r="BU679" s="217" t="s">
        <v>1413</v>
      </c>
      <c r="BV679" s="217">
        <v>36</v>
      </c>
      <c r="BW679" s="217">
        <v>260</v>
      </c>
      <c r="BX679" s="217">
        <v>0</v>
      </c>
      <c r="BY679" s="217">
        <v>0</v>
      </c>
      <c r="BZ679" s="217">
        <v>6</v>
      </c>
      <c r="CA679" s="217">
        <v>48</v>
      </c>
      <c r="CB679" s="217">
        <v>36</v>
      </c>
      <c r="CC679" s="217">
        <v>260</v>
      </c>
      <c r="CD679" s="217">
        <v>0</v>
      </c>
      <c r="CE679" s="217">
        <v>0</v>
      </c>
      <c r="CF679" s="217">
        <v>6</v>
      </c>
      <c r="CG679" s="217">
        <v>48</v>
      </c>
      <c r="CH679" s="217">
        <v>0</v>
      </c>
      <c r="CI679" s="217">
        <v>0</v>
      </c>
      <c r="CJ679" s="217">
        <v>0</v>
      </c>
    </row>
    <row r="680" spans="1:88" x14ac:dyDescent="0.25">
      <c r="A680" s="217" t="s">
        <v>22</v>
      </c>
      <c r="B680" s="217" t="s">
        <v>23</v>
      </c>
      <c r="C680" s="217" t="s">
        <v>85</v>
      </c>
      <c r="D680" s="217" t="s">
        <v>84</v>
      </c>
      <c r="E680" s="217" t="s">
        <v>98</v>
      </c>
      <c r="F680" s="217" t="s">
        <v>97</v>
      </c>
      <c r="G680" s="217" t="s">
        <v>456</v>
      </c>
      <c r="H680" s="217" t="s">
        <v>1288</v>
      </c>
      <c r="I680" s="217" t="s">
        <v>29</v>
      </c>
      <c r="J680" s="217" t="s">
        <v>1857</v>
      </c>
      <c r="K680" s="217">
        <v>8</v>
      </c>
      <c r="L680" s="217">
        <v>43</v>
      </c>
      <c r="M680" s="217" t="s">
        <v>31</v>
      </c>
      <c r="N680" s="217" t="s">
        <v>32</v>
      </c>
      <c r="O680" s="217" t="s">
        <v>100</v>
      </c>
      <c r="P680" s="217" t="s">
        <v>34</v>
      </c>
      <c r="Q680" s="217" t="s">
        <v>35</v>
      </c>
      <c r="R680" s="217" t="s">
        <v>23</v>
      </c>
      <c r="S680" s="217" t="s">
        <v>22</v>
      </c>
      <c r="T680" s="217" t="s">
        <v>84</v>
      </c>
      <c r="U680" s="217" t="s">
        <v>85</v>
      </c>
      <c r="V680" s="217" t="s">
        <v>97</v>
      </c>
      <c r="W680" s="217" t="s">
        <v>98</v>
      </c>
      <c r="BC680" s="217" t="s">
        <v>37</v>
      </c>
      <c r="BD680" s="217" t="s">
        <v>244</v>
      </c>
      <c r="BE680" s="217" t="s">
        <v>1548</v>
      </c>
      <c r="BF680" s="217" t="s">
        <v>652</v>
      </c>
      <c r="BG680" s="217" t="s">
        <v>1998</v>
      </c>
      <c r="BH680" s="217" t="s">
        <v>1660</v>
      </c>
      <c r="BI680" s="217" t="s">
        <v>1658</v>
      </c>
      <c r="BJ680" s="217" t="s">
        <v>1658</v>
      </c>
      <c r="BK680" s="217" t="s">
        <v>637</v>
      </c>
      <c r="BL680" s="217"/>
      <c r="BM680" s="217"/>
      <c r="BN680" s="217">
        <v>0</v>
      </c>
      <c r="BO680" s="217">
        <v>0</v>
      </c>
      <c r="BR680" s="217" t="s">
        <v>37</v>
      </c>
      <c r="BS680" s="217" t="s">
        <v>547</v>
      </c>
      <c r="BT680" s="217" t="s">
        <v>242</v>
      </c>
      <c r="BU680" s="217" t="s">
        <v>1428</v>
      </c>
      <c r="BV680" s="217">
        <v>131</v>
      </c>
      <c r="BW680" s="217">
        <v>948</v>
      </c>
      <c r="BX680" s="217">
        <v>0</v>
      </c>
      <c r="BY680" s="217">
        <v>0</v>
      </c>
      <c r="BZ680" s="217">
        <v>5</v>
      </c>
      <c r="CA680" s="217">
        <v>32</v>
      </c>
      <c r="CB680" s="217">
        <v>131</v>
      </c>
      <c r="CC680" s="217">
        <v>948</v>
      </c>
      <c r="CD680" s="217">
        <v>0</v>
      </c>
      <c r="CE680" s="217">
        <v>0</v>
      </c>
      <c r="CF680" s="217">
        <v>5</v>
      </c>
      <c r="CG680" s="217">
        <v>32</v>
      </c>
      <c r="CH680" s="217">
        <v>0</v>
      </c>
      <c r="CI680" s="217">
        <v>0</v>
      </c>
      <c r="CJ680" s="217">
        <v>0</v>
      </c>
    </row>
    <row r="681" spans="1:88" x14ac:dyDescent="0.25">
      <c r="A681" s="217" t="s">
        <v>22</v>
      </c>
      <c r="B681" s="217" t="s">
        <v>23</v>
      </c>
      <c r="C681" s="217" t="s">
        <v>85</v>
      </c>
      <c r="D681" s="217" t="s">
        <v>84</v>
      </c>
      <c r="E681" s="217" t="s">
        <v>98</v>
      </c>
      <c r="F681" s="217" t="s">
        <v>97</v>
      </c>
      <c r="G681" s="217" t="s">
        <v>456</v>
      </c>
      <c r="H681" s="217" t="s">
        <v>1288</v>
      </c>
      <c r="I681" s="217" t="s">
        <v>29</v>
      </c>
      <c r="J681" s="217" t="s">
        <v>1858</v>
      </c>
      <c r="K681" s="217">
        <v>7</v>
      </c>
      <c r="L681" s="217">
        <v>48</v>
      </c>
      <c r="M681" s="217" t="s">
        <v>31</v>
      </c>
      <c r="N681" s="217" t="s">
        <v>32</v>
      </c>
      <c r="O681" s="217" t="s">
        <v>100</v>
      </c>
      <c r="P681" s="217" t="s">
        <v>34</v>
      </c>
      <c r="Q681" s="217" t="s">
        <v>35</v>
      </c>
      <c r="R681" s="217" t="s">
        <v>23</v>
      </c>
      <c r="S681" s="217" t="s">
        <v>22</v>
      </c>
      <c r="T681" s="217" t="s">
        <v>84</v>
      </c>
      <c r="U681" s="217" t="s">
        <v>85</v>
      </c>
      <c r="V681" s="217" t="s">
        <v>97</v>
      </c>
      <c r="W681" s="217" t="s">
        <v>98</v>
      </c>
      <c r="BC681" s="217" t="s">
        <v>37</v>
      </c>
      <c r="BD681" s="217" t="s">
        <v>244</v>
      </c>
      <c r="BE681" s="217" t="s">
        <v>1549</v>
      </c>
      <c r="BF681" s="217" t="s">
        <v>653</v>
      </c>
      <c r="BG681" s="217" t="s">
        <v>1998</v>
      </c>
      <c r="BH681" s="217" t="s">
        <v>1660</v>
      </c>
      <c r="BI681" s="217" t="s">
        <v>1658</v>
      </c>
      <c r="BJ681" s="217" t="s">
        <v>1660</v>
      </c>
      <c r="BK681" s="217" t="s">
        <v>637</v>
      </c>
      <c r="BL681" s="217"/>
      <c r="BM681" s="217"/>
      <c r="BN681" s="217">
        <v>0</v>
      </c>
      <c r="BO681" s="217">
        <v>0</v>
      </c>
      <c r="BR681" s="217" t="s">
        <v>37</v>
      </c>
      <c r="BS681" s="217" t="s">
        <v>547</v>
      </c>
      <c r="BT681" s="217" t="s">
        <v>549</v>
      </c>
      <c r="BU681" s="217" t="s">
        <v>1411</v>
      </c>
      <c r="BV681" s="217">
        <v>37</v>
      </c>
      <c r="BW681" s="217">
        <v>192</v>
      </c>
      <c r="BX681" s="217">
        <v>0</v>
      </c>
      <c r="BY681" s="217">
        <v>0</v>
      </c>
      <c r="BZ681" s="217">
        <v>13</v>
      </c>
      <c r="CA681" s="217">
        <v>42</v>
      </c>
      <c r="CB681" s="217">
        <v>37</v>
      </c>
      <c r="CC681" s="217">
        <v>192</v>
      </c>
      <c r="CD681" s="217">
        <v>0</v>
      </c>
      <c r="CE681" s="217">
        <v>0</v>
      </c>
      <c r="CF681" s="217">
        <v>13</v>
      </c>
      <c r="CG681" s="217">
        <v>42</v>
      </c>
      <c r="CH681" s="217">
        <v>0</v>
      </c>
      <c r="CI681" s="217">
        <v>0</v>
      </c>
      <c r="CJ681" s="217">
        <v>0</v>
      </c>
    </row>
    <row r="682" spans="1:88" x14ac:dyDescent="0.25">
      <c r="A682" s="217" t="s">
        <v>22</v>
      </c>
      <c r="B682" s="217" t="s">
        <v>23</v>
      </c>
      <c r="C682" s="217" t="s">
        <v>85</v>
      </c>
      <c r="D682" s="217" t="s">
        <v>84</v>
      </c>
      <c r="E682" s="217" t="s">
        <v>98</v>
      </c>
      <c r="F682" s="217" t="s">
        <v>97</v>
      </c>
      <c r="G682" s="217" t="s">
        <v>457</v>
      </c>
      <c r="H682" s="217" t="s">
        <v>1289</v>
      </c>
      <c r="I682" s="217" t="s">
        <v>29</v>
      </c>
      <c r="J682" s="217" t="s">
        <v>1856</v>
      </c>
      <c r="K682" s="217">
        <v>23</v>
      </c>
      <c r="L682" s="217">
        <v>256</v>
      </c>
      <c r="M682" s="217" t="s">
        <v>31</v>
      </c>
      <c r="N682" s="217" t="s">
        <v>32</v>
      </c>
      <c r="O682" s="217" t="s">
        <v>100</v>
      </c>
      <c r="P682" s="217" t="s">
        <v>34</v>
      </c>
      <c r="Q682" s="217" t="s">
        <v>35</v>
      </c>
      <c r="R682" s="217" t="s">
        <v>23</v>
      </c>
      <c r="S682" s="217" t="s">
        <v>22</v>
      </c>
      <c r="T682" s="217" t="s">
        <v>84</v>
      </c>
      <c r="U682" s="217" t="s">
        <v>85</v>
      </c>
      <c r="V682" s="217" t="s">
        <v>97</v>
      </c>
      <c r="W682" s="217" t="s">
        <v>98</v>
      </c>
      <c r="BC682" s="217" t="s">
        <v>37</v>
      </c>
      <c r="BD682" s="217" t="s">
        <v>244</v>
      </c>
      <c r="BE682" s="217" t="s">
        <v>1550</v>
      </c>
      <c r="BF682" s="217" t="s">
        <v>654</v>
      </c>
      <c r="BG682" s="217" t="s">
        <v>1998</v>
      </c>
      <c r="BH682" s="217" t="s">
        <v>1660</v>
      </c>
      <c r="BI682" s="217" t="s">
        <v>1658</v>
      </c>
      <c r="BJ682" s="217" t="s">
        <v>1658</v>
      </c>
      <c r="BK682" s="217" t="s">
        <v>637</v>
      </c>
      <c r="BL682" s="217"/>
      <c r="BM682" s="217"/>
      <c r="BN682" s="217">
        <v>0</v>
      </c>
      <c r="BO682" s="217">
        <v>0</v>
      </c>
      <c r="BR682" s="217" t="s">
        <v>37</v>
      </c>
      <c r="BS682" s="217" t="s">
        <v>547</v>
      </c>
      <c r="BT682" s="217" t="s">
        <v>552</v>
      </c>
      <c r="BU682" s="217" t="s">
        <v>1414</v>
      </c>
      <c r="BV682" s="217">
        <v>38</v>
      </c>
      <c r="BW682" s="217">
        <v>238</v>
      </c>
      <c r="BX682" s="217">
        <v>1</v>
      </c>
      <c r="BY682" s="217">
        <v>3</v>
      </c>
      <c r="BZ682" s="217">
        <v>4</v>
      </c>
      <c r="CA682" s="217">
        <v>18</v>
      </c>
      <c r="CB682" s="217">
        <v>38</v>
      </c>
      <c r="CC682" s="217">
        <v>238</v>
      </c>
      <c r="CD682" s="217">
        <v>1</v>
      </c>
      <c r="CE682" s="217">
        <v>3</v>
      </c>
      <c r="CF682" s="217">
        <v>4</v>
      </c>
      <c r="CG682" s="217">
        <v>18</v>
      </c>
      <c r="CH682" s="217">
        <v>0</v>
      </c>
      <c r="CI682" s="217">
        <v>0</v>
      </c>
      <c r="CJ682" s="217">
        <v>0</v>
      </c>
    </row>
    <row r="683" spans="1:88" x14ac:dyDescent="0.25">
      <c r="A683" s="217" t="s">
        <v>22</v>
      </c>
      <c r="B683" s="217" t="s">
        <v>23</v>
      </c>
      <c r="C683" s="217" t="s">
        <v>85</v>
      </c>
      <c r="D683" s="217" t="s">
        <v>84</v>
      </c>
      <c r="E683" s="217" t="s">
        <v>98</v>
      </c>
      <c r="F683" s="217" t="s">
        <v>97</v>
      </c>
      <c r="G683" s="217" t="s">
        <v>457</v>
      </c>
      <c r="H683" s="217" t="s">
        <v>1289</v>
      </c>
      <c r="I683" s="217" t="s">
        <v>29</v>
      </c>
      <c r="J683" s="217" t="s">
        <v>1857</v>
      </c>
      <c r="K683" s="217">
        <v>19</v>
      </c>
      <c r="L683" s="217">
        <v>123</v>
      </c>
      <c r="M683" s="217" t="s">
        <v>31</v>
      </c>
      <c r="N683" s="217" t="s">
        <v>32</v>
      </c>
      <c r="O683" s="217" t="s">
        <v>100</v>
      </c>
      <c r="P683" s="217" t="s">
        <v>34</v>
      </c>
      <c r="Q683" s="217" t="s">
        <v>35</v>
      </c>
      <c r="R683" s="217" t="s">
        <v>23</v>
      </c>
      <c r="S683" s="217" t="s">
        <v>22</v>
      </c>
      <c r="T683" s="217" t="s">
        <v>84</v>
      </c>
      <c r="U683" s="217" t="s">
        <v>85</v>
      </c>
      <c r="V683" s="217" t="s">
        <v>97</v>
      </c>
      <c r="W683" s="217" t="s">
        <v>98</v>
      </c>
      <c r="BC683" s="217" t="s">
        <v>37</v>
      </c>
      <c r="BD683" s="217" t="s">
        <v>244</v>
      </c>
      <c r="BE683" s="217" t="s">
        <v>1551</v>
      </c>
      <c r="BF683" s="217" t="s">
        <v>655</v>
      </c>
      <c r="BG683" s="217" t="s">
        <v>1998</v>
      </c>
      <c r="BH683" s="217" t="s">
        <v>1660</v>
      </c>
      <c r="BI683" s="217" t="s">
        <v>1658</v>
      </c>
      <c r="BJ683" s="217" t="s">
        <v>1658</v>
      </c>
      <c r="BK683" s="217" t="s">
        <v>637</v>
      </c>
      <c r="BL683" s="217" t="s">
        <v>3736</v>
      </c>
      <c r="BM683" s="217" t="s">
        <v>3737</v>
      </c>
      <c r="BN683" s="217">
        <v>0</v>
      </c>
      <c r="BO683" s="217">
        <v>0</v>
      </c>
      <c r="BR683" s="217" t="s">
        <v>37</v>
      </c>
      <c r="BS683" s="217" t="s">
        <v>547</v>
      </c>
      <c r="BT683" s="217" t="s">
        <v>557</v>
      </c>
      <c r="BU683" s="217" t="s">
        <v>1419</v>
      </c>
      <c r="BV683" s="217">
        <v>111</v>
      </c>
      <c r="BW683" s="217">
        <v>836</v>
      </c>
      <c r="BX683" s="217">
        <v>0</v>
      </c>
      <c r="BY683" s="217">
        <v>0</v>
      </c>
      <c r="BZ683" s="217">
        <v>4</v>
      </c>
      <c r="CA683" s="217">
        <v>28</v>
      </c>
      <c r="CB683" s="217">
        <v>111</v>
      </c>
      <c r="CC683" s="217">
        <v>836</v>
      </c>
      <c r="CD683" s="217">
        <v>0</v>
      </c>
      <c r="CE683" s="217">
        <v>0</v>
      </c>
      <c r="CF683" s="217">
        <v>4</v>
      </c>
      <c r="CG683" s="217">
        <v>28</v>
      </c>
      <c r="CH683" s="217">
        <v>0</v>
      </c>
      <c r="CI683" s="217">
        <v>0</v>
      </c>
      <c r="CJ683" s="217">
        <v>0</v>
      </c>
    </row>
    <row r="684" spans="1:88" x14ac:dyDescent="0.25">
      <c r="A684" s="217" t="s">
        <v>22</v>
      </c>
      <c r="B684" s="217" t="s">
        <v>23</v>
      </c>
      <c r="C684" s="217" t="s">
        <v>85</v>
      </c>
      <c r="D684" s="217" t="s">
        <v>84</v>
      </c>
      <c r="E684" s="217" t="s">
        <v>98</v>
      </c>
      <c r="F684" s="217" t="s">
        <v>97</v>
      </c>
      <c r="G684" s="217" t="s">
        <v>457</v>
      </c>
      <c r="H684" s="217" t="s">
        <v>1289</v>
      </c>
      <c r="I684" s="217" t="s">
        <v>29</v>
      </c>
      <c r="J684" s="217" t="s">
        <v>1858</v>
      </c>
      <c r="K684" s="217">
        <v>8</v>
      </c>
      <c r="L684" s="217">
        <v>39</v>
      </c>
      <c r="M684" s="217" t="s">
        <v>31</v>
      </c>
      <c r="N684" s="217" t="s">
        <v>32</v>
      </c>
      <c r="O684" s="217" t="s">
        <v>100</v>
      </c>
      <c r="P684" s="217" t="s">
        <v>34</v>
      </c>
      <c r="Q684" s="217" t="s">
        <v>35</v>
      </c>
      <c r="R684" s="217" t="s">
        <v>23</v>
      </c>
      <c r="S684" s="217" t="s">
        <v>22</v>
      </c>
      <c r="T684" s="217" t="s">
        <v>84</v>
      </c>
      <c r="U684" s="217" t="s">
        <v>85</v>
      </c>
      <c r="V684" s="217" t="s">
        <v>97</v>
      </c>
      <c r="W684" s="217" t="s">
        <v>98</v>
      </c>
      <c r="BC684" s="217" t="s">
        <v>37</v>
      </c>
      <c r="BD684" s="217" t="s">
        <v>247</v>
      </c>
      <c r="BE684" s="217" t="s">
        <v>2044</v>
      </c>
      <c r="BF684" s="217" t="s">
        <v>2045</v>
      </c>
      <c r="BG684" s="217" t="s">
        <v>1998</v>
      </c>
      <c r="BH684" s="217" t="s">
        <v>1658</v>
      </c>
      <c r="BI684" s="217" t="s">
        <v>1660</v>
      </c>
      <c r="BJ684" s="217" t="s">
        <v>1658</v>
      </c>
      <c r="BK684" s="217" t="s">
        <v>637</v>
      </c>
      <c r="BL684" s="217"/>
      <c r="BM684" s="217"/>
      <c r="BN684" s="217">
        <v>0</v>
      </c>
      <c r="BO684" s="217">
        <v>0</v>
      </c>
      <c r="BR684" s="217" t="s">
        <v>37</v>
      </c>
      <c r="BS684" s="217" t="s">
        <v>547</v>
      </c>
      <c r="BT684" s="217" t="s">
        <v>561</v>
      </c>
      <c r="BU684" s="217" t="s">
        <v>1423</v>
      </c>
      <c r="BV684" s="217">
        <v>54</v>
      </c>
      <c r="BW684" s="217">
        <v>416</v>
      </c>
      <c r="BX684" s="217">
        <v>1</v>
      </c>
      <c r="BY684" s="217">
        <v>2</v>
      </c>
      <c r="BZ684" s="217">
        <v>6</v>
      </c>
      <c r="CA684" s="217">
        <v>32</v>
      </c>
      <c r="CB684" s="217">
        <v>54</v>
      </c>
      <c r="CC684" s="217">
        <v>416</v>
      </c>
      <c r="CD684" s="217">
        <v>1</v>
      </c>
      <c r="CE684" s="217">
        <v>2</v>
      </c>
      <c r="CF684" s="217">
        <v>6</v>
      </c>
      <c r="CG684" s="217">
        <v>32</v>
      </c>
      <c r="CH684" s="217">
        <v>0</v>
      </c>
      <c r="CI684" s="217">
        <v>0</v>
      </c>
      <c r="CJ684" s="217">
        <v>0</v>
      </c>
    </row>
    <row r="685" spans="1:88" x14ac:dyDescent="0.25">
      <c r="A685" s="217" t="s">
        <v>22</v>
      </c>
      <c r="B685" s="217" t="s">
        <v>23</v>
      </c>
      <c r="C685" s="217" t="s">
        <v>85</v>
      </c>
      <c r="D685" s="217" t="s">
        <v>84</v>
      </c>
      <c r="E685" s="217" t="s">
        <v>98</v>
      </c>
      <c r="F685" s="217" t="s">
        <v>97</v>
      </c>
      <c r="G685" s="217" t="s">
        <v>457</v>
      </c>
      <c r="H685" s="217" t="s">
        <v>1289</v>
      </c>
      <c r="I685" s="217" t="s">
        <v>29</v>
      </c>
      <c r="J685" s="217" t="s">
        <v>1859</v>
      </c>
      <c r="K685" s="217">
        <v>11</v>
      </c>
      <c r="L685" s="217">
        <v>47</v>
      </c>
      <c r="M685" s="217" t="s">
        <v>31</v>
      </c>
      <c r="N685" s="217" t="s">
        <v>32</v>
      </c>
      <c r="O685" s="217" t="s">
        <v>100</v>
      </c>
      <c r="P685" s="217" t="s">
        <v>34</v>
      </c>
      <c r="Q685" s="217" t="s">
        <v>35</v>
      </c>
      <c r="R685" s="217" t="s">
        <v>23</v>
      </c>
      <c r="S685" s="217" t="s">
        <v>22</v>
      </c>
      <c r="T685" s="217" t="s">
        <v>84</v>
      </c>
      <c r="U685" s="217" t="s">
        <v>85</v>
      </c>
      <c r="V685" s="217" t="s">
        <v>97</v>
      </c>
      <c r="W685" s="217" t="s">
        <v>98</v>
      </c>
      <c r="BC685" s="217" t="s">
        <v>37</v>
      </c>
      <c r="BD685" s="217" t="s">
        <v>247</v>
      </c>
      <c r="BE685" s="217" t="s">
        <v>1441</v>
      </c>
      <c r="BF685" s="217" t="s">
        <v>577</v>
      </c>
      <c r="BG685" s="217" t="s">
        <v>1998</v>
      </c>
      <c r="BH685" s="217" t="s">
        <v>1658</v>
      </c>
      <c r="BI685" s="217" t="s">
        <v>1660</v>
      </c>
      <c r="BJ685" s="217" t="s">
        <v>1658</v>
      </c>
      <c r="BK685" s="217" t="s">
        <v>637</v>
      </c>
      <c r="BL685" s="217"/>
      <c r="BM685" s="217"/>
      <c r="BN685" s="217">
        <v>0</v>
      </c>
      <c r="BO685" s="217">
        <v>0</v>
      </c>
      <c r="BR685" s="217" t="s">
        <v>37</v>
      </c>
      <c r="BS685" s="217" t="s">
        <v>547</v>
      </c>
      <c r="BT685" s="217" t="s">
        <v>575</v>
      </c>
      <c r="BU685" s="217" t="s">
        <v>1439</v>
      </c>
      <c r="BV685" s="217">
        <v>49</v>
      </c>
      <c r="BW685" s="217">
        <v>336</v>
      </c>
      <c r="BX685" s="217">
        <v>2</v>
      </c>
      <c r="BY685" s="217">
        <v>4</v>
      </c>
      <c r="BZ685" s="217">
        <v>6</v>
      </c>
      <c r="CA685" s="217">
        <v>32</v>
      </c>
      <c r="CB685" s="217">
        <v>49</v>
      </c>
      <c r="CC685" s="217">
        <v>336</v>
      </c>
      <c r="CD685" s="217">
        <v>2</v>
      </c>
      <c r="CE685" s="217">
        <v>4</v>
      </c>
      <c r="CF685" s="217">
        <v>6</v>
      </c>
      <c r="CG685" s="217">
        <v>32</v>
      </c>
      <c r="CH685" s="217">
        <v>0</v>
      </c>
      <c r="CI685" s="217">
        <v>0</v>
      </c>
      <c r="CJ685" s="217">
        <v>0</v>
      </c>
    </row>
    <row r="686" spans="1:88" x14ac:dyDescent="0.25">
      <c r="A686" s="217" t="s">
        <v>22</v>
      </c>
      <c r="B686" s="217" t="s">
        <v>23</v>
      </c>
      <c r="C686" s="217" t="s">
        <v>85</v>
      </c>
      <c r="D686" s="217" t="s">
        <v>84</v>
      </c>
      <c r="E686" s="217" t="s">
        <v>98</v>
      </c>
      <c r="F686" s="217" t="s">
        <v>97</v>
      </c>
      <c r="G686" s="217" t="s">
        <v>458</v>
      </c>
      <c r="H686" s="217" t="s">
        <v>1290</v>
      </c>
      <c r="I686" s="217" t="s">
        <v>29</v>
      </c>
      <c r="J686" s="217" t="s">
        <v>1855</v>
      </c>
      <c r="K686" s="217">
        <v>16</v>
      </c>
      <c r="L686" s="217">
        <v>260</v>
      </c>
      <c r="M686" s="217" t="s">
        <v>31</v>
      </c>
      <c r="N686" s="217" t="s">
        <v>32</v>
      </c>
      <c r="O686" s="217" t="s">
        <v>100</v>
      </c>
      <c r="P686" s="217" t="s">
        <v>34</v>
      </c>
      <c r="Q686" s="217" t="s">
        <v>35</v>
      </c>
      <c r="R686" s="217" t="s">
        <v>23</v>
      </c>
      <c r="S686" s="217" t="s">
        <v>22</v>
      </c>
      <c r="T686" s="217" t="s">
        <v>84</v>
      </c>
      <c r="U686" s="217" t="s">
        <v>85</v>
      </c>
      <c r="V686" s="217" t="s">
        <v>97</v>
      </c>
      <c r="W686" s="217" t="s">
        <v>98</v>
      </c>
      <c r="BC686" s="217" t="s">
        <v>37</v>
      </c>
      <c r="BD686" s="217" t="s">
        <v>247</v>
      </c>
      <c r="BE686" s="217" t="s">
        <v>1590</v>
      </c>
      <c r="BF686" s="217" t="s">
        <v>683</v>
      </c>
      <c r="BG686" s="217" t="s">
        <v>1998</v>
      </c>
      <c r="BH686" s="217" t="s">
        <v>1660</v>
      </c>
      <c r="BI686" s="217" t="s">
        <v>1660</v>
      </c>
      <c r="BJ686" s="217" t="s">
        <v>1658</v>
      </c>
      <c r="BK686" s="217" t="s">
        <v>637</v>
      </c>
      <c r="BL686" s="217"/>
      <c r="BM686" s="217"/>
      <c r="BN686" s="217">
        <v>0</v>
      </c>
      <c r="BO686" s="217">
        <v>0</v>
      </c>
      <c r="BR686" s="217" t="s">
        <v>37</v>
      </c>
      <c r="BS686" s="217" t="s">
        <v>547</v>
      </c>
      <c r="BT686" s="217" t="s">
        <v>559</v>
      </c>
      <c r="BU686" s="217" t="s">
        <v>1421</v>
      </c>
      <c r="BV686" s="217">
        <v>224</v>
      </c>
      <c r="BW686" s="217">
        <v>1434</v>
      </c>
      <c r="BX686" s="217">
        <v>0</v>
      </c>
      <c r="BY686" s="217">
        <v>0</v>
      </c>
      <c r="BZ686" s="217">
        <v>12</v>
      </c>
      <c r="CA686" s="217">
        <v>79</v>
      </c>
      <c r="CB686" s="217">
        <v>224</v>
      </c>
      <c r="CC686" s="217">
        <v>1434</v>
      </c>
      <c r="CD686" s="217">
        <v>0</v>
      </c>
      <c r="CE686" s="217">
        <v>0</v>
      </c>
      <c r="CF686" s="217">
        <v>12</v>
      </c>
      <c r="CG686" s="217">
        <v>79</v>
      </c>
      <c r="CH686" s="217">
        <v>0</v>
      </c>
      <c r="CI686" s="217">
        <v>0</v>
      </c>
      <c r="CJ686" s="217">
        <v>0</v>
      </c>
    </row>
    <row r="687" spans="1:88" x14ac:dyDescent="0.25">
      <c r="A687" s="217" t="s">
        <v>22</v>
      </c>
      <c r="B687" s="217" t="s">
        <v>23</v>
      </c>
      <c r="C687" s="217" t="s">
        <v>85</v>
      </c>
      <c r="D687" s="217" t="s">
        <v>84</v>
      </c>
      <c r="E687" s="217" t="s">
        <v>98</v>
      </c>
      <c r="F687" s="217" t="s">
        <v>97</v>
      </c>
      <c r="G687" s="217" t="s">
        <v>458</v>
      </c>
      <c r="H687" s="217" t="s">
        <v>1290</v>
      </c>
      <c r="I687" s="217" t="s">
        <v>29</v>
      </c>
      <c r="J687" s="217" t="s">
        <v>1856</v>
      </c>
      <c r="K687" s="217">
        <v>4</v>
      </c>
      <c r="L687" s="217">
        <v>59</v>
      </c>
      <c r="M687" s="217" t="s">
        <v>31</v>
      </c>
      <c r="N687" s="217" t="s">
        <v>32</v>
      </c>
      <c r="O687" s="217" t="s">
        <v>100</v>
      </c>
      <c r="P687" s="217" t="s">
        <v>34</v>
      </c>
      <c r="Q687" s="217" t="s">
        <v>35</v>
      </c>
      <c r="R687" s="217" t="s">
        <v>23</v>
      </c>
      <c r="S687" s="217" t="s">
        <v>22</v>
      </c>
      <c r="T687" s="217" t="s">
        <v>84</v>
      </c>
      <c r="U687" s="217" t="s">
        <v>85</v>
      </c>
      <c r="V687" s="217" t="s">
        <v>97</v>
      </c>
      <c r="W687" s="217" t="s">
        <v>98</v>
      </c>
      <c r="BC687" s="217" t="s">
        <v>37</v>
      </c>
      <c r="BD687" s="217" t="s">
        <v>247</v>
      </c>
      <c r="BE687" s="217" t="s">
        <v>1442</v>
      </c>
      <c r="BF687" s="217" t="s">
        <v>578</v>
      </c>
      <c r="BG687" s="217" t="s">
        <v>1998</v>
      </c>
      <c r="BH687" s="217" t="s">
        <v>1658</v>
      </c>
      <c r="BI687" s="217" t="s">
        <v>1660</v>
      </c>
      <c r="BJ687" s="217" t="s">
        <v>1660</v>
      </c>
      <c r="BK687" s="217" t="s">
        <v>637</v>
      </c>
      <c r="BL687" s="217"/>
      <c r="BM687" s="217"/>
      <c r="BN687" s="217">
        <v>0</v>
      </c>
      <c r="BO687" s="217">
        <v>0</v>
      </c>
      <c r="BR687" s="217" t="s">
        <v>37</v>
      </c>
      <c r="BS687" s="217" t="s">
        <v>547</v>
      </c>
      <c r="BT687" s="217" t="s">
        <v>555</v>
      </c>
      <c r="BU687" s="217" t="s">
        <v>1417</v>
      </c>
      <c r="BV687" s="217">
        <v>73</v>
      </c>
      <c r="BW687" s="217">
        <v>498</v>
      </c>
      <c r="BX687" s="217">
        <v>0</v>
      </c>
      <c r="BY687" s="217">
        <v>0</v>
      </c>
      <c r="BZ687" s="217">
        <v>20</v>
      </c>
      <c r="CA687" s="217">
        <v>58</v>
      </c>
      <c r="CB687" s="217">
        <v>73</v>
      </c>
      <c r="CC687" s="217">
        <v>498</v>
      </c>
      <c r="CD687" s="217">
        <v>0</v>
      </c>
      <c r="CE687" s="217">
        <v>0</v>
      </c>
      <c r="CF687" s="217">
        <v>20</v>
      </c>
      <c r="CG687" s="217">
        <v>58</v>
      </c>
      <c r="CH687" s="217">
        <v>0</v>
      </c>
      <c r="CI687" s="217">
        <v>0</v>
      </c>
      <c r="CJ687" s="217">
        <v>0</v>
      </c>
    </row>
    <row r="688" spans="1:88" x14ac:dyDescent="0.25">
      <c r="A688" s="217" t="s">
        <v>22</v>
      </c>
      <c r="B688" s="217" t="s">
        <v>23</v>
      </c>
      <c r="C688" s="217" t="s">
        <v>85</v>
      </c>
      <c r="D688" s="217" t="s">
        <v>84</v>
      </c>
      <c r="E688" s="217" t="s">
        <v>98</v>
      </c>
      <c r="F688" s="217" t="s">
        <v>97</v>
      </c>
      <c r="G688" s="217" t="s">
        <v>458</v>
      </c>
      <c r="H688" s="217" t="s">
        <v>1290</v>
      </c>
      <c r="I688" s="217" t="s">
        <v>29</v>
      </c>
      <c r="J688" s="217" t="s">
        <v>1857</v>
      </c>
      <c r="K688" s="217">
        <v>7</v>
      </c>
      <c r="L688" s="217">
        <v>86</v>
      </c>
      <c r="M688" s="217" t="s">
        <v>31</v>
      </c>
      <c r="N688" s="217" t="s">
        <v>32</v>
      </c>
      <c r="O688" s="217" t="s">
        <v>100</v>
      </c>
      <c r="P688" s="217" t="s">
        <v>34</v>
      </c>
      <c r="Q688" s="217" t="s">
        <v>35</v>
      </c>
      <c r="R688" s="217" t="s">
        <v>23</v>
      </c>
      <c r="S688" s="217" t="s">
        <v>22</v>
      </c>
      <c r="T688" s="217" t="s">
        <v>84</v>
      </c>
      <c r="U688" s="217" t="s">
        <v>85</v>
      </c>
      <c r="V688" s="217" t="s">
        <v>97</v>
      </c>
      <c r="W688" s="217" t="s">
        <v>98</v>
      </c>
      <c r="BC688" s="217" t="s">
        <v>37</v>
      </c>
      <c r="BD688" s="217" t="s">
        <v>247</v>
      </c>
      <c r="BE688" s="217" t="s">
        <v>1443</v>
      </c>
      <c r="BF688" s="217" t="s">
        <v>579</v>
      </c>
      <c r="BG688" s="217" t="s">
        <v>1998</v>
      </c>
      <c r="BH688" s="217" t="s">
        <v>1658</v>
      </c>
      <c r="BI688" s="217" t="s">
        <v>1660</v>
      </c>
      <c r="BJ688" s="217" t="s">
        <v>1658</v>
      </c>
      <c r="BK688" s="217" t="s">
        <v>637</v>
      </c>
      <c r="BL688" s="217"/>
      <c r="BM688" s="217"/>
      <c r="BN688" s="217">
        <v>0</v>
      </c>
      <c r="BO688" s="217">
        <v>0</v>
      </c>
      <c r="BR688" s="217" t="s">
        <v>37</v>
      </c>
      <c r="BS688" s="217" t="s">
        <v>547</v>
      </c>
      <c r="BT688" s="217" t="s">
        <v>2038</v>
      </c>
      <c r="BU688" s="217" t="s">
        <v>2037</v>
      </c>
      <c r="BV688" s="217">
        <v>11</v>
      </c>
      <c r="BW688" s="217">
        <v>82</v>
      </c>
      <c r="BX688" s="217">
        <v>0</v>
      </c>
      <c r="BY688" s="217">
        <v>0</v>
      </c>
      <c r="BZ688" s="217">
        <v>0</v>
      </c>
      <c r="CA688" s="217">
        <v>0</v>
      </c>
      <c r="CB688" s="217">
        <v>11</v>
      </c>
      <c r="CC688" s="217">
        <v>82</v>
      </c>
      <c r="CD688" s="217">
        <v>0</v>
      </c>
      <c r="CE688" s="217">
        <v>0</v>
      </c>
      <c r="CF688" s="217">
        <v>0</v>
      </c>
      <c r="CG688" s="217">
        <v>0</v>
      </c>
      <c r="CH688" s="217">
        <v>0</v>
      </c>
      <c r="CI688" s="217">
        <v>0</v>
      </c>
      <c r="CJ688" s="217">
        <v>0</v>
      </c>
    </row>
    <row r="689" spans="1:88" x14ac:dyDescent="0.25">
      <c r="A689" s="217" t="s">
        <v>22</v>
      </c>
      <c r="B689" s="217" t="s">
        <v>23</v>
      </c>
      <c r="C689" s="217" t="s">
        <v>85</v>
      </c>
      <c r="D689" s="217" t="s">
        <v>84</v>
      </c>
      <c r="E689" s="217" t="s">
        <v>98</v>
      </c>
      <c r="F689" s="217" t="s">
        <v>97</v>
      </c>
      <c r="G689" s="217" t="s">
        <v>458</v>
      </c>
      <c r="H689" s="217" t="s">
        <v>1290</v>
      </c>
      <c r="I689" s="217" t="s">
        <v>29</v>
      </c>
      <c r="J689" s="217" t="s">
        <v>1858</v>
      </c>
      <c r="K689" s="217">
        <v>32</v>
      </c>
      <c r="L689" s="217">
        <v>97</v>
      </c>
      <c r="M689" s="217" t="s">
        <v>31</v>
      </c>
      <c r="N689" s="217" t="s">
        <v>32</v>
      </c>
      <c r="O689" s="217" t="s">
        <v>100</v>
      </c>
      <c r="P689" s="217" t="s">
        <v>34</v>
      </c>
      <c r="Q689" s="217" t="s">
        <v>35</v>
      </c>
      <c r="R689" s="217" t="s">
        <v>23</v>
      </c>
      <c r="S689" s="217" t="s">
        <v>22</v>
      </c>
      <c r="T689" s="217" t="s">
        <v>84</v>
      </c>
      <c r="U689" s="217" t="s">
        <v>85</v>
      </c>
      <c r="V689" s="217" t="s">
        <v>97</v>
      </c>
      <c r="W689" s="217" t="s">
        <v>98</v>
      </c>
      <c r="BC689" s="217" t="s">
        <v>37</v>
      </c>
      <c r="BD689" s="217" t="s">
        <v>247</v>
      </c>
      <c r="BE689" s="217" t="s">
        <v>1444</v>
      </c>
      <c r="BF689" s="217" t="s">
        <v>580</v>
      </c>
      <c r="BG689" s="217" t="s">
        <v>1998</v>
      </c>
      <c r="BH689" s="217" t="s">
        <v>1658</v>
      </c>
      <c r="BI689" s="217" t="s">
        <v>1658</v>
      </c>
      <c r="BJ689" s="217" t="s">
        <v>1658</v>
      </c>
      <c r="BK689" s="217" t="s">
        <v>637</v>
      </c>
      <c r="BL689" s="217"/>
      <c r="BM689" s="217"/>
      <c r="BN689" s="217">
        <v>0</v>
      </c>
      <c r="BO689" s="217">
        <v>0</v>
      </c>
      <c r="BR689" s="217" t="s">
        <v>37</v>
      </c>
      <c r="BS689" s="217" t="s">
        <v>547</v>
      </c>
      <c r="BT689" s="217" t="s">
        <v>567</v>
      </c>
      <c r="BU689" s="217" t="s">
        <v>1430</v>
      </c>
      <c r="BV689" s="217">
        <v>32</v>
      </c>
      <c r="BW689" s="217">
        <v>180</v>
      </c>
      <c r="BX689" s="217">
        <v>0</v>
      </c>
      <c r="BY689" s="217">
        <v>0</v>
      </c>
      <c r="BZ689" s="217">
        <v>7</v>
      </c>
      <c r="CA689" s="217">
        <v>43</v>
      </c>
      <c r="CB689" s="217">
        <v>35</v>
      </c>
      <c r="CC689" s="217">
        <v>195</v>
      </c>
      <c r="CD689" s="217">
        <v>0</v>
      </c>
      <c r="CE689" s="217">
        <v>0</v>
      </c>
      <c r="CF689" s="217">
        <v>7</v>
      </c>
      <c r="CG689" s="217">
        <v>43</v>
      </c>
      <c r="CH689" s="217">
        <v>-15</v>
      </c>
      <c r="CI689" s="217">
        <v>0</v>
      </c>
      <c r="CJ689" s="217">
        <v>0</v>
      </c>
    </row>
    <row r="690" spans="1:88" x14ac:dyDescent="0.25">
      <c r="A690" s="217" t="s">
        <v>22</v>
      </c>
      <c r="B690" s="217" t="s">
        <v>23</v>
      </c>
      <c r="C690" s="217" t="s">
        <v>85</v>
      </c>
      <c r="D690" s="217" t="s">
        <v>84</v>
      </c>
      <c r="E690" s="217" t="s">
        <v>98</v>
      </c>
      <c r="F690" s="217" t="s">
        <v>97</v>
      </c>
      <c r="G690" s="217" t="s">
        <v>1291</v>
      </c>
      <c r="H690" s="217" t="s">
        <v>1292</v>
      </c>
      <c r="I690" s="217" t="s">
        <v>29</v>
      </c>
      <c r="J690" s="217" t="s">
        <v>1858</v>
      </c>
      <c r="K690" s="217">
        <v>32</v>
      </c>
      <c r="L690" s="217">
        <v>160</v>
      </c>
      <c r="M690" s="217" t="s">
        <v>31</v>
      </c>
      <c r="N690" s="217" t="s">
        <v>32</v>
      </c>
      <c r="O690" s="217" t="s">
        <v>100</v>
      </c>
      <c r="P690" s="217" t="s">
        <v>34</v>
      </c>
      <c r="Q690" s="217" t="s">
        <v>35</v>
      </c>
      <c r="R690" s="217" t="s">
        <v>23</v>
      </c>
      <c r="S690" s="217" t="s">
        <v>22</v>
      </c>
      <c r="T690" s="217" t="s">
        <v>84</v>
      </c>
      <c r="U690" s="217" t="s">
        <v>85</v>
      </c>
      <c r="V690" s="217" t="s">
        <v>97</v>
      </c>
      <c r="W690" s="217" t="s">
        <v>98</v>
      </c>
      <c r="BC690" s="217" t="s">
        <v>37</v>
      </c>
      <c r="BD690" s="217" t="s">
        <v>247</v>
      </c>
      <c r="BE690" s="217" t="s">
        <v>1445</v>
      </c>
      <c r="BF690" s="217" t="s">
        <v>581</v>
      </c>
      <c r="BG690" s="217" t="s">
        <v>1998</v>
      </c>
      <c r="BH690" s="217" t="s">
        <v>1658</v>
      </c>
      <c r="BI690" s="217" t="s">
        <v>1660</v>
      </c>
      <c r="BJ690" s="217" t="s">
        <v>1660</v>
      </c>
      <c r="BK690" s="217" t="s">
        <v>637</v>
      </c>
      <c r="BL690" s="217"/>
      <c r="BM690" s="217"/>
      <c r="BN690" s="217">
        <v>0</v>
      </c>
      <c r="BO690" s="217">
        <v>0</v>
      </c>
      <c r="BR690" s="217" t="s">
        <v>37</v>
      </c>
      <c r="BS690" s="217" t="s">
        <v>547</v>
      </c>
      <c r="BT690" s="217" t="s">
        <v>570</v>
      </c>
      <c r="BU690" s="217" t="s">
        <v>1434</v>
      </c>
      <c r="BV690" s="217">
        <v>73</v>
      </c>
      <c r="BW690" s="217">
        <v>493</v>
      </c>
      <c r="BX690" s="217">
        <v>0</v>
      </c>
      <c r="BY690" s="217">
        <v>0</v>
      </c>
      <c r="BZ690" s="217">
        <v>0</v>
      </c>
      <c r="CA690" s="217">
        <v>0</v>
      </c>
      <c r="CB690" s="217">
        <v>73</v>
      </c>
      <c r="CC690" s="217">
        <v>493</v>
      </c>
      <c r="CD690" s="217">
        <v>0</v>
      </c>
      <c r="CE690" s="217">
        <v>0</v>
      </c>
      <c r="CF690" s="217">
        <v>0</v>
      </c>
      <c r="CG690" s="217">
        <v>0</v>
      </c>
      <c r="CH690" s="217">
        <v>0</v>
      </c>
      <c r="CI690" s="217">
        <v>0</v>
      </c>
      <c r="CJ690" s="217">
        <v>0</v>
      </c>
    </row>
    <row r="691" spans="1:88" x14ac:dyDescent="0.25">
      <c r="A691" s="217" t="s">
        <v>22</v>
      </c>
      <c r="B691" s="217" t="s">
        <v>23</v>
      </c>
      <c r="C691" s="217" t="s">
        <v>85</v>
      </c>
      <c r="D691" s="217" t="s">
        <v>84</v>
      </c>
      <c r="E691" s="217" t="s">
        <v>98</v>
      </c>
      <c r="F691" s="217" t="s">
        <v>97</v>
      </c>
      <c r="G691" s="217" t="s">
        <v>1293</v>
      </c>
      <c r="H691" s="217" t="s">
        <v>1294</v>
      </c>
      <c r="I691" s="217" t="s">
        <v>29</v>
      </c>
      <c r="J691" s="217" t="s">
        <v>1858</v>
      </c>
      <c r="K691" s="217">
        <v>36</v>
      </c>
      <c r="L691" s="217">
        <v>100</v>
      </c>
      <c r="M691" s="217" t="s">
        <v>31</v>
      </c>
      <c r="N691" s="217" t="s">
        <v>32</v>
      </c>
      <c r="O691" s="217" t="s">
        <v>68</v>
      </c>
      <c r="P691" s="217" t="s">
        <v>34</v>
      </c>
      <c r="Q691" s="217" t="s">
        <v>35</v>
      </c>
      <c r="R691" s="217" t="s">
        <v>23</v>
      </c>
      <c r="S691" s="217" t="s">
        <v>22</v>
      </c>
      <c r="T691" s="217" t="s">
        <v>84</v>
      </c>
      <c r="U691" s="217" t="s">
        <v>85</v>
      </c>
      <c r="V691" s="217" t="s">
        <v>109</v>
      </c>
      <c r="W691" s="217" t="s">
        <v>110</v>
      </c>
      <c r="BC691" s="217" t="s">
        <v>37</v>
      </c>
      <c r="BD691" s="217" t="s">
        <v>247</v>
      </c>
      <c r="BE691" s="217" t="s">
        <v>2046</v>
      </c>
      <c r="BF691" s="217" t="s">
        <v>2047</v>
      </c>
      <c r="BG691" s="217" t="s">
        <v>2001</v>
      </c>
      <c r="BH691" s="217" t="s">
        <v>1658</v>
      </c>
      <c r="BI691" s="217" t="s">
        <v>1660</v>
      </c>
      <c r="BJ691" s="217" t="s">
        <v>1658</v>
      </c>
      <c r="BK691" s="217" t="s">
        <v>637</v>
      </c>
      <c r="BL691" s="217"/>
      <c r="BM691" s="217"/>
      <c r="BN691" s="217">
        <v>0</v>
      </c>
      <c r="BO691" s="217">
        <v>0</v>
      </c>
      <c r="BR691" s="217" t="s">
        <v>37</v>
      </c>
      <c r="BS691" s="217" t="s">
        <v>547</v>
      </c>
      <c r="BT691" s="217" t="s">
        <v>573</v>
      </c>
      <c r="BU691" s="217" t="s">
        <v>1437</v>
      </c>
      <c r="BV691" s="217">
        <v>47</v>
      </c>
      <c r="BW691" s="217">
        <v>340</v>
      </c>
      <c r="BX691" s="217">
        <v>0</v>
      </c>
      <c r="BY691" s="217">
        <v>0</v>
      </c>
      <c r="BZ691" s="217">
        <v>13</v>
      </c>
      <c r="CA691" s="217">
        <v>62</v>
      </c>
      <c r="CB691" s="217">
        <v>47</v>
      </c>
      <c r="CC691" s="217">
        <v>340</v>
      </c>
      <c r="CD691" s="217">
        <v>0</v>
      </c>
      <c r="CE691" s="217">
        <v>0</v>
      </c>
      <c r="CF691" s="217">
        <v>13</v>
      </c>
      <c r="CG691" s="217">
        <v>62</v>
      </c>
      <c r="CH691" s="217">
        <v>0</v>
      </c>
      <c r="CI691" s="217">
        <v>0</v>
      </c>
      <c r="CJ691" s="217">
        <v>0</v>
      </c>
    </row>
    <row r="692" spans="1:88" x14ac:dyDescent="0.25">
      <c r="A692" s="217" t="s">
        <v>22</v>
      </c>
      <c r="B692" s="217" t="s">
        <v>23</v>
      </c>
      <c r="C692" s="217" t="s">
        <v>85</v>
      </c>
      <c r="D692" s="217" t="s">
        <v>84</v>
      </c>
      <c r="E692" s="217" t="s">
        <v>98</v>
      </c>
      <c r="F692" s="217" t="s">
        <v>97</v>
      </c>
      <c r="G692" s="217" t="s">
        <v>459</v>
      </c>
      <c r="H692" s="217" t="s">
        <v>1295</v>
      </c>
      <c r="I692" s="217" t="s">
        <v>29</v>
      </c>
      <c r="J692" s="217" t="s">
        <v>1856</v>
      </c>
      <c r="K692" s="217">
        <v>13</v>
      </c>
      <c r="L692" s="217">
        <v>73</v>
      </c>
      <c r="M692" s="217" t="s">
        <v>31</v>
      </c>
      <c r="N692" s="217" t="s">
        <v>32</v>
      </c>
      <c r="O692" s="217" t="s">
        <v>68</v>
      </c>
      <c r="P692" s="217" t="s">
        <v>34</v>
      </c>
      <c r="Q692" s="217" t="s">
        <v>35</v>
      </c>
      <c r="R692" s="217" t="s">
        <v>23</v>
      </c>
      <c r="S692" s="217" t="s">
        <v>22</v>
      </c>
      <c r="T692" s="217" t="s">
        <v>84</v>
      </c>
      <c r="U692" s="217" t="s">
        <v>85</v>
      </c>
      <c r="V692" s="217" t="s">
        <v>91</v>
      </c>
      <c r="W692" s="217" t="s">
        <v>92</v>
      </c>
      <c r="BC692" s="217" t="s">
        <v>37</v>
      </c>
      <c r="BD692" s="217" t="s">
        <v>247</v>
      </c>
      <c r="BE692" s="217" t="s">
        <v>1446</v>
      </c>
      <c r="BF692" s="217" t="s">
        <v>582</v>
      </c>
      <c r="BG692" s="217" t="s">
        <v>1998</v>
      </c>
      <c r="BH692" s="217" t="s">
        <v>1658</v>
      </c>
      <c r="BI692" s="217" t="s">
        <v>1660</v>
      </c>
      <c r="BJ692" s="217" t="s">
        <v>1658</v>
      </c>
      <c r="BK692" s="217" t="s">
        <v>637</v>
      </c>
      <c r="BL692" s="217"/>
      <c r="BM692" s="217"/>
      <c r="BN692" s="217">
        <v>0</v>
      </c>
      <c r="BO692" s="217">
        <v>0</v>
      </c>
      <c r="BR692" s="217" t="s">
        <v>37</v>
      </c>
      <c r="BS692" s="217" t="s">
        <v>547</v>
      </c>
      <c r="BT692" s="217" t="s">
        <v>566</v>
      </c>
      <c r="BU692" s="217" t="s">
        <v>1429</v>
      </c>
      <c r="BV692" s="217">
        <v>59</v>
      </c>
      <c r="BW692" s="217">
        <v>360</v>
      </c>
      <c r="BX692" s="217">
        <v>2</v>
      </c>
      <c r="BY692" s="217">
        <v>7</v>
      </c>
      <c r="BZ692" s="217">
        <v>12</v>
      </c>
      <c r="CA692" s="217">
        <v>67</v>
      </c>
      <c r="CB692" s="217">
        <v>59</v>
      </c>
      <c r="CC692" s="217">
        <v>360</v>
      </c>
      <c r="CD692" s="217">
        <v>2</v>
      </c>
      <c r="CE692" s="217">
        <v>7</v>
      </c>
      <c r="CF692" s="217">
        <v>12</v>
      </c>
      <c r="CG692" s="217">
        <v>67</v>
      </c>
      <c r="CH692" s="217">
        <v>0</v>
      </c>
      <c r="CI692" s="217">
        <v>0</v>
      </c>
      <c r="CJ692" s="217">
        <v>0</v>
      </c>
    </row>
    <row r="693" spans="1:88" x14ac:dyDescent="0.25">
      <c r="A693" s="217" t="s">
        <v>22</v>
      </c>
      <c r="B693" s="217" t="s">
        <v>23</v>
      </c>
      <c r="C693" s="217" t="s">
        <v>85</v>
      </c>
      <c r="D693" s="217" t="s">
        <v>84</v>
      </c>
      <c r="E693" s="217" t="s">
        <v>98</v>
      </c>
      <c r="F693" s="217" t="s">
        <v>97</v>
      </c>
      <c r="G693" s="217" t="s">
        <v>459</v>
      </c>
      <c r="H693" s="217" t="s">
        <v>1295</v>
      </c>
      <c r="I693" s="217" t="s">
        <v>29</v>
      </c>
      <c r="J693" s="217" t="s">
        <v>1857</v>
      </c>
      <c r="K693" s="217">
        <v>1</v>
      </c>
      <c r="L693" s="217">
        <v>7</v>
      </c>
      <c r="M693" s="217" t="s">
        <v>31</v>
      </c>
      <c r="N693" s="217" t="s">
        <v>32</v>
      </c>
      <c r="O693" s="217" t="s">
        <v>68</v>
      </c>
      <c r="P693" s="217" t="s">
        <v>34</v>
      </c>
      <c r="Q693" s="217" t="s">
        <v>35</v>
      </c>
      <c r="R693" s="217" t="s">
        <v>23</v>
      </c>
      <c r="S693" s="217" t="s">
        <v>22</v>
      </c>
      <c r="T693" s="217" t="s">
        <v>84</v>
      </c>
      <c r="U693" s="217" t="s">
        <v>85</v>
      </c>
      <c r="V693" s="217" t="s">
        <v>109</v>
      </c>
      <c r="W693" s="217" t="s">
        <v>110</v>
      </c>
      <c r="BC693" s="217" t="s">
        <v>37</v>
      </c>
      <c r="BD693" s="217" t="s">
        <v>247</v>
      </c>
      <c r="BE693" s="217" t="s">
        <v>1447</v>
      </c>
      <c r="BF693" s="217" t="s">
        <v>583</v>
      </c>
      <c r="BG693" s="217" t="s">
        <v>1998</v>
      </c>
      <c r="BH693" s="217" t="s">
        <v>1660</v>
      </c>
      <c r="BI693" s="217" t="s">
        <v>1660</v>
      </c>
      <c r="BJ693" s="217" t="s">
        <v>1658</v>
      </c>
      <c r="BK693" s="217" t="s">
        <v>637</v>
      </c>
      <c r="BL693" s="217"/>
      <c r="BM693" s="217"/>
      <c r="BN693" s="217">
        <v>0</v>
      </c>
      <c r="BO693" s="217">
        <v>0</v>
      </c>
      <c r="BR693" s="217" t="s">
        <v>37</v>
      </c>
      <c r="BS693" s="217" t="s">
        <v>547</v>
      </c>
      <c r="BT693" s="217" t="s">
        <v>586</v>
      </c>
      <c r="BU693" s="217" t="s">
        <v>2039</v>
      </c>
      <c r="BV693" s="217">
        <v>21</v>
      </c>
      <c r="BW693" s="217">
        <v>142</v>
      </c>
      <c r="BX693" s="217">
        <v>0</v>
      </c>
      <c r="BY693" s="217">
        <v>0</v>
      </c>
      <c r="BZ693" s="217">
        <v>0</v>
      </c>
      <c r="CA693" s="217">
        <v>0</v>
      </c>
      <c r="CB693" s="217">
        <v>9</v>
      </c>
      <c r="CC693" s="217">
        <v>55</v>
      </c>
      <c r="CD693" s="217">
        <v>0</v>
      </c>
      <c r="CE693" s="217">
        <v>0</v>
      </c>
      <c r="CF693" s="217">
        <v>0</v>
      </c>
      <c r="CG693" s="217">
        <v>0</v>
      </c>
      <c r="CH693" s="217">
        <v>87</v>
      </c>
      <c r="CI693" s="217">
        <v>0</v>
      </c>
      <c r="CJ693" s="217">
        <v>0</v>
      </c>
    </row>
    <row r="694" spans="1:88" x14ac:dyDescent="0.25">
      <c r="A694" s="217" t="s">
        <v>22</v>
      </c>
      <c r="B694" s="217" t="s">
        <v>23</v>
      </c>
      <c r="C694" s="217" t="s">
        <v>85</v>
      </c>
      <c r="D694" s="217" t="s">
        <v>84</v>
      </c>
      <c r="E694" s="217" t="s">
        <v>98</v>
      </c>
      <c r="F694" s="217" t="s">
        <v>97</v>
      </c>
      <c r="G694" s="217" t="s">
        <v>459</v>
      </c>
      <c r="H694" s="217" t="s">
        <v>1295</v>
      </c>
      <c r="I694" s="217" t="s">
        <v>29</v>
      </c>
      <c r="J694" s="217" t="s">
        <v>1858</v>
      </c>
      <c r="K694" s="217">
        <v>9</v>
      </c>
      <c r="L694" s="217">
        <v>54</v>
      </c>
      <c r="M694" s="217" t="s">
        <v>31</v>
      </c>
      <c r="N694" s="217" t="s">
        <v>32</v>
      </c>
      <c r="O694" s="217" t="s">
        <v>68</v>
      </c>
      <c r="P694" s="217" t="s">
        <v>34</v>
      </c>
      <c r="Q694" s="217" t="s">
        <v>35</v>
      </c>
      <c r="R694" s="217" t="s">
        <v>23</v>
      </c>
      <c r="S694" s="217" t="s">
        <v>22</v>
      </c>
      <c r="T694" s="217" t="s">
        <v>84</v>
      </c>
      <c r="U694" s="217" t="s">
        <v>85</v>
      </c>
      <c r="V694" s="217" t="s">
        <v>94</v>
      </c>
      <c r="W694" s="217" t="s">
        <v>95</v>
      </c>
      <c r="BC694" s="217" t="s">
        <v>37</v>
      </c>
      <c r="BD694" s="217" t="s">
        <v>247</v>
      </c>
      <c r="BE694" s="217" t="s">
        <v>1448</v>
      </c>
      <c r="BF694" s="217" t="s">
        <v>242</v>
      </c>
      <c r="BG694" s="217" t="s">
        <v>1998</v>
      </c>
      <c r="BH694" s="217" t="s">
        <v>1658</v>
      </c>
      <c r="BI694" s="217" t="s">
        <v>1660</v>
      </c>
      <c r="BJ694" s="217" t="s">
        <v>1658</v>
      </c>
      <c r="BK694" s="217" t="s">
        <v>637</v>
      </c>
      <c r="BL694" s="217"/>
      <c r="BM694" s="217"/>
      <c r="BN694" s="217">
        <v>0</v>
      </c>
      <c r="BO694" s="217">
        <v>0</v>
      </c>
      <c r="BR694" s="217" t="s">
        <v>37</v>
      </c>
      <c r="BS694" s="217" t="s">
        <v>547</v>
      </c>
      <c r="BT694" s="217" t="s">
        <v>599</v>
      </c>
      <c r="BU694" s="217" t="s">
        <v>1431</v>
      </c>
      <c r="BV694" s="217">
        <v>109</v>
      </c>
      <c r="BW694" s="217">
        <v>896</v>
      </c>
      <c r="BX694" s="217">
        <v>0</v>
      </c>
      <c r="BY694" s="217">
        <v>0</v>
      </c>
      <c r="BZ694" s="217">
        <v>29</v>
      </c>
      <c r="CA694" s="217">
        <v>193</v>
      </c>
      <c r="CB694" s="217">
        <v>109</v>
      </c>
      <c r="CC694" s="217">
        <v>896</v>
      </c>
      <c r="CD694" s="217">
        <v>0</v>
      </c>
      <c r="CE694" s="217">
        <v>0</v>
      </c>
      <c r="CF694" s="217">
        <v>29</v>
      </c>
      <c r="CG694" s="217">
        <v>193</v>
      </c>
      <c r="CH694" s="217">
        <v>0</v>
      </c>
      <c r="CI694" s="217">
        <v>0</v>
      </c>
      <c r="CJ694" s="217">
        <v>0</v>
      </c>
    </row>
    <row r="695" spans="1:88" x14ac:dyDescent="0.25">
      <c r="A695" s="217" t="s">
        <v>22</v>
      </c>
      <c r="B695" s="217" t="s">
        <v>23</v>
      </c>
      <c r="C695" s="217" t="s">
        <v>85</v>
      </c>
      <c r="D695" s="217" t="s">
        <v>84</v>
      </c>
      <c r="E695" s="217" t="s">
        <v>98</v>
      </c>
      <c r="F695" s="217" t="s">
        <v>97</v>
      </c>
      <c r="G695" s="217" t="s">
        <v>812</v>
      </c>
      <c r="H695" s="217" t="s">
        <v>1296</v>
      </c>
      <c r="I695" s="217" t="s">
        <v>29</v>
      </c>
      <c r="J695" s="217" t="s">
        <v>1856</v>
      </c>
      <c r="K695" s="217">
        <v>25</v>
      </c>
      <c r="L695" s="217">
        <v>213</v>
      </c>
      <c r="M695" s="217" t="s">
        <v>31</v>
      </c>
      <c r="N695" s="217" t="s">
        <v>32</v>
      </c>
      <c r="O695" s="217" t="s">
        <v>100</v>
      </c>
      <c r="P695" s="217" t="s">
        <v>34</v>
      </c>
      <c r="Q695" s="217" t="s">
        <v>35</v>
      </c>
      <c r="R695" s="217" t="s">
        <v>23</v>
      </c>
      <c r="S695" s="217" t="s">
        <v>22</v>
      </c>
      <c r="T695" s="217" t="s">
        <v>84</v>
      </c>
      <c r="U695" s="217" t="s">
        <v>85</v>
      </c>
      <c r="V695" s="217" t="s">
        <v>97</v>
      </c>
      <c r="W695" s="217" t="s">
        <v>98</v>
      </c>
      <c r="BC695" s="217" t="s">
        <v>37</v>
      </c>
      <c r="BD695" s="217" t="s">
        <v>247</v>
      </c>
      <c r="BE695" s="217" t="s">
        <v>1974</v>
      </c>
      <c r="BF695" s="217" t="s">
        <v>1973</v>
      </c>
      <c r="BG695" s="217" t="s">
        <v>1998</v>
      </c>
      <c r="BH695" s="217" t="s">
        <v>1660</v>
      </c>
      <c r="BI695" s="217" t="s">
        <v>1658</v>
      </c>
      <c r="BJ695" s="217" t="s">
        <v>1658</v>
      </c>
      <c r="BK695" s="217" t="s">
        <v>637</v>
      </c>
      <c r="BL695" s="217"/>
      <c r="BM695" s="217"/>
      <c r="BN695" s="217">
        <v>0</v>
      </c>
      <c r="BO695" s="217">
        <v>0</v>
      </c>
      <c r="BR695" s="217" t="s">
        <v>37</v>
      </c>
      <c r="BS695" s="217" t="s">
        <v>547</v>
      </c>
      <c r="BT695" s="217" t="s">
        <v>560</v>
      </c>
      <c r="BU695" s="217" t="s">
        <v>1422</v>
      </c>
      <c r="BV695" s="217">
        <v>40</v>
      </c>
      <c r="BW695" s="217">
        <v>287</v>
      </c>
      <c r="BX695" s="217">
        <v>0</v>
      </c>
      <c r="BY695" s="217">
        <v>0</v>
      </c>
      <c r="BZ695" s="217">
        <v>0</v>
      </c>
      <c r="CA695" s="217">
        <v>0</v>
      </c>
      <c r="CB695" s="217">
        <v>40</v>
      </c>
      <c r="CC695" s="217">
        <v>287</v>
      </c>
      <c r="CD695" s="217">
        <v>0</v>
      </c>
      <c r="CE695" s="217">
        <v>0</v>
      </c>
      <c r="CF695" s="217">
        <v>0</v>
      </c>
      <c r="CG695" s="217">
        <v>0</v>
      </c>
      <c r="CH695" s="217">
        <v>0</v>
      </c>
      <c r="CI695" s="217">
        <v>0</v>
      </c>
      <c r="CJ695" s="217">
        <v>0</v>
      </c>
    </row>
    <row r="696" spans="1:88" x14ac:dyDescent="0.25">
      <c r="A696" s="217" t="s">
        <v>22</v>
      </c>
      <c r="B696" s="217" t="s">
        <v>23</v>
      </c>
      <c r="C696" s="217" t="s">
        <v>85</v>
      </c>
      <c r="D696" s="217" t="s">
        <v>84</v>
      </c>
      <c r="E696" s="217" t="s">
        <v>98</v>
      </c>
      <c r="F696" s="217" t="s">
        <v>97</v>
      </c>
      <c r="G696" s="217" t="s">
        <v>171</v>
      </c>
      <c r="H696" s="217" t="s">
        <v>1297</v>
      </c>
      <c r="I696" s="217" t="s">
        <v>29</v>
      </c>
      <c r="J696" s="217" t="s">
        <v>1855</v>
      </c>
      <c r="K696" s="217">
        <v>4</v>
      </c>
      <c r="L696" s="217">
        <v>28</v>
      </c>
      <c r="M696" s="217" t="s">
        <v>31</v>
      </c>
      <c r="N696" s="217" t="s">
        <v>32</v>
      </c>
      <c r="O696" s="217" t="s">
        <v>100</v>
      </c>
      <c r="P696" s="217" t="s">
        <v>34</v>
      </c>
      <c r="Q696" s="217" t="s">
        <v>35</v>
      </c>
      <c r="R696" s="217" t="s">
        <v>23</v>
      </c>
      <c r="S696" s="217" t="s">
        <v>22</v>
      </c>
      <c r="T696" s="217" t="s">
        <v>84</v>
      </c>
      <c r="U696" s="217" t="s">
        <v>85</v>
      </c>
      <c r="V696" s="217" t="s">
        <v>97</v>
      </c>
      <c r="W696" s="217" t="s">
        <v>98</v>
      </c>
      <c r="BC696" s="217" t="s">
        <v>37</v>
      </c>
      <c r="BD696" s="217" t="s">
        <v>247</v>
      </c>
      <c r="BE696" s="217" t="s">
        <v>1449</v>
      </c>
      <c r="BF696" s="217" t="s">
        <v>584</v>
      </c>
      <c r="BG696" s="217" t="s">
        <v>1998</v>
      </c>
      <c r="BH696" s="217" t="s">
        <v>1658</v>
      </c>
      <c r="BI696" s="217" t="s">
        <v>1660</v>
      </c>
      <c r="BJ696" s="217" t="s">
        <v>1658</v>
      </c>
      <c r="BK696" s="217" t="s">
        <v>637</v>
      </c>
      <c r="BL696" s="217"/>
      <c r="BM696" s="217"/>
      <c r="BN696" s="217">
        <v>0</v>
      </c>
      <c r="BO696" s="217">
        <v>0</v>
      </c>
      <c r="BR696" s="217" t="s">
        <v>37</v>
      </c>
      <c r="BS696" s="217" t="s">
        <v>547</v>
      </c>
      <c r="BT696" s="217" t="s">
        <v>574</v>
      </c>
      <c r="BU696" s="217" t="s">
        <v>1438</v>
      </c>
      <c r="BV696" s="217">
        <v>92</v>
      </c>
      <c r="BW696" s="217">
        <v>646</v>
      </c>
      <c r="BX696" s="217">
        <v>0</v>
      </c>
      <c r="BY696" s="217">
        <v>0</v>
      </c>
      <c r="BZ696" s="217">
        <v>16</v>
      </c>
      <c r="CA696" s="217">
        <v>109</v>
      </c>
      <c r="CB696" s="217">
        <v>92</v>
      </c>
      <c r="CC696" s="217">
        <v>646</v>
      </c>
      <c r="CD696" s="217">
        <v>0</v>
      </c>
      <c r="CE696" s="217">
        <v>0</v>
      </c>
      <c r="CF696" s="217">
        <v>16</v>
      </c>
      <c r="CG696" s="217">
        <v>109</v>
      </c>
      <c r="CH696" s="217">
        <v>0</v>
      </c>
      <c r="CI696" s="217">
        <v>0</v>
      </c>
      <c r="CJ696" s="217">
        <v>0</v>
      </c>
    </row>
    <row r="697" spans="1:88" x14ac:dyDescent="0.25">
      <c r="A697" s="217" t="s">
        <v>22</v>
      </c>
      <c r="B697" s="217" t="s">
        <v>23</v>
      </c>
      <c r="C697" s="217" t="s">
        <v>85</v>
      </c>
      <c r="D697" s="217" t="s">
        <v>84</v>
      </c>
      <c r="E697" s="217" t="s">
        <v>98</v>
      </c>
      <c r="F697" s="217" t="s">
        <v>97</v>
      </c>
      <c r="G697" s="217" t="s">
        <v>171</v>
      </c>
      <c r="H697" s="217" t="s">
        <v>1297</v>
      </c>
      <c r="I697" s="217" t="s">
        <v>29</v>
      </c>
      <c r="J697" s="217" t="s">
        <v>1856</v>
      </c>
      <c r="K697" s="217">
        <v>5</v>
      </c>
      <c r="L697" s="217">
        <v>25</v>
      </c>
      <c r="M697" s="217" t="s">
        <v>31</v>
      </c>
      <c r="N697" s="217" t="s">
        <v>32</v>
      </c>
      <c r="O697" s="217" t="s">
        <v>100</v>
      </c>
      <c r="P697" s="217" t="s">
        <v>34</v>
      </c>
      <c r="Q697" s="217" t="s">
        <v>35</v>
      </c>
      <c r="R697" s="217" t="s">
        <v>23</v>
      </c>
      <c r="S697" s="217" t="s">
        <v>22</v>
      </c>
      <c r="T697" s="217" t="s">
        <v>84</v>
      </c>
      <c r="U697" s="217" t="s">
        <v>85</v>
      </c>
      <c r="V697" s="217" t="s">
        <v>97</v>
      </c>
      <c r="W697" s="217" t="s">
        <v>98</v>
      </c>
      <c r="BC697" s="217" t="s">
        <v>37</v>
      </c>
      <c r="BD697" s="217" t="s">
        <v>247</v>
      </c>
      <c r="BE697" s="217" t="s">
        <v>1450</v>
      </c>
      <c r="BF697" s="217" t="s">
        <v>585</v>
      </c>
      <c r="BG697" s="217" t="s">
        <v>1998</v>
      </c>
      <c r="BH697" s="217" t="s">
        <v>1658</v>
      </c>
      <c r="BI697" s="217" t="s">
        <v>1660</v>
      </c>
      <c r="BJ697" s="217" t="s">
        <v>1658</v>
      </c>
      <c r="BK697" s="217" t="s">
        <v>637</v>
      </c>
      <c r="BL697" s="217"/>
      <c r="BM697" s="217"/>
      <c r="BN697" s="217">
        <v>0</v>
      </c>
      <c r="BO697" s="217">
        <v>0</v>
      </c>
      <c r="BR697" s="217" t="s">
        <v>37</v>
      </c>
      <c r="BS697" s="217" t="s">
        <v>547</v>
      </c>
      <c r="BT697" s="217" t="s">
        <v>571</v>
      </c>
      <c r="BU697" s="217" t="s">
        <v>1435</v>
      </c>
      <c r="BV697" s="217">
        <v>173</v>
      </c>
      <c r="BW697" s="217">
        <v>1320</v>
      </c>
      <c r="BX697" s="217">
        <v>0</v>
      </c>
      <c r="BY697" s="217">
        <v>0</v>
      </c>
      <c r="BZ697" s="217">
        <v>53</v>
      </c>
      <c r="CA697" s="217">
        <v>284</v>
      </c>
      <c r="CB697" s="217">
        <v>173</v>
      </c>
      <c r="CC697" s="217">
        <v>1320</v>
      </c>
      <c r="CD697" s="217">
        <v>0</v>
      </c>
      <c r="CE697" s="217">
        <v>0</v>
      </c>
      <c r="CF697" s="217">
        <v>53</v>
      </c>
      <c r="CG697" s="217">
        <v>284</v>
      </c>
      <c r="CH697" s="217">
        <v>0</v>
      </c>
      <c r="CI697" s="217">
        <v>0</v>
      </c>
      <c r="CJ697" s="217">
        <v>0</v>
      </c>
    </row>
    <row r="698" spans="1:88" x14ac:dyDescent="0.25">
      <c r="A698" s="217" t="s">
        <v>22</v>
      </c>
      <c r="B698" s="217" t="s">
        <v>23</v>
      </c>
      <c r="C698" s="217" t="s">
        <v>85</v>
      </c>
      <c r="D698" s="217" t="s">
        <v>84</v>
      </c>
      <c r="E698" s="217" t="s">
        <v>98</v>
      </c>
      <c r="F698" s="217" t="s">
        <v>97</v>
      </c>
      <c r="G698" s="217" t="s">
        <v>171</v>
      </c>
      <c r="H698" s="217" t="s">
        <v>1297</v>
      </c>
      <c r="I698" s="217" t="s">
        <v>29</v>
      </c>
      <c r="J698" s="217" t="s">
        <v>1857</v>
      </c>
      <c r="K698" s="217">
        <v>4</v>
      </c>
      <c r="L698" s="217">
        <v>22</v>
      </c>
      <c r="M698" s="217" t="s">
        <v>31</v>
      </c>
      <c r="N698" s="217" t="s">
        <v>32</v>
      </c>
      <c r="O698" s="217" t="s">
        <v>100</v>
      </c>
      <c r="P698" s="217" t="s">
        <v>34</v>
      </c>
      <c r="Q698" s="217" t="s">
        <v>35</v>
      </c>
      <c r="R698" s="217" t="s">
        <v>23</v>
      </c>
      <c r="S698" s="217" t="s">
        <v>22</v>
      </c>
      <c r="T698" s="217" t="s">
        <v>84</v>
      </c>
      <c r="U698" s="217" t="s">
        <v>85</v>
      </c>
      <c r="V698" s="217" t="s">
        <v>97</v>
      </c>
      <c r="W698" s="217" t="s">
        <v>98</v>
      </c>
      <c r="BC698" s="217" t="s">
        <v>37</v>
      </c>
      <c r="BD698" s="217" t="s">
        <v>247</v>
      </c>
      <c r="BE698" s="217" t="s">
        <v>1451</v>
      </c>
      <c r="BF698" s="217" t="s">
        <v>586</v>
      </c>
      <c r="BG698" s="217" t="s">
        <v>1998</v>
      </c>
      <c r="BH698" s="217" t="s">
        <v>1658</v>
      </c>
      <c r="BI698" s="217" t="s">
        <v>1660</v>
      </c>
      <c r="BJ698" s="217" t="s">
        <v>1658</v>
      </c>
      <c r="BK698" s="217" t="s">
        <v>637</v>
      </c>
      <c r="BL698" s="217"/>
      <c r="BM698" s="217"/>
      <c r="BN698" s="217">
        <v>0</v>
      </c>
      <c r="BO698" s="217">
        <v>0</v>
      </c>
      <c r="BR698" s="217" t="s">
        <v>37</v>
      </c>
      <c r="BS698" s="217" t="s">
        <v>547</v>
      </c>
      <c r="BT698" s="217" t="s">
        <v>569</v>
      </c>
      <c r="BU698" s="217" t="s">
        <v>1433</v>
      </c>
      <c r="BV698" s="217">
        <v>21</v>
      </c>
      <c r="BW698" s="217">
        <v>129</v>
      </c>
      <c r="BX698" s="217">
        <v>0</v>
      </c>
      <c r="BY698" s="217">
        <v>0</v>
      </c>
      <c r="BZ698" s="217">
        <v>21</v>
      </c>
      <c r="CA698" s="217">
        <v>142</v>
      </c>
      <c r="CB698" s="217">
        <v>21</v>
      </c>
      <c r="CC698" s="217">
        <v>129</v>
      </c>
      <c r="CD698" s="217">
        <v>0</v>
      </c>
      <c r="CE698" s="217">
        <v>0</v>
      </c>
      <c r="CF698" s="217">
        <v>21</v>
      </c>
      <c r="CG698" s="217">
        <v>142</v>
      </c>
      <c r="CH698" s="217">
        <v>0</v>
      </c>
      <c r="CI698" s="217">
        <v>0</v>
      </c>
      <c r="CJ698" s="217">
        <v>0</v>
      </c>
    </row>
    <row r="699" spans="1:88" x14ac:dyDescent="0.25">
      <c r="A699" s="217" t="s">
        <v>22</v>
      </c>
      <c r="B699" s="217" t="s">
        <v>23</v>
      </c>
      <c r="C699" s="217" t="s">
        <v>85</v>
      </c>
      <c r="D699" s="217" t="s">
        <v>84</v>
      </c>
      <c r="E699" s="217" t="s">
        <v>98</v>
      </c>
      <c r="F699" s="217" t="s">
        <v>97</v>
      </c>
      <c r="G699" s="217" t="s">
        <v>460</v>
      </c>
      <c r="H699" s="217" t="s">
        <v>1298</v>
      </c>
      <c r="I699" s="217" t="s">
        <v>29</v>
      </c>
      <c r="J699" s="217" t="s">
        <v>1856</v>
      </c>
      <c r="K699" s="217">
        <v>7</v>
      </c>
      <c r="L699" s="217">
        <v>60</v>
      </c>
      <c r="M699" s="217" t="s">
        <v>31</v>
      </c>
      <c r="N699" s="217" t="s">
        <v>32</v>
      </c>
      <c r="O699" s="217" t="s">
        <v>68</v>
      </c>
      <c r="P699" s="217" t="s">
        <v>34</v>
      </c>
      <c r="Q699" s="217" t="s">
        <v>35</v>
      </c>
      <c r="R699" s="217" t="s">
        <v>23</v>
      </c>
      <c r="S699" s="217" t="s">
        <v>22</v>
      </c>
      <c r="T699" s="217" t="s">
        <v>84</v>
      </c>
      <c r="U699" s="217" t="s">
        <v>85</v>
      </c>
      <c r="V699" s="217" t="s">
        <v>91</v>
      </c>
      <c r="W699" s="217" t="s">
        <v>92</v>
      </c>
      <c r="BC699" s="217" t="s">
        <v>37</v>
      </c>
      <c r="BD699" s="217" t="s">
        <v>247</v>
      </c>
      <c r="BE699" s="217" t="s">
        <v>1452</v>
      </c>
      <c r="BF699" s="217" t="s">
        <v>248</v>
      </c>
      <c r="BG699" s="217" t="s">
        <v>1998</v>
      </c>
      <c r="BH699" s="217" t="s">
        <v>1658</v>
      </c>
      <c r="BI699" s="217" t="s">
        <v>1660</v>
      </c>
      <c r="BJ699" s="217" t="s">
        <v>1658</v>
      </c>
      <c r="BK699" s="217" t="s">
        <v>637</v>
      </c>
      <c r="BL699" s="217"/>
      <c r="BM699" s="217"/>
      <c r="BN699" s="217">
        <v>0</v>
      </c>
      <c r="BO699" s="217">
        <v>0</v>
      </c>
      <c r="BR699" s="217" t="s">
        <v>37</v>
      </c>
      <c r="BS699" s="217" t="s">
        <v>547</v>
      </c>
      <c r="BT699" s="217" t="s">
        <v>565</v>
      </c>
      <c r="BU699" s="217" t="s">
        <v>1427</v>
      </c>
      <c r="BV699" s="217">
        <v>61</v>
      </c>
      <c r="BW699" s="217">
        <v>471</v>
      </c>
      <c r="BX699" s="217">
        <v>3</v>
      </c>
      <c r="BY699" s="217">
        <v>11</v>
      </c>
      <c r="BZ699" s="217">
        <v>23</v>
      </c>
      <c r="CA699" s="217">
        <v>115</v>
      </c>
      <c r="CB699" s="217">
        <v>61</v>
      </c>
      <c r="CC699" s="217">
        <v>471</v>
      </c>
      <c r="CD699" s="217">
        <v>3</v>
      </c>
      <c r="CE699" s="217">
        <v>11</v>
      </c>
      <c r="CF699" s="217">
        <v>23</v>
      </c>
      <c r="CG699" s="217">
        <v>115</v>
      </c>
      <c r="CH699" s="217">
        <v>0</v>
      </c>
      <c r="CI699" s="217">
        <v>0</v>
      </c>
      <c r="CJ699" s="217">
        <v>0</v>
      </c>
    </row>
    <row r="700" spans="1:88" x14ac:dyDescent="0.25">
      <c r="A700" s="217" t="s">
        <v>22</v>
      </c>
      <c r="B700" s="217" t="s">
        <v>23</v>
      </c>
      <c r="C700" s="217" t="s">
        <v>85</v>
      </c>
      <c r="D700" s="217" t="s">
        <v>84</v>
      </c>
      <c r="E700" s="217" t="s">
        <v>98</v>
      </c>
      <c r="F700" s="217" t="s">
        <v>97</v>
      </c>
      <c r="G700" s="217" t="s">
        <v>461</v>
      </c>
      <c r="H700" s="217" t="s">
        <v>1299</v>
      </c>
      <c r="I700" s="217" t="s">
        <v>29</v>
      </c>
      <c r="J700" s="217" t="s">
        <v>1856</v>
      </c>
      <c r="K700" s="217">
        <v>15</v>
      </c>
      <c r="L700" s="217">
        <v>91</v>
      </c>
      <c r="M700" s="217" t="s">
        <v>31</v>
      </c>
      <c r="N700" s="217" t="s">
        <v>32</v>
      </c>
      <c r="O700" s="217" t="s">
        <v>100</v>
      </c>
      <c r="P700" s="217" t="s">
        <v>34</v>
      </c>
      <c r="Q700" s="217" t="s">
        <v>35</v>
      </c>
      <c r="R700" s="217" t="s">
        <v>23</v>
      </c>
      <c r="S700" s="217" t="s">
        <v>22</v>
      </c>
      <c r="T700" s="217" t="s">
        <v>84</v>
      </c>
      <c r="U700" s="217" t="s">
        <v>85</v>
      </c>
      <c r="V700" s="217" t="s">
        <v>97</v>
      </c>
      <c r="W700" s="217" t="s">
        <v>98</v>
      </c>
      <c r="BC700" s="217" t="s">
        <v>37</v>
      </c>
      <c r="BD700" s="217" t="s">
        <v>247</v>
      </c>
      <c r="BE700" s="217" t="s">
        <v>1453</v>
      </c>
      <c r="BF700" s="217" t="s">
        <v>587</v>
      </c>
      <c r="BG700" s="217" t="s">
        <v>1998</v>
      </c>
      <c r="BH700" s="217" t="s">
        <v>1658</v>
      </c>
      <c r="BI700" s="217" t="s">
        <v>1660</v>
      </c>
      <c r="BJ700" s="217" t="s">
        <v>1658</v>
      </c>
      <c r="BK700" s="217" t="s">
        <v>637</v>
      </c>
      <c r="BL700" s="217"/>
      <c r="BM700" s="217"/>
      <c r="BN700" s="217">
        <v>0</v>
      </c>
      <c r="BO700" s="217">
        <v>0</v>
      </c>
      <c r="BR700" s="217" t="s">
        <v>37</v>
      </c>
      <c r="BS700" s="217" t="s">
        <v>547</v>
      </c>
      <c r="BT700" s="217" t="s">
        <v>2041</v>
      </c>
      <c r="BU700" s="217" t="s">
        <v>2040</v>
      </c>
      <c r="BV700" s="217">
        <v>12</v>
      </c>
      <c r="BW700" s="217">
        <v>63</v>
      </c>
      <c r="BX700" s="217">
        <v>0</v>
      </c>
      <c r="BY700" s="217">
        <v>0</v>
      </c>
      <c r="BZ700" s="217">
        <v>2</v>
      </c>
      <c r="CA700" s="217">
        <v>11</v>
      </c>
      <c r="CB700" s="217">
        <v>12</v>
      </c>
      <c r="CC700" s="217">
        <v>63</v>
      </c>
      <c r="CD700" s="217">
        <v>0</v>
      </c>
      <c r="CE700" s="217">
        <v>0</v>
      </c>
      <c r="CF700" s="217">
        <v>2</v>
      </c>
      <c r="CG700" s="217">
        <v>11</v>
      </c>
      <c r="CH700" s="217">
        <v>0</v>
      </c>
      <c r="CI700" s="217">
        <v>0</v>
      </c>
      <c r="CJ700" s="217">
        <v>0</v>
      </c>
    </row>
    <row r="701" spans="1:88" x14ac:dyDescent="0.25">
      <c r="A701" s="217" t="s">
        <v>22</v>
      </c>
      <c r="B701" s="217" t="s">
        <v>23</v>
      </c>
      <c r="C701" s="217" t="s">
        <v>85</v>
      </c>
      <c r="D701" s="217" t="s">
        <v>84</v>
      </c>
      <c r="E701" s="217" t="s">
        <v>98</v>
      </c>
      <c r="F701" s="217" t="s">
        <v>97</v>
      </c>
      <c r="G701" s="217" t="s">
        <v>462</v>
      </c>
      <c r="H701" s="217" t="s">
        <v>1300</v>
      </c>
      <c r="I701" s="217" t="s">
        <v>29</v>
      </c>
      <c r="J701" s="217" t="s">
        <v>1856</v>
      </c>
      <c r="K701" s="217">
        <v>7</v>
      </c>
      <c r="L701" s="217">
        <v>30</v>
      </c>
      <c r="M701" s="217" t="s">
        <v>31</v>
      </c>
      <c r="N701" s="217" t="s">
        <v>32</v>
      </c>
      <c r="O701" s="217" t="s">
        <v>68</v>
      </c>
      <c r="P701" s="217" t="s">
        <v>34</v>
      </c>
      <c r="Q701" s="217" t="s">
        <v>35</v>
      </c>
      <c r="R701" s="217" t="s">
        <v>23</v>
      </c>
      <c r="S701" s="217" t="s">
        <v>22</v>
      </c>
      <c r="T701" s="217" t="s">
        <v>84</v>
      </c>
      <c r="U701" s="217" t="s">
        <v>85</v>
      </c>
      <c r="V701" s="217" t="s">
        <v>91</v>
      </c>
      <c r="W701" s="217" t="s">
        <v>92</v>
      </c>
      <c r="BC701" s="217" t="s">
        <v>37</v>
      </c>
      <c r="BD701" s="217" t="s">
        <v>247</v>
      </c>
      <c r="BE701" s="217" t="s">
        <v>1454</v>
      </c>
      <c r="BF701" s="217" t="s">
        <v>251</v>
      </c>
      <c r="BG701" s="217" t="s">
        <v>1998</v>
      </c>
      <c r="BH701" s="217" t="s">
        <v>1658</v>
      </c>
      <c r="BI701" s="217" t="s">
        <v>1660</v>
      </c>
      <c r="BJ701" s="217" t="s">
        <v>1658</v>
      </c>
      <c r="BK701" s="217" t="s">
        <v>637</v>
      </c>
      <c r="BL701" s="217"/>
      <c r="BM701" s="217"/>
      <c r="BN701" s="217">
        <v>0</v>
      </c>
      <c r="BO701" s="217">
        <v>0</v>
      </c>
      <c r="BR701" s="217" t="s">
        <v>37</v>
      </c>
      <c r="BS701" s="217" t="s">
        <v>547</v>
      </c>
      <c r="BT701" s="217" t="s">
        <v>2036</v>
      </c>
      <c r="BU701" s="217" t="s">
        <v>2035</v>
      </c>
      <c r="BV701" s="217">
        <v>0</v>
      </c>
      <c r="BW701" s="217">
        <v>0</v>
      </c>
      <c r="BX701" s="217">
        <v>0</v>
      </c>
      <c r="BY701" s="217">
        <v>0</v>
      </c>
      <c r="BZ701" s="217">
        <v>18</v>
      </c>
      <c r="CA701" s="217">
        <v>84</v>
      </c>
      <c r="CB701" s="217">
        <v>0</v>
      </c>
      <c r="CC701" s="217">
        <v>0</v>
      </c>
      <c r="CD701" s="217">
        <v>0</v>
      </c>
      <c r="CE701" s="217">
        <v>0</v>
      </c>
      <c r="CF701" s="217">
        <v>18</v>
      </c>
      <c r="CG701" s="217">
        <v>84</v>
      </c>
      <c r="CH701" s="217">
        <v>0</v>
      </c>
      <c r="CI701" s="217">
        <v>0</v>
      </c>
      <c r="CJ701" s="217">
        <v>0</v>
      </c>
    </row>
    <row r="702" spans="1:88" x14ac:dyDescent="0.25">
      <c r="A702" s="217" t="s">
        <v>22</v>
      </c>
      <c r="B702" s="217" t="s">
        <v>23</v>
      </c>
      <c r="C702" s="217" t="s">
        <v>85</v>
      </c>
      <c r="D702" s="217" t="s">
        <v>84</v>
      </c>
      <c r="E702" s="217" t="s">
        <v>98</v>
      </c>
      <c r="F702" s="217" t="s">
        <v>97</v>
      </c>
      <c r="G702" s="217" t="s">
        <v>462</v>
      </c>
      <c r="H702" s="217" t="s">
        <v>1300</v>
      </c>
      <c r="I702" s="217" t="s">
        <v>29</v>
      </c>
      <c r="J702" s="217" t="s">
        <v>1857</v>
      </c>
      <c r="K702" s="217">
        <v>3</v>
      </c>
      <c r="L702" s="217">
        <v>6</v>
      </c>
      <c r="M702" s="217" t="s">
        <v>31</v>
      </c>
      <c r="N702" s="217" t="s">
        <v>32</v>
      </c>
      <c r="O702" s="217" t="s">
        <v>68</v>
      </c>
      <c r="P702" s="217" t="s">
        <v>34</v>
      </c>
      <c r="Q702" s="217" t="s">
        <v>35</v>
      </c>
      <c r="R702" s="217" t="s">
        <v>23</v>
      </c>
      <c r="S702" s="217" t="s">
        <v>22</v>
      </c>
      <c r="T702" s="217" t="s">
        <v>84</v>
      </c>
      <c r="U702" s="217" t="s">
        <v>85</v>
      </c>
      <c r="V702" s="217" t="s">
        <v>94</v>
      </c>
      <c r="W702" s="217" t="s">
        <v>95</v>
      </c>
      <c r="BC702" s="217" t="s">
        <v>37</v>
      </c>
      <c r="BD702" s="217" t="s">
        <v>247</v>
      </c>
      <c r="BE702" s="217" t="s">
        <v>1455</v>
      </c>
      <c r="BF702" s="217" t="s">
        <v>588</v>
      </c>
      <c r="BG702" s="217" t="s">
        <v>1998</v>
      </c>
      <c r="BH702" s="217" t="s">
        <v>1658</v>
      </c>
      <c r="BI702" s="217" t="s">
        <v>1660</v>
      </c>
      <c r="BJ702" s="217" t="s">
        <v>1658</v>
      </c>
      <c r="BK702" s="217" t="s">
        <v>637</v>
      </c>
      <c r="BL702" s="217"/>
      <c r="BM702" s="217"/>
      <c r="BN702" s="217">
        <v>0</v>
      </c>
      <c r="BO702" s="217">
        <v>0</v>
      </c>
      <c r="BR702" s="217" t="s">
        <v>37</v>
      </c>
      <c r="BS702" s="217" t="s">
        <v>547</v>
      </c>
      <c r="BT702" s="217" t="s">
        <v>563</v>
      </c>
      <c r="BU702" s="217" t="s">
        <v>1425</v>
      </c>
      <c r="BV702" s="217">
        <v>202</v>
      </c>
      <c r="BW702" s="217">
        <v>1592</v>
      </c>
      <c r="BX702" s="217">
        <v>0</v>
      </c>
      <c r="BY702" s="217">
        <v>0</v>
      </c>
      <c r="BZ702" s="217">
        <v>12</v>
      </c>
      <c r="CA702" s="217">
        <v>80</v>
      </c>
      <c r="CB702" s="217">
        <v>202</v>
      </c>
      <c r="CC702" s="217">
        <v>1592</v>
      </c>
      <c r="CD702" s="217">
        <v>0</v>
      </c>
      <c r="CE702" s="217">
        <v>0</v>
      </c>
      <c r="CF702" s="217">
        <v>12</v>
      </c>
      <c r="CG702" s="217">
        <v>80</v>
      </c>
      <c r="CH702" s="217">
        <v>0</v>
      </c>
      <c r="CI702" s="217">
        <v>0</v>
      </c>
      <c r="CJ702" s="217">
        <v>0</v>
      </c>
    </row>
    <row r="703" spans="1:88" x14ac:dyDescent="0.25">
      <c r="A703" s="217" t="s">
        <v>22</v>
      </c>
      <c r="B703" s="217" t="s">
        <v>23</v>
      </c>
      <c r="C703" s="217" t="s">
        <v>85</v>
      </c>
      <c r="D703" s="217" t="s">
        <v>84</v>
      </c>
      <c r="E703" s="217" t="s">
        <v>98</v>
      </c>
      <c r="F703" s="217" t="s">
        <v>97</v>
      </c>
      <c r="G703" s="217" t="s">
        <v>462</v>
      </c>
      <c r="H703" s="217" t="s">
        <v>1300</v>
      </c>
      <c r="I703" s="217" t="s">
        <v>29</v>
      </c>
      <c r="J703" s="217" t="s">
        <v>1858</v>
      </c>
      <c r="K703" s="217">
        <v>2</v>
      </c>
      <c r="L703" s="217">
        <v>12</v>
      </c>
      <c r="M703" s="217" t="s">
        <v>31</v>
      </c>
      <c r="N703" s="217" t="s">
        <v>32</v>
      </c>
      <c r="O703" s="217" t="s">
        <v>68</v>
      </c>
      <c r="P703" s="217" t="s">
        <v>34</v>
      </c>
      <c r="Q703" s="217" t="s">
        <v>35</v>
      </c>
      <c r="R703" s="217" t="s">
        <v>23</v>
      </c>
      <c r="S703" s="217" t="s">
        <v>22</v>
      </c>
      <c r="T703" s="217" t="s">
        <v>84</v>
      </c>
      <c r="U703" s="217" t="s">
        <v>85</v>
      </c>
      <c r="V703" s="217" t="s">
        <v>109</v>
      </c>
      <c r="W703" s="217" t="s">
        <v>110</v>
      </c>
      <c r="BC703" s="217" t="s">
        <v>37</v>
      </c>
      <c r="BD703" s="217" t="s">
        <v>247</v>
      </c>
      <c r="BE703" s="217" t="s">
        <v>1456</v>
      </c>
      <c r="BF703" s="217" t="s">
        <v>589</v>
      </c>
      <c r="BG703" s="217" t="s">
        <v>1998</v>
      </c>
      <c r="BH703" s="217" t="s">
        <v>1658</v>
      </c>
      <c r="BI703" s="217" t="s">
        <v>1660</v>
      </c>
      <c r="BJ703" s="217" t="s">
        <v>1658</v>
      </c>
      <c r="BK703" s="217" t="s">
        <v>637</v>
      </c>
      <c r="BL703" s="217"/>
      <c r="BM703" s="217"/>
      <c r="BN703" s="217">
        <v>0</v>
      </c>
      <c r="BO703" s="217">
        <v>0</v>
      </c>
      <c r="BR703" s="217" t="s">
        <v>37</v>
      </c>
      <c r="BS703" s="217" t="s">
        <v>547</v>
      </c>
      <c r="BT703" s="217" t="s">
        <v>556</v>
      </c>
      <c r="BU703" s="217" t="s">
        <v>1418</v>
      </c>
      <c r="BV703" s="217">
        <v>34</v>
      </c>
      <c r="BW703" s="217">
        <v>205</v>
      </c>
      <c r="BX703" s="217">
        <v>0</v>
      </c>
      <c r="BY703" s="217">
        <v>0</v>
      </c>
      <c r="BZ703" s="217">
        <v>16</v>
      </c>
      <c r="CA703" s="217">
        <v>58</v>
      </c>
      <c r="CB703" s="217">
        <v>34</v>
      </c>
      <c r="CC703" s="217">
        <v>205</v>
      </c>
      <c r="CD703" s="217">
        <v>0</v>
      </c>
      <c r="CE703" s="217">
        <v>0</v>
      </c>
      <c r="CF703" s="217">
        <v>16</v>
      </c>
      <c r="CG703" s="217">
        <v>58</v>
      </c>
      <c r="CH703" s="217">
        <v>0</v>
      </c>
      <c r="CI703" s="217">
        <v>0</v>
      </c>
      <c r="CJ703" s="217">
        <v>0</v>
      </c>
    </row>
    <row r="704" spans="1:88" x14ac:dyDescent="0.25">
      <c r="A704" s="217" t="s">
        <v>22</v>
      </c>
      <c r="B704" s="217" t="s">
        <v>23</v>
      </c>
      <c r="C704" s="217" t="s">
        <v>85</v>
      </c>
      <c r="D704" s="217" t="s">
        <v>84</v>
      </c>
      <c r="E704" s="217" t="s">
        <v>175</v>
      </c>
      <c r="F704" s="217" t="s">
        <v>174</v>
      </c>
      <c r="G704" s="217" t="s">
        <v>295</v>
      </c>
      <c r="H704" s="217" t="s">
        <v>1301</v>
      </c>
      <c r="I704" s="217" t="s">
        <v>29</v>
      </c>
      <c r="J704" s="217" t="s">
        <v>1855</v>
      </c>
      <c r="K704" s="217">
        <v>5</v>
      </c>
      <c r="L704" s="217">
        <v>20</v>
      </c>
      <c r="M704" s="217" t="s">
        <v>31</v>
      </c>
      <c r="N704" s="217" t="s">
        <v>32</v>
      </c>
      <c r="O704" s="217" t="s">
        <v>100</v>
      </c>
      <c r="P704" s="217" t="s">
        <v>34</v>
      </c>
      <c r="Q704" s="217" t="s">
        <v>35</v>
      </c>
      <c r="R704" s="217" t="s">
        <v>23</v>
      </c>
      <c r="S704" s="217" t="s">
        <v>22</v>
      </c>
      <c r="T704" s="217" t="s">
        <v>84</v>
      </c>
      <c r="U704" s="217" t="s">
        <v>85</v>
      </c>
      <c r="V704" s="217" t="s">
        <v>174</v>
      </c>
      <c r="W704" s="217" t="s">
        <v>175</v>
      </c>
      <c r="BC704" s="217" t="s">
        <v>37</v>
      </c>
      <c r="BD704" s="217" t="s">
        <v>247</v>
      </c>
      <c r="BE704" s="217" t="s">
        <v>1457</v>
      </c>
      <c r="BF704" s="217" t="s">
        <v>1968</v>
      </c>
      <c r="BG704" s="217" t="s">
        <v>2006</v>
      </c>
      <c r="BH704" s="217" t="s">
        <v>1658</v>
      </c>
      <c r="BI704" s="217" t="s">
        <v>1660</v>
      </c>
      <c r="BJ704" s="217" t="s">
        <v>1658</v>
      </c>
      <c r="BK704" s="217" t="s">
        <v>637</v>
      </c>
      <c r="BL704" s="217"/>
      <c r="BM704" s="217"/>
      <c r="BN704" s="217">
        <v>0</v>
      </c>
      <c r="BO704" s="217">
        <v>0</v>
      </c>
      <c r="BR704" s="217" t="s">
        <v>37</v>
      </c>
      <c r="BS704" s="217" t="s">
        <v>547</v>
      </c>
      <c r="BT704" s="217" t="s">
        <v>553</v>
      </c>
      <c r="BU704" s="217" t="s">
        <v>1415</v>
      </c>
      <c r="BV704" s="217">
        <v>33</v>
      </c>
      <c r="BW704" s="217">
        <v>189</v>
      </c>
      <c r="BX704" s="217">
        <v>0</v>
      </c>
      <c r="BY704" s="217">
        <v>0</v>
      </c>
      <c r="BZ704" s="217">
        <v>18</v>
      </c>
      <c r="CA704" s="217">
        <v>121</v>
      </c>
      <c r="CB704" s="217">
        <v>32</v>
      </c>
      <c r="CC704" s="217">
        <v>185</v>
      </c>
      <c r="CD704" s="217">
        <v>0</v>
      </c>
      <c r="CE704" s="217">
        <v>0</v>
      </c>
      <c r="CF704" s="217">
        <v>18</v>
      </c>
      <c r="CG704" s="217">
        <v>121</v>
      </c>
      <c r="CH704" s="217">
        <v>4</v>
      </c>
      <c r="CI704" s="217">
        <v>0</v>
      </c>
      <c r="CJ704" s="217">
        <v>0</v>
      </c>
    </row>
    <row r="705" spans="1:88" x14ac:dyDescent="0.25">
      <c r="A705" s="217" t="s">
        <v>22</v>
      </c>
      <c r="B705" s="217" t="s">
        <v>23</v>
      </c>
      <c r="C705" s="217" t="s">
        <v>85</v>
      </c>
      <c r="D705" s="217" t="s">
        <v>84</v>
      </c>
      <c r="E705" s="217" t="s">
        <v>175</v>
      </c>
      <c r="F705" s="217" t="s">
        <v>174</v>
      </c>
      <c r="G705" s="217" t="s">
        <v>463</v>
      </c>
      <c r="H705" s="217" t="s">
        <v>1302</v>
      </c>
      <c r="I705" s="217" t="s">
        <v>29</v>
      </c>
      <c r="J705" s="217" t="s">
        <v>1859</v>
      </c>
      <c r="K705" s="217">
        <v>37</v>
      </c>
      <c r="L705" s="217">
        <v>310</v>
      </c>
      <c r="M705" s="217" t="s">
        <v>31</v>
      </c>
      <c r="N705" s="217" t="s">
        <v>32</v>
      </c>
      <c r="O705" s="217" t="s">
        <v>100</v>
      </c>
      <c r="P705" s="217" t="s">
        <v>34</v>
      </c>
      <c r="Q705" s="217" t="s">
        <v>35</v>
      </c>
      <c r="R705" s="217" t="s">
        <v>23</v>
      </c>
      <c r="S705" s="217" t="s">
        <v>22</v>
      </c>
      <c r="T705" s="217" t="s">
        <v>84</v>
      </c>
      <c r="U705" s="217" t="s">
        <v>85</v>
      </c>
      <c r="V705" s="217" t="s">
        <v>174</v>
      </c>
      <c r="W705" s="217" t="s">
        <v>175</v>
      </c>
      <c r="BC705" s="217" t="s">
        <v>37</v>
      </c>
      <c r="BD705" s="217" t="s">
        <v>247</v>
      </c>
      <c r="BE705" s="217" t="s">
        <v>1458</v>
      </c>
      <c r="BF705" s="217" t="s">
        <v>590</v>
      </c>
      <c r="BG705" s="217" t="s">
        <v>1998</v>
      </c>
      <c r="BH705" s="217" t="s">
        <v>1658</v>
      </c>
      <c r="BI705" s="217" t="s">
        <v>1660</v>
      </c>
      <c r="BJ705" s="217" t="s">
        <v>1658</v>
      </c>
      <c r="BK705" s="217" t="s">
        <v>637</v>
      </c>
      <c r="BL705" s="217"/>
      <c r="BM705" s="217"/>
      <c r="BN705" s="217">
        <v>0</v>
      </c>
      <c r="BO705" s="217">
        <v>0</v>
      </c>
      <c r="BR705" s="217" t="s">
        <v>37</v>
      </c>
      <c r="BS705" s="217" t="s">
        <v>547</v>
      </c>
      <c r="BT705" s="217" t="s">
        <v>564</v>
      </c>
      <c r="BU705" s="217" t="s">
        <v>1426</v>
      </c>
      <c r="BV705" s="217">
        <v>29</v>
      </c>
      <c r="BW705" s="217">
        <v>192</v>
      </c>
      <c r="BX705" s="217">
        <v>0</v>
      </c>
      <c r="BY705" s="217">
        <v>0</v>
      </c>
      <c r="BZ705" s="217">
        <v>0</v>
      </c>
      <c r="CA705" s="217">
        <v>0</v>
      </c>
      <c r="CB705" s="217">
        <v>29</v>
      </c>
      <c r="CC705" s="217">
        <v>192</v>
      </c>
      <c r="CD705" s="217">
        <v>0</v>
      </c>
      <c r="CE705" s="217">
        <v>0</v>
      </c>
      <c r="CF705" s="217">
        <v>0</v>
      </c>
      <c r="CG705" s="217">
        <v>0</v>
      </c>
      <c r="CH705" s="217">
        <v>0</v>
      </c>
      <c r="CI705" s="217">
        <v>0</v>
      </c>
      <c r="CJ705" s="217">
        <v>0</v>
      </c>
    </row>
    <row r="706" spans="1:88" x14ac:dyDescent="0.25">
      <c r="A706" s="217" t="s">
        <v>22</v>
      </c>
      <c r="B706" s="217" t="s">
        <v>23</v>
      </c>
      <c r="C706" s="217" t="s">
        <v>85</v>
      </c>
      <c r="D706" s="217" t="s">
        <v>84</v>
      </c>
      <c r="E706" s="217" t="s">
        <v>175</v>
      </c>
      <c r="F706" s="217" t="s">
        <v>174</v>
      </c>
      <c r="G706" s="217" t="s">
        <v>464</v>
      </c>
      <c r="H706" s="217" t="s">
        <v>1303</v>
      </c>
      <c r="I706" s="217" t="s">
        <v>29</v>
      </c>
      <c r="J706" s="217" t="s">
        <v>1857</v>
      </c>
      <c r="K706" s="217">
        <v>6</v>
      </c>
      <c r="L706" s="217">
        <v>20</v>
      </c>
      <c r="M706" s="217" t="s">
        <v>31</v>
      </c>
      <c r="N706" s="217" t="s">
        <v>32</v>
      </c>
      <c r="O706" s="217" t="s">
        <v>100</v>
      </c>
      <c r="P706" s="217" t="s">
        <v>34</v>
      </c>
      <c r="Q706" s="217" t="s">
        <v>35</v>
      </c>
      <c r="R706" s="217" t="s">
        <v>23</v>
      </c>
      <c r="S706" s="217" t="s">
        <v>22</v>
      </c>
      <c r="T706" s="217" t="s">
        <v>84</v>
      </c>
      <c r="U706" s="217" t="s">
        <v>85</v>
      </c>
      <c r="V706" s="217" t="s">
        <v>174</v>
      </c>
      <c r="W706" s="217" t="s">
        <v>175</v>
      </c>
      <c r="BC706" s="217" t="s">
        <v>37</v>
      </c>
      <c r="BD706" s="217" t="s">
        <v>247</v>
      </c>
      <c r="BE706" s="217" t="s">
        <v>1459</v>
      </c>
      <c r="BF706" s="217" t="s">
        <v>591</v>
      </c>
      <c r="BG706" s="217" t="s">
        <v>1998</v>
      </c>
      <c r="BH706" s="217" t="s">
        <v>1658</v>
      </c>
      <c r="BI706" s="217" t="s">
        <v>1660</v>
      </c>
      <c r="BJ706" s="217" t="s">
        <v>1658</v>
      </c>
      <c r="BK706" s="217" t="s">
        <v>637</v>
      </c>
      <c r="BL706" s="217"/>
      <c r="BM706" s="217"/>
      <c r="BN706" s="217">
        <v>0</v>
      </c>
      <c r="BO706" s="217">
        <v>0</v>
      </c>
      <c r="BR706" s="217" t="s">
        <v>37</v>
      </c>
      <c r="BS706" s="217" t="s">
        <v>547</v>
      </c>
      <c r="BT706" s="217" t="s">
        <v>554</v>
      </c>
      <c r="BU706" s="217" t="s">
        <v>1416</v>
      </c>
      <c r="BV706" s="217">
        <v>98</v>
      </c>
      <c r="BW706" s="217">
        <v>646</v>
      </c>
      <c r="BX706" s="217">
        <v>0</v>
      </c>
      <c r="BY706" s="217">
        <v>0</v>
      </c>
      <c r="BZ706" s="217">
        <v>0</v>
      </c>
      <c r="CA706" s="217">
        <v>0</v>
      </c>
      <c r="CB706" s="217">
        <v>98</v>
      </c>
      <c r="CC706" s="217">
        <v>646</v>
      </c>
      <c r="CD706" s="217">
        <v>0</v>
      </c>
      <c r="CE706" s="217">
        <v>0</v>
      </c>
      <c r="CF706" s="217">
        <v>0</v>
      </c>
      <c r="CG706" s="217">
        <v>0</v>
      </c>
      <c r="CH706" s="217">
        <v>0</v>
      </c>
      <c r="CI706" s="217">
        <v>0</v>
      </c>
      <c r="CJ706" s="217">
        <v>0</v>
      </c>
    </row>
    <row r="707" spans="1:88" x14ac:dyDescent="0.25">
      <c r="A707" s="217" t="s">
        <v>22</v>
      </c>
      <c r="B707" s="217" t="s">
        <v>23</v>
      </c>
      <c r="C707" s="217" t="s">
        <v>85</v>
      </c>
      <c r="D707" s="217" t="s">
        <v>84</v>
      </c>
      <c r="E707" s="217" t="s">
        <v>175</v>
      </c>
      <c r="F707" s="217" t="s">
        <v>174</v>
      </c>
      <c r="G707" s="217" t="s">
        <v>465</v>
      </c>
      <c r="H707" s="217" t="s">
        <v>1304</v>
      </c>
      <c r="I707" s="217" t="s">
        <v>29</v>
      </c>
      <c r="J707" s="217" t="s">
        <v>1856</v>
      </c>
      <c r="K707" s="217">
        <v>4</v>
      </c>
      <c r="L707" s="217">
        <v>13</v>
      </c>
      <c r="M707" s="217" t="s">
        <v>31</v>
      </c>
      <c r="N707" s="217" t="s">
        <v>32</v>
      </c>
      <c r="O707" s="217" t="s">
        <v>100</v>
      </c>
      <c r="P707" s="217" t="s">
        <v>34</v>
      </c>
      <c r="Q707" s="217" t="s">
        <v>35</v>
      </c>
      <c r="R707" s="217" t="s">
        <v>23</v>
      </c>
      <c r="S707" s="217" t="s">
        <v>22</v>
      </c>
      <c r="T707" s="217" t="s">
        <v>84</v>
      </c>
      <c r="U707" s="217" t="s">
        <v>85</v>
      </c>
      <c r="V707" s="217" t="s">
        <v>174</v>
      </c>
      <c r="W707" s="217" t="s">
        <v>175</v>
      </c>
      <c r="BC707" s="217" t="s">
        <v>37</v>
      </c>
      <c r="BD707" s="217" t="s">
        <v>247</v>
      </c>
      <c r="BE707" s="217" t="s">
        <v>1460</v>
      </c>
      <c r="BF707" s="217" t="s">
        <v>592</v>
      </c>
      <c r="BG707" s="217" t="s">
        <v>1998</v>
      </c>
      <c r="BH707" s="217" t="s">
        <v>1658</v>
      </c>
      <c r="BI707" s="217" t="s">
        <v>1660</v>
      </c>
      <c r="BJ707" s="217" t="s">
        <v>1660</v>
      </c>
      <c r="BK707" s="217" t="s">
        <v>637</v>
      </c>
      <c r="BL707" s="217"/>
      <c r="BM707" s="217"/>
      <c r="BN707" s="217">
        <v>0</v>
      </c>
      <c r="BO707" s="217">
        <v>0</v>
      </c>
      <c r="BR707" s="217" t="s">
        <v>37</v>
      </c>
      <c r="BS707" s="217" t="s">
        <v>250</v>
      </c>
      <c r="BT707" s="217" t="s">
        <v>254</v>
      </c>
      <c r="BU707" s="217" t="s">
        <v>1468</v>
      </c>
      <c r="BV707" s="217">
        <v>80</v>
      </c>
      <c r="BW707" s="217">
        <v>400</v>
      </c>
      <c r="BX707" s="217">
        <v>13</v>
      </c>
      <c r="BY707" s="217">
        <v>65</v>
      </c>
      <c r="BZ707" s="217">
        <v>0</v>
      </c>
      <c r="CA707" s="217">
        <v>0</v>
      </c>
      <c r="CB707" s="217">
        <v>80</v>
      </c>
      <c r="CC707" s="217">
        <v>400</v>
      </c>
      <c r="CD707" s="217">
        <v>13</v>
      </c>
      <c r="CE707" s="217">
        <v>65</v>
      </c>
      <c r="CF707" s="217">
        <v>0</v>
      </c>
      <c r="CG707" s="217">
        <v>0</v>
      </c>
      <c r="CH707" s="217">
        <v>0</v>
      </c>
      <c r="CI707" s="217">
        <v>0</v>
      </c>
      <c r="CJ707" s="217">
        <v>0</v>
      </c>
    </row>
    <row r="708" spans="1:88" x14ac:dyDescent="0.25">
      <c r="A708" s="217" t="s">
        <v>22</v>
      </c>
      <c r="B708" s="217" t="s">
        <v>23</v>
      </c>
      <c r="C708" s="217" t="s">
        <v>85</v>
      </c>
      <c r="D708" s="217" t="s">
        <v>84</v>
      </c>
      <c r="E708" s="217" t="s">
        <v>175</v>
      </c>
      <c r="F708" s="217" t="s">
        <v>174</v>
      </c>
      <c r="G708" s="217" t="s">
        <v>465</v>
      </c>
      <c r="H708" s="217" t="s">
        <v>1304</v>
      </c>
      <c r="I708" s="217" t="s">
        <v>29</v>
      </c>
      <c r="J708" s="217" t="s">
        <v>1857</v>
      </c>
      <c r="K708" s="217">
        <v>6</v>
      </c>
      <c r="L708" s="217">
        <v>31</v>
      </c>
      <c r="M708" s="217" t="s">
        <v>31</v>
      </c>
      <c r="N708" s="217" t="s">
        <v>32</v>
      </c>
      <c r="O708" s="217" t="s">
        <v>100</v>
      </c>
      <c r="P708" s="217" t="s">
        <v>34</v>
      </c>
      <c r="Q708" s="217" t="s">
        <v>35</v>
      </c>
      <c r="R708" s="217" t="s">
        <v>23</v>
      </c>
      <c r="S708" s="217" t="s">
        <v>22</v>
      </c>
      <c r="T708" s="217" t="s">
        <v>84</v>
      </c>
      <c r="U708" s="217" t="s">
        <v>85</v>
      </c>
      <c r="V708" s="217" t="s">
        <v>174</v>
      </c>
      <c r="W708" s="217" t="s">
        <v>175</v>
      </c>
      <c r="BC708" s="217" t="s">
        <v>37</v>
      </c>
      <c r="BD708" s="217" t="s">
        <v>247</v>
      </c>
      <c r="BE708" s="217" t="s">
        <v>1461</v>
      </c>
      <c r="BF708" s="217" t="s">
        <v>593</v>
      </c>
      <c r="BG708" s="217" t="s">
        <v>1998</v>
      </c>
      <c r="BH708" s="217" t="s">
        <v>1658</v>
      </c>
      <c r="BI708" s="217" t="s">
        <v>1660</v>
      </c>
      <c r="BJ708" s="217" t="s">
        <v>1658</v>
      </c>
      <c r="BK708" s="217" t="s">
        <v>637</v>
      </c>
      <c r="BL708" s="217"/>
      <c r="BM708" s="217"/>
      <c r="BN708" s="217">
        <v>0</v>
      </c>
      <c r="BO708" s="217">
        <v>0</v>
      </c>
      <c r="BR708" s="217" t="s">
        <v>37</v>
      </c>
      <c r="BS708" s="217" t="s">
        <v>250</v>
      </c>
      <c r="BT708" s="217" t="s">
        <v>2051</v>
      </c>
      <c r="BU708" s="217" t="s">
        <v>2050</v>
      </c>
      <c r="BV708" s="217">
        <v>21</v>
      </c>
      <c r="BW708" s="217">
        <v>114</v>
      </c>
      <c r="BX708" s="217">
        <v>0</v>
      </c>
      <c r="BY708" s="217">
        <v>0</v>
      </c>
      <c r="BZ708" s="217">
        <v>46</v>
      </c>
      <c r="CA708" s="217">
        <v>276</v>
      </c>
      <c r="CB708" s="217">
        <v>21</v>
      </c>
      <c r="CC708" s="217">
        <v>114</v>
      </c>
      <c r="CD708" s="217">
        <v>0</v>
      </c>
      <c r="CE708" s="217">
        <v>0</v>
      </c>
      <c r="CF708" s="217">
        <v>46</v>
      </c>
      <c r="CG708" s="217">
        <v>276</v>
      </c>
      <c r="CH708" s="217">
        <v>0</v>
      </c>
      <c r="CI708" s="217">
        <v>0</v>
      </c>
      <c r="CJ708" s="217">
        <v>0</v>
      </c>
    </row>
    <row r="709" spans="1:88" x14ac:dyDescent="0.25">
      <c r="A709" s="217" t="s">
        <v>22</v>
      </c>
      <c r="B709" s="217" t="s">
        <v>23</v>
      </c>
      <c r="C709" s="217" t="s">
        <v>85</v>
      </c>
      <c r="D709" s="217" t="s">
        <v>84</v>
      </c>
      <c r="E709" s="217" t="s">
        <v>175</v>
      </c>
      <c r="F709" s="217" t="s">
        <v>174</v>
      </c>
      <c r="G709" s="217" t="s">
        <v>830</v>
      </c>
      <c r="H709" s="217" t="s">
        <v>1306</v>
      </c>
      <c r="I709" s="217" t="s">
        <v>29</v>
      </c>
      <c r="J709" s="217" t="s">
        <v>1856</v>
      </c>
      <c r="K709" s="217">
        <v>7</v>
      </c>
      <c r="L709" s="217">
        <v>87</v>
      </c>
      <c r="M709" s="217" t="s">
        <v>31</v>
      </c>
      <c r="N709" s="217" t="s">
        <v>32</v>
      </c>
      <c r="O709" s="217" t="s">
        <v>100</v>
      </c>
      <c r="P709" s="217" t="s">
        <v>34</v>
      </c>
      <c r="Q709" s="217" t="s">
        <v>35</v>
      </c>
      <c r="R709" s="217" t="s">
        <v>23</v>
      </c>
      <c r="S709" s="217" t="s">
        <v>22</v>
      </c>
      <c r="T709" s="217" t="s">
        <v>84</v>
      </c>
      <c r="U709" s="217" t="s">
        <v>85</v>
      </c>
      <c r="V709" s="217" t="s">
        <v>174</v>
      </c>
      <c r="W709" s="217" t="s">
        <v>175</v>
      </c>
      <c r="BC709" s="217" t="s">
        <v>37</v>
      </c>
      <c r="BD709" s="217" t="s">
        <v>247</v>
      </c>
      <c r="BE709" s="217" t="s">
        <v>1462</v>
      </c>
      <c r="BF709" s="217" t="s">
        <v>594</v>
      </c>
      <c r="BG709" s="217" t="s">
        <v>1998</v>
      </c>
      <c r="BH709" s="217" t="s">
        <v>1658</v>
      </c>
      <c r="BI709" s="217" t="s">
        <v>1660</v>
      </c>
      <c r="BJ709" s="217" t="s">
        <v>1658</v>
      </c>
      <c r="BK709" s="217" t="s">
        <v>637</v>
      </c>
      <c r="BL709" s="217"/>
      <c r="BM709" s="217"/>
      <c r="BN709" s="217">
        <v>0</v>
      </c>
      <c r="BO709" s="217">
        <v>0</v>
      </c>
      <c r="BR709" s="217" t="s">
        <v>37</v>
      </c>
      <c r="BS709" s="217" t="s">
        <v>250</v>
      </c>
      <c r="BT709" s="217" t="s">
        <v>605</v>
      </c>
      <c r="BU709" s="217" t="s">
        <v>1485</v>
      </c>
      <c r="BV709" s="217">
        <v>138</v>
      </c>
      <c r="BW709" s="217">
        <v>707</v>
      </c>
      <c r="BX709" s="217">
        <v>0</v>
      </c>
      <c r="BY709" s="217">
        <v>0</v>
      </c>
      <c r="BZ709" s="217">
        <v>176</v>
      </c>
      <c r="CA709" s="217">
        <v>905</v>
      </c>
      <c r="CB709" s="217">
        <v>138</v>
      </c>
      <c r="CC709" s="217">
        <v>707</v>
      </c>
      <c r="CD709" s="217">
        <v>0</v>
      </c>
      <c r="CE709" s="217">
        <v>0</v>
      </c>
      <c r="CF709" s="217">
        <v>176</v>
      </c>
      <c r="CG709" s="217">
        <v>905</v>
      </c>
      <c r="CH709" s="217">
        <v>0</v>
      </c>
      <c r="CI709" s="217">
        <v>0</v>
      </c>
      <c r="CJ709" s="217">
        <v>0</v>
      </c>
    </row>
    <row r="710" spans="1:88" x14ac:dyDescent="0.25">
      <c r="A710" s="217" t="s">
        <v>22</v>
      </c>
      <c r="B710" s="217" t="s">
        <v>23</v>
      </c>
      <c r="C710" s="217" t="s">
        <v>85</v>
      </c>
      <c r="D710" s="217" t="s">
        <v>84</v>
      </c>
      <c r="E710" s="217" t="s">
        <v>175</v>
      </c>
      <c r="F710" s="217" t="s">
        <v>174</v>
      </c>
      <c r="G710" s="217" t="s">
        <v>466</v>
      </c>
      <c r="H710" s="217" t="s">
        <v>1307</v>
      </c>
      <c r="I710" s="217" t="s">
        <v>29</v>
      </c>
      <c r="J710" s="217" t="s">
        <v>1856</v>
      </c>
      <c r="K710" s="217">
        <v>3</v>
      </c>
      <c r="L710" s="217">
        <v>16</v>
      </c>
      <c r="M710" s="217" t="s">
        <v>31</v>
      </c>
      <c r="N710" s="217" t="s">
        <v>32</v>
      </c>
      <c r="O710" s="217" t="s">
        <v>100</v>
      </c>
      <c r="P710" s="217" t="s">
        <v>34</v>
      </c>
      <c r="Q710" s="217" t="s">
        <v>35</v>
      </c>
      <c r="R710" s="217" t="s">
        <v>23</v>
      </c>
      <c r="S710" s="217" t="s">
        <v>22</v>
      </c>
      <c r="T710" s="217" t="s">
        <v>84</v>
      </c>
      <c r="U710" s="217" t="s">
        <v>85</v>
      </c>
      <c r="V710" s="217" t="s">
        <v>174</v>
      </c>
      <c r="W710" s="217" t="s">
        <v>175</v>
      </c>
      <c r="BC710" s="217" t="s">
        <v>37</v>
      </c>
      <c r="BD710" s="217" t="s">
        <v>247</v>
      </c>
      <c r="BE710" s="217" t="s">
        <v>1463</v>
      </c>
      <c r="BF710" s="217" t="s">
        <v>595</v>
      </c>
      <c r="BG710" s="217" t="s">
        <v>1998</v>
      </c>
      <c r="BH710" s="217" t="s">
        <v>1658</v>
      </c>
      <c r="BI710" s="217" t="s">
        <v>1660</v>
      </c>
      <c r="BJ710" s="217" t="s">
        <v>1658</v>
      </c>
      <c r="BK710" s="217" t="s">
        <v>637</v>
      </c>
      <c r="BL710" s="217"/>
      <c r="BM710" s="217"/>
      <c r="BN710" s="217">
        <v>0</v>
      </c>
      <c r="BO710" s="217">
        <v>0</v>
      </c>
      <c r="BR710" s="217" t="s">
        <v>37</v>
      </c>
      <c r="BS710" s="217" t="s">
        <v>250</v>
      </c>
      <c r="BT710" s="217" t="s">
        <v>606</v>
      </c>
      <c r="BU710" s="217" t="s">
        <v>1486</v>
      </c>
      <c r="BV710" s="217">
        <v>42</v>
      </c>
      <c r="BW710" s="217">
        <v>213</v>
      </c>
      <c r="BX710" s="217">
        <v>17</v>
      </c>
      <c r="BY710" s="217">
        <v>85</v>
      </c>
      <c r="BZ710" s="217">
        <v>0</v>
      </c>
      <c r="CA710" s="217">
        <v>0</v>
      </c>
      <c r="CB710" s="217">
        <v>42</v>
      </c>
      <c r="CC710" s="217">
        <v>213</v>
      </c>
      <c r="CD710" s="217">
        <v>17</v>
      </c>
      <c r="CE710" s="217">
        <v>85</v>
      </c>
      <c r="CF710" s="217">
        <v>0</v>
      </c>
      <c r="CG710" s="217">
        <v>0</v>
      </c>
      <c r="CH710" s="217">
        <v>0</v>
      </c>
      <c r="CI710" s="217">
        <v>0</v>
      </c>
      <c r="CJ710" s="217">
        <v>0</v>
      </c>
    </row>
    <row r="711" spans="1:88" x14ac:dyDescent="0.25">
      <c r="A711" s="217" t="s">
        <v>22</v>
      </c>
      <c r="B711" s="217" t="s">
        <v>23</v>
      </c>
      <c r="C711" s="217" t="s">
        <v>85</v>
      </c>
      <c r="D711" s="217" t="s">
        <v>84</v>
      </c>
      <c r="E711" s="217" t="s">
        <v>175</v>
      </c>
      <c r="F711" s="217" t="s">
        <v>174</v>
      </c>
      <c r="G711" s="217" t="s">
        <v>467</v>
      </c>
      <c r="H711" s="217" t="s">
        <v>1308</v>
      </c>
      <c r="I711" s="217" t="s">
        <v>29</v>
      </c>
      <c r="J711" s="217" t="s">
        <v>1855</v>
      </c>
      <c r="K711" s="217">
        <v>5</v>
      </c>
      <c r="L711" s="217">
        <v>36</v>
      </c>
      <c r="M711" s="217" t="s">
        <v>31</v>
      </c>
      <c r="N711" s="217" t="s">
        <v>32</v>
      </c>
      <c r="O711" s="217" t="s">
        <v>100</v>
      </c>
      <c r="P711" s="217" t="s">
        <v>34</v>
      </c>
      <c r="Q711" s="217" t="s">
        <v>35</v>
      </c>
      <c r="R711" s="217" t="s">
        <v>23</v>
      </c>
      <c r="S711" s="217" t="s">
        <v>22</v>
      </c>
      <c r="T711" s="217" t="s">
        <v>84</v>
      </c>
      <c r="U711" s="217" t="s">
        <v>85</v>
      </c>
      <c r="V711" s="217" t="s">
        <v>174</v>
      </c>
      <c r="W711" s="217" t="s">
        <v>175</v>
      </c>
      <c r="BC711" s="217" t="s">
        <v>37</v>
      </c>
      <c r="BD711" s="217" t="s">
        <v>247</v>
      </c>
      <c r="BE711" s="217" t="s">
        <v>1464</v>
      </c>
      <c r="BF711" s="217" t="s">
        <v>596</v>
      </c>
      <c r="BG711" s="217" t="s">
        <v>2006</v>
      </c>
      <c r="BH711" s="217" t="s">
        <v>1658</v>
      </c>
      <c r="BI711" s="217" t="s">
        <v>1660</v>
      </c>
      <c r="BJ711" s="217" t="s">
        <v>1658</v>
      </c>
      <c r="BK711" s="217" t="s">
        <v>637</v>
      </c>
      <c r="BL711" s="217"/>
      <c r="BM711" s="217"/>
      <c r="BN711" s="217">
        <v>0</v>
      </c>
      <c r="BO711" s="217">
        <v>0</v>
      </c>
      <c r="BR711" s="217" t="s">
        <v>37</v>
      </c>
      <c r="BS711" s="217" t="s">
        <v>250</v>
      </c>
      <c r="BT711" s="217" t="s">
        <v>257</v>
      </c>
      <c r="BU711" s="217" t="s">
        <v>1473</v>
      </c>
      <c r="BV711" s="217">
        <v>12</v>
      </c>
      <c r="BW711" s="217">
        <v>60</v>
      </c>
      <c r="BX711" s="217">
        <v>0</v>
      </c>
      <c r="BY711" s="217">
        <v>0</v>
      </c>
      <c r="BZ711" s="217">
        <v>6</v>
      </c>
      <c r="CA711" s="217">
        <v>30</v>
      </c>
      <c r="CB711" s="217">
        <v>12</v>
      </c>
      <c r="CC711" s="217">
        <v>60</v>
      </c>
      <c r="CD711" s="217">
        <v>0</v>
      </c>
      <c r="CE711" s="217">
        <v>0</v>
      </c>
      <c r="CF711" s="217">
        <v>6</v>
      </c>
      <c r="CG711" s="217">
        <v>30</v>
      </c>
      <c r="CH711" s="217">
        <v>0</v>
      </c>
      <c r="CI711" s="217">
        <v>0</v>
      </c>
      <c r="CJ711" s="217">
        <v>0</v>
      </c>
    </row>
    <row r="712" spans="1:88" x14ac:dyDescent="0.25">
      <c r="A712" s="217" t="s">
        <v>22</v>
      </c>
      <c r="B712" s="217" t="s">
        <v>23</v>
      </c>
      <c r="C712" s="217" t="s">
        <v>85</v>
      </c>
      <c r="D712" s="217" t="s">
        <v>84</v>
      </c>
      <c r="E712" s="217" t="s">
        <v>175</v>
      </c>
      <c r="F712" s="217" t="s">
        <v>174</v>
      </c>
      <c r="G712" s="217" t="s">
        <v>468</v>
      </c>
      <c r="H712" s="217" t="s">
        <v>1309</v>
      </c>
      <c r="I712" s="217" t="s">
        <v>29</v>
      </c>
      <c r="J712" s="217" t="s">
        <v>1856</v>
      </c>
      <c r="K712" s="217">
        <v>12</v>
      </c>
      <c r="L712" s="217">
        <v>90</v>
      </c>
      <c r="M712" s="217" t="s">
        <v>31</v>
      </c>
      <c r="N712" s="217" t="s">
        <v>32</v>
      </c>
      <c r="O712" s="217" t="s">
        <v>100</v>
      </c>
      <c r="P712" s="217" t="s">
        <v>34</v>
      </c>
      <c r="Q712" s="217" t="s">
        <v>35</v>
      </c>
      <c r="R712" s="217" t="s">
        <v>23</v>
      </c>
      <c r="S712" s="217" t="s">
        <v>22</v>
      </c>
      <c r="T712" s="217" t="s">
        <v>84</v>
      </c>
      <c r="U712" s="217" t="s">
        <v>85</v>
      </c>
      <c r="V712" s="217" t="s">
        <v>174</v>
      </c>
      <c r="W712" s="217" t="s">
        <v>175</v>
      </c>
      <c r="BC712" s="217" t="s">
        <v>37</v>
      </c>
      <c r="BD712" s="217" t="s">
        <v>247</v>
      </c>
      <c r="BE712" s="217" t="s">
        <v>1465</v>
      </c>
      <c r="BF712" s="217" t="s">
        <v>252</v>
      </c>
      <c r="BG712" s="217" t="s">
        <v>2006</v>
      </c>
      <c r="BH712" s="217" t="s">
        <v>1658</v>
      </c>
      <c r="BI712" s="217" t="s">
        <v>1660</v>
      </c>
      <c r="BJ712" s="217" t="s">
        <v>1658</v>
      </c>
      <c r="BK712" s="217" t="s">
        <v>2011</v>
      </c>
      <c r="BL712" s="217"/>
      <c r="BM712" s="217" t="s">
        <v>3738</v>
      </c>
      <c r="BN712" s="217">
        <v>9</v>
      </c>
      <c r="BO712" s="217">
        <v>2017</v>
      </c>
      <c r="BR712" s="217" t="s">
        <v>37</v>
      </c>
      <c r="BS712" s="217" t="s">
        <v>250</v>
      </c>
      <c r="BT712" s="217" t="s">
        <v>599</v>
      </c>
      <c r="BU712" s="217" t="s">
        <v>1479</v>
      </c>
      <c r="BV712" s="217">
        <v>133</v>
      </c>
      <c r="BW712" s="217">
        <v>669</v>
      </c>
      <c r="BX712" s="217">
        <v>0</v>
      </c>
      <c r="BY712" s="217">
        <v>0</v>
      </c>
      <c r="BZ712" s="217">
        <v>6</v>
      </c>
      <c r="CA712" s="217">
        <v>30</v>
      </c>
      <c r="CB712" s="217">
        <v>131</v>
      </c>
      <c r="CC712" s="217">
        <v>655</v>
      </c>
      <c r="CD712" s="217">
        <v>0</v>
      </c>
      <c r="CE712" s="217">
        <v>0</v>
      </c>
      <c r="CF712" s="217">
        <v>6</v>
      </c>
      <c r="CG712" s="217">
        <v>30</v>
      </c>
      <c r="CH712" s="217">
        <v>14</v>
      </c>
      <c r="CI712" s="217">
        <v>0</v>
      </c>
      <c r="CJ712" s="217">
        <v>0</v>
      </c>
    </row>
    <row r="713" spans="1:88" x14ac:dyDescent="0.25">
      <c r="A713" s="217" t="s">
        <v>22</v>
      </c>
      <c r="B713" s="217" t="s">
        <v>23</v>
      </c>
      <c r="C713" s="217" t="s">
        <v>85</v>
      </c>
      <c r="D713" s="217" t="s">
        <v>84</v>
      </c>
      <c r="E713" s="217" t="s">
        <v>175</v>
      </c>
      <c r="F713" s="217" t="s">
        <v>174</v>
      </c>
      <c r="G713" s="217" t="s">
        <v>469</v>
      </c>
      <c r="H713" s="217" t="s">
        <v>1531</v>
      </c>
      <c r="I713" s="217" t="s">
        <v>29</v>
      </c>
      <c r="J713" s="217" t="s">
        <v>1855</v>
      </c>
      <c r="K713" s="217">
        <v>2</v>
      </c>
      <c r="L713" s="217">
        <v>17</v>
      </c>
      <c r="M713" s="217" t="s">
        <v>31</v>
      </c>
      <c r="N713" s="217" t="s">
        <v>32</v>
      </c>
      <c r="O713" s="217" t="s">
        <v>100</v>
      </c>
      <c r="P713" s="217" t="s">
        <v>34</v>
      </c>
      <c r="Q713" s="217" t="s">
        <v>35</v>
      </c>
      <c r="R713" s="217" t="s">
        <v>23</v>
      </c>
      <c r="S713" s="217" t="s">
        <v>22</v>
      </c>
      <c r="T713" s="217" t="s">
        <v>84</v>
      </c>
      <c r="U713" s="217" t="s">
        <v>85</v>
      </c>
      <c r="V713" s="217" t="s">
        <v>174</v>
      </c>
      <c r="W713" s="217" t="s">
        <v>175</v>
      </c>
      <c r="BC713" s="217" t="s">
        <v>37</v>
      </c>
      <c r="BD713" s="217" t="s">
        <v>247</v>
      </c>
      <c r="BE713" s="217" t="s">
        <v>1466</v>
      </c>
      <c r="BF713" s="217" t="s">
        <v>597</v>
      </c>
      <c r="BG713" s="217" t="s">
        <v>1998</v>
      </c>
      <c r="BH713" s="217" t="s">
        <v>1658</v>
      </c>
      <c r="BI713" s="217" t="s">
        <v>1660</v>
      </c>
      <c r="BJ713" s="217" t="s">
        <v>1658</v>
      </c>
      <c r="BK713" s="217" t="s">
        <v>637</v>
      </c>
      <c r="BL713" s="217"/>
      <c r="BM713" s="217"/>
      <c r="BN713" s="217">
        <v>0</v>
      </c>
      <c r="BO713" s="217">
        <v>0</v>
      </c>
      <c r="BR713" s="217" t="s">
        <v>37</v>
      </c>
      <c r="BS713" s="217" t="s">
        <v>250</v>
      </c>
      <c r="BT713" s="217" t="s">
        <v>600</v>
      </c>
      <c r="BU713" s="217" t="s">
        <v>1480</v>
      </c>
      <c r="BV713" s="217">
        <v>16</v>
      </c>
      <c r="BW713" s="217">
        <v>80</v>
      </c>
      <c r="BX713" s="217">
        <v>0</v>
      </c>
      <c r="BY713" s="217">
        <v>0</v>
      </c>
      <c r="BZ713" s="217">
        <v>10</v>
      </c>
      <c r="CA713" s="217">
        <v>48</v>
      </c>
      <c r="CB713" s="217">
        <v>16</v>
      </c>
      <c r="CC713" s="217">
        <v>80</v>
      </c>
      <c r="CD713" s="217">
        <v>0</v>
      </c>
      <c r="CE713" s="217">
        <v>0</v>
      </c>
      <c r="CF713" s="217">
        <v>10</v>
      </c>
      <c r="CG713" s="217">
        <v>48</v>
      </c>
      <c r="CH713" s="217">
        <v>0</v>
      </c>
      <c r="CI713" s="217">
        <v>0</v>
      </c>
      <c r="CJ713" s="217">
        <v>0</v>
      </c>
    </row>
    <row r="714" spans="1:88" x14ac:dyDescent="0.25">
      <c r="A714" s="217" t="s">
        <v>22</v>
      </c>
      <c r="B714" s="217" t="s">
        <v>23</v>
      </c>
      <c r="C714" s="217" t="s">
        <v>85</v>
      </c>
      <c r="D714" s="217" t="s">
        <v>84</v>
      </c>
      <c r="E714" s="217" t="s">
        <v>175</v>
      </c>
      <c r="F714" s="217" t="s">
        <v>174</v>
      </c>
      <c r="G714" s="217" t="s">
        <v>469</v>
      </c>
      <c r="H714" s="217" t="s">
        <v>1531</v>
      </c>
      <c r="I714" s="217" t="s">
        <v>29</v>
      </c>
      <c r="J714" s="217" t="s">
        <v>1856</v>
      </c>
      <c r="K714" s="217">
        <v>9</v>
      </c>
      <c r="L714" s="217">
        <v>49</v>
      </c>
      <c r="M714" s="217" t="s">
        <v>31</v>
      </c>
      <c r="N714" s="217" t="s">
        <v>32</v>
      </c>
      <c r="O714" s="217" t="s">
        <v>100</v>
      </c>
      <c r="P714" s="217" t="s">
        <v>34</v>
      </c>
      <c r="Q714" s="217" t="s">
        <v>35</v>
      </c>
      <c r="R714" s="217" t="s">
        <v>23</v>
      </c>
      <c r="S714" s="217" t="s">
        <v>22</v>
      </c>
      <c r="T714" s="217" t="s">
        <v>84</v>
      </c>
      <c r="U714" s="217" t="s">
        <v>85</v>
      </c>
      <c r="V714" s="217" t="s">
        <v>174</v>
      </c>
      <c r="W714" s="217" t="s">
        <v>175</v>
      </c>
      <c r="BC714" s="217" t="s">
        <v>37</v>
      </c>
      <c r="BD714" s="217" t="s">
        <v>247</v>
      </c>
      <c r="BE714" s="217" t="s">
        <v>1552</v>
      </c>
      <c r="BF714" s="217" t="s">
        <v>684</v>
      </c>
      <c r="BG714" s="217" t="s">
        <v>1998</v>
      </c>
      <c r="BH714" s="217" t="s">
        <v>1660</v>
      </c>
      <c r="BI714" s="217" t="s">
        <v>1660</v>
      </c>
      <c r="BJ714" s="217" t="s">
        <v>1658</v>
      </c>
      <c r="BK714" s="217" t="s">
        <v>637</v>
      </c>
      <c r="BL714" s="217"/>
      <c r="BM714" s="217"/>
      <c r="BN714" s="217">
        <v>0</v>
      </c>
      <c r="BO714" s="217">
        <v>0</v>
      </c>
      <c r="BR714" s="217" t="s">
        <v>37</v>
      </c>
      <c r="BS714" s="217" t="s">
        <v>250</v>
      </c>
      <c r="BT714" s="217" t="s">
        <v>258</v>
      </c>
      <c r="BU714" s="217" t="s">
        <v>1474</v>
      </c>
      <c r="BV714" s="217">
        <v>69</v>
      </c>
      <c r="BW714" s="217">
        <v>345</v>
      </c>
      <c r="BX714" s="217">
        <v>0</v>
      </c>
      <c r="BY714" s="217">
        <v>0</v>
      </c>
      <c r="BZ714" s="217">
        <v>11</v>
      </c>
      <c r="CA714" s="217">
        <v>55</v>
      </c>
      <c r="CB714" s="217">
        <v>69</v>
      </c>
      <c r="CC714" s="217">
        <v>345</v>
      </c>
      <c r="CD714" s="217">
        <v>0</v>
      </c>
      <c r="CE714" s="217">
        <v>0</v>
      </c>
      <c r="CF714" s="217">
        <v>11</v>
      </c>
      <c r="CG714" s="217">
        <v>55</v>
      </c>
      <c r="CH714" s="217">
        <v>0</v>
      </c>
      <c r="CI714" s="217">
        <v>0</v>
      </c>
      <c r="CJ714" s="217">
        <v>0</v>
      </c>
    </row>
    <row r="715" spans="1:88" x14ac:dyDescent="0.25">
      <c r="A715" s="217" t="s">
        <v>22</v>
      </c>
      <c r="B715" s="217" t="s">
        <v>23</v>
      </c>
      <c r="C715" s="217" t="s">
        <v>85</v>
      </c>
      <c r="D715" s="217" t="s">
        <v>84</v>
      </c>
      <c r="E715" s="217" t="s">
        <v>175</v>
      </c>
      <c r="F715" s="217" t="s">
        <v>174</v>
      </c>
      <c r="G715" s="217" t="s">
        <v>469</v>
      </c>
      <c r="H715" s="217" t="s">
        <v>1531</v>
      </c>
      <c r="I715" s="217" t="s">
        <v>29</v>
      </c>
      <c r="J715" s="217" t="s">
        <v>1858</v>
      </c>
      <c r="K715" s="217">
        <v>1</v>
      </c>
      <c r="L715" s="217">
        <v>2</v>
      </c>
      <c r="M715" s="217" t="s">
        <v>31</v>
      </c>
      <c r="N715" s="217" t="s">
        <v>32</v>
      </c>
      <c r="O715" s="217" t="s">
        <v>100</v>
      </c>
      <c r="P715" s="217" t="s">
        <v>34</v>
      </c>
      <c r="Q715" s="217" t="s">
        <v>35</v>
      </c>
      <c r="R715" s="217" t="s">
        <v>23</v>
      </c>
      <c r="S715" s="217" t="s">
        <v>22</v>
      </c>
      <c r="T715" s="217" t="s">
        <v>84</v>
      </c>
      <c r="U715" s="217" t="s">
        <v>85</v>
      </c>
      <c r="V715" s="217" t="s">
        <v>174</v>
      </c>
      <c r="W715" s="217" t="s">
        <v>175</v>
      </c>
      <c r="BC715" s="217" t="s">
        <v>37</v>
      </c>
      <c r="BD715" s="217" t="s">
        <v>250</v>
      </c>
      <c r="BE715" s="217" t="s">
        <v>2143</v>
      </c>
      <c r="BF715" s="217" t="s">
        <v>2142</v>
      </c>
      <c r="BG715" s="217" t="s">
        <v>2082</v>
      </c>
      <c r="BH715" s="217" t="s">
        <v>1658</v>
      </c>
      <c r="BI715" s="217" t="s">
        <v>1658</v>
      </c>
      <c r="BJ715" s="217" t="s">
        <v>1658</v>
      </c>
      <c r="BK715" s="217" t="s">
        <v>637</v>
      </c>
      <c r="BL715" s="217"/>
      <c r="BM715" s="217"/>
      <c r="BN715" s="217">
        <v>0</v>
      </c>
      <c r="BO715" s="217">
        <v>0</v>
      </c>
      <c r="BR715" s="217" t="s">
        <v>37</v>
      </c>
      <c r="BS715" s="217" t="s">
        <v>250</v>
      </c>
      <c r="BT715" s="217" t="s">
        <v>255</v>
      </c>
      <c r="BU715" s="217" t="s">
        <v>1469</v>
      </c>
      <c r="BV715" s="217">
        <v>74</v>
      </c>
      <c r="BW715" s="217">
        <v>372</v>
      </c>
      <c r="BX715" s="217">
        <v>0</v>
      </c>
      <c r="BY715" s="217">
        <v>0</v>
      </c>
      <c r="BZ715" s="217">
        <v>60</v>
      </c>
      <c r="CA715" s="217">
        <v>324</v>
      </c>
      <c r="CB715" s="217">
        <v>74</v>
      </c>
      <c r="CC715" s="217">
        <v>372</v>
      </c>
      <c r="CD715" s="217">
        <v>0</v>
      </c>
      <c r="CE715" s="217">
        <v>0</v>
      </c>
      <c r="CF715" s="217">
        <v>60</v>
      </c>
      <c r="CG715" s="217">
        <v>324</v>
      </c>
      <c r="CH715" s="217">
        <v>0</v>
      </c>
      <c r="CI715" s="217">
        <v>0</v>
      </c>
      <c r="CJ715" s="217">
        <v>0</v>
      </c>
    </row>
    <row r="716" spans="1:88" x14ac:dyDescent="0.25">
      <c r="A716" s="217" t="s">
        <v>22</v>
      </c>
      <c r="B716" s="217" t="s">
        <v>23</v>
      </c>
      <c r="C716" s="217" t="s">
        <v>85</v>
      </c>
      <c r="D716" s="217" t="s">
        <v>84</v>
      </c>
      <c r="E716" s="217" t="s">
        <v>175</v>
      </c>
      <c r="F716" s="217" t="s">
        <v>174</v>
      </c>
      <c r="G716" s="217" t="s">
        <v>833</v>
      </c>
      <c r="H716" s="217" t="s">
        <v>1310</v>
      </c>
      <c r="I716" s="217" t="s">
        <v>29</v>
      </c>
      <c r="J716" s="217" t="s">
        <v>1856</v>
      </c>
      <c r="K716" s="217">
        <v>3</v>
      </c>
      <c r="L716" s="217">
        <v>16</v>
      </c>
      <c r="M716" s="217" t="s">
        <v>31</v>
      </c>
      <c r="N716" s="217" t="s">
        <v>32</v>
      </c>
      <c r="O716" s="217" t="s">
        <v>100</v>
      </c>
      <c r="P716" s="217" t="s">
        <v>34</v>
      </c>
      <c r="Q716" s="217" t="s">
        <v>35</v>
      </c>
      <c r="R716" s="217" t="s">
        <v>23</v>
      </c>
      <c r="S716" s="217" t="s">
        <v>22</v>
      </c>
      <c r="T716" s="217" t="s">
        <v>84</v>
      </c>
      <c r="U716" s="217" t="s">
        <v>85</v>
      </c>
      <c r="V716" s="217" t="s">
        <v>174</v>
      </c>
      <c r="W716" s="217" t="s">
        <v>175</v>
      </c>
      <c r="BC716" s="217" t="s">
        <v>37</v>
      </c>
      <c r="BD716" s="217" t="s">
        <v>250</v>
      </c>
      <c r="BE716" s="217" t="s">
        <v>2048</v>
      </c>
      <c r="BF716" s="217" t="s">
        <v>2049</v>
      </c>
      <c r="BG716" s="217" t="s">
        <v>1998</v>
      </c>
      <c r="BH716" s="217" t="s">
        <v>1658</v>
      </c>
      <c r="BI716" s="217" t="s">
        <v>1660</v>
      </c>
      <c r="BJ716" s="217" t="s">
        <v>1658</v>
      </c>
      <c r="BK716" s="217" t="s">
        <v>637</v>
      </c>
      <c r="BL716" s="217"/>
      <c r="BM716" s="217"/>
      <c r="BN716" s="217">
        <v>0</v>
      </c>
      <c r="BO716" s="217">
        <v>0</v>
      </c>
      <c r="BR716" s="217" t="s">
        <v>37</v>
      </c>
      <c r="BS716" s="217" t="s">
        <v>250</v>
      </c>
      <c r="BT716" s="217" t="s">
        <v>262</v>
      </c>
      <c r="BU716" s="217" t="s">
        <v>1478</v>
      </c>
      <c r="BV716" s="217">
        <v>24</v>
      </c>
      <c r="BW716" s="217">
        <v>120</v>
      </c>
      <c r="BX716" s="217">
        <v>25</v>
      </c>
      <c r="BY716" s="217">
        <v>125</v>
      </c>
      <c r="BZ716" s="217">
        <v>17</v>
      </c>
      <c r="CA716" s="217">
        <v>85</v>
      </c>
      <c r="CB716" s="217">
        <v>24</v>
      </c>
      <c r="CC716" s="217">
        <v>120</v>
      </c>
      <c r="CD716" s="217">
        <v>25</v>
      </c>
      <c r="CE716" s="217">
        <v>125</v>
      </c>
      <c r="CF716" s="217">
        <v>17</v>
      </c>
      <c r="CG716" s="217">
        <v>85</v>
      </c>
      <c r="CH716" s="217">
        <v>0</v>
      </c>
      <c r="CI716" s="217">
        <v>0</v>
      </c>
      <c r="CJ716" s="217">
        <v>0</v>
      </c>
    </row>
    <row r="717" spans="1:88" x14ac:dyDescent="0.25">
      <c r="A717" s="217" t="s">
        <v>22</v>
      </c>
      <c r="B717" s="217" t="s">
        <v>23</v>
      </c>
      <c r="C717" s="217" t="s">
        <v>85</v>
      </c>
      <c r="D717" s="217" t="s">
        <v>84</v>
      </c>
      <c r="E717" s="217" t="s">
        <v>175</v>
      </c>
      <c r="F717" s="217" t="s">
        <v>174</v>
      </c>
      <c r="G717" s="217" t="s">
        <v>470</v>
      </c>
      <c r="H717" s="217" t="s">
        <v>1311</v>
      </c>
      <c r="I717" s="217" t="s">
        <v>29</v>
      </c>
      <c r="J717" s="217" t="s">
        <v>1856</v>
      </c>
      <c r="K717" s="217">
        <v>97</v>
      </c>
      <c r="L717" s="217">
        <v>490</v>
      </c>
      <c r="M717" s="217" t="s">
        <v>31</v>
      </c>
      <c r="N717" s="217" t="s">
        <v>32</v>
      </c>
      <c r="O717" s="217" t="s">
        <v>100</v>
      </c>
      <c r="P717" s="217" t="s">
        <v>34</v>
      </c>
      <c r="Q717" s="217" t="s">
        <v>35</v>
      </c>
      <c r="R717" s="217" t="s">
        <v>23</v>
      </c>
      <c r="S717" s="217" t="s">
        <v>22</v>
      </c>
      <c r="T717" s="217" t="s">
        <v>84</v>
      </c>
      <c r="U717" s="217" t="s">
        <v>85</v>
      </c>
      <c r="V717" s="217" t="s">
        <v>174</v>
      </c>
      <c r="W717" s="217" t="s">
        <v>175</v>
      </c>
      <c r="BC717" s="217" t="s">
        <v>37</v>
      </c>
      <c r="BD717" s="217" t="s">
        <v>250</v>
      </c>
      <c r="BE717" s="217" t="s">
        <v>1467</v>
      </c>
      <c r="BF717" s="217" t="s">
        <v>253</v>
      </c>
      <c r="BG717" s="217" t="s">
        <v>1998</v>
      </c>
      <c r="BH717" s="217" t="s">
        <v>1658</v>
      </c>
      <c r="BI717" s="217" t="s">
        <v>1660</v>
      </c>
      <c r="BJ717" s="217" t="s">
        <v>1658</v>
      </c>
      <c r="BK717" s="217" t="s">
        <v>637</v>
      </c>
      <c r="BL717" s="217"/>
      <c r="BM717" s="217"/>
      <c r="BN717" s="217">
        <v>0</v>
      </c>
      <c r="BO717" s="217">
        <v>0</v>
      </c>
      <c r="BR717" s="217" t="s">
        <v>37</v>
      </c>
      <c r="BS717" s="217" t="s">
        <v>250</v>
      </c>
      <c r="BT717" s="217" t="s">
        <v>2049</v>
      </c>
      <c r="BU717" s="217" t="s">
        <v>2048</v>
      </c>
      <c r="BV717" s="217">
        <v>32</v>
      </c>
      <c r="BW717" s="217">
        <v>168</v>
      </c>
      <c r="BX717" s="217">
        <v>0</v>
      </c>
      <c r="BY717" s="217">
        <v>0</v>
      </c>
      <c r="BZ717" s="217">
        <v>6</v>
      </c>
      <c r="CA717" s="217">
        <v>31</v>
      </c>
      <c r="CB717" s="217">
        <v>32</v>
      </c>
      <c r="CC717" s="217">
        <v>168</v>
      </c>
      <c r="CD717" s="217">
        <v>0</v>
      </c>
      <c r="CE717" s="217">
        <v>0</v>
      </c>
      <c r="CF717" s="217">
        <v>6</v>
      </c>
      <c r="CG717" s="217">
        <v>31</v>
      </c>
      <c r="CH717" s="217">
        <v>0</v>
      </c>
      <c r="CI717" s="217">
        <v>0</v>
      </c>
      <c r="CJ717" s="217">
        <v>0</v>
      </c>
    </row>
    <row r="718" spans="1:88" x14ac:dyDescent="0.25">
      <c r="A718" s="217" t="s">
        <v>22</v>
      </c>
      <c r="B718" s="217" t="s">
        <v>23</v>
      </c>
      <c r="C718" s="217" t="s">
        <v>85</v>
      </c>
      <c r="D718" s="217" t="s">
        <v>84</v>
      </c>
      <c r="E718" s="217" t="s">
        <v>175</v>
      </c>
      <c r="F718" s="217" t="s">
        <v>174</v>
      </c>
      <c r="G718" s="217" t="s">
        <v>470</v>
      </c>
      <c r="H718" s="217" t="s">
        <v>1311</v>
      </c>
      <c r="I718" s="217" t="s">
        <v>29</v>
      </c>
      <c r="J718" s="217" t="s">
        <v>1857</v>
      </c>
      <c r="K718" s="217">
        <v>138</v>
      </c>
      <c r="L718" s="217">
        <v>725</v>
      </c>
      <c r="M718" s="217" t="s">
        <v>31</v>
      </c>
      <c r="N718" s="217" t="s">
        <v>32</v>
      </c>
      <c r="O718" s="217" t="s">
        <v>100</v>
      </c>
      <c r="P718" s="217" t="s">
        <v>34</v>
      </c>
      <c r="Q718" s="217" t="s">
        <v>35</v>
      </c>
      <c r="R718" s="217" t="s">
        <v>23</v>
      </c>
      <c r="S718" s="217" t="s">
        <v>22</v>
      </c>
      <c r="T718" s="217" t="s">
        <v>84</v>
      </c>
      <c r="U718" s="217" t="s">
        <v>85</v>
      </c>
      <c r="V718" s="217" t="s">
        <v>174</v>
      </c>
      <c r="W718" s="217" t="s">
        <v>175</v>
      </c>
      <c r="BC718" s="217" t="s">
        <v>37</v>
      </c>
      <c r="BD718" s="217" t="s">
        <v>250</v>
      </c>
      <c r="BE718" s="217" t="s">
        <v>1468</v>
      </c>
      <c r="BF718" s="217" t="s">
        <v>254</v>
      </c>
      <c r="BG718" s="217" t="s">
        <v>1998</v>
      </c>
      <c r="BH718" s="217" t="s">
        <v>1658</v>
      </c>
      <c r="BI718" s="217" t="s">
        <v>1658</v>
      </c>
      <c r="BJ718" s="217" t="s">
        <v>1660</v>
      </c>
      <c r="BK718" s="217" t="s">
        <v>637</v>
      </c>
      <c r="BL718" s="217"/>
      <c r="BM718" s="217"/>
      <c r="BN718" s="217">
        <v>0</v>
      </c>
      <c r="BO718" s="217">
        <v>0</v>
      </c>
      <c r="BR718" s="217" t="s">
        <v>37</v>
      </c>
      <c r="BS718" s="217" t="s">
        <v>250</v>
      </c>
      <c r="BT718" s="217" t="s">
        <v>601</v>
      </c>
      <c r="BU718" s="217" t="s">
        <v>1481</v>
      </c>
      <c r="BV718" s="217">
        <v>184</v>
      </c>
      <c r="BW718" s="217">
        <v>937</v>
      </c>
      <c r="BX718" s="217">
        <v>0</v>
      </c>
      <c r="BY718" s="217">
        <v>0</v>
      </c>
      <c r="BZ718" s="217">
        <v>140</v>
      </c>
      <c r="CA718" s="217">
        <v>700</v>
      </c>
      <c r="CB718" s="217">
        <v>184</v>
      </c>
      <c r="CC718" s="217">
        <v>937</v>
      </c>
      <c r="CD718" s="217">
        <v>0</v>
      </c>
      <c r="CE718" s="217">
        <v>0</v>
      </c>
      <c r="CF718" s="217">
        <v>140</v>
      </c>
      <c r="CG718" s="217">
        <v>700</v>
      </c>
      <c r="CH718" s="217">
        <v>0</v>
      </c>
      <c r="CI718" s="217">
        <v>0</v>
      </c>
      <c r="CJ718" s="217">
        <v>0</v>
      </c>
    </row>
    <row r="719" spans="1:88" x14ac:dyDescent="0.25">
      <c r="A719" s="217" t="s">
        <v>22</v>
      </c>
      <c r="B719" s="217" t="s">
        <v>23</v>
      </c>
      <c r="C719" s="217" t="s">
        <v>85</v>
      </c>
      <c r="D719" s="217" t="s">
        <v>84</v>
      </c>
      <c r="E719" s="217" t="s">
        <v>175</v>
      </c>
      <c r="F719" s="217" t="s">
        <v>174</v>
      </c>
      <c r="G719" s="217" t="s">
        <v>470</v>
      </c>
      <c r="H719" s="217" t="s">
        <v>1311</v>
      </c>
      <c r="I719" s="217" t="s">
        <v>29</v>
      </c>
      <c r="J719" s="217" t="s">
        <v>1858</v>
      </c>
      <c r="K719" s="217">
        <v>183</v>
      </c>
      <c r="L719" s="217">
        <v>936</v>
      </c>
      <c r="M719" s="217" t="s">
        <v>31</v>
      </c>
      <c r="N719" s="217" t="s">
        <v>32</v>
      </c>
      <c r="O719" s="217" t="s">
        <v>100</v>
      </c>
      <c r="P719" s="217" t="s">
        <v>34</v>
      </c>
      <c r="Q719" s="217" t="s">
        <v>35</v>
      </c>
      <c r="R719" s="217" t="s">
        <v>23</v>
      </c>
      <c r="S719" s="217" t="s">
        <v>22</v>
      </c>
      <c r="T719" s="217" t="s">
        <v>84</v>
      </c>
      <c r="U719" s="217" t="s">
        <v>85</v>
      </c>
      <c r="V719" s="217" t="s">
        <v>174</v>
      </c>
      <c r="W719" s="217" t="s">
        <v>175</v>
      </c>
      <c r="BC719" s="217" t="s">
        <v>37</v>
      </c>
      <c r="BD719" s="217" t="s">
        <v>250</v>
      </c>
      <c r="BE719" s="217" t="s">
        <v>1469</v>
      </c>
      <c r="BF719" s="217" t="s">
        <v>255</v>
      </c>
      <c r="BG719" s="217" t="s">
        <v>1998</v>
      </c>
      <c r="BH719" s="217" t="s">
        <v>1658</v>
      </c>
      <c r="BI719" s="217" t="s">
        <v>1660</v>
      </c>
      <c r="BJ719" s="217" t="s">
        <v>1658</v>
      </c>
      <c r="BK719" s="217" t="s">
        <v>637</v>
      </c>
      <c r="BL719" s="217"/>
      <c r="BM719" s="217"/>
      <c r="BN719" s="217">
        <v>0</v>
      </c>
      <c r="BO719" s="217">
        <v>0</v>
      </c>
      <c r="BR719" s="217" t="s">
        <v>37</v>
      </c>
      <c r="BS719" s="217" t="s">
        <v>250</v>
      </c>
      <c r="BT719" s="217" t="s">
        <v>598</v>
      </c>
      <c r="BU719" s="217" t="s">
        <v>1471</v>
      </c>
      <c r="BV719" s="217">
        <v>27</v>
      </c>
      <c r="BW719" s="217">
        <v>136</v>
      </c>
      <c r="BX719" s="217">
        <v>0</v>
      </c>
      <c r="BY719" s="217">
        <v>0</v>
      </c>
      <c r="BZ719" s="217">
        <v>0</v>
      </c>
      <c r="CA719" s="217">
        <v>0</v>
      </c>
      <c r="CB719" s="217">
        <v>27</v>
      </c>
      <c r="CC719" s="217">
        <v>136</v>
      </c>
      <c r="CD719" s="217">
        <v>0</v>
      </c>
      <c r="CE719" s="217">
        <v>0</v>
      </c>
      <c r="CF719" s="217">
        <v>0</v>
      </c>
      <c r="CG719" s="217">
        <v>0</v>
      </c>
      <c r="CH719" s="217">
        <v>0</v>
      </c>
      <c r="CI719" s="217">
        <v>0</v>
      </c>
      <c r="CJ719" s="217">
        <v>0</v>
      </c>
    </row>
    <row r="720" spans="1:88" x14ac:dyDescent="0.25">
      <c r="A720" s="217" t="s">
        <v>22</v>
      </c>
      <c r="B720" s="217" t="s">
        <v>23</v>
      </c>
      <c r="C720" s="217" t="s">
        <v>85</v>
      </c>
      <c r="D720" s="217" t="s">
        <v>84</v>
      </c>
      <c r="E720" s="217" t="s">
        <v>175</v>
      </c>
      <c r="F720" s="217" t="s">
        <v>174</v>
      </c>
      <c r="G720" s="217" t="s">
        <v>815</v>
      </c>
      <c r="H720" s="217" t="s">
        <v>2141</v>
      </c>
      <c r="I720" s="217" t="s">
        <v>29</v>
      </c>
      <c r="J720" s="217" t="s">
        <v>1859</v>
      </c>
      <c r="K720" s="217">
        <v>58</v>
      </c>
      <c r="L720" s="217">
        <v>483</v>
      </c>
      <c r="M720" s="217" t="s">
        <v>31</v>
      </c>
      <c r="N720" s="217" t="s">
        <v>32</v>
      </c>
      <c r="O720" s="217" t="s">
        <v>100</v>
      </c>
      <c r="P720" s="217" t="s">
        <v>34</v>
      </c>
      <c r="Q720" s="217" t="s">
        <v>35</v>
      </c>
      <c r="R720" s="217" t="s">
        <v>23</v>
      </c>
      <c r="S720" s="217" t="s">
        <v>22</v>
      </c>
      <c r="T720" s="217" t="s">
        <v>84</v>
      </c>
      <c r="U720" s="217" t="s">
        <v>85</v>
      </c>
      <c r="V720" s="217" t="s">
        <v>174</v>
      </c>
      <c r="W720" s="217" t="s">
        <v>175</v>
      </c>
      <c r="BC720" s="217" t="s">
        <v>37</v>
      </c>
      <c r="BD720" s="217" t="s">
        <v>250</v>
      </c>
      <c r="BE720" s="217" t="s">
        <v>1470</v>
      </c>
      <c r="BF720" s="217" t="s">
        <v>846</v>
      </c>
      <c r="BG720" s="217" t="s">
        <v>1998</v>
      </c>
      <c r="BH720" s="217" t="s">
        <v>1658</v>
      </c>
      <c r="BI720" s="217" t="s">
        <v>1660</v>
      </c>
      <c r="BJ720" s="217" t="s">
        <v>1658</v>
      </c>
      <c r="BK720" s="217" t="s">
        <v>637</v>
      </c>
      <c r="BL720" s="217" t="s">
        <v>3739</v>
      </c>
      <c r="BM720" s="217" t="s">
        <v>3740</v>
      </c>
      <c r="BN720" s="217">
        <v>0</v>
      </c>
      <c r="BO720" s="217">
        <v>0</v>
      </c>
      <c r="BR720" s="217" t="s">
        <v>37</v>
      </c>
      <c r="BS720" s="217" t="s">
        <v>250</v>
      </c>
      <c r="BT720" s="217" t="s">
        <v>685</v>
      </c>
      <c r="BU720" s="217" t="s">
        <v>1488</v>
      </c>
      <c r="BV720" s="217">
        <v>3</v>
      </c>
      <c r="BW720" s="217">
        <v>16</v>
      </c>
      <c r="BX720" s="217">
        <v>0</v>
      </c>
      <c r="BY720" s="217">
        <v>0</v>
      </c>
      <c r="BZ720" s="217">
        <v>54</v>
      </c>
      <c r="CA720" s="217">
        <v>350</v>
      </c>
      <c r="CB720" s="217">
        <v>3</v>
      </c>
      <c r="CC720" s="217">
        <v>16</v>
      </c>
      <c r="CD720" s="217">
        <v>0</v>
      </c>
      <c r="CE720" s="217">
        <v>0</v>
      </c>
      <c r="CF720" s="217">
        <v>54</v>
      </c>
      <c r="CG720" s="217">
        <v>350</v>
      </c>
      <c r="CH720" s="217">
        <v>0</v>
      </c>
      <c r="CI720" s="217">
        <v>0</v>
      </c>
      <c r="CJ720" s="217">
        <v>0</v>
      </c>
    </row>
    <row r="721" spans="1:88" x14ac:dyDescent="0.25">
      <c r="A721" s="217" t="s">
        <v>22</v>
      </c>
      <c r="B721" s="217" t="s">
        <v>23</v>
      </c>
      <c r="C721" s="217" t="s">
        <v>85</v>
      </c>
      <c r="D721" s="217" t="s">
        <v>84</v>
      </c>
      <c r="E721" s="217" t="s">
        <v>175</v>
      </c>
      <c r="F721" s="217" t="s">
        <v>174</v>
      </c>
      <c r="G721" s="217" t="s">
        <v>179</v>
      </c>
      <c r="H721" s="217" t="s">
        <v>1312</v>
      </c>
      <c r="I721" s="217" t="s">
        <v>29</v>
      </c>
      <c r="J721" s="217" t="s">
        <v>1855</v>
      </c>
      <c r="K721" s="217">
        <v>21</v>
      </c>
      <c r="L721" s="217">
        <v>122</v>
      </c>
      <c r="M721" s="217" t="s">
        <v>31</v>
      </c>
      <c r="N721" s="217" t="s">
        <v>32</v>
      </c>
      <c r="O721" s="217" t="s">
        <v>100</v>
      </c>
      <c r="P721" s="217" t="s">
        <v>34</v>
      </c>
      <c r="Q721" s="217" t="s">
        <v>35</v>
      </c>
      <c r="R721" s="217" t="s">
        <v>23</v>
      </c>
      <c r="S721" s="217" t="s">
        <v>22</v>
      </c>
      <c r="T721" s="217" t="s">
        <v>84</v>
      </c>
      <c r="U721" s="217" t="s">
        <v>85</v>
      </c>
      <c r="V721" s="217" t="s">
        <v>174</v>
      </c>
      <c r="W721" s="217" t="s">
        <v>175</v>
      </c>
      <c r="BC721" s="217" t="s">
        <v>37</v>
      </c>
      <c r="BD721" s="217" t="s">
        <v>250</v>
      </c>
      <c r="BE721" s="217" t="s">
        <v>1471</v>
      </c>
      <c r="BF721" s="217" t="s">
        <v>598</v>
      </c>
      <c r="BG721" s="217" t="s">
        <v>1998</v>
      </c>
      <c r="BH721" s="217" t="s">
        <v>1658</v>
      </c>
      <c r="BI721" s="217" t="s">
        <v>1660</v>
      </c>
      <c r="BJ721" s="217" t="s">
        <v>1660</v>
      </c>
      <c r="BK721" s="217" t="s">
        <v>637</v>
      </c>
      <c r="BL721" s="217"/>
      <c r="BM721" s="217"/>
      <c r="BN721" s="217">
        <v>0</v>
      </c>
      <c r="BO721" s="217">
        <v>0</v>
      </c>
      <c r="BR721" s="217" t="s">
        <v>37</v>
      </c>
      <c r="BS721" s="217" t="s">
        <v>250</v>
      </c>
      <c r="BT721" s="217" t="s">
        <v>261</v>
      </c>
      <c r="BU721" s="217" t="s">
        <v>1477</v>
      </c>
      <c r="BV721" s="217">
        <v>7</v>
      </c>
      <c r="BW721" s="217">
        <v>35</v>
      </c>
      <c r="BX721" s="217">
        <v>0</v>
      </c>
      <c r="BY721" s="217">
        <v>0</v>
      </c>
      <c r="BZ721" s="217">
        <v>2</v>
      </c>
      <c r="CA721" s="217">
        <v>10</v>
      </c>
      <c r="CB721" s="217">
        <v>7</v>
      </c>
      <c r="CC721" s="217">
        <v>35</v>
      </c>
      <c r="CD721" s="217">
        <v>0</v>
      </c>
      <c r="CE721" s="217">
        <v>0</v>
      </c>
      <c r="CF721" s="217">
        <v>2</v>
      </c>
      <c r="CG721" s="217">
        <v>10</v>
      </c>
      <c r="CH721" s="217">
        <v>0</v>
      </c>
      <c r="CI721" s="217">
        <v>0</v>
      </c>
      <c r="CJ721" s="217">
        <v>0</v>
      </c>
    </row>
    <row r="722" spans="1:88" x14ac:dyDescent="0.25">
      <c r="A722" s="217" t="s">
        <v>22</v>
      </c>
      <c r="B722" s="217" t="s">
        <v>23</v>
      </c>
      <c r="C722" s="217" t="s">
        <v>85</v>
      </c>
      <c r="D722" s="217" t="s">
        <v>84</v>
      </c>
      <c r="E722" s="217" t="s">
        <v>175</v>
      </c>
      <c r="F722" s="217" t="s">
        <v>174</v>
      </c>
      <c r="G722" s="217" t="s">
        <v>179</v>
      </c>
      <c r="H722" s="217" t="s">
        <v>1312</v>
      </c>
      <c r="I722" s="217" t="s">
        <v>29</v>
      </c>
      <c r="J722" s="217" t="s">
        <v>1856</v>
      </c>
      <c r="K722" s="217">
        <v>22</v>
      </c>
      <c r="L722" s="217">
        <v>124</v>
      </c>
      <c r="M722" s="217" t="s">
        <v>31</v>
      </c>
      <c r="N722" s="217" t="s">
        <v>32</v>
      </c>
      <c r="O722" s="217" t="s">
        <v>100</v>
      </c>
      <c r="P722" s="217" t="s">
        <v>34</v>
      </c>
      <c r="Q722" s="217" t="s">
        <v>35</v>
      </c>
      <c r="R722" s="217" t="s">
        <v>23</v>
      </c>
      <c r="S722" s="217" t="s">
        <v>22</v>
      </c>
      <c r="T722" s="217" t="s">
        <v>84</v>
      </c>
      <c r="U722" s="217" t="s">
        <v>85</v>
      </c>
      <c r="V722" s="217" t="s">
        <v>174</v>
      </c>
      <c r="W722" s="217" t="s">
        <v>175</v>
      </c>
      <c r="BC722" s="217" t="s">
        <v>37</v>
      </c>
      <c r="BD722" s="217" t="s">
        <v>250</v>
      </c>
      <c r="BE722" s="217" t="s">
        <v>1472</v>
      </c>
      <c r="BF722" s="217" t="s">
        <v>256</v>
      </c>
      <c r="BG722" s="217" t="s">
        <v>1998</v>
      </c>
      <c r="BH722" s="217" t="s">
        <v>1658</v>
      </c>
      <c r="BI722" s="217" t="s">
        <v>1658</v>
      </c>
      <c r="BJ722" s="217" t="s">
        <v>1658</v>
      </c>
      <c r="BK722" s="217" t="s">
        <v>637</v>
      </c>
      <c r="BL722" s="217"/>
      <c r="BM722" s="217"/>
      <c r="BN722" s="217">
        <v>0</v>
      </c>
      <c r="BO722" s="217">
        <v>0</v>
      </c>
      <c r="BR722" s="217" t="s">
        <v>37</v>
      </c>
      <c r="BS722" s="217" t="s">
        <v>250</v>
      </c>
      <c r="BT722" s="217" t="s">
        <v>604</v>
      </c>
      <c r="BU722" s="217" t="s">
        <v>1484</v>
      </c>
      <c r="BV722" s="217">
        <v>97</v>
      </c>
      <c r="BW722" s="217">
        <v>491</v>
      </c>
      <c r="BX722" s="217">
        <v>0</v>
      </c>
      <c r="BY722" s="217">
        <v>0</v>
      </c>
      <c r="BZ722" s="217">
        <v>87</v>
      </c>
      <c r="CA722" s="217">
        <v>474</v>
      </c>
      <c r="CB722" s="217">
        <v>99</v>
      </c>
      <c r="CC722" s="217">
        <v>502</v>
      </c>
      <c r="CD722" s="217">
        <v>0</v>
      </c>
      <c r="CE722" s="217">
        <v>0</v>
      </c>
      <c r="CF722" s="217">
        <v>87</v>
      </c>
      <c r="CG722" s="217">
        <v>474</v>
      </c>
      <c r="CH722" s="217">
        <v>-11</v>
      </c>
      <c r="CI722" s="217">
        <v>0</v>
      </c>
      <c r="CJ722" s="217">
        <v>0</v>
      </c>
    </row>
    <row r="723" spans="1:88" x14ac:dyDescent="0.25">
      <c r="A723" s="217" t="s">
        <v>22</v>
      </c>
      <c r="B723" s="217" t="s">
        <v>23</v>
      </c>
      <c r="C723" s="217" t="s">
        <v>85</v>
      </c>
      <c r="D723" s="217" t="s">
        <v>84</v>
      </c>
      <c r="E723" s="217" t="s">
        <v>175</v>
      </c>
      <c r="F723" s="217" t="s">
        <v>174</v>
      </c>
      <c r="G723" s="217" t="s">
        <v>179</v>
      </c>
      <c r="H723" s="217" t="s">
        <v>1312</v>
      </c>
      <c r="I723" s="217" t="s">
        <v>29</v>
      </c>
      <c r="J723" s="217" t="s">
        <v>1857</v>
      </c>
      <c r="K723" s="217">
        <v>14</v>
      </c>
      <c r="L723" s="217">
        <v>92</v>
      </c>
      <c r="M723" s="217" t="s">
        <v>31</v>
      </c>
      <c r="N723" s="217" t="s">
        <v>32</v>
      </c>
      <c r="O723" s="217" t="s">
        <v>100</v>
      </c>
      <c r="P723" s="217" t="s">
        <v>34</v>
      </c>
      <c r="Q723" s="217" t="s">
        <v>35</v>
      </c>
      <c r="R723" s="217" t="s">
        <v>23</v>
      </c>
      <c r="S723" s="217" t="s">
        <v>22</v>
      </c>
      <c r="T723" s="217" t="s">
        <v>84</v>
      </c>
      <c r="U723" s="217" t="s">
        <v>85</v>
      </c>
      <c r="V723" s="217" t="s">
        <v>174</v>
      </c>
      <c r="W723" s="217" t="s">
        <v>175</v>
      </c>
      <c r="BC723" s="217" t="s">
        <v>37</v>
      </c>
      <c r="BD723" s="217" t="s">
        <v>250</v>
      </c>
      <c r="BE723" s="217" t="s">
        <v>1473</v>
      </c>
      <c r="BF723" s="217" t="s">
        <v>257</v>
      </c>
      <c r="BG723" s="217" t="s">
        <v>1998</v>
      </c>
      <c r="BH723" s="217" t="s">
        <v>1658</v>
      </c>
      <c r="BI723" s="217" t="s">
        <v>1660</v>
      </c>
      <c r="BJ723" s="217" t="s">
        <v>1658</v>
      </c>
      <c r="BK723" s="217" t="s">
        <v>637</v>
      </c>
      <c r="BL723" s="217"/>
      <c r="BM723" s="217"/>
      <c r="BN723" s="217">
        <v>0</v>
      </c>
      <c r="BO723" s="217">
        <v>0</v>
      </c>
      <c r="BR723" s="217" t="s">
        <v>37</v>
      </c>
      <c r="BS723" s="217" t="s">
        <v>250</v>
      </c>
      <c r="BT723" s="217" t="s">
        <v>2053</v>
      </c>
      <c r="BU723" s="217" t="s">
        <v>2052</v>
      </c>
      <c r="BV723" s="217">
        <v>9</v>
      </c>
      <c r="BW723" s="217">
        <v>48</v>
      </c>
      <c r="BX723" s="217">
        <v>0</v>
      </c>
      <c r="BY723" s="217">
        <v>0</v>
      </c>
      <c r="BZ723" s="217">
        <v>32</v>
      </c>
      <c r="CA723" s="217">
        <v>167</v>
      </c>
      <c r="CB723" s="217">
        <v>9</v>
      </c>
      <c r="CC723" s="217">
        <v>48</v>
      </c>
      <c r="CD723" s="217">
        <v>0</v>
      </c>
      <c r="CE723" s="217">
        <v>0</v>
      </c>
      <c r="CF723" s="217">
        <v>32</v>
      </c>
      <c r="CG723" s="217">
        <v>167</v>
      </c>
      <c r="CH723" s="217">
        <v>0</v>
      </c>
      <c r="CI723" s="217">
        <v>0</v>
      </c>
      <c r="CJ723" s="217">
        <v>0</v>
      </c>
    </row>
    <row r="724" spans="1:88" x14ac:dyDescent="0.25">
      <c r="A724" s="217" t="s">
        <v>22</v>
      </c>
      <c r="B724" s="217" t="s">
        <v>23</v>
      </c>
      <c r="C724" s="217" t="s">
        <v>85</v>
      </c>
      <c r="D724" s="217" t="s">
        <v>84</v>
      </c>
      <c r="E724" s="217" t="s">
        <v>175</v>
      </c>
      <c r="F724" s="217" t="s">
        <v>174</v>
      </c>
      <c r="G724" s="217" t="s">
        <v>636</v>
      </c>
      <c r="H724" s="217" t="s">
        <v>1532</v>
      </c>
      <c r="I724" s="217" t="s">
        <v>29</v>
      </c>
      <c r="J724" s="217" t="s">
        <v>1858</v>
      </c>
      <c r="K724" s="217">
        <v>3</v>
      </c>
      <c r="L724" s="217">
        <v>29</v>
      </c>
      <c r="M724" s="217" t="s">
        <v>31</v>
      </c>
      <c r="N724" s="217" t="s">
        <v>32</v>
      </c>
      <c r="O724" s="217" t="s">
        <v>100</v>
      </c>
      <c r="P724" s="217" t="s">
        <v>34</v>
      </c>
      <c r="Q724" s="217" t="s">
        <v>35</v>
      </c>
      <c r="R724" s="217" t="s">
        <v>23</v>
      </c>
      <c r="S724" s="217" t="s">
        <v>22</v>
      </c>
      <c r="T724" s="217" t="s">
        <v>84</v>
      </c>
      <c r="U724" s="217" t="s">
        <v>85</v>
      </c>
      <c r="V724" s="217" t="s">
        <v>174</v>
      </c>
      <c r="W724" s="217" t="s">
        <v>175</v>
      </c>
      <c r="BC724" s="217" t="s">
        <v>37</v>
      </c>
      <c r="BD724" s="217" t="s">
        <v>250</v>
      </c>
      <c r="BE724" s="217" t="s">
        <v>1474</v>
      </c>
      <c r="BF724" s="217" t="s">
        <v>258</v>
      </c>
      <c r="BG724" s="217" t="s">
        <v>1998</v>
      </c>
      <c r="BH724" s="217" t="s">
        <v>1658</v>
      </c>
      <c r="BI724" s="217" t="s">
        <v>1660</v>
      </c>
      <c r="BJ724" s="217" t="s">
        <v>1658</v>
      </c>
      <c r="BK724" s="217" t="s">
        <v>637</v>
      </c>
      <c r="BL724" s="217"/>
      <c r="BM724" s="217"/>
      <c r="BN724" s="217">
        <v>0</v>
      </c>
      <c r="BO724" s="217">
        <v>0</v>
      </c>
      <c r="BR724" s="217" t="s">
        <v>37</v>
      </c>
      <c r="BS724" s="217" t="s">
        <v>250</v>
      </c>
      <c r="BT724" s="217" t="s">
        <v>602</v>
      </c>
      <c r="BU724" s="217" t="s">
        <v>1482</v>
      </c>
      <c r="BV724" s="217">
        <v>107</v>
      </c>
      <c r="BW724" s="217">
        <v>545</v>
      </c>
      <c r="BX724" s="217">
        <v>0</v>
      </c>
      <c r="BY724" s="217">
        <v>0</v>
      </c>
      <c r="BZ724" s="217">
        <v>75</v>
      </c>
      <c r="CA724" s="217">
        <v>428</v>
      </c>
      <c r="CB724" s="217">
        <v>107</v>
      </c>
      <c r="CC724" s="217">
        <v>545</v>
      </c>
      <c r="CD724" s="217">
        <v>0</v>
      </c>
      <c r="CE724" s="217">
        <v>0</v>
      </c>
      <c r="CF724" s="217">
        <v>75</v>
      </c>
      <c r="CG724" s="217">
        <v>428</v>
      </c>
      <c r="CH724" s="217">
        <v>0</v>
      </c>
      <c r="CI724" s="217">
        <v>0</v>
      </c>
      <c r="CJ724" s="217">
        <v>0</v>
      </c>
    </row>
    <row r="725" spans="1:88" x14ac:dyDescent="0.25">
      <c r="A725" s="217" t="s">
        <v>22</v>
      </c>
      <c r="B725" s="217" t="s">
        <v>23</v>
      </c>
      <c r="C725" s="217" t="s">
        <v>85</v>
      </c>
      <c r="D725" s="217" t="s">
        <v>84</v>
      </c>
      <c r="E725" s="217" t="s">
        <v>181</v>
      </c>
      <c r="F725" s="217" t="s">
        <v>180</v>
      </c>
      <c r="G725" s="217" t="s">
        <v>182</v>
      </c>
      <c r="H725" s="217" t="s">
        <v>1313</v>
      </c>
      <c r="I725" s="217" t="s">
        <v>29</v>
      </c>
      <c r="J725" s="217" t="s">
        <v>1857</v>
      </c>
      <c r="K725" s="217">
        <v>33</v>
      </c>
      <c r="L725" s="217">
        <v>171</v>
      </c>
      <c r="M725" s="217" t="s">
        <v>99</v>
      </c>
      <c r="N725" s="217" t="s">
        <v>32</v>
      </c>
      <c r="O725" s="217" t="s">
        <v>100</v>
      </c>
      <c r="P725" s="217" t="s">
        <v>34</v>
      </c>
      <c r="Q725" s="217" t="s">
        <v>35</v>
      </c>
      <c r="R725" s="217" t="s">
        <v>23</v>
      </c>
      <c r="S725" s="217" t="s">
        <v>22</v>
      </c>
      <c r="T725" s="217" t="s">
        <v>84</v>
      </c>
      <c r="U725" s="217" t="s">
        <v>85</v>
      </c>
      <c r="V725" s="217" t="s">
        <v>180</v>
      </c>
      <c r="W725" s="217" t="s">
        <v>181</v>
      </c>
      <c r="BC725" s="217" t="s">
        <v>37</v>
      </c>
      <c r="BD725" s="217" t="s">
        <v>250</v>
      </c>
      <c r="BE725" s="217" t="s">
        <v>1475</v>
      </c>
      <c r="BF725" s="217" t="s">
        <v>259</v>
      </c>
      <c r="BG725" s="217" t="s">
        <v>1998</v>
      </c>
      <c r="BH725" s="217" t="s">
        <v>1658</v>
      </c>
      <c r="BI725" s="217" t="s">
        <v>1658</v>
      </c>
      <c r="BJ725" s="217" t="s">
        <v>1658</v>
      </c>
      <c r="BK725" s="217" t="s">
        <v>637</v>
      </c>
      <c r="BL725" s="217"/>
      <c r="BM725" s="217"/>
      <c r="BN725" s="217">
        <v>0</v>
      </c>
      <c r="BO725" s="217">
        <v>0</v>
      </c>
      <c r="BR725" s="217" t="s">
        <v>37</v>
      </c>
      <c r="BS725" s="217" t="s">
        <v>250</v>
      </c>
      <c r="BT725" s="217" t="s">
        <v>253</v>
      </c>
      <c r="BU725" s="217" t="s">
        <v>1467</v>
      </c>
      <c r="BV725" s="217">
        <v>142</v>
      </c>
      <c r="BW725" s="217">
        <v>710</v>
      </c>
      <c r="BX725" s="217">
        <v>0</v>
      </c>
      <c r="BY725" s="217">
        <v>0</v>
      </c>
      <c r="BZ725" s="217">
        <v>17</v>
      </c>
      <c r="CA725" s="217">
        <v>85</v>
      </c>
      <c r="CB725" s="217">
        <v>142</v>
      </c>
      <c r="CC725" s="217">
        <v>710</v>
      </c>
      <c r="CD725" s="217">
        <v>0</v>
      </c>
      <c r="CE725" s="217">
        <v>0</v>
      </c>
      <c r="CF725" s="217">
        <v>17</v>
      </c>
      <c r="CG725" s="217">
        <v>85</v>
      </c>
      <c r="CH725" s="217">
        <v>0</v>
      </c>
      <c r="CI725" s="217">
        <v>0</v>
      </c>
      <c r="CJ725" s="217">
        <v>0</v>
      </c>
    </row>
    <row r="726" spans="1:88" x14ac:dyDescent="0.25">
      <c r="A726" s="217" t="s">
        <v>22</v>
      </c>
      <c r="B726" s="217" t="s">
        <v>23</v>
      </c>
      <c r="C726" s="217" t="s">
        <v>85</v>
      </c>
      <c r="D726" s="217" t="s">
        <v>84</v>
      </c>
      <c r="E726" s="217" t="s">
        <v>181</v>
      </c>
      <c r="F726" s="217" t="s">
        <v>180</v>
      </c>
      <c r="G726" s="217" t="s">
        <v>185</v>
      </c>
      <c r="H726" s="217" t="s">
        <v>1314</v>
      </c>
      <c r="I726" s="217" t="s">
        <v>29</v>
      </c>
      <c r="J726" s="217" t="s">
        <v>1857</v>
      </c>
      <c r="K726" s="217">
        <v>103</v>
      </c>
      <c r="L726" s="217">
        <v>595</v>
      </c>
      <c r="M726" s="217" t="s">
        <v>99</v>
      </c>
      <c r="N726" s="217" t="s">
        <v>32</v>
      </c>
      <c r="O726" s="217" t="s">
        <v>100</v>
      </c>
      <c r="P726" s="217" t="s">
        <v>34</v>
      </c>
      <c r="Q726" s="217" t="s">
        <v>35</v>
      </c>
      <c r="R726" s="217" t="s">
        <v>23</v>
      </c>
      <c r="S726" s="217" t="s">
        <v>22</v>
      </c>
      <c r="T726" s="217" t="s">
        <v>84</v>
      </c>
      <c r="U726" s="217" t="s">
        <v>85</v>
      </c>
      <c r="V726" s="217" t="s">
        <v>180</v>
      </c>
      <c r="W726" s="217" t="s">
        <v>181</v>
      </c>
      <c r="BC726" s="217" t="s">
        <v>37</v>
      </c>
      <c r="BD726" s="217" t="s">
        <v>250</v>
      </c>
      <c r="BE726" s="217" t="s">
        <v>1476</v>
      </c>
      <c r="BF726" s="217" t="s">
        <v>260</v>
      </c>
      <c r="BG726" s="217" t="s">
        <v>1998</v>
      </c>
      <c r="BH726" s="217" t="s">
        <v>1658</v>
      </c>
      <c r="BI726" s="217" t="s">
        <v>1660</v>
      </c>
      <c r="BJ726" s="217" t="s">
        <v>1658</v>
      </c>
      <c r="BK726" s="217" t="s">
        <v>637</v>
      </c>
      <c r="BL726" s="217"/>
      <c r="BM726" s="217"/>
      <c r="BN726" s="217">
        <v>0</v>
      </c>
      <c r="BO726" s="217">
        <v>0</v>
      </c>
      <c r="BR726" s="217" t="s">
        <v>37</v>
      </c>
      <c r="BS726" s="217" t="s">
        <v>250</v>
      </c>
      <c r="BT726" s="217" t="s">
        <v>607</v>
      </c>
      <c r="BU726" s="217" t="s">
        <v>1487</v>
      </c>
      <c r="BV726" s="217">
        <v>12</v>
      </c>
      <c r="BW726" s="217">
        <v>60</v>
      </c>
      <c r="BX726" s="217">
        <v>0</v>
      </c>
      <c r="BY726" s="217">
        <v>0</v>
      </c>
      <c r="BZ726" s="217">
        <v>6</v>
      </c>
      <c r="CA726" s="217">
        <v>30</v>
      </c>
      <c r="CB726" s="217">
        <v>12</v>
      </c>
      <c r="CC726" s="217">
        <v>60</v>
      </c>
      <c r="CD726" s="217">
        <v>0</v>
      </c>
      <c r="CE726" s="217">
        <v>0</v>
      </c>
      <c r="CF726" s="217">
        <v>6</v>
      </c>
      <c r="CG726" s="217">
        <v>30</v>
      </c>
      <c r="CH726" s="217">
        <v>0</v>
      </c>
      <c r="CI726" s="217">
        <v>0</v>
      </c>
      <c r="CJ726" s="217">
        <v>0</v>
      </c>
    </row>
    <row r="727" spans="1:88" x14ac:dyDescent="0.25">
      <c r="A727" s="217" t="s">
        <v>22</v>
      </c>
      <c r="B727" s="217" t="s">
        <v>23</v>
      </c>
      <c r="C727" s="217" t="s">
        <v>85</v>
      </c>
      <c r="D727" s="217" t="s">
        <v>84</v>
      </c>
      <c r="E727" s="217" t="s">
        <v>181</v>
      </c>
      <c r="F727" s="217" t="s">
        <v>180</v>
      </c>
      <c r="G727" s="217" t="s">
        <v>186</v>
      </c>
      <c r="H727" s="217" t="s">
        <v>1315</v>
      </c>
      <c r="I727" s="217" t="s">
        <v>29</v>
      </c>
      <c r="J727" s="217" t="s">
        <v>1857</v>
      </c>
      <c r="K727" s="217">
        <v>41</v>
      </c>
      <c r="L727" s="217">
        <v>208</v>
      </c>
      <c r="M727" s="217" t="s">
        <v>99</v>
      </c>
      <c r="N727" s="217" t="s">
        <v>32</v>
      </c>
      <c r="O727" s="217" t="s">
        <v>100</v>
      </c>
      <c r="P727" s="217" t="s">
        <v>34</v>
      </c>
      <c r="Q727" s="217" t="s">
        <v>35</v>
      </c>
      <c r="R727" s="217" t="s">
        <v>23</v>
      </c>
      <c r="S727" s="217" t="s">
        <v>22</v>
      </c>
      <c r="T727" s="217" t="s">
        <v>84</v>
      </c>
      <c r="U727" s="217" t="s">
        <v>85</v>
      </c>
      <c r="V727" s="217" t="s">
        <v>180</v>
      </c>
      <c r="W727" s="217" t="s">
        <v>181</v>
      </c>
      <c r="BC727" s="217" t="s">
        <v>37</v>
      </c>
      <c r="BD727" s="217" t="s">
        <v>250</v>
      </c>
      <c r="BE727" s="217" t="s">
        <v>1477</v>
      </c>
      <c r="BF727" s="217" t="s">
        <v>261</v>
      </c>
      <c r="BG727" s="217" t="s">
        <v>1998</v>
      </c>
      <c r="BH727" s="217" t="s">
        <v>1658</v>
      </c>
      <c r="BI727" s="217" t="s">
        <v>1660</v>
      </c>
      <c r="BJ727" s="217" t="s">
        <v>1658</v>
      </c>
      <c r="BK727" s="217" t="s">
        <v>637</v>
      </c>
      <c r="BL727" s="217"/>
      <c r="BM727" s="217"/>
      <c r="BN727" s="217">
        <v>0</v>
      </c>
      <c r="BO727" s="217">
        <v>0</v>
      </c>
      <c r="BR727" s="217" t="s">
        <v>37</v>
      </c>
      <c r="BS727" s="217" t="s">
        <v>250</v>
      </c>
      <c r="BT727" s="217" t="s">
        <v>259</v>
      </c>
      <c r="BU727" s="217" t="s">
        <v>1475</v>
      </c>
      <c r="BV727" s="217">
        <v>209</v>
      </c>
      <c r="BW727" s="217">
        <v>1096</v>
      </c>
      <c r="BX727" s="217">
        <v>36</v>
      </c>
      <c r="BY727" s="217">
        <v>195</v>
      </c>
      <c r="BZ727" s="217">
        <v>33</v>
      </c>
      <c r="CA727" s="217">
        <v>185</v>
      </c>
      <c r="CB727" s="217">
        <v>209</v>
      </c>
      <c r="CC727" s="217">
        <v>1096</v>
      </c>
      <c r="CD727" s="217">
        <v>36</v>
      </c>
      <c r="CE727" s="217">
        <v>195</v>
      </c>
      <c r="CF727" s="217">
        <v>33</v>
      </c>
      <c r="CG727" s="217">
        <v>185</v>
      </c>
      <c r="CH727" s="217">
        <v>0</v>
      </c>
      <c r="CI727" s="217">
        <v>0</v>
      </c>
      <c r="CJ727" s="217">
        <v>0</v>
      </c>
    </row>
    <row r="728" spans="1:88" x14ac:dyDescent="0.25">
      <c r="A728" s="217" t="s">
        <v>22</v>
      </c>
      <c r="B728" s="217" t="s">
        <v>23</v>
      </c>
      <c r="C728" s="217" t="s">
        <v>85</v>
      </c>
      <c r="D728" s="217" t="s">
        <v>84</v>
      </c>
      <c r="E728" s="217" t="s">
        <v>181</v>
      </c>
      <c r="F728" s="217" t="s">
        <v>180</v>
      </c>
      <c r="G728" s="217" t="s">
        <v>187</v>
      </c>
      <c r="H728" s="217" t="s">
        <v>1316</v>
      </c>
      <c r="I728" s="217" t="s">
        <v>29</v>
      </c>
      <c r="J728" s="217" t="s">
        <v>1857</v>
      </c>
      <c r="K728" s="217">
        <v>91</v>
      </c>
      <c r="L728" s="217">
        <v>459</v>
      </c>
      <c r="M728" s="217" t="s">
        <v>99</v>
      </c>
      <c r="N728" s="217" t="s">
        <v>32</v>
      </c>
      <c r="O728" s="217" t="s">
        <v>100</v>
      </c>
      <c r="P728" s="217" t="s">
        <v>34</v>
      </c>
      <c r="Q728" s="217" t="s">
        <v>35</v>
      </c>
      <c r="R728" s="217" t="s">
        <v>23</v>
      </c>
      <c r="S728" s="217" t="s">
        <v>22</v>
      </c>
      <c r="T728" s="217" t="s">
        <v>84</v>
      </c>
      <c r="U728" s="217" t="s">
        <v>85</v>
      </c>
      <c r="V728" s="217" t="s">
        <v>180</v>
      </c>
      <c r="W728" s="217" t="s">
        <v>181</v>
      </c>
      <c r="BC728" s="217" t="s">
        <v>37</v>
      </c>
      <c r="BD728" s="217" t="s">
        <v>250</v>
      </c>
      <c r="BE728" s="217" t="s">
        <v>1478</v>
      </c>
      <c r="BF728" s="217" t="s">
        <v>262</v>
      </c>
      <c r="BG728" s="217" t="s">
        <v>1998</v>
      </c>
      <c r="BH728" s="217" t="s">
        <v>1658</v>
      </c>
      <c r="BI728" s="217" t="s">
        <v>1658</v>
      </c>
      <c r="BJ728" s="217" t="s">
        <v>1658</v>
      </c>
      <c r="BK728" s="217" t="s">
        <v>637</v>
      </c>
      <c r="BL728" s="217"/>
      <c r="BM728" s="217"/>
      <c r="BN728" s="217">
        <v>0</v>
      </c>
      <c r="BO728" s="217">
        <v>0</v>
      </c>
      <c r="BR728" s="217" t="s">
        <v>37</v>
      </c>
      <c r="BS728" s="217" t="s">
        <v>250</v>
      </c>
      <c r="BT728" s="217" t="s">
        <v>603</v>
      </c>
      <c r="BU728" s="217" t="s">
        <v>1483</v>
      </c>
      <c r="BV728" s="217">
        <v>300</v>
      </c>
      <c r="BW728" s="217">
        <v>1503</v>
      </c>
      <c r="BX728" s="217">
        <v>0</v>
      </c>
      <c r="BY728" s="217">
        <v>0</v>
      </c>
      <c r="BZ728" s="217">
        <v>75</v>
      </c>
      <c r="CA728" s="217">
        <v>410</v>
      </c>
      <c r="CB728" s="217">
        <v>300</v>
      </c>
      <c r="CC728" s="217">
        <v>1503</v>
      </c>
      <c r="CD728" s="217">
        <v>0</v>
      </c>
      <c r="CE728" s="217">
        <v>0</v>
      </c>
      <c r="CF728" s="217">
        <v>75</v>
      </c>
      <c r="CG728" s="217">
        <v>410</v>
      </c>
      <c r="CH728" s="217">
        <v>0</v>
      </c>
      <c r="CI728" s="217">
        <v>0</v>
      </c>
      <c r="CJ728" s="217">
        <v>0</v>
      </c>
    </row>
    <row r="729" spans="1:88" x14ac:dyDescent="0.25">
      <c r="A729" s="217" t="s">
        <v>22</v>
      </c>
      <c r="B729" s="217" t="s">
        <v>23</v>
      </c>
      <c r="C729" s="217" t="s">
        <v>85</v>
      </c>
      <c r="D729" s="217" t="s">
        <v>84</v>
      </c>
      <c r="E729" s="217" t="s">
        <v>181</v>
      </c>
      <c r="F729" s="217" t="s">
        <v>180</v>
      </c>
      <c r="G729" s="217" t="s">
        <v>188</v>
      </c>
      <c r="H729" s="217" t="s">
        <v>1317</v>
      </c>
      <c r="I729" s="217" t="s">
        <v>29</v>
      </c>
      <c r="J729" s="217" t="s">
        <v>1857</v>
      </c>
      <c r="K729" s="217">
        <v>102</v>
      </c>
      <c r="L729" s="217">
        <v>520</v>
      </c>
      <c r="M729" s="217" t="s">
        <v>99</v>
      </c>
      <c r="N729" s="217" t="s">
        <v>32</v>
      </c>
      <c r="O729" s="217" t="s">
        <v>100</v>
      </c>
      <c r="P729" s="217" t="s">
        <v>34</v>
      </c>
      <c r="Q729" s="217" t="s">
        <v>35</v>
      </c>
      <c r="R729" s="217" t="s">
        <v>23</v>
      </c>
      <c r="S729" s="217" t="s">
        <v>22</v>
      </c>
      <c r="T729" s="217" t="s">
        <v>84</v>
      </c>
      <c r="U729" s="217" t="s">
        <v>85</v>
      </c>
      <c r="V729" s="217" t="s">
        <v>180</v>
      </c>
      <c r="W729" s="217" t="s">
        <v>181</v>
      </c>
      <c r="BC729" s="217" t="s">
        <v>37</v>
      </c>
      <c r="BD729" s="217" t="s">
        <v>250</v>
      </c>
      <c r="BE729" s="217" t="s">
        <v>1479</v>
      </c>
      <c r="BF729" s="217" t="s">
        <v>599</v>
      </c>
      <c r="BG729" s="217" t="s">
        <v>1998</v>
      </c>
      <c r="BH729" s="217" t="s">
        <v>1658</v>
      </c>
      <c r="BI729" s="217" t="s">
        <v>1660</v>
      </c>
      <c r="BJ729" s="217" t="s">
        <v>1658</v>
      </c>
      <c r="BK729" s="217" t="s">
        <v>637</v>
      </c>
      <c r="BL729" s="217"/>
      <c r="BM729" s="217"/>
      <c r="BN729" s="217">
        <v>0</v>
      </c>
      <c r="BO729" s="217">
        <v>0</v>
      </c>
      <c r="BR729" s="217" t="s">
        <v>37</v>
      </c>
      <c r="BS729" s="217" t="s">
        <v>250</v>
      </c>
      <c r="BT729" s="217" t="s">
        <v>256</v>
      </c>
      <c r="BU729" s="217" t="s">
        <v>1472</v>
      </c>
      <c r="BV729" s="217">
        <v>89</v>
      </c>
      <c r="BW729" s="217">
        <v>489</v>
      </c>
      <c r="BX729" s="217">
        <v>18</v>
      </c>
      <c r="BY729" s="217">
        <v>100</v>
      </c>
      <c r="BZ729" s="217">
        <v>17</v>
      </c>
      <c r="CA729" s="217">
        <v>102</v>
      </c>
      <c r="CB729" s="217">
        <v>89</v>
      </c>
      <c r="CC729" s="217">
        <v>489</v>
      </c>
      <c r="CD729" s="217">
        <v>18</v>
      </c>
      <c r="CE729" s="217">
        <v>100</v>
      </c>
      <c r="CF729" s="217">
        <v>17</v>
      </c>
      <c r="CG729" s="217">
        <v>102</v>
      </c>
      <c r="CH729" s="217">
        <v>0</v>
      </c>
      <c r="CI729" s="217">
        <v>0</v>
      </c>
      <c r="CJ729" s="217">
        <v>0</v>
      </c>
    </row>
    <row r="730" spans="1:88" x14ac:dyDescent="0.25">
      <c r="A730" s="217" t="s">
        <v>22</v>
      </c>
      <c r="B730" s="217" t="s">
        <v>23</v>
      </c>
      <c r="C730" s="217" t="s">
        <v>85</v>
      </c>
      <c r="D730" s="217" t="s">
        <v>84</v>
      </c>
      <c r="E730" s="217" t="s">
        <v>181</v>
      </c>
      <c r="F730" s="217" t="s">
        <v>180</v>
      </c>
      <c r="G730" s="217" t="s">
        <v>189</v>
      </c>
      <c r="H730" s="217" t="s">
        <v>1318</v>
      </c>
      <c r="I730" s="217" t="s">
        <v>29</v>
      </c>
      <c r="J730" s="217" t="s">
        <v>1857</v>
      </c>
      <c r="K730" s="217">
        <v>89</v>
      </c>
      <c r="L730" s="217">
        <v>455</v>
      </c>
      <c r="M730" s="217" t="s">
        <v>99</v>
      </c>
      <c r="N730" s="217" t="s">
        <v>32</v>
      </c>
      <c r="O730" s="217" t="s">
        <v>100</v>
      </c>
      <c r="P730" s="217" t="s">
        <v>34</v>
      </c>
      <c r="Q730" s="217" t="s">
        <v>35</v>
      </c>
      <c r="R730" s="217" t="s">
        <v>23</v>
      </c>
      <c r="S730" s="217" t="s">
        <v>22</v>
      </c>
      <c r="T730" s="217" t="s">
        <v>84</v>
      </c>
      <c r="U730" s="217" t="s">
        <v>85</v>
      </c>
      <c r="V730" s="217" t="s">
        <v>180</v>
      </c>
      <c r="W730" s="217" t="s">
        <v>181</v>
      </c>
      <c r="BC730" s="217" t="s">
        <v>37</v>
      </c>
      <c r="BD730" s="217" t="s">
        <v>250</v>
      </c>
      <c r="BE730" s="217" t="s">
        <v>1480</v>
      </c>
      <c r="BF730" s="217" t="s">
        <v>600</v>
      </c>
      <c r="BG730" s="217" t="s">
        <v>1998</v>
      </c>
      <c r="BH730" s="217" t="s">
        <v>1658</v>
      </c>
      <c r="BI730" s="217" t="s">
        <v>1660</v>
      </c>
      <c r="BJ730" s="217" t="s">
        <v>1658</v>
      </c>
      <c r="BK730" s="217" t="s">
        <v>637</v>
      </c>
      <c r="BL730" s="217"/>
      <c r="BM730" s="217"/>
      <c r="BN730" s="217">
        <v>0</v>
      </c>
      <c r="BO730" s="217">
        <v>0</v>
      </c>
      <c r="BR730" s="217" t="s">
        <v>37</v>
      </c>
      <c r="BS730" s="217" t="s">
        <v>250</v>
      </c>
      <c r="BT730" s="217" t="s">
        <v>260</v>
      </c>
      <c r="BU730" s="217" t="s">
        <v>1476</v>
      </c>
      <c r="BV730" s="217">
        <v>45</v>
      </c>
      <c r="BW730" s="217">
        <v>225</v>
      </c>
      <c r="BX730" s="217">
        <v>0</v>
      </c>
      <c r="BY730" s="217">
        <v>0</v>
      </c>
      <c r="BZ730" s="217">
        <v>27</v>
      </c>
      <c r="CA730" s="217">
        <v>135</v>
      </c>
      <c r="CB730" s="217">
        <v>45</v>
      </c>
      <c r="CC730" s="217">
        <v>225</v>
      </c>
      <c r="CD730" s="217">
        <v>0</v>
      </c>
      <c r="CE730" s="217">
        <v>0</v>
      </c>
      <c r="CF730" s="217">
        <v>27</v>
      </c>
      <c r="CG730" s="217">
        <v>135</v>
      </c>
      <c r="CH730" s="217">
        <v>0</v>
      </c>
      <c r="CI730" s="217">
        <v>0</v>
      </c>
      <c r="CJ730" s="217">
        <v>0</v>
      </c>
    </row>
    <row r="731" spans="1:88" x14ac:dyDescent="0.25">
      <c r="A731" s="217" t="s">
        <v>22</v>
      </c>
      <c r="B731" s="217" t="s">
        <v>23</v>
      </c>
      <c r="C731" s="217" t="s">
        <v>85</v>
      </c>
      <c r="D731" s="217" t="s">
        <v>84</v>
      </c>
      <c r="E731" s="217" t="s">
        <v>181</v>
      </c>
      <c r="F731" s="217" t="s">
        <v>180</v>
      </c>
      <c r="G731" s="217" t="s">
        <v>190</v>
      </c>
      <c r="H731" s="217" t="s">
        <v>1319</v>
      </c>
      <c r="I731" s="217" t="s">
        <v>29</v>
      </c>
      <c r="J731" s="217" t="s">
        <v>1857</v>
      </c>
      <c r="K731" s="217">
        <v>90</v>
      </c>
      <c r="L731" s="217">
        <v>460</v>
      </c>
      <c r="M731" s="217" t="s">
        <v>99</v>
      </c>
      <c r="N731" s="217" t="s">
        <v>32</v>
      </c>
      <c r="O731" s="217" t="s">
        <v>100</v>
      </c>
      <c r="P731" s="217" t="s">
        <v>34</v>
      </c>
      <c r="Q731" s="217" t="s">
        <v>35</v>
      </c>
      <c r="R731" s="217" t="s">
        <v>23</v>
      </c>
      <c r="S731" s="217" t="s">
        <v>22</v>
      </c>
      <c r="T731" s="217" t="s">
        <v>84</v>
      </c>
      <c r="U731" s="217" t="s">
        <v>85</v>
      </c>
      <c r="V731" s="217" t="s">
        <v>180</v>
      </c>
      <c r="W731" s="217" t="s">
        <v>181</v>
      </c>
      <c r="BC731" s="217" t="s">
        <v>37</v>
      </c>
      <c r="BD731" s="217" t="s">
        <v>250</v>
      </c>
      <c r="BE731" s="217" t="s">
        <v>1481</v>
      </c>
      <c r="BF731" s="217" t="s">
        <v>601</v>
      </c>
      <c r="BG731" s="217" t="s">
        <v>1998</v>
      </c>
      <c r="BH731" s="217" t="s">
        <v>1658</v>
      </c>
      <c r="BI731" s="217" t="s">
        <v>1660</v>
      </c>
      <c r="BJ731" s="217" t="s">
        <v>1658</v>
      </c>
      <c r="BK731" s="217" t="s">
        <v>637</v>
      </c>
      <c r="BL731" s="217"/>
      <c r="BM731" s="217"/>
      <c r="BN731" s="217">
        <v>0</v>
      </c>
      <c r="BO731" s="217">
        <v>0</v>
      </c>
      <c r="BR731" s="217" t="s">
        <v>37</v>
      </c>
      <c r="BS731" s="217" t="s">
        <v>250</v>
      </c>
      <c r="BT731" s="217" t="s">
        <v>846</v>
      </c>
      <c r="BU731" s="217" t="s">
        <v>1470</v>
      </c>
      <c r="BV731" s="217">
        <v>48</v>
      </c>
      <c r="BW731" s="217">
        <v>240</v>
      </c>
      <c r="BX731" s="217">
        <v>0</v>
      </c>
      <c r="BY731" s="217">
        <v>0</v>
      </c>
      <c r="BZ731" s="217">
        <v>56</v>
      </c>
      <c r="CA731" s="217">
        <v>286</v>
      </c>
      <c r="CB731" s="217">
        <v>48</v>
      </c>
      <c r="CC731" s="217">
        <v>240</v>
      </c>
      <c r="CD731" s="217">
        <v>0</v>
      </c>
      <c r="CE731" s="217">
        <v>0</v>
      </c>
      <c r="CF731" s="217">
        <v>56</v>
      </c>
      <c r="CG731" s="217">
        <v>286</v>
      </c>
      <c r="CH731" s="217">
        <v>0</v>
      </c>
      <c r="CI731" s="217">
        <v>0</v>
      </c>
      <c r="CJ731" s="217">
        <v>0</v>
      </c>
    </row>
    <row r="732" spans="1:88" x14ac:dyDescent="0.25">
      <c r="A732" s="217" t="s">
        <v>22</v>
      </c>
      <c r="B732" s="217" t="s">
        <v>23</v>
      </c>
      <c r="C732" s="217" t="s">
        <v>85</v>
      </c>
      <c r="D732" s="217" t="s">
        <v>84</v>
      </c>
      <c r="E732" s="217" t="s">
        <v>181</v>
      </c>
      <c r="F732" s="217" t="s">
        <v>180</v>
      </c>
      <c r="G732" s="217" t="s">
        <v>191</v>
      </c>
      <c r="H732" s="217" t="s">
        <v>1320</v>
      </c>
      <c r="I732" s="217" t="s">
        <v>29</v>
      </c>
      <c r="J732" s="217" t="s">
        <v>1857</v>
      </c>
      <c r="K732" s="217">
        <v>99</v>
      </c>
      <c r="L732" s="217">
        <v>505</v>
      </c>
      <c r="M732" s="217" t="s">
        <v>99</v>
      </c>
      <c r="N732" s="217" t="s">
        <v>32</v>
      </c>
      <c r="O732" s="217" t="s">
        <v>100</v>
      </c>
      <c r="P732" s="217" t="s">
        <v>34</v>
      </c>
      <c r="Q732" s="217" t="s">
        <v>35</v>
      </c>
      <c r="R732" s="217" t="s">
        <v>23</v>
      </c>
      <c r="S732" s="217" t="s">
        <v>22</v>
      </c>
      <c r="T732" s="217" t="s">
        <v>84</v>
      </c>
      <c r="U732" s="217" t="s">
        <v>85</v>
      </c>
      <c r="V732" s="217" t="s">
        <v>180</v>
      </c>
      <c r="W732" s="217" t="s">
        <v>181</v>
      </c>
      <c r="BC732" s="217" t="s">
        <v>37</v>
      </c>
      <c r="BD732" s="217" t="s">
        <v>250</v>
      </c>
      <c r="BE732" s="217" t="s">
        <v>1482</v>
      </c>
      <c r="BF732" s="217" t="s">
        <v>602</v>
      </c>
      <c r="BG732" s="217" t="s">
        <v>1998</v>
      </c>
      <c r="BH732" s="217" t="s">
        <v>1658</v>
      </c>
      <c r="BI732" s="217" t="s">
        <v>1660</v>
      </c>
      <c r="BJ732" s="217" t="s">
        <v>1658</v>
      </c>
      <c r="BK732" s="217" t="s">
        <v>637</v>
      </c>
      <c r="BL732" s="217"/>
      <c r="BM732" s="217"/>
      <c r="BN732" s="217">
        <v>0</v>
      </c>
      <c r="BO732" s="217">
        <v>0</v>
      </c>
      <c r="BR732" s="217" t="s">
        <v>37</v>
      </c>
      <c r="BS732" s="217" t="s">
        <v>608</v>
      </c>
      <c r="BT732" s="217" t="s">
        <v>2144</v>
      </c>
      <c r="BU732" s="217" t="s">
        <v>1489</v>
      </c>
      <c r="BV732" s="217">
        <v>40</v>
      </c>
      <c r="BW732" s="217">
        <v>167</v>
      </c>
      <c r="BX732" s="217">
        <v>0</v>
      </c>
      <c r="BY732" s="217">
        <v>0</v>
      </c>
      <c r="BZ732" s="217">
        <v>6</v>
      </c>
      <c r="CA732" s="217">
        <v>30</v>
      </c>
      <c r="CB732" s="217">
        <v>40</v>
      </c>
      <c r="CC732" s="217">
        <v>167</v>
      </c>
      <c r="CD732" s="217">
        <v>0</v>
      </c>
      <c r="CE732" s="217">
        <v>0</v>
      </c>
      <c r="CF732" s="217">
        <v>7</v>
      </c>
      <c r="CG732" s="217">
        <v>31</v>
      </c>
      <c r="CH732" s="217">
        <v>0</v>
      </c>
      <c r="CI732" s="217">
        <v>0</v>
      </c>
      <c r="CJ732" s="217">
        <v>-1</v>
      </c>
    </row>
    <row r="733" spans="1:88" x14ac:dyDescent="0.25">
      <c r="A733" s="217" t="s">
        <v>22</v>
      </c>
      <c r="B733" s="217" t="s">
        <v>23</v>
      </c>
      <c r="C733" s="217" t="s">
        <v>85</v>
      </c>
      <c r="D733" s="217" t="s">
        <v>84</v>
      </c>
      <c r="E733" s="217" t="s">
        <v>181</v>
      </c>
      <c r="F733" s="217" t="s">
        <v>180</v>
      </c>
      <c r="G733" s="217" t="s">
        <v>192</v>
      </c>
      <c r="H733" s="217" t="s">
        <v>1321</v>
      </c>
      <c r="I733" s="217" t="s">
        <v>29</v>
      </c>
      <c r="J733" s="217" t="s">
        <v>1857</v>
      </c>
      <c r="K733" s="217">
        <v>95</v>
      </c>
      <c r="L733" s="217">
        <v>480</v>
      </c>
      <c r="M733" s="217" t="s">
        <v>99</v>
      </c>
      <c r="N733" s="217" t="s">
        <v>32</v>
      </c>
      <c r="O733" s="217" t="s">
        <v>100</v>
      </c>
      <c r="P733" s="217" t="s">
        <v>34</v>
      </c>
      <c r="Q733" s="217" t="s">
        <v>35</v>
      </c>
      <c r="R733" s="217" t="s">
        <v>23</v>
      </c>
      <c r="S733" s="217" t="s">
        <v>22</v>
      </c>
      <c r="T733" s="217" t="s">
        <v>84</v>
      </c>
      <c r="U733" s="217" t="s">
        <v>85</v>
      </c>
      <c r="V733" s="217" t="s">
        <v>180</v>
      </c>
      <c r="W733" s="217" t="s">
        <v>181</v>
      </c>
      <c r="BC733" s="217" t="s">
        <v>37</v>
      </c>
      <c r="BD733" s="217" t="s">
        <v>250</v>
      </c>
      <c r="BE733" s="217" t="s">
        <v>1483</v>
      </c>
      <c r="BF733" s="217" t="s">
        <v>603</v>
      </c>
      <c r="BG733" s="217" t="s">
        <v>1998</v>
      </c>
      <c r="BH733" s="217" t="s">
        <v>1658</v>
      </c>
      <c r="BI733" s="217" t="s">
        <v>1660</v>
      </c>
      <c r="BJ733" s="217" t="s">
        <v>1658</v>
      </c>
      <c r="BK733" s="217" t="s">
        <v>637</v>
      </c>
      <c r="BL733" s="217"/>
      <c r="BM733" s="217"/>
      <c r="BN733" s="217">
        <v>0</v>
      </c>
      <c r="BO733" s="217">
        <v>0</v>
      </c>
      <c r="BR733" s="217" t="s">
        <v>37</v>
      </c>
      <c r="BS733" s="217" t="s">
        <v>608</v>
      </c>
      <c r="BT733" s="217" t="s">
        <v>613</v>
      </c>
      <c r="BU733" s="217" t="s">
        <v>1493</v>
      </c>
      <c r="BV733" s="217">
        <v>11</v>
      </c>
      <c r="BW733" s="217">
        <v>52</v>
      </c>
      <c r="BX733" s="217">
        <v>0</v>
      </c>
      <c r="BY733" s="217">
        <v>0</v>
      </c>
      <c r="BZ733" s="217">
        <v>4</v>
      </c>
      <c r="CA733" s="217">
        <v>17</v>
      </c>
      <c r="CB733" s="217">
        <v>108</v>
      </c>
      <c r="CC733" s="217">
        <v>421</v>
      </c>
      <c r="CD733" s="217">
        <v>0</v>
      </c>
      <c r="CE733" s="217">
        <v>0</v>
      </c>
      <c r="CF733" s="217">
        <v>12</v>
      </c>
      <c r="CG733" s="217">
        <v>64</v>
      </c>
      <c r="CH733" s="217">
        <v>-369</v>
      </c>
      <c r="CI733" s="217">
        <v>0</v>
      </c>
      <c r="CJ733" s="217">
        <v>-47</v>
      </c>
    </row>
    <row r="734" spans="1:88" x14ac:dyDescent="0.25">
      <c r="A734" s="217" t="s">
        <v>22</v>
      </c>
      <c r="B734" s="217" t="s">
        <v>23</v>
      </c>
      <c r="C734" s="217" t="s">
        <v>85</v>
      </c>
      <c r="D734" s="217" t="s">
        <v>84</v>
      </c>
      <c r="E734" s="217" t="s">
        <v>181</v>
      </c>
      <c r="F734" s="217" t="s">
        <v>180</v>
      </c>
      <c r="G734" s="217" t="s">
        <v>194</v>
      </c>
      <c r="H734" s="217" t="s">
        <v>1322</v>
      </c>
      <c r="I734" s="217" t="s">
        <v>29</v>
      </c>
      <c r="J734" s="217" t="s">
        <v>1857</v>
      </c>
      <c r="K734" s="217">
        <v>72</v>
      </c>
      <c r="L734" s="217">
        <v>389</v>
      </c>
      <c r="M734" s="217" t="s">
        <v>99</v>
      </c>
      <c r="N734" s="217" t="s">
        <v>32</v>
      </c>
      <c r="O734" s="217" t="s">
        <v>100</v>
      </c>
      <c r="P734" s="217" t="s">
        <v>34</v>
      </c>
      <c r="Q734" s="217" t="s">
        <v>35</v>
      </c>
      <c r="R734" s="217" t="s">
        <v>23</v>
      </c>
      <c r="S734" s="217" t="s">
        <v>22</v>
      </c>
      <c r="T734" s="217" t="s">
        <v>84</v>
      </c>
      <c r="U734" s="217" t="s">
        <v>85</v>
      </c>
      <c r="V734" s="217" t="s">
        <v>180</v>
      </c>
      <c r="W734" s="217" t="s">
        <v>181</v>
      </c>
      <c r="BC734" s="217" t="s">
        <v>37</v>
      </c>
      <c r="BD734" s="217" t="s">
        <v>250</v>
      </c>
      <c r="BE734" s="217" t="s">
        <v>1484</v>
      </c>
      <c r="BF734" s="217" t="s">
        <v>604</v>
      </c>
      <c r="BG734" s="217" t="s">
        <v>1998</v>
      </c>
      <c r="BH734" s="217" t="s">
        <v>1658</v>
      </c>
      <c r="BI734" s="217" t="s">
        <v>1660</v>
      </c>
      <c r="BJ734" s="217" t="s">
        <v>1658</v>
      </c>
      <c r="BK734" s="217" t="s">
        <v>637</v>
      </c>
      <c r="BL734" s="217"/>
      <c r="BM734" s="217"/>
      <c r="BN734" s="217">
        <v>0</v>
      </c>
      <c r="BO734" s="217">
        <v>0</v>
      </c>
      <c r="BR734" s="217" t="s">
        <v>37</v>
      </c>
      <c r="BS734" s="217" t="s">
        <v>608</v>
      </c>
      <c r="BT734" s="217" t="s">
        <v>610</v>
      </c>
      <c r="BU734" s="217" t="s">
        <v>1490</v>
      </c>
      <c r="BV734" s="217">
        <v>17</v>
      </c>
      <c r="BW734" s="217">
        <v>53</v>
      </c>
      <c r="BX734" s="217">
        <v>0</v>
      </c>
      <c r="BY734" s="217">
        <v>0</v>
      </c>
      <c r="BZ734" s="217">
        <v>5</v>
      </c>
      <c r="CA734" s="217">
        <v>22</v>
      </c>
      <c r="CB734" s="217">
        <v>40</v>
      </c>
      <c r="CC734" s="217">
        <v>208</v>
      </c>
      <c r="CD734" s="217">
        <v>0</v>
      </c>
      <c r="CE734" s="217">
        <v>0</v>
      </c>
      <c r="CF734" s="217">
        <v>4</v>
      </c>
      <c r="CG734" s="217">
        <v>18</v>
      </c>
      <c r="CH734" s="217">
        <v>-155</v>
      </c>
      <c r="CI734" s="217">
        <v>0</v>
      </c>
      <c r="CJ734" s="217">
        <v>4</v>
      </c>
    </row>
    <row r="735" spans="1:88" x14ac:dyDescent="0.25">
      <c r="A735" s="217" t="s">
        <v>22</v>
      </c>
      <c r="B735" s="217" t="s">
        <v>23</v>
      </c>
      <c r="C735" s="217" t="s">
        <v>184</v>
      </c>
      <c r="D735" s="217" t="s">
        <v>183</v>
      </c>
      <c r="E735" s="217" t="s">
        <v>471</v>
      </c>
      <c r="F735" s="217" t="s">
        <v>472</v>
      </c>
      <c r="G735" s="217" t="s">
        <v>473</v>
      </c>
      <c r="H735" s="217" t="s">
        <v>1323</v>
      </c>
      <c r="I735" s="217" t="s">
        <v>29</v>
      </c>
      <c r="J735" s="217" t="s">
        <v>1854</v>
      </c>
      <c r="K735" s="217">
        <v>10</v>
      </c>
      <c r="L735" s="217">
        <v>62</v>
      </c>
      <c r="M735" s="217" t="s">
        <v>99</v>
      </c>
      <c r="N735" s="217" t="s">
        <v>32</v>
      </c>
      <c r="O735" s="217" t="s">
        <v>100</v>
      </c>
      <c r="P735" s="217" t="s">
        <v>34</v>
      </c>
      <c r="Q735" s="217" t="s">
        <v>35</v>
      </c>
      <c r="R735" s="217" t="s">
        <v>23</v>
      </c>
      <c r="S735" s="217" t="s">
        <v>22</v>
      </c>
      <c r="T735" s="217" t="s">
        <v>183</v>
      </c>
      <c r="U735" s="217" t="s">
        <v>184</v>
      </c>
      <c r="V735" s="217" t="s">
        <v>472</v>
      </c>
      <c r="W735" s="217" t="s">
        <v>471</v>
      </c>
      <c r="BC735" s="217" t="s">
        <v>37</v>
      </c>
      <c r="BD735" s="217" t="s">
        <v>250</v>
      </c>
      <c r="BE735" s="217" t="s">
        <v>1485</v>
      </c>
      <c r="BF735" s="217" t="s">
        <v>605</v>
      </c>
      <c r="BG735" s="217" t="s">
        <v>1998</v>
      </c>
      <c r="BH735" s="217" t="s">
        <v>1658</v>
      </c>
      <c r="BI735" s="217" t="s">
        <v>1660</v>
      </c>
      <c r="BJ735" s="217" t="s">
        <v>1658</v>
      </c>
      <c r="BK735" s="217" t="s">
        <v>637</v>
      </c>
      <c r="BL735" s="217"/>
      <c r="BM735" s="217"/>
      <c r="BN735" s="217">
        <v>0</v>
      </c>
      <c r="BO735" s="217">
        <v>0</v>
      </c>
      <c r="BR735" s="217" t="s">
        <v>37</v>
      </c>
      <c r="BS735" s="217" t="s">
        <v>608</v>
      </c>
      <c r="BT735" s="217" t="s">
        <v>611</v>
      </c>
      <c r="BU735" s="217" t="s">
        <v>1491</v>
      </c>
      <c r="BV735" s="217">
        <v>0</v>
      </c>
      <c r="BW735" s="217">
        <v>0</v>
      </c>
      <c r="BX735" s="217">
        <v>0</v>
      </c>
      <c r="BY735" s="217">
        <v>0</v>
      </c>
      <c r="BZ735" s="217">
        <v>0</v>
      </c>
      <c r="CA735" s="217">
        <v>0</v>
      </c>
      <c r="CB735" s="217">
        <v>40</v>
      </c>
      <c r="CC735" s="217">
        <v>112</v>
      </c>
      <c r="CD735" s="217">
        <v>0</v>
      </c>
      <c r="CE735" s="217">
        <v>0</v>
      </c>
      <c r="CF735" s="217">
        <v>4</v>
      </c>
      <c r="CG735" s="217">
        <v>26</v>
      </c>
      <c r="CH735" s="217">
        <v>-112</v>
      </c>
      <c r="CI735" s="217">
        <v>0</v>
      </c>
      <c r="CJ735" s="217">
        <v>-26</v>
      </c>
    </row>
    <row r="736" spans="1:88" x14ac:dyDescent="0.25">
      <c r="A736" s="217" t="s">
        <v>22</v>
      </c>
      <c r="B736" s="217" t="s">
        <v>23</v>
      </c>
      <c r="C736" s="217" t="s">
        <v>184</v>
      </c>
      <c r="D736" s="217" t="s">
        <v>183</v>
      </c>
      <c r="E736" s="217" t="s">
        <v>471</v>
      </c>
      <c r="F736" s="217" t="s">
        <v>472</v>
      </c>
      <c r="G736" s="217" t="s">
        <v>473</v>
      </c>
      <c r="H736" s="217" t="s">
        <v>1323</v>
      </c>
      <c r="I736" s="217" t="s">
        <v>29</v>
      </c>
      <c r="J736" s="217" t="s">
        <v>1858</v>
      </c>
      <c r="K736" s="217">
        <v>34</v>
      </c>
      <c r="L736" s="217">
        <v>251</v>
      </c>
      <c r="M736" s="217" t="s">
        <v>99</v>
      </c>
      <c r="N736" s="217" t="s">
        <v>32</v>
      </c>
      <c r="O736" s="217" t="s">
        <v>100</v>
      </c>
      <c r="P736" s="217" t="s">
        <v>34</v>
      </c>
      <c r="Q736" s="217" t="s">
        <v>35</v>
      </c>
      <c r="R736" s="217" t="s">
        <v>23</v>
      </c>
      <c r="S736" s="217" t="s">
        <v>22</v>
      </c>
      <c r="T736" s="217" t="s">
        <v>183</v>
      </c>
      <c r="U736" s="217" t="s">
        <v>184</v>
      </c>
      <c r="V736" s="217" t="s">
        <v>472</v>
      </c>
      <c r="W736" s="217" t="s">
        <v>471</v>
      </c>
      <c r="BC736" s="217" t="s">
        <v>37</v>
      </c>
      <c r="BD736" s="217" t="s">
        <v>250</v>
      </c>
      <c r="BE736" s="217" t="s">
        <v>1486</v>
      </c>
      <c r="BF736" s="217" t="s">
        <v>606</v>
      </c>
      <c r="BG736" s="217" t="s">
        <v>1998</v>
      </c>
      <c r="BH736" s="217" t="s">
        <v>1658</v>
      </c>
      <c r="BI736" s="217" t="s">
        <v>1658</v>
      </c>
      <c r="BJ736" s="217" t="s">
        <v>1660</v>
      </c>
      <c r="BK736" s="217" t="s">
        <v>637</v>
      </c>
      <c r="BL736" s="217"/>
      <c r="BM736" s="217"/>
      <c r="BN736" s="217">
        <v>0</v>
      </c>
      <c r="BO736" s="217">
        <v>0</v>
      </c>
      <c r="BR736" s="217" t="s">
        <v>37</v>
      </c>
      <c r="BS736" s="217" t="s">
        <v>608</v>
      </c>
      <c r="BT736" s="217" t="s">
        <v>614</v>
      </c>
      <c r="BU736" s="217" t="s">
        <v>1494</v>
      </c>
      <c r="BV736" s="217">
        <v>3</v>
      </c>
      <c r="BW736" s="217">
        <v>18</v>
      </c>
      <c r="BX736" s="217">
        <v>8</v>
      </c>
      <c r="BY736" s="217">
        <v>13</v>
      </c>
      <c r="BZ736" s="217">
        <v>4</v>
      </c>
      <c r="CA736" s="217">
        <v>18</v>
      </c>
      <c r="CB736" s="217">
        <v>52</v>
      </c>
      <c r="CC736" s="217">
        <v>223</v>
      </c>
      <c r="CD736" s="217">
        <v>0</v>
      </c>
      <c r="CE736" s="217">
        <v>0</v>
      </c>
      <c r="CF736" s="217">
        <v>13</v>
      </c>
      <c r="CG736" s="217">
        <v>48</v>
      </c>
      <c r="CH736" s="217">
        <v>-205</v>
      </c>
      <c r="CI736" s="217">
        <v>13</v>
      </c>
      <c r="CJ736" s="217">
        <v>-30</v>
      </c>
    </row>
    <row r="737" spans="1:88" x14ac:dyDescent="0.25">
      <c r="A737" s="217" t="s">
        <v>22</v>
      </c>
      <c r="B737" s="217" t="s">
        <v>23</v>
      </c>
      <c r="C737" s="217" t="s">
        <v>184</v>
      </c>
      <c r="D737" s="217" t="s">
        <v>183</v>
      </c>
      <c r="E737" s="217" t="s">
        <v>471</v>
      </c>
      <c r="F737" s="217" t="s">
        <v>472</v>
      </c>
      <c r="G737" s="217" t="s">
        <v>474</v>
      </c>
      <c r="H737" s="217" t="s">
        <v>1324</v>
      </c>
      <c r="I737" s="217" t="s">
        <v>29</v>
      </c>
      <c r="J737" s="217" t="s">
        <v>1854</v>
      </c>
      <c r="K737" s="217">
        <v>9</v>
      </c>
      <c r="L737" s="217">
        <v>40</v>
      </c>
      <c r="M737" s="217" t="s">
        <v>99</v>
      </c>
      <c r="N737" s="217" t="s">
        <v>32</v>
      </c>
      <c r="O737" s="217" t="s">
        <v>100</v>
      </c>
      <c r="P737" s="217" t="s">
        <v>34</v>
      </c>
      <c r="Q737" s="217" t="s">
        <v>35</v>
      </c>
      <c r="R737" s="217" t="s">
        <v>23</v>
      </c>
      <c r="S737" s="217" t="s">
        <v>22</v>
      </c>
      <c r="T737" s="217" t="s">
        <v>183</v>
      </c>
      <c r="U737" s="217" t="s">
        <v>184</v>
      </c>
      <c r="V737" s="217" t="s">
        <v>472</v>
      </c>
      <c r="W737" s="217" t="s">
        <v>471</v>
      </c>
      <c r="BC737" s="217" t="s">
        <v>37</v>
      </c>
      <c r="BD737" s="217" t="s">
        <v>250</v>
      </c>
      <c r="BE737" s="217" t="s">
        <v>1487</v>
      </c>
      <c r="BF737" s="217" t="s">
        <v>607</v>
      </c>
      <c r="BG737" s="217" t="s">
        <v>1998</v>
      </c>
      <c r="BH737" s="217" t="s">
        <v>1658</v>
      </c>
      <c r="BI737" s="217" t="s">
        <v>1660</v>
      </c>
      <c r="BJ737" s="217" t="s">
        <v>1658</v>
      </c>
      <c r="BK737" s="217" t="s">
        <v>637</v>
      </c>
      <c r="BL737" s="217"/>
      <c r="BM737" s="217"/>
      <c r="BN737" s="217">
        <v>0</v>
      </c>
      <c r="BO737" s="217">
        <v>0</v>
      </c>
      <c r="BR737" s="217" t="s">
        <v>37</v>
      </c>
      <c r="BS737" s="217" t="s">
        <v>608</v>
      </c>
      <c r="BT737" s="217" t="s">
        <v>2145</v>
      </c>
      <c r="BU737" s="217" t="s">
        <v>1496</v>
      </c>
      <c r="BV737" s="217">
        <v>4</v>
      </c>
      <c r="BW737" s="217">
        <v>12</v>
      </c>
      <c r="BX737" s="217">
        <v>1</v>
      </c>
      <c r="BY737" s="217">
        <v>6</v>
      </c>
      <c r="BZ737" s="217">
        <v>0</v>
      </c>
      <c r="CA737" s="217">
        <v>0</v>
      </c>
      <c r="CB737" s="217">
        <v>57</v>
      </c>
      <c r="CC737" s="217">
        <v>217</v>
      </c>
      <c r="CD737" s="217">
        <v>0</v>
      </c>
      <c r="CE737" s="217">
        <v>0</v>
      </c>
      <c r="CF737" s="217">
        <v>26</v>
      </c>
      <c r="CG737" s="217">
        <v>97</v>
      </c>
      <c r="CH737" s="217">
        <v>-205</v>
      </c>
      <c r="CI737" s="217">
        <v>6</v>
      </c>
      <c r="CJ737" s="217">
        <v>-97</v>
      </c>
    </row>
    <row r="738" spans="1:88" x14ac:dyDescent="0.25">
      <c r="A738" s="217" t="s">
        <v>22</v>
      </c>
      <c r="B738" s="217" t="s">
        <v>23</v>
      </c>
      <c r="C738" s="217" t="s">
        <v>184</v>
      </c>
      <c r="D738" s="217" t="s">
        <v>183</v>
      </c>
      <c r="E738" s="217" t="s">
        <v>471</v>
      </c>
      <c r="F738" s="217" t="s">
        <v>472</v>
      </c>
      <c r="G738" s="217" t="s">
        <v>474</v>
      </c>
      <c r="H738" s="217" t="s">
        <v>1324</v>
      </c>
      <c r="I738" s="217" t="s">
        <v>29</v>
      </c>
      <c r="J738" s="217" t="s">
        <v>1855</v>
      </c>
      <c r="K738" s="217">
        <v>4</v>
      </c>
      <c r="L738" s="217">
        <v>27</v>
      </c>
      <c r="M738" s="217" t="s">
        <v>99</v>
      </c>
      <c r="N738" s="217" t="s">
        <v>32</v>
      </c>
      <c r="O738" s="217" t="s">
        <v>100</v>
      </c>
      <c r="P738" s="217" t="s">
        <v>34</v>
      </c>
      <c r="Q738" s="217" t="s">
        <v>35</v>
      </c>
      <c r="R738" s="217" t="s">
        <v>23</v>
      </c>
      <c r="S738" s="217" t="s">
        <v>22</v>
      </c>
      <c r="T738" s="217" t="s">
        <v>183</v>
      </c>
      <c r="U738" s="217" t="s">
        <v>184</v>
      </c>
      <c r="V738" s="217" t="s">
        <v>472</v>
      </c>
      <c r="W738" s="217" t="s">
        <v>471</v>
      </c>
      <c r="BC738" s="217" t="s">
        <v>37</v>
      </c>
      <c r="BD738" s="217" t="s">
        <v>250</v>
      </c>
      <c r="BE738" s="217" t="s">
        <v>2050</v>
      </c>
      <c r="BF738" s="217" t="s">
        <v>2051</v>
      </c>
      <c r="BG738" s="217" t="s">
        <v>1998</v>
      </c>
      <c r="BH738" s="217" t="s">
        <v>1658</v>
      </c>
      <c r="BI738" s="217" t="s">
        <v>1660</v>
      </c>
      <c r="BJ738" s="217" t="s">
        <v>1658</v>
      </c>
      <c r="BK738" s="217" t="s">
        <v>637</v>
      </c>
      <c r="BL738" s="217"/>
      <c r="BM738" s="217"/>
      <c r="BN738" s="217">
        <v>0</v>
      </c>
      <c r="BO738" s="217">
        <v>0</v>
      </c>
      <c r="BR738" s="217" t="s">
        <v>37</v>
      </c>
      <c r="BS738" s="217" t="s">
        <v>608</v>
      </c>
      <c r="BT738" s="217" t="s">
        <v>612</v>
      </c>
      <c r="BU738" s="217" t="s">
        <v>1492</v>
      </c>
      <c r="BV738" s="217">
        <v>44</v>
      </c>
      <c r="BW738" s="217">
        <v>208</v>
      </c>
      <c r="BX738" s="217">
        <v>0</v>
      </c>
      <c r="BY738" s="217">
        <v>0</v>
      </c>
      <c r="BZ738" s="217">
        <v>6</v>
      </c>
      <c r="CA738" s="217">
        <v>31</v>
      </c>
      <c r="CB738" s="217">
        <v>45</v>
      </c>
      <c r="CC738" s="217">
        <v>211</v>
      </c>
      <c r="CD738" s="217">
        <v>0</v>
      </c>
      <c r="CE738" s="217">
        <v>0</v>
      </c>
      <c r="CF738" s="217">
        <v>6</v>
      </c>
      <c r="CG738" s="217">
        <v>31</v>
      </c>
      <c r="CH738" s="217">
        <v>-3</v>
      </c>
      <c r="CI738" s="217">
        <v>0</v>
      </c>
      <c r="CJ738" s="217">
        <v>0</v>
      </c>
    </row>
    <row r="739" spans="1:88" x14ac:dyDescent="0.25">
      <c r="A739" s="217" t="s">
        <v>22</v>
      </c>
      <c r="B739" s="217" t="s">
        <v>23</v>
      </c>
      <c r="C739" s="217" t="s">
        <v>184</v>
      </c>
      <c r="D739" s="217" t="s">
        <v>183</v>
      </c>
      <c r="E739" s="217" t="s">
        <v>471</v>
      </c>
      <c r="F739" s="217" t="s">
        <v>472</v>
      </c>
      <c r="G739" s="217" t="s">
        <v>474</v>
      </c>
      <c r="H739" s="217" t="s">
        <v>1324</v>
      </c>
      <c r="I739" s="217" t="s">
        <v>29</v>
      </c>
      <c r="J739" s="217" t="s">
        <v>1858</v>
      </c>
      <c r="K739" s="217">
        <v>18</v>
      </c>
      <c r="L739" s="217">
        <v>86</v>
      </c>
      <c r="M739" s="217" t="s">
        <v>99</v>
      </c>
      <c r="N739" s="217" t="s">
        <v>32</v>
      </c>
      <c r="O739" s="217" t="s">
        <v>100</v>
      </c>
      <c r="P739" s="217" t="s">
        <v>34</v>
      </c>
      <c r="Q739" s="217" t="s">
        <v>35</v>
      </c>
      <c r="R739" s="217" t="s">
        <v>23</v>
      </c>
      <c r="S739" s="217" t="s">
        <v>22</v>
      </c>
      <c r="T739" s="217" t="s">
        <v>183</v>
      </c>
      <c r="U739" s="217" t="s">
        <v>184</v>
      </c>
      <c r="V739" s="217" t="s">
        <v>472</v>
      </c>
      <c r="W739" s="217" t="s">
        <v>471</v>
      </c>
      <c r="BC739" s="217" t="s">
        <v>37</v>
      </c>
      <c r="BD739" s="217" t="s">
        <v>250</v>
      </c>
      <c r="BE739" s="217" t="s">
        <v>1488</v>
      </c>
      <c r="BF739" s="217" t="s">
        <v>685</v>
      </c>
      <c r="BG739" s="217" t="s">
        <v>1998</v>
      </c>
      <c r="BH739" s="217" t="s">
        <v>1658</v>
      </c>
      <c r="BI739" s="217" t="s">
        <v>1660</v>
      </c>
      <c r="BJ739" s="217" t="s">
        <v>1658</v>
      </c>
      <c r="BK739" s="217" t="s">
        <v>637</v>
      </c>
      <c r="BL739" s="217"/>
      <c r="BM739" s="217"/>
      <c r="BN739" s="217">
        <v>0</v>
      </c>
      <c r="BO739" s="217">
        <v>0</v>
      </c>
      <c r="BR739" s="217" t="s">
        <v>37</v>
      </c>
      <c r="BS739" s="217" t="s">
        <v>608</v>
      </c>
      <c r="BT739" s="217" t="s">
        <v>615</v>
      </c>
      <c r="BU739" s="217" t="s">
        <v>1495</v>
      </c>
      <c r="BV739" s="217">
        <v>35</v>
      </c>
      <c r="BW739" s="217">
        <v>238</v>
      </c>
      <c r="BX739" s="217">
        <v>0</v>
      </c>
      <c r="BY739" s="217">
        <v>0</v>
      </c>
      <c r="BZ739" s="217">
        <v>0</v>
      </c>
      <c r="CA739" s="217">
        <v>0</v>
      </c>
      <c r="CB739" s="217">
        <v>118</v>
      </c>
      <c r="CC739" s="217">
        <v>423</v>
      </c>
      <c r="CD739" s="217">
        <v>0</v>
      </c>
      <c r="CE739" s="217">
        <v>0</v>
      </c>
      <c r="CF739" s="217">
        <v>18</v>
      </c>
      <c r="CG739" s="217">
        <v>66</v>
      </c>
      <c r="CH739" s="217">
        <v>-185</v>
      </c>
      <c r="CI739" s="217">
        <v>0</v>
      </c>
      <c r="CJ739" s="217">
        <v>-66</v>
      </c>
    </row>
    <row r="740" spans="1:88" x14ac:dyDescent="0.25">
      <c r="A740" s="217" t="s">
        <v>22</v>
      </c>
      <c r="B740" s="217" t="s">
        <v>23</v>
      </c>
      <c r="C740" s="217" t="s">
        <v>184</v>
      </c>
      <c r="D740" s="217" t="s">
        <v>183</v>
      </c>
      <c r="E740" s="217" t="s">
        <v>471</v>
      </c>
      <c r="F740" s="217" t="s">
        <v>472</v>
      </c>
      <c r="G740" s="217" t="s">
        <v>475</v>
      </c>
      <c r="H740" s="217" t="s">
        <v>1325</v>
      </c>
      <c r="I740" s="217" t="s">
        <v>29</v>
      </c>
      <c r="J740" s="217" t="s">
        <v>1854</v>
      </c>
      <c r="K740" s="217">
        <v>18</v>
      </c>
      <c r="L740" s="217">
        <v>104</v>
      </c>
      <c r="M740" s="217" t="s">
        <v>99</v>
      </c>
      <c r="N740" s="217" t="s">
        <v>32</v>
      </c>
      <c r="O740" s="217" t="s">
        <v>100</v>
      </c>
      <c r="P740" s="217" t="s">
        <v>34</v>
      </c>
      <c r="Q740" s="217" t="s">
        <v>35</v>
      </c>
      <c r="R740" s="217" t="s">
        <v>23</v>
      </c>
      <c r="S740" s="217" t="s">
        <v>22</v>
      </c>
      <c r="T740" s="217" t="s">
        <v>183</v>
      </c>
      <c r="U740" s="217" t="s">
        <v>184</v>
      </c>
      <c r="V740" s="217" t="s">
        <v>472</v>
      </c>
      <c r="W740" s="217" t="s">
        <v>471</v>
      </c>
      <c r="BC740" s="217" t="s">
        <v>37</v>
      </c>
      <c r="BD740" s="217" t="s">
        <v>250</v>
      </c>
      <c r="BE740" s="217" t="s">
        <v>2052</v>
      </c>
      <c r="BF740" s="217" t="s">
        <v>2053</v>
      </c>
      <c r="BG740" s="217" t="s">
        <v>1998</v>
      </c>
      <c r="BH740" s="217" t="s">
        <v>1658</v>
      </c>
      <c r="BI740" s="217" t="s">
        <v>1660</v>
      </c>
      <c r="BJ740" s="217" t="s">
        <v>1658</v>
      </c>
      <c r="BK740" s="217" t="s">
        <v>637</v>
      </c>
      <c r="BL740" s="217"/>
      <c r="BM740" s="217"/>
      <c r="BN740" s="217">
        <v>0</v>
      </c>
      <c r="BO740" s="217">
        <v>0</v>
      </c>
      <c r="BR740" s="217" t="s">
        <v>37</v>
      </c>
      <c r="BS740" s="217" t="s">
        <v>236</v>
      </c>
      <c r="BT740" s="217" t="s">
        <v>238</v>
      </c>
      <c r="BU740" s="217" t="s">
        <v>1701</v>
      </c>
      <c r="BV740" s="217">
        <v>0</v>
      </c>
      <c r="BW740" s="217">
        <v>0</v>
      </c>
      <c r="BX740" s="217">
        <v>0</v>
      </c>
      <c r="BY740" s="217">
        <v>0</v>
      </c>
      <c r="BZ740" s="217">
        <v>0</v>
      </c>
      <c r="CA740" s="217">
        <v>0</v>
      </c>
      <c r="CB740" s="217">
        <v>0</v>
      </c>
      <c r="CC740" s="217">
        <v>0</v>
      </c>
      <c r="CD740" s="217">
        <v>0</v>
      </c>
      <c r="CE740" s="217">
        <v>0</v>
      </c>
      <c r="CF740" s="217">
        <v>0</v>
      </c>
      <c r="CG740" s="217">
        <v>0</v>
      </c>
      <c r="CH740" s="217">
        <v>0</v>
      </c>
      <c r="CI740" s="217">
        <v>0</v>
      </c>
      <c r="CJ740" s="217">
        <v>0</v>
      </c>
    </row>
    <row r="741" spans="1:88" x14ac:dyDescent="0.25">
      <c r="A741" s="217" t="s">
        <v>22</v>
      </c>
      <c r="B741" s="217" t="s">
        <v>23</v>
      </c>
      <c r="C741" s="217" t="s">
        <v>184</v>
      </c>
      <c r="D741" s="217" t="s">
        <v>183</v>
      </c>
      <c r="E741" s="217" t="s">
        <v>471</v>
      </c>
      <c r="F741" s="217" t="s">
        <v>472</v>
      </c>
      <c r="G741" s="217" t="s">
        <v>476</v>
      </c>
      <c r="H741" s="217" t="s">
        <v>1326</v>
      </c>
      <c r="I741" s="217" t="s">
        <v>29</v>
      </c>
      <c r="J741" s="217" t="s">
        <v>1854</v>
      </c>
      <c r="K741" s="217">
        <v>18</v>
      </c>
      <c r="L741" s="217">
        <v>112</v>
      </c>
      <c r="M741" s="217" t="s">
        <v>99</v>
      </c>
      <c r="N741" s="217" t="s">
        <v>32</v>
      </c>
      <c r="O741" s="217" t="s">
        <v>100</v>
      </c>
      <c r="P741" s="217" t="s">
        <v>34</v>
      </c>
      <c r="Q741" s="217" t="s">
        <v>35</v>
      </c>
      <c r="R741" s="217" t="s">
        <v>23</v>
      </c>
      <c r="S741" s="217" t="s">
        <v>22</v>
      </c>
      <c r="T741" s="217" t="s">
        <v>183</v>
      </c>
      <c r="U741" s="217" t="s">
        <v>184</v>
      </c>
      <c r="V741" s="217" t="s">
        <v>472</v>
      </c>
      <c r="W741" s="217" t="s">
        <v>471</v>
      </c>
      <c r="BC741" s="217" t="s">
        <v>37</v>
      </c>
      <c r="BD741" s="217" t="s">
        <v>608</v>
      </c>
      <c r="BE741" s="217" t="s">
        <v>1489</v>
      </c>
      <c r="BF741" s="217" t="s">
        <v>2144</v>
      </c>
      <c r="BG741" s="217" t="s">
        <v>1998</v>
      </c>
      <c r="BH741" s="217" t="s">
        <v>1658</v>
      </c>
      <c r="BI741" s="217" t="s">
        <v>1660</v>
      </c>
      <c r="BJ741" s="217" t="s">
        <v>1658</v>
      </c>
      <c r="BK741" s="217" t="s">
        <v>637</v>
      </c>
      <c r="BL741" s="217"/>
      <c r="BM741" s="217"/>
      <c r="BN741" s="217">
        <v>0</v>
      </c>
      <c r="BO741" s="217">
        <v>0</v>
      </c>
      <c r="BR741" s="217" t="s">
        <v>37</v>
      </c>
      <c r="BS741" s="217" t="s">
        <v>236</v>
      </c>
      <c r="BT741" s="217" t="s">
        <v>242</v>
      </c>
      <c r="BU741" s="217" t="s">
        <v>1404</v>
      </c>
      <c r="BV741" s="217">
        <v>23</v>
      </c>
      <c r="BW741" s="217">
        <v>123</v>
      </c>
      <c r="BX741" s="217">
        <v>0</v>
      </c>
      <c r="BY741" s="217">
        <v>0</v>
      </c>
      <c r="BZ741" s="217">
        <v>121</v>
      </c>
      <c r="CA741" s="217">
        <v>616</v>
      </c>
      <c r="CB741" s="217">
        <v>25</v>
      </c>
      <c r="CC741" s="217">
        <v>130</v>
      </c>
      <c r="CD741" s="217">
        <v>0</v>
      </c>
      <c r="CE741" s="217">
        <v>0</v>
      </c>
      <c r="CF741" s="217">
        <v>121</v>
      </c>
      <c r="CG741" s="217">
        <v>616</v>
      </c>
      <c r="CH741" s="217">
        <v>-7</v>
      </c>
      <c r="CI741" s="217">
        <v>0</v>
      </c>
      <c r="CJ741" s="217">
        <v>0</v>
      </c>
    </row>
    <row r="742" spans="1:88" x14ac:dyDescent="0.25">
      <c r="A742" s="217" t="s">
        <v>22</v>
      </c>
      <c r="B742" s="217" t="s">
        <v>23</v>
      </c>
      <c r="C742" s="217" t="s">
        <v>184</v>
      </c>
      <c r="D742" s="217" t="s">
        <v>183</v>
      </c>
      <c r="E742" s="217" t="s">
        <v>471</v>
      </c>
      <c r="F742" s="217" t="s">
        <v>472</v>
      </c>
      <c r="G742" s="217" t="s">
        <v>476</v>
      </c>
      <c r="H742" s="217" t="s">
        <v>1326</v>
      </c>
      <c r="I742" s="217" t="s">
        <v>29</v>
      </c>
      <c r="J742" s="217" t="s">
        <v>1857</v>
      </c>
      <c r="K742" s="217">
        <v>4</v>
      </c>
      <c r="L742" s="217">
        <v>32</v>
      </c>
      <c r="M742" s="217" t="s">
        <v>99</v>
      </c>
      <c r="N742" s="217" t="s">
        <v>32</v>
      </c>
      <c r="O742" s="217" t="s">
        <v>100</v>
      </c>
      <c r="P742" s="217" t="s">
        <v>34</v>
      </c>
      <c r="Q742" s="217" t="s">
        <v>35</v>
      </c>
      <c r="R742" s="217" t="s">
        <v>23</v>
      </c>
      <c r="S742" s="217" t="s">
        <v>22</v>
      </c>
      <c r="T742" s="217" t="s">
        <v>183</v>
      </c>
      <c r="U742" s="217" t="s">
        <v>184</v>
      </c>
      <c r="V742" s="217" t="s">
        <v>472</v>
      </c>
      <c r="W742" s="217" t="s">
        <v>471</v>
      </c>
      <c r="BC742" s="217" t="s">
        <v>37</v>
      </c>
      <c r="BD742" s="217" t="s">
        <v>608</v>
      </c>
      <c r="BE742" s="217" t="s">
        <v>1490</v>
      </c>
      <c r="BF742" s="217" t="s">
        <v>610</v>
      </c>
      <c r="BG742" s="217" t="s">
        <v>1998</v>
      </c>
      <c r="BH742" s="217" t="s">
        <v>1658</v>
      </c>
      <c r="BI742" s="217" t="s">
        <v>1660</v>
      </c>
      <c r="BJ742" s="217" t="s">
        <v>1658</v>
      </c>
      <c r="BK742" s="217" t="s">
        <v>637</v>
      </c>
      <c r="BL742" s="217"/>
      <c r="BM742" s="217"/>
      <c r="BN742" s="217">
        <v>0</v>
      </c>
      <c r="BO742" s="217">
        <v>0</v>
      </c>
      <c r="BR742" s="217" t="s">
        <v>37</v>
      </c>
      <c r="BS742" s="217" t="s">
        <v>236</v>
      </c>
      <c r="BT742" s="217" t="s">
        <v>643</v>
      </c>
      <c r="BU742" s="217" t="s">
        <v>1536</v>
      </c>
      <c r="BV742" s="217">
        <v>0</v>
      </c>
      <c r="BW742" s="217">
        <v>0</v>
      </c>
      <c r="BX742" s="217">
        <v>16</v>
      </c>
      <c r="BY742" s="217">
        <v>90</v>
      </c>
      <c r="BZ742" s="217">
        <v>14</v>
      </c>
      <c r="CA742" s="217">
        <v>75</v>
      </c>
      <c r="CB742" s="217">
        <v>0</v>
      </c>
      <c r="CC742" s="217">
        <v>0</v>
      </c>
      <c r="CD742" s="217">
        <v>16</v>
      </c>
      <c r="CE742" s="217">
        <v>90</v>
      </c>
      <c r="CF742" s="217">
        <v>14</v>
      </c>
      <c r="CG742" s="217">
        <v>75</v>
      </c>
      <c r="CH742" s="217">
        <v>0</v>
      </c>
      <c r="CI742" s="217">
        <v>0</v>
      </c>
      <c r="CJ742" s="217">
        <v>0</v>
      </c>
    </row>
    <row r="743" spans="1:88" x14ac:dyDescent="0.25">
      <c r="A743" s="217" t="s">
        <v>22</v>
      </c>
      <c r="B743" s="217" t="s">
        <v>23</v>
      </c>
      <c r="C743" s="217" t="s">
        <v>184</v>
      </c>
      <c r="D743" s="217" t="s">
        <v>183</v>
      </c>
      <c r="E743" s="217" t="s">
        <v>471</v>
      </c>
      <c r="F743" s="217" t="s">
        <v>472</v>
      </c>
      <c r="G743" s="217" t="s">
        <v>476</v>
      </c>
      <c r="H743" s="217" t="s">
        <v>1326</v>
      </c>
      <c r="I743" s="217" t="s">
        <v>29</v>
      </c>
      <c r="J743" s="217" t="s">
        <v>1858</v>
      </c>
      <c r="K743" s="217">
        <v>15</v>
      </c>
      <c r="L743" s="217">
        <v>52</v>
      </c>
      <c r="M743" s="217" t="s">
        <v>99</v>
      </c>
      <c r="N743" s="217" t="s">
        <v>32</v>
      </c>
      <c r="O743" s="217" t="s">
        <v>100</v>
      </c>
      <c r="P743" s="217" t="s">
        <v>34</v>
      </c>
      <c r="Q743" s="217" t="s">
        <v>35</v>
      </c>
      <c r="R743" s="217" t="s">
        <v>23</v>
      </c>
      <c r="S743" s="217" t="s">
        <v>22</v>
      </c>
      <c r="T743" s="217" t="s">
        <v>183</v>
      </c>
      <c r="U743" s="217" t="s">
        <v>184</v>
      </c>
      <c r="V743" s="217" t="s">
        <v>472</v>
      </c>
      <c r="W743" s="217" t="s">
        <v>471</v>
      </c>
      <c r="BC743" s="217" t="s">
        <v>37</v>
      </c>
      <c r="BD743" s="217" t="s">
        <v>608</v>
      </c>
      <c r="BE743" s="217" t="s">
        <v>1491</v>
      </c>
      <c r="BF743" s="217" t="s">
        <v>611</v>
      </c>
      <c r="BG743" s="217" t="s">
        <v>1998</v>
      </c>
      <c r="BH743" s="217" t="s">
        <v>1660</v>
      </c>
      <c r="BI743" s="217" t="s">
        <v>1660</v>
      </c>
      <c r="BJ743" s="217" t="s">
        <v>1660</v>
      </c>
      <c r="BK743" s="217" t="s">
        <v>637</v>
      </c>
      <c r="BL743" s="217"/>
      <c r="BM743" s="217"/>
      <c r="BN743" s="217">
        <v>0</v>
      </c>
      <c r="BO743" s="217">
        <v>0</v>
      </c>
      <c r="BR743" s="217" t="s">
        <v>37</v>
      </c>
      <c r="BS743" s="217" t="s">
        <v>236</v>
      </c>
      <c r="BT743" s="217" t="s">
        <v>237</v>
      </c>
      <c r="BU743" s="217" t="s">
        <v>1588</v>
      </c>
      <c r="BV743" s="217">
        <v>10</v>
      </c>
      <c r="BW743" s="217">
        <v>78</v>
      </c>
      <c r="BX743" s="217">
        <v>0</v>
      </c>
      <c r="BY743" s="217">
        <v>0</v>
      </c>
      <c r="BZ743" s="217">
        <v>17</v>
      </c>
      <c r="CA743" s="217">
        <v>95</v>
      </c>
      <c r="CB743" s="217">
        <v>10</v>
      </c>
      <c r="CC743" s="217">
        <v>78</v>
      </c>
      <c r="CD743" s="217">
        <v>0</v>
      </c>
      <c r="CE743" s="217">
        <v>0</v>
      </c>
      <c r="CF743" s="217">
        <v>17</v>
      </c>
      <c r="CG743" s="217">
        <v>95</v>
      </c>
      <c r="CH743" s="217">
        <v>0</v>
      </c>
      <c r="CI743" s="217">
        <v>0</v>
      </c>
      <c r="CJ743" s="217">
        <v>0</v>
      </c>
    </row>
    <row r="744" spans="1:88" x14ac:dyDescent="0.25">
      <c r="A744" s="217" t="s">
        <v>22</v>
      </c>
      <c r="B744" s="217" t="s">
        <v>23</v>
      </c>
      <c r="C744" s="217" t="s">
        <v>184</v>
      </c>
      <c r="D744" s="217" t="s">
        <v>183</v>
      </c>
      <c r="E744" s="217" t="s">
        <v>471</v>
      </c>
      <c r="F744" s="217" t="s">
        <v>472</v>
      </c>
      <c r="G744" s="217" t="s">
        <v>477</v>
      </c>
      <c r="H744" s="217" t="s">
        <v>1327</v>
      </c>
      <c r="I744" s="217" t="s">
        <v>29</v>
      </c>
      <c r="J744" s="217" t="s">
        <v>1854</v>
      </c>
      <c r="K744" s="217">
        <v>12</v>
      </c>
      <c r="L744" s="217">
        <v>99</v>
      </c>
      <c r="M744" s="217" t="s">
        <v>99</v>
      </c>
      <c r="N744" s="217" t="s">
        <v>32</v>
      </c>
      <c r="O744" s="217" t="s">
        <v>100</v>
      </c>
      <c r="P744" s="217" t="s">
        <v>34</v>
      </c>
      <c r="Q744" s="217" t="s">
        <v>35</v>
      </c>
      <c r="R744" s="217" t="s">
        <v>23</v>
      </c>
      <c r="S744" s="217" t="s">
        <v>22</v>
      </c>
      <c r="T744" s="217" t="s">
        <v>183</v>
      </c>
      <c r="U744" s="217" t="s">
        <v>184</v>
      </c>
      <c r="V744" s="217" t="s">
        <v>472</v>
      </c>
      <c r="W744" s="217" t="s">
        <v>471</v>
      </c>
      <c r="BC744" s="217" t="s">
        <v>37</v>
      </c>
      <c r="BD744" s="217" t="s">
        <v>608</v>
      </c>
      <c r="BE744" s="217" t="s">
        <v>1492</v>
      </c>
      <c r="BF744" s="217" t="s">
        <v>612</v>
      </c>
      <c r="BG744" s="217" t="s">
        <v>1998</v>
      </c>
      <c r="BH744" s="217" t="s">
        <v>1658</v>
      </c>
      <c r="BI744" s="217" t="s">
        <v>1660</v>
      </c>
      <c r="BJ744" s="217" t="s">
        <v>1658</v>
      </c>
      <c r="BK744" s="217" t="s">
        <v>637</v>
      </c>
      <c r="BL744" s="217"/>
      <c r="BM744" s="217"/>
      <c r="BN744" s="217">
        <v>0</v>
      </c>
      <c r="BO744" s="217">
        <v>0</v>
      </c>
      <c r="BR744" s="217" t="s">
        <v>37</v>
      </c>
      <c r="BS744" s="217" t="s">
        <v>236</v>
      </c>
      <c r="BT744" s="217" t="s">
        <v>241</v>
      </c>
      <c r="BU744" s="217" t="s">
        <v>1589</v>
      </c>
      <c r="BV744" s="217">
        <v>0</v>
      </c>
      <c r="BW744" s="217">
        <v>0</v>
      </c>
      <c r="BX744" s="217">
        <v>0</v>
      </c>
      <c r="BY744" s="217">
        <v>0</v>
      </c>
      <c r="BZ744" s="217">
        <v>156</v>
      </c>
      <c r="CA744" s="217">
        <v>780</v>
      </c>
      <c r="CB744" s="217">
        <v>0</v>
      </c>
      <c r="CC744" s="217">
        <v>0</v>
      </c>
      <c r="CD744" s="217">
        <v>0</v>
      </c>
      <c r="CE744" s="217">
        <v>0</v>
      </c>
      <c r="CF744" s="217">
        <v>156</v>
      </c>
      <c r="CG744" s="217">
        <v>780</v>
      </c>
      <c r="CH744" s="217">
        <v>0</v>
      </c>
      <c r="CI744" s="217">
        <v>0</v>
      </c>
      <c r="CJ744" s="217">
        <v>0</v>
      </c>
    </row>
    <row r="745" spans="1:88" x14ac:dyDescent="0.25">
      <c r="A745" s="217" t="s">
        <v>22</v>
      </c>
      <c r="B745" s="217" t="s">
        <v>23</v>
      </c>
      <c r="C745" s="217" t="s">
        <v>184</v>
      </c>
      <c r="D745" s="217" t="s">
        <v>183</v>
      </c>
      <c r="E745" s="217" t="s">
        <v>471</v>
      </c>
      <c r="F745" s="217" t="s">
        <v>472</v>
      </c>
      <c r="G745" s="217" t="s">
        <v>477</v>
      </c>
      <c r="H745" s="217" t="s">
        <v>1327</v>
      </c>
      <c r="I745" s="217" t="s">
        <v>29</v>
      </c>
      <c r="J745" s="217" t="s">
        <v>1855</v>
      </c>
      <c r="K745" s="217">
        <v>8</v>
      </c>
      <c r="L745" s="217">
        <v>29</v>
      </c>
      <c r="M745" s="217" t="s">
        <v>99</v>
      </c>
      <c r="N745" s="217" t="s">
        <v>32</v>
      </c>
      <c r="O745" s="217" t="s">
        <v>100</v>
      </c>
      <c r="P745" s="217" t="s">
        <v>34</v>
      </c>
      <c r="Q745" s="217" t="s">
        <v>35</v>
      </c>
      <c r="R745" s="217" t="s">
        <v>23</v>
      </c>
      <c r="S745" s="217" t="s">
        <v>22</v>
      </c>
      <c r="T745" s="217" t="s">
        <v>183</v>
      </c>
      <c r="U745" s="217" t="s">
        <v>184</v>
      </c>
      <c r="V745" s="217" t="s">
        <v>472</v>
      </c>
      <c r="W745" s="217" t="s">
        <v>471</v>
      </c>
      <c r="BC745" s="217" t="s">
        <v>37</v>
      </c>
      <c r="BD745" s="217" t="s">
        <v>608</v>
      </c>
      <c r="BE745" s="217" t="s">
        <v>1493</v>
      </c>
      <c r="BF745" s="217" t="s">
        <v>613</v>
      </c>
      <c r="BG745" s="217" t="s">
        <v>1998</v>
      </c>
      <c r="BH745" s="217" t="s">
        <v>1658</v>
      </c>
      <c r="BI745" s="217" t="s">
        <v>1660</v>
      </c>
      <c r="BJ745" s="217" t="s">
        <v>1658</v>
      </c>
      <c r="BK745" s="217" t="s">
        <v>637</v>
      </c>
      <c r="BL745" s="217"/>
      <c r="BM745" s="217"/>
      <c r="BN745" s="217">
        <v>0</v>
      </c>
      <c r="BO745" s="217">
        <v>0</v>
      </c>
    </row>
    <row r="746" spans="1:88" x14ac:dyDescent="0.25">
      <c r="A746" s="217" t="s">
        <v>22</v>
      </c>
      <c r="B746" s="217" t="s">
        <v>23</v>
      </c>
      <c r="C746" s="217" t="s">
        <v>184</v>
      </c>
      <c r="D746" s="217" t="s">
        <v>183</v>
      </c>
      <c r="E746" s="217" t="s">
        <v>471</v>
      </c>
      <c r="F746" s="217" t="s">
        <v>472</v>
      </c>
      <c r="G746" s="217" t="s">
        <v>477</v>
      </c>
      <c r="H746" s="217" t="s">
        <v>1327</v>
      </c>
      <c r="I746" s="217" t="s">
        <v>29</v>
      </c>
      <c r="J746" s="217" t="s">
        <v>1857</v>
      </c>
      <c r="K746" s="217">
        <v>6</v>
      </c>
      <c r="L746" s="217">
        <v>50</v>
      </c>
      <c r="M746" s="217" t="s">
        <v>99</v>
      </c>
      <c r="N746" s="217" t="s">
        <v>32</v>
      </c>
      <c r="O746" s="217" t="s">
        <v>100</v>
      </c>
      <c r="P746" s="217" t="s">
        <v>34</v>
      </c>
      <c r="Q746" s="217" t="s">
        <v>35</v>
      </c>
      <c r="R746" s="217" t="s">
        <v>23</v>
      </c>
      <c r="S746" s="217" t="s">
        <v>22</v>
      </c>
      <c r="T746" s="217" t="s">
        <v>183</v>
      </c>
      <c r="U746" s="217" t="s">
        <v>184</v>
      </c>
      <c r="V746" s="217" t="s">
        <v>472</v>
      </c>
      <c r="W746" s="217" t="s">
        <v>471</v>
      </c>
      <c r="BC746" s="217" t="s">
        <v>37</v>
      </c>
      <c r="BD746" s="217" t="s">
        <v>608</v>
      </c>
      <c r="BE746" s="217" t="s">
        <v>1494</v>
      </c>
      <c r="BF746" s="217" t="s">
        <v>614</v>
      </c>
      <c r="BG746" s="217" t="s">
        <v>1998</v>
      </c>
      <c r="BH746" s="217" t="s">
        <v>1658</v>
      </c>
      <c r="BI746" s="217" t="s">
        <v>1658</v>
      </c>
      <c r="BJ746" s="217" t="s">
        <v>1658</v>
      </c>
      <c r="BK746" s="217" t="s">
        <v>637</v>
      </c>
      <c r="BL746" s="217"/>
      <c r="BM746" s="217"/>
      <c r="BN746" s="217">
        <v>0</v>
      </c>
      <c r="BO746" s="217">
        <v>0</v>
      </c>
    </row>
    <row r="747" spans="1:88" x14ac:dyDescent="0.25">
      <c r="A747" s="217" t="s">
        <v>22</v>
      </c>
      <c r="B747" s="217" t="s">
        <v>23</v>
      </c>
      <c r="C747" s="217" t="s">
        <v>184</v>
      </c>
      <c r="D747" s="217" t="s">
        <v>183</v>
      </c>
      <c r="E747" s="217" t="s">
        <v>471</v>
      </c>
      <c r="F747" s="217" t="s">
        <v>472</v>
      </c>
      <c r="G747" s="217" t="s">
        <v>477</v>
      </c>
      <c r="H747" s="217" t="s">
        <v>1327</v>
      </c>
      <c r="I747" s="217" t="s">
        <v>29</v>
      </c>
      <c r="J747" s="217" t="s">
        <v>1858</v>
      </c>
      <c r="K747" s="217">
        <v>25</v>
      </c>
      <c r="L747" s="217">
        <v>146</v>
      </c>
      <c r="M747" s="217" t="s">
        <v>99</v>
      </c>
      <c r="N747" s="217" t="s">
        <v>32</v>
      </c>
      <c r="O747" s="217" t="s">
        <v>100</v>
      </c>
      <c r="P747" s="217" t="s">
        <v>34</v>
      </c>
      <c r="Q747" s="217" t="s">
        <v>35</v>
      </c>
      <c r="R747" s="217" t="s">
        <v>23</v>
      </c>
      <c r="S747" s="217" t="s">
        <v>22</v>
      </c>
      <c r="T747" s="217" t="s">
        <v>183</v>
      </c>
      <c r="U747" s="217" t="s">
        <v>184</v>
      </c>
      <c r="V747" s="217" t="s">
        <v>472</v>
      </c>
      <c r="W747" s="217" t="s">
        <v>471</v>
      </c>
      <c r="BC747" s="217" t="s">
        <v>37</v>
      </c>
      <c r="BD747" s="217" t="s">
        <v>608</v>
      </c>
      <c r="BE747" s="217" t="s">
        <v>1495</v>
      </c>
      <c r="BF747" s="217" t="s">
        <v>615</v>
      </c>
      <c r="BG747" s="217" t="s">
        <v>1998</v>
      </c>
      <c r="BH747" s="217" t="s">
        <v>1658</v>
      </c>
      <c r="BI747" s="217" t="s">
        <v>1660</v>
      </c>
      <c r="BJ747" s="217" t="s">
        <v>1660</v>
      </c>
      <c r="BK747" s="217" t="s">
        <v>637</v>
      </c>
      <c r="BL747" s="217"/>
      <c r="BM747" s="217"/>
      <c r="BN747" s="217">
        <v>0</v>
      </c>
      <c r="BO747" s="217">
        <v>0</v>
      </c>
    </row>
    <row r="748" spans="1:88" x14ac:dyDescent="0.25">
      <c r="A748" s="217" t="s">
        <v>22</v>
      </c>
      <c r="B748" s="217" t="s">
        <v>23</v>
      </c>
      <c r="C748" s="217" t="s">
        <v>184</v>
      </c>
      <c r="D748" s="217" t="s">
        <v>183</v>
      </c>
      <c r="E748" s="217" t="s">
        <v>471</v>
      </c>
      <c r="F748" s="217" t="s">
        <v>472</v>
      </c>
      <c r="G748" s="217" t="s">
        <v>478</v>
      </c>
      <c r="H748" s="217" t="s">
        <v>1328</v>
      </c>
      <c r="I748" s="217" t="s">
        <v>29</v>
      </c>
      <c r="J748" s="217" t="s">
        <v>1854</v>
      </c>
      <c r="K748" s="217">
        <v>19</v>
      </c>
      <c r="L748" s="217">
        <v>114</v>
      </c>
      <c r="M748" s="217" t="s">
        <v>99</v>
      </c>
      <c r="N748" s="217" t="s">
        <v>32</v>
      </c>
      <c r="O748" s="217" t="s">
        <v>100</v>
      </c>
      <c r="P748" s="217" t="s">
        <v>34</v>
      </c>
      <c r="Q748" s="217" t="s">
        <v>35</v>
      </c>
      <c r="R748" s="217" t="s">
        <v>23</v>
      </c>
      <c r="S748" s="217" t="s">
        <v>22</v>
      </c>
      <c r="T748" s="217" t="s">
        <v>183</v>
      </c>
      <c r="U748" s="217" t="s">
        <v>184</v>
      </c>
      <c r="V748" s="217" t="s">
        <v>472</v>
      </c>
      <c r="W748" s="217" t="s">
        <v>471</v>
      </c>
      <c r="BC748" s="217" t="s">
        <v>37</v>
      </c>
      <c r="BD748" s="217" t="s">
        <v>608</v>
      </c>
      <c r="BE748" s="217" t="s">
        <v>1496</v>
      </c>
      <c r="BF748" s="217" t="s">
        <v>2145</v>
      </c>
      <c r="BG748" s="217" t="s">
        <v>1998</v>
      </c>
      <c r="BH748" s="217" t="s">
        <v>1658</v>
      </c>
      <c r="BI748" s="217" t="s">
        <v>1658</v>
      </c>
      <c r="BJ748" s="217" t="s">
        <v>1660</v>
      </c>
      <c r="BK748" s="217" t="s">
        <v>637</v>
      </c>
      <c r="BL748" s="217"/>
      <c r="BM748" s="217"/>
      <c r="BN748" s="217">
        <v>0</v>
      </c>
      <c r="BO748" s="217">
        <v>0</v>
      </c>
    </row>
    <row r="749" spans="1:88" x14ac:dyDescent="0.25">
      <c r="A749" s="217" t="s">
        <v>22</v>
      </c>
      <c r="B749" s="217" t="s">
        <v>23</v>
      </c>
      <c r="C749" s="217" t="s">
        <v>184</v>
      </c>
      <c r="D749" s="217" t="s">
        <v>183</v>
      </c>
      <c r="E749" s="217" t="s">
        <v>471</v>
      </c>
      <c r="F749" s="217" t="s">
        <v>472</v>
      </c>
      <c r="G749" s="217" t="s">
        <v>478</v>
      </c>
      <c r="H749" s="217" t="s">
        <v>1328</v>
      </c>
      <c r="I749" s="217" t="s">
        <v>29</v>
      </c>
      <c r="J749" s="217" t="s">
        <v>1857</v>
      </c>
      <c r="K749" s="217">
        <v>5</v>
      </c>
      <c r="L749" s="217">
        <v>38</v>
      </c>
      <c r="M749" s="217" t="s">
        <v>99</v>
      </c>
      <c r="N749" s="217" t="s">
        <v>32</v>
      </c>
      <c r="O749" s="217" t="s">
        <v>100</v>
      </c>
      <c r="P749" s="217" t="s">
        <v>34</v>
      </c>
      <c r="Q749" s="217" t="s">
        <v>35</v>
      </c>
      <c r="R749" s="217" t="s">
        <v>23</v>
      </c>
      <c r="S749" s="217" t="s">
        <v>22</v>
      </c>
      <c r="T749" s="217" t="s">
        <v>183</v>
      </c>
      <c r="U749" s="217" t="s">
        <v>184</v>
      </c>
      <c r="V749" s="217" t="s">
        <v>472</v>
      </c>
      <c r="W749" s="217" t="s">
        <v>471</v>
      </c>
    </row>
    <row r="750" spans="1:88" x14ac:dyDescent="0.25">
      <c r="A750" s="217" t="s">
        <v>22</v>
      </c>
      <c r="B750" s="217" t="s">
        <v>23</v>
      </c>
      <c r="C750" s="217" t="s">
        <v>184</v>
      </c>
      <c r="D750" s="217" t="s">
        <v>183</v>
      </c>
      <c r="E750" s="217" t="s">
        <v>471</v>
      </c>
      <c r="F750" s="217" t="s">
        <v>472</v>
      </c>
      <c r="G750" s="217" t="s">
        <v>478</v>
      </c>
      <c r="H750" s="217" t="s">
        <v>1328</v>
      </c>
      <c r="I750" s="217" t="s">
        <v>29</v>
      </c>
      <c r="J750" s="217" t="s">
        <v>1858</v>
      </c>
      <c r="K750" s="217">
        <v>2</v>
      </c>
      <c r="L750" s="217">
        <v>12</v>
      </c>
      <c r="M750" s="217" t="s">
        <v>99</v>
      </c>
      <c r="N750" s="217" t="s">
        <v>32</v>
      </c>
      <c r="O750" s="217" t="s">
        <v>100</v>
      </c>
      <c r="P750" s="217" t="s">
        <v>34</v>
      </c>
      <c r="Q750" s="217" t="s">
        <v>35</v>
      </c>
      <c r="R750" s="217" t="s">
        <v>23</v>
      </c>
      <c r="S750" s="217" t="s">
        <v>22</v>
      </c>
      <c r="T750" s="217" t="s">
        <v>183</v>
      </c>
      <c r="U750" s="217" t="s">
        <v>184</v>
      </c>
      <c r="V750" s="217" t="s">
        <v>472</v>
      </c>
      <c r="W750" s="217" t="s">
        <v>471</v>
      </c>
      <c r="BZ750" s="227"/>
    </row>
    <row r="751" spans="1:88" x14ac:dyDescent="0.25">
      <c r="A751" s="217" t="s">
        <v>22</v>
      </c>
      <c r="B751" s="217" t="s">
        <v>23</v>
      </c>
      <c r="C751" s="217" t="s">
        <v>184</v>
      </c>
      <c r="D751" s="217" t="s">
        <v>183</v>
      </c>
      <c r="E751" s="217" t="s">
        <v>471</v>
      </c>
      <c r="F751" s="217" t="s">
        <v>472</v>
      </c>
      <c r="G751" s="217" t="s">
        <v>479</v>
      </c>
      <c r="H751" s="217" t="s">
        <v>1329</v>
      </c>
      <c r="I751" s="217" t="s">
        <v>29</v>
      </c>
      <c r="J751" s="217" t="s">
        <v>1854</v>
      </c>
      <c r="K751" s="217">
        <v>19</v>
      </c>
      <c r="L751" s="217">
        <v>129</v>
      </c>
      <c r="M751" s="217" t="s">
        <v>99</v>
      </c>
      <c r="N751" s="217" t="s">
        <v>32</v>
      </c>
      <c r="O751" s="217" t="s">
        <v>100</v>
      </c>
      <c r="P751" s="217" t="s">
        <v>34</v>
      </c>
      <c r="Q751" s="217" t="s">
        <v>35</v>
      </c>
      <c r="R751" s="217" t="s">
        <v>23</v>
      </c>
      <c r="S751" s="217" t="s">
        <v>22</v>
      </c>
      <c r="T751" s="217" t="s">
        <v>183</v>
      </c>
      <c r="U751" s="217" t="s">
        <v>184</v>
      </c>
      <c r="V751" s="217" t="s">
        <v>472</v>
      </c>
      <c r="W751" s="217" t="s">
        <v>471</v>
      </c>
    </row>
    <row r="752" spans="1:88" x14ac:dyDescent="0.25">
      <c r="A752" s="217" t="s">
        <v>22</v>
      </c>
      <c r="B752" s="217" t="s">
        <v>23</v>
      </c>
      <c r="C752" s="217" t="s">
        <v>184</v>
      </c>
      <c r="D752" s="217" t="s">
        <v>183</v>
      </c>
      <c r="E752" s="217" t="s">
        <v>471</v>
      </c>
      <c r="F752" s="217" t="s">
        <v>472</v>
      </c>
      <c r="G752" s="217" t="s">
        <v>479</v>
      </c>
      <c r="H752" s="217" t="s">
        <v>1329</v>
      </c>
      <c r="I752" s="217" t="s">
        <v>29</v>
      </c>
      <c r="J752" s="217" t="s">
        <v>1858</v>
      </c>
      <c r="K752" s="217">
        <v>9</v>
      </c>
      <c r="L752" s="217">
        <v>43</v>
      </c>
      <c r="M752" s="217" t="s">
        <v>99</v>
      </c>
      <c r="N752" s="217" t="s">
        <v>32</v>
      </c>
      <c r="O752" s="217" t="s">
        <v>100</v>
      </c>
      <c r="P752" s="217" t="s">
        <v>34</v>
      </c>
      <c r="Q752" s="217" t="s">
        <v>35</v>
      </c>
      <c r="R752" s="217" t="s">
        <v>23</v>
      </c>
      <c r="S752" s="217" t="s">
        <v>22</v>
      </c>
      <c r="T752" s="217" t="s">
        <v>183</v>
      </c>
      <c r="U752" s="217" t="s">
        <v>184</v>
      </c>
      <c r="V752" s="217" t="s">
        <v>472</v>
      </c>
      <c r="W752" s="217" t="s">
        <v>471</v>
      </c>
    </row>
    <row r="753" spans="1:23" x14ac:dyDescent="0.25">
      <c r="A753" s="217" t="s">
        <v>22</v>
      </c>
      <c r="B753" s="217" t="s">
        <v>23</v>
      </c>
      <c r="C753" s="217" t="s">
        <v>184</v>
      </c>
      <c r="D753" s="217" t="s">
        <v>183</v>
      </c>
      <c r="E753" s="217" t="s">
        <v>471</v>
      </c>
      <c r="F753" s="217" t="s">
        <v>472</v>
      </c>
      <c r="G753" s="217" t="s">
        <v>480</v>
      </c>
      <c r="H753" s="217" t="s">
        <v>1330</v>
      </c>
      <c r="I753" s="217" t="s">
        <v>29</v>
      </c>
      <c r="J753" s="217" t="s">
        <v>1854</v>
      </c>
      <c r="K753" s="217">
        <v>12</v>
      </c>
      <c r="L753" s="217">
        <v>73</v>
      </c>
      <c r="M753" s="217" t="s">
        <v>99</v>
      </c>
      <c r="N753" s="217" t="s">
        <v>32</v>
      </c>
      <c r="O753" s="217" t="s">
        <v>100</v>
      </c>
      <c r="P753" s="217" t="s">
        <v>34</v>
      </c>
      <c r="Q753" s="217" t="s">
        <v>35</v>
      </c>
      <c r="R753" s="217" t="s">
        <v>23</v>
      </c>
      <c r="S753" s="217" t="s">
        <v>22</v>
      </c>
      <c r="T753" s="217" t="s">
        <v>183</v>
      </c>
      <c r="U753" s="217" t="s">
        <v>184</v>
      </c>
      <c r="V753" s="217" t="s">
        <v>472</v>
      </c>
      <c r="W753" s="217" t="s">
        <v>471</v>
      </c>
    </row>
    <row r="754" spans="1:23" x14ac:dyDescent="0.25">
      <c r="A754" s="217" t="s">
        <v>22</v>
      </c>
      <c r="B754" s="217" t="s">
        <v>23</v>
      </c>
      <c r="C754" s="217" t="s">
        <v>184</v>
      </c>
      <c r="D754" s="217" t="s">
        <v>183</v>
      </c>
      <c r="E754" s="217" t="s">
        <v>471</v>
      </c>
      <c r="F754" s="217" t="s">
        <v>472</v>
      </c>
      <c r="G754" s="217" t="s">
        <v>480</v>
      </c>
      <c r="H754" s="217" t="s">
        <v>1330</v>
      </c>
      <c r="I754" s="217" t="s">
        <v>29</v>
      </c>
      <c r="J754" s="217" t="s">
        <v>1857</v>
      </c>
      <c r="K754" s="217">
        <v>2</v>
      </c>
      <c r="L754" s="217">
        <v>7</v>
      </c>
      <c r="M754" s="217" t="s">
        <v>99</v>
      </c>
      <c r="N754" s="217" t="s">
        <v>32</v>
      </c>
      <c r="O754" s="217" t="s">
        <v>100</v>
      </c>
      <c r="P754" s="217" t="s">
        <v>34</v>
      </c>
      <c r="Q754" s="217" t="s">
        <v>35</v>
      </c>
      <c r="R754" s="217" t="s">
        <v>23</v>
      </c>
      <c r="S754" s="217" t="s">
        <v>22</v>
      </c>
      <c r="T754" s="217" t="s">
        <v>183</v>
      </c>
      <c r="U754" s="217" t="s">
        <v>184</v>
      </c>
      <c r="V754" s="217" t="s">
        <v>472</v>
      </c>
      <c r="W754" s="217" t="s">
        <v>471</v>
      </c>
    </row>
    <row r="755" spans="1:23" x14ac:dyDescent="0.25">
      <c r="A755" s="217" t="s">
        <v>22</v>
      </c>
      <c r="B755" s="217" t="s">
        <v>23</v>
      </c>
      <c r="C755" s="217" t="s">
        <v>184</v>
      </c>
      <c r="D755" s="217" t="s">
        <v>183</v>
      </c>
      <c r="E755" s="217" t="s">
        <v>471</v>
      </c>
      <c r="F755" s="217" t="s">
        <v>472</v>
      </c>
      <c r="G755" s="217" t="s">
        <v>480</v>
      </c>
      <c r="H755" s="217" t="s">
        <v>1330</v>
      </c>
      <c r="I755" s="217" t="s">
        <v>29</v>
      </c>
      <c r="J755" s="217" t="s">
        <v>1858</v>
      </c>
      <c r="K755" s="217">
        <v>3</v>
      </c>
      <c r="L755" s="217">
        <v>17</v>
      </c>
      <c r="M755" s="217" t="s">
        <v>99</v>
      </c>
      <c r="N755" s="217" t="s">
        <v>32</v>
      </c>
      <c r="O755" s="217" t="s">
        <v>100</v>
      </c>
      <c r="P755" s="217" t="s">
        <v>34</v>
      </c>
      <c r="Q755" s="217" t="s">
        <v>35</v>
      </c>
      <c r="R755" s="217" t="s">
        <v>23</v>
      </c>
      <c r="S755" s="217" t="s">
        <v>22</v>
      </c>
      <c r="T755" s="217" t="s">
        <v>183</v>
      </c>
      <c r="U755" s="217" t="s">
        <v>184</v>
      </c>
      <c r="V755" s="217" t="s">
        <v>472</v>
      </c>
      <c r="W755" s="217" t="s">
        <v>471</v>
      </c>
    </row>
    <row r="756" spans="1:23" x14ac:dyDescent="0.25">
      <c r="A756" s="217" t="s">
        <v>22</v>
      </c>
      <c r="B756" s="217" t="s">
        <v>23</v>
      </c>
      <c r="C756" s="217" t="s">
        <v>184</v>
      </c>
      <c r="D756" s="217" t="s">
        <v>183</v>
      </c>
      <c r="E756" s="217" t="s">
        <v>196</v>
      </c>
      <c r="F756" s="217" t="s">
        <v>195</v>
      </c>
      <c r="G756" s="217" t="s">
        <v>481</v>
      </c>
      <c r="H756" s="217" t="s">
        <v>1331</v>
      </c>
      <c r="I756" s="217" t="s">
        <v>29</v>
      </c>
      <c r="J756" s="217" t="s">
        <v>1854</v>
      </c>
      <c r="K756" s="217">
        <v>35</v>
      </c>
      <c r="L756" s="217">
        <v>280</v>
      </c>
      <c r="M756" s="217" t="s">
        <v>99</v>
      </c>
      <c r="N756" s="217" t="s">
        <v>32</v>
      </c>
      <c r="O756" s="217" t="s">
        <v>100</v>
      </c>
      <c r="P756" s="217" t="s">
        <v>34</v>
      </c>
      <c r="Q756" s="217" t="s">
        <v>35</v>
      </c>
      <c r="R756" s="217" t="s">
        <v>23</v>
      </c>
      <c r="S756" s="217" t="s">
        <v>22</v>
      </c>
      <c r="T756" s="217" t="s">
        <v>183</v>
      </c>
      <c r="U756" s="217" t="s">
        <v>184</v>
      </c>
      <c r="V756" s="217" t="s">
        <v>195</v>
      </c>
      <c r="W756" s="217" t="s">
        <v>196</v>
      </c>
    </row>
    <row r="757" spans="1:23" x14ac:dyDescent="0.25">
      <c r="A757" s="217" t="s">
        <v>22</v>
      </c>
      <c r="B757" s="217" t="s">
        <v>23</v>
      </c>
      <c r="C757" s="217" t="s">
        <v>184</v>
      </c>
      <c r="D757" s="217" t="s">
        <v>183</v>
      </c>
      <c r="E757" s="217" t="s">
        <v>196</v>
      </c>
      <c r="F757" s="217" t="s">
        <v>195</v>
      </c>
      <c r="G757" s="217" t="s">
        <v>197</v>
      </c>
      <c r="H757" s="217" t="s">
        <v>1332</v>
      </c>
      <c r="I757" s="217" t="s">
        <v>29</v>
      </c>
      <c r="J757" s="217" t="s">
        <v>1854</v>
      </c>
      <c r="K757" s="217">
        <v>40</v>
      </c>
      <c r="L757" s="217">
        <v>420</v>
      </c>
      <c r="M757" s="217" t="s">
        <v>99</v>
      </c>
      <c r="N757" s="217" t="s">
        <v>32</v>
      </c>
      <c r="O757" s="217" t="s">
        <v>100</v>
      </c>
      <c r="P757" s="217" t="s">
        <v>34</v>
      </c>
      <c r="Q757" s="217" t="s">
        <v>35</v>
      </c>
      <c r="R757" s="217" t="s">
        <v>23</v>
      </c>
      <c r="S757" s="217" t="s">
        <v>22</v>
      </c>
      <c r="T757" s="217" t="s">
        <v>183</v>
      </c>
      <c r="U757" s="217" t="s">
        <v>184</v>
      </c>
      <c r="V757" s="217" t="s">
        <v>195</v>
      </c>
      <c r="W757" s="217" t="s">
        <v>196</v>
      </c>
    </row>
    <row r="758" spans="1:23" x14ac:dyDescent="0.25">
      <c r="A758" s="217" t="s">
        <v>22</v>
      </c>
      <c r="B758" s="217" t="s">
        <v>23</v>
      </c>
      <c r="C758" s="217" t="s">
        <v>184</v>
      </c>
      <c r="D758" s="217" t="s">
        <v>183</v>
      </c>
      <c r="E758" s="217" t="s">
        <v>196</v>
      </c>
      <c r="F758" s="217" t="s">
        <v>195</v>
      </c>
      <c r="G758" s="217" t="s">
        <v>198</v>
      </c>
      <c r="H758" s="217" t="s">
        <v>1333</v>
      </c>
      <c r="I758" s="217" t="s">
        <v>29</v>
      </c>
      <c r="J758" s="217" t="s">
        <v>1854</v>
      </c>
      <c r="K758" s="217">
        <v>50</v>
      </c>
      <c r="L758" s="217">
        <v>320</v>
      </c>
      <c r="M758" s="217" t="s">
        <v>99</v>
      </c>
      <c r="N758" s="217" t="s">
        <v>32</v>
      </c>
      <c r="O758" s="217" t="s">
        <v>100</v>
      </c>
      <c r="P758" s="217" t="s">
        <v>34</v>
      </c>
      <c r="Q758" s="217" t="s">
        <v>35</v>
      </c>
      <c r="R758" s="217" t="s">
        <v>23</v>
      </c>
      <c r="S758" s="217" t="s">
        <v>22</v>
      </c>
      <c r="T758" s="217" t="s">
        <v>183</v>
      </c>
      <c r="U758" s="217" t="s">
        <v>184</v>
      </c>
      <c r="V758" s="217" t="s">
        <v>195</v>
      </c>
      <c r="W758" s="217" t="s">
        <v>196</v>
      </c>
    </row>
    <row r="759" spans="1:23" x14ac:dyDescent="0.25">
      <c r="A759" s="217" t="s">
        <v>22</v>
      </c>
      <c r="B759" s="217" t="s">
        <v>23</v>
      </c>
      <c r="C759" s="217" t="s">
        <v>184</v>
      </c>
      <c r="D759" s="217" t="s">
        <v>183</v>
      </c>
      <c r="E759" s="217" t="s">
        <v>196</v>
      </c>
      <c r="F759" s="217" t="s">
        <v>195</v>
      </c>
      <c r="G759" s="217" t="s">
        <v>198</v>
      </c>
      <c r="H759" s="217" t="s">
        <v>1333</v>
      </c>
      <c r="I759" s="217" t="s">
        <v>29</v>
      </c>
      <c r="J759" s="217" t="s">
        <v>1856</v>
      </c>
      <c r="K759" s="217">
        <v>6</v>
      </c>
      <c r="L759" s="217">
        <v>50</v>
      </c>
      <c r="M759" s="217" t="s">
        <v>99</v>
      </c>
      <c r="N759" s="217" t="s">
        <v>32</v>
      </c>
      <c r="O759" s="217" t="s">
        <v>100</v>
      </c>
      <c r="P759" s="217" t="s">
        <v>34</v>
      </c>
      <c r="Q759" s="217" t="s">
        <v>35</v>
      </c>
      <c r="R759" s="217" t="s">
        <v>23</v>
      </c>
      <c r="S759" s="217" t="s">
        <v>22</v>
      </c>
      <c r="T759" s="217" t="s">
        <v>183</v>
      </c>
      <c r="U759" s="217" t="s">
        <v>184</v>
      </c>
      <c r="V759" s="217" t="s">
        <v>195</v>
      </c>
      <c r="W759" s="217" t="s">
        <v>196</v>
      </c>
    </row>
    <row r="760" spans="1:23" x14ac:dyDescent="0.25">
      <c r="A760" s="217" t="s">
        <v>22</v>
      </c>
      <c r="B760" s="217" t="s">
        <v>23</v>
      </c>
      <c r="C760" s="217" t="s">
        <v>184</v>
      </c>
      <c r="D760" s="217" t="s">
        <v>183</v>
      </c>
      <c r="E760" s="217" t="s">
        <v>196</v>
      </c>
      <c r="F760" s="217" t="s">
        <v>195</v>
      </c>
      <c r="G760" s="217" t="s">
        <v>201</v>
      </c>
      <c r="H760" s="217" t="s">
        <v>1334</v>
      </c>
      <c r="I760" s="217" t="s">
        <v>29</v>
      </c>
      <c r="J760" s="217" t="s">
        <v>1854</v>
      </c>
      <c r="K760" s="217">
        <v>100</v>
      </c>
      <c r="L760" s="217">
        <v>500</v>
      </c>
      <c r="M760" s="217" t="s">
        <v>99</v>
      </c>
      <c r="N760" s="217" t="s">
        <v>32</v>
      </c>
      <c r="O760" s="217" t="s">
        <v>100</v>
      </c>
      <c r="P760" s="217" t="s">
        <v>34</v>
      </c>
      <c r="Q760" s="217" t="s">
        <v>35</v>
      </c>
      <c r="R760" s="217" t="s">
        <v>23</v>
      </c>
      <c r="S760" s="217" t="s">
        <v>22</v>
      </c>
      <c r="T760" s="217" t="s">
        <v>183</v>
      </c>
      <c r="U760" s="217" t="s">
        <v>184</v>
      </c>
      <c r="V760" s="217" t="s">
        <v>195</v>
      </c>
      <c r="W760" s="217" t="s">
        <v>196</v>
      </c>
    </row>
    <row r="761" spans="1:23" x14ac:dyDescent="0.25">
      <c r="A761" s="217" t="s">
        <v>22</v>
      </c>
      <c r="B761" s="217" t="s">
        <v>23</v>
      </c>
      <c r="C761" s="217" t="s">
        <v>184</v>
      </c>
      <c r="D761" s="217" t="s">
        <v>183</v>
      </c>
      <c r="E761" s="217" t="s">
        <v>196</v>
      </c>
      <c r="F761" s="217" t="s">
        <v>195</v>
      </c>
      <c r="G761" s="217" t="s">
        <v>482</v>
      </c>
      <c r="H761" s="217" t="s">
        <v>1335</v>
      </c>
      <c r="I761" s="217" t="s">
        <v>29</v>
      </c>
      <c r="J761" s="217" t="s">
        <v>1854</v>
      </c>
      <c r="K761" s="217">
        <v>6</v>
      </c>
      <c r="L761" s="217">
        <v>48</v>
      </c>
      <c r="M761" s="217" t="s">
        <v>99</v>
      </c>
      <c r="N761" s="217" t="s">
        <v>32</v>
      </c>
      <c r="O761" s="217" t="s">
        <v>100</v>
      </c>
      <c r="P761" s="217" t="s">
        <v>34</v>
      </c>
      <c r="Q761" s="217" t="s">
        <v>35</v>
      </c>
      <c r="R761" s="217" t="s">
        <v>23</v>
      </c>
      <c r="S761" s="217" t="s">
        <v>22</v>
      </c>
      <c r="T761" s="217" t="s">
        <v>183</v>
      </c>
      <c r="U761" s="217" t="s">
        <v>184</v>
      </c>
      <c r="V761" s="217" t="s">
        <v>195</v>
      </c>
      <c r="W761" s="217" t="s">
        <v>196</v>
      </c>
    </row>
    <row r="762" spans="1:23" x14ac:dyDescent="0.25">
      <c r="A762" s="217" t="s">
        <v>22</v>
      </c>
      <c r="B762" s="217" t="s">
        <v>23</v>
      </c>
      <c r="C762" s="217" t="s">
        <v>184</v>
      </c>
      <c r="D762" s="217" t="s">
        <v>183</v>
      </c>
      <c r="E762" s="217" t="s">
        <v>203</v>
      </c>
      <c r="F762" s="217" t="s">
        <v>202</v>
      </c>
      <c r="G762" s="217" t="s">
        <v>204</v>
      </c>
      <c r="H762" s="217" t="s">
        <v>1336</v>
      </c>
      <c r="I762" s="217" t="s">
        <v>29</v>
      </c>
      <c r="J762" s="217" t="s">
        <v>1854</v>
      </c>
      <c r="K762" s="217">
        <v>7</v>
      </c>
      <c r="L762" s="217">
        <v>33</v>
      </c>
      <c r="M762" s="217" t="s">
        <v>99</v>
      </c>
      <c r="N762" s="217" t="s">
        <v>32</v>
      </c>
      <c r="O762" s="217" t="s">
        <v>100</v>
      </c>
      <c r="P762" s="217" t="s">
        <v>34</v>
      </c>
      <c r="Q762" s="217" t="s">
        <v>35</v>
      </c>
      <c r="R762" s="217" t="s">
        <v>23</v>
      </c>
      <c r="S762" s="217" t="s">
        <v>22</v>
      </c>
      <c r="T762" s="217" t="s">
        <v>183</v>
      </c>
      <c r="U762" s="217" t="s">
        <v>184</v>
      </c>
      <c r="V762" s="217" t="s">
        <v>202</v>
      </c>
      <c r="W762" s="217" t="s">
        <v>203</v>
      </c>
    </row>
    <row r="763" spans="1:23" x14ac:dyDescent="0.25">
      <c r="A763" s="217" t="s">
        <v>22</v>
      </c>
      <c r="B763" s="217" t="s">
        <v>23</v>
      </c>
      <c r="C763" s="217" t="s">
        <v>184</v>
      </c>
      <c r="D763" s="217" t="s">
        <v>183</v>
      </c>
      <c r="E763" s="217" t="s">
        <v>206</v>
      </c>
      <c r="F763" s="217" t="s">
        <v>205</v>
      </c>
      <c r="G763" s="217" t="s">
        <v>208</v>
      </c>
      <c r="H763" s="217" t="s">
        <v>1337</v>
      </c>
      <c r="I763" s="217" t="s">
        <v>29</v>
      </c>
      <c r="J763" s="217" t="s">
        <v>1854</v>
      </c>
      <c r="K763" s="217">
        <v>14</v>
      </c>
      <c r="L763" s="217">
        <v>78</v>
      </c>
      <c r="M763" s="217" t="s">
        <v>99</v>
      </c>
      <c r="N763" s="217" t="s">
        <v>32</v>
      </c>
      <c r="O763" s="217" t="s">
        <v>100</v>
      </c>
      <c r="P763" s="217" t="s">
        <v>34</v>
      </c>
      <c r="Q763" s="217" t="s">
        <v>35</v>
      </c>
      <c r="R763" s="217" t="s">
        <v>23</v>
      </c>
      <c r="S763" s="217" t="s">
        <v>22</v>
      </c>
      <c r="T763" s="217" t="s">
        <v>183</v>
      </c>
      <c r="U763" s="217" t="s">
        <v>184</v>
      </c>
      <c r="V763" s="217" t="s">
        <v>205</v>
      </c>
      <c r="W763" s="217" t="s">
        <v>206</v>
      </c>
    </row>
    <row r="764" spans="1:23" x14ac:dyDescent="0.25">
      <c r="A764" s="217" t="s">
        <v>22</v>
      </c>
      <c r="B764" s="217" t="s">
        <v>23</v>
      </c>
      <c r="C764" s="217" t="s">
        <v>184</v>
      </c>
      <c r="D764" s="217" t="s">
        <v>183</v>
      </c>
      <c r="E764" s="217" t="s">
        <v>206</v>
      </c>
      <c r="F764" s="217" t="s">
        <v>205</v>
      </c>
      <c r="G764" s="217" t="s">
        <v>208</v>
      </c>
      <c r="H764" s="217" t="s">
        <v>1337</v>
      </c>
      <c r="I764" s="217" t="s">
        <v>29</v>
      </c>
      <c r="J764" s="217" t="s">
        <v>1855</v>
      </c>
      <c r="K764" s="217">
        <v>1</v>
      </c>
      <c r="L764" s="217">
        <v>4</v>
      </c>
      <c r="M764" s="217" t="s">
        <v>99</v>
      </c>
      <c r="N764" s="217" t="s">
        <v>32</v>
      </c>
      <c r="O764" s="217" t="s">
        <v>100</v>
      </c>
      <c r="P764" s="217" t="s">
        <v>34</v>
      </c>
      <c r="Q764" s="217" t="s">
        <v>35</v>
      </c>
      <c r="R764" s="217" t="s">
        <v>23</v>
      </c>
      <c r="S764" s="217" t="s">
        <v>22</v>
      </c>
      <c r="T764" s="217" t="s">
        <v>183</v>
      </c>
      <c r="U764" s="217" t="s">
        <v>184</v>
      </c>
      <c r="V764" s="217" t="s">
        <v>205</v>
      </c>
      <c r="W764" s="217" t="s">
        <v>206</v>
      </c>
    </row>
    <row r="765" spans="1:23" x14ac:dyDescent="0.25">
      <c r="A765" s="217" t="s">
        <v>22</v>
      </c>
      <c r="B765" s="217" t="s">
        <v>23</v>
      </c>
      <c r="C765" s="217" t="s">
        <v>184</v>
      </c>
      <c r="D765" s="217" t="s">
        <v>183</v>
      </c>
      <c r="E765" s="217" t="s">
        <v>206</v>
      </c>
      <c r="F765" s="217" t="s">
        <v>205</v>
      </c>
      <c r="G765" s="217" t="s">
        <v>483</v>
      </c>
      <c r="H765" s="217" t="s">
        <v>1338</v>
      </c>
      <c r="I765" s="217" t="s">
        <v>29</v>
      </c>
      <c r="J765" s="217" t="s">
        <v>1855</v>
      </c>
      <c r="K765" s="217">
        <v>27</v>
      </c>
      <c r="L765" s="217">
        <v>185</v>
      </c>
      <c r="M765" s="217" t="s">
        <v>99</v>
      </c>
      <c r="N765" s="217" t="s">
        <v>32</v>
      </c>
      <c r="O765" s="217" t="s">
        <v>100</v>
      </c>
      <c r="P765" s="217" t="s">
        <v>34</v>
      </c>
      <c r="Q765" s="217" t="s">
        <v>35</v>
      </c>
      <c r="R765" s="217" t="s">
        <v>23</v>
      </c>
      <c r="S765" s="217" t="s">
        <v>22</v>
      </c>
      <c r="T765" s="217" t="s">
        <v>183</v>
      </c>
      <c r="U765" s="217" t="s">
        <v>184</v>
      </c>
      <c r="V765" s="217" t="s">
        <v>205</v>
      </c>
      <c r="W765" s="217" t="s">
        <v>206</v>
      </c>
    </row>
    <row r="766" spans="1:23" x14ac:dyDescent="0.25">
      <c r="A766" s="217" t="s">
        <v>22</v>
      </c>
      <c r="B766" s="217" t="s">
        <v>23</v>
      </c>
      <c r="C766" s="217" t="s">
        <v>184</v>
      </c>
      <c r="D766" s="217" t="s">
        <v>183</v>
      </c>
      <c r="E766" s="217" t="s">
        <v>206</v>
      </c>
      <c r="F766" s="217" t="s">
        <v>205</v>
      </c>
      <c r="G766" s="217" t="s">
        <v>210</v>
      </c>
      <c r="H766" s="217" t="s">
        <v>1339</v>
      </c>
      <c r="I766" s="217" t="s">
        <v>29</v>
      </c>
      <c r="J766" s="217" t="s">
        <v>1854</v>
      </c>
      <c r="K766" s="217">
        <v>33</v>
      </c>
      <c r="L766" s="217">
        <v>198</v>
      </c>
      <c r="M766" s="217" t="s">
        <v>99</v>
      </c>
      <c r="N766" s="217" t="s">
        <v>32</v>
      </c>
      <c r="O766" s="217" t="s">
        <v>100</v>
      </c>
      <c r="P766" s="217" t="s">
        <v>34</v>
      </c>
      <c r="Q766" s="217" t="s">
        <v>35</v>
      </c>
      <c r="R766" s="217" t="s">
        <v>23</v>
      </c>
      <c r="S766" s="217" t="s">
        <v>22</v>
      </c>
      <c r="T766" s="217" t="s">
        <v>183</v>
      </c>
      <c r="U766" s="217" t="s">
        <v>184</v>
      </c>
      <c r="V766" s="217" t="s">
        <v>205</v>
      </c>
      <c r="W766" s="217" t="s">
        <v>206</v>
      </c>
    </row>
    <row r="767" spans="1:23" x14ac:dyDescent="0.25">
      <c r="A767" s="217" t="s">
        <v>22</v>
      </c>
      <c r="B767" s="217" t="s">
        <v>23</v>
      </c>
      <c r="C767" s="217" t="s">
        <v>184</v>
      </c>
      <c r="D767" s="217" t="s">
        <v>183</v>
      </c>
      <c r="E767" s="217" t="s">
        <v>206</v>
      </c>
      <c r="F767" s="217" t="s">
        <v>205</v>
      </c>
      <c r="G767" s="217" t="s">
        <v>210</v>
      </c>
      <c r="H767" s="217" t="s">
        <v>1339</v>
      </c>
      <c r="I767" s="217" t="s">
        <v>29</v>
      </c>
      <c r="J767" s="217" t="s">
        <v>1856</v>
      </c>
      <c r="K767" s="217">
        <v>8</v>
      </c>
      <c r="L767" s="217">
        <v>48</v>
      </c>
      <c r="M767" s="217" t="s">
        <v>99</v>
      </c>
      <c r="N767" s="217" t="s">
        <v>32</v>
      </c>
      <c r="O767" s="217" t="s">
        <v>100</v>
      </c>
      <c r="P767" s="217" t="s">
        <v>34</v>
      </c>
      <c r="Q767" s="217" t="s">
        <v>35</v>
      </c>
      <c r="R767" s="217" t="s">
        <v>23</v>
      </c>
      <c r="S767" s="217" t="s">
        <v>22</v>
      </c>
      <c r="T767" s="217" t="s">
        <v>183</v>
      </c>
      <c r="U767" s="217" t="s">
        <v>184</v>
      </c>
      <c r="V767" s="217" t="s">
        <v>205</v>
      </c>
      <c r="W767" s="217" t="s">
        <v>206</v>
      </c>
    </row>
    <row r="768" spans="1:23" x14ac:dyDescent="0.25">
      <c r="A768" s="217" t="s">
        <v>22</v>
      </c>
      <c r="B768" s="217" t="s">
        <v>23</v>
      </c>
      <c r="C768" s="217" t="s">
        <v>184</v>
      </c>
      <c r="D768" s="217" t="s">
        <v>183</v>
      </c>
      <c r="E768" s="217" t="s">
        <v>206</v>
      </c>
      <c r="F768" s="217" t="s">
        <v>205</v>
      </c>
      <c r="G768" s="217" t="s">
        <v>210</v>
      </c>
      <c r="H768" s="217" t="s">
        <v>1339</v>
      </c>
      <c r="I768" s="217" t="s">
        <v>29</v>
      </c>
      <c r="J768" s="217" t="s">
        <v>1858</v>
      </c>
      <c r="K768" s="217">
        <v>1</v>
      </c>
      <c r="L768" s="217">
        <v>8</v>
      </c>
      <c r="M768" s="217" t="s">
        <v>99</v>
      </c>
      <c r="N768" s="217" t="s">
        <v>32</v>
      </c>
      <c r="O768" s="217" t="s">
        <v>100</v>
      </c>
      <c r="P768" s="217" t="s">
        <v>34</v>
      </c>
      <c r="Q768" s="217" t="s">
        <v>35</v>
      </c>
      <c r="R768" s="217" t="s">
        <v>23</v>
      </c>
      <c r="S768" s="217" t="s">
        <v>22</v>
      </c>
      <c r="T768" s="217" t="s">
        <v>183</v>
      </c>
      <c r="U768" s="217" t="s">
        <v>184</v>
      </c>
      <c r="V768" s="217" t="s">
        <v>205</v>
      </c>
      <c r="W768" s="217" t="s">
        <v>206</v>
      </c>
    </row>
    <row r="769" spans="1:23" x14ac:dyDescent="0.25">
      <c r="A769" s="217" t="s">
        <v>22</v>
      </c>
      <c r="B769" s="217" t="s">
        <v>23</v>
      </c>
      <c r="C769" s="217" t="s">
        <v>184</v>
      </c>
      <c r="D769" s="217" t="s">
        <v>183</v>
      </c>
      <c r="E769" s="217" t="s">
        <v>206</v>
      </c>
      <c r="F769" s="217" t="s">
        <v>205</v>
      </c>
      <c r="G769" s="217" t="s">
        <v>484</v>
      </c>
      <c r="H769" s="217" t="s">
        <v>1340</v>
      </c>
      <c r="I769" s="217" t="s">
        <v>29</v>
      </c>
      <c r="J769" s="217" t="s">
        <v>1854</v>
      </c>
      <c r="K769" s="217">
        <v>2</v>
      </c>
      <c r="L769" s="217">
        <v>15</v>
      </c>
      <c r="M769" s="217" t="s">
        <v>99</v>
      </c>
      <c r="N769" s="217" t="s">
        <v>32</v>
      </c>
      <c r="O769" s="217" t="s">
        <v>100</v>
      </c>
      <c r="P769" s="217" t="s">
        <v>34</v>
      </c>
      <c r="Q769" s="217" t="s">
        <v>35</v>
      </c>
      <c r="R769" s="217" t="s">
        <v>23</v>
      </c>
      <c r="S769" s="217" t="s">
        <v>22</v>
      </c>
      <c r="T769" s="217" t="s">
        <v>183</v>
      </c>
      <c r="U769" s="217" t="s">
        <v>184</v>
      </c>
      <c r="V769" s="217" t="s">
        <v>205</v>
      </c>
      <c r="W769" s="217" t="s">
        <v>206</v>
      </c>
    </row>
    <row r="770" spans="1:23" x14ac:dyDescent="0.25">
      <c r="A770" s="217" t="s">
        <v>22</v>
      </c>
      <c r="B770" s="217" t="s">
        <v>23</v>
      </c>
      <c r="C770" s="217" t="s">
        <v>184</v>
      </c>
      <c r="D770" s="217" t="s">
        <v>183</v>
      </c>
      <c r="E770" s="217" t="s">
        <v>206</v>
      </c>
      <c r="F770" s="217" t="s">
        <v>205</v>
      </c>
      <c r="G770" s="217" t="s">
        <v>211</v>
      </c>
      <c r="H770" s="217" t="s">
        <v>1341</v>
      </c>
      <c r="I770" s="217" t="s">
        <v>29</v>
      </c>
      <c r="J770" s="217" t="s">
        <v>1854</v>
      </c>
      <c r="K770" s="217">
        <v>6</v>
      </c>
      <c r="L770" s="217">
        <v>38</v>
      </c>
      <c r="M770" s="217" t="s">
        <v>99</v>
      </c>
      <c r="N770" s="217" t="s">
        <v>32</v>
      </c>
      <c r="O770" s="217" t="s">
        <v>100</v>
      </c>
      <c r="P770" s="217" t="s">
        <v>34</v>
      </c>
      <c r="Q770" s="217" t="s">
        <v>35</v>
      </c>
      <c r="R770" s="217" t="s">
        <v>23</v>
      </c>
      <c r="S770" s="217" t="s">
        <v>22</v>
      </c>
      <c r="T770" s="217" t="s">
        <v>183</v>
      </c>
      <c r="U770" s="217" t="s">
        <v>184</v>
      </c>
      <c r="V770" s="217" t="s">
        <v>205</v>
      </c>
      <c r="W770" s="217" t="s">
        <v>206</v>
      </c>
    </row>
    <row r="771" spans="1:23" x14ac:dyDescent="0.25">
      <c r="A771" s="217" t="s">
        <v>22</v>
      </c>
      <c r="B771" s="217" t="s">
        <v>23</v>
      </c>
      <c r="C771" s="217" t="s">
        <v>184</v>
      </c>
      <c r="D771" s="217" t="s">
        <v>183</v>
      </c>
      <c r="E771" s="217" t="s">
        <v>215</v>
      </c>
      <c r="F771" s="217" t="s">
        <v>214</v>
      </c>
      <c r="G771" s="217" t="s">
        <v>216</v>
      </c>
      <c r="H771" s="217" t="s">
        <v>1342</v>
      </c>
      <c r="I771" s="217" t="s">
        <v>29</v>
      </c>
      <c r="J771" s="217" t="s">
        <v>1854</v>
      </c>
      <c r="K771" s="217">
        <v>36</v>
      </c>
      <c r="L771" s="217">
        <v>190</v>
      </c>
      <c r="M771" s="217" t="s">
        <v>99</v>
      </c>
      <c r="N771" s="217" t="s">
        <v>32</v>
      </c>
      <c r="O771" s="217" t="s">
        <v>100</v>
      </c>
      <c r="P771" s="217" t="s">
        <v>34</v>
      </c>
      <c r="Q771" s="217" t="s">
        <v>35</v>
      </c>
      <c r="R771" s="217" t="s">
        <v>23</v>
      </c>
      <c r="S771" s="217" t="s">
        <v>22</v>
      </c>
      <c r="T771" s="217" t="s">
        <v>183</v>
      </c>
      <c r="U771" s="217" t="s">
        <v>184</v>
      </c>
      <c r="V771" s="217" t="s">
        <v>214</v>
      </c>
      <c r="W771" s="217" t="s">
        <v>215</v>
      </c>
    </row>
    <row r="772" spans="1:23" x14ac:dyDescent="0.25">
      <c r="A772" s="217" t="s">
        <v>22</v>
      </c>
      <c r="B772" s="217" t="s">
        <v>23</v>
      </c>
      <c r="C772" s="217" t="s">
        <v>184</v>
      </c>
      <c r="D772" s="217" t="s">
        <v>183</v>
      </c>
      <c r="E772" s="217" t="s">
        <v>215</v>
      </c>
      <c r="F772" s="217" t="s">
        <v>214</v>
      </c>
      <c r="G772" s="217" t="s">
        <v>485</v>
      </c>
      <c r="H772" s="217" t="s">
        <v>1343</v>
      </c>
      <c r="I772" s="217" t="s">
        <v>29</v>
      </c>
      <c r="J772" s="217" t="s">
        <v>1854</v>
      </c>
      <c r="K772" s="217">
        <v>102</v>
      </c>
      <c r="L772" s="217">
        <v>1528</v>
      </c>
      <c r="M772" s="217" t="s">
        <v>99</v>
      </c>
      <c r="N772" s="217" t="s">
        <v>32</v>
      </c>
      <c r="O772" s="217" t="s">
        <v>100</v>
      </c>
      <c r="P772" s="217" t="s">
        <v>34</v>
      </c>
      <c r="Q772" s="217" t="s">
        <v>35</v>
      </c>
      <c r="R772" s="217" t="s">
        <v>23</v>
      </c>
      <c r="S772" s="217" t="s">
        <v>22</v>
      </c>
      <c r="T772" s="217" t="s">
        <v>183</v>
      </c>
      <c r="U772" s="217" t="s">
        <v>184</v>
      </c>
      <c r="V772" s="217" t="s">
        <v>214</v>
      </c>
      <c r="W772" s="217" t="s">
        <v>215</v>
      </c>
    </row>
    <row r="773" spans="1:23" x14ac:dyDescent="0.25">
      <c r="A773" s="217" t="s">
        <v>22</v>
      </c>
      <c r="B773" s="217" t="s">
        <v>23</v>
      </c>
      <c r="C773" s="217" t="s">
        <v>184</v>
      </c>
      <c r="D773" s="217" t="s">
        <v>183</v>
      </c>
      <c r="E773" s="217" t="s">
        <v>215</v>
      </c>
      <c r="F773" s="217" t="s">
        <v>214</v>
      </c>
      <c r="G773" s="217" t="s">
        <v>486</v>
      </c>
      <c r="H773" s="217" t="s">
        <v>1344</v>
      </c>
      <c r="I773" s="217" t="s">
        <v>29</v>
      </c>
      <c r="J773" s="217" t="s">
        <v>1855</v>
      </c>
      <c r="K773" s="217">
        <v>68</v>
      </c>
      <c r="L773" s="217">
        <v>578</v>
      </c>
      <c r="M773" s="217" t="s">
        <v>31</v>
      </c>
      <c r="N773" s="217" t="s">
        <v>32</v>
      </c>
      <c r="O773" s="217" t="s">
        <v>33</v>
      </c>
      <c r="P773" s="217" t="s">
        <v>34</v>
      </c>
      <c r="Q773" s="217" t="s">
        <v>35</v>
      </c>
      <c r="R773" s="217" t="s">
        <v>23</v>
      </c>
      <c r="S773" s="217" t="s">
        <v>22</v>
      </c>
      <c r="T773" s="217" t="s">
        <v>47</v>
      </c>
      <c r="U773" s="217" t="s">
        <v>48</v>
      </c>
      <c r="V773" s="217" t="s">
        <v>231</v>
      </c>
      <c r="W773" s="217" t="s">
        <v>232</v>
      </c>
    </row>
    <row r="774" spans="1:23" x14ac:dyDescent="0.25">
      <c r="A774" s="217" t="s">
        <v>22</v>
      </c>
      <c r="B774" s="217" t="s">
        <v>23</v>
      </c>
      <c r="C774" s="217" t="s">
        <v>184</v>
      </c>
      <c r="D774" s="217" t="s">
        <v>183</v>
      </c>
      <c r="E774" s="217" t="s">
        <v>215</v>
      </c>
      <c r="F774" s="217" t="s">
        <v>214</v>
      </c>
      <c r="G774" s="217" t="s">
        <v>487</v>
      </c>
      <c r="H774" s="217" t="s">
        <v>1345</v>
      </c>
      <c r="I774" s="217" t="s">
        <v>29</v>
      </c>
      <c r="J774" s="217" t="s">
        <v>1854</v>
      </c>
      <c r="K774" s="217">
        <v>52</v>
      </c>
      <c r="L774" s="217">
        <v>364</v>
      </c>
      <c r="M774" s="217" t="s">
        <v>99</v>
      </c>
      <c r="N774" s="217" t="s">
        <v>32</v>
      </c>
      <c r="O774" s="217" t="s">
        <v>100</v>
      </c>
      <c r="P774" s="217" t="s">
        <v>34</v>
      </c>
      <c r="Q774" s="217" t="s">
        <v>35</v>
      </c>
      <c r="R774" s="217" t="s">
        <v>23</v>
      </c>
      <c r="S774" s="217" t="s">
        <v>22</v>
      </c>
      <c r="T774" s="217" t="s">
        <v>183</v>
      </c>
      <c r="U774" s="217" t="s">
        <v>184</v>
      </c>
      <c r="V774" s="217" t="s">
        <v>214</v>
      </c>
      <c r="W774" s="217" t="s">
        <v>215</v>
      </c>
    </row>
    <row r="775" spans="1:23" x14ac:dyDescent="0.25">
      <c r="A775" s="217" t="s">
        <v>22</v>
      </c>
      <c r="B775" s="217" t="s">
        <v>23</v>
      </c>
      <c r="C775" s="217" t="s">
        <v>184</v>
      </c>
      <c r="D775" s="217" t="s">
        <v>183</v>
      </c>
      <c r="E775" s="217" t="s">
        <v>215</v>
      </c>
      <c r="F775" s="217" t="s">
        <v>214</v>
      </c>
      <c r="G775" s="217" t="s">
        <v>488</v>
      </c>
      <c r="H775" s="217" t="s">
        <v>1346</v>
      </c>
      <c r="I775" s="217" t="s">
        <v>29</v>
      </c>
      <c r="J775" s="217" t="s">
        <v>1854</v>
      </c>
      <c r="K775" s="217">
        <v>324</v>
      </c>
      <c r="L775" s="217">
        <v>2417</v>
      </c>
      <c r="M775" s="217" t="s">
        <v>99</v>
      </c>
      <c r="N775" s="217" t="s">
        <v>32</v>
      </c>
      <c r="O775" s="217" t="s">
        <v>100</v>
      </c>
      <c r="P775" s="217" t="s">
        <v>34</v>
      </c>
      <c r="Q775" s="217" t="s">
        <v>35</v>
      </c>
      <c r="R775" s="217" t="s">
        <v>23</v>
      </c>
      <c r="S775" s="217" t="s">
        <v>22</v>
      </c>
      <c r="T775" s="217" t="s">
        <v>183</v>
      </c>
      <c r="U775" s="217" t="s">
        <v>184</v>
      </c>
      <c r="V775" s="217" t="s">
        <v>214</v>
      </c>
      <c r="W775" s="217" t="s">
        <v>215</v>
      </c>
    </row>
    <row r="776" spans="1:23" x14ac:dyDescent="0.25">
      <c r="A776" s="217" t="s">
        <v>22</v>
      </c>
      <c r="B776" s="217" t="s">
        <v>23</v>
      </c>
      <c r="C776" s="217" t="s">
        <v>184</v>
      </c>
      <c r="D776" s="217" t="s">
        <v>183</v>
      </c>
      <c r="E776" s="217" t="s">
        <v>215</v>
      </c>
      <c r="F776" s="217" t="s">
        <v>214</v>
      </c>
      <c r="G776" s="217" t="s">
        <v>1838</v>
      </c>
      <c r="H776" s="217" t="s">
        <v>1347</v>
      </c>
      <c r="I776" s="217" t="s">
        <v>29</v>
      </c>
      <c r="J776" s="217" t="s">
        <v>1854</v>
      </c>
      <c r="K776" s="217">
        <v>33</v>
      </c>
      <c r="L776" s="217">
        <v>179</v>
      </c>
      <c r="M776" s="217" t="s">
        <v>99</v>
      </c>
      <c r="N776" s="217" t="s">
        <v>32</v>
      </c>
      <c r="O776" s="217" t="s">
        <v>100</v>
      </c>
      <c r="P776" s="217" t="s">
        <v>34</v>
      </c>
      <c r="Q776" s="217" t="s">
        <v>35</v>
      </c>
      <c r="R776" s="217" t="s">
        <v>23</v>
      </c>
      <c r="S776" s="217" t="s">
        <v>22</v>
      </c>
      <c r="T776" s="217" t="s">
        <v>183</v>
      </c>
      <c r="U776" s="217" t="s">
        <v>184</v>
      </c>
      <c r="V776" s="217" t="s">
        <v>214</v>
      </c>
      <c r="W776" s="217" t="s">
        <v>215</v>
      </c>
    </row>
    <row r="777" spans="1:23" x14ac:dyDescent="0.25">
      <c r="A777" s="217" t="s">
        <v>22</v>
      </c>
      <c r="B777" s="217" t="s">
        <v>23</v>
      </c>
      <c r="C777" s="217" t="s">
        <v>184</v>
      </c>
      <c r="D777" s="217" t="s">
        <v>183</v>
      </c>
      <c r="E777" s="217" t="s">
        <v>213</v>
      </c>
      <c r="F777" s="217" t="s">
        <v>212</v>
      </c>
      <c r="G777" s="217" t="s">
        <v>489</v>
      </c>
      <c r="H777" s="217" t="s">
        <v>1348</v>
      </c>
      <c r="I777" s="217" t="s">
        <v>29</v>
      </c>
      <c r="J777" s="217" t="s">
        <v>1855</v>
      </c>
      <c r="K777" s="217">
        <v>101</v>
      </c>
      <c r="L777" s="217">
        <v>281</v>
      </c>
      <c r="M777" s="217" t="s">
        <v>99</v>
      </c>
      <c r="N777" s="217" t="s">
        <v>32</v>
      </c>
      <c r="O777" s="217" t="s">
        <v>68</v>
      </c>
      <c r="P777" s="217" t="s">
        <v>34</v>
      </c>
      <c r="Q777" s="217" t="s">
        <v>35</v>
      </c>
      <c r="R777" s="217" t="s">
        <v>23</v>
      </c>
      <c r="S777" s="217" t="s">
        <v>22</v>
      </c>
      <c r="T777" s="217" t="s">
        <v>183</v>
      </c>
      <c r="U777" s="217" t="s">
        <v>184</v>
      </c>
      <c r="V777" s="217" t="s">
        <v>214</v>
      </c>
      <c r="W777" s="217" t="s">
        <v>215</v>
      </c>
    </row>
    <row r="778" spans="1:23" x14ac:dyDescent="0.25">
      <c r="A778" s="217" t="s">
        <v>22</v>
      </c>
      <c r="B778" s="217" t="s">
        <v>23</v>
      </c>
      <c r="C778" s="217" t="s">
        <v>184</v>
      </c>
      <c r="D778" s="217" t="s">
        <v>183</v>
      </c>
      <c r="E778" s="217" t="s">
        <v>213</v>
      </c>
      <c r="F778" s="217" t="s">
        <v>212</v>
      </c>
      <c r="G778" s="217" t="s">
        <v>489</v>
      </c>
      <c r="H778" s="217" t="s">
        <v>1348</v>
      </c>
      <c r="I778" s="217" t="s">
        <v>29</v>
      </c>
      <c r="J778" s="217" t="s">
        <v>1856</v>
      </c>
      <c r="K778" s="217">
        <v>53</v>
      </c>
      <c r="L778" s="217">
        <v>212</v>
      </c>
      <c r="M778" s="217" t="s">
        <v>99</v>
      </c>
      <c r="N778" s="217" t="s">
        <v>32</v>
      </c>
      <c r="O778" s="217" t="s">
        <v>68</v>
      </c>
      <c r="P778" s="217" t="s">
        <v>34</v>
      </c>
      <c r="Q778" s="217" t="s">
        <v>35</v>
      </c>
      <c r="R778" s="217" t="s">
        <v>23</v>
      </c>
      <c r="S778" s="217" t="s">
        <v>22</v>
      </c>
      <c r="T778" s="217" t="s">
        <v>183</v>
      </c>
      <c r="U778" s="217" t="s">
        <v>184</v>
      </c>
      <c r="V778" s="217" t="s">
        <v>214</v>
      </c>
      <c r="W778" s="217" t="s">
        <v>215</v>
      </c>
    </row>
    <row r="779" spans="1:23" x14ac:dyDescent="0.25">
      <c r="A779" s="217" t="s">
        <v>22</v>
      </c>
      <c r="B779" s="217" t="s">
        <v>23</v>
      </c>
      <c r="C779" s="217" t="s">
        <v>184</v>
      </c>
      <c r="D779" s="217" t="s">
        <v>183</v>
      </c>
      <c r="E779" s="217" t="s">
        <v>213</v>
      </c>
      <c r="F779" s="217" t="s">
        <v>212</v>
      </c>
      <c r="G779" s="217" t="s">
        <v>489</v>
      </c>
      <c r="H779" s="217" t="s">
        <v>1348</v>
      </c>
      <c r="I779" s="217" t="s">
        <v>29</v>
      </c>
      <c r="J779" s="217" t="s">
        <v>1857</v>
      </c>
      <c r="K779" s="217">
        <v>23</v>
      </c>
      <c r="L779" s="217">
        <v>138</v>
      </c>
      <c r="M779" s="217" t="s">
        <v>99</v>
      </c>
      <c r="N779" s="217" t="s">
        <v>32</v>
      </c>
      <c r="O779" s="217" t="s">
        <v>68</v>
      </c>
      <c r="P779" s="217" t="s">
        <v>34</v>
      </c>
      <c r="Q779" s="217" t="s">
        <v>35</v>
      </c>
      <c r="R779" s="217" t="s">
        <v>23</v>
      </c>
      <c r="S779" s="217" t="s">
        <v>22</v>
      </c>
      <c r="T779" s="217" t="s">
        <v>183</v>
      </c>
      <c r="U779" s="217" t="s">
        <v>184</v>
      </c>
      <c r="V779" s="217" t="s">
        <v>214</v>
      </c>
      <c r="W779" s="217" t="s">
        <v>215</v>
      </c>
    </row>
    <row r="780" spans="1:23" x14ac:dyDescent="0.25">
      <c r="A780" s="217" t="s">
        <v>22</v>
      </c>
      <c r="B780" s="217" t="s">
        <v>23</v>
      </c>
      <c r="C780" s="217" t="s">
        <v>184</v>
      </c>
      <c r="D780" s="217" t="s">
        <v>183</v>
      </c>
      <c r="E780" s="217" t="s">
        <v>213</v>
      </c>
      <c r="F780" s="217" t="s">
        <v>212</v>
      </c>
      <c r="G780" s="217" t="s">
        <v>489</v>
      </c>
      <c r="H780" s="217" t="s">
        <v>1348</v>
      </c>
      <c r="I780" s="217" t="s">
        <v>29</v>
      </c>
      <c r="J780" s="217" t="s">
        <v>1858</v>
      </c>
      <c r="K780" s="217">
        <v>85</v>
      </c>
      <c r="L780" s="217">
        <v>569</v>
      </c>
      <c r="M780" s="217" t="s">
        <v>99</v>
      </c>
      <c r="N780" s="217" t="s">
        <v>32</v>
      </c>
      <c r="O780" s="217" t="s">
        <v>100</v>
      </c>
      <c r="P780" s="217" t="s">
        <v>34</v>
      </c>
      <c r="Q780" s="217" t="s">
        <v>35</v>
      </c>
      <c r="R780" s="217" t="s">
        <v>23</v>
      </c>
      <c r="S780" s="217" t="s">
        <v>22</v>
      </c>
      <c r="T780" s="217" t="s">
        <v>183</v>
      </c>
      <c r="U780" s="217" t="s">
        <v>184</v>
      </c>
      <c r="V780" s="217" t="s">
        <v>212</v>
      </c>
      <c r="W780" s="217" t="s">
        <v>213</v>
      </c>
    </row>
    <row r="781" spans="1:23" x14ac:dyDescent="0.25">
      <c r="A781" s="217" t="s">
        <v>22</v>
      </c>
      <c r="B781" s="217" t="s">
        <v>23</v>
      </c>
      <c r="C781" s="217" t="s">
        <v>184</v>
      </c>
      <c r="D781" s="217" t="s">
        <v>183</v>
      </c>
      <c r="E781" s="217" t="s">
        <v>213</v>
      </c>
      <c r="F781" s="217" t="s">
        <v>212</v>
      </c>
      <c r="G781" s="217" t="s">
        <v>2032</v>
      </c>
      <c r="H781" s="217" t="s">
        <v>2031</v>
      </c>
      <c r="I781" s="217" t="s">
        <v>29</v>
      </c>
      <c r="J781" s="217" t="s">
        <v>1854</v>
      </c>
      <c r="K781" s="217">
        <v>12</v>
      </c>
      <c r="L781" s="217">
        <v>60</v>
      </c>
      <c r="M781" s="217" t="s">
        <v>99</v>
      </c>
      <c r="N781" s="217" t="s">
        <v>32</v>
      </c>
      <c r="O781" s="217" t="s">
        <v>68</v>
      </c>
      <c r="P781" s="217" t="s">
        <v>34</v>
      </c>
      <c r="Q781" s="217" t="s">
        <v>35</v>
      </c>
      <c r="R781" s="217" t="s">
        <v>23</v>
      </c>
      <c r="S781" s="217" t="s">
        <v>22</v>
      </c>
      <c r="T781" s="217" t="s">
        <v>183</v>
      </c>
      <c r="U781" s="217" t="s">
        <v>184</v>
      </c>
      <c r="V781" s="217" t="s">
        <v>202</v>
      </c>
      <c r="W781" s="217" t="s">
        <v>203</v>
      </c>
    </row>
    <row r="782" spans="1:23" x14ac:dyDescent="0.25">
      <c r="A782" s="217" t="s">
        <v>22</v>
      </c>
      <c r="B782" s="217" t="s">
        <v>23</v>
      </c>
      <c r="C782" s="217" t="s">
        <v>184</v>
      </c>
      <c r="D782" s="217" t="s">
        <v>183</v>
      </c>
      <c r="E782" s="217" t="s">
        <v>213</v>
      </c>
      <c r="F782" s="217" t="s">
        <v>212</v>
      </c>
      <c r="G782" s="217" t="s">
        <v>2034</v>
      </c>
      <c r="H782" s="217" t="s">
        <v>2033</v>
      </c>
      <c r="I782" s="217" t="s">
        <v>29</v>
      </c>
      <c r="J782" s="217" t="s">
        <v>1854</v>
      </c>
      <c r="K782" s="217">
        <v>10</v>
      </c>
      <c r="L782" s="217">
        <v>50</v>
      </c>
      <c r="M782" s="217" t="s">
        <v>99</v>
      </c>
      <c r="N782" s="217" t="s">
        <v>32</v>
      </c>
      <c r="O782" s="217" t="s">
        <v>100</v>
      </c>
      <c r="P782" s="217" t="s">
        <v>34</v>
      </c>
      <c r="Q782" s="217" t="s">
        <v>35</v>
      </c>
      <c r="R782" s="217" t="s">
        <v>23</v>
      </c>
      <c r="S782" s="217" t="s">
        <v>22</v>
      </c>
      <c r="T782" s="217" t="s">
        <v>183</v>
      </c>
      <c r="U782" s="217" t="s">
        <v>184</v>
      </c>
      <c r="V782" s="217" t="s">
        <v>212</v>
      </c>
      <c r="W782" s="217" t="s">
        <v>213</v>
      </c>
    </row>
    <row r="783" spans="1:23" x14ac:dyDescent="0.25">
      <c r="A783" s="217" t="s">
        <v>22</v>
      </c>
      <c r="B783" s="217" t="s">
        <v>23</v>
      </c>
      <c r="C783" s="217" t="s">
        <v>218</v>
      </c>
      <c r="D783" s="217" t="s">
        <v>217</v>
      </c>
      <c r="E783" s="217" t="s">
        <v>224</v>
      </c>
      <c r="F783" s="217" t="s">
        <v>223</v>
      </c>
      <c r="G783" s="217" t="s">
        <v>491</v>
      </c>
      <c r="H783" s="217" t="s">
        <v>1350</v>
      </c>
      <c r="I783" s="217" t="s">
        <v>29</v>
      </c>
      <c r="J783" s="217" t="s">
        <v>1855</v>
      </c>
      <c r="K783" s="217">
        <v>2</v>
      </c>
      <c r="L783" s="217">
        <v>18</v>
      </c>
      <c r="M783" s="217" t="s">
        <v>31</v>
      </c>
      <c r="N783" s="217" t="s">
        <v>32</v>
      </c>
      <c r="O783" s="217" t="s">
        <v>100</v>
      </c>
      <c r="P783" s="217" t="s">
        <v>34</v>
      </c>
      <c r="Q783" s="217" t="s">
        <v>35</v>
      </c>
      <c r="R783" s="217" t="s">
        <v>23</v>
      </c>
      <c r="S783" s="217" t="s">
        <v>22</v>
      </c>
      <c r="T783" s="217" t="s">
        <v>217</v>
      </c>
      <c r="U783" s="217" t="s">
        <v>218</v>
      </c>
      <c r="V783" s="217" t="s">
        <v>223</v>
      </c>
      <c r="W783" s="217" t="s">
        <v>224</v>
      </c>
    </row>
    <row r="784" spans="1:23" x14ac:dyDescent="0.25">
      <c r="A784" s="217" t="s">
        <v>22</v>
      </c>
      <c r="B784" s="217" t="s">
        <v>23</v>
      </c>
      <c r="C784" s="217" t="s">
        <v>218</v>
      </c>
      <c r="D784" s="217" t="s">
        <v>217</v>
      </c>
      <c r="E784" s="217" t="s">
        <v>224</v>
      </c>
      <c r="F784" s="217" t="s">
        <v>223</v>
      </c>
      <c r="G784" s="217" t="s">
        <v>493</v>
      </c>
      <c r="H784" s="217" t="s">
        <v>1352</v>
      </c>
      <c r="I784" s="217" t="s">
        <v>29</v>
      </c>
      <c r="J784" s="217" t="s">
        <v>1854</v>
      </c>
      <c r="K784" s="217">
        <v>1</v>
      </c>
      <c r="L784" s="217">
        <v>9</v>
      </c>
      <c r="M784" s="217" t="s">
        <v>31</v>
      </c>
      <c r="N784" s="217" t="s">
        <v>32</v>
      </c>
      <c r="O784" s="217" t="s">
        <v>100</v>
      </c>
      <c r="P784" s="217" t="s">
        <v>34</v>
      </c>
      <c r="Q784" s="217" t="s">
        <v>35</v>
      </c>
      <c r="R784" s="217" t="s">
        <v>23</v>
      </c>
      <c r="S784" s="217" t="s">
        <v>22</v>
      </c>
      <c r="T784" s="217" t="s">
        <v>217</v>
      </c>
      <c r="U784" s="217" t="s">
        <v>218</v>
      </c>
      <c r="V784" s="217" t="s">
        <v>223</v>
      </c>
      <c r="W784" s="217" t="s">
        <v>224</v>
      </c>
    </row>
    <row r="785" spans="1:23" x14ac:dyDescent="0.25">
      <c r="A785" s="217" t="s">
        <v>22</v>
      </c>
      <c r="B785" s="217" t="s">
        <v>23</v>
      </c>
      <c r="C785" s="217" t="s">
        <v>218</v>
      </c>
      <c r="D785" s="217" t="s">
        <v>217</v>
      </c>
      <c r="E785" s="217" t="s">
        <v>224</v>
      </c>
      <c r="F785" s="217" t="s">
        <v>223</v>
      </c>
      <c r="G785" s="217" t="s">
        <v>493</v>
      </c>
      <c r="H785" s="217" t="s">
        <v>1352</v>
      </c>
      <c r="I785" s="217" t="s">
        <v>29</v>
      </c>
      <c r="J785" s="217" t="s">
        <v>1855</v>
      </c>
      <c r="K785" s="217">
        <v>1</v>
      </c>
      <c r="L785" s="217">
        <v>6</v>
      </c>
      <c r="M785" s="217" t="s">
        <v>31</v>
      </c>
      <c r="N785" s="217" t="s">
        <v>32</v>
      </c>
      <c r="O785" s="217" t="s">
        <v>100</v>
      </c>
      <c r="P785" s="217" t="s">
        <v>34</v>
      </c>
      <c r="Q785" s="217" t="s">
        <v>35</v>
      </c>
      <c r="R785" s="217" t="s">
        <v>23</v>
      </c>
      <c r="S785" s="217" t="s">
        <v>22</v>
      </c>
      <c r="T785" s="217" t="s">
        <v>217</v>
      </c>
      <c r="U785" s="217" t="s">
        <v>218</v>
      </c>
      <c r="V785" s="217" t="s">
        <v>223</v>
      </c>
      <c r="W785" s="217" t="s">
        <v>224</v>
      </c>
    </row>
    <row r="786" spans="1:23" x14ac:dyDescent="0.25">
      <c r="A786" s="217" t="s">
        <v>22</v>
      </c>
      <c r="B786" s="217" t="s">
        <v>23</v>
      </c>
      <c r="C786" s="217" t="s">
        <v>218</v>
      </c>
      <c r="D786" s="217" t="s">
        <v>217</v>
      </c>
      <c r="E786" s="217" t="s">
        <v>224</v>
      </c>
      <c r="F786" s="217" t="s">
        <v>223</v>
      </c>
      <c r="G786" s="217" t="s">
        <v>493</v>
      </c>
      <c r="H786" s="217" t="s">
        <v>1352</v>
      </c>
      <c r="I786" s="217" t="s">
        <v>29</v>
      </c>
      <c r="J786" s="217" t="s">
        <v>1856</v>
      </c>
      <c r="K786" s="217">
        <v>4</v>
      </c>
      <c r="L786" s="217">
        <v>22</v>
      </c>
      <c r="M786" s="217" t="s">
        <v>31</v>
      </c>
      <c r="N786" s="217" t="s">
        <v>32</v>
      </c>
      <c r="O786" s="217" t="s">
        <v>100</v>
      </c>
      <c r="P786" s="217" t="s">
        <v>34</v>
      </c>
      <c r="Q786" s="217" t="s">
        <v>35</v>
      </c>
      <c r="R786" s="217" t="s">
        <v>23</v>
      </c>
      <c r="S786" s="217" t="s">
        <v>22</v>
      </c>
      <c r="T786" s="217" t="s">
        <v>217</v>
      </c>
      <c r="U786" s="217" t="s">
        <v>218</v>
      </c>
      <c r="V786" s="217" t="s">
        <v>223</v>
      </c>
      <c r="W786" s="217" t="s">
        <v>224</v>
      </c>
    </row>
    <row r="787" spans="1:23" x14ac:dyDescent="0.25">
      <c r="A787" s="217" t="s">
        <v>22</v>
      </c>
      <c r="B787" s="217" t="s">
        <v>23</v>
      </c>
      <c r="C787" s="217" t="s">
        <v>218</v>
      </c>
      <c r="D787" s="217" t="s">
        <v>217</v>
      </c>
      <c r="E787" s="217" t="s">
        <v>224</v>
      </c>
      <c r="F787" s="217" t="s">
        <v>223</v>
      </c>
      <c r="G787" s="217" t="s">
        <v>494</v>
      </c>
      <c r="H787" s="217" t="s">
        <v>1353</v>
      </c>
      <c r="I787" s="217" t="s">
        <v>29</v>
      </c>
      <c r="J787" s="217" t="s">
        <v>1854</v>
      </c>
      <c r="K787" s="217">
        <v>1</v>
      </c>
      <c r="L787" s="217">
        <v>8</v>
      </c>
      <c r="M787" s="217" t="s">
        <v>31</v>
      </c>
      <c r="N787" s="217" t="s">
        <v>32</v>
      </c>
      <c r="O787" s="217" t="s">
        <v>100</v>
      </c>
      <c r="P787" s="217" t="s">
        <v>34</v>
      </c>
      <c r="Q787" s="217" t="s">
        <v>35</v>
      </c>
      <c r="R787" s="217" t="s">
        <v>23</v>
      </c>
      <c r="S787" s="217" t="s">
        <v>22</v>
      </c>
      <c r="T787" s="217" t="s">
        <v>217</v>
      </c>
      <c r="U787" s="217" t="s">
        <v>218</v>
      </c>
      <c r="V787" s="217" t="s">
        <v>223</v>
      </c>
      <c r="W787" s="217" t="s">
        <v>224</v>
      </c>
    </row>
    <row r="788" spans="1:23" x14ac:dyDescent="0.25">
      <c r="A788" s="217" t="s">
        <v>22</v>
      </c>
      <c r="B788" s="217" t="s">
        <v>23</v>
      </c>
      <c r="C788" s="217" t="s">
        <v>218</v>
      </c>
      <c r="D788" s="217" t="s">
        <v>217</v>
      </c>
      <c r="E788" s="217" t="s">
        <v>224</v>
      </c>
      <c r="F788" s="217" t="s">
        <v>223</v>
      </c>
      <c r="G788" s="217" t="s">
        <v>494</v>
      </c>
      <c r="H788" s="217" t="s">
        <v>1353</v>
      </c>
      <c r="I788" s="217" t="s">
        <v>29</v>
      </c>
      <c r="J788" s="217" t="s">
        <v>1855</v>
      </c>
      <c r="K788" s="217">
        <v>3</v>
      </c>
      <c r="L788" s="217">
        <v>14</v>
      </c>
      <c r="M788" s="217" t="s">
        <v>31</v>
      </c>
      <c r="N788" s="217" t="s">
        <v>32</v>
      </c>
      <c r="O788" s="217" t="s">
        <v>100</v>
      </c>
      <c r="P788" s="217" t="s">
        <v>34</v>
      </c>
      <c r="Q788" s="217" t="s">
        <v>35</v>
      </c>
      <c r="R788" s="217" t="s">
        <v>23</v>
      </c>
      <c r="S788" s="217" t="s">
        <v>22</v>
      </c>
      <c r="T788" s="217" t="s">
        <v>217</v>
      </c>
      <c r="U788" s="217" t="s">
        <v>218</v>
      </c>
      <c r="V788" s="217" t="s">
        <v>223</v>
      </c>
      <c r="W788" s="217" t="s">
        <v>224</v>
      </c>
    </row>
    <row r="789" spans="1:23" x14ac:dyDescent="0.25">
      <c r="A789" s="217" t="s">
        <v>22</v>
      </c>
      <c r="B789" s="217" t="s">
        <v>23</v>
      </c>
      <c r="C789" s="217" t="s">
        <v>218</v>
      </c>
      <c r="D789" s="217" t="s">
        <v>217</v>
      </c>
      <c r="E789" s="217" t="s">
        <v>497</v>
      </c>
      <c r="F789" s="217" t="s">
        <v>498</v>
      </c>
      <c r="G789" s="217" t="s">
        <v>499</v>
      </c>
      <c r="H789" s="217" t="s">
        <v>1356</v>
      </c>
      <c r="I789" s="217" t="s">
        <v>29</v>
      </c>
      <c r="J789" s="217" t="s">
        <v>1855</v>
      </c>
      <c r="K789" s="217">
        <v>1</v>
      </c>
      <c r="L789" s="217">
        <v>8</v>
      </c>
      <c r="M789" s="217" t="s">
        <v>31</v>
      </c>
      <c r="N789" s="217" t="s">
        <v>32</v>
      </c>
      <c r="O789" s="217" t="s">
        <v>33</v>
      </c>
      <c r="P789" s="217" t="s">
        <v>34</v>
      </c>
      <c r="Q789" s="217" t="s">
        <v>35</v>
      </c>
      <c r="R789" s="217" t="s">
        <v>23</v>
      </c>
      <c r="S789" s="217" t="s">
        <v>22</v>
      </c>
      <c r="T789" s="217" t="s">
        <v>47</v>
      </c>
      <c r="U789" s="217" t="s">
        <v>48</v>
      </c>
      <c r="V789" s="217" t="s">
        <v>231</v>
      </c>
      <c r="W789" s="217" t="s">
        <v>232</v>
      </c>
    </row>
    <row r="790" spans="1:23" x14ac:dyDescent="0.25">
      <c r="A790" s="217" t="s">
        <v>22</v>
      </c>
      <c r="B790" s="217" t="s">
        <v>23</v>
      </c>
      <c r="C790" s="217" t="s">
        <v>218</v>
      </c>
      <c r="D790" s="217" t="s">
        <v>217</v>
      </c>
      <c r="E790" s="217" t="s">
        <v>497</v>
      </c>
      <c r="F790" s="217" t="s">
        <v>498</v>
      </c>
      <c r="G790" s="217" t="s">
        <v>499</v>
      </c>
      <c r="H790" s="217" t="s">
        <v>1356</v>
      </c>
      <c r="I790" s="217" t="s">
        <v>29</v>
      </c>
      <c r="J790" s="217" t="s">
        <v>1856</v>
      </c>
      <c r="K790" s="217">
        <v>2</v>
      </c>
      <c r="L790" s="217">
        <v>8</v>
      </c>
      <c r="M790" s="217" t="s">
        <v>31</v>
      </c>
      <c r="N790" s="217" t="s">
        <v>32</v>
      </c>
      <c r="O790" s="217" t="s">
        <v>33</v>
      </c>
      <c r="P790" s="217" t="s">
        <v>34</v>
      </c>
      <c r="Q790" s="217" t="s">
        <v>35</v>
      </c>
      <c r="R790" s="217" t="s">
        <v>23</v>
      </c>
      <c r="S790" s="217" t="s">
        <v>22</v>
      </c>
      <c r="T790" s="217" t="s">
        <v>47</v>
      </c>
      <c r="U790" s="217" t="s">
        <v>48</v>
      </c>
      <c r="V790" s="217" t="s">
        <v>231</v>
      </c>
      <c r="W790" s="217" t="s">
        <v>232</v>
      </c>
    </row>
    <row r="791" spans="1:23" x14ac:dyDescent="0.25">
      <c r="A791" s="217" t="s">
        <v>22</v>
      </c>
      <c r="B791" s="217" t="s">
        <v>23</v>
      </c>
      <c r="C791" s="217" t="s">
        <v>218</v>
      </c>
      <c r="D791" s="217" t="s">
        <v>217</v>
      </c>
      <c r="E791" s="217" t="s">
        <v>497</v>
      </c>
      <c r="F791" s="217" t="s">
        <v>498</v>
      </c>
      <c r="G791" s="217" t="s">
        <v>500</v>
      </c>
      <c r="H791" s="217" t="s">
        <v>1357</v>
      </c>
      <c r="I791" s="217" t="s">
        <v>29</v>
      </c>
      <c r="J791" s="217" t="s">
        <v>1855</v>
      </c>
      <c r="K791" s="217">
        <v>3</v>
      </c>
      <c r="L791" s="217">
        <v>14</v>
      </c>
      <c r="M791" s="217" t="s">
        <v>31</v>
      </c>
      <c r="N791" s="217" t="s">
        <v>32</v>
      </c>
      <c r="O791" s="217" t="s">
        <v>33</v>
      </c>
      <c r="P791" s="217" t="s">
        <v>34</v>
      </c>
      <c r="Q791" s="217" t="s">
        <v>35</v>
      </c>
      <c r="R791" s="217" t="s">
        <v>23</v>
      </c>
      <c r="S791" s="217" t="s">
        <v>22</v>
      </c>
      <c r="T791" s="217" t="s">
        <v>84</v>
      </c>
      <c r="U791" s="217" t="s">
        <v>85</v>
      </c>
      <c r="V791" s="217" t="s">
        <v>174</v>
      </c>
      <c r="W791" s="217" t="s">
        <v>175</v>
      </c>
    </row>
    <row r="792" spans="1:23" x14ac:dyDescent="0.25">
      <c r="A792" s="217" t="s">
        <v>22</v>
      </c>
      <c r="B792" s="217" t="s">
        <v>23</v>
      </c>
      <c r="C792" s="217" t="s">
        <v>218</v>
      </c>
      <c r="D792" s="217" t="s">
        <v>217</v>
      </c>
      <c r="E792" s="217" t="s">
        <v>497</v>
      </c>
      <c r="F792" s="217" t="s">
        <v>498</v>
      </c>
      <c r="G792" s="217" t="s">
        <v>500</v>
      </c>
      <c r="H792" s="217" t="s">
        <v>1357</v>
      </c>
      <c r="I792" s="217" t="s">
        <v>29</v>
      </c>
      <c r="J792" s="217" t="s">
        <v>1856</v>
      </c>
      <c r="K792" s="217">
        <v>1</v>
      </c>
      <c r="L792" s="217">
        <v>22</v>
      </c>
      <c r="M792" s="217" t="s">
        <v>31</v>
      </c>
      <c r="N792" s="217" t="s">
        <v>32</v>
      </c>
      <c r="O792" s="217" t="s">
        <v>33</v>
      </c>
      <c r="P792" s="217" t="s">
        <v>34</v>
      </c>
      <c r="Q792" s="217" t="s">
        <v>35</v>
      </c>
      <c r="R792" s="217" t="s">
        <v>23</v>
      </c>
      <c r="S792" s="217" t="s">
        <v>22</v>
      </c>
      <c r="T792" s="217" t="s">
        <v>84</v>
      </c>
      <c r="U792" s="217" t="s">
        <v>85</v>
      </c>
      <c r="V792" s="217" t="s">
        <v>91</v>
      </c>
      <c r="W792" s="217" t="s">
        <v>92</v>
      </c>
    </row>
    <row r="793" spans="1:23" x14ac:dyDescent="0.25">
      <c r="A793" s="217" t="s">
        <v>22</v>
      </c>
      <c r="B793" s="217" t="s">
        <v>23</v>
      </c>
      <c r="C793" s="217" t="s">
        <v>48</v>
      </c>
      <c r="D793" s="217" t="s">
        <v>47</v>
      </c>
      <c r="E793" s="217" t="s">
        <v>232</v>
      </c>
      <c r="F793" s="217" t="s">
        <v>231</v>
      </c>
      <c r="G793" s="217" t="s">
        <v>233</v>
      </c>
      <c r="H793" s="217" t="s">
        <v>1358</v>
      </c>
      <c r="I793" s="217" t="s">
        <v>29</v>
      </c>
      <c r="J793" s="217" t="s">
        <v>1856</v>
      </c>
      <c r="K793" s="217">
        <v>292</v>
      </c>
      <c r="L793" s="217">
        <v>2095</v>
      </c>
      <c r="M793" s="217" t="s">
        <v>99</v>
      </c>
      <c r="N793" s="217" t="s">
        <v>32</v>
      </c>
      <c r="O793" s="217" t="s">
        <v>68</v>
      </c>
      <c r="P793" s="217" t="s">
        <v>34</v>
      </c>
      <c r="Q793" s="217" t="s">
        <v>35</v>
      </c>
      <c r="R793" s="217" t="s">
        <v>23</v>
      </c>
      <c r="S793" s="217" t="s">
        <v>22</v>
      </c>
      <c r="T793" s="217" t="s">
        <v>47</v>
      </c>
      <c r="U793" s="217" t="s">
        <v>48</v>
      </c>
      <c r="V793" s="217" t="s">
        <v>231</v>
      </c>
      <c r="W793" s="217" t="s">
        <v>232</v>
      </c>
    </row>
    <row r="794" spans="1:23" x14ac:dyDescent="0.25">
      <c r="A794" s="217" t="s">
        <v>22</v>
      </c>
      <c r="B794" s="217" t="s">
        <v>23</v>
      </c>
      <c r="C794" s="217" t="s">
        <v>48</v>
      </c>
      <c r="D794" s="217" t="s">
        <v>47</v>
      </c>
      <c r="E794" s="217" t="s">
        <v>232</v>
      </c>
      <c r="F794" s="217" t="s">
        <v>231</v>
      </c>
      <c r="G794" s="217" t="s">
        <v>233</v>
      </c>
      <c r="H794" s="217" t="s">
        <v>1358</v>
      </c>
      <c r="I794" s="217" t="s">
        <v>29</v>
      </c>
      <c r="J794" s="217" t="s">
        <v>1857</v>
      </c>
      <c r="K794" s="217">
        <v>131</v>
      </c>
      <c r="L794" s="217">
        <v>904</v>
      </c>
      <c r="M794" s="217" t="s">
        <v>31</v>
      </c>
      <c r="N794" s="217" t="s">
        <v>32</v>
      </c>
      <c r="O794" s="217" t="s">
        <v>68</v>
      </c>
      <c r="P794" s="217" t="s">
        <v>34</v>
      </c>
      <c r="Q794" s="217" t="s">
        <v>35</v>
      </c>
      <c r="R794" s="217" t="s">
        <v>23</v>
      </c>
      <c r="S794" s="217" t="s">
        <v>22</v>
      </c>
      <c r="T794" s="217" t="s">
        <v>47</v>
      </c>
      <c r="U794" s="217" t="s">
        <v>48</v>
      </c>
      <c r="V794" s="217" t="s">
        <v>231</v>
      </c>
      <c r="W794" s="217" t="s">
        <v>232</v>
      </c>
    </row>
    <row r="795" spans="1:23" x14ac:dyDescent="0.25">
      <c r="A795" s="217" t="s">
        <v>22</v>
      </c>
      <c r="B795" s="217" t="s">
        <v>23</v>
      </c>
      <c r="C795" s="217" t="s">
        <v>48</v>
      </c>
      <c r="D795" s="217" t="s">
        <v>47</v>
      </c>
      <c r="E795" s="217" t="s">
        <v>232</v>
      </c>
      <c r="F795" s="217" t="s">
        <v>231</v>
      </c>
      <c r="G795" s="217" t="s">
        <v>233</v>
      </c>
      <c r="H795" s="217" t="s">
        <v>1358</v>
      </c>
      <c r="I795" s="217" t="s">
        <v>29</v>
      </c>
      <c r="J795" s="217" t="s">
        <v>1858</v>
      </c>
      <c r="K795" s="217">
        <v>143</v>
      </c>
      <c r="L795" s="217">
        <v>889</v>
      </c>
      <c r="M795" s="217" t="s">
        <v>31</v>
      </c>
      <c r="N795" s="217" t="s">
        <v>32</v>
      </c>
      <c r="O795" s="217" t="s">
        <v>68</v>
      </c>
      <c r="P795" s="217" t="s">
        <v>34</v>
      </c>
      <c r="Q795" s="217" t="s">
        <v>35</v>
      </c>
      <c r="R795" s="217" t="s">
        <v>23</v>
      </c>
      <c r="S795" s="217" t="s">
        <v>22</v>
      </c>
      <c r="T795" s="217" t="s">
        <v>47</v>
      </c>
      <c r="U795" s="217" t="s">
        <v>48</v>
      </c>
      <c r="V795" s="217" t="s">
        <v>231</v>
      </c>
      <c r="W795" s="217" t="s">
        <v>232</v>
      </c>
    </row>
    <row r="796" spans="1:23" x14ac:dyDescent="0.25">
      <c r="A796" s="217" t="s">
        <v>22</v>
      </c>
      <c r="B796" s="217" t="s">
        <v>23</v>
      </c>
      <c r="C796" s="217" t="s">
        <v>48</v>
      </c>
      <c r="D796" s="217" t="s">
        <v>47</v>
      </c>
      <c r="E796" s="217" t="s">
        <v>232</v>
      </c>
      <c r="F796" s="217" t="s">
        <v>231</v>
      </c>
      <c r="G796" s="217" t="s">
        <v>834</v>
      </c>
      <c r="H796" s="217" t="s">
        <v>1359</v>
      </c>
      <c r="I796" s="217" t="s">
        <v>29</v>
      </c>
      <c r="J796" s="217" t="s">
        <v>1855</v>
      </c>
      <c r="K796" s="217">
        <v>23</v>
      </c>
      <c r="L796" s="217">
        <v>182</v>
      </c>
      <c r="M796" s="217" t="s">
        <v>31</v>
      </c>
      <c r="N796" s="217" t="s">
        <v>32</v>
      </c>
      <c r="O796" s="217" t="s">
        <v>100</v>
      </c>
      <c r="P796" s="217" t="s">
        <v>34</v>
      </c>
      <c r="Q796" s="217" t="s">
        <v>35</v>
      </c>
      <c r="R796" s="217" t="s">
        <v>23</v>
      </c>
      <c r="S796" s="217" t="s">
        <v>22</v>
      </c>
      <c r="T796" s="217" t="s">
        <v>47</v>
      </c>
      <c r="U796" s="217" t="s">
        <v>48</v>
      </c>
      <c r="V796" s="217" t="s">
        <v>231</v>
      </c>
      <c r="W796" s="217" t="s">
        <v>232</v>
      </c>
    </row>
    <row r="797" spans="1:23" x14ac:dyDescent="0.25">
      <c r="A797" s="217" t="s">
        <v>22</v>
      </c>
      <c r="B797" s="217" t="s">
        <v>23</v>
      </c>
      <c r="C797" s="217" t="s">
        <v>48</v>
      </c>
      <c r="D797" s="217" t="s">
        <v>47</v>
      </c>
      <c r="E797" s="217" t="s">
        <v>232</v>
      </c>
      <c r="F797" s="217" t="s">
        <v>231</v>
      </c>
      <c r="G797" s="217" t="s">
        <v>1360</v>
      </c>
      <c r="H797" s="217" t="s">
        <v>1361</v>
      </c>
      <c r="I797" s="217" t="s">
        <v>29</v>
      </c>
      <c r="J797" s="217" t="s">
        <v>1855</v>
      </c>
      <c r="K797" s="217">
        <v>137</v>
      </c>
      <c r="L797" s="217">
        <v>1096</v>
      </c>
      <c r="M797" s="217" t="s">
        <v>31</v>
      </c>
      <c r="N797" s="217" t="s">
        <v>32</v>
      </c>
      <c r="O797" s="217" t="s">
        <v>100</v>
      </c>
      <c r="P797" s="217" t="s">
        <v>34</v>
      </c>
      <c r="Q797" s="217" t="s">
        <v>35</v>
      </c>
      <c r="R797" s="217" t="s">
        <v>23</v>
      </c>
      <c r="S797" s="217" t="s">
        <v>22</v>
      </c>
      <c r="T797" s="217" t="s">
        <v>47</v>
      </c>
      <c r="U797" s="217" t="s">
        <v>48</v>
      </c>
      <c r="V797" s="217" t="s">
        <v>231</v>
      </c>
      <c r="W797" s="217" t="s">
        <v>232</v>
      </c>
    </row>
    <row r="798" spans="1:23" x14ac:dyDescent="0.25">
      <c r="A798" s="217" t="s">
        <v>22</v>
      </c>
      <c r="B798" s="217" t="s">
        <v>23</v>
      </c>
      <c r="C798" s="217" t="s">
        <v>48</v>
      </c>
      <c r="D798" s="217" t="s">
        <v>47</v>
      </c>
      <c r="E798" s="217" t="s">
        <v>232</v>
      </c>
      <c r="F798" s="217" t="s">
        <v>231</v>
      </c>
      <c r="G798" s="217" t="s">
        <v>1360</v>
      </c>
      <c r="H798" s="217" t="s">
        <v>1361</v>
      </c>
      <c r="I798" s="217" t="s">
        <v>29</v>
      </c>
      <c r="J798" s="217" t="s">
        <v>1856</v>
      </c>
      <c r="K798" s="217">
        <v>186</v>
      </c>
      <c r="L798" s="217">
        <v>1488</v>
      </c>
      <c r="M798" s="217" t="s">
        <v>31</v>
      </c>
      <c r="N798" s="217" t="s">
        <v>32</v>
      </c>
      <c r="O798" s="217" t="s">
        <v>100</v>
      </c>
      <c r="P798" s="217" t="s">
        <v>34</v>
      </c>
      <c r="Q798" s="217" t="s">
        <v>35</v>
      </c>
      <c r="R798" s="217" t="s">
        <v>23</v>
      </c>
      <c r="S798" s="217" t="s">
        <v>22</v>
      </c>
      <c r="T798" s="217" t="s">
        <v>47</v>
      </c>
      <c r="U798" s="217" t="s">
        <v>48</v>
      </c>
      <c r="V798" s="217" t="s">
        <v>231</v>
      </c>
      <c r="W798" s="217" t="s">
        <v>232</v>
      </c>
    </row>
    <row r="799" spans="1:23" x14ac:dyDescent="0.25">
      <c r="A799" s="217" t="s">
        <v>22</v>
      </c>
      <c r="B799" s="217" t="s">
        <v>23</v>
      </c>
      <c r="C799" s="217" t="s">
        <v>48</v>
      </c>
      <c r="D799" s="217" t="s">
        <v>47</v>
      </c>
      <c r="E799" s="217" t="s">
        <v>232</v>
      </c>
      <c r="F799" s="217" t="s">
        <v>231</v>
      </c>
      <c r="G799" s="217" t="s">
        <v>1360</v>
      </c>
      <c r="H799" s="217" t="s">
        <v>1361</v>
      </c>
      <c r="I799" s="217" t="s">
        <v>29</v>
      </c>
      <c r="J799" s="217" t="s">
        <v>1857</v>
      </c>
      <c r="K799" s="217">
        <v>8</v>
      </c>
      <c r="L799" s="217">
        <v>64</v>
      </c>
      <c r="M799" s="217" t="s">
        <v>31</v>
      </c>
      <c r="N799" s="217" t="s">
        <v>32</v>
      </c>
      <c r="O799" s="217" t="s">
        <v>100</v>
      </c>
      <c r="P799" s="217" t="s">
        <v>34</v>
      </c>
      <c r="Q799" s="217" t="s">
        <v>35</v>
      </c>
      <c r="R799" s="217" t="s">
        <v>23</v>
      </c>
      <c r="S799" s="217" t="s">
        <v>22</v>
      </c>
      <c r="T799" s="217" t="s">
        <v>47</v>
      </c>
      <c r="U799" s="217" t="s">
        <v>48</v>
      </c>
      <c r="V799" s="217" t="s">
        <v>231</v>
      </c>
      <c r="W799" s="217" t="s">
        <v>232</v>
      </c>
    </row>
    <row r="800" spans="1:23" x14ac:dyDescent="0.25">
      <c r="A800" s="217" t="s">
        <v>22</v>
      </c>
      <c r="B800" s="217" t="s">
        <v>23</v>
      </c>
      <c r="C800" s="217" t="s">
        <v>48</v>
      </c>
      <c r="D800" s="217" t="s">
        <v>47</v>
      </c>
      <c r="E800" s="217" t="s">
        <v>232</v>
      </c>
      <c r="F800" s="217" t="s">
        <v>231</v>
      </c>
      <c r="G800" s="217" t="s">
        <v>1360</v>
      </c>
      <c r="H800" s="217" t="s">
        <v>1361</v>
      </c>
      <c r="I800" s="217" t="s">
        <v>29</v>
      </c>
      <c r="J800" s="217" t="s">
        <v>1858</v>
      </c>
      <c r="K800" s="217">
        <v>248</v>
      </c>
      <c r="L800" s="217">
        <v>1976</v>
      </c>
      <c r="M800" s="217" t="s">
        <v>31</v>
      </c>
      <c r="N800" s="217" t="s">
        <v>32</v>
      </c>
      <c r="O800" s="217" t="s">
        <v>100</v>
      </c>
      <c r="P800" s="217" t="s">
        <v>34</v>
      </c>
      <c r="Q800" s="217" t="s">
        <v>35</v>
      </c>
      <c r="R800" s="217" t="s">
        <v>23</v>
      </c>
      <c r="S800" s="217" t="s">
        <v>22</v>
      </c>
      <c r="T800" s="217" t="s">
        <v>47</v>
      </c>
      <c r="U800" s="217" t="s">
        <v>48</v>
      </c>
      <c r="V800" s="217" t="s">
        <v>231</v>
      </c>
      <c r="W800" s="217" t="s">
        <v>232</v>
      </c>
    </row>
    <row r="801" spans="1:23" x14ac:dyDescent="0.25">
      <c r="A801" s="217" t="s">
        <v>22</v>
      </c>
      <c r="B801" s="217" t="s">
        <v>23</v>
      </c>
      <c r="C801" s="217" t="s">
        <v>48</v>
      </c>
      <c r="D801" s="217" t="s">
        <v>47</v>
      </c>
      <c r="E801" s="217" t="s">
        <v>232</v>
      </c>
      <c r="F801" s="217" t="s">
        <v>231</v>
      </c>
      <c r="G801" s="217" t="s">
        <v>234</v>
      </c>
      <c r="H801" s="217" t="s">
        <v>1362</v>
      </c>
      <c r="I801" s="217" t="s">
        <v>29</v>
      </c>
      <c r="J801" s="217" t="s">
        <v>1855</v>
      </c>
      <c r="K801" s="217">
        <v>76</v>
      </c>
      <c r="L801" s="217">
        <v>427</v>
      </c>
      <c r="M801" s="217" t="s">
        <v>31</v>
      </c>
      <c r="N801" s="217" t="s">
        <v>32</v>
      </c>
      <c r="O801" s="217" t="s">
        <v>100</v>
      </c>
      <c r="P801" s="217" t="s">
        <v>34</v>
      </c>
      <c r="Q801" s="217" t="s">
        <v>35</v>
      </c>
      <c r="R801" s="217" t="s">
        <v>23</v>
      </c>
      <c r="S801" s="217" t="s">
        <v>22</v>
      </c>
      <c r="T801" s="217" t="s">
        <v>47</v>
      </c>
      <c r="U801" s="217" t="s">
        <v>48</v>
      </c>
      <c r="V801" s="217" t="s">
        <v>231</v>
      </c>
      <c r="W801" s="217" t="s">
        <v>232</v>
      </c>
    </row>
    <row r="802" spans="1:23" x14ac:dyDescent="0.25">
      <c r="A802" s="217" t="s">
        <v>22</v>
      </c>
      <c r="B802" s="217" t="s">
        <v>23</v>
      </c>
      <c r="C802" s="217" t="s">
        <v>48</v>
      </c>
      <c r="D802" s="217" t="s">
        <v>47</v>
      </c>
      <c r="E802" s="217" t="s">
        <v>232</v>
      </c>
      <c r="F802" s="217" t="s">
        <v>231</v>
      </c>
      <c r="G802" s="217" t="s">
        <v>234</v>
      </c>
      <c r="H802" s="217" t="s">
        <v>1362</v>
      </c>
      <c r="I802" s="217" t="s">
        <v>29</v>
      </c>
      <c r="J802" s="217" t="s">
        <v>1856</v>
      </c>
      <c r="K802" s="217">
        <v>527</v>
      </c>
      <c r="L802" s="217">
        <v>2876</v>
      </c>
      <c r="M802" s="217" t="s">
        <v>31</v>
      </c>
      <c r="N802" s="217" t="s">
        <v>32</v>
      </c>
      <c r="O802" s="217" t="s">
        <v>100</v>
      </c>
      <c r="P802" s="217" t="s">
        <v>34</v>
      </c>
      <c r="Q802" s="217" t="s">
        <v>35</v>
      </c>
      <c r="R802" s="217" t="s">
        <v>23</v>
      </c>
      <c r="S802" s="217" t="s">
        <v>22</v>
      </c>
      <c r="T802" s="217" t="s">
        <v>47</v>
      </c>
      <c r="U802" s="217" t="s">
        <v>48</v>
      </c>
      <c r="V802" s="217" t="s">
        <v>231</v>
      </c>
      <c r="W802" s="217" t="s">
        <v>232</v>
      </c>
    </row>
    <row r="803" spans="1:23" x14ac:dyDescent="0.25">
      <c r="A803" s="217" t="s">
        <v>22</v>
      </c>
      <c r="B803" s="217" t="s">
        <v>23</v>
      </c>
      <c r="C803" s="217" t="s">
        <v>48</v>
      </c>
      <c r="D803" s="217" t="s">
        <v>47</v>
      </c>
      <c r="E803" s="217" t="s">
        <v>232</v>
      </c>
      <c r="F803" s="217" t="s">
        <v>231</v>
      </c>
      <c r="G803" s="217" t="s">
        <v>234</v>
      </c>
      <c r="H803" s="217" t="s">
        <v>1362</v>
      </c>
      <c r="I803" s="217" t="s">
        <v>29</v>
      </c>
      <c r="J803" s="217" t="s">
        <v>1857</v>
      </c>
      <c r="K803" s="217">
        <v>211</v>
      </c>
      <c r="L803" s="217">
        <v>1497</v>
      </c>
      <c r="M803" s="217" t="s">
        <v>31</v>
      </c>
      <c r="N803" s="217" t="s">
        <v>32</v>
      </c>
      <c r="O803" s="217" t="s">
        <v>100</v>
      </c>
      <c r="P803" s="217" t="s">
        <v>34</v>
      </c>
      <c r="Q803" s="217" t="s">
        <v>35</v>
      </c>
      <c r="R803" s="217" t="s">
        <v>23</v>
      </c>
      <c r="S803" s="217" t="s">
        <v>22</v>
      </c>
      <c r="T803" s="217" t="s">
        <v>47</v>
      </c>
      <c r="U803" s="217" t="s">
        <v>48</v>
      </c>
      <c r="V803" s="217" t="s">
        <v>231</v>
      </c>
      <c r="W803" s="217" t="s">
        <v>232</v>
      </c>
    </row>
    <row r="804" spans="1:23" x14ac:dyDescent="0.25">
      <c r="A804" s="217" t="s">
        <v>22</v>
      </c>
      <c r="B804" s="217" t="s">
        <v>23</v>
      </c>
      <c r="C804" s="217" t="s">
        <v>48</v>
      </c>
      <c r="D804" s="217" t="s">
        <v>47</v>
      </c>
      <c r="E804" s="217" t="s">
        <v>232</v>
      </c>
      <c r="F804" s="217" t="s">
        <v>231</v>
      </c>
      <c r="G804" s="217" t="s">
        <v>234</v>
      </c>
      <c r="H804" s="217" t="s">
        <v>1362</v>
      </c>
      <c r="I804" s="217" t="s">
        <v>29</v>
      </c>
      <c r="J804" s="217" t="s">
        <v>1858</v>
      </c>
      <c r="K804" s="217">
        <v>147</v>
      </c>
      <c r="L804" s="217">
        <v>1027</v>
      </c>
      <c r="M804" s="217" t="s">
        <v>31</v>
      </c>
      <c r="N804" s="217" t="s">
        <v>32</v>
      </c>
      <c r="O804" s="217" t="s">
        <v>100</v>
      </c>
      <c r="P804" s="217" t="s">
        <v>34</v>
      </c>
      <c r="Q804" s="217" t="s">
        <v>35</v>
      </c>
      <c r="R804" s="217" t="s">
        <v>23</v>
      </c>
      <c r="S804" s="217" t="s">
        <v>22</v>
      </c>
      <c r="T804" s="217" t="s">
        <v>47</v>
      </c>
      <c r="U804" s="217" t="s">
        <v>48</v>
      </c>
      <c r="V804" s="217" t="s">
        <v>231</v>
      </c>
      <c r="W804" s="217" t="s">
        <v>232</v>
      </c>
    </row>
    <row r="805" spans="1:23" x14ac:dyDescent="0.25">
      <c r="A805" s="217" t="s">
        <v>22</v>
      </c>
      <c r="B805" s="217" t="s">
        <v>23</v>
      </c>
      <c r="C805" s="217" t="s">
        <v>48</v>
      </c>
      <c r="D805" s="217" t="s">
        <v>47</v>
      </c>
      <c r="E805" s="217" t="s">
        <v>62</v>
      </c>
      <c r="F805" s="217" t="s">
        <v>61</v>
      </c>
      <c r="G805" s="217" t="s">
        <v>502</v>
      </c>
      <c r="H805" s="217" t="s">
        <v>1363</v>
      </c>
      <c r="I805" s="217" t="s">
        <v>29</v>
      </c>
      <c r="J805" s="217" t="s">
        <v>1854</v>
      </c>
      <c r="K805" s="217">
        <v>39</v>
      </c>
      <c r="L805" s="217">
        <v>162</v>
      </c>
      <c r="M805" s="217" t="s">
        <v>31</v>
      </c>
      <c r="N805" s="217" t="s">
        <v>32</v>
      </c>
      <c r="O805" s="217" t="s">
        <v>68</v>
      </c>
      <c r="P805" s="217" t="s">
        <v>34</v>
      </c>
      <c r="Q805" s="217" t="s">
        <v>35</v>
      </c>
      <c r="R805" s="217" t="s">
        <v>23</v>
      </c>
      <c r="S805" s="217" t="s">
        <v>22</v>
      </c>
      <c r="T805" s="217" t="s">
        <v>47</v>
      </c>
      <c r="U805" s="217" t="s">
        <v>48</v>
      </c>
      <c r="V805" s="217" t="s">
        <v>231</v>
      </c>
      <c r="W805" s="217" t="s">
        <v>232</v>
      </c>
    </row>
    <row r="806" spans="1:23" x14ac:dyDescent="0.25">
      <c r="A806" s="217" t="s">
        <v>22</v>
      </c>
      <c r="B806" s="217" t="s">
        <v>23</v>
      </c>
      <c r="C806" s="217" t="s">
        <v>48</v>
      </c>
      <c r="D806" s="217" t="s">
        <v>47</v>
      </c>
      <c r="E806" s="217" t="s">
        <v>62</v>
      </c>
      <c r="F806" s="217" t="s">
        <v>61</v>
      </c>
      <c r="G806" s="217" t="s">
        <v>502</v>
      </c>
      <c r="H806" s="217" t="s">
        <v>1363</v>
      </c>
      <c r="I806" s="217" t="s">
        <v>29</v>
      </c>
      <c r="J806" s="217" t="s">
        <v>1855</v>
      </c>
      <c r="K806" s="217">
        <v>50</v>
      </c>
      <c r="L806" s="217">
        <v>201</v>
      </c>
      <c r="M806" s="217" t="s">
        <v>31</v>
      </c>
      <c r="N806" s="217" t="s">
        <v>32</v>
      </c>
      <c r="O806" s="217" t="s">
        <v>68</v>
      </c>
      <c r="P806" s="217" t="s">
        <v>34</v>
      </c>
      <c r="Q806" s="217" t="s">
        <v>35</v>
      </c>
      <c r="R806" s="217" t="s">
        <v>23</v>
      </c>
      <c r="S806" s="217" t="s">
        <v>22</v>
      </c>
      <c r="T806" s="217" t="s">
        <v>47</v>
      </c>
      <c r="U806" s="217" t="s">
        <v>48</v>
      </c>
      <c r="V806" s="217" t="s">
        <v>231</v>
      </c>
      <c r="W806" s="217" t="s">
        <v>232</v>
      </c>
    </row>
    <row r="807" spans="1:23" x14ac:dyDescent="0.25">
      <c r="A807" s="217" t="s">
        <v>22</v>
      </c>
      <c r="B807" s="217" t="s">
        <v>23</v>
      </c>
      <c r="C807" s="217" t="s">
        <v>48</v>
      </c>
      <c r="D807" s="217" t="s">
        <v>47</v>
      </c>
      <c r="E807" s="217" t="s">
        <v>62</v>
      </c>
      <c r="F807" s="217" t="s">
        <v>61</v>
      </c>
      <c r="G807" s="217" t="s">
        <v>502</v>
      </c>
      <c r="H807" s="217" t="s">
        <v>1363</v>
      </c>
      <c r="I807" s="217" t="s">
        <v>29</v>
      </c>
      <c r="J807" s="217" t="s">
        <v>1856</v>
      </c>
      <c r="K807" s="217">
        <v>44</v>
      </c>
      <c r="L807" s="217">
        <v>199</v>
      </c>
      <c r="M807" s="217" t="s">
        <v>31</v>
      </c>
      <c r="N807" s="217" t="s">
        <v>32</v>
      </c>
      <c r="O807" s="217" t="s">
        <v>68</v>
      </c>
      <c r="P807" s="217" t="s">
        <v>34</v>
      </c>
      <c r="Q807" s="217" t="s">
        <v>35</v>
      </c>
      <c r="R807" s="217" t="s">
        <v>23</v>
      </c>
      <c r="S807" s="217" t="s">
        <v>22</v>
      </c>
      <c r="T807" s="217" t="s">
        <v>47</v>
      </c>
      <c r="U807" s="217" t="s">
        <v>48</v>
      </c>
      <c r="V807" s="217" t="s">
        <v>231</v>
      </c>
      <c r="W807" s="217" t="s">
        <v>232</v>
      </c>
    </row>
    <row r="808" spans="1:23" x14ac:dyDescent="0.25">
      <c r="A808" s="217" t="s">
        <v>22</v>
      </c>
      <c r="B808" s="217" t="s">
        <v>23</v>
      </c>
      <c r="C808" s="217" t="s">
        <v>48</v>
      </c>
      <c r="D808" s="217" t="s">
        <v>47</v>
      </c>
      <c r="E808" s="217" t="s">
        <v>62</v>
      </c>
      <c r="F808" s="217" t="s">
        <v>61</v>
      </c>
      <c r="G808" s="217" t="s">
        <v>502</v>
      </c>
      <c r="H808" s="217" t="s">
        <v>1363</v>
      </c>
      <c r="I808" s="217" t="s">
        <v>29</v>
      </c>
      <c r="J808" s="217" t="s">
        <v>1857</v>
      </c>
      <c r="K808" s="217">
        <v>54</v>
      </c>
      <c r="L808" s="217">
        <v>274</v>
      </c>
      <c r="M808" s="217" t="s">
        <v>31</v>
      </c>
      <c r="N808" s="217" t="s">
        <v>32</v>
      </c>
      <c r="O808" s="217" t="s">
        <v>68</v>
      </c>
      <c r="P808" s="217" t="s">
        <v>34</v>
      </c>
      <c r="Q808" s="217" t="s">
        <v>35</v>
      </c>
      <c r="R808" s="217" t="s">
        <v>23</v>
      </c>
      <c r="S808" s="217" t="s">
        <v>22</v>
      </c>
      <c r="T808" s="217" t="s">
        <v>47</v>
      </c>
      <c r="U808" s="217" t="s">
        <v>48</v>
      </c>
      <c r="V808" s="217" t="s">
        <v>231</v>
      </c>
      <c r="W808" s="217" t="s">
        <v>232</v>
      </c>
    </row>
    <row r="809" spans="1:23" x14ac:dyDescent="0.25">
      <c r="A809" s="217" t="s">
        <v>22</v>
      </c>
      <c r="B809" s="217" t="s">
        <v>23</v>
      </c>
      <c r="C809" s="217" t="s">
        <v>48</v>
      </c>
      <c r="D809" s="217" t="s">
        <v>47</v>
      </c>
      <c r="E809" s="217" t="s">
        <v>62</v>
      </c>
      <c r="F809" s="217" t="s">
        <v>61</v>
      </c>
      <c r="G809" s="217" t="s">
        <v>503</v>
      </c>
      <c r="H809" s="217" t="s">
        <v>1364</v>
      </c>
      <c r="I809" s="217" t="s">
        <v>29</v>
      </c>
      <c r="J809" s="217" t="s">
        <v>1854</v>
      </c>
      <c r="K809" s="217">
        <v>10</v>
      </c>
      <c r="L809" s="217">
        <v>53</v>
      </c>
      <c r="M809" s="217" t="s">
        <v>31</v>
      </c>
      <c r="N809" s="217" t="s">
        <v>32</v>
      </c>
      <c r="O809" s="217" t="s">
        <v>68</v>
      </c>
      <c r="P809" s="217" t="s">
        <v>34</v>
      </c>
      <c r="Q809" s="217" t="s">
        <v>35</v>
      </c>
      <c r="R809" s="217" t="s">
        <v>23</v>
      </c>
      <c r="S809" s="217" t="s">
        <v>22</v>
      </c>
      <c r="T809" s="217" t="s">
        <v>47</v>
      </c>
      <c r="U809" s="217" t="s">
        <v>48</v>
      </c>
      <c r="V809" s="217" t="s">
        <v>231</v>
      </c>
      <c r="W809" s="217" t="s">
        <v>232</v>
      </c>
    </row>
    <row r="810" spans="1:23" x14ac:dyDescent="0.25">
      <c r="A810" s="217" t="s">
        <v>22</v>
      </c>
      <c r="B810" s="217" t="s">
        <v>23</v>
      </c>
      <c r="C810" s="217" t="s">
        <v>48</v>
      </c>
      <c r="D810" s="217" t="s">
        <v>47</v>
      </c>
      <c r="E810" s="217" t="s">
        <v>62</v>
      </c>
      <c r="F810" s="217" t="s">
        <v>61</v>
      </c>
      <c r="G810" s="217" t="s">
        <v>503</v>
      </c>
      <c r="H810" s="217" t="s">
        <v>1364</v>
      </c>
      <c r="I810" s="217" t="s">
        <v>29</v>
      </c>
      <c r="J810" s="217" t="s">
        <v>1855</v>
      </c>
      <c r="K810" s="217">
        <v>21</v>
      </c>
      <c r="L810" s="217">
        <v>89</v>
      </c>
      <c r="M810" s="217" t="s">
        <v>31</v>
      </c>
      <c r="N810" s="217" t="s">
        <v>32</v>
      </c>
      <c r="O810" s="217" t="s">
        <v>68</v>
      </c>
      <c r="P810" s="217" t="s">
        <v>34</v>
      </c>
      <c r="Q810" s="217" t="s">
        <v>35</v>
      </c>
      <c r="R810" s="217" t="s">
        <v>23</v>
      </c>
      <c r="S810" s="217" t="s">
        <v>22</v>
      </c>
      <c r="T810" s="217" t="s">
        <v>47</v>
      </c>
      <c r="U810" s="217" t="s">
        <v>48</v>
      </c>
      <c r="V810" s="217" t="s">
        <v>231</v>
      </c>
      <c r="W810" s="217" t="s">
        <v>232</v>
      </c>
    </row>
    <row r="811" spans="1:23" x14ac:dyDescent="0.25">
      <c r="A811" s="217" t="s">
        <v>22</v>
      </c>
      <c r="B811" s="217" t="s">
        <v>23</v>
      </c>
      <c r="C811" s="217" t="s">
        <v>48</v>
      </c>
      <c r="D811" s="217" t="s">
        <v>47</v>
      </c>
      <c r="E811" s="217" t="s">
        <v>62</v>
      </c>
      <c r="F811" s="217" t="s">
        <v>61</v>
      </c>
      <c r="G811" s="217" t="s">
        <v>503</v>
      </c>
      <c r="H811" s="217" t="s">
        <v>1364</v>
      </c>
      <c r="I811" s="217" t="s">
        <v>29</v>
      </c>
      <c r="J811" s="217" t="s">
        <v>1856</v>
      </c>
      <c r="K811" s="217">
        <v>12</v>
      </c>
      <c r="L811" s="217">
        <v>50</v>
      </c>
      <c r="M811" s="217" t="s">
        <v>31</v>
      </c>
      <c r="N811" s="217" t="s">
        <v>32</v>
      </c>
      <c r="O811" s="217" t="s">
        <v>68</v>
      </c>
      <c r="P811" s="217" t="s">
        <v>34</v>
      </c>
      <c r="Q811" s="217" t="s">
        <v>35</v>
      </c>
      <c r="R811" s="217" t="s">
        <v>23</v>
      </c>
      <c r="S811" s="217" t="s">
        <v>22</v>
      </c>
      <c r="T811" s="217" t="s">
        <v>47</v>
      </c>
      <c r="U811" s="217" t="s">
        <v>48</v>
      </c>
      <c r="V811" s="217" t="s">
        <v>231</v>
      </c>
      <c r="W811" s="217" t="s">
        <v>232</v>
      </c>
    </row>
    <row r="812" spans="1:23" x14ac:dyDescent="0.25">
      <c r="A812" s="217" t="s">
        <v>22</v>
      </c>
      <c r="B812" s="217" t="s">
        <v>23</v>
      </c>
      <c r="C812" s="217" t="s">
        <v>48</v>
      </c>
      <c r="D812" s="217" t="s">
        <v>47</v>
      </c>
      <c r="E812" s="217" t="s">
        <v>62</v>
      </c>
      <c r="F812" s="217" t="s">
        <v>61</v>
      </c>
      <c r="G812" s="217" t="s">
        <v>503</v>
      </c>
      <c r="H812" s="217" t="s">
        <v>1364</v>
      </c>
      <c r="I812" s="217" t="s">
        <v>29</v>
      </c>
      <c r="J812" s="217" t="s">
        <v>1857</v>
      </c>
      <c r="K812" s="217">
        <v>7</v>
      </c>
      <c r="L812" s="217">
        <v>67</v>
      </c>
      <c r="M812" s="217" t="s">
        <v>31</v>
      </c>
      <c r="N812" s="217" t="s">
        <v>32</v>
      </c>
      <c r="O812" s="217" t="s">
        <v>68</v>
      </c>
      <c r="P812" s="217" t="s">
        <v>34</v>
      </c>
      <c r="Q812" s="217" t="s">
        <v>35</v>
      </c>
      <c r="R812" s="217" t="s">
        <v>23</v>
      </c>
      <c r="S812" s="217" t="s">
        <v>22</v>
      </c>
      <c r="T812" s="217" t="s">
        <v>47</v>
      </c>
      <c r="U812" s="217" t="s">
        <v>48</v>
      </c>
      <c r="V812" s="217" t="s">
        <v>231</v>
      </c>
      <c r="W812" s="217" t="s">
        <v>232</v>
      </c>
    </row>
    <row r="813" spans="1:23" x14ac:dyDescent="0.25">
      <c r="A813" s="217" t="s">
        <v>22</v>
      </c>
      <c r="B813" s="217" t="s">
        <v>23</v>
      </c>
      <c r="C813" s="217" t="s">
        <v>48</v>
      </c>
      <c r="D813" s="217" t="s">
        <v>47</v>
      </c>
      <c r="E813" s="217" t="s">
        <v>62</v>
      </c>
      <c r="F813" s="217" t="s">
        <v>61</v>
      </c>
      <c r="G813" s="217" t="s">
        <v>836</v>
      </c>
      <c r="H813" s="217" t="s">
        <v>1365</v>
      </c>
      <c r="I813" s="217" t="s">
        <v>29</v>
      </c>
      <c r="J813" s="217" t="s">
        <v>1856</v>
      </c>
      <c r="K813" s="217">
        <v>19</v>
      </c>
      <c r="L813" s="217">
        <v>71</v>
      </c>
      <c r="M813" s="217" t="s">
        <v>31</v>
      </c>
      <c r="N813" s="217" t="s">
        <v>32</v>
      </c>
      <c r="O813" s="217" t="s">
        <v>68</v>
      </c>
      <c r="P813" s="217" t="s">
        <v>34</v>
      </c>
      <c r="Q813" s="217" t="s">
        <v>35</v>
      </c>
      <c r="R813" s="217" t="s">
        <v>23</v>
      </c>
      <c r="S813" s="217" t="s">
        <v>22</v>
      </c>
      <c r="T813" s="217" t="s">
        <v>47</v>
      </c>
      <c r="U813" s="217" t="s">
        <v>48</v>
      </c>
      <c r="V813" s="217" t="s">
        <v>231</v>
      </c>
      <c r="W813" s="217" t="s">
        <v>232</v>
      </c>
    </row>
    <row r="814" spans="1:23" x14ac:dyDescent="0.25">
      <c r="A814" s="217" t="s">
        <v>22</v>
      </c>
      <c r="B814" s="217" t="s">
        <v>23</v>
      </c>
      <c r="C814" s="217" t="s">
        <v>48</v>
      </c>
      <c r="D814" s="217" t="s">
        <v>47</v>
      </c>
      <c r="E814" s="217" t="s">
        <v>62</v>
      </c>
      <c r="F814" s="217" t="s">
        <v>61</v>
      </c>
      <c r="G814" s="217" t="s">
        <v>836</v>
      </c>
      <c r="H814" s="217" t="s">
        <v>1365</v>
      </c>
      <c r="I814" s="217" t="s">
        <v>29</v>
      </c>
      <c r="J814" s="217" t="s">
        <v>1857</v>
      </c>
      <c r="K814" s="217">
        <v>37</v>
      </c>
      <c r="L814" s="217">
        <v>214</v>
      </c>
      <c r="M814" s="217" t="s">
        <v>31</v>
      </c>
      <c r="N814" s="217" t="s">
        <v>32</v>
      </c>
      <c r="O814" s="217" t="s">
        <v>68</v>
      </c>
      <c r="P814" s="217" t="s">
        <v>34</v>
      </c>
      <c r="Q814" s="217" t="s">
        <v>35</v>
      </c>
      <c r="R814" s="217" t="s">
        <v>23</v>
      </c>
      <c r="S814" s="217" t="s">
        <v>22</v>
      </c>
      <c r="T814" s="217" t="s">
        <v>47</v>
      </c>
      <c r="U814" s="217" t="s">
        <v>48</v>
      </c>
      <c r="V814" s="217" t="s">
        <v>231</v>
      </c>
      <c r="W814" s="217" t="s">
        <v>232</v>
      </c>
    </row>
    <row r="815" spans="1:23" x14ac:dyDescent="0.25">
      <c r="A815" s="217" t="s">
        <v>22</v>
      </c>
      <c r="B815" s="217" t="s">
        <v>23</v>
      </c>
      <c r="C815" s="217" t="s">
        <v>48</v>
      </c>
      <c r="D815" s="217" t="s">
        <v>47</v>
      </c>
      <c r="E815" s="217" t="s">
        <v>62</v>
      </c>
      <c r="F815" s="217" t="s">
        <v>61</v>
      </c>
      <c r="G815" s="217" t="s">
        <v>504</v>
      </c>
      <c r="H815" s="217" t="s">
        <v>1366</v>
      </c>
      <c r="I815" s="217" t="s">
        <v>29</v>
      </c>
      <c r="J815" s="217" t="s">
        <v>1854</v>
      </c>
      <c r="K815" s="217">
        <v>9</v>
      </c>
      <c r="L815" s="217">
        <v>62</v>
      </c>
      <c r="M815" s="217" t="s">
        <v>31</v>
      </c>
      <c r="N815" s="217" t="s">
        <v>32</v>
      </c>
      <c r="O815" s="217" t="s">
        <v>68</v>
      </c>
      <c r="P815" s="217" t="s">
        <v>34</v>
      </c>
      <c r="Q815" s="217" t="s">
        <v>35</v>
      </c>
      <c r="R815" s="217" t="s">
        <v>23</v>
      </c>
      <c r="S815" s="217" t="s">
        <v>22</v>
      </c>
      <c r="T815" s="217" t="s">
        <v>47</v>
      </c>
      <c r="U815" s="217" t="s">
        <v>48</v>
      </c>
      <c r="V815" s="217" t="s">
        <v>231</v>
      </c>
      <c r="W815" s="217" t="s">
        <v>232</v>
      </c>
    </row>
    <row r="816" spans="1:23" x14ac:dyDescent="0.25">
      <c r="A816" s="217" t="s">
        <v>22</v>
      </c>
      <c r="B816" s="217" t="s">
        <v>23</v>
      </c>
      <c r="C816" s="217" t="s">
        <v>48</v>
      </c>
      <c r="D816" s="217" t="s">
        <v>47</v>
      </c>
      <c r="E816" s="217" t="s">
        <v>62</v>
      </c>
      <c r="F816" s="217" t="s">
        <v>61</v>
      </c>
      <c r="G816" s="217" t="s">
        <v>504</v>
      </c>
      <c r="H816" s="217" t="s">
        <v>1366</v>
      </c>
      <c r="I816" s="217" t="s">
        <v>29</v>
      </c>
      <c r="J816" s="217" t="s">
        <v>1855</v>
      </c>
      <c r="K816" s="217">
        <v>13</v>
      </c>
      <c r="L816" s="217">
        <v>109</v>
      </c>
      <c r="M816" s="217" t="s">
        <v>31</v>
      </c>
      <c r="N816" s="217" t="s">
        <v>32</v>
      </c>
      <c r="O816" s="217" t="s">
        <v>68</v>
      </c>
      <c r="P816" s="217" t="s">
        <v>34</v>
      </c>
      <c r="Q816" s="217" t="s">
        <v>35</v>
      </c>
      <c r="R816" s="217" t="s">
        <v>23</v>
      </c>
      <c r="S816" s="217" t="s">
        <v>22</v>
      </c>
      <c r="T816" s="217" t="s">
        <v>47</v>
      </c>
      <c r="U816" s="217" t="s">
        <v>48</v>
      </c>
      <c r="V816" s="217" t="s">
        <v>231</v>
      </c>
      <c r="W816" s="217" t="s">
        <v>232</v>
      </c>
    </row>
    <row r="817" spans="1:23" x14ac:dyDescent="0.25">
      <c r="A817" s="217" t="s">
        <v>22</v>
      </c>
      <c r="B817" s="217" t="s">
        <v>23</v>
      </c>
      <c r="C817" s="217" t="s">
        <v>48</v>
      </c>
      <c r="D817" s="217" t="s">
        <v>47</v>
      </c>
      <c r="E817" s="217" t="s">
        <v>62</v>
      </c>
      <c r="F817" s="217" t="s">
        <v>61</v>
      </c>
      <c r="G817" s="217" t="s">
        <v>504</v>
      </c>
      <c r="H817" s="217" t="s">
        <v>1366</v>
      </c>
      <c r="I817" s="217" t="s">
        <v>29</v>
      </c>
      <c r="J817" s="217" t="s">
        <v>1856</v>
      </c>
      <c r="K817" s="217">
        <v>12</v>
      </c>
      <c r="L817" s="217">
        <v>83</v>
      </c>
      <c r="M817" s="217" t="s">
        <v>31</v>
      </c>
      <c r="N817" s="217" t="s">
        <v>32</v>
      </c>
      <c r="O817" s="217" t="s">
        <v>68</v>
      </c>
      <c r="P817" s="217" t="s">
        <v>34</v>
      </c>
      <c r="Q817" s="217" t="s">
        <v>35</v>
      </c>
      <c r="R817" s="217" t="s">
        <v>23</v>
      </c>
      <c r="S817" s="217" t="s">
        <v>22</v>
      </c>
      <c r="T817" s="217" t="s">
        <v>47</v>
      </c>
      <c r="U817" s="217" t="s">
        <v>48</v>
      </c>
      <c r="V817" s="217" t="s">
        <v>231</v>
      </c>
      <c r="W817" s="217" t="s">
        <v>232</v>
      </c>
    </row>
    <row r="818" spans="1:23" x14ac:dyDescent="0.25">
      <c r="A818" s="217" t="s">
        <v>22</v>
      </c>
      <c r="B818" s="217" t="s">
        <v>23</v>
      </c>
      <c r="C818" s="217" t="s">
        <v>48</v>
      </c>
      <c r="D818" s="217" t="s">
        <v>47</v>
      </c>
      <c r="E818" s="217" t="s">
        <v>62</v>
      </c>
      <c r="F818" s="217" t="s">
        <v>61</v>
      </c>
      <c r="G818" s="217" t="s">
        <v>504</v>
      </c>
      <c r="H818" s="217" t="s">
        <v>1366</v>
      </c>
      <c r="I818" s="217" t="s">
        <v>29</v>
      </c>
      <c r="J818" s="217" t="s">
        <v>1857</v>
      </c>
      <c r="K818" s="217">
        <v>14</v>
      </c>
      <c r="L818" s="217">
        <v>63</v>
      </c>
      <c r="M818" s="217" t="s">
        <v>31</v>
      </c>
      <c r="N818" s="217" t="s">
        <v>32</v>
      </c>
      <c r="O818" s="217" t="s">
        <v>68</v>
      </c>
      <c r="P818" s="217" t="s">
        <v>34</v>
      </c>
      <c r="Q818" s="217" t="s">
        <v>35</v>
      </c>
      <c r="R818" s="217" t="s">
        <v>23</v>
      </c>
      <c r="S818" s="217" t="s">
        <v>22</v>
      </c>
      <c r="T818" s="217" t="s">
        <v>47</v>
      </c>
      <c r="U818" s="217" t="s">
        <v>48</v>
      </c>
      <c r="V818" s="217" t="s">
        <v>231</v>
      </c>
      <c r="W818" s="217" t="s">
        <v>232</v>
      </c>
    </row>
    <row r="819" spans="1:23" x14ac:dyDescent="0.25">
      <c r="A819" s="217" t="s">
        <v>22</v>
      </c>
      <c r="B819" s="217" t="s">
        <v>23</v>
      </c>
      <c r="C819" s="217" t="s">
        <v>48</v>
      </c>
      <c r="D819" s="217" t="s">
        <v>47</v>
      </c>
      <c r="E819" s="217" t="s">
        <v>62</v>
      </c>
      <c r="F819" s="217" t="s">
        <v>61</v>
      </c>
      <c r="G819" s="217" t="s">
        <v>504</v>
      </c>
      <c r="H819" s="217" t="s">
        <v>1366</v>
      </c>
      <c r="I819" s="217" t="s">
        <v>29</v>
      </c>
      <c r="J819" s="217" t="s">
        <v>1858</v>
      </c>
      <c r="K819" s="217">
        <v>11</v>
      </c>
      <c r="L819" s="217">
        <v>48</v>
      </c>
      <c r="M819" s="217" t="s">
        <v>31</v>
      </c>
      <c r="N819" s="217" t="s">
        <v>32</v>
      </c>
      <c r="O819" s="217" t="s">
        <v>68</v>
      </c>
      <c r="P819" s="217" t="s">
        <v>34</v>
      </c>
      <c r="Q819" s="217" t="s">
        <v>35</v>
      </c>
      <c r="R819" s="217" t="s">
        <v>23</v>
      </c>
      <c r="S819" s="217" t="s">
        <v>22</v>
      </c>
      <c r="T819" s="217" t="s">
        <v>47</v>
      </c>
      <c r="U819" s="217" t="s">
        <v>48</v>
      </c>
      <c r="V819" s="217" t="s">
        <v>231</v>
      </c>
      <c r="W819" s="217" t="s">
        <v>232</v>
      </c>
    </row>
    <row r="820" spans="1:23" x14ac:dyDescent="0.25">
      <c r="A820" s="217" t="s">
        <v>22</v>
      </c>
      <c r="B820" s="217" t="s">
        <v>23</v>
      </c>
      <c r="C820" s="217" t="s">
        <v>48</v>
      </c>
      <c r="D820" s="217" t="s">
        <v>47</v>
      </c>
      <c r="E820" s="217" t="s">
        <v>62</v>
      </c>
      <c r="F820" s="217" t="s">
        <v>61</v>
      </c>
      <c r="G820" s="217" t="s">
        <v>505</v>
      </c>
      <c r="H820" s="217" t="s">
        <v>1367</v>
      </c>
      <c r="I820" s="217" t="s">
        <v>29</v>
      </c>
      <c r="J820" s="217" t="s">
        <v>1854</v>
      </c>
      <c r="K820" s="217">
        <v>38</v>
      </c>
      <c r="L820" s="217">
        <v>121</v>
      </c>
      <c r="M820" s="217" t="s">
        <v>31</v>
      </c>
      <c r="N820" s="217" t="s">
        <v>32</v>
      </c>
      <c r="O820" s="217" t="s">
        <v>68</v>
      </c>
      <c r="P820" s="217" t="s">
        <v>34</v>
      </c>
      <c r="Q820" s="217" t="s">
        <v>35</v>
      </c>
      <c r="R820" s="217" t="s">
        <v>23</v>
      </c>
      <c r="S820" s="217" t="s">
        <v>22</v>
      </c>
      <c r="T820" s="217" t="s">
        <v>47</v>
      </c>
      <c r="U820" s="217" t="s">
        <v>48</v>
      </c>
      <c r="V820" s="217" t="s">
        <v>231</v>
      </c>
      <c r="W820" s="217" t="s">
        <v>232</v>
      </c>
    </row>
    <row r="821" spans="1:23" x14ac:dyDescent="0.25">
      <c r="A821" s="217" t="s">
        <v>22</v>
      </c>
      <c r="B821" s="217" t="s">
        <v>23</v>
      </c>
      <c r="C821" s="217" t="s">
        <v>48</v>
      </c>
      <c r="D821" s="217" t="s">
        <v>47</v>
      </c>
      <c r="E821" s="217" t="s">
        <v>62</v>
      </c>
      <c r="F821" s="217" t="s">
        <v>61</v>
      </c>
      <c r="G821" s="217" t="s">
        <v>505</v>
      </c>
      <c r="H821" s="217" t="s">
        <v>1367</v>
      </c>
      <c r="I821" s="217" t="s">
        <v>29</v>
      </c>
      <c r="J821" s="217" t="s">
        <v>1855</v>
      </c>
      <c r="K821" s="217">
        <v>59</v>
      </c>
      <c r="L821" s="217">
        <v>142</v>
      </c>
      <c r="M821" s="217" t="s">
        <v>31</v>
      </c>
      <c r="N821" s="217" t="s">
        <v>32</v>
      </c>
      <c r="O821" s="217" t="s">
        <v>68</v>
      </c>
      <c r="P821" s="217" t="s">
        <v>34</v>
      </c>
      <c r="Q821" s="217" t="s">
        <v>35</v>
      </c>
      <c r="R821" s="217" t="s">
        <v>23</v>
      </c>
      <c r="S821" s="217" t="s">
        <v>22</v>
      </c>
      <c r="T821" s="217" t="s">
        <v>47</v>
      </c>
      <c r="U821" s="217" t="s">
        <v>48</v>
      </c>
      <c r="V821" s="217" t="s">
        <v>231</v>
      </c>
      <c r="W821" s="217" t="s">
        <v>232</v>
      </c>
    </row>
    <row r="822" spans="1:23" x14ac:dyDescent="0.25">
      <c r="A822" s="217" t="s">
        <v>22</v>
      </c>
      <c r="B822" s="217" t="s">
        <v>23</v>
      </c>
      <c r="C822" s="217" t="s">
        <v>48</v>
      </c>
      <c r="D822" s="217" t="s">
        <v>47</v>
      </c>
      <c r="E822" s="217" t="s">
        <v>62</v>
      </c>
      <c r="F822" s="217" t="s">
        <v>61</v>
      </c>
      <c r="G822" s="217" t="s">
        <v>505</v>
      </c>
      <c r="H822" s="217" t="s">
        <v>1367</v>
      </c>
      <c r="I822" s="217" t="s">
        <v>29</v>
      </c>
      <c r="J822" s="217" t="s">
        <v>1856</v>
      </c>
      <c r="K822" s="217">
        <v>89</v>
      </c>
      <c r="L822" s="217">
        <v>164</v>
      </c>
      <c r="M822" s="217" t="s">
        <v>31</v>
      </c>
      <c r="N822" s="217" t="s">
        <v>32</v>
      </c>
      <c r="O822" s="217" t="s">
        <v>68</v>
      </c>
      <c r="P822" s="217" t="s">
        <v>34</v>
      </c>
      <c r="Q822" s="217" t="s">
        <v>35</v>
      </c>
      <c r="R822" s="217" t="s">
        <v>23</v>
      </c>
      <c r="S822" s="217" t="s">
        <v>22</v>
      </c>
      <c r="T822" s="217" t="s">
        <v>47</v>
      </c>
      <c r="U822" s="217" t="s">
        <v>48</v>
      </c>
      <c r="V822" s="217" t="s">
        <v>231</v>
      </c>
      <c r="W822" s="217" t="s">
        <v>232</v>
      </c>
    </row>
    <row r="823" spans="1:23" x14ac:dyDescent="0.25">
      <c r="A823" s="217" t="s">
        <v>22</v>
      </c>
      <c r="B823" s="217" t="s">
        <v>23</v>
      </c>
      <c r="C823" s="217" t="s">
        <v>48</v>
      </c>
      <c r="D823" s="217" t="s">
        <v>47</v>
      </c>
      <c r="E823" s="217" t="s">
        <v>62</v>
      </c>
      <c r="F823" s="217" t="s">
        <v>61</v>
      </c>
      <c r="G823" s="217" t="s">
        <v>505</v>
      </c>
      <c r="H823" s="217" t="s">
        <v>1367</v>
      </c>
      <c r="I823" s="217" t="s">
        <v>29</v>
      </c>
      <c r="J823" s="217" t="s">
        <v>1857</v>
      </c>
      <c r="K823" s="217">
        <v>299</v>
      </c>
      <c r="L823" s="217">
        <v>1170</v>
      </c>
      <c r="M823" s="217" t="s">
        <v>31</v>
      </c>
      <c r="N823" s="217" t="s">
        <v>32</v>
      </c>
      <c r="O823" s="217" t="s">
        <v>68</v>
      </c>
      <c r="P823" s="217" t="s">
        <v>34</v>
      </c>
      <c r="Q823" s="217" t="s">
        <v>35</v>
      </c>
      <c r="R823" s="217" t="s">
        <v>23</v>
      </c>
      <c r="S823" s="217" t="s">
        <v>22</v>
      </c>
      <c r="T823" s="217" t="s">
        <v>47</v>
      </c>
      <c r="U823" s="217" t="s">
        <v>48</v>
      </c>
      <c r="V823" s="217" t="s">
        <v>231</v>
      </c>
      <c r="W823" s="217" t="s">
        <v>232</v>
      </c>
    </row>
    <row r="824" spans="1:23" x14ac:dyDescent="0.25">
      <c r="A824" s="217" t="s">
        <v>22</v>
      </c>
      <c r="B824" s="217" t="s">
        <v>23</v>
      </c>
      <c r="C824" s="217" t="s">
        <v>48</v>
      </c>
      <c r="D824" s="217" t="s">
        <v>47</v>
      </c>
      <c r="E824" s="217" t="s">
        <v>62</v>
      </c>
      <c r="F824" s="217" t="s">
        <v>61</v>
      </c>
      <c r="G824" s="217" t="s">
        <v>505</v>
      </c>
      <c r="H824" s="217" t="s">
        <v>1367</v>
      </c>
      <c r="I824" s="217" t="s">
        <v>29</v>
      </c>
      <c r="J824" s="217" t="s">
        <v>1858</v>
      </c>
      <c r="K824" s="217">
        <v>33</v>
      </c>
      <c r="L824" s="217">
        <v>183</v>
      </c>
      <c r="M824" s="217" t="s">
        <v>31</v>
      </c>
      <c r="N824" s="217" t="s">
        <v>32</v>
      </c>
      <c r="O824" s="217" t="s">
        <v>68</v>
      </c>
      <c r="P824" s="217" t="s">
        <v>34</v>
      </c>
      <c r="Q824" s="217" t="s">
        <v>35</v>
      </c>
      <c r="R824" s="217" t="s">
        <v>23</v>
      </c>
      <c r="S824" s="217" t="s">
        <v>22</v>
      </c>
      <c r="T824" s="217" t="s">
        <v>47</v>
      </c>
      <c r="U824" s="217" t="s">
        <v>48</v>
      </c>
      <c r="V824" s="217" t="s">
        <v>231</v>
      </c>
      <c r="W824" s="217" t="s">
        <v>232</v>
      </c>
    </row>
    <row r="825" spans="1:23" x14ac:dyDescent="0.25">
      <c r="A825" s="217" t="s">
        <v>22</v>
      </c>
      <c r="B825" s="217" t="s">
        <v>23</v>
      </c>
      <c r="C825" s="217" t="s">
        <v>48</v>
      </c>
      <c r="D825" s="217" t="s">
        <v>47</v>
      </c>
      <c r="E825" s="217" t="s">
        <v>62</v>
      </c>
      <c r="F825" s="217" t="s">
        <v>61</v>
      </c>
      <c r="G825" s="217" t="s">
        <v>506</v>
      </c>
      <c r="H825" s="217" t="s">
        <v>1368</v>
      </c>
      <c r="I825" s="217" t="s">
        <v>29</v>
      </c>
      <c r="J825" s="217" t="s">
        <v>1854</v>
      </c>
      <c r="K825" s="217">
        <v>30</v>
      </c>
      <c r="L825" s="217">
        <v>69</v>
      </c>
      <c r="M825" s="217" t="s">
        <v>31</v>
      </c>
      <c r="N825" s="217" t="s">
        <v>32</v>
      </c>
      <c r="O825" s="217" t="s">
        <v>68</v>
      </c>
      <c r="P825" s="217" t="s">
        <v>34</v>
      </c>
      <c r="Q825" s="217" t="s">
        <v>35</v>
      </c>
      <c r="R825" s="217" t="s">
        <v>23</v>
      </c>
      <c r="S825" s="217" t="s">
        <v>22</v>
      </c>
      <c r="T825" s="217" t="s">
        <v>47</v>
      </c>
      <c r="U825" s="217" t="s">
        <v>48</v>
      </c>
      <c r="V825" s="217" t="s">
        <v>231</v>
      </c>
      <c r="W825" s="217" t="s">
        <v>232</v>
      </c>
    </row>
    <row r="826" spans="1:23" x14ac:dyDescent="0.25">
      <c r="A826" s="217" t="s">
        <v>22</v>
      </c>
      <c r="B826" s="217" t="s">
        <v>23</v>
      </c>
      <c r="C826" s="217" t="s">
        <v>48</v>
      </c>
      <c r="D826" s="217" t="s">
        <v>47</v>
      </c>
      <c r="E826" s="217" t="s">
        <v>62</v>
      </c>
      <c r="F826" s="217" t="s">
        <v>61</v>
      </c>
      <c r="G826" s="217" t="s">
        <v>506</v>
      </c>
      <c r="H826" s="217" t="s">
        <v>1368</v>
      </c>
      <c r="I826" s="217" t="s">
        <v>29</v>
      </c>
      <c r="J826" s="217" t="s">
        <v>1855</v>
      </c>
      <c r="K826" s="217">
        <v>39</v>
      </c>
      <c r="L826" s="217">
        <v>142</v>
      </c>
      <c r="M826" s="217" t="s">
        <v>31</v>
      </c>
      <c r="N826" s="217" t="s">
        <v>32</v>
      </c>
      <c r="O826" s="217" t="s">
        <v>68</v>
      </c>
      <c r="P826" s="217" t="s">
        <v>34</v>
      </c>
      <c r="Q826" s="217" t="s">
        <v>35</v>
      </c>
      <c r="R826" s="217" t="s">
        <v>23</v>
      </c>
      <c r="S826" s="217" t="s">
        <v>22</v>
      </c>
      <c r="T826" s="217" t="s">
        <v>47</v>
      </c>
      <c r="U826" s="217" t="s">
        <v>48</v>
      </c>
      <c r="V826" s="217" t="s">
        <v>61</v>
      </c>
      <c r="W826" s="217" t="s">
        <v>62</v>
      </c>
    </row>
    <row r="827" spans="1:23" x14ac:dyDescent="0.25">
      <c r="A827" s="217" t="s">
        <v>22</v>
      </c>
      <c r="B827" s="217" t="s">
        <v>23</v>
      </c>
      <c r="C827" s="217" t="s">
        <v>48</v>
      </c>
      <c r="D827" s="217" t="s">
        <v>47</v>
      </c>
      <c r="E827" s="217" t="s">
        <v>62</v>
      </c>
      <c r="F827" s="217" t="s">
        <v>61</v>
      </c>
      <c r="G827" s="217" t="s">
        <v>506</v>
      </c>
      <c r="H827" s="217" t="s">
        <v>1368</v>
      </c>
      <c r="I827" s="217" t="s">
        <v>29</v>
      </c>
      <c r="J827" s="217" t="s">
        <v>1856</v>
      </c>
      <c r="K827" s="217">
        <v>36</v>
      </c>
      <c r="L827" s="217">
        <v>99</v>
      </c>
      <c r="M827" s="217" t="s">
        <v>31</v>
      </c>
      <c r="N827" s="217" t="s">
        <v>32</v>
      </c>
      <c r="O827" s="217" t="s">
        <v>100</v>
      </c>
      <c r="P827" s="217" t="s">
        <v>34</v>
      </c>
      <c r="Q827" s="217" t="s">
        <v>35</v>
      </c>
      <c r="R827" s="217" t="s">
        <v>23</v>
      </c>
      <c r="S827" s="217" t="s">
        <v>22</v>
      </c>
      <c r="T827" s="217" t="s">
        <v>47</v>
      </c>
      <c r="U827" s="217" t="s">
        <v>48</v>
      </c>
      <c r="V827" s="217" t="s">
        <v>61</v>
      </c>
      <c r="W827" s="217" t="s">
        <v>62</v>
      </c>
    </row>
    <row r="828" spans="1:23" x14ac:dyDescent="0.25">
      <c r="A828" s="217" t="s">
        <v>22</v>
      </c>
      <c r="B828" s="217" t="s">
        <v>23</v>
      </c>
      <c r="C828" s="217" t="s">
        <v>48</v>
      </c>
      <c r="D828" s="217" t="s">
        <v>47</v>
      </c>
      <c r="E828" s="217" t="s">
        <v>62</v>
      </c>
      <c r="F828" s="217" t="s">
        <v>61</v>
      </c>
      <c r="G828" s="217" t="s">
        <v>506</v>
      </c>
      <c r="H828" s="217" t="s">
        <v>1368</v>
      </c>
      <c r="I828" s="217" t="s">
        <v>29</v>
      </c>
      <c r="J828" s="217" t="s">
        <v>1857</v>
      </c>
      <c r="K828" s="217">
        <v>13</v>
      </c>
      <c r="L828" s="217">
        <v>36</v>
      </c>
      <c r="M828" s="217" t="s">
        <v>31</v>
      </c>
      <c r="N828" s="217" t="s">
        <v>32</v>
      </c>
      <c r="O828" s="217" t="s">
        <v>100</v>
      </c>
      <c r="P828" s="217" t="s">
        <v>34</v>
      </c>
      <c r="Q828" s="217" t="s">
        <v>35</v>
      </c>
      <c r="R828" s="217" t="s">
        <v>23</v>
      </c>
      <c r="S828" s="217" t="s">
        <v>22</v>
      </c>
      <c r="T828" s="217" t="s">
        <v>47</v>
      </c>
      <c r="U828" s="217" t="s">
        <v>48</v>
      </c>
      <c r="V828" s="217" t="s">
        <v>61</v>
      </c>
      <c r="W828" s="217" t="s">
        <v>62</v>
      </c>
    </row>
    <row r="829" spans="1:23" x14ac:dyDescent="0.25">
      <c r="A829" s="217" t="s">
        <v>22</v>
      </c>
      <c r="B829" s="217" t="s">
        <v>23</v>
      </c>
      <c r="C829" s="217" t="s">
        <v>48</v>
      </c>
      <c r="D829" s="217" t="s">
        <v>47</v>
      </c>
      <c r="E829" s="217" t="s">
        <v>62</v>
      </c>
      <c r="F829" s="217" t="s">
        <v>61</v>
      </c>
      <c r="G829" s="217" t="s">
        <v>506</v>
      </c>
      <c r="H829" s="217" t="s">
        <v>1368</v>
      </c>
      <c r="I829" s="217" t="s">
        <v>29</v>
      </c>
      <c r="J829" s="217" t="s">
        <v>1858</v>
      </c>
      <c r="K829" s="217">
        <v>9</v>
      </c>
      <c r="L829" s="217">
        <v>66</v>
      </c>
      <c r="M829" s="217" t="s">
        <v>31</v>
      </c>
      <c r="N829" s="217" t="s">
        <v>32</v>
      </c>
      <c r="O829" s="217" t="s">
        <v>68</v>
      </c>
      <c r="P829" s="217" t="s">
        <v>34</v>
      </c>
      <c r="Q829" s="217" t="s">
        <v>35</v>
      </c>
      <c r="R829" s="217" t="s">
        <v>23</v>
      </c>
      <c r="S829" s="217" t="s">
        <v>22</v>
      </c>
      <c r="T829" s="217" t="s">
        <v>47</v>
      </c>
      <c r="U829" s="217" t="s">
        <v>48</v>
      </c>
      <c r="V829" s="217" t="s">
        <v>231</v>
      </c>
      <c r="W829" s="217" t="s">
        <v>232</v>
      </c>
    </row>
    <row r="830" spans="1:23" x14ac:dyDescent="0.25">
      <c r="A830" s="217" t="s">
        <v>22</v>
      </c>
      <c r="B830" s="217" t="s">
        <v>23</v>
      </c>
      <c r="C830" s="217" t="s">
        <v>48</v>
      </c>
      <c r="D830" s="217" t="s">
        <v>47</v>
      </c>
      <c r="E830" s="217" t="s">
        <v>62</v>
      </c>
      <c r="F830" s="217" t="s">
        <v>61</v>
      </c>
      <c r="G830" s="217" t="s">
        <v>507</v>
      </c>
      <c r="H830" s="217" t="s">
        <v>1369</v>
      </c>
      <c r="I830" s="217" t="s">
        <v>29</v>
      </c>
      <c r="J830" s="217" t="s">
        <v>1854</v>
      </c>
      <c r="K830" s="217">
        <v>18</v>
      </c>
      <c r="L830" s="217">
        <v>69</v>
      </c>
      <c r="M830" s="217" t="s">
        <v>31</v>
      </c>
      <c r="N830" s="217" t="s">
        <v>32</v>
      </c>
      <c r="O830" s="217" t="s">
        <v>68</v>
      </c>
      <c r="P830" s="217" t="s">
        <v>34</v>
      </c>
      <c r="Q830" s="217" t="s">
        <v>35</v>
      </c>
      <c r="R830" s="217" t="s">
        <v>23</v>
      </c>
      <c r="S830" s="217" t="s">
        <v>22</v>
      </c>
      <c r="T830" s="217" t="s">
        <v>47</v>
      </c>
      <c r="U830" s="217" t="s">
        <v>48</v>
      </c>
      <c r="V830" s="217" t="s">
        <v>231</v>
      </c>
      <c r="W830" s="217" t="s">
        <v>232</v>
      </c>
    </row>
    <row r="831" spans="1:23" x14ac:dyDescent="0.25">
      <c r="A831" s="217" t="s">
        <v>22</v>
      </c>
      <c r="B831" s="217" t="s">
        <v>23</v>
      </c>
      <c r="C831" s="217" t="s">
        <v>48</v>
      </c>
      <c r="D831" s="217" t="s">
        <v>47</v>
      </c>
      <c r="E831" s="217" t="s">
        <v>62</v>
      </c>
      <c r="F831" s="217" t="s">
        <v>61</v>
      </c>
      <c r="G831" s="217" t="s">
        <v>507</v>
      </c>
      <c r="H831" s="217" t="s">
        <v>1369</v>
      </c>
      <c r="I831" s="217" t="s">
        <v>29</v>
      </c>
      <c r="J831" s="217" t="s">
        <v>1855</v>
      </c>
      <c r="K831" s="217">
        <v>29</v>
      </c>
      <c r="L831" s="217">
        <v>129</v>
      </c>
      <c r="M831" s="217" t="s">
        <v>31</v>
      </c>
      <c r="N831" s="217" t="s">
        <v>32</v>
      </c>
      <c r="O831" s="217" t="s">
        <v>68</v>
      </c>
      <c r="P831" s="217" t="s">
        <v>34</v>
      </c>
      <c r="Q831" s="217" t="s">
        <v>35</v>
      </c>
      <c r="R831" s="217" t="s">
        <v>23</v>
      </c>
      <c r="S831" s="217" t="s">
        <v>22</v>
      </c>
      <c r="T831" s="217" t="s">
        <v>47</v>
      </c>
      <c r="U831" s="217" t="s">
        <v>48</v>
      </c>
      <c r="V831" s="217" t="s">
        <v>231</v>
      </c>
      <c r="W831" s="217" t="s">
        <v>232</v>
      </c>
    </row>
    <row r="832" spans="1:23" x14ac:dyDescent="0.25">
      <c r="A832" s="217" t="s">
        <v>22</v>
      </c>
      <c r="B832" s="217" t="s">
        <v>23</v>
      </c>
      <c r="C832" s="217" t="s">
        <v>48</v>
      </c>
      <c r="D832" s="217" t="s">
        <v>47</v>
      </c>
      <c r="E832" s="217" t="s">
        <v>62</v>
      </c>
      <c r="F832" s="217" t="s">
        <v>61</v>
      </c>
      <c r="G832" s="217" t="s">
        <v>507</v>
      </c>
      <c r="H832" s="217" t="s">
        <v>1369</v>
      </c>
      <c r="I832" s="217" t="s">
        <v>29</v>
      </c>
      <c r="J832" s="217" t="s">
        <v>1856</v>
      </c>
      <c r="K832" s="217">
        <v>26</v>
      </c>
      <c r="L832" s="217">
        <v>115</v>
      </c>
      <c r="M832" s="217" t="s">
        <v>31</v>
      </c>
      <c r="N832" s="217" t="s">
        <v>32</v>
      </c>
      <c r="O832" s="217" t="s">
        <v>68</v>
      </c>
      <c r="P832" s="217" t="s">
        <v>34</v>
      </c>
      <c r="Q832" s="217" t="s">
        <v>35</v>
      </c>
      <c r="R832" s="217" t="s">
        <v>23</v>
      </c>
      <c r="S832" s="217" t="s">
        <v>22</v>
      </c>
      <c r="T832" s="217" t="s">
        <v>47</v>
      </c>
      <c r="U832" s="217" t="s">
        <v>48</v>
      </c>
      <c r="V832" s="217" t="s">
        <v>231</v>
      </c>
      <c r="W832" s="217" t="s">
        <v>232</v>
      </c>
    </row>
    <row r="833" spans="1:23" x14ac:dyDescent="0.25">
      <c r="A833" s="217" t="s">
        <v>22</v>
      </c>
      <c r="B833" s="217" t="s">
        <v>23</v>
      </c>
      <c r="C833" s="217" t="s">
        <v>48</v>
      </c>
      <c r="D833" s="217" t="s">
        <v>47</v>
      </c>
      <c r="E833" s="217" t="s">
        <v>62</v>
      </c>
      <c r="F833" s="217" t="s">
        <v>61</v>
      </c>
      <c r="G833" s="217" t="s">
        <v>507</v>
      </c>
      <c r="H833" s="217" t="s">
        <v>1369</v>
      </c>
      <c r="I833" s="217" t="s">
        <v>29</v>
      </c>
      <c r="J833" s="217" t="s">
        <v>1857</v>
      </c>
      <c r="K833" s="217">
        <v>40</v>
      </c>
      <c r="L833" s="217">
        <v>218</v>
      </c>
      <c r="M833" s="217" t="s">
        <v>31</v>
      </c>
      <c r="N833" s="217" t="s">
        <v>32</v>
      </c>
      <c r="O833" s="217" t="s">
        <v>68</v>
      </c>
      <c r="P833" s="217" t="s">
        <v>34</v>
      </c>
      <c r="Q833" s="217" t="s">
        <v>35</v>
      </c>
      <c r="R833" s="217" t="s">
        <v>23</v>
      </c>
      <c r="S833" s="217" t="s">
        <v>22</v>
      </c>
      <c r="T833" s="217" t="s">
        <v>47</v>
      </c>
      <c r="U833" s="217" t="s">
        <v>48</v>
      </c>
      <c r="V833" s="217" t="s">
        <v>231</v>
      </c>
      <c r="W833" s="217" t="s">
        <v>232</v>
      </c>
    </row>
    <row r="834" spans="1:23" x14ac:dyDescent="0.25">
      <c r="A834" s="217" t="s">
        <v>22</v>
      </c>
      <c r="B834" s="217" t="s">
        <v>23</v>
      </c>
      <c r="C834" s="217" t="s">
        <v>48</v>
      </c>
      <c r="D834" s="217" t="s">
        <v>47</v>
      </c>
      <c r="E834" s="217" t="s">
        <v>62</v>
      </c>
      <c r="F834" s="217" t="s">
        <v>61</v>
      </c>
      <c r="G834" s="217" t="s">
        <v>507</v>
      </c>
      <c r="H834" s="217" t="s">
        <v>1369</v>
      </c>
      <c r="I834" s="217" t="s">
        <v>29</v>
      </c>
      <c r="J834" s="217" t="s">
        <v>1858</v>
      </c>
      <c r="K834" s="217">
        <v>6</v>
      </c>
      <c r="L834" s="217">
        <v>24</v>
      </c>
      <c r="M834" s="217" t="s">
        <v>31</v>
      </c>
      <c r="N834" s="217" t="s">
        <v>32</v>
      </c>
      <c r="O834" s="217" t="s">
        <v>68</v>
      </c>
      <c r="P834" s="217" t="s">
        <v>34</v>
      </c>
      <c r="Q834" s="217" t="s">
        <v>35</v>
      </c>
      <c r="R834" s="217" t="s">
        <v>23</v>
      </c>
      <c r="S834" s="217" t="s">
        <v>22</v>
      </c>
      <c r="T834" s="217" t="s">
        <v>47</v>
      </c>
      <c r="U834" s="217" t="s">
        <v>48</v>
      </c>
      <c r="V834" s="217" t="s">
        <v>231</v>
      </c>
      <c r="W834" s="217" t="s">
        <v>232</v>
      </c>
    </row>
    <row r="835" spans="1:23" x14ac:dyDescent="0.25">
      <c r="A835" s="217" t="s">
        <v>22</v>
      </c>
      <c r="B835" s="217" t="s">
        <v>23</v>
      </c>
      <c r="C835" s="217" t="s">
        <v>48</v>
      </c>
      <c r="D835" s="217" t="s">
        <v>47</v>
      </c>
      <c r="E835" s="217" t="s">
        <v>62</v>
      </c>
      <c r="F835" s="217" t="s">
        <v>61</v>
      </c>
      <c r="G835" s="217" t="s">
        <v>508</v>
      </c>
      <c r="H835" s="217" t="s">
        <v>1370</v>
      </c>
      <c r="I835" s="217" t="s">
        <v>29</v>
      </c>
      <c r="J835" s="217" t="s">
        <v>1854</v>
      </c>
      <c r="K835" s="217">
        <v>25</v>
      </c>
      <c r="L835" s="217">
        <v>96</v>
      </c>
      <c r="M835" s="217" t="s">
        <v>31</v>
      </c>
      <c r="N835" s="217" t="s">
        <v>32</v>
      </c>
      <c r="O835" s="217" t="s">
        <v>68</v>
      </c>
      <c r="P835" s="217" t="s">
        <v>34</v>
      </c>
      <c r="Q835" s="217" t="s">
        <v>35</v>
      </c>
      <c r="R835" s="217" t="s">
        <v>23</v>
      </c>
      <c r="S835" s="217" t="s">
        <v>22</v>
      </c>
      <c r="T835" s="217" t="s">
        <v>47</v>
      </c>
      <c r="U835" s="217" t="s">
        <v>48</v>
      </c>
      <c r="V835" s="217" t="s">
        <v>231</v>
      </c>
      <c r="W835" s="217" t="s">
        <v>232</v>
      </c>
    </row>
    <row r="836" spans="1:23" x14ac:dyDescent="0.25">
      <c r="A836" s="217" t="s">
        <v>22</v>
      </c>
      <c r="B836" s="217" t="s">
        <v>23</v>
      </c>
      <c r="C836" s="217" t="s">
        <v>48</v>
      </c>
      <c r="D836" s="217" t="s">
        <v>47</v>
      </c>
      <c r="E836" s="217" t="s">
        <v>62</v>
      </c>
      <c r="F836" s="217" t="s">
        <v>61</v>
      </c>
      <c r="G836" s="217" t="s">
        <v>508</v>
      </c>
      <c r="H836" s="217" t="s">
        <v>1370</v>
      </c>
      <c r="I836" s="217" t="s">
        <v>29</v>
      </c>
      <c r="J836" s="217" t="s">
        <v>1855</v>
      </c>
      <c r="K836" s="217">
        <v>38</v>
      </c>
      <c r="L836" s="217">
        <v>158</v>
      </c>
      <c r="M836" s="217" t="s">
        <v>31</v>
      </c>
      <c r="N836" s="217" t="s">
        <v>32</v>
      </c>
      <c r="O836" s="217" t="s">
        <v>68</v>
      </c>
      <c r="P836" s="217" t="s">
        <v>34</v>
      </c>
      <c r="Q836" s="217" t="s">
        <v>35</v>
      </c>
      <c r="R836" s="217" t="s">
        <v>23</v>
      </c>
      <c r="S836" s="217" t="s">
        <v>22</v>
      </c>
      <c r="T836" s="217" t="s">
        <v>47</v>
      </c>
      <c r="U836" s="217" t="s">
        <v>48</v>
      </c>
      <c r="V836" s="217" t="s">
        <v>231</v>
      </c>
      <c r="W836" s="217" t="s">
        <v>232</v>
      </c>
    </row>
    <row r="837" spans="1:23" x14ac:dyDescent="0.25">
      <c r="A837" s="217" t="s">
        <v>22</v>
      </c>
      <c r="B837" s="217" t="s">
        <v>23</v>
      </c>
      <c r="C837" s="217" t="s">
        <v>48</v>
      </c>
      <c r="D837" s="217" t="s">
        <v>47</v>
      </c>
      <c r="E837" s="217" t="s">
        <v>62</v>
      </c>
      <c r="F837" s="217" t="s">
        <v>61</v>
      </c>
      <c r="G837" s="217" t="s">
        <v>508</v>
      </c>
      <c r="H837" s="217" t="s">
        <v>1370</v>
      </c>
      <c r="I837" s="217" t="s">
        <v>29</v>
      </c>
      <c r="J837" s="217" t="s">
        <v>1856</v>
      </c>
      <c r="K837" s="217">
        <v>27</v>
      </c>
      <c r="L837" s="217">
        <v>110</v>
      </c>
      <c r="M837" s="217" t="s">
        <v>31</v>
      </c>
      <c r="N837" s="217" t="s">
        <v>32</v>
      </c>
      <c r="O837" s="217" t="s">
        <v>68</v>
      </c>
      <c r="P837" s="217" t="s">
        <v>34</v>
      </c>
      <c r="Q837" s="217" t="s">
        <v>35</v>
      </c>
      <c r="R837" s="217" t="s">
        <v>23</v>
      </c>
      <c r="S837" s="217" t="s">
        <v>22</v>
      </c>
      <c r="T837" s="217" t="s">
        <v>47</v>
      </c>
      <c r="U837" s="217" t="s">
        <v>48</v>
      </c>
      <c r="V837" s="217" t="s">
        <v>61</v>
      </c>
      <c r="W837" s="217" t="s">
        <v>62</v>
      </c>
    </row>
    <row r="838" spans="1:23" x14ac:dyDescent="0.25">
      <c r="A838" s="217" t="s">
        <v>22</v>
      </c>
      <c r="B838" s="217" t="s">
        <v>23</v>
      </c>
      <c r="C838" s="217" t="s">
        <v>48</v>
      </c>
      <c r="D838" s="217" t="s">
        <v>47</v>
      </c>
      <c r="E838" s="217" t="s">
        <v>62</v>
      </c>
      <c r="F838" s="217" t="s">
        <v>61</v>
      </c>
      <c r="G838" s="217" t="s">
        <v>508</v>
      </c>
      <c r="H838" s="217" t="s">
        <v>1370</v>
      </c>
      <c r="I838" s="217" t="s">
        <v>29</v>
      </c>
      <c r="J838" s="217" t="s">
        <v>1857</v>
      </c>
      <c r="K838" s="217">
        <v>32</v>
      </c>
      <c r="L838" s="217">
        <v>136</v>
      </c>
      <c r="M838" s="217" t="s">
        <v>31</v>
      </c>
      <c r="N838" s="217" t="s">
        <v>32</v>
      </c>
      <c r="O838" s="217" t="s">
        <v>68</v>
      </c>
      <c r="P838" s="217" t="s">
        <v>34</v>
      </c>
      <c r="Q838" s="217" t="s">
        <v>35</v>
      </c>
      <c r="R838" s="217" t="s">
        <v>23</v>
      </c>
      <c r="S838" s="217" t="s">
        <v>22</v>
      </c>
      <c r="T838" s="217" t="s">
        <v>47</v>
      </c>
      <c r="U838" s="217" t="s">
        <v>48</v>
      </c>
      <c r="V838" s="217" t="s">
        <v>231</v>
      </c>
      <c r="W838" s="217" t="s">
        <v>232</v>
      </c>
    </row>
    <row r="839" spans="1:23" x14ac:dyDescent="0.25">
      <c r="A839" s="217" t="s">
        <v>22</v>
      </c>
      <c r="B839" s="217" t="s">
        <v>23</v>
      </c>
      <c r="C839" s="217" t="s">
        <v>48</v>
      </c>
      <c r="D839" s="217" t="s">
        <v>47</v>
      </c>
      <c r="E839" s="217" t="s">
        <v>62</v>
      </c>
      <c r="F839" s="217" t="s">
        <v>61</v>
      </c>
      <c r="G839" s="217" t="s">
        <v>508</v>
      </c>
      <c r="H839" s="217" t="s">
        <v>1370</v>
      </c>
      <c r="I839" s="217" t="s">
        <v>29</v>
      </c>
      <c r="J839" s="217" t="s">
        <v>1858</v>
      </c>
      <c r="K839" s="217">
        <v>7</v>
      </c>
      <c r="L839" s="217">
        <v>30</v>
      </c>
      <c r="M839" s="217" t="s">
        <v>31</v>
      </c>
      <c r="N839" s="217" t="s">
        <v>32</v>
      </c>
      <c r="O839" s="217" t="s">
        <v>68</v>
      </c>
      <c r="P839" s="217" t="s">
        <v>34</v>
      </c>
      <c r="Q839" s="217" t="s">
        <v>35</v>
      </c>
      <c r="R839" s="217" t="s">
        <v>23</v>
      </c>
      <c r="S839" s="217" t="s">
        <v>22</v>
      </c>
      <c r="T839" s="217" t="s">
        <v>47</v>
      </c>
      <c r="U839" s="217" t="s">
        <v>48</v>
      </c>
      <c r="V839" s="217" t="s">
        <v>61</v>
      </c>
      <c r="W839" s="217" t="s">
        <v>62</v>
      </c>
    </row>
    <row r="840" spans="1:23" x14ac:dyDescent="0.25">
      <c r="A840" s="217" t="s">
        <v>22</v>
      </c>
      <c r="B840" s="217" t="s">
        <v>23</v>
      </c>
      <c r="C840" s="217" t="s">
        <v>48</v>
      </c>
      <c r="D840" s="217" t="s">
        <v>47</v>
      </c>
      <c r="E840" s="217" t="s">
        <v>62</v>
      </c>
      <c r="F840" s="217" t="s">
        <v>61</v>
      </c>
      <c r="G840" s="217" t="s">
        <v>509</v>
      </c>
      <c r="H840" s="217" t="s">
        <v>1371</v>
      </c>
      <c r="I840" s="217" t="s">
        <v>29</v>
      </c>
      <c r="J840" s="217" t="s">
        <v>1854</v>
      </c>
      <c r="K840" s="217">
        <v>12</v>
      </c>
      <c r="L840" s="217">
        <v>61</v>
      </c>
      <c r="M840" s="217" t="s">
        <v>31</v>
      </c>
      <c r="N840" s="217" t="s">
        <v>32</v>
      </c>
      <c r="O840" s="217" t="s">
        <v>68</v>
      </c>
      <c r="P840" s="217" t="s">
        <v>34</v>
      </c>
      <c r="Q840" s="217" t="s">
        <v>35</v>
      </c>
      <c r="R840" s="217" t="s">
        <v>23</v>
      </c>
      <c r="S840" s="217" t="s">
        <v>22</v>
      </c>
      <c r="T840" s="217" t="s">
        <v>47</v>
      </c>
      <c r="U840" s="217" t="s">
        <v>48</v>
      </c>
      <c r="V840" s="217" t="s">
        <v>231</v>
      </c>
      <c r="W840" s="217" t="s">
        <v>232</v>
      </c>
    </row>
    <row r="841" spans="1:23" x14ac:dyDescent="0.25">
      <c r="A841" s="217" t="s">
        <v>22</v>
      </c>
      <c r="B841" s="217" t="s">
        <v>23</v>
      </c>
      <c r="C841" s="217" t="s">
        <v>48</v>
      </c>
      <c r="D841" s="217" t="s">
        <v>47</v>
      </c>
      <c r="E841" s="217" t="s">
        <v>62</v>
      </c>
      <c r="F841" s="217" t="s">
        <v>61</v>
      </c>
      <c r="G841" s="217" t="s">
        <v>509</v>
      </c>
      <c r="H841" s="217" t="s">
        <v>1371</v>
      </c>
      <c r="I841" s="217" t="s">
        <v>29</v>
      </c>
      <c r="J841" s="217" t="s">
        <v>1855</v>
      </c>
      <c r="K841" s="217">
        <v>19</v>
      </c>
      <c r="L841" s="217">
        <v>82</v>
      </c>
      <c r="M841" s="217" t="s">
        <v>31</v>
      </c>
      <c r="N841" s="217" t="s">
        <v>32</v>
      </c>
      <c r="O841" s="217" t="s">
        <v>68</v>
      </c>
      <c r="P841" s="217" t="s">
        <v>34</v>
      </c>
      <c r="Q841" s="217" t="s">
        <v>35</v>
      </c>
      <c r="R841" s="217" t="s">
        <v>23</v>
      </c>
      <c r="S841" s="217" t="s">
        <v>22</v>
      </c>
      <c r="T841" s="217" t="s">
        <v>47</v>
      </c>
      <c r="U841" s="217" t="s">
        <v>48</v>
      </c>
      <c r="V841" s="217" t="s">
        <v>231</v>
      </c>
      <c r="W841" s="217" t="s">
        <v>232</v>
      </c>
    </row>
    <row r="842" spans="1:23" x14ac:dyDescent="0.25">
      <c r="A842" s="217" t="s">
        <v>22</v>
      </c>
      <c r="B842" s="217" t="s">
        <v>23</v>
      </c>
      <c r="C842" s="217" t="s">
        <v>48</v>
      </c>
      <c r="D842" s="217" t="s">
        <v>47</v>
      </c>
      <c r="E842" s="217" t="s">
        <v>62</v>
      </c>
      <c r="F842" s="217" t="s">
        <v>61</v>
      </c>
      <c r="G842" s="217" t="s">
        <v>509</v>
      </c>
      <c r="H842" s="217" t="s">
        <v>1371</v>
      </c>
      <c r="I842" s="217" t="s">
        <v>29</v>
      </c>
      <c r="J842" s="217" t="s">
        <v>1856</v>
      </c>
      <c r="K842" s="217">
        <v>9</v>
      </c>
      <c r="L842" s="217">
        <v>48</v>
      </c>
      <c r="M842" s="217" t="s">
        <v>31</v>
      </c>
      <c r="N842" s="217" t="s">
        <v>32</v>
      </c>
      <c r="O842" s="217" t="s">
        <v>68</v>
      </c>
      <c r="P842" s="217" t="s">
        <v>34</v>
      </c>
      <c r="Q842" s="217" t="s">
        <v>35</v>
      </c>
      <c r="R842" s="217" t="s">
        <v>23</v>
      </c>
      <c r="S842" s="217" t="s">
        <v>22</v>
      </c>
      <c r="T842" s="217" t="s">
        <v>47</v>
      </c>
      <c r="U842" s="217" t="s">
        <v>48</v>
      </c>
      <c r="V842" s="217" t="s">
        <v>231</v>
      </c>
      <c r="W842" s="217" t="s">
        <v>232</v>
      </c>
    </row>
    <row r="843" spans="1:23" x14ac:dyDescent="0.25">
      <c r="A843" s="217" t="s">
        <v>22</v>
      </c>
      <c r="B843" s="217" t="s">
        <v>23</v>
      </c>
      <c r="C843" s="217" t="s">
        <v>48</v>
      </c>
      <c r="D843" s="217" t="s">
        <v>47</v>
      </c>
      <c r="E843" s="217" t="s">
        <v>62</v>
      </c>
      <c r="F843" s="217" t="s">
        <v>61</v>
      </c>
      <c r="G843" s="217" t="s">
        <v>509</v>
      </c>
      <c r="H843" s="217" t="s">
        <v>1371</v>
      </c>
      <c r="I843" s="217" t="s">
        <v>29</v>
      </c>
      <c r="J843" s="217" t="s">
        <v>1857</v>
      </c>
      <c r="K843" s="217">
        <v>6</v>
      </c>
      <c r="L843" s="217">
        <v>45</v>
      </c>
      <c r="M843" s="217" t="s">
        <v>31</v>
      </c>
      <c r="N843" s="217" t="s">
        <v>32</v>
      </c>
      <c r="O843" s="217" t="s">
        <v>68</v>
      </c>
      <c r="P843" s="217" t="s">
        <v>34</v>
      </c>
      <c r="Q843" s="217" t="s">
        <v>35</v>
      </c>
      <c r="R843" s="217" t="s">
        <v>23</v>
      </c>
      <c r="S843" s="217" t="s">
        <v>22</v>
      </c>
      <c r="T843" s="217" t="s">
        <v>47</v>
      </c>
      <c r="U843" s="217" t="s">
        <v>48</v>
      </c>
      <c r="V843" s="217" t="s">
        <v>231</v>
      </c>
      <c r="W843" s="217" t="s">
        <v>232</v>
      </c>
    </row>
    <row r="844" spans="1:23" x14ac:dyDescent="0.25">
      <c r="A844" s="217" t="s">
        <v>22</v>
      </c>
      <c r="B844" s="217" t="s">
        <v>23</v>
      </c>
      <c r="C844" s="217" t="s">
        <v>48</v>
      </c>
      <c r="D844" s="217" t="s">
        <v>47</v>
      </c>
      <c r="E844" s="217" t="s">
        <v>62</v>
      </c>
      <c r="F844" s="217" t="s">
        <v>61</v>
      </c>
      <c r="G844" s="217" t="s">
        <v>835</v>
      </c>
      <c r="H844" s="217" t="s">
        <v>1372</v>
      </c>
      <c r="I844" s="217" t="s">
        <v>29</v>
      </c>
      <c r="J844" s="217" t="s">
        <v>1855</v>
      </c>
      <c r="K844" s="217">
        <v>7</v>
      </c>
      <c r="L844" s="217">
        <v>29</v>
      </c>
      <c r="M844" s="217" t="s">
        <v>31</v>
      </c>
      <c r="N844" s="217" t="s">
        <v>32</v>
      </c>
      <c r="O844" s="217" t="s">
        <v>68</v>
      </c>
      <c r="P844" s="217" t="s">
        <v>34</v>
      </c>
      <c r="Q844" s="217" t="s">
        <v>35</v>
      </c>
      <c r="R844" s="217" t="s">
        <v>23</v>
      </c>
      <c r="S844" s="217" t="s">
        <v>22</v>
      </c>
      <c r="T844" s="217" t="s">
        <v>47</v>
      </c>
      <c r="U844" s="217" t="s">
        <v>48</v>
      </c>
      <c r="V844" s="217" t="s">
        <v>231</v>
      </c>
      <c r="W844" s="217" t="s">
        <v>232</v>
      </c>
    </row>
    <row r="845" spans="1:23" x14ac:dyDescent="0.25">
      <c r="A845" s="217" t="s">
        <v>22</v>
      </c>
      <c r="B845" s="217" t="s">
        <v>23</v>
      </c>
      <c r="C845" s="217" t="s">
        <v>48</v>
      </c>
      <c r="D845" s="217" t="s">
        <v>47</v>
      </c>
      <c r="E845" s="217" t="s">
        <v>62</v>
      </c>
      <c r="F845" s="217" t="s">
        <v>61</v>
      </c>
      <c r="G845" s="217" t="s">
        <v>835</v>
      </c>
      <c r="H845" s="217" t="s">
        <v>1372</v>
      </c>
      <c r="I845" s="217" t="s">
        <v>29</v>
      </c>
      <c r="J845" s="217" t="s">
        <v>1856</v>
      </c>
      <c r="K845" s="217">
        <v>5</v>
      </c>
      <c r="L845" s="217">
        <v>20</v>
      </c>
      <c r="M845" s="217" t="s">
        <v>31</v>
      </c>
      <c r="N845" s="217" t="s">
        <v>32</v>
      </c>
      <c r="O845" s="217" t="s">
        <v>68</v>
      </c>
      <c r="P845" s="217" t="s">
        <v>34</v>
      </c>
      <c r="Q845" s="217" t="s">
        <v>35</v>
      </c>
      <c r="R845" s="217" t="s">
        <v>23</v>
      </c>
      <c r="S845" s="217" t="s">
        <v>22</v>
      </c>
      <c r="T845" s="217" t="s">
        <v>47</v>
      </c>
      <c r="U845" s="217" t="s">
        <v>48</v>
      </c>
      <c r="V845" s="217" t="s">
        <v>231</v>
      </c>
      <c r="W845" s="217" t="s">
        <v>232</v>
      </c>
    </row>
    <row r="846" spans="1:23" x14ac:dyDescent="0.25">
      <c r="A846" s="217" t="s">
        <v>22</v>
      </c>
      <c r="B846" s="217" t="s">
        <v>23</v>
      </c>
      <c r="C846" s="217" t="s">
        <v>48</v>
      </c>
      <c r="D846" s="217" t="s">
        <v>47</v>
      </c>
      <c r="E846" s="217" t="s">
        <v>62</v>
      </c>
      <c r="F846" s="217" t="s">
        <v>61</v>
      </c>
      <c r="G846" s="217" t="s">
        <v>835</v>
      </c>
      <c r="H846" s="217" t="s">
        <v>1372</v>
      </c>
      <c r="I846" s="217" t="s">
        <v>29</v>
      </c>
      <c r="J846" s="217" t="s">
        <v>1857</v>
      </c>
      <c r="K846" s="217">
        <v>3</v>
      </c>
      <c r="L846" s="217">
        <v>7</v>
      </c>
      <c r="M846" s="217" t="s">
        <v>31</v>
      </c>
      <c r="N846" s="217" t="s">
        <v>32</v>
      </c>
      <c r="O846" s="217" t="s">
        <v>68</v>
      </c>
      <c r="P846" s="217" t="s">
        <v>34</v>
      </c>
      <c r="Q846" s="217" t="s">
        <v>35</v>
      </c>
      <c r="R846" s="217" t="s">
        <v>23</v>
      </c>
      <c r="S846" s="217" t="s">
        <v>22</v>
      </c>
      <c r="T846" s="217" t="s">
        <v>47</v>
      </c>
      <c r="U846" s="217" t="s">
        <v>48</v>
      </c>
      <c r="V846" s="217" t="s">
        <v>231</v>
      </c>
      <c r="W846" s="217" t="s">
        <v>232</v>
      </c>
    </row>
    <row r="847" spans="1:23" x14ac:dyDescent="0.25">
      <c r="A847" s="217" t="s">
        <v>22</v>
      </c>
      <c r="B847" s="217" t="s">
        <v>23</v>
      </c>
      <c r="C847" s="217" t="s">
        <v>48</v>
      </c>
      <c r="D847" s="217" t="s">
        <v>47</v>
      </c>
      <c r="E847" s="217" t="s">
        <v>62</v>
      </c>
      <c r="F847" s="217" t="s">
        <v>61</v>
      </c>
      <c r="G847" s="217" t="s">
        <v>835</v>
      </c>
      <c r="H847" s="217" t="s">
        <v>1372</v>
      </c>
      <c r="I847" s="217" t="s">
        <v>29</v>
      </c>
      <c r="J847" s="217" t="s">
        <v>1858</v>
      </c>
      <c r="K847" s="217">
        <v>6</v>
      </c>
      <c r="L847" s="217">
        <v>29</v>
      </c>
      <c r="M847" s="217" t="s">
        <v>31</v>
      </c>
      <c r="N847" s="217" t="s">
        <v>32</v>
      </c>
      <c r="O847" s="217" t="s">
        <v>68</v>
      </c>
      <c r="P847" s="217" t="s">
        <v>34</v>
      </c>
      <c r="Q847" s="217" t="s">
        <v>35</v>
      </c>
      <c r="R847" s="217" t="s">
        <v>23</v>
      </c>
      <c r="S847" s="217" t="s">
        <v>22</v>
      </c>
      <c r="T847" s="217" t="s">
        <v>47</v>
      </c>
      <c r="U847" s="217" t="s">
        <v>48</v>
      </c>
      <c r="V847" s="217" t="s">
        <v>231</v>
      </c>
      <c r="W847" s="217" t="s">
        <v>232</v>
      </c>
    </row>
    <row r="848" spans="1:23" x14ac:dyDescent="0.25">
      <c r="A848" s="217" t="s">
        <v>22</v>
      </c>
      <c r="B848" s="217" t="s">
        <v>23</v>
      </c>
      <c r="C848" s="217" t="s">
        <v>48</v>
      </c>
      <c r="D848" s="217" t="s">
        <v>47</v>
      </c>
      <c r="E848" s="217" t="s">
        <v>62</v>
      </c>
      <c r="F848" s="217" t="s">
        <v>61</v>
      </c>
      <c r="G848" s="217" t="s">
        <v>510</v>
      </c>
      <c r="H848" s="217" t="s">
        <v>1373</v>
      </c>
      <c r="I848" s="217" t="s">
        <v>29</v>
      </c>
      <c r="J848" s="217" t="s">
        <v>1854</v>
      </c>
      <c r="K848" s="217">
        <v>22</v>
      </c>
      <c r="L848" s="217">
        <v>67</v>
      </c>
      <c r="M848" s="217" t="s">
        <v>31</v>
      </c>
      <c r="N848" s="217" t="s">
        <v>32</v>
      </c>
      <c r="O848" s="217" t="s">
        <v>68</v>
      </c>
      <c r="P848" s="217" t="s">
        <v>34</v>
      </c>
      <c r="Q848" s="217" t="s">
        <v>35</v>
      </c>
      <c r="R848" s="217" t="s">
        <v>23</v>
      </c>
      <c r="S848" s="217" t="s">
        <v>22</v>
      </c>
      <c r="T848" s="217" t="s">
        <v>47</v>
      </c>
      <c r="U848" s="217" t="s">
        <v>48</v>
      </c>
      <c r="V848" s="217" t="s">
        <v>231</v>
      </c>
      <c r="W848" s="217" t="s">
        <v>232</v>
      </c>
    </row>
    <row r="849" spans="1:23" x14ac:dyDescent="0.25">
      <c r="A849" s="217" t="s">
        <v>22</v>
      </c>
      <c r="B849" s="217" t="s">
        <v>23</v>
      </c>
      <c r="C849" s="217" t="s">
        <v>48</v>
      </c>
      <c r="D849" s="217" t="s">
        <v>47</v>
      </c>
      <c r="E849" s="217" t="s">
        <v>62</v>
      </c>
      <c r="F849" s="217" t="s">
        <v>61</v>
      </c>
      <c r="G849" s="217" t="s">
        <v>510</v>
      </c>
      <c r="H849" s="217" t="s">
        <v>1373</v>
      </c>
      <c r="I849" s="217" t="s">
        <v>29</v>
      </c>
      <c r="J849" s="217" t="s">
        <v>1855</v>
      </c>
      <c r="K849" s="217">
        <v>37</v>
      </c>
      <c r="L849" s="217">
        <v>102</v>
      </c>
      <c r="M849" s="217" t="s">
        <v>31</v>
      </c>
      <c r="N849" s="217" t="s">
        <v>32</v>
      </c>
      <c r="O849" s="217" t="s">
        <v>68</v>
      </c>
      <c r="P849" s="217" t="s">
        <v>34</v>
      </c>
      <c r="Q849" s="217" t="s">
        <v>35</v>
      </c>
      <c r="R849" s="217" t="s">
        <v>23</v>
      </c>
      <c r="S849" s="217" t="s">
        <v>22</v>
      </c>
      <c r="T849" s="217" t="s">
        <v>47</v>
      </c>
      <c r="U849" s="217" t="s">
        <v>48</v>
      </c>
      <c r="V849" s="217" t="s">
        <v>231</v>
      </c>
      <c r="W849" s="217" t="s">
        <v>232</v>
      </c>
    </row>
    <row r="850" spans="1:23" x14ac:dyDescent="0.25">
      <c r="A850" s="217" t="s">
        <v>22</v>
      </c>
      <c r="B850" s="217" t="s">
        <v>23</v>
      </c>
      <c r="C850" s="217" t="s">
        <v>48</v>
      </c>
      <c r="D850" s="217" t="s">
        <v>47</v>
      </c>
      <c r="E850" s="217" t="s">
        <v>62</v>
      </c>
      <c r="F850" s="217" t="s">
        <v>61</v>
      </c>
      <c r="G850" s="217" t="s">
        <v>510</v>
      </c>
      <c r="H850" s="217" t="s">
        <v>1373</v>
      </c>
      <c r="I850" s="217" t="s">
        <v>29</v>
      </c>
      <c r="J850" s="217" t="s">
        <v>1856</v>
      </c>
      <c r="K850" s="217">
        <v>27</v>
      </c>
      <c r="L850" s="217">
        <v>81</v>
      </c>
      <c r="M850" s="217" t="s">
        <v>31</v>
      </c>
      <c r="N850" s="217" t="s">
        <v>32</v>
      </c>
      <c r="O850" s="217" t="s">
        <v>68</v>
      </c>
      <c r="P850" s="217" t="s">
        <v>34</v>
      </c>
      <c r="Q850" s="217" t="s">
        <v>35</v>
      </c>
      <c r="R850" s="217" t="s">
        <v>23</v>
      </c>
      <c r="S850" s="217" t="s">
        <v>22</v>
      </c>
      <c r="T850" s="217" t="s">
        <v>47</v>
      </c>
      <c r="U850" s="217" t="s">
        <v>48</v>
      </c>
      <c r="V850" s="217" t="s">
        <v>231</v>
      </c>
      <c r="W850" s="217" t="s">
        <v>232</v>
      </c>
    </row>
    <row r="851" spans="1:23" x14ac:dyDescent="0.25">
      <c r="A851" s="217" t="s">
        <v>22</v>
      </c>
      <c r="B851" s="217" t="s">
        <v>23</v>
      </c>
      <c r="C851" s="217" t="s">
        <v>48</v>
      </c>
      <c r="D851" s="217" t="s">
        <v>47</v>
      </c>
      <c r="E851" s="217" t="s">
        <v>62</v>
      </c>
      <c r="F851" s="217" t="s">
        <v>61</v>
      </c>
      <c r="G851" s="217" t="s">
        <v>510</v>
      </c>
      <c r="H851" s="217" t="s">
        <v>1373</v>
      </c>
      <c r="I851" s="217" t="s">
        <v>29</v>
      </c>
      <c r="J851" s="217" t="s">
        <v>1857</v>
      </c>
      <c r="K851" s="217">
        <v>93</v>
      </c>
      <c r="L851" s="217">
        <v>273</v>
      </c>
      <c r="M851" s="217" t="s">
        <v>31</v>
      </c>
      <c r="N851" s="217" t="s">
        <v>32</v>
      </c>
      <c r="O851" s="217" t="s">
        <v>68</v>
      </c>
      <c r="P851" s="217" t="s">
        <v>34</v>
      </c>
      <c r="Q851" s="217" t="s">
        <v>35</v>
      </c>
      <c r="R851" s="217" t="s">
        <v>23</v>
      </c>
      <c r="S851" s="217" t="s">
        <v>22</v>
      </c>
      <c r="T851" s="217" t="s">
        <v>47</v>
      </c>
      <c r="U851" s="217" t="s">
        <v>48</v>
      </c>
      <c r="V851" s="217" t="s">
        <v>231</v>
      </c>
      <c r="W851" s="217" t="s">
        <v>232</v>
      </c>
    </row>
    <row r="852" spans="1:23" x14ac:dyDescent="0.25">
      <c r="A852" s="217" t="s">
        <v>22</v>
      </c>
      <c r="B852" s="217" t="s">
        <v>23</v>
      </c>
      <c r="C852" s="217" t="s">
        <v>48</v>
      </c>
      <c r="D852" s="217" t="s">
        <v>47</v>
      </c>
      <c r="E852" s="217" t="s">
        <v>62</v>
      </c>
      <c r="F852" s="217" t="s">
        <v>61</v>
      </c>
      <c r="G852" s="217" t="s">
        <v>511</v>
      </c>
      <c r="H852" s="217" t="s">
        <v>1374</v>
      </c>
      <c r="I852" s="217" t="s">
        <v>29</v>
      </c>
      <c r="J852" s="217" t="s">
        <v>1854</v>
      </c>
      <c r="K852" s="217">
        <v>19</v>
      </c>
      <c r="L852" s="217">
        <v>94</v>
      </c>
      <c r="M852" s="217" t="s">
        <v>31</v>
      </c>
      <c r="N852" s="217" t="s">
        <v>32</v>
      </c>
      <c r="O852" s="217" t="s">
        <v>68</v>
      </c>
      <c r="P852" s="217" t="s">
        <v>34</v>
      </c>
      <c r="Q852" s="217" t="s">
        <v>35</v>
      </c>
      <c r="R852" s="217" t="s">
        <v>23</v>
      </c>
      <c r="S852" s="217" t="s">
        <v>22</v>
      </c>
      <c r="T852" s="217" t="s">
        <v>47</v>
      </c>
      <c r="U852" s="217" t="s">
        <v>48</v>
      </c>
      <c r="V852" s="217" t="s">
        <v>231</v>
      </c>
      <c r="W852" s="217" t="s">
        <v>232</v>
      </c>
    </row>
    <row r="853" spans="1:23" x14ac:dyDescent="0.25">
      <c r="A853" s="217" t="s">
        <v>22</v>
      </c>
      <c r="B853" s="217" t="s">
        <v>23</v>
      </c>
      <c r="C853" s="217" t="s">
        <v>48</v>
      </c>
      <c r="D853" s="217" t="s">
        <v>47</v>
      </c>
      <c r="E853" s="217" t="s">
        <v>62</v>
      </c>
      <c r="F853" s="217" t="s">
        <v>61</v>
      </c>
      <c r="G853" s="217" t="s">
        <v>511</v>
      </c>
      <c r="H853" s="217" t="s">
        <v>1374</v>
      </c>
      <c r="I853" s="217" t="s">
        <v>29</v>
      </c>
      <c r="J853" s="217" t="s">
        <v>1855</v>
      </c>
      <c r="K853" s="217">
        <v>25</v>
      </c>
      <c r="L853" s="217">
        <v>97</v>
      </c>
      <c r="M853" s="217" t="s">
        <v>31</v>
      </c>
      <c r="N853" s="217" t="s">
        <v>32</v>
      </c>
      <c r="O853" s="217" t="s">
        <v>68</v>
      </c>
      <c r="P853" s="217" t="s">
        <v>34</v>
      </c>
      <c r="Q853" s="217" t="s">
        <v>35</v>
      </c>
      <c r="R853" s="217" t="s">
        <v>23</v>
      </c>
      <c r="S853" s="217" t="s">
        <v>22</v>
      </c>
      <c r="T853" s="217" t="s">
        <v>47</v>
      </c>
      <c r="U853" s="217" t="s">
        <v>48</v>
      </c>
      <c r="V853" s="217" t="s">
        <v>231</v>
      </c>
      <c r="W853" s="217" t="s">
        <v>232</v>
      </c>
    </row>
    <row r="854" spans="1:23" x14ac:dyDescent="0.25">
      <c r="A854" s="217" t="s">
        <v>22</v>
      </c>
      <c r="B854" s="217" t="s">
        <v>23</v>
      </c>
      <c r="C854" s="217" t="s">
        <v>48</v>
      </c>
      <c r="D854" s="217" t="s">
        <v>47</v>
      </c>
      <c r="E854" s="217" t="s">
        <v>62</v>
      </c>
      <c r="F854" s="217" t="s">
        <v>61</v>
      </c>
      <c r="G854" s="217" t="s">
        <v>511</v>
      </c>
      <c r="H854" s="217" t="s">
        <v>1374</v>
      </c>
      <c r="I854" s="217" t="s">
        <v>29</v>
      </c>
      <c r="J854" s="217" t="s">
        <v>1856</v>
      </c>
      <c r="K854" s="217">
        <v>25</v>
      </c>
      <c r="L854" s="217">
        <v>103</v>
      </c>
      <c r="M854" s="217" t="s">
        <v>31</v>
      </c>
      <c r="N854" s="217" t="s">
        <v>32</v>
      </c>
      <c r="O854" s="217" t="s">
        <v>68</v>
      </c>
      <c r="P854" s="217" t="s">
        <v>34</v>
      </c>
      <c r="Q854" s="217" t="s">
        <v>35</v>
      </c>
      <c r="R854" s="217" t="s">
        <v>23</v>
      </c>
      <c r="S854" s="217" t="s">
        <v>22</v>
      </c>
      <c r="T854" s="217" t="s">
        <v>47</v>
      </c>
      <c r="U854" s="217" t="s">
        <v>48</v>
      </c>
      <c r="V854" s="217" t="s">
        <v>231</v>
      </c>
      <c r="W854" s="217" t="s">
        <v>232</v>
      </c>
    </row>
    <row r="855" spans="1:23" x14ac:dyDescent="0.25">
      <c r="A855" s="217" t="s">
        <v>22</v>
      </c>
      <c r="B855" s="217" t="s">
        <v>23</v>
      </c>
      <c r="C855" s="217" t="s">
        <v>48</v>
      </c>
      <c r="D855" s="217" t="s">
        <v>47</v>
      </c>
      <c r="E855" s="217" t="s">
        <v>62</v>
      </c>
      <c r="F855" s="217" t="s">
        <v>61</v>
      </c>
      <c r="G855" s="217" t="s">
        <v>511</v>
      </c>
      <c r="H855" s="217" t="s">
        <v>1374</v>
      </c>
      <c r="I855" s="217" t="s">
        <v>29</v>
      </c>
      <c r="J855" s="217" t="s">
        <v>1857</v>
      </c>
      <c r="K855" s="217">
        <v>31</v>
      </c>
      <c r="L855" s="217">
        <v>171</v>
      </c>
      <c r="M855" s="217" t="s">
        <v>31</v>
      </c>
      <c r="N855" s="217" t="s">
        <v>32</v>
      </c>
      <c r="O855" s="217" t="s">
        <v>68</v>
      </c>
      <c r="P855" s="217" t="s">
        <v>34</v>
      </c>
      <c r="Q855" s="217" t="s">
        <v>35</v>
      </c>
      <c r="R855" s="217" t="s">
        <v>23</v>
      </c>
      <c r="S855" s="217" t="s">
        <v>22</v>
      </c>
      <c r="T855" s="217" t="s">
        <v>47</v>
      </c>
      <c r="U855" s="217" t="s">
        <v>48</v>
      </c>
      <c r="V855" s="217" t="s">
        <v>231</v>
      </c>
      <c r="W855" s="217" t="s">
        <v>232</v>
      </c>
    </row>
    <row r="856" spans="1:23" x14ac:dyDescent="0.25">
      <c r="A856" s="217" t="s">
        <v>22</v>
      </c>
      <c r="B856" s="217" t="s">
        <v>23</v>
      </c>
      <c r="C856" s="217" t="s">
        <v>48</v>
      </c>
      <c r="D856" s="217" t="s">
        <v>47</v>
      </c>
      <c r="E856" s="217" t="s">
        <v>62</v>
      </c>
      <c r="F856" s="217" t="s">
        <v>61</v>
      </c>
      <c r="G856" s="217" t="s">
        <v>512</v>
      </c>
      <c r="H856" s="217" t="s">
        <v>1375</v>
      </c>
      <c r="I856" s="217" t="s">
        <v>29</v>
      </c>
      <c r="J856" s="217" t="s">
        <v>1854</v>
      </c>
      <c r="K856" s="217">
        <v>59</v>
      </c>
      <c r="L856" s="217">
        <v>291</v>
      </c>
      <c r="M856" s="217" t="s">
        <v>31</v>
      </c>
      <c r="N856" s="217" t="s">
        <v>32</v>
      </c>
      <c r="O856" s="217" t="s">
        <v>68</v>
      </c>
      <c r="P856" s="217" t="s">
        <v>34</v>
      </c>
      <c r="Q856" s="217" t="s">
        <v>35</v>
      </c>
      <c r="R856" s="217" t="s">
        <v>23</v>
      </c>
      <c r="S856" s="217" t="s">
        <v>22</v>
      </c>
      <c r="T856" s="217" t="s">
        <v>47</v>
      </c>
      <c r="U856" s="217" t="s">
        <v>48</v>
      </c>
      <c r="V856" s="217" t="s">
        <v>231</v>
      </c>
      <c r="W856" s="217" t="s">
        <v>232</v>
      </c>
    </row>
    <row r="857" spans="1:23" x14ac:dyDescent="0.25">
      <c r="A857" s="217" t="s">
        <v>22</v>
      </c>
      <c r="B857" s="217" t="s">
        <v>23</v>
      </c>
      <c r="C857" s="217" t="s">
        <v>48</v>
      </c>
      <c r="D857" s="217" t="s">
        <v>47</v>
      </c>
      <c r="E857" s="217" t="s">
        <v>62</v>
      </c>
      <c r="F857" s="217" t="s">
        <v>61</v>
      </c>
      <c r="G857" s="217" t="s">
        <v>512</v>
      </c>
      <c r="H857" s="217" t="s">
        <v>1375</v>
      </c>
      <c r="I857" s="217" t="s">
        <v>29</v>
      </c>
      <c r="J857" s="217" t="s">
        <v>1855</v>
      </c>
      <c r="K857" s="217">
        <v>192</v>
      </c>
      <c r="L857" s="217">
        <v>314</v>
      </c>
      <c r="M857" s="217" t="s">
        <v>31</v>
      </c>
      <c r="N857" s="217" t="s">
        <v>32</v>
      </c>
      <c r="O857" s="217" t="s">
        <v>68</v>
      </c>
      <c r="P857" s="217" t="s">
        <v>34</v>
      </c>
      <c r="Q857" s="217" t="s">
        <v>35</v>
      </c>
      <c r="R857" s="217" t="s">
        <v>23</v>
      </c>
      <c r="S857" s="217" t="s">
        <v>22</v>
      </c>
      <c r="T857" s="217" t="s">
        <v>47</v>
      </c>
      <c r="U857" s="217" t="s">
        <v>48</v>
      </c>
      <c r="V857" s="217" t="s">
        <v>231</v>
      </c>
      <c r="W857" s="217" t="s">
        <v>232</v>
      </c>
    </row>
    <row r="858" spans="1:23" x14ac:dyDescent="0.25">
      <c r="A858" s="217" t="s">
        <v>22</v>
      </c>
      <c r="B858" s="217" t="s">
        <v>23</v>
      </c>
      <c r="C858" s="217" t="s">
        <v>48</v>
      </c>
      <c r="D858" s="217" t="s">
        <v>47</v>
      </c>
      <c r="E858" s="217" t="s">
        <v>62</v>
      </c>
      <c r="F858" s="217" t="s">
        <v>61</v>
      </c>
      <c r="G858" s="217" t="s">
        <v>512</v>
      </c>
      <c r="H858" s="217" t="s">
        <v>1375</v>
      </c>
      <c r="I858" s="217" t="s">
        <v>29</v>
      </c>
      <c r="J858" s="217" t="s">
        <v>1856</v>
      </c>
      <c r="K858" s="217">
        <v>243</v>
      </c>
      <c r="L858" s="217">
        <v>491</v>
      </c>
      <c r="M858" s="217" t="s">
        <v>31</v>
      </c>
      <c r="N858" s="217" t="s">
        <v>32</v>
      </c>
      <c r="O858" s="217" t="s">
        <v>68</v>
      </c>
      <c r="P858" s="217" t="s">
        <v>34</v>
      </c>
      <c r="Q858" s="217" t="s">
        <v>35</v>
      </c>
      <c r="R858" s="217" t="s">
        <v>23</v>
      </c>
      <c r="S858" s="217" t="s">
        <v>22</v>
      </c>
      <c r="T858" s="217" t="s">
        <v>47</v>
      </c>
      <c r="U858" s="217" t="s">
        <v>48</v>
      </c>
      <c r="V858" s="217" t="s">
        <v>231</v>
      </c>
      <c r="W858" s="217" t="s">
        <v>232</v>
      </c>
    </row>
    <row r="859" spans="1:23" x14ac:dyDescent="0.25">
      <c r="A859" s="217" t="s">
        <v>22</v>
      </c>
      <c r="B859" s="217" t="s">
        <v>23</v>
      </c>
      <c r="C859" s="217" t="s">
        <v>48</v>
      </c>
      <c r="D859" s="217" t="s">
        <v>47</v>
      </c>
      <c r="E859" s="217" t="s">
        <v>62</v>
      </c>
      <c r="F859" s="217" t="s">
        <v>61</v>
      </c>
      <c r="G859" s="217" t="s">
        <v>512</v>
      </c>
      <c r="H859" s="217" t="s">
        <v>1375</v>
      </c>
      <c r="I859" s="217" t="s">
        <v>29</v>
      </c>
      <c r="J859" s="217" t="s">
        <v>1857</v>
      </c>
      <c r="K859" s="217">
        <v>174</v>
      </c>
      <c r="L859" s="217">
        <v>416</v>
      </c>
      <c r="M859" s="217" t="s">
        <v>31</v>
      </c>
      <c r="N859" s="217" t="s">
        <v>32</v>
      </c>
      <c r="O859" s="217" t="s">
        <v>68</v>
      </c>
      <c r="P859" s="217" t="s">
        <v>34</v>
      </c>
      <c r="Q859" s="217" t="s">
        <v>35</v>
      </c>
      <c r="R859" s="217" t="s">
        <v>23</v>
      </c>
      <c r="S859" s="217" t="s">
        <v>22</v>
      </c>
      <c r="T859" s="217" t="s">
        <v>47</v>
      </c>
      <c r="U859" s="217" t="s">
        <v>48</v>
      </c>
      <c r="V859" s="217" t="s">
        <v>231</v>
      </c>
      <c r="W859" s="217" t="s">
        <v>232</v>
      </c>
    </row>
    <row r="860" spans="1:23" x14ac:dyDescent="0.25">
      <c r="A860" s="217" t="s">
        <v>22</v>
      </c>
      <c r="B860" s="217" t="s">
        <v>23</v>
      </c>
      <c r="C860" s="217" t="s">
        <v>48</v>
      </c>
      <c r="D860" s="217" t="s">
        <v>47</v>
      </c>
      <c r="E860" s="217" t="s">
        <v>62</v>
      </c>
      <c r="F860" s="217" t="s">
        <v>61</v>
      </c>
      <c r="G860" s="217" t="s">
        <v>837</v>
      </c>
      <c r="H860" s="217" t="s">
        <v>1376</v>
      </c>
      <c r="I860" s="217" t="s">
        <v>29</v>
      </c>
      <c r="J860" s="217" t="s">
        <v>1855</v>
      </c>
      <c r="K860" s="217">
        <v>412</v>
      </c>
      <c r="L860" s="217">
        <v>2021</v>
      </c>
      <c r="M860" s="217" t="s">
        <v>31</v>
      </c>
      <c r="N860" s="217" t="s">
        <v>32</v>
      </c>
      <c r="O860" s="217" t="s">
        <v>68</v>
      </c>
      <c r="P860" s="217" t="s">
        <v>34</v>
      </c>
      <c r="Q860" s="217" t="s">
        <v>35</v>
      </c>
      <c r="R860" s="217" t="s">
        <v>23</v>
      </c>
      <c r="S860" s="217" t="s">
        <v>22</v>
      </c>
      <c r="T860" s="217" t="s">
        <v>47</v>
      </c>
      <c r="U860" s="217" t="s">
        <v>48</v>
      </c>
      <c r="V860" s="217" t="s">
        <v>231</v>
      </c>
      <c r="W860" s="217" t="s">
        <v>232</v>
      </c>
    </row>
    <row r="861" spans="1:23" x14ac:dyDescent="0.25">
      <c r="A861" s="217" t="s">
        <v>22</v>
      </c>
      <c r="B861" s="217" t="s">
        <v>23</v>
      </c>
      <c r="C861" s="217" t="s">
        <v>48</v>
      </c>
      <c r="D861" s="217" t="s">
        <v>47</v>
      </c>
      <c r="E861" s="217" t="s">
        <v>62</v>
      </c>
      <c r="F861" s="217" t="s">
        <v>61</v>
      </c>
      <c r="G861" s="217" t="s">
        <v>837</v>
      </c>
      <c r="H861" s="217" t="s">
        <v>1376</v>
      </c>
      <c r="I861" s="217" t="s">
        <v>29</v>
      </c>
      <c r="J861" s="217" t="s">
        <v>1856</v>
      </c>
      <c r="K861" s="217">
        <v>719</v>
      </c>
      <c r="L861" s="217">
        <v>5671</v>
      </c>
      <c r="M861" s="217" t="s">
        <v>31</v>
      </c>
      <c r="N861" s="217" t="s">
        <v>32</v>
      </c>
      <c r="O861" s="217" t="s">
        <v>68</v>
      </c>
      <c r="P861" s="217" t="s">
        <v>34</v>
      </c>
      <c r="Q861" s="217" t="s">
        <v>35</v>
      </c>
      <c r="R861" s="217" t="s">
        <v>23</v>
      </c>
      <c r="S861" s="217" t="s">
        <v>22</v>
      </c>
      <c r="T861" s="217" t="s">
        <v>47</v>
      </c>
      <c r="U861" s="217" t="s">
        <v>48</v>
      </c>
      <c r="V861" s="217" t="s">
        <v>231</v>
      </c>
      <c r="W861" s="217" t="s">
        <v>232</v>
      </c>
    </row>
    <row r="862" spans="1:23" x14ac:dyDescent="0.25">
      <c r="A862" s="217" t="s">
        <v>22</v>
      </c>
      <c r="B862" s="217" t="s">
        <v>23</v>
      </c>
      <c r="C862" s="217" t="s">
        <v>48</v>
      </c>
      <c r="D862" s="217" t="s">
        <v>47</v>
      </c>
      <c r="E862" s="217" t="s">
        <v>62</v>
      </c>
      <c r="F862" s="217" t="s">
        <v>61</v>
      </c>
      <c r="G862" s="217" t="s">
        <v>837</v>
      </c>
      <c r="H862" s="217" t="s">
        <v>1376</v>
      </c>
      <c r="I862" s="217" t="s">
        <v>29</v>
      </c>
      <c r="J862" s="217" t="s">
        <v>1857</v>
      </c>
      <c r="K862" s="217">
        <v>525</v>
      </c>
      <c r="L862" s="217">
        <v>2199</v>
      </c>
      <c r="M862" s="217" t="s">
        <v>31</v>
      </c>
      <c r="N862" s="217" t="s">
        <v>32</v>
      </c>
      <c r="O862" s="217" t="s">
        <v>100</v>
      </c>
      <c r="P862" s="217" t="s">
        <v>34</v>
      </c>
      <c r="Q862" s="217" t="s">
        <v>35</v>
      </c>
      <c r="R862" s="217" t="s">
        <v>23</v>
      </c>
      <c r="S862" s="217" t="s">
        <v>22</v>
      </c>
      <c r="T862" s="217" t="s">
        <v>47</v>
      </c>
      <c r="U862" s="217" t="s">
        <v>48</v>
      </c>
      <c r="V862" s="217" t="s">
        <v>61</v>
      </c>
      <c r="W862" s="217" t="s">
        <v>62</v>
      </c>
    </row>
    <row r="863" spans="1:23" x14ac:dyDescent="0.25">
      <c r="A863" s="217" t="s">
        <v>22</v>
      </c>
      <c r="B863" s="217" t="s">
        <v>23</v>
      </c>
      <c r="C863" s="217" t="s">
        <v>48</v>
      </c>
      <c r="D863" s="217" t="s">
        <v>47</v>
      </c>
      <c r="E863" s="217" t="s">
        <v>62</v>
      </c>
      <c r="F863" s="217" t="s">
        <v>61</v>
      </c>
      <c r="G863" s="217" t="s">
        <v>837</v>
      </c>
      <c r="H863" s="217" t="s">
        <v>1376</v>
      </c>
      <c r="I863" s="217" t="s">
        <v>29</v>
      </c>
      <c r="J863" s="217" t="s">
        <v>1858</v>
      </c>
      <c r="K863" s="217">
        <v>60</v>
      </c>
      <c r="L863" s="217">
        <v>512</v>
      </c>
      <c r="M863" s="217" t="s">
        <v>31</v>
      </c>
      <c r="N863" s="217" t="s">
        <v>32</v>
      </c>
      <c r="O863" s="217" t="s">
        <v>33</v>
      </c>
      <c r="P863" s="217" t="s">
        <v>34</v>
      </c>
      <c r="Q863" s="217" t="s">
        <v>35</v>
      </c>
      <c r="R863" s="217" t="s">
        <v>23</v>
      </c>
      <c r="S863" s="217" t="s">
        <v>22</v>
      </c>
      <c r="T863" s="217" t="s">
        <v>84</v>
      </c>
      <c r="U863" s="217" t="s">
        <v>85</v>
      </c>
      <c r="V863" s="217" t="s">
        <v>174</v>
      </c>
      <c r="W863" s="217" t="s">
        <v>175</v>
      </c>
    </row>
    <row r="864" spans="1:23" x14ac:dyDescent="0.25">
      <c r="A864" s="217" t="s">
        <v>22</v>
      </c>
      <c r="B864" s="217" t="s">
        <v>23</v>
      </c>
      <c r="C864" s="217" t="s">
        <v>48</v>
      </c>
      <c r="D864" s="217" t="s">
        <v>47</v>
      </c>
      <c r="E864" s="217" t="s">
        <v>62</v>
      </c>
      <c r="F864" s="217" t="s">
        <v>61</v>
      </c>
      <c r="G864" s="217" t="s">
        <v>513</v>
      </c>
      <c r="H864" s="217" t="s">
        <v>1377</v>
      </c>
      <c r="I864" s="217" t="s">
        <v>29</v>
      </c>
      <c r="J864" s="217" t="s">
        <v>1854</v>
      </c>
      <c r="K864" s="217">
        <v>32</v>
      </c>
      <c r="L864" s="217">
        <v>192</v>
      </c>
      <c r="M864" s="217" t="s">
        <v>31</v>
      </c>
      <c r="N864" s="217" t="s">
        <v>32</v>
      </c>
      <c r="O864" s="217" t="s">
        <v>68</v>
      </c>
      <c r="P864" s="217" t="s">
        <v>34</v>
      </c>
      <c r="Q864" s="217" t="s">
        <v>35</v>
      </c>
      <c r="R864" s="217" t="s">
        <v>23</v>
      </c>
      <c r="S864" s="217" t="s">
        <v>22</v>
      </c>
      <c r="T864" s="217" t="s">
        <v>47</v>
      </c>
      <c r="U864" s="217" t="s">
        <v>48</v>
      </c>
      <c r="V864" s="217" t="s">
        <v>231</v>
      </c>
      <c r="W864" s="217" t="s">
        <v>232</v>
      </c>
    </row>
    <row r="865" spans="1:23" x14ac:dyDescent="0.25">
      <c r="A865" s="217" t="s">
        <v>22</v>
      </c>
      <c r="B865" s="217" t="s">
        <v>23</v>
      </c>
      <c r="C865" s="217" t="s">
        <v>48</v>
      </c>
      <c r="D865" s="217" t="s">
        <v>47</v>
      </c>
      <c r="E865" s="217" t="s">
        <v>62</v>
      </c>
      <c r="F865" s="217" t="s">
        <v>61</v>
      </c>
      <c r="G865" s="217" t="s">
        <v>513</v>
      </c>
      <c r="H865" s="217" t="s">
        <v>1377</v>
      </c>
      <c r="I865" s="217" t="s">
        <v>29</v>
      </c>
      <c r="J865" s="217" t="s">
        <v>1855</v>
      </c>
      <c r="K865" s="217">
        <v>88</v>
      </c>
      <c r="L865" s="217">
        <v>439</v>
      </c>
      <c r="M865" s="217" t="s">
        <v>31</v>
      </c>
      <c r="N865" s="217" t="s">
        <v>32</v>
      </c>
      <c r="O865" s="217" t="s">
        <v>68</v>
      </c>
      <c r="P865" s="217" t="s">
        <v>34</v>
      </c>
      <c r="Q865" s="217" t="s">
        <v>35</v>
      </c>
      <c r="R865" s="217" t="s">
        <v>23</v>
      </c>
      <c r="S865" s="217" t="s">
        <v>22</v>
      </c>
      <c r="T865" s="217" t="s">
        <v>47</v>
      </c>
      <c r="U865" s="217" t="s">
        <v>48</v>
      </c>
      <c r="V865" s="217" t="s">
        <v>231</v>
      </c>
      <c r="W865" s="217" t="s">
        <v>232</v>
      </c>
    </row>
    <row r="866" spans="1:23" x14ac:dyDescent="0.25">
      <c r="A866" s="217" t="s">
        <v>22</v>
      </c>
      <c r="B866" s="217" t="s">
        <v>23</v>
      </c>
      <c r="C866" s="217" t="s">
        <v>48</v>
      </c>
      <c r="D866" s="217" t="s">
        <v>47</v>
      </c>
      <c r="E866" s="217" t="s">
        <v>62</v>
      </c>
      <c r="F866" s="217" t="s">
        <v>61</v>
      </c>
      <c r="G866" s="217" t="s">
        <v>513</v>
      </c>
      <c r="H866" s="217" t="s">
        <v>1377</v>
      </c>
      <c r="I866" s="217" t="s">
        <v>29</v>
      </c>
      <c r="J866" s="217" t="s">
        <v>1856</v>
      </c>
      <c r="K866" s="217">
        <v>78</v>
      </c>
      <c r="L866" s="217">
        <v>254</v>
      </c>
      <c r="M866" s="217" t="s">
        <v>31</v>
      </c>
      <c r="N866" s="217" t="s">
        <v>32</v>
      </c>
      <c r="O866" s="217" t="s">
        <v>68</v>
      </c>
      <c r="P866" s="217" t="s">
        <v>34</v>
      </c>
      <c r="Q866" s="217" t="s">
        <v>35</v>
      </c>
      <c r="R866" s="217" t="s">
        <v>23</v>
      </c>
      <c r="S866" s="217" t="s">
        <v>22</v>
      </c>
      <c r="T866" s="217" t="s">
        <v>47</v>
      </c>
      <c r="U866" s="217" t="s">
        <v>48</v>
      </c>
      <c r="V866" s="217" t="s">
        <v>61</v>
      </c>
      <c r="W866" s="217" t="s">
        <v>62</v>
      </c>
    </row>
    <row r="867" spans="1:23" x14ac:dyDescent="0.25">
      <c r="A867" s="217" t="s">
        <v>22</v>
      </c>
      <c r="B867" s="217" t="s">
        <v>23</v>
      </c>
      <c r="C867" s="217" t="s">
        <v>48</v>
      </c>
      <c r="D867" s="217" t="s">
        <v>47</v>
      </c>
      <c r="E867" s="217" t="s">
        <v>62</v>
      </c>
      <c r="F867" s="217" t="s">
        <v>61</v>
      </c>
      <c r="G867" s="217" t="s">
        <v>513</v>
      </c>
      <c r="H867" s="217" t="s">
        <v>1377</v>
      </c>
      <c r="I867" s="217" t="s">
        <v>29</v>
      </c>
      <c r="J867" s="217" t="s">
        <v>1857</v>
      </c>
      <c r="K867" s="217">
        <v>347</v>
      </c>
      <c r="L867" s="217">
        <v>2167</v>
      </c>
      <c r="M867" s="217" t="s">
        <v>31</v>
      </c>
      <c r="N867" s="217" t="s">
        <v>32</v>
      </c>
      <c r="O867" s="217" t="s">
        <v>68</v>
      </c>
      <c r="P867" s="217" t="s">
        <v>34</v>
      </c>
      <c r="Q867" s="217" t="s">
        <v>35</v>
      </c>
      <c r="R867" s="217" t="s">
        <v>23</v>
      </c>
      <c r="S867" s="217" t="s">
        <v>22</v>
      </c>
      <c r="T867" s="217" t="s">
        <v>47</v>
      </c>
      <c r="U867" s="217" t="s">
        <v>48</v>
      </c>
      <c r="V867" s="217" t="s">
        <v>231</v>
      </c>
      <c r="W867" s="217" t="s">
        <v>232</v>
      </c>
    </row>
    <row r="868" spans="1:23" x14ac:dyDescent="0.25">
      <c r="A868" s="217" t="s">
        <v>22</v>
      </c>
      <c r="B868" s="217" t="s">
        <v>23</v>
      </c>
      <c r="C868" s="217" t="s">
        <v>48</v>
      </c>
      <c r="D868" s="217" t="s">
        <v>47</v>
      </c>
      <c r="E868" s="217" t="s">
        <v>62</v>
      </c>
      <c r="F868" s="217" t="s">
        <v>61</v>
      </c>
      <c r="G868" s="217" t="s">
        <v>513</v>
      </c>
      <c r="H868" s="217" t="s">
        <v>1377</v>
      </c>
      <c r="I868" s="217" t="s">
        <v>29</v>
      </c>
      <c r="J868" s="217" t="s">
        <v>1858</v>
      </c>
      <c r="K868" s="217">
        <v>9</v>
      </c>
      <c r="L868" s="217">
        <v>37</v>
      </c>
      <c r="M868" s="217" t="s">
        <v>31</v>
      </c>
      <c r="N868" s="217" t="s">
        <v>32</v>
      </c>
      <c r="O868" s="217" t="s">
        <v>68</v>
      </c>
      <c r="P868" s="217" t="s">
        <v>34</v>
      </c>
      <c r="Q868" s="217" t="s">
        <v>35</v>
      </c>
      <c r="R868" s="217" t="s">
        <v>23</v>
      </c>
      <c r="S868" s="217" t="s">
        <v>22</v>
      </c>
      <c r="T868" s="217" t="s">
        <v>47</v>
      </c>
      <c r="U868" s="217" t="s">
        <v>48</v>
      </c>
      <c r="V868" s="217" t="s">
        <v>231</v>
      </c>
      <c r="W868" s="217" t="s">
        <v>232</v>
      </c>
    </row>
    <row r="869" spans="1:23" x14ac:dyDescent="0.25">
      <c r="A869" s="217" t="s">
        <v>22</v>
      </c>
      <c r="B869" s="217" t="s">
        <v>23</v>
      </c>
      <c r="C869" s="217" t="s">
        <v>48</v>
      </c>
      <c r="D869" s="217" t="s">
        <v>47</v>
      </c>
      <c r="E869" s="217" t="s">
        <v>62</v>
      </c>
      <c r="F869" s="217" t="s">
        <v>61</v>
      </c>
      <c r="G869" s="217" t="s">
        <v>838</v>
      </c>
      <c r="H869" s="217" t="s">
        <v>1586</v>
      </c>
      <c r="I869" s="217" t="s">
        <v>29</v>
      </c>
      <c r="J869" s="217" t="s">
        <v>1857</v>
      </c>
      <c r="K869" s="217">
        <v>2</v>
      </c>
      <c r="L869" s="217">
        <v>17</v>
      </c>
      <c r="M869" s="217" t="s">
        <v>31</v>
      </c>
      <c r="N869" s="217" t="s">
        <v>32</v>
      </c>
      <c r="O869" s="217" t="s">
        <v>68</v>
      </c>
      <c r="P869" s="217" t="s">
        <v>34</v>
      </c>
      <c r="Q869" s="217" t="s">
        <v>35</v>
      </c>
      <c r="R869" s="217" t="s">
        <v>23</v>
      </c>
      <c r="S869" s="217" t="s">
        <v>22</v>
      </c>
      <c r="T869" s="217" t="s">
        <v>47</v>
      </c>
      <c r="U869" s="217" t="s">
        <v>48</v>
      </c>
      <c r="V869" s="217" t="s">
        <v>231</v>
      </c>
      <c r="W869" s="217" t="s">
        <v>232</v>
      </c>
    </row>
    <row r="870" spans="1:23" x14ac:dyDescent="0.25">
      <c r="A870" s="217" t="s">
        <v>22</v>
      </c>
      <c r="B870" s="217" t="s">
        <v>23</v>
      </c>
      <c r="C870" s="217" t="s">
        <v>48</v>
      </c>
      <c r="D870" s="217" t="s">
        <v>47</v>
      </c>
      <c r="E870" s="217" t="s">
        <v>62</v>
      </c>
      <c r="F870" s="217" t="s">
        <v>61</v>
      </c>
      <c r="G870" s="217" t="s">
        <v>840</v>
      </c>
      <c r="H870" s="217" t="s">
        <v>1378</v>
      </c>
      <c r="I870" s="217" t="s">
        <v>29</v>
      </c>
      <c r="J870" s="217" t="s">
        <v>1855</v>
      </c>
      <c r="K870" s="217">
        <v>6</v>
      </c>
      <c r="L870" s="217">
        <v>34</v>
      </c>
      <c r="M870" s="217" t="s">
        <v>31</v>
      </c>
      <c r="N870" s="217" t="s">
        <v>32</v>
      </c>
      <c r="O870" s="217" t="s">
        <v>68</v>
      </c>
      <c r="P870" s="217" t="s">
        <v>34</v>
      </c>
      <c r="Q870" s="217" t="s">
        <v>35</v>
      </c>
      <c r="R870" s="217" t="s">
        <v>23</v>
      </c>
      <c r="S870" s="217" t="s">
        <v>22</v>
      </c>
      <c r="T870" s="217" t="s">
        <v>47</v>
      </c>
      <c r="U870" s="217" t="s">
        <v>48</v>
      </c>
      <c r="V870" s="217" t="s">
        <v>61</v>
      </c>
      <c r="W870" s="217" t="s">
        <v>62</v>
      </c>
    </row>
    <row r="871" spans="1:23" x14ac:dyDescent="0.25">
      <c r="A871" s="217" t="s">
        <v>22</v>
      </c>
      <c r="B871" s="217" t="s">
        <v>23</v>
      </c>
      <c r="C871" s="217" t="s">
        <v>48</v>
      </c>
      <c r="D871" s="217" t="s">
        <v>47</v>
      </c>
      <c r="E871" s="217" t="s">
        <v>62</v>
      </c>
      <c r="F871" s="217" t="s">
        <v>61</v>
      </c>
      <c r="G871" s="217" t="s">
        <v>840</v>
      </c>
      <c r="H871" s="217" t="s">
        <v>1378</v>
      </c>
      <c r="I871" s="217" t="s">
        <v>29</v>
      </c>
      <c r="J871" s="217" t="s">
        <v>1856</v>
      </c>
      <c r="K871" s="217">
        <v>15</v>
      </c>
      <c r="L871" s="217">
        <v>131</v>
      </c>
      <c r="M871" s="217" t="s">
        <v>31</v>
      </c>
      <c r="N871" s="217" t="s">
        <v>32</v>
      </c>
      <c r="O871" s="217" t="s">
        <v>68</v>
      </c>
      <c r="P871" s="217" t="s">
        <v>34</v>
      </c>
      <c r="Q871" s="217" t="s">
        <v>35</v>
      </c>
      <c r="R871" s="217" t="s">
        <v>23</v>
      </c>
      <c r="S871" s="217" t="s">
        <v>22</v>
      </c>
      <c r="T871" s="217" t="s">
        <v>47</v>
      </c>
      <c r="U871" s="217" t="s">
        <v>48</v>
      </c>
      <c r="V871" s="217" t="s">
        <v>231</v>
      </c>
      <c r="W871" s="217" t="s">
        <v>232</v>
      </c>
    </row>
    <row r="872" spans="1:23" x14ac:dyDescent="0.25">
      <c r="A872" s="217" t="s">
        <v>22</v>
      </c>
      <c r="B872" s="217" t="s">
        <v>23</v>
      </c>
      <c r="C872" s="217" t="s">
        <v>48</v>
      </c>
      <c r="D872" s="217" t="s">
        <v>47</v>
      </c>
      <c r="E872" s="217" t="s">
        <v>62</v>
      </c>
      <c r="F872" s="217" t="s">
        <v>61</v>
      </c>
      <c r="G872" s="217" t="s">
        <v>840</v>
      </c>
      <c r="H872" s="217" t="s">
        <v>1378</v>
      </c>
      <c r="I872" s="217" t="s">
        <v>29</v>
      </c>
      <c r="J872" s="217" t="s">
        <v>1857</v>
      </c>
      <c r="K872" s="217">
        <v>10</v>
      </c>
      <c r="L872" s="217">
        <v>79</v>
      </c>
      <c r="M872" s="217" t="s">
        <v>31</v>
      </c>
      <c r="N872" s="217" t="s">
        <v>32</v>
      </c>
      <c r="O872" s="217" t="s">
        <v>68</v>
      </c>
      <c r="P872" s="217" t="s">
        <v>34</v>
      </c>
      <c r="Q872" s="217" t="s">
        <v>35</v>
      </c>
      <c r="R872" s="217" t="s">
        <v>23</v>
      </c>
      <c r="S872" s="217" t="s">
        <v>22</v>
      </c>
      <c r="T872" s="217" t="s">
        <v>47</v>
      </c>
      <c r="U872" s="217" t="s">
        <v>48</v>
      </c>
      <c r="V872" s="217" t="s">
        <v>61</v>
      </c>
      <c r="W872" s="217" t="s">
        <v>62</v>
      </c>
    </row>
    <row r="873" spans="1:23" x14ac:dyDescent="0.25">
      <c r="A873" s="217" t="s">
        <v>22</v>
      </c>
      <c r="B873" s="217" t="s">
        <v>23</v>
      </c>
      <c r="C873" s="217" t="s">
        <v>48</v>
      </c>
      <c r="D873" s="217" t="s">
        <v>47</v>
      </c>
      <c r="E873" s="217" t="s">
        <v>62</v>
      </c>
      <c r="F873" s="217" t="s">
        <v>61</v>
      </c>
      <c r="G873" s="217" t="s">
        <v>840</v>
      </c>
      <c r="H873" s="217" t="s">
        <v>1378</v>
      </c>
      <c r="I873" s="217" t="s">
        <v>29</v>
      </c>
      <c r="J873" s="217" t="s">
        <v>1858</v>
      </c>
      <c r="K873" s="217">
        <v>32</v>
      </c>
      <c r="L873" s="217">
        <v>277</v>
      </c>
      <c r="M873" s="217" t="s">
        <v>31</v>
      </c>
      <c r="N873" s="217" t="s">
        <v>32</v>
      </c>
      <c r="O873" s="217" t="s">
        <v>68</v>
      </c>
      <c r="P873" s="217" t="s">
        <v>34</v>
      </c>
      <c r="Q873" s="217" t="s">
        <v>35</v>
      </c>
      <c r="R873" s="217" t="s">
        <v>23</v>
      </c>
      <c r="S873" s="217" t="s">
        <v>22</v>
      </c>
      <c r="T873" s="217" t="s">
        <v>47</v>
      </c>
      <c r="U873" s="217" t="s">
        <v>48</v>
      </c>
      <c r="V873" s="217" t="s">
        <v>61</v>
      </c>
      <c r="W873" s="217" t="s">
        <v>62</v>
      </c>
    </row>
    <row r="874" spans="1:23" x14ac:dyDescent="0.25">
      <c r="A874" s="217" t="s">
        <v>22</v>
      </c>
      <c r="B874" s="217" t="s">
        <v>23</v>
      </c>
      <c r="C874" s="217" t="s">
        <v>48</v>
      </c>
      <c r="D874" s="217" t="s">
        <v>47</v>
      </c>
      <c r="E874" s="217" t="s">
        <v>62</v>
      </c>
      <c r="F874" s="217" t="s">
        <v>61</v>
      </c>
      <c r="G874" s="217" t="s">
        <v>514</v>
      </c>
      <c r="H874" s="217" t="s">
        <v>1379</v>
      </c>
      <c r="I874" s="217" t="s">
        <v>29</v>
      </c>
      <c r="J874" s="217" t="s">
        <v>1854</v>
      </c>
      <c r="K874" s="217">
        <v>9</v>
      </c>
      <c r="L874" s="217">
        <v>49</v>
      </c>
      <c r="M874" s="217" t="s">
        <v>31</v>
      </c>
      <c r="N874" s="217" t="s">
        <v>32</v>
      </c>
      <c r="O874" s="217" t="s">
        <v>68</v>
      </c>
      <c r="P874" s="217" t="s">
        <v>34</v>
      </c>
      <c r="Q874" s="217" t="s">
        <v>35</v>
      </c>
      <c r="R874" s="217" t="s">
        <v>23</v>
      </c>
      <c r="S874" s="217" t="s">
        <v>22</v>
      </c>
      <c r="T874" s="217" t="s">
        <v>47</v>
      </c>
      <c r="U874" s="217" t="s">
        <v>48</v>
      </c>
      <c r="V874" s="217" t="s">
        <v>231</v>
      </c>
      <c r="W874" s="217" t="s">
        <v>232</v>
      </c>
    </row>
    <row r="875" spans="1:23" x14ac:dyDescent="0.25">
      <c r="A875" s="217" t="s">
        <v>22</v>
      </c>
      <c r="B875" s="217" t="s">
        <v>23</v>
      </c>
      <c r="C875" s="217" t="s">
        <v>48</v>
      </c>
      <c r="D875" s="217" t="s">
        <v>47</v>
      </c>
      <c r="E875" s="217" t="s">
        <v>62</v>
      </c>
      <c r="F875" s="217" t="s">
        <v>61</v>
      </c>
      <c r="G875" s="217" t="s">
        <v>514</v>
      </c>
      <c r="H875" s="217" t="s">
        <v>1379</v>
      </c>
      <c r="I875" s="217" t="s">
        <v>29</v>
      </c>
      <c r="J875" s="217" t="s">
        <v>1855</v>
      </c>
      <c r="K875" s="217">
        <v>19</v>
      </c>
      <c r="L875" s="217">
        <v>119</v>
      </c>
      <c r="M875" s="217" t="s">
        <v>31</v>
      </c>
      <c r="N875" s="217" t="s">
        <v>32</v>
      </c>
      <c r="O875" s="217" t="s">
        <v>68</v>
      </c>
      <c r="P875" s="217" t="s">
        <v>34</v>
      </c>
      <c r="Q875" s="217" t="s">
        <v>35</v>
      </c>
      <c r="R875" s="217" t="s">
        <v>23</v>
      </c>
      <c r="S875" s="217" t="s">
        <v>22</v>
      </c>
      <c r="T875" s="217" t="s">
        <v>47</v>
      </c>
      <c r="U875" s="217" t="s">
        <v>48</v>
      </c>
      <c r="V875" s="217" t="s">
        <v>231</v>
      </c>
      <c r="W875" s="217" t="s">
        <v>232</v>
      </c>
    </row>
    <row r="876" spans="1:23" x14ac:dyDescent="0.25">
      <c r="A876" s="217" t="s">
        <v>22</v>
      </c>
      <c r="B876" s="217" t="s">
        <v>23</v>
      </c>
      <c r="C876" s="217" t="s">
        <v>48</v>
      </c>
      <c r="D876" s="217" t="s">
        <v>47</v>
      </c>
      <c r="E876" s="217" t="s">
        <v>62</v>
      </c>
      <c r="F876" s="217" t="s">
        <v>61</v>
      </c>
      <c r="G876" s="217" t="s">
        <v>514</v>
      </c>
      <c r="H876" s="217" t="s">
        <v>1379</v>
      </c>
      <c r="I876" s="217" t="s">
        <v>29</v>
      </c>
      <c r="J876" s="217" t="s">
        <v>1856</v>
      </c>
      <c r="K876" s="217">
        <v>12</v>
      </c>
      <c r="L876" s="217">
        <v>82</v>
      </c>
      <c r="M876" s="217" t="s">
        <v>31</v>
      </c>
      <c r="N876" s="217" t="s">
        <v>32</v>
      </c>
      <c r="O876" s="217" t="s">
        <v>100</v>
      </c>
      <c r="P876" s="217" t="s">
        <v>34</v>
      </c>
      <c r="Q876" s="217" t="s">
        <v>35</v>
      </c>
      <c r="R876" s="217" t="s">
        <v>23</v>
      </c>
      <c r="S876" s="217" t="s">
        <v>22</v>
      </c>
      <c r="T876" s="217" t="s">
        <v>47</v>
      </c>
      <c r="U876" s="217" t="s">
        <v>48</v>
      </c>
      <c r="V876" s="217" t="s">
        <v>61</v>
      </c>
      <c r="W876" s="217" t="s">
        <v>62</v>
      </c>
    </row>
    <row r="877" spans="1:23" x14ac:dyDescent="0.25">
      <c r="A877" s="217" t="s">
        <v>22</v>
      </c>
      <c r="B877" s="217" t="s">
        <v>23</v>
      </c>
      <c r="C877" s="217" t="s">
        <v>48</v>
      </c>
      <c r="D877" s="217" t="s">
        <v>47</v>
      </c>
      <c r="E877" s="217" t="s">
        <v>62</v>
      </c>
      <c r="F877" s="217" t="s">
        <v>61</v>
      </c>
      <c r="G877" s="217" t="s">
        <v>514</v>
      </c>
      <c r="H877" s="217" t="s">
        <v>1379</v>
      </c>
      <c r="I877" s="217" t="s">
        <v>29</v>
      </c>
      <c r="J877" s="217" t="s">
        <v>1857</v>
      </c>
      <c r="K877" s="217">
        <v>8</v>
      </c>
      <c r="L877" s="217">
        <v>39</v>
      </c>
      <c r="M877" s="217" t="s">
        <v>31</v>
      </c>
      <c r="N877" s="217" t="s">
        <v>32</v>
      </c>
      <c r="O877" s="217" t="s">
        <v>68</v>
      </c>
      <c r="P877" s="217" t="s">
        <v>34</v>
      </c>
      <c r="Q877" s="217" t="s">
        <v>35</v>
      </c>
      <c r="R877" s="217" t="s">
        <v>23</v>
      </c>
      <c r="S877" s="217" t="s">
        <v>22</v>
      </c>
      <c r="T877" s="217" t="s">
        <v>47</v>
      </c>
      <c r="U877" s="217" t="s">
        <v>48</v>
      </c>
      <c r="V877" s="217" t="s">
        <v>231</v>
      </c>
      <c r="W877" s="217" t="s">
        <v>232</v>
      </c>
    </row>
    <row r="878" spans="1:23" x14ac:dyDescent="0.25">
      <c r="A878" s="217" t="s">
        <v>22</v>
      </c>
      <c r="B878" s="217" t="s">
        <v>23</v>
      </c>
      <c r="C878" s="217" t="s">
        <v>48</v>
      </c>
      <c r="D878" s="217" t="s">
        <v>47</v>
      </c>
      <c r="E878" s="217" t="s">
        <v>62</v>
      </c>
      <c r="F878" s="217" t="s">
        <v>61</v>
      </c>
      <c r="G878" s="217" t="s">
        <v>515</v>
      </c>
      <c r="H878" s="217" t="s">
        <v>1380</v>
      </c>
      <c r="I878" s="217" t="s">
        <v>29</v>
      </c>
      <c r="J878" s="217" t="s">
        <v>1854</v>
      </c>
      <c r="K878" s="217">
        <v>28</v>
      </c>
      <c r="L878" s="217">
        <v>102</v>
      </c>
      <c r="M878" s="217" t="s">
        <v>31</v>
      </c>
      <c r="N878" s="217" t="s">
        <v>32</v>
      </c>
      <c r="O878" s="217" t="s">
        <v>68</v>
      </c>
      <c r="P878" s="217" t="s">
        <v>34</v>
      </c>
      <c r="Q878" s="217" t="s">
        <v>35</v>
      </c>
      <c r="R878" s="217" t="s">
        <v>23</v>
      </c>
      <c r="S878" s="217" t="s">
        <v>22</v>
      </c>
      <c r="T878" s="217" t="s">
        <v>47</v>
      </c>
      <c r="U878" s="217" t="s">
        <v>48</v>
      </c>
      <c r="V878" s="217" t="s">
        <v>231</v>
      </c>
      <c r="W878" s="217" t="s">
        <v>232</v>
      </c>
    </row>
    <row r="879" spans="1:23" x14ac:dyDescent="0.25">
      <c r="A879" s="217" t="s">
        <v>22</v>
      </c>
      <c r="B879" s="217" t="s">
        <v>23</v>
      </c>
      <c r="C879" s="217" t="s">
        <v>48</v>
      </c>
      <c r="D879" s="217" t="s">
        <v>47</v>
      </c>
      <c r="E879" s="217" t="s">
        <v>62</v>
      </c>
      <c r="F879" s="217" t="s">
        <v>61</v>
      </c>
      <c r="G879" s="217" t="s">
        <v>515</v>
      </c>
      <c r="H879" s="217" t="s">
        <v>1380</v>
      </c>
      <c r="I879" s="217" t="s">
        <v>29</v>
      </c>
      <c r="J879" s="217" t="s">
        <v>1855</v>
      </c>
      <c r="K879" s="217">
        <v>36</v>
      </c>
      <c r="L879" s="217">
        <v>129</v>
      </c>
      <c r="M879" s="217" t="s">
        <v>31</v>
      </c>
      <c r="N879" s="217" t="s">
        <v>32</v>
      </c>
      <c r="O879" s="217" t="s">
        <v>68</v>
      </c>
      <c r="P879" s="217" t="s">
        <v>34</v>
      </c>
      <c r="Q879" s="217" t="s">
        <v>35</v>
      </c>
      <c r="R879" s="217" t="s">
        <v>23</v>
      </c>
      <c r="S879" s="217" t="s">
        <v>22</v>
      </c>
      <c r="T879" s="217" t="s">
        <v>47</v>
      </c>
      <c r="U879" s="217" t="s">
        <v>48</v>
      </c>
      <c r="V879" s="217" t="s">
        <v>231</v>
      </c>
      <c r="W879" s="217" t="s">
        <v>232</v>
      </c>
    </row>
    <row r="880" spans="1:23" x14ac:dyDescent="0.25">
      <c r="A880" s="217" t="s">
        <v>22</v>
      </c>
      <c r="B880" s="217" t="s">
        <v>23</v>
      </c>
      <c r="C880" s="217" t="s">
        <v>48</v>
      </c>
      <c r="D880" s="217" t="s">
        <v>47</v>
      </c>
      <c r="E880" s="217" t="s">
        <v>62</v>
      </c>
      <c r="F880" s="217" t="s">
        <v>61</v>
      </c>
      <c r="G880" s="217" t="s">
        <v>515</v>
      </c>
      <c r="H880" s="217" t="s">
        <v>1380</v>
      </c>
      <c r="I880" s="217" t="s">
        <v>29</v>
      </c>
      <c r="J880" s="217" t="s">
        <v>1856</v>
      </c>
      <c r="K880" s="217">
        <v>34</v>
      </c>
      <c r="L880" s="217">
        <v>113</v>
      </c>
      <c r="M880" s="217" t="s">
        <v>31</v>
      </c>
      <c r="N880" s="217" t="s">
        <v>32</v>
      </c>
      <c r="O880" s="217" t="s">
        <v>68</v>
      </c>
      <c r="P880" s="217" t="s">
        <v>34</v>
      </c>
      <c r="Q880" s="217" t="s">
        <v>35</v>
      </c>
      <c r="R880" s="217" t="s">
        <v>23</v>
      </c>
      <c r="S880" s="217" t="s">
        <v>22</v>
      </c>
      <c r="T880" s="217" t="s">
        <v>47</v>
      </c>
      <c r="U880" s="217" t="s">
        <v>48</v>
      </c>
      <c r="V880" s="217" t="s">
        <v>231</v>
      </c>
      <c r="W880" s="217" t="s">
        <v>232</v>
      </c>
    </row>
    <row r="881" spans="1:23" x14ac:dyDescent="0.25">
      <c r="A881" s="217" t="s">
        <v>22</v>
      </c>
      <c r="B881" s="217" t="s">
        <v>23</v>
      </c>
      <c r="C881" s="217" t="s">
        <v>48</v>
      </c>
      <c r="D881" s="217" t="s">
        <v>47</v>
      </c>
      <c r="E881" s="217" t="s">
        <v>62</v>
      </c>
      <c r="F881" s="217" t="s">
        <v>61</v>
      </c>
      <c r="G881" s="217" t="s">
        <v>515</v>
      </c>
      <c r="H881" s="217" t="s">
        <v>1380</v>
      </c>
      <c r="I881" s="217" t="s">
        <v>29</v>
      </c>
      <c r="J881" s="217" t="s">
        <v>1857</v>
      </c>
      <c r="K881" s="217">
        <v>38</v>
      </c>
      <c r="L881" s="217">
        <v>55</v>
      </c>
      <c r="M881" s="217" t="s">
        <v>31</v>
      </c>
      <c r="N881" s="217" t="s">
        <v>32</v>
      </c>
      <c r="O881" s="217" t="s">
        <v>68</v>
      </c>
      <c r="P881" s="217" t="s">
        <v>34</v>
      </c>
      <c r="Q881" s="217" t="s">
        <v>35</v>
      </c>
      <c r="R881" s="217" t="s">
        <v>23</v>
      </c>
      <c r="S881" s="217" t="s">
        <v>22</v>
      </c>
      <c r="T881" s="217" t="s">
        <v>47</v>
      </c>
      <c r="U881" s="217" t="s">
        <v>48</v>
      </c>
      <c r="V881" s="217" t="s">
        <v>231</v>
      </c>
      <c r="W881" s="217" t="s">
        <v>232</v>
      </c>
    </row>
    <row r="882" spans="1:23" x14ac:dyDescent="0.25">
      <c r="A882" s="217" t="s">
        <v>22</v>
      </c>
      <c r="B882" s="217" t="s">
        <v>23</v>
      </c>
      <c r="C882" s="217" t="s">
        <v>48</v>
      </c>
      <c r="D882" s="217" t="s">
        <v>47</v>
      </c>
      <c r="E882" s="217" t="s">
        <v>62</v>
      </c>
      <c r="F882" s="217" t="s">
        <v>61</v>
      </c>
      <c r="G882" s="217" t="s">
        <v>515</v>
      </c>
      <c r="H882" s="217" t="s">
        <v>1380</v>
      </c>
      <c r="I882" s="217" t="s">
        <v>29</v>
      </c>
      <c r="J882" s="217" t="s">
        <v>1858</v>
      </c>
      <c r="K882" s="217">
        <v>4</v>
      </c>
      <c r="L882" s="217">
        <v>10</v>
      </c>
      <c r="M882" s="217" t="s">
        <v>31</v>
      </c>
      <c r="N882" s="217" t="s">
        <v>32</v>
      </c>
      <c r="O882" s="217" t="s">
        <v>68</v>
      </c>
      <c r="P882" s="217" t="s">
        <v>34</v>
      </c>
      <c r="Q882" s="217" t="s">
        <v>35</v>
      </c>
      <c r="R882" s="217" t="s">
        <v>23</v>
      </c>
      <c r="S882" s="217" t="s">
        <v>22</v>
      </c>
      <c r="T882" s="217" t="s">
        <v>47</v>
      </c>
      <c r="U882" s="217" t="s">
        <v>48</v>
      </c>
      <c r="V882" s="217" t="s">
        <v>231</v>
      </c>
      <c r="W882" s="217" t="s">
        <v>232</v>
      </c>
    </row>
    <row r="883" spans="1:23" x14ac:dyDescent="0.25">
      <c r="A883" s="217" t="s">
        <v>22</v>
      </c>
      <c r="B883" s="217" t="s">
        <v>23</v>
      </c>
      <c r="C883" s="217" t="s">
        <v>48</v>
      </c>
      <c r="D883" s="217" t="s">
        <v>47</v>
      </c>
      <c r="E883" s="217" t="s">
        <v>62</v>
      </c>
      <c r="F883" s="217" t="s">
        <v>61</v>
      </c>
      <c r="G883" s="217" t="s">
        <v>516</v>
      </c>
      <c r="H883" s="217" t="s">
        <v>1381</v>
      </c>
      <c r="I883" s="217" t="s">
        <v>29</v>
      </c>
      <c r="J883" s="217" t="s">
        <v>1854</v>
      </c>
      <c r="K883" s="217">
        <v>27</v>
      </c>
      <c r="L883" s="217">
        <v>69</v>
      </c>
      <c r="M883" s="217" t="s">
        <v>31</v>
      </c>
      <c r="N883" s="217" t="s">
        <v>32</v>
      </c>
      <c r="O883" s="217" t="s">
        <v>68</v>
      </c>
      <c r="P883" s="217" t="s">
        <v>34</v>
      </c>
      <c r="Q883" s="217" t="s">
        <v>35</v>
      </c>
      <c r="R883" s="217" t="s">
        <v>23</v>
      </c>
      <c r="S883" s="217" t="s">
        <v>22</v>
      </c>
      <c r="T883" s="217" t="s">
        <v>47</v>
      </c>
      <c r="U883" s="217" t="s">
        <v>48</v>
      </c>
      <c r="V883" s="217" t="s">
        <v>231</v>
      </c>
      <c r="W883" s="217" t="s">
        <v>232</v>
      </c>
    </row>
    <row r="884" spans="1:23" x14ac:dyDescent="0.25">
      <c r="A884" s="217" t="s">
        <v>22</v>
      </c>
      <c r="B884" s="217" t="s">
        <v>23</v>
      </c>
      <c r="C884" s="217" t="s">
        <v>48</v>
      </c>
      <c r="D884" s="217" t="s">
        <v>47</v>
      </c>
      <c r="E884" s="217" t="s">
        <v>62</v>
      </c>
      <c r="F884" s="217" t="s">
        <v>61</v>
      </c>
      <c r="G884" s="217" t="s">
        <v>516</v>
      </c>
      <c r="H884" s="217" t="s">
        <v>1381</v>
      </c>
      <c r="I884" s="217" t="s">
        <v>29</v>
      </c>
      <c r="J884" s="217" t="s">
        <v>1855</v>
      </c>
      <c r="K884" s="217">
        <v>78</v>
      </c>
      <c r="L884" s="217">
        <v>149</v>
      </c>
      <c r="M884" s="217" t="s">
        <v>31</v>
      </c>
      <c r="N884" s="217" t="s">
        <v>32</v>
      </c>
      <c r="O884" s="217" t="s">
        <v>68</v>
      </c>
      <c r="P884" s="217" t="s">
        <v>34</v>
      </c>
      <c r="Q884" s="217" t="s">
        <v>35</v>
      </c>
      <c r="R884" s="217" t="s">
        <v>23</v>
      </c>
      <c r="S884" s="217" t="s">
        <v>22</v>
      </c>
      <c r="T884" s="217" t="s">
        <v>47</v>
      </c>
      <c r="U884" s="217" t="s">
        <v>48</v>
      </c>
      <c r="V884" s="217" t="s">
        <v>231</v>
      </c>
      <c r="W884" s="217" t="s">
        <v>232</v>
      </c>
    </row>
    <row r="885" spans="1:23" x14ac:dyDescent="0.25">
      <c r="A885" s="217" t="s">
        <v>22</v>
      </c>
      <c r="B885" s="217" t="s">
        <v>23</v>
      </c>
      <c r="C885" s="217" t="s">
        <v>48</v>
      </c>
      <c r="D885" s="217" t="s">
        <v>47</v>
      </c>
      <c r="E885" s="217" t="s">
        <v>62</v>
      </c>
      <c r="F885" s="217" t="s">
        <v>61</v>
      </c>
      <c r="G885" s="217" t="s">
        <v>516</v>
      </c>
      <c r="H885" s="217" t="s">
        <v>1381</v>
      </c>
      <c r="I885" s="217" t="s">
        <v>29</v>
      </c>
      <c r="J885" s="217" t="s">
        <v>1856</v>
      </c>
      <c r="K885" s="217">
        <v>31</v>
      </c>
      <c r="L885" s="217">
        <v>76</v>
      </c>
      <c r="M885" s="217" t="s">
        <v>31</v>
      </c>
      <c r="N885" s="217" t="s">
        <v>32</v>
      </c>
      <c r="O885" s="217" t="s">
        <v>68</v>
      </c>
      <c r="P885" s="217" t="s">
        <v>34</v>
      </c>
      <c r="Q885" s="217" t="s">
        <v>35</v>
      </c>
      <c r="R885" s="217" t="s">
        <v>23</v>
      </c>
      <c r="S885" s="217" t="s">
        <v>22</v>
      </c>
      <c r="T885" s="217" t="s">
        <v>47</v>
      </c>
      <c r="U885" s="217" t="s">
        <v>48</v>
      </c>
      <c r="V885" s="217" t="s">
        <v>231</v>
      </c>
      <c r="W885" s="217" t="s">
        <v>232</v>
      </c>
    </row>
    <row r="886" spans="1:23" x14ac:dyDescent="0.25">
      <c r="A886" s="217" t="s">
        <v>22</v>
      </c>
      <c r="B886" s="217" t="s">
        <v>23</v>
      </c>
      <c r="C886" s="217" t="s">
        <v>48</v>
      </c>
      <c r="D886" s="217" t="s">
        <v>47</v>
      </c>
      <c r="E886" s="217" t="s">
        <v>62</v>
      </c>
      <c r="F886" s="217" t="s">
        <v>61</v>
      </c>
      <c r="G886" s="217" t="s">
        <v>516</v>
      </c>
      <c r="H886" s="217" t="s">
        <v>1381</v>
      </c>
      <c r="I886" s="217" t="s">
        <v>29</v>
      </c>
      <c r="J886" s="217" t="s">
        <v>1857</v>
      </c>
      <c r="K886" s="217">
        <v>43</v>
      </c>
      <c r="L886" s="217">
        <v>71</v>
      </c>
      <c r="M886" s="217" t="s">
        <v>31</v>
      </c>
      <c r="N886" s="217" t="s">
        <v>32</v>
      </c>
      <c r="O886" s="217" t="s">
        <v>68</v>
      </c>
      <c r="P886" s="217" t="s">
        <v>34</v>
      </c>
      <c r="Q886" s="217" t="s">
        <v>35</v>
      </c>
      <c r="R886" s="217" t="s">
        <v>23</v>
      </c>
      <c r="S886" s="217" t="s">
        <v>22</v>
      </c>
      <c r="T886" s="217" t="s">
        <v>47</v>
      </c>
      <c r="U886" s="217" t="s">
        <v>48</v>
      </c>
      <c r="V886" s="217" t="s">
        <v>61</v>
      </c>
      <c r="W886" s="217" t="s">
        <v>62</v>
      </c>
    </row>
    <row r="887" spans="1:23" x14ac:dyDescent="0.25">
      <c r="A887" s="217" t="s">
        <v>22</v>
      </c>
      <c r="B887" s="217" t="s">
        <v>23</v>
      </c>
      <c r="C887" s="217" t="s">
        <v>48</v>
      </c>
      <c r="D887" s="217" t="s">
        <v>47</v>
      </c>
      <c r="E887" s="217" t="s">
        <v>62</v>
      </c>
      <c r="F887" s="217" t="s">
        <v>61</v>
      </c>
      <c r="G887" s="217" t="s">
        <v>516</v>
      </c>
      <c r="H887" s="217" t="s">
        <v>1381</v>
      </c>
      <c r="I887" s="217" t="s">
        <v>29</v>
      </c>
      <c r="J887" s="217" t="s">
        <v>1858</v>
      </c>
      <c r="K887" s="217">
        <v>9</v>
      </c>
      <c r="L887" s="217">
        <v>35</v>
      </c>
      <c r="M887" s="217" t="s">
        <v>31</v>
      </c>
      <c r="N887" s="217" t="s">
        <v>32</v>
      </c>
      <c r="O887" s="217" t="s">
        <v>68</v>
      </c>
      <c r="P887" s="217" t="s">
        <v>34</v>
      </c>
      <c r="Q887" s="217" t="s">
        <v>35</v>
      </c>
      <c r="R887" s="217" t="s">
        <v>23</v>
      </c>
      <c r="S887" s="217" t="s">
        <v>22</v>
      </c>
      <c r="T887" s="217" t="s">
        <v>47</v>
      </c>
      <c r="U887" s="217" t="s">
        <v>48</v>
      </c>
      <c r="V887" s="217" t="s">
        <v>231</v>
      </c>
      <c r="W887" s="217" t="s">
        <v>232</v>
      </c>
    </row>
    <row r="888" spans="1:23" x14ac:dyDescent="0.25">
      <c r="A888" s="217" t="s">
        <v>22</v>
      </c>
      <c r="B888" s="217" t="s">
        <v>23</v>
      </c>
      <c r="C888" s="217" t="s">
        <v>48</v>
      </c>
      <c r="D888" s="217" t="s">
        <v>47</v>
      </c>
      <c r="E888" s="217" t="s">
        <v>62</v>
      </c>
      <c r="F888" s="217" t="s">
        <v>61</v>
      </c>
      <c r="G888" s="217" t="s">
        <v>517</v>
      </c>
      <c r="H888" s="217" t="s">
        <v>1382</v>
      </c>
      <c r="I888" s="217" t="s">
        <v>29</v>
      </c>
      <c r="J888" s="217" t="s">
        <v>1854</v>
      </c>
      <c r="K888" s="217">
        <v>12</v>
      </c>
      <c r="L888" s="217">
        <v>100</v>
      </c>
      <c r="M888" s="217" t="s">
        <v>31</v>
      </c>
      <c r="N888" s="217" t="s">
        <v>32</v>
      </c>
      <c r="O888" s="217" t="s">
        <v>68</v>
      </c>
      <c r="P888" s="217" t="s">
        <v>34</v>
      </c>
      <c r="Q888" s="217" t="s">
        <v>35</v>
      </c>
      <c r="R888" s="217" t="s">
        <v>23</v>
      </c>
      <c r="S888" s="217" t="s">
        <v>22</v>
      </c>
      <c r="T888" s="217" t="s">
        <v>47</v>
      </c>
      <c r="U888" s="217" t="s">
        <v>48</v>
      </c>
      <c r="V888" s="217" t="s">
        <v>231</v>
      </c>
      <c r="W888" s="217" t="s">
        <v>232</v>
      </c>
    </row>
    <row r="889" spans="1:23" x14ac:dyDescent="0.25">
      <c r="A889" s="217" t="s">
        <v>22</v>
      </c>
      <c r="B889" s="217" t="s">
        <v>23</v>
      </c>
      <c r="C889" s="217" t="s">
        <v>48</v>
      </c>
      <c r="D889" s="217" t="s">
        <v>47</v>
      </c>
      <c r="E889" s="217" t="s">
        <v>62</v>
      </c>
      <c r="F889" s="217" t="s">
        <v>61</v>
      </c>
      <c r="G889" s="217" t="s">
        <v>517</v>
      </c>
      <c r="H889" s="217" t="s">
        <v>1382</v>
      </c>
      <c r="I889" s="217" t="s">
        <v>29</v>
      </c>
      <c r="J889" s="217" t="s">
        <v>1855</v>
      </c>
      <c r="K889" s="217">
        <v>19</v>
      </c>
      <c r="L889" s="217">
        <v>162</v>
      </c>
      <c r="M889" s="217" t="s">
        <v>31</v>
      </c>
      <c r="N889" s="217" t="s">
        <v>32</v>
      </c>
      <c r="O889" s="217" t="s">
        <v>68</v>
      </c>
      <c r="P889" s="217" t="s">
        <v>34</v>
      </c>
      <c r="Q889" s="217" t="s">
        <v>35</v>
      </c>
      <c r="R889" s="217" t="s">
        <v>23</v>
      </c>
      <c r="S889" s="217" t="s">
        <v>22</v>
      </c>
      <c r="T889" s="217" t="s">
        <v>47</v>
      </c>
      <c r="U889" s="217" t="s">
        <v>48</v>
      </c>
      <c r="V889" s="217" t="s">
        <v>231</v>
      </c>
      <c r="W889" s="217" t="s">
        <v>232</v>
      </c>
    </row>
    <row r="890" spans="1:23" x14ac:dyDescent="0.25">
      <c r="A890" s="217" t="s">
        <v>22</v>
      </c>
      <c r="B890" s="217" t="s">
        <v>23</v>
      </c>
      <c r="C890" s="217" t="s">
        <v>48</v>
      </c>
      <c r="D890" s="217" t="s">
        <v>47</v>
      </c>
      <c r="E890" s="217" t="s">
        <v>62</v>
      </c>
      <c r="F890" s="217" t="s">
        <v>61</v>
      </c>
      <c r="G890" s="217" t="s">
        <v>517</v>
      </c>
      <c r="H890" s="217" t="s">
        <v>1382</v>
      </c>
      <c r="I890" s="217" t="s">
        <v>29</v>
      </c>
      <c r="J890" s="217" t="s">
        <v>1856</v>
      </c>
      <c r="K890" s="217">
        <v>36</v>
      </c>
      <c r="L890" s="217">
        <v>119</v>
      </c>
      <c r="M890" s="217" t="s">
        <v>31</v>
      </c>
      <c r="N890" s="217" t="s">
        <v>32</v>
      </c>
      <c r="O890" s="217" t="s">
        <v>68</v>
      </c>
      <c r="P890" s="217" t="s">
        <v>34</v>
      </c>
      <c r="Q890" s="217" t="s">
        <v>35</v>
      </c>
      <c r="R890" s="217" t="s">
        <v>23</v>
      </c>
      <c r="S890" s="217" t="s">
        <v>22</v>
      </c>
      <c r="T890" s="217" t="s">
        <v>47</v>
      </c>
      <c r="U890" s="217" t="s">
        <v>48</v>
      </c>
      <c r="V890" s="217" t="s">
        <v>231</v>
      </c>
      <c r="W890" s="217" t="s">
        <v>232</v>
      </c>
    </row>
    <row r="891" spans="1:23" x14ac:dyDescent="0.25">
      <c r="A891" s="217" t="s">
        <v>22</v>
      </c>
      <c r="B891" s="217" t="s">
        <v>23</v>
      </c>
      <c r="C891" s="217" t="s">
        <v>48</v>
      </c>
      <c r="D891" s="217" t="s">
        <v>47</v>
      </c>
      <c r="E891" s="217" t="s">
        <v>62</v>
      </c>
      <c r="F891" s="217" t="s">
        <v>61</v>
      </c>
      <c r="G891" s="217" t="s">
        <v>517</v>
      </c>
      <c r="H891" s="217" t="s">
        <v>1382</v>
      </c>
      <c r="I891" s="217" t="s">
        <v>29</v>
      </c>
      <c r="J891" s="217" t="s">
        <v>1857</v>
      </c>
      <c r="K891" s="217">
        <v>35</v>
      </c>
      <c r="L891" s="217">
        <v>126</v>
      </c>
      <c r="M891" s="217" t="s">
        <v>31</v>
      </c>
      <c r="N891" s="217" t="s">
        <v>32</v>
      </c>
      <c r="O891" s="217" t="s">
        <v>68</v>
      </c>
      <c r="P891" s="217" t="s">
        <v>34</v>
      </c>
      <c r="Q891" s="217" t="s">
        <v>35</v>
      </c>
      <c r="R891" s="217" t="s">
        <v>23</v>
      </c>
      <c r="S891" s="217" t="s">
        <v>22</v>
      </c>
      <c r="T891" s="217" t="s">
        <v>47</v>
      </c>
      <c r="U891" s="217" t="s">
        <v>48</v>
      </c>
      <c r="V891" s="217" t="s">
        <v>231</v>
      </c>
      <c r="W891" s="217" t="s">
        <v>232</v>
      </c>
    </row>
    <row r="892" spans="1:23" x14ac:dyDescent="0.25">
      <c r="A892" s="217" t="s">
        <v>22</v>
      </c>
      <c r="B892" s="217" t="s">
        <v>23</v>
      </c>
      <c r="C892" s="217" t="s">
        <v>48</v>
      </c>
      <c r="D892" s="217" t="s">
        <v>47</v>
      </c>
      <c r="E892" s="217" t="s">
        <v>62</v>
      </c>
      <c r="F892" s="217" t="s">
        <v>61</v>
      </c>
      <c r="G892" s="217" t="s">
        <v>518</v>
      </c>
      <c r="H892" s="217" t="s">
        <v>1383</v>
      </c>
      <c r="I892" s="217" t="s">
        <v>29</v>
      </c>
      <c r="J892" s="217" t="s">
        <v>1854</v>
      </c>
      <c r="K892" s="217">
        <v>145</v>
      </c>
      <c r="L892" s="217">
        <v>639</v>
      </c>
      <c r="M892" s="217" t="s">
        <v>31</v>
      </c>
      <c r="N892" s="217" t="s">
        <v>32</v>
      </c>
      <c r="O892" s="217" t="s">
        <v>68</v>
      </c>
      <c r="P892" s="217" t="s">
        <v>34</v>
      </c>
      <c r="Q892" s="217" t="s">
        <v>35</v>
      </c>
      <c r="R892" s="217" t="s">
        <v>23</v>
      </c>
      <c r="S892" s="217" t="s">
        <v>22</v>
      </c>
      <c r="T892" s="217" t="s">
        <v>47</v>
      </c>
      <c r="U892" s="217" t="s">
        <v>48</v>
      </c>
      <c r="V892" s="217" t="s">
        <v>231</v>
      </c>
      <c r="W892" s="217" t="s">
        <v>232</v>
      </c>
    </row>
    <row r="893" spans="1:23" x14ac:dyDescent="0.25">
      <c r="A893" s="217" t="s">
        <v>22</v>
      </c>
      <c r="B893" s="217" t="s">
        <v>23</v>
      </c>
      <c r="C893" s="217" t="s">
        <v>48</v>
      </c>
      <c r="D893" s="217" t="s">
        <v>47</v>
      </c>
      <c r="E893" s="217" t="s">
        <v>62</v>
      </c>
      <c r="F893" s="217" t="s">
        <v>61</v>
      </c>
      <c r="G893" s="217" t="s">
        <v>518</v>
      </c>
      <c r="H893" s="217" t="s">
        <v>1383</v>
      </c>
      <c r="I893" s="217" t="s">
        <v>29</v>
      </c>
      <c r="J893" s="217" t="s">
        <v>1855</v>
      </c>
      <c r="K893" s="217">
        <v>190</v>
      </c>
      <c r="L893" s="217">
        <v>954</v>
      </c>
      <c r="M893" s="217" t="s">
        <v>31</v>
      </c>
      <c r="N893" s="217" t="s">
        <v>32</v>
      </c>
      <c r="O893" s="217" t="s">
        <v>68</v>
      </c>
      <c r="P893" s="217" t="s">
        <v>34</v>
      </c>
      <c r="Q893" s="217" t="s">
        <v>35</v>
      </c>
      <c r="R893" s="217" t="s">
        <v>23</v>
      </c>
      <c r="S893" s="217" t="s">
        <v>22</v>
      </c>
      <c r="T893" s="217" t="s">
        <v>47</v>
      </c>
      <c r="U893" s="217" t="s">
        <v>48</v>
      </c>
      <c r="V893" s="217" t="s">
        <v>231</v>
      </c>
      <c r="W893" s="217" t="s">
        <v>232</v>
      </c>
    </row>
    <row r="894" spans="1:23" x14ac:dyDescent="0.25">
      <c r="A894" s="217" t="s">
        <v>22</v>
      </c>
      <c r="B894" s="217" t="s">
        <v>23</v>
      </c>
      <c r="C894" s="217" t="s">
        <v>48</v>
      </c>
      <c r="D894" s="217" t="s">
        <v>47</v>
      </c>
      <c r="E894" s="217" t="s">
        <v>62</v>
      </c>
      <c r="F894" s="217" t="s">
        <v>61</v>
      </c>
      <c r="G894" s="217" t="s">
        <v>518</v>
      </c>
      <c r="H894" s="217" t="s">
        <v>1383</v>
      </c>
      <c r="I894" s="217" t="s">
        <v>29</v>
      </c>
      <c r="J894" s="217" t="s">
        <v>1856</v>
      </c>
      <c r="K894" s="217">
        <v>275</v>
      </c>
      <c r="L894" s="217">
        <v>1461</v>
      </c>
      <c r="M894" s="217" t="s">
        <v>31</v>
      </c>
      <c r="N894" s="217" t="s">
        <v>32</v>
      </c>
      <c r="O894" s="217" t="s">
        <v>68</v>
      </c>
      <c r="P894" s="217" t="s">
        <v>34</v>
      </c>
      <c r="Q894" s="217" t="s">
        <v>35</v>
      </c>
      <c r="R894" s="217" t="s">
        <v>23</v>
      </c>
      <c r="S894" s="217" t="s">
        <v>22</v>
      </c>
      <c r="T894" s="217" t="s">
        <v>47</v>
      </c>
      <c r="U894" s="217" t="s">
        <v>48</v>
      </c>
      <c r="V894" s="217" t="s">
        <v>231</v>
      </c>
      <c r="W894" s="217" t="s">
        <v>232</v>
      </c>
    </row>
    <row r="895" spans="1:23" x14ac:dyDescent="0.25">
      <c r="A895" s="217" t="s">
        <v>22</v>
      </c>
      <c r="B895" s="217" t="s">
        <v>23</v>
      </c>
      <c r="C895" s="217" t="s">
        <v>48</v>
      </c>
      <c r="D895" s="217" t="s">
        <v>47</v>
      </c>
      <c r="E895" s="217" t="s">
        <v>62</v>
      </c>
      <c r="F895" s="217" t="s">
        <v>61</v>
      </c>
      <c r="G895" s="217" t="s">
        <v>518</v>
      </c>
      <c r="H895" s="217" t="s">
        <v>1383</v>
      </c>
      <c r="I895" s="217" t="s">
        <v>29</v>
      </c>
      <c r="J895" s="217" t="s">
        <v>1857</v>
      </c>
      <c r="K895" s="217">
        <v>1452</v>
      </c>
      <c r="L895" s="217">
        <v>13190</v>
      </c>
      <c r="M895" s="217" t="s">
        <v>31</v>
      </c>
      <c r="N895" s="217" t="s">
        <v>32</v>
      </c>
      <c r="O895" s="217" t="s">
        <v>68</v>
      </c>
      <c r="P895" s="217" t="s">
        <v>34</v>
      </c>
      <c r="Q895" s="217" t="s">
        <v>35</v>
      </c>
      <c r="R895" s="217" t="s">
        <v>23</v>
      </c>
      <c r="S895" s="217" t="s">
        <v>22</v>
      </c>
      <c r="T895" s="217" t="s">
        <v>47</v>
      </c>
      <c r="U895" s="217" t="s">
        <v>48</v>
      </c>
      <c r="V895" s="217" t="s">
        <v>231</v>
      </c>
      <c r="W895" s="217" t="s">
        <v>232</v>
      </c>
    </row>
    <row r="896" spans="1:23" x14ac:dyDescent="0.25">
      <c r="A896" s="217" t="s">
        <v>22</v>
      </c>
      <c r="B896" s="217" t="s">
        <v>23</v>
      </c>
      <c r="C896" s="217" t="s">
        <v>48</v>
      </c>
      <c r="D896" s="217" t="s">
        <v>47</v>
      </c>
      <c r="E896" s="217" t="s">
        <v>62</v>
      </c>
      <c r="F896" s="217" t="s">
        <v>61</v>
      </c>
      <c r="G896" s="217" t="s">
        <v>518</v>
      </c>
      <c r="H896" s="217" t="s">
        <v>1383</v>
      </c>
      <c r="I896" s="217" t="s">
        <v>29</v>
      </c>
      <c r="J896" s="217" t="s">
        <v>1858</v>
      </c>
      <c r="K896" s="217">
        <v>62</v>
      </c>
      <c r="L896" s="217">
        <v>297</v>
      </c>
      <c r="M896" s="217" t="s">
        <v>31</v>
      </c>
      <c r="N896" s="217" t="s">
        <v>32</v>
      </c>
      <c r="O896" s="217" t="s">
        <v>68</v>
      </c>
      <c r="P896" s="217" t="s">
        <v>34</v>
      </c>
      <c r="Q896" s="217" t="s">
        <v>35</v>
      </c>
      <c r="R896" s="217" t="s">
        <v>23</v>
      </c>
      <c r="S896" s="217" t="s">
        <v>22</v>
      </c>
      <c r="T896" s="217" t="s">
        <v>47</v>
      </c>
      <c r="U896" s="217" t="s">
        <v>48</v>
      </c>
      <c r="V896" s="217" t="s">
        <v>231</v>
      </c>
      <c r="W896" s="217" t="s">
        <v>232</v>
      </c>
    </row>
    <row r="897" spans="1:23" x14ac:dyDescent="0.25">
      <c r="A897" s="217" t="s">
        <v>22</v>
      </c>
      <c r="B897" s="217" t="s">
        <v>23</v>
      </c>
      <c r="C897" s="217" t="s">
        <v>48</v>
      </c>
      <c r="D897" s="217" t="s">
        <v>47</v>
      </c>
      <c r="E897" s="217" t="s">
        <v>62</v>
      </c>
      <c r="F897" s="217" t="s">
        <v>61</v>
      </c>
      <c r="G897" s="217" t="s">
        <v>519</v>
      </c>
      <c r="H897" s="217" t="s">
        <v>1384</v>
      </c>
      <c r="I897" s="217" t="s">
        <v>29</v>
      </c>
      <c r="J897" s="217" t="s">
        <v>1854</v>
      </c>
      <c r="K897" s="217">
        <v>17</v>
      </c>
      <c r="L897" s="217">
        <v>29</v>
      </c>
      <c r="M897" s="217" t="s">
        <v>31</v>
      </c>
      <c r="N897" s="217" t="s">
        <v>32</v>
      </c>
      <c r="O897" s="217" t="s">
        <v>68</v>
      </c>
      <c r="P897" s="217" t="s">
        <v>34</v>
      </c>
      <c r="Q897" s="217" t="s">
        <v>35</v>
      </c>
      <c r="R897" s="217" t="s">
        <v>23</v>
      </c>
      <c r="S897" s="217" t="s">
        <v>22</v>
      </c>
      <c r="T897" s="217" t="s">
        <v>47</v>
      </c>
      <c r="U897" s="217" t="s">
        <v>48</v>
      </c>
      <c r="V897" s="217" t="s">
        <v>231</v>
      </c>
      <c r="W897" s="217" t="s">
        <v>232</v>
      </c>
    </row>
    <row r="898" spans="1:23" x14ac:dyDescent="0.25">
      <c r="A898" s="217" t="s">
        <v>22</v>
      </c>
      <c r="B898" s="217" t="s">
        <v>23</v>
      </c>
      <c r="C898" s="217" t="s">
        <v>48</v>
      </c>
      <c r="D898" s="217" t="s">
        <v>47</v>
      </c>
      <c r="E898" s="217" t="s">
        <v>62</v>
      </c>
      <c r="F898" s="217" t="s">
        <v>61</v>
      </c>
      <c r="G898" s="217" t="s">
        <v>519</v>
      </c>
      <c r="H898" s="217" t="s">
        <v>1384</v>
      </c>
      <c r="I898" s="217" t="s">
        <v>29</v>
      </c>
      <c r="J898" s="217" t="s">
        <v>1855</v>
      </c>
      <c r="K898" s="217">
        <v>15</v>
      </c>
      <c r="L898" s="217">
        <v>29</v>
      </c>
      <c r="M898" s="217" t="s">
        <v>31</v>
      </c>
      <c r="N898" s="217" t="s">
        <v>32</v>
      </c>
      <c r="O898" s="217" t="s">
        <v>68</v>
      </c>
      <c r="P898" s="217" t="s">
        <v>34</v>
      </c>
      <c r="Q898" s="217" t="s">
        <v>35</v>
      </c>
      <c r="R898" s="217" t="s">
        <v>23</v>
      </c>
      <c r="S898" s="217" t="s">
        <v>22</v>
      </c>
      <c r="T898" s="217" t="s">
        <v>47</v>
      </c>
      <c r="U898" s="217" t="s">
        <v>48</v>
      </c>
      <c r="V898" s="217" t="s">
        <v>231</v>
      </c>
      <c r="W898" s="217" t="s">
        <v>232</v>
      </c>
    </row>
    <row r="899" spans="1:23" x14ac:dyDescent="0.25">
      <c r="A899" s="217" t="s">
        <v>22</v>
      </c>
      <c r="B899" s="217" t="s">
        <v>23</v>
      </c>
      <c r="C899" s="217" t="s">
        <v>48</v>
      </c>
      <c r="D899" s="217" t="s">
        <v>47</v>
      </c>
      <c r="E899" s="217" t="s">
        <v>62</v>
      </c>
      <c r="F899" s="217" t="s">
        <v>61</v>
      </c>
      <c r="G899" s="217" t="s">
        <v>519</v>
      </c>
      <c r="H899" s="217" t="s">
        <v>1384</v>
      </c>
      <c r="I899" s="217" t="s">
        <v>29</v>
      </c>
      <c r="J899" s="217" t="s">
        <v>1856</v>
      </c>
      <c r="K899" s="217">
        <v>9</v>
      </c>
      <c r="L899" s="217">
        <v>23</v>
      </c>
      <c r="M899" s="217" t="s">
        <v>31</v>
      </c>
      <c r="N899" s="217" t="s">
        <v>32</v>
      </c>
      <c r="O899" s="217" t="s">
        <v>68</v>
      </c>
      <c r="P899" s="217" t="s">
        <v>34</v>
      </c>
      <c r="Q899" s="217" t="s">
        <v>35</v>
      </c>
      <c r="R899" s="217" t="s">
        <v>23</v>
      </c>
      <c r="S899" s="217" t="s">
        <v>22</v>
      </c>
      <c r="T899" s="217" t="s">
        <v>47</v>
      </c>
      <c r="U899" s="217" t="s">
        <v>48</v>
      </c>
      <c r="V899" s="217" t="s">
        <v>231</v>
      </c>
      <c r="W899" s="217" t="s">
        <v>232</v>
      </c>
    </row>
    <row r="900" spans="1:23" x14ac:dyDescent="0.25">
      <c r="A900" s="217" t="s">
        <v>22</v>
      </c>
      <c r="B900" s="217" t="s">
        <v>23</v>
      </c>
      <c r="C900" s="217" t="s">
        <v>48</v>
      </c>
      <c r="D900" s="217" t="s">
        <v>47</v>
      </c>
      <c r="E900" s="217" t="s">
        <v>62</v>
      </c>
      <c r="F900" s="217" t="s">
        <v>61</v>
      </c>
      <c r="G900" s="217" t="s">
        <v>519</v>
      </c>
      <c r="H900" s="217" t="s">
        <v>1384</v>
      </c>
      <c r="I900" s="217" t="s">
        <v>29</v>
      </c>
      <c r="J900" s="217" t="s">
        <v>1857</v>
      </c>
      <c r="K900" s="217">
        <v>10</v>
      </c>
      <c r="L900" s="217">
        <v>29</v>
      </c>
      <c r="M900" s="217" t="s">
        <v>31</v>
      </c>
      <c r="N900" s="217" t="s">
        <v>32</v>
      </c>
      <c r="O900" s="217" t="s">
        <v>68</v>
      </c>
      <c r="P900" s="217" t="s">
        <v>34</v>
      </c>
      <c r="Q900" s="217" t="s">
        <v>35</v>
      </c>
      <c r="R900" s="217" t="s">
        <v>23</v>
      </c>
      <c r="S900" s="217" t="s">
        <v>22</v>
      </c>
      <c r="T900" s="217" t="s">
        <v>47</v>
      </c>
      <c r="U900" s="217" t="s">
        <v>48</v>
      </c>
      <c r="V900" s="217" t="s">
        <v>231</v>
      </c>
      <c r="W900" s="217" t="s">
        <v>232</v>
      </c>
    </row>
    <row r="901" spans="1:23" x14ac:dyDescent="0.25">
      <c r="A901" s="217" t="s">
        <v>22</v>
      </c>
      <c r="B901" s="217" t="s">
        <v>23</v>
      </c>
      <c r="C901" s="217" t="s">
        <v>48</v>
      </c>
      <c r="D901" s="217" t="s">
        <v>47</v>
      </c>
      <c r="E901" s="217" t="s">
        <v>62</v>
      </c>
      <c r="F901" s="217" t="s">
        <v>61</v>
      </c>
      <c r="G901" s="217" t="s">
        <v>519</v>
      </c>
      <c r="H901" s="217" t="s">
        <v>1384</v>
      </c>
      <c r="I901" s="217" t="s">
        <v>29</v>
      </c>
      <c r="J901" s="217" t="s">
        <v>1858</v>
      </c>
      <c r="K901" s="217">
        <v>25</v>
      </c>
      <c r="L901" s="217">
        <v>58</v>
      </c>
      <c r="M901" s="217" t="s">
        <v>31</v>
      </c>
      <c r="N901" s="217" t="s">
        <v>32</v>
      </c>
      <c r="O901" s="217" t="s">
        <v>68</v>
      </c>
      <c r="P901" s="217" t="s">
        <v>34</v>
      </c>
      <c r="Q901" s="217" t="s">
        <v>35</v>
      </c>
      <c r="R901" s="217" t="s">
        <v>23</v>
      </c>
      <c r="S901" s="217" t="s">
        <v>22</v>
      </c>
      <c r="T901" s="217" t="s">
        <v>47</v>
      </c>
      <c r="U901" s="217" t="s">
        <v>48</v>
      </c>
      <c r="V901" s="217" t="s">
        <v>231</v>
      </c>
      <c r="W901" s="217" t="s">
        <v>232</v>
      </c>
    </row>
    <row r="902" spans="1:23" x14ac:dyDescent="0.25">
      <c r="A902" s="217" t="s">
        <v>22</v>
      </c>
      <c r="B902" s="217" t="s">
        <v>23</v>
      </c>
      <c r="C902" s="217" t="s">
        <v>48</v>
      </c>
      <c r="D902" s="217" t="s">
        <v>47</v>
      </c>
      <c r="E902" s="217" t="s">
        <v>62</v>
      </c>
      <c r="F902" s="217" t="s">
        <v>61</v>
      </c>
      <c r="G902" s="217" t="s">
        <v>520</v>
      </c>
      <c r="H902" s="217" t="s">
        <v>1385</v>
      </c>
      <c r="I902" s="217" t="s">
        <v>29</v>
      </c>
      <c r="J902" s="217" t="s">
        <v>1854</v>
      </c>
      <c r="K902" s="217">
        <v>11</v>
      </c>
      <c r="L902" s="217">
        <v>70</v>
      </c>
      <c r="M902" s="217" t="s">
        <v>31</v>
      </c>
      <c r="N902" s="217" t="s">
        <v>32</v>
      </c>
      <c r="O902" s="217" t="s">
        <v>68</v>
      </c>
      <c r="P902" s="217" t="s">
        <v>34</v>
      </c>
      <c r="Q902" s="217" t="s">
        <v>35</v>
      </c>
      <c r="R902" s="217" t="s">
        <v>23</v>
      </c>
      <c r="S902" s="217" t="s">
        <v>22</v>
      </c>
      <c r="T902" s="217" t="s">
        <v>47</v>
      </c>
      <c r="U902" s="217" t="s">
        <v>48</v>
      </c>
      <c r="V902" s="217" t="s">
        <v>231</v>
      </c>
      <c r="W902" s="217" t="s">
        <v>232</v>
      </c>
    </row>
    <row r="903" spans="1:23" x14ac:dyDescent="0.25">
      <c r="A903" s="217" t="s">
        <v>22</v>
      </c>
      <c r="B903" s="217" t="s">
        <v>23</v>
      </c>
      <c r="C903" s="217" t="s">
        <v>48</v>
      </c>
      <c r="D903" s="217" t="s">
        <v>47</v>
      </c>
      <c r="E903" s="217" t="s">
        <v>62</v>
      </c>
      <c r="F903" s="217" t="s">
        <v>61</v>
      </c>
      <c r="G903" s="217" t="s">
        <v>520</v>
      </c>
      <c r="H903" s="217" t="s">
        <v>1385</v>
      </c>
      <c r="I903" s="217" t="s">
        <v>29</v>
      </c>
      <c r="J903" s="217" t="s">
        <v>1855</v>
      </c>
      <c r="K903" s="217">
        <v>25</v>
      </c>
      <c r="L903" s="217">
        <v>159</v>
      </c>
      <c r="M903" s="217" t="s">
        <v>31</v>
      </c>
      <c r="N903" s="217" t="s">
        <v>32</v>
      </c>
      <c r="O903" s="217" t="s">
        <v>68</v>
      </c>
      <c r="P903" s="217" t="s">
        <v>34</v>
      </c>
      <c r="Q903" s="217" t="s">
        <v>35</v>
      </c>
      <c r="R903" s="217" t="s">
        <v>23</v>
      </c>
      <c r="S903" s="217" t="s">
        <v>22</v>
      </c>
      <c r="T903" s="217" t="s">
        <v>47</v>
      </c>
      <c r="U903" s="217" t="s">
        <v>48</v>
      </c>
      <c r="V903" s="217" t="s">
        <v>231</v>
      </c>
      <c r="W903" s="217" t="s">
        <v>232</v>
      </c>
    </row>
    <row r="904" spans="1:23" x14ac:dyDescent="0.25">
      <c r="A904" s="217" t="s">
        <v>22</v>
      </c>
      <c r="B904" s="217" t="s">
        <v>23</v>
      </c>
      <c r="C904" s="217" t="s">
        <v>48</v>
      </c>
      <c r="D904" s="217" t="s">
        <v>47</v>
      </c>
      <c r="E904" s="217" t="s">
        <v>62</v>
      </c>
      <c r="F904" s="217" t="s">
        <v>61</v>
      </c>
      <c r="G904" s="217" t="s">
        <v>520</v>
      </c>
      <c r="H904" s="217" t="s">
        <v>1385</v>
      </c>
      <c r="I904" s="217" t="s">
        <v>29</v>
      </c>
      <c r="J904" s="217" t="s">
        <v>1856</v>
      </c>
      <c r="K904" s="217">
        <v>18</v>
      </c>
      <c r="L904" s="217">
        <v>106</v>
      </c>
      <c r="M904" s="217" t="s">
        <v>31</v>
      </c>
      <c r="N904" s="217" t="s">
        <v>32</v>
      </c>
      <c r="O904" s="217" t="s">
        <v>68</v>
      </c>
      <c r="P904" s="217" t="s">
        <v>34</v>
      </c>
      <c r="Q904" s="217" t="s">
        <v>35</v>
      </c>
      <c r="R904" s="217" t="s">
        <v>23</v>
      </c>
      <c r="S904" s="217" t="s">
        <v>22</v>
      </c>
      <c r="T904" s="217" t="s">
        <v>47</v>
      </c>
      <c r="U904" s="217" t="s">
        <v>48</v>
      </c>
      <c r="V904" s="217" t="s">
        <v>231</v>
      </c>
      <c r="W904" s="217" t="s">
        <v>232</v>
      </c>
    </row>
    <row r="905" spans="1:23" x14ac:dyDescent="0.25">
      <c r="A905" s="217" t="s">
        <v>22</v>
      </c>
      <c r="B905" s="217" t="s">
        <v>23</v>
      </c>
      <c r="C905" s="217" t="s">
        <v>48</v>
      </c>
      <c r="D905" s="217" t="s">
        <v>47</v>
      </c>
      <c r="E905" s="217" t="s">
        <v>62</v>
      </c>
      <c r="F905" s="217" t="s">
        <v>61</v>
      </c>
      <c r="G905" s="217" t="s">
        <v>520</v>
      </c>
      <c r="H905" s="217" t="s">
        <v>1385</v>
      </c>
      <c r="I905" s="217" t="s">
        <v>29</v>
      </c>
      <c r="J905" s="217" t="s">
        <v>1857</v>
      </c>
      <c r="K905" s="217">
        <v>4</v>
      </c>
      <c r="L905" s="217">
        <v>14</v>
      </c>
      <c r="M905" s="217" t="s">
        <v>31</v>
      </c>
      <c r="N905" s="217" t="s">
        <v>32</v>
      </c>
      <c r="O905" s="217" t="s">
        <v>68</v>
      </c>
      <c r="P905" s="217" t="s">
        <v>34</v>
      </c>
      <c r="Q905" s="217" t="s">
        <v>35</v>
      </c>
      <c r="R905" s="217" t="s">
        <v>23</v>
      </c>
      <c r="S905" s="217" t="s">
        <v>22</v>
      </c>
      <c r="T905" s="217" t="s">
        <v>47</v>
      </c>
      <c r="U905" s="217" t="s">
        <v>48</v>
      </c>
      <c r="V905" s="217" t="s">
        <v>231</v>
      </c>
      <c r="W905" s="217" t="s">
        <v>232</v>
      </c>
    </row>
    <row r="906" spans="1:23" x14ac:dyDescent="0.25">
      <c r="A906" s="217" t="s">
        <v>22</v>
      </c>
      <c r="B906" s="217" t="s">
        <v>23</v>
      </c>
      <c r="C906" s="217" t="s">
        <v>48</v>
      </c>
      <c r="D906" s="217" t="s">
        <v>47</v>
      </c>
      <c r="E906" s="217" t="s">
        <v>62</v>
      </c>
      <c r="F906" s="217" t="s">
        <v>61</v>
      </c>
      <c r="G906" s="217" t="s">
        <v>521</v>
      </c>
      <c r="H906" s="217" t="s">
        <v>1386</v>
      </c>
      <c r="I906" s="217" t="s">
        <v>29</v>
      </c>
      <c r="J906" s="217" t="s">
        <v>1854</v>
      </c>
      <c r="K906" s="217">
        <v>16</v>
      </c>
      <c r="L906" s="217">
        <v>123</v>
      </c>
      <c r="M906" s="217" t="s">
        <v>31</v>
      </c>
      <c r="N906" s="217" t="s">
        <v>32</v>
      </c>
      <c r="O906" s="217" t="s">
        <v>68</v>
      </c>
      <c r="P906" s="217" t="s">
        <v>34</v>
      </c>
      <c r="Q906" s="217" t="s">
        <v>35</v>
      </c>
      <c r="R906" s="217" t="s">
        <v>23</v>
      </c>
      <c r="S906" s="217" t="s">
        <v>22</v>
      </c>
      <c r="T906" s="217" t="s">
        <v>47</v>
      </c>
      <c r="U906" s="217" t="s">
        <v>48</v>
      </c>
      <c r="V906" s="217" t="s">
        <v>231</v>
      </c>
      <c r="W906" s="217" t="s">
        <v>232</v>
      </c>
    </row>
    <row r="907" spans="1:23" x14ac:dyDescent="0.25">
      <c r="A907" s="217" t="s">
        <v>22</v>
      </c>
      <c r="B907" s="217" t="s">
        <v>23</v>
      </c>
      <c r="C907" s="217" t="s">
        <v>48</v>
      </c>
      <c r="D907" s="217" t="s">
        <v>47</v>
      </c>
      <c r="E907" s="217" t="s">
        <v>62</v>
      </c>
      <c r="F907" s="217" t="s">
        <v>61</v>
      </c>
      <c r="G907" s="217" t="s">
        <v>521</v>
      </c>
      <c r="H907" s="217" t="s">
        <v>1386</v>
      </c>
      <c r="I907" s="217" t="s">
        <v>29</v>
      </c>
      <c r="J907" s="217" t="s">
        <v>1855</v>
      </c>
      <c r="K907" s="217">
        <v>16</v>
      </c>
      <c r="L907" s="217">
        <v>115</v>
      </c>
      <c r="M907" s="217" t="s">
        <v>31</v>
      </c>
      <c r="N907" s="217" t="s">
        <v>32</v>
      </c>
      <c r="O907" s="217" t="s">
        <v>68</v>
      </c>
      <c r="P907" s="217" t="s">
        <v>34</v>
      </c>
      <c r="Q907" s="217" t="s">
        <v>35</v>
      </c>
      <c r="R907" s="217" t="s">
        <v>23</v>
      </c>
      <c r="S907" s="217" t="s">
        <v>22</v>
      </c>
      <c r="T907" s="217" t="s">
        <v>47</v>
      </c>
      <c r="U907" s="217" t="s">
        <v>48</v>
      </c>
      <c r="V907" s="217" t="s">
        <v>61</v>
      </c>
      <c r="W907" s="217" t="s">
        <v>62</v>
      </c>
    </row>
    <row r="908" spans="1:23" x14ac:dyDescent="0.25">
      <c r="A908" s="217" t="s">
        <v>22</v>
      </c>
      <c r="B908" s="217" t="s">
        <v>23</v>
      </c>
      <c r="C908" s="217" t="s">
        <v>48</v>
      </c>
      <c r="D908" s="217" t="s">
        <v>47</v>
      </c>
      <c r="E908" s="217" t="s">
        <v>62</v>
      </c>
      <c r="F908" s="217" t="s">
        <v>61</v>
      </c>
      <c r="G908" s="217" t="s">
        <v>521</v>
      </c>
      <c r="H908" s="217" t="s">
        <v>1386</v>
      </c>
      <c r="I908" s="217" t="s">
        <v>29</v>
      </c>
      <c r="J908" s="217" t="s">
        <v>1856</v>
      </c>
      <c r="K908" s="217">
        <v>11</v>
      </c>
      <c r="L908" s="217">
        <v>109</v>
      </c>
      <c r="M908" s="217" t="s">
        <v>31</v>
      </c>
      <c r="N908" s="217" t="s">
        <v>32</v>
      </c>
      <c r="O908" s="217" t="s">
        <v>68</v>
      </c>
      <c r="P908" s="217" t="s">
        <v>34</v>
      </c>
      <c r="Q908" s="217" t="s">
        <v>35</v>
      </c>
      <c r="R908" s="217" t="s">
        <v>23</v>
      </c>
      <c r="S908" s="217" t="s">
        <v>22</v>
      </c>
      <c r="T908" s="217" t="s">
        <v>47</v>
      </c>
      <c r="U908" s="217" t="s">
        <v>48</v>
      </c>
      <c r="V908" s="217" t="s">
        <v>61</v>
      </c>
      <c r="W908" s="217" t="s">
        <v>62</v>
      </c>
    </row>
    <row r="909" spans="1:23" x14ac:dyDescent="0.25">
      <c r="A909" s="217" t="s">
        <v>22</v>
      </c>
      <c r="B909" s="217" t="s">
        <v>23</v>
      </c>
      <c r="C909" s="217" t="s">
        <v>48</v>
      </c>
      <c r="D909" s="217" t="s">
        <v>47</v>
      </c>
      <c r="E909" s="217" t="s">
        <v>62</v>
      </c>
      <c r="F909" s="217" t="s">
        <v>61</v>
      </c>
      <c r="G909" s="217" t="s">
        <v>521</v>
      </c>
      <c r="H909" s="217" t="s">
        <v>1386</v>
      </c>
      <c r="I909" s="217" t="s">
        <v>29</v>
      </c>
      <c r="J909" s="217" t="s">
        <v>1857</v>
      </c>
      <c r="K909" s="217">
        <v>7</v>
      </c>
      <c r="L909" s="217">
        <v>66</v>
      </c>
      <c r="M909" s="217" t="s">
        <v>31</v>
      </c>
      <c r="N909" s="217" t="s">
        <v>32</v>
      </c>
      <c r="O909" s="217" t="s">
        <v>68</v>
      </c>
      <c r="P909" s="217" t="s">
        <v>34</v>
      </c>
      <c r="Q909" s="217" t="s">
        <v>35</v>
      </c>
      <c r="R909" s="217" t="s">
        <v>23</v>
      </c>
      <c r="S909" s="217" t="s">
        <v>22</v>
      </c>
      <c r="T909" s="217" t="s">
        <v>47</v>
      </c>
      <c r="U909" s="217" t="s">
        <v>48</v>
      </c>
      <c r="V909" s="217" t="s">
        <v>231</v>
      </c>
      <c r="W909" s="217" t="s">
        <v>232</v>
      </c>
    </row>
    <row r="910" spans="1:23" x14ac:dyDescent="0.25">
      <c r="A910" s="217" t="s">
        <v>22</v>
      </c>
      <c r="B910" s="217" t="s">
        <v>23</v>
      </c>
      <c r="C910" s="217" t="s">
        <v>48</v>
      </c>
      <c r="D910" s="217" t="s">
        <v>47</v>
      </c>
      <c r="E910" s="217" t="s">
        <v>62</v>
      </c>
      <c r="F910" s="217" t="s">
        <v>61</v>
      </c>
      <c r="G910" s="217" t="s">
        <v>522</v>
      </c>
      <c r="H910" s="217" t="s">
        <v>1387</v>
      </c>
      <c r="I910" s="217" t="s">
        <v>29</v>
      </c>
      <c r="J910" s="217" t="s">
        <v>1854</v>
      </c>
      <c r="K910" s="217">
        <v>11</v>
      </c>
      <c r="L910" s="217">
        <v>79</v>
      </c>
      <c r="M910" s="217" t="s">
        <v>31</v>
      </c>
      <c r="N910" s="217" t="s">
        <v>32</v>
      </c>
      <c r="O910" s="217" t="s">
        <v>68</v>
      </c>
      <c r="P910" s="217" t="s">
        <v>34</v>
      </c>
      <c r="Q910" s="217" t="s">
        <v>35</v>
      </c>
      <c r="R910" s="217" t="s">
        <v>23</v>
      </c>
      <c r="S910" s="217" t="s">
        <v>22</v>
      </c>
      <c r="T910" s="217" t="s">
        <v>47</v>
      </c>
      <c r="U910" s="217" t="s">
        <v>48</v>
      </c>
      <c r="V910" s="217" t="s">
        <v>231</v>
      </c>
      <c r="W910" s="217" t="s">
        <v>232</v>
      </c>
    </row>
    <row r="911" spans="1:23" x14ac:dyDescent="0.25">
      <c r="A911" s="217" t="s">
        <v>22</v>
      </c>
      <c r="B911" s="217" t="s">
        <v>23</v>
      </c>
      <c r="C911" s="217" t="s">
        <v>48</v>
      </c>
      <c r="D911" s="217" t="s">
        <v>47</v>
      </c>
      <c r="E911" s="217" t="s">
        <v>62</v>
      </c>
      <c r="F911" s="217" t="s">
        <v>61</v>
      </c>
      <c r="G911" s="217" t="s">
        <v>522</v>
      </c>
      <c r="H911" s="217" t="s">
        <v>1387</v>
      </c>
      <c r="I911" s="217" t="s">
        <v>29</v>
      </c>
      <c r="J911" s="217" t="s">
        <v>1855</v>
      </c>
      <c r="K911" s="217">
        <v>21</v>
      </c>
      <c r="L911" s="217">
        <v>126</v>
      </c>
      <c r="M911" s="217" t="s">
        <v>31</v>
      </c>
      <c r="N911" s="217" t="s">
        <v>32</v>
      </c>
      <c r="O911" s="217" t="s">
        <v>68</v>
      </c>
      <c r="P911" s="217" t="s">
        <v>34</v>
      </c>
      <c r="Q911" s="217" t="s">
        <v>35</v>
      </c>
      <c r="R911" s="217" t="s">
        <v>23</v>
      </c>
      <c r="S911" s="217" t="s">
        <v>22</v>
      </c>
      <c r="T911" s="217" t="s">
        <v>47</v>
      </c>
      <c r="U911" s="217" t="s">
        <v>48</v>
      </c>
      <c r="V911" s="217" t="s">
        <v>61</v>
      </c>
      <c r="W911" s="217" t="s">
        <v>62</v>
      </c>
    </row>
    <row r="912" spans="1:23" x14ac:dyDescent="0.25">
      <c r="A912" s="217" t="s">
        <v>22</v>
      </c>
      <c r="B912" s="217" t="s">
        <v>23</v>
      </c>
      <c r="C912" s="217" t="s">
        <v>48</v>
      </c>
      <c r="D912" s="217" t="s">
        <v>47</v>
      </c>
      <c r="E912" s="217" t="s">
        <v>62</v>
      </c>
      <c r="F912" s="217" t="s">
        <v>61</v>
      </c>
      <c r="G912" s="217" t="s">
        <v>522</v>
      </c>
      <c r="H912" s="217" t="s">
        <v>1387</v>
      </c>
      <c r="I912" s="217" t="s">
        <v>29</v>
      </c>
      <c r="J912" s="217" t="s">
        <v>1856</v>
      </c>
      <c r="K912" s="217">
        <v>39</v>
      </c>
      <c r="L912" s="217">
        <v>234</v>
      </c>
      <c r="M912" s="217" t="s">
        <v>31</v>
      </c>
      <c r="N912" s="217" t="s">
        <v>32</v>
      </c>
      <c r="O912" s="217" t="s">
        <v>68</v>
      </c>
      <c r="P912" s="217" t="s">
        <v>34</v>
      </c>
      <c r="Q912" s="217" t="s">
        <v>35</v>
      </c>
      <c r="R912" s="217" t="s">
        <v>23</v>
      </c>
      <c r="S912" s="217" t="s">
        <v>22</v>
      </c>
      <c r="T912" s="217" t="s">
        <v>47</v>
      </c>
      <c r="U912" s="217" t="s">
        <v>48</v>
      </c>
      <c r="V912" s="217" t="s">
        <v>231</v>
      </c>
      <c r="W912" s="217" t="s">
        <v>232</v>
      </c>
    </row>
    <row r="913" spans="1:23" x14ac:dyDescent="0.25">
      <c r="A913" s="217" t="s">
        <v>22</v>
      </c>
      <c r="B913" s="217" t="s">
        <v>23</v>
      </c>
      <c r="C913" s="217" t="s">
        <v>48</v>
      </c>
      <c r="D913" s="217" t="s">
        <v>47</v>
      </c>
      <c r="E913" s="217" t="s">
        <v>62</v>
      </c>
      <c r="F913" s="217" t="s">
        <v>61</v>
      </c>
      <c r="G913" s="217" t="s">
        <v>522</v>
      </c>
      <c r="H913" s="217" t="s">
        <v>1387</v>
      </c>
      <c r="I913" s="217" t="s">
        <v>29</v>
      </c>
      <c r="J913" s="217" t="s">
        <v>1857</v>
      </c>
      <c r="K913" s="217">
        <v>32</v>
      </c>
      <c r="L913" s="217">
        <v>201</v>
      </c>
      <c r="M913" s="217" t="s">
        <v>31</v>
      </c>
      <c r="N913" s="217" t="s">
        <v>32</v>
      </c>
      <c r="O913" s="217" t="s">
        <v>68</v>
      </c>
      <c r="P913" s="217" t="s">
        <v>34</v>
      </c>
      <c r="Q913" s="217" t="s">
        <v>35</v>
      </c>
      <c r="R913" s="217" t="s">
        <v>23</v>
      </c>
      <c r="S913" s="217" t="s">
        <v>22</v>
      </c>
      <c r="T913" s="217" t="s">
        <v>47</v>
      </c>
      <c r="U913" s="217" t="s">
        <v>48</v>
      </c>
      <c r="V913" s="217" t="s">
        <v>231</v>
      </c>
      <c r="W913" s="217" t="s">
        <v>232</v>
      </c>
    </row>
    <row r="914" spans="1:23" x14ac:dyDescent="0.25">
      <c r="A914" s="217" t="s">
        <v>22</v>
      </c>
      <c r="B914" s="217" t="s">
        <v>23</v>
      </c>
      <c r="C914" s="217" t="s">
        <v>48</v>
      </c>
      <c r="D914" s="217" t="s">
        <v>47</v>
      </c>
      <c r="E914" s="217" t="s">
        <v>62</v>
      </c>
      <c r="F914" s="217" t="s">
        <v>61</v>
      </c>
      <c r="G914" s="217" t="s">
        <v>522</v>
      </c>
      <c r="H914" s="217" t="s">
        <v>1387</v>
      </c>
      <c r="I914" s="217" t="s">
        <v>29</v>
      </c>
      <c r="J914" s="217" t="s">
        <v>1858</v>
      </c>
      <c r="K914" s="217">
        <v>15</v>
      </c>
      <c r="L914" s="217">
        <v>25</v>
      </c>
      <c r="M914" s="217" t="s">
        <v>31</v>
      </c>
      <c r="N914" s="217" t="s">
        <v>32</v>
      </c>
      <c r="O914" s="217" t="s">
        <v>68</v>
      </c>
      <c r="P914" s="217" t="s">
        <v>34</v>
      </c>
      <c r="Q914" s="217" t="s">
        <v>35</v>
      </c>
      <c r="R914" s="217" t="s">
        <v>23</v>
      </c>
      <c r="S914" s="217" t="s">
        <v>22</v>
      </c>
      <c r="T914" s="217" t="s">
        <v>47</v>
      </c>
      <c r="U914" s="217" t="s">
        <v>48</v>
      </c>
      <c r="V914" s="217" t="s">
        <v>61</v>
      </c>
      <c r="W914" s="217" t="s">
        <v>62</v>
      </c>
    </row>
    <row r="915" spans="1:23" x14ac:dyDescent="0.25">
      <c r="A915" s="217" t="s">
        <v>22</v>
      </c>
      <c r="B915" s="217" t="s">
        <v>23</v>
      </c>
      <c r="C915" s="217" t="s">
        <v>48</v>
      </c>
      <c r="D915" s="217" t="s">
        <v>47</v>
      </c>
      <c r="E915" s="217" t="s">
        <v>62</v>
      </c>
      <c r="F915" s="217" t="s">
        <v>61</v>
      </c>
      <c r="G915" s="217" t="s">
        <v>523</v>
      </c>
      <c r="H915" s="217" t="s">
        <v>1388</v>
      </c>
      <c r="I915" s="217" t="s">
        <v>29</v>
      </c>
      <c r="J915" s="217" t="s">
        <v>1854</v>
      </c>
      <c r="K915" s="217">
        <v>31</v>
      </c>
      <c r="L915" s="217">
        <v>78</v>
      </c>
      <c r="M915" s="217" t="s">
        <v>31</v>
      </c>
      <c r="N915" s="217" t="s">
        <v>32</v>
      </c>
      <c r="O915" s="217" t="s">
        <v>68</v>
      </c>
      <c r="P915" s="217" t="s">
        <v>34</v>
      </c>
      <c r="Q915" s="217" t="s">
        <v>35</v>
      </c>
      <c r="R915" s="217" t="s">
        <v>23</v>
      </c>
      <c r="S915" s="217" t="s">
        <v>22</v>
      </c>
      <c r="T915" s="217" t="s">
        <v>47</v>
      </c>
      <c r="U915" s="217" t="s">
        <v>48</v>
      </c>
      <c r="V915" s="217" t="s">
        <v>231</v>
      </c>
      <c r="W915" s="217" t="s">
        <v>232</v>
      </c>
    </row>
    <row r="916" spans="1:23" x14ac:dyDescent="0.25">
      <c r="A916" s="217" t="s">
        <v>22</v>
      </c>
      <c r="B916" s="217" t="s">
        <v>23</v>
      </c>
      <c r="C916" s="217" t="s">
        <v>48</v>
      </c>
      <c r="D916" s="217" t="s">
        <v>47</v>
      </c>
      <c r="E916" s="217" t="s">
        <v>62</v>
      </c>
      <c r="F916" s="217" t="s">
        <v>61</v>
      </c>
      <c r="G916" s="217" t="s">
        <v>523</v>
      </c>
      <c r="H916" s="217" t="s">
        <v>1388</v>
      </c>
      <c r="I916" s="217" t="s">
        <v>29</v>
      </c>
      <c r="J916" s="217" t="s">
        <v>1855</v>
      </c>
      <c r="K916" s="217">
        <v>36</v>
      </c>
      <c r="L916" s="217">
        <v>102</v>
      </c>
      <c r="M916" s="217" t="s">
        <v>31</v>
      </c>
      <c r="N916" s="217" t="s">
        <v>32</v>
      </c>
      <c r="O916" s="217" t="s">
        <v>68</v>
      </c>
      <c r="P916" s="217" t="s">
        <v>34</v>
      </c>
      <c r="Q916" s="217" t="s">
        <v>35</v>
      </c>
      <c r="R916" s="217" t="s">
        <v>23</v>
      </c>
      <c r="S916" s="217" t="s">
        <v>22</v>
      </c>
      <c r="T916" s="217" t="s">
        <v>47</v>
      </c>
      <c r="U916" s="217" t="s">
        <v>48</v>
      </c>
      <c r="V916" s="217" t="s">
        <v>231</v>
      </c>
      <c r="W916" s="217" t="s">
        <v>232</v>
      </c>
    </row>
    <row r="917" spans="1:23" x14ac:dyDescent="0.25">
      <c r="A917" s="217" t="s">
        <v>22</v>
      </c>
      <c r="B917" s="217" t="s">
        <v>23</v>
      </c>
      <c r="C917" s="217" t="s">
        <v>48</v>
      </c>
      <c r="D917" s="217" t="s">
        <v>47</v>
      </c>
      <c r="E917" s="217" t="s">
        <v>62</v>
      </c>
      <c r="F917" s="217" t="s">
        <v>61</v>
      </c>
      <c r="G917" s="217" t="s">
        <v>523</v>
      </c>
      <c r="H917" s="217" t="s">
        <v>1388</v>
      </c>
      <c r="I917" s="217" t="s">
        <v>29</v>
      </c>
      <c r="J917" s="217" t="s">
        <v>1856</v>
      </c>
      <c r="K917" s="217">
        <v>33</v>
      </c>
      <c r="L917" s="217">
        <v>91</v>
      </c>
      <c r="M917" s="217" t="s">
        <v>31</v>
      </c>
      <c r="N917" s="217" t="s">
        <v>32</v>
      </c>
      <c r="O917" s="217" t="s">
        <v>68</v>
      </c>
      <c r="P917" s="217" t="s">
        <v>34</v>
      </c>
      <c r="Q917" s="217" t="s">
        <v>35</v>
      </c>
      <c r="R917" s="217" t="s">
        <v>23</v>
      </c>
      <c r="S917" s="217" t="s">
        <v>22</v>
      </c>
      <c r="T917" s="217" t="s">
        <v>47</v>
      </c>
      <c r="U917" s="217" t="s">
        <v>48</v>
      </c>
      <c r="V917" s="217" t="s">
        <v>231</v>
      </c>
      <c r="W917" s="217" t="s">
        <v>232</v>
      </c>
    </row>
    <row r="918" spans="1:23" x14ac:dyDescent="0.25">
      <c r="A918" s="217" t="s">
        <v>22</v>
      </c>
      <c r="B918" s="217" t="s">
        <v>23</v>
      </c>
      <c r="C918" s="217" t="s">
        <v>48</v>
      </c>
      <c r="D918" s="217" t="s">
        <v>47</v>
      </c>
      <c r="E918" s="217" t="s">
        <v>62</v>
      </c>
      <c r="F918" s="217" t="s">
        <v>61</v>
      </c>
      <c r="G918" s="217" t="s">
        <v>523</v>
      </c>
      <c r="H918" s="217" t="s">
        <v>1388</v>
      </c>
      <c r="I918" s="217" t="s">
        <v>29</v>
      </c>
      <c r="J918" s="217" t="s">
        <v>1857</v>
      </c>
      <c r="K918" s="217">
        <v>37</v>
      </c>
      <c r="L918" s="217">
        <v>105</v>
      </c>
      <c r="M918" s="217" t="s">
        <v>31</v>
      </c>
      <c r="N918" s="217" t="s">
        <v>32</v>
      </c>
      <c r="O918" s="217" t="s">
        <v>68</v>
      </c>
      <c r="P918" s="217" t="s">
        <v>34</v>
      </c>
      <c r="Q918" s="217" t="s">
        <v>35</v>
      </c>
      <c r="R918" s="217" t="s">
        <v>23</v>
      </c>
      <c r="S918" s="217" t="s">
        <v>22</v>
      </c>
      <c r="T918" s="217" t="s">
        <v>47</v>
      </c>
      <c r="U918" s="217" t="s">
        <v>48</v>
      </c>
      <c r="V918" s="217" t="s">
        <v>231</v>
      </c>
      <c r="W918" s="217" t="s">
        <v>232</v>
      </c>
    </row>
    <row r="919" spans="1:23" x14ac:dyDescent="0.25">
      <c r="A919" s="217" t="s">
        <v>22</v>
      </c>
      <c r="B919" s="217" t="s">
        <v>23</v>
      </c>
      <c r="C919" s="217" t="s">
        <v>48</v>
      </c>
      <c r="D919" s="217" t="s">
        <v>47</v>
      </c>
      <c r="E919" s="217" t="s">
        <v>62</v>
      </c>
      <c r="F919" s="217" t="s">
        <v>61</v>
      </c>
      <c r="G919" s="217" t="s">
        <v>523</v>
      </c>
      <c r="H919" s="217" t="s">
        <v>1388</v>
      </c>
      <c r="I919" s="217" t="s">
        <v>29</v>
      </c>
      <c r="J919" s="217" t="s">
        <v>1858</v>
      </c>
      <c r="K919" s="217">
        <v>3</v>
      </c>
      <c r="L919" s="217">
        <v>10</v>
      </c>
      <c r="M919" s="217" t="s">
        <v>31</v>
      </c>
      <c r="N919" s="217" t="s">
        <v>32</v>
      </c>
      <c r="O919" s="217" t="s">
        <v>68</v>
      </c>
      <c r="P919" s="217" t="s">
        <v>34</v>
      </c>
      <c r="Q919" s="217" t="s">
        <v>35</v>
      </c>
      <c r="R919" s="217" t="s">
        <v>23</v>
      </c>
      <c r="S919" s="217" t="s">
        <v>22</v>
      </c>
      <c r="T919" s="217" t="s">
        <v>47</v>
      </c>
      <c r="U919" s="217" t="s">
        <v>48</v>
      </c>
      <c r="V919" s="217" t="s">
        <v>231</v>
      </c>
      <c r="W919" s="217" t="s">
        <v>232</v>
      </c>
    </row>
    <row r="920" spans="1:23" x14ac:dyDescent="0.25">
      <c r="A920" s="217" t="s">
        <v>22</v>
      </c>
      <c r="B920" s="217" t="s">
        <v>23</v>
      </c>
      <c r="C920" s="217" t="s">
        <v>48</v>
      </c>
      <c r="D920" s="217" t="s">
        <v>47</v>
      </c>
      <c r="E920" s="217" t="s">
        <v>62</v>
      </c>
      <c r="F920" s="217" t="s">
        <v>61</v>
      </c>
      <c r="G920" s="217" t="s">
        <v>524</v>
      </c>
      <c r="H920" s="217" t="s">
        <v>1389</v>
      </c>
      <c r="I920" s="217" t="s">
        <v>29</v>
      </c>
      <c r="J920" s="217" t="s">
        <v>1854</v>
      </c>
      <c r="K920" s="217">
        <v>16</v>
      </c>
      <c r="L920" s="217">
        <v>117</v>
      </c>
      <c r="M920" s="217" t="s">
        <v>31</v>
      </c>
      <c r="N920" s="217" t="s">
        <v>32</v>
      </c>
      <c r="O920" s="217" t="s">
        <v>68</v>
      </c>
      <c r="P920" s="217" t="s">
        <v>34</v>
      </c>
      <c r="Q920" s="217" t="s">
        <v>35</v>
      </c>
      <c r="R920" s="217" t="s">
        <v>23</v>
      </c>
      <c r="S920" s="217" t="s">
        <v>22</v>
      </c>
      <c r="T920" s="217" t="s">
        <v>47</v>
      </c>
      <c r="U920" s="217" t="s">
        <v>48</v>
      </c>
      <c r="V920" s="217" t="s">
        <v>231</v>
      </c>
      <c r="W920" s="217" t="s">
        <v>232</v>
      </c>
    </row>
    <row r="921" spans="1:23" x14ac:dyDescent="0.25">
      <c r="A921" s="217" t="s">
        <v>22</v>
      </c>
      <c r="B921" s="217" t="s">
        <v>23</v>
      </c>
      <c r="C921" s="217" t="s">
        <v>48</v>
      </c>
      <c r="D921" s="217" t="s">
        <v>47</v>
      </c>
      <c r="E921" s="217" t="s">
        <v>62</v>
      </c>
      <c r="F921" s="217" t="s">
        <v>61</v>
      </c>
      <c r="G921" s="217" t="s">
        <v>524</v>
      </c>
      <c r="H921" s="217" t="s">
        <v>1389</v>
      </c>
      <c r="I921" s="217" t="s">
        <v>29</v>
      </c>
      <c r="J921" s="217" t="s">
        <v>1855</v>
      </c>
      <c r="K921" s="217">
        <v>11</v>
      </c>
      <c r="L921" s="217">
        <v>53</v>
      </c>
      <c r="M921" s="217" t="s">
        <v>31</v>
      </c>
      <c r="N921" s="217" t="s">
        <v>32</v>
      </c>
      <c r="O921" s="217" t="s">
        <v>68</v>
      </c>
      <c r="P921" s="217" t="s">
        <v>34</v>
      </c>
      <c r="Q921" s="217" t="s">
        <v>35</v>
      </c>
      <c r="R921" s="217" t="s">
        <v>23</v>
      </c>
      <c r="S921" s="217" t="s">
        <v>22</v>
      </c>
      <c r="T921" s="217" t="s">
        <v>47</v>
      </c>
      <c r="U921" s="217" t="s">
        <v>48</v>
      </c>
      <c r="V921" s="217" t="s">
        <v>231</v>
      </c>
      <c r="W921" s="217" t="s">
        <v>232</v>
      </c>
    </row>
    <row r="922" spans="1:23" x14ac:dyDescent="0.25">
      <c r="A922" s="217" t="s">
        <v>22</v>
      </c>
      <c r="B922" s="217" t="s">
        <v>23</v>
      </c>
      <c r="C922" s="217" t="s">
        <v>48</v>
      </c>
      <c r="D922" s="217" t="s">
        <v>47</v>
      </c>
      <c r="E922" s="217" t="s">
        <v>62</v>
      </c>
      <c r="F922" s="217" t="s">
        <v>61</v>
      </c>
      <c r="G922" s="217" t="s">
        <v>524</v>
      </c>
      <c r="H922" s="217" t="s">
        <v>1389</v>
      </c>
      <c r="I922" s="217" t="s">
        <v>29</v>
      </c>
      <c r="J922" s="217" t="s">
        <v>1856</v>
      </c>
      <c r="K922" s="217">
        <v>14</v>
      </c>
      <c r="L922" s="217">
        <v>89</v>
      </c>
      <c r="M922" s="217" t="s">
        <v>31</v>
      </c>
      <c r="N922" s="217" t="s">
        <v>32</v>
      </c>
      <c r="O922" s="217" t="s">
        <v>68</v>
      </c>
      <c r="P922" s="217" t="s">
        <v>34</v>
      </c>
      <c r="Q922" s="217" t="s">
        <v>35</v>
      </c>
      <c r="R922" s="217" t="s">
        <v>23</v>
      </c>
      <c r="S922" s="217" t="s">
        <v>22</v>
      </c>
      <c r="T922" s="217" t="s">
        <v>47</v>
      </c>
      <c r="U922" s="217" t="s">
        <v>48</v>
      </c>
      <c r="V922" s="217" t="s">
        <v>231</v>
      </c>
      <c r="W922" s="217" t="s">
        <v>232</v>
      </c>
    </row>
    <row r="923" spans="1:23" x14ac:dyDescent="0.25">
      <c r="A923" s="217" t="s">
        <v>22</v>
      </c>
      <c r="B923" s="217" t="s">
        <v>23</v>
      </c>
      <c r="C923" s="217" t="s">
        <v>48</v>
      </c>
      <c r="D923" s="217" t="s">
        <v>47</v>
      </c>
      <c r="E923" s="217" t="s">
        <v>62</v>
      </c>
      <c r="F923" s="217" t="s">
        <v>61</v>
      </c>
      <c r="G923" s="217" t="s">
        <v>524</v>
      </c>
      <c r="H923" s="217" t="s">
        <v>1389</v>
      </c>
      <c r="I923" s="217" t="s">
        <v>29</v>
      </c>
      <c r="J923" s="217" t="s">
        <v>1857</v>
      </c>
      <c r="K923" s="217">
        <v>10</v>
      </c>
      <c r="L923" s="217">
        <v>41</v>
      </c>
      <c r="M923" s="217" t="s">
        <v>31</v>
      </c>
      <c r="N923" s="217" t="s">
        <v>32</v>
      </c>
      <c r="O923" s="217" t="s">
        <v>68</v>
      </c>
      <c r="P923" s="217" t="s">
        <v>34</v>
      </c>
      <c r="Q923" s="217" t="s">
        <v>35</v>
      </c>
      <c r="R923" s="217" t="s">
        <v>23</v>
      </c>
      <c r="S923" s="217" t="s">
        <v>22</v>
      </c>
      <c r="T923" s="217" t="s">
        <v>47</v>
      </c>
      <c r="U923" s="217" t="s">
        <v>48</v>
      </c>
      <c r="V923" s="217" t="s">
        <v>231</v>
      </c>
      <c r="W923" s="217" t="s">
        <v>232</v>
      </c>
    </row>
    <row r="924" spans="1:23" x14ac:dyDescent="0.25">
      <c r="A924" s="217" t="s">
        <v>22</v>
      </c>
      <c r="B924" s="217" t="s">
        <v>23</v>
      </c>
      <c r="C924" s="217" t="s">
        <v>48</v>
      </c>
      <c r="D924" s="217" t="s">
        <v>47</v>
      </c>
      <c r="E924" s="217" t="s">
        <v>62</v>
      </c>
      <c r="F924" s="217" t="s">
        <v>61</v>
      </c>
      <c r="G924" s="217" t="s">
        <v>525</v>
      </c>
      <c r="H924" s="217" t="s">
        <v>1390</v>
      </c>
      <c r="I924" s="217" t="s">
        <v>29</v>
      </c>
      <c r="J924" s="217" t="s">
        <v>1854</v>
      </c>
      <c r="K924" s="217">
        <v>25</v>
      </c>
      <c r="L924" s="217">
        <v>87</v>
      </c>
      <c r="M924" s="217" t="s">
        <v>31</v>
      </c>
      <c r="N924" s="217" t="s">
        <v>32</v>
      </c>
      <c r="O924" s="217" t="s">
        <v>68</v>
      </c>
      <c r="P924" s="217" t="s">
        <v>34</v>
      </c>
      <c r="Q924" s="217" t="s">
        <v>35</v>
      </c>
      <c r="R924" s="217" t="s">
        <v>23</v>
      </c>
      <c r="S924" s="217" t="s">
        <v>22</v>
      </c>
      <c r="T924" s="217" t="s">
        <v>47</v>
      </c>
      <c r="U924" s="217" t="s">
        <v>48</v>
      </c>
      <c r="V924" s="217" t="s">
        <v>231</v>
      </c>
      <c r="W924" s="217" t="s">
        <v>232</v>
      </c>
    </row>
    <row r="925" spans="1:23" x14ac:dyDescent="0.25">
      <c r="A925" s="217" t="s">
        <v>22</v>
      </c>
      <c r="B925" s="217" t="s">
        <v>23</v>
      </c>
      <c r="C925" s="217" t="s">
        <v>48</v>
      </c>
      <c r="D925" s="217" t="s">
        <v>47</v>
      </c>
      <c r="E925" s="217" t="s">
        <v>62</v>
      </c>
      <c r="F925" s="217" t="s">
        <v>61</v>
      </c>
      <c r="G925" s="217" t="s">
        <v>525</v>
      </c>
      <c r="H925" s="217" t="s">
        <v>1390</v>
      </c>
      <c r="I925" s="217" t="s">
        <v>29</v>
      </c>
      <c r="J925" s="217" t="s">
        <v>1855</v>
      </c>
      <c r="K925" s="217">
        <v>36</v>
      </c>
      <c r="L925" s="217">
        <v>135</v>
      </c>
      <c r="M925" s="217" t="s">
        <v>31</v>
      </c>
      <c r="N925" s="217" t="s">
        <v>32</v>
      </c>
      <c r="O925" s="217" t="s">
        <v>68</v>
      </c>
      <c r="P925" s="217" t="s">
        <v>34</v>
      </c>
      <c r="Q925" s="217" t="s">
        <v>35</v>
      </c>
      <c r="R925" s="217" t="s">
        <v>23</v>
      </c>
      <c r="S925" s="217" t="s">
        <v>22</v>
      </c>
      <c r="T925" s="217" t="s">
        <v>47</v>
      </c>
      <c r="U925" s="217" t="s">
        <v>48</v>
      </c>
      <c r="V925" s="217" t="s">
        <v>231</v>
      </c>
      <c r="W925" s="217" t="s">
        <v>232</v>
      </c>
    </row>
    <row r="926" spans="1:23" x14ac:dyDescent="0.25">
      <c r="A926" s="217" t="s">
        <v>22</v>
      </c>
      <c r="B926" s="217" t="s">
        <v>23</v>
      </c>
      <c r="C926" s="217" t="s">
        <v>48</v>
      </c>
      <c r="D926" s="217" t="s">
        <v>47</v>
      </c>
      <c r="E926" s="217" t="s">
        <v>62</v>
      </c>
      <c r="F926" s="217" t="s">
        <v>61</v>
      </c>
      <c r="G926" s="217" t="s">
        <v>525</v>
      </c>
      <c r="H926" s="217" t="s">
        <v>1390</v>
      </c>
      <c r="I926" s="217" t="s">
        <v>29</v>
      </c>
      <c r="J926" s="217" t="s">
        <v>1856</v>
      </c>
      <c r="K926" s="217">
        <v>25</v>
      </c>
      <c r="L926" s="217">
        <v>85</v>
      </c>
      <c r="M926" s="217" t="s">
        <v>31</v>
      </c>
      <c r="N926" s="217" t="s">
        <v>32</v>
      </c>
      <c r="O926" s="217" t="s">
        <v>68</v>
      </c>
      <c r="P926" s="217" t="s">
        <v>34</v>
      </c>
      <c r="Q926" s="217" t="s">
        <v>35</v>
      </c>
      <c r="R926" s="217" t="s">
        <v>23</v>
      </c>
      <c r="S926" s="217" t="s">
        <v>22</v>
      </c>
      <c r="T926" s="217" t="s">
        <v>47</v>
      </c>
      <c r="U926" s="217" t="s">
        <v>48</v>
      </c>
      <c r="V926" s="217" t="s">
        <v>231</v>
      </c>
      <c r="W926" s="217" t="s">
        <v>232</v>
      </c>
    </row>
    <row r="927" spans="1:23" x14ac:dyDescent="0.25">
      <c r="A927" s="217" t="s">
        <v>22</v>
      </c>
      <c r="B927" s="217" t="s">
        <v>23</v>
      </c>
      <c r="C927" s="217" t="s">
        <v>48</v>
      </c>
      <c r="D927" s="217" t="s">
        <v>47</v>
      </c>
      <c r="E927" s="217" t="s">
        <v>62</v>
      </c>
      <c r="F927" s="217" t="s">
        <v>61</v>
      </c>
      <c r="G927" s="217" t="s">
        <v>525</v>
      </c>
      <c r="H927" s="217" t="s">
        <v>1390</v>
      </c>
      <c r="I927" s="217" t="s">
        <v>29</v>
      </c>
      <c r="J927" s="217" t="s">
        <v>1857</v>
      </c>
      <c r="K927" s="217">
        <v>30</v>
      </c>
      <c r="L927" s="217">
        <v>104</v>
      </c>
      <c r="M927" s="217" t="s">
        <v>31</v>
      </c>
      <c r="N927" s="217" t="s">
        <v>32</v>
      </c>
      <c r="O927" s="217" t="s">
        <v>68</v>
      </c>
      <c r="P927" s="217" t="s">
        <v>34</v>
      </c>
      <c r="Q927" s="217" t="s">
        <v>35</v>
      </c>
      <c r="R927" s="217" t="s">
        <v>23</v>
      </c>
      <c r="S927" s="217" t="s">
        <v>22</v>
      </c>
      <c r="T927" s="217" t="s">
        <v>47</v>
      </c>
      <c r="U927" s="217" t="s">
        <v>48</v>
      </c>
      <c r="V927" s="217" t="s">
        <v>231</v>
      </c>
      <c r="W927" s="217" t="s">
        <v>232</v>
      </c>
    </row>
    <row r="928" spans="1:23" x14ac:dyDescent="0.25">
      <c r="A928" s="217" t="s">
        <v>22</v>
      </c>
      <c r="B928" s="217" t="s">
        <v>23</v>
      </c>
      <c r="C928" s="217" t="s">
        <v>48</v>
      </c>
      <c r="D928" s="217" t="s">
        <v>47</v>
      </c>
      <c r="E928" s="217" t="s">
        <v>62</v>
      </c>
      <c r="F928" s="217" t="s">
        <v>61</v>
      </c>
      <c r="G928" s="217" t="s">
        <v>525</v>
      </c>
      <c r="H928" s="217" t="s">
        <v>1390</v>
      </c>
      <c r="I928" s="217" t="s">
        <v>29</v>
      </c>
      <c r="J928" s="217" t="s">
        <v>1858</v>
      </c>
      <c r="K928" s="217">
        <v>2</v>
      </c>
      <c r="L928" s="217">
        <v>6</v>
      </c>
      <c r="M928" s="217" t="s">
        <v>31</v>
      </c>
      <c r="N928" s="217" t="s">
        <v>32</v>
      </c>
      <c r="O928" s="217" t="s">
        <v>68</v>
      </c>
      <c r="P928" s="217" t="s">
        <v>34</v>
      </c>
      <c r="Q928" s="217" t="s">
        <v>35</v>
      </c>
      <c r="R928" s="217" t="s">
        <v>23</v>
      </c>
      <c r="S928" s="217" t="s">
        <v>22</v>
      </c>
      <c r="T928" s="217" t="s">
        <v>47</v>
      </c>
      <c r="U928" s="217" t="s">
        <v>48</v>
      </c>
      <c r="V928" s="217" t="s">
        <v>231</v>
      </c>
      <c r="W928" s="217" t="s">
        <v>232</v>
      </c>
    </row>
    <row r="929" spans="1:23" x14ac:dyDescent="0.25">
      <c r="A929" s="217" t="s">
        <v>22</v>
      </c>
      <c r="B929" s="217" t="s">
        <v>23</v>
      </c>
      <c r="C929" s="217" t="s">
        <v>48</v>
      </c>
      <c r="D929" s="217" t="s">
        <v>47</v>
      </c>
      <c r="E929" s="217" t="s">
        <v>62</v>
      </c>
      <c r="F929" s="217" t="s">
        <v>61</v>
      </c>
      <c r="G929" s="217" t="s">
        <v>526</v>
      </c>
      <c r="H929" s="217" t="s">
        <v>1391</v>
      </c>
      <c r="I929" s="217" t="s">
        <v>29</v>
      </c>
      <c r="J929" s="217" t="s">
        <v>1854</v>
      </c>
      <c r="K929" s="217">
        <v>20</v>
      </c>
      <c r="L929" s="217">
        <v>92</v>
      </c>
      <c r="M929" s="217" t="s">
        <v>31</v>
      </c>
      <c r="N929" s="217" t="s">
        <v>32</v>
      </c>
      <c r="O929" s="217" t="s">
        <v>68</v>
      </c>
      <c r="P929" s="217" t="s">
        <v>34</v>
      </c>
      <c r="Q929" s="217" t="s">
        <v>35</v>
      </c>
      <c r="R929" s="217" t="s">
        <v>23</v>
      </c>
      <c r="S929" s="217" t="s">
        <v>22</v>
      </c>
      <c r="T929" s="217" t="s">
        <v>47</v>
      </c>
      <c r="U929" s="217" t="s">
        <v>48</v>
      </c>
      <c r="V929" s="217" t="s">
        <v>231</v>
      </c>
      <c r="W929" s="217" t="s">
        <v>232</v>
      </c>
    </row>
    <row r="930" spans="1:23" x14ac:dyDescent="0.25">
      <c r="A930" s="217" t="s">
        <v>22</v>
      </c>
      <c r="B930" s="217" t="s">
        <v>23</v>
      </c>
      <c r="C930" s="217" t="s">
        <v>48</v>
      </c>
      <c r="D930" s="217" t="s">
        <v>47</v>
      </c>
      <c r="E930" s="217" t="s">
        <v>62</v>
      </c>
      <c r="F930" s="217" t="s">
        <v>61</v>
      </c>
      <c r="G930" s="217" t="s">
        <v>526</v>
      </c>
      <c r="H930" s="217" t="s">
        <v>1391</v>
      </c>
      <c r="I930" s="217" t="s">
        <v>29</v>
      </c>
      <c r="J930" s="217" t="s">
        <v>1855</v>
      </c>
      <c r="K930" s="217">
        <v>40</v>
      </c>
      <c r="L930" s="217">
        <v>148</v>
      </c>
      <c r="M930" s="217" t="s">
        <v>31</v>
      </c>
      <c r="N930" s="217" t="s">
        <v>32</v>
      </c>
      <c r="O930" s="217" t="s">
        <v>68</v>
      </c>
      <c r="P930" s="217" t="s">
        <v>34</v>
      </c>
      <c r="Q930" s="217" t="s">
        <v>35</v>
      </c>
      <c r="R930" s="217" t="s">
        <v>23</v>
      </c>
      <c r="S930" s="217" t="s">
        <v>22</v>
      </c>
      <c r="T930" s="217" t="s">
        <v>47</v>
      </c>
      <c r="U930" s="217" t="s">
        <v>48</v>
      </c>
      <c r="V930" s="217" t="s">
        <v>231</v>
      </c>
      <c r="W930" s="217" t="s">
        <v>232</v>
      </c>
    </row>
    <row r="931" spans="1:23" x14ac:dyDescent="0.25">
      <c r="A931" s="217" t="s">
        <v>22</v>
      </c>
      <c r="B931" s="217" t="s">
        <v>23</v>
      </c>
      <c r="C931" s="217" t="s">
        <v>48</v>
      </c>
      <c r="D931" s="217" t="s">
        <v>47</v>
      </c>
      <c r="E931" s="217" t="s">
        <v>62</v>
      </c>
      <c r="F931" s="217" t="s">
        <v>61</v>
      </c>
      <c r="G931" s="217" t="s">
        <v>526</v>
      </c>
      <c r="H931" s="217" t="s">
        <v>1391</v>
      </c>
      <c r="I931" s="217" t="s">
        <v>29</v>
      </c>
      <c r="J931" s="217" t="s">
        <v>1856</v>
      </c>
      <c r="K931" s="217">
        <v>30</v>
      </c>
      <c r="L931" s="217">
        <v>110</v>
      </c>
      <c r="M931" s="217" t="s">
        <v>31</v>
      </c>
      <c r="N931" s="217" t="s">
        <v>32</v>
      </c>
      <c r="O931" s="217" t="s">
        <v>100</v>
      </c>
      <c r="P931" s="217" t="s">
        <v>34</v>
      </c>
      <c r="Q931" s="217" t="s">
        <v>35</v>
      </c>
      <c r="R931" s="217" t="s">
        <v>23</v>
      </c>
      <c r="S931" s="217" t="s">
        <v>22</v>
      </c>
      <c r="T931" s="217" t="s">
        <v>47</v>
      </c>
      <c r="U931" s="217" t="s">
        <v>48</v>
      </c>
      <c r="V931" s="217" t="s">
        <v>61</v>
      </c>
      <c r="W931" s="217" t="s">
        <v>62</v>
      </c>
    </row>
    <row r="932" spans="1:23" x14ac:dyDescent="0.25">
      <c r="A932" s="217" t="s">
        <v>22</v>
      </c>
      <c r="B932" s="217" t="s">
        <v>23</v>
      </c>
      <c r="C932" s="217" t="s">
        <v>48</v>
      </c>
      <c r="D932" s="217" t="s">
        <v>47</v>
      </c>
      <c r="E932" s="217" t="s">
        <v>62</v>
      </c>
      <c r="F932" s="217" t="s">
        <v>61</v>
      </c>
      <c r="G932" s="217" t="s">
        <v>526</v>
      </c>
      <c r="H932" s="217" t="s">
        <v>1391</v>
      </c>
      <c r="I932" s="217" t="s">
        <v>29</v>
      </c>
      <c r="J932" s="217" t="s">
        <v>1857</v>
      </c>
      <c r="K932" s="217">
        <v>36</v>
      </c>
      <c r="L932" s="217">
        <v>150</v>
      </c>
      <c r="M932" s="217" t="s">
        <v>31</v>
      </c>
      <c r="N932" s="217" t="s">
        <v>32</v>
      </c>
      <c r="O932" s="217" t="s">
        <v>68</v>
      </c>
      <c r="P932" s="217" t="s">
        <v>34</v>
      </c>
      <c r="Q932" s="217" t="s">
        <v>35</v>
      </c>
      <c r="R932" s="217" t="s">
        <v>23</v>
      </c>
      <c r="S932" s="217" t="s">
        <v>22</v>
      </c>
      <c r="T932" s="217" t="s">
        <v>47</v>
      </c>
      <c r="U932" s="217" t="s">
        <v>48</v>
      </c>
      <c r="V932" s="217" t="s">
        <v>231</v>
      </c>
      <c r="W932" s="217" t="s">
        <v>232</v>
      </c>
    </row>
    <row r="933" spans="1:23" x14ac:dyDescent="0.25">
      <c r="A933" s="217" t="s">
        <v>22</v>
      </c>
      <c r="B933" s="217" t="s">
        <v>23</v>
      </c>
      <c r="C933" s="217" t="s">
        <v>48</v>
      </c>
      <c r="D933" s="217" t="s">
        <v>47</v>
      </c>
      <c r="E933" s="217" t="s">
        <v>62</v>
      </c>
      <c r="F933" s="217" t="s">
        <v>61</v>
      </c>
      <c r="G933" s="217" t="s">
        <v>526</v>
      </c>
      <c r="H933" s="217" t="s">
        <v>1391</v>
      </c>
      <c r="I933" s="217" t="s">
        <v>29</v>
      </c>
      <c r="J933" s="217" t="s">
        <v>1858</v>
      </c>
      <c r="K933" s="217">
        <v>7</v>
      </c>
      <c r="L933" s="217">
        <v>40</v>
      </c>
      <c r="M933" s="217" t="s">
        <v>31</v>
      </c>
      <c r="N933" s="217" t="s">
        <v>32</v>
      </c>
      <c r="O933" s="217" t="s">
        <v>68</v>
      </c>
      <c r="P933" s="217" t="s">
        <v>34</v>
      </c>
      <c r="Q933" s="217" t="s">
        <v>35</v>
      </c>
      <c r="R933" s="217" t="s">
        <v>23</v>
      </c>
      <c r="S933" s="217" t="s">
        <v>22</v>
      </c>
      <c r="T933" s="217" t="s">
        <v>47</v>
      </c>
      <c r="U933" s="217" t="s">
        <v>48</v>
      </c>
      <c r="V933" s="217" t="s">
        <v>231</v>
      </c>
      <c r="W933" s="217" t="s">
        <v>232</v>
      </c>
    </row>
    <row r="934" spans="1:23" x14ac:dyDescent="0.25">
      <c r="A934" s="217" t="s">
        <v>22</v>
      </c>
      <c r="B934" s="217" t="s">
        <v>23</v>
      </c>
      <c r="C934" s="217" t="s">
        <v>48</v>
      </c>
      <c r="D934" s="217" t="s">
        <v>47</v>
      </c>
      <c r="E934" s="217" t="s">
        <v>527</v>
      </c>
      <c r="F934" s="217" t="s">
        <v>528</v>
      </c>
      <c r="G934" s="217" t="s">
        <v>529</v>
      </c>
      <c r="H934" s="217" t="s">
        <v>1393</v>
      </c>
      <c r="I934" s="217" t="s">
        <v>29</v>
      </c>
      <c r="J934" s="217" t="s">
        <v>1855</v>
      </c>
      <c r="K934" s="217">
        <v>3</v>
      </c>
      <c r="L934" s="217">
        <v>12</v>
      </c>
      <c r="M934" s="217" t="s">
        <v>31</v>
      </c>
      <c r="N934" s="217" t="s">
        <v>32</v>
      </c>
      <c r="O934" s="217" t="s">
        <v>68</v>
      </c>
      <c r="P934" s="217" t="s">
        <v>34</v>
      </c>
      <c r="Q934" s="217" t="s">
        <v>35</v>
      </c>
      <c r="R934" s="217" t="s">
        <v>23</v>
      </c>
      <c r="S934" s="217" t="s">
        <v>22</v>
      </c>
      <c r="T934" s="217" t="s">
        <v>47</v>
      </c>
      <c r="U934" s="217" t="s">
        <v>48</v>
      </c>
      <c r="V934" s="217" t="s">
        <v>231</v>
      </c>
      <c r="W934" s="217" t="s">
        <v>232</v>
      </c>
    </row>
    <row r="935" spans="1:23" x14ac:dyDescent="0.25">
      <c r="A935" s="217" t="s">
        <v>22</v>
      </c>
      <c r="B935" s="217" t="s">
        <v>23</v>
      </c>
      <c r="C935" s="217" t="s">
        <v>48</v>
      </c>
      <c r="D935" s="217" t="s">
        <v>47</v>
      </c>
      <c r="E935" s="217" t="s">
        <v>527</v>
      </c>
      <c r="F935" s="217" t="s">
        <v>528</v>
      </c>
      <c r="G935" s="217" t="s">
        <v>529</v>
      </c>
      <c r="H935" s="217" t="s">
        <v>1393</v>
      </c>
      <c r="I935" s="217" t="s">
        <v>29</v>
      </c>
      <c r="J935" s="217" t="s">
        <v>1856</v>
      </c>
      <c r="K935" s="217">
        <v>2</v>
      </c>
      <c r="L935" s="217">
        <v>6</v>
      </c>
      <c r="M935" s="217" t="s">
        <v>31</v>
      </c>
      <c r="N935" s="217" t="s">
        <v>32</v>
      </c>
      <c r="O935" s="217" t="s">
        <v>68</v>
      </c>
      <c r="P935" s="217" t="s">
        <v>34</v>
      </c>
      <c r="Q935" s="217" t="s">
        <v>35</v>
      </c>
      <c r="R935" s="217" t="s">
        <v>23</v>
      </c>
      <c r="S935" s="217" t="s">
        <v>22</v>
      </c>
      <c r="T935" s="217" t="s">
        <v>47</v>
      </c>
      <c r="U935" s="217" t="s">
        <v>48</v>
      </c>
      <c r="V935" s="217" t="s">
        <v>231</v>
      </c>
      <c r="W935" s="217" t="s">
        <v>232</v>
      </c>
    </row>
    <row r="936" spans="1:23" x14ac:dyDescent="0.25">
      <c r="A936" s="217" t="s">
        <v>22</v>
      </c>
      <c r="B936" s="217" t="s">
        <v>23</v>
      </c>
      <c r="C936" s="217" t="s">
        <v>48</v>
      </c>
      <c r="D936" s="217" t="s">
        <v>47</v>
      </c>
      <c r="E936" s="217" t="s">
        <v>527</v>
      </c>
      <c r="F936" s="217" t="s">
        <v>528</v>
      </c>
      <c r="G936" s="217" t="s">
        <v>529</v>
      </c>
      <c r="H936" s="217" t="s">
        <v>1393</v>
      </c>
      <c r="I936" s="217" t="s">
        <v>29</v>
      </c>
      <c r="J936" s="217" t="s">
        <v>1857</v>
      </c>
      <c r="K936" s="217">
        <v>1</v>
      </c>
      <c r="L936" s="217">
        <v>5</v>
      </c>
      <c r="M936" s="217" t="s">
        <v>31</v>
      </c>
      <c r="N936" s="217" t="s">
        <v>32</v>
      </c>
      <c r="O936" s="217" t="s">
        <v>68</v>
      </c>
      <c r="P936" s="217" t="s">
        <v>34</v>
      </c>
      <c r="Q936" s="217" t="s">
        <v>35</v>
      </c>
      <c r="R936" s="217" t="s">
        <v>23</v>
      </c>
      <c r="S936" s="217" t="s">
        <v>22</v>
      </c>
      <c r="T936" s="217" t="s">
        <v>47</v>
      </c>
      <c r="U936" s="217" t="s">
        <v>48</v>
      </c>
      <c r="V936" s="217" t="s">
        <v>231</v>
      </c>
      <c r="W936" s="217" t="s">
        <v>232</v>
      </c>
    </row>
    <row r="937" spans="1:23" x14ac:dyDescent="0.25">
      <c r="A937" s="217" t="s">
        <v>22</v>
      </c>
      <c r="B937" s="217" t="s">
        <v>23</v>
      </c>
      <c r="C937" s="217" t="s">
        <v>48</v>
      </c>
      <c r="D937" s="217" t="s">
        <v>47</v>
      </c>
      <c r="E937" s="217" t="s">
        <v>527</v>
      </c>
      <c r="F937" s="217" t="s">
        <v>528</v>
      </c>
      <c r="G937" s="217" t="s">
        <v>530</v>
      </c>
      <c r="H937" s="217" t="s">
        <v>1394</v>
      </c>
      <c r="I937" s="217" t="s">
        <v>29</v>
      </c>
      <c r="J937" s="217" t="s">
        <v>1855</v>
      </c>
      <c r="K937" s="217">
        <v>94</v>
      </c>
      <c r="L937" s="217">
        <v>190</v>
      </c>
      <c r="M937" s="217" t="s">
        <v>31</v>
      </c>
      <c r="N937" s="217" t="s">
        <v>32</v>
      </c>
      <c r="O937" s="217" t="s">
        <v>68</v>
      </c>
      <c r="P937" s="217" t="s">
        <v>34</v>
      </c>
      <c r="Q937" s="217" t="s">
        <v>35</v>
      </c>
      <c r="R937" s="217" t="s">
        <v>23</v>
      </c>
      <c r="S937" s="217" t="s">
        <v>22</v>
      </c>
      <c r="T937" s="217" t="s">
        <v>47</v>
      </c>
      <c r="U937" s="217" t="s">
        <v>48</v>
      </c>
      <c r="V937" s="217" t="s">
        <v>231</v>
      </c>
      <c r="W937" s="217" t="s">
        <v>232</v>
      </c>
    </row>
    <row r="938" spans="1:23" x14ac:dyDescent="0.25">
      <c r="A938" s="217" t="s">
        <v>22</v>
      </c>
      <c r="B938" s="217" t="s">
        <v>23</v>
      </c>
      <c r="C938" s="217" t="s">
        <v>48</v>
      </c>
      <c r="D938" s="217" t="s">
        <v>47</v>
      </c>
      <c r="E938" s="217" t="s">
        <v>527</v>
      </c>
      <c r="F938" s="217" t="s">
        <v>528</v>
      </c>
      <c r="G938" s="217" t="s">
        <v>530</v>
      </c>
      <c r="H938" s="217" t="s">
        <v>1394</v>
      </c>
      <c r="I938" s="217" t="s">
        <v>29</v>
      </c>
      <c r="J938" s="217" t="s">
        <v>1856</v>
      </c>
      <c r="K938" s="217">
        <v>50</v>
      </c>
      <c r="L938" s="217">
        <v>101</v>
      </c>
      <c r="M938" s="217" t="s">
        <v>31</v>
      </c>
      <c r="N938" s="217" t="s">
        <v>32</v>
      </c>
      <c r="O938" s="217" t="s">
        <v>68</v>
      </c>
      <c r="P938" s="217" t="s">
        <v>34</v>
      </c>
      <c r="Q938" s="217" t="s">
        <v>35</v>
      </c>
      <c r="R938" s="217" t="s">
        <v>23</v>
      </c>
      <c r="S938" s="217" t="s">
        <v>22</v>
      </c>
      <c r="T938" s="217" t="s">
        <v>47</v>
      </c>
      <c r="U938" s="217" t="s">
        <v>48</v>
      </c>
      <c r="V938" s="217" t="s">
        <v>231</v>
      </c>
      <c r="W938" s="217" t="s">
        <v>232</v>
      </c>
    </row>
    <row r="939" spans="1:23" x14ac:dyDescent="0.25">
      <c r="A939" s="217" t="s">
        <v>22</v>
      </c>
      <c r="B939" s="217" t="s">
        <v>23</v>
      </c>
      <c r="C939" s="217" t="s">
        <v>48</v>
      </c>
      <c r="D939" s="217" t="s">
        <v>47</v>
      </c>
      <c r="E939" s="217" t="s">
        <v>527</v>
      </c>
      <c r="F939" s="217" t="s">
        <v>528</v>
      </c>
      <c r="G939" s="217" t="s">
        <v>530</v>
      </c>
      <c r="H939" s="217" t="s">
        <v>1394</v>
      </c>
      <c r="I939" s="217" t="s">
        <v>29</v>
      </c>
      <c r="J939" s="217" t="s">
        <v>1857</v>
      </c>
      <c r="K939" s="217">
        <v>9</v>
      </c>
      <c r="L939" s="217">
        <v>29</v>
      </c>
      <c r="M939" s="217" t="s">
        <v>31</v>
      </c>
      <c r="N939" s="217" t="s">
        <v>32</v>
      </c>
      <c r="O939" s="217" t="s">
        <v>68</v>
      </c>
      <c r="P939" s="217" t="s">
        <v>34</v>
      </c>
      <c r="Q939" s="217" t="s">
        <v>35</v>
      </c>
      <c r="R939" s="217" t="s">
        <v>23</v>
      </c>
      <c r="S939" s="217" t="s">
        <v>22</v>
      </c>
      <c r="T939" s="217" t="s">
        <v>47</v>
      </c>
      <c r="U939" s="217" t="s">
        <v>48</v>
      </c>
      <c r="V939" s="217" t="s">
        <v>61</v>
      </c>
      <c r="W939" s="217" t="s">
        <v>62</v>
      </c>
    </row>
    <row r="940" spans="1:23" x14ac:dyDescent="0.25">
      <c r="A940" s="217" t="s">
        <v>22</v>
      </c>
      <c r="B940" s="217" t="s">
        <v>23</v>
      </c>
      <c r="C940" s="217" t="s">
        <v>48</v>
      </c>
      <c r="D940" s="217" t="s">
        <v>47</v>
      </c>
      <c r="E940" s="217" t="s">
        <v>527</v>
      </c>
      <c r="F940" s="217" t="s">
        <v>528</v>
      </c>
      <c r="G940" s="217" t="s">
        <v>531</v>
      </c>
      <c r="H940" s="217" t="s">
        <v>1395</v>
      </c>
      <c r="I940" s="217" t="s">
        <v>29</v>
      </c>
      <c r="J940" s="217" t="s">
        <v>1855</v>
      </c>
      <c r="K940" s="217">
        <v>20</v>
      </c>
      <c r="L940" s="217">
        <v>197</v>
      </c>
      <c r="M940" s="217" t="s">
        <v>31</v>
      </c>
      <c r="N940" s="217" t="s">
        <v>32</v>
      </c>
      <c r="O940" s="217" t="s">
        <v>68</v>
      </c>
      <c r="P940" s="217" t="s">
        <v>34</v>
      </c>
      <c r="Q940" s="217" t="s">
        <v>35</v>
      </c>
      <c r="R940" s="217" t="s">
        <v>23</v>
      </c>
      <c r="S940" s="217" t="s">
        <v>22</v>
      </c>
      <c r="T940" s="217" t="s">
        <v>47</v>
      </c>
      <c r="U940" s="217" t="s">
        <v>48</v>
      </c>
      <c r="V940" s="217" t="s">
        <v>231</v>
      </c>
      <c r="W940" s="217" t="s">
        <v>232</v>
      </c>
    </row>
    <row r="941" spans="1:23" x14ac:dyDescent="0.25">
      <c r="A941" s="217" t="s">
        <v>22</v>
      </c>
      <c r="B941" s="217" t="s">
        <v>23</v>
      </c>
      <c r="C941" s="217" t="s">
        <v>48</v>
      </c>
      <c r="D941" s="217" t="s">
        <v>47</v>
      </c>
      <c r="E941" s="217" t="s">
        <v>527</v>
      </c>
      <c r="F941" s="217" t="s">
        <v>528</v>
      </c>
      <c r="G941" s="217" t="s">
        <v>531</v>
      </c>
      <c r="H941" s="217" t="s">
        <v>1395</v>
      </c>
      <c r="I941" s="217" t="s">
        <v>29</v>
      </c>
      <c r="J941" s="217" t="s">
        <v>1856</v>
      </c>
      <c r="K941" s="217">
        <v>9</v>
      </c>
      <c r="L941" s="217">
        <v>98</v>
      </c>
      <c r="M941" s="217" t="s">
        <v>31</v>
      </c>
      <c r="N941" s="217" t="s">
        <v>32</v>
      </c>
      <c r="O941" s="217" t="s">
        <v>68</v>
      </c>
      <c r="P941" s="217" t="s">
        <v>34</v>
      </c>
      <c r="Q941" s="217" t="s">
        <v>35</v>
      </c>
      <c r="R941" s="217" t="s">
        <v>23</v>
      </c>
      <c r="S941" s="217" t="s">
        <v>22</v>
      </c>
      <c r="T941" s="217" t="s">
        <v>47</v>
      </c>
      <c r="U941" s="217" t="s">
        <v>48</v>
      </c>
      <c r="V941" s="217" t="s">
        <v>61</v>
      </c>
      <c r="W941" s="217" t="s">
        <v>62</v>
      </c>
    </row>
    <row r="942" spans="1:23" x14ac:dyDescent="0.25">
      <c r="A942" s="217" t="s">
        <v>22</v>
      </c>
      <c r="B942" s="217" t="s">
        <v>23</v>
      </c>
      <c r="C942" s="217" t="s">
        <v>48</v>
      </c>
      <c r="D942" s="217" t="s">
        <v>47</v>
      </c>
      <c r="E942" s="217" t="s">
        <v>527</v>
      </c>
      <c r="F942" s="217" t="s">
        <v>528</v>
      </c>
      <c r="G942" s="217" t="s">
        <v>531</v>
      </c>
      <c r="H942" s="217" t="s">
        <v>1395</v>
      </c>
      <c r="I942" s="217" t="s">
        <v>29</v>
      </c>
      <c r="J942" s="217" t="s">
        <v>1857</v>
      </c>
      <c r="K942" s="217">
        <v>4</v>
      </c>
      <c r="L942" s="217">
        <v>61</v>
      </c>
      <c r="M942" s="217" t="s">
        <v>31</v>
      </c>
      <c r="N942" s="217" t="s">
        <v>32</v>
      </c>
      <c r="O942" s="217" t="s">
        <v>68</v>
      </c>
      <c r="P942" s="217" t="s">
        <v>34</v>
      </c>
      <c r="Q942" s="217" t="s">
        <v>35</v>
      </c>
      <c r="R942" s="217" t="s">
        <v>23</v>
      </c>
      <c r="S942" s="217" t="s">
        <v>22</v>
      </c>
      <c r="T942" s="217" t="s">
        <v>47</v>
      </c>
      <c r="U942" s="217" t="s">
        <v>48</v>
      </c>
      <c r="V942" s="217" t="s">
        <v>231</v>
      </c>
      <c r="W942" s="217" t="s">
        <v>232</v>
      </c>
    </row>
    <row r="943" spans="1:23" x14ac:dyDescent="0.25">
      <c r="A943" s="217" t="s">
        <v>22</v>
      </c>
      <c r="B943" s="217" t="s">
        <v>23</v>
      </c>
      <c r="C943" s="217" t="s">
        <v>48</v>
      </c>
      <c r="D943" s="217" t="s">
        <v>47</v>
      </c>
      <c r="E943" s="217" t="s">
        <v>527</v>
      </c>
      <c r="F943" s="217" t="s">
        <v>528</v>
      </c>
      <c r="G943" s="217" t="s">
        <v>532</v>
      </c>
      <c r="H943" s="217" t="s">
        <v>1396</v>
      </c>
      <c r="I943" s="217" t="s">
        <v>29</v>
      </c>
      <c r="J943" s="217" t="s">
        <v>1855</v>
      </c>
      <c r="K943" s="217">
        <v>23</v>
      </c>
      <c r="L943" s="217">
        <v>47</v>
      </c>
      <c r="M943" s="217" t="s">
        <v>31</v>
      </c>
      <c r="N943" s="217" t="s">
        <v>32</v>
      </c>
      <c r="O943" s="217" t="s">
        <v>68</v>
      </c>
      <c r="P943" s="217" t="s">
        <v>34</v>
      </c>
      <c r="Q943" s="217" t="s">
        <v>35</v>
      </c>
      <c r="R943" s="217" t="s">
        <v>23</v>
      </c>
      <c r="S943" s="217" t="s">
        <v>22</v>
      </c>
      <c r="T943" s="217" t="s">
        <v>47</v>
      </c>
      <c r="U943" s="217" t="s">
        <v>48</v>
      </c>
      <c r="V943" s="217" t="s">
        <v>231</v>
      </c>
      <c r="W943" s="217" t="s">
        <v>232</v>
      </c>
    </row>
    <row r="944" spans="1:23" x14ac:dyDescent="0.25">
      <c r="A944" s="217" t="s">
        <v>22</v>
      </c>
      <c r="B944" s="217" t="s">
        <v>23</v>
      </c>
      <c r="C944" s="217" t="s">
        <v>48</v>
      </c>
      <c r="D944" s="217" t="s">
        <v>47</v>
      </c>
      <c r="E944" s="217" t="s">
        <v>527</v>
      </c>
      <c r="F944" s="217" t="s">
        <v>528</v>
      </c>
      <c r="G944" s="217" t="s">
        <v>532</v>
      </c>
      <c r="H944" s="217" t="s">
        <v>1396</v>
      </c>
      <c r="I944" s="217" t="s">
        <v>29</v>
      </c>
      <c r="J944" s="217" t="s">
        <v>1856</v>
      </c>
      <c r="K944" s="217">
        <v>10</v>
      </c>
      <c r="L944" s="217">
        <v>31</v>
      </c>
      <c r="M944" s="217" t="s">
        <v>31</v>
      </c>
      <c r="N944" s="217" t="s">
        <v>32</v>
      </c>
      <c r="O944" s="217" t="s">
        <v>68</v>
      </c>
      <c r="P944" s="217" t="s">
        <v>34</v>
      </c>
      <c r="Q944" s="217" t="s">
        <v>35</v>
      </c>
      <c r="R944" s="217" t="s">
        <v>23</v>
      </c>
      <c r="S944" s="217" t="s">
        <v>22</v>
      </c>
      <c r="T944" s="217" t="s">
        <v>47</v>
      </c>
      <c r="U944" s="217" t="s">
        <v>48</v>
      </c>
      <c r="V944" s="217" t="s">
        <v>231</v>
      </c>
      <c r="W944" s="217" t="s">
        <v>232</v>
      </c>
    </row>
    <row r="945" spans="1:23" x14ac:dyDescent="0.25">
      <c r="A945" s="217" t="s">
        <v>22</v>
      </c>
      <c r="B945" s="217" t="s">
        <v>23</v>
      </c>
      <c r="C945" s="217" t="s">
        <v>48</v>
      </c>
      <c r="D945" s="217" t="s">
        <v>47</v>
      </c>
      <c r="E945" s="217" t="s">
        <v>527</v>
      </c>
      <c r="F945" s="217" t="s">
        <v>528</v>
      </c>
      <c r="G945" s="217" t="s">
        <v>532</v>
      </c>
      <c r="H945" s="217" t="s">
        <v>1396</v>
      </c>
      <c r="I945" s="217" t="s">
        <v>29</v>
      </c>
      <c r="J945" s="217" t="s">
        <v>1857</v>
      </c>
      <c r="K945" s="217">
        <v>4</v>
      </c>
      <c r="L945" s="217">
        <v>13</v>
      </c>
      <c r="M945" s="217" t="s">
        <v>31</v>
      </c>
      <c r="N945" s="217" t="s">
        <v>32</v>
      </c>
      <c r="O945" s="217" t="s">
        <v>68</v>
      </c>
      <c r="P945" s="217" t="s">
        <v>34</v>
      </c>
      <c r="Q945" s="217" t="s">
        <v>35</v>
      </c>
      <c r="R945" s="217" t="s">
        <v>23</v>
      </c>
      <c r="S945" s="217" t="s">
        <v>22</v>
      </c>
      <c r="T945" s="217" t="s">
        <v>47</v>
      </c>
      <c r="U945" s="217" t="s">
        <v>48</v>
      </c>
      <c r="V945" s="217" t="s">
        <v>61</v>
      </c>
      <c r="W945" s="217" t="s">
        <v>62</v>
      </c>
    </row>
    <row r="946" spans="1:23" x14ac:dyDescent="0.25">
      <c r="A946" s="217" t="s">
        <v>22</v>
      </c>
      <c r="B946" s="217" t="s">
        <v>23</v>
      </c>
      <c r="C946" s="217" t="s">
        <v>48</v>
      </c>
      <c r="D946" s="217" t="s">
        <v>47</v>
      </c>
      <c r="E946" s="217" t="s">
        <v>527</v>
      </c>
      <c r="F946" s="217" t="s">
        <v>528</v>
      </c>
      <c r="G946" s="217" t="s">
        <v>532</v>
      </c>
      <c r="H946" s="217" t="s">
        <v>1396</v>
      </c>
      <c r="I946" s="217" t="s">
        <v>29</v>
      </c>
      <c r="J946" s="217" t="s">
        <v>1858</v>
      </c>
      <c r="K946" s="217">
        <v>1</v>
      </c>
      <c r="L946" s="217">
        <v>2</v>
      </c>
      <c r="M946" s="217" t="s">
        <v>31</v>
      </c>
      <c r="N946" s="217" t="s">
        <v>32</v>
      </c>
      <c r="O946" s="217" t="s">
        <v>68</v>
      </c>
      <c r="P946" s="217" t="s">
        <v>34</v>
      </c>
      <c r="Q946" s="217" t="s">
        <v>35</v>
      </c>
      <c r="R946" s="217" t="s">
        <v>23</v>
      </c>
      <c r="S946" s="217" t="s">
        <v>22</v>
      </c>
      <c r="T946" s="217" t="s">
        <v>47</v>
      </c>
      <c r="U946" s="217" t="s">
        <v>48</v>
      </c>
      <c r="V946" s="217" t="s">
        <v>231</v>
      </c>
      <c r="W946" s="217" t="s">
        <v>232</v>
      </c>
    </row>
    <row r="947" spans="1:23" x14ac:dyDescent="0.25">
      <c r="A947" s="217" t="s">
        <v>22</v>
      </c>
      <c r="B947" s="217" t="s">
        <v>23</v>
      </c>
      <c r="C947" s="217" t="s">
        <v>48</v>
      </c>
      <c r="D947" s="217" t="s">
        <v>47</v>
      </c>
      <c r="E947" s="217" t="s">
        <v>527</v>
      </c>
      <c r="F947" s="217" t="s">
        <v>528</v>
      </c>
      <c r="G947" s="217" t="s">
        <v>533</v>
      </c>
      <c r="H947" s="217" t="s">
        <v>1397</v>
      </c>
      <c r="I947" s="217" t="s">
        <v>29</v>
      </c>
      <c r="J947" s="217" t="s">
        <v>1855</v>
      </c>
      <c r="K947" s="217">
        <v>9</v>
      </c>
      <c r="L947" s="217">
        <v>88</v>
      </c>
      <c r="M947" s="217" t="s">
        <v>31</v>
      </c>
      <c r="N947" s="217" t="s">
        <v>32</v>
      </c>
      <c r="O947" s="217" t="s">
        <v>68</v>
      </c>
      <c r="P947" s="217" t="s">
        <v>34</v>
      </c>
      <c r="Q947" s="217" t="s">
        <v>35</v>
      </c>
      <c r="R947" s="217" t="s">
        <v>23</v>
      </c>
      <c r="S947" s="217" t="s">
        <v>22</v>
      </c>
      <c r="T947" s="217" t="s">
        <v>47</v>
      </c>
      <c r="U947" s="217" t="s">
        <v>48</v>
      </c>
      <c r="V947" s="217" t="s">
        <v>231</v>
      </c>
      <c r="W947" s="217" t="s">
        <v>232</v>
      </c>
    </row>
    <row r="948" spans="1:23" x14ac:dyDescent="0.25">
      <c r="A948" s="217" t="s">
        <v>22</v>
      </c>
      <c r="B948" s="217" t="s">
        <v>23</v>
      </c>
      <c r="C948" s="217" t="s">
        <v>48</v>
      </c>
      <c r="D948" s="217" t="s">
        <v>47</v>
      </c>
      <c r="E948" s="217" t="s">
        <v>527</v>
      </c>
      <c r="F948" s="217" t="s">
        <v>528</v>
      </c>
      <c r="G948" s="217" t="s">
        <v>533</v>
      </c>
      <c r="H948" s="217" t="s">
        <v>1397</v>
      </c>
      <c r="I948" s="217" t="s">
        <v>29</v>
      </c>
      <c r="J948" s="217" t="s">
        <v>1856</v>
      </c>
      <c r="K948" s="217">
        <v>3</v>
      </c>
      <c r="L948" s="217">
        <v>30</v>
      </c>
      <c r="M948" s="217" t="s">
        <v>31</v>
      </c>
      <c r="N948" s="217" t="s">
        <v>32</v>
      </c>
      <c r="O948" s="217" t="s">
        <v>68</v>
      </c>
      <c r="P948" s="217" t="s">
        <v>34</v>
      </c>
      <c r="Q948" s="217" t="s">
        <v>35</v>
      </c>
      <c r="R948" s="217" t="s">
        <v>23</v>
      </c>
      <c r="S948" s="217" t="s">
        <v>22</v>
      </c>
      <c r="T948" s="217" t="s">
        <v>47</v>
      </c>
      <c r="U948" s="217" t="s">
        <v>48</v>
      </c>
      <c r="V948" s="217" t="s">
        <v>231</v>
      </c>
      <c r="W948" s="217" t="s">
        <v>232</v>
      </c>
    </row>
    <row r="949" spans="1:23" x14ac:dyDescent="0.25">
      <c r="A949" s="217" t="s">
        <v>22</v>
      </c>
      <c r="B949" s="217" t="s">
        <v>23</v>
      </c>
      <c r="C949" s="217" t="s">
        <v>48</v>
      </c>
      <c r="D949" s="217" t="s">
        <v>47</v>
      </c>
      <c r="E949" s="217" t="s">
        <v>527</v>
      </c>
      <c r="F949" s="217" t="s">
        <v>528</v>
      </c>
      <c r="G949" s="217" t="s">
        <v>534</v>
      </c>
      <c r="H949" s="217" t="s">
        <v>1398</v>
      </c>
      <c r="I949" s="217" t="s">
        <v>29</v>
      </c>
      <c r="J949" s="217" t="s">
        <v>1855</v>
      </c>
      <c r="K949" s="217">
        <v>13</v>
      </c>
      <c r="L949" s="217">
        <v>60</v>
      </c>
      <c r="M949" s="217" t="s">
        <v>31</v>
      </c>
      <c r="N949" s="217" t="s">
        <v>32</v>
      </c>
      <c r="O949" s="217" t="s">
        <v>68</v>
      </c>
      <c r="P949" s="217" t="s">
        <v>34</v>
      </c>
      <c r="Q949" s="217" t="s">
        <v>35</v>
      </c>
      <c r="R949" s="217" t="s">
        <v>23</v>
      </c>
      <c r="S949" s="217" t="s">
        <v>22</v>
      </c>
      <c r="T949" s="217" t="s">
        <v>47</v>
      </c>
      <c r="U949" s="217" t="s">
        <v>48</v>
      </c>
      <c r="V949" s="217" t="s">
        <v>231</v>
      </c>
      <c r="W949" s="217" t="s">
        <v>232</v>
      </c>
    </row>
    <row r="950" spans="1:23" x14ac:dyDescent="0.25">
      <c r="A950" s="217" t="s">
        <v>22</v>
      </c>
      <c r="B950" s="217" t="s">
        <v>23</v>
      </c>
      <c r="C950" s="217" t="s">
        <v>48</v>
      </c>
      <c r="D950" s="217" t="s">
        <v>47</v>
      </c>
      <c r="E950" s="217" t="s">
        <v>527</v>
      </c>
      <c r="F950" s="217" t="s">
        <v>528</v>
      </c>
      <c r="G950" s="217" t="s">
        <v>534</v>
      </c>
      <c r="H950" s="217" t="s">
        <v>1398</v>
      </c>
      <c r="I950" s="217" t="s">
        <v>29</v>
      </c>
      <c r="J950" s="217" t="s">
        <v>1856</v>
      </c>
      <c r="K950" s="217">
        <v>14</v>
      </c>
      <c r="L950" s="217">
        <v>41</v>
      </c>
      <c r="M950" s="217" t="s">
        <v>31</v>
      </c>
      <c r="N950" s="217" t="s">
        <v>32</v>
      </c>
      <c r="O950" s="217" t="s">
        <v>68</v>
      </c>
      <c r="P950" s="217" t="s">
        <v>34</v>
      </c>
      <c r="Q950" s="217" t="s">
        <v>35</v>
      </c>
      <c r="R950" s="217" t="s">
        <v>23</v>
      </c>
      <c r="S950" s="217" t="s">
        <v>22</v>
      </c>
      <c r="T950" s="217" t="s">
        <v>47</v>
      </c>
      <c r="U950" s="217" t="s">
        <v>48</v>
      </c>
      <c r="V950" s="217" t="s">
        <v>231</v>
      </c>
      <c r="W950" s="217" t="s">
        <v>232</v>
      </c>
    </row>
    <row r="951" spans="1:23" x14ac:dyDescent="0.25">
      <c r="A951" s="217" t="s">
        <v>22</v>
      </c>
      <c r="B951" s="217" t="s">
        <v>23</v>
      </c>
      <c r="C951" s="217" t="s">
        <v>48</v>
      </c>
      <c r="D951" s="217" t="s">
        <v>47</v>
      </c>
      <c r="E951" s="217" t="s">
        <v>527</v>
      </c>
      <c r="F951" s="217" t="s">
        <v>528</v>
      </c>
      <c r="G951" s="217" t="s">
        <v>534</v>
      </c>
      <c r="H951" s="217" t="s">
        <v>1398</v>
      </c>
      <c r="I951" s="217" t="s">
        <v>29</v>
      </c>
      <c r="J951" s="217" t="s">
        <v>1857</v>
      </c>
      <c r="K951" s="217">
        <v>2</v>
      </c>
      <c r="L951" s="217">
        <v>12</v>
      </c>
      <c r="M951" s="217" t="s">
        <v>31</v>
      </c>
      <c r="N951" s="217" t="s">
        <v>32</v>
      </c>
      <c r="O951" s="217" t="s">
        <v>68</v>
      </c>
      <c r="P951" s="217" t="s">
        <v>34</v>
      </c>
      <c r="Q951" s="217" t="s">
        <v>35</v>
      </c>
      <c r="R951" s="217" t="s">
        <v>23</v>
      </c>
      <c r="S951" s="217" t="s">
        <v>22</v>
      </c>
      <c r="T951" s="217" t="s">
        <v>47</v>
      </c>
      <c r="U951" s="217" t="s">
        <v>48</v>
      </c>
      <c r="V951" s="217" t="s">
        <v>231</v>
      </c>
      <c r="W951" s="217" t="s">
        <v>232</v>
      </c>
    </row>
    <row r="952" spans="1:23" x14ac:dyDescent="0.25">
      <c r="A952" s="217" t="s">
        <v>22</v>
      </c>
      <c r="B952" s="217" t="s">
        <v>23</v>
      </c>
      <c r="C952" s="217" t="s">
        <v>48</v>
      </c>
      <c r="D952" s="217" t="s">
        <v>47</v>
      </c>
      <c r="E952" s="217" t="s">
        <v>527</v>
      </c>
      <c r="F952" s="217" t="s">
        <v>528</v>
      </c>
      <c r="G952" s="217" t="s">
        <v>535</v>
      </c>
      <c r="H952" s="217" t="s">
        <v>1399</v>
      </c>
      <c r="I952" s="217" t="s">
        <v>29</v>
      </c>
      <c r="J952" s="217" t="s">
        <v>1855</v>
      </c>
      <c r="K952" s="217">
        <v>26</v>
      </c>
      <c r="L952" s="217">
        <v>97</v>
      </c>
      <c r="M952" s="217" t="s">
        <v>31</v>
      </c>
      <c r="N952" s="217" t="s">
        <v>32</v>
      </c>
      <c r="O952" s="217" t="s">
        <v>68</v>
      </c>
      <c r="P952" s="217" t="s">
        <v>34</v>
      </c>
      <c r="Q952" s="217" t="s">
        <v>35</v>
      </c>
      <c r="R952" s="217" t="s">
        <v>23</v>
      </c>
      <c r="S952" s="217" t="s">
        <v>22</v>
      </c>
      <c r="T952" s="217" t="s">
        <v>47</v>
      </c>
      <c r="U952" s="217" t="s">
        <v>48</v>
      </c>
      <c r="V952" s="217" t="s">
        <v>61</v>
      </c>
      <c r="W952" s="217" t="s">
        <v>62</v>
      </c>
    </row>
    <row r="953" spans="1:23" x14ac:dyDescent="0.25">
      <c r="A953" s="217" t="s">
        <v>22</v>
      </c>
      <c r="B953" s="217" t="s">
        <v>23</v>
      </c>
      <c r="C953" s="217" t="s">
        <v>48</v>
      </c>
      <c r="D953" s="217" t="s">
        <v>47</v>
      </c>
      <c r="E953" s="217" t="s">
        <v>527</v>
      </c>
      <c r="F953" s="217" t="s">
        <v>528</v>
      </c>
      <c r="G953" s="217" t="s">
        <v>535</v>
      </c>
      <c r="H953" s="217" t="s">
        <v>1399</v>
      </c>
      <c r="I953" s="217" t="s">
        <v>29</v>
      </c>
      <c r="J953" s="217" t="s">
        <v>1856</v>
      </c>
      <c r="K953" s="217">
        <v>9</v>
      </c>
      <c r="L953" s="217">
        <v>67</v>
      </c>
      <c r="M953" s="217" t="s">
        <v>31</v>
      </c>
      <c r="N953" s="217" t="s">
        <v>32</v>
      </c>
      <c r="O953" s="217" t="s">
        <v>68</v>
      </c>
      <c r="P953" s="217" t="s">
        <v>34</v>
      </c>
      <c r="Q953" s="217" t="s">
        <v>35</v>
      </c>
      <c r="R953" s="217" t="s">
        <v>23</v>
      </c>
      <c r="S953" s="217" t="s">
        <v>22</v>
      </c>
      <c r="T953" s="217" t="s">
        <v>47</v>
      </c>
      <c r="U953" s="217" t="s">
        <v>48</v>
      </c>
      <c r="V953" s="217" t="s">
        <v>231</v>
      </c>
      <c r="W953" s="217" t="s">
        <v>232</v>
      </c>
    </row>
    <row r="954" spans="1:23" x14ac:dyDescent="0.25">
      <c r="A954" s="217" t="s">
        <v>22</v>
      </c>
      <c r="B954" s="217" t="s">
        <v>23</v>
      </c>
      <c r="C954" s="217" t="s">
        <v>48</v>
      </c>
      <c r="D954" s="217" t="s">
        <v>47</v>
      </c>
      <c r="E954" s="217" t="s">
        <v>527</v>
      </c>
      <c r="F954" s="217" t="s">
        <v>528</v>
      </c>
      <c r="G954" s="217" t="s">
        <v>535</v>
      </c>
      <c r="H954" s="217" t="s">
        <v>1399</v>
      </c>
      <c r="I954" s="217" t="s">
        <v>29</v>
      </c>
      <c r="J954" s="217" t="s">
        <v>1857</v>
      </c>
      <c r="K954" s="217">
        <v>7</v>
      </c>
      <c r="L954" s="217">
        <v>27</v>
      </c>
      <c r="M954" s="217" t="s">
        <v>31</v>
      </c>
      <c r="N954" s="217" t="s">
        <v>32</v>
      </c>
      <c r="O954" s="217" t="s">
        <v>68</v>
      </c>
      <c r="P954" s="217" t="s">
        <v>34</v>
      </c>
      <c r="Q954" s="217" t="s">
        <v>35</v>
      </c>
      <c r="R954" s="217" t="s">
        <v>23</v>
      </c>
      <c r="S954" s="217" t="s">
        <v>22</v>
      </c>
      <c r="T954" s="217" t="s">
        <v>47</v>
      </c>
      <c r="U954" s="217" t="s">
        <v>48</v>
      </c>
      <c r="V954" s="217" t="s">
        <v>61</v>
      </c>
      <c r="W954" s="217" t="s">
        <v>62</v>
      </c>
    </row>
    <row r="955" spans="1:23" x14ac:dyDescent="0.25">
      <c r="A955" s="217" t="s">
        <v>22</v>
      </c>
      <c r="B955" s="217" t="s">
        <v>23</v>
      </c>
      <c r="C955" s="217" t="s">
        <v>48</v>
      </c>
      <c r="D955" s="217" t="s">
        <v>47</v>
      </c>
      <c r="E955" s="217" t="s">
        <v>527</v>
      </c>
      <c r="F955" s="217" t="s">
        <v>528</v>
      </c>
      <c r="G955" s="217" t="s">
        <v>536</v>
      </c>
      <c r="H955" s="217" t="s">
        <v>1400</v>
      </c>
      <c r="I955" s="217" t="s">
        <v>29</v>
      </c>
      <c r="J955" s="217" t="s">
        <v>1855</v>
      </c>
      <c r="K955" s="217">
        <v>34</v>
      </c>
      <c r="L955" s="217">
        <v>41</v>
      </c>
      <c r="M955" s="217" t="s">
        <v>31</v>
      </c>
      <c r="N955" s="217" t="s">
        <v>32</v>
      </c>
      <c r="O955" s="217" t="s">
        <v>68</v>
      </c>
      <c r="P955" s="217" t="s">
        <v>34</v>
      </c>
      <c r="Q955" s="217" t="s">
        <v>35</v>
      </c>
      <c r="R955" s="217" t="s">
        <v>23</v>
      </c>
      <c r="S955" s="217" t="s">
        <v>22</v>
      </c>
      <c r="T955" s="217" t="s">
        <v>47</v>
      </c>
      <c r="U955" s="217" t="s">
        <v>48</v>
      </c>
      <c r="V955" s="217" t="s">
        <v>231</v>
      </c>
      <c r="W955" s="217" t="s">
        <v>232</v>
      </c>
    </row>
    <row r="956" spans="1:23" x14ac:dyDescent="0.25">
      <c r="A956" s="217" t="s">
        <v>22</v>
      </c>
      <c r="B956" s="217" t="s">
        <v>23</v>
      </c>
      <c r="C956" s="217" t="s">
        <v>48</v>
      </c>
      <c r="D956" s="217" t="s">
        <v>47</v>
      </c>
      <c r="E956" s="217" t="s">
        <v>527</v>
      </c>
      <c r="F956" s="217" t="s">
        <v>528</v>
      </c>
      <c r="G956" s="217" t="s">
        <v>536</v>
      </c>
      <c r="H956" s="217" t="s">
        <v>1400</v>
      </c>
      <c r="I956" s="217" t="s">
        <v>29</v>
      </c>
      <c r="J956" s="217" t="s">
        <v>1856</v>
      </c>
      <c r="K956" s="217">
        <v>9</v>
      </c>
      <c r="L956" s="217">
        <v>14</v>
      </c>
      <c r="M956" s="217" t="s">
        <v>31</v>
      </c>
      <c r="N956" s="217" t="s">
        <v>32</v>
      </c>
      <c r="O956" s="217" t="s">
        <v>68</v>
      </c>
      <c r="P956" s="217" t="s">
        <v>34</v>
      </c>
      <c r="Q956" s="217" t="s">
        <v>35</v>
      </c>
      <c r="R956" s="217" t="s">
        <v>23</v>
      </c>
      <c r="S956" s="217" t="s">
        <v>22</v>
      </c>
      <c r="T956" s="217" t="s">
        <v>47</v>
      </c>
      <c r="U956" s="217" t="s">
        <v>48</v>
      </c>
      <c r="V956" s="217" t="s">
        <v>231</v>
      </c>
      <c r="W956" s="217" t="s">
        <v>232</v>
      </c>
    </row>
    <row r="957" spans="1:23" x14ac:dyDescent="0.25">
      <c r="A957" s="217" t="s">
        <v>22</v>
      </c>
      <c r="B957" s="217" t="s">
        <v>23</v>
      </c>
      <c r="C957" s="217" t="s">
        <v>48</v>
      </c>
      <c r="D957" s="217" t="s">
        <v>47</v>
      </c>
      <c r="E957" s="217" t="s">
        <v>527</v>
      </c>
      <c r="F957" s="217" t="s">
        <v>528</v>
      </c>
      <c r="G957" s="217" t="s">
        <v>536</v>
      </c>
      <c r="H957" s="217" t="s">
        <v>1400</v>
      </c>
      <c r="I957" s="217" t="s">
        <v>29</v>
      </c>
      <c r="J957" s="217" t="s">
        <v>1857</v>
      </c>
      <c r="K957" s="217">
        <v>6</v>
      </c>
      <c r="L957" s="217">
        <v>16</v>
      </c>
      <c r="M957" s="217" t="s">
        <v>31</v>
      </c>
      <c r="N957" s="217" t="s">
        <v>32</v>
      </c>
      <c r="O957" s="217" t="s">
        <v>68</v>
      </c>
      <c r="P957" s="217" t="s">
        <v>34</v>
      </c>
      <c r="Q957" s="217" t="s">
        <v>35</v>
      </c>
      <c r="R957" s="217" t="s">
        <v>23</v>
      </c>
      <c r="S957" s="217" t="s">
        <v>22</v>
      </c>
      <c r="T957" s="217" t="s">
        <v>47</v>
      </c>
      <c r="U957" s="217" t="s">
        <v>48</v>
      </c>
      <c r="V957" s="217" t="s">
        <v>231</v>
      </c>
      <c r="W957" s="217" t="s">
        <v>232</v>
      </c>
    </row>
    <row r="958" spans="1:23" x14ac:dyDescent="0.25">
      <c r="A958" s="217" t="s">
        <v>22</v>
      </c>
      <c r="B958" s="217" t="s">
        <v>23</v>
      </c>
      <c r="C958" s="217" t="s">
        <v>48</v>
      </c>
      <c r="D958" s="217" t="s">
        <v>47</v>
      </c>
      <c r="E958" s="217" t="s">
        <v>527</v>
      </c>
      <c r="F958" s="217" t="s">
        <v>528</v>
      </c>
      <c r="G958" s="217" t="s">
        <v>537</v>
      </c>
      <c r="H958" s="217" t="s">
        <v>1401</v>
      </c>
      <c r="I958" s="217" t="s">
        <v>29</v>
      </c>
      <c r="J958" s="217" t="s">
        <v>1855</v>
      </c>
      <c r="K958" s="217">
        <v>5</v>
      </c>
      <c r="L958" s="217">
        <v>31</v>
      </c>
      <c r="M958" s="217" t="s">
        <v>31</v>
      </c>
      <c r="N958" s="217" t="s">
        <v>32</v>
      </c>
      <c r="O958" s="217" t="s">
        <v>68</v>
      </c>
      <c r="P958" s="217" t="s">
        <v>34</v>
      </c>
      <c r="Q958" s="217" t="s">
        <v>35</v>
      </c>
      <c r="R958" s="217" t="s">
        <v>23</v>
      </c>
      <c r="S958" s="217" t="s">
        <v>22</v>
      </c>
      <c r="T958" s="217" t="s">
        <v>47</v>
      </c>
      <c r="U958" s="217" t="s">
        <v>48</v>
      </c>
      <c r="V958" s="217" t="s">
        <v>231</v>
      </c>
      <c r="W958" s="217" t="s">
        <v>232</v>
      </c>
    </row>
    <row r="959" spans="1:23" x14ac:dyDescent="0.25">
      <c r="A959" s="217" t="s">
        <v>22</v>
      </c>
      <c r="B959" s="217" t="s">
        <v>23</v>
      </c>
      <c r="C959" s="217" t="s">
        <v>48</v>
      </c>
      <c r="D959" s="217" t="s">
        <v>47</v>
      </c>
      <c r="E959" s="217" t="s">
        <v>527</v>
      </c>
      <c r="F959" s="217" t="s">
        <v>528</v>
      </c>
      <c r="G959" s="217" t="s">
        <v>537</v>
      </c>
      <c r="H959" s="217" t="s">
        <v>1401</v>
      </c>
      <c r="I959" s="217" t="s">
        <v>29</v>
      </c>
      <c r="J959" s="217" t="s">
        <v>1856</v>
      </c>
      <c r="K959" s="217">
        <v>2</v>
      </c>
      <c r="L959" s="217">
        <v>12</v>
      </c>
      <c r="M959" s="217" t="s">
        <v>31</v>
      </c>
      <c r="N959" s="217" t="s">
        <v>32</v>
      </c>
      <c r="O959" s="217" t="s">
        <v>68</v>
      </c>
      <c r="P959" s="217" t="s">
        <v>34</v>
      </c>
      <c r="Q959" s="217" t="s">
        <v>35</v>
      </c>
      <c r="R959" s="217" t="s">
        <v>23</v>
      </c>
      <c r="S959" s="217" t="s">
        <v>22</v>
      </c>
      <c r="T959" s="217" t="s">
        <v>47</v>
      </c>
      <c r="U959" s="217" t="s">
        <v>48</v>
      </c>
      <c r="V959" s="217" t="s">
        <v>61</v>
      </c>
      <c r="W959" s="217" t="s">
        <v>62</v>
      </c>
    </row>
    <row r="960" spans="1:23" x14ac:dyDescent="0.25">
      <c r="A960" s="217" t="s">
        <v>22</v>
      </c>
      <c r="B960" s="217" t="s">
        <v>23</v>
      </c>
      <c r="C960" s="217" t="s">
        <v>48</v>
      </c>
      <c r="D960" s="217" t="s">
        <v>47</v>
      </c>
      <c r="E960" s="217" t="s">
        <v>527</v>
      </c>
      <c r="F960" s="217" t="s">
        <v>528</v>
      </c>
      <c r="G960" s="217" t="s">
        <v>537</v>
      </c>
      <c r="H960" s="217" t="s">
        <v>1401</v>
      </c>
      <c r="I960" s="217" t="s">
        <v>29</v>
      </c>
      <c r="J960" s="217" t="s">
        <v>1857</v>
      </c>
      <c r="K960" s="217">
        <v>1</v>
      </c>
      <c r="L960" s="217">
        <v>8</v>
      </c>
      <c r="M960" s="217" t="s">
        <v>31</v>
      </c>
      <c r="N960" s="217" t="s">
        <v>32</v>
      </c>
      <c r="O960" s="217" t="s">
        <v>68</v>
      </c>
      <c r="P960" s="217" t="s">
        <v>34</v>
      </c>
      <c r="Q960" s="217" t="s">
        <v>35</v>
      </c>
      <c r="R960" s="217" t="s">
        <v>23</v>
      </c>
      <c r="S960" s="217" t="s">
        <v>22</v>
      </c>
      <c r="T960" s="217" t="s">
        <v>47</v>
      </c>
      <c r="U960" s="217" t="s">
        <v>48</v>
      </c>
      <c r="V960" s="217" t="s">
        <v>61</v>
      </c>
      <c r="W960" s="217" t="s">
        <v>62</v>
      </c>
    </row>
    <row r="961" spans="1:23" x14ac:dyDescent="0.25">
      <c r="A961" s="217" t="s">
        <v>22</v>
      </c>
      <c r="B961" s="217" t="s">
        <v>23</v>
      </c>
      <c r="C961" s="217" t="s">
        <v>48</v>
      </c>
      <c r="D961" s="217" t="s">
        <v>47</v>
      </c>
      <c r="E961" s="217" t="s">
        <v>527</v>
      </c>
      <c r="F961" s="217" t="s">
        <v>528</v>
      </c>
      <c r="G961" s="217" t="s">
        <v>538</v>
      </c>
      <c r="H961" s="217" t="s">
        <v>1402</v>
      </c>
      <c r="I961" s="217" t="s">
        <v>29</v>
      </c>
      <c r="J961" s="217" t="s">
        <v>1856</v>
      </c>
      <c r="K961" s="217">
        <v>10</v>
      </c>
      <c r="L961" s="217">
        <v>60</v>
      </c>
      <c r="M961" s="217" t="s">
        <v>31</v>
      </c>
      <c r="N961" s="217" t="s">
        <v>32</v>
      </c>
      <c r="O961" s="217" t="s">
        <v>68</v>
      </c>
      <c r="P961" s="217" t="s">
        <v>34</v>
      </c>
      <c r="Q961" s="217" t="s">
        <v>35</v>
      </c>
      <c r="R961" s="217" t="s">
        <v>23</v>
      </c>
      <c r="S961" s="217" t="s">
        <v>22</v>
      </c>
      <c r="T961" s="217" t="s">
        <v>47</v>
      </c>
      <c r="U961" s="217" t="s">
        <v>48</v>
      </c>
      <c r="V961" s="217" t="s">
        <v>231</v>
      </c>
      <c r="W961" s="217" t="s">
        <v>232</v>
      </c>
    </row>
    <row r="962" spans="1:23" x14ac:dyDescent="0.25">
      <c r="A962" s="217" t="s">
        <v>22</v>
      </c>
      <c r="B962" s="217" t="s">
        <v>23</v>
      </c>
      <c r="C962" s="217" t="s">
        <v>48</v>
      </c>
      <c r="D962" s="217" t="s">
        <v>47</v>
      </c>
      <c r="E962" s="217" t="s">
        <v>527</v>
      </c>
      <c r="F962" s="217" t="s">
        <v>528</v>
      </c>
      <c r="G962" s="217" t="s">
        <v>538</v>
      </c>
      <c r="H962" s="217" t="s">
        <v>1402</v>
      </c>
      <c r="I962" s="217" t="s">
        <v>29</v>
      </c>
      <c r="J962" s="217" t="s">
        <v>1857</v>
      </c>
      <c r="K962" s="217">
        <v>6</v>
      </c>
      <c r="L962" s="217">
        <v>37</v>
      </c>
      <c r="M962" s="217" t="s">
        <v>31</v>
      </c>
      <c r="N962" s="217" t="s">
        <v>32</v>
      </c>
      <c r="O962" s="217" t="s">
        <v>68</v>
      </c>
      <c r="P962" s="217" t="s">
        <v>34</v>
      </c>
      <c r="Q962" s="217" t="s">
        <v>35</v>
      </c>
      <c r="R962" s="217" t="s">
        <v>23</v>
      </c>
      <c r="S962" s="217" t="s">
        <v>22</v>
      </c>
      <c r="T962" s="217" t="s">
        <v>47</v>
      </c>
      <c r="U962" s="217" t="s">
        <v>48</v>
      </c>
      <c r="V962" s="217" t="s">
        <v>231</v>
      </c>
      <c r="W962" s="217" t="s">
        <v>232</v>
      </c>
    </row>
    <row r="963" spans="1:23" x14ac:dyDescent="0.25">
      <c r="A963" s="217" t="s">
        <v>22</v>
      </c>
      <c r="B963" s="217" t="s">
        <v>23</v>
      </c>
      <c r="C963" s="217" t="s">
        <v>48</v>
      </c>
      <c r="D963" s="217" t="s">
        <v>47</v>
      </c>
      <c r="E963" s="217" t="s">
        <v>527</v>
      </c>
      <c r="F963" s="217" t="s">
        <v>528</v>
      </c>
      <c r="G963" s="217" t="s">
        <v>538</v>
      </c>
      <c r="H963" s="217" t="s">
        <v>1402</v>
      </c>
      <c r="I963" s="217" t="s">
        <v>29</v>
      </c>
      <c r="J963" s="217" t="s">
        <v>1858</v>
      </c>
      <c r="K963" s="217">
        <v>5</v>
      </c>
      <c r="L963" s="217">
        <v>35</v>
      </c>
      <c r="M963" s="217" t="s">
        <v>31</v>
      </c>
      <c r="N963" s="217" t="s">
        <v>32</v>
      </c>
      <c r="O963" s="217" t="s">
        <v>68</v>
      </c>
      <c r="P963" s="217" t="s">
        <v>34</v>
      </c>
      <c r="Q963" s="217" t="s">
        <v>35</v>
      </c>
      <c r="R963" s="217" t="s">
        <v>23</v>
      </c>
      <c r="S963" s="217" t="s">
        <v>22</v>
      </c>
      <c r="T963" s="217" t="s">
        <v>47</v>
      </c>
      <c r="U963" s="217" t="s">
        <v>48</v>
      </c>
      <c r="V963" s="217" t="s">
        <v>231</v>
      </c>
      <c r="W963" s="217" t="s">
        <v>232</v>
      </c>
    </row>
    <row r="964" spans="1:23" x14ac:dyDescent="0.25">
      <c r="A964" s="217" t="s">
        <v>22</v>
      </c>
      <c r="B964" s="217" t="s">
        <v>23</v>
      </c>
      <c r="C964" s="217" t="s">
        <v>48</v>
      </c>
      <c r="D964" s="217" t="s">
        <v>47</v>
      </c>
      <c r="E964" s="217" t="s">
        <v>527</v>
      </c>
      <c r="F964" s="217" t="s">
        <v>528</v>
      </c>
      <c r="G964" s="217" t="s">
        <v>539</v>
      </c>
      <c r="H964" s="217" t="s">
        <v>1403</v>
      </c>
      <c r="I964" s="217" t="s">
        <v>29</v>
      </c>
      <c r="J964" s="217" t="s">
        <v>1855</v>
      </c>
      <c r="K964" s="217">
        <v>37</v>
      </c>
      <c r="L964" s="217">
        <v>165</v>
      </c>
      <c r="M964" s="217" t="s">
        <v>31</v>
      </c>
      <c r="N964" s="217" t="s">
        <v>32</v>
      </c>
      <c r="O964" s="217" t="s">
        <v>68</v>
      </c>
      <c r="P964" s="217" t="s">
        <v>34</v>
      </c>
      <c r="Q964" s="217" t="s">
        <v>35</v>
      </c>
      <c r="R964" s="217" t="s">
        <v>23</v>
      </c>
      <c r="S964" s="217" t="s">
        <v>22</v>
      </c>
      <c r="T964" s="217" t="s">
        <v>47</v>
      </c>
      <c r="U964" s="217" t="s">
        <v>48</v>
      </c>
      <c r="V964" s="217" t="s">
        <v>231</v>
      </c>
      <c r="W964" s="217" t="s">
        <v>232</v>
      </c>
    </row>
    <row r="965" spans="1:23" x14ac:dyDescent="0.25">
      <c r="A965" s="217" t="s">
        <v>22</v>
      </c>
      <c r="B965" s="217" t="s">
        <v>23</v>
      </c>
      <c r="C965" s="217" t="s">
        <v>48</v>
      </c>
      <c r="D965" s="217" t="s">
        <v>47</v>
      </c>
      <c r="E965" s="217" t="s">
        <v>527</v>
      </c>
      <c r="F965" s="217" t="s">
        <v>528</v>
      </c>
      <c r="G965" s="217" t="s">
        <v>539</v>
      </c>
      <c r="H965" s="217" t="s">
        <v>1403</v>
      </c>
      <c r="I965" s="217" t="s">
        <v>29</v>
      </c>
      <c r="J965" s="217" t="s">
        <v>1856</v>
      </c>
      <c r="K965" s="217">
        <v>13</v>
      </c>
      <c r="L965" s="217">
        <v>80</v>
      </c>
      <c r="M965" s="217" t="s">
        <v>31</v>
      </c>
      <c r="N965" s="217" t="s">
        <v>32</v>
      </c>
      <c r="O965" s="217" t="s">
        <v>68</v>
      </c>
      <c r="P965" s="217" t="s">
        <v>34</v>
      </c>
      <c r="Q965" s="217" t="s">
        <v>35</v>
      </c>
      <c r="R965" s="217" t="s">
        <v>23</v>
      </c>
      <c r="S965" s="217" t="s">
        <v>22</v>
      </c>
      <c r="T965" s="217" t="s">
        <v>47</v>
      </c>
      <c r="U965" s="217" t="s">
        <v>48</v>
      </c>
      <c r="V965" s="217" t="s">
        <v>231</v>
      </c>
      <c r="W965" s="217" t="s">
        <v>232</v>
      </c>
    </row>
    <row r="966" spans="1:23" x14ac:dyDescent="0.25">
      <c r="A966" s="217" t="s">
        <v>22</v>
      </c>
      <c r="B966" s="217" t="s">
        <v>23</v>
      </c>
      <c r="C966" s="217" t="s">
        <v>48</v>
      </c>
      <c r="D966" s="217" t="s">
        <v>47</v>
      </c>
      <c r="E966" s="217" t="s">
        <v>527</v>
      </c>
      <c r="F966" s="217" t="s">
        <v>528</v>
      </c>
      <c r="G966" s="217" t="s">
        <v>539</v>
      </c>
      <c r="H966" s="217" t="s">
        <v>1403</v>
      </c>
      <c r="I966" s="217" t="s">
        <v>29</v>
      </c>
      <c r="J966" s="217" t="s">
        <v>1857</v>
      </c>
      <c r="K966" s="217">
        <v>2</v>
      </c>
      <c r="L966" s="217">
        <v>15</v>
      </c>
      <c r="M966" s="217" t="s">
        <v>31</v>
      </c>
      <c r="N966" s="217" t="s">
        <v>32</v>
      </c>
      <c r="O966" s="217" t="s">
        <v>68</v>
      </c>
      <c r="P966" s="217" t="s">
        <v>34</v>
      </c>
      <c r="Q966" s="217" t="s">
        <v>35</v>
      </c>
      <c r="R966" s="217" t="s">
        <v>23</v>
      </c>
      <c r="S966" s="217" t="s">
        <v>22</v>
      </c>
      <c r="T966" s="217" t="s">
        <v>47</v>
      </c>
      <c r="U966" s="217" t="s">
        <v>48</v>
      </c>
      <c r="V966" s="217" t="s">
        <v>231</v>
      </c>
      <c r="W966" s="217" t="s">
        <v>232</v>
      </c>
    </row>
    <row r="967" spans="1:23" x14ac:dyDescent="0.25">
      <c r="A967" s="217" t="s">
        <v>22</v>
      </c>
      <c r="B967" s="217" t="s">
        <v>23</v>
      </c>
      <c r="C967" s="217" t="s">
        <v>37</v>
      </c>
      <c r="D967" s="217" t="s">
        <v>36</v>
      </c>
      <c r="E967" s="217" t="s">
        <v>236</v>
      </c>
      <c r="F967" s="217" t="s">
        <v>235</v>
      </c>
      <c r="G967" s="217" t="s">
        <v>237</v>
      </c>
      <c r="H967" s="217" t="s">
        <v>1588</v>
      </c>
      <c r="I967" s="217" t="s">
        <v>29</v>
      </c>
      <c r="J967" s="217" t="s">
        <v>1858</v>
      </c>
      <c r="K967" s="217">
        <v>10</v>
      </c>
      <c r="L967" s="217">
        <v>78</v>
      </c>
      <c r="M967" s="217" t="s">
        <v>31</v>
      </c>
      <c r="N967" s="217" t="s">
        <v>32</v>
      </c>
      <c r="O967" s="217" t="s">
        <v>68</v>
      </c>
      <c r="P967" s="217" t="s">
        <v>34</v>
      </c>
      <c r="Q967" s="217" t="s">
        <v>35</v>
      </c>
      <c r="R967" s="217" t="s">
        <v>23</v>
      </c>
      <c r="S967" s="217" t="s">
        <v>22</v>
      </c>
      <c r="T967" s="217" t="s">
        <v>36</v>
      </c>
      <c r="U967" s="217" t="s">
        <v>37</v>
      </c>
      <c r="V967" s="217" t="s">
        <v>246</v>
      </c>
      <c r="W967" s="217" t="s">
        <v>247</v>
      </c>
    </row>
    <row r="968" spans="1:23" x14ac:dyDescent="0.25">
      <c r="A968" s="217" t="s">
        <v>22</v>
      </c>
      <c r="B968" s="217" t="s">
        <v>23</v>
      </c>
      <c r="C968" s="217" t="s">
        <v>37</v>
      </c>
      <c r="D968" s="217" t="s">
        <v>36</v>
      </c>
      <c r="E968" s="217" t="s">
        <v>236</v>
      </c>
      <c r="F968" s="217" t="s">
        <v>235</v>
      </c>
      <c r="G968" s="217" t="s">
        <v>242</v>
      </c>
      <c r="H968" s="217" t="s">
        <v>1404</v>
      </c>
      <c r="I968" s="217" t="s">
        <v>29</v>
      </c>
      <c r="J968" s="217" t="s">
        <v>1855</v>
      </c>
      <c r="K968" s="217">
        <v>16</v>
      </c>
      <c r="L968" s="217">
        <v>82</v>
      </c>
      <c r="M968" s="217" t="s">
        <v>31</v>
      </c>
      <c r="N968" s="217" t="s">
        <v>32</v>
      </c>
      <c r="O968" s="217" t="s">
        <v>68</v>
      </c>
      <c r="P968" s="217" t="s">
        <v>34</v>
      </c>
      <c r="Q968" s="217" t="s">
        <v>35</v>
      </c>
      <c r="R968" s="217" t="s">
        <v>23</v>
      </c>
      <c r="S968" s="217" t="s">
        <v>22</v>
      </c>
      <c r="T968" s="217" t="s">
        <v>36</v>
      </c>
      <c r="U968" s="217" t="s">
        <v>37</v>
      </c>
      <c r="V968" s="217" t="s">
        <v>249</v>
      </c>
      <c r="W968" s="217" t="s">
        <v>250</v>
      </c>
    </row>
    <row r="969" spans="1:23" x14ac:dyDescent="0.25">
      <c r="A969" s="217" t="s">
        <v>22</v>
      </c>
      <c r="B969" s="217" t="s">
        <v>23</v>
      </c>
      <c r="C969" s="217" t="s">
        <v>37</v>
      </c>
      <c r="D969" s="217" t="s">
        <v>36</v>
      </c>
      <c r="E969" s="217" t="s">
        <v>236</v>
      </c>
      <c r="F969" s="217" t="s">
        <v>235</v>
      </c>
      <c r="G969" s="217" t="s">
        <v>242</v>
      </c>
      <c r="H969" s="217" t="s">
        <v>1404</v>
      </c>
      <c r="I969" s="217" t="s">
        <v>29</v>
      </c>
      <c r="J969" s="217" t="s">
        <v>1857</v>
      </c>
      <c r="K969" s="217">
        <v>4</v>
      </c>
      <c r="L969" s="217">
        <v>33</v>
      </c>
      <c r="M969" s="217" t="s">
        <v>31</v>
      </c>
      <c r="N969" s="217" t="s">
        <v>32</v>
      </c>
      <c r="O969" s="217" t="s">
        <v>68</v>
      </c>
      <c r="P969" s="217" t="s">
        <v>34</v>
      </c>
      <c r="Q969" s="217" t="s">
        <v>35</v>
      </c>
      <c r="R969" s="217" t="s">
        <v>23</v>
      </c>
      <c r="S969" s="217" t="s">
        <v>22</v>
      </c>
      <c r="T969" s="217" t="s">
        <v>36</v>
      </c>
      <c r="U969" s="217" t="s">
        <v>37</v>
      </c>
      <c r="V969" s="217" t="s">
        <v>249</v>
      </c>
      <c r="W969" s="217" t="s">
        <v>250</v>
      </c>
    </row>
    <row r="970" spans="1:23" x14ac:dyDescent="0.25">
      <c r="A970" s="217" t="s">
        <v>22</v>
      </c>
      <c r="B970" s="217" t="s">
        <v>23</v>
      </c>
      <c r="C970" s="217" t="s">
        <v>37</v>
      </c>
      <c r="D970" s="217" t="s">
        <v>36</v>
      </c>
      <c r="E970" s="217" t="s">
        <v>236</v>
      </c>
      <c r="F970" s="217" t="s">
        <v>235</v>
      </c>
      <c r="G970" s="217" t="s">
        <v>242</v>
      </c>
      <c r="H970" s="217" t="s">
        <v>1404</v>
      </c>
      <c r="I970" s="217" t="s">
        <v>29</v>
      </c>
      <c r="J970" s="217" t="s">
        <v>1858</v>
      </c>
      <c r="K970" s="217">
        <v>3</v>
      </c>
      <c r="L970" s="217">
        <v>8</v>
      </c>
      <c r="M970" s="217" t="s">
        <v>31</v>
      </c>
      <c r="N970" s="217" t="s">
        <v>32</v>
      </c>
      <c r="O970" s="217" t="s">
        <v>68</v>
      </c>
      <c r="P970" s="217" t="s">
        <v>34</v>
      </c>
      <c r="Q970" s="217" t="s">
        <v>35</v>
      </c>
      <c r="R970" s="217" t="s">
        <v>23</v>
      </c>
      <c r="S970" s="217" t="s">
        <v>22</v>
      </c>
      <c r="T970" s="217" t="s">
        <v>36</v>
      </c>
      <c r="U970" s="217" t="s">
        <v>37</v>
      </c>
      <c r="V970" s="217" t="s">
        <v>249</v>
      </c>
      <c r="W970" s="217" t="s">
        <v>250</v>
      </c>
    </row>
    <row r="971" spans="1:23" x14ac:dyDescent="0.25">
      <c r="A971" s="217" t="s">
        <v>22</v>
      </c>
      <c r="B971" s="217" t="s">
        <v>23</v>
      </c>
      <c r="C971" s="217" t="s">
        <v>37</v>
      </c>
      <c r="D971" s="217" t="s">
        <v>36</v>
      </c>
      <c r="E971" s="217" t="s">
        <v>540</v>
      </c>
      <c r="F971" s="217" t="s">
        <v>541</v>
      </c>
      <c r="G971" s="217" t="s">
        <v>542</v>
      </c>
      <c r="H971" s="217" t="s">
        <v>1405</v>
      </c>
      <c r="I971" s="217" t="s">
        <v>29</v>
      </c>
      <c r="J971" s="217" t="s">
        <v>1855</v>
      </c>
      <c r="K971" s="217">
        <v>4</v>
      </c>
      <c r="L971" s="217">
        <v>18</v>
      </c>
      <c r="M971" s="217" t="s">
        <v>31</v>
      </c>
      <c r="N971" s="217" t="s">
        <v>32</v>
      </c>
      <c r="O971" s="217" t="s">
        <v>68</v>
      </c>
      <c r="P971" s="217" t="s">
        <v>34</v>
      </c>
      <c r="Q971" s="217" t="s">
        <v>35</v>
      </c>
      <c r="R971" s="217" t="s">
        <v>23</v>
      </c>
      <c r="S971" s="217" t="s">
        <v>22</v>
      </c>
      <c r="T971" s="217" t="s">
        <v>36</v>
      </c>
      <c r="U971" s="217" t="s">
        <v>37</v>
      </c>
      <c r="V971" s="217" t="s">
        <v>548</v>
      </c>
      <c r="W971" s="217" t="s">
        <v>547</v>
      </c>
    </row>
    <row r="972" spans="1:23" x14ac:dyDescent="0.25">
      <c r="A972" s="217" t="s">
        <v>22</v>
      </c>
      <c r="B972" s="217" t="s">
        <v>23</v>
      </c>
      <c r="C972" s="217" t="s">
        <v>37</v>
      </c>
      <c r="D972" s="217" t="s">
        <v>36</v>
      </c>
      <c r="E972" s="217" t="s">
        <v>540</v>
      </c>
      <c r="F972" s="217" t="s">
        <v>541</v>
      </c>
      <c r="G972" s="217" t="s">
        <v>542</v>
      </c>
      <c r="H972" s="217" t="s">
        <v>1405</v>
      </c>
      <c r="I972" s="217" t="s">
        <v>29</v>
      </c>
      <c r="J972" s="217" t="s">
        <v>1856</v>
      </c>
      <c r="K972" s="217">
        <v>1</v>
      </c>
      <c r="L972" s="217">
        <v>15</v>
      </c>
      <c r="M972" s="217" t="s">
        <v>31</v>
      </c>
      <c r="N972" s="217" t="s">
        <v>32</v>
      </c>
      <c r="O972" s="217" t="s">
        <v>68</v>
      </c>
      <c r="P972" s="217" t="s">
        <v>34</v>
      </c>
      <c r="Q972" s="217" t="s">
        <v>35</v>
      </c>
      <c r="R972" s="217" t="s">
        <v>23</v>
      </c>
      <c r="S972" s="217" t="s">
        <v>22</v>
      </c>
      <c r="T972" s="217" t="s">
        <v>36</v>
      </c>
      <c r="U972" s="217" t="s">
        <v>37</v>
      </c>
      <c r="V972" s="217" t="s">
        <v>249</v>
      </c>
      <c r="W972" s="217" t="s">
        <v>250</v>
      </c>
    </row>
    <row r="973" spans="1:23" x14ac:dyDescent="0.25">
      <c r="A973" s="217" t="s">
        <v>22</v>
      </c>
      <c r="B973" s="217" t="s">
        <v>23</v>
      </c>
      <c r="C973" s="217" t="s">
        <v>37</v>
      </c>
      <c r="D973" s="217" t="s">
        <v>36</v>
      </c>
      <c r="E973" s="217" t="s">
        <v>540</v>
      </c>
      <c r="F973" s="217" t="s">
        <v>541</v>
      </c>
      <c r="G973" s="217" t="s">
        <v>542</v>
      </c>
      <c r="H973" s="217" t="s">
        <v>1405</v>
      </c>
      <c r="I973" s="217" t="s">
        <v>29</v>
      </c>
      <c r="J973" s="217" t="s">
        <v>1857</v>
      </c>
      <c r="K973" s="217">
        <v>2</v>
      </c>
      <c r="L973" s="217">
        <v>22</v>
      </c>
      <c r="M973" s="217" t="s">
        <v>31</v>
      </c>
      <c r="N973" s="217" t="s">
        <v>32</v>
      </c>
      <c r="O973" s="217" t="s">
        <v>33</v>
      </c>
      <c r="P973" s="217" t="s">
        <v>34</v>
      </c>
      <c r="Q973" s="217" t="s">
        <v>35</v>
      </c>
      <c r="R973" s="217" t="s">
        <v>23</v>
      </c>
      <c r="S973" s="217" t="s">
        <v>22</v>
      </c>
      <c r="T973" s="217" t="s">
        <v>47</v>
      </c>
      <c r="U973" s="217" t="s">
        <v>48</v>
      </c>
      <c r="V973" s="217" t="s">
        <v>231</v>
      </c>
      <c r="W973" s="217" t="s">
        <v>232</v>
      </c>
    </row>
    <row r="974" spans="1:23" x14ac:dyDescent="0.25">
      <c r="A974" s="217" t="s">
        <v>22</v>
      </c>
      <c r="B974" s="217" t="s">
        <v>23</v>
      </c>
      <c r="C974" s="217" t="s">
        <v>37</v>
      </c>
      <c r="D974" s="217" t="s">
        <v>36</v>
      </c>
      <c r="E974" s="217" t="s">
        <v>540</v>
      </c>
      <c r="F974" s="217" t="s">
        <v>541</v>
      </c>
      <c r="G974" s="217" t="s">
        <v>543</v>
      </c>
      <c r="H974" s="217" t="s">
        <v>1406</v>
      </c>
      <c r="I974" s="217" t="s">
        <v>29</v>
      </c>
      <c r="J974" s="217" t="s">
        <v>1855</v>
      </c>
      <c r="K974" s="217">
        <v>8</v>
      </c>
      <c r="L974" s="217">
        <v>54</v>
      </c>
      <c r="M974" s="217" t="s">
        <v>31</v>
      </c>
      <c r="N974" s="217" t="s">
        <v>32</v>
      </c>
      <c r="O974" s="217" t="s">
        <v>68</v>
      </c>
      <c r="P974" s="217" t="s">
        <v>34</v>
      </c>
      <c r="Q974" s="217" t="s">
        <v>35</v>
      </c>
      <c r="R974" s="217" t="s">
        <v>23</v>
      </c>
      <c r="S974" s="217" t="s">
        <v>22</v>
      </c>
      <c r="T974" s="217" t="s">
        <v>36</v>
      </c>
      <c r="U974" s="217" t="s">
        <v>37</v>
      </c>
      <c r="V974" s="217" t="s">
        <v>609</v>
      </c>
      <c r="W974" s="217" t="s">
        <v>608</v>
      </c>
    </row>
    <row r="975" spans="1:23" x14ac:dyDescent="0.25">
      <c r="A975" s="217" t="s">
        <v>22</v>
      </c>
      <c r="B975" s="217" t="s">
        <v>23</v>
      </c>
      <c r="C975" s="217" t="s">
        <v>37</v>
      </c>
      <c r="D975" s="217" t="s">
        <v>36</v>
      </c>
      <c r="E975" s="217" t="s">
        <v>540</v>
      </c>
      <c r="F975" s="217" t="s">
        <v>541</v>
      </c>
      <c r="G975" s="217" t="s">
        <v>543</v>
      </c>
      <c r="H975" s="217" t="s">
        <v>1406</v>
      </c>
      <c r="I975" s="217" t="s">
        <v>29</v>
      </c>
      <c r="J975" s="217" t="s">
        <v>1856</v>
      </c>
      <c r="K975" s="217">
        <v>6</v>
      </c>
      <c r="L975" s="217">
        <v>40</v>
      </c>
      <c r="M975" s="217" t="s">
        <v>31</v>
      </c>
      <c r="N975" s="217" t="s">
        <v>32</v>
      </c>
      <c r="O975" s="217" t="s">
        <v>68</v>
      </c>
      <c r="P975" s="217" t="s">
        <v>34</v>
      </c>
      <c r="Q975" s="217" t="s">
        <v>35</v>
      </c>
      <c r="R975" s="217" t="s">
        <v>23</v>
      </c>
      <c r="S975" s="217" t="s">
        <v>22</v>
      </c>
      <c r="T975" s="217" t="s">
        <v>36</v>
      </c>
      <c r="U975" s="217" t="s">
        <v>37</v>
      </c>
      <c r="V975" s="217" t="s">
        <v>609</v>
      </c>
      <c r="W975" s="217" t="s">
        <v>608</v>
      </c>
    </row>
    <row r="976" spans="1:23" x14ac:dyDescent="0.25">
      <c r="A976" s="217" t="s">
        <v>22</v>
      </c>
      <c r="B976" s="217" t="s">
        <v>23</v>
      </c>
      <c r="C976" s="217" t="s">
        <v>37</v>
      </c>
      <c r="D976" s="217" t="s">
        <v>36</v>
      </c>
      <c r="E976" s="217" t="s">
        <v>540</v>
      </c>
      <c r="F976" s="217" t="s">
        <v>541</v>
      </c>
      <c r="G976" s="217" t="s">
        <v>543</v>
      </c>
      <c r="H976" s="217" t="s">
        <v>1406</v>
      </c>
      <c r="I976" s="217" t="s">
        <v>29</v>
      </c>
      <c r="J976" s="217" t="s">
        <v>1857</v>
      </c>
      <c r="K976" s="217">
        <v>5</v>
      </c>
      <c r="L976" s="217">
        <v>35</v>
      </c>
      <c r="M976" s="217" t="s">
        <v>31</v>
      </c>
      <c r="N976" s="217" t="s">
        <v>32</v>
      </c>
      <c r="O976" s="217" t="s">
        <v>68</v>
      </c>
      <c r="P976" s="217" t="s">
        <v>34</v>
      </c>
      <c r="Q976" s="217" t="s">
        <v>35</v>
      </c>
      <c r="R976" s="217" t="s">
        <v>23</v>
      </c>
      <c r="S976" s="217" t="s">
        <v>22</v>
      </c>
      <c r="T976" s="217" t="s">
        <v>36</v>
      </c>
      <c r="U976" s="217" t="s">
        <v>37</v>
      </c>
      <c r="V976" s="217" t="s">
        <v>249</v>
      </c>
      <c r="W976" s="217" t="s">
        <v>250</v>
      </c>
    </row>
    <row r="977" spans="1:23" x14ac:dyDescent="0.25">
      <c r="A977" s="217" t="s">
        <v>22</v>
      </c>
      <c r="B977" s="217" t="s">
        <v>23</v>
      </c>
      <c r="C977" s="217" t="s">
        <v>37</v>
      </c>
      <c r="D977" s="217" t="s">
        <v>36</v>
      </c>
      <c r="E977" s="217" t="s">
        <v>540</v>
      </c>
      <c r="F977" s="217" t="s">
        <v>541</v>
      </c>
      <c r="G977" s="217" t="s">
        <v>544</v>
      </c>
      <c r="H977" s="217" t="s">
        <v>1407</v>
      </c>
      <c r="I977" s="217" t="s">
        <v>29</v>
      </c>
      <c r="J977" s="217" t="s">
        <v>1855</v>
      </c>
      <c r="K977" s="217">
        <v>8</v>
      </c>
      <c r="L977" s="217">
        <v>55</v>
      </c>
      <c r="M977" s="217" t="s">
        <v>31</v>
      </c>
      <c r="N977" s="217" t="s">
        <v>32</v>
      </c>
      <c r="O977" s="217" t="s">
        <v>68</v>
      </c>
      <c r="P977" s="217" t="s">
        <v>34</v>
      </c>
      <c r="Q977" s="217" t="s">
        <v>35</v>
      </c>
      <c r="R977" s="217" t="s">
        <v>23</v>
      </c>
      <c r="S977" s="217" t="s">
        <v>22</v>
      </c>
      <c r="T977" s="217" t="s">
        <v>36</v>
      </c>
      <c r="U977" s="217" t="s">
        <v>37</v>
      </c>
      <c r="V977" s="217" t="s">
        <v>243</v>
      </c>
      <c r="W977" s="217" t="s">
        <v>244</v>
      </c>
    </row>
    <row r="978" spans="1:23" x14ac:dyDescent="0.25">
      <c r="A978" s="217" t="s">
        <v>22</v>
      </c>
      <c r="B978" s="217" t="s">
        <v>23</v>
      </c>
      <c r="C978" s="217" t="s">
        <v>37</v>
      </c>
      <c r="D978" s="217" t="s">
        <v>36</v>
      </c>
      <c r="E978" s="217" t="s">
        <v>540</v>
      </c>
      <c r="F978" s="217" t="s">
        <v>541</v>
      </c>
      <c r="G978" s="217" t="s">
        <v>545</v>
      </c>
      <c r="H978" s="217" t="s">
        <v>1408</v>
      </c>
      <c r="I978" s="217" t="s">
        <v>29</v>
      </c>
      <c r="J978" s="217" t="s">
        <v>1855</v>
      </c>
      <c r="K978" s="217">
        <v>16</v>
      </c>
      <c r="L978" s="217">
        <v>85</v>
      </c>
      <c r="M978" s="217" t="s">
        <v>31</v>
      </c>
      <c r="N978" s="217" t="s">
        <v>32</v>
      </c>
      <c r="O978" s="217" t="s">
        <v>68</v>
      </c>
      <c r="P978" s="217" t="s">
        <v>34</v>
      </c>
      <c r="Q978" s="217" t="s">
        <v>35</v>
      </c>
      <c r="R978" s="217" t="s">
        <v>23</v>
      </c>
      <c r="S978" s="217" t="s">
        <v>22</v>
      </c>
      <c r="T978" s="217" t="s">
        <v>36</v>
      </c>
      <c r="U978" s="217" t="s">
        <v>37</v>
      </c>
      <c r="V978" s="217" t="s">
        <v>235</v>
      </c>
      <c r="W978" s="217" t="s">
        <v>236</v>
      </c>
    </row>
    <row r="979" spans="1:23" x14ac:dyDescent="0.25">
      <c r="A979" s="217" t="s">
        <v>22</v>
      </c>
      <c r="B979" s="217" t="s">
        <v>23</v>
      </c>
      <c r="C979" s="217" t="s">
        <v>37</v>
      </c>
      <c r="D979" s="217" t="s">
        <v>36</v>
      </c>
      <c r="E979" s="217" t="s">
        <v>540</v>
      </c>
      <c r="F979" s="217" t="s">
        <v>541</v>
      </c>
      <c r="G979" s="217" t="s">
        <v>545</v>
      </c>
      <c r="H979" s="217" t="s">
        <v>1408</v>
      </c>
      <c r="I979" s="217" t="s">
        <v>29</v>
      </c>
      <c r="J979" s="217" t="s">
        <v>1857</v>
      </c>
      <c r="K979" s="217">
        <v>10</v>
      </c>
      <c r="L979" s="217">
        <v>63</v>
      </c>
      <c r="M979" s="217" t="s">
        <v>31</v>
      </c>
      <c r="N979" s="217" t="s">
        <v>32</v>
      </c>
      <c r="O979" s="217" t="s">
        <v>68</v>
      </c>
      <c r="P979" s="217" t="s">
        <v>34</v>
      </c>
      <c r="Q979" s="217" t="s">
        <v>35</v>
      </c>
      <c r="R979" s="217" t="s">
        <v>23</v>
      </c>
      <c r="S979" s="217" t="s">
        <v>22</v>
      </c>
      <c r="T979" s="217" t="s">
        <v>36</v>
      </c>
      <c r="U979" s="217" t="s">
        <v>37</v>
      </c>
      <c r="V979" s="217" t="s">
        <v>609</v>
      </c>
      <c r="W979" s="217" t="s">
        <v>608</v>
      </c>
    </row>
    <row r="980" spans="1:23" x14ac:dyDescent="0.25">
      <c r="A980" s="217" t="s">
        <v>22</v>
      </c>
      <c r="B980" s="217" t="s">
        <v>23</v>
      </c>
      <c r="C980" s="217" t="s">
        <v>37</v>
      </c>
      <c r="D980" s="217" t="s">
        <v>36</v>
      </c>
      <c r="E980" s="217" t="s">
        <v>540</v>
      </c>
      <c r="F980" s="217" t="s">
        <v>541</v>
      </c>
      <c r="G980" s="217" t="s">
        <v>285</v>
      </c>
      <c r="H980" s="217" t="s">
        <v>1409</v>
      </c>
      <c r="I980" s="217" t="s">
        <v>29</v>
      </c>
      <c r="J980" s="217" t="s">
        <v>1855</v>
      </c>
      <c r="K980" s="217">
        <v>3</v>
      </c>
      <c r="L980" s="217">
        <v>15</v>
      </c>
      <c r="M980" s="217" t="s">
        <v>31</v>
      </c>
      <c r="N980" s="217" t="s">
        <v>32</v>
      </c>
      <c r="O980" s="217" t="s">
        <v>68</v>
      </c>
      <c r="P980" s="217" t="s">
        <v>34</v>
      </c>
      <c r="Q980" s="217" t="s">
        <v>35</v>
      </c>
      <c r="R980" s="217" t="s">
        <v>23</v>
      </c>
      <c r="S980" s="217" t="s">
        <v>22</v>
      </c>
      <c r="T980" s="217" t="s">
        <v>36</v>
      </c>
      <c r="U980" s="217" t="s">
        <v>37</v>
      </c>
      <c r="V980" s="217" t="s">
        <v>548</v>
      </c>
      <c r="W980" s="217" t="s">
        <v>547</v>
      </c>
    </row>
    <row r="981" spans="1:23" x14ac:dyDescent="0.25">
      <c r="A981" s="217" t="s">
        <v>22</v>
      </c>
      <c r="B981" s="217" t="s">
        <v>23</v>
      </c>
      <c r="C981" s="217" t="s">
        <v>37</v>
      </c>
      <c r="D981" s="217" t="s">
        <v>36</v>
      </c>
      <c r="E981" s="217" t="s">
        <v>540</v>
      </c>
      <c r="F981" s="217" t="s">
        <v>541</v>
      </c>
      <c r="G981" s="217" t="s">
        <v>285</v>
      </c>
      <c r="H981" s="217" t="s">
        <v>1409</v>
      </c>
      <c r="I981" s="217" t="s">
        <v>29</v>
      </c>
      <c r="J981" s="217" t="s">
        <v>1858</v>
      </c>
      <c r="K981" s="217">
        <v>1</v>
      </c>
      <c r="L981" s="217">
        <v>2</v>
      </c>
      <c r="M981" s="217" t="s">
        <v>31</v>
      </c>
      <c r="N981" s="217" t="s">
        <v>32</v>
      </c>
      <c r="O981" s="217" t="s">
        <v>68</v>
      </c>
      <c r="P981" s="217" t="s">
        <v>34</v>
      </c>
      <c r="Q981" s="217" t="s">
        <v>35</v>
      </c>
      <c r="R981" s="217" t="s">
        <v>23</v>
      </c>
      <c r="S981" s="217" t="s">
        <v>22</v>
      </c>
      <c r="T981" s="217" t="s">
        <v>36</v>
      </c>
      <c r="U981" s="217" t="s">
        <v>37</v>
      </c>
      <c r="V981" s="217" t="s">
        <v>243</v>
      </c>
      <c r="W981" s="217" t="s">
        <v>244</v>
      </c>
    </row>
    <row r="982" spans="1:23" x14ac:dyDescent="0.25">
      <c r="A982" s="217" t="s">
        <v>22</v>
      </c>
      <c r="B982" s="217" t="s">
        <v>23</v>
      </c>
      <c r="C982" s="217" t="s">
        <v>37</v>
      </c>
      <c r="D982" s="217" t="s">
        <v>36</v>
      </c>
      <c r="E982" s="217" t="s">
        <v>547</v>
      </c>
      <c r="F982" s="217" t="s">
        <v>548</v>
      </c>
      <c r="G982" s="217" t="s">
        <v>549</v>
      </c>
      <c r="H982" s="217" t="s">
        <v>1411</v>
      </c>
      <c r="I982" s="217" t="s">
        <v>29</v>
      </c>
      <c r="J982" s="217" t="s">
        <v>1855</v>
      </c>
      <c r="K982" s="217">
        <v>9</v>
      </c>
      <c r="L982" s="217">
        <v>49</v>
      </c>
      <c r="M982" s="217" t="s">
        <v>31</v>
      </c>
      <c r="N982" s="217" t="s">
        <v>32</v>
      </c>
      <c r="O982" s="217" t="s">
        <v>68</v>
      </c>
      <c r="P982" s="217" t="s">
        <v>34</v>
      </c>
      <c r="Q982" s="217" t="s">
        <v>35</v>
      </c>
      <c r="R982" s="217" t="s">
        <v>23</v>
      </c>
      <c r="S982" s="217" t="s">
        <v>22</v>
      </c>
      <c r="T982" s="217" t="s">
        <v>36</v>
      </c>
      <c r="U982" s="217" t="s">
        <v>37</v>
      </c>
      <c r="V982" s="217" t="s">
        <v>249</v>
      </c>
      <c r="W982" s="217" t="s">
        <v>250</v>
      </c>
    </row>
    <row r="983" spans="1:23" x14ac:dyDescent="0.25">
      <c r="A983" s="217" t="s">
        <v>22</v>
      </c>
      <c r="B983" s="217" t="s">
        <v>23</v>
      </c>
      <c r="C983" s="217" t="s">
        <v>37</v>
      </c>
      <c r="D983" s="217" t="s">
        <v>36</v>
      </c>
      <c r="E983" s="217" t="s">
        <v>547</v>
      </c>
      <c r="F983" s="217" t="s">
        <v>548</v>
      </c>
      <c r="G983" s="217" t="s">
        <v>549</v>
      </c>
      <c r="H983" s="217" t="s">
        <v>1411</v>
      </c>
      <c r="I983" s="217" t="s">
        <v>29</v>
      </c>
      <c r="J983" s="217" t="s">
        <v>1856</v>
      </c>
      <c r="K983" s="217">
        <v>6</v>
      </c>
      <c r="L983" s="217">
        <v>31</v>
      </c>
      <c r="M983" s="217" t="s">
        <v>31</v>
      </c>
      <c r="N983" s="217" t="s">
        <v>32</v>
      </c>
      <c r="O983" s="217" t="s">
        <v>68</v>
      </c>
      <c r="P983" s="217" t="s">
        <v>34</v>
      </c>
      <c r="Q983" s="217" t="s">
        <v>35</v>
      </c>
      <c r="R983" s="217" t="s">
        <v>23</v>
      </c>
      <c r="S983" s="217" t="s">
        <v>22</v>
      </c>
      <c r="T983" s="217" t="s">
        <v>36</v>
      </c>
      <c r="U983" s="217" t="s">
        <v>37</v>
      </c>
      <c r="V983" s="217" t="s">
        <v>249</v>
      </c>
      <c r="W983" s="217" t="s">
        <v>250</v>
      </c>
    </row>
    <row r="984" spans="1:23" x14ac:dyDescent="0.25">
      <c r="A984" s="217" t="s">
        <v>22</v>
      </c>
      <c r="B984" s="217" t="s">
        <v>23</v>
      </c>
      <c r="C984" s="217" t="s">
        <v>37</v>
      </c>
      <c r="D984" s="217" t="s">
        <v>36</v>
      </c>
      <c r="E984" s="217" t="s">
        <v>547</v>
      </c>
      <c r="F984" s="217" t="s">
        <v>548</v>
      </c>
      <c r="G984" s="217" t="s">
        <v>549</v>
      </c>
      <c r="H984" s="217" t="s">
        <v>1411</v>
      </c>
      <c r="I984" s="217" t="s">
        <v>29</v>
      </c>
      <c r="J984" s="217" t="s">
        <v>1857</v>
      </c>
      <c r="K984" s="217">
        <v>14</v>
      </c>
      <c r="L984" s="217">
        <v>78</v>
      </c>
      <c r="M984" s="217" t="s">
        <v>31</v>
      </c>
      <c r="N984" s="217" t="s">
        <v>32</v>
      </c>
      <c r="O984" s="217" t="s">
        <v>68</v>
      </c>
      <c r="P984" s="217" t="s">
        <v>34</v>
      </c>
      <c r="Q984" s="217" t="s">
        <v>35</v>
      </c>
      <c r="R984" s="217" t="s">
        <v>23</v>
      </c>
      <c r="S984" s="217" t="s">
        <v>22</v>
      </c>
      <c r="T984" s="217" t="s">
        <v>36</v>
      </c>
      <c r="U984" s="217" t="s">
        <v>37</v>
      </c>
      <c r="V984" s="217" t="s">
        <v>249</v>
      </c>
      <c r="W984" s="217" t="s">
        <v>250</v>
      </c>
    </row>
    <row r="985" spans="1:23" x14ac:dyDescent="0.25">
      <c r="A985" s="217" t="s">
        <v>22</v>
      </c>
      <c r="B985" s="217" t="s">
        <v>23</v>
      </c>
      <c r="C985" s="217" t="s">
        <v>37</v>
      </c>
      <c r="D985" s="217" t="s">
        <v>36</v>
      </c>
      <c r="E985" s="217" t="s">
        <v>547</v>
      </c>
      <c r="F985" s="217" t="s">
        <v>548</v>
      </c>
      <c r="G985" s="217" t="s">
        <v>549</v>
      </c>
      <c r="H985" s="217" t="s">
        <v>1411</v>
      </c>
      <c r="I985" s="217" t="s">
        <v>29</v>
      </c>
      <c r="J985" s="217" t="s">
        <v>1858</v>
      </c>
      <c r="K985" s="217">
        <v>8</v>
      </c>
      <c r="L985" s="217">
        <v>34</v>
      </c>
      <c r="M985" s="217" t="s">
        <v>31</v>
      </c>
      <c r="N985" s="217" t="s">
        <v>32</v>
      </c>
      <c r="O985" s="217" t="s">
        <v>68</v>
      </c>
      <c r="P985" s="217" t="s">
        <v>34</v>
      </c>
      <c r="Q985" s="217" t="s">
        <v>35</v>
      </c>
      <c r="R985" s="217" t="s">
        <v>23</v>
      </c>
      <c r="S985" s="217" t="s">
        <v>22</v>
      </c>
      <c r="T985" s="217" t="s">
        <v>36</v>
      </c>
      <c r="U985" s="217" t="s">
        <v>37</v>
      </c>
      <c r="V985" s="217" t="s">
        <v>249</v>
      </c>
      <c r="W985" s="217" t="s">
        <v>250</v>
      </c>
    </row>
    <row r="986" spans="1:23" x14ac:dyDescent="0.25">
      <c r="A986" s="217" t="s">
        <v>22</v>
      </c>
      <c r="B986" s="217" t="s">
        <v>23</v>
      </c>
      <c r="C986" s="217" t="s">
        <v>37</v>
      </c>
      <c r="D986" s="217" t="s">
        <v>36</v>
      </c>
      <c r="E986" s="217" t="s">
        <v>547</v>
      </c>
      <c r="F986" s="217" t="s">
        <v>548</v>
      </c>
      <c r="G986" s="217" t="s">
        <v>550</v>
      </c>
      <c r="H986" s="217" t="s">
        <v>1412</v>
      </c>
      <c r="I986" s="217" t="s">
        <v>29</v>
      </c>
      <c r="J986" s="217" t="s">
        <v>1855</v>
      </c>
      <c r="K986" s="217">
        <v>14</v>
      </c>
      <c r="L986" s="217">
        <v>88</v>
      </c>
      <c r="M986" s="217" t="s">
        <v>31</v>
      </c>
      <c r="N986" s="217" t="s">
        <v>32</v>
      </c>
      <c r="O986" s="217" t="s">
        <v>68</v>
      </c>
      <c r="P986" s="217" t="s">
        <v>34</v>
      </c>
      <c r="Q986" s="217" t="s">
        <v>35</v>
      </c>
      <c r="R986" s="217" t="s">
        <v>23</v>
      </c>
      <c r="S986" s="217" t="s">
        <v>22</v>
      </c>
      <c r="T986" s="217" t="s">
        <v>36</v>
      </c>
      <c r="U986" s="217" t="s">
        <v>37</v>
      </c>
      <c r="V986" s="217" t="s">
        <v>249</v>
      </c>
      <c r="W986" s="217" t="s">
        <v>250</v>
      </c>
    </row>
    <row r="987" spans="1:23" x14ac:dyDescent="0.25">
      <c r="A987" s="217" t="s">
        <v>22</v>
      </c>
      <c r="B987" s="217" t="s">
        <v>23</v>
      </c>
      <c r="C987" s="217" t="s">
        <v>37</v>
      </c>
      <c r="D987" s="217" t="s">
        <v>36</v>
      </c>
      <c r="E987" s="217" t="s">
        <v>547</v>
      </c>
      <c r="F987" s="217" t="s">
        <v>548</v>
      </c>
      <c r="G987" s="217" t="s">
        <v>550</v>
      </c>
      <c r="H987" s="217" t="s">
        <v>1412</v>
      </c>
      <c r="I987" s="217" t="s">
        <v>29</v>
      </c>
      <c r="J987" s="217" t="s">
        <v>1856</v>
      </c>
      <c r="K987" s="217">
        <v>11</v>
      </c>
      <c r="L987" s="217">
        <v>76</v>
      </c>
      <c r="M987" s="217" t="s">
        <v>31</v>
      </c>
      <c r="N987" s="217" t="s">
        <v>32</v>
      </c>
      <c r="O987" s="217" t="s">
        <v>68</v>
      </c>
      <c r="P987" s="217" t="s">
        <v>34</v>
      </c>
      <c r="Q987" s="217" t="s">
        <v>35</v>
      </c>
      <c r="R987" s="217" t="s">
        <v>23</v>
      </c>
      <c r="S987" s="217" t="s">
        <v>22</v>
      </c>
      <c r="T987" s="217" t="s">
        <v>36</v>
      </c>
      <c r="U987" s="217" t="s">
        <v>37</v>
      </c>
      <c r="V987" s="217" t="s">
        <v>249</v>
      </c>
      <c r="W987" s="217" t="s">
        <v>250</v>
      </c>
    </row>
    <row r="988" spans="1:23" x14ac:dyDescent="0.25">
      <c r="A988" s="217" t="s">
        <v>22</v>
      </c>
      <c r="B988" s="217" t="s">
        <v>23</v>
      </c>
      <c r="C988" s="217" t="s">
        <v>37</v>
      </c>
      <c r="D988" s="217" t="s">
        <v>36</v>
      </c>
      <c r="E988" s="217" t="s">
        <v>547</v>
      </c>
      <c r="F988" s="217" t="s">
        <v>548</v>
      </c>
      <c r="G988" s="217" t="s">
        <v>550</v>
      </c>
      <c r="H988" s="217" t="s">
        <v>1412</v>
      </c>
      <c r="I988" s="217" t="s">
        <v>29</v>
      </c>
      <c r="J988" s="217" t="s">
        <v>1857</v>
      </c>
      <c r="K988" s="217">
        <v>7</v>
      </c>
      <c r="L988" s="217">
        <v>32</v>
      </c>
      <c r="M988" s="217" t="s">
        <v>31</v>
      </c>
      <c r="N988" s="217" t="s">
        <v>32</v>
      </c>
      <c r="O988" s="217" t="s">
        <v>68</v>
      </c>
      <c r="P988" s="217" t="s">
        <v>34</v>
      </c>
      <c r="Q988" s="217" t="s">
        <v>35</v>
      </c>
      <c r="R988" s="217" t="s">
        <v>23</v>
      </c>
      <c r="S988" s="217" t="s">
        <v>22</v>
      </c>
      <c r="T988" s="217" t="s">
        <v>36</v>
      </c>
      <c r="U988" s="217" t="s">
        <v>37</v>
      </c>
      <c r="V988" s="217" t="s">
        <v>249</v>
      </c>
      <c r="W988" s="217" t="s">
        <v>250</v>
      </c>
    </row>
    <row r="989" spans="1:23" x14ac:dyDescent="0.25">
      <c r="A989" s="217" t="s">
        <v>22</v>
      </c>
      <c r="B989" s="217" t="s">
        <v>23</v>
      </c>
      <c r="C989" s="217" t="s">
        <v>37</v>
      </c>
      <c r="D989" s="217" t="s">
        <v>36</v>
      </c>
      <c r="E989" s="217" t="s">
        <v>547</v>
      </c>
      <c r="F989" s="217" t="s">
        <v>548</v>
      </c>
      <c r="G989" s="217" t="s">
        <v>550</v>
      </c>
      <c r="H989" s="217" t="s">
        <v>1412</v>
      </c>
      <c r="I989" s="217" t="s">
        <v>29</v>
      </c>
      <c r="J989" s="217" t="s">
        <v>1858</v>
      </c>
      <c r="K989" s="217">
        <v>10</v>
      </c>
      <c r="L989" s="217">
        <v>30</v>
      </c>
      <c r="M989" s="217" t="s">
        <v>31</v>
      </c>
      <c r="N989" s="217" t="s">
        <v>32</v>
      </c>
      <c r="O989" s="217" t="s">
        <v>68</v>
      </c>
      <c r="P989" s="217" t="s">
        <v>34</v>
      </c>
      <c r="Q989" s="217" t="s">
        <v>35</v>
      </c>
      <c r="R989" s="217" t="s">
        <v>23</v>
      </c>
      <c r="S989" s="217" t="s">
        <v>22</v>
      </c>
      <c r="T989" s="217" t="s">
        <v>36</v>
      </c>
      <c r="U989" s="217" t="s">
        <v>37</v>
      </c>
      <c r="V989" s="217" t="s">
        <v>249</v>
      </c>
      <c r="W989" s="217" t="s">
        <v>250</v>
      </c>
    </row>
    <row r="990" spans="1:23" x14ac:dyDescent="0.25">
      <c r="A990" s="217" t="s">
        <v>22</v>
      </c>
      <c r="B990" s="217" t="s">
        <v>23</v>
      </c>
      <c r="C990" s="217" t="s">
        <v>37</v>
      </c>
      <c r="D990" s="217" t="s">
        <v>36</v>
      </c>
      <c r="E990" s="217" t="s">
        <v>547</v>
      </c>
      <c r="F990" s="217" t="s">
        <v>548</v>
      </c>
      <c r="G990" s="217" t="s">
        <v>551</v>
      </c>
      <c r="H990" s="217" t="s">
        <v>1413</v>
      </c>
      <c r="I990" s="217" t="s">
        <v>29</v>
      </c>
      <c r="J990" s="217" t="s">
        <v>1855</v>
      </c>
      <c r="K990" s="217">
        <v>9</v>
      </c>
      <c r="L990" s="217">
        <v>78</v>
      </c>
      <c r="M990" s="217" t="s">
        <v>31</v>
      </c>
      <c r="N990" s="217" t="s">
        <v>32</v>
      </c>
      <c r="O990" s="217" t="s">
        <v>68</v>
      </c>
      <c r="P990" s="217" t="s">
        <v>34</v>
      </c>
      <c r="Q990" s="217" t="s">
        <v>35</v>
      </c>
      <c r="R990" s="217" t="s">
        <v>23</v>
      </c>
      <c r="S990" s="217" t="s">
        <v>22</v>
      </c>
      <c r="T990" s="217" t="s">
        <v>36</v>
      </c>
      <c r="U990" s="217" t="s">
        <v>37</v>
      </c>
      <c r="V990" s="217" t="s">
        <v>243</v>
      </c>
      <c r="W990" s="217" t="s">
        <v>244</v>
      </c>
    </row>
    <row r="991" spans="1:23" x14ac:dyDescent="0.25">
      <c r="A991" s="217" t="s">
        <v>22</v>
      </c>
      <c r="B991" s="217" t="s">
        <v>23</v>
      </c>
      <c r="C991" s="217" t="s">
        <v>37</v>
      </c>
      <c r="D991" s="217" t="s">
        <v>36</v>
      </c>
      <c r="E991" s="217" t="s">
        <v>547</v>
      </c>
      <c r="F991" s="217" t="s">
        <v>548</v>
      </c>
      <c r="G991" s="217" t="s">
        <v>551</v>
      </c>
      <c r="H991" s="217" t="s">
        <v>1413</v>
      </c>
      <c r="I991" s="217" t="s">
        <v>29</v>
      </c>
      <c r="J991" s="217" t="s">
        <v>1856</v>
      </c>
      <c r="K991" s="217">
        <v>8</v>
      </c>
      <c r="L991" s="217">
        <v>65</v>
      </c>
      <c r="M991" s="217" t="s">
        <v>31</v>
      </c>
      <c r="N991" s="217" t="s">
        <v>32</v>
      </c>
      <c r="O991" s="217" t="s">
        <v>68</v>
      </c>
      <c r="P991" s="217" t="s">
        <v>34</v>
      </c>
      <c r="Q991" s="217" t="s">
        <v>35</v>
      </c>
      <c r="R991" s="217" t="s">
        <v>23</v>
      </c>
      <c r="S991" s="217" t="s">
        <v>22</v>
      </c>
      <c r="T991" s="217" t="s">
        <v>36</v>
      </c>
      <c r="U991" s="217" t="s">
        <v>37</v>
      </c>
      <c r="V991" s="217" t="s">
        <v>243</v>
      </c>
      <c r="W991" s="217" t="s">
        <v>244</v>
      </c>
    </row>
    <row r="992" spans="1:23" x14ac:dyDescent="0.25">
      <c r="A992" s="217" t="s">
        <v>22</v>
      </c>
      <c r="B992" s="217" t="s">
        <v>23</v>
      </c>
      <c r="C992" s="217" t="s">
        <v>37</v>
      </c>
      <c r="D992" s="217" t="s">
        <v>36</v>
      </c>
      <c r="E992" s="217" t="s">
        <v>547</v>
      </c>
      <c r="F992" s="217" t="s">
        <v>548</v>
      </c>
      <c r="G992" s="217" t="s">
        <v>551</v>
      </c>
      <c r="H992" s="217" t="s">
        <v>1413</v>
      </c>
      <c r="I992" s="217" t="s">
        <v>29</v>
      </c>
      <c r="J992" s="217" t="s">
        <v>1857</v>
      </c>
      <c r="K992" s="217">
        <v>6</v>
      </c>
      <c r="L992" s="217">
        <v>51</v>
      </c>
      <c r="M992" s="217" t="s">
        <v>31</v>
      </c>
      <c r="N992" s="217" t="s">
        <v>32</v>
      </c>
      <c r="O992" s="217" t="s">
        <v>68</v>
      </c>
      <c r="P992" s="217" t="s">
        <v>34</v>
      </c>
      <c r="Q992" s="217" t="s">
        <v>35</v>
      </c>
      <c r="R992" s="217" t="s">
        <v>23</v>
      </c>
      <c r="S992" s="217" t="s">
        <v>22</v>
      </c>
      <c r="T992" s="217" t="s">
        <v>36</v>
      </c>
      <c r="U992" s="217" t="s">
        <v>37</v>
      </c>
      <c r="V992" s="217" t="s">
        <v>243</v>
      </c>
      <c r="W992" s="217" t="s">
        <v>244</v>
      </c>
    </row>
    <row r="993" spans="1:23" x14ac:dyDescent="0.25">
      <c r="A993" s="217" t="s">
        <v>22</v>
      </c>
      <c r="B993" s="217" t="s">
        <v>23</v>
      </c>
      <c r="C993" s="217" t="s">
        <v>37</v>
      </c>
      <c r="D993" s="217" t="s">
        <v>36</v>
      </c>
      <c r="E993" s="217" t="s">
        <v>547</v>
      </c>
      <c r="F993" s="217" t="s">
        <v>548</v>
      </c>
      <c r="G993" s="217" t="s">
        <v>551</v>
      </c>
      <c r="H993" s="217" t="s">
        <v>1413</v>
      </c>
      <c r="I993" s="217" t="s">
        <v>29</v>
      </c>
      <c r="J993" s="217" t="s">
        <v>1858</v>
      </c>
      <c r="K993" s="217">
        <v>13</v>
      </c>
      <c r="L993" s="217">
        <v>66</v>
      </c>
      <c r="M993" s="217" t="s">
        <v>31</v>
      </c>
      <c r="N993" s="217" t="s">
        <v>32</v>
      </c>
      <c r="O993" s="217" t="s">
        <v>68</v>
      </c>
      <c r="P993" s="217" t="s">
        <v>34</v>
      </c>
      <c r="Q993" s="217" t="s">
        <v>35</v>
      </c>
      <c r="R993" s="217" t="s">
        <v>23</v>
      </c>
      <c r="S993" s="217" t="s">
        <v>22</v>
      </c>
      <c r="T993" s="217" t="s">
        <v>36</v>
      </c>
      <c r="U993" s="217" t="s">
        <v>37</v>
      </c>
      <c r="V993" s="217" t="s">
        <v>249</v>
      </c>
      <c r="W993" s="217" t="s">
        <v>250</v>
      </c>
    </row>
    <row r="994" spans="1:23" x14ac:dyDescent="0.25">
      <c r="A994" s="217" t="s">
        <v>22</v>
      </c>
      <c r="B994" s="217" t="s">
        <v>23</v>
      </c>
      <c r="C994" s="217" t="s">
        <v>37</v>
      </c>
      <c r="D994" s="217" t="s">
        <v>36</v>
      </c>
      <c r="E994" s="217" t="s">
        <v>547</v>
      </c>
      <c r="F994" s="217" t="s">
        <v>548</v>
      </c>
      <c r="G994" s="217" t="s">
        <v>552</v>
      </c>
      <c r="H994" s="217" t="s">
        <v>1414</v>
      </c>
      <c r="I994" s="217" t="s">
        <v>29</v>
      </c>
      <c r="J994" s="217" t="s">
        <v>1855</v>
      </c>
      <c r="K994" s="217">
        <v>8</v>
      </c>
      <c r="L994" s="217">
        <v>48</v>
      </c>
      <c r="M994" s="217" t="s">
        <v>31</v>
      </c>
      <c r="N994" s="217" t="s">
        <v>32</v>
      </c>
      <c r="O994" s="217" t="s">
        <v>68</v>
      </c>
      <c r="P994" s="217" t="s">
        <v>34</v>
      </c>
      <c r="Q994" s="217" t="s">
        <v>35</v>
      </c>
      <c r="R994" s="217" t="s">
        <v>23</v>
      </c>
      <c r="S994" s="217" t="s">
        <v>22</v>
      </c>
      <c r="T994" s="217" t="s">
        <v>36</v>
      </c>
      <c r="U994" s="217" t="s">
        <v>37</v>
      </c>
      <c r="V994" s="217" t="s">
        <v>249</v>
      </c>
      <c r="W994" s="217" t="s">
        <v>250</v>
      </c>
    </row>
    <row r="995" spans="1:23" x14ac:dyDescent="0.25">
      <c r="A995" s="217" t="s">
        <v>22</v>
      </c>
      <c r="B995" s="217" t="s">
        <v>23</v>
      </c>
      <c r="C995" s="217" t="s">
        <v>37</v>
      </c>
      <c r="D995" s="217" t="s">
        <v>36</v>
      </c>
      <c r="E995" s="217" t="s">
        <v>547</v>
      </c>
      <c r="F995" s="217" t="s">
        <v>548</v>
      </c>
      <c r="G995" s="217" t="s">
        <v>552</v>
      </c>
      <c r="H995" s="217" t="s">
        <v>1414</v>
      </c>
      <c r="I995" s="217" t="s">
        <v>29</v>
      </c>
      <c r="J995" s="217" t="s">
        <v>1856</v>
      </c>
      <c r="K995" s="217">
        <v>5</v>
      </c>
      <c r="L995" s="217">
        <v>38</v>
      </c>
      <c r="M995" s="217" t="s">
        <v>31</v>
      </c>
      <c r="N995" s="217" t="s">
        <v>32</v>
      </c>
      <c r="O995" s="217" t="s">
        <v>68</v>
      </c>
      <c r="P995" s="217" t="s">
        <v>34</v>
      </c>
      <c r="Q995" s="217" t="s">
        <v>35</v>
      </c>
      <c r="R995" s="217" t="s">
        <v>23</v>
      </c>
      <c r="S995" s="217" t="s">
        <v>22</v>
      </c>
      <c r="T995" s="217" t="s">
        <v>36</v>
      </c>
      <c r="U995" s="217" t="s">
        <v>37</v>
      </c>
      <c r="V995" s="217" t="s">
        <v>249</v>
      </c>
      <c r="W995" s="217" t="s">
        <v>250</v>
      </c>
    </row>
    <row r="996" spans="1:23" x14ac:dyDescent="0.25">
      <c r="A996" s="217" t="s">
        <v>22</v>
      </c>
      <c r="B996" s="217" t="s">
        <v>23</v>
      </c>
      <c r="C996" s="217" t="s">
        <v>37</v>
      </c>
      <c r="D996" s="217" t="s">
        <v>36</v>
      </c>
      <c r="E996" s="217" t="s">
        <v>547</v>
      </c>
      <c r="F996" s="217" t="s">
        <v>548</v>
      </c>
      <c r="G996" s="217" t="s">
        <v>552</v>
      </c>
      <c r="H996" s="217" t="s">
        <v>1414</v>
      </c>
      <c r="I996" s="217" t="s">
        <v>29</v>
      </c>
      <c r="J996" s="217" t="s">
        <v>1857</v>
      </c>
      <c r="K996" s="217">
        <v>7</v>
      </c>
      <c r="L996" s="217">
        <v>43</v>
      </c>
      <c r="M996" s="217" t="s">
        <v>31</v>
      </c>
      <c r="N996" s="217" t="s">
        <v>32</v>
      </c>
      <c r="O996" s="217" t="s">
        <v>68</v>
      </c>
      <c r="P996" s="217" t="s">
        <v>34</v>
      </c>
      <c r="Q996" s="217" t="s">
        <v>35</v>
      </c>
      <c r="R996" s="217" t="s">
        <v>23</v>
      </c>
      <c r="S996" s="217" t="s">
        <v>22</v>
      </c>
      <c r="T996" s="217" t="s">
        <v>36</v>
      </c>
      <c r="U996" s="217" t="s">
        <v>37</v>
      </c>
      <c r="V996" s="217" t="s">
        <v>249</v>
      </c>
      <c r="W996" s="217" t="s">
        <v>250</v>
      </c>
    </row>
    <row r="997" spans="1:23" x14ac:dyDescent="0.25">
      <c r="A997" s="217" t="s">
        <v>22</v>
      </c>
      <c r="B997" s="217" t="s">
        <v>23</v>
      </c>
      <c r="C997" s="217" t="s">
        <v>37</v>
      </c>
      <c r="D997" s="217" t="s">
        <v>36</v>
      </c>
      <c r="E997" s="217" t="s">
        <v>547</v>
      </c>
      <c r="F997" s="217" t="s">
        <v>548</v>
      </c>
      <c r="G997" s="217" t="s">
        <v>552</v>
      </c>
      <c r="H997" s="217" t="s">
        <v>1414</v>
      </c>
      <c r="I997" s="217" t="s">
        <v>29</v>
      </c>
      <c r="J997" s="217" t="s">
        <v>1858</v>
      </c>
      <c r="K997" s="217">
        <v>18</v>
      </c>
      <c r="L997" s="217">
        <v>109</v>
      </c>
      <c r="M997" s="217" t="s">
        <v>31</v>
      </c>
      <c r="N997" s="217" t="s">
        <v>32</v>
      </c>
      <c r="O997" s="217" t="s">
        <v>68</v>
      </c>
      <c r="P997" s="217" t="s">
        <v>34</v>
      </c>
      <c r="Q997" s="217" t="s">
        <v>35</v>
      </c>
      <c r="R997" s="217" t="s">
        <v>23</v>
      </c>
      <c r="S997" s="217" t="s">
        <v>22</v>
      </c>
      <c r="T997" s="217" t="s">
        <v>36</v>
      </c>
      <c r="U997" s="217" t="s">
        <v>37</v>
      </c>
      <c r="V997" s="217" t="s">
        <v>249</v>
      </c>
      <c r="W997" s="217" t="s">
        <v>250</v>
      </c>
    </row>
    <row r="998" spans="1:23" x14ac:dyDescent="0.25">
      <c r="A998" s="217" t="s">
        <v>22</v>
      </c>
      <c r="B998" s="217" t="s">
        <v>23</v>
      </c>
      <c r="C998" s="217" t="s">
        <v>37</v>
      </c>
      <c r="D998" s="217" t="s">
        <v>36</v>
      </c>
      <c r="E998" s="217" t="s">
        <v>547</v>
      </c>
      <c r="F998" s="217" t="s">
        <v>548</v>
      </c>
      <c r="G998" s="217" t="s">
        <v>553</v>
      </c>
      <c r="H998" s="217" t="s">
        <v>1415</v>
      </c>
      <c r="I998" s="217" t="s">
        <v>29</v>
      </c>
      <c r="J998" s="217" t="s">
        <v>1855</v>
      </c>
      <c r="K998" s="217">
        <v>13</v>
      </c>
      <c r="L998" s="217">
        <v>71</v>
      </c>
      <c r="M998" s="217" t="s">
        <v>31</v>
      </c>
      <c r="N998" s="217" t="s">
        <v>32</v>
      </c>
      <c r="O998" s="217" t="s">
        <v>68</v>
      </c>
      <c r="P998" s="217" t="s">
        <v>34</v>
      </c>
      <c r="Q998" s="217" t="s">
        <v>35</v>
      </c>
      <c r="R998" s="217" t="s">
        <v>23</v>
      </c>
      <c r="S998" s="217" t="s">
        <v>22</v>
      </c>
      <c r="T998" s="217" t="s">
        <v>36</v>
      </c>
      <c r="U998" s="217" t="s">
        <v>37</v>
      </c>
      <c r="V998" s="217" t="s">
        <v>249</v>
      </c>
      <c r="W998" s="217" t="s">
        <v>250</v>
      </c>
    </row>
    <row r="999" spans="1:23" x14ac:dyDescent="0.25">
      <c r="A999" s="217" t="s">
        <v>22</v>
      </c>
      <c r="B999" s="217" t="s">
        <v>23</v>
      </c>
      <c r="C999" s="217" t="s">
        <v>37</v>
      </c>
      <c r="D999" s="217" t="s">
        <v>36</v>
      </c>
      <c r="E999" s="217" t="s">
        <v>547</v>
      </c>
      <c r="F999" s="217" t="s">
        <v>548</v>
      </c>
      <c r="G999" s="217" t="s">
        <v>553</v>
      </c>
      <c r="H999" s="217" t="s">
        <v>1415</v>
      </c>
      <c r="I999" s="217" t="s">
        <v>29</v>
      </c>
      <c r="J999" s="217" t="s">
        <v>1856</v>
      </c>
      <c r="K999" s="217">
        <v>6</v>
      </c>
      <c r="L999" s="217">
        <v>33</v>
      </c>
      <c r="M999" s="217" t="s">
        <v>31</v>
      </c>
      <c r="N999" s="217" t="s">
        <v>32</v>
      </c>
      <c r="O999" s="217" t="s">
        <v>68</v>
      </c>
      <c r="P999" s="217" t="s">
        <v>34</v>
      </c>
      <c r="Q999" s="217" t="s">
        <v>35</v>
      </c>
      <c r="R999" s="217" t="s">
        <v>23</v>
      </c>
      <c r="S999" s="217" t="s">
        <v>22</v>
      </c>
      <c r="T999" s="217" t="s">
        <v>36</v>
      </c>
      <c r="U999" s="217" t="s">
        <v>37</v>
      </c>
      <c r="V999" s="217" t="s">
        <v>249</v>
      </c>
      <c r="W999" s="217" t="s">
        <v>250</v>
      </c>
    </row>
    <row r="1000" spans="1:23" x14ac:dyDescent="0.25">
      <c r="A1000" s="217" t="s">
        <v>22</v>
      </c>
      <c r="B1000" s="217" t="s">
        <v>23</v>
      </c>
      <c r="C1000" s="217" t="s">
        <v>37</v>
      </c>
      <c r="D1000" s="217" t="s">
        <v>36</v>
      </c>
      <c r="E1000" s="217" t="s">
        <v>547</v>
      </c>
      <c r="F1000" s="217" t="s">
        <v>548</v>
      </c>
      <c r="G1000" s="217" t="s">
        <v>553</v>
      </c>
      <c r="H1000" s="217" t="s">
        <v>1415</v>
      </c>
      <c r="I1000" s="217" t="s">
        <v>29</v>
      </c>
      <c r="J1000" s="217" t="s">
        <v>1857</v>
      </c>
      <c r="K1000" s="217">
        <v>10</v>
      </c>
      <c r="L1000" s="217">
        <v>66</v>
      </c>
      <c r="M1000" s="217" t="s">
        <v>31</v>
      </c>
      <c r="N1000" s="217" t="s">
        <v>32</v>
      </c>
      <c r="O1000" s="217" t="s">
        <v>68</v>
      </c>
      <c r="P1000" s="217" t="s">
        <v>34</v>
      </c>
      <c r="Q1000" s="217" t="s">
        <v>35</v>
      </c>
      <c r="R1000" s="217" t="s">
        <v>23</v>
      </c>
      <c r="S1000" s="217" t="s">
        <v>22</v>
      </c>
      <c r="T1000" s="217" t="s">
        <v>36</v>
      </c>
      <c r="U1000" s="217" t="s">
        <v>37</v>
      </c>
      <c r="V1000" s="217" t="s">
        <v>249</v>
      </c>
      <c r="W1000" s="217" t="s">
        <v>250</v>
      </c>
    </row>
    <row r="1001" spans="1:23" x14ac:dyDescent="0.25">
      <c r="A1001" s="217" t="s">
        <v>22</v>
      </c>
      <c r="B1001" s="217" t="s">
        <v>23</v>
      </c>
      <c r="C1001" s="217" t="s">
        <v>37</v>
      </c>
      <c r="D1001" s="217" t="s">
        <v>36</v>
      </c>
      <c r="E1001" s="217" t="s">
        <v>547</v>
      </c>
      <c r="F1001" s="217" t="s">
        <v>548</v>
      </c>
      <c r="G1001" s="217" t="s">
        <v>553</v>
      </c>
      <c r="H1001" s="217" t="s">
        <v>1415</v>
      </c>
      <c r="I1001" s="217" t="s">
        <v>29</v>
      </c>
      <c r="J1001" s="217" t="s">
        <v>1858</v>
      </c>
      <c r="K1001" s="217">
        <v>3</v>
      </c>
      <c r="L1001" s="217">
        <v>15</v>
      </c>
      <c r="M1001" s="217" t="s">
        <v>31</v>
      </c>
      <c r="N1001" s="217" t="s">
        <v>32</v>
      </c>
      <c r="O1001" s="217" t="s">
        <v>68</v>
      </c>
      <c r="P1001" s="217" t="s">
        <v>34</v>
      </c>
      <c r="Q1001" s="217" t="s">
        <v>35</v>
      </c>
      <c r="R1001" s="217" t="s">
        <v>23</v>
      </c>
      <c r="S1001" s="217" t="s">
        <v>22</v>
      </c>
      <c r="T1001" s="217" t="s">
        <v>36</v>
      </c>
      <c r="U1001" s="217" t="s">
        <v>37</v>
      </c>
      <c r="V1001" s="217" t="s">
        <v>249</v>
      </c>
      <c r="W1001" s="217" t="s">
        <v>250</v>
      </c>
    </row>
    <row r="1002" spans="1:23" x14ac:dyDescent="0.25">
      <c r="A1002" s="217" t="s">
        <v>22</v>
      </c>
      <c r="B1002" s="217" t="s">
        <v>23</v>
      </c>
      <c r="C1002" s="217" t="s">
        <v>37</v>
      </c>
      <c r="D1002" s="217" t="s">
        <v>36</v>
      </c>
      <c r="E1002" s="217" t="s">
        <v>547</v>
      </c>
      <c r="F1002" s="217" t="s">
        <v>548</v>
      </c>
      <c r="G1002" s="217" t="s">
        <v>553</v>
      </c>
      <c r="H1002" s="217" t="s">
        <v>1415</v>
      </c>
      <c r="I1002" s="217" t="s">
        <v>29</v>
      </c>
      <c r="J1002" s="217" t="s">
        <v>1859</v>
      </c>
      <c r="K1002" s="217">
        <v>1</v>
      </c>
      <c r="L1002" s="217">
        <v>4</v>
      </c>
      <c r="M1002" s="217" t="s">
        <v>31</v>
      </c>
      <c r="N1002" s="217" t="s">
        <v>32</v>
      </c>
      <c r="O1002" s="217" t="s">
        <v>68</v>
      </c>
      <c r="P1002" s="217" t="s">
        <v>34</v>
      </c>
      <c r="Q1002" s="217" t="s">
        <v>35</v>
      </c>
      <c r="R1002" s="217" t="s">
        <v>23</v>
      </c>
      <c r="S1002" s="217" t="s">
        <v>22</v>
      </c>
      <c r="T1002" s="217" t="s">
        <v>36</v>
      </c>
      <c r="U1002" s="217" t="s">
        <v>37</v>
      </c>
      <c r="V1002" s="217" t="s">
        <v>249</v>
      </c>
      <c r="W1002" s="217" t="s">
        <v>250</v>
      </c>
    </row>
    <row r="1003" spans="1:23" x14ac:dyDescent="0.25">
      <c r="A1003" s="217" t="s">
        <v>22</v>
      </c>
      <c r="B1003" s="217" t="s">
        <v>23</v>
      </c>
      <c r="C1003" s="217" t="s">
        <v>37</v>
      </c>
      <c r="D1003" s="217" t="s">
        <v>36</v>
      </c>
      <c r="E1003" s="217" t="s">
        <v>547</v>
      </c>
      <c r="F1003" s="217" t="s">
        <v>548</v>
      </c>
      <c r="G1003" s="217" t="s">
        <v>554</v>
      </c>
      <c r="H1003" s="217" t="s">
        <v>1416</v>
      </c>
      <c r="I1003" s="217" t="s">
        <v>29</v>
      </c>
      <c r="J1003" s="217" t="s">
        <v>1855</v>
      </c>
      <c r="K1003" s="217">
        <v>22</v>
      </c>
      <c r="L1003" s="217">
        <v>159</v>
      </c>
      <c r="M1003" s="217" t="s">
        <v>31</v>
      </c>
      <c r="N1003" s="217" t="s">
        <v>32</v>
      </c>
      <c r="O1003" s="217" t="s">
        <v>68</v>
      </c>
      <c r="P1003" s="217" t="s">
        <v>34</v>
      </c>
      <c r="Q1003" s="217" t="s">
        <v>35</v>
      </c>
      <c r="R1003" s="217" t="s">
        <v>23</v>
      </c>
      <c r="S1003" s="217" t="s">
        <v>22</v>
      </c>
      <c r="T1003" s="217" t="s">
        <v>36</v>
      </c>
      <c r="U1003" s="217" t="s">
        <v>37</v>
      </c>
      <c r="V1003" s="217" t="s">
        <v>249</v>
      </c>
      <c r="W1003" s="217" t="s">
        <v>250</v>
      </c>
    </row>
    <row r="1004" spans="1:23" x14ac:dyDescent="0.25">
      <c r="A1004" s="217" t="s">
        <v>22</v>
      </c>
      <c r="B1004" s="217" t="s">
        <v>23</v>
      </c>
      <c r="C1004" s="217" t="s">
        <v>37</v>
      </c>
      <c r="D1004" s="217" t="s">
        <v>36</v>
      </c>
      <c r="E1004" s="217" t="s">
        <v>547</v>
      </c>
      <c r="F1004" s="217" t="s">
        <v>548</v>
      </c>
      <c r="G1004" s="217" t="s">
        <v>554</v>
      </c>
      <c r="H1004" s="217" t="s">
        <v>1416</v>
      </c>
      <c r="I1004" s="217" t="s">
        <v>29</v>
      </c>
      <c r="J1004" s="217" t="s">
        <v>1856</v>
      </c>
      <c r="K1004" s="217">
        <v>25</v>
      </c>
      <c r="L1004" s="217">
        <v>171</v>
      </c>
      <c r="M1004" s="217" t="s">
        <v>31</v>
      </c>
      <c r="N1004" s="217" t="s">
        <v>32</v>
      </c>
      <c r="O1004" s="217" t="s">
        <v>68</v>
      </c>
      <c r="P1004" s="217" t="s">
        <v>34</v>
      </c>
      <c r="Q1004" s="217" t="s">
        <v>35</v>
      </c>
      <c r="R1004" s="217" t="s">
        <v>23</v>
      </c>
      <c r="S1004" s="217" t="s">
        <v>22</v>
      </c>
      <c r="T1004" s="217" t="s">
        <v>36</v>
      </c>
      <c r="U1004" s="217" t="s">
        <v>37</v>
      </c>
      <c r="V1004" s="217" t="s">
        <v>249</v>
      </c>
      <c r="W1004" s="217" t="s">
        <v>250</v>
      </c>
    </row>
    <row r="1005" spans="1:23" x14ac:dyDescent="0.25">
      <c r="A1005" s="217" t="s">
        <v>22</v>
      </c>
      <c r="B1005" s="217" t="s">
        <v>23</v>
      </c>
      <c r="C1005" s="217" t="s">
        <v>37</v>
      </c>
      <c r="D1005" s="217" t="s">
        <v>36</v>
      </c>
      <c r="E1005" s="217" t="s">
        <v>547</v>
      </c>
      <c r="F1005" s="217" t="s">
        <v>548</v>
      </c>
      <c r="G1005" s="217" t="s">
        <v>554</v>
      </c>
      <c r="H1005" s="217" t="s">
        <v>1416</v>
      </c>
      <c r="I1005" s="217" t="s">
        <v>29</v>
      </c>
      <c r="J1005" s="217" t="s">
        <v>1857</v>
      </c>
      <c r="K1005" s="217">
        <v>27</v>
      </c>
      <c r="L1005" s="217">
        <v>136</v>
      </c>
      <c r="M1005" s="217" t="s">
        <v>31</v>
      </c>
      <c r="N1005" s="217" t="s">
        <v>32</v>
      </c>
      <c r="O1005" s="217" t="s">
        <v>68</v>
      </c>
      <c r="P1005" s="217" t="s">
        <v>34</v>
      </c>
      <c r="Q1005" s="217" t="s">
        <v>35</v>
      </c>
      <c r="R1005" s="217" t="s">
        <v>23</v>
      </c>
      <c r="S1005" s="217" t="s">
        <v>22</v>
      </c>
      <c r="T1005" s="217" t="s">
        <v>36</v>
      </c>
      <c r="U1005" s="217" t="s">
        <v>37</v>
      </c>
      <c r="V1005" s="217" t="s">
        <v>249</v>
      </c>
      <c r="W1005" s="217" t="s">
        <v>250</v>
      </c>
    </row>
    <row r="1006" spans="1:23" x14ac:dyDescent="0.25">
      <c r="A1006" s="217" t="s">
        <v>22</v>
      </c>
      <c r="B1006" s="217" t="s">
        <v>23</v>
      </c>
      <c r="C1006" s="217" t="s">
        <v>37</v>
      </c>
      <c r="D1006" s="217" t="s">
        <v>36</v>
      </c>
      <c r="E1006" s="217" t="s">
        <v>547</v>
      </c>
      <c r="F1006" s="217" t="s">
        <v>548</v>
      </c>
      <c r="G1006" s="217" t="s">
        <v>554</v>
      </c>
      <c r="H1006" s="217" t="s">
        <v>1416</v>
      </c>
      <c r="I1006" s="217" t="s">
        <v>29</v>
      </c>
      <c r="J1006" s="217" t="s">
        <v>1858</v>
      </c>
      <c r="K1006" s="217">
        <v>24</v>
      </c>
      <c r="L1006" s="217">
        <v>180</v>
      </c>
      <c r="M1006" s="217" t="s">
        <v>31</v>
      </c>
      <c r="N1006" s="217" t="s">
        <v>32</v>
      </c>
      <c r="O1006" s="217" t="s">
        <v>68</v>
      </c>
      <c r="P1006" s="217" t="s">
        <v>34</v>
      </c>
      <c r="Q1006" s="217" t="s">
        <v>35</v>
      </c>
      <c r="R1006" s="217" t="s">
        <v>23</v>
      </c>
      <c r="S1006" s="217" t="s">
        <v>22</v>
      </c>
      <c r="T1006" s="217" t="s">
        <v>36</v>
      </c>
      <c r="U1006" s="217" t="s">
        <v>37</v>
      </c>
      <c r="V1006" s="217" t="s">
        <v>249</v>
      </c>
      <c r="W1006" s="217" t="s">
        <v>250</v>
      </c>
    </row>
    <row r="1007" spans="1:23" x14ac:dyDescent="0.25">
      <c r="A1007" s="217" t="s">
        <v>22</v>
      </c>
      <c r="B1007" s="217" t="s">
        <v>23</v>
      </c>
      <c r="C1007" s="217" t="s">
        <v>37</v>
      </c>
      <c r="D1007" s="217" t="s">
        <v>36</v>
      </c>
      <c r="E1007" s="217" t="s">
        <v>547</v>
      </c>
      <c r="F1007" s="217" t="s">
        <v>548</v>
      </c>
      <c r="G1007" s="217" t="s">
        <v>555</v>
      </c>
      <c r="H1007" s="217" t="s">
        <v>1417</v>
      </c>
      <c r="I1007" s="217" t="s">
        <v>29</v>
      </c>
      <c r="J1007" s="217" t="s">
        <v>1855</v>
      </c>
      <c r="K1007" s="217">
        <v>9</v>
      </c>
      <c r="L1007" s="217">
        <v>59</v>
      </c>
      <c r="M1007" s="217" t="s">
        <v>31</v>
      </c>
      <c r="N1007" s="217" t="s">
        <v>32</v>
      </c>
      <c r="O1007" s="217" t="s">
        <v>68</v>
      </c>
      <c r="P1007" s="217" t="s">
        <v>34</v>
      </c>
      <c r="Q1007" s="217" t="s">
        <v>35</v>
      </c>
      <c r="R1007" s="217" t="s">
        <v>23</v>
      </c>
      <c r="S1007" s="217" t="s">
        <v>22</v>
      </c>
      <c r="T1007" s="217" t="s">
        <v>36</v>
      </c>
      <c r="U1007" s="217" t="s">
        <v>37</v>
      </c>
      <c r="V1007" s="217" t="s">
        <v>249</v>
      </c>
      <c r="W1007" s="217" t="s">
        <v>250</v>
      </c>
    </row>
    <row r="1008" spans="1:23" x14ac:dyDescent="0.25">
      <c r="A1008" s="217" t="s">
        <v>22</v>
      </c>
      <c r="B1008" s="217" t="s">
        <v>23</v>
      </c>
      <c r="C1008" s="217" t="s">
        <v>37</v>
      </c>
      <c r="D1008" s="217" t="s">
        <v>36</v>
      </c>
      <c r="E1008" s="217" t="s">
        <v>547</v>
      </c>
      <c r="F1008" s="217" t="s">
        <v>548</v>
      </c>
      <c r="G1008" s="217" t="s">
        <v>555</v>
      </c>
      <c r="H1008" s="217" t="s">
        <v>1417</v>
      </c>
      <c r="I1008" s="217" t="s">
        <v>29</v>
      </c>
      <c r="J1008" s="217" t="s">
        <v>1856</v>
      </c>
      <c r="K1008" s="217">
        <v>4</v>
      </c>
      <c r="L1008" s="217">
        <v>23</v>
      </c>
      <c r="M1008" s="217" t="s">
        <v>31</v>
      </c>
      <c r="N1008" s="217" t="s">
        <v>32</v>
      </c>
      <c r="O1008" s="217" t="s">
        <v>33</v>
      </c>
      <c r="P1008" s="217" t="s">
        <v>34</v>
      </c>
      <c r="Q1008" s="217" t="s">
        <v>35</v>
      </c>
      <c r="R1008" s="217" t="s">
        <v>23</v>
      </c>
      <c r="S1008" s="217" t="s">
        <v>22</v>
      </c>
      <c r="T1008" s="217" t="s">
        <v>47</v>
      </c>
      <c r="U1008" s="217" t="s">
        <v>48</v>
      </c>
      <c r="V1008" s="217" t="s">
        <v>231</v>
      </c>
      <c r="W1008" s="217" t="s">
        <v>232</v>
      </c>
    </row>
    <row r="1009" spans="1:23" x14ac:dyDescent="0.25">
      <c r="A1009" s="217" t="s">
        <v>22</v>
      </c>
      <c r="B1009" s="217" t="s">
        <v>23</v>
      </c>
      <c r="C1009" s="217" t="s">
        <v>37</v>
      </c>
      <c r="D1009" s="217" t="s">
        <v>36</v>
      </c>
      <c r="E1009" s="217" t="s">
        <v>547</v>
      </c>
      <c r="F1009" s="217" t="s">
        <v>548</v>
      </c>
      <c r="G1009" s="217" t="s">
        <v>555</v>
      </c>
      <c r="H1009" s="217" t="s">
        <v>1417</v>
      </c>
      <c r="I1009" s="217" t="s">
        <v>29</v>
      </c>
      <c r="J1009" s="217" t="s">
        <v>1857</v>
      </c>
      <c r="K1009" s="217">
        <v>51</v>
      </c>
      <c r="L1009" s="217">
        <v>369</v>
      </c>
      <c r="M1009" s="217" t="s">
        <v>31</v>
      </c>
      <c r="N1009" s="217" t="s">
        <v>32</v>
      </c>
      <c r="O1009" s="217" t="s">
        <v>68</v>
      </c>
      <c r="P1009" s="217" t="s">
        <v>34</v>
      </c>
      <c r="Q1009" s="217" t="s">
        <v>35</v>
      </c>
      <c r="R1009" s="217" t="s">
        <v>23</v>
      </c>
      <c r="S1009" s="217" t="s">
        <v>22</v>
      </c>
      <c r="T1009" s="217" t="s">
        <v>36</v>
      </c>
      <c r="U1009" s="217" t="s">
        <v>37</v>
      </c>
      <c r="V1009" s="217" t="s">
        <v>249</v>
      </c>
      <c r="W1009" s="217" t="s">
        <v>250</v>
      </c>
    </row>
    <row r="1010" spans="1:23" x14ac:dyDescent="0.25">
      <c r="A1010" s="217" t="s">
        <v>22</v>
      </c>
      <c r="B1010" s="217" t="s">
        <v>23</v>
      </c>
      <c r="C1010" s="217" t="s">
        <v>37</v>
      </c>
      <c r="D1010" s="217" t="s">
        <v>36</v>
      </c>
      <c r="E1010" s="217" t="s">
        <v>547</v>
      </c>
      <c r="F1010" s="217" t="s">
        <v>548</v>
      </c>
      <c r="G1010" s="217" t="s">
        <v>555</v>
      </c>
      <c r="H1010" s="217" t="s">
        <v>1417</v>
      </c>
      <c r="I1010" s="217" t="s">
        <v>29</v>
      </c>
      <c r="J1010" s="217" t="s">
        <v>1858</v>
      </c>
      <c r="K1010" s="217">
        <v>9</v>
      </c>
      <c r="L1010" s="217">
        <v>47</v>
      </c>
      <c r="M1010" s="217" t="s">
        <v>31</v>
      </c>
      <c r="N1010" s="217" t="s">
        <v>32</v>
      </c>
      <c r="O1010" s="217" t="s">
        <v>68</v>
      </c>
      <c r="P1010" s="217" t="s">
        <v>34</v>
      </c>
      <c r="Q1010" s="217" t="s">
        <v>35</v>
      </c>
      <c r="R1010" s="217" t="s">
        <v>23</v>
      </c>
      <c r="S1010" s="217" t="s">
        <v>22</v>
      </c>
      <c r="T1010" s="217" t="s">
        <v>36</v>
      </c>
      <c r="U1010" s="217" t="s">
        <v>37</v>
      </c>
      <c r="V1010" s="217" t="s">
        <v>249</v>
      </c>
      <c r="W1010" s="217" t="s">
        <v>250</v>
      </c>
    </row>
    <row r="1011" spans="1:23" x14ac:dyDescent="0.25">
      <c r="A1011" s="217" t="s">
        <v>22</v>
      </c>
      <c r="B1011" s="217" t="s">
        <v>23</v>
      </c>
      <c r="C1011" s="217" t="s">
        <v>37</v>
      </c>
      <c r="D1011" s="217" t="s">
        <v>36</v>
      </c>
      <c r="E1011" s="217" t="s">
        <v>547</v>
      </c>
      <c r="F1011" s="217" t="s">
        <v>548</v>
      </c>
      <c r="G1011" s="217" t="s">
        <v>556</v>
      </c>
      <c r="H1011" s="217" t="s">
        <v>1418</v>
      </c>
      <c r="I1011" s="217" t="s">
        <v>29</v>
      </c>
      <c r="J1011" s="217" t="s">
        <v>1855</v>
      </c>
      <c r="K1011" s="217">
        <v>8</v>
      </c>
      <c r="L1011" s="217">
        <v>42</v>
      </c>
      <c r="M1011" s="217" t="s">
        <v>31</v>
      </c>
      <c r="N1011" s="217" t="s">
        <v>32</v>
      </c>
      <c r="O1011" s="217" t="s">
        <v>68</v>
      </c>
      <c r="P1011" s="217" t="s">
        <v>34</v>
      </c>
      <c r="Q1011" s="217" t="s">
        <v>35</v>
      </c>
      <c r="R1011" s="217" t="s">
        <v>23</v>
      </c>
      <c r="S1011" s="217" t="s">
        <v>22</v>
      </c>
      <c r="T1011" s="217" t="s">
        <v>36</v>
      </c>
      <c r="U1011" s="217" t="s">
        <v>37</v>
      </c>
      <c r="V1011" s="217" t="s">
        <v>249</v>
      </c>
      <c r="W1011" s="217" t="s">
        <v>250</v>
      </c>
    </row>
    <row r="1012" spans="1:23" x14ac:dyDescent="0.25">
      <c r="A1012" s="217" t="s">
        <v>22</v>
      </c>
      <c r="B1012" s="217" t="s">
        <v>23</v>
      </c>
      <c r="C1012" s="217" t="s">
        <v>37</v>
      </c>
      <c r="D1012" s="217" t="s">
        <v>36</v>
      </c>
      <c r="E1012" s="217" t="s">
        <v>547</v>
      </c>
      <c r="F1012" s="217" t="s">
        <v>548</v>
      </c>
      <c r="G1012" s="217" t="s">
        <v>556</v>
      </c>
      <c r="H1012" s="217" t="s">
        <v>1418</v>
      </c>
      <c r="I1012" s="217" t="s">
        <v>29</v>
      </c>
      <c r="J1012" s="217" t="s">
        <v>1856</v>
      </c>
      <c r="K1012" s="217">
        <v>10</v>
      </c>
      <c r="L1012" s="217">
        <v>67</v>
      </c>
      <c r="M1012" s="217" t="s">
        <v>31</v>
      </c>
      <c r="N1012" s="217" t="s">
        <v>32</v>
      </c>
      <c r="O1012" s="217" t="s">
        <v>68</v>
      </c>
      <c r="P1012" s="217" t="s">
        <v>34</v>
      </c>
      <c r="Q1012" s="217" t="s">
        <v>35</v>
      </c>
      <c r="R1012" s="217" t="s">
        <v>23</v>
      </c>
      <c r="S1012" s="217" t="s">
        <v>22</v>
      </c>
      <c r="T1012" s="217" t="s">
        <v>36</v>
      </c>
      <c r="U1012" s="217" t="s">
        <v>37</v>
      </c>
      <c r="V1012" s="217" t="s">
        <v>249</v>
      </c>
      <c r="W1012" s="217" t="s">
        <v>250</v>
      </c>
    </row>
    <row r="1013" spans="1:23" x14ac:dyDescent="0.25">
      <c r="A1013" s="217" t="s">
        <v>22</v>
      </c>
      <c r="B1013" s="217" t="s">
        <v>23</v>
      </c>
      <c r="C1013" s="217" t="s">
        <v>37</v>
      </c>
      <c r="D1013" s="217" t="s">
        <v>36</v>
      </c>
      <c r="E1013" s="217" t="s">
        <v>547</v>
      </c>
      <c r="F1013" s="217" t="s">
        <v>548</v>
      </c>
      <c r="G1013" s="217" t="s">
        <v>556</v>
      </c>
      <c r="H1013" s="217" t="s">
        <v>1418</v>
      </c>
      <c r="I1013" s="217" t="s">
        <v>29</v>
      </c>
      <c r="J1013" s="217" t="s">
        <v>1857</v>
      </c>
      <c r="K1013" s="217">
        <v>11</v>
      </c>
      <c r="L1013" s="217">
        <v>69</v>
      </c>
      <c r="M1013" s="217" t="s">
        <v>31</v>
      </c>
      <c r="N1013" s="217" t="s">
        <v>32</v>
      </c>
      <c r="O1013" s="217" t="s">
        <v>68</v>
      </c>
      <c r="P1013" s="217" t="s">
        <v>34</v>
      </c>
      <c r="Q1013" s="217" t="s">
        <v>35</v>
      </c>
      <c r="R1013" s="217" t="s">
        <v>23</v>
      </c>
      <c r="S1013" s="217" t="s">
        <v>22</v>
      </c>
      <c r="T1013" s="217" t="s">
        <v>36</v>
      </c>
      <c r="U1013" s="217" t="s">
        <v>37</v>
      </c>
      <c r="V1013" s="217" t="s">
        <v>249</v>
      </c>
      <c r="W1013" s="217" t="s">
        <v>250</v>
      </c>
    </row>
    <row r="1014" spans="1:23" x14ac:dyDescent="0.25">
      <c r="A1014" s="217" t="s">
        <v>22</v>
      </c>
      <c r="B1014" s="217" t="s">
        <v>23</v>
      </c>
      <c r="C1014" s="217" t="s">
        <v>37</v>
      </c>
      <c r="D1014" s="217" t="s">
        <v>36</v>
      </c>
      <c r="E1014" s="217" t="s">
        <v>547</v>
      </c>
      <c r="F1014" s="217" t="s">
        <v>548</v>
      </c>
      <c r="G1014" s="217" t="s">
        <v>556</v>
      </c>
      <c r="H1014" s="217" t="s">
        <v>1418</v>
      </c>
      <c r="I1014" s="217" t="s">
        <v>29</v>
      </c>
      <c r="J1014" s="217" t="s">
        <v>1858</v>
      </c>
      <c r="K1014" s="217">
        <v>5</v>
      </c>
      <c r="L1014" s="217">
        <v>27</v>
      </c>
      <c r="M1014" s="217" t="s">
        <v>31</v>
      </c>
      <c r="N1014" s="217" t="s">
        <v>32</v>
      </c>
      <c r="O1014" s="217" t="s">
        <v>68</v>
      </c>
      <c r="P1014" s="217" t="s">
        <v>34</v>
      </c>
      <c r="Q1014" s="217" t="s">
        <v>35</v>
      </c>
      <c r="R1014" s="217" t="s">
        <v>23</v>
      </c>
      <c r="S1014" s="217" t="s">
        <v>22</v>
      </c>
      <c r="T1014" s="217" t="s">
        <v>36</v>
      </c>
      <c r="U1014" s="217" t="s">
        <v>37</v>
      </c>
      <c r="V1014" s="217" t="s">
        <v>249</v>
      </c>
      <c r="W1014" s="217" t="s">
        <v>250</v>
      </c>
    </row>
    <row r="1015" spans="1:23" x14ac:dyDescent="0.25">
      <c r="A1015" s="217" t="s">
        <v>22</v>
      </c>
      <c r="B1015" s="217" t="s">
        <v>23</v>
      </c>
      <c r="C1015" s="217" t="s">
        <v>37</v>
      </c>
      <c r="D1015" s="217" t="s">
        <v>36</v>
      </c>
      <c r="E1015" s="217" t="s">
        <v>547</v>
      </c>
      <c r="F1015" s="217" t="s">
        <v>548</v>
      </c>
      <c r="G1015" s="217" t="s">
        <v>557</v>
      </c>
      <c r="H1015" s="217" t="s">
        <v>1419</v>
      </c>
      <c r="I1015" s="217" t="s">
        <v>29</v>
      </c>
      <c r="J1015" s="217" t="s">
        <v>1855</v>
      </c>
      <c r="K1015" s="217">
        <v>17</v>
      </c>
      <c r="L1015" s="217">
        <v>120</v>
      </c>
      <c r="M1015" s="217" t="s">
        <v>31</v>
      </c>
      <c r="N1015" s="217" t="s">
        <v>32</v>
      </c>
      <c r="O1015" s="217" t="s">
        <v>68</v>
      </c>
      <c r="P1015" s="217" t="s">
        <v>34</v>
      </c>
      <c r="Q1015" s="217" t="s">
        <v>35</v>
      </c>
      <c r="R1015" s="217" t="s">
        <v>23</v>
      </c>
      <c r="S1015" s="217" t="s">
        <v>22</v>
      </c>
      <c r="T1015" s="217" t="s">
        <v>36</v>
      </c>
      <c r="U1015" s="217" t="s">
        <v>37</v>
      </c>
      <c r="V1015" s="217" t="s">
        <v>249</v>
      </c>
      <c r="W1015" s="217" t="s">
        <v>250</v>
      </c>
    </row>
    <row r="1016" spans="1:23" x14ac:dyDescent="0.25">
      <c r="A1016" s="217" t="s">
        <v>22</v>
      </c>
      <c r="B1016" s="217" t="s">
        <v>23</v>
      </c>
      <c r="C1016" s="217" t="s">
        <v>37</v>
      </c>
      <c r="D1016" s="217" t="s">
        <v>36</v>
      </c>
      <c r="E1016" s="217" t="s">
        <v>547</v>
      </c>
      <c r="F1016" s="217" t="s">
        <v>548</v>
      </c>
      <c r="G1016" s="217" t="s">
        <v>557</v>
      </c>
      <c r="H1016" s="217" t="s">
        <v>1419</v>
      </c>
      <c r="I1016" s="217" t="s">
        <v>29</v>
      </c>
      <c r="J1016" s="217" t="s">
        <v>1856</v>
      </c>
      <c r="K1016" s="217">
        <v>7</v>
      </c>
      <c r="L1016" s="217">
        <v>48</v>
      </c>
      <c r="M1016" s="217" t="s">
        <v>31</v>
      </c>
      <c r="N1016" s="217" t="s">
        <v>32</v>
      </c>
      <c r="O1016" s="217" t="s">
        <v>68</v>
      </c>
      <c r="P1016" s="217" t="s">
        <v>34</v>
      </c>
      <c r="Q1016" s="217" t="s">
        <v>35</v>
      </c>
      <c r="R1016" s="217" t="s">
        <v>23</v>
      </c>
      <c r="S1016" s="217" t="s">
        <v>22</v>
      </c>
      <c r="T1016" s="217" t="s">
        <v>36</v>
      </c>
      <c r="U1016" s="217" t="s">
        <v>37</v>
      </c>
      <c r="V1016" s="217" t="s">
        <v>249</v>
      </c>
      <c r="W1016" s="217" t="s">
        <v>250</v>
      </c>
    </row>
    <row r="1017" spans="1:23" x14ac:dyDescent="0.25">
      <c r="A1017" s="217" t="s">
        <v>22</v>
      </c>
      <c r="B1017" s="217" t="s">
        <v>23</v>
      </c>
      <c r="C1017" s="217" t="s">
        <v>37</v>
      </c>
      <c r="D1017" s="217" t="s">
        <v>36</v>
      </c>
      <c r="E1017" s="217" t="s">
        <v>547</v>
      </c>
      <c r="F1017" s="217" t="s">
        <v>548</v>
      </c>
      <c r="G1017" s="217" t="s">
        <v>557</v>
      </c>
      <c r="H1017" s="217" t="s">
        <v>1419</v>
      </c>
      <c r="I1017" s="217" t="s">
        <v>29</v>
      </c>
      <c r="J1017" s="217" t="s">
        <v>1857</v>
      </c>
      <c r="K1017" s="217">
        <v>81</v>
      </c>
      <c r="L1017" s="217">
        <v>650</v>
      </c>
      <c r="M1017" s="217" t="s">
        <v>31</v>
      </c>
      <c r="N1017" s="217" t="s">
        <v>32</v>
      </c>
      <c r="O1017" s="217" t="s">
        <v>33</v>
      </c>
      <c r="P1017" s="217" t="s">
        <v>34</v>
      </c>
      <c r="Q1017" s="217" t="s">
        <v>35</v>
      </c>
      <c r="R1017" s="217" t="s">
        <v>23</v>
      </c>
      <c r="S1017" s="217" t="s">
        <v>22</v>
      </c>
      <c r="T1017" s="217" t="s">
        <v>47</v>
      </c>
      <c r="U1017" s="217" t="s">
        <v>48</v>
      </c>
      <c r="V1017" s="217" t="s">
        <v>231</v>
      </c>
      <c r="W1017" s="217" t="s">
        <v>232</v>
      </c>
    </row>
    <row r="1018" spans="1:23" x14ac:dyDescent="0.25">
      <c r="A1018" s="217" t="s">
        <v>22</v>
      </c>
      <c r="B1018" s="217" t="s">
        <v>23</v>
      </c>
      <c r="C1018" s="217" t="s">
        <v>37</v>
      </c>
      <c r="D1018" s="217" t="s">
        <v>36</v>
      </c>
      <c r="E1018" s="217" t="s">
        <v>547</v>
      </c>
      <c r="F1018" s="217" t="s">
        <v>548</v>
      </c>
      <c r="G1018" s="217" t="s">
        <v>557</v>
      </c>
      <c r="H1018" s="217" t="s">
        <v>1419</v>
      </c>
      <c r="I1018" s="217" t="s">
        <v>29</v>
      </c>
      <c r="J1018" s="217" t="s">
        <v>1858</v>
      </c>
      <c r="K1018" s="217">
        <v>6</v>
      </c>
      <c r="L1018" s="217">
        <v>18</v>
      </c>
      <c r="M1018" s="217" t="s">
        <v>31</v>
      </c>
      <c r="N1018" s="217" t="s">
        <v>32</v>
      </c>
      <c r="O1018" s="217" t="s">
        <v>68</v>
      </c>
      <c r="P1018" s="217" t="s">
        <v>34</v>
      </c>
      <c r="Q1018" s="217" t="s">
        <v>35</v>
      </c>
      <c r="R1018" s="217" t="s">
        <v>23</v>
      </c>
      <c r="S1018" s="217" t="s">
        <v>22</v>
      </c>
      <c r="T1018" s="217" t="s">
        <v>36</v>
      </c>
      <c r="U1018" s="217" t="s">
        <v>37</v>
      </c>
      <c r="V1018" s="217" t="s">
        <v>249</v>
      </c>
      <c r="W1018" s="217" t="s">
        <v>250</v>
      </c>
    </row>
    <row r="1019" spans="1:23" x14ac:dyDescent="0.25">
      <c r="A1019" s="217" t="s">
        <v>22</v>
      </c>
      <c r="B1019" s="217" t="s">
        <v>23</v>
      </c>
      <c r="C1019" s="217" t="s">
        <v>37</v>
      </c>
      <c r="D1019" s="217" t="s">
        <v>36</v>
      </c>
      <c r="E1019" s="217" t="s">
        <v>547</v>
      </c>
      <c r="F1019" s="217" t="s">
        <v>548</v>
      </c>
      <c r="G1019" s="217" t="s">
        <v>845</v>
      </c>
      <c r="H1019" s="217" t="s">
        <v>1840</v>
      </c>
      <c r="I1019" s="217" t="s">
        <v>29</v>
      </c>
      <c r="J1019" s="217" t="s">
        <v>1857</v>
      </c>
      <c r="K1019" s="217">
        <v>7</v>
      </c>
      <c r="L1019" s="217">
        <v>44</v>
      </c>
      <c r="M1019" s="217" t="s">
        <v>31</v>
      </c>
      <c r="N1019" s="217" t="s">
        <v>32</v>
      </c>
      <c r="O1019" s="217" t="s">
        <v>68</v>
      </c>
      <c r="P1019" s="217" t="s">
        <v>34</v>
      </c>
      <c r="Q1019" s="217" t="s">
        <v>35</v>
      </c>
      <c r="R1019" s="217" t="s">
        <v>23</v>
      </c>
      <c r="S1019" s="217" t="s">
        <v>22</v>
      </c>
      <c r="T1019" s="217" t="s">
        <v>36</v>
      </c>
      <c r="U1019" s="217" t="s">
        <v>37</v>
      </c>
      <c r="V1019" s="217" t="s">
        <v>249</v>
      </c>
      <c r="W1019" s="217" t="s">
        <v>250</v>
      </c>
    </row>
    <row r="1020" spans="1:23" x14ac:dyDescent="0.25">
      <c r="A1020" s="217" t="s">
        <v>22</v>
      </c>
      <c r="B1020" s="217" t="s">
        <v>23</v>
      </c>
      <c r="C1020" s="217" t="s">
        <v>37</v>
      </c>
      <c r="D1020" s="217" t="s">
        <v>36</v>
      </c>
      <c r="E1020" s="217" t="s">
        <v>547</v>
      </c>
      <c r="F1020" s="217" t="s">
        <v>548</v>
      </c>
      <c r="G1020" s="217" t="s">
        <v>845</v>
      </c>
      <c r="H1020" s="217" t="s">
        <v>1840</v>
      </c>
      <c r="I1020" s="217" t="s">
        <v>29</v>
      </c>
      <c r="J1020" s="217" t="s">
        <v>1858</v>
      </c>
      <c r="K1020" s="217">
        <v>3</v>
      </c>
      <c r="L1020" s="217">
        <v>5</v>
      </c>
      <c r="M1020" s="217" t="s">
        <v>31</v>
      </c>
      <c r="N1020" s="217" t="s">
        <v>32</v>
      </c>
      <c r="O1020" s="217" t="s">
        <v>33</v>
      </c>
      <c r="P1020" s="217" t="s">
        <v>34</v>
      </c>
      <c r="Q1020" s="217" t="s">
        <v>35</v>
      </c>
      <c r="R1020" s="217" t="s">
        <v>23</v>
      </c>
      <c r="S1020" s="217" t="s">
        <v>22</v>
      </c>
      <c r="T1020" s="217" t="s">
        <v>47</v>
      </c>
      <c r="U1020" s="217" t="s">
        <v>48</v>
      </c>
      <c r="V1020" s="217" t="s">
        <v>231</v>
      </c>
      <c r="W1020" s="217" t="s">
        <v>232</v>
      </c>
    </row>
    <row r="1021" spans="1:23" x14ac:dyDescent="0.25">
      <c r="A1021" s="217" t="s">
        <v>22</v>
      </c>
      <c r="B1021" s="217" t="s">
        <v>23</v>
      </c>
      <c r="C1021" s="217" t="s">
        <v>37</v>
      </c>
      <c r="D1021" s="217" t="s">
        <v>36</v>
      </c>
      <c r="E1021" s="217" t="s">
        <v>547</v>
      </c>
      <c r="F1021" s="217" t="s">
        <v>548</v>
      </c>
      <c r="G1021" s="217" t="s">
        <v>558</v>
      </c>
      <c r="H1021" s="217" t="s">
        <v>1420</v>
      </c>
      <c r="I1021" s="217" t="s">
        <v>29</v>
      </c>
      <c r="J1021" s="217" t="s">
        <v>1855</v>
      </c>
      <c r="K1021" s="217">
        <v>9</v>
      </c>
      <c r="L1021" s="217">
        <v>78</v>
      </c>
      <c r="M1021" s="217" t="s">
        <v>31</v>
      </c>
      <c r="N1021" s="217" t="s">
        <v>32</v>
      </c>
      <c r="O1021" s="217" t="s">
        <v>68</v>
      </c>
      <c r="P1021" s="217" t="s">
        <v>34</v>
      </c>
      <c r="Q1021" s="217" t="s">
        <v>35</v>
      </c>
      <c r="R1021" s="217" t="s">
        <v>23</v>
      </c>
      <c r="S1021" s="217" t="s">
        <v>22</v>
      </c>
      <c r="T1021" s="217" t="s">
        <v>36</v>
      </c>
      <c r="U1021" s="217" t="s">
        <v>37</v>
      </c>
      <c r="V1021" s="217" t="s">
        <v>249</v>
      </c>
      <c r="W1021" s="217" t="s">
        <v>250</v>
      </c>
    </row>
    <row r="1022" spans="1:23" x14ac:dyDescent="0.25">
      <c r="A1022" s="217" t="s">
        <v>22</v>
      </c>
      <c r="B1022" s="217" t="s">
        <v>23</v>
      </c>
      <c r="C1022" s="217" t="s">
        <v>37</v>
      </c>
      <c r="D1022" s="217" t="s">
        <v>36</v>
      </c>
      <c r="E1022" s="217" t="s">
        <v>547</v>
      </c>
      <c r="F1022" s="217" t="s">
        <v>548</v>
      </c>
      <c r="G1022" s="217" t="s">
        <v>558</v>
      </c>
      <c r="H1022" s="217" t="s">
        <v>1420</v>
      </c>
      <c r="I1022" s="217" t="s">
        <v>29</v>
      </c>
      <c r="J1022" s="217" t="s">
        <v>1856</v>
      </c>
      <c r="K1022" s="217">
        <v>8</v>
      </c>
      <c r="L1022" s="217">
        <v>65</v>
      </c>
      <c r="M1022" s="217" t="s">
        <v>31</v>
      </c>
      <c r="N1022" s="217" t="s">
        <v>32</v>
      </c>
      <c r="O1022" s="217" t="s">
        <v>68</v>
      </c>
      <c r="P1022" s="217" t="s">
        <v>34</v>
      </c>
      <c r="Q1022" s="217" t="s">
        <v>35</v>
      </c>
      <c r="R1022" s="217" t="s">
        <v>23</v>
      </c>
      <c r="S1022" s="217" t="s">
        <v>22</v>
      </c>
      <c r="T1022" s="217" t="s">
        <v>36</v>
      </c>
      <c r="U1022" s="217" t="s">
        <v>37</v>
      </c>
      <c r="V1022" s="217" t="s">
        <v>249</v>
      </c>
      <c r="W1022" s="217" t="s">
        <v>250</v>
      </c>
    </row>
    <row r="1023" spans="1:23" x14ac:dyDescent="0.25">
      <c r="A1023" s="217" t="s">
        <v>22</v>
      </c>
      <c r="B1023" s="217" t="s">
        <v>23</v>
      </c>
      <c r="C1023" s="217" t="s">
        <v>37</v>
      </c>
      <c r="D1023" s="217" t="s">
        <v>36</v>
      </c>
      <c r="E1023" s="217" t="s">
        <v>547</v>
      </c>
      <c r="F1023" s="217" t="s">
        <v>548</v>
      </c>
      <c r="G1023" s="217" t="s">
        <v>558</v>
      </c>
      <c r="H1023" s="217" t="s">
        <v>1420</v>
      </c>
      <c r="I1023" s="217" t="s">
        <v>29</v>
      </c>
      <c r="J1023" s="217" t="s">
        <v>1857</v>
      </c>
      <c r="K1023" s="217">
        <v>6</v>
      </c>
      <c r="L1023" s="217">
        <v>51</v>
      </c>
      <c r="M1023" s="217" t="s">
        <v>31</v>
      </c>
      <c r="N1023" s="217" t="s">
        <v>32</v>
      </c>
      <c r="O1023" s="217" t="s">
        <v>68</v>
      </c>
      <c r="P1023" s="217" t="s">
        <v>34</v>
      </c>
      <c r="Q1023" s="217" t="s">
        <v>35</v>
      </c>
      <c r="R1023" s="217" t="s">
        <v>23</v>
      </c>
      <c r="S1023" s="217" t="s">
        <v>22</v>
      </c>
      <c r="T1023" s="217" t="s">
        <v>36</v>
      </c>
      <c r="U1023" s="217" t="s">
        <v>37</v>
      </c>
      <c r="V1023" s="217" t="s">
        <v>249</v>
      </c>
      <c r="W1023" s="217" t="s">
        <v>250</v>
      </c>
    </row>
    <row r="1024" spans="1:23" x14ac:dyDescent="0.25">
      <c r="A1024" s="217" t="s">
        <v>22</v>
      </c>
      <c r="B1024" s="217" t="s">
        <v>23</v>
      </c>
      <c r="C1024" s="217" t="s">
        <v>37</v>
      </c>
      <c r="D1024" s="217" t="s">
        <v>36</v>
      </c>
      <c r="E1024" s="217" t="s">
        <v>547</v>
      </c>
      <c r="F1024" s="217" t="s">
        <v>548</v>
      </c>
      <c r="G1024" s="217" t="s">
        <v>558</v>
      </c>
      <c r="H1024" s="217" t="s">
        <v>1420</v>
      </c>
      <c r="I1024" s="217" t="s">
        <v>29</v>
      </c>
      <c r="J1024" s="217" t="s">
        <v>1858</v>
      </c>
      <c r="K1024" s="217">
        <v>7</v>
      </c>
      <c r="L1024" s="217">
        <v>27</v>
      </c>
      <c r="M1024" s="217" t="s">
        <v>31</v>
      </c>
      <c r="N1024" s="217" t="s">
        <v>32</v>
      </c>
      <c r="O1024" s="217" t="s">
        <v>68</v>
      </c>
      <c r="P1024" s="217" t="s">
        <v>34</v>
      </c>
      <c r="Q1024" s="217" t="s">
        <v>35</v>
      </c>
      <c r="R1024" s="217" t="s">
        <v>23</v>
      </c>
      <c r="S1024" s="217" t="s">
        <v>22</v>
      </c>
      <c r="T1024" s="217" t="s">
        <v>36</v>
      </c>
      <c r="U1024" s="217" t="s">
        <v>37</v>
      </c>
      <c r="V1024" s="217" t="s">
        <v>249</v>
      </c>
      <c r="W1024" s="217" t="s">
        <v>250</v>
      </c>
    </row>
    <row r="1025" spans="1:23" x14ac:dyDescent="0.25">
      <c r="A1025" s="217" t="s">
        <v>22</v>
      </c>
      <c r="B1025" s="217" t="s">
        <v>23</v>
      </c>
      <c r="C1025" s="217" t="s">
        <v>37</v>
      </c>
      <c r="D1025" s="217" t="s">
        <v>36</v>
      </c>
      <c r="E1025" s="217" t="s">
        <v>547</v>
      </c>
      <c r="F1025" s="217" t="s">
        <v>548</v>
      </c>
      <c r="G1025" s="217" t="s">
        <v>559</v>
      </c>
      <c r="H1025" s="217" t="s">
        <v>1421</v>
      </c>
      <c r="I1025" s="217" t="s">
        <v>29</v>
      </c>
      <c r="J1025" s="217" t="s">
        <v>1855</v>
      </c>
      <c r="K1025" s="217">
        <v>42</v>
      </c>
      <c r="L1025" s="217">
        <v>289</v>
      </c>
      <c r="M1025" s="217" t="s">
        <v>31</v>
      </c>
      <c r="N1025" s="217" t="s">
        <v>32</v>
      </c>
      <c r="O1025" s="217" t="s">
        <v>68</v>
      </c>
      <c r="P1025" s="217" t="s">
        <v>34</v>
      </c>
      <c r="Q1025" s="217" t="s">
        <v>35</v>
      </c>
      <c r="R1025" s="217" t="s">
        <v>23</v>
      </c>
      <c r="S1025" s="217" t="s">
        <v>22</v>
      </c>
      <c r="T1025" s="217" t="s">
        <v>36</v>
      </c>
      <c r="U1025" s="217" t="s">
        <v>37</v>
      </c>
      <c r="V1025" s="217" t="s">
        <v>249</v>
      </c>
      <c r="W1025" s="217" t="s">
        <v>250</v>
      </c>
    </row>
    <row r="1026" spans="1:23" x14ac:dyDescent="0.25">
      <c r="A1026" s="217" t="s">
        <v>22</v>
      </c>
      <c r="B1026" s="217" t="s">
        <v>23</v>
      </c>
      <c r="C1026" s="217" t="s">
        <v>37</v>
      </c>
      <c r="D1026" s="217" t="s">
        <v>36</v>
      </c>
      <c r="E1026" s="217" t="s">
        <v>547</v>
      </c>
      <c r="F1026" s="217" t="s">
        <v>548</v>
      </c>
      <c r="G1026" s="217" t="s">
        <v>559</v>
      </c>
      <c r="H1026" s="217" t="s">
        <v>1421</v>
      </c>
      <c r="I1026" s="217" t="s">
        <v>29</v>
      </c>
      <c r="J1026" s="217" t="s">
        <v>1856</v>
      </c>
      <c r="K1026" s="217">
        <v>47</v>
      </c>
      <c r="L1026" s="217">
        <v>358</v>
      </c>
      <c r="M1026" s="217" t="s">
        <v>31</v>
      </c>
      <c r="N1026" s="217" t="s">
        <v>32</v>
      </c>
      <c r="O1026" s="217" t="s">
        <v>68</v>
      </c>
      <c r="P1026" s="217" t="s">
        <v>34</v>
      </c>
      <c r="Q1026" s="217" t="s">
        <v>35</v>
      </c>
      <c r="R1026" s="217" t="s">
        <v>23</v>
      </c>
      <c r="S1026" s="217" t="s">
        <v>22</v>
      </c>
      <c r="T1026" s="217" t="s">
        <v>36</v>
      </c>
      <c r="U1026" s="217" t="s">
        <v>37</v>
      </c>
      <c r="V1026" s="217" t="s">
        <v>249</v>
      </c>
      <c r="W1026" s="217" t="s">
        <v>250</v>
      </c>
    </row>
    <row r="1027" spans="1:23" x14ac:dyDescent="0.25">
      <c r="A1027" s="217" t="s">
        <v>22</v>
      </c>
      <c r="B1027" s="217" t="s">
        <v>23</v>
      </c>
      <c r="C1027" s="217" t="s">
        <v>37</v>
      </c>
      <c r="D1027" s="217" t="s">
        <v>36</v>
      </c>
      <c r="E1027" s="217" t="s">
        <v>547</v>
      </c>
      <c r="F1027" s="217" t="s">
        <v>548</v>
      </c>
      <c r="G1027" s="217" t="s">
        <v>559</v>
      </c>
      <c r="H1027" s="217" t="s">
        <v>1421</v>
      </c>
      <c r="I1027" s="217" t="s">
        <v>29</v>
      </c>
      <c r="J1027" s="217" t="s">
        <v>1857</v>
      </c>
      <c r="K1027" s="217">
        <v>109</v>
      </c>
      <c r="L1027" s="217">
        <v>733</v>
      </c>
      <c r="M1027" s="217" t="s">
        <v>31</v>
      </c>
      <c r="N1027" s="217" t="s">
        <v>32</v>
      </c>
      <c r="O1027" s="217" t="s">
        <v>68</v>
      </c>
      <c r="P1027" s="217" t="s">
        <v>34</v>
      </c>
      <c r="Q1027" s="217" t="s">
        <v>35</v>
      </c>
      <c r="R1027" s="217" t="s">
        <v>23</v>
      </c>
      <c r="S1027" s="217" t="s">
        <v>22</v>
      </c>
      <c r="T1027" s="217" t="s">
        <v>36</v>
      </c>
      <c r="U1027" s="217" t="s">
        <v>37</v>
      </c>
      <c r="V1027" s="217" t="s">
        <v>249</v>
      </c>
      <c r="W1027" s="217" t="s">
        <v>250</v>
      </c>
    </row>
    <row r="1028" spans="1:23" x14ac:dyDescent="0.25">
      <c r="A1028" s="217" t="s">
        <v>22</v>
      </c>
      <c r="B1028" s="217" t="s">
        <v>23</v>
      </c>
      <c r="C1028" s="217" t="s">
        <v>37</v>
      </c>
      <c r="D1028" s="217" t="s">
        <v>36</v>
      </c>
      <c r="E1028" s="217" t="s">
        <v>547</v>
      </c>
      <c r="F1028" s="217" t="s">
        <v>548</v>
      </c>
      <c r="G1028" s="217" t="s">
        <v>559</v>
      </c>
      <c r="H1028" s="217" t="s">
        <v>1421</v>
      </c>
      <c r="I1028" s="217" t="s">
        <v>29</v>
      </c>
      <c r="J1028" s="217" t="s">
        <v>1858</v>
      </c>
      <c r="K1028" s="217">
        <v>26</v>
      </c>
      <c r="L1028" s="217">
        <v>54</v>
      </c>
      <c r="M1028" s="217" t="s">
        <v>31</v>
      </c>
      <c r="N1028" s="217" t="s">
        <v>32</v>
      </c>
      <c r="O1028" s="217" t="s">
        <v>68</v>
      </c>
      <c r="P1028" s="217" t="s">
        <v>34</v>
      </c>
      <c r="Q1028" s="217" t="s">
        <v>35</v>
      </c>
      <c r="R1028" s="217" t="s">
        <v>23</v>
      </c>
      <c r="S1028" s="217" t="s">
        <v>22</v>
      </c>
      <c r="T1028" s="217" t="s">
        <v>36</v>
      </c>
      <c r="U1028" s="217" t="s">
        <v>37</v>
      </c>
      <c r="V1028" s="217" t="s">
        <v>249</v>
      </c>
      <c r="W1028" s="217" t="s">
        <v>250</v>
      </c>
    </row>
    <row r="1029" spans="1:23" x14ac:dyDescent="0.25">
      <c r="A1029" s="217" t="s">
        <v>22</v>
      </c>
      <c r="B1029" s="217" t="s">
        <v>23</v>
      </c>
      <c r="C1029" s="217" t="s">
        <v>37</v>
      </c>
      <c r="D1029" s="217" t="s">
        <v>36</v>
      </c>
      <c r="E1029" s="217" t="s">
        <v>547</v>
      </c>
      <c r="F1029" s="217" t="s">
        <v>548</v>
      </c>
      <c r="G1029" s="217" t="s">
        <v>560</v>
      </c>
      <c r="H1029" s="217" t="s">
        <v>1422</v>
      </c>
      <c r="I1029" s="217" t="s">
        <v>29</v>
      </c>
      <c r="J1029" s="217" t="s">
        <v>1855</v>
      </c>
      <c r="K1029" s="217">
        <v>6</v>
      </c>
      <c r="L1029" s="217">
        <v>49</v>
      </c>
      <c r="M1029" s="217" t="s">
        <v>31</v>
      </c>
      <c r="N1029" s="217" t="s">
        <v>32</v>
      </c>
      <c r="O1029" s="217" t="s">
        <v>68</v>
      </c>
      <c r="P1029" s="217" t="s">
        <v>34</v>
      </c>
      <c r="Q1029" s="217" t="s">
        <v>35</v>
      </c>
      <c r="R1029" s="217" t="s">
        <v>23</v>
      </c>
      <c r="S1029" s="217" t="s">
        <v>22</v>
      </c>
      <c r="T1029" s="217" t="s">
        <v>36</v>
      </c>
      <c r="U1029" s="217" t="s">
        <v>37</v>
      </c>
      <c r="V1029" s="217" t="s">
        <v>249</v>
      </c>
      <c r="W1029" s="217" t="s">
        <v>250</v>
      </c>
    </row>
    <row r="1030" spans="1:23" x14ac:dyDescent="0.25">
      <c r="A1030" s="217" t="s">
        <v>22</v>
      </c>
      <c r="B1030" s="217" t="s">
        <v>23</v>
      </c>
      <c r="C1030" s="217" t="s">
        <v>37</v>
      </c>
      <c r="D1030" s="217" t="s">
        <v>36</v>
      </c>
      <c r="E1030" s="217" t="s">
        <v>547</v>
      </c>
      <c r="F1030" s="217" t="s">
        <v>548</v>
      </c>
      <c r="G1030" s="217" t="s">
        <v>560</v>
      </c>
      <c r="H1030" s="217" t="s">
        <v>1422</v>
      </c>
      <c r="I1030" s="217" t="s">
        <v>29</v>
      </c>
      <c r="J1030" s="217" t="s">
        <v>1856</v>
      </c>
      <c r="K1030" s="217">
        <v>4</v>
      </c>
      <c r="L1030" s="217">
        <v>35</v>
      </c>
      <c r="M1030" s="217" t="s">
        <v>31</v>
      </c>
      <c r="N1030" s="217" t="s">
        <v>32</v>
      </c>
      <c r="O1030" s="217" t="s">
        <v>33</v>
      </c>
      <c r="P1030" s="217" t="s">
        <v>34</v>
      </c>
      <c r="Q1030" s="217" t="s">
        <v>35</v>
      </c>
      <c r="R1030" s="217" t="s">
        <v>23</v>
      </c>
      <c r="S1030" s="217" t="s">
        <v>22</v>
      </c>
      <c r="T1030" s="217" t="s">
        <v>47</v>
      </c>
      <c r="U1030" s="217" t="s">
        <v>48</v>
      </c>
      <c r="V1030" s="217" t="s">
        <v>231</v>
      </c>
      <c r="W1030" s="217" t="s">
        <v>232</v>
      </c>
    </row>
    <row r="1031" spans="1:23" x14ac:dyDescent="0.25">
      <c r="A1031" s="217" t="s">
        <v>22</v>
      </c>
      <c r="B1031" s="217" t="s">
        <v>23</v>
      </c>
      <c r="C1031" s="217" t="s">
        <v>37</v>
      </c>
      <c r="D1031" s="217" t="s">
        <v>36</v>
      </c>
      <c r="E1031" s="217" t="s">
        <v>547</v>
      </c>
      <c r="F1031" s="217" t="s">
        <v>548</v>
      </c>
      <c r="G1031" s="217" t="s">
        <v>560</v>
      </c>
      <c r="H1031" s="217" t="s">
        <v>1422</v>
      </c>
      <c r="I1031" s="217" t="s">
        <v>29</v>
      </c>
      <c r="J1031" s="217" t="s">
        <v>1857</v>
      </c>
      <c r="K1031" s="217">
        <v>10</v>
      </c>
      <c r="L1031" s="217">
        <v>94</v>
      </c>
      <c r="M1031" s="217" t="s">
        <v>31</v>
      </c>
      <c r="N1031" s="217" t="s">
        <v>32</v>
      </c>
      <c r="O1031" s="217" t="s">
        <v>68</v>
      </c>
      <c r="P1031" s="217" t="s">
        <v>34</v>
      </c>
      <c r="Q1031" s="217" t="s">
        <v>35</v>
      </c>
      <c r="R1031" s="217" t="s">
        <v>23</v>
      </c>
      <c r="S1031" s="217" t="s">
        <v>22</v>
      </c>
      <c r="T1031" s="217" t="s">
        <v>36</v>
      </c>
      <c r="U1031" s="217" t="s">
        <v>37</v>
      </c>
      <c r="V1031" s="217" t="s">
        <v>249</v>
      </c>
      <c r="W1031" s="217" t="s">
        <v>250</v>
      </c>
    </row>
    <row r="1032" spans="1:23" x14ac:dyDescent="0.25">
      <c r="A1032" s="217" t="s">
        <v>22</v>
      </c>
      <c r="B1032" s="217" t="s">
        <v>23</v>
      </c>
      <c r="C1032" s="217" t="s">
        <v>37</v>
      </c>
      <c r="D1032" s="217" t="s">
        <v>36</v>
      </c>
      <c r="E1032" s="217" t="s">
        <v>547</v>
      </c>
      <c r="F1032" s="217" t="s">
        <v>548</v>
      </c>
      <c r="G1032" s="217" t="s">
        <v>560</v>
      </c>
      <c r="H1032" s="217" t="s">
        <v>1422</v>
      </c>
      <c r="I1032" s="217" t="s">
        <v>29</v>
      </c>
      <c r="J1032" s="217" t="s">
        <v>1858</v>
      </c>
      <c r="K1032" s="217">
        <v>20</v>
      </c>
      <c r="L1032" s="217">
        <v>109</v>
      </c>
      <c r="M1032" s="217" t="s">
        <v>31</v>
      </c>
      <c r="N1032" s="217" t="s">
        <v>32</v>
      </c>
      <c r="O1032" s="217" t="s">
        <v>68</v>
      </c>
      <c r="P1032" s="217" t="s">
        <v>34</v>
      </c>
      <c r="Q1032" s="217" t="s">
        <v>35</v>
      </c>
      <c r="R1032" s="217" t="s">
        <v>23</v>
      </c>
      <c r="S1032" s="217" t="s">
        <v>22</v>
      </c>
      <c r="T1032" s="217" t="s">
        <v>36</v>
      </c>
      <c r="U1032" s="217" t="s">
        <v>37</v>
      </c>
      <c r="V1032" s="217" t="s">
        <v>249</v>
      </c>
      <c r="W1032" s="217" t="s">
        <v>250</v>
      </c>
    </row>
    <row r="1033" spans="1:23" x14ac:dyDescent="0.25">
      <c r="A1033" s="217" t="s">
        <v>22</v>
      </c>
      <c r="B1033" s="217" t="s">
        <v>23</v>
      </c>
      <c r="C1033" s="217" t="s">
        <v>37</v>
      </c>
      <c r="D1033" s="217" t="s">
        <v>36</v>
      </c>
      <c r="E1033" s="217" t="s">
        <v>547</v>
      </c>
      <c r="F1033" s="217" t="s">
        <v>548</v>
      </c>
      <c r="G1033" s="217" t="s">
        <v>561</v>
      </c>
      <c r="H1033" s="217" t="s">
        <v>1423</v>
      </c>
      <c r="I1033" s="217" t="s">
        <v>29</v>
      </c>
      <c r="J1033" s="217" t="s">
        <v>1855</v>
      </c>
      <c r="K1033" s="217">
        <v>15</v>
      </c>
      <c r="L1033" s="217">
        <v>117</v>
      </c>
      <c r="M1033" s="217" t="s">
        <v>31</v>
      </c>
      <c r="N1033" s="217" t="s">
        <v>32</v>
      </c>
      <c r="O1033" s="217" t="s">
        <v>68</v>
      </c>
      <c r="P1033" s="217" t="s">
        <v>34</v>
      </c>
      <c r="Q1033" s="217" t="s">
        <v>35</v>
      </c>
      <c r="R1033" s="217" t="s">
        <v>23</v>
      </c>
      <c r="S1033" s="217" t="s">
        <v>22</v>
      </c>
      <c r="T1033" s="217" t="s">
        <v>36</v>
      </c>
      <c r="U1033" s="217" t="s">
        <v>37</v>
      </c>
      <c r="V1033" s="217" t="s">
        <v>249</v>
      </c>
      <c r="W1033" s="217" t="s">
        <v>250</v>
      </c>
    </row>
    <row r="1034" spans="1:23" x14ac:dyDescent="0.25">
      <c r="A1034" s="217" t="s">
        <v>22</v>
      </c>
      <c r="B1034" s="217" t="s">
        <v>23</v>
      </c>
      <c r="C1034" s="217" t="s">
        <v>37</v>
      </c>
      <c r="D1034" s="217" t="s">
        <v>36</v>
      </c>
      <c r="E1034" s="217" t="s">
        <v>547</v>
      </c>
      <c r="F1034" s="217" t="s">
        <v>548</v>
      </c>
      <c r="G1034" s="217" t="s">
        <v>561</v>
      </c>
      <c r="H1034" s="217" t="s">
        <v>1423</v>
      </c>
      <c r="I1034" s="217" t="s">
        <v>29</v>
      </c>
      <c r="J1034" s="217" t="s">
        <v>1856</v>
      </c>
      <c r="K1034" s="217">
        <v>17</v>
      </c>
      <c r="L1034" s="217">
        <v>139</v>
      </c>
      <c r="M1034" s="217" t="s">
        <v>31</v>
      </c>
      <c r="N1034" s="217" t="s">
        <v>32</v>
      </c>
      <c r="O1034" s="217" t="s">
        <v>68</v>
      </c>
      <c r="P1034" s="217" t="s">
        <v>34</v>
      </c>
      <c r="Q1034" s="217" t="s">
        <v>35</v>
      </c>
      <c r="R1034" s="217" t="s">
        <v>23</v>
      </c>
      <c r="S1034" s="217" t="s">
        <v>22</v>
      </c>
      <c r="T1034" s="217" t="s">
        <v>36</v>
      </c>
      <c r="U1034" s="217" t="s">
        <v>37</v>
      </c>
      <c r="V1034" s="217" t="s">
        <v>249</v>
      </c>
      <c r="W1034" s="217" t="s">
        <v>250</v>
      </c>
    </row>
    <row r="1035" spans="1:23" x14ac:dyDescent="0.25">
      <c r="A1035" s="217" t="s">
        <v>22</v>
      </c>
      <c r="B1035" s="217" t="s">
        <v>23</v>
      </c>
      <c r="C1035" s="217" t="s">
        <v>37</v>
      </c>
      <c r="D1035" s="217" t="s">
        <v>36</v>
      </c>
      <c r="E1035" s="217" t="s">
        <v>547</v>
      </c>
      <c r="F1035" s="217" t="s">
        <v>548</v>
      </c>
      <c r="G1035" s="217" t="s">
        <v>561</v>
      </c>
      <c r="H1035" s="217" t="s">
        <v>1423</v>
      </c>
      <c r="I1035" s="217" t="s">
        <v>29</v>
      </c>
      <c r="J1035" s="217" t="s">
        <v>1857</v>
      </c>
      <c r="K1035" s="217">
        <v>16</v>
      </c>
      <c r="L1035" s="217">
        <v>122</v>
      </c>
      <c r="M1035" s="217" t="s">
        <v>31</v>
      </c>
      <c r="N1035" s="217" t="s">
        <v>32</v>
      </c>
      <c r="O1035" s="217" t="s">
        <v>68</v>
      </c>
      <c r="P1035" s="217" t="s">
        <v>34</v>
      </c>
      <c r="Q1035" s="217" t="s">
        <v>35</v>
      </c>
      <c r="R1035" s="217" t="s">
        <v>23</v>
      </c>
      <c r="S1035" s="217" t="s">
        <v>22</v>
      </c>
      <c r="T1035" s="217" t="s">
        <v>36</v>
      </c>
      <c r="U1035" s="217" t="s">
        <v>37</v>
      </c>
      <c r="V1035" s="217" t="s">
        <v>249</v>
      </c>
      <c r="W1035" s="217" t="s">
        <v>250</v>
      </c>
    </row>
    <row r="1036" spans="1:23" x14ac:dyDescent="0.25">
      <c r="A1036" s="217" t="s">
        <v>22</v>
      </c>
      <c r="B1036" s="217" t="s">
        <v>23</v>
      </c>
      <c r="C1036" s="217" t="s">
        <v>37</v>
      </c>
      <c r="D1036" s="217" t="s">
        <v>36</v>
      </c>
      <c r="E1036" s="217" t="s">
        <v>547</v>
      </c>
      <c r="F1036" s="217" t="s">
        <v>548</v>
      </c>
      <c r="G1036" s="217" t="s">
        <v>561</v>
      </c>
      <c r="H1036" s="217" t="s">
        <v>1423</v>
      </c>
      <c r="I1036" s="217" t="s">
        <v>29</v>
      </c>
      <c r="J1036" s="217" t="s">
        <v>1858</v>
      </c>
      <c r="K1036" s="217">
        <v>6</v>
      </c>
      <c r="L1036" s="217">
        <v>38</v>
      </c>
      <c r="M1036" s="217" t="s">
        <v>31</v>
      </c>
      <c r="N1036" s="217" t="s">
        <v>32</v>
      </c>
      <c r="O1036" s="217" t="s">
        <v>68</v>
      </c>
      <c r="P1036" s="217" t="s">
        <v>34</v>
      </c>
      <c r="Q1036" s="217" t="s">
        <v>35</v>
      </c>
      <c r="R1036" s="217" t="s">
        <v>23</v>
      </c>
      <c r="S1036" s="217" t="s">
        <v>22</v>
      </c>
      <c r="T1036" s="217" t="s">
        <v>36</v>
      </c>
      <c r="U1036" s="217" t="s">
        <v>37</v>
      </c>
      <c r="V1036" s="217" t="s">
        <v>249</v>
      </c>
      <c r="W1036" s="217" t="s">
        <v>250</v>
      </c>
    </row>
    <row r="1037" spans="1:23" x14ac:dyDescent="0.25">
      <c r="A1037" s="217" t="s">
        <v>22</v>
      </c>
      <c r="B1037" s="217" t="s">
        <v>23</v>
      </c>
      <c r="C1037" s="217" t="s">
        <v>37</v>
      </c>
      <c r="D1037" s="217" t="s">
        <v>36</v>
      </c>
      <c r="E1037" s="217" t="s">
        <v>547</v>
      </c>
      <c r="F1037" s="217" t="s">
        <v>548</v>
      </c>
      <c r="G1037" s="217" t="s">
        <v>562</v>
      </c>
      <c r="H1037" s="217" t="s">
        <v>1424</v>
      </c>
      <c r="I1037" s="217" t="s">
        <v>29</v>
      </c>
      <c r="J1037" s="217" t="s">
        <v>1855</v>
      </c>
      <c r="K1037" s="217">
        <v>8</v>
      </c>
      <c r="L1037" s="217">
        <v>70</v>
      </c>
      <c r="M1037" s="217" t="s">
        <v>31</v>
      </c>
      <c r="N1037" s="217" t="s">
        <v>32</v>
      </c>
      <c r="O1037" s="217" t="s">
        <v>68</v>
      </c>
      <c r="P1037" s="217" t="s">
        <v>34</v>
      </c>
      <c r="Q1037" s="217" t="s">
        <v>35</v>
      </c>
      <c r="R1037" s="217" t="s">
        <v>23</v>
      </c>
      <c r="S1037" s="217" t="s">
        <v>22</v>
      </c>
      <c r="T1037" s="217" t="s">
        <v>36</v>
      </c>
      <c r="U1037" s="217" t="s">
        <v>37</v>
      </c>
      <c r="V1037" s="217" t="s">
        <v>249</v>
      </c>
      <c r="W1037" s="217" t="s">
        <v>250</v>
      </c>
    </row>
    <row r="1038" spans="1:23" x14ac:dyDescent="0.25">
      <c r="A1038" s="217" t="s">
        <v>22</v>
      </c>
      <c r="B1038" s="217" t="s">
        <v>23</v>
      </c>
      <c r="C1038" s="217" t="s">
        <v>37</v>
      </c>
      <c r="D1038" s="217" t="s">
        <v>36</v>
      </c>
      <c r="E1038" s="217" t="s">
        <v>547</v>
      </c>
      <c r="F1038" s="217" t="s">
        <v>548</v>
      </c>
      <c r="G1038" s="217" t="s">
        <v>562</v>
      </c>
      <c r="H1038" s="217" t="s">
        <v>1424</v>
      </c>
      <c r="I1038" s="217" t="s">
        <v>29</v>
      </c>
      <c r="J1038" s="217" t="s">
        <v>1856</v>
      </c>
      <c r="K1038" s="217">
        <v>11</v>
      </c>
      <c r="L1038" s="217">
        <v>106</v>
      </c>
      <c r="M1038" s="217" t="s">
        <v>31</v>
      </c>
      <c r="N1038" s="217" t="s">
        <v>32</v>
      </c>
      <c r="O1038" s="217" t="s">
        <v>68</v>
      </c>
      <c r="P1038" s="217" t="s">
        <v>34</v>
      </c>
      <c r="Q1038" s="217" t="s">
        <v>35</v>
      </c>
      <c r="R1038" s="217" t="s">
        <v>23</v>
      </c>
      <c r="S1038" s="217" t="s">
        <v>22</v>
      </c>
      <c r="T1038" s="217" t="s">
        <v>36</v>
      </c>
      <c r="U1038" s="217" t="s">
        <v>37</v>
      </c>
      <c r="V1038" s="217" t="s">
        <v>249</v>
      </c>
      <c r="W1038" s="217" t="s">
        <v>250</v>
      </c>
    </row>
    <row r="1039" spans="1:23" x14ac:dyDescent="0.25">
      <c r="A1039" s="217" t="s">
        <v>22</v>
      </c>
      <c r="B1039" s="217" t="s">
        <v>23</v>
      </c>
      <c r="C1039" s="217" t="s">
        <v>37</v>
      </c>
      <c r="D1039" s="217" t="s">
        <v>36</v>
      </c>
      <c r="E1039" s="217" t="s">
        <v>547</v>
      </c>
      <c r="F1039" s="217" t="s">
        <v>548</v>
      </c>
      <c r="G1039" s="217" t="s">
        <v>562</v>
      </c>
      <c r="H1039" s="217" t="s">
        <v>1424</v>
      </c>
      <c r="I1039" s="217" t="s">
        <v>29</v>
      </c>
      <c r="J1039" s="217" t="s">
        <v>1857</v>
      </c>
      <c r="K1039" s="217">
        <v>25</v>
      </c>
      <c r="L1039" s="217">
        <v>218</v>
      </c>
      <c r="M1039" s="217" t="s">
        <v>31</v>
      </c>
      <c r="N1039" s="217" t="s">
        <v>32</v>
      </c>
      <c r="O1039" s="217" t="s">
        <v>68</v>
      </c>
      <c r="P1039" s="217" t="s">
        <v>34</v>
      </c>
      <c r="Q1039" s="217" t="s">
        <v>35</v>
      </c>
      <c r="R1039" s="217" t="s">
        <v>23</v>
      </c>
      <c r="S1039" s="217" t="s">
        <v>22</v>
      </c>
      <c r="T1039" s="217" t="s">
        <v>36</v>
      </c>
      <c r="U1039" s="217" t="s">
        <v>37</v>
      </c>
      <c r="V1039" s="217" t="s">
        <v>249</v>
      </c>
      <c r="W1039" s="217" t="s">
        <v>250</v>
      </c>
    </row>
    <row r="1040" spans="1:23" x14ac:dyDescent="0.25">
      <c r="A1040" s="217" t="s">
        <v>22</v>
      </c>
      <c r="B1040" s="217" t="s">
        <v>23</v>
      </c>
      <c r="C1040" s="217" t="s">
        <v>37</v>
      </c>
      <c r="D1040" s="217" t="s">
        <v>36</v>
      </c>
      <c r="E1040" s="217" t="s">
        <v>547</v>
      </c>
      <c r="F1040" s="217" t="s">
        <v>548</v>
      </c>
      <c r="G1040" s="217" t="s">
        <v>562</v>
      </c>
      <c r="H1040" s="217" t="s">
        <v>1424</v>
      </c>
      <c r="I1040" s="217" t="s">
        <v>29</v>
      </c>
      <c r="J1040" s="217" t="s">
        <v>1858</v>
      </c>
      <c r="K1040" s="217">
        <v>7</v>
      </c>
      <c r="L1040" s="217">
        <v>44</v>
      </c>
      <c r="M1040" s="217" t="s">
        <v>31</v>
      </c>
      <c r="N1040" s="217" t="s">
        <v>32</v>
      </c>
      <c r="O1040" s="217" t="s">
        <v>68</v>
      </c>
      <c r="P1040" s="217" t="s">
        <v>34</v>
      </c>
      <c r="Q1040" s="217" t="s">
        <v>35</v>
      </c>
      <c r="R1040" s="217" t="s">
        <v>23</v>
      </c>
      <c r="S1040" s="217" t="s">
        <v>22</v>
      </c>
      <c r="T1040" s="217" t="s">
        <v>36</v>
      </c>
      <c r="U1040" s="217" t="s">
        <v>37</v>
      </c>
      <c r="V1040" s="217" t="s">
        <v>249</v>
      </c>
      <c r="W1040" s="217" t="s">
        <v>250</v>
      </c>
    </row>
    <row r="1041" spans="1:23" x14ac:dyDescent="0.25">
      <c r="A1041" s="217" t="s">
        <v>22</v>
      </c>
      <c r="B1041" s="217" t="s">
        <v>23</v>
      </c>
      <c r="C1041" s="217" t="s">
        <v>37</v>
      </c>
      <c r="D1041" s="217" t="s">
        <v>36</v>
      </c>
      <c r="E1041" s="217" t="s">
        <v>547</v>
      </c>
      <c r="F1041" s="217" t="s">
        <v>548</v>
      </c>
      <c r="G1041" s="217" t="s">
        <v>563</v>
      </c>
      <c r="H1041" s="217" t="s">
        <v>1425</v>
      </c>
      <c r="I1041" s="217" t="s">
        <v>29</v>
      </c>
      <c r="J1041" s="217" t="s">
        <v>1855</v>
      </c>
      <c r="K1041" s="217">
        <v>26</v>
      </c>
      <c r="L1041" s="217">
        <v>290</v>
      </c>
      <c r="M1041" s="217" t="s">
        <v>31</v>
      </c>
      <c r="N1041" s="217" t="s">
        <v>32</v>
      </c>
      <c r="O1041" s="217" t="s">
        <v>33</v>
      </c>
      <c r="P1041" s="217" t="s">
        <v>34</v>
      </c>
      <c r="Q1041" s="217" t="s">
        <v>35</v>
      </c>
      <c r="R1041" s="217" t="s">
        <v>23</v>
      </c>
      <c r="S1041" s="217" t="s">
        <v>22</v>
      </c>
      <c r="T1041" s="217" t="s">
        <v>47</v>
      </c>
      <c r="U1041" s="217" t="s">
        <v>48</v>
      </c>
      <c r="V1041" s="217" t="s">
        <v>231</v>
      </c>
      <c r="W1041" s="217" t="s">
        <v>232</v>
      </c>
    </row>
    <row r="1042" spans="1:23" x14ac:dyDescent="0.25">
      <c r="A1042" s="217" t="s">
        <v>22</v>
      </c>
      <c r="B1042" s="217" t="s">
        <v>23</v>
      </c>
      <c r="C1042" s="217" t="s">
        <v>37</v>
      </c>
      <c r="D1042" s="217" t="s">
        <v>36</v>
      </c>
      <c r="E1042" s="217" t="s">
        <v>547</v>
      </c>
      <c r="F1042" s="217" t="s">
        <v>548</v>
      </c>
      <c r="G1042" s="217" t="s">
        <v>563</v>
      </c>
      <c r="H1042" s="217" t="s">
        <v>1425</v>
      </c>
      <c r="I1042" s="217" t="s">
        <v>29</v>
      </c>
      <c r="J1042" s="217" t="s">
        <v>1856</v>
      </c>
      <c r="K1042" s="217">
        <v>56</v>
      </c>
      <c r="L1042" s="217">
        <v>420</v>
      </c>
      <c r="M1042" s="217" t="s">
        <v>31</v>
      </c>
      <c r="N1042" s="217" t="s">
        <v>32</v>
      </c>
      <c r="O1042" s="217" t="s">
        <v>33</v>
      </c>
      <c r="P1042" s="217" t="s">
        <v>34</v>
      </c>
      <c r="Q1042" s="217" t="s">
        <v>35</v>
      </c>
      <c r="R1042" s="217" t="s">
        <v>23</v>
      </c>
      <c r="S1042" s="217" t="s">
        <v>22</v>
      </c>
      <c r="T1042" s="217" t="s">
        <v>47</v>
      </c>
      <c r="U1042" s="217" t="s">
        <v>48</v>
      </c>
      <c r="V1042" s="217" t="s">
        <v>231</v>
      </c>
      <c r="W1042" s="217" t="s">
        <v>232</v>
      </c>
    </row>
    <row r="1043" spans="1:23" x14ac:dyDescent="0.25">
      <c r="A1043" s="217" t="s">
        <v>22</v>
      </c>
      <c r="B1043" s="217" t="s">
        <v>23</v>
      </c>
      <c r="C1043" s="217" t="s">
        <v>37</v>
      </c>
      <c r="D1043" s="217" t="s">
        <v>36</v>
      </c>
      <c r="E1043" s="217" t="s">
        <v>547</v>
      </c>
      <c r="F1043" s="217" t="s">
        <v>548</v>
      </c>
      <c r="G1043" s="217" t="s">
        <v>563</v>
      </c>
      <c r="H1043" s="217" t="s">
        <v>1425</v>
      </c>
      <c r="I1043" s="217" t="s">
        <v>29</v>
      </c>
      <c r="J1043" s="217" t="s">
        <v>1857</v>
      </c>
      <c r="K1043" s="217">
        <v>117</v>
      </c>
      <c r="L1043" s="217">
        <v>870</v>
      </c>
      <c r="M1043" s="217" t="s">
        <v>31</v>
      </c>
      <c r="N1043" s="217" t="s">
        <v>32</v>
      </c>
      <c r="O1043" s="217" t="s">
        <v>33</v>
      </c>
      <c r="P1043" s="217" t="s">
        <v>34</v>
      </c>
      <c r="Q1043" s="217" t="s">
        <v>35</v>
      </c>
      <c r="R1043" s="217" t="s">
        <v>23</v>
      </c>
      <c r="S1043" s="217" t="s">
        <v>22</v>
      </c>
      <c r="T1043" s="217" t="s">
        <v>47</v>
      </c>
      <c r="U1043" s="217" t="s">
        <v>48</v>
      </c>
      <c r="V1043" s="217" t="s">
        <v>231</v>
      </c>
      <c r="W1043" s="217" t="s">
        <v>232</v>
      </c>
    </row>
    <row r="1044" spans="1:23" x14ac:dyDescent="0.25">
      <c r="A1044" s="217" t="s">
        <v>22</v>
      </c>
      <c r="B1044" s="217" t="s">
        <v>23</v>
      </c>
      <c r="C1044" s="217" t="s">
        <v>37</v>
      </c>
      <c r="D1044" s="217" t="s">
        <v>36</v>
      </c>
      <c r="E1044" s="217" t="s">
        <v>547</v>
      </c>
      <c r="F1044" s="217" t="s">
        <v>548</v>
      </c>
      <c r="G1044" s="217" t="s">
        <v>563</v>
      </c>
      <c r="H1044" s="217" t="s">
        <v>1425</v>
      </c>
      <c r="I1044" s="217" t="s">
        <v>29</v>
      </c>
      <c r="J1044" s="217" t="s">
        <v>1858</v>
      </c>
      <c r="K1044" s="217">
        <v>3</v>
      </c>
      <c r="L1044" s="217">
        <v>12</v>
      </c>
      <c r="M1044" s="217" t="s">
        <v>31</v>
      </c>
      <c r="N1044" s="217" t="s">
        <v>32</v>
      </c>
      <c r="O1044" s="217" t="s">
        <v>33</v>
      </c>
      <c r="P1044" s="217" t="s">
        <v>34</v>
      </c>
      <c r="Q1044" s="217" t="s">
        <v>35</v>
      </c>
      <c r="R1044" s="217" t="s">
        <v>23</v>
      </c>
      <c r="S1044" s="217" t="s">
        <v>22</v>
      </c>
      <c r="T1044" s="217" t="s">
        <v>47</v>
      </c>
      <c r="U1044" s="217" t="s">
        <v>48</v>
      </c>
      <c r="V1044" s="217" t="s">
        <v>231</v>
      </c>
      <c r="W1044" s="217" t="s">
        <v>232</v>
      </c>
    </row>
    <row r="1045" spans="1:23" x14ac:dyDescent="0.25">
      <c r="A1045" s="217" t="s">
        <v>22</v>
      </c>
      <c r="B1045" s="217" t="s">
        <v>23</v>
      </c>
      <c r="C1045" s="217" t="s">
        <v>37</v>
      </c>
      <c r="D1045" s="217" t="s">
        <v>36</v>
      </c>
      <c r="E1045" s="217" t="s">
        <v>547</v>
      </c>
      <c r="F1045" s="217" t="s">
        <v>548</v>
      </c>
      <c r="G1045" s="217" t="s">
        <v>2038</v>
      </c>
      <c r="H1045" s="217" t="s">
        <v>2037</v>
      </c>
      <c r="I1045" s="217" t="s">
        <v>29</v>
      </c>
      <c r="J1045" s="217" t="s">
        <v>1855</v>
      </c>
      <c r="K1045" s="217">
        <v>1</v>
      </c>
      <c r="L1045" s="217">
        <v>7</v>
      </c>
      <c r="M1045" s="217" t="s">
        <v>31</v>
      </c>
      <c r="N1045" s="217" t="s">
        <v>32</v>
      </c>
      <c r="O1045" s="217" t="s">
        <v>68</v>
      </c>
      <c r="P1045" s="217" t="s">
        <v>34</v>
      </c>
      <c r="Q1045" s="217" t="s">
        <v>35</v>
      </c>
      <c r="R1045" s="217" t="s">
        <v>23</v>
      </c>
      <c r="S1045" s="217" t="s">
        <v>22</v>
      </c>
      <c r="T1045" s="217" t="s">
        <v>36</v>
      </c>
      <c r="U1045" s="217" t="s">
        <v>37</v>
      </c>
      <c r="V1045" s="217" t="s">
        <v>249</v>
      </c>
      <c r="W1045" s="217" t="s">
        <v>250</v>
      </c>
    </row>
    <row r="1046" spans="1:23" x14ac:dyDescent="0.25">
      <c r="A1046" s="217" t="s">
        <v>22</v>
      </c>
      <c r="B1046" s="217" t="s">
        <v>23</v>
      </c>
      <c r="C1046" s="217" t="s">
        <v>37</v>
      </c>
      <c r="D1046" s="217" t="s">
        <v>36</v>
      </c>
      <c r="E1046" s="217" t="s">
        <v>547</v>
      </c>
      <c r="F1046" s="217" t="s">
        <v>548</v>
      </c>
      <c r="G1046" s="217" t="s">
        <v>2038</v>
      </c>
      <c r="H1046" s="217" t="s">
        <v>2037</v>
      </c>
      <c r="I1046" s="217" t="s">
        <v>29</v>
      </c>
      <c r="J1046" s="217" t="s">
        <v>1856</v>
      </c>
      <c r="K1046" s="217">
        <v>4</v>
      </c>
      <c r="L1046" s="217">
        <v>34</v>
      </c>
      <c r="M1046" s="217" t="s">
        <v>31</v>
      </c>
      <c r="N1046" s="217" t="s">
        <v>32</v>
      </c>
      <c r="O1046" s="217" t="s">
        <v>68</v>
      </c>
      <c r="P1046" s="217" t="s">
        <v>34</v>
      </c>
      <c r="Q1046" s="217" t="s">
        <v>35</v>
      </c>
      <c r="R1046" s="217" t="s">
        <v>23</v>
      </c>
      <c r="S1046" s="217" t="s">
        <v>22</v>
      </c>
      <c r="T1046" s="217" t="s">
        <v>36</v>
      </c>
      <c r="U1046" s="217" t="s">
        <v>37</v>
      </c>
      <c r="V1046" s="217" t="s">
        <v>249</v>
      </c>
      <c r="W1046" s="217" t="s">
        <v>250</v>
      </c>
    </row>
    <row r="1047" spans="1:23" x14ac:dyDescent="0.25">
      <c r="A1047" s="217" t="s">
        <v>22</v>
      </c>
      <c r="B1047" s="217" t="s">
        <v>23</v>
      </c>
      <c r="C1047" s="217" t="s">
        <v>37</v>
      </c>
      <c r="D1047" s="217" t="s">
        <v>36</v>
      </c>
      <c r="E1047" s="217" t="s">
        <v>547</v>
      </c>
      <c r="F1047" s="217" t="s">
        <v>548</v>
      </c>
      <c r="G1047" s="217" t="s">
        <v>2038</v>
      </c>
      <c r="H1047" s="217" t="s">
        <v>2037</v>
      </c>
      <c r="I1047" s="217" t="s">
        <v>29</v>
      </c>
      <c r="J1047" s="217" t="s">
        <v>1857</v>
      </c>
      <c r="K1047" s="217">
        <v>3</v>
      </c>
      <c r="L1047" s="217">
        <v>27</v>
      </c>
      <c r="M1047" s="217" t="s">
        <v>31</v>
      </c>
      <c r="N1047" s="217" t="s">
        <v>32</v>
      </c>
      <c r="O1047" s="217" t="s">
        <v>68</v>
      </c>
      <c r="P1047" s="217" t="s">
        <v>34</v>
      </c>
      <c r="Q1047" s="217" t="s">
        <v>35</v>
      </c>
      <c r="R1047" s="217" t="s">
        <v>23</v>
      </c>
      <c r="S1047" s="217" t="s">
        <v>22</v>
      </c>
      <c r="T1047" s="217" t="s">
        <v>36</v>
      </c>
      <c r="U1047" s="217" t="s">
        <v>37</v>
      </c>
      <c r="V1047" s="217" t="s">
        <v>249</v>
      </c>
      <c r="W1047" s="217" t="s">
        <v>250</v>
      </c>
    </row>
    <row r="1048" spans="1:23" x14ac:dyDescent="0.25">
      <c r="A1048" s="217" t="s">
        <v>22</v>
      </c>
      <c r="B1048" s="217" t="s">
        <v>23</v>
      </c>
      <c r="C1048" s="217" t="s">
        <v>37</v>
      </c>
      <c r="D1048" s="217" t="s">
        <v>36</v>
      </c>
      <c r="E1048" s="217" t="s">
        <v>547</v>
      </c>
      <c r="F1048" s="217" t="s">
        <v>548</v>
      </c>
      <c r="G1048" s="217" t="s">
        <v>2038</v>
      </c>
      <c r="H1048" s="217" t="s">
        <v>2037</v>
      </c>
      <c r="I1048" s="217" t="s">
        <v>29</v>
      </c>
      <c r="J1048" s="217" t="s">
        <v>1858</v>
      </c>
      <c r="K1048" s="217">
        <v>3</v>
      </c>
      <c r="L1048" s="217">
        <v>14</v>
      </c>
      <c r="M1048" s="217" t="s">
        <v>31</v>
      </c>
      <c r="N1048" s="217" t="s">
        <v>32</v>
      </c>
      <c r="O1048" s="217" t="s">
        <v>68</v>
      </c>
      <c r="P1048" s="217" t="s">
        <v>34</v>
      </c>
      <c r="Q1048" s="217" t="s">
        <v>35</v>
      </c>
      <c r="R1048" s="217" t="s">
        <v>23</v>
      </c>
      <c r="S1048" s="217" t="s">
        <v>22</v>
      </c>
      <c r="T1048" s="217" t="s">
        <v>36</v>
      </c>
      <c r="U1048" s="217" t="s">
        <v>37</v>
      </c>
      <c r="V1048" s="217" t="s">
        <v>249</v>
      </c>
      <c r="W1048" s="217" t="s">
        <v>250</v>
      </c>
    </row>
    <row r="1049" spans="1:23" x14ac:dyDescent="0.25">
      <c r="A1049" s="217" t="s">
        <v>22</v>
      </c>
      <c r="B1049" s="217" t="s">
        <v>23</v>
      </c>
      <c r="C1049" s="217" t="s">
        <v>37</v>
      </c>
      <c r="D1049" s="217" t="s">
        <v>36</v>
      </c>
      <c r="E1049" s="217" t="s">
        <v>547</v>
      </c>
      <c r="F1049" s="217" t="s">
        <v>548</v>
      </c>
      <c r="G1049" s="217" t="s">
        <v>564</v>
      </c>
      <c r="H1049" s="217" t="s">
        <v>1426</v>
      </c>
      <c r="I1049" s="217" t="s">
        <v>29</v>
      </c>
      <c r="J1049" s="217" t="s">
        <v>1855</v>
      </c>
      <c r="K1049" s="217">
        <v>6</v>
      </c>
      <c r="L1049" s="217">
        <v>42</v>
      </c>
      <c r="M1049" s="217" t="s">
        <v>31</v>
      </c>
      <c r="N1049" s="217" t="s">
        <v>32</v>
      </c>
      <c r="O1049" s="217" t="s">
        <v>68</v>
      </c>
      <c r="P1049" s="217" t="s">
        <v>34</v>
      </c>
      <c r="Q1049" s="217" t="s">
        <v>35</v>
      </c>
      <c r="R1049" s="217" t="s">
        <v>23</v>
      </c>
      <c r="S1049" s="217" t="s">
        <v>22</v>
      </c>
      <c r="T1049" s="217" t="s">
        <v>36</v>
      </c>
      <c r="U1049" s="217" t="s">
        <v>37</v>
      </c>
      <c r="V1049" s="217" t="s">
        <v>249</v>
      </c>
      <c r="W1049" s="217" t="s">
        <v>250</v>
      </c>
    </row>
    <row r="1050" spans="1:23" x14ac:dyDescent="0.25">
      <c r="A1050" s="217" t="s">
        <v>22</v>
      </c>
      <c r="B1050" s="217" t="s">
        <v>23</v>
      </c>
      <c r="C1050" s="217" t="s">
        <v>37</v>
      </c>
      <c r="D1050" s="217" t="s">
        <v>36</v>
      </c>
      <c r="E1050" s="217" t="s">
        <v>547</v>
      </c>
      <c r="F1050" s="217" t="s">
        <v>548</v>
      </c>
      <c r="G1050" s="217" t="s">
        <v>564</v>
      </c>
      <c r="H1050" s="217" t="s">
        <v>1426</v>
      </c>
      <c r="I1050" s="217" t="s">
        <v>29</v>
      </c>
      <c r="J1050" s="217" t="s">
        <v>1856</v>
      </c>
      <c r="K1050" s="217">
        <v>4</v>
      </c>
      <c r="L1050" s="217">
        <v>28</v>
      </c>
      <c r="M1050" s="217" t="s">
        <v>31</v>
      </c>
      <c r="N1050" s="217" t="s">
        <v>32</v>
      </c>
      <c r="O1050" s="217" t="s">
        <v>68</v>
      </c>
      <c r="P1050" s="217" t="s">
        <v>34</v>
      </c>
      <c r="Q1050" s="217" t="s">
        <v>35</v>
      </c>
      <c r="R1050" s="217" t="s">
        <v>23</v>
      </c>
      <c r="S1050" s="217" t="s">
        <v>22</v>
      </c>
      <c r="T1050" s="217" t="s">
        <v>36</v>
      </c>
      <c r="U1050" s="217" t="s">
        <v>37</v>
      </c>
      <c r="V1050" s="217" t="s">
        <v>249</v>
      </c>
      <c r="W1050" s="217" t="s">
        <v>250</v>
      </c>
    </row>
    <row r="1051" spans="1:23" x14ac:dyDescent="0.25">
      <c r="A1051" s="217" t="s">
        <v>22</v>
      </c>
      <c r="B1051" s="217" t="s">
        <v>23</v>
      </c>
      <c r="C1051" s="217" t="s">
        <v>37</v>
      </c>
      <c r="D1051" s="217" t="s">
        <v>36</v>
      </c>
      <c r="E1051" s="217" t="s">
        <v>547</v>
      </c>
      <c r="F1051" s="217" t="s">
        <v>548</v>
      </c>
      <c r="G1051" s="217" t="s">
        <v>564</v>
      </c>
      <c r="H1051" s="217" t="s">
        <v>1426</v>
      </c>
      <c r="I1051" s="217" t="s">
        <v>29</v>
      </c>
      <c r="J1051" s="217" t="s">
        <v>1857</v>
      </c>
      <c r="K1051" s="217">
        <v>12</v>
      </c>
      <c r="L1051" s="217">
        <v>105</v>
      </c>
      <c r="M1051" s="217" t="s">
        <v>31</v>
      </c>
      <c r="N1051" s="217" t="s">
        <v>32</v>
      </c>
      <c r="O1051" s="217" t="s">
        <v>68</v>
      </c>
      <c r="P1051" s="217" t="s">
        <v>34</v>
      </c>
      <c r="Q1051" s="217" t="s">
        <v>35</v>
      </c>
      <c r="R1051" s="217" t="s">
        <v>23</v>
      </c>
      <c r="S1051" s="217" t="s">
        <v>22</v>
      </c>
      <c r="T1051" s="217" t="s">
        <v>36</v>
      </c>
      <c r="U1051" s="217" t="s">
        <v>37</v>
      </c>
      <c r="V1051" s="217" t="s">
        <v>249</v>
      </c>
      <c r="W1051" s="217" t="s">
        <v>250</v>
      </c>
    </row>
    <row r="1052" spans="1:23" x14ac:dyDescent="0.25">
      <c r="A1052" s="217" t="s">
        <v>22</v>
      </c>
      <c r="B1052" s="217" t="s">
        <v>23</v>
      </c>
      <c r="C1052" s="217" t="s">
        <v>37</v>
      </c>
      <c r="D1052" s="217" t="s">
        <v>36</v>
      </c>
      <c r="E1052" s="217" t="s">
        <v>547</v>
      </c>
      <c r="F1052" s="217" t="s">
        <v>548</v>
      </c>
      <c r="G1052" s="217" t="s">
        <v>564</v>
      </c>
      <c r="H1052" s="217" t="s">
        <v>1426</v>
      </c>
      <c r="I1052" s="217" t="s">
        <v>29</v>
      </c>
      <c r="J1052" s="217" t="s">
        <v>1858</v>
      </c>
      <c r="K1052" s="217">
        <v>7</v>
      </c>
      <c r="L1052" s="217">
        <v>17</v>
      </c>
      <c r="M1052" s="217" t="s">
        <v>31</v>
      </c>
      <c r="N1052" s="217" t="s">
        <v>32</v>
      </c>
      <c r="O1052" s="217" t="s">
        <v>68</v>
      </c>
      <c r="P1052" s="217" t="s">
        <v>34</v>
      </c>
      <c r="Q1052" s="217" t="s">
        <v>35</v>
      </c>
      <c r="R1052" s="217" t="s">
        <v>23</v>
      </c>
      <c r="S1052" s="217" t="s">
        <v>22</v>
      </c>
      <c r="T1052" s="217" t="s">
        <v>36</v>
      </c>
      <c r="U1052" s="217" t="s">
        <v>37</v>
      </c>
      <c r="V1052" s="217" t="s">
        <v>249</v>
      </c>
      <c r="W1052" s="217" t="s">
        <v>250</v>
      </c>
    </row>
    <row r="1053" spans="1:23" x14ac:dyDescent="0.25">
      <c r="A1053" s="217" t="s">
        <v>22</v>
      </c>
      <c r="B1053" s="217" t="s">
        <v>23</v>
      </c>
      <c r="C1053" s="217" t="s">
        <v>37</v>
      </c>
      <c r="D1053" s="217" t="s">
        <v>36</v>
      </c>
      <c r="E1053" s="217" t="s">
        <v>547</v>
      </c>
      <c r="F1053" s="217" t="s">
        <v>548</v>
      </c>
      <c r="G1053" s="217" t="s">
        <v>565</v>
      </c>
      <c r="H1053" s="217" t="s">
        <v>1427</v>
      </c>
      <c r="I1053" s="217" t="s">
        <v>29</v>
      </c>
      <c r="J1053" s="217" t="s">
        <v>1855</v>
      </c>
      <c r="K1053" s="217">
        <v>11</v>
      </c>
      <c r="L1053" s="217">
        <v>83</v>
      </c>
      <c r="M1053" s="217" t="s">
        <v>31</v>
      </c>
      <c r="N1053" s="217" t="s">
        <v>32</v>
      </c>
      <c r="O1053" s="217" t="s">
        <v>33</v>
      </c>
      <c r="P1053" s="217" t="s">
        <v>34</v>
      </c>
      <c r="Q1053" s="217" t="s">
        <v>35</v>
      </c>
      <c r="R1053" s="217" t="s">
        <v>23</v>
      </c>
      <c r="S1053" s="217" t="s">
        <v>22</v>
      </c>
      <c r="T1053" s="217" t="s">
        <v>47</v>
      </c>
      <c r="U1053" s="217" t="s">
        <v>48</v>
      </c>
      <c r="V1053" s="217" t="s">
        <v>231</v>
      </c>
      <c r="W1053" s="217" t="s">
        <v>232</v>
      </c>
    </row>
    <row r="1054" spans="1:23" x14ac:dyDescent="0.25">
      <c r="A1054" s="217" t="s">
        <v>22</v>
      </c>
      <c r="B1054" s="217" t="s">
        <v>23</v>
      </c>
      <c r="C1054" s="217" t="s">
        <v>37</v>
      </c>
      <c r="D1054" s="217" t="s">
        <v>36</v>
      </c>
      <c r="E1054" s="217" t="s">
        <v>547</v>
      </c>
      <c r="F1054" s="217" t="s">
        <v>548</v>
      </c>
      <c r="G1054" s="217" t="s">
        <v>565</v>
      </c>
      <c r="H1054" s="217" t="s">
        <v>1427</v>
      </c>
      <c r="I1054" s="217" t="s">
        <v>29</v>
      </c>
      <c r="J1054" s="217" t="s">
        <v>1856</v>
      </c>
      <c r="K1054" s="217">
        <v>9</v>
      </c>
      <c r="L1054" s="217">
        <v>79</v>
      </c>
      <c r="M1054" s="217" t="s">
        <v>31</v>
      </c>
      <c r="N1054" s="217" t="s">
        <v>32</v>
      </c>
      <c r="O1054" s="217" t="s">
        <v>33</v>
      </c>
      <c r="P1054" s="217" t="s">
        <v>34</v>
      </c>
      <c r="Q1054" s="217" t="s">
        <v>35</v>
      </c>
      <c r="R1054" s="217" t="s">
        <v>23</v>
      </c>
      <c r="S1054" s="217" t="s">
        <v>22</v>
      </c>
      <c r="T1054" s="217" t="s">
        <v>47</v>
      </c>
      <c r="U1054" s="217" t="s">
        <v>48</v>
      </c>
      <c r="V1054" s="217" t="s">
        <v>231</v>
      </c>
      <c r="W1054" s="217" t="s">
        <v>232</v>
      </c>
    </row>
    <row r="1055" spans="1:23" x14ac:dyDescent="0.25">
      <c r="A1055" s="217" t="s">
        <v>22</v>
      </c>
      <c r="B1055" s="217" t="s">
        <v>23</v>
      </c>
      <c r="C1055" s="217" t="s">
        <v>37</v>
      </c>
      <c r="D1055" s="217" t="s">
        <v>36</v>
      </c>
      <c r="E1055" s="217" t="s">
        <v>547</v>
      </c>
      <c r="F1055" s="217" t="s">
        <v>548</v>
      </c>
      <c r="G1055" s="217" t="s">
        <v>565</v>
      </c>
      <c r="H1055" s="217" t="s">
        <v>1427</v>
      </c>
      <c r="I1055" s="217" t="s">
        <v>29</v>
      </c>
      <c r="J1055" s="217" t="s">
        <v>1857</v>
      </c>
      <c r="K1055" s="217">
        <v>35</v>
      </c>
      <c r="L1055" s="217">
        <v>283</v>
      </c>
      <c r="M1055" s="217" t="s">
        <v>31</v>
      </c>
      <c r="N1055" s="217" t="s">
        <v>32</v>
      </c>
      <c r="O1055" s="217" t="s">
        <v>68</v>
      </c>
      <c r="P1055" s="217" t="s">
        <v>34</v>
      </c>
      <c r="Q1055" s="217" t="s">
        <v>35</v>
      </c>
      <c r="R1055" s="217" t="s">
        <v>23</v>
      </c>
      <c r="S1055" s="217" t="s">
        <v>22</v>
      </c>
      <c r="T1055" s="217" t="s">
        <v>36</v>
      </c>
      <c r="U1055" s="217" t="s">
        <v>37</v>
      </c>
      <c r="V1055" s="217" t="s">
        <v>249</v>
      </c>
      <c r="W1055" s="217" t="s">
        <v>250</v>
      </c>
    </row>
    <row r="1056" spans="1:23" x14ac:dyDescent="0.25">
      <c r="A1056" s="217" t="s">
        <v>22</v>
      </c>
      <c r="B1056" s="217" t="s">
        <v>23</v>
      </c>
      <c r="C1056" s="217" t="s">
        <v>37</v>
      </c>
      <c r="D1056" s="217" t="s">
        <v>36</v>
      </c>
      <c r="E1056" s="217" t="s">
        <v>547</v>
      </c>
      <c r="F1056" s="217" t="s">
        <v>548</v>
      </c>
      <c r="G1056" s="217" t="s">
        <v>565</v>
      </c>
      <c r="H1056" s="217" t="s">
        <v>1427</v>
      </c>
      <c r="I1056" s="217" t="s">
        <v>29</v>
      </c>
      <c r="J1056" s="217" t="s">
        <v>1858</v>
      </c>
      <c r="K1056" s="217">
        <v>6</v>
      </c>
      <c r="L1056" s="217">
        <v>26</v>
      </c>
      <c r="M1056" s="217" t="s">
        <v>31</v>
      </c>
      <c r="N1056" s="217" t="s">
        <v>32</v>
      </c>
      <c r="O1056" s="217" t="s">
        <v>68</v>
      </c>
      <c r="P1056" s="217" t="s">
        <v>34</v>
      </c>
      <c r="Q1056" s="217" t="s">
        <v>35</v>
      </c>
      <c r="R1056" s="217" t="s">
        <v>23</v>
      </c>
      <c r="S1056" s="217" t="s">
        <v>22</v>
      </c>
      <c r="T1056" s="217" t="s">
        <v>36</v>
      </c>
      <c r="U1056" s="217" t="s">
        <v>37</v>
      </c>
      <c r="V1056" s="217" t="s">
        <v>249</v>
      </c>
      <c r="W1056" s="217" t="s">
        <v>250</v>
      </c>
    </row>
    <row r="1057" spans="1:23" x14ac:dyDescent="0.25">
      <c r="A1057" s="217" t="s">
        <v>22</v>
      </c>
      <c r="B1057" s="217" t="s">
        <v>23</v>
      </c>
      <c r="C1057" s="217" t="s">
        <v>37</v>
      </c>
      <c r="D1057" s="217" t="s">
        <v>36</v>
      </c>
      <c r="E1057" s="217" t="s">
        <v>547</v>
      </c>
      <c r="F1057" s="217" t="s">
        <v>548</v>
      </c>
      <c r="G1057" s="217" t="s">
        <v>242</v>
      </c>
      <c r="H1057" s="217" t="s">
        <v>1428</v>
      </c>
      <c r="I1057" s="217" t="s">
        <v>29</v>
      </c>
      <c r="J1057" s="217" t="s">
        <v>1855</v>
      </c>
      <c r="K1057" s="217">
        <v>68</v>
      </c>
      <c r="L1057" s="217">
        <v>506</v>
      </c>
      <c r="M1057" s="217" t="s">
        <v>31</v>
      </c>
      <c r="N1057" s="217" t="s">
        <v>32</v>
      </c>
      <c r="O1057" s="217" t="s">
        <v>100</v>
      </c>
      <c r="P1057" s="217" t="s">
        <v>34</v>
      </c>
      <c r="Q1057" s="217" t="s">
        <v>35</v>
      </c>
      <c r="R1057" s="217" t="s">
        <v>23</v>
      </c>
      <c r="S1057" s="217" t="s">
        <v>22</v>
      </c>
      <c r="T1057" s="217" t="s">
        <v>36</v>
      </c>
      <c r="U1057" s="217" t="s">
        <v>37</v>
      </c>
      <c r="V1057" s="217" t="s">
        <v>548</v>
      </c>
      <c r="W1057" s="217" t="s">
        <v>547</v>
      </c>
    </row>
    <row r="1058" spans="1:23" x14ac:dyDescent="0.25">
      <c r="A1058" s="217" t="s">
        <v>22</v>
      </c>
      <c r="B1058" s="217" t="s">
        <v>23</v>
      </c>
      <c r="C1058" s="217" t="s">
        <v>37</v>
      </c>
      <c r="D1058" s="217" t="s">
        <v>36</v>
      </c>
      <c r="E1058" s="217" t="s">
        <v>547</v>
      </c>
      <c r="F1058" s="217" t="s">
        <v>548</v>
      </c>
      <c r="G1058" s="217" t="s">
        <v>242</v>
      </c>
      <c r="H1058" s="217" t="s">
        <v>1428</v>
      </c>
      <c r="I1058" s="217" t="s">
        <v>29</v>
      </c>
      <c r="J1058" s="217" t="s">
        <v>1856</v>
      </c>
      <c r="K1058" s="217">
        <v>36</v>
      </c>
      <c r="L1058" s="217">
        <v>272</v>
      </c>
      <c r="M1058" s="217" t="s">
        <v>31</v>
      </c>
      <c r="N1058" s="217" t="s">
        <v>32</v>
      </c>
      <c r="O1058" s="217" t="s">
        <v>100</v>
      </c>
      <c r="P1058" s="217" t="s">
        <v>34</v>
      </c>
      <c r="Q1058" s="217" t="s">
        <v>35</v>
      </c>
      <c r="R1058" s="217" t="s">
        <v>23</v>
      </c>
      <c r="S1058" s="217" t="s">
        <v>22</v>
      </c>
      <c r="T1058" s="217" t="s">
        <v>36</v>
      </c>
      <c r="U1058" s="217" t="s">
        <v>37</v>
      </c>
      <c r="V1058" s="217" t="s">
        <v>548</v>
      </c>
      <c r="W1058" s="217" t="s">
        <v>547</v>
      </c>
    </row>
    <row r="1059" spans="1:23" x14ac:dyDescent="0.25">
      <c r="A1059" s="217" t="s">
        <v>22</v>
      </c>
      <c r="B1059" s="217" t="s">
        <v>23</v>
      </c>
      <c r="C1059" s="217" t="s">
        <v>37</v>
      </c>
      <c r="D1059" s="217" t="s">
        <v>36</v>
      </c>
      <c r="E1059" s="217" t="s">
        <v>547</v>
      </c>
      <c r="F1059" s="217" t="s">
        <v>548</v>
      </c>
      <c r="G1059" s="217" t="s">
        <v>242</v>
      </c>
      <c r="H1059" s="217" t="s">
        <v>1428</v>
      </c>
      <c r="I1059" s="217" t="s">
        <v>29</v>
      </c>
      <c r="J1059" s="217" t="s">
        <v>1857</v>
      </c>
      <c r="K1059" s="217">
        <v>21</v>
      </c>
      <c r="L1059" s="217">
        <v>150</v>
      </c>
      <c r="M1059" s="217" t="s">
        <v>31</v>
      </c>
      <c r="N1059" s="217" t="s">
        <v>32</v>
      </c>
      <c r="O1059" s="217" t="s">
        <v>100</v>
      </c>
      <c r="P1059" s="217" t="s">
        <v>34</v>
      </c>
      <c r="Q1059" s="217" t="s">
        <v>35</v>
      </c>
      <c r="R1059" s="217" t="s">
        <v>23</v>
      </c>
      <c r="S1059" s="217" t="s">
        <v>22</v>
      </c>
      <c r="T1059" s="217" t="s">
        <v>36</v>
      </c>
      <c r="U1059" s="217" t="s">
        <v>37</v>
      </c>
      <c r="V1059" s="217" t="s">
        <v>548</v>
      </c>
      <c r="W1059" s="217" t="s">
        <v>547</v>
      </c>
    </row>
    <row r="1060" spans="1:23" x14ac:dyDescent="0.25">
      <c r="A1060" s="217" t="s">
        <v>22</v>
      </c>
      <c r="B1060" s="217" t="s">
        <v>23</v>
      </c>
      <c r="C1060" s="217" t="s">
        <v>37</v>
      </c>
      <c r="D1060" s="217" t="s">
        <v>36</v>
      </c>
      <c r="E1060" s="217" t="s">
        <v>547</v>
      </c>
      <c r="F1060" s="217" t="s">
        <v>548</v>
      </c>
      <c r="G1060" s="217" t="s">
        <v>242</v>
      </c>
      <c r="H1060" s="217" t="s">
        <v>1428</v>
      </c>
      <c r="I1060" s="217" t="s">
        <v>29</v>
      </c>
      <c r="J1060" s="217" t="s">
        <v>1858</v>
      </c>
      <c r="K1060" s="217">
        <v>6</v>
      </c>
      <c r="L1060" s="217">
        <v>20</v>
      </c>
      <c r="M1060" s="217" t="s">
        <v>31</v>
      </c>
      <c r="N1060" s="217" t="s">
        <v>32</v>
      </c>
      <c r="O1060" s="217" t="s">
        <v>100</v>
      </c>
      <c r="P1060" s="217" t="s">
        <v>34</v>
      </c>
      <c r="Q1060" s="217" t="s">
        <v>35</v>
      </c>
      <c r="R1060" s="217" t="s">
        <v>23</v>
      </c>
      <c r="S1060" s="217" t="s">
        <v>22</v>
      </c>
      <c r="T1060" s="217" t="s">
        <v>36</v>
      </c>
      <c r="U1060" s="217" t="s">
        <v>37</v>
      </c>
      <c r="V1060" s="217" t="s">
        <v>548</v>
      </c>
      <c r="W1060" s="217" t="s">
        <v>547</v>
      </c>
    </row>
    <row r="1061" spans="1:23" x14ac:dyDescent="0.25">
      <c r="A1061" s="217" t="s">
        <v>22</v>
      </c>
      <c r="B1061" s="217" t="s">
        <v>23</v>
      </c>
      <c r="C1061" s="217" t="s">
        <v>37</v>
      </c>
      <c r="D1061" s="217" t="s">
        <v>36</v>
      </c>
      <c r="E1061" s="217" t="s">
        <v>547</v>
      </c>
      <c r="F1061" s="217" t="s">
        <v>548</v>
      </c>
      <c r="G1061" s="217" t="s">
        <v>566</v>
      </c>
      <c r="H1061" s="217" t="s">
        <v>1429</v>
      </c>
      <c r="I1061" s="217" t="s">
        <v>29</v>
      </c>
      <c r="J1061" s="217" t="s">
        <v>1855</v>
      </c>
      <c r="K1061" s="217">
        <v>12</v>
      </c>
      <c r="L1061" s="217">
        <v>82</v>
      </c>
      <c r="M1061" s="217" t="s">
        <v>31</v>
      </c>
      <c r="N1061" s="217" t="s">
        <v>32</v>
      </c>
      <c r="O1061" s="217" t="s">
        <v>33</v>
      </c>
      <c r="P1061" s="217" t="s">
        <v>34</v>
      </c>
      <c r="Q1061" s="217" t="s">
        <v>35</v>
      </c>
      <c r="R1061" s="217" t="s">
        <v>23</v>
      </c>
      <c r="S1061" s="217" t="s">
        <v>22</v>
      </c>
      <c r="T1061" s="217" t="s">
        <v>47</v>
      </c>
      <c r="U1061" s="217" t="s">
        <v>48</v>
      </c>
      <c r="V1061" s="217" t="s">
        <v>231</v>
      </c>
      <c r="W1061" s="217" t="s">
        <v>232</v>
      </c>
    </row>
    <row r="1062" spans="1:23" x14ac:dyDescent="0.25">
      <c r="A1062" s="217" t="s">
        <v>22</v>
      </c>
      <c r="B1062" s="217" t="s">
        <v>23</v>
      </c>
      <c r="C1062" s="217" t="s">
        <v>37</v>
      </c>
      <c r="D1062" s="217" t="s">
        <v>36</v>
      </c>
      <c r="E1062" s="217" t="s">
        <v>547</v>
      </c>
      <c r="F1062" s="217" t="s">
        <v>548</v>
      </c>
      <c r="G1062" s="217" t="s">
        <v>566</v>
      </c>
      <c r="H1062" s="217" t="s">
        <v>1429</v>
      </c>
      <c r="I1062" s="217" t="s">
        <v>29</v>
      </c>
      <c r="J1062" s="217" t="s">
        <v>1856</v>
      </c>
      <c r="K1062" s="217">
        <v>9</v>
      </c>
      <c r="L1062" s="217">
        <v>63</v>
      </c>
      <c r="M1062" s="217" t="s">
        <v>31</v>
      </c>
      <c r="N1062" s="217" t="s">
        <v>32</v>
      </c>
      <c r="O1062" s="217" t="s">
        <v>33</v>
      </c>
      <c r="P1062" s="217" t="s">
        <v>34</v>
      </c>
      <c r="Q1062" s="217" t="s">
        <v>35</v>
      </c>
      <c r="R1062" s="217" t="s">
        <v>23</v>
      </c>
      <c r="S1062" s="217" t="s">
        <v>22</v>
      </c>
      <c r="T1062" s="217" t="s">
        <v>47</v>
      </c>
      <c r="U1062" s="217" t="s">
        <v>48</v>
      </c>
      <c r="V1062" s="217" t="s">
        <v>231</v>
      </c>
      <c r="W1062" s="217" t="s">
        <v>232</v>
      </c>
    </row>
    <row r="1063" spans="1:23" x14ac:dyDescent="0.25">
      <c r="A1063" s="217" t="s">
        <v>22</v>
      </c>
      <c r="B1063" s="217" t="s">
        <v>23</v>
      </c>
      <c r="C1063" s="217" t="s">
        <v>37</v>
      </c>
      <c r="D1063" s="217" t="s">
        <v>36</v>
      </c>
      <c r="E1063" s="217" t="s">
        <v>547</v>
      </c>
      <c r="F1063" s="217" t="s">
        <v>548</v>
      </c>
      <c r="G1063" s="217" t="s">
        <v>566</v>
      </c>
      <c r="H1063" s="217" t="s">
        <v>1429</v>
      </c>
      <c r="I1063" s="217" t="s">
        <v>29</v>
      </c>
      <c r="J1063" s="217" t="s">
        <v>1857</v>
      </c>
      <c r="K1063" s="217">
        <v>33</v>
      </c>
      <c r="L1063" s="217">
        <v>190</v>
      </c>
      <c r="M1063" s="217" t="s">
        <v>31</v>
      </c>
      <c r="N1063" s="217" t="s">
        <v>32</v>
      </c>
      <c r="O1063" s="217" t="s">
        <v>33</v>
      </c>
      <c r="P1063" s="217" t="s">
        <v>34</v>
      </c>
      <c r="Q1063" s="217" t="s">
        <v>35</v>
      </c>
      <c r="R1063" s="217" t="s">
        <v>23</v>
      </c>
      <c r="S1063" s="217" t="s">
        <v>22</v>
      </c>
      <c r="T1063" s="217" t="s">
        <v>47</v>
      </c>
      <c r="U1063" s="217" t="s">
        <v>48</v>
      </c>
      <c r="V1063" s="217" t="s">
        <v>231</v>
      </c>
      <c r="W1063" s="217" t="s">
        <v>232</v>
      </c>
    </row>
    <row r="1064" spans="1:23" x14ac:dyDescent="0.25">
      <c r="A1064" s="217" t="s">
        <v>22</v>
      </c>
      <c r="B1064" s="217" t="s">
        <v>23</v>
      </c>
      <c r="C1064" s="217" t="s">
        <v>37</v>
      </c>
      <c r="D1064" s="217" t="s">
        <v>36</v>
      </c>
      <c r="E1064" s="217" t="s">
        <v>547</v>
      </c>
      <c r="F1064" s="217" t="s">
        <v>548</v>
      </c>
      <c r="G1064" s="217" t="s">
        <v>566</v>
      </c>
      <c r="H1064" s="217" t="s">
        <v>1429</v>
      </c>
      <c r="I1064" s="217" t="s">
        <v>29</v>
      </c>
      <c r="J1064" s="217" t="s">
        <v>1858</v>
      </c>
      <c r="K1064" s="217">
        <v>5</v>
      </c>
      <c r="L1064" s="217">
        <v>25</v>
      </c>
      <c r="M1064" s="217" t="s">
        <v>31</v>
      </c>
      <c r="N1064" s="217" t="s">
        <v>32</v>
      </c>
      <c r="O1064" s="217" t="s">
        <v>33</v>
      </c>
      <c r="P1064" s="217" t="s">
        <v>34</v>
      </c>
      <c r="Q1064" s="217" t="s">
        <v>35</v>
      </c>
      <c r="R1064" s="217" t="s">
        <v>23</v>
      </c>
      <c r="S1064" s="217" t="s">
        <v>22</v>
      </c>
      <c r="T1064" s="217" t="s">
        <v>47</v>
      </c>
      <c r="U1064" s="217" t="s">
        <v>48</v>
      </c>
      <c r="V1064" s="217" t="s">
        <v>231</v>
      </c>
      <c r="W1064" s="217" t="s">
        <v>232</v>
      </c>
    </row>
    <row r="1065" spans="1:23" x14ac:dyDescent="0.25">
      <c r="A1065" s="217" t="s">
        <v>22</v>
      </c>
      <c r="B1065" s="217" t="s">
        <v>23</v>
      </c>
      <c r="C1065" s="217" t="s">
        <v>37</v>
      </c>
      <c r="D1065" s="217" t="s">
        <v>36</v>
      </c>
      <c r="E1065" s="217" t="s">
        <v>547</v>
      </c>
      <c r="F1065" s="217" t="s">
        <v>548</v>
      </c>
      <c r="G1065" s="217" t="s">
        <v>567</v>
      </c>
      <c r="H1065" s="217" t="s">
        <v>1430</v>
      </c>
      <c r="I1065" s="217" t="s">
        <v>29</v>
      </c>
      <c r="J1065" s="217" t="s">
        <v>1856</v>
      </c>
      <c r="K1065" s="217">
        <v>11</v>
      </c>
      <c r="L1065" s="217">
        <v>80</v>
      </c>
      <c r="M1065" s="217" t="s">
        <v>31</v>
      </c>
      <c r="N1065" s="217" t="s">
        <v>32</v>
      </c>
      <c r="O1065" s="217" t="s">
        <v>68</v>
      </c>
      <c r="P1065" s="217" t="s">
        <v>34</v>
      </c>
      <c r="Q1065" s="217" t="s">
        <v>35</v>
      </c>
      <c r="R1065" s="217" t="s">
        <v>23</v>
      </c>
      <c r="S1065" s="217" t="s">
        <v>22</v>
      </c>
      <c r="T1065" s="217" t="s">
        <v>36</v>
      </c>
      <c r="U1065" s="217" t="s">
        <v>37</v>
      </c>
      <c r="V1065" s="217" t="s">
        <v>249</v>
      </c>
      <c r="W1065" s="217" t="s">
        <v>250</v>
      </c>
    </row>
    <row r="1066" spans="1:23" x14ac:dyDescent="0.25">
      <c r="A1066" s="217" t="s">
        <v>22</v>
      </c>
      <c r="B1066" s="217" t="s">
        <v>23</v>
      </c>
      <c r="C1066" s="217" t="s">
        <v>37</v>
      </c>
      <c r="D1066" s="217" t="s">
        <v>36</v>
      </c>
      <c r="E1066" s="217" t="s">
        <v>547</v>
      </c>
      <c r="F1066" s="217" t="s">
        <v>548</v>
      </c>
      <c r="G1066" s="217" t="s">
        <v>567</v>
      </c>
      <c r="H1066" s="217" t="s">
        <v>1430</v>
      </c>
      <c r="I1066" s="217" t="s">
        <v>29</v>
      </c>
      <c r="J1066" s="217" t="s">
        <v>1857</v>
      </c>
      <c r="K1066" s="217">
        <v>13</v>
      </c>
      <c r="L1066" s="217">
        <v>72</v>
      </c>
      <c r="M1066" s="217" t="s">
        <v>31</v>
      </c>
      <c r="N1066" s="217" t="s">
        <v>32</v>
      </c>
      <c r="O1066" s="217" t="s">
        <v>68</v>
      </c>
      <c r="P1066" s="217" t="s">
        <v>34</v>
      </c>
      <c r="Q1066" s="217" t="s">
        <v>35</v>
      </c>
      <c r="R1066" s="217" t="s">
        <v>23</v>
      </c>
      <c r="S1066" s="217" t="s">
        <v>22</v>
      </c>
      <c r="T1066" s="217" t="s">
        <v>36</v>
      </c>
      <c r="U1066" s="217" t="s">
        <v>37</v>
      </c>
      <c r="V1066" s="217" t="s">
        <v>249</v>
      </c>
      <c r="W1066" s="217" t="s">
        <v>250</v>
      </c>
    </row>
    <row r="1067" spans="1:23" x14ac:dyDescent="0.25">
      <c r="A1067" s="217" t="s">
        <v>22</v>
      </c>
      <c r="B1067" s="217" t="s">
        <v>23</v>
      </c>
      <c r="C1067" s="217" t="s">
        <v>37</v>
      </c>
      <c r="D1067" s="217" t="s">
        <v>36</v>
      </c>
      <c r="E1067" s="217" t="s">
        <v>547</v>
      </c>
      <c r="F1067" s="217" t="s">
        <v>548</v>
      </c>
      <c r="G1067" s="217" t="s">
        <v>567</v>
      </c>
      <c r="H1067" s="217" t="s">
        <v>1430</v>
      </c>
      <c r="I1067" s="217" t="s">
        <v>29</v>
      </c>
      <c r="J1067" s="217" t="s">
        <v>1858</v>
      </c>
      <c r="K1067" s="217">
        <v>8</v>
      </c>
      <c r="L1067" s="217">
        <v>28</v>
      </c>
      <c r="M1067" s="217" t="s">
        <v>31</v>
      </c>
      <c r="N1067" s="217" t="s">
        <v>32</v>
      </c>
      <c r="O1067" s="217" t="s">
        <v>68</v>
      </c>
      <c r="P1067" s="217" t="s">
        <v>34</v>
      </c>
      <c r="Q1067" s="217" t="s">
        <v>35</v>
      </c>
      <c r="R1067" s="217" t="s">
        <v>23</v>
      </c>
      <c r="S1067" s="217" t="s">
        <v>22</v>
      </c>
      <c r="T1067" s="217" t="s">
        <v>36</v>
      </c>
      <c r="U1067" s="217" t="s">
        <v>37</v>
      </c>
      <c r="V1067" s="217" t="s">
        <v>249</v>
      </c>
      <c r="W1067" s="217" t="s">
        <v>250</v>
      </c>
    </row>
    <row r="1068" spans="1:23" x14ac:dyDescent="0.25">
      <c r="A1068" s="217" t="s">
        <v>22</v>
      </c>
      <c r="B1068" s="217" t="s">
        <v>23</v>
      </c>
      <c r="C1068" s="217" t="s">
        <v>37</v>
      </c>
      <c r="D1068" s="217" t="s">
        <v>36</v>
      </c>
      <c r="E1068" s="217" t="s">
        <v>547</v>
      </c>
      <c r="F1068" s="217" t="s">
        <v>548</v>
      </c>
      <c r="G1068" s="217" t="s">
        <v>586</v>
      </c>
      <c r="H1068" s="217" t="s">
        <v>2039</v>
      </c>
      <c r="I1068" s="217" t="s">
        <v>29</v>
      </c>
      <c r="J1068" s="217" t="s">
        <v>1858</v>
      </c>
      <c r="K1068" s="217">
        <v>21</v>
      </c>
      <c r="L1068" s="217">
        <v>142</v>
      </c>
      <c r="M1068" s="217" t="s">
        <v>31</v>
      </c>
      <c r="N1068" s="217" t="s">
        <v>32</v>
      </c>
      <c r="O1068" s="217" t="s">
        <v>68</v>
      </c>
      <c r="P1068" s="217" t="s">
        <v>34</v>
      </c>
      <c r="Q1068" s="217" t="s">
        <v>35</v>
      </c>
      <c r="R1068" s="217" t="s">
        <v>23</v>
      </c>
      <c r="S1068" s="217" t="s">
        <v>22</v>
      </c>
      <c r="T1068" s="217" t="s">
        <v>36</v>
      </c>
      <c r="U1068" s="217" t="s">
        <v>37</v>
      </c>
      <c r="V1068" s="217" t="s">
        <v>249</v>
      </c>
      <c r="W1068" s="217" t="s">
        <v>250</v>
      </c>
    </row>
    <row r="1069" spans="1:23" x14ac:dyDescent="0.25">
      <c r="A1069" s="217" t="s">
        <v>22</v>
      </c>
      <c r="B1069" s="217" t="s">
        <v>23</v>
      </c>
      <c r="C1069" s="217" t="s">
        <v>37</v>
      </c>
      <c r="D1069" s="217" t="s">
        <v>36</v>
      </c>
      <c r="E1069" s="217" t="s">
        <v>547</v>
      </c>
      <c r="F1069" s="217" t="s">
        <v>548</v>
      </c>
      <c r="G1069" s="217" t="s">
        <v>599</v>
      </c>
      <c r="H1069" s="217" t="s">
        <v>1431</v>
      </c>
      <c r="I1069" s="217" t="s">
        <v>29</v>
      </c>
      <c r="J1069" s="217" t="s">
        <v>1855</v>
      </c>
      <c r="K1069" s="217">
        <v>29</v>
      </c>
      <c r="L1069" s="217">
        <v>224</v>
      </c>
      <c r="M1069" s="217" t="s">
        <v>31</v>
      </c>
      <c r="N1069" s="217" t="s">
        <v>32</v>
      </c>
      <c r="O1069" s="217" t="s">
        <v>68</v>
      </c>
      <c r="P1069" s="217" t="s">
        <v>34</v>
      </c>
      <c r="Q1069" s="217" t="s">
        <v>35</v>
      </c>
      <c r="R1069" s="217" t="s">
        <v>23</v>
      </c>
      <c r="S1069" s="217" t="s">
        <v>22</v>
      </c>
      <c r="T1069" s="217" t="s">
        <v>36</v>
      </c>
      <c r="U1069" s="217" t="s">
        <v>37</v>
      </c>
      <c r="V1069" s="217" t="s">
        <v>249</v>
      </c>
      <c r="W1069" s="217" t="s">
        <v>250</v>
      </c>
    </row>
    <row r="1070" spans="1:23" x14ac:dyDescent="0.25">
      <c r="A1070" s="217" t="s">
        <v>22</v>
      </c>
      <c r="B1070" s="217" t="s">
        <v>23</v>
      </c>
      <c r="C1070" s="217" t="s">
        <v>37</v>
      </c>
      <c r="D1070" s="217" t="s">
        <v>36</v>
      </c>
      <c r="E1070" s="217" t="s">
        <v>547</v>
      </c>
      <c r="F1070" s="217" t="s">
        <v>548</v>
      </c>
      <c r="G1070" s="217" t="s">
        <v>599</v>
      </c>
      <c r="H1070" s="217" t="s">
        <v>1431</v>
      </c>
      <c r="I1070" s="217" t="s">
        <v>29</v>
      </c>
      <c r="J1070" s="217" t="s">
        <v>1856</v>
      </c>
      <c r="K1070" s="217">
        <v>23</v>
      </c>
      <c r="L1070" s="217">
        <v>176</v>
      </c>
      <c r="M1070" s="217" t="s">
        <v>31</v>
      </c>
      <c r="N1070" s="217" t="s">
        <v>32</v>
      </c>
      <c r="O1070" s="217" t="s">
        <v>68</v>
      </c>
      <c r="P1070" s="217" t="s">
        <v>34</v>
      </c>
      <c r="Q1070" s="217" t="s">
        <v>35</v>
      </c>
      <c r="R1070" s="217" t="s">
        <v>23</v>
      </c>
      <c r="S1070" s="217" t="s">
        <v>22</v>
      </c>
      <c r="T1070" s="217" t="s">
        <v>36</v>
      </c>
      <c r="U1070" s="217" t="s">
        <v>37</v>
      </c>
      <c r="V1070" s="217" t="s">
        <v>249</v>
      </c>
      <c r="W1070" s="217" t="s">
        <v>250</v>
      </c>
    </row>
    <row r="1071" spans="1:23" x14ac:dyDescent="0.25">
      <c r="A1071" s="217" t="s">
        <v>22</v>
      </c>
      <c r="B1071" s="217" t="s">
        <v>23</v>
      </c>
      <c r="C1071" s="217" t="s">
        <v>37</v>
      </c>
      <c r="D1071" s="217" t="s">
        <v>36</v>
      </c>
      <c r="E1071" s="217" t="s">
        <v>547</v>
      </c>
      <c r="F1071" s="217" t="s">
        <v>548</v>
      </c>
      <c r="G1071" s="217" t="s">
        <v>599</v>
      </c>
      <c r="H1071" s="217" t="s">
        <v>1431</v>
      </c>
      <c r="I1071" s="217" t="s">
        <v>29</v>
      </c>
      <c r="J1071" s="217" t="s">
        <v>1857</v>
      </c>
      <c r="K1071" s="217">
        <v>42</v>
      </c>
      <c r="L1071" s="217">
        <v>380</v>
      </c>
      <c r="M1071" s="217" t="s">
        <v>31</v>
      </c>
      <c r="N1071" s="217" t="s">
        <v>32</v>
      </c>
      <c r="O1071" s="217" t="s">
        <v>68</v>
      </c>
      <c r="P1071" s="217" t="s">
        <v>34</v>
      </c>
      <c r="Q1071" s="217" t="s">
        <v>35</v>
      </c>
      <c r="R1071" s="217" t="s">
        <v>23</v>
      </c>
      <c r="S1071" s="217" t="s">
        <v>22</v>
      </c>
      <c r="T1071" s="217" t="s">
        <v>36</v>
      </c>
      <c r="U1071" s="217" t="s">
        <v>37</v>
      </c>
      <c r="V1071" s="217" t="s">
        <v>249</v>
      </c>
      <c r="W1071" s="217" t="s">
        <v>250</v>
      </c>
    </row>
    <row r="1072" spans="1:23" x14ac:dyDescent="0.25">
      <c r="A1072" s="217" t="s">
        <v>22</v>
      </c>
      <c r="B1072" s="217" t="s">
        <v>23</v>
      </c>
      <c r="C1072" s="217" t="s">
        <v>37</v>
      </c>
      <c r="D1072" s="217" t="s">
        <v>36</v>
      </c>
      <c r="E1072" s="217" t="s">
        <v>547</v>
      </c>
      <c r="F1072" s="217" t="s">
        <v>548</v>
      </c>
      <c r="G1072" s="217" t="s">
        <v>599</v>
      </c>
      <c r="H1072" s="217" t="s">
        <v>1431</v>
      </c>
      <c r="I1072" s="217" t="s">
        <v>29</v>
      </c>
      <c r="J1072" s="217" t="s">
        <v>1858</v>
      </c>
      <c r="K1072" s="217">
        <v>15</v>
      </c>
      <c r="L1072" s="217">
        <v>116</v>
      </c>
      <c r="M1072" s="217" t="s">
        <v>31</v>
      </c>
      <c r="N1072" s="217" t="s">
        <v>32</v>
      </c>
      <c r="O1072" s="217" t="s">
        <v>68</v>
      </c>
      <c r="P1072" s="217" t="s">
        <v>34</v>
      </c>
      <c r="Q1072" s="217" t="s">
        <v>35</v>
      </c>
      <c r="R1072" s="217" t="s">
        <v>23</v>
      </c>
      <c r="S1072" s="217" t="s">
        <v>22</v>
      </c>
      <c r="T1072" s="217" t="s">
        <v>36</v>
      </c>
      <c r="U1072" s="217" t="s">
        <v>37</v>
      </c>
      <c r="V1072" s="217" t="s">
        <v>249</v>
      </c>
      <c r="W1072" s="217" t="s">
        <v>250</v>
      </c>
    </row>
    <row r="1073" spans="1:23" x14ac:dyDescent="0.25">
      <c r="A1073" s="217" t="s">
        <v>22</v>
      </c>
      <c r="B1073" s="217" t="s">
        <v>23</v>
      </c>
      <c r="C1073" s="217" t="s">
        <v>37</v>
      </c>
      <c r="D1073" s="217" t="s">
        <v>36</v>
      </c>
      <c r="E1073" s="217" t="s">
        <v>547</v>
      </c>
      <c r="F1073" s="217" t="s">
        <v>548</v>
      </c>
      <c r="G1073" s="217" t="s">
        <v>568</v>
      </c>
      <c r="H1073" s="217" t="s">
        <v>1432</v>
      </c>
      <c r="I1073" s="217" t="s">
        <v>29</v>
      </c>
      <c r="J1073" s="217" t="s">
        <v>1855</v>
      </c>
      <c r="K1073" s="217">
        <v>17</v>
      </c>
      <c r="L1073" s="217">
        <v>113</v>
      </c>
      <c r="M1073" s="217" t="s">
        <v>31</v>
      </c>
      <c r="N1073" s="217" t="s">
        <v>32</v>
      </c>
      <c r="O1073" s="217" t="s">
        <v>68</v>
      </c>
      <c r="P1073" s="217" t="s">
        <v>34</v>
      </c>
      <c r="Q1073" s="217" t="s">
        <v>35</v>
      </c>
      <c r="R1073" s="217" t="s">
        <v>23</v>
      </c>
      <c r="S1073" s="217" t="s">
        <v>22</v>
      </c>
      <c r="T1073" s="217" t="s">
        <v>36</v>
      </c>
      <c r="U1073" s="217" t="s">
        <v>37</v>
      </c>
      <c r="V1073" s="217" t="s">
        <v>249</v>
      </c>
      <c r="W1073" s="217" t="s">
        <v>250</v>
      </c>
    </row>
    <row r="1074" spans="1:23" x14ac:dyDescent="0.25">
      <c r="A1074" s="217" t="s">
        <v>22</v>
      </c>
      <c r="B1074" s="217" t="s">
        <v>23</v>
      </c>
      <c r="C1074" s="217" t="s">
        <v>37</v>
      </c>
      <c r="D1074" s="217" t="s">
        <v>36</v>
      </c>
      <c r="E1074" s="217" t="s">
        <v>547</v>
      </c>
      <c r="F1074" s="217" t="s">
        <v>548</v>
      </c>
      <c r="G1074" s="217" t="s">
        <v>568</v>
      </c>
      <c r="H1074" s="217" t="s">
        <v>1432</v>
      </c>
      <c r="I1074" s="217" t="s">
        <v>29</v>
      </c>
      <c r="J1074" s="217" t="s">
        <v>1856</v>
      </c>
      <c r="K1074" s="217">
        <v>12</v>
      </c>
      <c r="L1074" s="217">
        <v>91</v>
      </c>
      <c r="M1074" s="217" t="s">
        <v>31</v>
      </c>
      <c r="N1074" s="217" t="s">
        <v>32</v>
      </c>
      <c r="O1074" s="217" t="s">
        <v>68</v>
      </c>
      <c r="P1074" s="217" t="s">
        <v>34</v>
      </c>
      <c r="Q1074" s="217" t="s">
        <v>35</v>
      </c>
      <c r="R1074" s="217" t="s">
        <v>23</v>
      </c>
      <c r="S1074" s="217" t="s">
        <v>22</v>
      </c>
      <c r="T1074" s="217" t="s">
        <v>36</v>
      </c>
      <c r="U1074" s="217" t="s">
        <v>37</v>
      </c>
      <c r="V1074" s="217" t="s">
        <v>249</v>
      </c>
      <c r="W1074" s="217" t="s">
        <v>250</v>
      </c>
    </row>
    <row r="1075" spans="1:23" x14ac:dyDescent="0.25">
      <c r="A1075" s="217" t="s">
        <v>22</v>
      </c>
      <c r="B1075" s="217" t="s">
        <v>23</v>
      </c>
      <c r="C1075" s="217" t="s">
        <v>37</v>
      </c>
      <c r="D1075" s="217" t="s">
        <v>36</v>
      </c>
      <c r="E1075" s="217" t="s">
        <v>547</v>
      </c>
      <c r="F1075" s="217" t="s">
        <v>548</v>
      </c>
      <c r="G1075" s="217" t="s">
        <v>568</v>
      </c>
      <c r="H1075" s="217" t="s">
        <v>1432</v>
      </c>
      <c r="I1075" s="217" t="s">
        <v>29</v>
      </c>
      <c r="J1075" s="217" t="s">
        <v>1857</v>
      </c>
      <c r="K1075" s="217">
        <v>10</v>
      </c>
      <c r="L1075" s="217">
        <v>82</v>
      </c>
      <c r="M1075" s="217" t="s">
        <v>31</v>
      </c>
      <c r="N1075" s="217" t="s">
        <v>32</v>
      </c>
      <c r="O1075" s="217" t="s">
        <v>68</v>
      </c>
      <c r="P1075" s="217" t="s">
        <v>34</v>
      </c>
      <c r="Q1075" s="217" t="s">
        <v>35</v>
      </c>
      <c r="R1075" s="217" t="s">
        <v>23</v>
      </c>
      <c r="S1075" s="217" t="s">
        <v>22</v>
      </c>
      <c r="T1075" s="217" t="s">
        <v>36</v>
      </c>
      <c r="U1075" s="217" t="s">
        <v>37</v>
      </c>
      <c r="V1075" s="217" t="s">
        <v>249</v>
      </c>
      <c r="W1075" s="217" t="s">
        <v>250</v>
      </c>
    </row>
    <row r="1076" spans="1:23" x14ac:dyDescent="0.25">
      <c r="A1076" s="217" t="s">
        <v>22</v>
      </c>
      <c r="B1076" s="217" t="s">
        <v>23</v>
      </c>
      <c r="C1076" s="217" t="s">
        <v>37</v>
      </c>
      <c r="D1076" s="217" t="s">
        <v>36</v>
      </c>
      <c r="E1076" s="217" t="s">
        <v>547</v>
      </c>
      <c r="F1076" s="217" t="s">
        <v>548</v>
      </c>
      <c r="G1076" s="217" t="s">
        <v>568</v>
      </c>
      <c r="H1076" s="217" t="s">
        <v>1432</v>
      </c>
      <c r="I1076" s="217" t="s">
        <v>29</v>
      </c>
      <c r="J1076" s="217" t="s">
        <v>1858</v>
      </c>
      <c r="K1076" s="217">
        <v>4</v>
      </c>
      <c r="L1076" s="217">
        <v>16</v>
      </c>
      <c r="M1076" s="217" t="s">
        <v>31</v>
      </c>
      <c r="N1076" s="217" t="s">
        <v>32</v>
      </c>
      <c r="O1076" s="217" t="s">
        <v>68</v>
      </c>
      <c r="P1076" s="217" t="s">
        <v>34</v>
      </c>
      <c r="Q1076" s="217" t="s">
        <v>35</v>
      </c>
      <c r="R1076" s="217" t="s">
        <v>23</v>
      </c>
      <c r="S1076" s="217" t="s">
        <v>22</v>
      </c>
      <c r="T1076" s="217" t="s">
        <v>36</v>
      </c>
      <c r="U1076" s="217" t="s">
        <v>37</v>
      </c>
      <c r="V1076" s="217" t="s">
        <v>249</v>
      </c>
      <c r="W1076" s="217" t="s">
        <v>250</v>
      </c>
    </row>
    <row r="1077" spans="1:23" x14ac:dyDescent="0.25">
      <c r="A1077" s="217" t="s">
        <v>22</v>
      </c>
      <c r="B1077" s="217" t="s">
        <v>23</v>
      </c>
      <c r="C1077" s="217" t="s">
        <v>37</v>
      </c>
      <c r="D1077" s="217" t="s">
        <v>36</v>
      </c>
      <c r="E1077" s="217" t="s">
        <v>547</v>
      </c>
      <c r="F1077" s="217" t="s">
        <v>548</v>
      </c>
      <c r="G1077" s="217" t="s">
        <v>569</v>
      </c>
      <c r="H1077" s="217" t="s">
        <v>1433</v>
      </c>
      <c r="I1077" s="217" t="s">
        <v>29</v>
      </c>
      <c r="J1077" s="217" t="s">
        <v>1855</v>
      </c>
      <c r="K1077" s="217">
        <v>7</v>
      </c>
      <c r="L1077" s="217">
        <v>52</v>
      </c>
      <c r="M1077" s="217" t="s">
        <v>31</v>
      </c>
      <c r="N1077" s="217" t="s">
        <v>32</v>
      </c>
      <c r="O1077" s="217" t="s">
        <v>68</v>
      </c>
      <c r="P1077" s="217" t="s">
        <v>34</v>
      </c>
      <c r="Q1077" s="217" t="s">
        <v>35</v>
      </c>
      <c r="R1077" s="217" t="s">
        <v>23</v>
      </c>
      <c r="S1077" s="217" t="s">
        <v>22</v>
      </c>
      <c r="T1077" s="217" t="s">
        <v>36</v>
      </c>
      <c r="U1077" s="217" t="s">
        <v>37</v>
      </c>
      <c r="V1077" s="217" t="s">
        <v>249</v>
      </c>
      <c r="W1077" s="217" t="s">
        <v>250</v>
      </c>
    </row>
    <row r="1078" spans="1:23" x14ac:dyDescent="0.25">
      <c r="A1078" s="217" t="s">
        <v>22</v>
      </c>
      <c r="B1078" s="217" t="s">
        <v>23</v>
      </c>
      <c r="C1078" s="217" t="s">
        <v>37</v>
      </c>
      <c r="D1078" s="217" t="s">
        <v>36</v>
      </c>
      <c r="E1078" s="217" t="s">
        <v>547</v>
      </c>
      <c r="F1078" s="217" t="s">
        <v>548</v>
      </c>
      <c r="G1078" s="217" t="s">
        <v>569</v>
      </c>
      <c r="H1078" s="217" t="s">
        <v>1433</v>
      </c>
      <c r="I1078" s="217" t="s">
        <v>29</v>
      </c>
      <c r="J1078" s="217" t="s">
        <v>1856</v>
      </c>
      <c r="K1078" s="217">
        <v>4</v>
      </c>
      <c r="L1078" s="217">
        <v>34</v>
      </c>
      <c r="M1078" s="217" t="s">
        <v>31</v>
      </c>
      <c r="N1078" s="217" t="s">
        <v>32</v>
      </c>
      <c r="O1078" s="217" t="s">
        <v>33</v>
      </c>
      <c r="P1078" s="217" t="s">
        <v>34</v>
      </c>
      <c r="Q1078" s="217" t="s">
        <v>35</v>
      </c>
      <c r="R1078" s="217" t="s">
        <v>23</v>
      </c>
      <c r="S1078" s="217" t="s">
        <v>22</v>
      </c>
      <c r="T1078" s="217" t="s">
        <v>47</v>
      </c>
      <c r="U1078" s="217" t="s">
        <v>48</v>
      </c>
      <c r="V1078" s="217" t="s">
        <v>231</v>
      </c>
      <c r="W1078" s="217" t="s">
        <v>232</v>
      </c>
    </row>
    <row r="1079" spans="1:23" x14ac:dyDescent="0.25">
      <c r="A1079" s="217" t="s">
        <v>22</v>
      </c>
      <c r="B1079" s="217" t="s">
        <v>23</v>
      </c>
      <c r="C1079" s="217" t="s">
        <v>37</v>
      </c>
      <c r="D1079" s="217" t="s">
        <v>36</v>
      </c>
      <c r="E1079" s="217" t="s">
        <v>547</v>
      </c>
      <c r="F1079" s="217" t="s">
        <v>548</v>
      </c>
      <c r="G1079" s="217" t="s">
        <v>569</v>
      </c>
      <c r="H1079" s="217" t="s">
        <v>1433</v>
      </c>
      <c r="I1079" s="217" t="s">
        <v>29</v>
      </c>
      <c r="J1079" s="217" t="s">
        <v>1857</v>
      </c>
      <c r="K1079" s="217">
        <v>3</v>
      </c>
      <c r="L1079" s="217">
        <v>14</v>
      </c>
      <c r="M1079" s="217" t="s">
        <v>31</v>
      </c>
      <c r="N1079" s="217" t="s">
        <v>32</v>
      </c>
      <c r="O1079" s="217" t="s">
        <v>68</v>
      </c>
      <c r="P1079" s="217" t="s">
        <v>34</v>
      </c>
      <c r="Q1079" s="217" t="s">
        <v>35</v>
      </c>
      <c r="R1079" s="217" t="s">
        <v>23</v>
      </c>
      <c r="S1079" s="217" t="s">
        <v>22</v>
      </c>
      <c r="T1079" s="217" t="s">
        <v>36</v>
      </c>
      <c r="U1079" s="217" t="s">
        <v>37</v>
      </c>
      <c r="V1079" s="217" t="s">
        <v>249</v>
      </c>
      <c r="W1079" s="217" t="s">
        <v>250</v>
      </c>
    </row>
    <row r="1080" spans="1:23" x14ac:dyDescent="0.25">
      <c r="A1080" s="217" t="s">
        <v>22</v>
      </c>
      <c r="B1080" s="217" t="s">
        <v>23</v>
      </c>
      <c r="C1080" s="217" t="s">
        <v>37</v>
      </c>
      <c r="D1080" s="217" t="s">
        <v>36</v>
      </c>
      <c r="E1080" s="217" t="s">
        <v>547</v>
      </c>
      <c r="F1080" s="217" t="s">
        <v>548</v>
      </c>
      <c r="G1080" s="217" t="s">
        <v>569</v>
      </c>
      <c r="H1080" s="217" t="s">
        <v>1433</v>
      </c>
      <c r="I1080" s="217" t="s">
        <v>29</v>
      </c>
      <c r="J1080" s="217" t="s">
        <v>1858</v>
      </c>
      <c r="K1080" s="217">
        <v>7</v>
      </c>
      <c r="L1080" s="217">
        <v>29</v>
      </c>
      <c r="M1080" s="217" t="s">
        <v>31</v>
      </c>
      <c r="N1080" s="217" t="s">
        <v>32</v>
      </c>
      <c r="O1080" s="217" t="s">
        <v>68</v>
      </c>
      <c r="P1080" s="217" t="s">
        <v>34</v>
      </c>
      <c r="Q1080" s="217" t="s">
        <v>35</v>
      </c>
      <c r="R1080" s="217" t="s">
        <v>23</v>
      </c>
      <c r="S1080" s="217" t="s">
        <v>22</v>
      </c>
      <c r="T1080" s="217" t="s">
        <v>36</v>
      </c>
      <c r="U1080" s="217" t="s">
        <v>37</v>
      </c>
      <c r="V1080" s="217" t="s">
        <v>249</v>
      </c>
      <c r="W1080" s="217" t="s">
        <v>250</v>
      </c>
    </row>
    <row r="1081" spans="1:23" x14ac:dyDescent="0.25">
      <c r="A1081" s="217" t="s">
        <v>22</v>
      </c>
      <c r="B1081" s="217" t="s">
        <v>23</v>
      </c>
      <c r="C1081" s="217" t="s">
        <v>37</v>
      </c>
      <c r="D1081" s="217" t="s">
        <v>36</v>
      </c>
      <c r="E1081" s="217" t="s">
        <v>547</v>
      </c>
      <c r="F1081" s="217" t="s">
        <v>548</v>
      </c>
      <c r="G1081" s="217" t="s">
        <v>570</v>
      </c>
      <c r="H1081" s="217" t="s">
        <v>1434</v>
      </c>
      <c r="I1081" s="217" t="s">
        <v>29</v>
      </c>
      <c r="J1081" s="217" t="s">
        <v>1855</v>
      </c>
      <c r="K1081" s="217">
        <v>16</v>
      </c>
      <c r="L1081" s="217">
        <v>109</v>
      </c>
      <c r="M1081" s="217" t="s">
        <v>31</v>
      </c>
      <c r="N1081" s="217" t="s">
        <v>32</v>
      </c>
      <c r="O1081" s="217" t="s">
        <v>68</v>
      </c>
      <c r="P1081" s="217" t="s">
        <v>34</v>
      </c>
      <c r="Q1081" s="217" t="s">
        <v>35</v>
      </c>
      <c r="R1081" s="217" t="s">
        <v>23</v>
      </c>
      <c r="S1081" s="217" t="s">
        <v>22</v>
      </c>
      <c r="T1081" s="217" t="s">
        <v>36</v>
      </c>
      <c r="U1081" s="217" t="s">
        <v>37</v>
      </c>
      <c r="V1081" s="217" t="s">
        <v>249</v>
      </c>
      <c r="W1081" s="217" t="s">
        <v>250</v>
      </c>
    </row>
    <row r="1082" spans="1:23" x14ac:dyDescent="0.25">
      <c r="A1082" s="217" t="s">
        <v>22</v>
      </c>
      <c r="B1082" s="217" t="s">
        <v>23</v>
      </c>
      <c r="C1082" s="217" t="s">
        <v>37</v>
      </c>
      <c r="D1082" s="217" t="s">
        <v>36</v>
      </c>
      <c r="E1082" s="217" t="s">
        <v>547</v>
      </c>
      <c r="F1082" s="217" t="s">
        <v>548</v>
      </c>
      <c r="G1082" s="217" t="s">
        <v>570</v>
      </c>
      <c r="H1082" s="217" t="s">
        <v>1434</v>
      </c>
      <c r="I1082" s="217" t="s">
        <v>29</v>
      </c>
      <c r="J1082" s="217" t="s">
        <v>1856</v>
      </c>
      <c r="K1082" s="217">
        <v>30</v>
      </c>
      <c r="L1082" s="217">
        <v>212</v>
      </c>
      <c r="M1082" s="217" t="s">
        <v>31</v>
      </c>
      <c r="N1082" s="217" t="s">
        <v>32</v>
      </c>
      <c r="O1082" s="217" t="s">
        <v>68</v>
      </c>
      <c r="P1082" s="217" t="s">
        <v>34</v>
      </c>
      <c r="Q1082" s="217" t="s">
        <v>35</v>
      </c>
      <c r="R1082" s="217" t="s">
        <v>23</v>
      </c>
      <c r="S1082" s="217" t="s">
        <v>22</v>
      </c>
      <c r="T1082" s="217" t="s">
        <v>36</v>
      </c>
      <c r="U1082" s="217" t="s">
        <v>37</v>
      </c>
      <c r="V1082" s="217" t="s">
        <v>249</v>
      </c>
      <c r="W1082" s="217" t="s">
        <v>250</v>
      </c>
    </row>
    <row r="1083" spans="1:23" x14ac:dyDescent="0.25">
      <c r="A1083" s="217" t="s">
        <v>22</v>
      </c>
      <c r="B1083" s="217" t="s">
        <v>23</v>
      </c>
      <c r="C1083" s="217" t="s">
        <v>37</v>
      </c>
      <c r="D1083" s="217" t="s">
        <v>36</v>
      </c>
      <c r="E1083" s="217" t="s">
        <v>547</v>
      </c>
      <c r="F1083" s="217" t="s">
        <v>548</v>
      </c>
      <c r="G1083" s="217" t="s">
        <v>570</v>
      </c>
      <c r="H1083" s="217" t="s">
        <v>1434</v>
      </c>
      <c r="I1083" s="217" t="s">
        <v>29</v>
      </c>
      <c r="J1083" s="217" t="s">
        <v>1857</v>
      </c>
      <c r="K1083" s="217">
        <v>23</v>
      </c>
      <c r="L1083" s="217">
        <v>155</v>
      </c>
      <c r="M1083" s="217" t="s">
        <v>31</v>
      </c>
      <c r="N1083" s="217" t="s">
        <v>32</v>
      </c>
      <c r="O1083" s="217" t="s">
        <v>68</v>
      </c>
      <c r="P1083" s="217" t="s">
        <v>34</v>
      </c>
      <c r="Q1083" s="217" t="s">
        <v>35</v>
      </c>
      <c r="R1083" s="217" t="s">
        <v>23</v>
      </c>
      <c r="S1083" s="217" t="s">
        <v>22</v>
      </c>
      <c r="T1083" s="217" t="s">
        <v>36</v>
      </c>
      <c r="U1083" s="217" t="s">
        <v>37</v>
      </c>
      <c r="V1083" s="217" t="s">
        <v>249</v>
      </c>
      <c r="W1083" s="217" t="s">
        <v>250</v>
      </c>
    </row>
    <row r="1084" spans="1:23" x14ac:dyDescent="0.25">
      <c r="A1084" s="217" t="s">
        <v>22</v>
      </c>
      <c r="B1084" s="217" t="s">
        <v>23</v>
      </c>
      <c r="C1084" s="217" t="s">
        <v>37</v>
      </c>
      <c r="D1084" s="217" t="s">
        <v>36</v>
      </c>
      <c r="E1084" s="217" t="s">
        <v>547</v>
      </c>
      <c r="F1084" s="217" t="s">
        <v>548</v>
      </c>
      <c r="G1084" s="217" t="s">
        <v>570</v>
      </c>
      <c r="H1084" s="217" t="s">
        <v>1434</v>
      </c>
      <c r="I1084" s="217" t="s">
        <v>29</v>
      </c>
      <c r="J1084" s="217" t="s">
        <v>1858</v>
      </c>
      <c r="K1084" s="217">
        <v>4</v>
      </c>
      <c r="L1084" s="217">
        <v>17</v>
      </c>
      <c r="M1084" s="217" t="s">
        <v>31</v>
      </c>
      <c r="N1084" s="217" t="s">
        <v>32</v>
      </c>
      <c r="O1084" s="217" t="s">
        <v>68</v>
      </c>
      <c r="P1084" s="217" t="s">
        <v>34</v>
      </c>
      <c r="Q1084" s="217" t="s">
        <v>35</v>
      </c>
      <c r="R1084" s="217" t="s">
        <v>23</v>
      </c>
      <c r="S1084" s="217" t="s">
        <v>22</v>
      </c>
      <c r="T1084" s="217" t="s">
        <v>36</v>
      </c>
      <c r="U1084" s="217" t="s">
        <v>37</v>
      </c>
      <c r="V1084" s="217" t="s">
        <v>249</v>
      </c>
      <c r="W1084" s="217" t="s">
        <v>250</v>
      </c>
    </row>
    <row r="1085" spans="1:23" x14ac:dyDescent="0.25">
      <c r="A1085" s="217" t="s">
        <v>22</v>
      </c>
      <c r="B1085" s="217" t="s">
        <v>23</v>
      </c>
      <c r="C1085" s="217" t="s">
        <v>37</v>
      </c>
      <c r="D1085" s="217" t="s">
        <v>36</v>
      </c>
      <c r="E1085" s="217" t="s">
        <v>547</v>
      </c>
      <c r="F1085" s="217" t="s">
        <v>548</v>
      </c>
      <c r="G1085" s="217" t="s">
        <v>571</v>
      </c>
      <c r="H1085" s="217" t="s">
        <v>1435</v>
      </c>
      <c r="I1085" s="217" t="s">
        <v>29</v>
      </c>
      <c r="J1085" s="217" t="s">
        <v>1855</v>
      </c>
      <c r="K1085" s="217">
        <v>20</v>
      </c>
      <c r="L1085" s="217">
        <v>154</v>
      </c>
      <c r="M1085" s="217" t="s">
        <v>31</v>
      </c>
      <c r="N1085" s="217" t="s">
        <v>32</v>
      </c>
      <c r="O1085" s="217" t="s">
        <v>33</v>
      </c>
      <c r="P1085" s="217" t="s">
        <v>34</v>
      </c>
      <c r="Q1085" s="217" t="s">
        <v>35</v>
      </c>
      <c r="R1085" s="217" t="s">
        <v>23</v>
      </c>
      <c r="S1085" s="217" t="s">
        <v>22</v>
      </c>
      <c r="T1085" s="217" t="s">
        <v>47</v>
      </c>
      <c r="U1085" s="217" t="s">
        <v>48</v>
      </c>
      <c r="V1085" s="217" t="s">
        <v>231</v>
      </c>
      <c r="W1085" s="217" t="s">
        <v>232</v>
      </c>
    </row>
    <row r="1086" spans="1:23" x14ac:dyDescent="0.25">
      <c r="A1086" s="217" t="s">
        <v>22</v>
      </c>
      <c r="B1086" s="217" t="s">
        <v>23</v>
      </c>
      <c r="C1086" s="217" t="s">
        <v>37</v>
      </c>
      <c r="D1086" s="217" t="s">
        <v>36</v>
      </c>
      <c r="E1086" s="217" t="s">
        <v>547</v>
      </c>
      <c r="F1086" s="217" t="s">
        <v>548</v>
      </c>
      <c r="G1086" s="217" t="s">
        <v>571</v>
      </c>
      <c r="H1086" s="217" t="s">
        <v>1435</v>
      </c>
      <c r="I1086" s="217" t="s">
        <v>29</v>
      </c>
      <c r="J1086" s="217" t="s">
        <v>1856</v>
      </c>
      <c r="K1086" s="217">
        <v>33</v>
      </c>
      <c r="L1086" s="217">
        <v>246</v>
      </c>
      <c r="M1086" s="217" t="s">
        <v>31</v>
      </c>
      <c r="N1086" s="217" t="s">
        <v>32</v>
      </c>
      <c r="O1086" s="217" t="s">
        <v>33</v>
      </c>
      <c r="P1086" s="217" t="s">
        <v>34</v>
      </c>
      <c r="Q1086" s="217" t="s">
        <v>35</v>
      </c>
      <c r="R1086" s="217" t="s">
        <v>23</v>
      </c>
      <c r="S1086" s="217" t="s">
        <v>22</v>
      </c>
      <c r="T1086" s="217" t="s">
        <v>47</v>
      </c>
      <c r="U1086" s="217" t="s">
        <v>48</v>
      </c>
      <c r="V1086" s="217" t="s">
        <v>231</v>
      </c>
      <c r="W1086" s="217" t="s">
        <v>232</v>
      </c>
    </row>
    <row r="1087" spans="1:23" x14ac:dyDescent="0.25">
      <c r="A1087" s="217" t="s">
        <v>22</v>
      </c>
      <c r="B1087" s="217" t="s">
        <v>23</v>
      </c>
      <c r="C1087" s="217" t="s">
        <v>37</v>
      </c>
      <c r="D1087" s="217" t="s">
        <v>36</v>
      </c>
      <c r="E1087" s="217" t="s">
        <v>547</v>
      </c>
      <c r="F1087" s="217" t="s">
        <v>548</v>
      </c>
      <c r="G1087" s="217" t="s">
        <v>571</v>
      </c>
      <c r="H1087" s="217" t="s">
        <v>1435</v>
      </c>
      <c r="I1087" s="217" t="s">
        <v>29</v>
      </c>
      <c r="J1087" s="217" t="s">
        <v>1857</v>
      </c>
      <c r="K1087" s="217">
        <v>97</v>
      </c>
      <c r="L1087" s="217">
        <v>783</v>
      </c>
      <c r="M1087" s="217" t="s">
        <v>31</v>
      </c>
      <c r="N1087" s="217" t="s">
        <v>32</v>
      </c>
      <c r="O1087" s="217" t="s">
        <v>33</v>
      </c>
      <c r="P1087" s="217" t="s">
        <v>34</v>
      </c>
      <c r="Q1087" s="217" t="s">
        <v>35</v>
      </c>
      <c r="R1087" s="217" t="s">
        <v>23</v>
      </c>
      <c r="S1087" s="217" t="s">
        <v>22</v>
      </c>
      <c r="T1087" s="217" t="s">
        <v>47</v>
      </c>
      <c r="U1087" s="217" t="s">
        <v>48</v>
      </c>
      <c r="V1087" s="217" t="s">
        <v>231</v>
      </c>
      <c r="W1087" s="217" t="s">
        <v>232</v>
      </c>
    </row>
    <row r="1088" spans="1:23" x14ac:dyDescent="0.25">
      <c r="A1088" s="217" t="s">
        <v>22</v>
      </c>
      <c r="B1088" s="217" t="s">
        <v>23</v>
      </c>
      <c r="C1088" s="217" t="s">
        <v>37</v>
      </c>
      <c r="D1088" s="217" t="s">
        <v>36</v>
      </c>
      <c r="E1088" s="217" t="s">
        <v>547</v>
      </c>
      <c r="F1088" s="217" t="s">
        <v>548</v>
      </c>
      <c r="G1088" s="217" t="s">
        <v>571</v>
      </c>
      <c r="H1088" s="217" t="s">
        <v>1435</v>
      </c>
      <c r="I1088" s="217" t="s">
        <v>29</v>
      </c>
      <c r="J1088" s="217" t="s">
        <v>1858</v>
      </c>
      <c r="K1088" s="217">
        <v>23</v>
      </c>
      <c r="L1088" s="217">
        <v>137</v>
      </c>
      <c r="M1088" s="217" t="s">
        <v>31</v>
      </c>
      <c r="N1088" s="217" t="s">
        <v>32</v>
      </c>
      <c r="O1088" s="217" t="s">
        <v>33</v>
      </c>
      <c r="P1088" s="217" t="s">
        <v>34</v>
      </c>
      <c r="Q1088" s="217" t="s">
        <v>35</v>
      </c>
      <c r="R1088" s="217" t="s">
        <v>23</v>
      </c>
      <c r="S1088" s="217" t="s">
        <v>22</v>
      </c>
      <c r="T1088" s="217" t="s">
        <v>47</v>
      </c>
      <c r="U1088" s="217" t="s">
        <v>48</v>
      </c>
      <c r="V1088" s="217" t="s">
        <v>231</v>
      </c>
      <c r="W1088" s="217" t="s">
        <v>232</v>
      </c>
    </row>
    <row r="1089" spans="1:23" x14ac:dyDescent="0.25">
      <c r="A1089" s="217" t="s">
        <v>22</v>
      </c>
      <c r="B1089" s="217" t="s">
        <v>23</v>
      </c>
      <c r="C1089" s="217" t="s">
        <v>37</v>
      </c>
      <c r="D1089" s="217" t="s">
        <v>36</v>
      </c>
      <c r="E1089" s="217" t="s">
        <v>547</v>
      </c>
      <c r="F1089" s="217" t="s">
        <v>548</v>
      </c>
      <c r="G1089" s="217" t="s">
        <v>572</v>
      </c>
      <c r="H1089" s="217" t="s">
        <v>1436</v>
      </c>
      <c r="I1089" s="217" t="s">
        <v>29</v>
      </c>
      <c r="J1089" s="217" t="s">
        <v>1855</v>
      </c>
      <c r="K1089" s="217">
        <v>60</v>
      </c>
      <c r="L1089" s="217">
        <v>450</v>
      </c>
      <c r="M1089" s="217" t="s">
        <v>31</v>
      </c>
      <c r="N1089" s="217" t="s">
        <v>32</v>
      </c>
      <c r="O1089" s="217" t="s">
        <v>68</v>
      </c>
      <c r="P1089" s="217" t="s">
        <v>34</v>
      </c>
      <c r="Q1089" s="217" t="s">
        <v>35</v>
      </c>
      <c r="R1089" s="217" t="s">
        <v>23</v>
      </c>
      <c r="S1089" s="217" t="s">
        <v>22</v>
      </c>
      <c r="T1089" s="217" t="s">
        <v>36</v>
      </c>
      <c r="U1089" s="217" t="s">
        <v>37</v>
      </c>
      <c r="V1089" s="217" t="s">
        <v>249</v>
      </c>
      <c r="W1089" s="217" t="s">
        <v>250</v>
      </c>
    </row>
    <row r="1090" spans="1:23" x14ac:dyDescent="0.25">
      <c r="A1090" s="217" t="s">
        <v>22</v>
      </c>
      <c r="B1090" s="217" t="s">
        <v>23</v>
      </c>
      <c r="C1090" s="217" t="s">
        <v>37</v>
      </c>
      <c r="D1090" s="217" t="s">
        <v>36</v>
      </c>
      <c r="E1090" s="217" t="s">
        <v>547</v>
      </c>
      <c r="F1090" s="217" t="s">
        <v>548</v>
      </c>
      <c r="G1090" s="217" t="s">
        <v>572</v>
      </c>
      <c r="H1090" s="217" t="s">
        <v>1436</v>
      </c>
      <c r="I1090" s="217" t="s">
        <v>29</v>
      </c>
      <c r="J1090" s="217" t="s">
        <v>1856</v>
      </c>
      <c r="K1090" s="217">
        <v>39</v>
      </c>
      <c r="L1090" s="217">
        <v>300</v>
      </c>
      <c r="M1090" s="217" t="s">
        <v>31</v>
      </c>
      <c r="N1090" s="217" t="s">
        <v>32</v>
      </c>
      <c r="O1090" s="217" t="s">
        <v>68</v>
      </c>
      <c r="P1090" s="217" t="s">
        <v>34</v>
      </c>
      <c r="Q1090" s="217" t="s">
        <v>35</v>
      </c>
      <c r="R1090" s="217" t="s">
        <v>23</v>
      </c>
      <c r="S1090" s="217" t="s">
        <v>22</v>
      </c>
      <c r="T1090" s="217" t="s">
        <v>36</v>
      </c>
      <c r="U1090" s="217" t="s">
        <v>37</v>
      </c>
      <c r="V1090" s="217" t="s">
        <v>249</v>
      </c>
      <c r="W1090" s="217" t="s">
        <v>250</v>
      </c>
    </row>
    <row r="1091" spans="1:23" x14ac:dyDescent="0.25">
      <c r="A1091" s="217" t="s">
        <v>22</v>
      </c>
      <c r="B1091" s="217" t="s">
        <v>23</v>
      </c>
      <c r="C1091" s="217" t="s">
        <v>37</v>
      </c>
      <c r="D1091" s="217" t="s">
        <v>36</v>
      </c>
      <c r="E1091" s="217" t="s">
        <v>547</v>
      </c>
      <c r="F1091" s="217" t="s">
        <v>548</v>
      </c>
      <c r="G1091" s="217" t="s">
        <v>572</v>
      </c>
      <c r="H1091" s="217" t="s">
        <v>1436</v>
      </c>
      <c r="I1091" s="217" t="s">
        <v>29</v>
      </c>
      <c r="J1091" s="217" t="s">
        <v>1857</v>
      </c>
      <c r="K1091" s="217">
        <v>36</v>
      </c>
      <c r="L1091" s="217">
        <v>268</v>
      </c>
      <c r="M1091" s="217" t="s">
        <v>31</v>
      </c>
      <c r="N1091" s="217" t="s">
        <v>32</v>
      </c>
      <c r="O1091" s="217" t="s">
        <v>68</v>
      </c>
      <c r="P1091" s="217" t="s">
        <v>34</v>
      </c>
      <c r="Q1091" s="217" t="s">
        <v>35</v>
      </c>
      <c r="R1091" s="217" t="s">
        <v>23</v>
      </c>
      <c r="S1091" s="217" t="s">
        <v>22</v>
      </c>
      <c r="T1091" s="217" t="s">
        <v>36</v>
      </c>
      <c r="U1091" s="217" t="s">
        <v>37</v>
      </c>
      <c r="V1091" s="217" t="s">
        <v>249</v>
      </c>
      <c r="W1091" s="217" t="s">
        <v>250</v>
      </c>
    </row>
    <row r="1092" spans="1:23" x14ac:dyDescent="0.25">
      <c r="A1092" s="217" t="s">
        <v>22</v>
      </c>
      <c r="B1092" s="217" t="s">
        <v>23</v>
      </c>
      <c r="C1092" s="217" t="s">
        <v>37</v>
      </c>
      <c r="D1092" s="217" t="s">
        <v>36</v>
      </c>
      <c r="E1092" s="217" t="s">
        <v>547</v>
      </c>
      <c r="F1092" s="217" t="s">
        <v>548</v>
      </c>
      <c r="G1092" s="217" t="s">
        <v>572</v>
      </c>
      <c r="H1092" s="217" t="s">
        <v>1436</v>
      </c>
      <c r="I1092" s="217" t="s">
        <v>29</v>
      </c>
      <c r="J1092" s="217" t="s">
        <v>1858</v>
      </c>
      <c r="K1092" s="217">
        <v>17</v>
      </c>
      <c r="L1092" s="217">
        <v>120</v>
      </c>
      <c r="M1092" s="217" t="s">
        <v>31</v>
      </c>
      <c r="N1092" s="217" t="s">
        <v>32</v>
      </c>
      <c r="O1092" s="217" t="s">
        <v>68</v>
      </c>
      <c r="P1092" s="217" t="s">
        <v>34</v>
      </c>
      <c r="Q1092" s="217" t="s">
        <v>35</v>
      </c>
      <c r="R1092" s="217" t="s">
        <v>23</v>
      </c>
      <c r="S1092" s="217" t="s">
        <v>22</v>
      </c>
      <c r="T1092" s="217" t="s">
        <v>36</v>
      </c>
      <c r="U1092" s="217" t="s">
        <v>37</v>
      </c>
      <c r="V1092" s="217" t="s">
        <v>249</v>
      </c>
      <c r="W1092" s="217" t="s">
        <v>250</v>
      </c>
    </row>
    <row r="1093" spans="1:23" x14ac:dyDescent="0.25">
      <c r="A1093" s="217" t="s">
        <v>22</v>
      </c>
      <c r="B1093" s="217" t="s">
        <v>23</v>
      </c>
      <c r="C1093" s="217" t="s">
        <v>37</v>
      </c>
      <c r="D1093" s="217" t="s">
        <v>36</v>
      </c>
      <c r="E1093" s="217" t="s">
        <v>547</v>
      </c>
      <c r="F1093" s="217" t="s">
        <v>548</v>
      </c>
      <c r="G1093" s="217" t="s">
        <v>573</v>
      </c>
      <c r="H1093" s="217" t="s">
        <v>1437</v>
      </c>
      <c r="I1093" s="217" t="s">
        <v>29</v>
      </c>
      <c r="J1093" s="217" t="s">
        <v>1855</v>
      </c>
      <c r="K1093" s="217">
        <v>12</v>
      </c>
      <c r="L1093" s="217">
        <v>88</v>
      </c>
      <c r="M1093" s="217" t="s">
        <v>31</v>
      </c>
      <c r="N1093" s="217" t="s">
        <v>32</v>
      </c>
      <c r="O1093" s="217" t="s">
        <v>68</v>
      </c>
      <c r="P1093" s="217" t="s">
        <v>34</v>
      </c>
      <c r="Q1093" s="217" t="s">
        <v>35</v>
      </c>
      <c r="R1093" s="217" t="s">
        <v>23</v>
      </c>
      <c r="S1093" s="217" t="s">
        <v>22</v>
      </c>
      <c r="T1093" s="217" t="s">
        <v>36</v>
      </c>
      <c r="U1093" s="217" t="s">
        <v>37</v>
      </c>
      <c r="V1093" s="217" t="s">
        <v>249</v>
      </c>
      <c r="W1093" s="217" t="s">
        <v>250</v>
      </c>
    </row>
    <row r="1094" spans="1:23" x14ac:dyDescent="0.25">
      <c r="A1094" s="217" t="s">
        <v>22</v>
      </c>
      <c r="B1094" s="217" t="s">
        <v>23</v>
      </c>
      <c r="C1094" s="217" t="s">
        <v>37</v>
      </c>
      <c r="D1094" s="217" t="s">
        <v>36</v>
      </c>
      <c r="E1094" s="217" t="s">
        <v>547</v>
      </c>
      <c r="F1094" s="217" t="s">
        <v>548</v>
      </c>
      <c r="G1094" s="217" t="s">
        <v>573</v>
      </c>
      <c r="H1094" s="217" t="s">
        <v>1437</v>
      </c>
      <c r="I1094" s="217" t="s">
        <v>29</v>
      </c>
      <c r="J1094" s="217" t="s">
        <v>1856</v>
      </c>
      <c r="K1094" s="217">
        <v>8</v>
      </c>
      <c r="L1094" s="217">
        <v>52</v>
      </c>
      <c r="M1094" s="217" t="s">
        <v>31</v>
      </c>
      <c r="N1094" s="217" t="s">
        <v>32</v>
      </c>
      <c r="O1094" s="217" t="s">
        <v>68</v>
      </c>
      <c r="P1094" s="217" t="s">
        <v>34</v>
      </c>
      <c r="Q1094" s="217" t="s">
        <v>35</v>
      </c>
      <c r="R1094" s="217" t="s">
        <v>23</v>
      </c>
      <c r="S1094" s="217" t="s">
        <v>22</v>
      </c>
      <c r="T1094" s="217" t="s">
        <v>36</v>
      </c>
      <c r="U1094" s="217" t="s">
        <v>37</v>
      </c>
      <c r="V1094" s="217" t="s">
        <v>249</v>
      </c>
      <c r="W1094" s="217" t="s">
        <v>250</v>
      </c>
    </row>
    <row r="1095" spans="1:23" x14ac:dyDescent="0.25">
      <c r="A1095" s="217" t="s">
        <v>22</v>
      </c>
      <c r="B1095" s="217" t="s">
        <v>23</v>
      </c>
      <c r="C1095" s="217" t="s">
        <v>37</v>
      </c>
      <c r="D1095" s="217" t="s">
        <v>36</v>
      </c>
      <c r="E1095" s="217" t="s">
        <v>547</v>
      </c>
      <c r="F1095" s="217" t="s">
        <v>548</v>
      </c>
      <c r="G1095" s="217" t="s">
        <v>573</v>
      </c>
      <c r="H1095" s="217" t="s">
        <v>1437</v>
      </c>
      <c r="I1095" s="217" t="s">
        <v>29</v>
      </c>
      <c r="J1095" s="217" t="s">
        <v>1857</v>
      </c>
      <c r="K1095" s="217">
        <v>23</v>
      </c>
      <c r="L1095" s="217">
        <v>184</v>
      </c>
      <c r="M1095" s="217" t="s">
        <v>31</v>
      </c>
      <c r="N1095" s="217" t="s">
        <v>32</v>
      </c>
      <c r="O1095" s="217" t="s">
        <v>68</v>
      </c>
      <c r="P1095" s="217" t="s">
        <v>34</v>
      </c>
      <c r="Q1095" s="217" t="s">
        <v>35</v>
      </c>
      <c r="R1095" s="217" t="s">
        <v>23</v>
      </c>
      <c r="S1095" s="217" t="s">
        <v>22</v>
      </c>
      <c r="T1095" s="217" t="s">
        <v>36</v>
      </c>
      <c r="U1095" s="217" t="s">
        <v>37</v>
      </c>
      <c r="V1095" s="217" t="s">
        <v>249</v>
      </c>
      <c r="W1095" s="217" t="s">
        <v>250</v>
      </c>
    </row>
    <row r="1096" spans="1:23" x14ac:dyDescent="0.25">
      <c r="A1096" s="217" t="s">
        <v>22</v>
      </c>
      <c r="B1096" s="217" t="s">
        <v>23</v>
      </c>
      <c r="C1096" s="217" t="s">
        <v>37</v>
      </c>
      <c r="D1096" s="217" t="s">
        <v>36</v>
      </c>
      <c r="E1096" s="217" t="s">
        <v>547</v>
      </c>
      <c r="F1096" s="217" t="s">
        <v>548</v>
      </c>
      <c r="G1096" s="217" t="s">
        <v>573</v>
      </c>
      <c r="H1096" s="217" t="s">
        <v>1437</v>
      </c>
      <c r="I1096" s="217" t="s">
        <v>29</v>
      </c>
      <c r="J1096" s="217" t="s">
        <v>1858</v>
      </c>
      <c r="K1096" s="217">
        <v>4</v>
      </c>
      <c r="L1096" s="217">
        <v>16</v>
      </c>
      <c r="M1096" s="217" t="s">
        <v>31</v>
      </c>
      <c r="N1096" s="217" t="s">
        <v>32</v>
      </c>
      <c r="O1096" s="217" t="s">
        <v>68</v>
      </c>
      <c r="P1096" s="217" t="s">
        <v>34</v>
      </c>
      <c r="Q1096" s="217" t="s">
        <v>35</v>
      </c>
      <c r="R1096" s="217" t="s">
        <v>23</v>
      </c>
      <c r="S1096" s="217" t="s">
        <v>22</v>
      </c>
      <c r="T1096" s="217" t="s">
        <v>36</v>
      </c>
      <c r="U1096" s="217" t="s">
        <v>37</v>
      </c>
      <c r="V1096" s="217" t="s">
        <v>249</v>
      </c>
      <c r="W1096" s="217" t="s">
        <v>250</v>
      </c>
    </row>
    <row r="1097" spans="1:23" x14ac:dyDescent="0.25">
      <c r="A1097" s="217" t="s">
        <v>22</v>
      </c>
      <c r="B1097" s="217" t="s">
        <v>23</v>
      </c>
      <c r="C1097" s="217" t="s">
        <v>37</v>
      </c>
      <c r="D1097" s="217" t="s">
        <v>36</v>
      </c>
      <c r="E1097" s="217" t="s">
        <v>547</v>
      </c>
      <c r="F1097" s="217" t="s">
        <v>548</v>
      </c>
      <c r="G1097" s="217" t="s">
        <v>574</v>
      </c>
      <c r="H1097" s="217" t="s">
        <v>1438</v>
      </c>
      <c r="I1097" s="217" t="s">
        <v>29</v>
      </c>
      <c r="J1097" s="217" t="s">
        <v>1855</v>
      </c>
      <c r="K1097" s="217">
        <v>44</v>
      </c>
      <c r="L1097" s="217">
        <v>319</v>
      </c>
      <c r="M1097" s="217" t="s">
        <v>31</v>
      </c>
      <c r="N1097" s="217" t="s">
        <v>32</v>
      </c>
      <c r="O1097" s="217" t="s">
        <v>100</v>
      </c>
      <c r="P1097" s="217" t="s">
        <v>34</v>
      </c>
      <c r="Q1097" s="217" t="s">
        <v>35</v>
      </c>
      <c r="R1097" s="217" t="s">
        <v>23</v>
      </c>
      <c r="S1097" s="217" t="s">
        <v>22</v>
      </c>
      <c r="T1097" s="217" t="s">
        <v>36</v>
      </c>
      <c r="U1097" s="217" t="s">
        <v>37</v>
      </c>
      <c r="V1097" s="217" t="s">
        <v>548</v>
      </c>
      <c r="W1097" s="217" t="s">
        <v>547</v>
      </c>
    </row>
    <row r="1098" spans="1:23" x14ac:dyDescent="0.25">
      <c r="A1098" s="217" t="s">
        <v>22</v>
      </c>
      <c r="B1098" s="217" t="s">
        <v>23</v>
      </c>
      <c r="C1098" s="217" t="s">
        <v>37</v>
      </c>
      <c r="D1098" s="217" t="s">
        <v>36</v>
      </c>
      <c r="E1098" s="217" t="s">
        <v>547</v>
      </c>
      <c r="F1098" s="217" t="s">
        <v>548</v>
      </c>
      <c r="G1098" s="217" t="s">
        <v>574</v>
      </c>
      <c r="H1098" s="217" t="s">
        <v>1438</v>
      </c>
      <c r="I1098" s="217" t="s">
        <v>29</v>
      </c>
      <c r="J1098" s="217" t="s">
        <v>1856</v>
      </c>
      <c r="K1098" s="217">
        <v>36</v>
      </c>
      <c r="L1098" s="217">
        <v>274</v>
      </c>
      <c r="M1098" s="217" t="s">
        <v>31</v>
      </c>
      <c r="N1098" s="217" t="s">
        <v>32</v>
      </c>
      <c r="O1098" s="217" t="s">
        <v>100</v>
      </c>
      <c r="P1098" s="217" t="s">
        <v>34</v>
      </c>
      <c r="Q1098" s="217" t="s">
        <v>35</v>
      </c>
      <c r="R1098" s="217" t="s">
        <v>23</v>
      </c>
      <c r="S1098" s="217" t="s">
        <v>22</v>
      </c>
      <c r="T1098" s="217" t="s">
        <v>36</v>
      </c>
      <c r="U1098" s="217" t="s">
        <v>37</v>
      </c>
      <c r="V1098" s="217" t="s">
        <v>548</v>
      </c>
      <c r="W1098" s="217" t="s">
        <v>547</v>
      </c>
    </row>
    <row r="1099" spans="1:23" x14ac:dyDescent="0.25">
      <c r="A1099" s="217" t="s">
        <v>22</v>
      </c>
      <c r="B1099" s="217" t="s">
        <v>23</v>
      </c>
      <c r="C1099" s="217" t="s">
        <v>37</v>
      </c>
      <c r="D1099" s="217" t="s">
        <v>36</v>
      </c>
      <c r="E1099" s="217" t="s">
        <v>547</v>
      </c>
      <c r="F1099" s="217" t="s">
        <v>548</v>
      </c>
      <c r="G1099" s="217" t="s">
        <v>574</v>
      </c>
      <c r="H1099" s="217" t="s">
        <v>1438</v>
      </c>
      <c r="I1099" s="217" t="s">
        <v>29</v>
      </c>
      <c r="J1099" s="217" t="s">
        <v>1857</v>
      </c>
      <c r="K1099" s="217">
        <v>9</v>
      </c>
      <c r="L1099" s="217">
        <v>46</v>
      </c>
      <c r="M1099" s="217" t="s">
        <v>31</v>
      </c>
      <c r="N1099" s="217" t="s">
        <v>32</v>
      </c>
      <c r="O1099" s="217" t="s">
        <v>100</v>
      </c>
      <c r="P1099" s="217" t="s">
        <v>34</v>
      </c>
      <c r="Q1099" s="217" t="s">
        <v>35</v>
      </c>
      <c r="R1099" s="217" t="s">
        <v>23</v>
      </c>
      <c r="S1099" s="217" t="s">
        <v>22</v>
      </c>
      <c r="T1099" s="217" t="s">
        <v>36</v>
      </c>
      <c r="U1099" s="217" t="s">
        <v>37</v>
      </c>
      <c r="V1099" s="217" t="s">
        <v>548</v>
      </c>
      <c r="W1099" s="217" t="s">
        <v>547</v>
      </c>
    </row>
    <row r="1100" spans="1:23" x14ac:dyDescent="0.25">
      <c r="A1100" s="217" t="s">
        <v>22</v>
      </c>
      <c r="B1100" s="217" t="s">
        <v>23</v>
      </c>
      <c r="C1100" s="217" t="s">
        <v>37</v>
      </c>
      <c r="D1100" s="217" t="s">
        <v>36</v>
      </c>
      <c r="E1100" s="217" t="s">
        <v>547</v>
      </c>
      <c r="F1100" s="217" t="s">
        <v>548</v>
      </c>
      <c r="G1100" s="217" t="s">
        <v>574</v>
      </c>
      <c r="H1100" s="217" t="s">
        <v>1438</v>
      </c>
      <c r="I1100" s="217" t="s">
        <v>29</v>
      </c>
      <c r="J1100" s="217" t="s">
        <v>1858</v>
      </c>
      <c r="K1100" s="217">
        <v>3</v>
      </c>
      <c r="L1100" s="217">
        <v>7</v>
      </c>
      <c r="M1100" s="217" t="s">
        <v>31</v>
      </c>
      <c r="N1100" s="217" t="s">
        <v>32</v>
      </c>
      <c r="O1100" s="217" t="s">
        <v>100</v>
      </c>
      <c r="P1100" s="217" t="s">
        <v>34</v>
      </c>
      <c r="Q1100" s="217" t="s">
        <v>35</v>
      </c>
      <c r="R1100" s="217" t="s">
        <v>23</v>
      </c>
      <c r="S1100" s="217" t="s">
        <v>22</v>
      </c>
      <c r="T1100" s="217" t="s">
        <v>36</v>
      </c>
      <c r="U1100" s="217" t="s">
        <v>37</v>
      </c>
      <c r="V1100" s="217" t="s">
        <v>548</v>
      </c>
      <c r="W1100" s="217" t="s">
        <v>547</v>
      </c>
    </row>
    <row r="1101" spans="1:23" x14ac:dyDescent="0.25">
      <c r="A1101" s="217" t="s">
        <v>22</v>
      </c>
      <c r="B1101" s="217" t="s">
        <v>23</v>
      </c>
      <c r="C1101" s="217" t="s">
        <v>37</v>
      </c>
      <c r="D1101" s="217" t="s">
        <v>36</v>
      </c>
      <c r="E1101" s="217" t="s">
        <v>547</v>
      </c>
      <c r="F1101" s="217" t="s">
        <v>548</v>
      </c>
      <c r="G1101" s="217" t="s">
        <v>575</v>
      </c>
      <c r="H1101" s="217" t="s">
        <v>1439</v>
      </c>
      <c r="I1101" s="217" t="s">
        <v>29</v>
      </c>
      <c r="J1101" s="217" t="s">
        <v>1855</v>
      </c>
      <c r="K1101" s="217">
        <v>18</v>
      </c>
      <c r="L1101" s="217">
        <v>121</v>
      </c>
      <c r="M1101" s="217" t="s">
        <v>31</v>
      </c>
      <c r="N1101" s="217" t="s">
        <v>32</v>
      </c>
      <c r="O1101" s="217" t="s">
        <v>68</v>
      </c>
      <c r="P1101" s="217" t="s">
        <v>34</v>
      </c>
      <c r="Q1101" s="217" t="s">
        <v>35</v>
      </c>
      <c r="R1101" s="217" t="s">
        <v>23</v>
      </c>
      <c r="S1101" s="217" t="s">
        <v>22</v>
      </c>
      <c r="T1101" s="217" t="s">
        <v>36</v>
      </c>
      <c r="U1101" s="217" t="s">
        <v>37</v>
      </c>
      <c r="V1101" s="217" t="s">
        <v>249</v>
      </c>
      <c r="W1101" s="217" t="s">
        <v>250</v>
      </c>
    </row>
    <row r="1102" spans="1:23" x14ac:dyDescent="0.25">
      <c r="A1102" s="217" t="s">
        <v>22</v>
      </c>
      <c r="B1102" s="217" t="s">
        <v>23</v>
      </c>
      <c r="C1102" s="217" t="s">
        <v>37</v>
      </c>
      <c r="D1102" s="217" t="s">
        <v>36</v>
      </c>
      <c r="E1102" s="217" t="s">
        <v>547</v>
      </c>
      <c r="F1102" s="217" t="s">
        <v>548</v>
      </c>
      <c r="G1102" s="217" t="s">
        <v>575</v>
      </c>
      <c r="H1102" s="217" t="s">
        <v>1439</v>
      </c>
      <c r="I1102" s="217" t="s">
        <v>29</v>
      </c>
      <c r="J1102" s="217" t="s">
        <v>1856</v>
      </c>
      <c r="K1102" s="217">
        <v>11</v>
      </c>
      <c r="L1102" s="217">
        <v>83</v>
      </c>
      <c r="M1102" s="217" t="s">
        <v>31</v>
      </c>
      <c r="N1102" s="217" t="s">
        <v>32</v>
      </c>
      <c r="O1102" s="217" t="s">
        <v>68</v>
      </c>
      <c r="P1102" s="217" t="s">
        <v>34</v>
      </c>
      <c r="Q1102" s="217" t="s">
        <v>35</v>
      </c>
      <c r="R1102" s="217" t="s">
        <v>23</v>
      </c>
      <c r="S1102" s="217" t="s">
        <v>22</v>
      </c>
      <c r="T1102" s="217" t="s">
        <v>36</v>
      </c>
      <c r="U1102" s="217" t="s">
        <v>37</v>
      </c>
      <c r="V1102" s="217" t="s">
        <v>249</v>
      </c>
      <c r="W1102" s="217" t="s">
        <v>250</v>
      </c>
    </row>
    <row r="1103" spans="1:23" x14ac:dyDescent="0.25">
      <c r="A1103" s="217" t="s">
        <v>22</v>
      </c>
      <c r="B1103" s="217" t="s">
        <v>23</v>
      </c>
      <c r="C1103" s="217" t="s">
        <v>37</v>
      </c>
      <c r="D1103" s="217" t="s">
        <v>36</v>
      </c>
      <c r="E1103" s="217" t="s">
        <v>547</v>
      </c>
      <c r="F1103" s="217" t="s">
        <v>548</v>
      </c>
      <c r="G1103" s="217" t="s">
        <v>575</v>
      </c>
      <c r="H1103" s="217" t="s">
        <v>1439</v>
      </c>
      <c r="I1103" s="217" t="s">
        <v>29</v>
      </c>
      <c r="J1103" s="217" t="s">
        <v>1857</v>
      </c>
      <c r="K1103" s="217">
        <v>15</v>
      </c>
      <c r="L1103" s="217">
        <v>106</v>
      </c>
      <c r="M1103" s="217" t="s">
        <v>31</v>
      </c>
      <c r="N1103" s="217" t="s">
        <v>32</v>
      </c>
      <c r="O1103" s="217" t="s">
        <v>68</v>
      </c>
      <c r="P1103" s="217" t="s">
        <v>34</v>
      </c>
      <c r="Q1103" s="217" t="s">
        <v>35</v>
      </c>
      <c r="R1103" s="217" t="s">
        <v>23</v>
      </c>
      <c r="S1103" s="217" t="s">
        <v>22</v>
      </c>
      <c r="T1103" s="217" t="s">
        <v>36</v>
      </c>
      <c r="U1103" s="217" t="s">
        <v>37</v>
      </c>
      <c r="V1103" s="217" t="s">
        <v>249</v>
      </c>
      <c r="W1103" s="217" t="s">
        <v>250</v>
      </c>
    </row>
    <row r="1104" spans="1:23" x14ac:dyDescent="0.25">
      <c r="A1104" s="217" t="s">
        <v>22</v>
      </c>
      <c r="B1104" s="217" t="s">
        <v>23</v>
      </c>
      <c r="C1104" s="217" t="s">
        <v>37</v>
      </c>
      <c r="D1104" s="217" t="s">
        <v>36</v>
      </c>
      <c r="E1104" s="217" t="s">
        <v>547</v>
      </c>
      <c r="F1104" s="217" t="s">
        <v>548</v>
      </c>
      <c r="G1104" s="217" t="s">
        <v>575</v>
      </c>
      <c r="H1104" s="217" t="s">
        <v>1439</v>
      </c>
      <c r="I1104" s="217" t="s">
        <v>29</v>
      </c>
      <c r="J1104" s="217" t="s">
        <v>1858</v>
      </c>
      <c r="K1104" s="217">
        <v>5</v>
      </c>
      <c r="L1104" s="217">
        <v>26</v>
      </c>
      <c r="M1104" s="217" t="s">
        <v>31</v>
      </c>
      <c r="N1104" s="217" t="s">
        <v>32</v>
      </c>
      <c r="O1104" s="217" t="s">
        <v>68</v>
      </c>
      <c r="P1104" s="217" t="s">
        <v>34</v>
      </c>
      <c r="Q1104" s="217" t="s">
        <v>35</v>
      </c>
      <c r="R1104" s="217" t="s">
        <v>23</v>
      </c>
      <c r="S1104" s="217" t="s">
        <v>22</v>
      </c>
      <c r="T1104" s="217" t="s">
        <v>36</v>
      </c>
      <c r="U1104" s="217" t="s">
        <v>37</v>
      </c>
      <c r="V1104" s="217" t="s">
        <v>249</v>
      </c>
      <c r="W1104" s="217" t="s">
        <v>250</v>
      </c>
    </row>
    <row r="1105" spans="1:23" x14ac:dyDescent="0.25">
      <c r="A1105" s="217" t="s">
        <v>22</v>
      </c>
      <c r="B1105" s="217" t="s">
        <v>23</v>
      </c>
      <c r="C1105" s="217" t="s">
        <v>37</v>
      </c>
      <c r="D1105" s="217" t="s">
        <v>36</v>
      </c>
      <c r="E1105" s="217" t="s">
        <v>547</v>
      </c>
      <c r="F1105" s="217" t="s">
        <v>548</v>
      </c>
      <c r="G1105" s="217" t="s">
        <v>2041</v>
      </c>
      <c r="H1105" s="217" t="s">
        <v>2040</v>
      </c>
      <c r="I1105" s="217" t="s">
        <v>29</v>
      </c>
      <c r="J1105" s="217" t="s">
        <v>1855</v>
      </c>
      <c r="K1105" s="217">
        <v>1</v>
      </c>
      <c r="L1105" s="217">
        <v>8</v>
      </c>
      <c r="M1105" s="217" t="s">
        <v>31</v>
      </c>
      <c r="N1105" s="217" t="s">
        <v>32</v>
      </c>
      <c r="O1105" s="217" t="s">
        <v>33</v>
      </c>
      <c r="P1105" s="217" t="s">
        <v>34</v>
      </c>
      <c r="Q1105" s="217" t="s">
        <v>35</v>
      </c>
      <c r="R1105" s="217" t="s">
        <v>23</v>
      </c>
      <c r="S1105" s="217" t="s">
        <v>22</v>
      </c>
      <c r="T1105" s="217" t="s">
        <v>47</v>
      </c>
      <c r="U1105" s="217" t="s">
        <v>48</v>
      </c>
      <c r="V1105" s="217" t="s">
        <v>231</v>
      </c>
      <c r="W1105" s="217" t="s">
        <v>232</v>
      </c>
    </row>
    <row r="1106" spans="1:23" x14ac:dyDescent="0.25">
      <c r="A1106" s="217" t="s">
        <v>22</v>
      </c>
      <c r="B1106" s="217" t="s">
        <v>23</v>
      </c>
      <c r="C1106" s="217" t="s">
        <v>37</v>
      </c>
      <c r="D1106" s="217" t="s">
        <v>36</v>
      </c>
      <c r="E1106" s="217" t="s">
        <v>547</v>
      </c>
      <c r="F1106" s="217" t="s">
        <v>548</v>
      </c>
      <c r="G1106" s="217" t="s">
        <v>2041</v>
      </c>
      <c r="H1106" s="217" t="s">
        <v>2040</v>
      </c>
      <c r="I1106" s="217" t="s">
        <v>29</v>
      </c>
      <c r="J1106" s="217" t="s">
        <v>1856</v>
      </c>
      <c r="K1106" s="217">
        <v>3</v>
      </c>
      <c r="L1106" s="217">
        <v>14</v>
      </c>
      <c r="M1106" s="217" t="s">
        <v>31</v>
      </c>
      <c r="N1106" s="217" t="s">
        <v>32</v>
      </c>
      <c r="O1106" s="217" t="s">
        <v>33</v>
      </c>
      <c r="P1106" s="217" t="s">
        <v>34</v>
      </c>
      <c r="Q1106" s="217" t="s">
        <v>35</v>
      </c>
      <c r="R1106" s="217" t="s">
        <v>23</v>
      </c>
      <c r="S1106" s="217" t="s">
        <v>22</v>
      </c>
      <c r="T1106" s="217" t="s">
        <v>47</v>
      </c>
      <c r="U1106" s="217" t="s">
        <v>48</v>
      </c>
      <c r="V1106" s="217" t="s">
        <v>231</v>
      </c>
      <c r="W1106" s="217" t="s">
        <v>232</v>
      </c>
    </row>
    <row r="1107" spans="1:23" x14ac:dyDescent="0.25">
      <c r="A1107" s="217" t="s">
        <v>22</v>
      </c>
      <c r="B1107" s="217" t="s">
        <v>23</v>
      </c>
      <c r="C1107" s="217" t="s">
        <v>37</v>
      </c>
      <c r="D1107" s="217" t="s">
        <v>36</v>
      </c>
      <c r="E1107" s="217" t="s">
        <v>547</v>
      </c>
      <c r="F1107" s="217" t="s">
        <v>548</v>
      </c>
      <c r="G1107" s="217" t="s">
        <v>2041</v>
      </c>
      <c r="H1107" s="217" t="s">
        <v>2040</v>
      </c>
      <c r="I1107" s="217" t="s">
        <v>29</v>
      </c>
      <c r="J1107" s="217" t="s">
        <v>1857</v>
      </c>
      <c r="K1107" s="217">
        <v>6</v>
      </c>
      <c r="L1107" s="217">
        <v>34</v>
      </c>
      <c r="M1107" s="217" t="s">
        <v>31</v>
      </c>
      <c r="N1107" s="217" t="s">
        <v>32</v>
      </c>
      <c r="O1107" s="217" t="s">
        <v>33</v>
      </c>
      <c r="P1107" s="217" t="s">
        <v>34</v>
      </c>
      <c r="Q1107" s="217" t="s">
        <v>35</v>
      </c>
      <c r="R1107" s="217" t="s">
        <v>23</v>
      </c>
      <c r="S1107" s="217" t="s">
        <v>22</v>
      </c>
      <c r="T1107" s="217" t="s">
        <v>47</v>
      </c>
      <c r="U1107" s="217" t="s">
        <v>48</v>
      </c>
      <c r="V1107" s="217" t="s">
        <v>231</v>
      </c>
      <c r="W1107" s="217" t="s">
        <v>232</v>
      </c>
    </row>
    <row r="1108" spans="1:23" x14ac:dyDescent="0.25">
      <c r="A1108" s="217" t="s">
        <v>22</v>
      </c>
      <c r="B1108" s="217" t="s">
        <v>23</v>
      </c>
      <c r="C1108" s="217" t="s">
        <v>37</v>
      </c>
      <c r="D1108" s="217" t="s">
        <v>36</v>
      </c>
      <c r="E1108" s="217" t="s">
        <v>547</v>
      </c>
      <c r="F1108" s="217" t="s">
        <v>548</v>
      </c>
      <c r="G1108" s="217" t="s">
        <v>2041</v>
      </c>
      <c r="H1108" s="217" t="s">
        <v>2040</v>
      </c>
      <c r="I1108" s="217" t="s">
        <v>29</v>
      </c>
      <c r="J1108" s="217" t="s">
        <v>1858</v>
      </c>
      <c r="K1108" s="217">
        <v>2</v>
      </c>
      <c r="L1108" s="217">
        <v>7</v>
      </c>
      <c r="M1108" s="217" t="s">
        <v>31</v>
      </c>
      <c r="N1108" s="217" t="s">
        <v>32</v>
      </c>
      <c r="O1108" s="217" t="s">
        <v>33</v>
      </c>
      <c r="P1108" s="217" t="s">
        <v>34</v>
      </c>
      <c r="Q1108" s="217" t="s">
        <v>35</v>
      </c>
      <c r="R1108" s="217" t="s">
        <v>23</v>
      </c>
      <c r="S1108" s="217" t="s">
        <v>22</v>
      </c>
      <c r="T1108" s="217" t="s">
        <v>47</v>
      </c>
      <c r="U1108" s="217" t="s">
        <v>48</v>
      </c>
      <c r="V1108" s="217" t="s">
        <v>231</v>
      </c>
      <c r="W1108" s="217" t="s">
        <v>232</v>
      </c>
    </row>
    <row r="1109" spans="1:23" x14ac:dyDescent="0.25">
      <c r="A1109" s="217" t="s">
        <v>22</v>
      </c>
      <c r="B1109" s="217" t="s">
        <v>23</v>
      </c>
      <c r="C1109" s="217" t="s">
        <v>37</v>
      </c>
      <c r="D1109" s="217" t="s">
        <v>36</v>
      </c>
      <c r="E1109" s="217" t="s">
        <v>547</v>
      </c>
      <c r="F1109" s="217" t="s">
        <v>548</v>
      </c>
      <c r="G1109" s="217" t="s">
        <v>576</v>
      </c>
      <c r="H1109" s="217" t="s">
        <v>1440</v>
      </c>
      <c r="I1109" s="217" t="s">
        <v>29</v>
      </c>
      <c r="J1109" s="217" t="s">
        <v>1855</v>
      </c>
      <c r="K1109" s="217">
        <v>24</v>
      </c>
      <c r="L1109" s="217">
        <v>177</v>
      </c>
      <c r="M1109" s="217" t="s">
        <v>31</v>
      </c>
      <c r="N1109" s="217" t="s">
        <v>32</v>
      </c>
      <c r="O1109" s="217" t="s">
        <v>68</v>
      </c>
      <c r="P1109" s="217" t="s">
        <v>34</v>
      </c>
      <c r="Q1109" s="217" t="s">
        <v>35</v>
      </c>
      <c r="R1109" s="217" t="s">
        <v>23</v>
      </c>
      <c r="S1109" s="217" t="s">
        <v>22</v>
      </c>
      <c r="T1109" s="217" t="s">
        <v>36</v>
      </c>
      <c r="U1109" s="217" t="s">
        <v>37</v>
      </c>
      <c r="V1109" s="217" t="s">
        <v>249</v>
      </c>
      <c r="W1109" s="217" t="s">
        <v>250</v>
      </c>
    </row>
    <row r="1110" spans="1:23" x14ac:dyDescent="0.25">
      <c r="A1110" s="217" t="s">
        <v>22</v>
      </c>
      <c r="B1110" s="217" t="s">
        <v>23</v>
      </c>
      <c r="C1110" s="217" t="s">
        <v>37</v>
      </c>
      <c r="D1110" s="217" t="s">
        <v>36</v>
      </c>
      <c r="E1110" s="217" t="s">
        <v>547</v>
      </c>
      <c r="F1110" s="217" t="s">
        <v>548</v>
      </c>
      <c r="G1110" s="217" t="s">
        <v>576</v>
      </c>
      <c r="H1110" s="217" t="s">
        <v>1440</v>
      </c>
      <c r="I1110" s="217" t="s">
        <v>29</v>
      </c>
      <c r="J1110" s="217" t="s">
        <v>1856</v>
      </c>
      <c r="K1110" s="217">
        <v>12</v>
      </c>
      <c r="L1110" s="217">
        <v>90</v>
      </c>
      <c r="M1110" s="217" t="s">
        <v>31</v>
      </c>
      <c r="N1110" s="217" t="s">
        <v>32</v>
      </c>
      <c r="O1110" s="217" t="s">
        <v>68</v>
      </c>
      <c r="P1110" s="217" t="s">
        <v>34</v>
      </c>
      <c r="Q1110" s="217" t="s">
        <v>35</v>
      </c>
      <c r="R1110" s="217" t="s">
        <v>23</v>
      </c>
      <c r="S1110" s="217" t="s">
        <v>22</v>
      </c>
      <c r="T1110" s="217" t="s">
        <v>36</v>
      </c>
      <c r="U1110" s="217" t="s">
        <v>37</v>
      </c>
      <c r="V1110" s="217" t="s">
        <v>249</v>
      </c>
      <c r="W1110" s="217" t="s">
        <v>250</v>
      </c>
    </row>
    <row r="1111" spans="1:23" x14ac:dyDescent="0.25">
      <c r="A1111" s="217" t="s">
        <v>22</v>
      </c>
      <c r="B1111" s="217" t="s">
        <v>23</v>
      </c>
      <c r="C1111" s="217" t="s">
        <v>37</v>
      </c>
      <c r="D1111" s="217" t="s">
        <v>36</v>
      </c>
      <c r="E1111" s="217" t="s">
        <v>547</v>
      </c>
      <c r="F1111" s="217" t="s">
        <v>548</v>
      </c>
      <c r="G1111" s="217" t="s">
        <v>576</v>
      </c>
      <c r="H1111" s="217" t="s">
        <v>1440</v>
      </c>
      <c r="I1111" s="217" t="s">
        <v>29</v>
      </c>
      <c r="J1111" s="217" t="s">
        <v>1857</v>
      </c>
      <c r="K1111" s="217">
        <v>34</v>
      </c>
      <c r="L1111" s="217">
        <v>265</v>
      </c>
      <c r="M1111" s="217" t="s">
        <v>31</v>
      </c>
      <c r="N1111" s="217" t="s">
        <v>32</v>
      </c>
      <c r="O1111" s="217" t="s">
        <v>68</v>
      </c>
      <c r="P1111" s="217" t="s">
        <v>34</v>
      </c>
      <c r="Q1111" s="217" t="s">
        <v>35</v>
      </c>
      <c r="R1111" s="217" t="s">
        <v>23</v>
      </c>
      <c r="S1111" s="217" t="s">
        <v>22</v>
      </c>
      <c r="T1111" s="217" t="s">
        <v>36</v>
      </c>
      <c r="U1111" s="217" t="s">
        <v>37</v>
      </c>
      <c r="V1111" s="217" t="s">
        <v>249</v>
      </c>
      <c r="W1111" s="217" t="s">
        <v>250</v>
      </c>
    </row>
    <row r="1112" spans="1:23" x14ac:dyDescent="0.25">
      <c r="A1112" s="217" t="s">
        <v>22</v>
      </c>
      <c r="B1112" s="217" t="s">
        <v>23</v>
      </c>
      <c r="C1112" s="217" t="s">
        <v>37</v>
      </c>
      <c r="D1112" s="217" t="s">
        <v>36</v>
      </c>
      <c r="E1112" s="217" t="s">
        <v>547</v>
      </c>
      <c r="F1112" s="217" t="s">
        <v>548</v>
      </c>
      <c r="G1112" s="217" t="s">
        <v>576</v>
      </c>
      <c r="H1112" s="217" t="s">
        <v>1440</v>
      </c>
      <c r="I1112" s="217" t="s">
        <v>29</v>
      </c>
      <c r="J1112" s="217" t="s">
        <v>1858</v>
      </c>
      <c r="K1112" s="217">
        <v>3</v>
      </c>
      <c r="L1112" s="217">
        <v>17</v>
      </c>
      <c r="M1112" s="217" t="s">
        <v>31</v>
      </c>
      <c r="N1112" s="217" t="s">
        <v>32</v>
      </c>
      <c r="O1112" s="217" t="s">
        <v>68</v>
      </c>
      <c r="P1112" s="217" t="s">
        <v>34</v>
      </c>
      <c r="Q1112" s="217" t="s">
        <v>35</v>
      </c>
      <c r="R1112" s="217" t="s">
        <v>23</v>
      </c>
      <c r="S1112" s="217" t="s">
        <v>22</v>
      </c>
      <c r="T1112" s="217" t="s">
        <v>36</v>
      </c>
      <c r="U1112" s="217" t="s">
        <v>37</v>
      </c>
      <c r="V1112" s="217" t="s">
        <v>249</v>
      </c>
      <c r="W1112" s="217" t="s">
        <v>250</v>
      </c>
    </row>
    <row r="1113" spans="1:23" x14ac:dyDescent="0.25">
      <c r="A1113" s="217" t="s">
        <v>22</v>
      </c>
      <c r="B1113" s="217" t="s">
        <v>23</v>
      </c>
      <c r="C1113" s="217" t="s">
        <v>37</v>
      </c>
      <c r="D1113" s="217" t="s">
        <v>36</v>
      </c>
      <c r="E1113" s="217" t="s">
        <v>247</v>
      </c>
      <c r="F1113" s="217" t="s">
        <v>246</v>
      </c>
      <c r="G1113" s="217" t="s">
        <v>2045</v>
      </c>
      <c r="H1113" s="217" t="s">
        <v>2044</v>
      </c>
      <c r="I1113" s="217" t="s">
        <v>29</v>
      </c>
      <c r="J1113" s="217" t="s">
        <v>1856</v>
      </c>
      <c r="K1113" s="217">
        <v>9</v>
      </c>
      <c r="L1113" s="217">
        <v>45</v>
      </c>
      <c r="M1113" s="217" t="s">
        <v>31</v>
      </c>
      <c r="N1113" s="217" t="s">
        <v>32</v>
      </c>
      <c r="O1113" s="217" t="s">
        <v>33</v>
      </c>
      <c r="P1113" s="217" t="s">
        <v>34</v>
      </c>
      <c r="Q1113" s="217" t="s">
        <v>35</v>
      </c>
      <c r="R1113" s="217" t="s">
        <v>23</v>
      </c>
      <c r="S1113" s="217" t="s">
        <v>22</v>
      </c>
      <c r="T1113" s="217" t="s">
        <v>47</v>
      </c>
      <c r="U1113" s="217" t="s">
        <v>48</v>
      </c>
      <c r="V1113" s="217" t="s">
        <v>231</v>
      </c>
      <c r="W1113" s="217" t="s">
        <v>232</v>
      </c>
    </row>
    <row r="1114" spans="1:23" x14ac:dyDescent="0.25">
      <c r="A1114" s="217" t="s">
        <v>22</v>
      </c>
      <c r="B1114" s="217" t="s">
        <v>23</v>
      </c>
      <c r="C1114" s="217" t="s">
        <v>37</v>
      </c>
      <c r="D1114" s="217" t="s">
        <v>36</v>
      </c>
      <c r="E1114" s="217" t="s">
        <v>247</v>
      </c>
      <c r="F1114" s="217" t="s">
        <v>246</v>
      </c>
      <c r="G1114" s="217" t="s">
        <v>577</v>
      </c>
      <c r="H1114" s="217" t="s">
        <v>1441</v>
      </c>
      <c r="I1114" s="217" t="s">
        <v>29</v>
      </c>
      <c r="J1114" s="217" t="s">
        <v>1856</v>
      </c>
      <c r="K1114" s="217">
        <v>19</v>
      </c>
      <c r="L1114" s="217">
        <v>112</v>
      </c>
      <c r="M1114" s="217" t="s">
        <v>31</v>
      </c>
      <c r="N1114" s="217" t="s">
        <v>32</v>
      </c>
      <c r="O1114" s="217" t="s">
        <v>68</v>
      </c>
      <c r="P1114" s="217" t="s">
        <v>34</v>
      </c>
      <c r="Q1114" s="217" t="s">
        <v>35</v>
      </c>
      <c r="R1114" s="217" t="s">
        <v>23</v>
      </c>
      <c r="S1114" s="217" t="s">
        <v>22</v>
      </c>
      <c r="T1114" s="217" t="s">
        <v>36</v>
      </c>
      <c r="U1114" s="217" t="s">
        <v>37</v>
      </c>
      <c r="V1114" s="217" t="s">
        <v>249</v>
      </c>
      <c r="W1114" s="217" t="s">
        <v>250</v>
      </c>
    </row>
    <row r="1115" spans="1:23" x14ac:dyDescent="0.25">
      <c r="A1115" s="217" t="s">
        <v>22</v>
      </c>
      <c r="B1115" s="217" t="s">
        <v>23</v>
      </c>
      <c r="C1115" s="217" t="s">
        <v>37</v>
      </c>
      <c r="D1115" s="217" t="s">
        <v>36</v>
      </c>
      <c r="E1115" s="217" t="s">
        <v>247</v>
      </c>
      <c r="F1115" s="217" t="s">
        <v>246</v>
      </c>
      <c r="G1115" s="217" t="s">
        <v>577</v>
      </c>
      <c r="H1115" s="217" t="s">
        <v>1441</v>
      </c>
      <c r="I1115" s="217" t="s">
        <v>29</v>
      </c>
      <c r="J1115" s="217" t="s">
        <v>1857</v>
      </c>
      <c r="K1115" s="217">
        <v>5</v>
      </c>
      <c r="L1115" s="217">
        <v>40</v>
      </c>
      <c r="M1115" s="217" t="s">
        <v>31</v>
      </c>
      <c r="N1115" s="217" t="s">
        <v>32</v>
      </c>
      <c r="O1115" s="217" t="s">
        <v>68</v>
      </c>
      <c r="P1115" s="217" t="s">
        <v>34</v>
      </c>
      <c r="Q1115" s="217" t="s">
        <v>35</v>
      </c>
      <c r="R1115" s="217" t="s">
        <v>23</v>
      </c>
      <c r="S1115" s="217" t="s">
        <v>22</v>
      </c>
      <c r="T1115" s="217" t="s">
        <v>36</v>
      </c>
      <c r="U1115" s="217" t="s">
        <v>37</v>
      </c>
      <c r="V1115" s="217" t="s">
        <v>249</v>
      </c>
      <c r="W1115" s="217" t="s">
        <v>250</v>
      </c>
    </row>
    <row r="1116" spans="1:23" x14ac:dyDescent="0.25">
      <c r="A1116" s="217" t="s">
        <v>22</v>
      </c>
      <c r="B1116" s="217" t="s">
        <v>23</v>
      </c>
      <c r="C1116" s="217" t="s">
        <v>37</v>
      </c>
      <c r="D1116" s="217" t="s">
        <v>36</v>
      </c>
      <c r="E1116" s="217" t="s">
        <v>247</v>
      </c>
      <c r="F1116" s="217" t="s">
        <v>246</v>
      </c>
      <c r="G1116" s="217" t="s">
        <v>578</v>
      </c>
      <c r="H1116" s="217" t="s">
        <v>1442</v>
      </c>
      <c r="I1116" s="217" t="s">
        <v>29</v>
      </c>
      <c r="J1116" s="217" t="s">
        <v>1857</v>
      </c>
      <c r="K1116" s="217">
        <v>2</v>
      </c>
      <c r="L1116" s="217">
        <v>14</v>
      </c>
      <c r="M1116" s="217" t="s">
        <v>31</v>
      </c>
      <c r="N1116" s="217" t="s">
        <v>32</v>
      </c>
      <c r="O1116" s="217" t="s">
        <v>68</v>
      </c>
      <c r="P1116" s="217" t="s">
        <v>34</v>
      </c>
      <c r="Q1116" s="217" t="s">
        <v>35</v>
      </c>
      <c r="R1116" s="217" t="s">
        <v>23</v>
      </c>
      <c r="S1116" s="217" t="s">
        <v>22</v>
      </c>
      <c r="T1116" s="217" t="s">
        <v>36</v>
      </c>
      <c r="U1116" s="217" t="s">
        <v>37</v>
      </c>
      <c r="V1116" s="217" t="s">
        <v>249</v>
      </c>
      <c r="W1116" s="217" t="s">
        <v>250</v>
      </c>
    </row>
    <row r="1117" spans="1:23" x14ac:dyDescent="0.25">
      <c r="A1117" s="217" t="s">
        <v>22</v>
      </c>
      <c r="B1117" s="217" t="s">
        <v>23</v>
      </c>
      <c r="C1117" s="217" t="s">
        <v>37</v>
      </c>
      <c r="D1117" s="217" t="s">
        <v>36</v>
      </c>
      <c r="E1117" s="217" t="s">
        <v>247</v>
      </c>
      <c r="F1117" s="217" t="s">
        <v>246</v>
      </c>
      <c r="G1117" s="217" t="s">
        <v>579</v>
      </c>
      <c r="H1117" s="217" t="s">
        <v>1443</v>
      </c>
      <c r="I1117" s="217" t="s">
        <v>29</v>
      </c>
      <c r="J1117" s="217" t="s">
        <v>1855</v>
      </c>
      <c r="K1117" s="217">
        <v>27</v>
      </c>
      <c r="L1117" s="217">
        <v>216</v>
      </c>
      <c r="M1117" s="217" t="s">
        <v>31</v>
      </c>
      <c r="N1117" s="217" t="s">
        <v>32</v>
      </c>
      <c r="O1117" s="217" t="s">
        <v>100</v>
      </c>
      <c r="P1117" s="217" t="s">
        <v>34</v>
      </c>
      <c r="Q1117" s="217" t="s">
        <v>35</v>
      </c>
      <c r="R1117" s="217" t="s">
        <v>23</v>
      </c>
      <c r="S1117" s="217" t="s">
        <v>22</v>
      </c>
      <c r="T1117" s="217" t="s">
        <v>36</v>
      </c>
      <c r="U1117" s="217" t="s">
        <v>37</v>
      </c>
      <c r="V1117" s="217" t="s">
        <v>246</v>
      </c>
      <c r="W1117" s="217" t="s">
        <v>247</v>
      </c>
    </row>
    <row r="1118" spans="1:23" x14ac:dyDescent="0.25">
      <c r="A1118" s="217" t="s">
        <v>22</v>
      </c>
      <c r="B1118" s="217" t="s">
        <v>23</v>
      </c>
      <c r="C1118" s="217" t="s">
        <v>37</v>
      </c>
      <c r="D1118" s="217" t="s">
        <v>36</v>
      </c>
      <c r="E1118" s="217" t="s">
        <v>247</v>
      </c>
      <c r="F1118" s="217" t="s">
        <v>246</v>
      </c>
      <c r="G1118" s="217" t="s">
        <v>579</v>
      </c>
      <c r="H1118" s="217" t="s">
        <v>1443</v>
      </c>
      <c r="I1118" s="217" t="s">
        <v>29</v>
      </c>
      <c r="J1118" s="217" t="s">
        <v>1856</v>
      </c>
      <c r="K1118" s="217">
        <v>9</v>
      </c>
      <c r="L1118" s="217">
        <v>72</v>
      </c>
      <c r="M1118" s="217" t="s">
        <v>31</v>
      </c>
      <c r="N1118" s="217" t="s">
        <v>32</v>
      </c>
      <c r="O1118" s="217" t="s">
        <v>100</v>
      </c>
      <c r="P1118" s="217" t="s">
        <v>34</v>
      </c>
      <c r="Q1118" s="217" t="s">
        <v>35</v>
      </c>
      <c r="R1118" s="217" t="s">
        <v>23</v>
      </c>
      <c r="S1118" s="217" t="s">
        <v>22</v>
      </c>
      <c r="T1118" s="217" t="s">
        <v>36</v>
      </c>
      <c r="U1118" s="217" t="s">
        <v>37</v>
      </c>
      <c r="V1118" s="217" t="s">
        <v>246</v>
      </c>
      <c r="W1118" s="217" t="s">
        <v>247</v>
      </c>
    </row>
    <row r="1119" spans="1:23" x14ac:dyDescent="0.25">
      <c r="A1119" s="217" t="s">
        <v>22</v>
      </c>
      <c r="B1119" s="217" t="s">
        <v>23</v>
      </c>
      <c r="C1119" s="217" t="s">
        <v>37</v>
      </c>
      <c r="D1119" s="217" t="s">
        <v>36</v>
      </c>
      <c r="E1119" s="217" t="s">
        <v>247</v>
      </c>
      <c r="F1119" s="217" t="s">
        <v>246</v>
      </c>
      <c r="G1119" s="217" t="s">
        <v>579</v>
      </c>
      <c r="H1119" s="217" t="s">
        <v>1443</v>
      </c>
      <c r="I1119" s="217" t="s">
        <v>29</v>
      </c>
      <c r="J1119" s="217" t="s">
        <v>1857</v>
      </c>
      <c r="K1119" s="217">
        <v>1</v>
      </c>
      <c r="L1119" s="217">
        <v>16</v>
      </c>
      <c r="M1119" s="217" t="s">
        <v>31</v>
      </c>
      <c r="N1119" s="217" t="s">
        <v>32</v>
      </c>
      <c r="O1119" s="217" t="s">
        <v>100</v>
      </c>
      <c r="P1119" s="217" t="s">
        <v>34</v>
      </c>
      <c r="Q1119" s="217" t="s">
        <v>35</v>
      </c>
      <c r="R1119" s="217" t="s">
        <v>23</v>
      </c>
      <c r="S1119" s="217" t="s">
        <v>22</v>
      </c>
      <c r="T1119" s="217" t="s">
        <v>36</v>
      </c>
      <c r="U1119" s="217" t="s">
        <v>37</v>
      </c>
      <c r="V1119" s="217" t="s">
        <v>246</v>
      </c>
      <c r="W1119" s="217" t="s">
        <v>247</v>
      </c>
    </row>
    <row r="1120" spans="1:23" x14ac:dyDescent="0.25">
      <c r="A1120" s="217" t="s">
        <v>22</v>
      </c>
      <c r="B1120" s="217" t="s">
        <v>23</v>
      </c>
      <c r="C1120" s="217" t="s">
        <v>37</v>
      </c>
      <c r="D1120" s="217" t="s">
        <v>36</v>
      </c>
      <c r="E1120" s="217" t="s">
        <v>247</v>
      </c>
      <c r="F1120" s="217" t="s">
        <v>246</v>
      </c>
      <c r="G1120" s="217" t="s">
        <v>580</v>
      </c>
      <c r="H1120" s="217" t="s">
        <v>1444</v>
      </c>
      <c r="I1120" s="217" t="s">
        <v>29</v>
      </c>
      <c r="J1120" s="217" t="s">
        <v>1855</v>
      </c>
      <c r="K1120" s="217">
        <v>50</v>
      </c>
      <c r="L1120" s="217">
        <v>250</v>
      </c>
      <c r="M1120" s="217" t="s">
        <v>31</v>
      </c>
      <c r="N1120" s="217" t="s">
        <v>32</v>
      </c>
      <c r="O1120" s="217" t="s">
        <v>68</v>
      </c>
      <c r="P1120" s="217" t="s">
        <v>34</v>
      </c>
      <c r="Q1120" s="217" t="s">
        <v>35</v>
      </c>
      <c r="R1120" s="217" t="s">
        <v>23</v>
      </c>
      <c r="S1120" s="217" t="s">
        <v>22</v>
      </c>
      <c r="T1120" s="217" t="s">
        <v>36</v>
      </c>
      <c r="U1120" s="217" t="s">
        <v>37</v>
      </c>
      <c r="V1120" s="217" t="s">
        <v>249</v>
      </c>
      <c r="W1120" s="217" t="s">
        <v>250</v>
      </c>
    </row>
    <row r="1121" spans="1:23" x14ac:dyDescent="0.25">
      <c r="A1121" s="217" t="s">
        <v>22</v>
      </c>
      <c r="B1121" s="217" t="s">
        <v>23</v>
      </c>
      <c r="C1121" s="217" t="s">
        <v>37</v>
      </c>
      <c r="D1121" s="217" t="s">
        <v>36</v>
      </c>
      <c r="E1121" s="217" t="s">
        <v>247</v>
      </c>
      <c r="F1121" s="217" t="s">
        <v>246</v>
      </c>
      <c r="G1121" s="217" t="s">
        <v>580</v>
      </c>
      <c r="H1121" s="217" t="s">
        <v>1444</v>
      </c>
      <c r="I1121" s="217" t="s">
        <v>29</v>
      </c>
      <c r="J1121" s="217" t="s">
        <v>1856</v>
      </c>
      <c r="K1121" s="217">
        <v>10</v>
      </c>
      <c r="L1121" s="217">
        <v>50</v>
      </c>
      <c r="M1121" s="217" t="s">
        <v>31</v>
      </c>
      <c r="N1121" s="217" t="s">
        <v>32</v>
      </c>
      <c r="O1121" s="217" t="s">
        <v>68</v>
      </c>
      <c r="P1121" s="217" t="s">
        <v>34</v>
      </c>
      <c r="Q1121" s="217" t="s">
        <v>35</v>
      </c>
      <c r="R1121" s="217" t="s">
        <v>23</v>
      </c>
      <c r="S1121" s="217" t="s">
        <v>22</v>
      </c>
      <c r="T1121" s="217" t="s">
        <v>36</v>
      </c>
      <c r="U1121" s="217" t="s">
        <v>37</v>
      </c>
      <c r="V1121" s="217" t="s">
        <v>249</v>
      </c>
      <c r="W1121" s="217" t="s">
        <v>250</v>
      </c>
    </row>
    <row r="1122" spans="1:23" x14ac:dyDescent="0.25">
      <c r="A1122" s="217" t="s">
        <v>22</v>
      </c>
      <c r="B1122" s="217" t="s">
        <v>23</v>
      </c>
      <c r="C1122" s="217" t="s">
        <v>37</v>
      </c>
      <c r="D1122" s="217" t="s">
        <v>36</v>
      </c>
      <c r="E1122" s="217" t="s">
        <v>247</v>
      </c>
      <c r="F1122" s="217" t="s">
        <v>246</v>
      </c>
      <c r="G1122" s="217" t="s">
        <v>580</v>
      </c>
      <c r="H1122" s="217" t="s">
        <v>1444</v>
      </c>
      <c r="I1122" s="217" t="s">
        <v>29</v>
      </c>
      <c r="J1122" s="217" t="s">
        <v>1857</v>
      </c>
      <c r="K1122" s="217">
        <v>10</v>
      </c>
      <c r="L1122" s="217">
        <v>50</v>
      </c>
      <c r="M1122" s="217" t="s">
        <v>31</v>
      </c>
      <c r="N1122" s="217" t="s">
        <v>32</v>
      </c>
      <c r="O1122" s="217" t="s">
        <v>68</v>
      </c>
      <c r="P1122" s="217" t="s">
        <v>34</v>
      </c>
      <c r="Q1122" s="217" t="s">
        <v>35</v>
      </c>
      <c r="R1122" s="217" t="s">
        <v>23</v>
      </c>
      <c r="S1122" s="217" t="s">
        <v>22</v>
      </c>
      <c r="T1122" s="217" t="s">
        <v>36</v>
      </c>
      <c r="U1122" s="217" t="s">
        <v>37</v>
      </c>
      <c r="V1122" s="217" t="s">
        <v>249</v>
      </c>
      <c r="W1122" s="217" t="s">
        <v>250</v>
      </c>
    </row>
    <row r="1123" spans="1:23" x14ac:dyDescent="0.25">
      <c r="A1123" s="217" t="s">
        <v>22</v>
      </c>
      <c r="B1123" s="217" t="s">
        <v>23</v>
      </c>
      <c r="C1123" s="217" t="s">
        <v>37</v>
      </c>
      <c r="D1123" s="217" t="s">
        <v>36</v>
      </c>
      <c r="E1123" s="217" t="s">
        <v>247</v>
      </c>
      <c r="F1123" s="217" t="s">
        <v>246</v>
      </c>
      <c r="G1123" s="217" t="s">
        <v>581</v>
      </c>
      <c r="H1123" s="217" t="s">
        <v>1445</v>
      </c>
      <c r="I1123" s="217" t="s">
        <v>29</v>
      </c>
      <c r="J1123" s="217" t="s">
        <v>1855</v>
      </c>
      <c r="K1123" s="217">
        <v>6</v>
      </c>
      <c r="L1123" s="217">
        <v>22</v>
      </c>
      <c r="M1123" s="217" t="s">
        <v>31</v>
      </c>
      <c r="N1123" s="217" t="s">
        <v>32</v>
      </c>
      <c r="O1123" s="217" t="s">
        <v>68</v>
      </c>
      <c r="P1123" s="217" t="s">
        <v>34</v>
      </c>
      <c r="Q1123" s="217" t="s">
        <v>35</v>
      </c>
      <c r="R1123" s="217" t="s">
        <v>23</v>
      </c>
      <c r="S1123" s="217" t="s">
        <v>22</v>
      </c>
      <c r="T1123" s="217" t="s">
        <v>36</v>
      </c>
      <c r="U1123" s="217" t="s">
        <v>37</v>
      </c>
      <c r="V1123" s="217" t="s">
        <v>249</v>
      </c>
      <c r="W1123" s="217" t="s">
        <v>250</v>
      </c>
    </row>
    <row r="1124" spans="1:23" x14ac:dyDescent="0.25">
      <c r="A1124" s="217" t="s">
        <v>22</v>
      </c>
      <c r="B1124" s="217" t="s">
        <v>23</v>
      </c>
      <c r="C1124" s="217" t="s">
        <v>37</v>
      </c>
      <c r="D1124" s="217" t="s">
        <v>36</v>
      </c>
      <c r="E1124" s="217" t="s">
        <v>247</v>
      </c>
      <c r="F1124" s="217" t="s">
        <v>246</v>
      </c>
      <c r="G1124" s="217" t="s">
        <v>581</v>
      </c>
      <c r="H1124" s="217" t="s">
        <v>1445</v>
      </c>
      <c r="I1124" s="217" t="s">
        <v>29</v>
      </c>
      <c r="J1124" s="217" t="s">
        <v>1856</v>
      </c>
      <c r="K1124" s="217">
        <v>3</v>
      </c>
      <c r="L1124" s="217">
        <v>23</v>
      </c>
      <c r="M1124" s="217" t="s">
        <v>31</v>
      </c>
      <c r="N1124" s="217" t="s">
        <v>32</v>
      </c>
      <c r="O1124" s="217" t="s">
        <v>68</v>
      </c>
      <c r="P1124" s="217" t="s">
        <v>34</v>
      </c>
      <c r="Q1124" s="217" t="s">
        <v>35</v>
      </c>
      <c r="R1124" s="217" t="s">
        <v>23</v>
      </c>
      <c r="S1124" s="217" t="s">
        <v>22</v>
      </c>
      <c r="T1124" s="217" t="s">
        <v>36</v>
      </c>
      <c r="U1124" s="217" t="s">
        <v>37</v>
      </c>
      <c r="V1124" s="217" t="s">
        <v>249</v>
      </c>
      <c r="W1124" s="217" t="s">
        <v>250</v>
      </c>
    </row>
    <row r="1125" spans="1:23" x14ac:dyDescent="0.25">
      <c r="A1125" s="217" t="s">
        <v>22</v>
      </c>
      <c r="B1125" s="217" t="s">
        <v>23</v>
      </c>
      <c r="C1125" s="217" t="s">
        <v>37</v>
      </c>
      <c r="D1125" s="217" t="s">
        <v>36</v>
      </c>
      <c r="E1125" s="217" t="s">
        <v>247</v>
      </c>
      <c r="F1125" s="217" t="s">
        <v>246</v>
      </c>
      <c r="G1125" s="217" t="s">
        <v>2047</v>
      </c>
      <c r="H1125" s="217" t="s">
        <v>2046</v>
      </c>
      <c r="I1125" s="217" t="s">
        <v>29</v>
      </c>
      <c r="J1125" s="217" t="s">
        <v>1858</v>
      </c>
      <c r="K1125" s="217">
        <v>256</v>
      </c>
      <c r="L1125" s="217">
        <v>1709</v>
      </c>
      <c r="M1125" s="217" t="s">
        <v>31</v>
      </c>
      <c r="N1125" s="217" t="s">
        <v>32</v>
      </c>
      <c r="O1125" s="217" t="s">
        <v>100</v>
      </c>
      <c r="P1125" s="217" t="s">
        <v>34</v>
      </c>
      <c r="Q1125" s="217" t="s">
        <v>35</v>
      </c>
      <c r="R1125" s="217" t="s">
        <v>23</v>
      </c>
      <c r="S1125" s="217" t="s">
        <v>22</v>
      </c>
      <c r="T1125" s="217" t="s">
        <v>36</v>
      </c>
      <c r="U1125" s="217" t="s">
        <v>37</v>
      </c>
      <c r="V1125" s="217" t="s">
        <v>246</v>
      </c>
      <c r="W1125" s="217" t="s">
        <v>247</v>
      </c>
    </row>
    <row r="1126" spans="1:23" x14ac:dyDescent="0.25">
      <c r="A1126" s="217" t="s">
        <v>22</v>
      </c>
      <c r="B1126" s="217" t="s">
        <v>23</v>
      </c>
      <c r="C1126" s="217" t="s">
        <v>37</v>
      </c>
      <c r="D1126" s="217" t="s">
        <v>36</v>
      </c>
      <c r="E1126" s="217" t="s">
        <v>247</v>
      </c>
      <c r="F1126" s="217" t="s">
        <v>246</v>
      </c>
      <c r="G1126" s="217" t="s">
        <v>582</v>
      </c>
      <c r="H1126" s="217" t="s">
        <v>1446</v>
      </c>
      <c r="I1126" s="217" t="s">
        <v>29</v>
      </c>
      <c r="J1126" s="217" t="s">
        <v>1855</v>
      </c>
      <c r="K1126" s="217">
        <v>103</v>
      </c>
      <c r="L1126" s="217">
        <v>515</v>
      </c>
      <c r="M1126" s="217" t="s">
        <v>31</v>
      </c>
      <c r="N1126" s="217" t="s">
        <v>32</v>
      </c>
      <c r="O1126" s="217" t="s">
        <v>68</v>
      </c>
      <c r="P1126" s="217" t="s">
        <v>34</v>
      </c>
      <c r="Q1126" s="217" t="s">
        <v>35</v>
      </c>
      <c r="R1126" s="217" t="s">
        <v>23</v>
      </c>
      <c r="S1126" s="217" t="s">
        <v>22</v>
      </c>
      <c r="T1126" s="217" t="s">
        <v>36</v>
      </c>
      <c r="U1126" s="217" t="s">
        <v>37</v>
      </c>
      <c r="V1126" s="217" t="s">
        <v>249</v>
      </c>
      <c r="W1126" s="217" t="s">
        <v>250</v>
      </c>
    </row>
    <row r="1127" spans="1:23" x14ac:dyDescent="0.25">
      <c r="A1127" s="217" t="s">
        <v>22</v>
      </c>
      <c r="B1127" s="217" t="s">
        <v>23</v>
      </c>
      <c r="C1127" s="217" t="s">
        <v>37</v>
      </c>
      <c r="D1127" s="217" t="s">
        <v>36</v>
      </c>
      <c r="E1127" s="217" t="s">
        <v>247</v>
      </c>
      <c r="F1127" s="217" t="s">
        <v>246</v>
      </c>
      <c r="G1127" s="217" t="s">
        <v>582</v>
      </c>
      <c r="H1127" s="217" t="s">
        <v>1446</v>
      </c>
      <c r="I1127" s="217" t="s">
        <v>29</v>
      </c>
      <c r="J1127" s="217" t="s">
        <v>1856</v>
      </c>
      <c r="K1127" s="217">
        <v>40</v>
      </c>
      <c r="L1127" s="217">
        <v>200</v>
      </c>
      <c r="M1127" s="217" t="s">
        <v>31</v>
      </c>
      <c r="N1127" s="217" t="s">
        <v>32</v>
      </c>
      <c r="O1127" s="217" t="s">
        <v>68</v>
      </c>
      <c r="P1127" s="217" t="s">
        <v>34</v>
      </c>
      <c r="Q1127" s="217" t="s">
        <v>35</v>
      </c>
      <c r="R1127" s="217" t="s">
        <v>23</v>
      </c>
      <c r="S1127" s="217" t="s">
        <v>22</v>
      </c>
      <c r="T1127" s="217" t="s">
        <v>36</v>
      </c>
      <c r="U1127" s="217" t="s">
        <v>37</v>
      </c>
      <c r="V1127" s="217" t="s">
        <v>249</v>
      </c>
      <c r="W1127" s="217" t="s">
        <v>250</v>
      </c>
    </row>
    <row r="1128" spans="1:23" x14ac:dyDescent="0.25">
      <c r="A1128" s="217" t="s">
        <v>22</v>
      </c>
      <c r="B1128" s="217" t="s">
        <v>23</v>
      </c>
      <c r="C1128" s="217" t="s">
        <v>37</v>
      </c>
      <c r="D1128" s="217" t="s">
        <v>36</v>
      </c>
      <c r="E1128" s="217" t="s">
        <v>247</v>
      </c>
      <c r="F1128" s="217" t="s">
        <v>246</v>
      </c>
      <c r="G1128" s="217" t="s">
        <v>582</v>
      </c>
      <c r="H1128" s="217" t="s">
        <v>1446</v>
      </c>
      <c r="I1128" s="217" t="s">
        <v>29</v>
      </c>
      <c r="J1128" s="217" t="s">
        <v>1857</v>
      </c>
      <c r="K1128" s="217">
        <v>10</v>
      </c>
      <c r="L1128" s="217">
        <v>50</v>
      </c>
      <c r="M1128" s="217" t="s">
        <v>31</v>
      </c>
      <c r="N1128" s="217" t="s">
        <v>32</v>
      </c>
      <c r="O1128" s="217" t="s">
        <v>68</v>
      </c>
      <c r="P1128" s="217" t="s">
        <v>34</v>
      </c>
      <c r="Q1128" s="217" t="s">
        <v>35</v>
      </c>
      <c r="R1128" s="217" t="s">
        <v>23</v>
      </c>
      <c r="S1128" s="217" t="s">
        <v>22</v>
      </c>
      <c r="T1128" s="217" t="s">
        <v>36</v>
      </c>
      <c r="U1128" s="217" t="s">
        <v>37</v>
      </c>
      <c r="V1128" s="217" t="s">
        <v>249</v>
      </c>
      <c r="W1128" s="217" t="s">
        <v>250</v>
      </c>
    </row>
    <row r="1129" spans="1:23" x14ac:dyDescent="0.25">
      <c r="A1129" s="217" t="s">
        <v>22</v>
      </c>
      <c r="B1129" s="217" t="s">
        <v>23</v>
      </c>
      <c r="C1129" s="217" t="s">
        <v>37</v>
      </c>
      <c r="D1129" s="217" t="s">
        <v>36</v>
      </c>
      <c r="E1129" s="217" t="s">
        <v>247</v>
      </c>
      <c r="F1129" s="217" t="s">
        <v>246</v>
      </c>
      <c r="G1129" s="217" t="s">
        <v>582</v>
      </c>
      <c r="H1129" s="217" t="s">
        <v>1446</v>
      </c>
      <c r="I1129" s="217" t="s">
        <v>29</v>
      </c>
      <c r="J1129" s="217" t="s">
        <v>1858</v>
      </c>
      <c r="K1129" s="217">
        <v>63</v>
      </c>
      <c r="L1129" s="217">
        <v>315</v>
      </c>
      <c r="M1129" s="217" t="s">
        <v>31</v>
      </c>
      <c r="N1129" s="217" t="s">
        <v>32</v>
      </c>
      <c r="O1129" s="217" t="s">
        <v>68</v>
      </c>
      <c r="P1129" s="217" t="s">
        <v>34</v>
      </c>
      <c r="Q1129" s="217" t="s">
        <v>35</v>
      </c>
      <c r="R1129" s="217" t="s">
        <v>23</v>
      </c>
      <c r="S1129" s="217" t="s">
        <v>22</v>
      </c>
      <c r="T1129" s="217" t="s">
        <v>36</v>
      </c>
      <c r="U1129" s="217" t="s">
        <v>37</v>
      </c>
      <c r="V1129" s="217" t="s">
        <v>249</v>
      </c>
      <c r="W1129" s="217" t="s">
        <v>250</v>
      </c>
    </row>
    <row r="1130" spans="1:23" x14ac:dyDescent="0.25">
      <c r="A1130" s="217" t="s">
        <v>22</v>
      </c>
      <c r="B1130" s="217" t="s">
        <v>23</v>
      </c>
      <c r="C1130" s="217" t="s">
        <v>37</v>
      </c>
      <c r="D1130" s="217" t="s">
        <v>36</v>
      </c>
      <c r="E1130" s="217" t="s">
        <v>247</v>
      </c>
      <c r="F1130" s="217" t="s">
        <v>246</v>
      </c>
      <c r="G1130" s="217" t="s">
        <v>242</v>
      </c>
      <c r="H1130" s="217" t="s">
        <v>1448</v>
      </c>
      <c r="I1130" s="217" t="s">
        <v>29</v>
      </c>
      <c r="J1130" s="217" t="s">
        <v>1856</v>
      </c>
      <c r="K1130" s="217">
        <v>56</v>
      </c>
      <c r="L1130" s="217">
        <v>448</v>
      </c>
      <c r="M1130" s="217" t="s">
        <v>31</v>
      </c>
      <c r="N1130" s="217" t="s">
        <v>32</v>
      </c>
      <c r="O1130" s="217" t="s">
        <v>33</v>
      </c>
      <c r="P1130" s="217" t="s">
        <v>34</v>
      </c>
      <c r="Q1130" s="217" t="s">
        <v>35</v>
      </c>
      <c r="R1130" s="217" t="s">
        <v>23</v>
      </c>
      <c r="S1130" s="217" t="s">
        <v>22</v>
      </c>
      <c r="T1130" s="217" t="s">
        <v>47</v>
      </c>
      <c r="U1130" s="217" t="s">
        <v>48</v>
      </c>
      <c r="V1130" s="217" t="s">
        <v>231</v>
      </c>
      <c r="W1130" s="217" t="s">
        <v>232</v>
      </c>
    </row>
    <row r="1131" spans="1:23" x14ac:dyDescent="0.25">
      <c r="A1131" s="217" t="s">
        <v>22</v>
      </c>
      <c r="B1131" s="217" t="s">
        <v>23</v>
      </c>
      <c r="C1131" s="217" t="s">
        <v>37</v>
      </c>
      <c r="D1131" s="217" t="s">
        <v>36</v>
      </c>
      <c r="E1131" s="217" t="s">
        <v>247</v>
      </c>
      <c r="F1131" s="217" t="s">
        <v>246</v>
      </c>
      <c r="G1131" s="217" t="s">
        <v>242</v>
      </c>
      <c r="H1131" s="217" t="s">
        <v>1448</v>
      </c>
      <c r="I1131" s="217" t="s">
        <v>29</v>
      </c>
      <c r="J1131" s="217" t="s">
        <v>1857</v>
      </c>
      <c r="K1131" s="217">
        <v>52</v>
      </c>
      <c r="L1131" s="217">
        <v>416</v>
      </c>
      <c r="M1131" s="217" t="s">
        <v>31</v>
      </c>
      <c r="N1131" s="217" t="s">
        <v>32</v>
      </c>
      <c r="O1131" s="217" t="s">
        <v>68</v>
      </c>
      <c r="P1131" s="217" t="s">
        <v>34</v>
      </c>
      <c r="Q1131" s="217" t="s">
        <v>35</v>
      </c>
      <c r="R1131" s="217" t="s">
        <v>23</v>
      </c>
      <c r="S1131" s="217" t="s">
        <v>22</v>
      </c>
      <c r="T1131" s="217" t="s">
        <v>36</v>
      </c>
      <c r="U1131" s="217" t="s">
        <v>37</v>
      </c>
      <c r="V1131" s="217" t="s">
        <v>609</v>
      </c>
      <c r="W1131" s="217" t="s">
        <v>608</v>
      </c>
    </row>
    <row r="1132" spans="1:23" x14ac:dyDescent="0.25">
      <c r="A1132" s="217" t="s">
        <v>22</v>
      </c>
      <c r="B1132" s="217" t="s">
        <v>23</v>
      </c>
      <c r="C1132" s="217" t="s">
        <v>37</v>
      </c>
      <c r="D1132" s="217" t="s">
        <v>36</v>
      </c>
      <c r="E1132" s="217" t="s">
        <v>247</v>
      </c>
      <c r="F1132" s="217" t="s">
        <v>246</v>
      </c>
      <c r="G1132" s="217" t="s">
        <v>242</v>
      </c>
      <c r="H1132" s="217" t="s">
        <v>1448</v>
      </c>
      <c r="I1132" s="217" t="s">
        <v>29</v>
      </c>
      <c r="J1132" s="217" t="s">
        <v>1858</v>
      </c>
      <c r="K1132" s="217">
        <v>5</v>
      </c>
      <c r="L1132" s="217">
        <v>32</v>
      </c>
      <c r="M1132" s="217" t="s">
        <v>31</v>
      </c>
      <c r="N1132" s="217" t="s">
        <v>32</v>
      </c>
      <c r="O1132" s="217" t="s">
        <v>33</v>
      </c>
      <c r="P1132" s="217" t="s">
        <v>34</v>
      </c>
      <c r="Q1132" s="217" t="s">
        <v>35</v>
      </c>
      <c r="R1132" s="217" t="s">
        <v>23</v>
      </c>
      <c r="S1132" s="217" t="s">
        <v>22</v>
      </c>
      <c r="T1132" s="217" t="s">
        <v>47</v>
      </c>
      <c r="U1132" s="217" t="s">
        <v>48</v>
      </c>
      <c r="V1132" s="217" t="s">
        <v>61</v>
      </c>
      <c r="W1132" s="217" t="s">
        <v>62</v>
      </c>
    </row>
    <row r="1133" spans="1:23" x14ac:dyDescent="0.25">
      <c r="A1133" s="217" t="s">
        <v>22</v>
      </c>
      <c r="B1133" s="217" t="s">
        <v>23</v>
      </c>
      <c r="C1133" s="217" t="s">
        <v>37</v>
      </c>
      <c r="D1133" s="217" t="s">
        <v>36</v>
      </c>
      <c r="E1133" s="217" t="s">
        <v>247</v>
      </c>
      <c r="F1133" s="217" t="s">
        <v>246</v>
      </c>
      <c r="G1133" s="217" t="s">
        <v>242</v>
      </c>
      <c r="H1133" s="217" t="s">
        <v>1448</v>
      </c>
      <c r="I1133" s="217" t="s">
        <v>29</v>
      </c>
      <c r="J1133" s="217" t="s">
        <v>1859</v>
      </c>
      <c r="K1133" s="217">
        <v>7</v>
      </c>
      <c r="L1133" s="217">
        <v>56</v>
      </c>
      <c r="M1133" s="217" t="s">
        <v>31</v>
      </c>
      <c r="N1133" s="217" t="s">
        <v>32</v>
      </c>
      <c r="O1133" s="217" t="s">
        <v>33</v>
      </c>
      <c r="P1133" s="217" t="s">
        <v>34</v>
      </c>
      <c r="Q1133" s="217" t="s">
        <v>35</v>
      </c>
      <c r="R1133" s="217" t="s">
        <v>23</v>
      </c>
      <c r="S1133" s="217" t="s">
        <v>22</v>
      </c>
      <c r="T1133" s="217" t="s">
        <v>47</v>
      </c>
      <c r="U1133" s="217" t="s">
        <v>48</v>
      </c>
      <c r="V1133" s="217" t="s">
        <v>61</v>
      </c>
      <c r="W1133" s="217" t="s">
        <v>62</v>
      </c>
    </row>
    <row r="1134" spans="1:23" x14ac:dyDescent="0.25">
      <c r="A1134" s="217" t="s">
        <v>22</v>
      </c>
      <c r="B1134" s="217" t="s">
        <v>23</v>
      </c>
      <c r="C1134" s="217" t="s">
        <v>37</v>
      </c>
      <c r="D1134" s="217" t="s">
        <v>36</v>
      </c>
      <c r="E1134" s="217" t="s">
        <v>247</v>
      </c>
      <c r="F1134" s="217" t="s">
        <v>246</v>
      </c>
      <c r="G1134" s="217" t="s">
        <v>584</v>
      </c>
      <c r="H1134" s="217" t="s">
        <v>1449</v>
      </c>
      <c r="I1134" s="217" t="s">
        <v>29</v>
      </c>
      <c r="J1134" s="217" t="s">
        <v>1856</v>
      </c>
      <c r="K1134" s="217">
        <v>50</v>
      </c>
      <c r="L1134" s="217">
        <v>300</v>
      </c>
      <c r="M1134" s="217" t="s">
        <v>31</v>
      </c>
      <c r="N1134" s="217" t="s">
        <v>32</v>
      </c>
      <c r="O1134" s="217" t="s">
        <v>68</v>
      </c>
      <c r="P1134" s="217" t="s">
        <v>34</v>
      </c>
      <c r="Q1134" s="217" t="s">
        <v>35</v>
      </c>
      <c r="R1134" s="217" t="s">
        <v>23</v>
      </c>
      <c r="S1134" s="217" t="s">
        <v>22</v>
      </c>
      <c r="T1134" s="217" t="s">
        <v>36</v>
      </c>
      <c r="U1134" s="217" t="s">
        <v>37</v>
      </c>
      <c r="V1134" s="217" t="s">
        <v>249</v>
      </c>
      <c r="W1134" s="217" t="s">
        <v>250</v>
      </c>
    </row>
    <row r="1135" spans="1:23" x14ac:dyDescent="0.25">
      <c r="A1135" s="217" t="s">
        <v>22</v>
      </c>
      <c r="B1135" s="217" t="s">
        <v>23</v>
      </c>
      <c r="C1135" s="217" t="s">
        <v>37</v>
      </c>
      <c r="D1135" s="217" t="s">
        <v>36</v>
      </c>
      <c r="E1135" s="217" t="s">
        <v>247</v>
      </c>
      <c r="F1135" s="217" t="s">
        <v>246</v>
      </c>
      <c r="G1135" s="217" t="s">
        <v>584</v>
      </c>
      <c r="H1135" s="217" t="s">
        <v>1449</v>
      </c>
      <c r="I1135" s="217" t="s">
        <v>29</v>
      </c>
      <c r="J1135" s="217" t="s">
        <v>1857</v>
      </c>
      <c r="K1135" s="217">
        <v>41</v>
      </c>
      <c r="L1135" s="217">
        <v>245</v>
      </c>
      <c r="M1135" s="217" t="s">
        <v>31</v>
      </c>
      <c r="N1135" s="217" t="s">
        <v>32</v>
      </c>
      <c r="O1135" s="217" t="s">
        <v>68</v>
      </c>
      <c r="P1135" s="217" t="s">
        <v>34</v>
      </c>
      <c r="Q1135" s="217" t="s">
        <v>35</v>
      </c>
      <c r="R1135" s="217" t="s">
        <v>23</v>
      </c>
      <c r="S1135" s="217" t="s">
        <v>22</v>
      </c>
      <c r="T1135" s="217" t="s">
        <v>36</v>
      </c>
      <c r="U1135" s="217" t="s">
        <v>37</v>
      </c>
      <c r="V1135" s="217" t="s">
        <v>249</v>
      </c>
      <c r="W1135" s="217" t="s">
        <v>250</v>
      </c>
    </row>
    <row r="1136" spans="1:23" x14ac:dyDescent="0.25">
      <c r="A1136" s="217" t="s">
        <v>22</v>
      </c>
      <c r="B1136" s="217" t="s">
        <v>23</v>
      </c>
      <c r="C1136" s="217" t="s">
        <v>37</v>
      </c>
      <c r="D1136" s="217" t="s">
        <v>36</v>
      </c>
      <c r="E1136" s="217" t="s">
        <v>247</v>
      </c>
      <c r="F1136" s="217" t="s">
        <v>246</v>
      </c>
      <c r="G1136" s="217" t="s">
        <v>584</v>
      </c>
      <c r="H1136" s="217" t="s">
        <v>1449</v>
      </c>
      <c r="I1136" s="217" t="s">
        <v>29</v>
      </c>
      <c r="J1136" s="217" t="s">
        <v>1858</v>
      </c>
      <c r="K1136" s="217">
        <v>1</v>
      </c>
      <c r="L1136" s="217">
        <v>6</v>
      </c>
      <c r="M1136" s="217" t="s">
        <v>31</v>
      </c>
      <c r="N1136" s="217" t="s">
        <v>32</v>
      </c>
      <c r="O1136" s="217" t="s">
        <v>68</v>
      </c>
      <c r="P1136" s="217" t="s">
        <v>34</v>
      </c>
      <c r="Q1136" s="217" t="s">
        <v>35</v>
      </c>
      <c r="R1136" s="217" t="s">
        <v>23</v>
      </c>
      <c r="S1136" s="217" t="s">
        <v>22</v>
      </c>
      <c r="T1136" s="217" t="s">
        <v>36</v>
      </c>
      <c r="U1136" s="217" t="s">
        <v>37</v>
      </c>
      <c r="V1136" s="217" t="s">
        <v>249</v>
      </c>
      <c r="W1136" s="217" t="s">
        <v>250</v>
      </c>
    </row>
    <row r="1137" spans="1:23" x14ac:dyDescent="0.25">
      <c r="A1137" s="217" t="s">
        <v>22</v>
      </c>
      <c r="B1137" s="217" t="s">
        <v>23</v>
      </c>
      <c r="C1137" s="217" t="s">
        <v>37</v>
      </c>
      <c r="D1137" s="217" t="s">
        <v>36</v>
      </c>
      <c r="E1137" s="217" t="s">
        <v>247</v>
      </c>
      <c r="F1137" s="217" t="s">
        <v>246</v>
      </c>
      <c r="G1137" s="217" t="s">
        <v>585</v>
      </c>
      <c r="H1137" s="217" t="s">
        <v>1450</v>
      </c>
      <c r="I1137" s="217" t="s">
        <v>29</v>
      </c>
      <c r="J1137" s="217" t="s">
        <v>1855</v>
      </c>
      <c r="K1137" s="217">
        <v>5</v>
      </c>
      <c r="L1137" s="217">
        <v>34</v>
      </c>
      <c r="M1137" s="217" t="s">
        <v>31</v>
      </c>
      <c r="N1137" s="217" t="s">
        <v>32</v>
      </c>
      <c r="O1137" s="217" t="s">
        <v>68</v>
      </c>
      <c r="P1137" s="217" t="s">
        <v>34</v>
      </c>
      <c r="Q1137" s="217" t="s">
        <v>35</v>
      </c>
      <c r="R1137" s="217" t="s">
        <v>23</v>
      </c>
      <c r="S1137" s="217" t="s">
        <v>22</v>
      </c>
      <c r="T1137" s="217" t="s">
        <v>36</v>
      </c>
      <c r="U1137" s="217" t="s">
        <v>37</v>
      </c>
      <c r="V1137" s="217" t="s">
        <v>249</v>
      </c>
      <c r="W1137" s="217" t="s">
        <v>250</v>
      </c>
    </row>
    <row r="1138" spans="1:23" x14ac:dyDescent="0.25">
      <c r="A1138" s="217" t="s">
        <v>22</v>
      </c>
      <c r="B1138" s="217" t="s">
        <v>23</v>
      </c>
      <c r="C1138" s="217" t="s">
        <v>37</v>
      </c>
      <c r="D1138" s="217" t="s">
        <v>36</v>
      </c>
      <c r="E1138" s="217" t="s">
        <v>247</v>
      </c>
      <c r="F1138" s="217" t="s">
        <v>246</v>
      </c>
      <c r="G1138" s="217" t="s">
        <v>585</v>
      </c>
      <c r="H1138" s="217" t="s">
        <v>1450</v>
      </c>
      <c r="I1138" s="217" t="s">
        <v>29</v>
      </c>
      <c r="J1138" s="217" t="s">
        <v>1856</v>
      </c>
      <c r="K1138" s="217">
        <v>3</v>
      </c>
      <c r="L1138" s="217">
        <v>22</v>
      </c>
      <c r="M1138" s="217" t="s">
        <v>31</v>
      </c>
      <c r="N1138" s="217" t="s">
        <v>32</v>
      </c>
      <c r="O1138" s="217" t="s">
        <v>68</v>
      </c>
      <c r="P1138" s="217" t="s">
        <v>34</v>
      </c>
      <c r="Q1138" s="217" t="s">
        <v>35</v>
      </c>
      <c r="R1138" s="217" t="s">
        <v>23</v>
      </c>
      <c r="S1138" s="217" t="s">
        <v>22</v>
      </c>
      <c r="T1138" s="217" t="s">
        <v>36</v>
      </c>
      <c r="U1138" s="217" t="s">
        <v>37</v>
      </c>
      <c r="V1138" s="217" t="s">
        <v>249</v>
      </c>
      <c r="W1138" s="217" t="s">
        <v>250</v>
      </c>
    </row>
    <row r="1139" spans="1:23" x14ac:dyDescent="0.25">
      <c r="A1139" s="217" t="s">
        <v>22</v>
      </c>
      <c r="B1139" s="217" t="s">
        <v>23</v>
      </c>
      <c r="C1139" s="217" t="s">
        <v>37</v>
      </c>
      <c r="D1139" s="217" t="s">
        <v>36</v>
      </c>
      <c r="E1139" s="217" t="s">
        <v>247</v>
      </c>
      <c r="F1139" s="217" t="s">
        <v>246</v>
      </c>
      <c r="G1139" s="217" t="s">
        <v>585</v>
      </c>
      <c r="H1139" s="217" t="s">
        <v>1450</v>
      </c>
      <c r="I1139" s="217" t="s">
        <v>29</v>
      </c>
      <c r="J1139" s="217" t="s">
        <v>1857</v>
      </c>
      <c r="K1139" s="217">
        <v>2</v>
      </c>
      <c r="L1139" s="217">
        <v>14</v>
      </c>
      <c r="M1139" s="217" t="s">
        <v>31</v>
      </c>
      <c r="N1139" s="217" t="s">
        <v>32</v>
      </c>
      <c r="O1139" s="217" t="s">
        <v>68</v>
      </c>
      <c r="P1139" s="217" t="s">
        <v>34</v>
      </c>
      <c r="Q1139" s="217" t="s">
        <v>35</v>
      </c>
      <c r="R1139" s="217" t="s">
        <v>23</v>
      </c>
      <c r="S1139" s="217" t="s">
        <v>22</v>
      </c>
      <c r="T1139" s="217" t="s">
        <v>36</v>
      </c>
      <c r="U1139" s="217" t="s">
        <v>37</v>
      </c>
      <c r="V1139" s="217" t="s">
        <v>249</v>
      </c>
      <c r="W1139" s="217" t="s">
        <v>250</v>
      </c>
    </row>
    <row r="1140" spans="1:23" x14ac:dyDescent="0.25">
      <c r="A1140" s="217" t="s">
        <v>22</v>
      </c>
      <c r="B1140" s="217" t="s">
        <v>23</v>
      </c>
      <c r="C1140" s="217" t="s">
        <v>37</v>
      </c>
      <c r="D1140" s="217" t="s">
        <v>36</v>
      </c>
      <c r="E1140" s="217" t="s">
        <v>247</v>
      </c>
      <c r="F1140" s="217" t="s">
        <v>246</v>
      </c>
      <c r="G1140" s="217" t="s">
        <v>585</v>
      </c>
      <c r="H1140" s="217" t="s">
        <v>1450</v>
      </c>
      <c r="I1140" s="217" t="s">
        <v>29</v>
      </c>
      <c r="J1140" s="217" t="s">
        <v>1858</v>
      </c>
      <c r="K1140" s="217">
        <v>2</v>
      </c>
      <c r="L1140" s="217">
        <v>10</v>
      </c>
      <c r="M1140" s="217" t="s">
        <v>31</v>
      </c>
      <c r="N1140" s="217" t="s">
        <v>32</v>
      </c>
      <c r="O1140" s="217" t="s">
        <v>68</v>
      </c>
      <c r="P1140" s="217" t="s">
        <v>34</v>
      </c>
      <c r="Q1140" s="217" t="s">
        <v>35</v>
      </c>
      <c r="R1140" s="217" t="s">
        <v>23</v>
      </c>
      <c r="S1140" s="217" t="s">
        <v>22</v>
      </c>
      <c r="T1140" s="217" t="s">
        <v>36</v>
      </c>
      <c r="U1140" s="217" t="s">
        <v>37</v>
      </c>
      <c r="V1140" s="217" t="s">
        <v>249</v>
      </c>
      <c r="W1140" s="217" t="s">
        <v>250</v>
      </c>
    </row>
    <row r="1141" spans="1:23" x14ac:dyDescent="0.25">
      <c r="A1141" s="217" t="s">
        <v>22</v>
      </c>
      <c r="B1141" s="217" t="s">
        <v>23</v>
      </c>
      <c r="C1141" s="217" t="s">
        <v>37</v>
      </c>
      <c r="D1141" s="217" t="s">
        <v>36</v>
      </c>
      <c r="E1141" s="217" t="s">
        <v>247</v>
      </c>
      <c r="F1141" s="217" t="s">
        <v>246</v>
      </c>
      <c r="G1141" s="217" t="s">
        <v>586</v>
      </c>
      <c r="H1141" s="217" t="s">
        <v>1451</v>
      </c>
      <c r="I1141" s="217" t="s">
        <v>29</v>
      </c>
      <c r="J1141" s="217" t="s">
        <v>1855</v>
      </c>
      <c r="K1141" s="217">
        <v>15</v>
      </c>
      <c r="L1141" s="217">
        <v>75</v>
      </c>
      <c r="M1141" s="217" t="s">
        <v>31</v>
      </c>
      <c r="N1141" s="217" t="s">
        <v>32</v>
      </c>
      <c r="O1141" s="217" t="s">
        <v>68</v>
      </c>
      <c r="P1141" s="217" t="s">
        <v>34</v>
      </c>
      <c r="Q1141" s="217" t="s">
        <v>35</v>
      </c>
      <c r="R1141" s="217" t="s">
        <v>23</v>
      </c>
      <c r="S1141" s="217" t="s">
        <v>22</v>
      </c>
      <c r="T1141" s="217" t="s">
        <v>36</v>
      </c>
      <c r="U1141" s="217" t="s">
        <v>37</v>
      </c>
      <c r="V1141" s="217" t="s">
        <v>249</v>
      </c>
      <c r="W1141" s="217" t="s">
        <v>250</v>
      </c>
    </row>
    <row r="1142" spans="1:23" x14ac:dyDescent="0.25">
      <c r="A1142" s="217" t="s">
        <v>22</v>
      </c>
      <c r="B1142" s="217" t="s">
        <v>23</v>
      </c>
      <c r="C1142" s="217" t="s">
        <v>37</v>
      </c>
      <c r="D1142" s="217" t="s">
        <v>36</v>
      </c>
      <c r="E1142" s="217" t="s">
        <v>247</v>
      </c>
      <c r="F1142" s="217" t="s">
        <v>246</v>
      </c>
      <c r="G1142" s="217" t="s">
        <v>586</v>
      </c>
      <c r="H1142" s="217" t="s">
        <v>1451</v>
      </c>
      <c r="I1142" s="217" t="s">
        <v>29</v>
      </c>
      <c r="J1142" s="217" t="s">
        <v>1856</v>
      </c>
      <c r="K1142" s="217">
        <v>8</v>
      </c>
      <c r="L1142" s="217">
        <v>40</v>
      </c>
      <c r="M1142" s="217" t="s">
        <v>31</v>
      </c>
      <c r="N1142" s="217" t="s">
        <v>32</v>
      </c>
      <c r="O1142" s="217" t="s">
        <v>68</v>
      </c>
      <c r="P1142" s="217" t="s">
        <v>34</v>
      </c>
      <c r="Q1142" s="217" t="s">
        <v>35</v>
      </c>
      <c r="R1142" s="217" t="s">
        <v>23</v>
      </c>
      <c r="S1142" s="217" t="s">
        <v>22</v>
      </c>
      <c r="T1142" s="217" t="s">
        <v>36</v>
      </c>
      <c r="U1142" s="217" t="s">
        <v>37</v>
      </c>
      <c r="V1142" s="217" t="s">
        <v>249</v>
      </c>
      <c r="W1142" s="217" t="s">
        <v>250</v>
      </c>
    </row>
    <row r="1143" spans="1:23" x14ac:dyDescent="0.25">
      <c r="A1143" s="217" t="s">
        <v>22</v>
      </c>
      <c r="B1143" s="217" t="s">
        <v>23</v>
      </c>
      <c r="C1143" s="217" t="s">
        <v>37</v>
      </c>
      <c r="D1143" s="217" t="s">
        <v>36</v>
      </c>
      <c r="E1143" s="217" t="s">
        <v>247</v>
      </c>
      <c r="F1143" s="217" t="s">
        <v>246</v>
      </c>
      <c r="G1143" s="217" t="s">
        <v>586</v>
      </c>
      <c r="H1143" s="217" t="s">
        <v>1451</v>
      </c>
      <c r="I1143" s="217" t="s">
        <v>29</v>
      </c>
      <c r="J1143" s="217" t="s">
        <v>1857</v>
      </c>
      <c r="K1143" s="217">
        <v>1</v>
      </c>
      <c r="L1143" s="217">
        <v>5</v>
      </c>
      <c r="M1143" s="217" t="s">
        <v>31</v>
      </c>
      <c r="N1143" s="217" t="s">
        <v>32</v>
      </c>
      <c r="O1143" s="217" t="s">
        <v>68</v>
      </c>
      <c r="P1143" s="217" t="s">
        <v>34</v>
      </c>
      <c r="Q1143" s="217" t="s">
        <v>35</v>
      </c>
      <c r="R1143" s="217" t="s">
        <v>23</v>
      </c>
      <c r="S1143" s="217" t="s">
        <v>22</v>
      </c>
      <c r="T1143" s="217" t="s">
        <v>36</v>
      </c>
      <c r="U1143" s="217" t="s">
        <v>37</v>
      </c>
      <c r="V1143" s="217" t="s">
        <v>249</v>
      </c>
      <c r="W1143" s="217" t="s">
        <v>250</v>
      </c>
    </row>
    <row r="1144" spans="1:23" x14ac:dyDescent="0.25">
      <c r="A1144" s="217" t="s">
        <v>22</v>
      </c>
      <c r="B1144" s="217" t="s">
        <v>23</v>
      </c>
      <c r="C1144" s="217" t="s">
        <v>37</v>
      </c>
      <c r="D1144" s="217" t="s">
        <v>36</v>
      </c>
      <c r="E1144" s="217" t="s">
        <v>247</v>
      </c>
      <c r="F1144" s="217" t="s">
        <v>246</v>
      </c>
      <c r="G1144" s="217" t="s">
        <v>248</v>
      </c>
      <c r="H1144" s="217" t="s">
        <v>1452</v>
      </c>
      <c r="I1144" s="217" t="s">
        <v>29</v>
      </c>
      <c r="J1144" s="217" t="s">
        <v>1855</v>
      </c>
      <c r="K1144" s="217">
        <v>97</v>
      </c>
      <c r="L1144" s="217">
        <v>485</v>
      </c>
      <c r="M1144" s="217" t="s">
        <v>31</v>
      </c>
      <c r="N1144" s="217" t="s">
        <v>32</v>
      </c>
      <c r="O1144" s="217" t="s">
        <v>68</v>
      </c>
      <c r="P1144" s="217" t="s">
        <v>34</v>
      </c>
      <c r="Q1144" s="217" t="s">
        <v>35</v>
      </c>
      <c r="R1144" s="217" t="s">
        <v>23</v>
      </c>
      <c r="S1144" s="217" t="s">
        <v>22</v>
      </c>
      <c r="T1144" s="217" t="s">
        <v>36</v>
      </c>
      <c r="U1144" s="217" t="s">
        <v>37</v>
      </c>
      <c r="V1144" s="217" t="s">
        <v>249</v>
      </c>
      <c r="W1144" s="217" t="s">
        <v>250</v>
      </c>
    </row>
    <row r="1145" spans="1:23" x14ac:dyDescent="0.25">
      <c r="A1145" s="217" t="s">
        <v>22</v>
      </c>
      <c r="B1145" s="217" t="s">
        <v>23</v>
      </c>
      <c r="C1145" s="217" t="s">
        <v>37</v>
      </c>
      <c r="D1145" s="217" t="s">
        <v>36</v>
      </c>
      <c r="E1145" s="217" t="s">
        <v>247</v>
      </c>
      <c r="F1145" s="217" t="s">
        <v>246</v>
      </c>
      <c r="G1145" s="217" t="s">
        <v>248</v>
      </c>
      <c r="H1145" s="217" t="s">
        <v>1452</v>
      </c>
      <c r="I1145" s="217" t="s">
        <v>29</v>
      </c>
      <c r="J1145" s="217" t="s">
        <v>1856</v>
      </c>
      <c r="K1145" s="217">
        <v>27</v>
      </c>
      <c r="L1145" s="217">
        <v>130</v>
      </c>
      <c r="M1145" s="217" t="s">
        <v>31</v>
      </c>
      <c r="N1145" s="217" t="s">
        <v>32</v>
      </c>
      <c r="O1145" s="217" t="s">
        <v>100</v>
      </c>
      <c r="P1145" s="217" t="s">
        <v>34</v>
      </c>
      <c r="Q1145" s="217" t="s">
        <v>35</v>
      </c>
      <c r="R1145" s="217" t="s">
        <v>23</v>
      </c>
      <c r="S1145" s="217" t="s">
        <v>22</v>
      </c>
      <c r="T1145" s="217" t="s">
        <v>36</v>
      </c>
      <c r="U1145" s="217" t="s">
        <v>37</v>
      </c>
      <c r="V1145" s="217" t="s">
        <v>246</v>
      </c>
      <c r="W1145" s="217" t="s">
        <v>247</v>
      </c>
    </row>
    <row r="1146" spans="1:23" x14ac:dyDescent="0.25">
      <c r="A1146" s="217" t="s">
        <v>22</v>
      </c>
      <c r="B1146" s="217" t="s">
        <v>23</v>
      </c>
      <c r="C1146" s="217" t="s">
        <v>37</v>
      </c>
      <c r="D1146" s="217" t="s">
        <v>36</v>
      </c>
      <c r="E1146" s="217" t="s">
        <v>247</v>
      </c>
      <c r="F1146" s="217" t="s">
        <v>246</v>
      </c>
      <c r="G1146" s="217" t="s">
        <v>248</v>
      </c>
      <c r="H1146" s="217" t="s">
        <v>1452</v>
      </c>
      <c r="I1146" s="217" t="s">
        <v>29</v>
      </c>
      <c r="J1146" s="217" t="s">
        <v>1857</v>
      </c>
      <c r="K1146" s="217">
        <v>18</v>
      </c>
      <c r="L1146" s="217">
        <v>90</v>
      </c>
      <c r="M1146" s="217" t="s">
        <v>31</v>
      </c>
      <c r="N1146" s="217" t="s">
        <v>32</v>
      </c>
      <c r="O1146" s="217" t="s">
        <v>68</v>
      </c>
      <c r="P1146" s="217" t="s">
        <v>34</v>
      </c>
      <c r="Q1146" s="217" t="s">
        <v>35</v>
      </c>
      <c r="R1146" s="217" t="s">
        <v>23</v>
      </c>
      <c r="S1146" s="217" t="s">
        <v>22</v>
      </c>
      <c r="T1146" s="217" t="s">
        <v>36</v>
      </c>
      <c r="U1146" s="217" t="s">
        <v>37</v>
      </c>
      <c r="V1146" s="217" t="s">
        <v>249</v>
      </c>
      <c r="W1146" s="217" t="s">
        <v>250</v>
      </c>
    </row>
    <row r="1147" spans="1:23" x14ac:dyDescent="0.25">
      <c r="A1147" s="217" t="s">
        <v>22</v>
      </c>
      <c r="B1147" s="217" t="s">
        <v>23</v>
      </c>
      <c r="C1147" s="217" t="s">
        <v>37</v>
      </c>
      <c r="D1147" s="217" t="s">
        <v>36</v>
      </c>
      <c r="E1147" s="217" t="s">
        <v>247</v>
      </c>
      <c r="F1147" s="217" t="s">
        <v>246</v>
      </c>
      <c r="G1147" s="217" t="s">
        <v>587</v>
      </c>
      <c r="H1147" s="217" t="s">
        <v>1453</v>
      </c>
      <c r="I1147" s="217" t="s">
        <v>29</v>
      </c>
      <c r="J1147" s="217" t="s">
        <v>1855</v>
      </c>
      <c r="K1147" s="217">
        <v>22</v>
      </c>
      <c r="L1147" s="217">
        <v>132</v>
      </c>
      <c r="M1147" s="217" t="s">
        <v>31</v>
      </c>
      <c r="N1147" s="217" t="s">
        <v>32</v>
      </c>
      <c r="O1147" s="217" t="s">
        <v>68</v>
      </c>
      <c r="P1147" s="217" t="s">
        <v>34</v>
      </c>
      <c r="Q1147" s="217" t="s">
        <v>35</v>
      </c>
      <c r="R1147" s="217" t="s">
        <v>23</v>
      </c>
      <c r="S1147" s="217" t="s">
        <v>22</v>
      </c>
      <c r="T1147" s="217" t="s">
        <v>36</v>
      </c>
      <c r="U1147" s="217" t="s">
        <v>37</v>
      </c>
      <c r="V1147" s="217" t="s">
        <v>249</v>
      </c>
      <c r="W1147" s="217" t="s">
        <v>250</v>
      </c>
    </row>
    <row r="1148" spans="1:23" x14ac:dyDescent="0.25">
      <c r="A1148" s="217" t="s">
        <v>22</v>
      </c>
      <c r="B1148" s="217" t="s">
        <v>23</v>
      </c>
      <c r="C1148" s="217" t="s">
        <v>37</v>
      </c>
      <c r="D1148" s="217" t="s">
        <v>36</v>
      </c>
      <c r="E1148" s="217" t="s">
        <v>247</v>
      </c>
      <c r="F1148" s="217" t="s">
        <v>246</v>
      </c>
      <c r="G1148" s="217" t="s">
        <v>587</v>
      </c>
      <c r="H1148" s="217" t="s">
        <v>1453</v>
      </c>
      <c r="I1148" s="217" t="s">
        <v>29</v>
      </c>
      <c r="J1148" s="217" t="s">
        <v>1856</v>
      </c>
      <c r="K1148" s="217">
        <v>12</v>
      </c>
      <c r="L1148" s="217">
        <v>60</v>
      </c>
      <c r="M1148" s="217" t="s">
        <v>31</v>
      </c>
      <c r="N1148" s="217" t="s">
        <v>32</v>
      </c>
      <c r="O1148" s="217" t="s">
        <v>68</v>
      </c>
      <c r="P1148" s="217" t="s">
        <v>34</v>
      </c>
      <c r="Q1148" s="217" t="s">
        <v>35</v>
      </c>
      <c r="R1148" s="217" t="s">
        <v>23</v>
      </c>
      <c r="S1148" s="217" t="s">
        <v>22</v>
      </c>
      <c r="T1148" s="217" t="s">
        <v>36</v>
      </c>
      <c r="U1148" s="217" t="s">
        <v>37</v>
      </c>
      <c r="V1148" s="217" t="s">
        <v>249</v>
      </c>
      <c r="W1148" s="217" t="s">
        <v>250</v>
      </c>
    </row>
    <row r="1149" spans="1:23" x14ac:dyDescent="0.25">
      <c r="A1149" s="217" t="s">
        <v>22</v>
      </c>
      <c r="B1149" s="217" t="s">
        <v>23</v>
      </c>
      <c r="C1149" s="217" t="s">
        <v>37</v>
      </c>
      <c r="D1149" s="217" t="s">
        <v>36</v>
      </c>
      <c r="E1149" s="217" t="s">
        <v>247</v>
      </c>
      <c r="F1149" s="217" t="s">
        <v>246</v>
      </c>
      <c r="G1149" s="217" t="s">
        <v>587</v>
      </c>
      <c r="H1149" s="217" t="s">
        <v>1453</v>
      </c>
      <c r="I1149" s="217" t="s">
        <v>29</v>
      </c>
      <c r="J1149" s="217" t="s">
        <v>1857</v>
      </c>
      <c r="K1149" s="217">
        <v>6</v>
      </c>
      <c r="L1149" s="217">
        <v>36</v>
      </c>
      <c r="M1149" s="217" t="s">
        <v>31</v>
      </c>
      <c r="N1149" s="217" t="s">
        <v>32</v>
      </c>
      <c r="O1149" s="217" t="s">
        <v>68</v>
      </c>
      <c r="P1149" s="217" t="s">
        <v>34</v>
      </c>
      <c r="Q1149" s="217" t="s">
        <v>35</v>
      </c>
      <c r="R1149" s="217" t="s">
        <v>23</v>
      </c>
      <c r="S1149" s="217" t="s">
        <v>22</v>
      </c>
      <c r="T1149" s="217" t="s">
        <v>36</v>
      </c>
      <c r="U1149" s="217" t="s">
        <v>37</v>
      </c>
      <c r="V1149" s="217" t="s">
        <v>249</v>
      </c>
      <c r="W1149" s="217" t="s">
        <v>250</v>
      </c>
    </row>
    <row r="1150" spans="1:23" x14ac:dyDescent="0.25">
      <c r="A1150" s="217" t="s">
        <v>22</v>
      </c>
      <c r="B1150" s="217" t="s">
        <v>23</v>
      </c>
      <c r="C1150" s="217" t="s">
        <v>37</v>
      </c>
      <c r="D1150" s="217" t="s">
        <v>36</v>
      </c>
      <c r="E1150" s="217" t="s">
        <v>247</v>
      </c>
      <c r="F1150" s="217" t="s">
        <v>246</v>
      </c>
      <c r="G1150" s="217" t="s">
        <v>251</v>
      </c>
      <c r="H1150" s="217" t="s">
        <v>1454</v>
      </c>
      <c r="I1150" s="217" t="s">
        <v>29</v>
      </c>
      <c r="J1150" s="217" t="s">
        <v>1855</v>
      </c>
      <c r="K1150" s="217">
        <v>2</v>
      </c>
      <c r="L1150" s="217">
        <v>10</v>
      </c>
      <c r="M1150" s="217" t="s">
        <v>31</v>
      </c>
      <c r="N1150" s="217" t="s">
        <v>32</v>
      </c>
      <c r="O1150" s="217" t="s">
        <v>68</v>
      </c>
      <c r="P1150" s="217" t="s">
        <v>34</v>
      </c>
      <c r="Q1150" s="217" t="s">
        <v>35</v>
      </c>
      <c r="R1150" s="217" t="s">
        <v>23</v>
      </c>
      <c r="S1150" s="217" t="s">
        <v>22</v>
      </c>
      <c r="T1150" s="217" t="s">
        <v>36</v>
      </c>
      <c r="U1150" s="217" t="s">
        <v>37</v>
      </c>
      <c r="V1150" s="217" t="s">
        <v>249</v>
      </c>
      <c r="W1150" s="217" t="s">
        <v>250</v>
      </c>
    </row>
    <row r="1151" spans="1:23" x14ac:dyDescent="0.25">
      <c r="A1151" s="217" t="s">
        <v>22</v>
      </c>
      <c r="B1151" s="217" t="s">
        <v>23</v>
      </c>
      <c r="C1151" s="217" t="s">
        <v>37</v>
      </c>
      <c r="D1151" s="217" t="s">
        <v>36</v>
      </c>
      <c r="E1151" s="217" t="s">
        <v>247</v>
      </c>
      <c r="F1151" s="217" t="s">
        <v>246</v>
      </c>
      <c r="G1151" s="217" t="s">
        <v>251</v>
      </c>
      <c r="H1151" s="217" t="s">
        <v>1454</v>
      </c>
      <c r="I1151" s="217" t="s">
        <v>29</v>
      </c>
      <c r="J1151" s="217" t="s">
        <v>1856</v>
      </c>
      <c r="K1151" s="217">
        <v>8</v>
      </c>
      <c r="L1151" s="217">
        <v>40</v>
      </c>
      <c r="M1151" s="217" t="s">
        <v>31</v>
      </c>
      <c r="N1151" s="217" t="s">
        <v>32</v>
      </c>
      <c r="O1151" s="217" t="s">
        <v>33</v>
      </c>
      <c r="P1151" s="217" t="s">
        <v>34</v>
      </c>
      <c r="Q1151" s="217" t="s">
        <v>35</v>
      </c>
      <c r="R1151" s="217" t="s">
        <v>23</v>
      </c>
      <c r="S1151" s="217" t="s">
        <v>22</v>
      </c>
      <c r="T1151" s="217" t="s">
        <v>47</v>
      </c>
      <c r="U1151" s="217" t="s">
        <v>48</v>
      </c>
      <c r="V1151" s="217" t="s">
        <v>231</v>
      </c>
      <c r="W1151" s="217" t="s">
        <v>232</v>
      </c>
    </row>
    <row r="1152" spans="1:23" x14ac:dyDescent="0.25">
      <c r="A1152" s="217" t="s">
        <v>22</v>
      </c>
      <c r="B1152" s="217" t="s">
        <v>23</v>
      </c>
      <c r="C1152" s="217" t="s">
        <v>37</v>
      </c>
      <c r="D1152" s="217" t="s">
        <v>36</v>
      </c>
      <c r="E1152" s="217" t="s">
        <v>247</v>
      </c>
      <c r="F1152" s="217" t="s">
        <v>246</v>
      </c>
      <c r="G1152" s="217" t="s">
        <v>251</v>
      </c>
      <c r="H1152" s="217" t="s">
        <v>1454</v>
      </c>
      <c r="I1152" s="217" t="s">
        <v>29</v>
      </c>
      <c r="J1152" s="217" t="s">
        <v>1857</v>
      </c>
      <c r="K1152" s="217">
        <v>4</v>
      </c>
      <c r="L1152" s="217">
        <v>20</v>
      </c>
      <c r="M1152" s="217" t="s">
        <v>31</v>
      </c>
      <c r="N1152" s="217" t="s">
        <v>32</v>
      </c>
      <c r="O1152" s="217" t="s">
        <v>68</v>
      </c>
      <c r="P1152" s="217" t="s">
        <v>34</v>
      </c>
      <c r="Q1152" s="217" t="s">
        <v>35</v>
      </c>
      <c r="R1152" s="217" t="s">
        <v>23</v>
      </c>
      <c r="S1152" s="217" t="s">
        <v>22</v>
      </c>
      <c r="T1152" s="217" t="s">
        <v>36</v>
      </c>
      <c r="U1152" s="217" t="s">
        <v>37</v>
      </c>
      <c r="V1152" s="217" t="s">
        <v>249</v>
      </c>
      <c r="W1152" s="217" t="s">
        <v>250</v>
      </c>
    </row>
    <row r="1153" spans="1:23" x14ac:dyDescent="0.25">
      <c r="A1153" s="217" t="s">
        <v>22</v>
      </c>
      <c r="B1153" s="217" t="s">
        <v>23</v>
      </c>
      <c r="C1153" s="217" t="s">
        <v>37</v>
      </c>
      <c r="D1153" s="217" t="s">
        <v>36</v>
      </c>
      <c r="E1153" s="217" t="s">
        <v>247</v>
      </c>
      <c r="F1153" s="217" t="s">
        <v>246</v>
      </c>
      <c r="G1153" s="217" t="s">
        <v>588</v>
      </c>
      <c r="H1153" s="217" t="s">
        <v>1455</v>
      </c>
      <c r="I1153" s="217" t="s">
        <v>29</v>
      </c>
      <c r="J1153" s="217" t="s">
        <v>1856</v>
      </c>
      <c r="K1153" s="217">
        <v>17</v>
      </c>
      <c r="L1153" s="217">
        <v>102</v>
      </c>
      <c r="M1153" s="217" t="s">
        <v>31</v>
      </c>
      <c r="N1153" s="217" t="s">
        <v>32</v>
      </c>
      <c r="O1153" s="217" t="s">
        <v>100</v>
      </c>
      <c r="P1153" s="217" t="s">
        <v>34</v>
      </c>
      <c r="Q1153" s="217" t="s">
        <v>35</v>
      </c>
      <c r="R1153" s="217" t="s">
        <v>23</v>
      </c>
      <c r="S1153" s="217" t="s">
        <v>22</v>
      </c>
      <c r="T1153" s="217" t="s">
        <v>36</v>
      </c>
      <c r="U1153" s="217" t="s">
        <v>37</v>
      </c>
      <c r="V1153" s="217" t="s">
        <v>246</v>
      </c>
      <c r="W1153" s="217" t="s">
        <v>247</v>
      </c>
    </row>
    <row r="1154" spans="1:23" x14ac:dyDescent="0.25">
      <c r="A1154" s="217" t="s">
        <v>22</v>
      </c>
      <c r="B1154" s="217" t="s">
        <v>23</v>
      </c>
      <c r="C1154" s="217" t="s">
        <v>37</v>
      </c>
      <c r="D1154" s="217" t="s">
        <v>36</v>
      </c>
      <c r="E1154" s="217" t="s">
        <v>247</v>
      </c>
      <c r="F1154" s="217" t="s">
        <v>246</v>
      </c>
      <c r="G1154" s="217" t="s">
        <v>589</v>
      </c>
      <c r="H1154" s="217" t="s">
        <v>1456</v>
      </c>
      <c r="I1154" s="217" t="s">
        <v>29</v>
      </c>
      <c r="J1154" s="217" t="s">
        <v>1856</v>
      </c>
      <c r="K1154" s="217">
        <v>3</v>
      </c>
      <c r="L1154" s="217">
        <v>15</v>
      </c>
      <c r="M1154" s="217" t="s">
        <v>31</v>
      </c>
      <c r="N1154" s="217" t="s">
        <v>32</v>
      </c>
      <c r="O1154" s="217" t="s">
        <v>68</v>
      </c>
      <c r="P1154" s="217" t="s">
        <v>34</v>
      </c>
      <c r="Q1154" s="217" t="s">
        <v>35</v>
      </c>
      <c r="R1154" s="217" t="s">
        <v>23</v>
      </c>
      <c r="S1154" s="217" t="s">
        <v>22</v>
      </c>
      <c r="T1154" s="217" t="s">
        <v>36</v>
      </c>
      <c r="U1154" s="217" t="s">
        <v>37</v>
      </c>
      <c r="V1154" s="217" t="s">
        <v>249</v>
      </c>
      <c r="W1154" s="217" t="s">
        <v>250</v>
      </c>
    </row>
    <row r="1155" spans="1:23" x14ac:dyDescent="0.25">
      <c r="A1155" s="217" t="s">
        <v>22</v>
      </c>
      <c r="B1155" s="217" t="s">
        <v>23</v>
      </c>
      <c r="C1155" s="217" t="s">
        <v>37</v>
      </c>
      <c r="D1155" s="217" t="s">
        <v>36</v>
      </c>
      <c r="E1155" s="217" t="s">
        <v>247</v>
      </c>
      <c r="F1155" s="217" t="s">
        <v>246</v>
      </c>
      <c r="G1155" s="217" t="s">
        <v>1968</v>
      </c>
      <c r="H1155" s="217" t="s">
        <v>1457</v>
      </c>
      <c r="I1155" s="217" t="s">
        <v>29</v>
      </c>
      <c r="J1155" s="217" t="s">
        <v>1855</v>
      </c>
      <c r="K1155" s="217">
        <v>30</v>
      </c>
      <c r="L1155" s="217">
        <v>180</v>
      </c>
      <c r="M1155" s="217" t="s">
        <v>31</v>
      </c>
      <c r="N1155" s="217" t="s">
        <v>32</v>
      </c>
      <c r="O1155" s="217" t="s">
        <v>68</v>
      </c>
      <c r="P1155" s="217" t="s">
        <v>34</v>
      </c>
      <c r="Q1155" s="217" t="s">
        <v>35</v>
      </c>
      <c r="R1155" s="217" t="s">
        <v>23</v>
      </c>
      <c r="S1155" s="217" t="s">
        <v>22</v>
      </c>
      <c r="T1155" s="217" t="s">
        <v>36</v>
      </c>
      <c r="U1155" s="217" t="s">
        <v>37</v>
      </c>
      <c r="V1155" s="217" t="s">
        <v>249</v>
      </c>
      <c r="W1155" s="217" t="s">
        <v>250</v>
      </c>
    </row>
    <row r="1156" spans="1:23" x14ac:dyDescent="0.25">
      <c r="A1156" s="217" t="s">
        <v>22</v>
      </c>
      <c r="B1156" s="217" t="s">
        <v>23</v>
      </c>
      <c r="C1156" s="217" t="s">
        <v>37</v>
      </c>
      <c r="D1156" s="217" t="s">
        <v>36</v>
      </c>
      <c r="E1156" s="217" t="s">
        <v>247</v>
      </c>
      <c r="F1156" s="217" t="s">
        <v>246</v>
      </c>
      <c r="G1156" s="217" t="s">
        <v>1968</v>
      </c>
      <c r="H1156" s="217" t="s">
        <v>1457</v>
      </c>
      <c r="I1156" s="217" t="s">
        <v>29</v>
      </c>
      <c r="J1156" s="217" t="s">
        <v>1856</v>
      </c>
      <c r="K1156" s="217">
        <v>25</v>
      </c>
      <c r="L1156" s="217">
        <v>150</v>
      </c>
      <c r="M1156" s="217" t="s">
        <v>31</v>
      </c>
      <c r="N1156" s="217" t="s">
        <v>32</v>
      </c>
      <c r="O1156" s="217" t="s">
        <v>68</v>
      </c>
      <c r="P1156" s="217" t="s">
        <v>34</v>
      </c>
      <c r="Q1156" s="217" t="s">
        <v>35</v>
      </c>
      <c r="R1156" s="217" t="s">
        <v>23</v>
      </c>
      <c r="S1156" s="217" t="s">
        <v>22</v>
      </c>
      <c r="T1156" s="217" t="s">
        <v>36</v>
      </c>
      <c r="U1156" s="217" t="s">
        <v>37</v>
      </c>
      <c r="V1156" s="217" t="s">
        <v>249</v>
      </c>
      <c r="W1156" s="217" t="s">
        <v>250</v>
      </c>
    </row>
    <row r="1157" spans="1:23" x14ac:dyDescent="0.25">
      <c r="A1157" s="217" t="s">
        <v>22</v>
      </c>
      <c r="B1157" s="217" t="s">
        <v>23</v>
      </c>
      <c r="C1157" s="217" t="s">
        <v>37</v>
      </c>
      <c r="D1157" s="217" t="s">
        <v>36</v>
      </c>
      <c r="E1157" s="217" t="s">
        <v>247</v>
      </c>
      <c r="F1157" s="217" t="s">
        <v>246</v>
      </c>
      <c r="G1157" s="217" t="s">
        <v>1968</v>
      </c>
      <c r="H1157" s="217" t="s">
        <v>1457</v>
      </c>
      <c r="I1157" s="217" t="s">
        <v>29</v>
      </c>
      <c r="J1157" s="217" t="s">
        <v>1857</v>
      </c>
      <c r="K1157" s="217">
        <v>5</v>
      </c>
      <c r="L1157" s="217">
        <v>30</v>
      </c>
      <c r="M1157" s="217" t="s">
        <v>31</v>
      </c>
      <c r="N1157" s="217" t="s">
        <v>32</v>
      </c>
      <c r="O1157" s="217" t="s">
        <v>68</v>
      </c>
      <c r="P1157" s="217" t="s">
        <v>34</v>
      </c>
      <c r="Q1157" s="217" t="s">
        <v>35</v>
      </c>
      <c r="R1157" s="217" t="s">
        <v>23</v>
      </c>
      <c r="S1157" s="217" t="s">
        <v>22</v>
      </c>
      <c r="T1157" s="217" t="s">
        <v>36</v>
      </c>
      <c r="U1157" s="217" t="s">
        <v>37</v>
      </c>
      <c r="V1157" s="217" t="s">
        <v>249</v>
      </c>
      <c r="W1157" s="217" t="s">
        <v>250</v>
      </c>
    </row>
    <row r="1158" spans="1:23" x14ac:dyDescent="0.25">
      <c r="A1158" s="217" t="s">
        <v>22</v>
      </c>
      <c r="B1158" s="217" t="s">
        <v>23</v>
      </c>
      <c r="C1158" s="217" t="s">
        <v>37</v>
      </c>
      <c r="D1158" s="217" t="s">
        <v>36</v>
      </c>
      <c r="E1158" s="217" t="s">
        <v>247</v>
      </c>
      <c r="F1158" s="217" t="s">
        <v>246</v>
      </c>
      <c r="G1158" s="217" t="s">
        <v>1968</v>
      </c>
      <c r="H1158" s="217" t="s">
        <v>1457</v>
      </c>
      <c r="I1158" s="217" t="s">
        <v>29</v>
      </c>
      <c r="J1158" s="217" t="s">
        <v>1858</v>
      </c>
      <c r="K1158" s="217">
        <v>2</v>
      </c>
      <c r="L1158" s="217">
        <v>15</v>
      </c>
      <c r="M1158" s="217" t="s">
        <v>31</v>
      </c>
      <c r="N1158" s="217" t="s">
        <v>32</v>
      </c>
      <c r="O1158" s="217" t="s">
        <v>68</v>
      </c>
      <c r="P1158" s="217" t="s">
        <v>34</v>
      </c>
      <c r="Q1158" s="217" t="s">
        <v>35</v>
      </c>
      <c r="R1158" s="217" t="s">
        <v>23</v>
      </c>
      <c r="S1158" s="217" t="s">
        <v>22</v>
      </c>
      <c r="T1158" s="217" t="s">
        <v>36</v>
      </c>
      <c r="U1158" s="217" t="s">
        <v>37</v>
      </c>
      <c r="V1158" s="217" t="s">
        <v>249</v>
      </c>
      <c r="W1158" s="217" t="s">
        <v>250</v>
      </c>
    </row>
    <row r="1159" spans="1:23" x14ac:dyDescent="0.25">
      <c r="A1159" s="217" t="s">
        <v>22</v>
      </c>
      <c r="B1159" s="217" t="s">
        <v>23</v>
      </c>
      <c r="C1159" s="217" t="s">
        <v>37</v>
      </c>
      <c r="D1159" s="217" t="s">
        <v>36</v>
      </c>
      <c r="E1159" s="217" t="s">
        <v>247</v>
      </c>
      <c r="F1159" s="217" t="s">
        <v>246</v>
      </c>
      <c r="G1159" s="217" t="s">
        <v>590</v>
      </c>
      <c r="H1159" s="217" t="s">
        <v>1458</v>
      </c>
      <c r="I1159" s="217" t="s">
        <v>29</v>
      </c>
      <c r="J1159" s="217" t="s">
        <v>1855</v>
      </c>
      <c r="K1159" s="217">
        <v>6</v>
      </c>
      <c r="L1159" s="217">
        <v>48</v>
      </c>
      <c r="M1159" s="217" t="s">
        <v>31</v>
      </c>
      <c r="N1159" s="217" t="s">
        <v>32</v>
      </c>
      <c r="O1159" s="217" t="s">
        <v>33</v>
      </c>
      <c r="P1159" s="217" t="s">
        <v>34</v>
      </c>
      <c r="Q1159" s="217" t="s">
        <v>35</v>
      </c>
      <c r="R1159" s="217" t="s">
        <v>23</v>
      </c>
      <c r="S1159" s="217" t="s">
        <v>22</v>
      </c>
      <c r="T1159" s="217" t="s">
        <v>47</v>
      </c>
      <c r="U1159" s="217" t="s">
        <v>48</v>
      </c>
      <c r="V1159" s="217" t="s">
        <v>231</v>
      </c>
      <c r="W1159" s="217" t="s">
        <v>232</v>
      </c>
    </row>
    <row r="1160" spans="1:23" x14ac:dyDescent="0.25">
      <c r="A1160" s="217" t="s">
        <v>22</v>
      </c>
      <c r="B1160" s="217" t="s">
        <v>23</v>
      </c>
      <c r="C1160" s="217" t="s">
        <v>37</v>
      </c>
      <c r="D1160" s="217" t="s">
        <v>36</v>
      </c>
      <c r="E1160" s="217" t="s">
        <v>247</v>
      </c>
      <c r="F1160" s="217" t="s">
        <v>246</v>
      </c>
      <c r="G1160" s="217" t="s">
        <v>590</v>
      </c>
      <c r="H1160" s="217" t="s">
        <v>1458</v>
      </c>
      <c r="I1160" s="217" t="s">
        <v>29</v>
      </c>
      <c r="J1160" s="217" t="s">
        <v>1856</v>
      </c>
      <c r="K1160" s="217">
        <v>16</v>
      </c>
      <c r="L1160" s="217">
        <v>128</v>
      </c>
      <c r="M1160" s="217" t="s">
        <v>31</v>
      </c>
      <c r="N1160" s="217" t="s">
        <v>32</v>
      </c>
      <c r="O1160" s="217" t="s">
        <v>33</v>
      </c>
      <c r="P1160" s="217" t="s">
        <v>34</v>
      </c>
      <c r="Q1160" s="217" t="s">
        <v>35</v>
      </c>
      <c r="R1160" s="217" t="s">
        <v>23</v>
      </c>
      <c r="S1160" s="217" t="s">
        <v>22</v>
      </c>
      <c r="T1160" s="217" t="s">
        <v>47</v>
      </c>
      <c r="U1160" s="217" t="s">
        <v>48</v>
      </c>
      <c r="V1160" s="217" t="s">
        <v>231</v>
      </c>
      <c r="W1160" s="217" t="s">
        <v>232</v>
      </c>
    </row>
    <row r="1161" spans="1:23" x14ac:dyDescent="0.25">
      <c r="A1161" s="217" t="s">
        <v>22</v>
      </c>
      <c r="B1161" s="217" t="s">
        <v>23</v>
      </c>
      <c r="C1161" s="217" t="s">
        <v>37</v>
      </c>
      <c r="D1161" s="217" t="s">
        <v>36</v>
      </c>
      <c r="E1161" s="217" t="s">
        <v>247</v>
      </c>
      <c r="F1161" s="217" t="s">
        <v>246</v>
      </c>
      <c r="G1161" s="217" t="s">
        <v>590</v>
      </c>
      <c r="H1161" s="217" t="s">
        <v>1458</v>
      </c>
      <c r="I1161" s="217" t="s">
        <v>29</v>
      </c>
      <c r="J1161" s="217" t="s">
        <v>1857</v>
      </c>
      <c r="K1161" s="217">
        <v>17</v>
      </c>
      <c r="L1161" s="217">
        <v>136</v>
      </c>
      <c r="M1161" s="217" t="s">
        <v>31</v>
      </c>
      <c r="N1161" s="217" t="s">
        <v>32</v>
      </c>
      <c r="O1161" s="217" t="s">
        <v>33</v>
      </c>
      <c r="P1161" s="217" t="s">
        <v>34</v>
      </c>
      <c r="Q1161" s="217" t="s">
        <v>35</v>
      </c>
      <c r="R1161" s="217" t="s">
        <v>23</v>
      </c>
      <c r="S1161" s="217" t="s">
        <v>22</v>
      </c>
      <c r="T1161" s="217" t="s">
        <v>47</v>
      </c>
      <c r="U1161" s="217" t="s">
        <v>48</v>
      </c>
      <c r="V1161" s="217" t="s">
        <v>231</v>
      </c>
      <c r="W1161" s="217" t="s">
        <v>232</v>
      </c>
    </row>
    <row r="1162" spans="1:23" x14ac:dyDescent="0.25">
      <c r="A1162" s="217" t="s">
        <v>22</v>
      </c>
      <c r="B1162" s="217" t="s">
        <v>23</v>
      </c>
      <c r="C1162" s="217" t="s">
        <v>37</v>
      </c>
      <c r="D1162" s="217" t="s">
        <v>36</v>
      </c>
      <c r="E1162" s="217" t="s">
        <v>247</v>
      </c>
      <c r="F1162" s="217" t="s">
        <v>246</v>
      </c>
      <c r="G1162" s="217" t="s">
        <v>591</v>
      </c>
      <c r="H1162" s="217" t="s">
        <v>1459</v>
      </c>
      <c r="I1162" s="217" t="s">
        <v>29</v>
      </c>
      <c r="J1162" s="217" t="s">
        <v>1855</v>
      </c>
      <c r="K1162" s="217">
        <v>27</v>
      </c>
      <c r="L1162" s="217">
        <v>135</v>
      </c>
      <c r="M1162" s="217" t="s">
        <v>31</v>
      </c>
      <c r="N1162" s="217" t="s">
        <v>32</v>
      </c>
      <c r="O1162" s="217" t="s">
        <v>68</v>
      </c>
      <c r="P1162" s="217" t="s">
        <v>34</v>
      </c>
      <c r="Q1162" s="217" t="s">
        <v>35</v>
      </c>
      <c r="R1162" s="217" t="s">
        <v>23</v>
      </c>
      <c r="S1162" s="217" t="s">
        <v>22</v>
      </c>
      <c r="T1162" s="217" t="s">
        <v>36</v>
      </c>
      <c r="U1162" s="217" t="s">
        <v>37</v>
      </c>
      <c r="V1162" s="217" t="s">
        <v>249</v>
      </c>
      <c r="W1162" s="217" t="s">
        <v>250</v>
      </c>
    </row>
    <row r="1163" spans="1:23" x14ac:dyDescent="0.25">
      <c r="A1163" s="217" t="s">
        <v>22</v>
      </c>
      <c r="B1163" s="217" t="s">
        <v>23</v>
      </c>
      <c r="C1163" s="217" t="s">
        <v>37</v>
      </c>
      <c r="D1163" s="217" t="s">
        <v>36</v>
      </c>
      <c r="E1163" s="217" t="s">
        <v>247</v>
      </c>
      <c r="F1163" s="217" t="s">
        <v>246</v>
      </c>
      <c r="G1163" s="217" t="s">
        <v>591</v>
      </c>
      <c r="H1163" s="217" t="s">
        <v>1459</v>
      </c>
      <c r="I1163" s="217" t="s">
        <v>29</v>
      </c>
      <c r="J1163" s="217" t="s">
        <v>1856</v>
      </c>
      <c r="K1163" s="217">
        <v>9</v>
      </c>
      <c r="L1163" s="217">
        <v>45</v>
      </c>
      <c r="M1163" s="217" t="s">
        <v>31</v>
      </c>
      <c r="N1163" s="217" t="s">
        <v>32</v>
      </c>
      <c r="O1163" s="217" t="s">
        <v>68</v>
      </c>
      <c r="P1163" s="217" t="s">
        <v>34</v>
      </c>
      <c r="Q1163" s="217" t="s">
        <v>35</v>
      </c>
      <c r="R1163" s="217" t="s">
        <v>23</v>
      </c>
      <c r="S1163" s="217" t="s">
        <v>22</v>
      </c>
      <c r="T1163" s="217" t="s">
        <v>36</v>
      </c>
      <c r="U1163" s="217" t="s">
        <v>37</v>
      </c>
      <c r="V1163" s="217" t="s">
        <v>249</v>
      </c>
      <c r="W1163" s="217" t="s">
        <v>250</v>
      </c>
    </row>
    <row r="1164" spans="1:23" x14ac:dyDescent="0.25">
      <c r="A1164" s="217" t="s">
        <v>22</v>
      </c>
      <c r="B1164" s="217" t="s">
        <v>23</v>
      </c>
      <c r="C1164" s="217" t="s">
        <v>37</v>
      </c>
      <c r="D1164" s="217" t="s">
        <v>36</v>
      </c>
      <c r="E1164" s="217" t="s">
        <v>247</v>
      </c>
      <c r="F1164" s="217" t="s">
        <v>246</v>
      </c>
      <c r="G1164" s="217" t="s">
        <v>592</v>
      </c>
      <c r="H1164" s="217" t="s">
        <v>1460</v>
      </c>
      <c r="I1164" s="217" t="s">
        <v>29</v>
      </c>
      <c r="J1164" s="217" t="s">
        <v>1855</v>
      </c>
      <c r="K1164" s="217">
        <v>15</v>
      </c>
      <c r="L1164" s="217">
        <v>75</v>
      </c>
      <c r="M1164" s="217" t="s">
        <v>31</v>
      </c>
      <c r="N1164" s="217" t="s">
        <v>32</v>
      </c>
      <c r="O1164" s="217" t="s">
        <v>68</v>
      </c>
      <c r="P1164" s="217" t="s">
        <v>34</v>
      </c>
      <c r="Q1164" s="217" t="s">
        <v>35</v>
      </c>
      <c r="R1164" s="217" t="s">
        <v>23</v>
      </c>
      <c r="S1164" s="217" t="s">
        <v>22</v>
      </c>
      <c r="T1164" s="217" t="s">
        <v>36</v>
      </c>
      <c r="U1164" s="217" t="s">
        <v>37</v>
      </c>
      <c r="V1164" s="217" t="s">
        <v>249</v>
      </c>
      <c r="W1164" s="217" t="s">
        <v>250</v>
      </c>
    </row>
    <row r="1165" spans="1:23" x14ac:dyDescent="0.25">
      <c r="A1165" s="217" t="s">
        <v>22</v>
      </c>
      <c r="B1165" s="217" t="s">
        <v>23</v>
      </c>
      <c r="C1165" s="217" t="s">
        <v>37</v>
      </c>
      <c r="D1165" s="217" t="s">
        <v>36</v>
      </c>
      <c r="E1165" s="217" t="s">
        <v>247</v>
      </c>
      <c r="F1165" s="217" t="s">
        <v>246</v>
      </c>
      <c r="G1165" s="217" t="s">
        <v>592</v>
      </c>
      <c r="H1165" s="217" t="s">
        <v>1460</v>
      </c>
      <c r="I1165" s="217" t="s">
        <v>29</v>
      </c>
      <c r="J1165" s="217" t="s">
        <v>1856</v>
      </c>
      <c r="K1165" s="217">
        <v>15</v>
      </c>
      <c r="L1165" s="217">
        <v>75</v>
      </c>
      <c r="M1165" s="217" t="s">
        <v>31</v>
      </c>
      <c r="N1165" s="217" t="s">
        <v>32</v>
      </c>
      <c r="O1165" s="217" t="s">
        <v>68</v>
      </c>
      <c r="P1165" s="217" t="s">
        <v>34</v>
      </c>
      <c r="Q1165" s="217" t="s">
        <v>35</v>
      </c>
      <c r="R1165" s="217" t="s">
        <v>23</v>
      </c>
      <c r="S1165" s="217" t="s">
        <v>22</v>
      </c>
      <c r="T1165" s="217" t="s">
        <v>36</v>
      </c>
      <c r="U1165" s="217" t="s">
        <v>37</v>
      </c>
      <c r="V1165" s="217" t="s">
        <v>249</v>
      </c>
      <c r="W1165" s="217" t="s">
        <v>250</v>
      </c>
    </row>
    <row r="1166" spans="1:23" x14ac:dyDescent="0.25">
      <c r="A1166" s="217" t="s">
        <v>22</v>
      </c>
      <c r="B1166" s="217" t="s">
        <v>23</v>
      </c>
      <c r="C1166" s="217" t="s">
        <v>37</v>
      </c>
      <c r="D1166" s="217" t="s">
        <v>36</v>
      </c>
      <c r="E1166" s="217" t="s">
        <v>247</v>
      </c>
      <c r="F1166" s="217" t="s">
        <v>246</v>
      </c>
      <c r="G1166" s="217" t="s">
        <v>593</v>
      </c>
      <c r="H1166" s="217" t="s">
        <v>1461</v>
      </c>
      <c r="I1166" s="217" t="s">
        <v>29</v>
      </c>
      <c r="J1166" s="217" t="s">
        <v>1855</v>
      </c>
      <c r="K1166" s="217">
        <v>9</v>
      </c>
      <c r="L1166" s="217">
        <v>62</v>
      </c>
      <c r="M1166" s="217" t="s">
        <v>31</v>
      </c>
      <c r="N1166" s="217" t="s">
        <v>32</v>
      </c>
      <c r="O1166" s="217" t="s">
        <v>68</v>
      </c>
      <c r="P1166" s="217" t="s">
        <v>34</v>
      </c>
      <c r="Q1166" s="217" t="s">
        <v>35</v>
      </c>
      <c r="R1166" s="217" t="s">
        <v>23</v>
      </c>
      <c r="S1166" s="217" t="s">
        <v>22</v>
      </c>
      <c r="T1166" s="217" t="s">
        <v>36</v>
      </c>
      <c r="U1166" s="217" t="s">
        <v>37</v>
      </c>
      <c r="V1166" s="217" t="s">
        <v>249</v>
      </c>
      <c r="W1166" s="217" t="s">
        <v>250</v>
      </c>
    </row>
    <row r="1167" spans="1:23" x14ac:dyDescent="0.25">
      <c r="A1167" s="217" t="s">
        <v>22</v>
      </c>
      <c r="B1167" s="217" t="s">
        <v>23</v>
      </c>
      <c r="C1167" s="217" t="s">
        <v>37</v>
      </c>
      <c r="D1167" s="217" t="s">
        <v>36</v>
      </c>
      <c r="E1167" s="217" t="s">
        <v>247</v>
      </c>
      <c r="F1167" s="217" t="s">
        <v>246</v>
      </c>
      <c r="G1167" s="217" t="s">
        <v>593</v>
      </c>
      <c r="H1167" s="217" t="s">
        <v>1461</v>
      </c>
      <c r="I1167" s="217" t="s">
        <v>29</v>
      </c>
      <c r="J1167" s="217" t="s">
        <v>1856</v>
      </c>
      <c r="K1167" s="217">
        <v>8</v>
      </c>
      <c r="L1167" s="217">
        <v>44</v>
      </c>
      <c r="M1167" s="217" t="s">
        <v>31</v>
      </c>
      <c r="N1167" s="217" t="s">
        <v>32</v>
      </c>
      <c r="O1167" s="217" t="s">
        <v>68</v>
      </c>
      <c r="P1167" s="217" t="s">
        <v>34</v>
      </c>
      <c r="Q1167" s="217" t="s">
        <v>35</v>
      </c>
      <c r="R1167" s="217" t="s">
        <v>23</v>
      </c>
      <c r="S1167" s="217" t="s">
        <v>22</v>
      </c>
      <c r="T1167" s="217" t="s">
        <v>36</v>
      </c>
      <c r="U1167" s="217" t="s">
        <v>37</v>
      </c>
      <c r="V1167" s="217" t="s">
        <v>609</v>
      </c>
      <c r="W1167" s="217" t="s">
        <v>608</v>
      </c>
    </row>
    <row r="1168" spans="1:23" x14ac:dyDescent="0.25">
      <c r="A1168" s="217" t="s">
        <v>22</v>
      </c>
      <c r="B1168" s="217" t="s">
        <v>23</v>
      </c>
      <c r="C1168" s="217" t="s">
        <v>37</v>
      </c>
      <c r="D1168" s="217" t="s">
        <v>36</v>
      </c>
      <c r="E1168" s="217" t="s">
        <v>247</v>
      </c>
      <c r="F1168" s="217" t="s">
        <v>246</v>
      </c>
      <c r="G1168" s="217" t="s">
        <v>593</v>
      </c>
      <c r="H1168" s="217" t="s">
        <v>1461</v>
      </c>
      <c r="I1168" s="217" t="s">
        <v>29</v>
      </c>
      <c r="J1168" s="217" t="s">
        <v>1857</v>
      </c>
      <c r="K1168" s="217">
        <v>3</v>
      </c>
      <c r="L1168" s="217">
        <v>22</v>
      </c>
      <c r="M1168" s="217" t="s">
        <v>31</v>
      </c>
      <c r="N1168" s="217" t="s">
        <v>32</v>
      </c>
      <c r="O1168" s="217" t="s">
        <v>100</v>
      </c>
      <c r="P1168" s="217" t="s">
        <v>34</v>
      </c>
      <c r="Q1168" s="217" t="s">
        <v>35</v>
      </c>
      <c r="R1168" s="217" t="s">
        <v>23</v>
      </c>
      <c r="S1168" s="217" t="s">
        <v>22</v>
      </c>
      <c r="T1168" s="217" t="s">
        <v>36</v>
      </c>
      <c r="U1168" s="217" t="s">
        <v>37</v>
      </c>
      <c r="V1168" s="217" t="s">
        <v>246</v>
      </c>
      <c r="W1168" s="217" t="s">
        <v>247</v>
      </c>
    </row>
    <row r="1169" spans="1:23" x14ac:dyDescent="0.25">
      <c r="A1169" s="217" t="s">
        <v>22</v>
      </c>
      <c r="B1169" s="217" t="s">
        <v>23</v>
      </c>
      <c r="C1169" s="217" t="s">
        <v>37</v>
      </c>
      <c r="D1169" s="217" t="s">
        <v>36</v>
      </c>
      <c r="E1169" s="217" t="s">
        <v>247</v>
      </c>
      <c r="F1169" s="217" t="s">
        <v>246</v>
      </c>
      <c r="G1169" s="217" t="s">
        <v>594</v>
      </c>
      <c r="H1169" s="217" t="s">
        <v>1462</v>
      </c>
      <c r="I1169" s="217" t="s">
        <v>29</v>
      </c>
      <c r="J1169" s="217" t="s">
        <v>1855</v>
      </c>
      <c r="K1169" s="217">
        <v>25</v>
      </c>
      <c r="L1169" s="217">
        <v>135</v>
      </c>
      <c r="M1169" s="217" t="s">
        <v>31</v>
      </c>
      <c r="N1169" s="217" t="s">
        <v>32</v>
      </c>
      <c r="O1169" s="217" t="s">
        <v>68</v>
      </c>
      <c r="P1169" s="217" t="s">
        <v>34</v>
      </c>
      <c r="Q1169" s="217" t="s">
        <v>35</v>
      </c>
      <c r="R1169" s="217" t="s">
        <v>23</v>
      </c>
      <c r="S1169" s="217" t="s">
        <v>22</v>
      </c>
      <c r="T1169" s="217" t="s">
        <v>36</v>
      </c>
      <c r="U1169" s="217" t="s">
        <v>37</v>
      </c>
      <c r="V1169" s="217" t="s">
        <v>249</v>
      </c>
      <c r="W1169" s="217" t="s">
        <v>250</v>
      </c>
    </row>
    <row r="1170" spans="1:23" x14ac:dyDescent="0.25">
      <c r="A1170" s="217" t="s">
        <v>22</v>
      </c>
      <c r="B1170" s="217" t="s">
        <v>23</v>
      </c>
      <c r="C1170" s="217" t="s">
        <v>37</v>
      </c>
      <c r="D1170" s="217" t="s">
        <v>36</v>
      </c>
      <c r="E1170" s="217" t="s">
        <v>247</v>
      </c>
      <c r="F1170" s="217" t="s">
        <v>246</v>
      </c>
      <c r="G1170" s="217" t="s">
        <v>594</v>
      </c>
      <c r="H1170" s="217" t="s">
        <v>1462</v>
      </c>
      <c r="I1170" s="217" t="s">
        <v>29</v>
      </c>
      <c r="J1170" s="217" t="s">
        <v>1856</v>
      </c>
      <c r="K1170" s="217">
        <v>15</v>
      </c>
      <c r="L1170" s="217">
        <v>65</v>
      </c>
      <c r="M1170" s="217" t="s">
        <v>31</v>
      </c>
      <c r="N1170" s="217" t="s">
        <v>32</v>
      </c>
      <c r="O1170" s="217" t="s">
        <v>68</v>
      </c>
      <c r="P1170" s="217" t="s">
        <v>34</v>
      </c>
      <c r="Q1170" s="217" t="s">
        <v>35</v>
      </c>
      <c r="R1170" s="217" t="s">
        <v>23</v>
      </c>
      <c r="S1170" s="217" t="s">
        <v>22</v>
      </c>
      <c r="T1170" s="217" t="s">
        <v>36</v>
      </c>
      <c r="U1170" s="217" t="s">
        <v>37</v>
      </c>
      <c r="V1170" s="217" t="s">
        <v>249</v>
      </c>
      <c r="W1170" s="217" t="s">
        <v>250</v>
      </c>
    </row>
    <row r="1171" spans="1:23" x14ac:dyDescent="0.25">
      <c r="A1171" s="217" t="s">
        <v>22</v>
      </c>
      <c r="B1171" s="217" t="s">
        <v>23</v>
      </c>
      <c r="C1171" s="217" t="s">
        <v>37</v>
      </c>
      <c r="D1171" s="217" t="s">
        <v>36</v>
      </c>
      <c r="E1171" s="217" t="s">
        <v>247</v>
      </c>
      <c r="F1171" s="217" t="s">
        <v>246</v>
      </c>
      <c r="G1171" s="217" t="s">
        <v>594</v>
      </c>
      <c r="H1171" s="217" t="s">
        <v>1462</v>
      </c>
      <c r="I1171" s="217" t="s">
        <v>29</v>
      </c>
      <c r="J1171" s="217" t="s">
        <v>1857</v>
      </c>
      <c r="K1171" s="217">
        <v>9</v>
      </c>
      <c r="L1171" s="217">
        <v>43</v>
      </c>
      <c r="M1171" s="217" t="s">
        <v>31</v>
      </c>
      <c r="N1171" s="217" t="s">
        <v>32</v>
      </c>
      <c r="O1171" s="217" t="s">
        <v>68</v>
      </c>
      <c r="P1171" s="217" t="s">
        <v>34</v>
      </c>
      <c r="Q1171" s="217" t="s">
        <v>35</v>
      </c>
      <c r="R1171" s="217" t="s">
        <v>23</v>
      </c>
      <c r="S1171" s="217" t="s">
        <v>22</v>
      </c>
      <c r="T1171" s="217" t="s">
        <v>36</v>
      </c>
      <c r="U1171" s="217" t="s">
        <v>37</v>
      </c>
      <c r="V1171" s="217" t="s">
        <v>249</v>
      </c>
      <c r="W1171" s="217" t="s">
        <v>250</v>
      </c>
    </row>
    <row r="1172" spans="1:23" x14ac:dyDescent="0.25">
      <c r="A1172" s="217" t="s">
        <v>22</v>
      </c>
      <c r="B1172" s="217" t="s">
        <v>23</v>
      </c>
      <c r="C1172" s="217" t="s">
        <v>37</v>
      </c>
      <c r="D1172" s="217" t="s">
        <v>36</v>
      </c>
      <c r="E1172" s="217" t="s">
        <v>247</v>
      </c>
      <c r="F1172" s="217" t="s">
        <v>246</v>
      </c>
      <c r="G1172" s="217" t="s">
        <v>595</v>
      </c>
      <c r="H1172" s="217" t="s">
        <v>1463</v>
      </c>
      <c r="I1172" s="217" t="s">
        <v>29</v>
      </c>
      <c r="J1172" s="217" t="s">
        <v>1855</v>
      </c>
      <c r="K1172" s="217">
        <v>35</v>
      </c>
      <c r="L1172" s="217">
        <v>210</v>
      </c>
      <c r="M1172" s="217" t="s">
        <v>31</v>
      </c>
      <c r="N1172" s="217" t="s">
        <v>32</v>
      </c>
      <c r="O1172" s="217" t="s">
        <v>68</v>
      </c>
      <c r="P1172" s="217" t="s">
        <v>34</v>
      </c>
      <c r="Q1172" s="217" t="s">
        <v>35</v>
      </c>
      <c r="R1172" s="217" t="s">
        <v>23</v>
      </c>
      <c r="S1172" s="217" t="s">
        <v>22</v>
      </c>
      <c r="T1172" s="217" t="s">
        <v>36</v>
      </c>
      <c r="U1172" s="217" t="s">
        <v>37</v>
      </c>
      <c r="V1172" s="217" t="s">
        <v>246</v>
      </c>
      <c r="W1172" s="217" t="s">
        <v>247</v>
      </c>
    </row>
    <row r="1173" spans="1:23" x14ac:dyDescent="0.25">
      <c r="A1173" s="217" t="s">
        <v>22</v>
      </c>
      <c r="B1173" s="217" t="s">
        <v>23</v>
      </c>
      <c r="C1173" s="217" t="s">
        <v>37</v>
      </c>
      <c r="D1173" s="217" t="s">
        <v>36</v>
      </c>
      <c r="E1173" s="217" t="s">
        <v>247</v>
      </c>
      <c r="F1173" s="217" t="s">
        <v>246</v>
      </c>
      <c r="G1173" s="217" t="s">
        <v>595</v>
      </c>
      <c r="H1173" s="217" t="s">
        <v>1463</v>
      </c>
      <c r="I1173" s="217" t="s">
        <v>29</v>
      </c>
      <c r="J1173" s="217" t="s">
        <v>1856</v>
      </c>
      <c r="K1173" s="217">
        <v>25</v>
      </c>
      <c r="L1173" s="217">
        <v>146</v>
      </c>
      <c r="M1173" s="217" t="s">
        <v>31</v>
      </c>
      <c r="N1173" s="217" t="s">
        <v>32</v>
      </c>
      <c r="O1173" s="217" t="s">
        <v>68</v>
      </c>
      <c r="P1173" s="217" t="s">
        <v>34</v>
      </c>
      <c r="Q1173" s="217" t="s">
        <v>35</v>
      </c>
      <c r="R1173" s="217" t="s">
        <v>23</v>
      </c>
      <c r="S1173" s="217" t="s">
        <v>22</v>
      </c>
      <c r="T1173" s="217" t="s">
        <v>36</v>
      </c>
      <c r="U1173" s="217" t="s">
        <v>37</v>
      </c>
      <c r="V1173" s="217" t="s">
        <v>246</v>
      </c>
      <c r="W1173" s="217" t="s">
        <v>247</v>
      </c>
    </row>
    <row r="1174" spans="1:23" x14ac:dyDescent="0.25">
      <c r="A1174" s="217" t="s">
        <v>22</v>
      </c>
      <c r="B1174" s="217" t="s">
        <v>23</v>
      </c>
      <c r="C1174" s="217" t="s">
        <v>37</v>
      </c>
      <c r="D1174" s="217" t="s">
        <v>36</v>
      </c>
      <c r="E1174" s="217" t="s">
        <v>247</v>
      </c>
      <c r="F1174" s="217" t="s">
        <v>246</v>
      </c>
      <c r="G1174" s="217" t="s">
        <v>596</v>
      </c>
      <c r="H1174" s="217" t="s">
        <v>1464</v>
      </c>
      <c r="I1174" s="217" t="s">
        <v>29</v>
      </c>
      <c r="J1174" s="217" t="s">
        <v>1855</v>
      </c>
      <c r="K1174" s="217">
        <v>25</v>
      </c>
      <c r="L1174" s="217">
        <v>125</v>
      </c>
      <c r="M1174" s="217" t="s">
        <v>31</v>
      </c>
      <c r="N1174" s="217" t="s">
        <v>32</v>
      </c>
      <c r="O1174" s="217" t="s">
        <v>68</v>
      </c>
      <c r="P1174" s="217" t="s">
        <v>34</v>
      </c>
      <c r="Q1174" s="217" t="s">
        <v>35</v>
      </c>
      <c r="R1174" s="217" t="s">
        <v>23</v>
      </c>
      <c r="S1174" s="217" t="s">
        <v>22</v>
      </c>
      <c r="T1174" s="217" t="s">
        <v>36</v>
      </c>
      <c r="U1174" s="217" t="s">
        <v>37</v>
      </c>
      <c r="V1174" s="217" t="s">
        <v>249</v>
      </c>
      <c r="W1174" s="217" t="s">
        <v>250</v>
      </c>
    </row>
    <row r="1175" spans="1:23" x14ac:dyDescent="0.25">
      <c r="A1175" s="217" t="s">
        <v>22</v>
      </c>
      <c r="B1175" s="217" t="s">
        <v>23</v>
      </c>
      <c r="C1175" s="217" t="s">
        <v>37</v>
      </c>
      <c r="D1175" s="217" t="s">
        <v>36</v>
      </c>
      <c r="E1175" s="217" t="s">
        <v>247</v>
      </c>
      <c r="F1175" s="217" t="s">
        <v>246</v>
      </c>
      <c r="G1175" s="217" t="s">
        <v>596</v>
      </c>
      <c r="H1175" s="217" t="s">
        <v>1464</v>
      </c>
      <c r="I1175" s="217" t="s">
        <v>29</v>
      </c>
      <c r="J1175" s="217" t="s">
        <v>1856</v>
      </c>
      <c r="K1175" s="217">
        <v>5</v>
      </c>
      <c r="L1175" s="217">
        <v>25</v>
      </c>
      <c r="M1175" s="217" t="s">
        <v>31</v>
      </c>
      <c r="N1175" s="217" t="s">
        <v>32</v>
      </c>
      <c r="O1175" s="217" t="s">
        <v>68</v>
      </c>
      <c r="P1175" s="217" t="s">
        <v>34</v>
      </c>
      <c r="Q1175" s="217" t="s">
        <v>35</v>
      </c>
      <c r="R1175" s="217" t="s">
        <v>23</v>
      </c>
      <c r="S1175" s="217" t="s">
        <v>22</v>
      </c>
      <c r="T1175" s="217" t="s">
        <v>36</v>
      </c>
      <c r="U1175" s="217" t="s">
        <v>37</v>
      </c>
      <c r="V1175" s="217" t="s">
        <v>249</v>
      </c>
      <c r="W1175" s="217" t="s">
        <v>250</v>
      </c>
    </row>
    <row r="1176" spans="1:23" x14ac:dyDescent="0.25">
      <c r="A1176" s="217" t="s">
        <v>22</v>
      </c>
      <c r="B1176" s="217" t="s">
        <v>23</v>
      </c>
      <c r="C1176" s="217" t="s">
        <v>37</v>
      </c>
      <c r="D1176" s="217" t="s">
        <v>36</v>
      </c>
      <c r="E1176" s="217" t="s">
        <v>247</v>
      </c>
      <c r="F1176" s="217" t="s">
        <v>246</v>
      </c>
      <c r="G1176" s="217" t="s">
        <v>252</v>
      </c>
      <c r="H1176" s="217" t="s">
        <v>1465</v>
      </c>
      <c r="I1176" s="217" t="s">
        <v>29</v>
      </c>
      <c r="J1176" s="217" t="s">
        <v>1855</v>
      </c>
      <c r="K1176" s="217">
        <v>200</v>
      </c>
      <c r="L1176" s="217">
        <v>1000</v>
      </c>
      <c r="M1176" s="217" t="s">
        <v>31</v>
      </c>
      <c r="N1176" s="217" t="s">
        <v>32</v>
      </c>
      <c r="O1176" s="217" t="s">
        <v>68</v>
      </c>
      <c r="P1176" s="217" t="s">
        <v>34</v>
      </c>
      <c r="Q1176" s="217" t="s">
        <v>35</v>
      </c>
      <c r="R1176" s="217" t="s">
        <v>23</v>
      </c>
      <c r="S1176" s="217" t="s">
        <v>22</v>
      </c>
      <c r="T1176" s="217" t="s">
        <v>36</v>
      </c>
      <c r="U1176" s="217" t="s">
        <v>37</v>
      </c>
      <c r="V1176" s="217" t="s">
        <v>249</v>
      </c>
      <c r="W1176" s="217" t="s">
        <v>250</v>
      </c>
    </row>
    <row r="1177" spans="1:23" x14ac:dyDescent="0.25">
      <c r="A1177" s="217" t="s">
        <v>22</v>
      </c>
      <c r="B1177" s="217" t="s">
        <v>23</v>
      </c>
      <c r="C1177" s="217" t="s">
        <v>37</v>
      </c>
      <c r="D1177" s="217" t="s">
        <v>36</v>
      </c>
      <c r="E1177" s="217" t="s">
        <v>247</v>
      </c>
      <c r="F1177" s="217" t="s">
        <v>246</v>
      </c>
      <c r="G1177" s="217" t="s">
        <v>252</v>
      </c>
      <c r="H1177" s="217" t="s">
        <v>1465</v>
      </c>
      <c r="I1177" s="217" t="s">
        <v>29</v>
      </c>
      <c r="J1177" s="217" t="s">
        <v>1856</v>
      </c>
      <c r="K1177" s="217">
        <v>60</v>
      </c>
      <c r="L1177" s="217">
        <v>300</v>
      </c>
      <c r="M1177" s="217" t="s">
        <v>31</v>
      </c>
      <c r="N1177" s="217" t="s">
        <v>32</v>
      </c>
      <c r="O1177" s="217" t="s">
        <v>68</v>
      </c>
      <c r="P1177" s="217" t="s">
        <v>34</v>
      </c>
      <c r="Q1177" s="217" t="s">
        <v>35</v>
      </c>
      <c r="R1177" s="217" t="s">
        <v>23</v>
      </c>
      <c r="S1177" s="217" t="s">
        <v>22</v>
      </c>
      <c r="T1177" s="217" t="s">
        <v>36</v>
      </c>
      <c r="U1177" s="217" t="s">
        <v>37</v>
      </c>
      <c r="V1177" s="217" t="s">
        <v>249</v>
      </c>
      <c r="W1177" s="217" t="s">
        <v>250</v>
      </c>
    </row>
    <row r="1178" spans="1:23" x14ac:dyDescent="0.25">
      <c r="A1178" s="217" t="s">
        <v>22</v>
      </c>
      <c r="B1178" s="217" t="s">
        <v>23</v>
      </c>
      <c r="C1178" s="217" t="s">
        <v>37</v>
      </c>
      <c r="D1178" s="217" t="s">
        <v>36</v>
      </c>
      <c r="E1178" s="217" t="s">
        <v>247</v>
      </c>
      <c r="F1178" s="217" t="s">
        <v>246</v>
      </c>
      <c r="G1178" s="217" t="s">
        <v>252</v>
      </c>
      <c r="H1178" s="217" t="s">
        <v>1465</v>
      </c>
      <c r="I1178" s="217" t="s">
        <v>29</v>
      </c>
      <c r="J1178" s="217" t="s">
        <v>1858</v>
      </c>
      <c r="K1178" s="217">
        <v>3</v>
      </c>
      <c r="L1178" s="217">
        <v>26</v>
      </c>
      <c r="M1178" s="217" t="s">
        <v>31</v>
      </c>
      <c r="N1178" s="217" t="s">
        <v>32</v>
      </c>
      <c r="O1178" s="217" t="s">
        <v>68</v>
      </c>
      <c r="P1178" s="217" t="s">
        <v>34</v>
      </c>
      <c r="Q1178" s="217" t="s">
        <v>35</v>
      </c>
      <c r="R1178" s="217" t="s">
        <v>23</v>
      </c>
      <c r="S1178" s="217" t="s">
        <v>22</v>
      </c>
      <c r="T1178" s="217" t="s">
        <v>36</v>
      </c>
      <c r="U1178" s="217" t="s">
        <v>37</v>
      </c>
      <c r="V1178" s="217" t="s">
        <v>249</v>
      </c>
      <c r="W1178" s="217" t="s">
        <v>250</v>
      </c>
    </row>
    <row r="1179" spans="1:23" x14ac:dyDescent="0.25">
      <c r="A1179" s="217" t="s">
        <v>22</v>
      </c>
      <c r="B1179" s="217" t="s">
        <v>23</v>
      </c>
      <c r="C1179" s="217" t="s">
        <v>37</v>
      </c>
      <c r="D1179" s="217" t="s">
        <v>36</v>
      </c>
      <c r="E1179" s="217" t="s">
        <v>247</v>
      </c>
      <c r="F1179" s="217" t="s">
        <v>246</v>
      </c>
      <c r="G1179" s="217" t="s">
        <v>597</v>
      </c>
      <c r="H1179" s="217" t="s">
        <v>1466</v>
      </c>
      <c r="I1179" s="217" t="s">
        <v>29</v>
      </c>
      <c r="J1179" s="217" t="s">
        <v>1855</v>
      </c>
      <c r="K1179" s="217">
        <v>39</v>
      </c>
      <c r="L1179" s="217">
        <v>150</v>
      </c>
      <c r="M1179" s="217" t="s">
        <v>31</v>
      </c>
      <c r="N1179" s="217" t="s">
        <v>32</v>
      </c>
      <c r="O1179" s="217" t="s">
        <v>68</v>
      </c>
      <c r="P1179" s="217" t="s">
        <v>34</v>
      </c>
      <c r="Q1179" s="217" t="s">
        <v>35</v>
      </c>
      <c r="R1179" s="217" t="s">
        <v>23</v>
      </c>
      <c r="S1179" s="217" t="s">
        <v>22</v>
      </c>
      <c r="T1179" s="217" t="s">
        <v>36</v>
      </c>
      <c r="U1179" s="217" t="s">
        <v>37</v>
      </c>
      <c r="V1179" s="217" t="s">
        <v>249</v>
      </c>
      <c r="W1179" s="217" t="s">
        <v>250</v>
      </c>
    </row>
    <row r="1180" spans="1:23" x14ac:dyDescent="0.25">
      <c r="A1180" s="217" t="s">
        <v>22</v>
      </c>
      <c r="B1180" s="217" t="s">
        <v>23</v>
      </c>
      <c r="C1180" s="217" t="s">
        <v>37</v>
      </c>
      <c r="D1180" s="217" t="s">
        <v>36</v>
      </c>
      <c r="E1180" s="217" t="s">
        <v>247</v>
      </c>
      <c r="F1180" s="217" t="s">
        <v>246</v>
      </c>
      <c r="G1180" s="217" t="s">
        <v>597</v>
      </c>
      <c r="H1180" s="217" t="s">
        <v>1466</v>
      </c>
      <c r="I1180" s="217" t="s">
        <v>29</v>
      </c>
      <c r="J1180" s="217" t="s">
        <v>1856</v>
      </c>
      <c r="K1180" s="217">
        <v>15</v>
      </c>
      <c r="L1180" s="217">
        <v>75</v>
      </c>
      <c r="M1180" s="217" t="s">
        <v>31</v>
      </c>
      <c r="N1180" s="217" t="s">
        <v>32</v>
      </c>
      <c r="O1180" s="217" t="s">
        <v>33</v>
      </c>
      <c r="P1180" s="217" t="s">
        <v>34</v>
      </c>
      <c r="Q1180" s="217" t="s">
        <v>35</v>
      </c>
      <c r="R1180" s="217" t="s">
        <v>23</v>
      </c>
      <c r="S1180" s="217" t="s">
        <v>22</v>
      </c>
      <c r="T1180" s="217" t="s">
        <v>47</v>
      </c>
      <c r="U1180" s="217" t="s">
        <v>48</v>
      </c>
      <c r="V1180" s="217" t="s">
        <v>231</v>
      </c>
      <c r="W1180" s="217" t="s">
        <v>232</v>
      </c>
    </row>
    <row r="1181" spans="1:23" x14ac:dyDescent="0.25">
      <c r="A1181" s="217" t="s">
        <v>22</v>
      </c>
      <c r="B1181" s="217" t="s">
        <v>23</v>
      </c>
      <c r="C1181" s="217" t="s">
        <v>37</v>
      </c>
      <c r="D1181" s="217" t="s">
        <v>36</v>
      </c>
      <c r="E1181" s="217" t="s">
        <v>247</v>
      </c>
      <c r="F1181" s="217" t="s">
        <v>246</v>
      </c>
      <c r="G1181" s="217" t="s">
        <v>597</v>
      </c>
      <c r="H1181" s="217" t="s">
        <v>1466</v>
      </c>
      <c r="I1181" s="217" t="s">
        <v>29</v>
      </c>
      <c r="J1181" s="217" t="s">
        <v>1857</v>
      </c>
      <c r="K1181" s="217">
        <v>69</v>
      </c>
      <c r="L1181" s="217">
        <v>229</v>
      </c>
      <c r="M1181" s="217" t="s">
        <v>31</v>
      </c>
      <c r="N1181" s="217" t="s">
        <v>32</v>
      </c>
      <c r="O1181" s="217" t="s">
        <v>68</v>
      </c>
      <c r="P1181" s="217" t="s">
        <v>34</v>
      </c>
      <c r="Q1181" s="217" t="s">
        <v>35</v>
      </c>
      <c r="R1181" s="217" t="s">
        <v>23</v>
      </c>
      <c r="S1181" s="217" t="s">
        <v>22</v>
      </c>
      <c r="T1181" s="217" t="s">
        <v>36</v>
      </c>
      <c r="U1181" s="217" t="s">
        <v>37</v>
      </c>
      <c r="V1181" s="217" t="s">
        <v>249</v>
      </c>
      <c r="W1181" s="217" t="s">
        <v>250</v>
      </c>
    </row>
    <row r="1182" spans="1:23" x14ac:dyDescent="0.25">
      <c r="A1182" s="217" t="s">
        <v>22</v>
      </c>
      <c r="B1182" s="217" t="s">
        <v>23</v>
      </c>
      <c r="C1182" s="217" t="s">
        <v>37</v>
      </c>
      <c r="D1182" s="217" t="s">
        <v>36</v>
      </c>
      <c r="E1182" s="217" t="s">
        <v>247</v>
      </c>
      <c r="F1182" s="217" t="s">
        <v>246</v>
      </c>
      <c r="G1182" s="217" t="s">
        <v>597</v>
      </c>
      <c r="H1182" s="217" t="s">
        <v>1466</v>
      </c>
      <c r="I1182" s="217" t="s">
        <v>29</v>
      </c>
      <c r="J1182" s="217" t="s">
        <v>1858</v>
      </c>
      <c r="K1182" s="217">
        <v>30</v>
      </c>
      <c r="L1182" s="217">
        <v>157</v>
      </c>
      <c r="M1182" s="217" t="s">
        <v>31</v>
      </c>
      <c r="N1182" s="217" t="s">
        <v>32</v>
      </c>
      <c r="O1182" s="217" t="s">
        <v>68</v>
      </c>
      <c r="P1182" s="217" t="s">
        <v>34</v>
      </c>
      <c r="Q1182" s="217" t="s">
        <v>35</v>
      </c>
      <c r="R1182" s="217" t="s">
        <v>23</v>
      </c>
      <c r="S1182" s="217" t="s">
        <v>22</v>
      </c>
      <c r="T1182" s="217" t="s">
        <v>36</v>
      </c>
      <c r="U1182" s="217" t="s">
        <v>37</v>
      </c>
      <c r="V1182" s="217" t="s">
        <v>249</v>
      </c>
      <c r="W1182" s="217" t="s">
        <v>250</v>
      </c>
    </row>
    <row r="1183" spans="1:23" x14ac:dyDescent="0.25">
      <c r="A1183" s="217" t="s">
        <v>22</v>
      </c>
      <c r="B1183" s="217" t="s">
        <v>23</v>
      </c>
      <c r="C1183" s="217" t="s">
        <v>37</v>
      </c>
      <c r="D1183" s="217" t="s">
        <v>36</v>
      </c>
      <c r="E1183" s="217" t="s">
        <v>247</v>
      </c>
      <c r="F1183" s="217" t="s">
        <v>246</v>
      </c>
      <c r="G1183" s="217" t="s">
        <v>597</v>
      </c>
      <c r="H1183" s="217" t="s">
        <v>1466</v>
      </c>
      <c r="I1183" s="217" t="s">
        <v>29</v>
      </c>
      <c r="J1183" s="217" t="s">
        <v>1859</v>
      </c>
      <c r="K1183" s="217">
        <v>57</v>
      </c>
      <c r="L1183" s="217">
        <v>285</v>
      </c>
      <c r="M1183" s="217" t="s">
        <v>31</v>
      </c>
      <c r="N1183" s="217" t="s">
        <v>32</v>
      </c>
      <c r="O1183" s="217" t="s">
        <v>68</v>
      </c>
      <c r="P1183" s="217" t="s">
        <v>34</v>
      </c>
      <c r="Q1183" s="217" t="s">
        <v>35</v>
      </c>
      <c r="R1183" s="217" t="s">
        <v>23</v>
      </c>
      <c r="S1183" s="217" t="s">
        <v>22</v>
      </c>
      <c r="T1183" s="217" t="s">
        <v>36</v>
      </c>
      <c r="U1183" s="217" t="s">
        <v>37</v>
      </c>
      <c r="V1183" s="217" t="s">
        <v>249</v>
      </c>
      <c r="W1183" s="217" t="s">
        <v>250</v>
      </c>
    </row>
    <row r="1184" spans="1:23" x14ac:dyDescent="0.25">
      <c r="A1184" s="217" t="s">
        <v>22</v>
      </c>
      <c r="B1184" s="217" t="s">
        <v>23</v>
      </c>
      <c r="C1184" s="217" t="s">
        <v>37</v>
      </c>
      <c r="D1184" s="217" t="s">
        <v>36</v>
      </c>
      <c r="E1184" s="217" t="s">
        <v>250</v>
      </c>
      <c r="F1184" s="217" t="s">
        <v>249</v>
      </c>
      <c r="G1184" s="217" t="s">
        <v>2142</v>
      </c>
      <c r="H1184" s="217" t="s">
        <v>2143</v>
      </c>
      <c r="I1184" s="217" t="s">
        <v>29</v>
      </c>
      <c r="J1184" s="217" t="s">
        <v>1857</v>
      </c>
      <c r="K1184" s="217">
        <v>87</v>
      </c>
      <c r="L1184" s="217">
        <v>490</v>
      </c>
      <c r="M1184" s="217" t="s">
        <v>31</v>
      </c>
      <c r="N1184" s="217" t="s">
        <v>32</v>
      </c>
      <c r="O1184" s="217" t="s">
        <v>33</v>
      </c>
      <c r="P1184" s="217" t="s">
        <v>34</v>
      </c>
      <c r="Q1184" s="217" t="s">
        <v>35</v>
      </c>
      <c r="R1184" s="217" t="s">
        <v>23</v>
      </c>
      <c r="S1184" s="217" t="s">
        <v>22</v>
      </c>
      <c r="T1184" s="217" t="s">
        <v>47</v>
      </c>
      <c r="U1184" s="217" t="s">
        <v>48</v>
      </c>
      <c r="V1184" s="217" t="s">
        <v>231</v>
      </c>
      <c r="W1184" s="217" t="s">
        <v>232</v>
      </c>
    </row>
    <row r="1185" spans="1:23" x14ac:dyDescent="0.25">
      <c r="A1185" s="217" t="s">
        <v>22</v>
      </c>
      <c r="B1185" s="217" t="s">
        <v>23</v>
      </c>
      <c r="C1185" s="217" t="s">
        <v>37</v>
      </c>
      <c r="D1185" s="217" t="s">
        <v>36</v>
      </c>
      <c r="E1185" s="217" t="s">
        <v>250</v>
      </c>
      <c r="F1185" s="217" t="s">
        <v>249</v>
      </c>
      <c r="G1185" s="217" t="s">
        <v>2142</v>
      </c>
      <c r="H1185" s="217" t="s">
        <v>2143</v>
      </c>
      <c r="I1185" s="217" t="s">
        <v>29</v>
      </c>
      <c r="J1185" s="217" t="s">
        <v>1858</v>
      </c>
      <c r="K1185" s="217">
        <v>200</v>
      </c>
      <c r="L1185" s="217">
        <v>1467</v>
      </c>
      <c r="M1185" s="217" t="s">
        <v>31</v>
      </c>
      <c r="N1185" s="217" t="s">
        <v>32</v>
      </c>
      <c r="O1185" s="217" t="s">
        <v>33</v>
      </c>
      <c r="P1185" s="217" t="s">
        <v>34</v>
      </c>
      <c r="Q1185" s="217" t="s">
        <v>35</v>
      </c>
      <c r="R1185" s="217" t="s">
        <v>23</v>
      </c>
      <c r="S1185" s="217" t="s">
        <v>22</v>
      </c>
      <c r="T1185" s="217" t="s">
        <v>47</v>
      </c>
      <c r="U1185" s="217" t="s">
        <v>48</v>
      </c>
      <c r="V1185" s="217" t="s">
        <v>231</v>
      </c>
      <c r="W1185" s="217" t="s">
        <v>232</v>
      </c>
    </row>
    <row r="1186" spans="1:23" x14ac:dyDescent="0.25">
      <c r="A1186" s="217" t="s">
        <v>22</v>
      </c>
      <c r="B1186" s="217" t="s">
        <v>23</v>
      </c>
      <c r="C1186" s="217" t="s">
        <v>37</v>
      </c>
      <c r="D1186" s="217" t="s">
        <v>36</v>
      </c>
      <c r="E1186" s="217" t="s">
        <v>250</v>
      </c>
      <c r="F1186" s="217" t="s">
        <v>249</v>
      </c>
      <c r="G1186" s="217" t="s">
        <v>2049</v>
      </c>
      <c r="H1186" s="217" t="s">
        <v>2048</v>
      </c>
      <c r="I1186" s="217" t="s">
        <v>29</v>
      </c>
      <c r="J1186" s="217" t="s">
        <v>1856</v>
      </c>
      <c r="K1186" s="217">
        <v>2</v>
      </c>
      <c r="L1186" s="217">
        <v>13</v>
      </c>
      <c r="M1186" s="217" t="s">
        <v>31</v>
      </c>
      <c r="N1186" s="217" t="s">
        <v>32</v>
      </c>
      <c r="O1186" s="217" t="s">
        <v>100</v>
      </c>
      <c r="P1186" s="217" t="s">
        <v>34</v>
      </c>
      <c r="Q1186" s="217" t="s">
        <v>35</v>
      </c>
      <c r="R1186" s="217" t="s">
        <v>23</v>
      </c>
      <c r="S1186" s="217" t="s">
        <v>22</v>
      </c>
      <c r="T1186" s="217" t="s">
        <v>36</v>
      </c>
      <c r="U1186" s="217" t="s">
        <v>37</v>
      </c>
      <c r="V1186" s="217" t="s">
        <v>249</v>
      </c>
      <c r="W1186" s="217" t="s">
        <v>250</v>
      </c>
    </row>
    <row r="1187" spans="1:23" x14ac:dyDescent="0.25">
      <c r="A1187" s="217" t="s">
        <v>22</v>
      </c>
      <c r="B1187" s="217" t="s">
        <v>23</v>
      </c>
      <c r="C1187" s="217" t="s">
        <v>37</v>
      </c>
      <c r="D1187" s="217" t="s">
        <v>36</v>
      </c>
      <c r="E1187" s="217" t="s">
        <v>250</v>
      </c>
      <c r="F1187" s="217" t="s">
        <v>249</v>
      </c>
      <c r="G1187" s="217" t="s">
        <v>2049</v>
      </c>
      <c r="H1187" s="217" t="s">
        <v>2048</v>
      </c>
      <c r="I1187" s="217" t="s">
        <v>29</v>
      </c>
      <c r="J1187" s="217" t="s">
        <v>1857</v>
      </c>
      <c r="K1187" s="217">
        <v>12</v>
      </c>
      <c r="L1187" s="217">
        <v>63</v>
      </c>
      <c r="M1187" s="217" t="s">
        <v>31</v>
      </c>
      <c r="N1187" s="217" t="s">
        <v>32</v>
      </c>
      <c r="O1187" s="217" t="s">
        <v>100</v>
      </c>
      <c r="P1187" s="217" t="s">
        <v>34</v>
      </c>
      <c r="Q1187" s="217" t="s">
        <v>35</v>
      </c>
      <c r="R1187" s="217" t="s">
        <v>23</v>
      </c>
      <c r="S1187" s="217" t="s">
        <v>22</v>
      </c>
      <c r="T1187" s="217" t="s">
        <v>36</v>
      </c>
      <c r="U1187" s="217" t="s">
        <v>37</v>
      </c>
      <c r="V1187" s="217" t="s">
        <v>249</v>
      </c>
      <c r="W1187" s="217" t="s">
        <v>250</v>
      </c>
    </row>
    <row r="1188" spans="1:23" x14ac:dyDescent="0.25">
      <c r="A1188" s="217" t="s">
        <v>22</v>
      </c>
      <c r="B1188" s="217" t="s">
        <v>23</v>
      </c>
      <c r="C1188" s="217" t="s">
        <v>37</v>
      </c>
      <c r="D1188" s="217" t="s">
        <v>36</v>
      </c>
      <c r="E1188" s="217" t="s">
        <v>250</v>
      </c>
      <c r="F1188" s="217" t="s">
        <v>249</v>
      </c>
      <c r="G1188" s="217" t="s">
        <v>2049</v>
      </c>
      <c r="H1188" s="217" t="s">
        <v>2048</v>
      </c>
      <c r="I1188" s="217" t="s">
        <v>29</v>
      </c>
      <c r="J1188" s="217" t="s">
        <v>1858</v>
      </c>
      <c r="K1188" s="217">
        <v>7</v>
      </c>
      <c r="L1188" s="217">
        <v>34</v>
      </c>
      <c r="M1188" s="217" t="s">
        <v>31</v>
      </c>
      <c r="N1188" s="217" t="s">
        <v>32</v>
      </c>
      <c r="O1188" s="217" t="s">
        <v>100</v>
      </c>
      <c r="P1188" s="217" t="s">
        <v>34</v>
      </c>
      <c r="Q1188" s="217" t="s">
        <v>35</v>
      </c>
      <c r="R1188" s="217" t="s">
        <v>23</v>
      </c>
      <c r="S1188" s="217" t="s">
        <v>22</v>
      </c>
      <c r="T1188" s="217" t="s">
        <v>36</v>
      </c>
      <c r="U1188" s="217" t="s">
        <v>37</v>
      </c>
      <c r="V1188" s="217" t="s">
        <v>249</v>
      </c>
      <c r="W1188" s="217" t="s">
        <v>250</v>
      </c>
    </row>
    <row r="1189" spans="1:23" x14ac:dyDescent="0.25">
      <c r="A1189" s="217" t="s">
        <v>22</v>
      </c>
      <c r="B1189" s="217" t="s">
        <v>23</v>
      </c>
      <c r="C1189" s="217" t="s">
        <v>37</v>
      </c>
      <c r="D1189" s="217" t="s">
        <v>36</v>
      </c>
      <c r="E1189" s="217" t="s">
        <v>250</v>
      </c>
      <c r="F1189" s="217" t="s">
        <v>249</v>
      </c>
      <c r="G1189" s="217" t="s">
        <v>2049</v>
      </c>
      <c r="H1189" s="217" t="s">
        <v>2048</v>
      </c>
      <c r="I1189" s="217" t="s">
        <v>29</v>
      </c>
      <c r="J1189" s="217" t="s">
        <v>1859</v>
      </c>
      <c r="K1189" s="217">
        <v>11</v>
      </c>
      <c r="L1189" s="217">
        <v>58</v>
      </c>
      <c r="M1189" s="217" t="s">
        <v>31</v>
      </c>
      <c r="N1189" s="217" t="s">
        <v>32</v>
      </c>
      <c r="O1189" s="217" t="s">
        <v>100</v>
      </c>
      <c r="P1189" s="217" t="s">
        <v>34</v>
      </c>
      <c r="Q1189" s="217" t="s">
        <v>35</v>
      </c>
      <c r="R1189" s="217" t="s">
        <v>23</v>
      </c>
      <c r="S1189" s="217" t="s">
        <v>22</v>
      </c>
      <c r="T1189" s="217" t="s">
        <v>36</v>
      </c>
      <c r="U1189" s="217" t="s">
        <v>37</v>
      </c>
      <c r="V1189" s="217" t="s">
        <v>249</v>
      </c>
      <c r="W1189" s="217" t="s">
        <v>250</v>
      </c>
    </row>
    <row r="1190" spans="1:23" x14ac:dyDescent="0.25">
      <c r="A1190" s="217" t="s">
        <v>22</v>
      </c>
      <c r="B1190" s="217" t="s">
        <v>23</v>
      </c>
      <c r="C1190" s="217" t="s">
        <v>37</v>
      </c>
      <c r="D1190" s="217" t="s">
        <v>36</v>
      </c>
      <c r="E1190" s="217" t="s">
        <v>250</v>
      </c>
      <c r="F1190" s="217" t="s">
        <v>249</v>
      </c>
      <c r="G1190" s="217" t="s">
        <v>253</v>
      </c>
      <c r="H1190" s="217" t="s">
        <v>1467</v>
      </c>
      <c r="I1190" s="217" t="s">
        <v>29</v>
      </c>
      <c r="J1190" s="217" t="s">
        <v>1855</v>
      </c>
      <c r="K1190" s="217">
        <v>91</v>
      </c>
      <c r="L1190" s="217">
        <v>455</v>
      </c>
      <c r="M1190" s="217" t="s">
        <v>31</v>
      </c>
      <c r="N1190" s="217" t="s">
        <v>32</v>
      </c>
      <c r="O1190" s="217" t="s">
        <v>68</v>
      </c>
      <c r="P1190" s="217" t="s">
        <v>34</v>
      </c>
      <c r="Q1190" s="217" t="s">
        <v>35</v>
      </c>
      <c r="R1190" s="217" t="s">
        <v>23</v>
      </c>
      <c r="S1190" s="217" t="s">
        <v>22</v>
      </c>
      <c r="T1190" s="217" t="s">
        <v>36</v>
      </c>
      <c r="U1190" s="217" t="s">
        <v>37</v>
      </c>
      <c r="V1190" s="217" t="s">
        <v>249</v>
      </c>
      <c r="W1190" s="217" t="s">
        <v>250</v>
      </c>
    </row>
    <row r="1191" spans="1:23" x14ac:dyDescent="0.25">
      <c r="A1191" s="217" t="s">
        <v>22</v>
      </c>
      <c r="B1191" s="217" t="s">
        <v>23</v>
      </c>
      <c r="C1191" s="217" t="s">
        <v>37</v>
      </c>
      <c r="D1191" s="217" t="s">
        <v>36</v>
      </c>
      <c r="E1191" s="217" t="s">
        <v>250</v>
      </c>
      <c r="F1191" s="217" t="s">
        <v>249</v>
      </c>
      <c r="G1191" s="217" t="s">
        <v>253</v>
      </c>
      <c r="H1191" s="217" t="s">
        <v>1467</v>
      </c>
      <c r="I1191" s="217" t="s">
        <v>29</v>
      </c>
      <c r="J1191" s="217" t="s">
        <v>1856</v>
      </c>
      <c r="K1191" s="217">
        <v>44</v>
      </c>
      <c r="L1191" s="217">
        <v>220</v>
      </c>
      <c r="M1191" s="217" t="s">
        <v>31</v>
      </c>
      <c r="N1191" s="217" t="s">
        <v>32</v>
      </c>
      <c r="O1191" s="217" t="s">
        <v>33</v>
      </c>
      <c r="P1191" s="217" t="s">
        <v>34</v>
      </c>
      <c r="Q1191" s="217" t="s">
        <v>35</v>
      </c>
      <c r="R1191" s="217" t="s">
        <v>23</v>
      </c>
      <c r="S1191" s="217" t="s">
        <v>22</v>
      </c>
      <c r="T1191" s="217" t="s">
        <v>47</v>
      </c>
      <c r="U1191" s="217" t="s">
        <v>48</v>
      </c>
      <c r="V1191" s="217" t="s">
        <v>231</v>
      </c>
      <c r="W1191" s="217" t="s">
        <v>232</v>
      </c>
    </row>
    <row r="1192" spans="1:23" x14ac:dyDescent="0.25">
      <c r="A1192" s="217" t="s">
        <v>22</v>
      </c>
      <c r="B1192" s="217" t="s">
        <v>23</v>
      </c>
      <c r="C1192" s="217" t="s">
        <v>37</v>
      </c>
      <c r="D1192" s="217" t="s">
        <v>36</v>
      </c>
      <c r="E1192" s="217" t="s">
        <v>250</v>
      </c>
      <c r="F1192" s="217" t="s">
        <v>249</v>
      </c>
      <c r="G1192" s="217" t="s">
        <v>253</v>
      </c>
      <c r="H1192" s="217" t="s">
        <v>1467</v>
      </c>
      <c r="I1192" s="217" t="s">
        <v>29</v>
      </c>
      <c r="J1192" s="217" t="s">
        <v>1857</v>
      </c>
      <c r="K1192" s="217">
        <v>1</v>
      </c>
      <c r="L1192" s="217">
        <v>5</v>
      </c>
      <c r="M1192" s="217" t="s">
        <v>31</v>
      </c>
      <c r="N1192" s="217" t="s">
        <v>32</v>
      </c>
      <c r="O1192" s="217" t="s">
        <v>100</v>
      </c>
      <c r="P1192" s="217" t="s">
        <v>34</v>
      </c>
      <c r="Q1192" s="217" t="s">
        <v>35</v>
      </c>
      <c r="R1192" s="217" t="s">
        <v>23</v>
      </c>
      <c r="S1192" s="217" t="s">
        <v>22</v>
      </c>
      <c r="T1192" s="217" t="s">
        <v>36</v>
      </c>
      <c r="U1192" s="217" t="s">
        <v>37</v>
      </c>
      <c r="V1192" s="217" t="s">
        <v>249</v>
      </c>
      <c r="W1192" s="217" t="s">
        <v>250</v>
      </c>
    </row>
    <row r="1193" spans="1:23" x14ac:dyDescent="0.25">
      <c r="A1193" s="217" t="s">
        <v>22</v>
      </c>
      <c r="B1193" s="217" t="s">
        <v>23</v>
      </c>
      <c r="C1193" s="217" t="s">
        <v>37</v>
      </c>
      <c r="D1193" s="217" t="s">
        <v>36</v>
      </c>
      <c r="E1193" s="217" t="s">
        <v>250</v>
      </c>
      <c r="F1193" s="217" t="s">
        <v>249</v>
      </c>
      <c r="G1193" s="217" t="s">
        <v>253</v>
      </c>
      <c r="H1193" s="217" t="s">
        <v>1467</v>
      </c>
      <c r="I1193" s="217" t="s">
        <v>29</v>
      </c>
      <c r="J1193" s="217" t="s">
        <v>1858</v>
      </c>
      <c r="K1193" s="217">
        <v>6</v>
      </c>
      <c r="L1193" s="217">
        <v>30</v>
      </c>
      <c r="M1193" s="217" t="s">
        <v>31</v>
      </c>
      <c r="N1193" s="217" t="s">
        <v>32</v>
      </c>
      <c r="O1193" s="217" t="s">
        <v>100</v>
      </c>
      <c r="P1193" s="217" t="s">
        <v>34</v>
      </c>
      <c r="Q1193" s="217" t="s">
        <v>35</v>
      </c>
      <c r="R1193" s="217" t="s">
        <v>23</v>
      </c>
      <c r="S1193" s="217" t="s">
        <v>22</v>
      </c>
      <c r="T1193" s="217" t="s">
        <v>36</v>
      </c>
      <c r="U1193" s="217" t="s">
        <v>37</v>
      </c>
      <c r="V1193" s="217" t="s">
        <v>249</v>
      </c>
      <c r="W1193" s="217" t="s">
        <v>250</v>
      </c>
    </row>
    <row r="1194" spans="1:23" x14ac:dyDescent="0.25">
      <c r="A1194" s="217" t="s">
        <v>22</v>
      </c>
      <c r="B1194" s="217" t="s">
        <v>23</v>
      </c>
      <c r="C1194" s="217" t="s">
        <v>37</v>
      </c>
      <c r="D1194" s="217" t="s">
        <v>36</v>
      </c>
      <c r="E1194" s="217" t="s">
        <v>250</v>
      </c>
      <c r="F1194" s="217" t="s">
        <v>249</v>
      </c>
      <c r="G1194" s="217" t="s">
        <v>254</v>
      </c>
      <c r="H1194" s="217" t="s">
        <v>1468</v>
      </c>
      <c r="I1194" s="217" t="s">
        <v>29</v>
      </c>
      <c r="J1194" s="217" t="s">
        <v>1855</v>
      </c>
      <c r="K1194" s="217">
        <v>39</v>
      </c>
      <c r="L1194" s="217">
        <v>195</v>
      </c>
      <c r="M1194" s="217" t="s">
        <v>31</v>
      </c>
      <c r="N1194" s="217" t="s">
        <v>32</v>
      </c>
      <c r="O1194" s="217" t="s">
        <v>33</v>
      </c>
      <c r="P1194" s="217" t="s">
        <v>34</v>
      </c>
      <c r="Q1194" s="217" t="s">
        <v>35</v>
      </c>
      <c r="R1194" s="217" t="s">
        <v>23</v>
      </c>
      <c r="S1194" s="217" t="s">
        <v>22</v>
      </c>
      <c r="T1194" s="217" t="s">
        <v>47</v>
      </c>
      <c r="U1194" s="217" t="s">
        <v>48</v>
      </c>
      <c r="V1194" s="217" t="s">
        <v>231</v>
      </c>
      <c r="W1194" s="217" t="s">
        <v>232</v>
      </c>
    </row>
    <row r="1195" spans="1:23" x14ac:dyDescent="0.25">
      <c r="A1195" s="217" t="s">
        <v>22</v>
      </c>
      <c r="B1195" s="217" t="s">
        <v>23</v>
      </c>
      <c r="C1195" s="217" t="s">
        <v>37</v>
      </c>
      <c r="D1195" s="217" t="s">
        <v>36</v>
      </c>
      <c r="E1195" s="217" t="s">
        <v>250</v>
      </c>
      <c r="F1195" s="217" t="s">
        <v>249</v>
      </c>
      <c r="G1195" s="217" t="s">
        <v>254</v>
      </c>
      <c r="H1195" s="217" t="s">
        <v>1468</v>
      </c>
      <c r="I1195" s="217" t="s">
        <v>29</v>
      </c>
      <c r="J1195" s="217" t="s">
        <v>1856</v>
      </c>
      <c r="K1195" s="217">
        <v>17</v>
      </c>
      <c r="L1195" s="217">
        <v>85</v>
      </c>
      <c r="M1195" s="217" t="s">
        <v>31</v>
      </c>
      <c r="N1195" s="217" t="s">
        <v>32</v>
      </c>
      <c r="O1195" s="217" t="s">
        <v>100</v>
      </c>
      <c r="P1195" s="217" t="s">
        <v>34</v>
      </c>
      <c r="Q1195" s="217" t="s">
        <v>35</v>
      </c>
      <c r="R1195" s="217" t="s">
        <v>23</v>
      </c>
      <c r="S1195" s="217" t="s">
        <v>22</v>
      </c>
      <c r="T1195" s="217" t="s">
        <v>36</v>
      </c>
      <c r="U1195" s="217" t="s">
        <v>37</v>
      </c>
      <c r="V1195" s="217" t="s">
        <v>249</v>
      </c>
      <c r="W1195" s="217" t="s">
        <v>250</v>
      </c>
    </row>
    <row r="1196" spans="1:23" x14ac:dyDescent="0.25">
      <c r="A1196" s="217" t="s">
        <v>22</v>
      </c>
      <c r="B1196" s="217" t="s">
        <v>23</v>
      </c>
      <c r="C1196" s="217" t="s">
        <v>37</v>
      </c>
      <c r="D1196" s="217" t="s">
        <v>36</v>
      </c>
      <c r="E1196" s="217" t="s">
        <v>250</v>
      </c>
      <c r="F1196" s="217" t="s">
        <v>249</v>
      </c>
      <c r="G1196" s="217" t="s">
        <v>254</v>
      </c>
      <c r="H1196" s="217" t="s">
        <v>1468</v>
      </c>
      <c r="I1196" s="217" t="s">
        <v>29</v>
      </c>
      <c r="J1196" s="217" t="s">
        <v>1857</v>
      </c>
      <c r="K1196" s="217">
        <v>19</v>
      </c>
      <c r="L1196" s="217">
        <v>95</v>
      </c>
      <c r="M1196" s="217" t="s">
        <v>31</v>
      </c>
      <c r="N1196" s="217" t="s">
        <v>32</v>
      </c>
      <c r="O1196" s="217" t="s">
        <v>33</v>
      </c>
      <c r="P1196" s="217" t="s">
        <v>34</v>
      </c>
      <c r="Q1196" s="217" t="s">
        <v>35</v>
      </c>
      <c r="R1196" s="217" t="s">
        <v>23</v>
      </c>
      <c r="S1196" s="217" t="s">
        <v>22</v>
      </c>
      <c r="T1196" s="217" t="s">
        <v>47</v>
      </c>
      <c r="U1196" s="217" t="s">
        <v>48</v>
      </c>
      <c r="V1196" s="217" t="s">
        <v>231</v>
      </c>
      <c r="W1196" s="217" t="s">
        <v>232</v>
      </c>
    </row>
    <row r="1197" spans="1:23" x14ac:dyDescent="0.25">
      <c r="A1197" s="217" t="s">
        <v>22</v>
      </c>
      <c r="B1197" s="217" t="s">
        <v>23</v>
      </c>
      <c r="C1197" s="217" t="s">
        <v>37</v>
      </c>
      <c r="D1197" s="217" t="s">
        <v>36</v>
      </c>
      <c r="E1197" s="217" t="s">
        <v>250</v>
      </c>
      <c r="F1197" s="217" t="s">
        <v>249</v>
      </c>
      <c r="G1197" s="217" t="s">
        <v>254</v>
      </c>
      <c r="H1197" s="217" t="s">
        <v>1468</v>
      </c>
      <c r="I1197" s="217" t="s">
        <v>29</v>
      </c>
      <c r="J1197" s="217" t="s">
        <v>1858</v>
      </c>
      <c r="K1197" s="217">
        <v>5</v>
      </c>
      <c r="L1197" s="217">
        <v>25</v>
      </c>
      <c r="M1197" s="217" t="s">
        <v>31</v>
      </c>
      <c r="N1197" s="217" t="s">
        <v>32</v>
      </c>
      <c r="O1197" s="217" t="s">
        <v>33</v>
      </c>
      <c r="P1197" s="217" t="s">
        <v>34</v>
      </c>
      <c r="Q1197" s="217" t="s">
        <v>35</v>
      </c>
      <c r="R1197" s="217" t="s">
        <v>23</v>
      </c>
      <c r="S1197" s="217" t="s">
        <v>22</v>
      </c>
      <c r="T1197" s="217" t="s">
        <v>47</v>
      </c>
      <c r="U1197" s="217" t="s">
        <v>48</v>
      </c>
      <c r="V1197" s="217" t="s">
        <v>231</v>
      </c>
      <c r="W1197" s="217" t="s">
        <v>232</v>
      </c>
    </row>
    <row r="1198" spans="1:23" x14ac:dyDescent="0.25">
      <c r="A1198" s="217" t="s">
        <v>22</v>
      </c>
      <c r="B1198" s="217" t="s">
        <v>23</v>
      </c>
      <c r="C1198" s="217" t="s">
        <v>37</v>
      </c>
      <c r="D1198" s="217" t="s">
        <v>36</v>
      </c>
      <c r="E1198" s="217" t="s">
        <v>250</v>
      </c>
      <c r="F1198" s="217" t="s">
        <v>249</v>
      </c>
      <c r="G1198" s="217" t="s">
        <v>255</v>
      </c>
      <c r="H1198" s="217" t="s">
        <v>1469</v>
      </c>
      <c r="I1198" s="217" t="s">
        <v>29</v>
      </c>
      <c r="J1198" s="217" t="s">
        <v>1855</v>
      </c>
      <c r="K1198" s="217">
        <v>27</v>
      </c>
      <c r="L1198" s="217">
        <v>135</v>
      </c>
      <c r="M1198" s="217" t="s">
        <v>31</v>
      </c>
      <c r="N1198" s="217" t="s">
        <v>32</v>
      </c>
      <c r="O1198" s="217" t="s">
        <v>100</v>
      </c>
      <c r="P1198" s="217" t="s">
        <v>34</v>
      </c>
      <c r="Q1198" s="217" t="s">
        <v>35</v>
      </c>
      <c r="R1198" s="217" t="s">
        <v>23</v>
      </c>
      <c r="S1198" s="217" t="s">
        <v>22</v>
      </c>
      <c r="T1198" s="217" t="s">
        <v>36</v>
      </c>
      <c r="U1198" s="217" t="s">
        <v>37</v>
      </c>
      <c r="V1198" s="217" t="s">
        <v>249</v>
      </c>
      <c r="W1198" s="217" t="s">
        <v>250</v>
      </c>
    </row>
    <row r="1199" spans="1:23" x14ac:dyDescent="0.25">
      <c r="A1199" s="217" t="s">
        <v>22</v>
      </c>
      <c r="B1199" s="217" t="s">
        <v>23</v>
      </c>
      <c r="C1199" s="217" t="s">
        <v>37</v>
      </c>
      <c r="D1199" s="217" t="s">
        <v>36</v>
      </c>
      <c r="E1199" s="217" t="s">
        <v>250</v>
      </c>
      <c r="F1199" s="217" t="s">
        <v>249</v>
      </c>
      <c r="G1199" s="217" t="s">
        <v>255</v>
      </c>
      <c r="H1199" s="217" t="s">
        <v>1469</v>
      </c>
      <c r="I1199" s="217" t="s">
        <v>29</v>
      </c>
      <c r="J1199" s="217" t="s">
        <v>1856</v>
      </c>
      <c r="K1199" s="217">
        <v>29</v>
      </c>
      <c r="L1199" s="217">
        <v>145</v>
      </c>
      <c r="M1199" s="217" t="s">
        <v>31</v>
      </c>
      <c r="N1199" s="217" t="s">
        <v>32</v>
      </c>
      <c r="O1199" s="217" t="s">
        <v>100</v>
      </c>
      <c r="P1199" s="217" t="s">
        <v>34</v>
      </c>
      <c r="Q1199" s="217" t="s">
        <v>35</v>
      </c>
      <c r="R1199" s="217" t="s">
        <v>23</v>
      </c>
      <c r="S1199" s="217" t="s">
        <v>22</v>
      </c>
      <c r="T1199" s="217" t="s">
        <v>36</v>
      </c>
      <c r="U1199" s="217" t="s">
        <v>37</v>
      </c>
      <c r="V1199" s="217" t="s">
        <v>249</v>
      </c>
      <c r="W1199" s="217" t="s">
        <v>250</v>
      </c>
    </row>
    <row r="1200" spans="1:23" x14ac:dyDescent="0.25">
      <c r="A1200" s="217" t="s">
        <v>22</v>
      </c>
      <c r="B1200" s="217" t="s">
        <v>23</v>
      </c>
      <c r="C1200" s="217" t="s">
        <v>37</v>
      </c>
      <c r="D1200" s="217" t="s">
        <v>36</v>
      </c>
      <c r="E1200" s="217" t="s">
        <v>250</v>
      </c>
      <c r="F1200" s="217" t="s">
        <v>249</v>
      </c>
      <c r="G1200" s="217" t="s">
        <v>255</v>
      </c>
      <c r="H1200" s="217" t="s">
        <v>1469</v>
      </c>
      <c r="I1200" s="217" t="s">
        <v>29</v>
      </c>
      <c r="J1200" s="217" t="s">
        <v>1857</v>
      </c>
      <c r="K1200" s="217">
        <v>10</v>
      </c>
      <c r="L1200" s="217">
        <v>52</v>
      </c>
      <c r="M1200" s="217" t="s">
        <v>31</v>
      </c>
      <c r="N1200" s="217" t="s">
        <v>32</v>
      </c>
      <c r="O1200" s="217" t="s">
        <v>100</v>
      </c>
      <c r="P1200" s="217" t="s">
        <v>34</v>
      </c>
      <c r="Q1200" s="217" t="s">
        <v>35</v>
      </c>
      <c r="R1200" s="217" t="s">
        <v>23</v>
      </c>
      <c r="S1200" s="217" t="s">
        <v>22</v>
      </c>
      <c r="T1200" s="217" t="s">
        <v>36</v>
      </c>
      <c r="U1200" s="217" t="s">
        <v>37</v>
      </c>
      <c r="V1200" s="217" t="s">
        <v>249</v>
      </c>
      <c r="W1200" s="217" t="s">
        <v>250</v>
      </c>
    </row>
    <row r="1201" spans="1:23" x14ac:dyDescent="0.25">
      <c r="A1201" s="217" t="s">
        <v>22</v>
      </c>
      <c r="B1201" s="217" t="s">
        <v>23</v>
      </c>
      <c r="C1201" s="217" t="s">
        <v>37</v>
      </c>
      <c r="D1201" s="217" t="s">
        <v>36</v>
      </c>
      <c r="E1201" s="217" t="s">
        <v>250</v>
      </c>
      <c r="F1201" s="217" t="s">
        <v>249</v>
      </c>
      <c r="G1201" s="217" t="s">
        <v>255</v>
      </c>
      <c r="H1201" s="217" t="s">
        <v>1469</v>
      </c>
      <c r="I1201" s="217" t="s">
        <v>29</v>
      </c>
      <c r="J1201" s="217" t="s">
        <v>1858</v>
      </c>
      <c r="K1201" s="217">
        <v>8</v>
      </c>
      <c r="L1201" s="217">
        <v>40</v>
      </c>
      <c r="M1201" s="217" t="s">
        <v>31</v>
      </c>
      <c r="N1201" s="217" t="s">
        <v>32</v>
      </c>
      <c r="O1201" s="217" t="s">
        <v>100</v>
      </c>
      <c r="P1201" s="217" t="s">
        <v>34</v>
      </c>
      <c r="Q1201" s="217" t="s">
        <v>35</v>
      </c>
      <c r="R1201" s="217" t="s">
        <v>23</v>
      </c>
      <c r="S1201" s="217" t="s">
        <v>22</v>
      </c>
      <c r="T1201" s="217" t="s">
        <v>36</v>
      </c>
      <c r="U1201" s="217" t="s">
        <v>37</v>
      </c>
      <c r="V1201" s="217" t="s">
        <v>249</v>
      </c>
      <c r="W1201" s="217" t="s">
        <v>250</v>
      </c>
    </row>
    <row r="1202" spans="1:23" x14ac:dyDescent="0.25">
      <c r="A1202" s="217" t="s">
        <v>22</v>
      </c>
      <c r="B1202" s="217" t="s">
        <v>23</v>
      </c>
      <c r="C1202" s="217" t="s">
        <v>37</v>
      </c>
      <c r="D1202" s="217" t="s">
        <v>36</v>
      </c>
      <c r="E1202" s="217" t="s">
        <v>250</v>
      </c>
      <c r="F1202" s="217" t="s">
        <v>249</v>
      </c>
      <c r="G1202" s="217" t="s">
        <v>846</v>
      </c>
      <c r="H1202" s="217" t="s">
        <v>1470</v>
      </c>
      <c r="I1202" s="217" t="s">
        <v>29</v>
      </c>
      <c r="J1202" s="217" t="s">
        <v>1855</v>
      </c>
      <c r="K1202" s="217">
        <v>22</v>
      </c>
      <c r="L1202" s="217">
        <v>110</v>
      </c>
      <c r="M1202" s="217" t="s">
        <v>31</v>
      </c>
      <c r="N1202" s="217" t="s">
        <v>32</v>
      </c>
      <c r="O1202" s="217" t="s">
        <v>33</v>
      </c>
      <c r="P1202" s="217" t="s">
        <v>34</v>
      </c>
      <c r="Q1202" s="217" t="s">
        <v>35</v>
      </c>
      <c r="R1202" s="217" t="s">
        <v>23</v>
      </c>
      <c r="S1202" s="217" t="s">
        <v>22</v>
      </c>
      <c r="T1202" s="217" t="s">
        <v>47</v>
      </c>
      <c r="U1202" s="217" t="s">
        <v>48</v>
      </c>
      <c r="V1202" s="217" t="s">
        <v>231</v>
      </c>
      <c r="W1202" s="217" t="s">
        <v>232</v>
      </c>
    </row>
    <row r="1203" spans="1:23" x14ac:dyDescent="0.25">
      <c r="A1203" s="217" t="s">
        <v>22</v>
      </c>
      <c r="B1203" s="217" t="s">
        <v>23</v>
      </c>
      <c r="C1203" s="217" t="s">
        <v>37</v>
      </c>
      <c r="D1203" s="217" t="s">
        <v>36</v>
      </c>
      <c r="E1203" s="217" t="s">
        <v>250</v>
      </c>
      <c r="F1203" s="217" t="s">
        <v>249</v>
      </c>
      <c r="G1203" s="217" t="s">
        <v>846</v>
      </c>
      <c r="H1203" s="217" t="s">
        <v>1470</v>
      </c>
      <c r="I1203" s="217" t="s">
        <v>29</v>
      </c>
      <c r="J1203" s="217" t="s">
        <v>1856</v>
      </c>
      <c r="K1203" s="217">
        <v>14</v>
      </c>
      <c r="L1203" s="217">
        <v>70</v>
      </c>
      <c r="M1203" s="217" t="s">
        <v>31</v>
      </c>
      <c r="N1203" s="217" t="s">
        <v>32</v>
      </c>
      <c r="O1203" s="217" t="s">
        <v>100</v>
      </c>
      <c r="P1203" s="217" t="s">
        <v>34</v>
      </c>
      <c r="Q1203" s="217" t="s">
        <v>35</v>
      </c>
      <c r="R1203" s="217" t="s">
        <v>23</v>
      </c>
      <c r="S1203" s="217" t="s">
        <v>22</v>
      </c>
      <c r="T1203" s="217" t="s">
        <v>36</v>
      </c>
      <c r="U1203" s="217" t="s">
        <v>37</v>
      </c>
      <c r="V1203" s="217" t="s">
        <v>249</v>
      </c>
      <c r="W1203" s="217" t="s">
        <v>250</v>
      </c>
    </row>
    <row r="1204" spans="1:23" x14ac:dyDescent="0.25">
      <c r="A1204" s="217" t="s">
        <v>22</v>
      </c>
      <c r="B1204" s="217" t="s">
        <v>23</v>
      </c>
      <c r="C1204" s="217" t="s">
        <v>37</v>
      </c>
      <c r="D1204" s="217" t="s">
        <v>36</v>
      </c>
      <c r="E1204" s="217" t="s">
        <v>250</v>
      </c>
      <c r="F1204" s="217" t="s">
        <v>249</v>
      </c>
      <c r="G1204" s="217" t="s">
        <v>846</v>
      </c>
      <c r="H1204" s="217" t="s">
        <v>1470</v>
      </c>
      <c r="I1204" s="217" t="s">
        <v>29</v>
      </c>
      <c r="J1204" s="217" t="s">
        <v>1857</v>
      </c>
      <c r="K1204" s="217">
        <v>3</v>
      </c>
      <c r="L1204" s="217">
        <v>15</v>
      </c>
      <c r="M1204" s="217" t="s">
        <v>31</v>
      </c>
      <c r="N1204" s="217" t="s">
        <v>32</v>
      </c>
      <c r="O1204" s="217" t="s">
        <v>68</v>
      </c>
      <c r="P1204" s="217" t="s">
        <v>34</v>
      </c>
      <c r="Q1204" s="217" t="s">
        <v>35</v>
      </c>
      <c r="R1204" s="217" t="s">
        <v>23</v>
      </c>
      <c r="S1204" s="217" t="s">
        <v>22</v>
      </c>
      <c r="T1204" s="217" t="s">
        <v>36</v>
      </c>
      <c r="U1204" s="217" t="s">
        <v>37</v>
      </c>
      <c r="V1204" s="217" t="s">
        <v>246</v>
      </c>
      <c r="W1204" s="217" t="s">
        <v>247</v>
      </c>
    </row>
    <row r="1205" spans="1:23" x14ac:dyDescent="0.25">
      <c r="A1205" s="217" t="s">
        <v>22</v>
      </c>
      <c r="B1205" s="217" t="s">
        <v>23</v>
      </c>
      <c r="C1205" s="217" t="s">
        <v>37</v>
      </c>
      <c r="D1205" s="217" t="s">
        <v>36</v>
      </c>
      <c r="E1205" s="217" t="s">
        <v>250</v>
      </c>
      <c r="F1205" s="217" t="s">
        <v>249</v>
      </c>
      <c r="G1205" s="217" t="s">
        <v>846</v>
      </c>
      <c r="H1205" s="217" t="s">
        <v>1470</v>
      </c>
      <c r="I1205" s="217" t="s">
        <v>29</v>
      </c>
      <c r="J1205" s="217" t="s">
        <v>1858</v>
      </c>
      <c r="K1205" s="217">
        <v>9</v>
      </c>
      <c r="L1205" s="217">
        <v>45</v>
      </c>
      <c r="M1205" s="217" t="s">
        <v>31</v>
      </c>
      <c r="N1205" s="217" t="s">
        <v>32</v>
      </c>
      <c r="O1205" s="217" t="s">
        <v>68</v>
      </c>
      <c r="P1205" s="217" t="s">
        <v>34</v>
      </c>
      <c r="Q1205" s="217" t="s">
        <v>35</v>
      </c>
      <c r="R1205" s="217" t="s">
        <v>23</v>
      </c>
      <c r="S1205" s="217" t="s">
        <v>22</v>
      </c>
      <c r="T1205" s="217" t="s">
        <v>36</v>
      </c>
      <c r="U1205" s="217" t="s">
        <v>37</v>
      </c>
      <c r="V1205" s="217" t="s">
        <v>548</v>
      </c>
      <c r="W1205" s="217" t="s">
        <v>547</v>
      </c>
    </row>
    <row r="1206" spans="1:23" x14ac:dyDescent="0.25">
      <c r="A1206" s="217" t="s">
        <v>22</v>
      </c>
      <c r="B1206" s="217" t="s">
        <v>23</v>
      </c>
      <c r="C1206" s="217" t="s">
        <v>37</v>
      </c>
      <c r="D1206" s="217" t="s">
        <v>36</v>
      </c>
      <c r="E1206" s="217" t="s">
        <v>250</v>
      </c>
      <c r="F1206" s="217" t="s">
        <v>249</v>
      </c>
      <c r="G1206" s="217" t="s">
        <v>598</v>
      </c>
      <c r="H1206" s="217" t="s">
        <v>1471</v>
      </c>
      <c r="I1206" s="217" t="s">
        <v>29</v>
      </c>
      <c r="J1206" s="217" t="s">
        <v>1855</v>
      </c>
      <c r="K1206" s="217">
        <v>19</v>
      </c>
      <c r="L1206" s="217">
        <v>95</v>
      </c>
      <c r="M1206" s="217" t="s">
        <v>31</v>
      </c>
      <c r="N1206" s="217" t="s">
        <v>32</v>
      </c>
      <c r="O1206" s="217" t="s">
        <v>100</v>
      </c>
      <c r="P1206" s="217" t="s">
        <v>34</v>
      </c>
      <c r="Q1206" s="217" t="s">
        <v>35</v>
      </c>
      <c r="R1206" s="217" t="s">
        <v>23</v>
      </c>
      <c r="S1206" s="217" t="s">
        <v>22</v>
      </c>
      <c r="T1206" s="217" t="s">
        <v>36</v>
      </c>
      <c r="U1206" s="217" t="s">
        <v>37</v>
      </c>
      <c r="V1206" s="217" t="s">
        <v>249</v>
      </c>
      <c r="W1206" s="217" t="s">
        <v>250</v>
      </c>
    </row>
    <row r="1207" spans="1:23" x14ac:dyDescent="0.25">
      <c r="A1207" s="217" t="s">
        <v>22</v>
      </c>
      <c r="B1207" s="217" t="s">
        <v>23</v>
      </c>
      <c r="C1207" s="217" t="s">
        <v>37</v>
      </c>
      <c r="D1207" s="217" t="s">
        <v>36</v>
      </c>
      <c r="E1207" s="217" t="s">
        <v>250</v>
      </c>
      <c r="F1207" s="217" t="s">
        <v>249</v>
      </c>
      <c r="G1207" s="217" t="s">
        <v>598</v>
      </c>
      <c r="H1207" s="217" t="s">
        <v>1471</v>
      </c>
      <c r="I1207" s="217" t="s">
        <v>29</v>
      </c>
      <c r="J1207" s="217" t="s">
        <v>1858</v>
      </c>
      <c r="K1207" s="217">
        <v>8</v>
      </c>
      <c r="L1207" s="217">
        <v>41</v>
      </c>
      <c r="M1207" s="217" t="s">
        <v>31</v>
      </c>
      <c r="N1207" s="217" t="s">
        <v>32</v>
      </c>
      <c r="O1207" s="217" t="s">
        <v>100</v>
      </c>
      <c r="P1207" s="217" t="s">
        <v>34</v>
      </c>
      <c r="Q1207" s="217" t="s">
        <v>35</v>
      </c>
      <c r="R1207" s="217" t="s">
        <v>23</v>
      </c>
      <c r="S1207" s="217" t="s">
        <v>22</v>
      </c>
      <c r="T1207" s="217" t="s">
        <v>36</v>
      </c>
      <c r="U1207" s="217" t="s">
        <v>37</v>
      </c>
      <c r="V1207" s="217" t="s">
        <v>249</v>
      </c>
      <c r="W1207" s="217" t="s">
        <v>250</v>
      </c>
    </row>
    <row r="1208" spans="1:23" x14ac:dyDescent="0.25">
      <c r="A1208" s="217" t="s">
        <v>22</v>
      </c>
      <c r="B1208" s="217" t="s">
        <v>23</v>
      </c>
      <c r="C1208" s="217" t="s">
        <v>37</v>
      </c>
      <c r="D1208" s="217" t="s">
        <v>36</v>
      </c>
      <c r="E1208" s="217" t="s">
        <v>250</v>
      </c>
      <c r="F1208" s="217" t="s">
        <v>249</v>
      </c>
      <c r="G1208" s="217" t="s">
        <v>256</v>
      </c>
      <c r="H1208" s="217" t="s">
        <v>1472</v>
      </c>
      <c r="I1208" s="217" t="s">
        <v>29</v>
      </c>
      <c r="J1208" s="217" t="s">
        <v>1855</v>
      </c>
      <c r="K1208" s="217">
        <v>38</v>
      </c>
      <c r="L1208" s="217">
        <v>213</v>
      </c>
      <c r="M1208" s="217" t="s">
        <v>31</v>
      </c>
      <c r="N1208" s="217" t="s">
        <v>32</v>
      </c>
      <c r="O1208" s="217" t="s">
        <v>100</v>
      </c>
      <c r="P1208" s="217" t="s">
        <v>34</v>
      </c>
      <c r="Q1208" s="217" t="s">
        <v>35</v>
      </c>
      <c r="R1208" s="217" t="s">
        <v>23</v>
      </c>
      <c r="S1208" s="217" t="s">
        <v>22</v>
      </c>
      <c r="T1208" s="217" t="s">
        <v>36</v>
      </c>
      <c r="U1208" s="217" t="s">
        <v>37</v>
      </c>
      <c r="V1208" s="217" t="s">
        <v>249</v>
      </c>
      <c r="W1208" s="217" t="s">
        <v>250</v>
      </c>
    </row>
    <row r="1209" spans="1:23" x14ac:dyDescent="0.25">
      <c r="A1209" s="217" t="s">
        <v>22</v>
      </c>
      <c r="B1209" s="217" t="s">
        <v>23</v>
      </c>
      <c r="C1209" s="217" t="s">
        <v>37</v>
      </c>
      <c r="D1209" s="217" t="s">
        <v>36</v>
      </c>
      <c r="E1209" s="217" t="s">
        <v>250</v>
      </c>
      <c r="F1209" s="217" t="s">
        <v>249</v>
      </c>
      <c r="G1209" s="217" t="s">
        <v>256</v>
      </c>
      <c r="H1209" s="217" t="s">
        <v>1472</v>
      </c>
      <c r="I1209" s="217" t="s">
        <v>29</v>
      </c>
      <c r="J1209" s="217" t="s">
        <v>1856</v>
      </c>
      <c r="K1209" s="217">
        <v>16</v>
      </c>
      <c r="L1209" s="217">
        <v>92</v>
      </c>
      <c r="M1209" s="217" t="s">
        <v>31</v>
      </c>
      <c r="N1209" s="217" t="s">
        <v>32</v>
      </c>
      <c r="O1209" s="217" t="s">
        <v>100</v>
      </c>
      <c r="P1209" s="217" t="s">
        <v>34</v>
      </c>
      <c r="Q1209" s="217" t="s">
        <v>35</v>
      </c>
      <c r="R1209" s="217" t="s">
        <v>23</v>
      </c>
      <c r="S1209" s="217" t="s">
        <v>22</v>
      </c>
      <c r="T1209" s="217" t="s">
        <v>36</v>
      </c>
      <c r="U1209" s="217" t="s">
        <v>37</v>
      </c>
      <c r="V1209" s="217" t="s">
        <v>249</v>
      </c>
      <c r="W1209" s="217" t="s">
        <v>250</v>
      </c>
    </row>
    <row r="1210" spans="1:23" x14ac:dyDescent="0.25">
      <c r="A1210" s="217" t="s">
        <v>22</v>
      </c>
      <c r="B1210" s="217" t="s">
        <v>23</v>
      </c>
      <c r="C1210" s="217" t="s">
        <v>37</v>
      </c>
      <c r="D1210" s="217" t="s">
        <v>36</v>
      </c>
      <c r="E1210" s="217" t="s">
        <v>250</v>
      </c>
      <c r="F1210" s="217" t="s">
        <v>249</v>
      </c>
      <c r="G1210" s="217" t="s">
        <v>256</v>
      </c>
      <c r="H1210" s="217" t="s">
        <v>1472</v>
      </c>
      <c r="I1210" s="217" t="s">
        <v>29</v>
      </c>
      <c r="J1210" s="217" t="s">
        <v>1857</v>
      </c>
      <c r="K1210" s="217">
        <v>19</v>
      </c>
      <c r="L1210" s="217">
        <v>102</v>
      </c>
      <c r="M1210" s="217" t="s">
        <v>31</v>
      </c>
      <c r="N1210" s="217" t="s">
        <v>32</v>
      </c>
      <c r="O1210" s="217" t="s">
        <v>100</v>
      </c>
      <c r="P1210" s="217" t="s">
        <v>34</v>
      </c>
      <c r="Q1210" s="217" t="s">
        <v>35</v>
      </c>
      <c r="R1210" s="217" t="s">
        <v>23</v>
      </c>
      <c r="S1210" s="217" t="s">
        <v>22</v>
      </c>
      <c r="T1210" s="217" t="s">
        <v>36</v>
      </c>
      <c r="U1210" s="217" t="s">
        <v>37</v>
      </c>
      <c r="V1210" s="217" t="s">
        <v>249</v>
      </c>
      <c r="W1210" s="217" t="s">
        <v>250</v>
      </c>
    </row>
    <row r="1211" spans="1:23" x14ac:dyDescent="0.25">
      <c r="A1211" s="217" t="s">
        <v>22</v>
      </c>
      <c r="B1211" s="217" t="s">
        <v>23</v>
      </c>
      <c r="C1211" s="217" t="s">
        <v>37</v>
      </c>
      <c r="D1211" s="217" t="s">
        <v>36</v>
      </c>
      <c r="E1211" s="217" t="s">
        <v>250</v>
      </c>
      <c r="F1211" s="217" t="s">
        <v>249</v>
      </c>
      <c r="G1211" s="217" t="s">
        <v>256</v>
      </c>
      <c r="H1211" s="217" t="s">
        <v>1472</v>
      </c>
      <c r="I1211" s="217" t="s">
        <v>29</v>
      </c>
      <c r="J1211" s="217" t="s">
        <v>1858</v>
      </c>
      <c r="K1211" s="217">
        <v>8</v>
      </c>
      <c r="L1211" s="217">
        <v>40</v>
      </c>
      <c r="M1211" s="217" t="s">
        <v>31</v>
      </c>
      <c r="N1211" s="217" t="s">
        <v>32</v>
      </c>
      <c r="O1211" s="217" t="s">
        <v>100</v>
      </c>
      <c r="P1211" s="217" t="s">
        <v>34</v>
      </c>
      <c r="Q1211" s="217" t="s">
        <v>35</v>
      </c>
      <c r="R1211" s="217" t="s">
        <v>23</v>
      </c>
      <c r="S1211" s="217" t="s">
        <v>22</v>
      </c>
      <c r="T1211" s="217" t="s">
        <v>36</v>
      </c>
      <c r="U1211" s="217" t="s">
        <v>37</v>
      </c>
      <c r="V1211" s="217" t="s">
        <v>249</v>
      </c>
      <c r="W1211" s="217" t="s">
        <v>250</v>
      </c>
    </row>
    <row r="1212" spans="1:23" x14ac:dyDescent="0.25">
      <c r="A1212" s="217" t="s">
        <v>22</v>
      </c>
      <c r="B1212" s="217" t="s">
        <v>23</v>
      </c>
      <c r="C1212" s="217" t="s">
        <v>37</v>
      </c>
      <c r="D1212" s="217" t="s">
        <v>36</v>
      </c>
      <c r="E1212" s="217" t="s">
        <v>250</v>
      </c>
      <c r="F1212" s="217" t="s">
        <v>249</v>
      </c>
      <c r="G1212" s="217" t="s">
        <v>256</v>
      </c>
      <c r="H1212" s="217" t="s">
        <v>1472</v>
      </c>
      <c r="I1212" s="217" t="s">
        <v>29</v>
      </c>
      <c r="J1212" s="217" t="s">
        <v>1859</v>
      </c>
      <c r="K1212" s="217">
        <v>8</v>
      </c>
      <c r="L1212" s="217">
        <v>42</v>
      </c>
      <c r="M1212" s="217" t="s">
        <v>31</v>
      </c>
      <c r="N1212" s="217" t="s">
        <v>32</v>
      </c>
      <c r="O1212" s="217" t="s">
        <v>100</v>
      </c>
      <c r="P1212" s="217" t="s">
        <v>34</v>
      </c>
      <c r="Q1212" s="217" t="s">
        <v>35</v>
      </c>
      <c r="R1212" s="217" t="s">
        <v>23</v>
      </c>
      <c r="S1212" s="217" t="s">
        <v>22</v>
      </c>
      <c r="T1212" s="217" t="s">
        <v>36</v>
      </c>
      <c r="U1212" s="217" t="s">
        <v>37</v>
      </c>
      <c r="V1212" s="217" t="s">
        <v>249</v>
      </c>
      <c r="W1212" s="217" t="s">
        <v>250</v>
      </c>
    </row>
    <row r="1213" spans="1:23" x14ac:dyDescent="0.25">
      <c r="A1213" s="217" t="s">
        <v>22</v>
      </c>
      <c r="B1213" s="217" t="s">
        <v>23</v>
      </c>
      <c r="C1213" s="217" t="s">
        <v>37</v>
      </c>
      <c r="D1213" s="217" t="s">
        <v>36</v>
      </c>
      <c r="E1213" s="217" t="s">
        <v>250</v>
      </c>
      <c r="F1213" s="217" t="s">
        <v>249</v>
      </c>
      <c r="G1213" s="217" t="s">
        <v>257</v>
      </c>
      <c r="H1213" s="217" t="s">
        <v>1473</v>
      </c>
      <c r="I1213" s="217" t="s">
        <v>29</v>
      </c>
      <c r="J1213" s="217" t="s">
        <v>1855</v>
      </c>
      <c r="K1213" s="217">
        <v>6</v>
      </c>
      <c r="L1213" s="217">
        <v>30</v>
      </c>
      <c r="M1213" s="217" t="s">
        <v>31</v>
      </c>
      <c r="N1213" s="217" t="s">
        <v>32</v>
      </c>
      <c r="O1213" s="217" t="s">
        <v>100</v>
      </c>
      <c r="P1213" s="217" t="s">
        <v>34</v>
      </c>
      <c r="Q1213" s="217" t="s">
        <v>35</v>
      </c>
      <c r="R1213" s="217" t="s">
        <v>23</v>
      </c>
      <c r="S1213" s="217" t="s">
        <v>22</v>
      </c>
      <c r="T1213" s="217" t="s">
        <v>36</v>
      </c>
      <c r="U1213" s="217" t="s">
        <v>37</v>
      </c>
      <c r="V1213" s="217" t="s">
        <v>249</v>
      </c>
      <c r="W1213" s="217" t="s">
        <v>250</v>
      </c>
    </row>
    <row r="1214" spans="1:23" x14ac:dyDescent="0.25">
      <c r="A1214" s="217" t="s">
        <v>22</v>
      </c>
      <c r="B1214" s="217" t="s">
        <v>23</v>
      </c>
      <c r="C1214" s="217" t="s">
        <v>37</v>
      </c>
      <c r="D1214" s="217" t="s">
        <v>36</v>
      </c>
      <c r="E1214" s="217" t="s">
        <v>250</v>
      </c>
      <c r="F1214" s="217" t="s">
        <v>249</v>
      </c>
      <c r="G1214" s="217" t="s">
        <v>257</v>
      </c>
      <c r="H1214" s="217" t="s">
        <v>1473</v>
      </c>
      <c r="I1214" s="217" t="s">
        <v>29</v>
      </c>
      <c r="J1214" s="217" t="s">
        <v>1856</v>
      </c>
      <c r="K1214" s="217">
        <v>4</v>
      </c>
      <c r="L1214" s="217">
        <v>20</v>
      </c>
      <c r="M1214" s="217" t="s">
        <v>31</v>
      </c>
      <c r="N1214" s="217" t="s">
        <v>32</v>
      </c>
      <c r="O1214" s="217" t="s">
        <v>100</v>
      </c>
      <c r="P1214" s="217" t="s">
        <v>34</v>
      </c>
      <c r="Q1214" s="217" t="s">
        <v>35</v>
      </c>
      <c r="R1214" s="217" t="s">
        <v>23</v>
      </c>
      <c r="S1214" s="217" t="s">
        <v>22</v>
      </c>
      <c r="T1214" s="217" t="s">
        <v>36</v>
      </c>
      <c r="U1214" s="217" t="s">
        <v>37</v>
      </c>
      <c r="V1214" s="217" t="s">
        <v>249</v>
      </c>
      <c r="W1214" s="217" t="s">
        <v>250</v>
      </c>
    </row>
    <row r="1215" spans="1:23" x14ac:dyDescent="0.25">
      <c r="A1215" s="217" t="s">
        <v>22</v>
      </c>
      <c r="B1215" s="217" t="s">
        <v>23</v>
      </c>
      <c r="C1215" s="217" t="s">
        <v>37</v>
      </c>
      <c r="D1215" s="217" t="s">
        <v>36</v>
      </c>
      <c r="E1215" s="217" t="s">
        <v>250</v>
      </c>
      <c r="F1215" s="217" t="s">
        <v>249</v>
      </c>
      <c r="G1215" s="217" t="s">
        <v>257</v>
      </c>
      <c r="H1215" s="217" t="s">
        <v>1473</v>
      </c>
      <c r="I1215" s="217" t="s">
        <v>29</v>
      </c>
      <c r="J1215" s="217" t="s">
        <v>1857</v>
      </c>
      <c r="K1215" s="217">
        <v>1</v>
      </c>
      <c r="L1215" s="217">
        <v>5</v>
      </c>
      <c r="M1215" s="217" t="s">
        <v>31</v>
      </c>
      <c r="N1215" s="217" t="s">
        <v>32</v>
      </c>
      <c r="O1215" s="217" t="s">
        <v>100</v>
      </c>
      <c r="P1215" s="217" t="s">
        <v>34</v>
      </c>
      <c r="Q1215" s="217" t="s">
        <v>35</v>
      </c>
      <c r="R1215" s="217" t="s">
        <v>23</v>
      </c>
      <c r="S1215" s="217" t="s">
        <v>22</v>
      </c>
      <c r="T1215" s="217" t="s">
        <v>36</v>
      </c>
      <c r="U1215" s="217" t="s">
        <v>37</v>
      </c>
      <c r="V1215" s="217" t="s">
        <v>249</v>
      </c>
      <c r="W1215" s="217" t="s">
        <v>250</v>
      </c>
    </row>
    <row r="1216" spans="1:23" x14ac:dyDescent="0.25">
      <c r="A1216" s="217" t="s">
        <v>22</v>
      </c>
      <c r="B1216" s="217" t="s">
        <v>23</v>
      </c>
      <c r="C1216" s="217" t="s">
        <v>37</v>
      </c>
      <c r="D1216" s="217" t="s">
        <v>36</v>
      </c>
      <c r="E1216" s="217" t="s">
        <v>250</v>
      </c>
      <c r="F1216" s="217" t="s">
        <v>249</v>
      </c>
      <c r="G1216" s="217" t="s">
        <v>257</v>
      </c>
      <c r="H1216" s="217" t="s">
        <v>1473</v>
      </c>
      <c r="I1216" s="217" t="s">
        <v>29</v>
      </c>
      <c r="J1216" s="217" t="s">
        <v>1858</v>
      </c>
      <c r="K1216" s="217">
        <v>1</v>
      </c>
      <c r="L1216" s="217">
        <v>5</v>
      </c>
      <c r="M1216" s="217" t="s">
        <v>31</v>
      </c>
      <c r="N1216" s="217" t="s">
        <v>32</v>
      </c>
      <c r="O1216" s="217" t="s">
        <v>100</v>
      </c>
      <c r="P1216" s="217" t="s">
        <v>34</v>
      </c>
      <c r="Q1216" s="217" t="s">
        <v>35</v>
      </c>
      <c r="R1216" s="217" t="s">
        <v>23</v>
      </c>
      <c r="S1216" s="217" t="s">
        <v>22</v>
      </c>
      <c r="T1216" s="217" t="s">
        <v>36</v>
      </c>
      <c r="U1216" s="217" t="s">
        <v>37</v>
      </c>
      <c r="V1216" s="217" t="s">
        <v>249</v>
      </c>
      <c r="W1216" s="217" t="s">
        <v>250</v>
      </c>
    </row>
    <row r="1217" spans="1:23" x14ac:dyDescent="0.25">
      <c r="A1217" s="217" t="s">
        <v>22</v>
      </c>
      <c r="B1217" s="217" t="s">
        <v>23</v>
      </c>
      <c r="C1217" s="217" t="s">
        <v>37</v>
      </c>
      <c r="D1217" s="217" t="s">
        <v>36</v>
      </c>
      <c r="E1217" s="217" t="s">
        <v>250</v>
      </c>
      <c r="F1217" s="217" t="s">
        <v>249</v>
      </c>
      <c r="G1217" s="217" t="s">
        <v>258</v>
      </c>
      <c r="H1217" s="217" t="s">
        <v>1474</v>
      </c>
      <c r="I1217" s="217" t="s">
        <v>29</v>
      </c>
      <c r="J1217" s="217" t="s">
        <v>1855</v>
      </c>
      <c r="K1217" s="217">
        <v>39</v>
      </c>
      <c r="L1217" s="217">
        <v>195</v>
      </c>
      <c r="M1217" s="217" t="s">
        <v>31</v>
      </c>
      <c r="N1217" s="217" t="s">
        <v>32</v>
      </c>
      <c r="O1217" s="217" t="s">
        <v>100</v>
      </c>
      <c r="P1217" s="217" t="s">
        <v>34</v>
      </c>
      <c r="Q1217" s="217" t="s">
        <v>35</v>
      </c>
      <c r="R1217" s="217" t="s">
        <v>23</v>
      </c>
      <c r="S1217" s="217" t="s">
        <v>22</v>
      </c>
      <c r="T1217" s="217" t="s">
        <v>36</v>
      </c>
      <c r="U1217" s="217" t="s">
        <v>37</v>
      </c>
      <c r="V1217" s="217" t="s">
        <v>249</v>
      </c>
      <c r="W1217" s="217" t="s">
        <v>250</v>
      </c>
    </row>
    <row r="1218" spans="1:23" x14ac:dyDescent="0.25">
      <c r="A1218" s="217" t="s">
        <v>22</v>
      </c>
      <c r="B1218" s="217" t="s">
        <v>23</v>
      </c>
      <c r="C1218" s="217" t="s">
        <v>37</v>
      </c>
      <c r="D1218" s="217" t="s">
        <v>36</v>
      </c>
      <c r="E1218" s="217" t="s">
        <v>250</v>
      </c>
      <c r="F1218" s="217" t="s">
        <v>249</v>
      </c>
      <c r="G1218" s="217" t="s">
        <v>258</v>
      </c>
      <c r="H1218" s="217" t="s">
        <v>1474</v>
      </c>
      <c r="I1218" s="217" t="s">
        <v>29</v>
      </c>
      <c r="J1218" s="217" t="s">
        <v>1856</v>
      </c>
      <c r="K1218" s="217">
        <v>18</v>
      </c>
      <c r="L1218" s="217">
        <v>90</v>
      </c>
      <c r="M1218" s="217" t="s">
        <v>31</v>
      </c>
      <c r="N1218" s="217" t="s">
        <v>32</v>
      </c>
      <c r="O1218" s="217" t="s">
        <v>100</v>
      </c>
      <c r="P1218" s="217" t="s">
        <v>34</v>
      </c>
      <c r="Q1218" s="217" t="s">
        <v>35</v>
      </c>
      <c r="R1218" s="217" t="s">
        <v>23</v>
      </c>
      <c r="S1218" s="217" t="s">
        <v>22</v>
      </c>
      <c r="T1218" s="217" t="s">
        <v>36</v>
      </c>
      <c r="U1218" s="217" t="s">
        <v>37</v>
      </c>
      <c r="V1218" s="217" t="s">
        <v>249</v>
      </c>
      <c r="W1218" s="217" t="s">
        <v>250</v>
      </c>
    </row>
    <row r="1219" spans="1:23" x14ac:dyDescent="0.25">
      <c r="A1219" s="217" t="s">
        <v>22</v>
      </c>
      <c r="B1219" s="217" t="s">
        <v>23</v>
      </c>
      <c r="C1219" s="217" t="s">
        <v>37</v>
      </c>
      <c r="D1219" s="217" t="s">
        <v>36</v>
      </c>
      <c r="E1219" s="217" t="s">
        <v>250</v>
      </c>
      <c r="F1219" s="217" t="s">
        <v>249</v>
      </c>
      <c r="G1219" s="217" t="s">
        <v>258</v>
      </c>
      <c r="H1219" s="217" t="s">
        <v>1474</v>
      </c>
      <c r="I1219" s="217" t="s">
        <v>29</v>
      </c>
      <c r="J1219" s="217" t="s">
        <v>1857</v>
      </c>
      <c r="K1219" s="217">
        <v>5</v>
      </c>
      <c r="L1219" s="217">
        <v>25</v>
      </c>
      <c r="M1219" s="217" t="s">
        <v>31</v>
      </c>
      <c r="N1219" s="217" t="s">
        <v>32</v>
      </c>
      <c r="O1219" s="217" t="s">
        <v>100</v>
      </c>
      <c r="P1219" s="217" t="s">
        <v>34</v>
      </c>
      <c r="Q1219" s="217" t="s">
        <v>35</v>
      </c>
      <c r="R1219" s="217" t="s">
        <v>23</v>
      </c>
      <c r="S1219" s="217" t="s">
        <v>22</v>
      </c>
      <c r="T1219" s="217" t="s">
        <v>36</v>
      </c>
      <c r="U1219" s="217" t="s">
        <v>37</v>
      </c>
      <c r="V1219" s="217" t="s">
        <v>249</v>
      </c>
      <c r="W1219" s="217" t="s">
        <v>250</v>
      </c>
    </row>
    <row r="1220" spans="1:23" x14ac:dyDescent="0.25">
      <c r="A1220" s="217" t="s">
        <v>22</v>
      </c>
      <c r="B1220" s="217" t="s">
        <v>23</v>
      </c>
      <c r="C1220" s="217" t="s">
        <v>37</v>
      </c>
      <c r="D1220" s="217" t="s">
        <v>36</v>
      </c>
      <c r="E1220" s="217" t="s">
        <v>250</v>
      </c>
      <c r="F1220" s="217" t="s">
        <v>249</v>
      </c>
      <c r="G1220" s="217" t="s">
        <v>258</v>
      </c>
      <c r="H1220" s="217" t="s">
        <v>1474</v>
      </c>
      <c r="I1220" s="217" t="s">
        <v>29</v>
      </c>
      <c r="J1220" s="217" t="s">
        <v>1858</v>
      </c>
      <c r="K1220" s="217">
        <v>7</v>
      </c>
      <c r="L1220" s="217">
        <v>35</v>
      </c>
      <c r="M1220" s="217" t="s">
        <v>31</v>
      </c>
      <c r="N1220" s="217" t="s">
        <v>32</v>
      </c>
      <c r="O1220" s="217" t="s">
        <v>100</v>
      </c>
      <c r="P1220" s="217" t="s">
        <v>34</v>
      </c>
      <c r="Q1220" s="217" t="s">
        <v>35</v>
      </c>
      <c r="R1220" s="217" t="s">
        <v>23</v>
      </c>
      <c r="S1220" s="217" t="s">
        <v>22</v>
      </c>
      <c r="T1220" s="217" t="s">
        <v>36</v>
      </c>
      <c r="U1220" s="217" t="s">
        <v>37</v>
      </c>
      <c r="V1220" s="217" t="s">
        <v>249</v>
      </c>
      <c r="W1220" s="217" t="s">
        <v>250</v>
      </c>
    </row>
    <row r="1221" spans="1:23" x14ac:dyDescent="0.25">
      <c r="A1221" s="217" t="s">
        <v>22</v>
      </c>
      <c r="B1221" s="217" t="s">
        <v>23</v>
      </c>
      <c r="C1221" s="217" t="s">
        <v>37</v>
      </c>
      <c r="D1221" s="217" t="s">
        <v>36</v>
      </c>
      <c r="E1221" s="217" t="s">
        <v>250</v>
      </c>
      <c r="F1221" s="217" t="s">
        <v>249</v>
      </c>
      <c r="G1221" s="217" t="s">
        <v>259</v>
      </c>
      <c r="H1221" s="217" t="s">
        <v>1475</v>
      </c>
      <c r="I1221" s="217" t="s">
        <v>29</v>
      </c>
      <c r="J1221" s="217" t="s">
        <v>1855</v>
      </c>
      <c r="K1221" s="217">
        <v>63</v>
      </c>
      <c r="L1221" s="217">
        <v>334</v>
      </c>
      <c r="M1221" s="217" t="s">
        <v>31</v>
      </c>
      <c r="N1221" s="217" t="s">
        <v>32</v>
      </c>
      <c r="O1221" s="217" t="s">
        <v>100</v>
      </c>
      <c r="P1221" s="217" t="s">
        <v>34</v>
      </c>
      <c r="Q1221" s="217" t="s">
        <v>35</v>
      </c>
      <c r="R1221" s="217" t="s">
        <v>23</v>
      </c>
      <c r="S1221" s="217" t="s">
        <v>22</v>
      </c>
      <c r="T1221" s="217" t="s">
        <v>36</v>
      </c>
      <c r="U1221" s="217" t="s">
        <v>37</v>
      </c>
      <c r="V1221" s="217" t="s">
        <v>249</v>
      </c>
      <c r="W1221" s="217" t="s">
        <v>250</v>
      </c>
    </row>
    <row r="1222" spans="1:23" x14ac:dyDescent="0.25">
      <c r="A1222" s="217" t="s">
        <v>22</v>
      </c>
      <c r="B1222" s="217" t="s">
        <v>23</v>
      </c>
      <c r="C1222" s="217" t="s">
        <v>37</v>
      </c>
      <c r="D1222" s="217" t="s">
        <v>36</v>
      </c>
      <c r="E1222" s="217" t="s">
        <v>250</v>
      </c>
      <c r="F1222" s="217" t="s">
        <v>249</v>
      </c>
      <c r="G1222" s="217" t="s">
        <v>259</v>
      </c>
      <c r="H1222" s="217" t="s">
        <v>1475</v>
      </c>
      <c r="I1222" s="217" t="s">
        <v>29</v>
      </c>
      <c r="J1222" s="217" t="s">
        <v>1856</v>
      </c>
      <c r="K1222" s="217">
        <v>80</v>
      </c>
      <c r="L1222" s="217">
        <v>439</v>
      </c>
      <c r="M1222" s="217" t="s">
        <v>31</v>
      </c>
      <c r="N1222" s="217" t="s">
        <v>32</v>
      </c>
      <c r="O1222" s="217" t="s">
        <v>100</v>
      </c>
      <c r="P1222" s="217" t="s">
        <v>34</v>
      </c>
      <c r="Q1222" s="217" t="s">
        <v>35</v>
      </c>
      <c r="R1222" s="217" t="s">
        <v>23</v>
      </c>
      <c r="S1222" s="217" t="s">
        <v>22</v>
      </c>
      <c r="T1222" s="217" t="s">
        <v>36</v>
      </c>
      <c r="U1222" s="217" t="s">
        <v>37</v>
      </c>
      <c r="V1222" s="217" t="s">
        <v>249</v>
      </c>
      <c r="W1222" s="217" t="s">
        <v>250</v>
      </c>
    </row>
    <row r="1223" spans="1:23" x14ac:dyDescent="0.25">
      <c r="A1223" s="217" t="s">
        <v>22</v>
      </c>
      <c r="B1223" s="217" t="s">
        <v>23</v>
      </c>
      <c r="C1223" s="217" t="s">
        <v>37</v>
      </c>
      <c r="D1223" s="217" t="s">
        <v>36</v>
      </c>
      <c r="E1223" s="217" t="s">
        <v>250</v>
      </c>
      <c r="F1223" s="217" t="s">
        <v>249</v>
      </c>
      <c r="G1223" s="217" t="s">
        <v>259</v>
      </c>
      <c r="H1223" s="217" t="s">
        <v>1475</v>
      </c>
      <c r="I1223" s="217" t="s">
        <v>29</v>
      </c>
      <c r="J1223" s="217" t="s">
        <v>1857</v>
      </c>
      <c r="K1223" s="217">
        <v>49</v>
      </c>
      <c r="L1223" s="217">
        <v>239</v>
      </c>
      <c r="M1223" s="217" t="s">
        <v>31</v>
      </c>
      <c r="N1223" s="217" t="s">
        <v>32</v>
      </c>
      <c r="O1223" s="217" t="s">
        <v>100</v>
      </c>
      <c r="P1223" s="217" t="s">
        <v>34</v>
      </c>
      <c r="Q1223" s="217" t="s">
        <v>35</v>
      </c>
      <c r="R1223" s="217" t="s">
        <v>23</v>
      </c>
      <c r="S1223" s="217" t="s">
        <v>22</v>
      </c>
      <c r="T1223" s="217" t="s">
        <v>36</v>
      </c>
      <c r="U1223" s="217" t="s">
        <v>37</v>
      </c>
      <c r="V1223" s="217" t="s">
        <v>249</v>
      </c>
      <c r="W1223" s="217" t="s">
        <v>250</v>
      </c>
    </row>
    <row r="1224" spans="1:23" x14ac:dyDescent="0.25">
      <c r="A1224" s="217" t="s">
        <v>22</v>
      </c>
      <c r="B1224" s="217" t="s">
        <v>23</v>
      </c>
      <c r="C1224" s="217" t="s">
        <v>37</v>
      </c>
      <c r="D1224" s="217" t="s">
        <v>36</v>
      </c>
      <c r="E1224" s="217" t="s">
        <v>250</v>
      </c>
      <c r="F1224" s="217" t="s">
        <v>249</v>
      </c>
      <c r="G1224" s="217" t="s">
        <v>259</v>
      </c>
      <c r="H1224" s="217" t="s">
        <v>1475</v>
      </c>
      <c r="I1224" s="217" t="s">
        <v>29</v>
      </c>
      <c r="J1224" s="217" t="s">
        <v>1858</v>
      </c>
      <c r="K1224" s="217">
        <v>10</v>
      </c>
      <c r="L1224" s="217">
        <v>50</v>
      </c>
      <c r="M1224" s="217" t="s">
        <v>31</v>
      </c>
      <c r="N1224" s="217" t="s">
        <v>32</v>
      </c>
      <c r="O1224" s="217" t="s">
        <v>100</v>
      </c>
      <c r="P1224" s="217" t="s">
        <v>34</v>
      </c>
      <c r="Q1224" s="217" t="s">
        <v>35</v>
      </c>
      <c r="R1224" s="217" t="s">
        <v>23</v>
      </c>
      <c r="S1224" s="217" t="s">
        <v>22</v>
      </c>
      <c r="T1224" s="217" t="s">
        <v>36</v>
      </c>
      <c r="U1224" s="217" t="s">
        <v>37</v>
      </c>
      <c r="V1224" s="217" t="s">
        <v>249</v>
      </c>
      <c r="W1224" s="217" t="s">
        <v>250</v>
      </c>
    </row>
    <row r="1225" spans="1:23" x14ac:dyDescent="0.25">
      <c r="A1225" s="217" t="s">
        <v>22</v>
      </c>
      <c r="B1225" s="217" t="s">
        <v>23</v>
      </c>
      <c r="C1225" s="217" t="s">
        <v>37</v>
      </c>
      <c r="D1225" s="217" t="s">
        <v>36</v>
      </c>
      <c r="E1225" s="217" t="s">
        <v>250</v>
      </c>
      <c r="F1225" s="217" t="s">
        <v>249</v>
      </c>
      <c r="G1225" s="217" t="s">
        <v>259</v>
      </c>
      <c r="H1225" s="217" t="s">
        <v>1475</v>
      </c>
      <c r="I1225" s="217" t="s">
        <v>29</v>
      </c>
      <c r="J1225" s="217" t="s">
        <v>1859</v>
      </c>
      <c r="K1225" s="217">
        <v>7</v>
      </c>
      <c r="L1225" s="217">
        <v>34</v>
      </c>
      <c r="M1225" s="217" t="s">
        <v>31</v>
      </c>
      <c r="N1225" s="217" t="s">
        <v>32</v>
      </c>
      <c r="O1225" s="217" t="s">
        <v>100</v>
      </c>
      <c r="P1225" s="217" t="s">
        <v>34</v>
      </c>
      <c r="Q1225" s="217" t="s">
        <v>35</v>
      </c>
      <c r="R1225" s="217" t="s">
        <v>23</v>
      </c>
      <c r="S1225" s="217" t="s">
        <v>22</v>
      </c>
      <c r="T1225" s="217" t="s">
        <v>36</v>
      </c>
      <c r="U1225" s="217" t="s">
        <v>37</v>
      </c>
      <c r="V1225" s="217" t="s">
        <v>249</v>
      </c>
      <c r="W1225" s="217" t="s">
        <v>250</v>
      </c>
    </row>
    <row r="1226" spans="1:23" x14ac:dyDescent="0.25">
      <c r="A1226" s="217" t="s">
        <v>22</v>
      </c>
      <c r="B1226" s="217" t="s">
        <v>23</v>
      </c>
      <c r="C1226" s="217" t="s">
        <v>37</v>
      </c>
      <c r="D1226" s="217" t="s">
        <v>36</v>
      </c>
      <c r="E1226" s="217" t="s">
        <v>250</v>
      </c>
      <c r="F1226" s="217" t="s">
        <v>249</v>
      </c>
      <c r="G1226" s="217" t="s">
        <v>260</v>
      </c>
      <c r="H1226" s="217" t="s">
        <v>1476</v>
      </c>
      <c r="I1226" s="217" t="s">
        <v>29</v>
      </c>
      <c r="J1226" s="217" t="s">
        <v>1855</v>
      </c>
      <c r="K1226" s="217">
        <v>19</v>
      </c>
      <c r="L1226" s="217">
        <v>95</v>
      </c>
      <c r="M1226" s="217" t="s">
        <v>31</v>
      </c>
      <c r="N1226" s="217" t="s">
        <v>32</v>
      </c>
      <c r="O1226" s="217" t="s">
        <v>33</v>
      </c>
      <c r="P1226" s="217" t="s">
        <v>34</v>
      </c>
      <c r="Q1226" s="217" t="s">
        <v>35</v>
      </c>
      <c r="R1226" s="217" t="s">
        <v>23</v>
      </c>
      <c r="S1226" s="217" t="s">
        <v>22</v>
      </c>
      <c r="T1226" s="217" t="s">
        <v>47</v>
      </c>
      <c r="U1226" s="217" t="s">
        <v>48</v>
      </c>
      <c r="V1226" s="217" t="s">
        <v>231</v>
      </c>
      <c r="W1226" s="217" t="s">
        <v>232</v>
      </c>
    </row>
    <row r="1227" spans="1:23" x14ac:dyDescent="0.25">
      <c r="A1227" s="217" t="s">
        <v>22</v>
      </c>
      <c r="B1227" s="217" t="s">
        <v>23</v>
      </c>
      <c r="C1227" s="217" t="s">
        <v>37</v>
      </c>
      <c r="D1227" s="217" t="s">
        <v>36</v>
      </c>
      <c r="E1227" s="217" t="s">
        <v>250</v>
      </c>
      <c r="F1227" s="217" t="s">
        <v>249</v>
      </c>
      <c r="G1227" s="217" t="s">
        <v>260</v>
      </c>
      <c r="H1227" s="217" t="s">
        <v>1476</v>
      </c>
      <c r="I1227" s="217" t="s">
        <v>29</v>
      </c>
      <c r="J1227" s="217" t="s">
        <v>1856</v>
      </c>
      <c r="K1227" s="217">
        <v>14</v>
      </c>
      <c r="L1227" s="217">
        <v>70</v>
      </c>
      <c r="M1227" s="217" t="s">
        <v>31</v>
      </c>
      <c r="N1227" s="217" t="s">
        <v>32</v>
      </c>
      <c r="O1227" s="217" t="s">
        <v>100</v>
      </c>
      <c r="P1227" s="217" t="s">
        <v>34</v>
      </c>
      <c r="Q1227" s="217" t="s">
        <v>35</v>
      </c>
      <c r="R1227" s="217" t="s">
        <v>23</v>
      </c>
      <c r="S1227" s="217" t="s">
        <v>22</v>
      </c>
      <c r="T1227" s="217" t="s">
        <v>36</v>
      </c>
      <c r="U1227" s="217" t="s">
        <v>37</v>
      </c>
      <c r="V1227" s="217" t="s">
        <v>249</v>
      </c>
      <c r="W1227" s="217" t="s">
        <v>250</v>
      </c>
    </row>
    <row r="1228" spans="1:23" x14ac:dyDescent="0.25">
      <c r="A1228" s="217" t="s">
        <v>22</v>
      </c>
      <c r="B1228" s="217" t="s">
        <v>23</v>
      </c>
      <c r="C1228" s="217" t="s">
        <v>37</v>
      </c>
      <c r="D1228" s="217" t="s">
        <v>36</v>
      </c>
      <c r="E1228" s="217" t="s">
        <v>250</v>
      </c>
      <c r="F1228" s="217" t="s">
        <v>249</v>
      </c>
      <c r="G1228" s="217" t="s">
        <v>260</v>
      </c>
      <c r="H1228" s="217" t="s">
        <v>1476</v>
      </c>
      <c r="I1228" s="217" t="s">
        <v>29</v>
      </c>
      <c r="J1228" s="217" t="s">
        <v>1857</v>
      </c>
      <c r="K1228" s="217">
        <v>6</v>
      </c>
      <c r="L1228" s="217">
        <v>30</v>
      </c>
      <c r="M1228" s="217" t="s">
        <v>31</v>
      </c>
      <c r="N1228" s="217" t="s">
        <v>32</v>
      </c>
      <c r="O1228" s="217" t="s">
        <v>33</v>
      </c>
      <c r="P1228" s="217" t="s">
        <v>34</v>
      </c>
      <c r="Q1228" s="217" t="s">
        <v>35</v>
      </c>
      <c r="R1228" s="217" t="s">
        <v>23</v>
      </c>
      <c r="S1228" s="217" t="s">
        <v>22</v>
      </c>
      <c r="T1228" s="217" t="s">
        <v>47</v>
      </c>
      <c r="U1228" s="217" t="s">
        <v>48</v>
      </c>
      <c r="V1228" s="217" t="s">
        <v>231</v>
      </c>
      <c r="W1228" s="217" t="s">
        <v>232</v>
      </c>
    </row>
    <row r="1229" spans="1:23" x14ac:dyDescent="0.25">
      <c r="A1229" s="217" t="s">
        <v>22</v>
      </c>
      <c r="B1229" s="217" t="s">
        <v>23</v>
      </c>
      <c r="C1229" s="217" t="s">
        <v>37</v>
      </c>
      <c r="D1229" s="217" t="s">
        <v>36</v>
      </c>
      <c r="E1229" s="217" t="s">
        <v>250</v>
      </c>
      <c r="F1229" s="217" t="s">
        <v>249</v>
      </c>
      <c r="G1229" s="217" t="s">
        <v>260</v>
      </c>
      <c r="H1229" s="217" t="s">
        <v>1476</v>
      </c>
      <c r="I1229" s="217" t="s">
        <v>29</v>
      </c>
      <c r="J1229" s="217" t="s">
        <v>1858</v>
      </c>
      <c r="K1229" s="217">
        <v>6</v>
      </c>
      <c r="L1229" s="217">
        <v>30</v>
      </c>
      <c r="M1229" s="217" t="s">
        <v>31</v>
      </c>
      <c r="N1229" s="217" t="s">
        <v>32</v>
      </c>
      <c r="O1229" s="217" t="s">
        <v>33</v>
      </c>
      <c r="P1229" s="217" t="s">
        <v>34</v>
      </c>
      <c r="Q1229" s="217" t="s">
        <v>35</v>
      </c>
      <c r="R1229" s="217" t="s">
        <v>23</v>
      </c>
      <c r="S1229" s="217" t="s">
        <v>22</v>
      </c>
      <c r="T1229" s="217" t="s">
        <v>47</v>
      </c>
      <c r="U1229" s="217" t="s">
        <v>48</v>
      </c>
      <c r="V1229" s="217" t="s">
        <v>231</v>
      </c>
      <c r="W1229" s="217" t="s">
        <v>232</v>
      </c>
    </row>
    <row r="1230" spans="1:23" x14ac:dyDescent="0.25">
      <c r="A1230" s="217" t="s">
        <v>22</v>
      </c>
      <c r="B1230" s="217" t="s">
        <v>23</v>
      </c>
      <c r="C1230" s="217" t="s">
        <v>37</v>
      </c>
      <c r="D1230" s="217" t="s">
        <v>36</v>
      </c>
      <c r="E1230" s="217" t="s">
        <v>250</v>
      </c>
      <c r="F1230" s="217" t="s">
        <v>249</v>
      </c>
      <c r="G1230" s="217" t="s">
        <v>261</v>
      </c>
      <c r="H1230" s="217" t="s">
        <v>1477</v>
      </c>
      <c r="I1230" s="217" t="s">
        <v>29</v>
      </c>
      <c r="J1230" s="217" t="s">
        <v>1855</v>
      </c>
      <c r="K1230" s="217">
        <v>2</v>
      </c>
      <c r="L1230" s="217">
        <v>10</v>
      </c>
      <c r="M1230" s="217" t="s">
        <v>31</v>
      </c>
      <c r="N1230" s="217" t="s">
        <v>32</v>
      </c>
      <c r="O1230" s="217" t="s">
        <v>100</v>
      </c>
      <c r="P1230" s="217" t="s">
        <v>34</v>
      </c>
      <c r="Q1230" s="217" t="s">
        <v>35</v>
      </c>
      <c r="R1230" s="217" t="s">
        <v>23</v>
      </c>
      <c r="S1230" s="217" t="s">
        <v>22</v>
      </c>
      <c r="T1230" s="217" t="s">
        <v>36</v>
      </c>
      <c r="U1230" s="217" t="s">
        <v>37</v>
      </c>
      <c r="V1230" s="217" t="s">
        <v>249</v>
      </c>
      <c r="W1230" s="217" t="s">
        <v>250</v>
      </c>
    </row>
    <row r="1231" spans="1:23" x14ac:dyDescent="0.25">
      <c r="A1231" s="217" t="s">
        <v>22</v>
      </c>
      <c r="B1231" s="217" t="s">
        <v>23</v>
      </c>
      <c r="C1231" s="217" t="s">
        <v>37</v>
      </c>
      <c r="D1231" s="217" t="s">
        <v>36</v>
      </c>
      <c r="E1231" s="217" t="s">
        <v>250</v>
      </c>
      <c r="F1231" s="217" t="s">
        <v>249</v>
      </c>
      <c r="G1231" s="217" t="s">
        <v>261</v>
      </c>
      <c r="H1231" s="217" t="s">
        <v>1477</v>
      </c>
      <c r="I1231" s="217" t="s">
        <v>29</v>
      </c>
      <c r="J1231" s="217" t="s">
        <v>1856</v>
      </c>
      <c r="K1231" s="217">
        <v>3</v>
      </c>
      <c r="L1231" s="217">
        <v>15</v>
      </c>
      <c r="M1231" s="217" t="s">
        <v>31</v>
      </c>
      <c r="N1231" s="217" t="s">
        <v>32</v>
      </c>
      <c r="O1231" s="217" t="s">
        <v>100</v>
      </c>
      <c r="P1231" s="217" t="s">
        <v>34</v>
      </c>
      <c r="Q1231" s="217" t="s">
        <v>35</v>
      </c>
      <c r="R1231" s="217" t="s">
        <v>23</v>
      </c>
      <c r="S1231" s="217" t="s">
        <v>22</v>
      </c>
      <c r="T1231" s="217" t="s">
        <v>36</v>
      </c>
      <c r="U1231" s="217" t="s">
        <v>37</v>
      </c>
      <c r="V1231" s="217" t="s">
        <v>249</v>
      </c>
      <c r="W1231" s="217" t="s">
        <v>250</v>
      </c>
    </row>
    <row r="1232" spans="1:23" x14ac:dyDescent="0.25">
      <c r="A1232" s="217" t="s">
        <v>22</v>
      </c>
      <c r="B1232" s="217" t="s">
        <v>23</v>
      </c>
      <c r="C1232" s="217" t="s">
        <v>37</v>
      </c>
      <c r="D1232" s="217" t="s">
        <v>36</v>
      </c>
      <c r="E1232" s="217" t="s">
        <v>250</v>
      </c>
      <c r="F1232" s="217" t="s">
        <v>249</v>
      </c>
      <c r="G1232" s="217" t="s">
        <v>261</v>
      </c>
      <c r="H1232" s="217" t="s">
        <v>1477</v>
      </c>
      <c r="I1232" s="217" t="s">
        <v>29</v>
      </c>
      <c r="J1232" s="217" t="s">
        <v>1857</v>
      </c>
      <c r="K1232" s="217">
        <v>2</v>
      </c>
      <c r="L1232" s="217">
        <v>10</v>
      </c>
      <c r="M1232" s="217" t="s">
        <v>31</v>
      </c>
      <c r="N1232" s="217" t="s">
        <v>32</v>
      </c>
      <c r="O1232" s="217" t="s">
        <v>100</v>
      </c>
      <c r="P1232" s="217" t="s">
        <v>34</v>
      </c>
      <c r="Q1232" s="217" t="s">
        <v>35</v>
      </c>
      <c r="R1232" s="217" t="s">
        <v>23</v>
      </c>
      <c r="S1232" s="217" t="s">
        <v>22</v>
      </c>
      <c r="T1232" s="217" t="s">
        <v>36</v>
      </c>
      <c r="U1232" s="217" t="s">
        <v>37</v>
      </c>
      <c r="V1232" s="217" t="s">
        <v>249</v>
      </c>
      <c r="W1232" s="217" t="s">
        <v>250</v>
      </c>
    </row>
    <row r="1233" spans="1:23" x14ac:dyDescent="0.25">
      <c r="A1233" s="217" t="s">
        <v>22</v>
      </c>
      <c r="B1233" s="217" t="s">
        <v>23</v>
      </c>
      <c r="C1233" s="217" t="s">
        <v>37</v>
      </c>
      <c r="D1233" s="217" t="s">
        <v>36</v>
      </c>
      <c r="E1233" s="217" t="s">
        <v>250</v>
      </c>
      <c r="F1233" s="217" t="s">
        <v>249</v>
      </c>
      <c r="G1233" s="217" t="s">
        <v>262</v>
      </c>
      <c r="H1233" s="217" t="s">
        <v>1478</v>
      </c>
      <c r="I1233" s="217" t="s">
        <v>29</v>
      </c>
      <c r="J1233" s="217" t="s">
        <v>1855</v>
      </c>
      <c r="K1233" s="217">
        <v>6</v>
      </c>
      <c r="L1233" s="217">
        <v>30</v>
      </c>
      <c r="M1233" s="217" t="s">
        <v>31</v>
      </c>
      <c r="N1233" s="217" t="s">
        <v>32</v>
      </c>
      <c r="O1233" s="217" t="s">
        <v>100</v>
      </c>
      <c r="P1233" s="217" t="s">
        <v>34</v>
      </c>
      <c r="Q1233" s="217" t="s">
        <v>35</v>
      </c>
      <c r="R1233" s="217" t="s">
        <v>23</v>
      </c>
      <c r="S1233" s="217" t="s">
        <v>22</v>
      </c>
      <c r="T1233" s="217" t="s">
        <v>36</v>
      </c>
      <c r="U1233" s="217" t="s">
        <v>37</v>
      </c>
      <c r="V1233" s="217" t="s">
        <v>249</v>
      </c>
      <c r="W1233" s="217" t="s">
        <v>250</v>
      </c>
    </row>
    <row r="1234" spans="1:23" x14ac:dyDescent="0.25">
      <c r="A1234" s="217" t="s">
        <v>22</v>
      </c>
      <c r="B1234" s="217" t="s">
        <v>23</v>
      </c>
      <c r="C1234" s="217" t="s">
        <v>37</v>
      </c>
      <c r="D1234" s="217" t="s">
        <v>36</v>
      </c>
      <c r="E1234" s="217" t="s">
        <v>250</v>
      </c>
      <c r="F1234" s="217" t="s">
        <v>249</v>
      </c>
      <c r="G1234" s="217" t="s">
        <v>262</v>
      </c>
      <c r="H1234" s="217" t="s">
        <v>1478</v>
      </c>
      <c r="I1234" s="217" t="s">
        <v>29</v>
      </c>
      <c r="J1234" s="217" t="s">
        <v>1856</v>
      </c>
      <c r="K1234" s="217">
        <v>8</v>
      </c>
      <c r="L1234" s="217">
        <v>40</v>
      </c>
      <c r="M1234" s="217" t="s">
        <v>31</v>
      </c>
      <c r="N1234" s="217" t="s">
        <v>32</v>
      </c>
      <c r="O1234" s="217" t="s">
        <v>100</v>
      </c>
      <c r="P1234" s="217" t="s">
        <v>34</v>
      </c>
      <c r="Q1234" s="217" t="s">
        <v>35</v>
      </c>
      <c r="R1234" s="217" t="s">
        <v>23</v>
      </c>
      <c r="S1234" s="217" t="s">
        <v>22</v>
      </c>
      <c r="T1234" s="217" t="s">
        <v>36</v>
      </c>
      <c r="U1234" s="217" t="s">
        <v>37</v>
      </c>
      <c r="V1234" s="217" t="s">
        <v>249</v>
      </c>
      <c r="W1234" s="217" t="s">
        <v>250</v>
      </c>
    </row>
    <row r="1235" spans="1:23" x14ac:dyDescent="0.25">
      <c r="A1235" s="217" t="s">
        <v>22</v>
      </c>
      <c r="B1235" s="217" t="s">
        <v>23</v>
      </c>
      <c r="C1235" s="217" t="s">
        <v>37</v>
      </c>
      <c r="D1235" s="217" t="s">
        <v>36</v>
      </c>
      <c r="E1235" s="217" t="s">
        <v>250</v>
      </c>
      <c r="F1235" s="217" t="s">
        <v>249</v>
      </c>
      <c r="G1235" s="217" t="s">
        <v>262</v>
      </c>
      <c r="H1235" s="217" t="s">
        <v>1478</v>
      </c>
      <c r="I1235" s="217" t="s">
        <v>29</v>
      </c>
      <c r="J1235" s="217" t="s">
        <v>1857</v>
      </c>
      <c r="K1235" s="217">
        <v>3</v>
      </c>
      <c r="L1235" s="217">
        <v>15</v>
      </c>
      <c r="M1235" s="217" t="s">
        <v>31</v>
      </c>
      <c r="N1235" s="217" t="s">
        <v>32</v>
      </c>
      <c r="O1235" s="217" t="s">
        <v>100</v>
      </c>
      <c r="P1235" s="217" t="s">
        <v>34</v>
      </c>
      <c r="Q1235" s="217" t="s">
        <v>35</v>
      </c>
      <c r="R1235" s="217" t="s">
        <v>23</v>
      </c>
      <c r="S1235" s="217" t="s">
        <v>22</v>
      </c>
      <c r="T1235" s="217" t="s">
        <v>36</v>
      </c>
      <c r="U1235" s="217" t="s">
        <v>37</v>
      </c>
      <c r="V1235" s="217" t="s">
        <v>249</v>
      </c>
      <c r="W1235" s="217" t="s">
        <v>250</v>
      </c>
    </row>
    <row r="1236" spans="1:23" x14ac:dyDescent="0.25">
      <c r="A1236" s="217" t="s">
        <v>22</v>
      </c>
      <c r="B1236" s="217" t="s">
        <v>23</v>
      </c>
      <c r="C1236" s="217" t="s">
        <v>37</v>
      </c>
      <c r="D1236" s="217" t="s">
        <v>36</v>
      </c>
      <c r="E1236" s="217" t="s">
        <v>250</v>
      </c>
      <c r="F1236" s="217" t="s">
        <v>249</v>
      </c>
      <c r="G1236" s="217" t="s">
        <v>262</v>
      </c>
      <c r="H1236" s="217" t="s">
        <v>1478</v>
      </c>
      <c r="I1236" s="217" t="s">
        <v>29</v>
      </c>
      <c r="J1236" s="217" t="s">
        <v>1858</v>
      </c>
      <c r="K1236" s="217">
        <v>7</v>
      </c>
      <c r="L1236" s="217">
        <v>35</v>
      </c>
      <c r="M1236" s="217" t="s">
        <v>31</v>
      </c>
      <c r="N1236" s="217" t="s">
        <v>32</v>
      </c>
      <c r="O1236" s="217" t="s">
        <v>100</v>
      </c>
      <c r="P1236" s="217" t="s">
        <v>34</v>
      </c>
      <c r="Q1236" s="217" t="s">
        <v>35</v>
      </c>
      <c r="R1236" s="217" t="s">
        <v>23</v>
      </c>
      <c r="S1236" s="217" t="s">
        <v>22</v>
      </c>
      <c r="T1236" s="217" t="s">
        <v>36</v>
      </c>
      <c r="U1236" s="217" t="s">
        <v>37</v>
      </c>
      <c r="V1236" s="217" t="s">
        <v>249</v>
      </c>
      <c r="W1236" s="217" t="s">
        <v>250</v>
      </c>
    </row>
    <row r="1237" spans="1:23" x14ac:dyDescent="0.25">
      <c r="A1237" s="217" t="s">
        <v>22</v>
      </c>
      <c r="B1237" s="217" t="s">
        <v>23</v>
      </c>
      <c r="C1237" s="217" t="s">
        <v>37</v>
      </c>
      <c r="D1237" s="217" t="s">
        <v>36</v>
      </c>
      <c r="E1237" s="217" t="s">
        <v>250</v>
      </c>
      <c r="F1237" s="217" t="s">
        <v>249</v>
      </c>
      <c r="G1237" s="217" t="s">
        <v>599</v>
      </c>
      <c r="H1237" s="217" t="s">
        <v>1479</v>
      </c>
      <c r="I1237" s="217" t="s">
        <v>29</v>
      </c>
      <c r="J1237" s="217" t="s">
        <v>1855</v>
      </c>
      <c r="K1237" s="217">
        <v>67</v>
      </c>
      <c r="L1237" s="217">
        <v>335</v>
      </c>
      <c r="M1237" s="217" t="s">
        <v>31</v>
      </c>
      <c r="N1237" s="217" t="s">
        <v>32</v>
      </c>
      <c r="O1237" s="217" t="s">
        <v>100</v>
      </c>
      <c r="P1237" s="217" t="s">
        <v>34</v>
      </c>
      <c r="Q1237" s="217" t="s">
        <v>35</v>
      </c>
      <c r="R1237" s="217" t="s">
        <v>23</v>
      </c>
      <c r="S1237" s="217" t="s">
        <v>22</v>
      </c>
      <c r="T1237" s="217" t="s">
        <v>36</v>
      </c>
      <c r="U1237" s="217" t="s">
        <v>37</v>
      </c>
      <c r="V1237" s="217" t="s">
        <v>249</v>
      </c>
      <c r="W1237" s="217" t="s">
        <v>250</v>
      </c>
    </row>
    <row r="1238" spans="1:23" x14ac:dyDescent="0.25">
      <c r="A1238" s="217" t="s">
        <v>22</v>
      </c>
      <c r="B1238" s="217" t="s">
        <v>23</v>
      </c>
      <c r="C1238" s="217" t="s">
        <v>37</v>
      </c>
      <c r="D1238" s="217" t="s">
        <v>36</v>
      </c>
      <c r="E1238" s="217" t="s">
        <v>250</v>
      </c>
      <c r="F1238" s="217" t="s">
        <v>249</v>
      </c>
      <c r="G1238" s="217" t="s">
        <v>599</v>
      </c>
      <c r="H1238" s="217" t="s">
        <v>1479</v>
      </c>
      <c r="I1238" s="217" t="s">
        <v>29</v>
      </c>
      <c r="J1238" s="217" t="s">
        <v>1856</v>
      </c>
      <c r="K1238" s="217">
        <v>37</v>
      </c>
      <c r="L1238" s="217">
        <v>185</v>
      </c>
      <c r="M1238" s="217" t="s">
        <v>31</v>
      </c>
      <c r="N1238" s="217" t="s">
        <v>32</v>
      </c>
      <c r="O1238" s="217" t="s">
        <v>100</v>
      </c>
      <c r="P1238" s="217" t="s">
        <v>34</v>
      </c>
      <c r="Q1238" s="217" t="s">
        <v>35</v>
      </c>
      <c r="R1238" s="217" t="s">
        <v>23</v>
      </c>
      <c r="S1238" s="217" t="s">
        <v>22</v>
      </c>
      <c r="T1238" s="217" t="s">
        <v>36</v>
      </c>
      <c r="U1238" s="217" t="s">
        <v>37</v>
      </c>
      <c r="V1238" s="217" t="s">
        <v>249</v>
      </c>
      <c r="W1238" s="217" t="s">
        <v>250</v>
      </c>
    </row>
    <row r="1239" spans="1:23" x14ac:dyDescent="0.25">
      <c r="A1239" s="217" t="s">
        <v>22</v>
      </c>
      <c r="B1239" s="217" t="s">
        <v>23</v>
      </c>
      <c r="C1239" s="217" t="s">
        <v>37</v>
      </c>
      <c r="D1239" s="217" t="s">
        <v>36</v>
      </c>
      <c r="E1239" s="217" t="s">
        <v>250</v>
      </c>
      <c r="F1239" s="217" t="s">
        <v>249</v>
      </c>
      <c r="G1239" s="217" t="s">
        <v>599</v>
      </c>
      <c r="H1239" s="217" t="s">
        <v>1479</v>
      </c>
      <c r="I1239" s="217" t="s">
        <v>29</v>
      </c>
      <c r="J1239" s="217" t="s">
        <v>1857</v>
      </c>
      <c r="K1239" s="217">
        <v>18</v>
      </c>
      <c r="L1239" s="217">
        <v>90</v>
      </c>
      <c r="M1239" s="217" t="s">
        <v>31</v>
      </c>
      <c r="N1239" s="217" t="s">
        <v>32</v>
      </c>
      <c r="O1239" s="217" t="s">
        <v>100</v>
      </c>
      <c r="P1239" s="217" t="s">
        <v>34</v>
      </c>
      <c r="Q1239" s="217" t="s">
        <v>35</v>
      </c>
      <c r="R1239" s="217" t="s">
        <v>23</v>
      </c>
      <c r="S1239" s="217" t="s">
        <v>22</v>
      </c>
      <c r="T1239" s="217" t="s">
        <v>36</v>
      </c>
      <c r="U1239" s="217" t="s">
        <v>37</v>
      </c>
      <c r="V1239" s="217" t="s">
        <v>249</v>
      </c>
      <c r="W1239" s="217" t="s">
        <v>250</v>
      </c>
    </row>
    <row r="1240" spans="1:23" x14ac:dyDescent="0.25">
      <c r="A1240" s="217" t="s">
        <v>22</v>
      </c>
      <c r="B1240" s="217" t="s">
        <v>23</v>
      </c>
      <c r="C1240" s="217" t="s">
        <v>37</v>
      </c>
      <c r="D1240" s="217" t="s">
        <v>36</v>
      </c>
      <c r="E1240" s="217" t="s">
        <v>250</v>
      </c>
      <c r="F1240" s="217" t="s">
        <v>249</v>
      </c>
      <c r="G1240" s="217" t="s">
        <v>599</v>
      </c>
      <c r="H1240" s="217" t="s">
        <v>1479</v>
      </c>
      <c r="I1240" s="217" t="s">
        <v>29</v>
      </c>
      <c r="J1240" s="217" t="s">
        <v>1858</v>
      </c>
      <c r="K1240" s="217">
        <v>9</v>
      </c>
      <c r="L1240" s="217">
        <v>45</v>
      </c>
      <c r="M1240" s="217" t="s">
        <v>31</v>
      </c>
      <c r="N1240" s="217" t="s">
        <v>32</v>
      </c>
      <c r="O1240" s="217" t="s">
        <v>100</v>
      </c>
      <c r="P1240" s="217" t="s">
        <v>34</v>
      </c>
      <c r="Q1240" s="217" t="s">
        <v>35</v>
      </c>
      <c r="R1240" s="217" t="s">
        <v>23</v>
      </c>
      <c r="S1240" s="217" t="s">
        <v>22</v>
      </c>
      <c r="T1240" s="217" t="s">
        <v>36</v>
      </c>
      <c r="U1240" s="217" t="s">
        <v>37</v>
      </c>
      <c r="V1240" s="217" t="s">
        <v>249</v>
      </c>
      <c r="W1240" s="217" t="s">
        <v>250</v>
      </c>
    </row>
    <row r="1241" spans="1:23" x14ac:dyDescent="0.25">
      <c r="A1241" s="217" t="s">
        <v>22</v>
      </c>
      <c r="B1241" s="217" t="s">
        <v>23</v>
      </c>
      <c r="C1241" s="217" t="s">
        <v>37</v>
      </c>
      <c r="D1241" s="217" t="s">
        <v>36</v>
      </c>
      <c r="E1241" s="217" t="s">
        <v>250</v>
      </c>
      <c r="F1241" s="217" t="s">
        <v>249</v>
      </c>
      <c r="G1241" s="217" t="s">
        <v>599</v>
      </c>
      <c r="H1241" s="217" t="s">
        <v>1479</v>
      </c>
      <c r="I1241" s="217" t="s">
        <v>29</v>
      </c>
      <c r="J1241" s="217" t="s">
        <v>1859</v>
      </c>
      <c r="K1241" s="217">
        <v>2</v>
      </c>
      <c r="L1241" s="217">
        <v>14</v>
      </c>
      <c r="M1241" s="217" t="s">
        <v>31</v>
      </c>
      <c r="N1241" s="217" t="s">
        <v>32</v>
      </c>
      <c r="O1241" s="217" t="s">
        <v>100</v>
      </c>
      <c r="P1241" s="217" t="s">
        <v>34</v>
      </c>
      <c r="Q1241" s="217" t="s">
        <v>35</v>
      </c>
      <c r="R1241" s="217" t="s">
        <v>23</v>
      </c>
      <c r="S1241" s="217" t="s">
        <v>22</v>
      </c>
      <c r="T1241" s="217" t="s">
        <v>36</v>
      </c>
      <c r="U1241" s="217" t="s">
        <v>37</v>
      </c>
      <c r="V1241" s="217" t="s">
        <v>249</v>
      </c>
      <c r="W1241" s="217" t="s">
        <v>250</v>
      </c>
    </row>
    <row r="1242" spans="1:23" x14ac:dyDescent="0.25">
      <c r="A1242" s="217" t="s">
        <v>22</v>
      </c>
      <c r="B1242" s="217" t="s">
        <v>23</v>
      </c>
      <c r="C1242" s="217" t="s">
        <v>37</v>
      </c>
      <c r="D1242" s="217" t="s">
        <v>36</v>
      </c>
      <c r="E1242" s="217" t="s">
        <v>250</v>
      </c>
      <c r="F1242" s="217" t="s">
        <v>249</v>
      </c>
      <c r="G1242" s="217" t="s">
        <v>600</v>
      </c>
      <c r="H1242" s="217" t="s">
        <v>1480</v>
      </c>
      <c r="I1242" s="217" t="s">
        <v>29</v>
      </c>
      <c r="J1242" s="217" t="s">
        <v>1855</v>
      </c>
      <c r="K1242" s="217">
        <v>5</v>
      </c>
      <c r="L1242" s="217">
        <v>25</v>
      </c>
      <c r="M1242" s="217" t="s">
        <v>31</v>
      </c>
      <c r="N1242" s="217" t="s">
        <v>32</v>
      </c>
      <c r="O1242" s="217" t="s">
        <v>100</v>
      </c>
      <c r="P1242" s="217" t="s">
        <v>34</v>
      </c>
      <c r="Q1242" s="217" t="s">
        <v>35</v>
      </c>
      <c r="R1242" s="217" t="s">
        <v>23</v>
      </c>
      <c r="S1242" s="217" t="s">
        <v>22</v>
      </c>
      <c r="T1242" s="217" t="s">
        <v>36</v>
      </c>
      <c r="U1242" s="217" t="s">
        <v>37</v>
      </c>
      <c r="V1242" s="217" t="s">
        <v>249</v>
      </c>
      <c r="W1242" s="217" t="s">
        <v>250</v>
      </c>
    </row>
    <row r="1243" spans="1:23" x14ac:dyDescent="0.25">
      <c r="A1243" s="217" t="s">
        <v>22</v>
      </c>
      <c r="B1243" s="217" t="s">
        <v>23</v>
      </c>
      <c r="C1243" s="217" t="s">
        <v>37</v>
      </c>
      <c r="D1243" s="217" t="s">
        <v>36</v>
      </c>
      <c r="E1243" s="217" t="s">
        <v>250</v>
      </c>
      <c r="F1243" s="217" t="s">
        <v>249</v>
      </c>
      <c r="G1243" s="217" t="s">
        <v>600</v>
      </c>
      <c r="H1243" s="217" t="s">
        <v>1480</v>
      </c>
      <c r="I1243" s="217" t="s">
        <v>29</v>
      </c>
      <c r="J1243" s="217" t="s">
        <v>1856</v>
      </c>
      <c r="K1243" s="217">
        <v>8</v>
      </c>
      <c r="L1243" s="217">
        <v>40</v>
      </c>
      <c r="M1243" s="217" t="s">
        <v>31</v>
      </c>
      <c r="N1243" s="217" t="s">
        <v>32</v>
      </c>
      <c r="O1243" s="217" t="s">
        <v>100</v>
      </c>
      <c r="P1243" s="217" t="s">
        <v>34</v>
      </c>
      <c r="Q1243" s="217" t="s">
        <v>35</v>
      </c>
      <c r="R1243" s="217" t="s">
        <v>23</v>
      </c>
      <c r="S1243" s="217" t="s">
        <v>22</v>
      </c>
      <c r="T1243" s="217" t="s">
        <v>36</v>
      </c>
      <c r="U1243" s="217" t="s">
        <v>37</v>
      </c>
      <c r="V1243" s="217" t="s">
        <v>249</v>
      </c>
      <c r="W1243" s="217" t="s">
        <v>250</v>
      </c>
    </row>
    <row r="1244" spans="1:23" x14ac:dyDescent="0.25">
      <c r="A1244" s="217" t="s">
        <v>22</v>
      </c>
      <c r="B1244" s="217" t="s">
        <v>23</v>
      </c>
      <c r="C1244" s="217" t="s">
        <v>37</v>
      </c>
      <c r="D1244" s="217" t="s">
        <v>36</v>
      </c>
      <c r="E1244" s="217" t="s">
        <v>250</v>
      </c>
      <c r="F1244" s="217" t="s">
        <v>249</v>
      </c>
      <c r="G1244" s="217" t="s">
        <v>600</v>
      </c>
      <c r="H1244" s="217" t="s">
        <v>1480</v>
      </c>
      <c r="I1244" s="217" t="s">
        <v>29</v>
      </c>
      <c r="J1244" s="217" t="s">
        <v>1858</v>
      </c>
      <c r="K1244" s="217">
        <v>3</v>
      </c>
      <c r="L1244" s="217">
        <v>15</v>
      </c>
      <c r="M1244" s="217" t="s">
        <v>31</v>
      </c>
      <c r="N1244" s="217" t="s">
        <v>32</v>
      </c>
      <c r="O1244" s="217" t="s">
        <v>100</v>
      </c>
      <c r="P1244" s="217" t="s">
        <v>34</v>
      </c>
      <c r="Q1244" s="217" t="s">
        <v>35</v>
      </c>
      <c r="R1244" s="217" t="s">
        <v>23</v>
      </c>
      <c r="S1244" s="217" t="s">
        <v>22</v>
      </c>
      <c r="T1244" s="217" t="s">
        <v>36</v>
      </c>
      <c r="U1244" s="217" t="s">
        <v>37</v>
      </c>
      <c r="V1244" s="217" t="s">
        <v>249</v>
      </c>
      <c r="W1244" s="217" t="s">
        <v>250</v>
      </c>
    </row>
    <row r="1245" spans="1:23" x14ac:dyDescent="0.25">
      <c r="A1245" s="217" t="s">
        <v>22</v>
      </c>
      <c r="B1245" s="217" t="s">
        <v>23</v>
      </c>
      <c r="C1245" s="217" t="s">
        <v>37</v>
      </c>
      <c r="D1245" s="217" t="s">
        <v>36</v>
      </c>
      <c r="E1245" s="217" t="s">
        <v>250</v>
      </c>
      <c r="F1245" s="217" t="s">
        <v>249</v>
      </c>
      <c r="G1245" s="217" t="s">
        <v>601</v>
      </c>
      <c r="H1245" s="217" t="s">
        <v>1481</v>
      </c>
      <c r="I1245" s="217" t="s">
        <v>29</v>
      </c>
      <c r="J1245" s="217" t="s">
        <v>1855</v>
      </c>
      <c r="K1245" s="217">
        <v>102</v>
      </c>
      <c r="L1245" s="217">
        <v>510</v>
      </c>
      <c r="M1245" s="217" t="s">
        <v>31</v>
      </c>
      <c r="N1245" s="217" t="s">
        <v>32</v>
      </c>
      <c r="O1245" s="217" t="s">
        <v>33</v>
      </c>
      <c r="P1245" s="217" t="s">
        <v>34</v>
      </c>
      <c r="Q1245" s="217" t="s">
        <v>35</v>
      </c>
      <c r="R1245" s="217" t="s">
        <v>23</v>
      </c>
      <c r="S1245" s="217" t="s">
        <v>22</v>
      </c>
      <c r="T1245" s="217" t="s">
        <v>47</v>
      </c>
      <c r="U1245" s="217" t="s">
        <v>48</v>
      </c>
      <c r="V1245" s="217" t="s">
        <v>231</v>
      </c>
      <c r="W1245" s="217" t="s">
        <v>232</v>
      </c>
    </row>
    <row r="1246" spans="1:23" x14ac:dyDescent="0.25">
      <c r="A1246" s="217" t="s">
        <v>22</v>
      </c>
      <c r="B1246" s="217" t="s">
        <v>23</v>
      </c>
      <c r="C1246" s="217" t="s">
        <v>37</v>
      </c>
      <c r="D1246" s="217" t="s">
        <v>36</v>
      </c>
      <c r="E1246" s="217" t="s">
        <v>250</v>
      </c>
      <c r="F1246" s="217" t="s">
        <v>249</v>
      </c>
      <c r="G1246" s="217" t="s">
        <v>601</v>
      </c>
      <c r="H1246" s="217" t="s">
        <v>1481</v>
      </c>
      <c r="I1246" s="217" t="s">
        <v>29</v>
      </c>
      <c r="J1246" s="217" t="s">
        <v>1856</v>
      </c>
      <c r="K1246" s="217">
        <v>24</v>
      </c>
      <c r="L1246" s="217">
        <v>120</v>
      </c>
      <c r="M1246" s="217" t="s">
        <v>31</v>
      </c>
      <c r="N1246" s="217" t="s">
        <v>32</v>
      </c>
      <c r="O1246" s="217" t="s">
        <v>33</v>
      </c>
      <c r="P1246" s="217" t="s">
        <v>34</v>
      </c>
      <c r="Q1246" s="217" t="s">
        <v>35</v>
      </c>
      <c r="R1246" s="217" t="s">
        <v>23</v>
      </c>
      <c r="S1246" s="217" t="s">
        <v>22</v>
      </c>
      <c r="T1246" s="217" t="s">
        <v>47</v>
      </c>
      <c r="U1246" s="217" t="s">
        <v>48</v>
      </c>
      <c r="V1246" s="217" t="s">
        <v>231</v>
      </c>
      <c r="W1246" s="217" t="s">
        <v>232</v>
      </c>
    </row>
    <row r="1247" spans="1:23" x14ac:dyDescent="0.25">
      <c r="A1247" s="217" t="s">
        <v>22</v>
      </c>
      <c r="B1247" s="217" t="s">
        <v>23</v>
      </c>
      <c r="C1247" s="217" t="s">
        <v>37</v>
      </c>
      <c r="D1247" s="217" t="s">
        <v>36</v>
      </c>
      <c r="E1247" s="217" t="s">
        <v>250</v>
      </c>
      <c r="F1247" s="217" t="s">
        <v>249</v>
      </c>
      <c r="G1247" s="217" t="s">
        <v>601</v>
      </c>
      <c r="H1247" s="217" t="s">
        <v>1481</v>
      </c>
      <c r="I1247" s="217" t="s">
        <v>29</v>
      </c>
      <c r="J1247" s="217" t="s">
        <v>1857</v>
      </c>
      <c r="K1247" s="217">
        <v>12</v>
      </c>
      <c r="L1247" s="217">
        <v>74</v>
      </c>
      <c r="M1247" s="217" t="s">
        <v>31</v>
      </c>
      <c r="N1247" s="217" t="s">
        <v>32</v>
      </c>
      <c r="O1247" s="217" t="s">
        <v>100</v>
      </c>
      <c r="P1247" s="217" t="s">
        <v>34</v>
      </c>
      <c r="Q1247" s="217" t="s">
        <v>35</v>
      </c>
      <c r="R1247" s="217" t="s">
        <v>23</v>
      </c>
      <c r="S1247" s="217" t="s">
        <v>22</v>
      </c>
      <c r="T1247" s="217" t="s">
        <v>36</v>
      </c>
      <c r="U1247" s="217" t="s">
        <v>37</v>
      </c>
      <c r="V1247" s="217" t="s">
        <v>249</v>
      </c>
      <c r="W1247" s="217" t="s">
        <v>250</v>
      </c>
    </row>
    <row r="1248" spans="1:23" x14ac:dyDescent="0.25">
      <c r="A1248" s="217" t="s">
        <v>22</v>
      </c>
      <c r="B1248" s="217" t="s">
        <v>23</v>
      </c>
      <c r="C1248" s="217" t="s">
        <v>37</v>
      </c>
      <c r="D1248" s="217" t="s">
        <v>36</v>
      </c>
      <c r="E1248" s="217" t="s">
        <v>250</v>
      </c>
      <c r="F1248" s="217" t="s">
        <v>249</v>
      </c>
      <c r="G1248" s="217" t="s">
        <v>601</v>
      </c>
      <c r="H1248" s="217" t="s">
        <v>1481</v>
      </c>
      <c r="I1248" s="217" t="s">
        <v>29</v>
      </c>
      <c r="J1248" s="217" t="s">
        <v>1858</v>
      </c>
      <c r="K1248" s="217">
        <v>14</v>
      </c>
      <c r="L1248" s="217">
        <v>70</v>
      </c>
      <c r="M1248" s="217" t="s">
        <v>31</v>
      </c>
      <c r="N1248" s="217" t="s">
        <v>32</v>
      </c>
      <c r="O1248" s="217" t="s">
        <v>100</v>
      </c>
      <c r="P1248" s="217" t="s">
        <v>34</v>
      </c>
      <c r="Q1248" s="217" t="s">
        <v>35</v>
      </c>
      <c r="R1248" s="217" t="s">
        <v>23</v>
      </c>
      <c r="S1248" s="217" t="s">
        <v>22</v>
      </c>
      <c r="T1248" s="217" t="s">
        <v>36</v>
      </c>
      <c r="U1248" s="217" t="s">
        <v>37</v>
      </c>
      <c r="V1248" s="217" t="s">
        <v>249</v>
      </c>
      <c r="W1248" s="217" t="s">
        <v>250</v>
      </c>
    </row>
    <row r="1249" spans="1:23" x14ac:dyDescent="0.25">
      <c r="A1249" s="217" t="s">
        <v>22</v>
      </c>
      <c r="B1249" s="217" t="s">
        <v>23</v>
      </c>
      <c r="C1249" s="217" t="s">
        <v>37</v>
      </c>
      <c r="D1249" s="217" t="s">
        <v>36</v>
      </c>
      <c r="E1249" s="217" t="s">
        <v>250</v>
      </c>
      <c r="F1249" s="217" t="s">
        <v>249</v>
      </c>
      <c r="G1249" s="217" t="s">
        <v>601</v>
      </c>
      <c r="H1249" s="217" t="s">
        <v>1481</v>
      </c>
      <c r="I1249" s="217" t="s">
        <v>29</v>
      </c>
      <c r="J1249" s="217" t="s">
        <v>1859</v>
      </c>
      <c r="K1249" s="217">
        <v>32</v>
      </c>
      <c r="L1249" s="217">
        <v>163</v>
      </c>
      <c r="M1249" s="217" t="s">
        <v>31</v>
      </c>
      <c r="N1249" s="217" t="s">
        <v>32</v>
      </c>
      <c r="O1249" s="217" t="s">
        <v>100</v>
      </c>
      <c r="P1249" s="217" t="s">
        <v>34</v>
      </c>
      <c r="Q1249" s="217" t="s">
        <v>35</v>
      </c>
      <c r="R1249" s="217" t="s">
        <v>23</v>
      </c>
      <c r="S1249" s="217" t="s">
        <v>22</v>
      </c>
      <c r="T1249" s="217" t="s">
        <v>36</v>
      </c>
      <c r="U1249" s="217" t="s">
        <v>37</v>
      </c>
      <c r="V1249" s="217" t="s">
        <v>249</v>
      </c>
      <c r="W1249" s="217" t="s">
        <v>250</v>
      </c>
    </row>
    <row r="1250" spans="1:23" x14ac:dyDescent="0.25">
      <c r="A1250" s="217" t="s">
        <v>22</v>
      </c>
      <c r="B1250" s="217" t="s">
        <v>23</v>
      </c>
      <c r="C1250" s="217" t="s">
        <v>37</v>
      </c>
      <c r="D1250" s="217" t="s">
        <v>36</v>
      </c>
      <c r="E1250" s="217" t="s">
        <v>250</v>
      </c>
      <c r="F1250" s="217" t="s">
        <v>249</v>
      </c>
      <c r="G1250" s="217" t="s">
        <v>602</v>
      </c>
      <c r="H1250" s="217" t="s">
        <v>1482</v>
      </c>
      <c r="I1250" s="217" t="s">
        <v>29</v>
      </c>
      <c r="J1250" s="217" t="s">
        <v>1855</v>
      </c>
      <c r="K1250" s="217">
        <v>30</v>
      </c>
      <c r="L1250" s="217">
        <v>150</v>
      </c>
      <c r="M1250" s="217" t="s">
        <v>31</v>
      </c>
      <c r="N1250" s="217" t="s">
        <v>32</v>
      </c>
      <c r="O1250" s="217" t="s">
        <v>33</v>
      </c>
      <c r="P1250" s="217" t="s">
        <v>34</v>
      </c>
      <c r="Q1250" s="217" t="s">
        <v>35</v>
      </c>
      <c r="R1250" s="217" t="s">
        <v>23</v>
      </c>
      <c r="S1250" s="217" t="s">
        <v>22</v>
      </c>
      <c r="T1250" s="217" t="s">
        <v>47</v>
      </c>
      <c r="U1250" s="217" t="s">
        <v>48</v>
      </c>
      <c r="V1250" s="217" t="s">
        <v>231</v>
      </c>
      <c r="W1250" s="217" t="s">
        <v>232</v>
      </c>
    </row>
    <row r="1251" spans="1:23" x14ac:dyDescent="0.25">
      <c r="A1251" s="217" t="s">
        <v>22</v>
      </c>
      <c r="B1251" s="217" t="s">
        <v>23</v>
      </c>
      <c r="C1251" s="217" t="s">
        <v>37</v>
      </c>
      <c r="D1251" s="217" t="s">
        <v>36</v>
      </c>
      <c r="E1251" s="217" t="s">
        <v>250</v>
      </c>
      <c r="F1251" s="217" t="s">
        <v>249</v>
      </c>
      <c r="G1251" s="217" t="s">
        <v>602</v>
      </c>
      <c r="H1251" s="217" t="s">
        <v>1482</v>
      </c>
      <c r="I1251" s="217" t="s">
        <v>29</v>
      </c>
      <c r="J1251" s="217" t="s">
        <v>1856</v>
      </c>
      <c r="K1251" s="217">
        <v>45</v>
      </c>
      <c r="L1251" s="217">
        <v>225</v>
      </c>
      <c r="M1251" s="217" t="s">
        <v>31</v>
      </c>
      <c r="N1251" s="217" t="s">
        <v>32</v>
      </c>
      <c r="O1251" s="217" t="s">
        <v>100</v>
      </c>
      <c r="P1251" s="217" t="s">
        <v>34</v>
      </c>
      <c r="Q1251" s="217" t="s">
        <v>35</v>
      </c>
      <c r="R1251" s="217" t="s">
        <v>23</v>
      </c>
      <c r="S1251" s="217" t="s">
        <v>22</v>
      </c>
      <c r="T1251" s="217" t="s">
        <v>36</v>
      </c>
      <c r="U1251" s="217" t="s">
        <v>37</v>
      </c>
      <c r="V1251" s="217" t="s">
        <v>249</v>
      </c>
      <c r="W1251" s="217" t="s">
        <v>250</v>
      </c>
    </row>
    <row r="1252" spans="1:23" x14ac:dyDescent="0.25">
      <c r="A1252" s="217" t="s">
        <v>22</v>
      </c>
      <c r="B1252" s="217" t="s">
        <v>23</v>
      </c>
      <c r="C1252" s="217" t="s">
        <v>37</v>
      </c>
      <c r="D1252" s="217" t="s">
        <v>36</v>
      </c>
      <c r="E1252" s="217" t="s">
        <v>250</v>
      </c>
      <c r="F1252" s="217" t="s">
        <v>249</v>
      </c>
      <c r="G1252" s="217" t="s">
        <v>602</v>
      </c>
      <c r="H1252" s="217" t="s">
        <v>1482</v>
      </c>
      <c r="I1252" s="217" t="s">
        <v>29</v>
      </c>
      <c r="J1252" s="217" t="s">
        <v>1857</v>
      </c>
      <c r="K1252" s="217">
        <v>18</v>
      </c>
      <c r="L1252" s="217">
        <v>94</v>
      </c>
      <c r="M1252" s="217" t="s">
        <v>31</v>
      </c>
      <c r="N1252" s="217" t="s">
        <v>32</v>
      </c>
      <c r="O1252" s="217" t="s">
        <v>100</v>
      </c>
      <c r="P1252" s="217" t="s">
        <v>34</v>
      </c>
      <c r="Q1252" s="217" t="s">
        <v>35</v>
      </c>
      <c r="R1252" s="217" t="s">
        <v>23</v>
      </c>
      <c r="S1252" s="217" t="s">
        <v>22</v>
      </c>
      <c r="T1252" s="217" t="s">
        <v>36</v>
      </c>
      <c r="U1252" s="217" t="s">
        <v>37</v>
      </c>
      <c r="V1252" s="217" t="s">
        <v>249</v>
      </c>
      <c r="W1252" s="217" t="s">
        <v>250</v>
      </c>
    </row>
    <row r="1253" spans="1:23" x14ac:dyDescent="0.25">
      <c r="A1253" s="217" t="s">
        <v>22</v>
      </c>
      <c r="B1253" s="217" t="s">
        <v>23</v>
      </c>
      <c r="C1253" s="217" t="s">
        <v>37</v>
      </c>
      <c r="D1253" s="217" t="s">
        <v>36</v>
      </c>
      <c r="E1253" s="217" t="s">
        <v>250</v>
      </c>
      <c r="F1253" s="217" t="s">
        <v>249</v>
      </c>
      <c r="G1253" s="217" t="s">
        <v>602</v>
      </c>
      <c r="H1253" s="217" t="s">
        <v>1482</v>
      </c>
      <c r="I1253" s="217" t="s">
        <v>29</v>
      </c>
      <c r="J1253" s="217" t="s">
        <v>1858</v>
      </c>
      <c r="K1253" s="217">
        <v>14</v>
      </c>
      <c r="L1253" s="217">
        <v>76</v>
      </c>
      <c r="M1253" s="217" t="s">
        <v>31</v>
      </c>
      <c r="N1253" s="217" t="s">
        <v>32</v>
      </c>
      <c r="O1253" s="217" t="s">
        <v>33</v>
      </c>
      <c r="P1253" s="217" t="s">
        <v>34</v>
      </c>
      <c r="Q1253" s="217" t="s">
        <v>35</v>
      </c>
      <c r="R1253" s="217" t="s">
        <v>23</v>
      </c>
      <c r="S1253" s="217" t="s">
        <v>22</v>
      </c>
      <c r="T1253" s="217" t="s">
        <v>47</v>
      </c>
      <c r="U1253" s="217" t="s">
        <v>48</v>
      </c>
      <c r="V1253" s="217" t="s">
        <v>231</v>
      </c>
      <c r="W1253" s="217" t="s">
        <v>232</v>
      </c>
    </row>
    <row r="1254" spans="1:23" x14ac:dyDescent="0.25">
      <c r="A1254" s="217" t="s">
        <v>22</v>
      </c>
      <c r="B1254" s="217" t="s">
        <v>23</v>
      </c>
      <c r="C1254" s="217" t="s">
        <v>37</v>
      </c>
      <c r="D1254" s="217" t="s">
        <v>36</v>
      </c>
      <c r="E1254" s="217" t="s">
        <v>250</v>
      </c>
      <c r="F1254" s="217" t="s">
        <v>249</v>
      </c>
      <c r="G1254" s="217" t="s">
        <v>603</v>
      </c>
      <c r="H1254" s="217" t="s">
        <v>1483</v>
      </c>
      <c r="I1254" s="217" t="s">
        <v>29</v>
      </c>
      <c r="J1254" s="217" t="s">
        <v>1855</v>
      </c>
      <c r="K1254" s="217">
        <v>253</v>
      </c>
      <c r="L1254" s="217">
        <v>1265</v>
      </c>
      <c r="M1254" s="217" t="s">
        <v>31</v>
      </c>
      <c r="N1254" s="217" t="s">
        <v>32</v>
      </c>
      <c r="O1254" s="217" t="s">
        <v>100</v>
      </c>
      <c r="P1254" s="217" t="s">
        <v>34</v>
      </c>
      <c r="Q1254" s="217" t="s">
        <v>35</v>
      </c>
      <c r="R1254" s="217" t="s">
        <v>23</v>
      </c>
      <c r="S1254" s="217" t="s">
        <v>22</v>
      </c>
      <c r="T1254" s="217" t="s">
        <v>36</v>
      </c>
      <c r="U1254" s="217" t="s">
        <v>37</v>
      </c>
      <c r="V1254" s="217" t="s">
        <v>249</v>
      </c>
      <c r="W1254" s="217" t="s">
        <v>250</v>
      </c>
    </row>
    <row r="1255" spans="1:23" x14ac:dyDescent="0.25">
      <c r="A1255" s="217" t="s">
        <v>22</v>
      </c>
      <c r="B1255" s="217" t="s">
        <v>23</v>
      </c>
      <c r="C1255" s="217" t="s">
        <v>37</v>
      </c>
      <c r="D1255" s="217" t="s">
        <v>36</v>
      </c>
      <c r="E1255" s="217" t="s">
        <v>250</v>
      </c>
      <c r="F1255" s="217" t="s">
        <v>249</v>
      </c>
      <c r="G1255" s="217" t="s">
        <v>603</v>
      </c>
      <c r="H1255" s="217" t="s">
        <v>1483</v>
      </c>
      <c r="I1255" s="217" t="s">
        <v>29</v>
      </c>
      <c r="J1255" s="217" t="s">
        <v>1856</v>
      </c>
      <c r="K1255" s="217">
        <v>28</v>
      </c>
      <c r="L1255" s="217">
        <v>140</v>
      </c>
      <c r="M1255" s="217" t="s">
        <v>31</v>
      </c>
      <c r="N1255" s="217" t="s">
        <v>32</v>
      </c>
      <c r="O1255" s="217" t="s">
        <v>33</v>
      </c>
      <c r="P1255" s="217" t="s">
        <v>34</v>
      </c>
      <c r="Q1255" s="217" t="s">
        <v>35</v>
      </c>
      <c r="R1255" s="217" t="s">
        <v>23</v>
      </c>
      <c r="S1255" s="217" t="s">
        <v>22</v>
      </c>
      <c r="T1255" s="217" t="s">
        <v>47</v>
      </c>
      <c r="U1255" s="217" t="s">
        <v>48</v>
      </c>
      <c r="V1255" s="217" t="s">
        <v>231</v>
      </c>
      <c r="W1255" s="217" t="s">
        <v>232</v>
      </c>
    </row>
    <row r="1256" spans="1:23" x14ac:dyDescent="0.25">
      <c r="A1256" s="217" t="s">
        <v>22</v>
      </c>
      <c r="B1256" s="217" t="s">
        <v>23</v>
      </c>
      <c r="C1256" s="217" t="s">
        <v>37</v>
      </c>
      <c r="D1256" s="217" t="s">
        <v>36</v>
      </c>
      <c r="E1256" s="217" t="s">
        <v>250</v>
      </c>
      <c r="F1256" s="217" t="s">
        <v>249</v>
      </c>
      <c r="G1256" s="217" t="s">
        <v>603</v>
      </c>
      <c r="H1256" s="217" t="s">
        <v>1483</v>
      </c>
      <c r="I1256" s="217" t="s">
        <v>29</v>
      </c>
      <c r="J1256" s="217" t="s">
        <v>1857</v>
      </c>
      <c r="K1256" s="217">
        <v>6</v>
      </c>
      <c r="L1256" s="217">
        <v>31</v>
      </c>
      <c r="M1256" s="217" t="s">
        <v>31</v>
      </c>
      <c r="N1256" s="217" t="s">
        <v>32</v>
      </c>
      <c r="O1256" s="217" t="s">
        <v>100</v>
      </c>
      <c r="P1256" s="217" t="s">
        <v>34</v>
      </c>
      <c r="Q1256" s="217" t="s">
        <v>35</v>
      </c>
      <c r="R1256" s="217" t="s">
        <v>23</v>
      </c>
      <c r="S1256" s="217" t="s">
        <v>22</v>
      </c>
      <c r="T1256" s="217" t="s">
        <v>36</v>
      </c>
      <c r="U1256" s="217" t="s">
        <v>37</v>
      </c>
      <c r="V1256" s="217" t="s">
        <v>249</v>
      </c>
      <c r="W1256" s="217" t="s">
        <v>250</v>
      </c>
    </row>
    <row r="1257" spans="1:23" x14ac:dyDescent="0.25">
      <c r="A1257" s="217" t="s">
        <v>22</v>
      </c>
      <c r="B1257" s="217" t="s">
        <v>23</v>
      </c>
      <c r="C1257" s="217" t="s">
        <v>37</v>
      </c>
      <c r="D1257" s="217" t="s">
        <v>36</v>
      </c>
      <c r="E1257" s="217" t="s">
        <v>250</v>
      </c>
      <c r="F1257" s="217" t="s">
        <v>249</v>
      </c>
      <c r="G1257" s="217" t="s">
        <v>603</v>
      </c>
      <c r="H1257" s="217" t="s">
        <v>1483</v>
      </c>
      <c r="I1257" s="217" t="s">
        <v>29</v>
      </c>
      <c r="J1257" s="217" t="s">
        <v>1858</v>
      </c>
      <c r="K1257" s="217">
        <v>13</v>
      </c>
      <c r="L1257" s="217">
        <v>67</v>
      </c>
      <c r="M1257" s="217" t="s">
        <v>31</v>
      </c>
      <c r="N1257" s="217" t="s">
        <v>32</v>
      </c>
      <c r="O1257" s="217" t="s">
        <v>100</v>
      </c>
      <c r="P1257" s="217" t="s">
        <v>34</v>
      </c>
      <c r="Q1257" s="217" t="s">
        <v>35</v>
      </c>
      <c r="R1257" s="217" t="s">
        <v>23</v>
      </c>
      <c r="S1257" s="217" t="s">
        <v>22</v>
      </c>
      <c r="T1257" s="217" t="s">
        <v>36</v>
      </c>
      <c r="U1257" s="217" t="s">
        <v>37</v>
      </c>
      <c r="V1257" s="217" t="s">
        <v>249</v>
      </c>
      <c r="W1257" s="217" t="s">
        <v>250</v>
      </c>
    </row>
    <row r="1258" spans="1:23" x14ac:dyDescent="0.25">
      <c r="A1258" s="217" t="s">
        <v>22</v>
      </c>
      <c r="B1258" s="217" t="s">
        <v>23</v>
      </c>
      <c r="C1258" s="217" t="s">
        <v>37</v>
      </c>
      <c r="D1258" s="217" t="s">
        <v>36</v>
      </c>
      <c r="E1258" s="217" t="s">
        <v>250</v>
      </c>
      <c r="F1258" s="217" t="s">
        <v>249</v>
      </c>
      <c r="G1258" s="217" t="s">
        <v>604</v>
      </c>
      <c r="H1258" s="217" t="s">
        <v>1484</v>
      </c>
      <c r="I1258" s="217" t="s">
        <v>29</v>
      </c>
      <c r="J1258" s="217" t="s">
        <v>1855</v>
      </c>
      <c r="K1258" s="217">
        <v>42</v>
      </c>
      <c r="L1258" s="217">
        <v>210</v>
      </c>
      <c r="M1258" s="217" t="s">
        <v>31</v>
      </c>
      <c r="N1258" s="217" t="s">
        <v>32</v>
      </c>
      <c r="O1258" s="217" t="s">
        <v>100</v>
      </c>
      <c r="P1258" s="217" t="s">
        <v>34</v>
      </c>
      <c r="Q1258" s="217" t="s">
        <v>35</v>
      </c>
      <c r="R1258" s="217" t="s">
        <v>23</v>
      </c>
      <c r="S1258" s="217" t="s">
        <v>22</v>
      </c>
      <c r="T1258" s="217" t="s">
        <v>36</v>
      </c>
      <c r="U1258" s="217" t="s">
        <v>37</v>
      </c>
      <c r="V1258" s="217" t="s">
        <v>249</v>
      </c>
      <c r="W1258" s="217" t="s">
        <v>250</v>
      </c>
    </row>
    <row r="1259" spans="1:23" x14ac:dyDescent="0.25">
      <c r="A1259" s="217" t="s">
        <v>22</v>
      </c>
      <c r="B1259" s="217" t="s">
        <v>23</v>
      </c>
      <c r="C1259" s="217" t="s">
        <v>37</v>
      </c>
      <c r="D1259" s="217" t="s">
        <v>36</v>
      </c>
      <c r="E1259" s="217" t="s">
        <v>250</v>
      </c>
      <c r="F1259" s="217" t="s">
        <v>249</v>
      </c>
      <c r="G1259" s="217" t="s">
        <v>604</v>
      </c>
      <c r="H1259" s="217" t="s">
        <v>1484</v>
      </c>
      <c r="I1259" s="217" t="s">
        <v>29</v>
      </c>
      <c r="J1259" s="217" t="s">
        <v>1856</v>
      </c>
      <c r="K1259" s="217">
        <v>18</v>
      </c>
      <c r="L1259" s="217">
        <v>90</v>
      </c>
      <c r="M1259" s="217" t="s">
        <v>31</v>
      </c>
      <c r="N1259" s="217" t="s">
        <v>32</v>
      </c>
      <c r="O1259" s="217" t="s">
        <v>33</v>
      </c>
      <c r="P1259" s="217" t="s">
        <v>34</v>
      </c>
      <c r="Q1259" s="217" t="s">
        <v>35</v>
      </c>
      <c r="R1259" s="217" t="s">
        <v>23</v>
      </c>
      <c r="S1259" s="217" t="s">
        <v>22</v>
      </c>
      <c r="T1259" s="217" t="s">
        <v>47</v>
      </c>
      <c r="U1259" s="217" t="s">
        <v>48</v>
      </c>
      <c r="V1259" s="217" t="s">
        <v>231</v>
      </c>
      <c r="W1259" s="217" t="s">
        <v>232</v>
      </c>
    </row>
    <row r="1260" spans="1:23" x14ac:dyDescent="0.25">
      <c r="A1260" s="217" t="s">
        <v>22</v>
      </c>
      <c r="B1260" s="217" t="s">
        <v>23</v>
      </c>
      <c r="C1260" s="217" t="s">
        <v>37</v>
      </c>
      <c r="D1260" s="217" t="s">
        <v>36</v>
      </c>
      <c r="E1260" s="217" t="s">
        <v>250</v>
      </c>
      <c r="F1260" s="217" t="s">
        <v>249</v>
      </c>
      <c r="G1260" s="217" t="s">
        <v>604</v>
      </c>
      <c r="H1260" s="217" t="s">
        <v>1484</v>
      </c>
      <c r="I1260" s="217" t="s">
        <v>29</v>
      </c>
      <c r="J1260" s="217" t="s">
        <v>1857</v>
      </c>
      <c r="K1260" s="217">
        <v>29</v>
      </c>
      <c r="L1260" s="217">
        <v>150</v>
      </c>
      <c r="M1260" s="217" t="s">
        <v>31</v>
      </c>
      <c r="N1260" s="217" t="s">
        <v>32</v>
      </c>
      <c r="O1260" s="217" t="s">
        <v>100</v>
      </c>
      <c r="P1260" s="217" t="s">
        <v>34</v>
      </c>
      <c r="Q1260" s="217" t="s">
        <v>35</v>
      </c>
      <c r="R1260" s="217" t="s">
        <v>23</v>
      </c>
      <c r="S1260" s="217" t="s">
        <v>22</v>
      </c>
      <c r="T1260" s="217" t="s">
        <v>36</v>
      </c>
      <c r="U1260" s="217" t="s">
        <v>37</v>
      </c>
      <c r="V1260" s="217" t="s">
        <v>249</v>
      </c>
      <c r="W1260" s="217" t="s">
        <v>250</v>
      </c>
    </row>
    <row r="1261" spans="1:23" x14ac:dyDescent="0.25">
      <c r="A1261" s="217" t="s">
        <v>22</v>
      </c>
      <c r="B1261" s="217" t="s">
        <v>23</v>
      </c>
      <c r="C1261" s="217" t="s">
        <v>37</v>
      </c>
      <c r="D1261" s="217" t="s">
        <v>36</v>
      </c>
      <c r="E1261" s="217" t="s">
        <v>250</v>
      </c>
      <c r="F1261" s="217" t="s">
        <v>249</v>
      </c>
      <c r="G1261" s="217" t="s">
        <v>604</v>
      </c>
      <c r="H1261" s="217" t="s">
        <v>1484</v>
      </c>
      <c r="I1261" s="217" t="s">
        <v>29</v>
      </c>
      <c r="J1261" s="217" t="s">
        <v>1858</v>
      </c>
      <c r="K1261" s="217">
        <v>8</v>
      </c>
      <c r="L1261" s="217">
        <v>41</v>
      </c>
      <c r="M1261" s="217" t="s">
        <v>31</v>
      </c>
      <c r="N1261" s="217" t="s">
        <v>32</v>
      </c>
      <c r="O1261" s="217" t="s">
        <v>33</v>
      </c>
      <c r="P1261" s="217" t="s">
        <v>34</v>
      </c>
      <c r="Q1261" s="217" t="s">
        <v>35</v>
      </c>
      <c r="R1261" s="217" t="s">
        <v>23</v>
      </c>
      <c r="S1261" s="217" t="s">
        <v>22</v>
      </c>
      <c r="T1261" s="217" t="s">
        <v>47</v>
      </c>
      <c r="U1261" s="217" t="s">
        <v>48</v>
      </c>
      <c r="V1261" s="217" t="s">
        <v>231</v>
      </c>
      <c r="W1261" s="217" t="s">
        <v>232</v>
      </c>
    </row>
    <row r="1262" spans="1:23" x14ac:dyDescent="0.25">
      <c r="A1262" s="217" t="s">
        <v>22</v>
      </c>
      <c r="B1262" s="217" t="s">
        <v>23</v>
      </c>
      <c r="C1262" s="217" t="s">
        <v>37</v>
      </c>
      <c r="D1262" s="217" t="s">
        <v>36</v>
      </c>
      <c r="E1262" s="217" t="s">
        <v>250</v>
      </c>
      <c r="F1262" s="217" t="s">
        <v>249</v>
      </c>
      <c r="G1262" s="217" t="s">
        <v>605</v>
      </c>
      <c r="H1262" s="217" t="s">
        <v>1485</v>
      </c>
      <c r="I1262" s="217" t="s">
        <v>29</v>
      </c>
      <c r="J1262" s="217" t="s">
        <v>1855</v>
      </c>
      <c r="K1262" s="217">
        <v>85</v>
      </c>
      <c r="L1262" s="217">
        <v>425</v>
      </c>
      <c r="M1262" s="217" t="s">
        <v>31</v>
      </c>
      <c r="N1262" s="217" t="s">
        <v>32</v>
      </c>
      <c r="O1262" s="217" t="s">
        <v>100</v>
      </c>
      <c r="P1262" s="217" t="s">
        <v>34</v>
      </c>
      <c r="Q1262" s="217" t="s">
        <v>35</v>
      </c>
      <c r="R1262" s="217" t="s">
        <v>23</v>
      </c>
      <c r="S1262" s="217" t="s">
        <v>22</v>
      </c>
      <c r="T1262" s="217" t="s">
        <v>36</v>
      </c>
      <c r="U1262" s="217" t="s">
        <v>37</v>
      </c>
      <c r="V1262" s="217" t="s">
        <v>249</v>
      </c>
      <c r="W1262" s="217" t="s">
        <v>250</v>
      </c>
    </row>
    <row r="1263" spans="1:23" x14ac:dyDescent="0.25">
      <c r="A1263" s="217" t="s">
        <v>22</v>
      </c>
      <c r="B1263" s="217" t="s">
        <v>23</v>
      </c>
      <c r="C1263" s="217" t="s">
        <v>37</v>
      </c>
      <c r="D1263" s="217" t="s">
        <v>36</v>
      </c>
      <c r="E1263" s="217" t="s">
        <v>250</v>
      </c>
      <c r="F1263" s="217" t="s">
        <v>249</v>
      </c>
      <c r="G1263" s="217" t="s">
        <v>605</v>
      </c>
      <c r="H1263" s="217" t="s">
        <v>1485</v>
      </c>
      <c r="I1263" s="217" t="s">
        <v>29</v>
      </c>
      <c r="J1263" s="217" t="s">
        <v>1856</v>
      </c>
      <c r="K1263" s="217">
        <v>25</v>
      </c>
      <c r="L1263" s="217">
        <v>125</v>
      </c>
      <c r="M1263" s="217" t="s">
        <v>31</v>
      </c>
      <c r="N1263" s="217" t="s">
        <v>32</v>
      </c>
      <c r="O1263" s="217" t="s">
        <v>100</v>
      </c>
      <c r="P1263" s="217" t="s">
        <v>34</v>
      </c>
      <c r="Q1263" s="217" t="s">
        <v>35</v>
      </c>
      <c r="R1263" s="217" t="s">
        <v>23</v>
      </c>
      <c r="S1263" s="217" t="s">
        <v>22</v>
      </c>
      <c r="T1263" s="217" t="s">
        <v>36</v>
      </c>
      <c r="U1263" s="217" t="s">
        <v>37</v>
      </c>
      <c r="V1263" s="217" t="s">
        <v>249</v>
      </c>
      <c r="W1263" s="217" t="s">
        <v>250</v>
      </c>
    </row>
    <row r="1264" spans="1:23" x14ac:dyDescent="0.25">
      <c r="A1264" s="217" t="s">
        <v>22</v>
      </c>
      <c r="B1264" s="217" t="s">
        <v>23</v>
      </c>
      <c r="C1264" s="217" t="s">
        <v>37</v>
      </c>
      <c r="D1264" s="217" t="s">
        <v>36</v>
      </c>
      <c r="E1264" s="217" t="s">
        <v>250</v>
      </c>
      <c r="F1264" s="217" t="s">
        <v>249</v>
      </c>
      <c r="G1264" s="217" t="s">
        <v>605</v>
      </c>
      <c r="H1264" s="217" t="s">
        <v>1485</v>
      </c>
      <c r="I1264" s="217" t="s">
        <v>29</v>
      </c>
      <c r="J1264" s="217" t="s">
        <v>1857</v>
      </c>
      <c r="K1264" s="217">
        <v>10</v>
      </c>
      <c r="L1264" s="217">
        <v>59</v>
      </c>
      <c r="M1264" s="217" t="s">
        <v>31</v>
      </c>
      <c r="N1264" s="217" t="s">
        <v>32</v>
      </c>
      <c r="O1264" s="217" t="s">
        <v>33</v>
      </c>
      <c r="P1264" s="217" t="s">
        <v>34</v>
      </c>
      <c r="Q1264" s="217" t="s">
        <v>35</v>
      </c>
      <c r="R1264" s="217" t="s">
        <v>23</v>
      </c>
      <c r="S1264" s="217" t="s">
        <v>22</v>
      </c>
      <c r="T1264" s="217" t="s">
        <v>47</v>
      </c>
      <c r="U1264" s="217" t="s">
        <v>48</v>
      </c>
      <c r="V1264" s="217" t="s">
        <v>231</v>
      </c>
      <c r="W1264" s="217" t="s">
        <v>232</v>
      </c>
    </row>
    <row r="1265" spans="1:23" x14ac:dyDescent="0.25">
      <c r="A1265" s="217" t="s">
        <v>22</v>
      </c>
      <c r="B1265" s="217" t="s">
        <v>23</v>
      </c>
      <c r="C1265" s="217" t="s">
        <v>37</v>
      </c>
      <c r="D1265" s="217" t="s">
        <v>36</v>
      </c>
      <c r="E1265" s="217" t="s">
        <v>250</v>
      </c>
      <c r="F1265" s="217" t="s">
        <v>249</v>
      </c>
      <c r="G1265" s="217" t="s">
        <v>605</v>
      </c>
      <c r="H1265" s="217" t="s">
        <v>1485</v>
      </c>
      <c r="I1265" s="217" t="s">
        <v>29</v>
      </c>
      <c r="J1265" s="217" t="s">
        <v>1858</v>
      </c>
      <c r="K1265" s="217">
        <v>18</v>
      </c>
      <c r="L1265" s="217">
        <v>98</v>
      </c>
      <c r="M1265" s="217" t="s">
        <v>31</v>
      </c>
      <c r="N1265" s="217" t="s">
        <v>32</v>
      </c>
      <c r="O1265" s="217" t="s">
        <v>100</v>
      </c>
      <c r="P1265" s="217" t="s">
        <v>34</v>
      </c>
      <c r="Q1265" s="217" t="s">
        <v>35</v>
      </c>
      <c r="R1265" s="217" t="s">
        <v>23</v>
      </c>
      <c r="S1265" s="217" t="s">
        <v>22</v>
      </c>
      <c r="T1265" s="217" t="s">
        <v>36</v>
      </c>
      <c r="U1265" s="217" t="s">
        <v>37</v>
      </c>
      <c r="V1265" s="217" t="s">
        <v>249</v>
      </c>
      <c r="W1265" s="217" t="s">
        <v>250</v>
      </c>
    </row>
    <row r="1266" spans="1:23" x14ac:dyDescent="0.25">
      <c r="A1266" s="217" t="s">
        <v>22</v>
      </c>
      <c r="B1266" s="217" t="s">
        <v>23</v>
      </c>
      <c r="C1266" s="217" t="s">
        <v>37</v>
      </c>
      <c r="D1266" s="217" t="s">
        <v>36</v>
      </c>
      <c r="E1266" s="217" t="s">
        <v>250</v>
      </c>
      <c r="F1266" s="217" t="s">
        <v>249</v>
      </c>
      <c r="G1266" s="217" t="s">
        <v>606</v>
      </c>
      <c r="H1266" s="217" t="s">
        <v>1486</v>
      </c>
      <c r="I1266" s="217" t="s">
        <v>29</v>
      </c>
      <c r="J1266" s="217" t="s">
        <v>1856</v>
      </c>
      <c r="K1266" s="217">
        <v>37</v>
      </c>
      <c r="L1266" s="217">
        <v>185</v>
      </c>
      <c r="M1266" s="217" t="s">
        <v>31</v>
      </c>
      <c r="N1266" s="217" t="s">
        <v>32</v>
      </c>
      <c r="O1266" s="217" t="s">
        <v>100</v>
      </c>
      <c r="P1266" s="217" t="s">
        <v>34</v>
      </c>
      <c r="Q1266" s="217" t="s">
        <v>35</v>
      </c>
      <c r="R1266" s="217" t="s">
        <v>23</v>
      </c>
      <c r="S1266" s="217" t="s">
        <v>22</v>
      </c>
      <c r="T1266" s="217" t="s">
        <v>36</v>
      </c>
      <c r="U1266" s="217" t="s">
        <v>37</v>
      </c>
      <c r="V1266" s="217" t="s">
        <v>249</v>
      </c>
      <c r="W1266" s="217" t="s">
        <v>250</v>
      </c>
    </row>
    <row r="1267" spans="1:23" x14ac:dyDescent="0.25">
      <c r="A1267" s="217" t="s">
        <v>22</v>
      </c>
      <c r="B1267" s="217" t="s">
        <v>23</v>
      </c>
      <c r="C1267" s="217" t="s">
        <v>37</v>
      </c>
      <c r="D1267" s="217" t="s">
        <v>36</v>
      </c>
      <c r="E1267" s="217" t="s">
        <v>250</v>
      </c>
      <c r="F1267" s="217" t="s">
        <v>249</v>
      </c>
      <c r="G1267" s="217" t="s">
        <v>606</v>
      </c>
      <c r="H1267" s="217" t="s">
        <v>1486</v>
      </c>
      <c r="I1267" s="217" t="s">
        <v>29</v>
      </c>
      <c r="J1267" s="217" t="s">
        <v>1857</v>
      </c>
      <c r="K1267" s="217">
        <v>2</v>
      </c>
      <c r="L1267" s="217">
        <v>13</v>
      </c>
      <c r="M1267" s="217" t="s">
        <v>31</v>
      </c>
      <c r="N1267" s="217" t="s">
        <v>32</v>
      </c>
      <c r="O1267" s="217" t="s">
        <v>100</v>
      </c>
      <c r="P1267" s="217" t="s">
        <v>34</v>
      </c>
      <c r="Q1267" s="217" t="s">
        <v>35</v>
      </c>
      <c r="R1267" s="217" t="s">
        <v>23</v>
      </c>
      <c r="S1267" s="217" t="s">
        <v>22</v>
      </c>
      <c r="T1267" s="217" t="s">
        <v>36</v>
      </c>
      <c r="U1267" s="217" t="s">
        <v>37</v>
      </c>
      <c r="V1267" s="217" t="s">
        <v>249</v>
      </c>
      <c r="W1267" s="217" t="s">
        <v>250</v>
      </c>
    </row>
    <row r="1268" spans="1:23" x14ac:dyDescent="0.25">
      <c r="A1268" s="217" t="s">
        <v>22</v>
      </c>
      <c r="B1268" s="217" t="s">
        <v>23</v>
      </c>
      <c r="C1268" s="217" t="s">
        <v>37</v>
      </c>
      <c r="D1268" s="217" t="s">
        <v>36</v>
      </c>
      <c r="E1268" s="217" t="s">
        <v>250</v>
      </c>
      <c r="F1268" s="217" t="s">
        <v>249</v>
      </c>
      <c r="G1268" s="217" t="s">
        <v>606</v>
      </c>
      <c r="H1268" s="217" t="s">
        <v>1486</v>
      </c>
      <c r="I1268" s="217" t="s">
        <v>29</v>
      </c>
      <c r="J1268" s="217" t="s">
        <v>1858</v>
      </c>
      <c r="K1268" s="217">
        <v>1</v>
      </c>
      <c r="L1268" s="217">
        <v>2</v>
      </c>
      <c r="M1268" s="217" t="s">
        <v>31</v>
      </c>
      <c r="N1268" s="217" t="s">
        <v>32</v>
      </c>
      <c r="O1268" s="217" t="s">
        <v>100</v>
      </c>
      <c r="P1268" s="217" t="s">
        <v>34</v>
      </c>
      <c r="Q1268" s="217" t="s">
        <v>35</v>
      </c>
      <c r="R1268" s="217" t="s">
        <v>23</v>
      </c>
      <c r="S1268" s="217" t="s">
        <v>22</v>
      </c>
      <c r="T1268" s="217" t="s">
        <v>36</v>
      </c>
      <c r="U1268" s="217" t="s">
        <v>37</v>
      </c>
      <c r="V1268" s="217" t="s">
        <v>249</v>
      </c>
      <c r="W1268" s="217" t="s">
        <v>250</v>
      </c>
    </row>
    <row r="1269" spans="1:23" x14ac:dyDescent="0.25">
      <c r="A1269" s="217" t="s">
        <v>22</v>
      </c>
      <c r="B1269" s="217" t="s">
        <v>23</v>
      </c>
      <c r="C1269" s="217" t="s">
        <v>37</v>
      </c>
      <c r="D1269" s="217" t="s">
        <v>36</v>
      </c>
      <c r="E1269" s="217" t="s">
        <v>250</v>
      </c>
      <c r="F1269" s="217" t="s">
        <v>249</v>
      </c>
      <c r="G1269" s="217" t="s">
        <v>606</v>
      </c>
      <c r="H1269" s="217" t="s">
        <v>1486</v>
      </c>
      <c r="I1269" s="217" t="s">
        <v>29</v>
      </c>
      <c r="J1269" s="217" t="s">
        <v>1859</v>
      </c>
      <c r="K1269" s="217">
        <v>2</v>
      </c>
      <c r="L1269" s="217">
        <v>13</v>
      </c>
      <c r="M1269" s="217" t="s">
        <v>31</v>
      </c>
      <c r="N1269" s="217" t="s">
        <v>32</v>
      </c>
      <c r="O1269" s="217" t="s">
        <v>100</v>
      </c>
      <c r="P1269" s="217" t="s">
        <v>34</v>
      </c>
      <c r="Q1269" s="217" t="s">
        <v>35</v>
      </c>
      <c r="R1269" s="217" t="s">
        <v>23</v>
      </c>
      <c r="S1269" s="217" t="s">
        <v>22</v>
      </c>
      <c r="T1269" s="217" t="s">
        <v>36</v>
      </c>
      <c r="U1269" s="217" t="s">
        <v>37</v>
      </c>
      <c r="V1269" s="217" t="s">
        <v>249</v>
      </c>
      <c r="W1269" s="217" t="s">
        <v>250</v>
      </c>
    </row>
    <row r="1270" spans="1:23" x14ac:dyDescent="0.25">
      <c r="A1270" s="217" t="s">
        <v>22</v>
      </c>
      <c r="B1270" s="217" t="s">
        <v>23</v>
      </c>
      <c r="C1270" s="217" t="s">
        <v>37</v>
      </c>
      <c r="D1270" s="217" t="s">
        <v>36</v>
      </c>
      <c r="E1270" s="217" t="s">
        <v>250</v>
      </c>
      <c r="F1270" s="217" t="s">
        <v>249</v>
      </c>
      <c r="G1270" s="217" t="s">
        <v>607</v>
      </c>
      <c r="H1270" s="217" t="s">
        <v>1487</v>
      </c>
      <c r="I1270" s="217" t="s">
        <v>29</v>
      </c>
      <c r="J1270" s="217" t="s">
        <v>1855</v>
      </c>
      <c r="K1270" s="217">
        <v>6</v>
      </c>
      <c r="L1270" s="217">
        <v>30</v>
      </c>
      <c r="M1270" s="217" t="s">
        <v>31</v>
      </c>
      <c r="N1270" s="217" t="s">
        <v>32</v>
      </c>
      <c r="O1270" s="217" t="s">
        <v>100</v>
      </c>
      <c r="P1270" s="217" t="s">
        <v>34</v>
      </c>
      <c r="Q1270" s="217" t="s">
        <v>35</v>
      </c>
      <c r="R1270" s="217" t="s">
        <v>23</v>
      </c>
      <c r="S1270" s="217" t="s">
        <v>22</v>
      </c>
      <c r="T1270" s="217" t="s">
        <v>36</v>
      </c>
      <c r="U1270" s="217" t="s">
        <v>37</v>
      </c>
      <c r="V1270" s="217" t="s">
        <v>249</v>
      </c>
      <c r="W1270" s="217" t="s">
        <v>250</v>
      </c>
    </row>
    <row r="1271" spans="1:23" x14ac:dyDescent="0.25">
      <c r="A1271" s="217" t="s">
        <v>22</v>
      </c>
      <c r="B1271" s="217" t="s">
        <v>23</v>
      </c>
      <c r="C1271" s="217" t="s">
        <v>37</v>
      </c>
      <c r="D1271" s="217" t="s">
        <v>36</v>
      </c>
      <c r="E1271" s="217" t="s">
        <v>250</v>
      </c>
      <c r="F1271" s="217" t="s">
        <v>249</v>
      </c>
      <c r="G1271" s="217" t="s">
        <v>607</v>
      </c>
      <c r="H1271" s="217" t="s">
        <v>1487</v>
      </c>
      <c r="I1271" s="217" t="s">
        <v>29</v>
      </c>
      <c r="J1271" s="217" t="s">
        <v>1856</v>
      </c>
      <c r="K1271" s="217">
        <v>3</v>
      </c>
      <c r="L1271" s="217">
        <v>15</v>
      </c>
      <c r="M1271" s="217" t="s">
        <v>31</v>
      </c>
      <c r="N1271" s="217" t="s">
        <v>32</v>
      </c>
      <c r="O1271" s="217" t="s">
        <v>100</v>
      </c>
      <c r="P1271" s="217" t="s">
        <v>34</v>
      </c>
      <c r="Q1271" s="217" t="s">
        <v>35</v>
      </c>
      <c r="R1271" s="217" t="s">
        <v>23</v>
      </c>
      <c r="S1271" s="217" t="s">
        <v>22</v>
      </c>
      <c r="T1271" s="217" t="s">
        <v>36</v>
      </c>
      <c r="U1271" s="217" t="s">
        <v>37</v>
      </c>
      <c r="V1271" s="217" t="s">
        <v>249</v>
      </c>
      <c r="W1271" s="217" t="s">
        <v>250</v>
      </c>
    </row>
    <row r="1272" spans="1:23" x14ac:dyDescent="0.25">
      <c r="A1272" s="217" t="s">
        <v>22</v>
      </c>
      <c r="B1272" s="217" t="s">
        <v>23</v>
      </c>
      <c r="C1272" s="217" t="s">
        <v>37</v>
      </c>
      <c r="D1272" s="217" t="s">
        <v>36</v>
      </c>
      <c r="E1272" s="217" t="s">
        <v>250</v>
      </c>
      <c r="F1272" s="217" t="s">
        <v>249</v>
      </c>
      <c r="G1272" s="217" t="s">
        <v>607</v>
      </c>
      <c r="H1272" s="217" t="s">
        <v>1487</v>
      </c>
      <c r="I1272" s="217" t="s">
        <v>29</v>
      </c>
      <c r="J1272" s="217" t="s">
        <v>1857</v>
      </c>
      <c r="K1272" s="217">
        <v>3</v>
      </c>
      <c r="L1272" s="217">
        <v>15</v>
      </c>
      <c r="M1272" s="217" t="s">
        <v>31</v>
      </c>
      <c r="N1272" s="217" t="s">
        <v>32</v>
      </c>
      <c r="O1272" s="217" t="s">
        <v>100</v>
      </c>
      <c r="P1272" s="217" t="s">
        <v>34</v>
      </c>
      <c r="Q1272" s="217" t="s">
        <v>35</v>
      </c>
      <c r="R1272" s="217" t="s">
        <v>23</v>
      </c>
      <c r="S1272" s="217" t="s">
        <v>22</v>
      </c>
      <c r="T1272" s="217" t="s">
        <v>36</v>
      </c>
      <c r="U1272" s="217" t="s">
        <v>37</v>
      </c>
      <c r="V1272" s="217" t="s">
        <v>249</v>
      </c>
      <c r="W1272" s="217" t="s">
        <v>250</v>
      </c>
    </row>
    <row r="1273" spans="1:23" x14ac:dyDescent="0.25">
      <c r="A1273" s="217" t="s">
        <v>22</v>
      </c>
      <c r="B1273" s="217" t="s">
        <v>23</v>
      </c>
      <c r="C1273" s="217" t="s">
        <v>37</v>
      </c>
      <c r="D1273" s="217" t="s">
        <v>36</v>
      </c>
      <c r="E1273" s="217" t="s">
        <v>250</v>
      </c>
      <c r="F1273" s="217" t="s">
        <v>249</v>
      </c>
      <c r="G1273" s="217" t="s">
        <v>2051</v>
      </c>
      <c r="H1273" s="217" t="s">
        <v>2050</v>
      </c>
      <c r="I1273" s="217" t="s">
        <v>29</v>
      </c>
      <c r="J1273" s="217" t="s">
        <v>1856</v>
      </c>
      <c r="K1273" s="217">
        <v>16</v>
      </c>
      <c r="L1273" s="217">
        <v>88</v>
      </c>
      <c r="M1273" s="217" t="s">
        <v>31</v>
      </c>
      <c r="N1273" s="217" t="s">
        <v>32</v>
      </c>
      <c r="O1273" s="217" t="s">
        <v>100</v>
      </c>
      <c r="P1273" s="217" t="s">
        <v>34</v>
      </c>
      <c r="Q1273" s="217" t="s">
        <v>35</v>
      </c>
      <c r="R1273" s="217" t="s">
        <v>23</v>
      </c>
      <c r="S1273" s="217" t="s">
        <v>22</v>
      </c>
      <c r="T1273" s="217" t="s">
        <v>36</v>
      </c>
      <c r="U1273" s="217" t="s">
        <v>37</v>
      </c>
      <c r="V1273" s="217" t="s">
        <v>249</v>
      </c>
      <c r="W1273" s="217" t="s">
        <v>250</v>
      </c>
    </row>
    <row r="1274" spans="1:23" x14ac:dyDescent="0.25">
      <c r="A1274" s="217" t="s">
        <v>22</v>
      </c>
      <c r="B1274" s="217" t="s">
        <v>23</v>
      </c>
      <c r="C1274" s="217" t="s">
        <v>37</v>
      </c>
      <c r="D1274" s="217" t="s">
        <v>36</v>
      </c>
      <c r="E1274" s="217" t="s">
        <v>250</v>
      </c>
      <c r="F1274" s="217" t="s">
        <v>249</v>
      </c>
      <c r="G1274" s="217" t="s">
        <v>2051</v>
      </c>
      <c r="H1274" s="217" t="s">
        <v>2050</v>
      </c>
      <c r="I1274" s="217" t="s">
        <v>29</v>
      </c>
      <c r="J1274" s="217" t="s">
        <v>1857</v>
      </c>
      <c r="K1274" s="217">
        <v>2</v>
      </c>
      <c r="L1274" s="217">
        <v>9</v>
      </c>
      <c r="M1274" s="217" t="s">
        <v>31</v>
      </c>
      <c r="N1274" s="217" t="s">
        <v>32</v>
      </c>
      <c r="O1274" s="217" t="s">
        <v>100</v>
      </c>
      <c r="P1274" s="217" t="s">
        <v>34</v>
      </c>
      <c r="Q1274" s="217" t="s">
        <v>35</v>
      </c>
      <c r="R1274" s="217" t="s">
        <v>23</v>
      </c>
      <c r="S1274" s="217" t="s">
        <v>22</v>
      </c>
      <c r="T1274" s="217" t="s">
        <v>36</v>
      </c>
      <c r="U1274" s="217" t="s">
        <v>37</v>
      </c>
      <c r="V1274" s="217" t="s">
        <v>249</v>
      </c>
      <c r="W1274" s="217" t="s">
        <v>250</v>
      </c>
    </row>
    <row r="1275" spans="1:23" x14ac:dyDescent="0.25">
      <c r="A1275" s="217" t="s">
        <v>22</v>
      </c>
      <c r="B1275" s="217" t="s">
        <v>23</v>
      </c>
      <c r="C1275" s="217" t="s">
        <v>37</v>
      </c>
      <c r="D1275" s="217" t="s">
        <v>36</v>
      </c>
      <c r="E1275" s="217" t="s">
        <v>250</v>
      </c>
      <c r="F1275" s="217" t="s">
        <v>249</v>
      </c>
      <c r="G1275" s="217" t="s">
        <v>2051</v>
      </c>
      <c r="H1275" s="217" t="s">
        <v>2050</v>
      </c>
      <c r="I1275" s="217" t="s">
        <v>29</v>
      </c>
      <c r="J1275" s="217" t="s">
        <v>1858</v>
      </c>
      <c r="K1275" s="217">
        <v>3</v>
      </c>
      <c r="L1275" s="217">
        <v>17</v>
      </c>
      <c r="M1275" s="217" t="s">
        <v>31</v>
      </c>
      <c r="N1275" s="217" t="s">
        <v>32</v>
      </c>
      <c r="O1275" s="217" t="s">
        <v>100</v>
      </c>
      <c r="P1275" s="217" t="s">
        <v>34</v>
      </c>
      <c r="Q1275" s="217" t="s">
        <v>35</v>
      </c>
      <c r="R1275" s="217" t="s">
        <v>23</v>
      </c>
      <c r="S1275" s="217" t="s">
        <v>22</v>
      </c>
      <c r="T1275" s="217" t="s">
        <v>36</v>
      </c>
      <c r="U1275" s="217" t="s">
        <v>37</v>
      </c>
      <c r="V1275" s="217" t="s">
        <v>249</v>
      </c>
      <c r="W1275" s="217" t="s">
        <v>250</v>
      </c>
    </row>
    <row r="1276" spans="1:23" x14ac:dyDescent="0.25">
      <c r="A1276" s="217" t="s">
        <v>22</v>
      </c>
      <c r="B1276" s="217" t="s">
        <v>23</v>
      </c>
      <c r="C1276" s="217" t="s">
        <v>37</v>
      </c>
      <c r="D1276" s="217" t="s">
        <v>36</v>
      </c>
      <c r="E1276" s="217" t="s">
        <v>250</v>
      </c>
      <c r="F1276" s="217" t="s">
        <v>249</v>
      </c>
      <c r="G1276" s="217" t="s">
        <v>685</v>
      </c>
      <c r="H1276" s="217" t="s">
        <v>1488</v>
      </c>
      <c r="I1276" s="217" t="s">
        <v>29</v>
      </c>
      <c r="J1276" s="217" t="s">
        <v>1858</v>
      </c>
      <c r="K1276" s="217">
        <v>2</v>
      </c>
      <c r="L1276" s="217">
        <v>10</v>
      </c>
      <c r="M1276" s="217" t="s">
        <v>31</v>
      </c>
      <c r="N1276" s="217" t="s">
        <v>32</v>
      </c>
      <c r="O1276" s="217" t="s">
        <v>33</v>
      </c>
      <c r="P1276" s="217" t="s">
        <v>34</v>
      </c>
      <c r="Q1276" s="217" t="s">
        <v>35</v>
      </c>
      <c r="R1276" s="217" t="s">
        <v>23</v>
      </c>
      <c r="S1276" s="217" t="s">
        <v>22</v>
      </c>
      <c r="T1276" s="217" t="s">
        <v>47</v>
      </c>
      <c r="U1276" s="217" t="s">
        <v>48</v>
      </c>
      <c r="V1276" s="217" t="s">
        <v>231</v>
      </c>
      <c r="W1276" s="217" t="s">
        <v>232</v>
      </c>
    </row>
    <row r="1277" spans="1:23" x14ac:dyDescent="0.25">
      <c r="A1277" s="217" t="s">
        <v>22</v>
      </c>
      <c r="B1277" s="217" t="s">
        <v>23</v>
      </c>
      <c r="C1277" s="217" t="s">
        <v>37</v>
      </c>
      <c r="D1277" s="217" t="s">
        <v>36</v>
      </c>
      <c r="E1277" s="217" t="s">
        <v>250</v>
      </c>
      <c r="F1277" s="217" t="s">
        <v>249</v>
      </c>
      <c r="G1277" s="217" t="s">
        <v>685</v>
      </c>
      <c r="H1277" s="217" t="s">
        <v>1488</v>
      </c>
      <c r="I1277" s="217" t="s">
        <v>29</v>
      </c>
      <c r="J1277" s="217" t="s">
        <v>1859</v>
      </c>
      <c r="K1277" s="217">
        <v>1</v>
      </c>
      <c r="L1277" s="217">
        <v>6</v>
      </c>
      <c r="M1277" s="217" t="s">
        <v>31</v>
      </c>
      <c r="N1277" s="217" t="s">
        <v>32</v>
      </c>
      <c r="O1277" s="217" t="s">
        <v>100</v>
      </c>
      <c r="P1277" s="217" t="s">
        <v>34</v>
      </c>
      <c r="Q1277" s="217" t="s">
        <v>35</v>
      </c>
      <c r="R1277" s="217" t="s">
        <v>23</v>
      </c>
      <c r="S1277" s="217" t="s">
        <v>22</v>
      </c>
      <c r="T1277" s="217" t="s">
        <v>36</v>
      </c>
      <c r="U1277" s="217" t="s">
        <v>37</v>
      </c>
      <c r="V1277" s="217" t="s">
        <v>249</v>
      </c>
      <c r="W1277" s="217" t="s">
        <v>250</v>
      </c>
    </row>
    <row r="1278" spans="1:23" x14ac:dyDescent="0.25">
      <c r="A1278" s="217" t="s">
        <v>22</v>
      </c>
      <c r="B1278" s="217" t="s">
        <v>23</v>
      </c>
      <c r="C1278" s="217" t="s">
        <v>37</v>
      </c>
      <c r="D1278" s="217" t="s">
        <v>36</v>
      </c>
      <c r="E1278" s="217" t="s">
        <v>250</v>
      </c>
      <c r="F1278" s="217" t="s">
        <v>249</v>
      </c>
      <c r="G1278" s="217" t="s">
        <v>2053</v>
      </c>
      <c r="H1278" s="217" t="s">
        <v>2052</v>
      </c>
      <c r="I1278" s="217" t="s">
        <v>29</v>
      </c>
      <c r="J1278" s="217" t="s">
        <v>1855</v>
      </c>
      <c r="K1278" s="217">
        <v>3</v>
      </c>
      <c r="L1278" s="217">
        <v>14</v>
      </c>
      <c r="M1278" s="217" t="s">
        <v>31</v>
      </c>
      <c r="N1278" s="217" t="s">
        <v>32</v>
      </c>
      <c r="O1278" s="217" t="s">
        <v>100</v>
      </c>
      <c r="P1278" s="217" t="s">
        <v>34</v>
      </c>
      <c r="Q1278" s="217" t="s">
        <v>35</v>
      </c>
      <c r="R1278" s="217" t="s">
        <v>23</v>
      </c>
      <c r="S1278" s="217" t="s">
        <v>22</v>
      </c>
      <c r="T1278" s="217" t="s">
        <v>36</v>
      </c>
      <c r="U1278" s="217" t="s">
        <v>37</v>
      </c>
      <c r="V1278" s="217" t="s">
        <v>249</v>
      </c>
      <c r="W1278" s="217" t="s">
        <v>250</v>
      </c>
    </row>
    <row r="1279" spans="1:23" x14ac:dyDescent="0.25">
      <c r="A1279" s="217" t="s">
        <v>22</v>
      </c>
      <c r="B1279" s="217" t="s">
        <v>23</v>
      </c>
      <c r="C1279" s="217" t="s">
        <v>37</v>
      </c>
      <c r="D1279" s="217" t="s">
        <v>36</v>
      </c>
      <c r="E1279" s="217" t="s">
        <v>250</v>
      </c>
      <c r="F1279" s="217" t="s">
        <v>249</v>
      </c>
      <c r="G1279" s="217" t="s">
        <v>2053</v>
      </c>
      <c r="H1279" s="217" t="s">
        <v>2052</v>
      </c>
      <c r="I1279" s="217" t="s">
        <v>29</v>
      </c>
      <c r="J1279" s="217" t="s">
        <v>1857</v>
      </c>
      <c r="K1279" s="217">
        <v>6</v>
      </c>
      <c r="L1279" s="217">
        <v>34</v>
      </c>
      <c r="M1279" s="217" t="s">
        <v>31</v>
      </c>
      <c r="N1279" s="217" t="s">
        <v>32</v>
      </c>
      <c r="O1279" s="217" t="s">
        <v>100</v>
      </c>
      <c r="P1279" s="217" t="s">
        <v>34</v>
      </c>
      <c r="Q1279" s="217" t="s">
        <v>35</v>
      </c>
      <c r="R1279" s="217" t="s">
        <v>23</v>
      </c>
      <c r="S1279" s="217" t="s">
        <v>22</v>
      </c>
      <c r="T1279" s="217" t="s">
        <v>36</v>
      </c>
      <c r="U1279" s="217" t="s">
        <v>37</v>
      </c>
      <c r="V1279" s="217" t="s">
        <v>249</v>
      </c>
      <c r="W1279" s="217" t="s">
        <v>250</v>
      </c>
    </row>
    <row r="1280" spans="1:23" x14ac:dyDescent="0.25">
      <c r="A1280" s="217" t="s">
        <v>22</v>
      </c>
      <c r="B1280" s="217" t="s">
        <v>23</v>
      </c>
      <c r="C1280" s="217" t="s">
        <v>37</v>
      </c>
      <c r="D1280" s="217" t="s">
        <v>36</v>
      </c>
      <c r="E1280" s="217" t="s">
        <v>608</v>
      </c>
      <c r="F1280" s="217" t="s">
        <v>609</v>
      </c>
      <c r="G1280" s="217" t="s">
        <v>2144</v>
      </c>
      <c r="H1280" s="217" t="s">
        <v>1489</v>
      </c>
      <c r="I1280" s="217" t="s">
        <v>29</v>
      </c>
      <c r="J1280" s="217" t="s">
        <v>1855</v>
      </c>
      <c r="K1280" s="217">
        <v>5</v>
      </c>
      <c r="L1280" s="217">
        <v>20</v>
      </c>
      <c r="M1280" s="217" t="s">
        <v>31</v>
      </c>
      <c r="N1280" s="217" t="s">
        <v>32</v>
      </c>
      <c r="O1280" s="217" t="s">
        <v>33</v>
      </c>
      <c r="P1280" s="217" t="s">
        <v>34</v>
      </c>
      <c r="Q1280" s="217" t="s">
        <v>35</v>
      </c>
      <c r="R1280" s="217" t="s">
        <v>23</v>
      </c>
      <c r="S1280" s="217" t="s">
        <v>22</v>
      </c>
      <c r="T1280" s="217" t="s">
        <v>47</v>
      </c>
      <c r="U1280" s="217" t="s">
        <v>48</v>
      </c>
      <c r="V1280" s="217" t="s">
        <v>231</v>
      </c>
      <c r="W1280" s="217" t="s">
        <v>232</v>
      </c>
    </row>
    <row r="1281" spans="1:23" x14ac:dyDescent="0.25">
      <c r="A1281" s="217" t="s">
        <v>22</v>
      </c>
      <c r="B1281" s="217" t="s">
        <v>23</v>
      </c>
      <c r="C1281" s="217" t="s">
        <v>37</v>
      </c>
      <c r="D1281" s="217" t="s">
        <v>36</v>
      </c>
      <c r="E1281" s="217" t="s">
        <v>608</v>
      </c>
      <c r="F1281" s="217" t="s">
        <v>609</v>
      </c>
      <c r="G1281" s="217" t="s">
        <v>2144</v>
      </c>
      <c r="H1281" s="217" t="s">
        <v>1489</v>
      </c>
      <c r="I1281" s="217" t="s">
        <v>29</v>
      </c>
      <c r="J1281" s="217" t="s">
        <v>1856</v>
      </c>
      <c r="K1281" s="217">
        <v>17</v>
      </c>
      <c r="L1281" s="217">
        <v>70</v>
      </c>
      <c r="M1281" s="217" t="s">
        <v>31</v>
      </c>
      <c r="N1281" s="217" t="s">
        <v>32</v>
      </c>
      <c r="O1281" s="217" t="s">
        <v>33</v>
      </c>
      <c r="P1281" s="217" t="s">
        <v>34</v>
      </c>
      <c r="Q1281" s="217" t="s">
        <v>35</v>
      </c>
      <c r="R1281" s="217" t="s">
        <v>23</v>
      </c>
      <c r="S1281" s="217" t="s">
        <v>22</v>
      </c>
      <c r="T1281" s="217" t="s">
        <v>47</v>
      </c>
      <c r="U1281" s="217" t="s">
        <v>48</v>
      </c>
      <c r="V1281" s="217" t="s">
        <v>231</v>
      </c>
      <c r="W1281" s="217" t="s">
        <v>232</v>
      </c>
    </row>
    <row r="1282" spans="1:23" x14ac:dyDescent="0.25">
      <c r="A1282" s="217" t="s">
        <v>22</v>
      </c>
      <c r="B1282" s="217" t="s">
        <v>23</v>
      </c>
      <c r="C1282" s="217" t="s">
        <v>37</v>
      </c>
      <c r="D1282" s="217" t="s">
        <v>36</v>
      </c>
      <c r="E1282" s="217" t="s">
        <v>608</v>
      </c>
      <c r="F1282" s="217" t="s">
        <v>609</v>
      </c>
      <c r="G1282" s="217" t="s">
        <v>2144</v>
      </c>
      <c r="H1282" s="217" t="s">
        <v>1489</v>
      </c>
      <c r="I1282" s="217" t="s">
        <v>29</v>
      </c>
      <c r="J1282" s="217" t="s">
        <v>1857</v>
      </c>
      <c r="K1282" s="217">
        <v>11</v>
      </c>
      <c r="L1282" s="217">
        <v>40</v>
      </c>
      <c r="M1282" s="217" t="s">
        <v>31</v>
      </c>
      <c r="N1282" s="217" t="s">
        <v>32</v>
      </c>
      <c r="O1282" s="217" t="s">
        <v>68</v>
      </c>
      <c r="P1282" s="217" t="s">
        <v>34</v>
      </c>
      <c r="Q1282" s="217" t="s">
        <v>35</v>
      </c>
      <c r="R1282" s="217" t="s">
        <v>23</v>
      </c>
      <c r="S1282" s="217" t="s">
        <v>22</v>
      </c>
      <c r="T1282" s="217" t="s">
        <v>36</v>
      </c>
      <c r="U1282" s="217" t="s">
        <v>37</v>
      </c>
      <c r="V1282" s="217" t="s">
        <v>249</v>
      </c>
      <c r="W1282" s="217" t="s">
        <v>250</v>
      </c>
    </row>
    <row r="1283" spans="1:23" x14ac:dyDescent="0.25">
      <c r="A1283" s="217" t="s">
        <v>22</v>
      </c>
      <c r="B1283" s="217" t="s">
        <v>23</v>
      </c>
      <c r="C1283" s="217" t="s">
        <v>37</v>
      </c>
      <c r="D1283" s="217" t="s">
        <v>36</v>
      </c>
      <c r="E1283" s="217" t="s">
        <v>608</v>
      </c>
      <c r="F1283" s="217" t="s">
        <v>609</v>
      </c>
      <c r="G1283" s="217" t="s">
        <v>2144</v>
      </c>
      <c r="H1283" s="217" t="s">
        <v>1489</v>
      </c>
      <c r="I1283" s="217" t="s">
        <v>29</v>
      </c>
      <c r="J1283" s="217" t="s">
        <v>1858</v>
      </c>
      <c r="K1283" s="217">
        <v>7</v>
      </c>
      <c r="L1283" s="217">
        <v>37</v>
      </c>
      <c r="M1283" s="217" t="s">
        <v>31</v>
      </c>
      <c r="N1283" s="217" t="s">
        <v>32</v>
      </c>
      <c r="O1283" s="217" t="s">
        <v>68</v>
      </c>
      <c r="P1283" s="217" t="s">
        <v>34</v>
      </c>
      <c r="Q1283" s="217" t="s">
        <v>35</v>
      </c>
      <c r="R1283" s="217" t="s">
        <v>23</v>
      </c>
      <c r="S1283" s="217" t="s">
        <v>22</v>
      </c>
      <c r="T1283" s="217" t="s">
        <v>36</v>
      </c>
      <c r="U1283" s="217" t="s">
        <v>37</v>
      </c>
      <c r="V1283" s="217" t="s">
        <v>249</v>
      </c>
      <c r="W1283" s="217" t="s">
        <v>250</v>
      </c>
    </row>
    <row r="1284" spans="1:23" x14ac:dyDescent="0.25">
      <c r="A1284" s="217" t="s">
        <v>22</v>
      </c>
      <c r="B1284" s="217" t="s">
        <v>23</v>
      </c>
      <c r="C1284" s="217" t="s">
        <v>37</v>
      </c>
      <c r="D1284" s="217" t="s">
        <v>36</v>
      </c>
      <c r="E1284" s="217" t="s">
        <v>608</v>
      </c>
      <c r="F1284" s="217" t="s">
        <v>609</v>
      </c>
      <c r="G1284" s="217" t="s">
        <v>610</v>
      </c>
      <c r="H1284" s="217" t="s">
        <v>1490</v>
      </c>
      <c r="I1284" s="217" t="s">
        <v>29</v>
      </c>
      <c r="J1284" s="217" t="s">
        <v>1856</v>
      </c>
      <c r="K1284" s="217">
        <v>17</v>
      </c>
      <c r="L1284" s="217">
        <v>53</v>
      </c>
      <c r="M1284" s="217" t="s">
        <v>31</v>
      </c>
      <c r="N1284" s="217" t="s">
        <v>32</v>
      </c>
      <c r="O1284" s="217" t="s">
        <v>68</v>
      </c>
      <c r="P1284" s="217" t="s">
        <v>34</v>
      </c>
      <c r="Q1284" s="217" t="s">
        <v>35</v>
      </c>
      <c r="R1284" s="217" t="s">
        <v>23</v>
      </c>
      <c r="S1284" s="217" t="s">
        <v>22</v>
      </c>
      <c r="T1284" s="217" t="s">
        <v>36</v>
      </c>
      <c r="U1284" s="217" t="s">
        <v>37</v>
      </c>
      <c r="V1284" s="217" t="s">
        <v>249</v>
      </c>
      <c r="W1284" s="217" t="s">
        <v>250</v>
      </c>
    </row>
    <row r="1285" spans="1:23" x14ac:dyDescent="0.25">
      <c r="A1285" s="217" t="s">
        <v>22</v>
      </c>
      <c r="B1285" s="217" t="s">
        <v>23</v>
      </c>
      <c r="C1285" s="217" t="s">
        <v>37</v>
      </c>
      <c r="D1285" s="217" t="s">
        <v>36</v>
      </c>
      <c r="E1285" s="217" t="s">
        <v>608</v>
      </c>
      <c r="F1285" s="217" t="s">
        <v>609</v>
      </c>
      <c r="G1285" s="217" t="s">
        <v>612</v>
      </c>
      <c r="H1285" s="217" t="s">
        <v>1492</v>
      </c>
      <c r="I1285" s="217" t="s">
        <v>29</v>
      </c>
      <c r="J1285" s="217" t="s">
        <v>1857</v>
      </c>
      <c r="K1285" s="217">
        <v>40</v>
      </c>
      <c r="L1285" s="217">
        <v>187</v>
      </c>
      <c r="M1285" s="217" t="s">
        <v>31</v>
      </c>
      <c r="N1285" s="217" t="s">
        <v>32</v>
      </c>
      <c r="O1285" s="217" t="s">
        <v>68</v>
      </c>
      <c r="P1285" s="217" t="s">
        <v>34</v>
      </c>
      <c r="Q1285" s="217" t="s">
        <v>35</v>
      </c>
      <c r="R1285" s="217" t="s">
        <v>23</v>
      </c>
      <c r="S1285" s="217" t="s">
        <v>22</v>
      </c>
      <c r="T1285" s="217" t="s">
        <v>36</v>
      </c>
      <c r="U1285" s="217" t="s">
        <v>37</v>
      </c>
      <c r="V1285" s="217" t="s">
        <v>249</v>
      </c>
      <c r="W1285" s="217" t="s">
        <v>250</v>
      </c>
    </row>
    <row r="1286" spans="1:23" x14ac:dyDescent="0.25">
      <c r="A1286" s="217" t="s">
        <v>22</v>
      </c>
      <c r="B1286" s="217" t="s">
        <v>23</v>
      </c>
      <c r="C1286" s="217" t="s">
        <v>37</v>
      </c>
      <c r="D1286" s="217" t="s">
        <v>36</v>
      </c>
      <c r="E1286" s="217" t="s">
        <v>608</v>
      </c>
      <c r="F1286" s="217" t="s">
        <v>609</v>
      </c>
      <c r="G1286" s="217" t="s">
        <v>612</v>
      </c>
      <c r="H1286" s="217" t="s">
        <v>1492</v>
      </c>
      <c r="I1286" s="217" t="s">
        <v>29</v>
      </c>
      <c r="J1286" s="217" t="s">
        <v>1858</v>
      </c>
      <c r="K1286" s="217">
        <v>4</v>
      </c>
      <c r="L1286" s="217">
        <v>21</v>
      </c>
      <c r="M1286" s="217" t="s">
        <v>31</v>
      </c>
      <c r="N1286" s="217" t="s">
        <v>32</v>
      </c>
      <c r="O1286" s="217" t="s">
        <v>68</v>
      </c>
      <c r="P1286" s="217" t="s">
        <v>34</v>
      </c>
      <c r="Q1286" s="217" t="s">
        <v>35</v>
      </c>
      <c r="R1286" s="217" t="s">
        <v>23</v>
      </c>
      <c r="S1286" s="217" t="s">
        <v>22</v>
      </c>
      <c r="T1286" s="217" t="s">
        <v>36</v>
      </c>
      <c r="U1286" s="217" t="s">
        <v>37</v>
      </c>
      <c r="V1286" s="217" t="s">
        <v>249</v>
      </c>
      <c r="W1286" s="217" t="s">
        <v>250</v>
      </c>
    </row>
    <row r="1287" spans="1:23" x14ac:dyDescent="0.25">
      <c r="A1287" s="217" t="s">
        <v>22</v>
      </c>
      <c r="B1287" s="217" t="s">
        <v>23</v>
      </c>
      <c r="C1287" s="217" t="s">
        <v>37</v>
      </c>
      <c r="D1287" s="217" t="s">
        <v>36</v>
      </c>
      <c r="E1287" s="217" t="s">
        <v>608</v>
      </c>
      <c r="F1287" s="217" t="s">
        <v>609</v>
      </c>
      <c r="G1287" s="217" t="s">
        <v>613</v>
      </c>
      <c r="H1287" s="217" t="s">
        <v>1493</v>
      </c>
      <c r="I1287" s="217" t="s">
        <v>29</v>
      </c>
      <c r="J1287" s="217" t="s">
        <v>1856</v>
      </c>
      <c r="K1287" s="217">
        <v>8</v>
      </c>
      <c r="L1287" s="217">
        <v>41</v>
      </c>
      <c r="M1287" s="217" t="s">
        <v>31</v>
      </c>
      <c r="N1287" s="217" t="s">
        <v>32</v>
      </c>
      <c r="O1287" s="217" t="s">
        <v>68</v>
      </c>
      <c r="P1287" s="217" t="s">
        <v>34</v>
      </c>
      <c r="Q1287" s="217" t="s">
        <v>35</v>
      </c>
      <c r="R1287" s="217" t="s">
        <v>23</v>
      </c>
      <c r="S1287" s="217" t="s">
        <v>22</v>
      </c>
      <c r="T1287" s="217" t="s">
        <v>36</v>
      </c>
      <c r="U1287" s="217" t="s">
        <v>37</v>
      </c>
      <c r="V1287" s="217" t="s">
        <v>249</v>
      </c>
      <c r="W1287" s="217" t="s">
        <v>250</v>
      </c>
    </row>
    <row r="1288" spans="1:23" x14ac:dyDescent="0.25">
      <c r="A1288" s="217" t="s">
        <v>22</v>
      </c>
      <c r="B1288" s="217" t="s">
        <v>23</v>
      </c>
      <c r="C1288" s="217" t="s">
        <v>37</v>
      </c>
      <c r="D1288" s="217" t="s">
        <v>36</v>
      </c>
      <c r="E1288" s="217" t="s">
        <v>608</v>
      </c>
      <c r="F1288" s="217" t="s">
        <v>609</v>
      </c>
      <c r="G1288" s="217" t="s">
        <v>613</v>
      </c>
      <c r="H1288" s="217" t="s">
        <v>1493</v>
      </c>
      <c r="I1288" s="217" t="s">
        <v>29</v>
      </c>
      <c r="J1288" s="217" t="s">
        <v>1857</v>
      </c>
      <c r="K1288" s="217">
        <v>3</v>
      </c>
      <c r="L1288" s="217">
        <v>11</v>
      </c>
      <c r="M1288" s="217" t="s">
        <v>31</v>
      </c>
      <c r="N1288" s="217" t="s">
        <v>32</v>
      </c>
      <c r="O1288" s="217" t="s">
        <v>68</v>
      </c>
      <c r="P1288" s="217" t="s">
        <v>34</v>
      </c>
      <c r="Q1288" s="217" t="s">
        <v>35</v>
      </c>
      <c r="R1288" s="217" t="s">
        <v>23</v>
      </c>
      <c r="S1288" s="217" t="s">
        <v>22</v>
      </c>
      <c r="T1288" s="217" t="s">
        <v>36</v>
      </c>
      <c r="U1288" s="217" t="s">
        <v>37</v>
      </c>
      <c r="V1288" s="217" t="s">
        <v>249</v>
      </c>
      <c r="W1288" s="217" t="s">
        <v>250</v>
      </c>
    </row>
    <row r="1289" spans="1:23" x14ac:dyDescent="0.25">
      <c r="A1289" s="217" t="s">
        <v>22</v>
      </c>
      <c r="B1289" s="217" t="s">
        <v>23</v>
      </c>
      <c r="C1289" s="217" t="s">
        <v>37</v>
      </c>
      <c r="D1289" s="217" t="s">
        <v>36</v>
      </c>
      <c r="E1289" s="217" t="s">
        <v>608</v>
      </c>
      <c r="F1289" s="217" t="s">
        <v>609</v>
      </c>
      <c r="G1289" s="217" t="s">
        <v>614</v>
      </c>
      <c r="H1289" s="217" t="s">
        <v>1494</v>
      </c>
      <c r="I1289" s="217" t="s">
        <v>29</v>
      </c>
      <c r="J1289" s="217" t="s">
        <v>1856</v>
      </c>
      <c r="K1289" s="217">
        <v>3</v>
      </c>
      <c r="L1289" s="217">
        <v>18</v>
      </c>
      <c r="M1289" s="217" t="s">
        <v>31</v>
      </c>
      <c r="N1289" s="217" t="s">
        <v>32</v>
      </c>
      <c r="O1289" s="217" t="s">
        <v>33</v>
      </c>
      <c r="P1289" s="217" t="s">
        <v>34</v>
      </c>
      <c r="Q1289" s="217" t="s">
        <v>35</v>
      </c>
      <c r="R1289" s="217" t="s">
        <v>23</v>
      </c>
      <c r="S1289" s="217" t="s">
        <v>22</v>
      </c>
      <c r="T1289" s="217" t="s">
        <v>47</v>
      </c>
      <c r="U1289" s="217" t="s">
        <v>48</v>
      </c>
      <c r="V1289" s="217" t="s">
        <v>231</v>
      </c>
      <c r="W1289" s="217" t="s">
        <v>232</v>
      </c>
    </row>
    <row r="1290" spans="1:23" x14ac:dyDescent="0.25">
      <c r="A1290" s="217" t="s">
        <v>22</v>
      </c>
      <c r="B1290" s="217" t="s">
        <v>23</v>
      </c>
      <c r="C1290" s="217" t="s">
        <v>37</v>
      </c>
      <c r="D1290" s="217" t="s">
        <v>36</v>
      </c>
      <c r="E1290" s="217" t="s">
        <v>608</v>
      </c>
      <c r="F1290" s="217" t="s">
        <v>609</v>
      </c>
      <c r="G1290" s="217" t="s">
        <v>615</v>
      </c>
      <c r="H1290" s="217" t="s">
        <v>1495</v>
      </c>
      <c r="I1290" s="217" t="s">
        <v>29</v>
      </c>
      <c r="J1290" s="217" t="s">
        <v>1856</v>
      </c>
      <c r="K1290" s="217">
        <v>26</v>
      </c>
      <c r="L1290" s="217">
        <v>186</v>
      </c>
      <c r="M1290" s="217" t="s">
        <v>31</v>
      </c>
      <c r="N1290" s="217" t="s">
        <v>32</v>
      </c>
      <c r="O1290" s="217" t="s">
        <v>68</v>
      </c>
      <c r="P1290" s="217" t="s">
        <v>34</v>
      </c>
      <c r="Q1290" s="217" t="s">
        <v>35</v>
      </c>
      <c r="R1290" s="217" t="s">
        <v>23</v>
      </c>
      <c r="S1290" s="217" t="s">
        <v>22</v>
      </c>
      <c r="T1290" s="217" t="s">
        <v>36</v>
      </c>
      <c r="U1290" s="217" t="s">
        <v>37</v>
      </c>
      <c r="V1290" s="217" t="s">
        <v>249</v>
      </c>
      <c r="W1290" s="217" t="s">
        <v>250</v>
      </c>
    </row>
    <row r="1291" spans="1:23" x14ac:dyDescent="0.25">
      <c r="A1291" s="217" t="s">
        <v>22</v>
      </c>
      <c r="B1291" s="217" t="s">
        <v>23</v>
      </c>
      <c r="C1291" s="217" t="s">
        <v>37</v>
      </c>
      <c r="D1291" s="217" t="s">
        <v>36</v>
      </c>
      <c r="E1291" s="217" t="s">
        <v>608</v>
      </c>
      <c r="F1291" s="217" t="s">
        <v>609</v>
      </c>
      <c r="G1291" s="217" t="s">
        <v>615</v>
      </c>
      <c r="H1291" s="217" t="s">
        <v>1495</v>
      </c>
      <c r="I1291" s="217" t="s">
        <v>29</v>
      </c>
      <c r="J1291" s="217" t="s">
        <v>1857</v>
      </c>
      <c r="K1291" s="217">
        <v>9</v>
      </c>
      <c r="L1291" s="217">
        <v>52</v>
      </c>
      <c r="M1291" s="217" t="s">
        <v>31</v>
      </c>
      <c r="N1291" s="217" t="s">
        <v>32</v>
      </c>
      <c r="O1291" s="217" t="s">
        <v>68</v>
      </c>
      <c r="P1291" s="217" t="s">
        <v>34</v>
      </c>
      <c r="Q1291" s="217" t="s">
        <v>35</v>
      </c>
      <c r="R1291" s="217" t="s">
        <v>23</v>
      </c>
      <c r="S1291" s="217" t="s">
        <v>22</v>
      </c>
      <c r="T1291" s="217" t="s">
        <v>36</v>
      </c>
      <c r="U1291" s="217" t="s">
        <v>37</v>
      </c>
      <c r="V1291" s="217" t="s">
        <v>249</v>
      </c>
      <c r="W1291" s="217" t="s">
        <v>250</v>
      </c>
    </row>
    <row r="1292" spans="1:23" x14ac:dyDescent="0.25">
      <c r="A1292" s="217" t="s">
        <v>22</v>
      </c>
      <c r="B1292" s="217" t="s">
        <v>23</v>
      </c>
      <c r="C1292" s="217" t="s">
        <v>37</v>
      </c>
      <c r="D1292" s="217" t="s">
        <v>36</v>
      </c>
      <c r="E1292" s="217" t="s">
        <v>608</v>
      </c>
      <c r="F1292" s="217" t="s">
        <v>609</v>
      </c>
      <c r="G1292" s="217" t="s">
        <v>2145</v>
      </c>
      <c r="H1292" s="217" t="s">
        <v>1496</v>
      </c>
      <c r="I1292" s="217" t="s">
        <v>29</v>
      </c>
      <c r="J1292" s="217" t="s">
        <v>1856</v>
      </c>
      <c r="K1292" s="217">
        <v>4</v>
      </c>
      <c r="L1292" s="217">
        <v>12</v>
      </c>
      <c r="M1292" s="217" t="s">
        <v>31</v>
      </c>
      <c r="N1292" s="217" t="s">
        <v>32</v>
      </c>
      <c r="O1292" s="217" t="s">
        <v>68</v>
      </c>
      <c r="P1292" s="217" t="s">
        <v>34</v>
      </c>
      <c r="Q1292" s="217" t="s">
        <v>35</v>
      </c>
      <c r="R1292" s="217" t="s">
        <v>23</v>
      </c>
      <c r="S1292" s="217" t="s">
        <v>22</v>
      </c>
      <c r="T1292" s="217" t="s">
        <v>36</v>
      </c>
      <c r="U1292" s="217" t="s">
        <v>37</v>
      </c>
      <c r="V1292" s="217" t="s">
        <v>249</v>
      </c>
      <c r="W1292" s="217" t="s">
        <v>250</v>
      </c>
    </row>
    <row r="1293" spans="1:23" x14ac:dyDescent="0.25">
      <c r="A1293" s="217" t="s">
        <v>22</v>
      </c>
      <c r="B1293" s="217" t="s">
        <v>23</v>
      </c>
      <c r="C1293" s="217" t="s">
        <v>24</v>
      </c>
      <c r="D1293" s="217" t="s">
        <v>25</v>
      </c>
      <c r="E1293" s="217" t="s">
        <v>56</v>
      </c>
      <c r="F1293" s="217" t="s">
        <v>57</v>
      </c>
      <c r="G1293" s="217" t="s">
        <v>58</v>
      </c>
      <c r="H1293" s="217" t="s">
        <v>879</v>
      </c>
      <c r="I1293" s="217" t="s">
        <v>616</v>
      </c>
      <c r="J1293" s="217" t="s">
        <v>1857</v>
      </c>
      <c r="K1293" s="217">
        <v>2</v>
      </c>
      <c r="L1293" s="217">
        <v>11</v>
      </c>
      <c r="M1293" s="217" t="s">
        <v>31</v>
      </c>
      <c r="N1293" s="217" t="s">
        <v>32</v>
      </c>
      <c r="O1293" s="217" t="s">
        <v>141</v>
      </c>
      <c r="P1293" s="217" t="s">
        <v>144</v>
      </c>
      <c r="Q1293" s="217" t="s">
        <v>145</v>
      </c>
      <c r="R1293" s="217" t="s">
        <v>144</v>
      </c>
      <c r="S1293" s="217" t="s">
        <v>639</v>
      </c>
      <c r="T1293" s="217" t="s">
        <v>32</v>
      </c>
      <c r="U1293" s="217" t="s">
        <v>32</v>
      </c>
      <c r="V1293" s="217" t="s">
        <v>32</v>
      </c>
      <c r="W1293" s="217" t="s">
        <v>32</v>
      </c>
    </row>
    <row r="1294" spans="1:23" x14ac:dyDescent="0.25">
      <c r="A1294" s="217" t="s">
        <v>22</v>
      </c>
      <c r="B1294" s="217" t="s">
        <v>23</v>
      </c>
      <c r="C1294" s="217" t="s">
        <v>24</v>
      </c>
      <c r="D1294" s="217" t="s">
        <v>25</v>
      </c>
      <c r="E1294" s="217" t="s">
        <v>56</v>
      </c>
      <c r="F1294" s="217" t="s">
        <v>57</v>
      </c>
      <c r="G1294" s="217" t="s">
        <v>617</v>
      </c>
      <c r="H1294" s="217" t="s">
        <v>1497</v>
      </c>
      <c r="I1294" s="217" t="s">
        <v>616</v>
      </c>
      <c r="J1294" s="217" t="s">
        <v>1856</v>
      </c>
      <c r="K1294" s="217">
        <v>22</v>
      </c>
      <c r="L1294" s="217">
        <v>218</v>
      </c>
      <c r="M1294" s="217" t="s">
        <v>31</v>
      </c>
      <c r="N1294" s="217" t="s">
        <v>32</v>
      </c>
      <c r="O1294" s="217" t="s">
        <v>141</v>
      </c>
      <c r="P1294" s="217" t="s">
        <v>142</v>
      </c>
      <c r="Q1294" s="217" t="s">
        <v>143</v>
      </c>
      <c r="R1294" s="217" t="s">
        <v>142</v>
      </c>
      <c r="S1294" s="217" t="s">
        <v>619</v>
      </c>
      <c r="T1294" s="217" t="s">
        <v>32</v>
      </c>
      <c r="U1294" s="217" t="s">
        <v>32</v>
      </c>
      <c r="V1294" s="217" t="s">
        <v>32</v>
      </c>
      <c r="W1294" s="217" t="s">
        <v>32</v>
      </c>
    </row>
    <row r="1295" spans="1:23" x14ac:dyDescent="0.25">
      <c r="A1295" s="217" t="s">
        <v>22</v>
      </c>
      <c r="B1295" s="217" t="s">
        <v>23</v>
      </c>
      <c r="C1295" s="217" t="s">
        <v>24</v>
      </c>
      <c r="D1295" s="217" t="s">
        <v>25</v>
      </c>
      <c r="E1295" s="217" t="s">
        <v>56</v>
      </c>
      <c r="F1295" s="217" t="s">
        <v>57</v>
      </c>
      <c r="G1295" s="217" t="s">
        <v>617</v>
      </c>
      <c r="H1295" s="217" t="s">
        <v>1497</v>
      </c>
      <c r="I1295" s="217" t="s">
        <v>616</v>
      </c>
      <c r="J1295" s="217" t="s">
        <v>1858</v>
      </c>
      <c r="K1295" s="217">
        <v>2</v>
      </c>
      <c r="L1295" s="217">
        <v>2</v>
      </c>
      <c r="M1295" s="217" t="s">
        <v>31</v>
      </c>
      <c r="N1295" s="217" t="s">
        <v>32</v>
      </c>
      <c r="O1295" s="217" t="s">
        <v>141</v>
      </c>
      <c r="P1295" s="217" t="s">
        <v>142</v>
      </c>
      <c r="Q1295" s="217" t="s">
        <v>143</v>
      </c>
      <c r="R1295" s="217" t="s">
        <v>142</v>
      </c>
      <c r="S1295" s="217" t="s">
        <v>619</v>
      </c>
      <c r="T1295" s="217" t="s">
        <v>32</v>
      </c>
      <c r="U1295" s="217" t="s">
        <v>32</v>
      </c>
      <c r="V1295" s="217" t="s">
        <v>32</v>
      </c>
      <c r="W1295" s="217" t="s">
        <v>32</v>
      </c>
    </row>
    <row r="1296" spans="1:23" x14ac:dyDescent="0.25">
      <c r="A1296" s="217" t="s">
        <v>22</v>
      </c>
      <c r="B1296" s="217" t="s">
        <v>23</v>
      </c>
      <c r="C1296" s="217" t="s">
        <v>24</v>
      </c>
      <c r="D1296" s="217" t="s">
        <v>25</v>
      </c>
      <c r="E1296" s="217" t="s">
        <v>56</v>
      </c>
      <c r="F1296" s="217" t="s">
        <v>57</v>
      </c>
      <c r="G1296" s="217" t="s">
        <v>69</v>
      </c>
      <c r="H1296" s="217" t="s">
        <v>887</v>
      </c>
      <c r="I1296" s="217" t="s">
        <v>616</v>
      </c>
      <c r="J1296" s="217" t="s">
        <v>1859</v>
      </c>
      <c r="K1296" s="217">
        <v>1</v>
      </c>
      <c r="L1296" s="217">
        <v>3</v>
      </c>
      <c r="M1296" s="217" t="s">
        <v>31</v>
      </c>
      <c r="N1296" s="217" t="s">
        <v>32</v>
      </c>
      <c r="O1296" s="217" t="s">
        <v>141</v>
      </c>
      <c r="P1296" s="217" t="s">
        <v>142</v>
      </c>
      <c r="Q1296" s="217" t="s">
        <v>143</v>
      </c>
      <c r="R1296" s="217" t="s">
        <v>142</v>
      </c>
      <c r="S1296" s="217" t="s">
        <v>619</v>
      </c>
      <c r="T1296" s="217" t="s">
        <v>32</v>
      </c>
      <c r="U1296" s="217" t="s">
        <v>32</v>
      </c>
      <c r="V1296" s="217" t="s">
        <v>32</v>
      </c>
      <c r="W1296" s="217" t="s">
        <v>32</v>
      </c>
    </row>
    <row r="1297" spans="1:23" x14ac:dyDescent="0.25">
      <c r="A1297" s="217" t="s">
        <v>22</v>
      </c>
      <c r="B1297" s="217" t="s">
        <v>23</v>
      </c>
      <c r="C1297" s="217" t="s">
        <v>24</v>
      </c>
      <c r="D1297" s="217" t="s">
        <v>25</v>
      </c>
      <c r="E1297" s="217" t="s">
        <v>56</v>
      </c>
      <c r="F1297" s="217" t="s">
        <v>57</v>
      </c>
      <c r="G1297" s="217" t="s">
        <v>73</v>
      </c>
      <c r="H1297" s="217" t="s">
        <v>891</v>
      </c>
      <c r="I1297" s="217" t="s">
        <v>616</v>
      </c>
      <c r="J1297" s="217" t="s">
        <v>1857</v>
      </c>
      <c r="K1297" s="217">
        <v>1</v>
      </c>
      <c r="L1297" s="217">
        <v>6</v>
      </c>
      <c r="M1297" s="217" t="s">
        <v>31</v>
      </c>
      <c r="N1297" s="217" t="s">
        <v>32</v>
      </c>
      <c r="O1297" s="217" t="s">
        <v>141</v>
      </c>
      <c r="P1297" s="217" t="s">
        <v>142</v>
      </c>
      <c r="Q1297" s="217" t="s">
        <v>143</v>
      </c>
      <c r="R1297" s="217" t="s">
        <v>142</v>
      </c>
      <c r="S1297" s="217" t="s">
        <v>619</v>
      </c>
      <c r="T1297" s="217" t="s">
        <v>32</v>
      </c>
      <c r="U1297" s="217" t="s">
        <v>32</v>
      </c>
      <c r="V1297" s="217" t="s">
        <v>32</v>
      </c>
      <c r="W1297" s="217" t="s">
        <v>32</v>
      </c>
    </row>
    <row r="1298" spans="1:23" x14ac:dyDescent="0.25">
      <c r="A1298" s="217" t="s">
        <v>22</v>
      </c>
      <c r="B1298" s="217" t="s">
        <v>23</v>
      </c>
      <c r="C1298" s="217" t="s">
        <v>24</v>
      </c>
      <c r="D1298" s="217" t="s">
        <v>25</v>
      </c>
      <c r="E1298" s="217" t="s">
        <v>56</v>
      </c>
      <c r="F1298" s="217" t="s">
        <v>57</v>
      </c>
      <c r="G1298" s="217" t="s">
        <v>81</v>
      </c>
      <c r="H1298" s="217" t="s">
        <v>899</v>
      </c>
      <c r="I1298" s="217" t="s">
        <v>616</v>
      </c>
      <c r="J1298" s="217" t="s">
        <v>1858</v>
      </c>
      <c r="K1298" s="217">
        <v>2</v>
      </c>
      <c r="L1298" s="217">
        <v>13</v>
      </c>
      <c r="M1298" s="217" t="s">
        <v>31</v>
      </c>
      <c r="N1298" s="217" t="s">
        <v>32</v>
      </c>
      <c r="O1298" s="217" t="s">
        <v>141</v>
      </c>
      <c r="P1298" s="217" t="s">
        <v>142</v>
      </c>
      <c r="Q1298" s="217" t="s">
        <v>143</v>
      </c>
      <c r="R1298" s="217" t="s">
        <v>142</v>
      </c>
      <c r="S1298" s="217" t="s">
        <v>619</v>
      </c>
      <c r="T1298" s="217" t="s">
        <v>32</v>
      </c>
      <c r="U1298" s="217" t="s">
        <v>32</v>
      </c>
      <c r="V1298" s="217" t="s">
        <v>32</v>
      </c>
      <c r="W1298" s="217" t="s">
        <v>32</v>
      </c>
    </row>
    <row r="1299" spans="1:23" x14ac:dyDescent="0.25">
      <c r="A1299" s="217" t="s">
        <v>22</v>
      </c>
      <c r="B1299" s="217" t="s">
        <v>23</v>
      </c>
      <c r="C1299" s="217" t="s">
        <v>85</v>
      </c>
      <c r="D1299" s="217" t="s">
        <v>84</v>
      </c>
      <c r="E1299" s="217" t="s">
        <v>88</v>
      </c>
      <c r="F1299" s="217" t="s">
        <v>89</v>
      </c>
      <c r="G1299" s="217" t="s">
        <v>93</v>
      </c>
      <c r="H1299" s="217" t="s">
        <v>907</v>
      </c>
      <c r="I1299" s="217" t="s">
        <v>616</v>
      </c>
      <c r="J1299" s="217" t="s">
        <v>1855</v>
      </c>
      <c r="K1299" s="217">
        <v>84</v>
      </c>
      <c r="L1299" s="217">
        <v>371</v>
      </c>
      <c r="M1299" s="217" t="s">
        <v>31</v>
      </c>
      <c r="N1299" s="217" t="s">
        <v>32</v>
      </c>
      <c r="O1299" s="217" t="s">
        <v>141</v>
      </c>
      <c r="P1299" s="217" t="s">
        <v>142</v>
      </c>
      <c r="Q1299" s="217" t="s">
        <v>143</v>
      </c>
      <c r="R1299" s="217" t="s">
        <v>142</v>
      </c>
      <c r="S1299" s="217" t="s">
        <v>619</v>
      </c>
      <c r="T1299" s="217" t="s">
        <v>32</v>
      </c>
      <c r="U1299" s="217" t="s">
        <v>32</v>
      </c>
      <c r="V1299" s="217" t="s">
        <v>32</v>
      </c>
      <c r="W1299" s="217" t="s">
        <v>32</v>
      </c>
    </row>
    <row r="1300" spans="1:23" x14ac:dyDescent="0.25">
      <c r="A1300" s="217" t="s">
        <v>22</v>
      </c>
      <c r="B1300" s="217" t="s">
        <v>23</v>
      </c>
      <c r="C1300" s="217" t="s">
        <v>85</v>
      </c>
      <c r="D1300" s="217" t="s">
        <v>84</v>
      </c>
      <c r="E1300" s="217" t="s">
        <v>88</v>
      </c>
      <c r="F1300" s="217" t="s">
        <v>89</v>
      </c>
      <c r="G1300" s="217" t="s">
        <v>93</v>
      </c>
      <c r="H1300" s="217" t="s">
        <v>907</v>
      </c>
      <c r="I1300" s="217" t="s">
        <v>616</v>
      </c>
      <c r="J1300" s="217" t="s">
        <v>1856</v>
      </c>
      <c r="K1300" s="217">
        <v>17</v>
      </c>
      <c r="L1300" s="217">
        <v>77</v>
      </c>
      <c r="M1300" s="217" t="s">
        <v>31</v>
      </c>
      <c r="N1300" s="217" t="s">
        <v>32</v>
      </c>
      <c r="O1300" s="217" t="s">
        <v>141</v>
      </c>
      <c r="P1300" s="217" t="s">
        <v>142</v>
      </c>
      <c r="Q1300" s="217" t="s">
        <v>143</v>
      </c>
      <c r="R1300" s="217" t="s">
        <v>142</v>
      </c>
      <c r="S1300" s="217" t="s">
        <v>619</v>
      </c>
      <c r="T1300" s="217" t="s">
        <v>32</v>
      </c>
      <c r="U1300" s="217" t="s">
        <v>32</v>
      </c>
      <c r="V1300" s="217" t="s">
        <v>32</v>
      </c>
      <c r="W1300" s="217" t="s">
        <v>32</v>
      </c>
    </row>
    <row r="1301" spans="1:23" x14ac:dyDescent="0.25">
      <c r="A1301" s="217" t="s">
        <v>22</v>
      </c>
      <c r="B1301" s="217" t="s">
        <v>23</v>
      </c>
      <c r="C1301" s="217" t="s">
        <v>85</v>
      </c>
      <c r="D1301" s="217" t="s">
        <v>84</v>
      </c>
      <c r="E1301" s="217" t="s">
        <v>88</v>
      </c>
      <c r="F1301" s="217" t="s">
        <v>89</v>
      </c>
      <c r="G1301" s="217" t="s">
        <v>93</v>
      </c>
      <c r="H1301" s="217" t="s">
        <v>907</v>
      </c>
      <c r="I1301" s="217" t="s">
        <v>616</v>
      </c>
      <c r="J1301" s="217" t="s">
        <v>1857</v>
      </c>
      <c r="K1301" s="217">
        <v>2</v>
      </c>
      <c r="L1301" s="217">
        <v>10</v>
      </c>
      <c r="M1301" s="217" t="s">
        <v>31</v>
      </c>
      <c r="N1301" s="217" t="s">
        <v>32</v>
      </c>
      <c r="O1301" s="217" t="s">
        <v>141</v>
      </c>
      <c r="P1301" s="217" t="s">
        <v>142</v>
      </c>
      <c r="Q1301" s="217" t="s">
        <v>143</v>
      </c>
      <c r="R1301" s="217" t="s">
        <v>142</v>
      </c>
      <c r="S1301" s="217" t="s">
        <v>619</v>
      </c>
      <c r="T1301" s="217" t="s">
        <v>32</v>
      </c>
      <c r="U1301" s="217" t="s">
        <v>32</v>
      </c>
      <c r="V1301" s="217" t="s">
        <v>32</v>
      </c>
      <c r="W1301" s="217" t="s">
        <v>32</v>
      </c>
    </row>
    <row r="1302" spans="1:23" x14ac:dyDescent="0.25">
      <c r="A1302" s="217" t="s">
        <v>22</v>
      </c>
      <c r="B1302" s="217" t="s">
        <v>23</v>
      </c>
      <c r="C1302" s="217" t="s">
        <v>85</v>
      </c>
      <c r="D1302" s="217" t="s">
        <v>84</v>
      </c>
      <c r="E1302" s="217" t="s">
        <v>88</v>
      </c>
      <c r="F1302" s="217" t="s">
        <v>89</v>
      </c>
      <c r="G1302" s="217" t="s">
        <v>93</v>
      </c>
      <c r="H1302" s="217" t="s">
        <v>907</v>
      </c>
      <c r="I1302" s="217" t="s">
        <v>616</v>
      </c>
      <c r="J1302" s="217" t="s">
        <v>1858</v>
      </c>
      <c r="K1302" s="217">
        <v>5</v>
      </c>
      <c r="L1302" s="217">
        <v>23</v>
      </c>
      <c r="M1302" s="217" t="s">
        <v>31</v>
      </c>
      <c r="N1302" s="217" t="s">
        <v>32</v>
      </c>
      <c r="O1302" s="217" t="s">
        <v>141</v>
      </c>
      <c r="P1302" s="217" t="s">
        <v>142</v>
      </c>
      <c r="Q1302" s="217" t="s">
        <v>143</v>
      </c>
      <c r="R1302" s="217" t="s">
        <v>142</v>
      </c>
      <c r="S1302" s="217" t="s">
        <v>619</v>
      </c>
      <c r="T1302" s="217" t="s">
        <v>32</v>
      </c>
      <c r="U1302" s="217" t="s">
        <v>32</v>
      </c>
      <c r="V1302" s="217" t="s">
        <v>32</v>
      </c>
      <c r="W1302" s="217" t="s">
        <v>32</v>
      </c>
    </row>
    <row r="1303" spans="1:23" x14ac:dyDescent="0.25">
      <c r="A1303" s="217" t="s">
        <v>22</v>
      </c>
      <c r="B1303" s="217" t="s">
        <v>23</v>
      </c>
      <c r="C1303" s="217" t="s">
        <v>85</v>
      </c>
      <c r="D1303" s="217" t="s">
        <v>84</v>
      </c>
      <c r="E1303" s="217" t="s">
        <v>88</v>
      </c>
      <c r="F1303" s="217" t="s">
        <v>89</v>
      </c>
      <c r="G1303" s="217" t="s">
        <v>101</v>
      </c>
      <c r="H1303" s="217" t="s">
        <v>909</v>
      </c>
      <c r="I1303" s="217" t="s">
        <v>616</v>
      </c>
      <c r="J1303" s="217" t="s">
        <v>1855</v>
      </c>
      <c r="K1303" s="217">
        <v>1</v>
      </c>
      <c r="L1303" s="217">
        <v>7</v>
      </c>
      <c r="M1303" s="217" t="s">
        <v>31</v>
      </c>
      <c r="N1303" s="217" t="s">
        <v>32</v>
      </c>
      <c r="O1303" s="217" t="s">
        <v>141</v>
      </c>
      <c r="P1303" s="217" t="s">
        <v>142</v>
      </c>
      <c r="Q1303" s="217" t="s">
        <v>143</v>
      </c>
      <c r="R1303" s="217" t="s">
        <v>142</v>
      </c>
      <c r="S1303" s="217" t="s">
        <v>619</v>
      </c>
      <c r="T1303" s="217" t="s">
        <v>32</v>
      </c>
      <c r="U1303" s="217" t="s">
        <v>32</v>
      </c>
      <c r="V1303" s="217" t="s">
        <v>32</v>
      </c>
      <c r="W1303" s="217" t="s">
        <v>32</v>
      </c>
    </row>
    <row r="1304" spans="1:23" x14ac:dyDescent="0.25">
      <c r="A1304" s="217" t="s">
        <v>22</v>
      </c>
      <c r="B1304" s="217" t="s">
        <v>23</v>
      </c>
      <c r="C1304" s="217" t="s">
        <v>85</v>
      </c>
      <c r="D1304" s="217" t="s">
        <v>84</v>
      </c>
      <c r="E1304" s="217" t="s">
        <v>88</v>
      </c>
      <c r="F1304" s="217" t="s">
        <v>89</v>
      </c>
      <c r="G1304" s="217" t="s">
        <v>102</v>
      </c>
      <c r="H1304" s="217" t="s">
        <v>910</v>
      </c>
      <c r="I1304" s="217" t="s">
        <v>616</v>
      </c>
      <c r="J1304" s="217" t="s">
        <v>1856</v>
      </c>
      <c r="K1304" s="217">
        <v>1</v>
      </c>
      <c r="L1304" s="217">
        <v>4</v>
      </c>
      <c r="M1304" s="217" t="s">
        <v>31</v>
      </c>
      <c r="N1304" s="217" t="s">
        <v>32</v>
      </c>
      <c r="O1304" s="217" t="s">
        <v>141</v>
      </c>
      <c r="P1304" s="217" t="s">
        <v>142</v>
      </c>
      <c r="Q1304" s="217" t="s">
        <v>143</v>
      </c>
      <c r="R1304" s="217" t="s">
        <v>142</v>
      </c>
      <c r="S1304" s="217" t="s">
        <v>619</v>
      </c>
      <c r="T1304" s="217" t="s">
        <v>32</v>
      </c>
      <c r="U1304" s="217" t="s">
        <v>32</v>
      </c>
      <c r="V1304" s="217" t="s">
        <v>32</v>
      </c>
      <c r="W1304" s="217" t="s">
        <v>32</v>
      </c>
    </row>
    <row r="1305" spans="1:23" x14ac:dyDescent="0.25">
      <c r="A1305" s="217" t="s">
        <v>22</v>
      </c>
      <c r="B1305" s="217" t="s">
        <v>23</v>
      </c>
      <c r="C1305" s="217" t="s">
        <v>85</v>
      </c>
      <c r="D1305" s="217" t="s">
        <v>84</v>
      </c>
      <c r="E1305" s="217" t="s">
        <v>88</v>
      </c>
      <c r="F1305" s="217" t="s">
        <v>89</v>
      </c>
      <c r="G1305" s="217" t="s">
        <v>103</v>
      </c>
      <c r="H1305" s="217" t="s">
        <v>911</v>
      </c>
      <c r="I1305" s="217" t="s">
        <v>616</v>
      </c>
      <c r="J1305" s="217" t="s">
        <v>1855</v>
      </c>
      <c r="K1305" s="217">
        <v>2</v>
      </c>
      <c r="L1305" s="217">
        <v>8</v>
      </c>
      <c r="M1305" s="217" t="s">
        <v>31</v>
      </c>
      <c r="N1305" s="217" t="s">
        <v>32</v>
      </c>
      <c r="O1305" s="217" t="s">
        <v>141</v>
      </c>
      <c r="P1305" s="217" t="s">
        <v>142</v>
      </c>
      <c r="Q1305" s="217" t="s">
        <v>143</v>
      </c>
      <c r="R1305" s="217" t="s">
        <v>142</v>
      </c>
      <c r="S1305" s="217" t="s">
        <v>619</v>
      </c>
      <c r="T1305" s="217" t="s">
        <v>32</v>
      </c>
      <c r="U1305" s="217" t="s">
        <v>32</v>
      </c>
      <c r="V1305" s="217" t="s">
        <v>32</v>
      </c>
      <c r="W1305" s="217" t="s">
        <v>32</v>
      </c>
    </row>
    <row r="1306" spans="1:23" x14ac:dyDescent="0.25">
      <c r="A1306" s="217" t="s">
        <v>22</v>
      </c>
      <c r="B1306" s="217" t="s">
        <v>23</v>
      </c>
      <c r="C1306" s="217" t="s">
        <v>85</v>
      </c>
      <c r="D1306" s="217" t="s">
        <v>84</v>
      </c>
      <c r="E1306" s="217" t="s">
        <v>88</v>
      </c>
      <c r="F1306" s="217" t="s">
        <v>89</v>
      </c>
      <c r="G1306" s="217" t="s">
        <v>104</v>
      </c>
      <c r="H1306" s="217" t="s">
        <v>912</v>
      </c>
      <c r="I1306" s="217" t="s">
        <v>616</v>
      </c>
      <c r="J1306" s="217" t="s">
        <v>1856</v>
      </c>
      <c r="K1306" s="217">
        <v>2</v>
      </c>
      <c r="L1306" s="217">
        <v>10</v>
      </c>
      <c r="M1306" s="217" t="s">
        <v>31</v>
      </c>
      <c r="N1306" s="217" t="s">
        <v>32</v>
      </c>
      <c r="O1306" s="217" t="s">
        <v>141</v>
      </c>
      <c r="P1306" s="217" t="s">
        <v>142</v>
      </c>
      <c r="Q1306" s="217" t="s">
        <v>143</v>
      </c>
      <c r="R1306" s="217" t="s">
        <v>142</v>
      </c>
      <c r="S1306" s="217" t="s">
        <v>619</v>
      </c>
      <c r="T1306" s="217" t="s">
        <v>32</v>
      </c>
      <c r="U1306" s="217" t="s">
        <v>32</v>
      </c>
      <c r="V1306" s="217" t="s">
        <v>32</v>
      </c>
      <c r="W1306" s="217" t="s">
        <v>32</v>
      </c>
    </row>
    <row r="1307" spans="1:23" x14ac:dyDescent="0.25">
      <c r="A1307" s="217" t="s">
        <v>22</v>
      </c>
      <c r="B1307" s="217" t="s">
        <v>23</v>
      </c>
      <c r="C1307" s="217" t="s">
        <v>85</v>
      </c>
      <c r="D1307" s="217" t="s">
        <v>84</v>
      </c>
      <c r="E1307" s="217" t="s">
        <v>88</v>
      </c>
      <c r="F1307" s="217" t="s">
        <v>89</v>
      </c>
      <c r="G1307" s="217" t="s">
        <v>106</v>
      </c>
      <c r="H1307" s="217" t="s">
        <v>914</v>
      </c>
      <c r="I1307" s="217" t="s">
        <v>616</v>
      </c>
      <c r="J1307" s="217" t="s">
        <v>1855</v>
      </c>
      <c r="K1307" s="217">
        <v>7</v>
      </c>
      <c r="L1307" s="217">
        <v>35</v>
      </c>
      <c r="M1307" s="217" t="s">
        <v>31</v>
      </c>
      <c r="N1307" s="217" t="s">
        <v>32</v>
      </c>
      <c r="O1307" s="217" t="s">
        <v>141</v>
      </c>
      <c r="P1307" s="217" t="s">
        <v>142</v>
      </c>
      <c r="Q1307" s="217" t="s">
        <v>143</v>
      </c>
      <c r="R1307" s="217" t="s">
        <v>142</v>
      </c>
      <c r="S1307" s="217" t="s">
        <v>619</v>
      </c>
      <c r="T1307" s="217" t="s">
        <v>32</v>
      </c>
      <c r="U1307" s="217" t="s">
        <v>32</v>
      </c>
      <c r="V1307" s="217" t="s">
        <v>32</v>
      </c>
      <c r="W1307" s="217" t="s">
        <v>32</v>
      </c>
    </row>
    <row r="1308" spans="1:23" x14ac:dyDescent="0.25">
      <c r="A1308" s="217" t="s">
        <v>22</v>
      </c>
      <c r="B1308" s="217" t="s">
        <v>23</v>
      </c>
      <c r="C1308" s="217" t="s">
        <v>85</v>
      </c>
      <c r="D1308" s="217" t="s">
        <v>84</v>
      </c>
      <c r="E1308" s="217" t="s">
        <v>88</v>
      </c>
      <c r="F1308" s="217" t="s">
        <v>89</v>
      </c>
      <c r="G1308" s="217" t="s">
        <v>106</v>
      </c>
      <c r="H1308" s="217" t="s">
        <v>914</v>
      </c>
      <c r="I1308" s="217" t="s">
        <v>616</v>
      </c>
      <c r="J1308" s="217" t="s">
        <v>1856</v>
      </c>
      <c r="K1308" s="217">
        <v>10</v>
      </c>
      <c r="L1308" s="217">
        <v>47</v>
      </c>
      <c r="M1308" s="217" t="s">
        <v>31</v>
      </c>
      <c r="N1308" s="217" t="s">
        <v>32</v>
      </c>
      <c r="O1308" s="217" t="s">
        <v>141</v>
      </c>
      <c r="P1308" s="217" t="s">
        <v>142</v>
      </c>
      <c r="Q1308" s="217" t="s">
        <v>143</v>
      </c>
      <c r="R1308" s="217" t="s">
        <v>142</v>
      </c>
      <c r="S1308" s="217" t="s">
        <v>619</v>
      </c>
      <c r="T1308" s="217" t="s">
        <v>32</v>
      </c>
      <c r="U1308" s="217" t="s">
        <v>32</v>
      </c>
      <c r="V1308" s="217" t="s">
        <v>32</v>
      </c>
      <c r="W1308" s="217" t="s">
        <v>32</v>
      </c>
    </row>
    <row r="1309" spans="1:23" x14ac:dyDescent="0.25">
      <c r="A1309" s="217" t="s">
        <v>22</v>
      </c>
      <c r="B1309" s="217" t="s">
        <v>23</v>
      </c>
      <c r="C1309" s="217" t="s">
        <v>85</v>
      </c>
      <c r="D1309" s="217" t="s">
        <v>84</v>
      </c>
      <c r="E1309" s="217" t="s">
        <v>88</v>
      </c>
      <c r="F1309" s="217" t="s">
        <v>89</v>
      </c>
      <c r="G1309" s="217" t="s">
        <v>106</v>
      </c>
      <c r="H1309" s="217" t="s">
        <v>914</v>
      </c>
      <c r="I1309" s="217" t="s">
        <v>616</v>
      </c>
      <c r="J1309" s="217" t="s">
        <v>1857</v>
      </c>
      <c r="K1309" s="217">
        <v>9</v>
      </c>
      <c r="L1309" s="217">
        <v>73</v>
      </c>
      <c r="M1309" s="217" t="s">
        <v>31</v>
      </c>
      <c r="N1309" s="217" t="s">
        <v>32</v>
      </c>
      <c r="O1309" s="217" t="s">
        <v>141</v>
      </c>
      <c r="P1309" s="217" t="s">
        <v>142</v>
      </c>
      <c r="Q1309" s="217" t="s">
        <v>143</v>
      </c>
      <c r="R1309" s="217" t="s">
        <v>142</v>
      </c>
      <c r="S1309" s="217" t="s">
        <v>619</v>
      </c>
      <c r="T1309" s="217" t="s">
        <v>32</v>
      </c>
      <c r="U1309" s="217" t="s">
        <v>32</v>
      </c>
      <c r="V1309" s="217" t="s">
        <v>32</v>
      </c>
      <c r="W1309" s="217" t="s">
        <v>32</v>
      </c>
    </row>
    <row r="1310" spans="1:23" x14ac:dyDescent="0.25">
      <c r="A1310" s="217" t="s">
        <v>22</v>
      </c>
      <c r="B1310" s="217" t="s">
        <v>23</v>
      </c>
      <c r="C1310" s="217" t="s">
        <v>85</v>
      </c>
      <c r="D1310" s="217" t="s">
        <v>84</v>
      </c>
      <c r="E1310" s="217" t="s">
        <v>88</v>
      </c>
      <c r="F1310" s="217" t="s">
        <v>89</v>
      </c>
      <c r="G1310" s="217" t="s">
        <v>106</v>
      </c>
      <c r="H1310" s="217" t="s">
        <v>914</v>
      </c>
      <c r="I1310" s="217" t="s">
        <v>616</v>
      </c>
      <c r="J1310" s="217" t="s">
        <v>1858</v>
      </c>
      <c r="K1310" s="217">
        <v>7</v>
      </c>
      <c r="L1310" s="217">
        <v>38</v>
      </c>
      <c r="M1310" s="217" t="s">
        <v>31</v>
      </c>
      <c r="N1310" s="217" t="s">
        <v>32</v>
      </c>
      <c r="O1310" s="217" t="s">
        <v>141</v>
      </c>
      <c r="P1310" s="217" t="s">
        <v>142</v>
      </c>
      <c r="Q1310" s="217" t="s">
        <v>143</v>
      </c>
      <c r="R1310" s="217" t="s">
        <v>142</v>
      </c>
      <c r="S1310" s="217" t="s">
        <v>619</v>
      </c>
      <c r="T1310" s="217" t="s">
        <v>32</v>
      </c>
      <c r="U1310" s="217" t="s">
        <v>32</v>
      </c>
      <c r="V1310" s="217" t="s">
        <v>32</v>
      </c>
      <c r="W1310" s="217" t="s">
        <v>32</v>
      </c>
    </row>
    <row r="1311" spans="1:23" x14ac:dyDescent="0.25">
      <c r="A1311" s="217" t="s">
        <v>22</v>
      </c>
      <c r="B1311" s="217" t="s">
        <v>23</v>
      </c>
      <c r="C1311" s="217" t="s">
        <v>85</v>
      </c>
      <c r="D1311" s="217" t="s">
        <v>84</v>
      </c>
      <c r="E1311" s="217" t="s">
        <v>88</v>
      </c>
      <c r="F1311" s="217" t="s">
        <v>89</v>
      </c>
      <c r="G1311" s="217" t="s">
        <v>107</v>
      </c>
      <c r="H1311" s="217" t="s">
        <v>915</v>
      </c>
      <c r="I1311" s="217" t="s">
        <v>616</v>
      </c>
      <c r="J1311" s="217" t="s">
        <v>1855</v>
      </c>
      <c r="K1311" s="217">
        <v>2</v>
      </c>
      <c r="L1311" s="217">
        <v>19</v>
      </c>
      <c r="M1311" s="217" t="s">
        <v>31</v>
      </c>
      <c r="N1311" s="217" t="s">
        <v>32</v>
      </c>
      <c r="O1311" s="217" t="s">
        <v>141</v>
      </c>
      <c r="P1311" s="217" t="s">
        <v>142</v>
      </c>
      <c r="Q1311" s="217" t="s">
        <v>143</v>
      </c>
      <c r="R1311" s="217" t="s">
        <v>142</v>
      </c>
      <c r="S1311" s="217" t="s">
        <v>619</v>
      </c>
      <c r="T1311" s="217" t="s">
        <v>32</v>
      </c>
      <c r="U1311" s="217" t="s">
        <v>32</v>
      </c>
      <c r="V1311" s="217" t="s">
        <v>32</v>
      </c>
      <c r="W1311" s="217" t="s">
        <v>32</v>
      </c>
    </row>
    <row r="1312" spans="1:23" x14ac:dyDescent="0.25">
      <c r="A1312" s="217" t="s">
        <v>22</v>
      </c>
      <c r="B1312" s="217" t="s">
        <v>23</v>
      </c>
      <c r="C1312" s="217" t="s">
        <v>85</v>
      </c>
      <c r="D1312" s="217" t="s">
        <v>84</v>
      </c>
      <c r="E1312" s="217" t="s">
        <v>88</v>
      </c>
      <c r="F1312" s="217" t="s">
        <v>89</v>
      </c>
      <c r="G1312" s="217" t="s">
        <v>107</v>
      </c>
      <c r="H1312" s="217" t="s">
        <v>915</v>
      </c>
      <c r="I1312" s="217" t="s">
        <v>616</v>
      </c>
      <c r="J1312" s="217" t="s">
        <v>1856</v>
      </c>
      <c r="K1312" s="217">
        <v>1</v>
      </c>
      <c r="L1312" s="217">
        <v>9</v>
      </c>
      <c r="M1312" s="217" t="s">
        <v>31</v>
      </c>
      <c r="N1312" s="217" t="s">
        <v>32</v>
      </c>
      <c r="O1312" s="217" t="s">
        <v>141</v>
      </c>
      <c r="P1312" s="217" t="s">
        <v>142</v>
      </c>
      <c r="Q1312" s="217" t="s">
        <v>143</v>
      </c>
      <c r="R1312" s="217" t="s">
        <v>142</v>
      </c>
      <c r="S1312" s="217" t="s">
        <v>619</v>
      </c>
      <c r="T1312" s="217" t="s">
        <v>32</v>
      </c>
      <c r="U1312" s="217" t="s">
        <v>32</v>
      </c>
      <c r="V1312" s="217" t="s">
        <v>32</v>
      </c>
      <c r="W1312" s="217" t="s">
        <v>32</v>
      </c>
    </row>
    <row r="1313" spans="1:23" x14ac:dyDescent="0.25">
      <c r="A1313" s="217" t="s">
        <v>22</v>
      </c>
      <c r="B1313" s="217" t="s">
        <v>23</v>
      </c>
      <c r="C1313" s="217" t="s">
        <v>85</v>
      </c>
      <c r="D1313" s="217" t="s">
        <v>84</v>
      </c>
      <c r="E1313" s="217" t="s">
        <v>88</v>
      </c>
      <c r="F1313" s="217" t="s">
        <v>89</v>
      </c>
      <c r="G1313" s="217" t="s">
        <v>107</v>
      </c>
      <c r="H1313" s="217" t="s">
        <v>915</v>
      </c>
      <c r="I1313" s="217" t="s">
        <v>616</v>
      </c>
      <c r="J1313" s="217" t="s">
        <v>1857</v>
      </c>
      <c r="K1313" s="217">
        <v>1</v>
      </c>
      <c r="L1313" s="217">
        <v>7</v>
      </c>
      <c r="M1313" s="217" t="s">
        <v>31</v>
      </c>
      <c r="N1313" s="217" t="s">
        <v>32</v>
      </c>
      <c r="O1313" s="217" t="s">
        <v>141</v>
      </c>
      <c r="P1313" s="217" t="s">
        <v>142</v>
      </c>
      <c r="Q1313" s="217" t="s">
        <v>143</v>
      </c>
      <c r="R1313" s="217" t="s">
        <v>142</v>
      </c>
      <c r="S1313" s="217" t="s">
        <v>619</v>
      </c>
      <c r="T1313" s="217" t="s">
        <v>32</v>
      </c>
      <c r="U1313" s="217" t="s">
        <v>32</v>
      </c>
      <c r="V1313" s="217" t="s">
        <v>32</v>
      </c>
      <c r="W1313" s="217" t="s">
        <v>32</v>
      </c>
    </row>
    <row r="1314" spans="1:23" x14ac:dyDescent="0.25">
      <c r="A1314" s="217" t="s">
        <v>22</v>
      </c>
      <c r="B1314" s="217" t="s">
        <v>23</v>
      </c>
      <c r="C1314" s="217" t="s">
        <v>85</v>
      </c>
      <c r="D1314" s="217" t="s">
        <v>84</v>
      </c>
      <c r="E1314" s="217" t="s">
        <v>88</v>
      </c>
      <c r="F1314" s="217" t="s">
        <v>89</v>
      </c>
      <c r="G1314" s="217" t="s">
        <v>107</v>
      </c>
      <c r="H1314" s="217" t="s">
        <v>915</v>
      </c>
      <c r="I1314" s="217" t="s">
        <v>616</v>
      </c>
      <c r="J1314" s="217" t="s">
        <v>1858</v>
      </c>
      <c r="K1314" s="217">
        <v>1</v>
      </c>
      <c r="L1314" s="217">
        <v>3</v>
      </c>
      <c r="M1314" s="217" t="s">
        <v>31</v>
      </c>
      <c r="N1314" s="217" t="s">
        <v>32</v>
      </c>
      <c r="O1314" s="217" t="s">
        <v>141</v>
      </c>
      <c r="P1314" s="217" t="s">
        <v>142</v>
      </c>
      <c r="Q1314" s="217" t="s">
        <v>143</v>
      </c>
      <c r="R1314" s="217" t="s">
        <v>142</v>
      </c>
      <c r="S1314" s="217" t="s">
        <v>619</v>
      </c>
      <c r="T1314" s="217" t="s">
        <v>32</v>
      </c>
      <c r="U1314" s="217" t="s">
        <v>32</v>
      </c>
      <c r="V1314" s="217" t="s">
        <v>32</v>
      </c>
      <c r="W1314" s="217" t="s">
        <v>32</v>
      </c>
    </row>
    <row r="1315" spans="1:23" x14ac:dyDescent="0.25">
      <c r="A1315" s="217" t="s">
        <v>22</v>
      </c>
      <c r="B1315" s="217" t="s">
        <v>23</v>
      </c>
      <c r="C1315" s="217" t="s">
        <v>85</v>
      </c>
      <c r="D1315" s="217" t="s">
        <v>84</v>
      </c>
      <c r="E1315" s="217" t="s">
        <v>88</v>
      </c>
      <c r="F1315" s="217" t="s">
        <v>89</v>
      </c>
      <c r="G1315" s="217" t="s">
        <v>767</v>
      </c>
      <c r="H1315" s="217" t="s">
        <v>918</v>
      </c>
      <c r="I1315" s="217" t="s">
        <v>616</v>
      </c>
      <c r="J1315" s="217" t="s">
        <v>1857</v>
      </c>
      <c r="K1315" s="217">
        <v>7</v>
      </c>
      <c r="L1315" s="217">
        <v>30</v>
      </c>
      <c r="M1315" s="217" t="s">
        <v>31</v>
      </c>
      <c r="N1315" s="217" t="s">
        <v>32</v>
      </c>
      <c r="O1315" s="217" t="s">
        <v>141</v>
      </c>
      <c r="P1315" s="217" t="s">
        <v>142</v>
      </c>
      <c r="Q1315" s="217" t="s">
        <v>143</v>
      </c>
      <c r="R1315" s="217" t="s">
        <v>142</v>
      </c>
      <c r="S1315" s="217" t="s">
        <v>619</v>
      </c>
      <c r="T1315" s="217" t="s">
        <v>32</v>
      </c>
      <c r="U1315" s="217" t="s">
        <v>32</v>
      </c>
      <c r="V1315" s="217" t="s">
        <v>32</v>
      </c>
      <c r="W1315" s="217" t="s">
        <v>32</v>
      </c>
    </row>
    <row r="1316" spans="1:23" x14ac:dyDescent="0.25">
      <c r="A1316" s="217" t="s">
        <v>22</v>
      </c>
      <c r="B1316" s="217" t="s">
        <v>23</v>
      </c>
      <c r="C1316" s="217" t="s">
        <v>85</v>
      </c>
      <c r="D1316" s="217" t="s">
        <v>84</v>
      </c>
      <c r="E1316" s="217" t="s">
        <v>88</v>
      </c>
      <c r="F1316" s="217" t="s">
        <v>89</v>
      </c>
      <c r="G1316" s="217" t="s">
        <v>767</v>
      </c>
      <c r="H1316" s="217" t="s">
        <v>918</v>
      </c>
      <c r="I1316" s="217" t="s">
        <v>616</v>
      </c>
      <c r="J1316" s="217" t="s">
        <v>1858</v>
      </c>
      <c r="K1316" s="217">
        <v>2</v>
      </c>
      <c r="L1316" s="217">
        <v>9</v>
      </c>
      <c r="M1316" s="217" t="s">
        <v>31</v>
      </c>
      <c r="N1316" s="217" t="s">
        <v>32</v>
      </c>
      <c r="O1316" s="217" t="s">
        <v>141</v>
      </c>
      <c r="P1316" s="217" t="s">
        <v>142</v>
      </c>
      <c r="Q1316" s="217" t="s">
        <v>143</v>
      </c>
      <c r="R1316" s="217" t="s">
        <v>142</v>
      </c>
      <c r="S1316" s="217" t="s">
        <v>619</v>
      </c>
      <c r="T1316" s="217" t="s">
        <v>32</v>
      </c>
      <c r="U1316" s="217" t="s">
        <v>32</v>
      </c>
      <c r="V1316" s="217" t="s">
        <v>32</v>
      </c>
      <c r="W1316" s="217" t="s">
        <v>32</v>
      </c>
    </row>
    <row r="1317" spans="1:23" x14ac:dyDescent="0.25">
      <c r="A1317" s="217" t="s">
        <v>22</v>
      </c>
      <c r="B1317" s="217" t="s">
        <v>23</v>
      </c>
      <c r="C1317" s="217" t="s">
        <v>85</v>
      </c>
      <c r="D1317" s="217" t="s">
        <v>84</v>
      </c>
      <c r="E1317" s="217" t="s">
        <v>88</v>
      </c>
      <c r="F1317" s="217" t="s">
        <v>89</v>
      </c>
      <c r="G1317" s="217" t="s">
        <v>111</v>
      </c>
      <c r="H1317" s="217" t="s">
        <v>919</v>
      </c>
      <c r="I1317" s="217" t="s">
        <v>616</v>
      </c>
      <c r="J1317" s="217" t="s">
        <v>1856</v>
      </c>
      <c r="K1317" s="217">
        <v>7</v>
      </c>
      <c r="L1317" s="217">
        <v>57</v>
      </c>
      <c r="M1317" s="217" t="s">
        <v>31</v>
      </c>
      <c r="N1317" s="217" t="s">
        <v>32</v>
      </c>
      <c r="O1317" s="217" t="s">
        <v>141</v>
      </c>
      <c r="P1317" s="217" t="s">
        <v>142</v>
      </c>
      <c r="Q1317" s="217" t="s">
        <v>143</v>
      </c>
      <c r="R1317" s="217" t="s">
        <v>142</v>
      </c>
      <c r="S1317" s="217" t="s">
        <v>619</v>
      </c>
      <c r="T1317" s="217" t="s">
        <v>32</v>
      </c>
      <c r="U1317" s="217" t="s">
        <v>32</v>
      </c>
      <c r="V1317" s="217" t="s">
        <v>32</v>
      </c>
      <c r="W1317" s="217" t="s">
        <v>32</v>
      </c>
    </row>
    <row r="1318" spans="1:23" x14ac:dyDescent="0.25">
      <c r="A1318" s="217" t="s">
        <v>22</v>
      </c>
      <c r="B1318" s="217" t="s">
        <v>23</v>
      </c>
      <c r="C1318" s="217" t="s">
        <v>85</v>
      </c>
      <c r="D1318" s="217" t="s">
        <v>84</v>
      </c>
      <c r="E1318" s="217" t="s">
        <v>88</v>
      </c>
      <c r="F1318" s="217" t="s">
        <v>89</v>
      </c>
      <c r="G1318" s="217" t="s">
        <v>111</v>
      </c>
      <c r="H1318" s="217" t="s">
        <v>919</v>
      </c>
      <c r="I1318" s="217" t="s">
        <v>616</v>
      </c>
      <c r="J1318" s="217" t="s">
        <v>1857</v>
      </c>
      <c r="K1318" s="217">
        <v>3</v>
      </c>
      <c r="L1318" s="217">
        <v>24</v>
      </c>
      <c r="M1318" s="217" t="s">
        <v>31</v>
      </c>
      <c r="N1318" s="217" t="s">
        <v>32</v>
      </c>
      <c r="O1318" s="217" t="s">
        <v>141</v>
      </c>
      <c r="P1318" s="217" t="s">
        <v>142</v>
      </c>
      <c r="Q1318" s="217" t="s">
        <v>143</v>
      </c>
      <c r="R1318" s="217" t="s">
        <v>142</v>
      </c>
      <c r="S1318" s="217" t="s">
        <v>619</v>
      </c>
      <c r="T1318" s="217" t="s">
        <v>32</v>
      </c>
      <c r="U1318" s="217" t="s">
        <v>32</v>
      </c>
      <c r="V1318" s="217" t="s">
        <v>32</v>
      </c>
      <c r="W1318" s="217" t="s">
        <v>32</v>
      </c>
    </row>
    <row r="1319" spans="1:23" x14ac:dyDescent="0.25">
      <c r="A1319" s="217" t="s">
        <v>22</v>
      </c>
      <c r="B1319" s="217" t="s">
        <v>23</v>
      </c>
      <c r="C1319" s="217" t="s">
        <v>85</v>
      </c>
      <c r="D1319" s="217" t="s">
        <v>84</v>
      </c>
      <c r="E1319" s="217" t="s">
        <v>95</v>
      </c>
      <c r="F1319" s="217" t="s">
        <v>94</v>
      </c>
      <c r="G1319" s="217" t="s">
        <v>114</v>
      </c>
      <c r="H1319" s="217" t="s">
        <v>922</v>
      </c>
      <c r="I1319" s="217" t="s">
        <v>616</v>
      </c>
      <c r="J1319" s="217" t="s">
        <v>1856</v>
      </c>
      <c r="K1319" s="217">
        <v>7</v>
      </c>
      <c r="L1319" s="217">
        <v>42</v>
      </c>
      <c r="M1319" s="217" t="s">
        <v>31</v>
      </c>
      <c r="N1319" s="217" t="s">
        <v>32</v>
      </c>
      <c r="O1319" s="217" t="s">
        <v>141</v>
      </c>
      <c r="P1319" s="217" t="s">
        <v>142</v>
      </c>
      <c r="Q1319" s="217" t="s">
        <v>143</v>
      </c>
      <c r="R1319" s="217" t="s">
        <v>142</v>
      </c>
      <c r="S1319" s="217" t="s">
        <v>619</v>
      </c>
      <c r="T1319" s="217" t="s">
        <v>32</v>
      </c>
      <c r="U1319" s="217" t="s">
        <v>32</v>
      </c>
      <c r="V1319" s="217" t="s">
        <v>32</v>
      </c>
      <c r="W1319" s="217" t="s">
        <v>32</v>
      </c>
    </row>
    <row r="1320" spans="1:23" x14ac:dyDescent="0.25">
      <c r="A1320" s="217" t="s">
        <v>22</v>
      </c>
      <c r="B1320" s="217" t="s">
        <v>23</v>
      </c>
      <c r="C1320" s="217" t="s">
        <v>85</v>
      </c>
      <c r="D1320" s="217" t="s">
        <v>84</v>
      </c>
      <c r="E1320" s="217" t="s">
        <v>95</v>
      </c>
      <c r="F1320" s="217" t="s">
        <v>94</v>
      </c>
      <c r="G1320" s="217" t="s">
        <v>114</v>
      </c>
      <c r="H1320" s="217" t="s">
        <v>922</v>
      </c>
      <c r="I1320" s="217" t="s">
        <v>616</v>
      </c>
      <c r="J1320" s="217" t="s">
        <v>1857</v>
      </c>
      <c r="K1320" s="217">
        <v>4</v>
      </c>
      <c r="L1320" s="217">
        <v>24</v>
      </c>
      <c r="M1320" s="217" t="s">
        <v>31</v>
      </c>
      <c r="N1320" s="217" t="s">
        <v>32</v>
      </c>
      <c r="O1320" s="217" t="s">
        <v>141</v>
      </c>
      <c r="P1320" s="217" t="s">
        <v>142</v>
      </c>
      <c r="Q1320" s="217" t="s">
        <v>143</v>
      </c>
      <c r="R1320" s="217" t="s">
        <v>142</v>
      </c>
      <c r="S1320" s="217" t="s">
        <v>619</v>
      </c>
      <c r="T1320" s="217" t="s">
        <v>32</v>
      </c>
      <c r="U1320" s="217" t="s">
        <v>32</v>
      </c>
      <c r="V1320" s="217" t="s">
        <v>32</v>
      </c>
      <c r="W1320" s="217" t="s">
        <v>32</v>
      </c>
    </row>
    <row r="1321" spans="1:23" x14ac:dyDescent="0.25">
      <c r="A1321" s="217" t="s">
        <v>22</v>
      </c>
      <c r="B1321" s="217" t="s">
        <v>23</v>
      </c>
      <c r="C1321" s="217" t="s">
        <v>85</v>
      </c>
      <c r="D1321" s="217" t="s">
        <v>84</v>
      </c>
      <c r="E1321" s="217" t="s">
        <v>95</v>
      </c>
      <c r="F1321" s="217" t="s">
        <v>94</v>
      </c>
      <c r="G1321" s="217" t="s">
        <v>670</v>
      </c>
      <c r="H1321" s="217" t="s">
        <v>1668</v>
      </c>
      <c r="I1321" s="217" t="s">
        <v>616</v>
      </c>
      <c r="J1321" s="217" t="s">
        <v>1856</v>
      </c>
      <c r="K1321" s="217">
        <v>4</v>
      </c>
      <c r="L1321" s="217">
        <v>18</v>
      </c>
      <c r="M1321" s="217" t="s">
        <v>31</v>
      </c>
      <c r="N1321" s="217" t="s">
        <v>32</v>
      </c>
      <c r="O1321" s="217" t="s">
        <v>141</v>
      </c>
      <c r="P1321" s="217" t="s">
        <v>142</v>
      </c>
      <c r="Q1321" s="217" t="s">
        <v>143</v>
      </c>
      <c r="R1321" s="217" t="s">
        <v>142</v>
      </c>
      <c r="S1321" s="217" t="s">
        <v>619</v>
      </c>
      <c r="T1321" s="217" t="s">
        <v>32</v>
      </c>
      <c r="U1321" s="217" t="s">
        <v>32</v>
      </c>
      <c r="V1321" s="217" t="s">
        <v>32</v>
      </c>
      <c r="W1321" s="217" t="s">
        <v>32</v>
      </c>
    </row>
    <row r="1322" spans="1:23" x14ac:dyDescent="0.25">
      <c r="A1322" s="217" t="s">
        <v>22</v>
      </c>
      <c r="B1322" s="217" t="s">
        <v>23</v>
      </c>
      <c r="C1322" s="217" t="s">
        <v>85</v>
      </c>
      <c r="D1322" s="217" t="s">
        <v>84</v>
      </c>
      <c r="E1322" s="217" t="s">
        <v>95</v>
      </c>
      <c r="F1322" s="217" t="s">
        <v>94</v>
      </c>
      <c r="G1322" s="217" t="s">
        <v>670</v>
      </c>
      <c r="H1322" s="217" t="s">
        <v>1668</v>
      </c>
      <c r="I1322" s="217" t="s">
        <v>616</v>
      </c>
      <c r="J1322" s="217" t="s">
        <v>1857</v>
      </c>
      <c r="K1322" s="217">
        <v>2</v>
      </c>
      <c r="L1322" s="217">
        <v>12</v>
      </c>
      <c r="M1322" s="217" t="s">
        <v>31</v>
      </c>
      <c r="N1322" s="217" t="s">
        <v>32</v>
      </c>
      <c r="O1322" s="217" t="s">
        <v>141</v>
      </c>
      <c r="P1322" s="217" t="s">
        <v>142</v>
      </c>
      <c r="Q1322" s="217" t="s">
        <v>143</v>
      </c>
      <c r="R1322" s="217" t="s">
        <v>142</v>
      </c>
      <c r="S1322" s="217" t="s">
        <v>619</v>
      </c>
      <c r="T1322" s="217" t="s">
        <v>32</v>
      </c>
      <c r="U1322" s="217" t="s">
        <v>32</v>
      </c>
      <c r="V1322" s="217" t="s">
        <v>32</v>
      </c>
      <c r="W1322" s="217" t="s">
        <v>32</v>
      </c>
    </row>
    <row r="1323" spans="1:23" x14ac:dyDescent="0.25">
      <c r="A1323" s="217" t="s">
        <v>22</v>
      </c>
      <c r="B1323" s="217" t="s">
        <v>23</v>
      </c>
      <c r="C1323" s="217" t="s">
        <v>85</v>
      </c>
      <c r="D1323" s="217" t="s">
        <v>84</v>
      </c>
      <c r="E1323" s="217" t="s">
        <v>95</v>
      </c>
      <c r="F1323" s="217" t="s">
        <v>94</v>
      </c>
      <c r="G1323" s="217" t="s">
        <v>117</v>
      </c>
      <c r="H1323" s="217" t="s">
        <v>925</v>
      </c>
      <c r="I1323" s="217" t="s">
        <v>616</v>
      </c>
      <c r="J1323" s="217" t="s">
        <v>1854</v>
      </c>
      <c r="K1323" s="217">
        <v>3</v>
      </c>
      <c r="L1323" s="217">
        <v>26</v>
      </c>
      <c r="M1323" s="217" t="s">
        <v>31</v>
      </c>
      <c r="N1323" s="217" t="s">
        <v>32</v>
      </c>
      <c r="O1323" s="217" t="s">
        <v>141</v>
      </c>
      <c r="P1323" s="217" t="s">
        <v>142</v>
      </c>
      <c r="Q1323" s="217" t="s">
        <v>143</v>
      </c>
      <c r="R1323" s="217" t="s">
        <v>142</v>
      </c>
      <c r="S1323" s="217" t="s">
        <v>619</v>
      </c>
      <c r="T1323" s="217" t="s">
        <v>32</v>
      </c>
      <c r="U1323" s="217" t="s">
        <v>32</v>
      </c>
      <c r="V1323" s="217" t="s">
        <v>32</v>
      </c>
      <c r="W1323" s="217" t="s">
        <v>32</v>
      </c>
    </row>
    <row r="1324" spans="1:23" x14ac:dyDescent="0.25">
      <c r="A1324" s="217" t="s">
        <v>22</v>
      </c>
      <c r="B1324" s="217" t="s">
        <v>23</v>
      </c>
      <c r="C1324" s="217" t="s">
        <v>85</v>
      </c>
      <c r="D1324" s="217" t="s">
        <v>84</v>
      </c>
      <c r="E1324" s="217" t="s">
        <v>95</v>
      </c>
      <c r="F1324" s="217" t="s">
        <v>94</v>
      </c>
      <c r="G1324" s="217" t="s">
        <v>117</v>
      </c>
      <c r="H1324" s="217" t="s">
        <v>925</v>
      </c>
      <c r="I1324" s="217" t="s">
        <v>616</v>
      </c>
      <c r="J1324" s="217" t="s">
        <v>1855</v>
      </c>
      <c r="K1324" s="217">
        <v>7</v>
      </c>
      <c r="L1324" s="217">
        <v>56</v>
      </c>
      <c r="M1324" s="217" t="s">
        <v>31</v>
      </c>
      <c r="N1324" s="217" t="s">
        <v>32</v>
      </c>
      <c r="O1324" s="217" t="s">
        <v>141</v>
      </c>
      <c r="P1324" s="217" t="s">
        <v>142</v>
      </c>
      <c r="Q1324" s="217" t="s">
        <v>143</v>
      </c>
      <c r="R1324" s="217" t="s">
        <v>142</v>
      </c>
      <c r="S1324" s="217" t="s">
        <v>619</v>
      </c>
      <c r="T1324" s="217" t="s">
        <v>32</v>
      </c>
      <c r="U1324" s="217" t="s">
        <v>32</v>
      </c>
      <c r="V1324" s="217" t="s">
        <v>32</v>
      </c>
      <c r="W1324" s="217" t="s">
        <v>32</v>
      </c>
    </row>
    <row r="1325" spans="1:23" x14ac:dyDescent="0.25">
      <c r="A1325" s="217" t="s">
        <v>22</v>
      </c>
      <c r="B1325" s="217" t="s">
        <v>23</v>
      </c>
      <c r="C1325" s="217" t="s">
        <v>85</v>
      </c>
      <c r="D1325" s="217" t="s">
        <v>84</v>
      </c>
      <c r="E1325" s="217" t="s">
        <v>95</v>
      </c>
      <c r="F1325" s="217" t="s">
        <v>94</v>
      </c>
      <c r="G1325" s="217" t="s">
        <v>117</v>
      </c>
      <c r="H1325" s="217" t="s">
        <v>925</v>
      </c>
      <c r="I1325" s="217" t="s">
        <v>616</v>
      </c>
      <c r="J1325" s="217" t="s">
        <v>1856</v>
      </c>
      <c r="K1325" s="217">
        <v>6</v>
      </c>
      <c r="L1325" s="217">
        <v>45</v>
      </c>
      <c r="M1325" s="217" t="s">
        <v>31</v>
      </c>
      <c r="N1325" s="217" t="s">
        <v>32</v>
      </c>
      <c r="O1325" s="217" t="s">
        <v>141</v>
      </c>
      <c r="P1325" s="217" t="s">
        <v>142</v>
      </c>
      <c r="Q1325" s="217" t="s">
        <v>143</v>
      </c>
      <c r="R1325" s="217" t="s">
        <v>142</v>
      </c>
      <c r="S1325" s="217" t="s">
        <v>619</v>
      </c>
      <c r="T1325" s="217" t="s">
        <v>32</v>
      </c>
      <c r="U1325" s="217" t="s">
        <v>32</v>
      </c>
      <c r="V1325" s="217" t="s">
        <v>32</v>
      </c>
      <c r="W1325" s="217" t="s">
        <v>32</v>
      </c>
    </row>
    <row r="1326" spans="1:23" x14ac:dyDescent="0.25">
      <c r="A1326" s="217" t="s">
        <v>22</v>
      </c>
      <c r="B1326" s="217" t="s">
        <v>23</v>
      </c>
      <c r="C1326" s="217" t="s">
        <v>85</v>
      </c>
      <c r="D1326" s="217" t="s">
        <v>84</v>
      </c>
      <c r="E1326" s="217" t="s">
        <v>95</v>
      </c>
      <c r="F1326" s="217" t="s">
        <v>94</v>
      </c>
      <c r="G1326" s="217" t="s">
        <v>117</v>
      </c>
      <c r="H1326" s="217" t="s">
        <v>925</v>
      </c>
      <c r="I1326" s="217" t="s">
        <v>616</v>
      </c>
      <c r="J1326" s="217" t="s">
        <v>1858</v>
      </c>
      <c r="K1326" s="217">
        <v>2</v>
      </c>
      <c r="L1326" s="217">
        <v>11</v>
      </c>
      <c r="M1326" s="217" t="s">
        <v>31</v>
      </c>
      <c r="N1326" s="217" t="s">
        <v>32</v>
      </c>
      <c r="O1326" s="217" t="s">
        <v>141</v>
      </c>
      <c r="P1326" s="217" t="s">
        <v>142</v>
      </c>
      <c r="Q1326" s="217" t="s">
        <v>143</v>
      </c>
      <c r="R1326" s="217" t="s">
        <v>142</v>
      </c>
      <c r="S1326" s="217" t="s">
        <v>619</v>
      </c>
      <c r="T1326" s="217" t="s">
        <v>32</v>
      </c>
      <c r="U1326" s="217" t="s">
        <v>32</v>
      </c>
      <c r="V1326" s="217" t="s">
        <v>32</v>
      </c>
      <c r="W1326" s="217" t="s">
        <v>32</v>
      </c>
    </row>
    <row r="1327" spans="1:23" x14ac:dyDescent="0.25">
      <c r="A1327" s="217" t="s">
        <v>22</v>
      </c>
      <c r="B1327" s="217" t="s">
        <v>23</v>
      </c>
      <c r="C1327" s="217" t="s">
        <v>85</v>
      </c>
      <c r="D1327" s="217" t="s">
        <v>84</v>
      </c>
      <c r="E1327" s="217" t="s">
        <v>95</v>
      </c>
      <c r="F1327" s="217" t="s">
        <v>94</v>
      </c>
      <c r="G1327" s="217" t="s">
        <v>118</v>
      </c>
      <c r="H1327" s="217" t="s">
        <v>926</v>
      </c>
      <c r="I1327" s="217" t="s">
        <v>616</v>
      </c>
      <c r="J1327" s="217" t="s">
        <v>1854</v>
      </c>
      <c r="K1327" s="217">
        <v>4</v>
      </c>
      <c r="L1327" s="217">
        <v>57</v>
      </c>
      <c r="M1327" s="217" t="s">
        <v>31</v>
      </c>
      <c r="N1327" s="217" t="s">
        <v>32</v>
      </c>
      <c r="O1327" s="217" t="s">
        <v>141</v>
      </c>
      <c r="P1327" s="217" t="s">
        <v>142</v>
      </c>
      <c r="Q1327" s="217" t="s">
        <v>143</v>
      </c>
      <c r="R1327" s="217" t="s">
        <v>142</v>
      </c>
      <c r="S1327" s="217" t="s">
        <v>619</v>
      </c>
      <c r="T1327" s="217" t="s">
        <v>32</v>
      </c>
      <c r="U1327" s="217" t="s">
        <v>32</v>
      </c>
      <c r="V1327" s="217" t="s">
        <v>32</v>
      </c>
      <c r="W1327" s="217" t="s">
        <v>32</v>
      </c>
    </row>
    <row r="1328" spans="1:23" x14ac:dyDescent="0.25">
      <c r="A1328" s="217" t="s">
        <v>22</v>
      </c>
      <c r="B1328" s="217" t="s">
        <v>23</v>
      </c>
      <c r="C1328" s="217" t="s">
        <v>85</v>
      </c>
      <c r="D1328" s="217" t="s">
        <v>84</v>
      </c>
      <c r="E1328" s="217" t="s">
        <v>95</v>
      </c>
      <c r="F1328" s="217" t="s">
        <v>94</v>
      </c>
      <c r="G1328" s="217" t="s">
        <v>118</v>
      </c>
      <c r="H1328" s="217" t="s">
        <v>926</v>
      </c>
      <c r="I1328" s="217" t="s">
        <v>616</v>
      </c>
      <c r="J1328" s="217" t="s">
        <v>1855</v>
      </c>
      <c r="K1328" s="217">
        <v>16</v>
      </c>
      <c r="L1328" s="217">
        <v>146</v>
      </c>
      <c r="M1328" s="217" t="s">
        <v>31</v>
      </c>
      <c r="N1328" s="217" t="s">
        <v>32</v>
      </c>
      <c r="O1328" s="217" t="s">
        <v>141</v>
      </c>
      <c r="P1328" s="217" t="s">
        <v>142</v>
      </c>
      <c r="Q1328" s="217" t="s">
        <v>143</v>
      </c>
      <c r="R1328" s="217" t="s">
        <v>142</v>
      </c>
      <c r="S1328" s="217" t="s">
        <v>619</v>
      </c>
      <c r="T1328" s="217" t="s">
        <v>32</v>
      </c>
      <c r="U1328" s="217" t="s">
        <v>32</v>
      </c>
      <c r="V1328" s="217" t="s">
        <v>32</v>
      </c>
      <c r="W1328" s="217" t="s">
        <v>32</v>
      </c>
    </row>
    <row r="1329" spans="1:23" x14ac:dyDescent="0.25">
      <c r="A1329" s="217" t="s">
        <v>22</v>
      </c>
      <c r="B1329" s="217" t="s">
        <v>23</v>
      </c>
      <c r="C1329" s="217" t="s">
        <v>85</v>
      </c>
      <c r="D1329" s="217" t="s">
        <v>84</v>
      </c>
      <c r="E1329" s="217" t="s">
        <v>95</v>
      </c>
      <c r="F1329" s="217" t="s">
        <v>94</v>
      </c>
      <c r="G1329" s="217" t="s">
        <v>118</v>
      </c>
      <c r="H1329" s="217" t="s">
        <v>926</v>
      </c>
      <c r="I1329" s="217" t="s">
        <v>616</v>
      </c>
      <c r="J1329" s="217" t="s">
        <v>1856</v>
      </c>
      <c r="K1329" s="217">
        <v>4</v>
      </c>
      <c r="L1329" s="217">
        <v>43</v>
      </c>
      <c r="M1329" s="217" t="s">
        <v>31</v>
      </c>
      <c r="N1329" s="217" t="s">
        <v>32</v>
      </c>
      <c r="O1329" s="217" t="s">
        <v>141</v>
      </c>
      <c r="P1329" s="217" t="s">
        <v>142</v>
      </c>
      <c r="Q1329" s="217" t="s">
        <v>143</v>
      </c>
      <c r="R1329" s="217" t="s">
        <v>142</v>
      </c>
      <c r="S1329" s="217" t="s">
        <v>619</v>
      </c>
      <c r="T1329" s="217" t="s">
        <v>32</v>
      </c>
      <c r="U1329" s="217" t="s">
        <v>32</v>
      </c>
      <c r="V1329" s="217" t="s">
        <v>32</v>
      </c>
      <c r="W1329" s="217" t="s">
        <v>32</v>
      </c>
    </row>
    <row r="1330" spans="1:23" x14ac:dyDescent="0.25">
      <c r="A1330" s="217" t="s">
        <v>22</v>
      </c>
      <c r="B1330" s="217" t="s">
        <v>23</v>
      </c>
      <c r="C1330" s="217" t="s">
        <v>85</v>
      </c>
      <c r="D1330" s="217" t="s">
        <v>84</v>
      </c>
      <c r="E1330" s="217" t="s">
        <v>95</v>
      </c>
      <c r="F1330" s="217" t="s">
        <v>94</v>
      </c>
      <c r="G1330" s="217" t="s">
        <v>119</v>
      </c>
      <c r="H1330" s="217" t="s">
        <v>927</v>
      </c>
      <c r="I1330" s="217" t="s">
        <v>616</v>
      </c>
      <c r="J1330" s="217" t="s">
        <v>1855</v>
      </c>
      <c r="K1330" s="217">
        <v>11</v>
      </c>
      <c r="L1330" s="217">
        <v>77</v>
      </c>
      <c r="M1330" s="217" t="s">
        <v>31</v>
      </c>
      <c r="N1330" s="217" t="s">
        <v>32</v>
      </c>
      <c r="O1330" s="217" t="s">
        <v>141</v>
      </c>
      <c r="P1330" s="217" t="s">
        <v>142</v>
      </c>
      <c r="Q1330" s="217" t="s">
        <v>143</v>
      </c>
      <c r="R1330" s="217" t="s">
        <v>142</v>
      </c>
      <c r="S1330" s="217" t="s">
        <v>619</v>
      </c>
      <c r="T1330" s="217" t="s">
        <v>32</v>
      </c>
      <c r="U1330" s="217" t="s">
        <v>32</v>
      </c>
      <c r="V1330" s="217" t="s">
        <v>32</v>
      </c>
      <c r="W1330" s="217" t="s">
        <v>32</v>
      </c>
    </row>
    <row r="1331" spans="1:23" x14ac:dyDescent="0.25">
      <c r="A1331" s="217" t="s">
        <v>22</v>
      </c>
      <c r="B1331" s="217" t="s">
        <v>23</v>
      </c>
      <c r="C1331" s="217" t="s">
        <v>85</v>
      </c>
      <c r="D1331" s="217" t="s">
        <v>84</v>
      </c>
      <c r="E1331" s="217" t="s">
        <v>95</v>
      </c>
      <c r="F1331" s="217" t="s">
        <v>94</v>
      </c>
      <c r="G1331" s="217" t="s">
        <v>263</v>
      </c>
      <c r="H1331" s="217" t="s">
        <v>930</v>
      </c>
      <c r="I1331" s="217" t="s">
        <v>616</v>
      </c>
      <c r="J1331" s="217" t="s">
        <v>1856</v>
      </c>
      <c r="K1331" s="217">
        <v>5</v>
      </c>
      <c r="L1331" s="217">
        <v>34</v>
      </c>
      <c r="M1331" s="217" t="s">
        <v>31</v>
      </c>
      <c r="N1331" s="217" t="s">
        <v>32</v>
      </c>
      <c r="O1331" s="217" t="s">
        <v>141</v>
      </c>
      <c r="P1331" s="217" t="s">
        <v>142</v>
      </c>
      <c r="Q1331" s="217" t="s">
        <v>143</v>
      </c>
      <c r="R1331" s="217" t="s">
        <v>142</v>
      </c>
      <c r="S1331" s="217" t="s">
        <v>619</v>
      </c>
      <c r="T1331" s="217" t="s">
        <v>32</v>
      </c>
      <c r="U1331" s="217" t="s">
        <v>32</v>
      </c>
      <c r="V1331" s="217" t="s">
        <v>32</v>
      </c>
      <c r="W1331" s="217" t="s">
        <v>32</v>
      </c>
    </row>
    <row r="1332" spans="1:23" x14ac:dyDescent="0.25">
      <c r="A1332" s="217" t="s">
        <v>22</v>
      </c>
      <c r="B1332" s="217" t="s">
        <v>23</v>
      </c>
      <c r="C1332" s="217" t="s">
        <v>85</v>
      </c>
      <c r="D1332" s="217" t="s">
        <v>84</v>
      </c>
      <c r="E1332" s="217" t="s">
        <v>95</v>
      </c>
      <c r="F1332" s="217" t="s">
        <v>94</v>
      </c>
      <c r="G1332" s="217" t="s">
        <v>264</v>
      </c>
      <c r="H1332" s="217" t="s">
        <v>931</v>
      </c>
      <c r="I1332" s="217" t="s">
        <v>616</v>
      </c>
      <c r="J1332" s="217" t="s">
        <v>1855</v>
      </c>
      <c r="K1332" s="217">
        <v>2</v>
      </c>
      <c r="L1332" s="217">
        <v>15</v>
      </c>
      <c r="M1332" s="217" t="s">
        <v>31</v>
      </c>
      <c r="N1332" s="217" t="s">
        <v>32</v>
      </c>
      <c r="O1332" s="217" t="s">
        <v>141</v>
      </c>
      <c r="P1332" s="217" t="s">
        <v>142</v>
      </c>
      <c r="Q1332" s="217" t="s">
        <v>143</v>
      </c>
      <c r="R1332" s="217" t="s">
        <v>142</v>
      </c>
      <c r="S1332" s="217" t="s">
        <v>619</v>
      </c>
      <c r="T1332" s="217" t="s">
        <v>32</v>
      </c>
      <c r="U1332" s="217" t="s">
        <v>32</v>
      </c>
      <c r="V1332" s="217" t="s">
        <v>32</v>
      </c>
      <c r="W1332" s="217" t="s">
        <v>32</v>
      </c>
    </row>
    <row r="1333" spans="1:23" x14ac:dyDescent="0.25">
      <c r="A1333" s="217" t="s">
        <v>22</v>
      </c>
      <c r="B1333" s="217" t="s">
        <v>23</v>
      </c>
      <c r="C1333" s="217" t="s">
        <v>85</v>
      </c>
      <c r="D1333" s="217" t="s">
        <v>84</v>
      </c>
      <c r="E1333" s="217" t="s">
        <v>95</v>
      </c>
      <c r="F1333" s="217" t="s">
        <v>94</v>
      </c>
      <c r="G1333" s="217" t="s">
        <v>265</v>
      </c>
      <c r="H1333" s="217" t="s">
        <v>932</v>
      </c>
      <c r="I1333" s="217" t="s">
        <v>616</v>
      </c>
      <c r="J1333" s="217" t="s">
        <v>1855</v>
      </c>
      <c r="K1333" s="217">
        <v>6</v>
      </c>
      <c r="L1333" s="217">
        <v>42</v>
      </c>
      <c r="M1333" s="217" t="s">
        <v>31</v>
      </c>
      <c r="N1333" s="217" t="s">
        <v>32</v>
      </c>
      <c r="O1333" s="217" t="s">
        <v>141</v>
      </c>
      <c r="P1333" s="217" t="s">
        <v>142</v>
      </c>
      <c r="Q1333" s="217" t="s">
        <v>143</v>
      </c>
      <c r="R1333" s="217" t="s">
        <v>142</v>
      </c>
      <c r="S1333" s="217" t="s">
        <v>619</v>
      </c>
      <c r="T1333" s="217" t="s">
        <v>32</v>
      </c>
      <c r="U1333" s="217" t="s">
        <v>32</v>
      </c>
      <c r="V1333" s="217" t="s">
        <v>32</v>
      </c>
      <c r="W1333" s="217" t="s">
        <v>32</v>
      </c>
    </row>
    <row r="1334" spans="1:23" x14ac:dyDescent="0.25">
      <c r="A1334" s="217" t="s">
        <v>22</v>
      </c>
      <c r="B1334" s="217" t="s">
        <v>23</v>
      </c>
      <c r="C1334" s="217" t="s">
        <v>85</v>
      </c>
      <c r="D1334" s="217" t="s">
        <v>84</v>
      </c>
      <c r="E1334" s="217" t="s">
        <v>95</v>
      </c>
      <c r="F1334" s="217" t="s">
        <v>94</v>
      </c>
      <c r="G1334" s="217" t="s">
        <v>265</v>
      </c>
      <c r="H1334" s="217" t="s">
        <v>932</v>
      </c>
      <c r="I1334" s="217" t="s">
        <v>616</v>
      </c>
      <c r="J1334" s="217" t="s">
        <v>1857</v>
      </c>
      <c r="K1334" s="217">
        <v>1</v>
      </c>
      <c r="L1334" s="217">
        <v>8</v>
      </c>
      <c r="M1334" s="217" t="s">
        <v>31</v>
      </c>
      <c r="N1334" s="217" t="s">
        <v>32</v>
      </c>
      <c r="O1334" s="217" t="s">
        <v>141</v>
      </c>
      <c r="P1334" s="217" t="s">
        <v>142</v>
      </c>
      <c r="Q1334" s="217" t="s">
        <v>143</v>
      </c>
      <c r="R1334" s="217" t="s">
        <v>142</v>
      </c>
      <c r="S1334" s="217" t="s">
        <v>619</v>
      </c>
      <c r="T1334" s="217" t="s">
        <v>32</v>
      </c>
      <c r="U1334" s="217" t="s">
        <v>32</v>
      </c>
      <c r="V1334" s="217" t="s">
        <v>32</v>
      </c>
      <c r="W1334" s="217" t="s">
        <v>32</v>
      </c>
    </row>
    <row r="1335" spans="1:23" x14ac:dyDescent="0.25">
      <c r="A1335" s="217" t="s">
        <v>22</v>
      </c>
      <c r="B1335" s="217" t="s">
        <v>23</v>
      </c>
      <c r="C1335" s="217" t="s">
        <v>85</v>
      </c>
      <c r="D1335" s="217" t="s">
        <v>84</v>
      </c>
      <c r="E1335" s="217" t="s">
        <v>95</v>
      </c>
      <c r="F1335" s="217" t="s">
        <v>94</v>
      </c>
      <c r="G1335" s="217" t="s">
        <v>266</v>
      </c>
      <c r="H1335" s="217" t="s">
        <v>933</v>
      </c>
      <c r="I1335" s="217" t="s">
        <v>616</v>
      </c>
      <c r="J1335" s="217" t="s">
        <v>1855</v>
      </c>
      <c r="K1335" s="217">
        <v>2</v>
      </c>
      <c r="L1335" s="217">
        <v>10</v>
      </c>
      <c r="M1335" s="217" t="s">
        <v>31</v>
      </c>
      <c r="N1335" s="217" t="s">
        <v>32</v>
      </c>
      <c r="O1335" s="217" t="s">
        <v>141</v>
      </c>
      <c r="P1335" s="217" t="s">
        <v>142</v>
      </c>
      <c r="Q1335" s="217" t="s">
        <v>143</v>
      </c>
      <c r="R1335" s="217" t="s">
        <v>142</v>
      </c>
      <c r="S1335" s="217" t="s">
        <v>619</v>
      </c>
      <c r="T1335" s="217" t="s">
        <v>32</v>
      </c>
      <c r="U1335" s="217" t="s">
        <v>32</v>
      </c>
      <c r="V1335" s="217" t="s">
        <v>32</v>
      </c>
      <c r="W1335" s="217" t="s">
        <v>32</v>
      </c>
    </row>
    <row r="1336" spans="1:23" x14ac:dyDescent="0.25">
      <c r="A1336" s="217" t="s">
        <v>22</v>
      </c>
      <c r="B1336" s="217" t="s">
        <v>23</v>
      </c>
      <c r="C1336" s="217" t="s">
        <v>85</v>
      </c>
      <c r="D1336" s="217" t="s">
        <v>84</v>
      </c>
      <c r="E1336" s="217" t="s">
        <v>95</v>
      </c>
      <c r="F1336" s="217" t="s">
        <v>94</v>
      </c>
      <c r="G1336" s="217" t="s">
        <v>266</v>
      </c>
      <c r="H1336" s="217" t="s">
        <v>933</v>
      </c>
      <c r="I1336" s="217" t="s">
        <v>616</v>
      </c>
      <c r="J1336" s="217" t="s">
        <v>1856</v>
      </c>
      <c r="K1336" s="217">
        <v>4</v>
      </c>
      <c r="L1336" s="217">
        <v>20</v>
      </c>
      <c r="M1336" s="217" t="s">
        <v>31</v>
      </c>
      <c r="N1336" s="217" t="s">
        <v>32</v>
      </c>
      <c r="O1336" s="217" t="s">
        <v>141</v>
      </c>
      <c r="P1336" s="217" t="s">
        <v>142</v>
      </c>
      <c r="Q1336" s="217" t="s">
        <v>143</v>
      </c>
      <c r="R1336" s="217" t="s">
        <v>142</v>
      </c>
      <c r="S1336" s="217" t="s">
        <v>619</v>
      </c>
      <c r="T1336" s="217" t="s">
        <v>32</v>
      </c>
      <c r="U1336" s="217" t="s">
        <v>32</v>
      </c>
      <c r="V1336" s="217" t="s">
        <v>32</v>
      </c>
      <c r="W1336" s="217" t="s">
        <v>32</v>
      </c>
    </row>
    <row r="1337" spans="1:23" x14ac:dyDescent="0.25">
      <c r="A1337" s="217" t="s">
        <v>22</v>
      </c>
      <c r="B1337" s="217" t="s">
        <v>23</v>
      </c>
      <c r="C1337" s="217" t="s">
        <v>85</v>
      </c>
      <c r="D1337" s="217" t="s">
        <v>84</v>
      </c>
      <c r="E1337" s="217" t="s">
        <v>95</v>
      </c>
      <c r="F1337" s="217" t="s">
        <v>94</v>
      </c>
      <c r="G1337" s="217" t="s">
        <v>268</v>
      </c>
      <c r="H1337" s="217" t="s">
        <v>935</v>
      </c>
      <c r="I1337" s="217" t="s">
        <v>616</v>
      </c>
      <c r="J1337" s="217" t="s">
        <v>1856</v>
      </c>
      <c r="K1337" s="217">
        <v>4</v>
      </c>
      <c r="L1337" s="217">
        <v>24</v>
      </c>
      <c r="M1337" s="217" t="s">
        <v>31</v>
      </c>
      <c r="N1337" s="217" t="s">
        <v>32</v>
      </c>
      <c r="O1337" s="217" t="s">
        <v>141</v>
      </c>
      <c r="P1337" s="217" t="s">
        <v>142</v>
      </c>
      <c r="Q1337" s="217" t="s">
        <v>143</v>
      </c>
      <c r="R1337" s="217" t="s">
        <v>142</v>
      </c>
      <c r="S1337" s="217" t="s">
        <v>619</v>
      </c>
      <c r="T1337" s="217" t="s">
        <v>32</v>
      </c>
      <c r="U1337" s="217" t="s">
        <v>32</v>
      </c>
      <c r="V1337" s="217" t="s">
        <v>32</v>
      </c>
      <c r="W1337" s="217" t="s">
        <v>32</v>
      </c>
    </row>
    <row r="1338" spans="1:23" x14ac:dyDescent="0.25">
      <c r="A1338" s="217" t="s">
        <v>22</v>
      </c>
      <c r="B1338" s="217" t="s">
        <v>23</v>
      </c>
      <c r="C1338" s="217" t="s">
        <v>85</v>
      </c>
      <c r="D1338" s="217" t="s">
        <v>84</v>
      </c>
      <c r="E1338" s="217" t="s">
        <v>95</v>
      </c>
      <c r="F1338" s="217" t="s">
        <v>94</v>
      </c>
      <c r="G1338" s="217" t="s">
        <v>269</v>
      </c>
      <c r="H1338" s="217" t="s">
        <v>936</v>
      </c>
      <c r="I1338" s="217" t="s">
        <v>616</v>
      </c>
      <c r="J1338" s="217" t="s">
        <v>1857</v>
      </c>
      <c r="K1338" s="217">
        <v>3</v>
      </c>
      <c r="L1338" s="217">
        <v>18</v>
      </c>
      <c r="M1338" s="217" t="s">
        <v>31</v>
      </c>
      <c r="N1338" s="217" t="s">
        <v>32</v>
      </c>
      <c r="O1338" s="217" t="s">
        <v>141</v>
      </c>
      <c r="P1338" s="217" t="s">
        <v>142</v>
      </c>
      <c r="Q1338" s="217" t="s">
        <v>143</v>
      </c>
      <c r="R1338" s="217" t="s">
        <v>142</v>
      </c>
      <c r="S1338" s="217" t="s">
        <v>619</v>
      </c>
      <c r="T1338" s="217" t="s">
        <v>32</v>
      </c>
      <c r="U1338" s="217" t="s">
        <v>32</v>
      </c>
      <c r="V1338" s="217" t="s">
        <v>32</v>
      </c>
      <c r="W1338" s="217" t="s">
        <v>32</v>
      </c>
    </row>
    <row r="1339" spans="1:23" x14ac:dyDescent="0.25">
      <c r="A1339" s="217" t="s">
        <v>22</v>
      </c>
      <c r="B1339" s="217" t="s">
        <v>23</v>
      </c>
      <c r="C1339" s="217" t="s">
        <v>85</v>
      </c>
      <c r="D1339" s="217" t="s">
        <v>84</v>
      </c>
      <c r="E1339" s="217" t="s">
        <v>95</v>
      </c>
      <c r="F1339" s="217" t="s">
        <v>94</v>
      </c>
      <c r="G1339" s="217" t="s">
        <v>273</v>
      </c>
      <c r="H1339" s="217" t="s">
        <v>940</v>
      </c>
      <c r="I1339" s="217" t="s">
        <v>616</v>
      </c>
      <c r="J1339" s="217" t="s">
        <v>1856</v>
      </c>
      <c r="K1339" s="217">
        <v>4</v>
      </c>
      <c r="L1339" s="217">
        <v>27</v>
      </c>
      <c r="M1339" s="217" t="s">
        <v>31</v>
      </c>
      <c r="N1339" s="217" t="s">
        <v>32</v>
      </c>
      <c r="O1339" s="217" t="s">
        <v>141</v>
      </c>
      <c r="P1339" s="217" t="s">
        <v>142</v>
      </c>
      <c r="Q1339" s="217" t="s">
        <v>143</v>
      </c>
      <c r="R1339" s="217" t="s">
        <v>142</v>
      </c>
      <c r="S1339" s="217" t="s">
        <v>619</v>
      </c>
      <c r="T1339" s="217" t="s">
        <v>32</v>
      </c>
      <c r="U1339" s="217" t="s">
        <v>32</v>
      </c>
      <c r="V1339" s="217" t="s">
        <v>32</v>
      </c>
      <c r="W1339" s="217" t="s">
        <v>32</v>
      </c>
    </row>
    <row r="1340" spans="1:23" x14ac:dyDescent="0.25">
      <c r="A1340" s="217" t="s">
        <v>22</v>
      </c>
      <c r="B1340" s="217" t="s">
        <v>23</v>
      </c>
      <c r="C1340" s="217" t="s">
        <v>85</v>
      </c>
      <c r="D1340" s="217" t="s">
        <v>84</v>
      </c>
      <c r="E1340" s="217" t="s">
        <v>95</v>
      </c>
      <c r="F1340" s="217" t="s">
        <v>94</v>
      </c>
      <c r="G1340" s="217" t="s">
        <v>273</v>
      </c>
      <c r="H1340" s="217" t="s">
        <v>940</v>
      </c>
      <c r="I1340" s="217" t="s">
        <v>616</v>
      </c>
      <c r="J1340" s="217" t="s">
        <v>1858</v>
      </c>
      <c r="K1340" s="217">
        <v>2</v>
      </c>
      <c r="L1340" s="217">
        <v>9</v>
      </c>
      <c r="M1340" s="217" t="s">
        <v>31</v>
      </c>
      <c r="N1340" s="217" t="s">
        <v>32</v>
      </c>
      <c r="O1340" s="217" t="s">
        <v>141</v>
      </c>
      <c r="P1340" s="217" t="s">
        <v>142</v>
      </c>
      <c r="Q1340" s="217" t="s">
        <v>143</v>
      </c>
      <c r="R1340" s="217" t="s">
        <v>142</v>
      </c>
      <c r="S1340" s="217" t="s">
        <v>619</v>
      </c>
      <c r="T1340" s="217" t="s">
        <v>32</v>
      </c>
      <c r="U1340" s="217" t="s">
        <v>32</v>
      </c>
      <c r="V1340" s="217" t="s">
        <v>32</v>
      </c>
      <c r="W1340" s="217" t="s">
        <v>32</v>
      </c>
    </row>
    <row r="1341" spans="1:23" x14ac:dyDescent="0.25">
      <c r="A1341" s="217" t="s">
        <v>22</v>
      </c>
      <c r="B1341" s="217" t="s">
        <v>23</v>
      </c>
      <c r="C1341" s="217" t="s">
        <v>85</v>
      </c>
      <c r="D1341" s="217" t="s">
        <v>84</v>
      </c>
      <c r="E1341" s="217" t="s">
        <v>92</v>
      </c>
      <c r="F1341" s="217" t="s">
        <v>91</v>
      </c>
      <c r="G1341" s="217" t="s">
        <v>276</v>
      </c>
      <c r="H1341" s="217" t="s">
        <v>945</v>
      </c>
      <c r="I1341" s="217" t="s">
        <v>616</v>
      </c>
      <c r="J1341" s="217" t="s">
        <v>1857</v>
      </c>
      <c r="K1341" s="217">
        <v>15</v>
      </c>
      <c r="L1341" s="217">
        <v>137</v>
      </c>
      <c r="M1341" s="217" t="s">
        <v>31</v>
      </c>
      <c r="N1341" s="217" t="s">
        <v>32</v>
      </c>
      <c r="O1341" s="217" t="s">
        <v>141</v>
      </c>
      <c r="P1341" s="217" t="s">
        <v>142</v>
      </c>
      <c r="Q1341" s="217" t="s">
        <v>143</v>
      </c>
      <c r="R1341" s="217" t="s">
        <v>142</v>
      </c>
      <c r="S1341" s="217" t="s">
        <v>619</v>
      </c>
      <c r="T1341" s="217" t="s">
        <v>32</v>
      </c>
      <c r="U1341" s="217" t="s">
        <v>32</v>
      </c>
      <c r="V1341" s="217" t="s">
        <v>32</v>
      </c>
      <c r="W1341" s="217" t="s">
        <v>32</v>
      </c>
    </row>
    <row r="1342" spans="1:23" x14ac:dyDescent="0.25">
      <c r="A1342" s="217" t="s">
        <v>22</v>
      </c>
      <c r="B1342" s="217" t="s">
        <v>23</v>
      </c>
      <c r="C1342" s="217" t="s">
        <v>85</v>
      </c>
      <c r="D1342" s="217" t="s">
        <v>84</v>
      </c>
      <c r="E1342" s="217" t="s">
        <v>92</v>
      </c>
      <c r="F1342" s="217" t="s">
        <v>91</v>
      </c>
      <c r="G1342" s="217" t="s">
        <v>280</v>
      </c>
      <c r="H1342" s="217" t="s">
        <v>948</v>
      </c>
      <c r="I1342" s="217" t="s">
        <v>616</v>
      </c>
      <c r="J1342" s="217" t="s">
        <v>1855</v>
      </c>
      <c r="K1342" s="217">
        <v>53</v>
      </c>
      <c r="L1342" s="217">
        <v>517</v>
      </c>
      <c r="M1342" s="217" t="s">
        <v>31</v>
      </c>
      <c r="N1342" s="217" t="s">
        <v>32</v>
      </c>
      <c r="O1342" s="217" t="s">
        <v>141</v>
      </c>
      <c r="P1342" s="217" t="s">
        <v>142</v>
      </c>
      <c r="Q1342" s="217" t="s">
        <v>143</v>
      </c>
      <c r="R1342" s="217" t="s">
        <v>142</v>
      </c>
      <c r="S1342" s="217" t="s">
        <v>619</v>
      </c>
      <c r="T1342" s="217" t="s">
        <v>32</v>
      </c>
      <c r="U1342" s="217" t="s">
        <v>32</v>
      </c>
      <c r="V1342" s="217" t="s">
        <v>32</v>
      </c>
      <c r="W1342" s="217" t="s">
        <v>32</v>
      </c>
    </row>
    <row r="1343" spans="1:23" x14ac:dyDescent="0.25">
      <c r="A1343" s="217" t="s">
        <v>22</v>
      </c>
      <c r="B1343" s="217" t="s">
        <v>23</v>
      </c>
      <c r="C1343" s="217" t="s">
        <v>85</v>
      </c>
      <c r="D1343" s="217" t="s">
        <v>84</v>
      </c>
      <c r="E1343" s="217" t="s">
        <v>92</v>
      </c>
      <c r="F1343" s="217" t="s">
        <v>91</v>
      </c>
      <c r="G1343" s="217" t="s">
        <v>280</v>
      </c>
      <c r="H1343" s="217" t="s">
        <v>948</v>
      </c>
      <c r="I1343" s="217" t="s">
        <v>616</v>
      </c>
      <c r="J1343" s="217" t="s">
        <v>1857</v>
      </c>
      <c r="K1343" s="217">
        <v>530</v>
      </c>
      <c r="L1343" s="217">
        <v>2749</v>
      </c>
      <c r="M1343" s="217" t="s">
        <v>31</v>
      </c>
      <c r="N1343" s="217" t="s">
        <v>32</v>
      </c>
      <c r="O1343" s="217" t="s">
        <v>141</v>
      </c>
      <c r="P1343" s="217" t="s">
        <v>142</v>
      </c>
      <c r="Q1343" s="217" t="s">
        <v>143</v>
      </c>
      <c r="R1343" s="217" t="s">
        <v>142</v>
      </c>
      <c r="S1343" s="217" t="s">
        <v>619</v>
      </c>
      <c r="T1343" s="217" t="s">
        <v>32</v>
      </c>
      <c r="U1343" s="217" t="s">
        <v>32</v>
      </c>
      <c r="V1343" s="217" t="s">
        <v>32</v>
      </c>
      <c r="W1343" s="217" t="s">
        <v>32</v>
      </c>
    </row>
    <row r="1344" spans="1:23" x14ac:dyDescent="0.25">
      <c r="A1344" s="217" t="s">
        <v>22</v>
      </c>
      <c r="B1344" s="217" t="s">
        <v>23</v>
      </c>
      <c r="C1344" s="217" t="s">
        <v>85</v>
      </c>
      <c r="D1344" s="217" t="s">
        <v>84</v>
      </c>
      <c r="E1344" s="217" t="s">
        <v>92</v>
      </c>
      <c r="F1344" s="217" t="s">
        <v>91</v>
      </c>
      <c r="G1344" s="217" t="s">
        <v>1816</v>
      </c>
      <c r="H1344" s="217" t="s">
        <v>1815</v>
      </c>
      <c r="I1344" s="217" t="s">
        <v>616</v>
      </c>
      <c r="J1344" s="217" t="s">
        <v>1858</v>
      </c>
      <c r="K1344" s="217">
        <v>24</v>
      </c>
      <c r="L1344" s="217">
        <v>70</v>
      </c>
      <c r="M1344" s="217" t="s">
        <v>31</v>
      </c>
      <c r="N1344" s="217" t="s">
        <v>32</v>
      </c>
      <c r="O1344" s="217" t="s">
        <v>141</v>
      </c>
      <c r="P1344" s="217" t="s">
        <v>142</v>
      </c>
      <c r="Q1344" s="217" t="s">
        <v>143</v>
      </c>
      <c r="R1344" s="217" t="s">
        <v>142</v>
      </c>
      <c r="S1344" s="217" t="s">
        <v>619</v>
      </c>
      <c r="T1344" s="217" t="s">
        <v>32</v>
      </c>
      <c r="U1344" s="217" t="s">
        <v>32</v>
      </c>
      <c r="V1344" s="217" t="s">
        <v>32</v>
      </c>
      <c r="W1344" s="217" t="s">
        <v>32</v>
      </c>
    </row>
    <row r="1345" spans="1:23" x14ac:dyDescent="0.25">
      <c r="A1345" s="217" t="s">
        <v>22</v>
      </c>
      <c r="B1345" s="217" t="s">
        <v>23</v>
      </c>
      <c r="C1345" s="217" t="s">
        <v>85</v>
      </c>
      <c r="D1345" s="217" t="s">
        <v>84</v>
      </c>
      <c r="E1345" s="217" t="s">
        <v>92</v>
      </c>
      <c r="F1345" s="217" t="s">
        <v>91</v>
      </c>
      <c r="G1345" s="217" t="s">
        <v>768</v>
      </c>
      <c r="H1345" s="217" t="s">
        <v>949</v>
      </c>
      <c r="I1345" s="217" t="s">
        <v>616</v>
      </c>
      <c r="J1345" s="217" t="s">
        <v>1856</v>
      </c>
      <c r="K1345" s="217">
        <v>53</v>
      </c>
      <c r="L1345" s="217">
        <v>265</v>
      </c>
      <c r="M1345" s="217" t="s">
        <v>31</v>
      </c>
      <c r="N1345" s="217" t="s">
        <v>32</v>
      </c>
      <c r="O1345" s="217" t="s">
        <v>141</v>
      </c>
      <c r="P1345" s="217" t="s">
        <v>142</v>
      </c>
      <c r="Q1345" s="217" t="s">
        <v>143</v>
      </c>
      <c r="R1345" s="217" t="s">
        <v>142</v>
      </c>
      <c r="S1345" s="217" t="s">
        <v>619</v>
      </c>
      <c r="T1345" s="217" t="s">
        <v>32</v>
      </c>
      <c r="U1345" s="217" t="s">
        <v>32</v>
      </c>
      <c r="V1345" s="217" t="s">
        <v>32</v>
      </c>
      <c r="W1345" s="217" t="s">
        <v>32</v>
      </c>
    </row>
    <row r="1346" spans="1:23" x14ac:dyDescent="0.25">
      <c r="A1346" s="217" t="s">
        <v>22</v>
      </c>
      <c r="B1346" s="217" t="s">
        <v>23</v>
      </c>
      <c r="C1346" s="217" t="s">
        <v>85</v>
      </c>
      <c r="D1346" s="217" t="s">
        <v>84</v>
      </c>
      <c r="E1346" s="217" t="s">
        <v>92</v>
      </c>
      <c r="F1346" s="217" t="s">
        <v>91</v>
      </c>
      <c r="G1346" s="217" t="s">
        <v>950</v>
      </c>
      <c r="H1346" s="217" t="s">
        <v>951</v>
      </c>
      <c r="I1346" s="217" t="s">
        <v>616</v>
      </c>
      <c r="J1346" s="217" t="s">
        <v>1857</v>
      </c>
      <c r="K1346" s="217">
        <v>5</v>
      </c>
      <c r="L1346" s="217">
        <v>38</v>
      </c>
      <c r="M1346" s="217" t="s">
        <v>31</v>
      </c>
      <c r="N1346" s="217" t="s">
        <v>32</v>
      </c>
      <c r="O1346" s="217" t="s">
        <v>141</v>
      </c>
      <c r="P1346" s="217" t="s">
        <v>142</v>
      </c>
      <c r="Q1346" s="217" t="s">
        <v>143</v>
      </c>
      <c r="R1346" s="217" t="s">
        <v>142</v>
      </c>
      <c r="S1346" s="217" t="s">
        <v>619</v>
      </c>
      <c r="T1346" s="217" t="s">
        <v>32</v>
      </c>
      <c r="U1346" s="217" t="s">
        <v>32</v>
      </c>
      <c r="V1346" s="217" t="s">
        <v>32</v>
      </c>
      <c r="W1346" s="217" t="s">
        <v>32</v>
      </c>
    </row>
    <row r="1347" spans="1:23" x14ac:dyDescent="0.25">
      <c r="A1347" s="217" t="s">
        <v>22</v>
      </c>
      <c r="B1347" s="217" t="s">
        <v>23</v>
      </c>
      <c r="C1347" s="217" t="s">
        <v>85</v>
      </c>
      <c r="D1347" s="217" t="s">
        <v>84</v>
      </c>
      <c r="E1347" s="217" t="s">
        <v>92</v>
      </c>
      <c r="F1347" s="217" t="s">
        <v>91</v>
      </c>
      <c r="G1347" s="217" t="s">
        <v>952</v>
      </c>
      <c r="H1347" s="217" t="s">
        <v>953</v>
      </c>
      <c r="I1347" s="217" t="s">
        <v>616</v>
      </c>
      <c r="J1347" s="217" t="s">
        <v>1857</v>
      </c>
      <c r="K1347" s="217">
        <v>25</v>
      </c>
      <c r="L1347" s="217">
        <v>80</v>
      </c>
      <c r="M1347" s="217" t="s">
        <v>31</v>
      </c>
      <c r="N1347" s="217" t="s">
        <v>32</v>
      </c>
      <c r="O1347" s="217" t="s">
        <v>141</v>
      </c>
      <c r="P1347" s="217" t="s">
        <v>142</v>
      </c>
      <c r="Q1347" s="217" t="s">
        <v>143</v>
      </c>
      <c r="R1347" s="217" t="s">
        <v>142</v>
      </c>
      <c r="S1347" s="217" t="s">
        <v>619</v>
      </c>
      <c r="T1347" s="217" t="s">
        <v>32</v>
      </c>
      <c r="U1347" s="217" t="s">
        <v>32</v>
      </c>
      <c r="V1347" s="217" t="s">
        <v>32</v>
      </c>
      <c r="W1347" s="217" t="s">
        <v>32</v>
      </c>
    </row>
    <row r="1348" spans="1:23" x14ac:dyDescent="0.25">
      <c r="A1348" s="217" t="s">
        <v>22</v>
      </c>
      <c r="B1348" s="217" t="s">
        <v>23</v>
      </c>
      <c r="C1348" s="217" t="s">
        <v>85</v>
      </c>
      <c r="D1348" s="217" t="s">
        <v>84</v>
      </c>
      <c r="E1348" s="217" t="s">
        <v>92</v>
      </c>
      <c r="F1348" s="217" t="s">
        <v>91</v>
      </c>
      <c r="G1348" s="217" t="s">
        <v>1814</v>
      </c>
      <c r="H1348" s="217" t="s">
        <v>1813</v>
      </c>
      <c r="I1348" s="217" t="s">
        <v>616</v>
      </c>
      <c r="J1348" s="217" t="s">
        <v>1858</v>
      </c>
      <c r="K1348" s="217">
        <v>27</v>
      </c>
      <c r="L1348" s="217">
        <v>107</v>
      </c>
      <c r="M1348" s="217" t="s">
        <v>31</v>
      </c>
      <c r="N1348" s="217" t="s">
        <v>32</v>
      </c>
      <c r="O1348" s="217" t="s">
        <v>141</v>
      </c>
      <c r="P1348" s="217" t="s">
        <v>142</v>
      </c>
      <c r="Q1348" s="217" t="s">
        <v>143</v>
      </c>
      <c r="R1348" s="217" t="s">
        <v>142</v>
      </c>
      <c r="S1348" s="217" t="s">
        <v>619</v>
      </c>
      <c r="T1348" s="217" t="s">
        <v>32</v>
      </c>
      <c r="U1348" s="217" t="s">
        <v>32</v>
      </c>
      <c r="V1348" s="217" t="s">
        <v>32</v>
      </c>
      <c r="W1348" s="217" t="s">
        <v>32</v>
      </c>
    </row>
    <row r="1349" spans="1:23" x14ac:dyDescent="0.25">
      <c r="A1349" s="217" t="s">
        <v>22</v>
      </c>
      <c r="B1349" s="217" t="s">
        <v>23</v>
      </c>
      <c r="C1349" s="217" t="s">
        <v>85</v>
      </c>
      <c r="D1349" s="217" t="s">
        <v>84</v>
      </c>
      <c r="E1349" s="217" t="s">
        <v>92</v>
      </c>
      <c r="F1349" s="217" t="s">
        <v>91</v>
      </c>
      <c r="G1349" s="217" t="s">
        <v>1500</v>
      </c>
      <c r="H1349" s="217" t="s">
        <v>1501</v>
      </c>
      <c r="I1349" s="217" t="s">
        <v>616</v>
      </c>
      <c r="J1349" s="217" t="s">
        <v>1858</v>
      </c>
      <c r="K1349" s="217">
        <v>39</v>
      </c>
      <c r="L1349" s="217">
        <v>315</v>
      </c>
      <c r="M1349" s="217" t="s">
        <v>31</v>
      </c>
      <c r="N1349" s="217" t="s">
        <v>32</v>
      </c>
      <c r="O1349" s="217" t="s">
        <v>141</v>
      </c>
      <c r="P1349" s="217" t="s">
        <v>142</v>
      </c>
      <c r="Q1349" s="217" t="s">
        <v>143</v>
      </c>
      <c r="R1349" s="217" t="s">
        <v>142</v>
      </c>
      <c r="S1349" s="217" t="s">
        <v>619</v>
      </c>
      <c r="T1349" s="217" t="s">
        <v>32</v>
      </c>
      <c r="U1349" s="217" t="s">
        <v>32</v>
      </c>
      <c r="V1349" s="217" t="s">
        <v>32</v>
      </c>
      <c r="W1349" s="217" t="s">
        <v>32</v>
      </c>
    </row>
    <row r="1350" spans="1:23" x14ac:dyDescent="0.25">
      <c r="A1350" s="217" t="s">
        <v>22</v>
      </c>
      <c r="B1350" s="217" t="s">
        <v>23</v>
      </c>
      <c r="C1350" s="217" t="s">
        <v>85</v>
      </c>
      <c r="D1350" s="217" t="s">
        <v>84</v>
      </c>
      <c r="E1350" s="217" t="s">
        <v>92</v>
      </c>
      <c r="F1350" s="217" t="s">
        <v>91</v>
      </c>
      <c r="G1350" s="217" t="s">
        <v>960</v>
      </c>
      <c r="H1350" s="217" t="s">
        <v>961</v>
      </c>
      <c r="I1350" s="217" t="s">
        <v>616</v>
      </c>
      <c r="J1350" s="217" t="s">
        <v>1858</v>
      </c>
      <c r="K1350" s="217">
        <v>12</v>
      </c>
      <c r="L1350" s="217">
        <v>96</v>
      </c>
      <c r="M1350" s="217" t="s">
        <v>31</v>
      </c>
      <c r="N1350" s="217" t="s">
        <v>32</v>
      </c>
      <c r="O1350" s="217" t="s">
        <v>141</v>
      </c>
      <c r="P1350" s="217" t="s">
        <v>142</v>
      </c>
      <c r="Q1350" s="217" t="s">
        <v>143</v>
      </c>
      <c r="R1350" s="217" t="s">
        <v>142</v>
      </c>
      <c r="S1350" s="217" t="s">
        <v>619</v>
      </c>
      <c r="T1350" s="217" t="s">
        <v>32</v>
      </c>
      <c r="U1350" s="217" t="s">
        <v>32</v>
      </c>
      <c r="V1350" s="217" t="s">
        <v>32</v>
      </c>
      <c r="W1350" s="217" t="s">
        <v>32</v>
      </c>
    </row>
    <row r="1351" spans="1:23" x14ac:dyDescent="0.25">
      <c r="A1351" s="217" t="s">
        <v>22</v>
      </c>
      <c r="B1351" s="217" t="s">
        <v>23</v>
      </c>
      <c r="C1351" s="217" t="s">
        <v>85</v>
      </c>
      <c r="D1351" s="217" t="s">
        <v>84</v>
      </c>
      <c r="E1351" s="217" t="s">
        <v>92</v>
      </c>
      <c r="F1351" s="217" t="s">
        <v>91</v>
      </c>
      <c r="G1351" s="217" t="s">
        <v>1812</v>
      </c>
      <c r="H1351" s="217" t="s">
        <v>1811</v>
      </c>
      <c r="I1351" s="217" t="s">
        <v>616</v>
      </c>
      <c r="J1351" s="217" t="s">
        <v>1858</v>
      </c>
      <c r="K1351" s="217">
        <v>21</v>
      </c>
      <c r="L1351" s="217">
        <v>106</v>
      </c>
      <c r="M1351" s="217" t="s">
        <v>31</v>
      </c>
      <c r="N1351" s="217" t="s">
        <v>32</v>
      </c>
      <c r="O1351" s="217" t="s">
        <v>141</v>
      </c>
      <c r="P1351" s="217" t="s">
        <v>142</v>
      </c>
      <c r="Q1351" s="217" t="s">
        <v>143</v>
      </c>
      <c r="R1351" s="217" t="s">
        <v>142</v>
      </c>
      <c r="S1351" s="217" t="s">
        <v>619</v>
      </c>
      <c r="T1351" s="217" t="s">
        <v>32</v>
      </c>
      <c r="U1351" s="217" t="s">
        <v>32</v>
      </c>
      <c r="V1351" s="217" t="s">
        <v>32</v>
      </c>
      <c r="W1351" s="217" t="s">
        <v>32</v>
      </c>
    </row>
    <row r="1352" spans="1:23" x14ac:dyDescent="0.25">
      <c r="A1352" s="217" t="s">
        <v>22</v>
      </c>
      <c r="B1352" s="217" t="s">
        <v>23</v>
      </c>
      <c r="C1352" s="217" t="s">
        <v>85</v>
      </c>
      <c r="D1352" s="217" t="s">
        <v>84</v>
      </c>
      <c r="E1352" s="217" t="s">
        <v>92</v>
      </c>
      <c r="F1352" s="217" t="s">
        <v>91</v>
      </c>
      <c r="G1352" s="217" t="s">
        <v>966</v>
      </c>
      <c r="H1352" s="217" t="s">
        <v>967</v>
      </c>
      <c r="I1352" s="217" t="s">
        <v>616</v>
      </c>
      <c r="J1352" s="217" t="s">
        <v>1856</v>
      </c>
      <c r="K1352" s="217">
        <v>62</v>
      </c>
      <c r="L1352" s="217">
        <v>310</v>
      </c>
      <c r="M1352" s="217" t="s">
        <v>31</v>
      </c>
      <c r="N1352" s="217" t="s">
        <v>32</v>
      </c>
      <c r="O1352" s="217" t="s">
        <v>141</v>
      </c>
      <c r="P1352" s="217" t="s">
        <v>142</v>
      </c>
      <c r="Q1352" s="217" t="s">
        <v>143</v>
      </c>
      <c r="R1352" s="217" t="s">
        <v>142</v>
      </c>
      <c r="S1352" s="217" t="s">
        <v>619</v>
      </c>
      <c r="T1352" s="217" t="s">
        <v>32</v>
      </c>
      <c r="U1352" s="217" t="s">
        <v>32</v>
      </c>
      <c r="V1352" s="217" t="s">
        <v>32</v>
      </c>
      <c r="W1352" s="217" t="s">
        <v>32</v>
      </c>
    </row>
    <row r="1353" spans="1:23" x14ac:dyDescent="0.25">
      <c r="A1353" s="217" t="s">
        <v>22</v>
      </c>
      <c r="B1353" s="217" t="s">
        <v>23</v>
      </c>
      <c r="C1353" s="217" t="s">
        <v>85</v>
      </c>
      <c r="D1353" s="217" t="s">
        <v>84</v>
      </c>
      <c r="E1353" s="217" t="s">
        <v>92</v>
      </c>
      <c r="F1353" s="217" t="s">
        <v>91</v>
      </c>
      <c r="G1353" s="217" t="s">
        <v>290</v>
      </c>
      <c r="H1353" s="217" t="s">
        <v>968</v>
      </c>
      <c r="I1353" s="217" t="s">
        <v>616</v>
      </c>
      <c r="J1353" s="217" t="s">
        <v>1856</v>
      </c>
      <c r="K1353" s="217">
        <v>57</v>
      </c>
      <c r="L1353" s="217">
        <v>237</v>
      </c>
      <c r="M1353" s="217" t="s">
        <v>31</v>
      </c>
      <c r="N1353" s="217" t="s">
        <v>32</v>
      </c>
      <c r="O1353" s="217" t="s">
        <v>141</v>
      </c>
      <c r="P1353" s="217" t="s">
        <v>142</v>
      </c>
      <c r="Q1353" s="217" t="s">
        <v>143</v>
      </c>
      <c r="R1353" s="217" t="s">
        <v>142</v>
      </c>
      <c r="S1353" s="217" t="s">
        <v>619</v>
      </c>
      <c r="T1353" s="217" t="s">
        <v>32</v>
      </c>
      <c r="U1353" s="217" t="s">
        <v>32</v>
      </c>
      <c r="V1353" s="217" t="s">
        <v>32</v>
      </c>
      <c r="W1353" s="217" t="s">
        <v>32</v>
      </c>
    </row>
    <row r="1354" spans="1:23" x14ac:dyDescent="0.25">
      <c r="A1354" s="217" t="s">
        <v>22</v>
      </c>
      <c r="B1354" s="217" t="s">
        <v>23</v>
      </c>
      <c r="C1354" s="217" t="s">
        <v>85</v>
      </c>
      <c r="D1354" s="217" t="s">
        <v>84</v>
      </c>
      <c r="E1354" s="217" t="s">
        <v>92</v>
      </c>
      <c r="F1354" s="217" t="s">
        <v>91</v>
      </c>
      <c r="G1354" s="217" t="s">
        <v>1818</v>
      </c>
      <c r="H1354" s="217" t="s">
        <v>1817</v>
      </c>
      <c r="I1354" s="217" t="s">
        <v>616</v>
      </c>
      <c r="J1354" s="217" t="s">
        <v>1858</v>
      </c>
      <c r="K1354" s="217">
        <v>45</v>
      </c>
      <c r="L1354" s="217">
        <v>175</v>
      </c>
      <c r="M1354" s="217" t="s">
        <v>31</v>
      </c>
      <c r="N1354" s="217" t="s">
        <v>32</v>
      </c>
      <c r="O1354" s="217" t="s">
        <v>141</v>
      </c>
      <c r="P1354" s="217" t="s">
        <v>142</v>
      </c>
      <c r="Q1354" s="217" t="s">
        <v>143</v>
      </c>
      <c r="R1354" s="217" t="s">
        <v>142</v>
      </c>
      <c r="S1354" s="217" t="s">
        <v>619</v>
      </c>
      <c r="T1354" s="217" t="s">
        <v>32</v>
      </c>
      <c r="U1354" s="217" t="s">
        <v>32</v>
      </c>
      <c r="V1354" s="217" t="s">
        <v>32</v>
      </c>
      <c r="W1354" s="217" t="s">
        <v>32</v>
      </c>
    </row>
    <row r="1355" spans="1:23" x14ac:dyDescent="0.25">
      <c r="A1355" s="217" t="s">
        <v>22</v>
      </c>
      <c r="B1355" s="217" t="s">
        <v>23</v>
      </c>
      <c r="C1355" s="217" t="s">
        <v>85</v>
      </c>
      <c r="D1355" s="217" t="s">
        <v>84</v>
      </c>
      <c r="E1355" s="217" t="s">
        <v>92</v>
      </c>
      <c r="F1355" s="217" t="s">
        <v>91</v>
      </c>
      <c r="G1355" s="217" t="s">
        <v>292</v>
      </c>
      <c r="H1355" s="217" t="s">
        <v>970</v>
      </c>
      <c r="I1355" s="217" t="s">
        <v>616</v>
      </c>
      <c r="J1355" s="217" t="s">
        <v>1857</v>
      </c>
      <c r="K1355" s="217">
        <v>106</v>
      </c>
      <c r="L1355" s="217">
        <v>340</v>
      </c>
      <c r="M1355" s="217" t="s">
        <v>31</v>
      </c>
      <c r="N1355" s="217" t="s">
        <v>32</v>
      </c>
      <c r="O1355" s="217" t="s">
        <v>141</v>
      </c>
      <c r="P1355" s="217" t="s">
        <v>142</v>
      </c>
      <c r="Q1355" s="217" t="s">
        <v>143</v>
      </c>
      <c r="R1355" s="217" t="s">
        <v>142</v>
      </c>
      <c r="S1355" s="217" t="s">
        <v>619</v>
      </c>
      <c r="T1355" s="217" t="s">
        <v>32</v>
      </c>
      <c r="U1355" s="217" t="s">
        <v>32</v>
      </c>
      <c r="V1355" s="217" t="s">
        <v>32</v>
      </c>
      <c r="W1355" s="217" t="s">
        <v>32</v>
      </c>
    </row>
    <row r="1356" spans="1:23" x14ac:dyDescent="0.25">
      <c r="A1356" s="217" t="s">
        <v>22</v>
      </c>
      <c r="B1356" s="217" t="s">
        <v>23</v>
      </c>
      <c r="C1356" s="217" t="s">
        <v>85</v>
      </c>
      <c r="D1356" s="217" t="s">
        <v>84</v>
      </c>
      <c r="E1356" s="217" t="s">
        <v>157</v>
      </c>
      <c r="F1356" s="217" t="s">
        <v>156</v>
      </c>
      <c r="G1356" s="217" t="s">
        <v>339</v>
      </c>
      <c r="H1356" s="217" t="s">
        <v>1026</v>
      </c>
      <c r="I1356" s="217" t="s">
        <v>616</v>
      </c>
      <c r="J1356" s="217" t="s">
        <v>1856</v>
      </c>
      <c r="K1356" s="217">
        <v>5</v>
      </c>
      <c r="L1356" s="217">
        <v>21</v>
      </c>
      <c r="M1356" s="217" t="s">
        <v>31</v>
      </c>
      <c r="N1356" s="217" t="s">
        <v>32</v>
      </c>
      <c r="O1356" s="217" t="s">
        <v>141</v>
      </c>
      <c r="P1356" s="217" t="s">
        <v>142</v>
      </c>
      <c r="Q1356" s="217" t="s">
        <v>143</v>
      </c>
      <c r="R1356" s="217" t="s">
        <v>142</v>
      </c>
      <c r="S1356" s="217" t="s">
        <v>619</v>
      </c>
      <c r="T1356" s="217" t="s">
        <v>32</v>
      </c>
      <c r="U1356" s="217" t="s">
        <v>32</v>
      </c>
      <c r="V1356" s="217" t="s">
        <v>32</v>
      </c>
      <c r="W1356" s="217" t="s">
        <v>32</v>
      </c>
    </row>
    <row r="1357" spans="1:23" x14ac:dyDescent="0.25">
      <c r="A1357" s="217" t="s">
        <v>22</v>
      </c>
      <c r="B1357" s="217" t="s">
        <v>23</v>
      </c>
      <c r="C1357" s="217" t="s">
        <v>85</v>
      </c>
      <c r="D1357" s="217" t="s">
        <v>84</v>
      </c>
      <c r="E1357" s="217" t="s">
        <v>157</v>
      </c>
      <c r="F1357" s="217" t="s">
        <v>156</v>
      </c>
      <c r="G1357" s="217" t="s">
        <v>357</v>
      </c>
      <c r="H1357" s="217" t="s">
        <v>1044</v>
      </c>
      <c r="I1357" s="217" t="s">
        <v>616</v>
      </c>
      <c r="J1357" s="217" t="s">
        <v>1857</v>
      </c>
      <c r="K1357" s="217">
        <v>1</v>
      </c>
      <c r="L1357" s="217">
        <v>10</v>
      </c>
      <c r="M1357" s="217" t="s">
        <v>31</v>
      </c>
      <c r="N1357" s="217" t="s">
        <v>32</v>
      </c>
      <c r="O1357" s="217" t="s">
        <v>141</v>
      </c>
      <c r="P1357" s="217" t="s">
        <v>142</v>
      </c>
      <c r="Q1357" s="217" t="s">
        <v>143</v>
      </c>
      <c r="R1357" s="217" t="s">
        <v>142</v>
      </c>
      <c r="S1357" s="217" t="s">
        <v>619</v>
      </c>
      <c r="T1357" s="217" t="s">
        <v>32</v>
      </c>
      <c r="U1357" s="217" t="s">
        <v>32</v>
      </c>
      <c r="V1357" s="217" t="s">
        <v>32</v>
      </c>
      <c r="W1357" s="217" t="s">
        <v>32</v>
      </c>
    </row>
    <row r="1358" spans="1:23" x14ac:dyDescent="0.25">
      <c r="A1358" s="217" t="s">
        <v>22</v>
      </c>
      <c r="B1358" s="217" t="s">
        <v>23</v>
      </c>
      <c r="C1358" s="217" t="s">
        <v>85</v>
      </c>
      <c r="D1358" s="217" t="s">
        <v>84</v>
      </c>
      <c r="E1358" s="217" t="s">
        <v>151</v>
      </c>
      <c r="F1358" s="217" t="s">
        <v>150</v>
      </c>
      <c r="G1358" s="217" t="s">
        <v>1063</v>
      </c>
      <c r="H1358" s="217" t="s">
        <v>1064</v>
      </c>
      <c r="I1358" s="217" t="s">
        <v>616</v>
      </c>
      <c r="J1358" s="217" t="s">
        <v>1858</v>
      </c>
      <c r="K1358" s="217">
        <v>20</v>
      </c>
      <c r="L1358" s="217">
        <v>110</v>
      </c>
      <c r="M1358" s="217" t="s">
        <v>31</v>
      </c>
      <c r="N1358" s="217" t="s">
        <v>32</v>
      </c>
      <c r="O1358" s="217" t="s">
        <v>141</v>
      </c>
      <c r="P1358" s="217" t="s">
        <v>142</v>
      </c>
      <c r="Q1358" s="217" t="s">
        <v>143</v>
      </c>
      <c r="R1358" s="217" t="s">
        <v>142</v>
      </c>
      <c r="S1358" s="217" t="s">
        <v>619</v>
      </c>
      <c r="T1358" s="217" t="s">
        <v>32</v>
      </c>
      <c r="U1358" s="217" t="s">
        <v>32</v>
      </c>
      <c r="V1358" s="217" t="s">
        <v>32</v>
      </c>
      <c r="W1358" s="217" t="s">
        <v>32</v>
      </c>
    </row>
    <row r="1359" spans="1:23" x14ac:dyDescent="0.25">
      <c r="A1359" s="217" t="s">
        <v>22</v>
      </c>
      <c r="B1359" s="217" t="s">
        <v>23</v>
      </c>
      <c r="C1359" s="217" t="s">
        <v>85</v>
      </c>
      <c r="D1359" s="217" t="s">
        <v>84</v>
      </c>
      <c r="E1359" s="217" t="s">
        <v>151</v>
      </c>
      <c r="F1359" s="217" t="s">
        <v>150</v>
      </c>
      <c r="G1359" s="217" t="s">
        <v>778</v>
      </c>
      <c r="H1359" s="217" t="s">
        <v>1067</v>
      </c>
      <c r="I1359" s="217" t="s">
        <v>616</v>
      </c>
      <c r="J1359" s="217" t="s">
        <v>1856</v>
      </c>
      <c r="K1359" s="217">
        <v>3</v>
      </c>
      <c r="L1359" s="217">
        <v>23</v>
      </c>
      <c r="M1359" s="217" t="s">
        <v>31</v>
      </c>
      <c r="N1359" s="217" t="s">
        <v>32</v>
      </c>
      <c r="O1359" s="217" t="s">
        <v>141</v>
      </c>
      <c r="P1359" s="217" t="s">
        <v>142</v>
      </c>
      <c r="Q1359" s="217" t="s">
        <v>143</v>
      </c>
      <c r="R1359" s="217" t="s">
        <v>142</v>
      </c>
      <c r="S1359" s="217" t="s">
        <v>619</v>
      </c>
      <c r="T1359" s="217" t="s">
        <v>32</v>
      </c>
      <c r="U1359" s="217" t="s">
        <v>32</v>
      </c>
      <c r="V1359" s="217" t="s">
        <v>32</v>
      </c>
      <c r="W1359" s="217" t="s">
        <v>32</v>
      </c>
    </row>
    <row r="1360" spans="1:23" x14ac:dyDescent="0.25">
      <c r="A1360" s="217" t="s">
        <v>22</v>
      </c>
      <c r="B1360" s="217" t="s">
        <v>23</v>
      </c>
      <c r="C1360" s="217" t="s">
        <v>85</v>
      </c>
      <c r="D1360" s="217" t="s">
        <v>84</v>
      </c>
      <c r="E1360" s="217" t="s">
        <v>151</v>
      </c>
      <c r="F1360" s="217" t="s">
        <v>150</v>
      </c>
      <c r="G1360" s="217" t="s">
        <v>781</v>
      </c>
      <c r="H1360" s="217" t="s">
        <v>1071</v>
      </c>
      <c r="I1360" s="217" t="s">
        <v>616</v>
      </c>
      <c r="J1360" s="217" t="s">
        <v>1856</v>
      </c>
      <c r="K1360" s="217">
        <v>5</v>
      </c>
      <c r="L1360" s="217">
        <v>49</v>
      </c>
      <c r="M1360" s="217" t="s">
        <v>31</v>
      </c>
      <c r="N1360" s="217" t="s">
        <v>32</v>
      </c>
      <c r="O1360" s="217" t="s">
        <v>141</v>
      </c>
      <c r="P1360" s="217" t="s">
        <v>142</v>
      </c>
      <c r="Q1360" s="217" t="s">
        <v>143</v>
      </c>
      <c r="R1360" s="217" t="s">
        <v>142</v>
      </c>
      <c r="S1360" s="217" t="s">
        <v>619</v>
      </c>
      <c r="T1360" s="217" t="s">
        <v>32</v>
      </c>
      <c r="U1360" s="217" t="s">
        <v>32</v>
      </c>
      <c r="V1360" s="217" t="s">
        <v>32</v>
      </c>
      <c r="W1360" s="217" t="s">
        <v>32</v>
      </c>
    </row>
    <row r="1361" spans="1:23" x14ac:dyDescent="0.25">
      <c r="A1361" s="217" t="s">
        <v>22</v>
      </c>
      <c r="B1361" s="217" t="s">
        <v>23</v>
      </c>
      <c r="C1361" s="217" t="s">
        <v>85</v>
      </c>
      <c r="D1361" s="217" t="s">
        <v>84</v>
      </c>
      <c r="E1361" s="217" t="s">
        <v>151</v>
      </c>
      <c r="F1361" s="217" t="s">
        <v>150</v>
      </c>
      <c r="G1361" s="217" t="s">
        <v>786</v>
      </c>
      <c r="H1361" s="217" t="s">
        <v>1095</v>
      </c>
      <c r="I1361" s="217" t="s">
        <v>616</v>
      </c>
      <c r="J1361" s="217" t="s">
        <v>1856</v>
      </c>
      <c r="K1361" s="217">
        <v>44</v>
      </c>
      <c r="L1361" s="217">
        <v>204</v>
      </c>
      <c r="M1361" s="217" t="s">
        <v>31</v>
      </c>
      <c r="N1361" s="217" t="s">
        <v>32</v>
      </c>
      <c r="O1361" s="217" t="s">
        <v>141</v>
      </c>
      <c r="P1361" s="217" t="s">
        <v>142</v>
      </c>
      <c r="Q1361" s="217" t="s">
        <v>143</v>
      </c>
      <c r="R1361" s="217" t="s">
        <v>142</v>
      </c>
      <c r="S1361" s="217" t="s">
        <v>619</v>
      </c>
      <c r="T1361" s="217" t="s">
        <v>32</v>
      </c>
      <c r="U1361" s="217" t="s">
        <v>32</v>
      </c>
      <c r="V1361" s="217" t="s">
        <v>32</v>
      </c>
      <c r="W1361" s="217" t="s">
        <v>32</v>
      </c>
    </row>
    <row r="1362" spans="1:23" x14ac:dyDescent="0.25">
      <c r="A1362" s="217" t="s">
        <v>22</v>
      </c>
      <c r="B1362" s="217" t="s">
        <v>23</v>
      </c>
      <c r="C1362" s="217" t="s">
        <v>85</v>
      </c>
      <c r="D1362" s="217" t="s">
        <v>84</v>
      </c>
      <c r="E1362" s="217" t="s">
        <v>151</v>
      </c>
      <c r="F1362" s="217" t="s">
        <v>150</v>
      </c>
      <c r="G1362" s="217" t="s">
        <v>82</v>
      </c>
      <c r="H1362" s="217" t="s">
        <v>1502</v>
      </c>
      <c r="I1362" s="217" t="s">
        <v>616</v>
      </c>
      <c r="J1362" s="217" t="s">
        <v>1858</v>
      </c>
      <c r="K1362" s="217">
        <v>17</v>
      </c>
      <c r="L1362" s="217">
        <v>100</v>
      </c>
      <c r="M1362" s="217" t="s">
        <v>31</v>
      </c>
      <c r="N1362" s="217" t="s">
        <v>32</v>
      </c>
      <c r="O1362" s="217" t="s">
        <v>141</v>
      </c>
      <c r="P1362" s="217" t="s">
        <v>142</v>
      </c>
      <c r="Q1362" s="217" t="s">
        <v>143</v>
      </c>
      <c r="R1362" s="217" t="s">
        <v>142</v>
      </c>
      <c r="S1362" s="217" t="s">
        <v>619</v>
      </c>
      <c r="T1362" s="217" t="s">
        <v>32</v>
      </c>
      <c r="U1362" s="217" t="s">
        <v>32</v>
      </c>
      <c r="V1362" s="217" t="s">
        <v>32</v>
      </c>
      <c r="W1362" s="217" t="s">
        <v>32</v>
      </c>
    </row>
    <row r="1363" spans="1:23" x14ac:dyDescent="0.25">
      <c r="A1363" s="217" t="s">
        <v>22</v>
      </c>
      <c r="B1363" s="217" t="s">
        <v>23</v>
      </c>
      <c r="C1363" s="217" t="s">
        <v>85</v>
      </c>
      <c r="D1363" s="217" t="s">
        <v>84</v>
      </c>
      <c r="E1363" s="217" t="s">
        <v>151</v>
      </c>
      <c r="F1363" s="217" t="s">
        <v>150</v>
      </c>
      <c r="G1363" s="217" t="s">
        <v>1096</v>
      </c>
      <c r="H1363" s="217" t="s">
        <v>1097</v>
      </c>
      <c r="I1363" s="217" t="s">
        <v>616</v>
      </c>
      <c r="J1363" s="217" t="s">
        <v>1858</v>
      </c>
      <c r="K1363" s="217">
        <v>22</v>
      </c>
      <c r="L1363" s="217">
        <v>168</v>
      </c>
      <c r="M1363" s="217" t="s">
        <v>31</v>
      </c>
      <c r="N1363" s="217" t="s">
        <v>32</v>
      </c>
      <c r="O1363" s="217" t="s">
        <v>141</v>
      </c>
      <c r="P1363" s="217" t="s">
        <v>142</v>
      </c>
      <c r="Q1363" s="217" t="s">
        <v>143</v>
      </c>
      <c r="R1363" s="217" t="s">
        <v>142</v>
      </c>
      <c r="S1363" s="217" t="s">
        <v>619</v>
      </c>
      <c r="T1363" s="217" t="s">
        <v>32</v>
      </c>
      <c r="U1363" s="217" t="s">
        <v>32</v>
      </c>
      <c r="V1363" s="217" t="s">
        <v>32</v>
      </c>
      <c r="W1363" s="217" t="s">
        <v>32</v>
      </c>
    </row>
    <row r="1364" spans="1:23" x14ac:dyDescent="0.25">
      <c r="A1364" s="217" t="s">
        <v>22</v>
      </c>
      <c r="B1364" s="217" t="s">
        <v>23</v>
      </c>
      <c r="C1364" s="217" t="s">
        <v>85</v>
      </c>
      <c r="D1364" s="217" t="s">
        <v>84</v>
      </c>
      <c r="E1364" s="217" t="s">
        <v>151</v>
      </c>
      <c r="F1364" s="217" t="s">
        <v>150</v>
      </c>
      <c r="G1364" s="217" t="s">
        <v>787</v>
      </c>
      <c r="H1364" s="217" t="s">
        <v>1098</v>
      </c>
      <c r="I1364" s="217" t="s">
        <v>616</v>
      </c>
      <c r="J1364" s="217" t="s">
        <v>1856</v>
      </c>
      <c r="K1364" s="217">
        <v>66</v>
      </c>
      <c r="L1364" s="217">
        <v>207</v>
      </c>
      <c r="M1364" s="217" t="s">
        <v>31</v>
      </c>
      <c r="N1364" s="217" t="s">
        <v>32</v>
      </c>
      <c r="O1364" s="217" t="s">
        <v>141</v>
      </c>
      <c r="P1364" s="217" t="s">
        <v>142</v>
      </c>
      <c r="Q1364" s="217" t="s">
        <v>143</v>
      </c>
      <c r="R1364" s="217" t="s">
        <v>142</v>
      </c>
      <c r="S1364" s="217" t="s">
        <v>619</v>
      </c>
      <c r="T1364" s="217" t="s">
        <v>32</v>
      </c>
      <c r="U1364" s="217" t="s">
        <v>32</v>
      </c>
      <c r="V1364" s="217" t="s">
        <v>32</v>
      </c>
      <c r="W1364" s="217" t="s">
        <v>32</v>
      </c>
    </row>
    <row r="1365" spans="1:23" x14ac:dyDescent="0.25">
      <c r="A1365" s="217" t="s">
        <v>22</v>
      </c>
      <c r="B1365" s="217" t="s">
        <v>23</v>
      </c>
      <c r="C1365" s="217" t="s">
        <v>85</v>
      </c>
      <c r="D1365" s="217" t="s">
        <v>84</v>
      </c>
      <c r="E1365" s="217" t="s">
        <v>151</v>
      </c>
      <c r="F1365" s="217" t="s">
        <v>150</v>
      </c>
      <c r="G1365" s="217" t="s">
        <v>788</v>
      </c>
      <c r="H1365" s="217" t="s">
        <v>1101</v>
      </c>
      <c r="I1365" s="217" t="s">
        <v>616</v>
      </c>
      <c r="J1365" s="217" t="s">
        <v>1856</v>
      </c>
      <c r="K1365" s="217">
        <v>28</v>
      </c>
      <c r="L1365" s="217">
        <v>152</v>
      </c>
      <c r="M1365" s="217" t="s">
        <v>31</v>
      </c>
      <c r="N1365" s="217" t="s">
        <v>32</v>
      </c>
      <c r="O1365" s="217" t="s">
        <v>141</v>
      </c>
      <c r="P1365" s="217" t="s">
        <v>142</v>
      </c>
      <c r="Q1365" s="217" t="s">
        <v>143</v>
      </c>
      <c r="R1365" s="217" t="s">
        <v>142</v>
      </c>
      <c r="S1365" s="217" t="s">
        <v>619</v>
      </c>
      <c r="T1365" s="217" t="s">
        <v>32</v>
      </c>
      <c r="U1365" s="217" t="s">
        <v>32</v>
      </c>
      <c r="V1365" s="217" t="s">
        <v>32</v>
      </c>
      <c r="W1365" s="217" t="s">
        <v>32</v>
      </c>
    </row>
    <row r="1366" spans="1:23" x14ac:dyDescent="0.25">
      <c r="A1366" s="217" t="s">
        <v>22</v>
      </c>
      <c r="B1366" s="217" t="s">
        <v>23</v>
      </c>
      <c r="C1366" s="217" t="s">
        <v>85</v>
      </c>
      <c r="D1366" s="217" t="s">
        <v>84</v>
      </c>
      <c r="E1366" s="217" t="s">
        <v>151</v>
      </c>
      <c r="F1366" s="217" t="s">
        <v>150</v>
      </c>
      <c r="G1366" s="217" t="s">
        <v>775</v>
      </c>
      <c r="H1366" s="217" t="s">
        <v>1102</v>
      </c>
      <c r="I1366" s="217" t="s">
        <v>616</v>
      </c>
      <c r="J1366" s="217" t="s">
        <v>1856</v>
      </c>
      <c r="K1366" s="217">
        <v>50</v>
      </c>
      <c r="L1366" s="217">
        <v>425</v>
      </c>
      <c r="M1366" s="217" t="s">
        <v>31</v>
      </c>
      <c r="N1366" s="217" t="s">
        <v>32</v>
      </c>
      <c r="O1366" s="217" t="s">
        <v>141</v>
      </c>
      <c r="P1366" s="217" t="s">
        <v>142</v>
      </c>
      <c r="Q1366" s="217" t="s">
        <v>143</v>
      </c>
      <c r="R1366" s="217" t="s">
        <v>142</v>
      </c>
      <c r="S1366" s="217" t="s">
        <v>619</v>
      </c>
      <c r="T1366" s="217" t="s">
        <v>32</v>
      </c>
      <c r="U1366" s="217" t="s">
        <v>32</v>
      </c>
      <c r="V1366" s="217" t="s">
        <v>32</v>
      </c>
      <c r="W1366" s="217" t="s">
        <v>32</v>
      </c>
    </row>
    <row r="1367" spans="1:23" x14ac:dyDescent="0.25">
      <c r="A1367" s="217" t="s">
        <v>22</v>
      </c>
      <c r="B1367" s="217" t="s">
        <v>23</v>
      </c>
      <c r="C1367" s="217" t="s">
        <v>85</v>
      </c>
      <c r="D1367" s="217" t="s">
        <v>84</v>
      </c>
      <c r="E1367" s="217" t="s">
        <v>151</v>
      </c>
      <c r="F1367" s="217" t="s">
        <v>150</v>
      </c>
      <c r="G1367" s="217" t="s">
        <v>789</v>
      </c>
      <c r="H1367" s="217" t="s">
        <v>1103</v>
      </c>
      <c r="I1367" s="217" t="s">
        <v>616</v>
      </c>
      <c r="J1367" s="217" t="s">
        <v>1856</v>
      </c>
      <c r="K1367" s="217">
        <v>50</v>
      </c>
      <c r="L1367" s="217">
        <v>152</v>
      </c>
      <c r="M1367" s="217" t="s">
        <v>31</v>
      </c>
      <c r="N1367" s="217" t="s">
        <v>32</v>
      </c>
      <c r="O1367" s="217" t="s">
        <v>141</v>
      </c>
      <c r="P1367" s="217" t="s">
        <v>142</v>
      </c>
      <c r="Q1367" s="217" t="s">
        <v>143</v>
      </c>
      <c r="R1367" s="217" t="s">
        <v>142</v>
      </c>
      <c r="S1367" s="217" t="s">
        <v>619</v>
      </c>
      <c r="T1367" s="217" t="s">
        <v>32</v>
      </c>
      <c r="U1367" s="217" t="s">
        <v>32</v>
      </c>
      <c r="V1367" s="217" t="s">
        <v>32</v>
      </c>
      <c r="W1367" s="217" t="s">
        <v>32</v>
      </c>
    </row>
    <row r="1368" spans="1:23" x14ac:dyDescent="0.25">
      <c r="A1368" s="217" t="s">
        <v>22</v>
      </c>
      <c r="B1368" s="217" t="s">
        <v>23</v>
      </c>
      <c r="C1368" s="217" t="s">
        <v>85</v>
      </c>
      <c r="D1368" s="217" t="s">
        <v>84</v>
      </c>
      <c r="E1368" s="217" t="s">
        <v>151</v>
      </c>
      <c r="F1368" s="217" t="s">
        <v>150</v>
      </c>
      <c r="G1368" s="217" t="s">
        <v>1104</v>
      </c>
      <c r="H1368" s="217" t="s">
        <v>1105</v>
      </c>
      <c r="I1368" s="217" t="s">
        <v>616</v>
      </c>
      <c r="J1368" s="217" t="s">
        <v>1857</v>
      </c>
      <c r="K1368" s="217">
        <v>25</v>
      </c>
      <c r="L1368" s="217">
        <v>212</v>
      </c>
      <c r="M1368" s="217" t="s">
        <v>31</v>
      </c>
      <c r="N1368" s="217" t="s">
        <v>32</v>
      </c>
      <c r="O1368" s="217" t="s">
        <v>141</v>
      </c>
      <c r="P1368" s="217" t="s">
        <v>142</v>
      </c>
      <c r="Q1368" s="217" t="s">
        <v>143</v>
      </c>
      <c r="R1368" s="217" t="s">
        <v>142</v>
      </c>
      <c r="S1368" s="217" t="s">
        <v>619</v>
      </c>
      <c r="T1368" s="217" t="s">
        <v>32</v>
      </c>
      <c r="U1368" s="217" t="s">
        <v>32</v>
      </c>
      <c r="V1368" s="217" t="s">
        <v>32</v>
      </c>
      <c r="W1368" s="217" t="s">
        <v>32</v>
      </c>
    </row>
    <row r="1369" spans="1:23" x14ac:dyDescent="0.25">
      <c r="A1369" s="217" t="s">
        <v>22</v>
      </c>
      <c r="B1369" s="217" t="s">
        <v>23</v>
      </c>
      <c r="C1369" s="217" t="s">
        <v>85</v>
      </c>
      <c r="D1369" s="217" t="s">
        <v>84</v>
      </c>
      <c r="E1369" s="217" t="s">
        <v>151</v>
      </c>
      <c r="F1369" s="217" t="s">
        <v>150</v>
      </c>
      <c r="G1369" s="217" t="s">
        <v>790</v>
      </c>
      <c r="H1369" s="217" t="s">
        <v>1107</v>
      </c>
      <c r="I1369" s="217" t="s">
        <v>616</v>
      </c>
      <c r="J1369" s="217" t="s">
        <v>1856</v>
      </c>
      <c r="K1369" s="217">
        <v>5</v>
      </c>
      <c r="L1369" s="217">
        <v>28</v>
      </c>
      <c r="M1369" s="217" t="s">
        <v>31</v>
      </c>
      <c r="N1369" s="217" t="s">
        <v>32</v>
      </c>
      <c r="O1369" s="217" t="s">
        <v>141</v>
      </c>
      <c r="P1369" s="217" t="s">
        <v>142</v>
      </c>
      <c r="Q1369" s="217" t="s">
        <v>143</v>
      </c>
      <c r="R1369" s="217" t="s">
        <v>142</v>
      </c>
      <c r="S1369" s="217" t="s">
        <v>619</v>
      </c>
      <c r="T1369" s="217" t="s">
        <v>32</v>
      </c>
      <c r="U1369" s="217" t="s">
        <v>32</v>
      </c>
      <c r="V1369" s="217" t="s">
        <v>32</v>
      </c>
      <c r="W1369" s="217" t="s">
        <v>32</v>
      </c>
    </row>
    <row r="1370" spans="1:23" x14ac:dyDescent="0.25">
      <c r="A1370" s="217" t="s">
        <v>22</v>
      </c>
      <c r="B1370" s="217" t="s">
        <v>23</v>
      </c>
      <c r="C1370" s="217" t="s">
        <v>85</v>
      </c>
      <c r="D1370" s="217" t="s">
        <v>84</v>
      </c>
      <c r="E1370" s="217" t="s">
        <v>98</v>
      </c>
      <c r="F1370" s="217" t="s">
        <v>97</v>
      </c>
      <c r="G1370" s="217" t="s">
        <v>372</v>
      </c>
      <c r="H1370" s="217" t="s">
        <v>1116</v>
      </c>
      <c r="I1370" s="217" t="s">
        <v>616</v>
      </c>
      <c r="J1370" s="217" t="s">
        <v>1856</v>
      </c>
      <c r="K1370" s="217">
        <v>4</v>
      </c>
      <c r="L1370" s="217">
        <v>25</v>
      </c>
      <c r="M1370" s="217" t="s">
        <v>31</v>
      </c>
      <c r="N1370" s="217" t="s">
        <v>32</v>
      </c>
      <c r="O1370" s="217" t="s">
        <v>141</v>
      </c>
      <c r="P1370" s="217" t="s">
        <v>142</v>
      </c>
      <c r="Q1370" s="217" t="s">
        <v>143</v>
      </c>
      <c r="R1370" s="217" t="s">
        <v>142</v>
      </c>
      <c r="S1370" s="217" t="s">
        <v>619</v>
      </c>
      <c r="T1370" s="217" t="s">
        <v>32</v>
      </c>
      <c r="U1370" s="217" t="s">
        <v>32</v>
      </c>
      <c r="V1370" s="217" t="s">
        <v>32</v>
      </c>
      <c r="W1370" s="217" t="s">
        <v>32</v>
      </c>
    </row>
    <row r="1371" spans="1:23" x14ac:dyDescent="0.25">
      <c r="A1371" s="217" t="s">
        <v>22</v>
      </c>
      <c r="B1371" s="217" t="s">
        <v>23</v>
      </c>
      <c r="C1371" s="217" t="s">
        <v>85</v>
      </c>
      <c r="D1371" s="217" t="s">
        <v>84</v>
      </c>
      <c r="E1371" s="217" t="s">
        <v>98</v>
      </c>
      <c r="F1371" s="217" t="s">
        <v>97</v>
      </c>
      <c r="G1371" s="217" t="s">
        <v>372</v>
      </c>
      <c r="H1371" s="217" t="s">
        <v>1116</v>
      </c>
      <c r="I1371" s="217" t="s">
        <v>616</v>
      </c>
      <c r="J1371" s="217" t="s">
        <v>1857</v>
      </c>
      <c r="K1371" s="217">
        <v>3</v>
      </c>
      <c r="L1371" s="217">
        <v>15</v>
      </c>
      <c r="M1371" s="217" t="s">
        <v>31</v>
      </c>
      <c r="N1371" s="217" t="s">
        <v>32</v>
      </c>
      <c r="O1371" s="217" t="s">
        <v>141</v>
      </c>
      <c r="P1371" s="217" t="s">
        <v>142</v>
      </c>
      <c r="Q1371" s="217" t="s">
        <v>143</v>
      </c>
      <c r="R1371" s="217" t="s">
        <v>142</v>
      </c>
      <c r="S1371" s="217" t="s">
        <v>619</v>
      </c>
      <c r="T1371" s="217" t="s">
        <v>32</v>
      </c>
      <c r="U1371" s="217" t="s">
        <v>32</v>
      </c>
      <c r="V1371" s="217" t="s">
        <v>32</v>
      </c>
      <c r="W1371" s="217" t="s">
        <v>32</v>
      </c>
    </row>
    <row r="1372" spans="1:23" x14ac:dyDescent="0.25">
      <c r="A1372" s="217" t="s">
        <v>22</v>
      </c>
      <c r="B1372" s="217" t="s">
        <v>23</v>
      </c>
      <c r="C1372" s="217" t="s">
        <v>85</v>
      </c>
      <c r="D1372" s="217" t="s">
        <v>84</v>
      </c>
      <c r="E1372" s="217" t="s">
        <v>98</v>
      </c>
      <c r="F1372" s="217" t="s">
        <v>97</v>
      </c>
      <c r="G1372" s="217" t="s">
        <v>153</v>
      </c>
      <c r="H1372" s="217" t="s">
        <v>1117</v>
      </c>
      <c r="I1372" s="217" t="s">
        <v>616</v>
      </c>
      <c r="J1372" s="217" t="s">
        <v>1856</v>
      </c>
      <c r="K1372" s="217">
        <v>20</v>
      </c>
      <c r="L1372" s="217">
        <v>198</v>
      </c>
      <c r="M1372" s="217" t="s">
        <v>31</v>
      </c>
      <c r="N1372" s="217" t="s">
        <v>32</v>
      </c>
      <c r="O1372" s="217" t="s">
        <v>141</v>
      </c>
      <c r="P1372" s="217" t="s">
        <v>142</v>
      </c>
      <c r="Q1372" s="217" t="s">
        <v>143</v>
      </c>
      <c r="R1372" s="217" t="s">
        <v>142</v>
      </c>
      <c r="S1372" s="217" t="s">
        <v>619</v>
      </c>
      <c r="T1372" s="217" t="s">
        <v>32</v>
      </c>
      <c r="U1372" s="217" t="s">
        <v>32</v>
      </c>
      <c r="V1372" s="217" t="s">
        <v>32</v>
      </c>
      <c r="W1372" s="217" t="s">
        <v>32</v>
      </c>
    </row>
    <row r="1373" spans="1:23" x14ac:dyDescent="0.25">
      <c r="A1373" s="217" t="s">
        <v>22</v>
      </c>
      <c r="B1373" s="217" t="s">
        <v>23</v>
      </c>
      <c r="C1373" s="217" t="s">
        <v>85</v>
      </c>
      <c r="D1373" s="217" t="s">
        <v>84</v>
      </c>
      <c r="E1373" s="217" t="s">
        <v>98</v>
      </c>
      <c r="F1373" s="217" t="s">
        <v>97</v>
      </c>
      <c r="G1373" s="217" t="s">
        <v>153</v>
      </c>
      <c r="H1373" s="217" t="s">
        <v>1117</v>
      </c>
      <c r="I1373" s="217" t="s">
        <v>616</v>
      </c>
      <c r="J1373" s="217" t="s">
        <v>1857</v>
      </c>
      <c r="K1373" s="217">
        <v>27</v>
      </c>
      <c r="L1373" s="217">
        <v>202</v>
      </c>
      <c r="M1373" s="217" t="s">
        <v>31</v>
      </c>
      <c r="N1373" s="217" t="s">
        <v>32</v>
      </c>
      <c r="O1373" s="217" t="s">
        <v>141</v>
      </c>
      <c r="P1373" s="217" t="s">
        <v>142</v>
      </c>
      <c r="Q1373" s="217" t="s">
        <v>143</v>
      </c>
      <c r="R1373" s="217" t="s">
        <v>142</v>
      </c>
      <c r="S1373" s="217" t="s">
        <v>619</v>
      </c>
      <c r="T1373" s="217" t="s">
        <v>32</v>
      </c>
      <c r="U1373" s="217" t="s">
        <v>32</v>
      </c>
      <c r="V1373" s="217" t="s">
        <v>32</v>
      </c>
      <c r="W1373" s="217" t="s">
        <v>32</v>
      </c>
    </row>
    <row r="1374" spans="1:23" x14ac:dyDescent="0.25">
      <c r="A1374" s="217" t="s">
        <v>22</v>
      </c>
      <c r="B1374" s="217" t="s">
        <v>23</v>
      </c>
      <c r="C1374" s="217" t="s">
        <v>85</v>
      </c>
      <c r="D1374" s="217" t="s">
        <v>84</v>
      </c>
      <c r="E1374" s="217" t="s">
        <v>98</v>
      </c>
      <c r="F1374" s="217" t="s">
        <v>97</v>
      </c>
      <c r="G1374" s="217" t="s">
        <v>153</v>
      </c>
      <c r="H1374" s="217" t="s">
        <v>1117</v>
      </c>
      <c r="I1374" s="217" t="s">
        <v>616</v>
      </c>
      <c r="J1374" s="217" t="s">
        <v>1858</v>
      </c>
      <c r="K1374" s="217">
        <v>5</v>
      </c>
      <c r="L1374" s="217">
        <v>42</v>
      </c>
      <c r="M1374" s="217" t="s">
        <v>31</v>
      </c>
      <c r="N1374" s="217" t="s">
        <v>32</v>
      </c>
      <c r="O1374" s="217" t="s">
        <v>141</v>
      </c>
      <c r="P1374" s="217" t="s">
        <v>142</v>
      </c>
      <c r="Q1374" s="217" t="s">
        <v>143</v>
      </c>
      <c r="R1374" s="217" t="s">
        <v>142</v>
      </c>
      <c r="S1374" s="217" t="s">
        <v>619</v>
      </c>
      <c r="T1374" s="217" t="s">
        <v>32</v>
      </c>
      <c r="U1374" s="217" t="s">
        <v>32</v>
      </c>
      <c r="V1374" s="217" t="s">
        <v>32</v>
      </c>
      <c r="W1374" s="217" t="s">
        <v>32</v>
      </c>
    </row>
    <row r="1375" spans="1:23" x14ac:dyDescent="0.25">
      <c r="A1375" s="217" t="s">
        <v>22</v>
      </c>
      <c r="B1375" s="217" t="s">
        <v>23</v>
      </c>
      <c r="C1375" s="217" t="s">
        <v>85</v>
      </c>
      <c r="D1375" s="217" t="s">
        <v>84</v>
      </c>
      <c r="E1375" s="217" t="s">
        <v>98</v>
      </c>
      <c r="F1375" s="217" t="s">
        <v>97</v>
      </c>
      <c r="G1375" s="217" t="s">
        <v>373</v>
      </c>
      <c r="H1375" s="217" t="s">
        <v>1118</v>
      </c>
      <c r="I1375" s="217" t="s">
        <v>616</v>
      </c>
      <c r="J1375" s="217" t="s">
        <v>1857</v>
      </c>
      <c r="K1375" s="217">
        <v>7</v>
      </c>
      <c r="L1375" s="217">
        <v>60</v>
      </c>
      <c r="M1375" s="217" t="s">
        <v>31</v>
      </c>
      <c r="N1375" s="217" t="s">
        <v>32</v>
      </c>
      <c r="O1375" s="217" t="s">
        <v>141</v>
      </c>
      <c r="P1375" s="217" t="s">
        <v>142</v>
      </c>
      <c r="Q1375" s="217" t="s">
        <v>143</v>
      </c>
      <c r="R1375" s="217" t="s">
        <v>142</v>
      </c>
      <c r="S1375" s="217" t="s">
        <v>619</v>
      </c>
      <c r="T1375" s="217" t="s">
        <v>32</v>
      </c>
      <c r="U1375" s="217" t="s">
        <v>32</v>
      </c>
      <c r="V1375" s="217" t="s">
        <v>32</v>
      </c>
      <c r="W1375" s="217" t="s">
        <v>32</v>
      </c>
    </row>
    <row r="1376" spans="1:23" x14ac:dyDescent="0.25">
      <c r="A1376" s="217" t="s">
        <v>22</v>
      </c>
      <c r="B1376" s="217" t="s">
        <v>23</v>
      </c>
      <c r="C1376" s="217" t="s">
        <v>85</v>
      </c>
      <c r="D1376" s="217" t="s">
        <v>84</v>
      </c>
      <c r="E1376" s="217" t="s">
        <v>98</v>
      </c>
      <c r="F1376" s="217" t="s">
        <v>97</v>
      </c>
      <c r="G1376" s="217" t="s">
        <v>373</v>
      </c>
      <c r="H1376" s="217" t="s">
        <v>1118</v>
      </c>
      <c r="I1376" s="217" t="s">
        <v>616</v>
      </c>
      <c r="J1376" s="217" t="s">
        <v>1858</v>
      </c>
      <c r="K1376" s="217">
        <v>371</v>
      </c>
      <c r="L1376" s="217">
        <v>3154</v>
      </c>
      <c r="M1376" s="217" t="s">
        <v>31</v>
      </c>
      <c r="N1376" s="217" t="s">
        <v>32</v>
      </c>
      <c r="O1376" s="217" t="s">
        <v>141</v>
      </c>
      <c r="P1376" s="217" t="s">
        <v>142</v>
      </c>
      <c r="Q1376" s="217" t="s">
        <v>143</v>
      </c>
      <c r="R1376" s="217" t="s">
        <v>142</v>
      </c>
      <c r="S1376" s="217" t="s">
        <v>619</v>
      </c>
      <c r="T1376" s="217" t="s">
        <v>32</v>
      </c>
      <c r="U1376" s="217" t="s">
        <v>32</v>
      </c>
      <c r="V1376" s="217" t="s">
        <v>32</v>
      </c>
      <c r="W1376" s="217" t="s">
        <v>32</v>
      </c>
    </row>
    <row r="1377" spans="1:23" x14ac:dyDescent="0.25">
      <c r="A1377" s="217" t="s">
        <v>22</v>
      </c>
      <c r="B1377" s="217" t="s">
        <v>23</v>
      </c>
      <c r="C1377" s="217" t="s">
        <v>85</v>
      </c>
      <c r="D1377" s="217" t="s">
        <v>84</v>
      </c>
      <c r="E1377" s="217" t="s">
        <v>98</v>
      </c>
      <c r="F1377" s="217" t="s">
        <v>97</v>
      </c>
      <c r="G1377" s="217" t="s">
        <v>373</v>
      </c>
      <c r="H1377" s="217" t="s">
        <v>1118</v>
      </c>
      <c r="I1377" s="217" t="s">
        <v>616</v>
      </c>
      <c r="J1377" s="217" t="s">
        <v>1859</v>
      </c>
      <c r="K1377" s="217">
        <v>3</v>
      </c>
      <c r="L1377" s="217">
        <v>26</v>
      </c>
      <c r="M1377" s="217" t="s">
        <v>31</v>
      </c>
      <c r="N1377" s="217" t="s">
        <v>32</v>
      </c>
      <c r="O1377" s="217" t="s">
        <v>141</v>
      </c>
      <c r="P1377" s="217" t="s">
        <v>142</v>
      </c>
      <c r="Q1377" s="217" t="s">
        <v>143</v>
      </c>
      <c r="R1377" s="217" t="s">
        <v>142</v>
      </c>
      <c r="S1377" s="217" t="s">
        <v>619</v>
      </c>
      <c r="T1377" s="217" t="s">
        <v>32</v>
      </c>
      <c r="U1377" s="217" t="s">
        <v>32</v>
      </c>
      <c r="V1377" s="217" t="s">
        <v>32</v>
      </c>
      <c r="W1377" s="217" t="s">
        <v>32</v>
      </c>
    </row>
    <row r="1378" spans="1:23" x14ac:dyDescent="0.25">
      <c r="A1378" s="217" t="s">
        <v>22</v>
      </c>
      <c r="B1378" s="217" t="s">
        <v>23</v>
      </c>
      <c r="C1378" s="217" t="s">
        <v>85</v>
      </c>
      <c r="D1378" s="217" t="s">
        <v>84</v>
      </c>
      <c r="E1378" s="217" t="s">
        <v>98</v>
      </c>
      <c r="F1378" s="217" t="s">
        <v>97</v>
      </c>
      <c r="G1378" s="217" t="s">
        <v>803</v>
      </c>
      <c r="H1378" s="217" t="s">
        <v>1504</v>
      </c>
      <c r="I1378" s="217" t="s">
        <v>616</v>
      </c>
      <c r="J1378" s="217" t="s">
        <v>1856</v>
      </c>
      <c r="K1378" s="217">
        <v>12</v>
      </c>
      <c r="L1378" s="217">
        <v>52</v>
      </c>
      <c r="M1378" s="217" t="s">
        <v>31</v>
      </c>
      <c r="N1378" s="217" t="s">
        <v>32</v>
      </c>
      <c r="O1378" s="217" t="s">
        <v>141</v>
      </c>
      <c r="P1378" s="217" t="s">
        <v>142</v>
      </c>
      <c r="Q1378" s="217" t="s">
        <v>143</v>
      </c>
      <c r="R1378" s="217" t="s">
        <v>142</v>
      </c>
      <c r="S1378" s="217" t="s">
        <v>619</v>
      </c>
      <c r="T1378" s="217" t="s">
        <v>32</v>
      </c>
      <c r="U1378" s="217" t="s">
        <v>32</v>
      </c>
      <c r="V1378" s="217" t="s">
        <v>32</v>
      </c>
      <c r="W1378" s="217" t="s">
        <v>32</v>
      </c>
    </row>
    <row r="1379" spans="1:23" x14ac:dyDescent="0.25">
      <c r="A1379" s="217" t="s">
        <v>22</v>
      </c>
      <c r="B1379" s="217" t="s">
        <v>23</v>
      </c>
      <c r="C1379" s="217" t="s">
        <v>85</v>
      </c>
      <c r="D1379" s="217" t="s">
        <v>84</v>
      </c>
      <c r="E1379" s="217" t="s">
        <v>98</v>
      </c>
      <c r="F1379" s="217" t="s">
        <v>97</v>
      </c>
      <c r="G1379" s="217" t="s">
        <v>803</v>
      </c>
      <c r="H1379" s="217" t="s">
        <v>1504</v>
      </c>
      <c r="I1379" s="217" t="s">
        <v>616</v>
      </c>
      <c r="J1379" s="217" t="s">
        <v>1857</v>
      </c>
      <c r="K1379" s="217">
        <v>8</v>
      </c>
      <c r="L1379" s="217">
        <v>66</v>
      </c>
      <c r="M1379" s="217" t="s">
        <v>31</v>
      </c>
      <c r="N1379" s="217" t="s">
        <v>32</v>
      </c>
      <c r="O1379" s="217" t="s">
        <v>141</v>
      </c>
      <c r="P1379" s="217" t="s">
        <v>142</v>
      </c>
      <c r="Q1379" s="217" t="s">
        <v>143</v>
      </c>
      <c r="R1379" s="217" t="s">
        <v>142</v>
      </c>
      <c r="S1379" s="217" t="s">
        <v>619</v>
      </c>
      <c r="T1379" s="217" t="s">
        <v>32</v>
      </c>
      <c r="U1379" s="217" t="s">
        <v>32</v>
      </c>
      <c r="V1379" s="217" t="s">
        <v>32</v>
      </c>
      <c r="W1379" s="217" t="s">
        <v>32</v>
      </c>
    </row>
    <row r="1380" spans="1:23" x14ac:dyDescent="0.25">
      <c r="A1380" s="217" t="s">
        <v>22</v>
      </c>
      <c r="B1380" s="217" t="s">
        <v>23</v>
      </c>
      <c r="C1380" s="217" t="s">
        <v>85</v>
      </c>
      <c r="D1380" s="217" t="s">
        <v>84</v>
      </c>
      <c r="E1380" s="217" t="s">
        <v>98</v>
      </c>
      <c r="F1380" s="217" t="s">
        <v>97</v>
      </c>
      <c r="G1380" s="217" t="s">
        <v>799</v>
      </c>
      <c r="H1380" s="217" t="s">
        <v>1505</v>
      </c>
      <c r="I1380" s="217" t="s">
        <v>616</v>
      </c>
      <c r="J1380" s="217" t="s">
        <v>1857</v>
      </c>
      <c r="K1380" s="217">
        <v>13</v>
      </c>
      <c r="L1380" s="217">
        <v>70</v>
      </c>
      <c r="M1380" s="217" t="s">
        <v>31</v>
      </c>
      <c r="N1380" s="217" t="s">
        <v>32</v>
      </c>
      <c r="O1380" s="217" t="s">
        <v>141</v>
      </c>
      <c r="P1380" s="217" t="s">
        <v>142</v>
      </c>
      <c r="Q1380" s="217" t="s">
        <v>143</v>
      </c>
      <c r="R1380" s="217" t="s">
        <v>142</v>
      </c>
      <c r="S1380" s="217" t="s">
        <v>619</v>
      </c>
      <c r="T1380" s="217" t="s">
        <v>32</v>
      </c>
      <c r="U1380" s="217" t="s">
        <v>32</v>
      </c>
      <c r="V1380" s="217" t="s">
        <v>32</v>
      </c>
      <c r="W1380" s="217" t="s">
        <v>32</v>
      </c>
    </row>
    <row r="1381" spans="1:23" x14ac:dyDescent="0.25">
      <c r="A1381" s="217" t="s">
        <v>22</v>
      </c>
      <c r="B1381" s="217" t="s">
        <v>23</v>
      </c>
      <c r="C1381" s="217" t="s">
        <v>85</v>
      </c>
      <c r="D1381" s="217" t="s">
        <v>84</v>
      </c>
      <c r="E1381" s="217" t="s">
        <v>98</v>
      </c>
      <c r="F1381" s="217" t="s">
        <v>97</v>
      </c>
      <c r="G1381" s="217" t="s">
        <v>810</v>
      </c>
      <c r="H1381" s="217" t="s">
        <v>1506</v>
      </c>
      <c r="I1381" s="217" t="s">
        <v>616</v>
      </c>
      <c r="J1381" s="217" t="s">
        <v>1857</v>
      </c>
      <c r="K1381" s="217">
        <v>15</v>
      </c>
      <c r="L1381" s="217">
        <v>128</v>
      </c>
      <c r="M1381" s="217" t="s">
        <v>31</v>
      </c>
      <c r="N1381" s="217" t="s">
        <v>32</v>
      </c>
      <c r="O1381" s="217" t="s">
        <v>141</v>
      </c>
      <c r="P1381" s="217" t="s">
        <v>142</v>
      </c>
      <c r="Q1381" s="217" t="s">
        <v>143</v>
      </c>
      <c r="R1381" s="217" t="s">
        <v>142</v>
      </c>
      <c r="S1381" s="217" t="s">
        <v>619</v>
      </c>
      <c r="T1381" s="217" t="s">
        <v>32</v>
      </c>
      <c r="U1381" s="217" t="s">
        <v>32</v>
      </c>
      <c r="V1381" s="217" t="s">
        <v>32</v>
      </c>
      <c r="W1381" s="217" t="s">
        <v>32</v>
      </c>
    </row>
    <row r="1382" spans="1:23" x14ac:dyDescent="0.25">
      <c r="A1382" s="217" t="s">
        <v>22</v>
      </c>
      <c r="B1382" s="217" t="s">
        <v>23</v>
      </c>
      <c r="C1382" s="217" t="s">
        <v>85</v>
      </c>
      <c r="D1382" s="217" t="s">
        <v>84</v>
      </c>
      <c r="E1382" s="217" t="s">
        <v>98</v>
      </c>
      <c r="F1382" s="217" t="s">
        <v>97</v>
      </c>
      <c r="G1382" s="217" t="s">
        <v>810</v>
      </c>
      <c r="H1382" s="217" t="s">
        <v>1506</v>
      </c>
      <c r="I1382" s="217" t="s">
        <v>616</v>
      </c>
      <c r="J1382" s="217" t="s">
        <v>1858</v>
      </c>
      <c r="K1382" s="217">
        <v>5</v>
      </c>
      <c r="L1382" s="217">
        <v>42</v>
      </c>
      <c r="M1382" s="217" t="s">
        <v>31</v>
      </c>
      <c r="N1382" s="217" t="s">
        <v>32</v>
      </c>
      <c r="O1382" s="217" t="s">
        <v>141</v>
      </c>
      <c r="P1382" s="217" t="s">
        <v>142</v>
      </c>
      <c r="Q1382" s="217" t="s">
        <v>143</v>
      </c>
      <c r="R1382" s="217" t="s">
        <v>142</v>
      </c>
      <c r="S1382" s="217" t="s">
        <v>619</v>
      </c>
      <c r="T1382" s="217" t="s">
        <v>32</v>
      </c>
      <c r="U1382" s="217" t="s">
        <v>32</v>
      </c>
      <c r="V1382" s="217" t="s">
        <v>32</v>
      </c>
      <c r="W1382" s="217" t="s">
        <v>32</v>
      </c>
    </row>
    <row r="1383" spans="1:23" x14ac:dyDescent="0.25">
      <c r="A1383" s="217" t="s">
        <v>22</v>
      </c>
      <c r="B1383" s="217" t="s">
        <v>23</v>
      </c>
      <c r="C1383" s="217" t="s">
        <v>85</v>
      </c>
      <c r="D1383" s="217" t="s">
        <v>84</v>
      </c>
      <c r="E1383" s="217" t="s">
        <v>98</v>
      </c>
      <c r="F1383" s="217" t="s">
        <v>97</v>
      </c>
      <c r="G1383" s="217" t="s">
        <v>378</v>
      </c>
      <c r="H1383" s="217" t="s">
        <v>1133</v>
      </c>
      <c r="I1383" s="217" t="s">
        <v>616</v>
      </c>
      <c r="J1383" s="217" t="s">
        <v>1856</v>
      </c>
      <c r="K1383" s="217">
        <v>3</v>
      </c>
      <c r="L1383" s="217">
        <v>21</v>
      </c>
      <c r="M1383" s="217" t="s">
        <v>31</v>
      </c>
      <c r="N1383" s="217" t="s">
        <v>32</v>
      </c>
      <c r="O1383" s="217" t="s">
        <v>141</v>
      </c>
      <c r="P1383" s="217" t="s">
        <v>142</v>
      </c>
      <c r="Q1383" s="217" t="s">
        <v>143</v>
      </c>
      <c r="R1383" s="217" t="s">
        <v>142</v>
      </c>
      <c r="S1383" s="217" t="s">
        <v>619</v>
      </c>
      <c r="T1383" s="217" t="s">
        <v>32</v>
      </c>
      <c r="U1383" s="217" t="s">
        <v>32</v>
      </c>
      <c r="V1383" s="217" t="s">
        <v>32</v>
      </c>
      <c r="W1383" s="217" t="s">
        <v>32</v>
      </c>
    </row>
    <row r="1384" spans="1:23" x14ac:dyDescent="0.25">
      <c r="A1384" s="217" t="s">
        <v>22</v>
      </c>
      <c r="B1384" s="217" t="s">
        <v>23</v>
      </c>
      <c r="C1384" s="217" t="s">
        <v>85</v>
      </c>
      <c r="D1384" s="217" t="s">
        <v>84</v>
      </c>
      <c r="E1384" s="217" t="s">
        <v>98</v>
      </c>
      <c r="F1384" s="217" t="s">
        <v>97</v>
      </c>
      <c r="G1384" s="217" t="s">
        <v>378</v>
      </c>
      <c r="H1384" s="217" t="s">
        <v>1133</v>
      </c>
      <c r="I1384" s="217" t="s">
        <v>616</v>
      </c>
      <c r="J1384" s="217" t="s">
        <v>1857</v>
      </c>
      <c r="K1384" s="217">
        <v>3</v>
      </c>
      <c r="L1384" s="217">
        <v>19</v>
      </c>
      <c r="M1384" s="217" t="s">
        <v>31</v>
      </c>
      <c r="N1384" s="217" t="s">
        <v>32</v>
      </c>
      <c r="O1384" s="217" t="s">
        <v>141</v>
      </c>
      <c r="P1384" s="217" t="s">
        <v>142</v>
      </c>
      <c r="Q1384" s="217" t="s">
        <v>143</v>
      </c>
      <c r="R1384" s="217" t="s">
        <v>142</v>
      </c>
      <c r="S1384" s="217" t="s">
        <v>619</v>
      </c>
      <c r="T1384" s="217" t="s">
        <v>32</v>
      </c>
      <c r="U1384" s="217" t="s">
        <v>32</v>
      </c>
      <c r="V1384" s="217" t="s">
        <v>32</v>
      </c>
      <c r="W1384" s="217" t="s">
        <v>32</v>
      </c>
    </row>
    <row r="1385" spans="1:23" x14ac:dyDescent="0.25">
      <c r="A1385" s="217" t="s">
        <v>22</v>
      </c>
      <c r="B1385" s="217" t="s">
        <v>23</v>
      </c>
      <c r="C1385" s="217" t="s">
        <v>85</v>
      </c>
      <c r="D1385" s="217" t="s">
        <v>84</v>
      </c>
      <c r="E1385" s="217" t="s">
        <v>98</v>
      </c>
      <c r="F1385" s="217" t="s">
        <v>97</v>
      </c>
      <c r="G1385" s="217" t="s">
        <v>819</v>
      </c>
      <c r="H1385" s="217" t="s">
        <v>1134</v>
      </c>
      <c r="I1385" s="217" t="s">
        <v>616</v>
      </c>
      <c r="J1385" s="217" t="s">
        <v>1857</v>
      </c>
      <c r="K1385" s="217">
        <v>4</v>
      </c>
      <c r="L1385" s="217">
        <v>25</v>
      </c>
      <c r="M1385" s="217" t="s">
        <v>31</v>
      </c>
      <c r="N1385" s="217" t="s">
        <v>32</v>
      </c>
      <c r="O1385" s="217" t="s">
        <v>141</v>
      </c>
      <c r="P1385" s="217" t="s">
        <v>142</v>
      </c>
      <c r="Q1385" s="217" t="s">
        <v>143</v>
      </c>
      <c r="R1385" s="217" t="s">
        <v>142</v>
      </c>
      <c r="S1385" s="217" t="s">
        <v>619</v>
      </c>
      <c r="T1385" s="217" t="s">
        <v>32</v>
      </c>
      <c r="U1385" s="217" t="s">
        <v>32</v>
      </c>
      <c r="V1385" s="217" t="s">
        <v>32</v>
      </c>
      <c r="W1385" s="217" t="s">
        <v>32</v>
      </c>
    </row>
    <row r="1386" spans="1:23" x14ac:dyDescent="0.25">
      <c r="A1386" s="217" t="s">
        <v>22</v>
      </c>
      <c r="B1386" s="217" t="s">
        <v>23</v>
      </c>
      <c r="C1386" s="217" t="s">
        <v>85</v>
      </c>
      <c r="D1386" s="217" t="s">
        <v>84</v>
      </c>
      <c r="E1386" s="217" t="s">
        <v>98</v>
      </c>
      <c r="F1386" s="217" t="s">
        <v>97</v>
      </c>
      <c r="G1386" s="217" t="s">
        <v>795</v>
      </c>
      <c r="H1386" s="217" t="s">
        <v>1135</v>
      </c>
      <c r="I1386" s="217" t="s">
        <v>616</v>
      </c>
      <c r="J1386" s="217" t="s">
        <v>1857</v>
      </c>
      <c r="K1386" s="217">
        <v>4</v>
      </c>
      <c r="L1386" s="217">
        <v>18</v>
      </c>
      <c r="M1386" s="217" t="s">
        <v>31</v>
      </c>
      <c r="N1386" s="217" t="s">
        <v>32</v>
      </c>
      <c r="O1386" s="217" t="s">
        <v>141</v>
      </c>
      <c r="P1386" s="217" t="s">
        <v>142</v>
      </c>
      <c r="Q1386" s="217" t="s">
        <v>143</v>
      </c>
      <c r="R1386" s="217" t="s">
        <v>142</v>
      </c>
      <c r="S1386" s="217" t="s">
        <v>619</v>
      </c>
      <c r="T1386" s="217" t="s">
        <v>32</v>
      </c>
      <c r="U1386" s="217" t="s">
        <v>32</v>
      </c>
      <c r="V1386" s="217" t="s">
        <v>32</v>
      </c>
      <c r="W1386" s="217" t="s">
        <v>32</v>
      </c>
    </row>
    <row r="1387" spans="1:23" x14ac:dyDescent="0.25">
      <c r="A1387" s="217" t="s">
        <v>22</v>
      </c>
      <c r="B1387" s="217" t="s">
        <v>23</v>
      </c>
      <c r="C1387" s="217" t="s">
        <v>85</v>
      </c>
      <c r="D1387" s="217" t="s">
        <v>84</v>
      </c>
      <c r="E1387" s="217" t="s">
        <v>98</v>
      </c>
      <c r="F1387" s="217" t="s">
        <v>97</v>
      </c>
      <c r="G1387" s="217" t="s">
        <v>382</v>
      </c>
      <c r="H1387" s="217" t="s">
        <v>1140</v>
      </c>
      <c r="I1387" s="217" t="s">
        <v>616</v>
      </c>
      <c r="J1387" s="217" t="s">
        <v>1857</v>
      </c>
      <c r="K1387" s="217">
        <v>4</v>
      </c>
      <c r="L1387" s="217">
        <v>34</v>
      </c>
      <c r="M1387" s="217" t="s">
        <v>31</v>
      </c>
      <c r="N1387" s="217" t="s">
        <v>32</v>
      </c>
      <c r="O1387" s="217" t="s">
        <v>141</v>
      </c>
      <c r="P1387" s="217" t="s">
        <v>142</v>
      </c>
      <c r="Q1387" s="217" t="s">
        <v>143</v>
      </c>
      <c r="R1387" s="217" t="s">
        <v>142</v>
      </c>
      <c r="S1387" s="217" t="s">
        <v>619</v>
      </c>
      <c r="T1387" s="217" t="s">
        <v>32</v>
      </c>
      <c r="U1387" s="217" t="s">
        <v>32</v>
      </c>
      <c r="V1387" s="217" t="s">
        <v>32</v>
      </c>
      <c r="W1387" s="217" t="s">
        <v>32</v>
      </c>
    </row>
    <row r="1388" spans="1:23" x14ac:dyDescent="0.25">
      <c r="A1388" s="217" t="s">
        <v>22</v>
      </c>
      <c r="B1388" s="217" t="s">
        <v>23</v>
      </c>
      <c r="C1388" s="217" t="s">
        <v>85</v>
      </c>
      <c r="D1388" s="217" t="s">
        <v>84</v>
      </c>
      <c r="E1388" s="217" t="s">
        <v>98</v>
      </c>
      <c r="F1388" s="217" t="s">
        <v>97</v>
      </c>
      <c r="G1388" s="217" t="s">
        <v>382</v>
      </c>
      <c r="H1388" s="217" t="s">
        <v>1140</v>
      </c>
      <c r="I1388" s="217" t="s">
        <v>616</v>
      </c>
      <c r="J1388" s="217" t="s">
        <v>1858</v>
      </c>
      <c r="K1388" s="217">
        <v>5</v>
      </c>
      <c r="L1388" s="217">
        <v>7</v>
      </c>
      <c r="M1388" s="217" t="s">
        <v>31</v>
      </c>
      <c r="N1388" s="217" t="s">
        <v>32</v>
      </c>
      <c r="O1388" s="217" t="s">
        <v>141</v>
      </c>
      <c r="P1388" s="217" t="s">
        <v>142</v>
      </c>
      <c r="Q1388" s="217" t="s">
        <v>143</v>
      </c>
      <c r="R1388" s="217" t="s">
        <v>142</v>
      </c>
      <c r="S1388" s="217" t="s">
        <v>619</v>
      </c>
      <c r="T1388" s="217" t="s">
        <v>32</v>
      </c>
      <c r="U1388" s="217" t="s">
        <v>32</v>
      </c>
      <c r="V1388" s="217" t="s">
        <v>32</v>
      </c>
      <c r="W1388" s="217" t="s">
        <v>32</v>
      </c>
    </row>
    <row r="1389" spans="1:23" x14ac:dyDescent="0.25">
      <c r="A1389" s="217" t="s">
        <v>22</v>
      </c>
      <c r="B1389" s="217" t="s">
        <v>23</v>
      </c>
      <c r="C1389" s="217" t="s">
        <v>85</v>
      </c>
      <c r="D1389" s="217" t="s">
        <v>84</v>
      </c>
      <c r="E1389" s="217" t="s">
        <v>98</v>
      </c>
      <c r="F1389" s="217" t="s">
        <v>97</v>
      </c>
      <c r="G1389" s="217" t="s">
        <v>801</v>
      </c>
      <c r="H1389" s="217" t="s">
        <v>1142</v>
      </c>
      <c r="I1389" s="217" t="s">
        <v>616</v>
      </c>
      <c r="J1389" s="217" t="s">
        <v>1857</v>
      </c>
      <c r="K1389" s="217">
        <v>15</v>
      </c>
      <c r="L1389" s="217">
        <v>228</v>
      </c>
      <c r="M1389" s="217" t="s">
        <v>31</v>
      </c>
      <c r="N1389" s="217" t="s">
        <v>32</v>
      </c>
      <c r="O1389" s="217" t="s">
        <v>141</v>
      </c>
      <c r="P1389" s="217" t="s">
        <v>142</v>
      </c>
      <c r="Q1389" s="217" t="s">
        <v>143</v>
      </c>
      <c r="R1389" s="217" t="s">
        <v>142</v>
      </c>
      <c r="S1389" s="217" t="s">
        <v>619</v>
      </c>
      <c r="T1389" s="217" t="s">
        <v>32</v>
      </c>
      <c r="U1389" s="217" t="s">
        <v>32</v>
      </c>
      <c r="V1389" s="217" t="s">
        <v>32</v>
      </c>
      <c r="W1389" s="217" t="s">
        <v>32</v>
      </c>
    </row>
    <row r="1390" spans="1:23" x14ac:dyDescent="0.25">
      <c r="A1390" s="217" t="s">
        <v>22</v>
      </c>
      <c r="B1390" s="217" t="s">
        <v>23</v>
      </c>
      <c r="C1390" s="217" t="s">
        <v>85</v>
      </c>
      <c r="D1390" s="217" t="s">
        <v>84</v>
      </c>
      <c r="E1390" s="217" t="s">
        <v>98</v>
      </c>
      <c r="F1390" s="217" t="s">
        <v>97</v>
      </c>
      <c r="G1390" s="217" t="s">
        <v>801</v>
      </c>
      <c r="H1390" s="217" t="s">
        <v>1142</v>
      </c>
      <c r="I1390" s="217" t="s">
        <v>616</v>
      </c>
      <c r="J1390" s="217" t="s">
        <v>1859</v>
      </c>
      <c r="K1390" s="217">
        <v>8</v>
      </c>
      <c r="L1390" s="217">
        <v>68</v>
      </c>
      <c r="M1390" s="217" t="s">
        <v>31</v>
      </c>
      <c r="N1390" s="217" t="s">
        <v>32</v>
      </c>
      <c r="O1390" s="217" t="s">
        <v>141</v>
      </c>
      <c r="P1390" s="217" t="s">
        <v>142</v>
      </c>
      <c r="Q1390" s="217" t="s">
        <v>143</v>
      </c>
      <c r="R1390" s="217" t="s">
        <v>142</v>
      </c>
      <c r="S1390" s="217" t="s">
        <v>619</v>
      </c>
      <c r="T1390" s="217" t="s">
        <v>32</v>
      </c>
      <c r="U1390" s="217" t="s">
        <v>32</v>
      </c>
      <c r="V1390" s="217" t="s">
        <v>32</v>
      </c>
      <c r="W1390" s="217" t="s">
        <v>32</v>
      </c>
    </row>
    <row r="1391" spans="1:23" x14ac:dyDescent="0.25">
      <c r="A1391" s="217" t="s">
        <v>22</v>
      </c>
      <c r="B1391" s="217" t="s">
        <v>23</v>
      </c>
      <c r="C1391" s="217" t="s">
        <v>85</v>
      </c>
      <c r="D1391" s="217" t="s">
        <v>84</v>
      </c>
      <c r="E1391" s="217" t="s">
        <v>98</v>
      </c>
      <c r="F1391" s="217" t="s">
        <v>97</v>
      </c>
      <c r="G1391" s="217" t="s">
        <v>384</v>
      </c>
      <c r="H1391" s="217" t="s">
        <v>1144</v>
      </c>
      <c r="I1391" s="217" t="s">
        <v>616</v>
      </c>
      <c r="J1391" s="217" t="s">
        <v>1856</v>
      </c>
      <c r="K1391" s="217">
        <v>192</v>
      </c>
      <c r="L1391" s="217">
        <v>1632</v>
      </c>
      <c r="M1391" s="217" t="s">
        <v>31</v>
      </c>
      <c r="N1391" s="217" t="s">
        <v>32</v>
      </c>
      <c r="O1391" s="217" t="s">
        <v>141</v>
      </c>
      <c r="P1391" s="217" t="s">
        <v>142</v>
      </c>
      <c r="Q1391" s="217" t="s">
        <v>143</v>
      </c>
      <c r="R1391" s="217" t="s">
        <v>142</v>
      </c>
      <c r="S1391" s="217" t="s">
        <v>619</v>
      </c>
      <c r="T1391" s="217" t="s">
        <v>32</v>
      </c>
      <c r="U1391" s="217" t="s">
        <v>32</v>
      </c>
      <c r="V1391" s="217" t="s">
        <v>32</v>
      </c>
      <c r="W1391" s="217" t="s">
        <v>32</v>
      </c>
    </row>
    <row r="1392" spans="1:23" x14ac:dyDescent="0.25">
      <c r="A1392" s="217" t="s">
        <v>22</v>
      </c>
      <c r="B1392" s="217" t="s">
        <v>23</v>
      </c>
      <c r="C1392" s="217" t="s">
        <v>85</v>
      </c>
      <c r="D1392" s="217" t="s">
        <v>84</v>
      </c>
      <c r="E1392" s="217" t="s">
        <v>98</v>
      </c>
      <c r="F1392" s="217" t="s">
        <v>97</v>
      </c>
      <c r="G1392" s="217" t="s">
        <v>384</v>
      </c>
      <c r="H1392" s="217" t="s">
        <v>1144</v>
      </c>
      <c r="I1392" s="217" t="s">
        <v>616</v>
      </c>
      <c r="J1392" s="217" t="s">
        <v>1857</v>
      </c>
      <c r="K1392" s="217">
        <v>63</v>
      </c>
      <c r="L1392" s="217">
        <v>537</v>
      </c>
      <c r="M1392" s="217" t="s">
        <v>31</v>
      </c>
      <c r="N1392" s="217" t="s">
        <v>32</v>
      </c>
      <c r="O1392" s="217" t="s">
        <v>141</v>
      </c>
      <c r="P1392" s="217" t="s">
        <v>142</v>
      </c>
      <c r="Q1392" s="217" t="s">
        <v>143</v>
      </c>
      <c r="R1392" s="217" t="s">
        <v>142</v>
      </c>
      <c r="S1392" s="217" t="s">
        <v>619</v>
      </c>
      <c r="T1392" s="217" t="s">
        <v>32</v>
      </c>
      <c r="U1392" s="217" t="s">
        <v>32</v>
      </c>
      <c r="V1392" s="217" t="s">
        <v>32</v>
      </c>
      <c r="W1392" s="217" t="s">
        <v>32</v>
      </c>
    </row>
    <row r="1393" spans="1:23" x14ac:dyDescent="0.25">
      <c r="A1393" s="217" t="s">
        <v>22</v>
      </c>
      <c r="B1393" s="217" t="s">
        <v>23</v>
      </c>
      <c r="C1393" s="217" t="s">
        <v>85</v>
      </c>
      <c r="D1393" s="217" t="s">
        <v>84</v>
      </c>
      <c r="E1393" s="217" t="s">
        <v>98</v>
      </c>
      <c r="F1393" s="217" t="s">
        <v>97</v>
      </c>
      <c r="G1393" s="217" t="s">
        <v>384</v>
      </c>
      <c r="H1393" s="217" t="s">
        <v>1144</v>
      </c>
      <c r="I1393" s="217" t="s">
        <v>616</v>
      </c>
      <c r="J1393" s="217" t="s">
        <v>1858</v>
      </c>
      <c r="K1393" s="217">
        <v>12</v>
      </c>
      <c r="L1393" s="217">
        <v>102</v>
      </c>
      <c r="M1393" s="217" t="s">
        <v>31</v>
      </c>
      <c r="N1393" s="217" t="s">
        <v>32</v>
      </c>
      <c r="O1393" s="217" t="s">
        <v>141</v>
      </c>
      <c r="P1393" s="217" t="s">
        <v>142</v>
      </c>
      <c r="Q1393" s="217" t="s">
        <v>143</v>
      </c>
      <c r="R1393" s="217" t="s">
        <v>142</v>
      </c>
      <c r="S1393" s="217" t="s">
        <v>619</v>
      </c>
      <c r="T1393" s="217" t="s">
        <v>32</v>
      </c>
      <c r="U1393" s="217" t="s">
        <v>32</v>
      </c>
      <c r="V1393" s="217" t="s">
        <v>32</v>
      </c>
      <c r="W1393" s="217" t="s">
        <v>32</v>
      </c>
    </row>
    <row r="1394" spans="1:23" x14ac:dyDescent="0.25">
      <c r="A1394" s="217" t="s">
        <v>22</v>
      </c>
      <c r="B1394" s="217" t="s">
        <v>23</v>
      </c>
      <c r="C1394" s="217" t="s">
        <v>85</v>
      </c>
      <c r="D1394" s="217" t="s">
        <v>84</v>
      </c>
      <c r="E1394" s="217" t="s">
        <v>98</v>
      </c>
      <c r="F1394" s="217" t="s">
        <v>97</v>
      </c>
      <c r="G1394" s="217" t="s">
        <v>158</v>
      </c>
      <c r="H1394" s="217" t="s">
        <v>1148</v>
      </c>
      <c r="I1394" s="217" t="s">
        <v>616</v>
      </c>
      <c r="J1394" s="217" t="s">
        <v>1856</v>
      </c>
      <c r="K1394" s="217">
        <v>8</v>
      </c>
      <c r="L1394" s="217">
        <v>46</v>
      </c>
      <c r="M1394" s="217" t="s">
        <v>31</v>
      </c>
      <c r="N1394" s="217" t="s">
        <v>32</v>
      </c>
      <c r="O1394" s="217" t="s">
        <v>141</v>
      </c>
      <c r="P1394" s="217" t="s">
        <v>142</v>
      </c>
      <c r="Q1394" s="217" t="s">
        <v>143</v>
      </c>
      <c r="R1394" s="217" t="s">
        <v>142</v>
      </c>
      <c r="S1394" s="217" t="s">
        <v>619</v>
      </c>
      <c r="T1394" s="217" t="s">
        <v>32</v>
      </c>
      <c r="U1394" s="217" t="s">
        <v>32</v>
      </c>
      <c r="V1394" s="217" t="s">
        <v>32</v>
      </c>
      <c r="W1394" s="217" t="s">
        <v>32</v>
      </c>
    </row>
    <row r="1395" spans="1:23" x14ac:dyDescent="0.25">
      <c r="A1395" s="217" t="s">
        <v>22</v>
      </c>
      <c r="B1395" s="217" t="s">
        <v>23</v>
      </c>
      <c r="C1395" s="217" t="s">
        <v>85</v>
      </c>
      <c r="D1395" s="217" t="s">
        <v>84</v>
      </c>
      <c r="E1395" s="217" t="s">
        <v>98</v>
      </c>
      <c r="F1395" s="217" t="s">
        <v>97</v>
      </c>
      <c r="G1395" s="217" t="s">
        <v>158</v>
      </c>
      <c r="H1395" s="217" t="s">
        <v>1148</v>
      </c>
      <c r="I1395" s="217" t="s">
        <v>616</v>
      </c>
      <c r="J1395" s="217" t="s">
        <v>1858</v>
      </c>
      <c r="K1395" s="217">
        <v>1</v>
      </c>
      <c r="L1395" s="217">
        <v>4</v>
      </c>
      <c r="M1395" s="217" t="s">
        <v>31</v>
      </c>
      <c r="N1395" s="217" t="s">
        <v>32</v>
      </c>
      <c r="O1395" s="217" t="s">
        <v>141</v>
      </c>
      <c r="P1395" s="217" t="s">
        <v>142</v>
      </c>
      <c r="Q1395" s="217" t="s">
        <v>143</v>
      </c>
      <c r="R1395" s="217" t="s">
        <v>142</v>
      </c>
      <c r="S1395" s="217" t="s">
        <v>619</v>
      </c>
      <c r="T1395" s="217" t="s">
        <v>32</v>
      </c>
      <c r="U1395" s="217" t="s">
        <v>32</v>
      </c>
      <c r="V1395" s="217" t="s">
        <v>32</v>
      </c>
      <c r="W1395" s="217" t="s">
        <v>32</v>
      </c>
    </row>
    <row r="1396" spans="1:23" x14ac:dyDescent="0.25">
      <c r="A1396" s="217" t="s">
        <v>22</v>
      </c>
      <c r="B1396" s="217" t="s">
        <v>23</v>
      </c>
      <c r="C1396" s="217" t="s">
        <v>85</v>
      </c>
      <c r="D1396" s="217" t="s">
        <v>84</v>
      </c>
      <c r="E1396" s="217" t="s">
        <v>98</v>
      </c>
      <c r="F1396" s="217" t="s">
        <v>97</v>
      </c>
      <c r="G1396" s="217" t="s">
        <v>1969</v>
      </c>
      <c r="H1396" s="217" t="s">
        <v>1970</v>
      </c>
      <c r="I1396" s="217" t="s">
        <v>616</v>
      </c>
      <c r="J1396" s="217" t="s">
        <v>1858</v>
      </c>
      <c r="K1396" s="217">
        <v>47</v>
      </c>
      <c r="L1396" s="217">
        <v>400</v>
      </c>
      <c r="M1396" s="217" t="s">
        <v>31</v>
      </c>
      <c r="N1396" s="217" t="s">
        <v>32</v>
      </c>
      <c r="O1396" s="217" t="s">
        <v>141</v>
      </c>
      <c r="P1396" s="217" t="s">
        <v>142</v>
      </c>
      <c r="Q1396" s="217" t="s">
        <v>143</v>
      </c>
      <c r="R1396" s="217" t="s">
        <v>142</v>
      </c>
      <c r="S1396" s="217" t="s">
        <v>619</v>
      </c>
      <c r="T1396" s="217" t="s">
        <v>32</v>
      </c>
      <c r="U1396" s="217" t="s">
        <v>32</v>
      </c>
      <c r="V1396" s="217" t="s">
        <v>32</v>
      </c>
      <c r="W1396" s="217" t="s">
        <v>32</v>
      </c>
    </row>
    <row r="1397" spans="1:23" x14ac:dyDescent="0.25">
      <c r="A1397" s="217" t="s">
        <v>22</v>
      </c>
      <c r="B1397" s="217" t="s">
        <v>23</v>
      </c>
      <c r="C1397" s="217" t="s">
        <v>85</v>
      </c>
      <c r="D1397" s="217" t="s">
        <v>84</v>
      </c>
      <c r="E1397" s="217" t="s">
        <v>98</v>
      </c>
      <c r="F1397" s="217" t="s">
        <v>97</v>
      </c>
      <c r="G1397" s="217" t="s">
        <v>824</v>
      </c>
      <c r="H1397" s="217" t="s">
        <v>1507</v>
      </c>
      <c r="I1397" s="217" t="s">
        <v>616</v>
      </c>
      <c r="J1397" s="217" t="s">
        <v>1857</v>
      </c>
      <c r="K1397" s="217">
        <v>41</v>
      </c>
      <c r="L1397" s="217">
        <v>349</v>
      </c>
      <c r="M1397" s="217" t="s">
        <v>31</v>
      </c>
      <c r="N1397" s="217" t="s">
        <v>32</v>
      </c>
      <c r="O1397" s="217" t="s">
        <v>141</v>
      </c>
      <c r="P1397" s="217" t="s">
        <v>142</v>
      </c>
      <c r="Q1397" s="217" t="s">
        <v>143</v>
      </c>
      <c r="R1397" s="217" t="s">
        <v>142</v>
      </c>
      <c r="S1397" s="217" t="s">
        <v>619</v>
      </c>
      <c r="T1397" s="217" t="s">
        <v>32</v>
      </c>
      <c r="U1397" s="217" t="s">
        <v>32</v>
      </c>
      <c r="V1397" s="217" t="s">
        <v>32</v>
      </c>
      <c r="W1397" s="217" t="s">
        <v>32</v>
      </c>
    </row>
    <row r="1398" spans="1:23" x14ac:dyDescent="0.25">
      <c r="A1398" s="217" t="s">
        <v>22</v>
      </c>
      <c r="B1398" s="217" t="s">
        <v>23</v>
      </c>
      <c r="C1398" s="217" t="s">
        <v>85</v>
      </c>
      <c r="D1398" s="217" t="s">
        <v>84</v>
      </c>
      <c r="E1398" s="217" t="s">
        <v>98</v>
      </c>
      <c r="F1398" s="217" t="s">
        <v>97</v>
      </c>
      <c r="G1398" s="217" t="s">
        <v>824</v>
      </c>
      <c r="H1398" s="217" t="s">
        <v>1507</v>
      </c>
      <c r="I1398" s="217" t="s">
        <v>616</v>
      </c>
      <c r="J1398" s="217" t="s">
        <v>1858</v>
      </c>
      <c r="K1398" s="217">
        <v>6</v>
      </c>
      <c r="L1398" s="217">
        <v>51</v>
      </c>
      <c r="M1398" s="217" t="s">
        <v>31</v>
      </c>
      <c r="N1398" s="217" t="s">
        <v>32</v>
      </c>
      <c r="O1398" s="217" t="s">
        <v>141</v>
      </c>
      <c r="P1398" s="217" t="s">
        <v>142</v>
      </c>
      <c r="Q1398" s="217" t="s">
        <v>143</v>
      </c>
      <c r="R1398" s="217" t="s">
        <v>142</v>
      </c>
      <c r="S1398" s="217" t="s">
        <v>619</v>
      </c>
      <c r="T1398" s="217" t="s">
        <v>32</v>
      </c>
      <c r="U1398" s="217" t="s">
        <v>32</v>
      </c>
      <c r="V1398" s="217" t="s">
        <v>32</v>
      </c>
      <c r="W1398" s="217" t="s">
        <v>32</v>
      </c>
    </row>
    <row r="1399" spans="1:23" x14ac:dyDescent="0.25">
      <c r="A1399" s="217" t="s">
        <v>22</v>
      </c>
      <c r="B1399" s="217" t="s">
        <v>23</v>
      </c>
      <c r="C1399" s="217" t="s">
        <v>85</v>
      </c>
      <c r="D1399" s="217" t="s">
        <v>84</v>
      </c>
      <c r="E1399" s="217" t="s">
        <v>98</v>
      </c>
      <c r="F1399" s="217" t="s">
        <v>97</v>
      </c>
      <c r="G1399" s="217" t="s">
        <v>160</v>
      </c>
      <c r="H1399" s="217" t="s">
        <v>1150</v>
      </c>
      <c r="I1399" s="217" t="s">
        <v>616</v>
      </c>
      <c r="J1399" s="217" t="s">
        <v>1855</v>
      </c>
      <c r="K1399" s="217">
        <v>8</v>
      </c>
      <c r="L1399" s="217">
        <v>42</v>
      </c>
      <c r="M1399" s="217" t="s">
        <v>31</v>
      </c>
      <c r="N1399" s="217" t="s">
        <v>32</v>
      </c>
      <c r="O1399" s="217" t="s">
        <v>141</v>
      </c>
      <c r="P1399" s="217" t="s">
        <v>142</v>
      </c>
      <c r="Q1399" s="217" t="s">
        <v>143</v>
      </c>
      <c r="R1399" s="217" t="s">
        <v>142</v>
      </c>
      <c r="S1399" s="217" t="s">
        <v>619</v>
      </c>
      <c r="T1399" s="217" t="s">
        <v>32</v>
      </c>
      <c r="U1399" s="217" t="s">
        <v>32</v>
      </c>
      <c r="V1399" s="217" t="s">
        <v>32</v>
      </c>
      <c r="W1399" s="217" t="s">
        <v>32</v>
      </c>
    </row>
    <row r="1400" spans="1:23" x14ac:dyDescent="0.25">
      <c r="A1400" s="217" t="s">
        <v>22</v>
      </c>
      <c r="B1400" s="217" t="s">
        <v>23</v>
      </c>
      <c r="C1400" s="217" t="s">
        <v>85</v>
      </c>
      <c r="D1400" s="217" t="s">
        <v>84</v>
      </c>
      <c r="E1400" s="217" t="s">
        <v>98</v>
      </c>
      <c r="F1400" s="217" t="s">
        <v>97</v>
      </c>
      <c r="G1400" s="217" t="s">
        <v>161</v>
      </c>
      <c r="H1400" s="217" t="s">
        <v>1151</v>
      </c>
      <c r="I1400" s="217" t="s">
        <v>616</v>
      </c>
      <c r="J1400" s="217" t="s">
        <v>1855</v>
      </c>
      <c r="K1400" s="217">
        <v>35</v>
      </c>
      <c r="L1400" s="217">
        <v>200</v>
      </c>
      <c r="M1400" s="217" t="s">
        <v>31</v>
      </c>
      <c r="N1400" s="217" t="s">
        <v>32</v>
      </c>
      <c r="O1400" s="217" t="s">
        <v>141</v>
      </c>
      <c r="P1400" s="217" t="s">
        <v>142</v>
      </c>
      <c r="Q1400" s="217" t="s">
        <v>143</v>
      </c>
      <c r="R1400" s="217" t="s">
        <v>142</v>
      </c>
      <c r="S1400" s="217" t="s">
        <v>619</v>
      </c>
      <c r="T1400" s="217" t="s">
        <v>32</v>
      </c>
      <c r="U1400" s="217" t="s">
        <v>32</v>
      </c>
      <c r="V1400" s="217" t="s">
        <v>32</v>
      </c>
      <c r="W1400" s="217" t="s">
        <v>32</v>
      </c>
    </row>
    <row r="1401" spans="1:23" x14ac:dyDescent="0.25">
      <c r="A1401" s="217" t="s">
        <v>22</v>
      </c>
      <c r="B1401" s="217" t="s">
        <v>23</v>
      </c>
      <c r="C1401" s="217" t="s">
        <v>85</v>
      </c>
      <c r="D1401" s="217" t="s">
        <v>84</v>
      </c>
      <c r="E1401" s="217" t="s">
        <v>98</v>
      </c>
      <c r="F1401" s="217" t="s">
        <v>97</v>
      </c>
      <c r="G1401" s="217" t="s">
        <v>161</v>
      </c>
      <c r="H1401" s="217" t="s">
        <v>1151</v>
      </c>
      <c r="I1401" s="217" t="s">
        <v>616</v>
      </c>
      <c r="J1401" s="217" t="s">
        <v>1857</v>
      </c>
      <c r="K1401" s="217">
        <v>62</v>
      </c>
      <c r="L1401" s="217">
        <v>421</v>
      </c>
      <c r="M1401" s="217" t="s">
        <v>31</v>
      </c>
      <c r="N1401" s="217" t="s">
        <v>32</v>
      </c>
      <c r="O1401" s="217" t="s">
        <v>141</v>
      </c>
      <c r="P1401" s="217" t="s">
        <v>142</v>
      </c>
      <c r="Q1401" s="217" t="s">
        <v>143</v>
      </c>
      <c r="R1401" s="217" t="s">
        <v>142</v>
      </c>
      <c r="S1401" s="217" t="s">
        <v>619</v>
      </c>
      <c r="T1401" s="217" t="s">
        <v>32</v>
      </c>
      <c r="U1401" s="217" t="s">
        <v>32</v>
      </c>
      <c r="V1401" s="217" t="s">
        <v>32</v>
      </c>
      <c r="W1401" s="217" t="s">
        <v>32</v>
      </c>
    </row>
    <row r="1402" spans="1:23" x14ac:dyDescent="0.25">
      <c r="A1402" s="217" t="s">
        <v>22</v>
      </c>
      <c r="B1402" s="217" t="s">
        <v>23</v>
      </c>
      <c r="C1402" s="217" t="s">
        <v>85</v>
      </c>
      <c r="D1402" s="217" t="s">
        <v>84</v>
      </c>
      <c r="E1402" s="217" t="s">
        <v>98</v>
      </c>
      <c r="F1402" s="217" t="s">
        <v>97</v>
      </c>
      <c r="G1402" s="217" t="s">
        <v>161</v>
      </c>
      <c r="H1402" s="217" t="s">
        <v>1151</v>
      </c>
      <c r="I1402" s="217" t="s">
        <v>616</v>
      </c>
      <c r="J1402" s="217" t="s">
        <v>1858</v>
      </c>
      <c r="K1402" s="217">
        <v>18</v>
      </c>
      <c r="L1402" s="217">
        <v>105</v>
      </c>
      <c r="M1402" s="217" t="s">
        <v>31</v>
      </c>
      <c r="N1402" s="217" t="s">
        <v>32</v>
      </c>
      <c r="O1402" s="217" t="s">
        <v>141</v>
      </c>
      <c r="P1402" s="217" t="s">
        <v>142</v>
      </c>
      <c r="Q1402" s="217" t="s">
        <v>143</v>
      </c>
      <c r="R1402" s="217" t="s">
        <v>142</v>
      </c>
      <c r="S1402" s="217" t="s">
        <v>619</v>
      </c>
      <c r="T1402" s="217" t="s">
        <v>32</v>
      </c>
      <c r="U1402" s="217" t="s">
        <v>32</v>
      </c>
      <c r="V1402" s="217" t="s">
        <v>32</v>
      </c>
      <c r="W1402" s="217" t="s">
        <v>32</v>
      </c>
    </row>
    <row r="1403" spans="1:23" x14ac:dyDescent="0.25">
      <c r="A1403" s="217" t="s">
        <v>22</v>
      </c>
      <c r="B1403" s="217" t="s">
        <v>23</v>
      </c>
      <c r="C1403" s="217" t="s">
        <v>85</v>
      </c>
      <c r="D1403" s="217" t="s">
        <v>84</v>
      </c>
      <c r="E1403" s="217" t="s">
        <v>98</v>
      </c>
      <c r="F1403" s="217" t="s">
        <v>97</v>
      </c>
      <c r="G1403" s="217" t="s">
        <v>162</v>
      </c>
      <c r="H1403" s="217" t="s">
        <v>1158</v>
      </c>
      <c r="I1403" s="217" t="s">
        <v>616</v>
      </c>
      <c r="J1403" s="217" t="s">
        <v>1857</v>
      </c>
      <c r="K1403" s="217">
        <v>3</v>
      </c>
      <c r="L1403" s="217">
        <v>38</v>
      </c>
      <c r="M1403" s="217" t="s">
        <v>31</v>
      </c>
      <c r="N1403" s="217" t="s">
        <v>32</v>
      </c>
      <c r="O1403" s="217" t="s">
        <v>141</v>
      </c>
      <c r="P1403" s="217" t="s">
        <v>142</v>
      </c>
      <c r="Q1403" s="217" t="s">
        <v>143</v>
      </c>
      <c r="R1403" s="217" t="s">
        <v>142</v>
      </c>
      <c r="S1403" s="217" t="s">
        <v>619</v>
      </c>
      <c r="T1403" s="217" t="s">
        <v>32</v>
      </c>
      <c r="U1403" s="217" t="s">
        <v>32</v>
      </c>
      <c r="V1403" s="217" t="s">
        <v>32</v>
      </c>
      <c r="W1403" s="217" t="s">
        <v>32</v>
      </c>
    </row>
    <row r="1404" spans="1:23" x14ac:dyDescent="0.25">
      <c r="A1404" s="217" t="s">
        <v>22</v>
      </c>
      <c r="B1404" s="217" t="s">
        <v>23</v>
      </c>
      <c r="C1404" s="217" t="s">
        <v>85</v>
      </c>
      <c r="D1404" s="217" t="s">
        <v>84</v>
      </c>
      <c r="E1404" s="217" t="s">
        <v>98</v>
      </c>
      <c r="F1404" s="217" t="s">
        <v>97</v>
      </c>
      <c r="G1404" s="217" t="s">
        <v>624</v>
      </c>
      <c r="H1404" s="217" t="s">
        <v>1508</v>
      </c>
      <c r="I1404" s="217" t="s">
        <v>616</v>
      </c>
      <c r="J1404" s="217" t="s">
        <v>1857</v>
      </c>
      <c r="K1404" s="217">
        <v>22</v>
      </c>
      <c r="L1404" s="217">
        <v>187</v>
      </c>
      <c r="M1404" s="217" t="s">
        <v>31</v>
      </c>
      <c r="N1404" s="217" t="s">
        <v>32</v>
      </c>
      <c r="O1404" s="217" t="s">
        <v>141</v>
      </c>
      <c r="P1404" s="217" t="s">
        <v>142</v>
      </c>
      <c r="Q1404" s="217" t="s">
        <v>143</v>
      </c>
      <c r="R1404" s="217" t="s">
        <v>142</v>
      </c>
      <c r="S1404" s="217" t="s">
        <v>619</v>
      </c>
      <c r="T1404" s="217" t="s">
        <v>32</v>
      </c>
      <c r="U1404" s="217" t="s">
        <v>32</v>
      </c>
      <c r="V1404" s="217" t="s">
        <v>32</v>
      </c>
      <c r="W1404" s="217" t="s">
        <v>32</v>
      </c>
    </row>
    <row r="1405" spans="1:23" x14ac:dyDescent="0.25">
      <c r="A1405" s="217" t="s">
        <v>22</v>
      </c>
      <c r="B1405" s="217" t="s">
        <v>23</v>
      </c>
      <c r="C1405" s="217" t="s">
        <v>85</v>
      </c>
      <c r="D1405" s="217" t="s">
        <v>84</v>
      </c>
      <c r="E1405" s="217" t="s">
        <v>98</v>
      </c>
      <c r="F1405" s="217" t="s">
        <v>97</v>
      </c>
      <c r="G1405" s="217" t="s">
        <v>388</v>
      </c>
      <c r="H1405" s="217" t="s">
        <v>1160</v>
      </c>
      <c r="I1405" s="217" t="s">
        <v>616</v>
      </c>
      <c r="J1405" s="217" t="s">
        <v>1857</v>
      </c>
      <c r="K1405" s="217">
        <v>53</v>
      </c>
      <c r="L1405" s="217">
        <v>451</v>
      </c>
      <c r="M1405" s="217" t="s">
        <v>31</v>
      </c>
      <c r="N1405" s="217" t="s">
        <v>32</v>
      </c>
      <c r="O1405" s="217" t="s">
        <v>141</v>
      </c>
      <c r="P1405" s="217" t="s">
        <v>142</v>
      </c>
      <c r="Q1405" s="217" t="s">
        <v>143</v>
      </c>
      <c r="R1405" s="217" t="s">
        <v>142</v>
      </c>
      <c r="S1405" s="217" t="s">
        <v>619</v>
      </c>
      <c r="T1405" s="217" t="s">
        <v>32</v>
      </c>
      <c r="U1405" s="217" t="s">
        <v>32</v>
      </c>
      <c r="V1405" s="217" t="s">
        <v>32</v>
      </c>
      <c r="W1405" s="217" t="s">
        <v>32</v>
      </c>
    </row>
    <row r="1406" spans="1:23" x14ac:dyDescent="0.25">
      <c r="A1406" s="217" t="s">
        <v>22</v>
      </c>
      <c r="B1406" s="217" t="s">
        <v>23</v>
      </c>
      <c r="C1406" s="217" t="s">
        <v>85</v>
      </c>
      <c r="D1406" s="217" t="s">
        <v>84</v>
      </c>
      <c r="E1406" s="217" t="s">
        <v>98</v>
      </c>
      <c r="F1406" s="217" t="s">
        <v>97</v>
      </c>
      <c r="G1406" s="217" t="s">
        <v>796</v>
      </c>
      <c r="H1406" s="217" t="s">
        <v>1509</v>
      </c>
      <c r="I1406" s="217" t="s">
        <v>616</v>
      </c>
      <c r="J1406" s="217" t="s">
        <v>1856</v>
      </c>
      <c r="K1406" s="217">
        <v>8</v>
      </c>
      <c r="L1406" s="217">
        <v>51</v>
      </c>
      <c r="M1406" s="217" t="s">
        <v>31</v>
      </c>
      <c r="N1406" s="217" t="s">
        <v>32</v>
      </c>
      <c r="O1406" s="217" t="s">
        <v>141</v>
      </c>
      <c r="P1406" s="217" t="s">
        <v>142</v>
      </c>
      <c r="Q1406" s="217" t="s">
        <v>143</v>
      </c>
      <c r="R1406" s="217" t="s">
        <v>142</v>
      </c>
      <c r="S1406" s="217" t="s">
        <v>619</v>
      </c>
      <c r="T1406" s="217" t="s">
        <v>32</v>
      </c>
      <c r="U1406" s="217" t="s">
        <v>32</v>
      </c>
      <c r="V1406" s="217" t="s">
        <v>32</v>
      </c>
      <c r="W1406" s="217" t="s">
        <v>32</v>
      </c>
    </row>
    <row r="1407" spans="1:23" x14ac:dyDescent="0.25">
      <c r="A1407" s="217" t="s">
        <v>22</v>
      </c>
      <c r="B1407" s="217" t="s">
        <v>23</v>
      </c>
      <c r="C1407" s="217" t="s">
        <v>85</v>
      </c>
      <c r="D1407" s="217" t="s">
        <v>84</v>
      </c>
      <c r="E1407" s="217" t="s">
        <v>98</v>
      </c>
      <c r="F1407" s="217" t="s">
        <v>97</v>
      </c>
      <c r="G1407" s="217" t="s">
        <v>796</v>
      </c>
      <c r="H1407" s="217" t="s">
        <v>1509</v>
      </c>
      <c r="I1407" s="217" t="s">
        <v>616</v>
      </c>
      <c r="J1407" s="217" t="s">
        <v>1858</v>
      </c>
      <c r="K1407" s="217">
        <v>3</v>
      </c>
      <c r="L1407" s="217">
        <v>11</v>
      </c>
      <c r="M1407" s="217" t="s">
        <v>31</v>
      </c>
      <c r="N1407" s="217" t="s">
        <v>32</v>
      </c>
      <c r="O1407" s="217" t="s">
        <v>141</v>
      </c>
      <c r="P1407" s="217" t="s">
        <v>142</v>
      </c>
      <c r="Q1407" s="217" t="s">
        <v>143</v>
      </c>
      <c r="R1407" s="217" t="s">
        <v>142</v>
      </c>
      <c r="S1407" s="217" t="s">
        <v>619</v>
      </c>
      <c r="T1407" s="217" t="s">
        <v>32</v>
      </c>
      <c r="U1407" s="217" t="s">
        <v>32</v>
      </c>
      <c r="V1407" s="217" t="s">
        <v>32</v>
      </c>
      <c r="W1407" s="217" t="s">
        <v>32</v>
      </c>
    </row>
    <row r="1408" spans="1:23" x14ac:dyDescent="0.25">
      <c r="A1408" s="217" t="s">
        <v>22</v>
      </c>
      <c r="B1408" s="217" t="s">
        <v>23</v>
      </c>
      <c r="C1408" s="217" t="s">
        <v>85</v>
      </c>
      <c r="D1408" s="217" t="s">
        <v>84</v>
      </c>
      <c r="E1408" s="217" t="s">
        <v>98</v>
      </c>
      <c r="F1408" s="217" t="s">
        <v>97</v>
      </c>
      <c r="G1408" s="217" t="s">
        <v>791</v>
      </c>
      <c r="H1408" s="217" t="s">
        <v>1164</v>
      </c>
      <c r="I1408" s="217" t="s">
        <v>616</v>
      </c>
      <c r="J1408" s="217" t="s">
        <v>1856</v>
      </c>
      <c r="K1408" s="217">
        <v>17</v>
      </c>
      <c r="L1408" s="217">
        <v>68</v>
      </c>
      <c r="M1408" s="217" t="s">
        <v>31</v>
      </c>
      <c r="N1408" s="217" t="s">
        <v>32</v>
      </c>
      <c r="O1408" s="217" t="s">
        <v>141</v>
      </c>
      <c r="P1408" s="217" t="s">
        <v>142</v>
      </c>
      <c r="Q1408" s="217" t="s">
        <v>143</v>
      </c>
      <c r="R1408" s="217" t="s">
        <v>142</v>
      </c>
      <c r="S1408" s="217" t="s">
        <v>619</v>
      </c>
      <c r="T1408" s="217" t="s">
        <v>32</v>
      </c>
      <c r="U1408" s="217" t="s">
        <v>32</v>
      </c>
      <c r="V1408" s="217" t="s">
        <v>32</v>
      </c>
      <c r="W1408" s="217" t="s">
        <v>32</v>
      </c>
    </row>
    <row r="1409" spans="1:23" x14ac:dyDescent="0.25">
      <c r="A1409" s="217" t="s">
        <v>22</v>
      </c>
      <c r="B1409" s="217" t="s">
        <v>23</v>
      </c>
      <c r="C1409" s="217" t="s">
        <v>85</v>
      </c>
      <c r="D1409" s="217" t="s">
        <v>84</v>
      </c>
      <c r="E1409" s="217" t="s">
        <v>98</v>
      </c>
      <c r="F1409" s="217" t="s">
        <v>97</v>
      </c>
      <c r="G1409" s="217" t="s">
        <v>791</v>
      </c>
      <c r="H1409" s="217" t="s">
        <v>1164</v>
      </c>
      <c r="I1409" s="217" t="s">
        <v>616</v>
      </c>
      <c r="J1409" s="217" t="s">
        <v>1857</v>
      </c>
      <c r="K1409" s="217">
        <v>5</v>
      </c>
      <c r="L1409" s="217">
        <v>34</v>
      </c>
      <c r="M1409" s="217" t="s">
        <v>31</v>
      </c>
      <c r="N1409" s="217" t="s">
        <v>32</v>
      </c>
      <c r="O1409" s="217" t="s">
        <v>141</v>
      </c>
      <c r="P1409" s="217" t="s">
        <v>142</v>
      </c>
      <c r="Q1409" s="217" t="s">
        <v>143</v>
      </c>
      <c r="R1409" s="217" t="s">
        <v>142</v>
      </c>
      <c r="S1409" s="217" t="s">
        <v>619</v>
      </c>
      <c r="T1409" s="217" t="s">
        <v>32</v>
      </c>
      <c r="U1409" s="217" t="s">
        <v>32</v>
      </c>
      <c r="V1409" s="217" t="s">
        <v>32</v>
      </c>
      <c r="W1409" s="217" t="s">
        <v>32</v>
      </c>
    </row>
    <row r="1410" spans="1:23" x14ac:dyDescent="0.25">
      <c r="A1410" s="217" t="s">
        <v>22</v>
      </c>
      <c r="B1410" s="217" t="s">
        <v>23</v>
      </c>
      <c r="C1410" s="217" t="s">
        <v>85</v>
      </c>
      <c r="D1410" s="217" t="s">
        <v>84</v>
      </c>
      <c r="E1410" s="217" t="s">
        <v>98</v>
      </c>
      <c r="F1410" s="217" t="s">
        <v>97</v>
      </c>
      <c r="G1410" s="217" t="s">
        <v>809</v>
      </c>
      <c r="H1410" s="217" t="s">
        <v>1165</v>
      </c>
      <c r="I1410" s="217" t="s">
        <v>616</v>
      </c>
      <c r="J1410" s="217" t="s">
        <v>1857</v>
      </c>
      <c r="K1410" s="217">
        <v>11</v>
      </c>
      <c r="L1410" s="217">
        <v>49</v>
      </c>
      <c r="M1410" s="217" t="s">
        <v>31</v>
      </c>
      <c r="N1410" s="217" t="s">
        <v>32</v>
      </c>
      <c r="O1410" s="217" t="s">
        <v>141</v>
      </c>
      <c r="P1410" s="217" t="s">
        <v>142</v>
      </c>
      <c r="Q1410" s="217" t="s">
        <v>143</v>
      </c>
      <c r="R1410" s="217" t="s">
        <v>142</v>
      </c>
      <c r="S1410" s="217" t="s">
        <v>619</v>
      </c>
      <c r="T1410" s="217" t="s">
        <v>32</v>
      </c>
      <c r="U1410" s="217" t="s">
        <v>32</v>
      </c>
      <c r="V1410" s="217" t="s">
        <v>32</v>
      </c>
      <c r="W1410" s="217" t="s">
        <v>32</v>
      </c>
    </row>
    <row r="1411" spans="1:23" x14ac:dyDescent="0.25">
      <c r="A1411" s="217" t="s">
        <v>22</v>
      </c>
      <c r="B1411" s="217" t="s">
        <v>23</v>
      </c>
      <c r="C1411" s="217" t="s">
        <v>85</v>
      </c>
      <c r="D1411" s="217" t="s">
        <v>84</v>
      </c>
      <c r="E1411" s="217" t="s">
        <v>98</v>
      </c>
      <c r="F1411" s="217" t="s">
        <v>97</v>
      </c>
      <c r="G1411" s="217" t="s">
        <v>390</v>
      </c>
      <c r="H1411" s="217" t="s">
        <v>1166</v>
      </c>
      <c r="I1411" s="217" t="s">
        <v>616</v>
      </c>
      <c r="J1411" s="217" t="s">
        <v>1856</v>
      </c>
      <c r="K1411" s="217">
        <v>10</v>
      </c>
      <c r="L1411" s="217">
        <v>100</v>
      </c>
      <c r="M1411" s="217" t="s">
        <v>31</v>
      </c>
      <c r="N1411" s="217" t="s">
        <v>32</v>
      </c>
      <c r="O1411" s="217" t="s">
        <v>141</v>
      </c>
      <c r="P1411" s="217" t="s">
        <v>142</v>
      </c>
      <c r="Q1411" s="217" t="s">
        <v>143</v>
      </c>
      <c r="R1411" s="217" t="s">
        <v>142</v>
      </c>
      <c r="S1411" s="217" t="s">
        <v>619</v>
      </c>
      <c r="T1411" s="217" t="s">
        <v>32</v>
      </c>
      <c r="U1411" s="217" t="s">
        <v>32</v>
      </c>
      <c r="V1411" s="217" t="s">
        <v>32</v>
      </c>
      <c r="W1411" s="217" t="s">
        <v>32</v>
      </c>
    </row>
    <row r="1412" spans="1:23" x14ac:dyDescent="0.25">
      <c r="A1412" s="217" t="s">
        <v>22</v>
      </c>
      <c r="B1412" s="217" t="s">
        <v>23</v>
      </c>
      <c r="C1412" s="217" t="s">
        <v>85</v>
      </c>
      <c r="D1412" s="217" t="s">
        <v>84</v>
      </c>
      <c r="E1412" s="217" t="s">
        <v>98</v>
      </c>
      <c r="F1412" s="217" t="s">
        <v>97</v>
      </c>
      <c r="G1412" s="217" t="s">
        <v>390</v>
      </c>
      <c r="H1412" s="217" t="s">
        <v>1166</v>
      </c>
      <c r="I1412" s="217" t="s">
        <v>616</v>
      </c>
      <c r="J1412" s="217" t="s">
        <v>1857</v>
      </c>
      <c r="K1412" s="217">
        <v>2</v>
      </c>
      <c r="L1412" s="217">
        <v>14</v>
      </c>
      <c r="M1412" s="217" t="s">
        <v>31</v>
      </c>
      <c r="N1412" s="217" t="s">
        <v>32</v>
      </c>
      <c r="O1412" s="217" t="s">
        <v>141</v>
      </c>
      <c r="P1412" s="217" t="s">
        <v>142</v>
      </c>
      <c r="Q1412" s="217" t="s">
        <v>143</v>
      </c>
      <c r="R1412" s="217" t="s">
        <v>142</v>
      </c>
      <c r="S1412" s="217" t="s">
        <v>619</v>
      </c>
      <c r="T1412" s="217" t="s">
        <v>32</v>
      </c>
      <c r="U1412" s="217" t="s">
        <v>32</v>
      </c>
      <c r="V1412" s="217" t="s">
        <v>32</v>
      </c>
      <c r="W1412" s="217" t="s">
        <v>32</v>
      </c>
    </row>
    <row r="1413" spans="1:23" x14ac:dyDescent="0.25">
      <c r="A1413" s="217" t="s">
        <v>22</v>
      </c>
      <c r="B1413" s="217" t="s">
        <v>23</v>
      </c>
      <c r="C1413" s="217" t="s">
        <v>85</v>
      </c>
      <c r="D1413" s="217" t="s">
        <v>84</v>
      </c>
      <c r="E1413" s="217" t="s">
        <v>98</v>
      </c>
      <c r="F1413" s="217" t="s">
        <v>97</v>
      </c>
      <c r="G1413" s="217" t="s">
        <v>392</v>
      </c>
      <c r="H1413" s="217" t="s">
        <v>1169</v>
      </c>
      <c r="I1413" s="217" t="s">
        <v>616</v>
      </c>
      <c r="J1413" s="217" t="s">
        <v>1855</v>
      </c>
      <c r="K1413" s="217">
        <v>2</v>
      </c>
      <c r="L1413" s="217">
        <v>4</v>
      </c>
      <c r="M1413" s="217" t="s">
        <v>31</v>
      </c>
      <c r="N1413" s="217" t="s">
        <v>32</v>
      </c>
      <c r="O1413" s="217" t="s">
        <v>141</v>
      </c>
      <c r="P1413" s="217" t="s">
        <v>142</v>
      </c>
      <c r="Q1413" s="217" t="s">
        <v>143</v>
      </c>
      <c r="R1413" s="217" t="s">
        <v>142</v>
      </c>
      <c r="S1413" s="217" t="s">
        <v>619</v>
      </c>
      <c r="T1413" s="217" t="s">
        <v>32</v>
      </c>
      <c r="U1413" s="217" t="s">
        <v>32</v>
      </c>
      <c r="V1413" s="217" t="s">
        <v>32</v>
      </c>
      <c r="W1413" s="217" t="s">
        <v>32</v>
      </c>
    </row>
    <row r="1414" spans="1:23" x14ac:dyDescent="0.25">
      <c r="A1414" s="217" t="s">
        <v>22</v>
      </c>
      <c r="B1414" s="217" t="s">
        <v>23</v>
      </c>
      <c r="C1414" s="217" t="s">
        <v>85</v>
      </c>
      <c r="D1414" s="217" t="s">
        <v>84</v>
      </c>
      <c r="E1414" s="217" t="s">
        <v>98</v>
      </c>
      <c r="F1414" s="217" t="s">
        <v>97</v>
      </c>
      <c r="G1414" s="217" t="s">
        <v>392</v>
      </c>
      <c r="H1414" s="217" t="s">
        <v>1169</v>
      </c>
      <c r="I1414" s="217" t="s">
        <v>616</v>
      </c>
      <c r="J1414" s="217" t="s">
        <v>1856</v>
      </c>
      <c r="K1414" s="217">
        <v>2</v>
      </c>
      <c r="L1414" s="217">
        <v>2</v>
      </c>
      <c r="M1414" s="217" t="s">
        <v>31</v>
      </c>
      <c r="N1414" s="217" t="s">
        <v>32</v>
      </c>
      <c r="O1414" s="217" t="s">
        <v>141</v>
      </c>
      <c r="P1414" s="217" t="s">
        <v>142</v>
      </c>
      <c r="Q1414" s="217" t="s">
        <v>143</v>
      </c>
      <c r="R1414" s="217" t="s">
        <v>142</v>
      </c>
      <c r="S1414" s="217" t="s">
        <v>619</v>
      </c>
      <c r="T1414" s="217" t="s">
        <v>32</v>
      </c>
      <c r="U1414" s="217" t="s">
        <v>32</v>
      </c>
      <c r="V1414" s="217" t="s">
        <v>32</v>
      </c>
      <c r="W1414" s="217" t="s">
        <v>32</v>
      </c>
    </row>
    <row r="1415" spans="1:23" x14ac:dyDescent="0.25">
      <c r="A1415" s="217" t="s">
        <v>22</v>
      </c>
      <c r="B1415" s="217" t="s">
        <v>23</v>
      </c>
      <c r="C1415" s="217" t="s">
        <v>85</v>
      </c>
      <c r="D1415" s="217" t="s">
        <v>84</v>
      </c>
      <c r="E1415" s="217" t="s">
        <v>98</v>
      </c>
      <c r="F1415" s="217" t="s">
        <v>97</v>
      </c>
      <c r="G1415" s="217" t="s">
        <v>792</v>
      </c>
      <c r="H1415" s="217" t="s">
        <v>1170</v>
      </c>
      <c r="I1415" s="217" t="s">
        <v>616</v>
      </c>
      <c r="J1415" s="217" t="s">
        <v>1857</v>
      </c>
      <c r="K1415" s="217">
        <v>8</v>
      </c>
      <c r="L1415" s="217">
        <v>68</v>
      </c>
      <c r="M1415" s="217" t="s">
        <v>31</v>
      </c>
      <c r="N1415" s="217" t="s">
        <v>32</v>
      </c>
      <c r="O1415" s="217" t="s">
        <v>141</v>
      </c>
      <c r="P1415" s="217" t="s">
        <v>142</v>
      </c>
      <c r="Q1415" s="217" t="s">
        <v>143</v>
      </c>
      <c r="R1415" s="217" t="s">
        <v>142</v>
      </c>
      <c r="S1415" s="217" t="s">
        <v>619</v>
      </c>
      <c r="T1415" s="217" t="s">
        <v>32</v>
      </c>
      <c r="U1415" s="217" t="s">
        <v>32</v>
      </c>
      <c r="V1415" s="217" t="s">
        <v>32</v>
      </c>
      <c r="W1415" s="217" t="s">
        <v>32</v>
      </c>
    </row>
    <row r="1416" spans="1:23" x14ac:dyDescent="0.25">
      <c r="A1416" s="217" t="s">
        <v>22</v>
      </c>
      <c r="B1416" s="217" t="s">
        <v>23</v>
      </c>
      <c r="C1416" s="217" t="s">
        <v>85</v>
      </c>
      <c r="D1416" s="217" t="s">
        <v>84</v>
      </c>
      <c r="E1416" s="217" t="s">
        <v>98</v>
      </c>
      <c r="F1416" s="217" t="s">
        <v>97</v>
      </c>
      <c r="G1416" s="217" t="s">
        <v>163</v>
      </c>
      <c r="H1416" s="217" t="s">
        <v>1171</v>
      </c>
      <c r="I1416" s="217" t="s">
        <v>616</v>
      </c>
      <c r="J1416" s="217" t="s">
        <v>1857</v>
      </c>
      <c r="K1416" s="217">
        <v>21</v>
      </c>
      <c r="L1416" s="217">
        <v>250</v>
      </c>
      <c r="M1416" s="217" t="s">
        <v>31</v>
      </c>
      <c r="N1416" s="217" t="s">
        <v>32</v>
      </c>
      <c r="O1416" s="217" t="s">
        <v>141</v>
      </c>
      <c r="P1416" s="217" t="s">
        <v>142</v>
      </c>
      <c r="Q1416" s="217" t="s">
        <v>143</v>
      </c>
      <c r="R1416" s="217" t="s">
        <v>142</v>
      </c>
      <c r="S1416" s="217" t="s">
        <v>619</v>
      </c>
      <c r="T1416" s="217" t="s">
        <v>32</v>
      </c>
      <c r="U1416" s="217" t="s">
        <v>32</v>
      </c>
      <c r="V1416" s="217" t="s">
        <v>32</v>
      </c>
      <c r="W1416" s="217" t="s">
        <v>32</v>
      </c>
    </row>
    <row r="1417" spans="1:23" x14ac:dyDescent="0.25">
      <c r="A1417" s="217" t="s">
        <v>22</v>
      </c>
      <c r="B1417" s="217" t="s">
        <v>23</v>
      </c>
      <c r="C1417" s="217" t="s">
        <v>85</v>
      </c>
      <c r="D1417" s="217" t="s">
        <v>84</v>
      </c>
      <c r="E1417" s="217" t="s">
        <v>98</v>
      </c>
      <c r="F1417" s="217" t="s">
        <v>97</v>
      </c>
      <c r="G1417" s="217" t="s">
        <v>393</v>
      </c>
      <c r="H1417" s="217" t="s">
        <v>1172</v>
      </c>
      <c r="I1417" s="217" t="s">
        <v>616</v>
      </c>
      <c r="J1417" s="217" t="s">
        <v>1857</v>
      </c>
      <c r="K1417" s="217">
        <v>3</v>
      </c>
      <c r="L1417" s="217">
        <v>16</v>
      </c>
      <c r="M1417" s="217" t="s">
        <v>31</v>
      </c>
      <c r="N1417" s="217" t="s">
        <v>32</v>
      </c>
      <c r="O1417" s="217" t="s">
        <v>141</v>
      </c>
      <c r="P1417" s="217" t="s">
        <v>142</v>
      </c>
      <c r="Q1417" s="217" t="s">
        <v>143</v>
      </c>
      <c r="R1417" s="217" t="s">
        <v>142</v>
      </c>
      <c r="S1417" s="217" t="s">
        <v>619</v>
      </c>
      <c r="T1417" s="217" t="s">
        <v>32</v>
      </c>
      <c r="U1417" s="217" t="s">
        <v>32</v>
      </c>
      <c r="V1417" s="217" t="s">
        <v>32</v>
      </c>
      <c r="W1417" s="217" t="s">
        <v>32</v>
      </c>
    </row>
    <row r="1418" spans="1:23" x14ac:dyDescent="0.25">
      <c r="A1418" s="217" t="s">
        <v>22</v>
      </c>
      <c r="B1418" s="217" t="s">
        <v>23</v>
      </c>
      <c r="C1418" s="217" t="s">
        <v>85</v>
      </c>
      <c r="D1418" s="217" t="s">
        <v>84</v>
      </c>
      <c r="E1418" s="217" t="s">
        <v>98</v>
      </c>
      <c r="F1418" s="217" t="s">
        <v>97</v>
      </c>
      <c r="G1418" s="217" t="s">
        <v>395</v>
      </c>
      <c r="H1418" s="217" t="s">
        <v>1174</v>
      </c>
      <c r="I1418" s="217" t="s">
        <v>616</v>
      </c>
      <c r="J1418" s="217" t="s">
        <v>1856</v>
      </c>
      <c r="K1418" s="217">
        <v>20</v>
      </c>
      <c r="L1418" s="217">
        <v>75</v>
      </c>
      <c r="M1418" s="217" t="s">
        <v>31</v>
      </c>
      <c r="N1418" s="217" t="s">
        <v>32</v>
      </c>
      <c r="O1418" s="217" t="s">
        <v>141</v>
      </c>
      <c r="P1418" s="217" t="s">
        <v>142</v>
      </c>
      <c r="Q1418" s="217" t="s">
        <v>143</v>
      </c>
      <c r="R1418" s="217" t="s">
        <v>142</v>
      </c>
      <c r="S1418" s="217" t="s">
        <v>619</v>
      </c>
      <c r="T1418" s="217" t="s">
        <v>32</v>
      </c>
      <c r="U1418" s="217" t="s">
        <v>32</v>
      </c>
      <c r="V1418" s="217" t="s">
        <v>32</v>
      </c>
      <c r="W1418" s="217" t="s">
        <v>32</v>
      </c>
    </row>
    <row r="1419" spans="1:23" x14ac:dyDescent="0.25">
      <c r="A1419" s="217" t="s">
        <v>22</v>
      </c>
      <c r="B1419" s="217" t="s">
        <v>23</v>
      </c>
      <c r="C1419" s="217" t="s">
        <v>85</v>
      </c>
      <c r="D1419" s="217" t="s">
        <v>84</v>
      </c>
      <c r="E1419" s="217" t="s">
        <v>98</v>
      </c>
      <c r="F1419" s="217" t="s">
        <v>97</v>
      </c>
      <c r="G1419" s="217" t="s">
        <v>399</v>
      </c>
      <c r="H1419" s="217" t="s">
        <v>1178</v>
      </c>
      <c r="I1419" s="217" t="s">
        <v>616</v>
      </c>
      <c r="J1419" s="217" t="s">
        <v>1858</v>
      </c>
      <c r="K1419" s="217">
        <v>12</v>
      </c>
      <c r="L1419" s="217">
        <v>102</v>
      </c>
      <c r="M1419" s="217" t="s">
        <v>31</v>
      </c>
      <c r="N1419" s="217" t="s">
        <v>32</v>
      </c>
      <c r="O1419" s="217" t="s">
        <v>141</v>
      </c>
      <c r="P1419" s="217" t="s">
        <v>142</v>
      </c>
      <c r="Q1419" s="217" t="s">
        <v>143</v>
      </c>
      <c r="R1419" s="217" t="s">
        <v>142</v>
      </c>
      <c r="S1419" s="217" t="s">
        <v>619</v>
      </c>
      <c r="T1419" s="217" t="s">
        <v>32</v>
      </c>
      <c r="U1419" s="217" t="s">
        <v>32</v>
      </c>
      <c r="V1419" s="217" t="s">
        <v>32</v>
      </c>
      <c r="W1419" s="217" t="s">
        <v>32</v>
      </c>
    </row>
    <row r="1420" spans="1:23" x14ac:dyDescent="0.25">
      <c r="A1420" s="217" t="s">
        <v>22</v>
      </c>
      <c r="B1420" s="217" t="s">
        <v>23</v>
      </c>
      <c r="C1420" s="217" t="s">
        <v>85</v>
      </c>
      <c r="D1420" s="217" t="s">
        <v>84</v>
      </c>
      <c r="E1420" s="217" t="s">
        <v>98</v>
      </c>
      <c r="F1420" s="217" t="s">
        <v>97</v>
      </c>
      <c r="G1420" s="217" t="s">
        <v>798</v>
      </c>
      <c r="H1420" s="217" t="s">
        <v>1511</v>
      </c>
      <c r="I1420" s="217" t="s">
        <v>616</v>
      </c>
      <c r="J1420" s="217" t="s">
        <v>1857</v>
      </c>
      <c r="K1420" s="217">
        <v>4</v>
      </c>
      <c r="L1420" s="217">
        <v>34</v>
      </c>
      <c r="M1420" s="217" t="s">
        <v>31</v>
      </c>
      <c r="N1420" s="217" t="s">
        <v>32</v>
      </c>
      <c r="O1420" s="217" t="s">
        <v>141</v>
      </c>
      <c r="P1420" s="217" t="s">
        <v>142</v>
      </c>
      <c r="Q1420" s="217" t="s">
        <v>143</v>
      </c>
      <c r="R1420" s="217" t="s">
        <v>142</v>
      </c>
      <c r="S1420" s="217" t="s">
        <v>619</v>
      </c>
      <c r="T1420" s="217" t="s">
        <v>32</v>
      </c>
      <c r="U1420" s="217" t="s">
        <v>32</v>
      </c>
      <c r="V1420" s="217" t="s">
        <v>32</v>
      </c>
      <c r="W1420" s="217" t="s">
        <v>32</v>
      </c>
    </row>
    <row r="1421" spans="1:23" x14ac:dyDescent="0.25">
      <c r="A1421" s="217" t="s">
        <v>22</v>
      </c>
      <c r="B1421" s="217" t="s">
        <v>23</v>
      </c>
      <c r="C1421" s="217" t="s">
        <v>85</v>
      </c>
      <c r="D1421" s="217" t="s">
        <v>84</v>
      </c>
      <c r="E1421" s="217" t="s">
        <v>98</v>
      </c>
      <c r="F1421" s="217" t="s">
        <v>97</v>
      </c>
      <c r="G1421" s="217" t="s">
        <v>298</v>
      </c>
      <c r="H1421" s="217" t="s">
        <v>1181</v>
      </c>
      <c r="I1421" s="217" t="s">
        <v>616</v>
      </c>
      <c r="J1421" s="217" t="s">
        <v>1857</v>
      </c>
      <c r="K1421" s="217">
        <v>5</v>
      </c>
      <c r="L1421" s="217">
        <v>26</v>
      </c>
      <c r="M1421" s="217" t="s">
        <v>31</v>
      </c>
      <c r="N1421" s="217" t="s">
        <v>32</v>
      </c>
      <c r="O1421" s="217" t="s">
        <v>141</v>
      </c>
      <c r="P1421" s="217" t="s">
        <v>142</v>
      </c>
      <c r="Q1421" s="217" t="s">
        <v>143</v>
      </c>
      <c r="R1421" s="217" t="s">
        <v>142</v>
      </c>
      <c r="S1421" s="217" t="s">
        <v>619</v>
      </c>
      <c r="T1421" s="217" t="s">
        <v>32</v>
      </c>
      <c r="U1421" s="217" t="s">
        <v>32</v>
      </c>
      <c r="V1421" s="217" t="s">
        <v>32</v>
      </c>
      <c r="W1421" s="217" t="s">
        <v>32</v>
      </c>
    </row>
    <row r="1422" spans="1:23" x14ac:dyDescent="0.25">
      <c r="A1422" s="217" t="s">
        <v>22</v>
      </c>
      <c r="B1422" s="217" t="s">
        <v>23</v>
      </c>
      <c r="C1422" s="217" t="s">
        <v>85</v>
      </c>
      <c r="D1422" s="217" t="s">
        <v>84</v>
      </c>
      <c r="E1422" s="217" t="s">
        <v>98</v>
      </c>
      <c r="F1422" s="217" t="s">
        <v>97</v>
      </c>
      <c r="G1422" s="217" t="s">
        <v>401</v>
      </c>
      <c r="H1422" s="217" t="s">
        <v>1184</v>
      </c>
      <c r="I1422" s="217" t="s">
        <v>616</v>
      </c>
      <c r="J1422" s="217" t="s">
        <v>1855</v>
      </c>
      <c r="K1422" s="217">
        <v>12</v>
      </c>
      <c r="L1422" s="217">
        <v>53</v>
      </c>
      <c r="M1422" s="217" t="s">
        <v>31</v>
      </c>
      <c r="N1422" s="217" t="s">
        <v>32</v>
      </c>
      <c r="O1422" s="217" t="s">
        <v>141</v>
      </c>
      <c r="P1422" s="217" t="s">
        <v>142</v>
      </c>
      <c r="Q1422" s="217" t="s">
        <v>143</v>
      </c>
      <c r="R1422" s="217" t="s">
        <v>142</v>
      </c>
      <c r="S1422" s="217" t="s">
        <v>619</v>
      </c>
      <c r="T1422" s="217" t="s">
        <v>32</v>
      </c>
      <c r="U1422" s="217" t="s">
        <v>32</v>
      </c>
      <c r="V1422" s="217" t="s">
        <v>32</v>
      </c>
      <c r="W1422" s="217" t="s">
        <v>32</v>
      </c>
    </row>
    <row r="1423" spans="1:23" x14ac:dyDescent="0.25">
      <c r="A1423" s="217" t="s">
        <v>22</v>
      </c>
      <c r="B1423" s="217" t="s">
        <v>23</v>
      </c>
      <c r="C1423" s="217" t="s">
        <v>85</v>
      </c>
      <c r="D1423" s="217" t="s">
        <v>84</v>
      </c>
      <c r="E1423" s="217" t="s">
        <v>98</v>
      </c>
      <c r="F1423" s="217" t="s">
        <v>97</v>
      </c>
      <c r="G1423" s="217" t="s">
        <v>164</v>
      </c>
      <c r="H1423" s="217" t="s">
        <v>1185</v>
      </c>
      <c r="I1423" s="217" t="s">
        <v>616</v>
      </c>
      <c r="J1423" s="217" t="s">
        <v>1856</v>
      </c>
      <c r="K1423" s="217">
        <v>6</v>
      </c>
      <c r="L1423" s="217">
        <v>30</v>
      </c>
      <c r="M1423" s="217" t="s">
        <v>31</v>
      </c>
      <c r="N1423" s="217" t="s">
        <v>32</v>
      </c>
      <c r="O1423" s="217" t="s">
        <v>141</v>
      </c>
      <c r="P1423" s="217" t="s">
        <v>142</v>
      </c>
      <c r="Q1423" s="217" t="s">
        <v>143</v>
      </c>
      <c r="R1423" s="217" t="s">
        <v>142</v>
      </c>
      <c r="S1423" s="217" t="s">
        <v>619</v>
      </c>
      <c r="T1423" s="217" t="s">
        <v>32</v>
      </c>
      <c r="U1423" s="217" t="s">
        <v>32</v>
      </c>
      <c r="V1423" s="217" t="s">
        <v>32</v>
      </c>
      <c r="W1423" s="217" t="s">
        <v>32</v>
      </c>
    </row>
    <row r="1424" spans="1:23" x14ac:dyDescent="0.25">
      <c r="A1424" s="217" t="s">
        <v>22</v>
      </c>
      <c r="B1424" s="217" t="s">
        <v>23</v>
      </c>
      <c r="C1424" s="217" t="s">
        <v>85</v>
      </c>
      <c r="D1424" s="217" t="s">
        <v>84</v>
      </c>
      <c r="E1424" s="217" t="s">
        <v>98</v>
      </c>
      <c r="F1424" s="217" t="s">
        <v>97</v>
      </c>
      <c r="G1424" s="217" t="s">
        <v>164</v>
      </c>
      <c r="H1424" s="217" t="s">
        <v>1185</v>
      </c>
      <c r="I1424" s="217" t="s">
        <v>616</v>
      </c>
      <c r="J1424" s="217" t="s">
        <v>1857</v>
      </c>
      <c r="K1424" s="217">
        <v>5</v>
      </c>
      <c r="L1424" s="217">
        <v>23</v>
      </c>
      <c r="M1424" s="217" t="s">
        <v>31</v>
      </c>
      <c r="N1424" s="217" t="s">
        <v>32</v>
      </c>
      <c r="O1424" s="217" t="s">
        <v>141</v>
      </c>
      <c r="P1424" s="217" t="s">
        <v>142</v>
      </c>
      <c r="Q1424" s="217" t="s">
        <v>143</v>
      </c>
      <c r="R1424" s="217" t="s">
        <v>142</v>
      </c>
      <c r="S1424" s="217" t="s">
        <v>619</v>
      </c>
      <c r="T1424" s="217" t="s">
        <v>32</v>
      </c>
      <c r="U1424" s="217" t="s">
        <v>32</v>
      </c>
      <c r="V1424" s="217" t="s">
        <v>32</v>
      </c>
      <c r="W1424" s="217" t="s">
        <v>32</v>
      </c>
    </row>
    <row r="1425" spans="1:23" x14ac:dyDescent="0.25">
      <c r="A1425" s="217" t="s">
        <v>22</v>
      </c>
      <c r="B1425" s="217" t="s">
        <v>23</v>
      </c>
      <c r="C1425" s="217" t="s">
        <v>85</v>
      </c>
      <c r="D1425" s="217" t="s">
        <v>84</v>
      </c>
      <c r="E1425" s="217" t="s">
        <v>98</v>
      </c>
      <c r="F1425" s="217" t="s">
        <v>97</v>
      </c>
      <c r="G1425" s="217" t="s">
        <v>164</v>
      </c>
      <c r="H1425" s="217" t="s">
        <v>1185</v>
      </c>
      <c r="I1425" s="217" t="s">
        <v>616</v>
      </c>
      <c r="J1425" s="217" t="s">
        <v>1858</v>
      </c>
      <c r="K1425" s="217">
        <v>2</v>
      </c>
      <c r="L1425" s="217">
        <v>11</v>
      </c>
      <c r="M1425" s="217" t="s">
        <v>31</v>
      </c>
      <c r="N1425" s="217" t="s">
        <v>32</v>
      </c>
      <c r="O1425" s="217" t="s">
        <v>141</v>
      </c>
      <c r="P1425" s="217" t="s">
        <v>142</v>
      </c>
      <c r="Q1425" s="217" t="s">
        <v>143</v>
      </c>
      <c r="R1425" s="217" t="s">
        <v>142</v>
      </c>
      <c r="S1425" s="217" t="s">
        <v>619</v>
      </c>
      <c r="T1425" s="217" t="s">
        <v>32</v>
      </c>
      <c r="U1425" s="217" t="s">
        <v>32</v>
      </c>
      <c r="V1425" s="217" t="s">
        <v>32</v>
      </c>
      <c r="W1425" s="217" t="s">
        <v>32</v>
      </c>
    </row>
    <row r="1426" spans="1:23" x14ac:dyDescent="0.25">
      <c r="A1426" s="217" t="s">
        <v>22</v>
      </c>
      <c r="B1426" s="217" t="s">
        <v>23</v>
      </c>
      <c r="C1426" s="217" t="s">
        <v>85</v>
      </c>
      <c r="D1426" s="217" t="s">
        <v>84</v>
      </c>
      <c r="E1426" s="217" t="s">
        <v>98</v>
      </c>
      <c r="F1426" s="217" t="s">
        <v>97</v>
      </c>
      <c r="G1426" s="217" t="s">
        <v>823</v>
      </c>
      <c r="H1426" s="217" t="s">
        <v>1186</v>
      </c>
      <c r="I1426" s="217" t="s">
        <v>616</v>
      </c>
      <c r="J1426" s="217" t="s">
        <v>1855</v>
      </c>
      <c r="K1426" s="217">
        <v>19</v>
      </c>
      <c r="L1426" s="217">
        <v>76</v>
      </c>
      <c r="M1426" s="217" t="s">
        <v>31</v>
      </c>
      <c r="N1426" s="217" t="s">
        <v>32</v>
      </c>
      <c r="O1426" s="217" t="s">
        <v>141</v>
      </c>
      <c r="P1426" s="217" t="s">
        <v>142</v>
      </c>
      <c r="Q1426" s="217" t="s">
        <v>143</v>
      </c>
      <c r="R1426" s="217" t="s">
        <v>142</v>
      </c>
      <c r="S1426" s="217" t="s">
        <v>619</v>
      </c>
      <c r="T1426" s="217" t="s">
        <v>32</v>
      </c>
      <c r="U1426" s="217" t="s">
        <v>32</v>
      </c>
      <c r="V1426" s="217" t="s">
        <v>32</v>
      </c>
      <c r="W1426" s="217" t="s">
        <v>32</v>
      </c>
    </row>
    <row r="1427" spans="1:23" x14ac:dyDescent="0.25">
      <c r="A1427" s="217" t="s">
        <v>22</v>
      </c>
      <c r="B1427" s="217" t="s">
        <v>23</v>
      </c>
      <c r="C1427" s="217" t="s">
        <v>85</v>
      </c>
      <c r="D1427" s="217" t="s">
        <v>84</v>
      </c>
      <c r="E1427" s="217" t="s">
        <v>98</v>
      </c>
      <c r="F1427" s="217" t="s">
        <v>97</v>
      </c>
      <c r="G1427" s="217" t="s">
        <v>823</v>
      </c>
      <c r="H1427" s="217" t="s">
        <v>1186</v>
      </c>
      <c r="I1427" s="217" t="s">
        <v>616</v>
      </c>
      <c r="J1427" s="217" t="s">
        <v>1856</v>
      </c>
      <c r="K1427" s="217">
        <v>6</v>
      </c>
      <c r="L1427" s="217">
        <v>10</v>
      </c>
      <c r="M1427" s="217" t="s">
        <v>31</v>
      </c>
      <c r="N1427" s="217" t="s">
        <v>32</v>
      </c>
      <c r="O1427" s="217" t="s">
        <v>141</v>
      </c>
      <c r="P1427" s="217" t="s">
        <v>142</v>
      </c>
      <c r="Q1427" s="217" t="s">
        <v>143</v>
      </c>
      <c r="R1427" s="217" t="s">
        <v>142</v>
      </c>
      <c r="S1427" s="217" t="s">
        <v>619</v>
      </c>
      <c r="T1427" s="217" t="s">
        <v>32</v>
      </c>
      <c r="U1427" s="217" t="s">
        <v>32</v>
      </c>
      <c r="V1427" s="217" t="s">
        <v>32</v>
      </c>
      <c r="W1427" s="217" t="s">
        <v>32</v>
      </c>
    </row>
    <row r="1428" spans="1:23" x14ac:dyDescent="0.25">
      <c r="A1428" s="217" t="s">
        <v>22</v>
      </c>
      <c r="B1428" s="217" t="s">
        <v>23</v>
      </c>
      <c r="C1428" s="217" t="s">
        <v>85</v>
      </c>
      <c r="D1428" s="217" t="s">
        <v>84</v>
      </c>
      <c r="E1428" s="217" t="s">
        <v>98</v>
      </c>
      <c r="F1428" s="217" t="s">
        <v>97</v>
      </c>
      <c r="G1428" s="217" t="s">
        <v>823</v>
      </c>
      <c r="H1428" s="217" t="s">
        <v>1186</v>
      </c>
      <c r="I1428" s="217" t="s">
        <v>616</v>
      </c>
      <c r="J1428" s="217" t="s">
        <v>1857</v>
      </c>
      <c r="K1428" s="217">
        <v>7</v>
      </c>
      <c r="L1428" s="217">
        <v>13</v>
      </c>
      <c r="M1428" s="217" t="s">
        <v>31</v>
      </c>
      <c r="N1428" s="217" t="s">
        <v>32</v>
      </c>
      <c r="O1428" s="217" t="s">
        <v>141</v>
      </c>
      <c r="P1428" s="217" t="s">
        <v>142</v>
      </c>
      <c r="Q1428" s="217" t="s">
        <v>143</v>
      </c>
      <c r="R1428" s="217" t="s">
        <v>142</v>
      </c>
      <c r="S1428" s="217" t="s">
        <v>619</v>
      </c>
      <c r="T1428" s="217" t="s">
        <v>32</v>
      </c>
      <c r="U1428" s="217" t="s">
        <v>32</v>
      </c>
      <c r="V1428" s="217" t="s">
        <v>32</v>
      </c>
      <c r="W1428" s="217" t="s">
        <v>32</v>
      </c>
    </row>
    <row r="1429" spans="1:23" x14ac:dyDescent="0.25">
      <c r="A1429" s="217" t="s">
        <v>22</v>
      </c>
      <c r="B1429" s="217" t="s">
        <v>23</v>
      </c>
      <c r="C1429" s="217" t="s">
        <v>85</v>
      </c>
      <c r="D1429" s="217" t="s">
        <v>84</v>
      </c>
      <c r="E1429" s="217" t="s">
        <v>98</v>
      </c>
      <c r="F1429" s="217" t="s">
        <v>97</v>
      </c>
      <c r="G1429" s="217" t="s">
        <v>823</v>
      </c>
      <c r="H1429" s="217" t="s">
        <v>1186</v>
      </c>
      <c r="I1429" s="217" t="s">
        <v>616</v>
      </c>
      <c r="J1429" s="217" t="s">
        <v>1858</v>
      </c>
      <c r="K1429" s="217">
        <v>10</v>
      </c>
      <c r="L1429" s="217">
        <v>43</v>
      </c>
      <c r="M1429" s="217" t="s">
        <v>31</v>
      </c>
      <c r="N1429" s="217" t="s">
        <v>32</v>
      </c>
      <c r="O1429" s="217" t="s">
        <v>141</v>
      </c>
      <c r="P1429" s="217" t="s">
        <v>142</v>
      </c>
      <c r="Q1429" s="217" t="s">
        <v>143</v>
      </c>
      <c r="R1429" s="217" t="s">
        <v>142</v>
      </c>
      <c r="S1429" s="217" t="s">
        <v>619</v>
      </c>
      <c r="T1429" s="217" t="s">
        <v>32</v>
      </c>
      <c r="U1429" s="217" t="s">
        <v>32</v>
      </c>
      <c r="V1429" s="217" t="s">
        <v>32</v>
      </c>
      <c r="W1429" s="217" t="s">
        <v>32</v>
      </c>
    </row>
    <row r="1430" spans="1:23" x14ac:dyDescent="0.25">
      <c r="A1430" s="217" t="s">
        <v>22</v>
      </c>
      <c r="B1430" s="217" t="s">
        <v>23</v>
      </c>
      <c r="C1430" s="217" t="s">
        <v>85</v>
      </c>
      <c r="D1430" s="217" t="s">
        <v>84</v>
      </c>
      <c r="E1430" s="217" t="s">
        <v>98</v>
      </c>
      <c r="F1430" s="217" t="s">
        <v>97</v>
      </c>
      <c r="G1430" s="217" t="s">
        <v>402</v>
      </c>
      <c r="H1430" s="217" t="s">
        <v>1187</v>
      </c>
      <c r="I1430" s="217" t="s">
        <v>616</v>
      </c>
      <c r="J1430" s="217" t="s">
        <v>1857</v>
      </c>
      <c r="K1430" s="217">
        <v>10</v>
      </c>
      <c r="L1430" s="217">
        <v>85</v>
      </c>
      <c r="M1430" s="217" t="s">
        <v>31</v>
      </c>
      <c r="N1430" s="217" t="s">
        <v>32</v>
      </c>
      <c r="O1430" s="217" t="s">
        <v>141</v>
      </c>
      <c r="P1430" s="217" t="s">
        <v>142</v>
      </c>
      <c r="Q1430" s="217" t="s">
        <v>143</v>
      </c>
      <c r="R1430" s="217" t="s">
        <v>142</v>
      </c>
      <c r="S1430" s="217" t="s">
        <v>619</v>
      </c>
      <c r="T1430" s="217" t="s">
        <v>32</v>
      </c>
      <c r="U1430" s="217" t="s">
        <v>32</v>
      </c>
      <c r="V1430" s="217" t="s">
        <v>32</v>
      </c>
      <c r="W1430" s="217" t="s">
        <v>32</v>
      </c>
    </row>
    <row r="1431" spans="1:23" x14ac:dyDescent="0.25">
      <c r="A1431" s="217" t="s">
        <v>22</v>
      </c>
      <c r="B1431" s="217" t="s">
        <v>23</v>
      </c>
      <c r="C1431" s="217" t="s">
        <v>85</v>
      </c>
      <c r="D1431" s="217" t="s">
        <v>84</v>
      </c>
      <c r="E1431" s="217" t="s">
        <v>98</v>
      </c>
      <c r="F1431" s="217" t="s">
        <v>97</v>
      </c>
      <c r="G1431" s="217" t="s">
        <v>403</v>
      </c>
      <c r="H1431" s="217" t="s">
        <v>1188</v>
      </c>
      <c r="I1431" s="217" t="s">
        <v>616</v>
      </c>
      <c r="J1431" s="217" t="s">
        <v>1855</v>
      </c>
      <c r="K1431" s="217">
        <v>1</v>
      </c>
      <c r="L1431" s="217">
        <v>4</v>
      </c>
      <c r="M1431" s="217" t="s">
        <v>31</v>
      </c>
      <c r="N1431" s="217" t="s">
        <v>32</v>
      </c>
      <c r="O1431" s="217" t="s">
        <v>141</v>
      </c>
      <c r="P1431" s="217" t="s">
        <v>142</v>
      </c>
      <c r="Q1431" s="217" t="s">
        <v>143</v>
      </c>
      <c r="R1431" s="217" t="s">
        <v>142</v>
      </c>
      <c r="S1431" s="217" t="s">
        <v>619</v>
      </c>
      <c r="T1431" s="217" t="s">
        <v>32</v>
      </c>
      <c r="U1431" s="217" t="s">
        <v>32</v>
      </c>
      <c r="V1431" s="217" t="s">
        <v>32</v>
      </c>
      <c r="W1431" s="217" t="s">
        <v>32</v>
      </c>
    </row>
    <row r="1432" spans="1:23" x14ac:dyDescent="0.25">
      <c r="A1432" s="217" t="s">
        <v>22</v>
      </c>
      <c r="B1432" s="217" t="s">
        <v>23</v>
      </c>
      <c r="C1432" s="217" t="s">
        <v>85</v>
      </c>
      <c r="D1432" s="217" t="s">
        <v>84</v>
      </c>
      <c r="E1432" s="217" t="s">
        <v>98</v>
      </c>
      <c r="F1432" s="217" t="s">
        <v>97</v>
      </c>
      <c r="G1432" s="217" t="s">
        <v>404</v>
      </c>
      <c r="H1432" s="217" t="s">
        <v>1191</v>
      </c>
      <c r="I1432" s="217" t="s">
        <v>616</v>
      </c>
      <c r="J1432" s="217" t="s">
        <v>1856</v>
      </c>
      <c r="K1432" s="217">
        <v>4</v>
      </c>
      <c r="L1432" s="217">
        <v>30</v>
      </c>
      <c r="M1432" s="217" t="s">
        <v>31</v>
      </c>
      <c r="N1432" s="217" t="s">
        <v>32</v>
      </c>
      <c r="O1432" s="217" t="s">
        <v>141</v>
      </c>
      <c r="P1432" s="217" t="s">
        <v>142</v>
      </c>
      <c r="Q1432" s="217" t="s">
        <v>143</v>
      </c>
      <c r="R1432" s="217" t="s">
        <v>142</v>
      </c>
      <c r="S1432" s="217" t="s">
        <v>619</v>
      </c>
      <c r="T1432" s="217" t="s">
        <v>32</v>
      </c>
      <c r="U1432" s="217" t="s">
        <v>32</v>
      </c>
      <c r="V1432" s="217" t="s">
        <v>32</v>
      </c>
      <c r="W1432" s="217" t="s">
        <v>32</v>
      </c>
    </row>
    <row r="1433" spans="1:23" x14ac:dyDescent="0.25">
      <c r="A1433" s="217" t="s">
        <v>22</v>
      </c>
      <c r="B1433" s="217" t="s">
        <v>23</v>
      </c>
      <c r="C1433" s="217" t="s">
        <v>85</v>
      </c>
      <c r="D1433" s="217" t="s">
        <v>84</v>
      </c>
      <c r="E1433" s="217" t="s">
        <v>98</v>
      </c>
      <c r="F1433" s="217" t="s">
        <v>97</v>
      </c>
      <c r="G1433" s="217" t="s">
        <v>404</v>
      </c>
      <c r="H1433" s="217" t="s">
        <v>1191</v>
      </c>
      <c r="I1433" s="217" t="s">
        <v>616</v>
      </c>
      <c r="J1433" s="217" t="s">
        <v>1858</v>
      </c>
      <c r="K1433" s="217">
        <v>5</v>
      </c>
      <c r="L1433" s="217">
        <v>45</v>
      </c>
      <c r="M1433" s="217" t="s">
        <v>31</v>
      </c>
      <c r="N1433" s="217" t="s">
        <v>32</v>
      </c>
      <c r="O1433" s="217" t="s">
        <v>141</v>
      </c>
      <c r="P1433" s="217" t="s">
        <v>142</v>
      </c>
      <c r="Q1433" s="217" t="s">
        <v>143</v>
      </c>
      <c r="R1433" s="217" t="s">
        <v>142</v>
      </c>
      <c r="S1433" s="217" t="s">
        <v>619</v>
      </c>
      <c r="T1433" s="217" t="s">
        <v>32</v>
      </c>
      <c r="U1433" s="217" t="s">
        <v>32</v>
      </c>
      <c r="V1433" s="217" t="s">
        <v>32</v>
      </c>
      <c r="W1433" s="217" t="s">
        <v>32</v>
      </c>
    </row>
    <row r="1434" spans="1:23" x14ac:dyDescent="0.25">
      <c r="A1434" s="217" t="s">
        <v>22</v>
      </c>
      <c r="B1434" s="217" t="s">
        <v>23</v>
      </c>
      <c r="C1434" s="217" t="s">
        <v>85</v>
      </c>
      <c r="D1434" s="217" t="s">
        <v>84</v>
      </c>
      <c r="E1434" s="217" t="s">
        <v>98</v>
      </c>
      <c r="F1434" s="217" t="s">
        <v>97</v>
      </c>
      <c r="G1434" s="217" t="s">
        <v>825</v>
      </c>
      <c r="H1434" s="217" t="s">
        <v>1192</v>
      </c>
      <c r="I1434" s="217" t="s">
        <v>616</v>
      </c>
      <c r="J1434" s="217" t="s">
        <v>1857</v>
      </c>
      <c r="K1434" s="217">
        <v>5</v>
      </c>
      <c r="L1434" s="217">
        <v>25</v>
      </c>
      <c r="M1434" s="217" t="s">
        <v>31</v>
      </c>
      <c r="N1434" s="217" t="s">
        <v>32</v>
      </c>
      <c r="O1434" s="217" t="s">
        <v>141</v>
      </c>
      <c r="P1434" s="217" t="s">
        <v>142</v>
      </c>
      <c r="Q1434" s="217" t="s">
        <v>143</v>
      </c>
      <c r="R1434" s="217" t="s">
        <v>142</v>
      </c>
      <c r="S1434" s="217" t="s">
        <v>619</v>
      </c>
      <c r="T1434" s="217" t="s">
        <v>32</v>
      </c>
      <c r="U1434" s="217" t="s">
        <v>32</v>
      </c>
      <c r="V1434" s="217" t="s">
        <v>32</v>
      </c>
      <c r="W1434" s="217" t="s">
        <v>32</v>
      </c>
    </row>
    <row r="1435" spans="1:23" x14ac:dyDescent="0.25">
      <c r="A1435" s="217" t="s">
        <v>22</v>
      </c>
      <c r="B1435" s="217" t="s">
        <v>23</v>
      </c>
      <c r="C1435" s="217" t="s">
        <v>85</v>
      </c>
      <c r="D1435" s="217" t="s">
        <v>84</v>
      </c>
      <c r="E1435" s="217" t="s">
        <v>98</v>
      </c>
      <c r="F1435" s="217" t="s">
        <v>97</v>
      </c>
      <c r="G1435" s="217" t="s">
        <v>826</v>
      </c>
      <c r="H1435" s="217" t="s">
        <v>1193</v>
      </c>
      <c r="I1435" s="217" t="s">
        <v>616</v>
      </c>
      <c r="J1435" s="217" t="s">
        <v>1858</v>
      </c>
      <c r="K1435" s="217">
        <v>11</v>
      </c>
      <c r="L1435" s="217">
        <v>94</v>
      </c>
      <c r="M1435" s="217" t="s">
        <v>31</v>
      </c>
      <c r="N1435" s="217" t="s">
        <v>32</v>
      </c>
      <c r="O1435" s="217" t="s">
        <v>141</v>
      </c>
      <c r="P1435" s="217" t="s">
        <v>142</v>
      </c>
      <c r="Q1435" s="217" t="s">
        <v>143</v>
      </c>
      <c r="R1435" s="217" t="s">
        <v>142</v>
      </c>
      <c r="S1435" s="217" t="s">
        <v>619</v>
      </c>
      <c r="T1435" s="217" t="s">
        <v>32</v>
      </c>
      <c r="U1435" s="217" t="s">
        <v>32</v>
      </c>
      <c r="V1435" s="217" t="s">
        <v>32</v>
      </c>
      <c r="W1435" s="217" t="s">
        <v>32</v>
      </c>
    </row>
    <row r="1436" spans="1:23" x14ac:dyDescent="0.25">
      <c r="A1436" s="217" t="s">
        <v>22</v>
      </c>
      <c r="B1436" s="217" t="s">
        <v>23</v>
      </c>
      <c r="C1436" s="217" t="s">
        <v>85</v>
      </c>
      <c r="D1436" s="217" t="s">
        <v>84</v>
      </c>
      <c r="E1436" s="217" t="s">
        <v>98</v>
      </c>
      <c r="F1436" s="217" t="s">
        <v>97</v>
      </c>
      <c r="G1436" s="217" t="s">
        <v>407</v>
      </c>
      <c r="H1436" s="217" t="s">
        <v>1197</v>
      </c>
      <c r="I1436" s="217" t="s">
        <v>616</v>
      </c>
      <c r="J1436" s="217" t="s">
        <v>1857</v>
      </c>
      <c r="K1436" s="217">
        <v>3</v>
      </c>
      <c r="L1436" s="217">
        <v>15</v>
      </c>
      <c r="M1436" s="217" t="s">
        <v>31</v>
      </c>
      <c r="N1436" s="217" t="s">
        <v>32</v>
      </c>
      <c r="O1436" s="217" t="s">
        <v>141</v>
      </c>
      <c r="P1436" s="217" t="s">
        <v>142</v>
      </c>
      <c r="Q1436" s="217" t="s">
        <v>143</v>
      </c>
      <c r="R1436" s="217" t="s">
        <v>142</v>
      </c>
      <c r="S1436" s="217" t="s">
        <v>619</v>
      </c>
      <c r="T1436" s="217" t="s">
        <v>32</v>
      </c>
      <c r="U1436" s="217" t="s">
        <v>32</v>
      </c>
      <c r="V1436" s="217" t="s">
        <v>32</v>
      </c>
      <c r="W1436" s="217" t="s">
        <v>32</v>
      </c>
    </row>
    <row r="1437" spans="1:23" x14ac:dyDescent="0.25">
      <c r="A1437" s="217" t="s">
        <v>22</v>
      </c>
      <c r="B1437" s="217" t="s">
        <v>23</v>
      </c>
      <c r="C1437" s="217" t="s">
        <v>85</v>
      </c>
      <c r="D1437" s="217" t="s">
        <v>84</v>
      </c>
      <c r="E1437" s="217" t="s">
        <v>98</v>
      </c>
      <c r="F1437" s="217" t="s">
        <v>97</v>
      </c>
      <c r="G1437" s="217" t="s">
        <v>816</v>
      </c>
      <c r="H1437" s="217" t="s">
        <v>1198</v>
      </c>
      <c r="I1437" s="217" t="s">
        <v>616</v>
      </c>
      <c r="J1437" s="217" t="s">
        <v>1857</v>
      </c>
      <c r="K1437" s="217">
        <v>7</v>
      </c>
      <c r="L1437" s="217">
        <v>60</v>
      </c>
      <c r="M1437" s="217" t="s">
        <v>31</v>
      </c>
      <c r="N1437" s="217" t="s">
        <v>32</v>
      </c>
      <c r="O1437" s="217" t="s">
        <v>141</v>
      </c>
      <c r="P1437" s="217" t="s">
        <v>142</v>
      </c>
      <c r="Q1437" s="217" t="s">
        <v>143</v>
      </c>
      <c r="R1437" s="217" t="s">
        <v>142</v>
      </c>
      <c r="S1437" s="217" t="s">
        <v>619</v>
      </c>
      <c r="T1437" s="217" t="s">
        <v>32</v>
      </c>
      <c r="U1437" s="217" t="s">
        <v>32</v>
      </c>
      <c r="V1437" s="217" t="s">
        <v>32</v>
      </c>
      <c r="W1437" s="217" t="s">
        <v>32</v>
      </c>
    </row>
    <row r="1438" spans="1:23" x14ac:dyDescent="0.25">
      <c r="A1438" s="217" t="s">
        <v>22</v>
      </c>
      <c r="B1438" s="217" t="s">
        <v>23</v>
      </c>
      <c r="C1438" s="217" t="s">
        <v>85</v>
      </c>
      <c r="D1438" s="217" t="s">
        <v>84</v>
      </c>
      <c r="E1438" s="217" t="s">
        <v>98</v>
      </c>
      <c r="F1438" s="217" t="s">
        <v>97</v>
      </c>
      <c r="G1438" s="217" t="s">
        <v>816</v>
      </c>
      <c r="H1438" s="217" t="s">
        <v>1198</v>
      </c>
      <c r="I1438" s="217" t="s">
        <v>616</v>
      </c>
      <c r="J1438" s="217" t="s">
        <v>1858</v>
      </c>
      <c r="K1438" s="217">
        <v>4</v>
      </c>
      <c r="L1438" s="217">
        <v>32</v>
      </c>
      <c r="M1438" s="217" t="s">
        <v>31</v>
      </c>
      <c r="N1438" s="217" t="s">
        <v>32</v>
      </c>
      <c r="O1438" s="217" t="s">
        <v>141</v>
      </c>
      <c r="P1438" s="217" t="s">
        <v>142</v>
      </c>
      <c r="Q1438" s="217" t="s">
        <v>143</v>
      </c>
      <c r="R1438" s="217" t="s">
        <v>142</v>
      </c>
      <c r="S1438" s="217" t="s">
        <v>619</v>
      </c>
      <c r="T1438" s="217" t="s">
        <v>32</v>
      </c>
      <c r="U1438" s="217" t="s">
        <v>32</v>
      </c>
      <c r="V1438" s="217" t="s">
        <v>32</v>
      </c>
      <c r="W1438" s="217" t="s">
        <v>32</v>
      </c>
    </row>
    <row r="1439" spans="1:23" x14ac:dyDescent="0.25">
      <c r="A1439" s="217" t="s">
        <v>22</v>
      </c>
      <c r="B1439" s="217" t="s">
        <v>23</v>
      </c>
      <c r="C1439" s="217" t="s">
        <v>85</v>
      </c>
      <c r="D1439" s="217" t="s">
        <v>84</v>
      </c>
      <c r="E1439" s="217" t="s">
        <v>98</v>
      </c>
      <c r="F1439" s="217" t="s">
        <v>97</v>
      </c>
      <c r="G1439" s="217" t="s">
        <v>408</v>
      </c>
      <c r="H1439" s="217" t="s">
        <v>1199</v>
      </c>
      <c r="I1439" s="217" t="s">
        <v>616</v>
      </c>
      <c r="J1439" s="217" t="s">
        <v>1856</v>
      </c>
      <c r="K1439" s="217">
        <v>2</v>
      </c>
      <c r="L1439" s="217">
        <v>15</v>
      </c>
      <c r="M1439" s="217" t="s">
        <v>31</v>
      </c>
      <c r="N1439" s="217" t="s">
        <v>32</v>
      </c>
      <c r="O1439" s="217" t="s">
        <v>141</v>
      </c>
      <c r="P1439" s="217" t="s">
        <v>142</v>
      </c>
      <c r="Q1439" s="217" t="s">
        <v>143</v>
      </c>
      <c r="R1439" s="217" t="s">
        <v>142</v>
      </c>
      <c r="S1439" s="217" t="s">
        <v>619</v>
      </c>
      <c r="T1439" s="217" t="s">
        <v>32</v>
      </c>
      <c r="U1439" s="217" t="s">
        <v>32</v>
      </c>
      <c r="V1439" s="217" t="s">
        <v>32</v>
      </c>
      <c r="W1439" s="217" t="s">
        <v>32</v>
      </c>
    </row>
    <row r="1440" spans="1:23" x14ac:dyDescent="0.25">
      <c r="A1440" s="217" t="s">
        <v>22</v>
      </c>
      <c r="B1440" s="217" t="s">
        <v>23</v>
      </c>
      <c r="C1440" s="217" t="s">
        <v>85</v>
      </c>
      <c r="D1440" s="217" t="s">
        <v>84</v>
      </c>
      <c r="E1440" s="217" t="s">
        <v>98</v>
      </c>
      <c r="F1440" s="217" t="s">
        <v>97</v>
      </c>
      <c r="G1440" s="217" t="s">
        <v>1823</v>
      </c>
      <c r="H1440" s="217" t="s">
        <v>1822</v>
      </c>
      <c r="I1440" s="217" t="s">
        <v>616</v>
      </c>
      <c r="J1440" s="217" t="s">
        <v>1856</v>
      </c>
      <c r="K1440" s="217">
        <v>10</v>
      </c>
      <c r="L1440" s="217">
        <v>80</v>
      </c>
      <c r="M1440" s="217" t="s">
        <v>31</v>
      </c>
      <c r="N1440" s="217" t="s">
        <v>32</v>
      </c>
      <c r="O1440" s="217" t="s">
        <v>141</v>
      </c>
      <c r="P1440" s="217" t="s">
        <v>142</v>
      </c>
      <c r="Q1440" s="217" t="s">
        <v>143</v>
      </c>
      <c r="R1440" s="217" t="s">
        <v>142</v>
      </c>
      <c r="S1440" s="217" t="s">
        <v>619</v>
      </c>
      <c r="T1440" s="217" t="s">
        <v>32</v>
      </c>
      <c r="U1440" s="217" t="s">
        <v>32</v>
      </c>
      <c r="V1440" s="217" t="s">
        <v>32</v>
      </c>
      <c r="W1440" s="217" t="s">
        <v>32</v>
      </c>
    </row>
    <row r="1441" spans="1:23" x14ac:dyDescent="0.25">
      <c r="A1441" s="217" t="s">
        <v>22</v>
      </c>
      <c r="B1441" s="217" t="s">
        <v>23</v>
      </c>
      <c r="C1441" s="217" t="s">
        <v>85</v>
      </c>
      <c r="D1441" s="217" t="s">
        <v>84</v>
      </c>
      <c r="E1441" s="217" t="s">
        <v>98</v>
      </c>
      <c r="F1441" s="217" t="s">
        <v>97</v>
      </c>
      <c r="G1441" s="217" t="s">
        <v>818</v>
      </c>
      <c r="H1441" s="217" t="s">
        <v>1203</v>
      </c>
      <c r="I1441" s="217" t="s">
        <v>616</v>
      </c>
      <c r="J1441" s="217" t="s">
        <v>1856</v>
      </c>
      <c r="K1441" s="217">
        <v>4</v>
      </c>
      <c r="L1441" s="217">
        <v>47</v>
      </c>
      <c r="M1441" s="217" t="s">
        <v>31</v>
      </c>
      <c r="N1441" s="217" t="s">
        <v>32</v>
      </c>
      <c r="O1441" s="217" t="s">
        <v>141</v>
      </c>
      <c r="P1441" s="217" t="s">
        <v>142</v>
      </c>
      <c r="Q1441" s="217" t="s">
        <v>143</v>
      </c>
      <c r="R1441" s="217" t="s">
        <v>142</v>
      </c>
      <c r="S1441" s="217" t="s">
        <v>619</v>
      </c>
      <c r="T1441" s="217" t="s">
        <v>32</v>
      </c>
      <c r="U1441" s="217" t="s">
        <v>32</v>
      </c>
      <c r="V1441" s="217" t="s">
        <v>32</v>
      </c>
      <c r="W1441" s="217" t="s">
        <v>32</v>
      </c>
    </row>
    <row r="1442" spans="1:23" x14ac:dyDescent="0.25">
      <c r="A1442" s="217" t="s">
        <v>22</v>
      </c>
      <c r="B1442" s="217" t="s">
        <v>23</v>
      </c>
      <c r="C1442" s="217" t="s">
        <v>85</v>
      </c>
      <c r="D1442" s="217" t="s">
        <v>84</v>
      </c>
      <c r="E1442" s="217" t="s">
        <v>98</v>
      </c>
      <c r="F1442" s="217" t="s">
        <v>97</v>
      </c>
      <c r="G1442" s="217" t="s">
        <v>818</v>
      </c>
      <c r="H1442" s="217" t="s">
        <v>1203</v>
      </c>
      <c r="I1442" s="217" t="s">
        <v>616</v>
      </c>
      <c r="J1442" s="217" t="s">
        <v>1857</v>
      </c>
      <c r="K1442" s="217">
        <v>23</v>
      </c>
      <c r="L1442" s="217">
        <v>100</v>
      </c>
      <c r="M1442" s="217" t="s">
        <v>31</v>
      </c>
      <c r="N1442" s="217" t="s">
        <v>32</v>
      </c>
      <c r="O1442" s="217" t="s">
        <v>141</v>
      </c>
      <c r="P1442" s="217" t="s">
        <v>142</v>
      </c>
      <c r="Q1442" s="217" t="s">
        <v>143</v>
      </c>
      <c r="R1442" s="217" t="s">
        <v>142</v>
      </c>
      <c r="S1442" s="217" t="s">
        <v>619</v>
      </c>
      <c r="T1442" s="217" t="s">
        <v>32</v>
      </c>
      <c r="U1442" s="217" t="s">
        <v>32</v>
      </c>
      <c r="V1442" s="217" t="s">
        <v>32</v>
      </c>
      <c r="W1442" s="217" t="s">
        <v>32</v>
      </c>
    </row>
    <row r="1443" spans="1:23" x14ac:dyDescent="0.25">
      <c r="A1443" s="217" t="s">
        <v>22</v>
      </c>
      <c r="B1443" s="217" t="s">
        <v>23</v>
      </c>
      <c r="C1443" s="217" t="s">
        <v>85</v>
      </c>
      <c r="D1443" s="217" t="s">
        <v>84</v>
      </c>
      <c r="E1443" s="217" t="s">
        <v>98</v>
      </c>
      <c r="F1443" s="217" t="s">
        <v>97</v>
      </c>
      <c r="G1443" s="217" t="s">
        <v>818</v>
      </c>
      <c r="H1443" s="217" t="s">
        <v>1203</v>
      </c>
      <c r="I1443" s="217" t="s">
        <v>616</v>
      </c>
      <c r="J1443" s="217" t="s">
        <v>1858</v>
      </c>
      <c r="K1443" s="217">
        <v>3</v>
      </c>
      <c r="L1443" s="217">
        <v>3</v>
      </c>
      <c r="M1443" s="217" t="s">
        <v>31</v>
      </c>
      <c r="N1443" s="217" t="s">
        <v>32</v>
      </c>
      <c r="O1443" s="217" t="s">
        <v>141</v>
      </c>
      <c r="P1443" s="217" t="s">
        <v>142</v>
      </c>
      <c r="Q1443" s="217" t="s">
        <v>143</v>
      </c>
      <c r="R1443" s="217" t="s">
        <v>142</v>
      </c>
      <c r="S1443" s="217" t="s">
        <v>619</v>
      </c>
      <c r="T1443" s="217" t="s">
        <v>32</v>
      </c>
      <c r="U1443" s="217" t="s">
        <v>32</v>
      </c>
      <c r="V1443" s="217" t="s">
        <v>32</v>
      </c>
      <c r="W1443" s="217" t="s">
        <v>32</v>
      </c>
    </row>
    <row r="1444" spans="1:23" x14ac:dyDescent="0.25">
      <c r="A1444" s="217" t="s">
        <v>22</v>
      </c>
      <c r="B1444" s="217" t="s">
        <v>23</v>
      </c>
      <c r="C1444" s="217" t="s">
        <v>85</v>
      </c>
      <c r="D1444" s="217" t="s">
        <v>84</v>
      </c>
      <c r="E1444" s="217" t="s">
        <v>98</v>
      </c>
      <c r="F1444" s="217" t="s">
        <v>97</v>
      </c>
      <c r="G1444" s="217" t="s">
        <v>701</v>
      </c>
      <c r="H1444" s="217" t="s">
        <v>1204</v>
      </c>
      <c r="I1444" s="217" t="s">
        <v>616</v>
      </c>
      <c r="J1444" s="217" t="s">
        <v>1858</v>
      </c>
      <c r="K1444" s="217">
        <v>9</v>
      </c>
      <c r="L1444" s="217">
        <v>77</v>
      </c>
      <c r="M1444" s="217" t="s">
        <v>31</v>
      </c>
      <c r="N1444" s="217" t="s">
        <v>32</v>
      </c>
      <c r="O1444" s="217" t="s">
        <v>141</v>
      </c>
      <c r="P1444" s="217" t="s">
        <v>142</v>
      </c>
      <c r="Q1444" s="217" t="s">
        <v>143</v>
      </c>
      <c r="R1444" s="217" t="s">
        <v>142</v>
      </c>
      <c r="S1444" s="217" t="s">
        <v>619</v>
      </c>
      <c r="T1444" s="217" t="s">
        <v>32</v>
      </c>
      <c r="U1444" s="217" t="s">
        <v>32</v>
      </c>
      <c r="V1444" s="217" t="s">
        <v>32</v>
      </c>
      <c r="W1444" s="217" t="s">
        <v>32</v>
      </c>
    </row>
    <row r="1445" spans="1:23" x14ac:dyDescent="0.25">
      <c r="A1445" s="217" t="s">
        <v>22</v>
      </c>
      <c r="B1445" s="217" t="s">
        <v>23</v>
      </c>
      <c r="C1445" s="217" t="s">
        <v>85</v>
      </c>
      <c r="D1445" s="217" t="s">
        <v>84</v>
      </c>
      <c r="E1445" s="217" t="s">
        <v>98</v>
      </c>
      <c r="F1445" s="217" t="s">
        <v>97</v>
      </c>
      <c r="G1445" s="217" t="s">
        <v>2137</v>
      </c>
      <c r="H1445" s="217" t="s">
        <v>2138</v>
      </c>
      <c r="I1445" s="217" t="s">
        <v>616</v>
      </c>
      <c r="J1445" s="217" t="s">
        <v>1858</v>
      </c>
      <c r="K1445" s="217">
        <v>11</v>
      </c>
      <c r="L1445" s="217">
        <v>94</v>
      </c>
      <c r="M1445" s="217" t="s">
        <v>31</v>
      </c>
      <c r="N1445" s="217" t="s">
        <v>32</v>
      </c>
      <c r="O1445" s="217" t="s">
        <v>141</v>
      </c>
      <c r="P1445" s="217" t="s">
        <v>142</v>
      </c>
      <c r="Q1445" s="217" t="s">
        <v>143</v>
      </c>
      <c r="R1445" s="217" t="s">
        <v>142</v>
      </c>
      <c r="S1445" s="217" t="s">
        <v>619</v>
      </c>
      <c r="T1445" s="217" t="s">
        <v>32</v>
      </c>
      <c r="U1445" s="217" t="s">
        <v>32</v>
      </c>
      <c r="V1445" s="217" t="s">
        <v>32</v>
      </c>
      <c r="W1445" s="217" t="s">
        <v>32</v>
      </c>
    </row>
    <row r="1446" spans="1:23" x14ac:dyDescent="0.25">
      <c r="A1446" s="217" t="s">
        <v>22</v>
      </c>
      <c r="B1446" s="217" t="s">
        <v>23</v>
      </c>
      <c r="C1446" s="217" t="s">
        <v>85</v>
      </c>
      <c r="D1446" s="217" t="s">
        <v>84</v>
      </c>
      <c r="E1446" s="217" t="s">
        <v>98</v>
      </c>
      <c r="F1446" s="217" t="s">
        <v>97</v>
      </c>
      <c r="G1446" s="217" t="s">
        <v>782</v>
      </c>
      <c r="H1446" s="217" t="s">
        <v>1207</v>
      </c>
      <c r="I1446" s="217" t="s">
        <v>616</v>
      </c>
      <c r="J1446" s="217" t="s">
        <v>1856</v>
      </c>
      <c r="K1446" s="217">
        <v>11</v>
      </c>
      <c r="L1446" s="217">
        <v>77</v>
      </c>
      <c r="M1446" s="217" t="s">
        <v>31</v>
      </c>
      <c r="N1446" s="217" t="s">
        <v>32</v>
      </c>
      <c r="O1446" s="217" t="s">
        <v>141</v>
      </c>
      <c r="P1446" s="217" t="s">
        <v>142</v>
      </c>
      <c r="Q1446" s="217" t="s">
        <v>143</v>
      </c>
      <c r="R1446" s="217" t="s">
        <v>142</v>
      </c>
      <c r="S1446" s="217" t="s">
        <v>619</v>
      </c>
      <c r="T1446" s="217" t="s">
        <v>32</v>
      </c>
      <c r="U1446" s="217" t="s">
        <v>32</v>
      </c>
      <c r="V1446" s="217" t="s">
        <v>32</v>
      </c>
      <c r="W1446" s="217" t="s">
        <v>32</v>
      </c>
    </row>
    <row r="1447" spans="1:23" x14ac:dyDescent="0.25">
      <c r="A1447" s="217" t="s">
        <v>22</v>
      </c>
      <c r="B1447" s="217" t="s">
        <v>23</v>
      </c>
      <c r="C1447" s="217" t="s">
        <v>85</v>
      </c>
      <c r="D1447" s="217" t="s">
        <v>84</v>
      </c>
      <c r="E1447" s="217" t="s">
        <v>98</v>
      </c>
      <c r="F1447" s="217" t="s">
        <v>97</v>
      </c>
      <c r="G1447" s="217" t="s">
        <v>413</v>
      </c>
      <c r="H1447" s="217" t="s">
        <v>1211</v>
      </c>
      <c r="I1447" s="217" t="s">
        <v>616</v>
      </c>
      <c r="J1447" s="217" t="s">
        <v>1858</v>
      </c>
      <c r="K1447" s="217">
        <v>17</v>
      </c>
      <c r="L1447" s="217">
        <v>145</v>
      </c>
      <c r="M1447" s="217" t="s">
        <v>31</v>
      </c>
      <c r="N1447" s="217" t="s">
        <v>32</v>
      </c>
      <c r="O1447" s="217" t="s">
        <v>141</v>
      </c>
      <c r="P1447" s="217" t="s">
        <v>142</v>
      </c>
      <c r="Q1447" s="217" t="s">
        <v>143</v>
      </c>
      <c r="R1447" s="217" t="s">
        <v>142</v>
      </c>
      <c r="S1447" s="217" t="s">
        <v>619</v>
      </c>
      <c r="T1447" s="217" t="s">
        <v>32</v>
      </c>
      <c r="U1447" s="217" t="s">
        <v>32</v>
      </c>
      <c r="V1447" s="217" t="s">
        <v>32</v>
      </c>
      <c r="W1447" s="217" t="s">
        <v>32</v>
      </c>
    </row>
    <row r="1448" spans="1:23" x14ac:dyDescent="0.25">
      <c r="A1448" s="217" t="s">
        <v>22</v>
      </c>
      <c r="B1448" s="217" t="s">
        <v>23</v>
      </c>
      <c r="C1448" s="217" t="s">
        <v>85</v>
      </c>
      <c r="D1448" s="217" t="s">
        <v>84</v>
      </c>
      <c r="E1448" s="217" t="s">
        <v>98</v>
      </c>
      <c r="F1448" s="217" t="s">
        <v>97</v>
      </c>
      <c r="G1448" s="217" t="s">
        <v>414</v>
      </c>
      <c r="H1448" s="217" t="s">
        <v>1212</v>
      </c>
      <c r="I1448" s="217" t="s">
        <v>616</v>
      </c>
      <c r="J1448" s="217" t="s">
        <v>1857</v>
      </c>
      <c r="K1448" s="217">
        <v>5</v>
      </c>
      <c r="L1448" s="217">
        <v>43</v>
      </c>
      <c r="M1448" s="217" t="s">
        <v>31</v>
      </c>
      <c r="N1448" s="217" t="s">
        <v>32</v>
      </c>
      <c r="O1448" s="217" t="s">
        <v>141</v>
      </c>
      <c r="P1448" s="217" t="s">
        <v>142</v>
      </c>
      <c r="Q1448" s="217" t="s">
        <v>143</v>
      </c>
      <c r="R1448" s="217" t="s">
        <v>142</v>
      </c>
      <c r="S1448" s="217" t="s">
        <v>619</v>
      </c>
      <c r="T1448" s="217" t="s">
        <v>32</v>
      </c>
      <c r="U1448" s="217" t="s">
        <v>32</v>
      </c>
      <c r="V1448" s="217" t="s">
        <v>32</v>
      </c>
      <c r="W1448" s="217" t="s">
        <v>32</v>
      </c>
    </row>
    <row r="1449" spans="1:23" x14ac:dyDescent="0.25">
      <c r="A1449" s="217" t="s">
        <v>22</v>
      </c>
      <c r="B1449" s="217" t="s">
        <v>23</v>
      </c>
      <c r="C1449" s="217" t="s">
        <v>85</v>
      </c>
      <c r="D1449" s="217" t="s">
        <v>84</v>
      </c>
      <c r="E1449" s="217" t="s">
        <v>98</v>
      </c>
      <c r="F1449" s="217" t="s">
        <v>97</v>
      </c>
      <c r="G1449" s="217" t="s">
        <v>414</v>
      </c>
      <c r="H1449" s="217" t="s">
        <v>1212</v>
      </c>
      <c r="I1449" s="217" t="s">
        <v>616</v>
      </c>
      <c r="J1449" s="217" t="s">
        <v>1858</v>
      </c>
      <c r="K1449" s="217">
        <v>11</v>
      </c>
      <c r="L1449" s="217">
        <v>94</v>
      </c>
      <c r="M1449" s="217" t="s">
        <v>31</v>
      </c>
      <c r="N1449" s="217" t="s">
        <v>32</v>
      </c>
      <c r="O1449" s="217" t="s">
        <v>141</v>
      </c>
      <c r="P1449" s="217" t="s">
        <v>142</v>
      </c>
      <c r="Q1449" s="217" t="s">
        <v>143</v>
      </c>
      <c r="R1449" s="217" t="s">
        <v>142</v>
      </c>
      <c r="S1449" s="217" t="s">
        <v>619</v>
      </c>
      <c r="T1449" s="217" t="s">
        <v>32</v>
      </c>
      <c r="U1449" s="217" t="s">
        <v>32</v>
      </c>
      <c r="V1449" s="217" t="s">
        <v>32</v>
      </c>
      <c r="W1449" s="217" t="s">
        <v>32</v>
      </c>
    </row>
    <row r="1450" spans="1:23" x14ac:dyDescent="0.25">
      <c r="A1450" s="217" t="s">
        <v>22</v>
      </c>
      <c r="B1450" s="217" t="s">
        <v>23</v>
      </c>
      <c r="C1450" s="217" t="s">
        <v>85</v>
      </c>
      <c r="D1450" s="217" t="s">
        <v>84</v>
      </c>
      <c r="E1450" s="217" t="s">
        <v>98</v>
      </c>
      <c r="F1450" s="217" t="s">
        <v>97</v>
      </c>
      <c r="G1450" s="217" t="s">
        <v>416</v>
      </c>
      <c r="H1450" s="217" t="s">
        <v>1214</v>
      </c>
      <c r="I1450" s="217" t="s">
        <v>616</v>
      </c>
      <c r="J1450" s="217" t="s">
        <v>1856</v>
      </c>
      <c r="K1450" s="217">
        <v>4</v>
      </c>
      <c r="L1450" s="217">
        <v>27</v>
      </c>
      <c r="M1450" s="217" t="s">
        <v>31</v>
      </c>
      <c r="N1450" s="217" t="s">
        <v>32</v>
      </c>
      <c r="O1450" s="217" t="s">
        <v>141</v>
      </c>
      <c r="P1450" s="217" t="s">
        <v>142</v>
      </c>
      <c r="Q1450" s="217" t="s">
        <v>143</v>
      </c>
      <c r="R1450" s="217" t="s">
        <v>142</v>
      </c>
      <c r="S1450" s="217" t="s">
        <v>619</v>
      </c>
      <c r="T1450" s="217" t="s">
        <v>32</v>
      </c>
      <c r="U1450" s="217" t="s">
        <v>32</v>
      </c>
      <c r="V1450" s="217" t="s">
        <v>32</v>
      </c>
      <c r="W1450" s="217" t="s">
        <v>32</v>
      </c>
    </row>
    <row r="1451" spans="1:23" x14ac:dyDescent="0.25">
      <c r="A1451" s="217" t="s">
        <v>22</v>
      </c>
      <c r="B1451" s="217" t="s">
        <v>23</v>
      </c>
      <c r="C1451" s="217" t="s">
        <v>85</v>
      </c>
      <c r="D1451" s="217" t="s">
        <v>84</v>
      </c>
      <c r="E1451" s="217" t="s">
        <v>98</v>
      </c>
      <c r="F1451" s="217" t="s">
        <v>97</v>
      </c>
      <c r="G1451" s="217" t="s">
        <v>793</v>
      </c>
      <c r="H1451" s="217" t="s">
        <v>1215</v>
      </c>
      <c r="I1451" s="217" t="s">
        <v>616</v>
      </c>
      <c r="J1451" s="217" t="s">
        <v>1856</v>
      </c>
      <c r="K1451" s="217">
        <v>10</v>
      </c>
      <c r="L1451" s="217">
        <v>85</v>
      </c>
      <c r="M1451" s="217" t="s">
        <v>31</v>
      </c>
      <c r="N1451" s="217" t="s">
        <v>32</v>
      </c>
      <c r="O1451" s="217" t="s">
        <v>141</v>
      </c>
      <c r="P1451" s="217" t="s">
        <v>142</v>
      </c>
      <c r="Q1451" s="217" t="s">
        <v>143</v>
      </c>
      <c r="R1451" s="217" t="s">
        <v>142</v>
      </c>
      <c r="S1451" s="217" t="s">
        <v>619</v>
      </c>
      <c r="T1451" s="217" t="s">
        <v>32</v>
      </c>
      <c r="U1451" s="217" t="s">
        <v>32</v>
      </c>
      <c r="V1451" s="217" t="s">
        <v>32</v>
      </c>
      <c r="W1451" s="217" t="s">
        <v>32</v>
      </c>
    </row>
    <row r="1452" spans="1:23" x14ac:dyDescent="0.25">
      <c r="A1452" s="217" t="s">
        <v>22</v>
      </c>
      <c r="B1452" s="217" t="s">
        <v>23</v>
      </c>
      <c r="C1452" s="217" t="s">
        <v>85</v>
      </c>
      <c r="D1452" s="217" t="s">
        <v>84</v>
      </c>
      <c r="E1452" s="217" t="s">
        <v>98</v>
      </c>
      <c r="F1452" s="217" t="s">
        <v>97</v>
      </c>
      <c r="G1452" s="217" t="s">
        <v>793</v>
      </c>
      <c r="H1452" s="217" t="s">
        <v>1215</v>
      </c>
      <c r="I1452" s="217" t="s">
        <v>616</v>
      </c>
      <c r="J1452" s="217" t="s">
        <v>1858</v>
      </c>
      <c r="K1452" s="217">
        <v>11</v>
      </c>
      <c r="L1452" s="217">
        <v>64</v>
      </c>
      <c r="M1452" s="217" t="s">
        <v>31</v>
      </c>
      <c r="N1452" s="217" t="s">
        <v>32</v>
      </c>
      <c r="O1452" s="217" t="s">
        <v>141</v>
      </c>
      <c r="P1452" s="217" t="s">
        <v>142</v>
      </c>
      <c r="Q1452" s="217" t="s">
        <v>143</v>
      </c>
      <c r="R1452" s="217" t="s">
        <v>142</v>
      </c>
      <c r="S1452" s="217" t="s">
        <v>619</v>
      </c>
      <c r="T1452" s="217" t="s">
        <v>32</v>
      </c>
      <c r="U1452" s="217" t="s">
        <v>32</v>
      </c>
      <c r="V1452" s="217" t="s">
        <v>32</v>
      </c>
      <c r="W1452" s="217" t="s">
        <v>32</v>
      </c>
    </row>
    <row r="1453" spans="1:23" x14ac:dyDescent="0.25">
      <c r="A1453" s="217" t="s">
        <v>22</v>
      </c>
      <c r="B1453" s="217" t="s">
        <v>23</v>
      </c>
      <c r="C1453" s="217" t="s">
        <v>85</v>
      </c>
      <c r="D1453" s="217" t="s">
        <v>84</v>
      </c>
      <c r="E1453" s="217" t="s">
        <v>98</v>
      </c>
      <c r="F1453" s="217" t="s">
        <v>97</v>
      </c>
      <c r="G1453" s="217" t="s">
        <v>417</v>
      </c>
      <c r="H1453" s="217" t="s">
        <v>1217</v>
      </c>
      <c r="I1453" s="217" t="s">
        <v>616</v>
      </c>
      <c r="J1453" s="217" t="s">
        <v>1855</v>
      </c>
      <c r="K1453" s="217">
        <v>5</v>
      </c>
      <c r="L1453" s="217">
        <v>28</v>
      </c>
      <c r="M1453" s="217" t="s">
        <v>31</v>
      </c>
      <c r="N1453" s="217" t="s">
        <v>32</v>
      </c>
      <c r="O1453" s="217" t="s">
        <v>141</v>
      </c>
      <c r="P1453" s="217" t="s">
        <v>142</v>
      </c>
      <c r="Q1453" s="217" t="s">
        <v>143</v>
      </c>
      <c r="R1453" s="217" t="s">
        <v>142</v>
      </c>
      <c r="S1453" s="217" t="s">
        <v>619</v>
      </c>
      <c r="T1453" s="217" t="s">
        <v>32</v>
      </c>
      <c r="U1453" s="217" t="s">
        <v>32</v>
      </c>
      <c r="V1453" s="217" t="s">
        <v>32</v>
      </c>
      <c r="W1453" s="217" t="s">
        <v>32</v>
      </c>
    </row>
    <row r="1454" spans="1:23" x14ac:dyDescent="0.25">
      <c r="A1454" s="217" t="s">
        <v>22</v>
      </c>
      <c r="B1454" s="217" t="s">
        <v>23</v>
      </c>
      <c r="C1454" s="217" t="s">
        <v>85</v>
      </c>
      <c r="D1454" s="217" t="s">
        <v>84</v>
      </c>
      <c r="E1454" s="217" t="s">
        <v>98</v>
      </c>
      <c r="F1454" s="217" t="s">
        <v>97</v>
      </c>
      <c r="G1454" s="217" t="s">
        <v>417</v>
      </c>
      <c r="H1454" s="217" t="s">
        <v>1217</v>
      </c>
      <c r="I1454" s="217" t="s">
        <v>616</v>
      </c>
      <c r="J1454" s="217" t="s">
        <v>1857</v>
      </c>
      <c r="K1454" s="217">
        <v>3</v>
      </c>
      <c r="L1454" s="217">
        <v>14</v>
      </c>
      <c r="M1454" s="217" t="s">
        <v>31</v>
      </c>
      <c r="N1454" s="217" t="s">
        <v>32</v>
      </c>
      <c r="O1454" s="217" t="s">
        <v>141</v>
      </c>
      <c r="P1454" s="217" t="s">
        <v>142</v>
      </c>
      <c r="Q1454" s="217" t="s">
        <v>143</v>
      </c>
      <c r="R1454" s="217" t="s">
        <v>142</v>
      </c>
      <c r="S1454" s="217" t="s">
        <v>619</v>
      </c>
      <c r="T1454" s="217" t="s">
        <v>32</v>
      </c>
      <c r="U1454" s="217" t="s">
        <v>32</v>
      </c>
      <c r="V1454" s="217" t="s">
        <v>32</v>
      </c>
      <c r="W1454" s="217" t="s">
        <v>32</v>
      </c>
    </row>
    <row r="1455" spans="1:23" x14ac:dyDescent="0.25">
      <c r="A1455" s="217" t="s">
        <v>22</v>
      </c>
      <c r="B1455" s="217" t="s">
        <v>23</v>
      </c>
      <c r="C1455" s="217" t="s">
        <v>85</v>
      </c>
      <c r="D1455" s="217" t="s">
        <v>84</v>
      </c>
      <c r="E1455" s="217" t="s">
        <v>98</v>
      </c>
      <c r="F1455" s="217" t="s">
        <v>97</v>
      </c>
      <c r="G1455" s="217" t="s">
        <v>417</v>
      </c>
      <c r="H1455" s="217" t="s">
        <v>1217</v>
      </c>
      <c r="I1455" s="217" t="s">
        <v>616</v>
      </c>
      <c r="J1455" s="217" t="s">
        <v>1858</v>
      </c>
      <c r="K1455" s="217">
        <v>6</v>
      </c>
      <c r="L1455" s="217">
        <v>35</v>
      </c>
      <c r="M1455" s="217" t="s">
        <v>31</v>
      </c>
      <c r="N1455" s="217" t="s">
        <v>32</v>
      </c>
      <c r="O1455" s="217" t="s">
        <v>141</v>
      </c>
      <c r="P1455" s="217" t="s">
        <v>142</v>
      </c>
      <c r="Q1455" s="217" t="s">
        <v>143</v>
      </c>
      <c r="R1455" s="217" t="s">
        <v>142</v>
      </c>
      <c r="S1455" s="217" t="s">
        <v>619</v>
      </c>
      <c r="T1455" s="217" t="s">
        <v>32</v>
      </c>
      <c r="U1455" s="217" t="s">
        <v>32</v>
      </c>
      <c r="V1455" s="217" t="s">
        <v>32</v>
      </c>
      <c r="W1455" s="217" t="s">
        <v>32</v>
      </c>
    </row>
    <row r="1456" spans="1:23" x14ac:dyDescent="0.25">
      <c r="A1456" s="217" t="s">
        <v>22</v>
      </c>
      <c r="B1456" s="217" t="s">
        <v>23</v>
      </c>
      <c r="C1456" s="217" t="s">
        <v>85</v>
      </c>
      <c r="D1456" s="217" t="s">
        <v>84</v>
      </c>
      <c r="E1456" s="217" t="s">
        <v>98</v>
      </c>
      <c r="F1456" s="217" t="s">
        <v>97</v>
      </c>
      <c r="G1456" s="217" t="s">
        <v>421</v>
      </c>
      <c r="H1456" s="217" t="s">
        <v>1221</v>
      </c>
      <c r="I1456" s="217" t="s">
        <v>616</v>
      </c>
      <c r="J1456" s="217" t="s">
        <v>1855</v>
      </c>
      <c r="K1456" s="217">
        <v>6</v>
      </c>
      <c r="L1456" s="217">
        <v>30</v>
      </c>
      <c r="M1456" s="217" t="s">
        <v>31</v>
      </c>
      <c r="N1456" s="217" t="s">
        <v>32</v>
      </c>
      <c r="O1456" s="217" t="s">
        <v>141</v>
      </c>
      <c r="P1456" s="217" t="s">
        <v>142</v>
      </c>
      <c r="Q1456" s="217" t="s">
        <v>143</v>
      </c>
      <c r="R1456" s="217" t="s">
        <v>142</v>
      </c>
      <c r="S1456" s="217" t="s">
        <v>619</v>
      </c>
      <c r="T1456" s="217" t="s">
        <v>32</v>
      </c>
      <c r="U1456" s="217" t="s">
        <v>32</v>
      </c>
      <c r="V1456" s="217" t="s">
        <v>32</v>
      </c>
      <c r="W1456" s="217" t="s">
        <v>32</v>
      </c>
    </row>
    <row r="1457" spans="1:23" x14ac:dyDescent="0.25">
      <c r="A1457" s="217" t="s">
        <v>22</v>
      </c>
      <c r="B1457" s="217" t="s">
        <v>23</v>
      </c>
      <c r="C1457" s="217" t="s">
        <v>85</v>
      </c>
      <c r="D1457" s="217" t="s">
        <v>84</v>
      </c>
      <c r="E1457" s="217" t="s">
        <v>98</v>
      </c>
      <c r="F1457" s="217" t="s">
        <v>97</v>
      </c>
      <c r="G1457" s="217" t="s">
        <v>166</v>
      </c>
      <c r="H1457" s="217" t="s">
        <v>1222</v>
      </c>
      <c r="I1457" s="217" t="s">
        <v>616</v>
      </c>
      <c r="J1457" s="217" t="s">
        <v>1855</v>
      </c>
      <c r="K1457" s="217">
        <v>7</v>
      </c>
      <c r="L1457" s="217">
        <v>31</v>
      </c>
      <c r="M1457" s="217" t="s">
        <v>31</v>
      </c>
      <c r="N1457" s="217" t="s">
        <v>32</v>
      </c>
      <c r="O1457" s="217" t="s">
        <v>141</v>
      </c>
      <c r="P1457" s="217" t="s">
        <v>142</v>
      </c>
      <c r="Q1457" s="217" t="s">
        <v>143</v>
      </c>
      <c r="R1457" s="217" t="s">
        <v>142</v>
      </c>
      <c r="S1457" s="217" t="s">
        <v>619</v>
      </c>
      <c r="T1457" s="217" t="s">
        <v>32</v>
      </c>
      <c r="U1457" s="217" t="s">
        <v>32</v>
      </c>
      <c r="V1457" s="217" t="s">
        <v>32</v>
      </c>
      <c r="W1457" s="217" t="s">
        <v>32</v>
      </c>
    </row>
    <row r="1458" spans="1:23" x14ac:dyDescent="0.25">
      <c r="A1458" s="217" t="s">
        <v>22</v>
      </c>
      <c r="B1458" s="217" t="s">
        <v>23</v>
      </c>
      <c r="C1458" s="217" t="s">
        <v>85</v>
      </c>
      <c r="D1458" s="217" t="s">
        <v>84</v>
      </c>
      <c r="E1458" s="217" t="s">
        <v>98</v>
      </c>
      <c r="F1458" s="217" t="s">
        <v>97</v>
      </c>
      <c r="G1458" s="217" t="s">
        <v>424</v>
      </c>
      <c r="H1458" s="217" t="s">
        <v>1225</v>
      </c>
      <c r="I1458" s="217" t="s">
        <v>616</v>
      </c>
      <c r="J1458" s="217" t="s">
        <v>1857</v>
      </c>
      <c r="K1458" s="217">
        <v>4</v>
      </c>
      <c r="L1458" s="217">
        <v>18</v>
      </c>
      <c r="M1458" s="217" t="s">
        <v>31</v>
      </c>
      <c r="N1458" s="217" t="s">
        <v>32</v>
      </c>
      <c r="O1458" s="217" t="s">
        <v>141</v>
      </c>
      <c r="P1458" s="217" t="s">
        <v>142</v>
      </c>
      <c r="Q1458" s="217" t="s">
        <v>143</v>
      </c>
      <c r="R1458" s="217" t="s">
        <v>142</v>
      </c>
      <c r="S1458" s="217" t="s">
        <v>619</v>
      </c>
      <c r="T1458" s="217" t="s">
        <v>32</v>
      </c>
      <c r="U1458" s="217" t="s">
        <v>32</v>
      </c>
      <c r="V1458" s="217" t="s">
        <v>32</v>
      </c>
      <c r="W1458" s="217" t="s">
        <v>32</v>
      </c>
    </row>
    <row r="1459" spans="1:23" x14ac:dyDescent="0.25">
      <c r="A1459" s="217" t="s">
        <v>22</v>
      </c>
      <c r="B1459" s="217" t="s">
        <v>23</v>
      </c>
      <c r="C1459" s="217" t="s">
        <v>85</v>
      </c>
      <c r="D1459" s="217" t="s">
        <v>84</v>
      </c>
      <c r="E1459" s="217" t="s">
        <v>98</v>
      </c>
      <c r="F1459" s="217" t="s">
        <v>97</v>
      </c>
      <c r="G1459" s="217" t="s">
        <v>426</v>
      </c>
      <c r="H1459" s="217" t="s">
        <v>1227</v>
      </c>
      <c r="I1459" s="217" t="s">
        <v>616</v>
      </c>
      <c r="J1459" s="217" t="s">
        <v>1856</v>
      </c>
      <c r="K1459" s="217">
        <v>11</v>
      </c>
      <c r="L1459" s="217">
        <v>33</v>
      </c>
      <c r="M1459" s="217" t="s">
        <v>31</v>
      </c>
      <c r="N1459" s="217" t="s">
        <v>32</v>
      </c>
      <c r="O1459" s="217" t="s">
        <v>141</v>
      </c>
      <c r="P1459" s="217" t="s">
        <v>142</v>
      </c>
      <c r="Q1459" s="217" t="s">
        <v>143</v>
      </c>
      <c r="R1459" s="217" t="s">
        <v>142</v>
      </c>
      <c r="S1459" s="217" t="s">
        <v>619</v>
      </c>
      <c r="T1459" s="217" t="s">
        <v>32</v>
      </c>
      <c r="U1459" s="217" t="s">
        <v>32</v>
      </c>
      <c r="V1459" s="217" t="s">
        <v>32</v>
      </c>
      <c r="W1459" s="217" t="s">
        <v>32</v>
      </c>
    </row>
    <row r="1460" spans="1:23" x14ac:dyDescent="0.25">
      <c r="A1460" s="217" t="s">
        <v>22</v>
      </c>
      <c r="B1460" s="217" t="s">
        <v>23</v>
      </c>
      <c r="C1460" s="217" t="s">
        <v>85</v>
      </c>
      <c r="D1460" s="217" t="s">
        <v>84</v>
      </c>
      <c r="E1460" s="217" t="s">
        <v>98</v>
      </c>
      <c r="F1460" s="217" t="s">
        <v>97</v>
      </c>
      <c r="G1460" s="217" t="s">
        <v>168</v>
      </c>
      <c r="H1460" s="217" t="s">
        <v>1235</v>
      </c>
      <c r="I1460" s="217" t="s">
        <v>616</v>
      </c>
      <c r="J1460" s="217" t="s">
        <v>1856</v>
      </c>
      <c r="K1460" s="217">
        <v>8</v>
      </c>
      <c r="L1460" s="217">
        <v>42</v>
      </c>
      <c r="M1460" s="217" t="s">
        <v>31</v>
      </c>
      <c r="N1460" s="217" t="s">
        <v>32</v>
      </c>
      <c r="O1460" s="217" t="s">
        <v>141</v>
      </c>
      <c r="P1460" s="217" t="s">
        <v>142</v>
      </c>
      <c r="Q1460" s="217" t="s">
        <v>143</v>
      </c>
      <c r="R1460" s="217" t="s">
        <v>142</v>
      </c>
      <c r="S1460" s="217" t="s">
        <v>619</v>
      </c>
      <c r="T1460" s="217" t="s">
        <v>32</v>
      </c>
      <c r="U1460" s="217" t="s">
        <v>32</v>
      </c>
      <c r="V1460" s="217" t="s">
        <v>32</v>
      </c>
      <c r="W1460" s="217" t="s">
        <v>32</v>
      </c>
    </row>
    <row r="1461" spans="1:23" x14ac:dyDescent="0.25">
      <c r="A1461" s="217" t="s">
        <v>22</v>
      </c>
      <c r="B1461" s="217" t="s">
        <v>23</v>
      </c>
      <c r="C1461" s="217" t="s">
        <v>85</v>
      </c>
      <c r="D1461" s="217" t="s">
        <v>84</v>
      </c>
      <c r="E1461" s="217" t="s">
        <v>98</v>
      </c>
      <c r="F1461" s="217" t="s">
        <v>97</v>
      </c>
      <c r="G1461" s="217" t="s">
        <v>168</v>
      </c>
      <c r="H1461" s="217" t="s">
        <v>1235</v>
      </c>
      <c r="I1461" s="217" t="s">
        <v>616</v>
      </c>
      <c r="J1461" s="217" t="s">
        <v>1857</v>
      </c>
      <c r="K1461" s="217">
        <v>4</v>
      </c>
      <c r="L1461" s="217">
        <v>28</v>
      </c>
      <c r="M1461" s="217" t="s">
        <v>31</v>
      </c>
      <c r="N1461" s="217" t="s">
        <v>32</v>
      </c>
      <c r="O1461" s="217" t="s">
        <v>141</v>
      </c>
      <c r="P1461" s="217" t="s">
        <v>142</v>
      </c>
      <c r="Q1461" s="217" t="s">
        <v>143</v>
      </c>
      <c r="R1461" s="217" t="s">
        <v>142</v>
      </c>
      <c r="S1461" s="217" t="s">
        <v>619</v>
      </c>
      <c r="T1461" s="217" t="s">
        <v>32</v>
      </c>
      <c r="U1461" s="217" t="s">
        <v>32</v>
      </c>
      <c r="V1461" s="217" t="s">
        <v>32</v>
      </c>
      <c r="W1461" s="217" t="s">
        <v>32</v>
      </c>
    </row>
    <row r="1462" spans="1:23" x14ac:dyDescent="0.25">
      <c r="A1462" s="217" t="s">
        <v>22</v>
      </c>
      <c r="B1462" s="217" t="s">
        <v>23</v>
      </c>
      <c r="C1462" s="217" t="s">
        <v>85</v>
      </c>
      <c r="D1462" s="217" t="s">
        <v>84</v>
      </c>
      <c r="E1462" s="217" t="s">
        <v>98</v>
      </c>
      <c r="F1462" s="217" t="s">
        <v>97</v>
      </c>
      <c r="G1462" s="217" t="s">
        <v>432</v>
      </c>
      <c r="H1462" s="217" t="s">
        <v>1236</v>
      </c>
      <c r="I1462" s="217" t="s">
        <v>616</v>
      </c>
      <c r="J1462" s="217" t="s">
        <v>1857</v>
      </c>
      <c r="K1462" s="217">
        <v>7</v>
      </c>
      <c r="L1462" s="217">
        <v>42</v>
      </c>
      <c r="M1462" s="217" t="s">
        <v>31</v>
      </c>
      <c r="N1462" s="217" t="s">
        <v>32</v>
      </c>
      <c r="O1462" s="217" t="s">
        <v>141</v>
      </c>
      <c r="P1462" s="217" t="s">
        <v>142</v>
      </c>
      <c r="Q1462" s="217" t="s">
        <v>143</v>
      </c>
      <c r="R1462" s="217" t="s">
        <v>142</v>
      </c>
      <c r="S1462" s="217" t="s">
        <v>619</v>
      </c>
      <c r="T1462" s="217" t="s">
        <v>32</v>
      </c>
      <c r="U1462" s="217" t="s">
        <v>32</v>
      </c>
      <c r="V1462" s="217" t="s">
        <v>32</v>
      </c>
      <c r="W1462" s="217" t="s">
        <v>32</v>
      </c>
    </row>
    <row r="1463" spans="1:23" x14ac:dyDescent="0.25">
      <c r="A1463" s="217" t="s">
        <v>22</v>
      </c>
      <c r="B1463" s="217" t="s">
        <v>23</v>
      </c>
      <c r="C1463" s="217" t="s">
        <v>85</v>
      </c>
      <c r="D1463" s="217" t="s">
        <v>84</v>
      </c>
      <c r="E1463" s="217" t="s">
        <v>98</v>
      </c>
      <c r="F1463" s="217" t="s">
        <v>97</v>
      </c>
      <c r="G1463" s="217" t="s">
        <v>432</v>
      </c>
      <c r="H1463" s="217" t="s">
        <v>1236</v>
      </c>
      <c r="I1463" s="217" t="s">
        <v>616</v>
      </c>
      <c r="J1463" s="217" t="s">
        <v>1858</v>
      </c>
      <c r="K1463" s="217">
        <v>6</v>
      </c>
      <c r="L1463" s="217">
        <v>31</v>
      </c>
      <c r="M1463" s="217" t="s">
        <v>31</v>
      </c>
      <c r="N1463" s="217" t="s">
        <v>32</v>
      </c>
      <c r="O1463" s="217" t="s">
        <v>141</v>
      </c>
      <c r="P1463" s="217" t="s">
        <v>142</v>
      </c>
      <c r="Q1463" s="217" t="s">
        <v>143</v>
      </c>
      <c r="R1463" s="217" t="s">
        <v>142</v>
      </c>
      <c r="S1463" s="217" t="s">
        <v>619</v>
      </c>
      <c r="T1463" s="217" t="s">
        <v>32</v>
      </c>
      <c r="U1463" s="217" t="s">
        <v>32</v>
      </c>
      <c r="V1463" s="217" t="s">
        <v>32</v>
      </c>
      <c r="W1463" s="217" t="s">
        <v>32</v>
      </c>
    </row>
    <row r="1464" spans="1:23" x14ac:dyDescent="0.25">
      <c r="A1464" s="217" t="s">
        <v>22</v>
      </c>
      <c r="B1464" s="217" t="s">
        <v>23</v>
      </c>
      <c r="C1464" s="217" t="s">
        <v>85</v>
      </c>
      <c r="D1464" s="217" t="s">
        <v>84</v>
      </c>
      <c r="E1464" s="217" t="s">
        <v>98</v>
      </c>
      <c r="F1464" s="217" t="s">
        <v>97</v>
      </c>
      <c r="G1464" s="217" t="s">
        <v>433</v>
      </c>
      <c r="H1464" s="217" t="s">
        <v>1241</v>
      </c>
      <c r="I1464" s="217" t="s">
        <v>616</v>
      </c>
      <c r="J1464" s="217" t="s">
        <v>1855</v>
      </c>
      <c r="K1464" s="217">
        <v>8</v>
      </c>
      <c r="L1464" s="217">
        <v>42</v>
      </c>
      <c r="M1464" s="217" t="s">
        <v>31</v>
      </c>
      <c r="N1464" s="217" t="s">
        <v>32</v>
      </c>
      <c r="O1464" s="217" t="s">
        <v>141</v>
      </c>
      <c r="P1464" s="217" t="s">
        <v>142</v>
      </c>
      <c r="Q1464" s="217" t="s">
        <v>143</v>
      </c>
      <c r="R1464" s="217" t="s">
        <v>142</v>
      </c>
      <c r="S1464" s="217" t="s">
        <v>619</v>
      </c>
      <c r="T1464" s="217" t="s">
        <v>32</v>
      </c>
      <c r="U1464" s="217" t="s">
        <v>32</v>
      </c>
      <c r="V1464" s="217" t="s">
        <v>32</v>
      </c>
      <c r="W1464" s="217" t="s">
        <v>32</v>
      </c>
    </row>
    <row r="1465" spans="1:23" x14ac:dyDescent="0.25">
      <c r="A1465" s="217" t="s">
        <v>22</v>
      </c>
      <c r="B1465" s="217" t="s">
        <v>23</v>
      </c>
      <c r="C1465" s="217" t="s">
        <v>85</v>
      </c>
      <c r="D1465" s="217" t="s">
        <v>84</v>
      </c>
      <c r="E1465" s="217" t="s">
        <v>98</v>
      </c>
      <c r="F1465" s="217" t="s">
        <v>97</v>
      </c>
      <c r="G1465" s="217" t="s">
        <v>702</v>
      </c>
      <c r="H1465" s="217" t="s">
        <v>1520</v>
      </c>
      <c r="I1465" s="217" t="s">
        <v>616</v>
      </c>
      <c r="J1465" s="217" t="s">
        <v>1857</v>
      </c>
      <c r="K1465" s="217">
        <v>3</v>
      </c>
      <c r="L1465" s="217">
        <v>26</v>
      </c>
      <c r="M1465" s="217" t="s">
        <v>31</v>
      </c>
      <c r="N1465" s="217" t="s">
        <v>32</v>
      </c>
      <c r="O1465" s="217" t="s">
        <v>141</v>
      </c>
      <c r="P1465" s="217" t="s">
        <v>142</v>
      </c>
      <c r="Q1465" s="217" t="s">
        <v>143</v>
      </c>
      <c r="R1465" s="217" t="s">
        <v>142</v>
      </c>
      <c r="S1465" s="217" t="s">
        <v>619</v>
      </c>
      <c r="T1465" s="217" t="s">
        <v>32</v>
      </c>
      <c r="U1465" s="217" t="s">
        <v>32</v>
      </c>
      <c r="V1465" s="217" t="s">
        <v>32</v>
      </c>
      <c r="W1465" s="217" t="s">
        <v>32</v>
      </c>
    </row>
    <row r="1466" spans="1:23" x14ac:dyDescent="0.25">
      <c r="A1466" s="217" t="s">
        <v>22</v>
      </c>
      <c r="B1466" s="217" t="s">
        <v>23</v>
      </c>
      <c r="C1466" s="217" t="s">
        <v>85</v>
      </c>
      <c r="D1466" s="217" t="s">
        <v>84</v>
      </c>
      <c r="E1466" s="217" t="s">
        <v>98</v>
      </c>
      <c r="F1466" s="217" t="s">
        <v>97</v>
      </c>
      <c r="G1466" s="217" t="s">
        <v>437</v>
      </c>
      <c r="H1466" s="217" t="s">
        <v>1253</v>
      </c>
      <c r="I1466" s="217" t="s">
        <v>616</v>
      </c>
      <c r="J1466" s="217" t="s">
        <v>1855</v>
      </c>
      <c r="K1466" s="217">
        <v>6</v>
      </c>
      <c r="L1466" s="217">
        <v>20</v>
      </c>
      <c r="M1466" s="217" t="s">
        <v>31</v>
      </c>
      <c r="N1466" s="217" t="s">
        <v>32</v>
      </c>
      <c r="O1466" s="217" t="s">
        <v>141</v>
      </c>
      <c r="P1466" s="217" t="s">
        <v>142</v>
      </c>
      <c r="Q1466" s="217" t="s">
        <v>143</v>
      </c>
      <c r="R1466" s="217" t="s">
        <v>142</v>
      </c>
      <c r="S1466" s="217" t="s">
        <v>619</v>
      </c>
      <c r="T1466" s="217" t="s">
        <v>32</v>
      </c>
      <c r="U1466" s="217" t="s">
        <v>32</v>
      </c>
      <c r="V1466" s="217" t="s">
        <v>32</v>
      </c>
      <c r="W1466" s="217" t="s">
        <v>32</v>
      </c>
    </row>
    <row r="1467" spans="1:23" x14ac:dyDescent="0.25">
      <c r="A1467" s="217" t="s">
        <v>22</v>
      </c>
      <c r="B1467" s="217" t="s">
        <v>23</v>
      </c>
      <c r="C1467" s="217" t="s">
        <v>85</v>
      </c>
      <c r="D1467" s="217" t="s">
        <v>84</v>
      </c>
      <c r="E1467" s="217" t="s">
        <v>98</v>
      </c>
      <c r="F1467" s="217" t="s">
        <v>97</v>
      </c>
      <c r="G1467" s="217" t="s">
        <v>444</v>
      </c>
      <c r="H1467" s="217" t="s">
        <v>1261</v>
      </c>
      <c r="I1467" s="217" t="s">
        <v>616</v>
      </c>
      <c r="J1467" s="217" t="s">
        <v>1857</v>
      </c>
      <c r="K1467" s="217">
        <v>6</v>
      </c>
      <c r="L1467" s="217">
        <v>30</v>
      </c>
      <c r="M1467" s="217" t="s">
        <v>31</v>
      </c>
      <c r="N1467" s="217" t="s">
        <v>32</v>
      </c>
      <c r="O1467" s="217" t="s">
        <v>141</v>
      </c>
      <c r="P1467" s="217" t="s">
        <v>142</v>
      </c>
      <c r="Q1467" s="217" t="s">
        <v>143</v>
      </c>
      <c r="R1467" s="217" t="s">
        <v>142</v>
      </c>
      <c r="S1467" s="217" t="s">
        <v>619</v>
      </c>
      <c r="T1467" s="217" t="s">
        <v>32</v>
      </c>
      <c r="U1467" s="217" t="s">
        <v>32</v>
      </c>
      <c r="V1467" s="217" t="s">
        <v>32</v>
      </c>
      <c r="W1467" s="217" t="s">
        <v>32</v>
      </c>
    </row>
    <row r="1468" spans="1:23" x14ac:dyDescent="0.25">
      <c r="A1468" s="217" t="s">
        <v>22</v>
      </c>
      <c r="B1468" s="217" t="s">
        <v>23</v>
      </c>
      <c r="C1468" s="217" t="s">
        <v>85</v>
      </c>
      <c r="D1468" s="217" t="s">
        <v>84</v>
      </c>
      <c r="E1468" s="217" t="s">
        <v>98</v>
      </c>
      <c r="F1468" s="217" t="s">
        <v>97</v>
      </c>
      <c r="G1468" s="217" t="s">
        <v>444</v>
      </c>
      <c r="H1468" s="217" t="s">
        <v>1261</v>
      </c>
      <c r="I1468" s="217" t="s">
        <v>616</v>
      </c>
      <c r="J1468" s="217" t="s">
        <v>1858</v>
      </c>
      <c r="K1468" s="217">
        <v>1</v>
      </c>
      <c r="L1468" s="217">
        <v>3</v>
      </c>
      <c r="M1468" s="217" t="s">
        <v>31</v>
      </c>
      <c r="N1468" s="217" t="s">
        <v>32</v>
      </c>
      <c r="O1468" s="217" t="s">
        <v>141</v>
      </c>
      <c r="P1468" s="217" t="s">
        <v>142</v>
      </c>
      <c r="Q1468" s="217" t="s">
        <v>143</v>
      </c>
      <c r="R1468" s="217" t="s">
        <v>142</v>
      </c>
      <c r="S1468" s="217" t="s">
        <v>619</v>
      </c>
      <c r="T1468" s="217" t="s">
        <v>32</v>
      </c>
      <c r="U1468" s="217" t="s">
        <v>32</v>
      </c>
      <c r="V1468" s="217" t="s">
        <v>32</v>
      </c>
      <c r="W1468" s="217" t="s">
        <v>32</v>
      </c>
    </row>
    <row r="1469" spans="1:23" x14ac:dyDescent="0.25">
      <c r="A1469" s="217" t="s">
        <v>22</v>
      </c>
      <c r="B1469" s="217" t="s">
        <v>23</v>
      </c>
      <c r="C1469" s="217" t="s">
        <v>85</v>
      </c>
      <c r="D1469" s="217" t="s">
        <v>84</v>
      </c>
      <c r="E1469" s="217" t="s">
        <v>98</v>
      </c>
      <c r="F1469" s="217" t="s">
        <v>97</v>
      </c>
      <c r="G1469" s="217" t="s">
        <v>169</v>
      </c>
      <c r="H1469" s="217" t="s">
        <v>1262</v>
      </c>
      <c r="I1469" s="217" t="s">
        <v>616</v>
      </c>
      <c r="J1469" s="217" t="s">
        <v>1857</v>
      </c>
      <c r="K1469" s="217">
        <v>7</v>
      </c>
      <c r="L1469" s="217">
        <v>18</v>
      </c>
      <c r="M1469" s="217" t="s">
        <v>31</v>
      </c>
      <c r="N1469" s="217" t="s">
        <v>32</v>
      </c>
      <c r="O1469" s="217" t="s">
        <v>141</v>
      </c>
      <c r="P1469" s="217" t="s">
        <v>142</v>
      </c>
      <c r="Q1469" s="217" t="s">
        <v>143</v>
      </c>
      <c r="R1469" s="217" t="s">
        <v>142</v>
      </c>
      <c r="S1469" s="217" t="s">
        <v>619</v>
      </c>
      <c r="T1469" s="217" t="s">
        <v>32</v>
      </c>
      <c r="U1469" s="217" t="s">
        <v>32</v>
      </c>
      <c r="V1469" s="217" t="s">
        <v>32</v>
      </c>
      <c r="W1469" s="217" t="s">
        <v>32</v>
      </c>
    </row>
    <row r="1470" spans="1:23" x14ac:dyDescent="0.25">
      <c r="A1470" s="217" t="s">
        <v>22</v>
      </c>
      <c r="B1470" s="217" t="s">
        <v>23</v>
      </c>
      <c r="C1470" s="217" t="s">
        <v>85</v>
      </c>
      <c r="D1470" s="217" t="s">
        <v>84</v>
      </c>
      <c r="E1470" s="217" t="s">
        <v>98</v>
      </c>
      <c r="F1470" s="217" t="s">
        <v>97</v>
      </c>
      <c r="G1470" s="217" t="s">
        <v>446</v>
      </c>
      <c r="H1470" s="217" t="s">
        <v>1266</v>
      </c>
      <c r="I1470" s="217" t="s">
        <v>616</v>
      </c>
      <c r="J1470" s="217" t="s">
        <v>1857</v>
      </c>
      <c r="K1470" s="217">
        <v>42</v>
      </c>
      <c r="L1470" s="217">
        <v>357</v>
      </c>
      <c r="M1470" s="217" t="s">
        <v>31</v>
      </c>
      <c r="N1470" s="217" t="s">
        <v>32</v>
      </c>
      <c r="O1470" s="217" t="s">
        <v>141</v>
      </c>
      <c r="P1470" s="217" t="s">
        <v>142</v>
      </c>
      <c r="Q1470" s="217" t="s">
        <v>143</v>
      </c>
      <c r="R1470" s="217" t="s">
        <v>142</v>
      </c>
      <c r="S1470" s="217" t="s">
        <v>619</v>
      </c>
      <c r="T1470" s="217" t="s">
        <v>32</v>
      </c>
      <c r="U1470" s="217" t="s">
        <v>32</v>
      </c>
      <c r="V1470" s="217" t="s">
        <v>32</v>
      </c>
      <c r="W1470" s="217" t="s">
        <v>32</v>
      </c>
    </row>
    <row r="1471" spans="1:23" x14ac:dyDescent="0.25">
      <c r="A1471" s="217" t="s">
        <v>22</v>
      </c>
      <c r="B1471" s="217" t="s">
        <v>23</v>
      </c>
      <c r="C1471" s="217" t="s">
        <v>85</v>
      </c>
      <c r="D1471" s="217" t="s">
        <v>84</v>
      </c>
      <c r="E1471" s="217" t="s">
        <v>98</v>
      </c>
      <c r="F1471" s="217" t="s">
        <v>97</v>
      </c>
      <c r="G1471" s="217" t="s">
        <v>446</v>
      </c>
      <c r="H1471" s="217" t="s">
        <v>1266</v>
      </c>
      <c r="I1471" s="217" t="s">
        <v>616</v>
      </c>
      <c r="J1471" s="217" t="s">
        <v>1858</v>
      </c>
      <c r="K1471" s="217">
        <v>21</v>
      </c>
      <c r="L1471" s="217">
        <v>114</v>
      </c>
      <c r="M1471" s="217" t="s">
        <v>31</v>
      </c>
      <c r="N1471" s="217" t="s">
        <v>32</v>
      </c>
      <c r="O1471" s="217" t="s">
        <v>141</v>
      </c>
      <c r="P1471" s="217" t="s">
        <v>142</v>
      </c>
      <c r="Q1471" s="217" t="s">
        <v>143</v>
      </c>
      <c r="R1471" s="217" t="s">
        <v>142</v>
      </c>
      <c r="S1471" s="217" t="s">
        <v>619</v>
      </c>
      <c r="T1471" s="217" t="s">
        <v>32</v>
      </c>
      <c r="U1471" s="217" t="s">
        <v>32</v>
      </c>
      <c r="V1471" s="217" t="s">
        <v>32</v>
      </c>
      <c r="W1471" s="217" t="s">
        <v>32</v>
      </c>
    </row>
    <row r="1472" spans="1:23" x14ac:dyDescent="0.25">
      <c r="A1472" s="217" t="s">
        <v>22</v>
      </c>
      <c r="B1472" s="217" t="s">
        <v>23</v>
      </c>
      <c r="C1472" s="217" t="s">
        <v>85</v>
      </c>
      <c r="D1472" s="217" t="s">
        <v>84</v>
      </c>
      <c r="E1472" s="217" t="s">
        <v>98</v>
      </c>
      <c r="F1472" s="217" t="s">
        <v>97</v>
      </c>
      <c r="G1472" s="217" t="s">
        <v>447</v>
      </c>
      <c r="H1472" s="217" t="s">
        <v>1267</v>
      </c>
      <c r="I1472" s="217" t="s">
        <v>616</v>
      </c>
      <c r="J1472" s="217" t="s">
        <v>1858</v>
      </c>
      <c r="K1472" s="217">
        <v>41</v>
      </c>
      <c r="L1472" s="217">
        <v>204</v>
      </c>
      <c r="M1472" s="217" t="s">
        <v>31</v>
      </c>
      <c r="N1472" s="217" t="s">
        <v>32</v>
      </c>
      <c r="O1472" s="217" t="s">
        <v>141</v>
      </c>
      <c r="P1472" s="217" t="s">
        <v>142</v>
      </c>
      <c r="Q1472" s="217" t="s">
        <v>143</v>
      </c>
      <c r="R1472" s="217" t="s">
        <v>142</v>
      </c>
      <c r="S1472" s="217" t="s">
        <v>619</v>
      </c>
      <c r="T1472" s="217" t="s">
        <v>32</v>
      </c>
      <c r="U1472" s="217" t="s">
        <v>32</v>
      </c>
      <c r="V1472" s="217" t="s">
        <v>32</v>
      </c>
      <c r="W1472" s="217" t="s">
        <v>32</v>
      </c>
    </row>
    <row r="1473" spans="1:23" x14ac:dyDescent="0.25">
      <c r="A1473" s="217" t="s">
        <v>22</v>
      </c>
      <c r="B1473" s="217" t="s">
        <v>23</v>
      </c>
      <c r="C1473" s="217" t="s">
        <v>85</v>
      </c>
      <c r="D1473" s="217" t="s">
        <v>84</v>
      </c>
      <c r="E1473" s="217" t="s">
        <v>98</v>
      </c>
      <c r="F1473" s="217" t="s">
        <v>97</v>
      </c>
      <c r="G1473" s="217" t="s">
        <v>806</v>
      </c>
      <c r="H1473" s="217" t="s">
        <v>1268</v>
      </c>
      <c r="I1473" s="217" t="s">
        <v>616</v>
      </c>
      <c r="J1473" s="217" t="s">
        <v>1858</v>
      </c>
      <c r="K1473" s="217">
        <v>29</v>
      </c>
      <c r="L1473" s="217">
        <v>247</v>
      </c>
      <c r="M1473" s="217" t="s">
        <v>31</v>
      </c>
      <c r="N1473" s="217" t="s">
        <v>32</v>
      </c>
      <c r="O1473" s="217" t="s">
        <v>141</v>
      </c>
      <c r="P1473" s="217" t="s">
        <v>142</v>
      </c>
      <c r="Q1473" s="217" t="s">
        <v>143</v>
      </c>
      <c r="R1473" s="217" t="s">
        <v>142</v>
      </c>
      <c r="S1473" s="217" t="s">
        <v>619</v>
      </c>
      <c r="T1473" s="217" t="s">
        <v>32</v>
      </c>
      <c r="U1473" s="217" t="s">
        <v>32</v>
      </c>
      <c r="V1473" s="217" t="s">
        <v>32</v>
      </c>
      <c r="W1473" s="217" t="s">
        <v>32</v>
      </c>
    </row>
    <row r="1474" spans="1:23" x14ac:dyDescent="0.25">
      <c r="A1474" s="217" t="s">
        <v>22</v>
      </c>
      <c r="B1474" s="217" t="s">
        <v>23</v>
      </c>
      <c r="C1474" s="217" t="s">
        <v>85</v>
      </c>
      <c r="D1474" s="217" t="s">
        <v>84</v>
      </c>
      <c r="E1474" s="217" t="s">
        <v>98</v>
      </c>
      <c r="F1474" s="217" t="s">
        <v>97</v>
      </c>
      <c r="G1474" s="217" t="s">
        <v>449</v>
      </c>
      <c r="H1474" s="217" t="s">
        <v>1270</v>
      </c>
      <c r="I1474" s="217" t="s">
        <v>616</v>
      </c>
      <c r="J1474" s="217" t="s">
        <v>1857</v>
      </c>
      <c r="K1474" s="217">
        <v>5</v>
      </c>
      <c r="L1474" s="217">
        <v>28</v>
      </c>
      <c r="M1474" s="217" t="s">
        <v>31</v>
      </c>
      <c r="N1474" s="217" t="s">
        <v>32</v>
      </c>
      <c r="O1474" s="217" t="s">
        <v>141</v>
      </c>
      <c r="P1474" s="217" t="s">
        <v>142</v>
      </c>
      <c r="Q1474" s="217" t="s">
        <v>143</v>
      </c>
      <c r="R1474" s="217" t="s">
        <v>142</v>
      </c>
      <c r="S1474" s="217" t="s">
        <v>619</v>
      </c>
      <c r="T1474" s="217" t="s">
        <v>32</v>
      </c>
      <c r="U1474" s="217" t="s">
        <v>32</v>
      </c>
      <c r="V1474" s="217" t="s">
        <v>32</v>
      </c>
      <c r="W1474" s="217" t="s">
        <v>32</v>
      </c>
    </row>
    <row r="1475" spans="1:23" x14ac:dyDescent="0.25">
      <c r="A1475" s="217" t="s">
        <v>22</v>
      </c>
      <c r="B1475" s="217" t="s">
        <v>23</v>
      </c>
      <c r="C1475" s="217" t="s">
        <v>85</v>
      </c>
      <c r="D1475" s="217" t="s">
        <v>84</v>
      </c>
      <c r="E1475" s="217" t="s">
        <v>98</v>
      </c>
      <c r="F1475" s="217" t="s">
        <v>97</v>
      </c>
      <c r="G1475" s="217" t="s">
        <v>449</v>
      </c>
      <c r="H1475" s="217" t="s">
        <v>1270</v>
      </c>
      <c r="I1475" s="217" t="s">
        <v>616</v>
      </c>
      <c r="J1475" s="217" t="s">
        <v>1858</v>
      </c>
      <c r="K1475" s="217">
        <v>4</v>
      </c>
      <c r="L1475" s="217">
        <v>17</v>
      </c>
      <c r="M1475" s="217" t="s">
        <v>31</v>
      </c>
      <c r="N1475" s="217" t="s">
        <v>32</v>
      </c>
      <c r="O1475" s="217" t="s">
        <v>141</v>
      </c>
      <c r="P1475" s="217" t="s">
        <v>142</v>
      </c>
      <c r="Q1475" s="217" t="s">
        <v>143</v>
      </c>
      <c r="R1475" s="217" t="s">
        <v>142</v>
      </c>
      <c r="S1475" s="217" t="s">
        <v>619</v>
      </c>
      <c r="T1475" s="217" t="s">
        <v>32</v>
      </c>
      <c r="U1475" s="217" t="s">
        <v>32</v>
      </c>
      <c r="V1475" s="217" t="s">
        <v>32</v>
      </c>
      <c r="W1475" s="217" t="s">
        <v>32</v>
      </c>
    </row>
    <row r="1476" spans="1:23" x14ac:dyDescent="0.25">
      <c r="A1476" s="217" t="s">
        <v>22</v>
      </c>
      <c r="B1476" s="217" t="s">
        <v>23</v>
      </c>
      <c r="C1476" s="217" t="s">
        <v>85</v>
      </c>
      <c r="D1476" s="217" t="s">
        <v>84</v>
      </c>
      <c r="E1476" s="217" t="s">
        <v>98</v>
      </c>
      <c r="F1476" s="217" t="s">
        <v>97</v>
      </c>
      <c r="G1476" s="217" t="s">
        <v>450</v>
      </c>
      <c r="H1476" s="217" t="s">
        <v>1271</v>
      </c>
      <c r="I1476" s="217" t="s">
        <v>616</v>
      </c>
      <c r="J1476" s="217" t="s">
        <v>1857</v>
      </c>
      <c r="K1476" s="217">
        <v>3</v>
      </c>
      <c r="L1476" s="217">
        <v>20</v>
      </c>
      <c r="M1476" s="217" t="s">
        <v>31</v>
      </c>
      <c r="N1476" s="217" t="s">
        <v>32</v>
      </c>
      <c r="O1476" s="217" t="s">
        <v>141</v>
      </c>
      <c r="P1476" s="217" t="s">
        <v>142</v>
      </c>
      <c r="Q1476" s="217" t="s">
        <v>143</v>
      </c>
      <c r="R1476" s="217" t="s">
        <v>142</v>
      </c>
      <c r="S1476" s="217" t="s">
        <v>619</v>
      </c>
      <c r="T1476" s="217" t="s">
        <v>32</v>
      </c>
      <c r="U1476" s="217" t="s">
        <v>32</v>
      </c>
      <c r="V1476" s="217" t="s">
        <v>32</v>
      </c>
      <c r="W1476" s="217" t="s">
        <v>32</v>
      </c>
    </row>
    <row r="1477" spans="1:23" x14ac:dyDescent="0.25">
      <c r="A1477" s="217" t="s">
        <v>22</v>
      </c>
      <c r="B1477" s="217" t="s">
        <v>23</v>
      </c>
      <c r="C1477" s="217" t="s">
        <v>85</v>
      </c>
      <c r="D1477" s="217" t="s">
        <v>84</v>
      </c>
      <c r="E1477" s="217" t="s">
        <v>98</v>
      </c>
      <c r="F1477" s="217" t="s">
        <v>97</v>
      </c>
      <c r="G1477" s="217" t="s">
        <v>451</v>
      </c>
      <c r="H1477" s="217" t="s">
        <v>1272</v>
      </c>
      <c r="I1477" s="217" t="s">
        <v>616</v>
      </c>
      <c r="J1477" s="217" t="s">
        <v>1855</v>
      </c>
      <c r="K1477" s="217">
        <v>10</v>
      </c>
      <c r="L1477" s="217">
        <v>50</v>
      </c>
      <c r="M1477" s="217" t="s">
        <v>31</v>
      </c>
      <c r="N1477" s="217" t="s">
        <v>32</v>
      </c>
      <c r="O1477" s="217" t="s">
        <v>141</v>
      </c>
      <c r="P1477" s="217" t="s">
        <v>142</v>
      </c>
      <c r="Q1477" s="217" t="s">
        <v>143</v>
      </c>
      <c r="R1477" s="217" t="s">
        <v>142</v>
      </c>
      <c r="S1477" s="217" t="s">
        <v>619</v>
      </c>
      <c r="T1477" s="217" t="s">
        <v>32</v>
      </c>
      <c r="U1477" s="217" t="s">
        <v>32</v>
      </c>
      <c r="V1477" s="217" t="s">
        <v>32</v>
      </c>
      <c r="W1477" s="217" t="s">
        <v>32</v>
      </c>
    </row>
    <row r="1478" spans="1:23" x14ac:dyDescent="0.25">
      <c r="A1478" s="217" t="s">
        <v>22</v>
      </c>
      <c r="B1478" s="217" t="s">
        <v>23</v>
      </c>
      <c r="C1478" s="217" t="s">
        <v>85</v>
      </c>
      <c r="D1478" s="217" t="s">
        <v>84</v>
      </c>
      <c r="E1478" s="217" t="s">
        <v>98</v>
      </c>
      <c r="F1478" s="217" t="s">
        <v>97</v>
      </c>
      <c r="G1478" s="217" t="s">
        <v>451</v>
      </c>
      <c r="H1478" s="217" t="s">
        <v>1272</v>
      </c>
      <c r="I1478" s="217" t="s">
        <v>616</v>
      </c>
      <c r="J1478" s="217" t="s">
        <v>1856</v>
      </c>
      <c r="K1478" s="217">
        <v>8</v>
      </c>
      <c r="L1478" s="217">
        <v>46</v>
      </c>
      <c r="M1478" s="217" t="s">
        <v>31</v>
      </c>
      <c r="N1478" s="217" t="s">
        <v>32</v>
      </c>
      <c r="O1478" s="217" t="s">
        <v>141</v>
      </c>
      <c r="P1478" s="217" t="s">
        <v>142</v>
      </c>
      <c r="Q1478" s="217" t="s">
        <v>143</v>
      </c>
      <c r="R1478" s="217" t="s">
        <v>142</v>
      </c>
      <c r="S1478" s="217" t="s">
        <v>619</v>
      </c>
      <c r="T1478" s="217" t="s">
        <v>32</v>
      </c>
      <c r="U1478" s="217" t="s">
        <v>32</v>
      </c>
      <c r="V1478" s="217" t="s">
        <v>32</v>
      </c>
      <c r="W1478" s="217" t="s">
        <v>32</v>
      </c>
    </row>
    <row r="1479" spans="1:23" x14ac:dyDescent="0.25">
      <c r="A1479" s="217" t="s">
        <v>22</v>
      </c>
      <c r="B1479" s="217" t="s">
        <v>23</v>
      </c>
      <c r="C1479" s="217" t="s">
        <v>85</v>
      </c>
      <c r="D1479" s="217" t="s">
        <v>84</v>
      </c>
      <c r="E1479" s="217" t="s">
        <v>98</v>
      </c>
      <c r="F1479" s="217" t="s">
        <v>97</v>
      </c>
      <c r="G1479" s="217" t="s">
        <v>811</v>
      </c>
      <c r="H1479" s="217" t="s">
        <v>1277</v>
      </c>
      <c r="I1479" s="217" t="s">
        <v>616</v>
      </c>
      <c r="J1479" s="217" t="s">
        <v>1856</v>
      </c>
      <c r="K1479" s="217">
        <v>6</v>
      </c>
      <c r="L1479" s="217">
        <v>20</v>
      </c>
      <c r="M1479" s="217" t="s">
        <v>31</v>
      </c>
      <c r="N1479" s="217" t="s">
        <v>32</v>
      </c>
      <c r="O1479" s="217" t="s">
        <v>141</v>
      </c>
      <c r="P1479" s="217" t="s">
        <v>142</v>
      </c>
      <c r="Q1479" s="217" t="s">
        <v>143</v>
      </c>
      <c r="R1479" s="217" t="s">
        <v>142</v>
      </c>
      <c r="S1479" s="217" t="s">
        <v>619</v>
      </c>
      <c r="T1479" s="217" t="s">
        <v>32</v>
      </c>
      <c r="U1479" s="217" t="s">
        <v>32</v>
      </c>
      <c r="V1479" s="217" t="s">
        <v>32</v>
      </c>
      <c r="W1479" s="217" t="s">
        <v>32</v>
      </c>
    </row>
    <row r="1480" spans="1:23" x14ac:dyDescent="0.25">
      <c r="A1480" s="217" t="s">
        <v>22</v>
      </c>
      <c r="B1480" s="217" t="s">
        <v>23</v>
      </c>
      <c r="C1480" s="217" t="s">
        <v>85</v>
      </c>
      <c r="D1480" s="217" t="s">
        <v>84</v>
      </c>
      <c r="E1480" s="217" t="s">
        <v>98</v>
      </c>
      <c r="F1480" s="217" t="s">
        <v>97</v>
      </c>
      <c r="G1480" s="217" t="s">
        <v>820</v>
      </c>
      <c r="H1480" s="217" t="s">
        <v>1281</v>
      </c>
      <c r="I1480" s="217" t="s">
        <v>616</v>
      </c>
      <c r="J1480" s="217" t="s">
        <v>1858</v>
      </c>
      <c r="K1480" s="217">
        <v>3</v>
      </c>
      <c r="L1480" s="217">
        <v>23</v>
      </c>
      <c r="M1480" s="217" t="s">
        <v>31</v>
      </c>
      <c r="N1480" s="217" t="s">
        <v>32</v>
      </c>
      <c r="O1480" s="217" t="s">
        <v>141</v>
      </c>
      <c r="P1480" s="217" t="s">
        <v>142</v>
      </c>
      <c r="Q1480" s="217" t="s">
        <v>143</v>
      </c>
      <c r="R1480" s="217" t="s">
        <v>142</v>
      </c>
      <c r="S1480" s="217" t="s">
        <v>619</v>
      </c>
      <c r="T1480" s="217" t="s">
        <v>32</v>
      </c>
      <c r="U1480" s="217" t="s">
        <v>32</v>
      </c>
      <c r="V1480" s="217" t="s">
        <v>32</v>
      </c>
      <c r="W1480" s="217" t="s">
        <v>32</v>
      </c>
    </row>
    <row r="1481" spans="1:23" x14ac:dyDescent="0.25">
      <c r="A1481" s="217" t="s">
        <v>22</v>
      </c>
      <c r="B1481" s="217" t="s">
        <v>23</v>
      </c>
      <c r="C1481" s="217" t="s">
        <v>85</v>
      </c>
      <c r="D1481" s="217" t="s">
        <v>84</v>
      </c>
      <c r="E1481" s="217" t="s">
        <v>98</v>
      </c>
      <c r="F1481" s="217" t="s">
        <v>97</v>
      </c>
      <c r="G1481" s="217" t="s">
        <v>455</v>
      </c>
      <c r="H1481" s="217" t="s">
        <v>1282</v>
      </c>
      <c r="I1481" s="217" t="s">
        <v>616</v>
      </c>
      <c r="J1481" s="217" t="s">
        <v>1855</v>
      </c>
      <c r="K1481" s="217">
        <v>6</v>
      </c>
      <c r="L1481" s="217">
        <v>50</v>
      </c>
      <c r="M1481" s="217" t="s">
        <v>31</v>
      </c>
      <c r="N1481" s="217" t="s">
        <v>32</v>
      </c>
      <c r="O1481" s="217" t="s">
        <v>141</v>
      </c>
      <c r="P1481" s="217" t="s">
        <v>142</v>
      </c>
      <c r="Q1481" s="217" t="s">
        <v>143</v>
      </c>
      <c r="R1481" s="217" t="s">
        <v>142</v>
      </c>
      <c r="S1481" s="217" t="s">
        <v>619</v>
      </c>
      <c r="T1481" s="217" t="s">
        <v>32</v>
      </c>
      <c r="U1481" s="217" t="s">
        <v>32</v>
      </c>
      <c r="V1481" s="217" t="s">
        <v>32</v>
      </c>
      <c r="W1481" s="217" t="s">
        <v>32</v>
      </c>
    </row>
    <row r="1482" spans="1:23" x14ac:dyDescent="0.25">
      <c r="A1482" s="217" t="s">
        <v>22</v>
      </c>
      <c r="B1482" s="217" t="s">
        <v>23</v>
      </c>
      <c r="C1482" s="217" t="s">
        <v>85</v>
      </c>
      <c r="D1482" s="217" t="s">
        <v>84</v>
      </c>
      <c r="E1482" s="217" t="s">
        <v>98</v>
      </c>
      <c r="F1482" s="217" t="s">
        <v>97</v>
      </c>
      <c r="G1482" s="217" t="s">
        <v>455</v>
      </c>
      <c r="H1482" s="217" t="s">
        <v>1282</v>
      </c>
      <c r="I1482" s="217" t="s">
        <v>616</v>
      </c>
      <c r="J1482" s="217" t="s">
        <v>1856</v>
      </c>
      <c r="K1482" s="217">
        <v>5</v>
      </c>
      <c r="L1482" s="217">
        <v>30</v>
      </c>
      <c r="M1482" s="217" t="s">
        <v>31</v>
      </c>
      <c r="N1482" s="217" t="s">
        <v>32</v>
      </c>
      <c r="O1482" s="217" t="s">
        <v>141</v>
      </c>
      <c r="P1482" s="217" t="s">
        <v>142</v>
      </c>
      <c r="Q1482" s="217" t="s">
        <v>143</v>
      </c>
      <c r="R1482" s="217" t="s">
        <v>142</v>
      </c>
      <c r="S1482" s="217" t="s">
        <v>619</v>
      </c>
      <c r="T1482" s="217" t="s">
        <v>32</v>
      </c>
      <c r="U1482" s="217" t="s">
        <v>32</v>
      </c>
      <c r="V1482" s="217" t="s">
        <v>32</v>
      </c>
      <c r="W1482" s="217" t="s">
        <v>32</v>
      </c>
    </row>
    <row r="1483" spans="1:23" x14ac:dyDescent="0.25">
      <c r="A1483" s="217" t="s">
        <v>22</v>
      </c>
      <c r="B1483" s="217" t="s">
        <v>23</v>
      </c>
      <c r="C1483" s="217" t="s">
        <v>85</v>
      </c>
      <c r="D1483" s="217" t="s">
        <v>84</v>
      </c>
      <c r="E1483" s="217" t="s">
        <v>98</v>
      </c>
      <c r="F1483" s="217" t="s">
        <v>97</v>
      </c>
      <c r="G1483" s="217" t="s">
        <v>455</v>
      </c>
      <c r="H1483" s="217" t="s">
        <v>1282</v>
      </c>
      <c r="I1483" s="217" t="s">
        <v>616</v>
      </c>
      <c r="J1483" s="217" t="s">
        <v>1857</v>
      </c>
      <c r="K1483" s="217">
        <v>9</v>
      </c>
      <c r="L1483" s="217">
        <v>40</v>
      </c>
      <c r="M1483" s="217" t="s">
        <v>31</v>
      </c>
      <c r="N1483" s="217" t="s">
        <v>32</v>
      </c>
      <c r="O1483" s="217" t="s">
        <v>141</v>
      </c>
      <c r="P1483" s="217" t="s">
        <v>142</v>
      </c>
      <c r="Q1483" s="217" t="s">
        <v>143</v>
      </c>
      <c r="R1483" s="217" t="s">
        <v>142</v>
      </c>
      <c r="S1483" s="217" t="s">
        <v>619</v>
      </c>
      <c r="T1483" s="217" t="s">
        <v>32</v>
      </c>
      <c r="U1483" s="217" t="s">
        <v>32</v>
      </c>
      <c r="V1483" s="217" t="s">
        <v>32</v>
      </c>
      <c r="W1483" s="217" t="s">
        <v>32</v>
      </c>
    </row>
    <row r="1484" spans="1:23" x14ac:dyDescent="0.25">
      <c r="A1484" s="217" t="s">
        <v>22</v>
      </c>
      <c r="B1484" s="217" t="s">
        <v>23</v>
      </c>
      <c r="C1484" s="217" t="s">
        <v>85</v>
      </c>
      <c r="D1484" s="217" t="s">
        <v>84</v>
      </c>
      <c r="E1484" s="217" t="s">
        <v>98</v>
      </c>
      <c r="F1484" s="217" t="s">
        <v>97</v>
      </c>
      <c r="G1484" s="217" t="s">
        <v>813</v>
      </c>
      <c r="H1484" s="217" t="s">
        <v>1283</v>
      </c>
      <c r="I1484" s="217" t="s">
        <v>616</v>
      </c>
      <c r="J1484" s="217" t="s">
        <v>1856</v>
      </c>
      <c r="K1484" s="217">
        <v>7</v>
      </c>
      <c r="L1484" s="217">
        <v>49</v>
      </c>
      <c r="M1484" s="217" t="s">
        <v>31</v>
      </c>
      <c r="N1484" s="217" t="s">
        <v>32</v>
      </c>
      <c r="O1484" s="217" t="s">
        <v>141</v>
      </c>
      <c r="P1484" s="217" t="s">
        <v>142</v>
      </c>
      <c r="Q1484" s="217" t="s">
        <v>143</v>
      </c>
      <c r="R1484" s="217" t="s">
        <v>142</v>
      </c>
      <c r="S1484" s="217" t="s">
        <v>619</v>
      </c>
      <c r="T1484" s="217" t="s">
        <v>32</v>
      </c>
      <c r="U1484" s="217" t="s">
        <v>32</v>
      </c>
      <c r="V1484" s="217" t="s">
        <v>32</v>
      </c>
      <c r="W1484" s="217" t="s">
        <v>32</v>
      </c>
    </row>
    <row r="1485" spans="1:23" x14ac:dyDescent="0.25">
      <c r="A1485" s="217" t="s">
        <v>22</v>
      </c>
      <c r="B1485" s="217" t="s">
        <v>23</v>
      </c>
      <c r="C1485" s="217" t="s">
        <v>85</v>
      </c>
      <c r="D1485" s="217" t="s">
        <v>84</v>
      </c>
      <c r="E1485" s="217" t="s">
        <v>98</v>
      </c>
      <c r="F1485" s="217" t="s">
        <v>97</v>
      </c>
      <c r="G1485" s="217" t="s">
        <v>815</v>
      </c>
      <c r="H1485" s="217" t="s">
        <v>1524</v>
      </c>
      <c r="I1485" s="217" t="s">
        <v>616</v>
      </c>
      <c r="J1485" s="217" t="s">
        <v>1857</v>
      </c>
      <c r="K1485" s="217">
        <v>9</v>
      </c>
      <c r="L1485" s="217">
        <v>77</v>
      </c>
      <c r="M1485" s="217" t="s">
        <v>31</v>
      </c>
      <c r="N1485" s="217" t="s">
        <v>32</v>
      </c>
      <c r="O1485" s="217" t="s">
        <v>141</v>
      </c>
      <c r="P1485" s="217" t="s">
        <v>142</v>
      </c>
      <c r="Q1485" s="217" t="s">
        <v>143</v>
      </c>
      <c r="R1485" s="217" t="s">
        <v>142</v>
      </c>
      <c r="S1485" s="217" t="s">
        <v>619</v>
      </c>
      <c r="T1485" s="217" t="s">
        <v>32</v>
      </c>
      <c r="U1485" s="217" t="s">
        <v>32</v>
      </c>
      <c r="V1485" s="217" t="s">
        <v>32</v>
      </c>
      <c r="W1485" s="217" t="s">
        <v>32</v>
      </c>
    </row>
    <row r="1486" spans="1:23" x14ac:dyDescent="0.25">
      <c r="A1486" s="217" t="s">
        <v>22</v>
      </c>
      <c r="B1486" s="217" t="s">
        <v>23</v>
      </c>
      <c r="C1486" s="217" t="s">
        <v>85</v>
      </c>
      <c r="D1486" s="217" t="s">
        <v>84</v>
      </c>
      <c r="E1486" s="217" t="s">
        <v>98</v>
      </c>
      <c r="F1486" s="217" t="s">
        <v>97</v>
      </c>
      <c r="G1486" s="217" t="s">
        <v>812</v>
      </c>
      <c r="H1486" s="217" t="s">
        <v>1296</v>
      </c>
      <c r="I1486" s="217" t="s">
        <v>616</v>
      </c>
      <c r="J1486" s="217" t="s">
        <v>1857</v>
      </c>
      <c r="K1486" s="217">
        <v>11</v>
      </c>
      <c r="L1486" s="217">
        <v>94</v>
      </c>
      <c r="M1486" s="217" t="s">
        <v>31</v>
      </c>
      <c r="N1486" s="217" t="s">
        <v>32</v>
      </c>
      <c r="O1486" s="217" t="s">
        <v>141</v>
      </c>
      <c r="P1486" s="217" t="s">
        <v>142</v>
      </c>
      <c r="Q1486" s="217" t="s">
        <v>143</v>
      </c>
      <c r="R1486" s="217" t="s">
        <v>142</v>
      </c>
      <c r="S1486" s="217" t="s">
        <v>619</v>
      </c>
      <c r="T1486" s="217" t="s">
        <v>32</v>
      </c>
      <c r="U1486" s="217" t="s">
        <v>32</v>
      </c>
      <c r="V1486" s="217" t="s">
        <v>32</v>
      </c>
      <c r="W1486" s="217" t="s">
        <v>32</v>
      </c>
    </row>
    <row r="1487" spans="1:23" x14ac:dyDescent="0.25">
      <c r="A1487" s="217" t="s">
        <v>22</v>
      </c>
      <c r="B1487" s="217" t="s">
        <v>23</v>
      </c>
      <c r="C1487" s="217" t="s">
        <v>85</v>
      </c>
      <c r="D1487" s="217" t="s">
        <v>84</v>
      </c>
      <c r="E1487" s="217" t="s">
        <v>98</v>
      </c>
      <c r="F1487" s="217" t="s">
        <v>97</v>
      </c>
      <c r="G1487" s="217" t="s">
        <v>171</v>
      </c>
      <c r="H1487" s="217" t="s">
        <v>1297</v>
      </c>
      <c r="I1487" s="217" t="s">
        <v>616</v>
      </c>
      <c r="J1487" s="217" t="s">
        <v>1855</v>
      </c>
      <c r="K1487" s="217">
        <v>1</v>
      </c>
      <c r="L1487" s="217">
        <v>6</v>
      </c>
      <c r="M1487" s="217" t="s">
        <v>31</v>
      </c>
      <c r="N1487" s="217" t="s">
        <v>32</v>
      </c>
      <c r="O1487" s="217" t="s">
        <v>141</v>
      </c>
      <c r="P1487" s="217" t="s">
        <v>142</v>
      </c>
      <c r="Q1487" s="217" t="s">
        <v>143</v>
      </c>
      <c r="R1487" s="217" t="s">
        <v>142</v>
      </c>
      <c r="S1487" s="217" t="s">
        <v>619</v>
      </c>
      <c r="T1487" s="217" t="s">
        <v>32</v>
      </c>
      <c r="U1487" s="217" t="s">
        <v>32</v>
      </c>
      <c r="V1487" s="217" t="s">
        <v>32</v>
      </c>
      <c r="W1487" s="217" t="s">
        <v>32</v>
      </c>
    </row>
    <row r="1488" spans="1:23" x14ac:dyDescent="0.25">
      <c r="A1488" s="217" t="s">
        <v>22</v>
      </c>
      <c r="B1488" s="217" t="s">
        <v>23</v>
      </c>
      <c r="C1488" s="217" t="s">
        <v>85</v>
      </c>
      <c r="D1488" s="217" t="s">
        <v>84</v>
      </c>
      <c r="E1488" s="217" t="s">
        <v>98</v>
      </c>
      <c r="F1488" s="217" t="s">
        <v>97</v>
      </c>
      <c r="G1488" s="217" t="s">
        <v>171</v>
      </c>
      <c r="H1488" s="217" t="s">
        <v>1297</v>
      </c>
      <c r="I1488" s="217" t="s">
        <v>616</v>
      </c>
      <c r="J1488" s="217" t="s">
        <v>1857</v>
      </c>
      <c r="K1488" s="217">
        <v>1</v>
      </c>
      <c r="L1488" s="217">
        <v>9</v>
      </c>
      <c r="M1488" s="217" t="s">
        <v>31</v>
      </c>
      <c r="N1488" s="217" t="s">
        <v>32</v>
      </c>
      <c r="O1488" s="217" t="s">
        <v>141</v>
      </c>
      <c r="P1488" s="217" t="s">
        <v>142</v>
      </c>
      <c r="Q1488" s="217" t="s">
        <v>143</v>
      </c>
      <c r="R1488" s="217" t="s">
        <v>142</v>
      </c>
      <c r="S1488" s="217" t="s">
        <v>619</v>
      </c>
      <c r="T1488" s="217" t="s">
        <v>32</v>
      </c>
      <c r="U1488" s="217" t="s">
        <v>32</v>
      </c>
      <c r="V1488" s="217" t="s">
        <v>32</v>
      </c>
      <c r="W1488" s="217" t="s">
        <v>32</v>
      </c>
    </row>
    <row r="1489" spans="1:23" x14ac:dyDescent="0.25">
      <c r="A1489" s="217" t="s">
        <v>22</v>
      </c>
      <c r="B1489" s="217" t="s">
        <v>23</v>
      </c>
      <c r="C1489" s="217" t="s">
        <v>85</v>
      </c>
      <c r="D1489" s="217" t="s">
        <v>84</v>
      </c>
      <c r="E1489" s="217" t="s">
        <v>98</v>
      </c>
      <c r="F1489" s="217" t="s">
        <v>97</v>
      </c>
      <c r="G1489" s="217" t="s">
        <v>461</v>
      </c>
      <c r="H1489" s="217" t="s">
        <v>1299</v>
      </c>
      <c r="I1489" s="217" t="s">
        <v>616</v>
      </c>
      <c r="J1489" s="217" t="s">
        <v>1856</v>
      </c>
      <c r="K1489" s="217">
        <v>8</v>
      </c>
      <c r="L1489" s="217">
        <v>124</v>
      </c>
      <c r="M1489" s="217" t="s">
        <v>31</v>
      </c>
      <c r="N1489" s="217" t="s">
        <v>32</v>
      </c>
      <c r="O1489" s="217" t="s">
        <v>141</v>
      </c>
      <c r="P1489" s="217" t="s">
        <v>142</v>
      </c>
      <c r="Q1489" s="217" t="s">
        <v>143</v>
      </c>
      <c r="R1489" s="217" t="s">
        <v>142</v>
      </c>
      <c r="S1489" s="217" t="s">
        <v>619</v>
      </c>
      <c r="T1489" s="217" t="s">
        <v>32</v>
      </c>
      <c r="U1489" s="217" t="s">
        <v>32</v>
      </c>
      <c r="V1489" s="217" t="s">
        <v>32</v>
      </c>
      <c r="W1489" s="217" t="s">
        <v>32</v>
      </c>
    </row>
    <row r="1490" spans="1:23" x14ac:dyDescent="0.25">
      <c r="A1490" s="217" t="s">
        <v>22</v>
      </c>
      <c r="B1490" s="217" t="s">
        <v>23</v>
      </c>
      <c r="C1490" s="217" t="s">
        <v>85</v>
      </c>
      <c r="D1490" s="217" t="s">
        <v>84</v>
      </c>
      <c r="E1490" s="217" t="s">
        <v>175</v>
      </c>
      <c r="F1490" s="217" t="s">
        <v>174</v>
      </c>
      <c r="G1490" s="217" t="s">
        <v>295</v>
      </c>
      <c r="H1490" s="217" t="s">
        <v>1301</v>
      </c>
      <c r="I1490" s="217" t="s">
        <v>616</v>
      </c>
      <c r="J1490" s="217" t="s">
        <v>1855</v>
      </c>
      <c r="K1490" s="217">
        <v>14</v>
      </c>
      <c r="L1490" s="217">
        <v>50</v>
      </c>
      <c r="M1490" s="217" t="s">
        <v>31</v>
      </c>
      <c r="N1490" s="217" t="s">
        <v>32</v>
      </c>
      <c r="O1490" s="217" t="s">
        <v>141</v>
      </c>
      <c r="P1490" s="217" t="s">
        <v>142</v>
      </c>
      <c r="Q1490" s="217" t="s">
        <v>143</v>
      </c>
      <c r="R1490" s="217" t="s">
        <v>142</v>
      </c>
      <c r="S1490" s="217" t="s">
        <v>619</v>
      </c>
      <c r="T1490" s="217" t="s">
        <v>32</v>
      </c>
      <c r="U1490" s="217" t="s">
        <v>32</v>
      </c>
      <c r="V1490" s="217" t="s">
        <v>32</v>
      </c>
      <c r="W1490" s="217" t="s">
        <v>32</v>
      </c>
    </row>
    <row r="1491" spans="1:23" x14ac:dyDescent="0.25">
      <c r="A1491" s="217" t="s">
        <v>22</v>
      </c>
      <c r="B1491" s="217" t="s">
        <v>23</v>
      </c>
      <c r="C1491" s="217" t="s">
        <v>85</v>
      </c>
      <c r="D1491" s="217" t="s">
        <v>84</v>
      </c>
      <c r="E1491" s="217" t="s">
        <v>175</v>
      </c>
      <c r="F1491" s="217" t="s">
        <v>174</v>
      </c>
      <c r="G1491" s="217" t="s">
        <v>176</v>
      </c>
      <c r="H1491" s="217" t="s">
        <v>1525</v>
      </c>
      <c r="I1491" s="217" t="s">
        <v>616</v>
      </c>
      <c r="J1491" s="217" t="s">
        <v>1857</v>
      </c>
      <c r="K1491" s="217">
        <v>43</v>
      </c>
      <c r="L1491" s="217">
        <v>280</v>
      </c>
      <c r="M1491" s="217" t="s">
        <v>31</v>
      </c>
      <c r="N1491" s="217" t="s">
        <v>32</v>
      </c>
      <c r="O1491" s="217" t="s">
        <v>141</v>
      </c>
      <c r="P1491" s="217" t="s">
        <v>142</v>
      </c>
      <c r="Q1491" s="217" t="s">
        <v>143</v>
      </c>
      <c r="R1491" s="217" t="s">
        <v>142</v>
      </c>
      <c r="S1491" s="217" t="s">
        <v>619</v>
      </c>
      <c r="T1491" s="217" t="s">
        <v>32</v>
      </c>
      <c r="U1491" s="217" t="s">
        <v>32</v>
      </c>
      <c r="V1491" s="217" t="s">
        <v>32</v>
      </c>
      <c r="W1491" s="217" t="s">
        <v>32</v>
      </c>
    </row>
    <row r="1492" spans="1:23" x14ac:dyDescent="0.25">
      <c r="A1492" s="217" t="s">
        <v>22</v>
      </c>
      <c r="B1492" s="217" t="s">
        <v>23</v>
      </c>
      <c r="C1492" s="217" t="s">
        <v>85</v>
      </c>
      <c r="D1492" s="217" t="s">
        <v>84</v>
      </c>
      <c r="E1492" s="217" t="s">
        <v>175</v>
      </c>
      <c r="F1492" s="217" t="s">
        <v>174</v>
      </c>
      <c r="G1492" s="217" t="s">
        <v>176</v>
      </c>
      <c r="H1492" s="217" t="s">
        <v>1525</v>
      </c>
      <c r="I1492" s="217" t="s">
        <v>616</v>
      </c>
      <c r="J1492" s="217" t="s">
        <v>1858</v>
      </c>
      <c r="K1492" s="217">
        <v>2</v>
      </c>
      <c r="L1492" s="217">
        <v>8</v>
      </c>
      <c r="M1492" s="217" t="s">
        <v>31</v>
      </c>
      <c r="N1492" s="217" t="s">
        <v>32</v>
      </c>
      <c r="O1492" s="217" t="s">
        <v>141</v>
      </c>
      <c r="P1492" s="217" t="s">
        <v>142</v>
      </c>
      <c r="Q1492" s="217" t="s">
        <v>143</v>
      </c>
      <c r="R1492" s="217" t="s">
        <v>142</v>
      </c>
      <c r="S1492" s="217" t="s">
        <v>619</v>
      </c>
      <c r="T1492" s="217" t="s">
        <v>32</v>
      </c>
      <c r="U1492" s="217" t="s">
        <v>32</v>
      </c>
      <c r="V1492" s="217" t="s">
        <v>32</v>
      </c>
      <c r="W1492" s="217" t="s">
        <v>32</v>
      </c>
    </row>
    <row r="1493" spans="1:23" x14ac:dyDescent="0.25">
      <c r="A1493" s="217" t="s">
        <v>22</v>
      </c>
      <c r="B1493" s="217" t="s">
        <v>23</v>
      </c>
      <c r="C1493" s="217" t="s">
        <v>85</v>
      </c>
      <c r="D1493" s="217" t="s">
        <v>84</v>
      </c>
      <c r="E1493" s="217" t="s">
        <v>175</v>
      </c>
      <c r="F1493" s="217" t="s">
        <v>174</v>
      </c>
      <c r="G1493" s="217" t="s">
        <v>463</v>
      </c>
      <c r="H1493" s="217" t="s">
        <v>1302</v>
      </c>
      <c r="I1493" s="217" t="s">
        <v>616</v>
      </c>
      <c r="J1493" s="217" t="s">
        <v>1857</v>
      </c>
      <c r="K1493" s="217">
        <v>23</v>
      </c>
      <c r="L1493" s="217">
        <v>96</v>
      </c>
      <c r="M1493" s="217" t="s">
        <v>31</v>
      </c>
      <c r="N1493" s="217" t="s">
        <v>32</v>
      </c>
      <c r="O1493" s="217" t="s">
        <v>141</v>
      </c>
      <c r="P1493" s="217" t="s">
        <v>142</v>
      </c>
      <c r="Q1493" s="217" t="s">
        <v>143</v>
      </c>
      <c r="R1493" s="217" t="s">
        <v>142</v>
      </c>
      <c r="S1493" s="217" t="s">
        <v>619</v>
      </c>
      <c r="T1493" s="217" t="s">
        <v>32</v>
      </c>
      <c r="U1493" s="217" t="s">
        <v>32</v>
      </c>
      <c r="V1493" s="217" t="s">
        <v>32</v>
      </c>
      <c r="W1493" s="217" t="s">
        <v>32</v>
      </c>
    </row>
    <row r="1494" spans="1:23" x14ac:dyDescent="0.25">
      <c r="A1494" s="217" t="s">
        <v>22</v>
      </c>
      <c r="B1494" s="217" t="s">
        <v>23</v>
      </c>
      <c r="C1494" s="217" t="s">
        <v>85</v>
      </c>
      <c r="D1494" s="217" t="s">
        <v>84</v>
      </c>
      <c r="E1494" s="217" t="s">
        <v>175</v>
      </c>
      <c r="F1494" s="217" t="s">
        <v>174</v>
      </c>
      <c r="G1494" s="217" t="s">
        <v>463</v>
      </c>
      <c r="H1494" s="217" t="s">
        <v>1302</v>
      </c>
      <c r="I1494" s="217" t="s">
        <v>616</v>
      </c>
      <c r="J1494" s="217" t="s">
        <v>1859</v>
      </c>
      <c r="K1494" s="217">
        <v>33</v>
      </c>
      <c r="L1494" s="217">
        <v>180</v>
      </c>
      <c r="M1494" s="217" t="s">
        <v>31</v>
      </c>
      <c r="N1494" s="217" t="s">
        <v>32</v>
      </c>
      <c r="O1494" s="217" t="s">
        <v>141</v>
      </c>
      <c r="P1494" s="217" t="s">
        <v>142</v>
      </c>
      <c r="Q1494" s="217" t="s">
        <v>143</v>
      </c>
      <c r="R1494" s="217" t="s">
        <v>142</v>
      </c>
      <c r="S1494" s="217" t="s">
        <v>619</v>
      </c>
      <c r="T1494" s="217" t="s">
        <v>32</v>
      </c>
      <c r="U1494" s="217" t="s">
        <v>32</v>
      </c>
      <c r="V1494" s="217" t="s">
        <v>32</v>
      </c>
      <c r="W1494" s="217" t="s">
        <v>32</v>
      </c>
    </row>
    <row r="1495" spans="1:23" x14ac:dyDescent="0.25">
      <c r="A1495" s="217" t="s">
        <v>22</v>
      </c>
      <c r="B1495" s="217" t="s">
        <v>23</v>
      </c>
      <c r="C1495" s="217" t="s">
        <v>85</v>
      </c>
      <c r="D1495" s="217" t="s">
        <v>84</v>
      </c>
      <c r="E1495" s="217" t="s">
        <v>175</v>
      </c>
      <c r="F1495" s="217" t="s">
        <v>174</v>
      </c>
      <c r="G1495" s="217" t="s">
        <v>1971</v>
      </c>
      <c r="H1495" s="217" t="s">
        <v>1972</v>
      </c>
      <c r="I1495" s="217" t="s">
        <v>616</v>
      </c>
      <c r="J1495" s="217" t="s">
        <v>1858</v>
      </c>
      <c r="K1495" s="217">
        <v>4</v>
      </c>
      <c r="L1495" s="217">
        <v>25</v>
      </c>
      <c r="M1495" s="217" t="s">
        <v>31</v>
      </c>
      <c r="N1495" s="217" t="s">
        <v>32</v>
      </c>
      <c r="O1495" s="217" t="s">
        <v>141</v>
      </c>
      <c r="P1495" s="217" t="s">
        <v>142</v>
      </c>
      <c r="Q1495" s="217" t="s">
        <v>143</v>
      </c>
      <c r="R1495" s="217" t="s">
        <v>142</v>
      </c>
      <c r="S1495" s="217" t="s">
        <v>619</v>
      </c>
      <c r="T1495" s="217" t="s">
        <v>32</v>
      </c>
      <c r="U1495" s="217" t="s">
        <v>32</v>
      </c>
      <c r="V1495" s="217" t="s">
        <v>32</v>
      </c>
      <c r="W1495" s="217" t="s">
        <v>32</v>
      </c>
    </row>
    <row r="1496" spans="1:23" x14ac:dyDescent="0.25">
      <c r="A1496" s="217" t="s">
        <v>22</v>
      </c>
      <c r="B1496" s="217" t="s">
        <v>23</v>
      </c>
      <c r="C1496" s="217" t="s">
        <v>85</v>
      </c>
      <c r="D1496" s="217" t="s">
        <v>84</v>
      </c>
      <c r="E1496" s="217" t="s">
        <v>175</v>
      </c>
      <c r="F1496" s="217" t="s">
        <v>174</v>
      </c>
      <c r="G1496" s="217" t="s">
        <v>464</v>
      </c>
      <c r="H1496" s="217" t="s">
        <v>1303</v>
      </c>
      <c r="I1496" s="217" t="s">
        <v>616</v>
      </c>
      <c r="J1496" s="217" t="s">
        <v>1855</v>
      </c>
      <c r="K1496" s="217">
        <v>32</v>
      </c>
      <c r="L1496" s="217">
        <v>128</v>
      </c>
      <c r="M1496" s="217" t="s">
        <v>31</v>
      </c>
      <c r="N1496" s="217" t="s">
        <v>32</v>
      </c>
      <c r="O1496" s="217" t="s">
        <v>141</v>
      </c>
      <c r="P1496" s="217" t="s">
        <v>142</v>
      </c>
      <c r="Q1496" s="217" t="s">
        <v>143</v>
      </c>
      <c r="R1496" s="217" t="s">
        <v>142</v>
      </c>
      <c r="S1496" s="217" t="s">
        <v>619</v>
      </c>
      <c r="T1496" s="217" t="s">
        <v>32</v>
      </c>
      <c r="U1496" s="217" t="s">
        <v>32</v>
      </c>
      <c r="V1496" s="217" t="s">
        <v>32</v>
      </c>
      <c r="W1496" s="217" t="s">
        <v>32</v>
      </c>
    </row>
    <row r="1497" spans="1:23" x14ac:dyDescent="0.25">
      <c r="A1497" s="217" t="s">
        <v>22</v>
      </c>
      <c r="B1497" s="217" t="s">
        <v>23</v>
      </c>
      <c r="C1497" s="217" t="s">
        <v>85</v>
      </c>
      <c r="D1497" s="217" t="s">
        <v>84</v>
      </c>
      <c r="E1497" s="217" t="s">
        <v>175</v>
      </c>
      <c r="F1497" s="217" t="s">
        <v>174</v>
      </c>
      <c r="G1497" s="217" t="s">
        <v>177</v>
      </c>
      <c r="H1497" s="217" t="s">
        <v>1526</v>
      </c>
      <c r="I1497" s="217" t="s">
        <v>616</v>
      </c>
      <c r="J1497" s="217" t="s">
        <v>1855</v>
      </c>
      <c r="K1497" s="217">
        <v>6</v>
      </c>
      <c r="L1497" s="217">
        <v>20</v>
      </c>
      <c r="M1497" s="217" t="s">
        <v>31</v>
      </c>
      <c r="N1497" s="217" t="s">
        <v>32</v>
      </c>
      <c r="O1497" s="217" t="s">
        <v>141</v>
      </c>
      <c r="P1497" s="217" t="s">
        <v>142</v>
      </c>
      <c r="Q1497" s="217" t="s">
        <v>143</v>
      </c>
      <c r="R1497" s="217" t="s">
        <v>142</v>
      </c>
      <c r="S1497" s="217" t="s">
        <v>619</v>
      </c>
      <c r="T1497" s="217" t="s">
        <v>32</v>
      </c>
      <c r="U1497" s="217" t="s">
        <v>32</v>
      </c>
      <c r="V1497" s="217" t="s">
        <v>32</v>
      </c>
      <c r="W1497" s="217" t="s">
        <v>32</v>
      </c>
    </row>
    <row r="1498" spans="1:23" x14ac:dyDescent="0.25">
      <c r="A1498" s="217" t="s">
        <v>22</v>
      </c>
      <c r="B1498" s="217" t="s">
        <v>23</v>
      </c>
      <c r="C1498" s="217" t="s">
        <v>85</v>
      </c>
      <c r="D1498" s="217" t="s">
        <v>84</v>
      </c>
      <c r="E1498" s="217" t="s">
        <v>175</v>
      </c>
      <c r="F1498" s="217" t="s">
        <v>174</v>
      </c>
      <c r="G1498" s="217" t="s">
        <v>465</v>
      </c>
      <c r="H1498" s="217" t="s">
        <v>1304</v>
      </c>
      <c r="I1498" s="217" t="s">
        <v>616</v>
      </c>
      <c r="J1498" s="217" t="s">
        <v>1857</v>
      </c>
      <c r="K1498" s="217">
        <v>7</v>
      </c>
      <c r="L1498" s="217">
        <v>18</v>
      </c>
      <c r="M1498" s="217" t="s">
        <v>31</v>
      </c>
      <c r="N1498" s="217" t="s">
        <v>32</v>
      </c>
      <c r="O1498" s="217" t="s">
        <v>141</v>
      </c>
      <c r="P1498" s="217" t="s">
        <v>142</v>
      </c>
      <c r="Q1498" s="217" t="s">
        <v>143</v>
      </c>
      <c r="R1498" s="217" t="s">
        <v>142</v>
      </c>
      <c r="S1498" s="217" t="s">
        <v>619</v>
      </c>
      <c r="T1498" s="217" t="s">
        <v>32</v>
      </c>
      <c r="U1498" s="217" t="s">
        <v>32</v>
      </c>
      <c r="V1498" s="217" t="s">
        <v>32</v>
      </c>
      <c r="W1498" s="217" t="s">
        <v>32</v>
      </c>
    </row>
    <row r="1499" spans="1:23" x14ac:dyDescent="0.25">
      <c r="A1499" s="217" t="s">
        <v>22</v>
      </c>
      <c r="B1499" s="217" t="s">
        <v>23</v>
      </c>
      <c r="C1499" s="217" t="s">
        <v>85</v>
      </c>
      <c r="D1499" s="217" t="s">
        <v>84</v>
      </c>
      <c r="E1499" s="217" t="s">
        <v>175</v>
      </c>
      <c r="F1499" s="217" t="s">
        <v>174</v>
      </c>
      <c r="G1499" s="217" t="s">
        <v>465</v>
      </c>
      <c r="H1499" s="217" t="s">
        <v>1304</v>
      </c>
      <c r="I1499" s="217" t="s">
        <v>616</v>
      </c>
      <c r="J1499" s="217" t="s">
        <v>1858</v>
      </c>
      <c r="K1499" s="217">
        <v>5</v>
      </c>
      <c r="L1499" s="217">
        <v>30</v>
      </c>
      <c r="M1499" s="217" t="s">
        <v>31</v>
      </c>
      <c r="N1499" s="217" t="s">
        <v>32</v>
      </c>
      <c r="O1499" s="217" t="s">
        <v>141</v>
      </c>
      <c r="P1499" s="217" t="s">
        <v>142</v>
      </c>
      <c r="Q1499" s="217" t="s">
        <v>143</v>
      </c>
      <c r="R1499" s="217" t="s">
        <v>142</v>
      </c>
      <c r="S1499" s="217" t="s">
        <v>619</v>
      </c>
      <c r="T1499" s="217" t="s">
        <v>32</v>
      </c>
      <c r="U1499" s="217" t="s">
        <v>32</v>
      </c>
      <c r="V1499" s="217" t="s">
        <v>32</v>
      </c>
      <c r="W1499" s="217" t="s">
        <v>32</v>
      </c>
    </row>
    <row r="1500" spans="1:23" x14ac:dyDescent="0.25">
      <c r="A1500" s="217" t="s">
        <v>22</v>
      </c>
      <c r="B1500" s="217" t="s">
        <v>23</v>
      </c>
      <c r="C1500" s="217" t="s">
        <v>85</v>
      </c>
      <c r="D1500" s="217" t="s">
        <v>84</v>
      </c>
      <c r="E1500" s="217" t="s">
        <v>175</v>
      </c>
      <c r="F1500" s="217" t="s">
        <v>174</v>
      </c>
      <c r="G1500" s="217" t="s">
        <v>465</v>
      </c>
      <c r="H1500" s="217" t="s">
        <v>1304</v>
      </c>
      <c r="I1500" s="217" t="s">
        <v>616</v>
      </c>
      <c r="J1500" s="217" t="s">
        <v>1859</v>
      </c>
      <c r="K1500" s="217">
        <v>1</v>
      </c>
      <c r="L1500" s="217">
        <v>4</v>
      </c>
      <c r="M1500" s="217" t="s">
        <v>31</v>
      </c>
      <c r="N1500" s="217" t="s">
        <v>32</v>
      </c>
      <c r="O1500" s="217" t="s">
        <v>141</v>
      </c>
      <c r="P1500" s="217" t="s">
        <v>142</v>
      </c>
      <c r="Q1500" s="217" t="s">
        <v>143</v>
      </c>
      <c r="R1500" s="217" t="s">
        <v>142</v>
      </c>
      <c r="S1500" s="217" t="s">
        <v>619</v>
      </c>
      <c r="T1500" s="217" t="s">
        <v>32</v>
      </c>
      <c r="U1500" s="217" t="s">
        <v>32</v>
      </c>
      <c r="V1500" s="217" t="s">
        <v>32</v>
      </c>
      <c r="W1500" s="217" t="s">
        <v>32</v>
      </c>
    </row>
    <row r="1501" spans="1:23" x14ac:dyDescent="0.25">
      <c r="A1501" s="217" t="s">
        <v>22</v>
      </c>
      <c r="B1501" s="217" t="s">
        <v>23</v>
      </c>
      <c r="C1501" s="217" t="s">
        <v>85</v>
      </c>
      <c r="D1501" s="217" t="s">
        <v>84</v>
      </c>
      <c r="E1501" s="217" t="s">
        <v>175</v>
      </c>
      <c r="F1501" s="217" t="s">
        <v>174</v>
      </c>
      <c r="G1501" s="217" t="s">
        <v>465</v>
      </c>
      <c r="H1501" s="217" t="s">
        <v>1304</v>
      </c>
      <c r="I1501" s="217" t="s">
        <v>616</v>
      </c>
      <c r="J1501" s="217" t="s">
        <v>1856</v>
      </c>
      <c r="K1501" s="217">
        <v>5</v>
      </c>
      <c r="L1501" s="217">
        <v>17</v>
      </c>
      <c r="M1501" s="217" t="s">
        <v>31</v>
      </c>
      <c r="N1501" s="217" t="s">
        <v>32</v>
      </c>
      <c r="O1501" s="217" t="s">
        <v>141</v>
      </c>
      <c r="P1501" s="217" t="s">
        <v>142</v>
      </c>
      <c r="Q1501" s="217" t="s">
        <v>143</v>
      </c>
      <c r="R1501" s="217" t="s">
        <v>142</v>
      </c>
      <c r="S1501" s="217" t="s">
        <v>2146</v>
      </c>
      <c r="T1501" s="217" t="s">
        <v>32</v>
      </c>
      <c r="U1501" s="217" t="s">
        <v>32</v>
      </c>
      <c r="V1501" s="217" t="s">
        <v>32</v>
      </c>
      <c r="W1501" s="217" t="s">
        <v>32</v>
      </c>
    </row>
    <row r="1502" spans="1:23" x14ac:dyDescent="0.25">
      <c r="A1502" s="217" t="s">
        <v>22</v>
      </c>
      <c r="B1502" s="217" t="s">
        <v>23</v>
      </c>
      <c r="C1502" s="217" t="s">
        <v>85</v>
      </c>
      <c r="D1502" s="217" t="s">
        <v>84</v>
      </c>
      <c r="E1502" s="217" t="s">
        <v>175</v>
      </c>
      <c r="F1502" s="217" t="s">
        <v>174</v>
      </c>
      <c r="G1502" s="217" t="s">
        <v>634</v>
      </c>
      <c r="H1502" s="217" t="s">
        <v>1527</v>
      </c>
      <c r="I1502" s="217" t="s">
        <v>616</v>
      </c>
      <c r="J1502" s="217" t="s">
        <v>1858</v>
      </c>
      <c r="K1502" s="217">
        <v>69</v>
      </c>
      <c r="L1502" s="217">
        <v>350</v>
      </c>
      <c r="M1502" s="217" t="s">
        <v>31</v>
      </c>
      <c r="N1502" s="217" t="s">
        <v>32</v>
      </c>
      <c r="O1502" s="217" t="s">
        <v>141</v>
      </c>
      <c r="P1502" s="217" t="s">
        <v>142</v>
      </c>
      <c r="Q1502" s="217" t="s">
        <v>143</v>
      </c>
      <c r="R1502" s="217" t="s">
        <v>142</v>
      </c>
      <c r="S1502" s="217" t="s">
        <v>619</v>
      </c>
      <c r="T1502" s="217" t="s">
        <v>32</v>
      </c>
      <c r="U1502" s="217" t="s">
        <v>32</v>
      </c>
      <c r="V1502" s="217" t="s">
        <v>32</v>
      </c>
      <c r="W1502" s="217" t="s">
        <v>32</v>
      </c>
    </row>
    <row r="1503" spans="1:23" x14ac:dyDescent="0.25">
      <c r="A1503" s="217" t="s">
        <v>22</v>
      </c>
      <c r="B1503" s="217" t="s">
        <v>23</v>
      </c>
      <c r="C1503" s="217" t="s">
        <v>85</v>
      </c>
      <c r="D1503" s="217" t="s">
        <v>84</v>
      </c>
      <c r="E1503" s="217" t="s">
        <v>175</v>
      </c>
      <c r="F1503" s="217" t="s">
        <v>174</v>
      </c>
      <c r="G1503" s="217" t="s">
        <v>832</v>
      </c>
      <c r="H1503" s="217" t="s">
        <v>1528</v>
      </c>
      <c r="I1503" s="217" t="s">
        <v>616</v>
      </c>
      <c r="J1503" s="217" t="s">
        <v>1857</v>
      </c>
      <c r="K1503" s="217">
        <v>24</v>
      </c>
      <c r="L1503" s="217">
        <v>144</v>
      </c>
      <c r="M1503" s="217" t="s">
        <v>31</v>
      </c>
      <c r="N1503" s="217" t="s">
        <v>32</v>
      </c>
      <c r="O1503" s="217" t="s">
        <v>141</v>
      </c>
      <c r="P1503" s="217" t="s">
        <v>142</v>
      </c>
      <c r="Q1503" s="217" t="s">
        <v>143</v>
      </c>
      <c r="R1503" s="217" t="s">
        <v>142</v>
      </c>
      <c r="S1503" s="217" t="s">
        <v>619</v>
      </c>
      <c r="T1503" s="217" t="s">
        <v>32</v>
      </c>
      <c r="U1503" s="217" t="s">
        <v>32</v>
      </c>
      <c r="V1503" s="217" t="s">
        <v>32</v>
      </c>
      <c r="W1503" s="217" t="s">
        <v>32</v>
      </c>
    </row>
    <row r="1504" spans="1:23" x14ac:dyDescent="0.25">
      <c r="A1504" s="217" t="s">
        <v>22</v>
      </c>
      <c r="B1504" s="217" t="s">
        <v>23</v>
      </c>
      <c r="C1504" s="217" t="s">
        <v>85</v>
      </c>
      <c r="D1504" s="217" t="s">
        <v>84</v>
      </c>
      <c r="E1504" s="217" t="s">
        <v>175</v>
      </c>
      <c r="F1504" s="217" t="s">
        <v>174</v>
      </c>
      <c r="G1504" s="217" t="s">
        <v>832</v>
      </c>
      <c r="H1504" s="217" t="s">
        <v>1528</v>
      </c>
      <c r="I1504" s="217" t="s">
        <v>616</v>
      </c>
      <c r="J1504" s="217" t="s">
        <v>1858</v>
      </c>
      <c r="K1504" s="217">
        <v>3</v>
      </c>
      <c r="L1504" s="217">
        <v>15</v>
      </c>
      <c r="M1504" s="217" t="s">
        <v>31</v>
      </c>
      <c r="N1504" s="217" t="s">
        <v>32</v>
      </c>
      <c r="O1504" s="217" t="s">
        <v>141</v>
      </c>
      <c r="P1504" s="217" t="s">
        <v>142</v>
      </c>
      <c r="Q1504" s="217" t="s">
        <v>143</v>
      </c>
      <c r="R1504" s="217" t="s">
        <v>142</v>
      </c>
      <c r="S1504" s="217" t="s">
        <v>619</v>
      </c>
      <c r="T1504" s="217" t="s">
        <v>32</v>
      </c>
      <c r="U1504" s="217" t="s">
        <v>32</v>
      </c>
      <c r="V1504" s="217" t="s">
        <v>32</v>
      </c>
      <c r="W1504" s="217" t="s">
        <v>32</v>
      </c>
    </row>
    <row r="1505" spans="1:23" x14ac:dyDescent="0.25">
      <c r="A1505" s="217" t="s">
        <v>22</v>
      </c>
      <c r="B1505" s="217" t="s">
        <v>23</v>
      </c>
      <c r="C1505" s="217" t="s">
        <v>85</v>
      </c>
      <c r="D1505" s="217" t="s">
        <v>84</v>
      </c>
      <c r="E1505" s="217" t="s">
        <v>175</v>
      </c>
      <c r="F1505" s="217" t="s">
        <v>174</v>
      </c>
      <c r="G1505" s="217" t="s">
        <v>830</v>
      </c>
      <c r="H1505" s="217" t="s">
        <v>1306</v>
      </c>
      <c r="I1505" s="217" t="s">
        <v>616</v>
      </c>
      <c r="J1505" s="217" t="s">
        <v>1856</v>
      </c>
      <c r="K1505" s="217">
        <v>12</v>
      </c>
      <c r="L1505" s="217">
        <v>91</v>
      </c>
      <c r="M1505" s="217" t="s">
        <v>31</v>
      </c>
      <c r="N1505" s="217" t="s">
        <v>32</v>
      </c>
      <c r="O1505" s="217" t="s">
        <v>141</v>
      </c>
      <c r="P1505" s="217" t="s">
        <v>142</v>
      </c>
      <c r="Q1505" s="217" t="s">
        <v>143</v>
      </c>
      <c r="R1505" s="217" t="s">
        <v>142</v>
      </c>
      <c r="S1505" s="217" t="s">
        <v>619</v>
      </c>
      <c r="T1505" s="217" t="s">
        <v>32</v>
      </c>
      <c r="U1505" s="217" t="s">
        <v>32</v>
      </c>
      <c r="V1505" s="217" t="s">
        <v>32</v>
      </c>
      <c r="W1505" s="217" t="s">
        <v>32</v>
      </c>
    </row>
    <row r="1506" spans="1:23" x14ac:dyDescent="0.25">
      <c r="A1506" s="217" t="s">
        <v>22</v>
      </c>
      <c r="B1506" s="217" t="s">
        <v>23</v>
      </c>
      <c r="C1506" s="217" t="s">
        <v>85</v>
      </c>
      <c r="D1506" s="217" t="s">
        <v>84</v>
      </c>
      <c r="E1506" s="217" t="s">
        <v>175</v>
      </c>
      <c r="F1506" s="217" t="s">
        <v>174</v>
      </c>
      <c r="G1506" s="217" t="s">
        <v>831</v>
      </c>
      <c r="H1506" s="217" t="s">
        <v>1529</v>
      </c>
      <c r="I1506" s="217" t="s">
        <v>616</v>
      </c>
      <c r="J1506" s="217" t="s">
        <v>1856</v>
      </c>
      <c r="K1506" s="217">
        <v>40</v>
      </c>
      <c r="L1506" s="217">
        <v>260</v>
      </c>
      <c r="M1506" s="217" t="s">
        <v>31</v>
      </c>
      <c r="N1506" s="217" t="s">
        <v>32</v>
      </c>
      <c r="O1506" s="217" t="s">
        <v>141</v>
      </c>
      <c r="P1506" s="217" t="s">
        <v>142</v>
      </c>
      <c r="Q1506" s="217" t="s">
        <v>143</v>
      </c>
      <c r="R1506" s="217" t="s">
        <v>142</v>
      </c>
      <c r="S1506" s="217" t="s">
        <v>619</v>
      </c>
      <c r="T1506" s="217" t="s">
        <v>32</v>
      </c>
      <c r="U1506" s="217" t="s">
        <v>32</v>
      </c>
      <c r="V1506" s="217" t="s">
        <v>32</v>
      </c>
      <c r="W1506" s="217" t="s">
        <v>32</v>
      </c>
    </row>
    <row r="1507" spans="1:23" x14ac:dyDescent="0.25">
      <c r="A1507" s="217" t="s">
        <v>22</v>
      </c>
      <c r="B1507" s="217" t="s">
        <v>23</v>
      </c>
      <c r="C1507" s="217" t="s">
        <v>85</v>
      </c>
      <c r="D1507" s="217" t="s">
        <v>84</v>
      </c>
      <c r="E1507" s="217" t="s">
        <v>175</v>
      </c>
      <c r="F1507" s="217" t="s">
        <v>174</v>
      </c>
      <c r="G1507" s="217" t="s">
        <v>635</v>
      </c>
      <c r="H1507" s="217" t="s">
        <v>1530</v>
      </c>
      <c r="I1507" s="217" t="s">
        <v>616</v>
      </c>
      <c r="J1507" s="217" t="s">
        <v>1858</v>
      </c>
      <c r="K1507" s="217">
        <v>49</v>
      </c>
      <c r="L1507" s="217">
        <v>209</v>
      </c>
      <c r="M1507" s="217" t="s">
        <v>31</v>
      </c>
      <c r="N1507" s="217" t="s">
        <v>32</v>
      </c>
      <c r="O1507" s="217" t="s">
        <v>141</v>
      </c>
      <c r="P1507" s="217" t="s">
        <v>142</v>
      </c>
      <c r="Q1507" s="217" t="s">
        <v>143</v>
      </c>
      <c r="R1507" s="217" t="s">
        <v>142</v>
      </c>
      <c r="S1507" s="217" t="s">
        <v>619</v>
      </c>
      <c r="T1507" s="217" t="s">
        <v>32</v>
      </c>
      <c r="U1507" s="217" t="s">
        <v>32</v>
      </c>
      <c r="V1507" s="217" t="s">
        <v>32</v>
      </c>
      <c r="W1507" s="217" t="s">
        <v>32</v>
      </c>
    </row>
    <row r="1508" spans="1:23" x14ac:dyDescent="0.25">
      <c r="A1508" s="217" t="s">
        <v>22</v>
      </c>
      <c r="B1508" s="217" t="s">
        <v>23</v>
      </c>
      <c r="C1508" s="217" t="s">
        <v>85</v>
      </c>
      <c r="D1508" s="217" t="s">
        <v>84</v>
      </c>
      <c r="E1508" s="217" t="s">
        <v>175</v>
      </c>
      <c r="F1508" s="217" t="s">
        <v>174</v>
      </c>
      <c r="G1508" s="217" t="s">
        <v>466</v>
      </c>
      <c r="H1508" s="217" t="s">
        <v>1307</v>
      </c>
      <c r="I1508" s="217" t="s">
        <v>616</v>
      </c>
      <c r="J1508" s="217" t="s">
        <v>1858</v>
      </c>
      <c r="K1508" s="217">
        <v>6</v>
      </c>
      <c r="L1508" s="217">
        <v>68</v>
      </c>
      <c r="M1508" s="217" t="s">
        <v>31</v>
      </c>
      <c r="N1508" s="217" t="s">
        <v>32</v>
      </c>
      <c r="O1508" s="217" t="s">
        <v>141</v>
      </c>
      <c r="P1508" s="217" t="s">
        <v>142</v>
      </c>
      <c r="Q1508" s="217" t="s">
        <v>143</v>
      </c>
      <c r="R1508" s="217" t="s">
        <v>142</v>
      </c>
      <c r="S1508" s="217" t="s">
        <v>619</v>
      </c>
      <c r="T1508" s="217" t="s">
        <v>32</v>
      </c>
      <c r="U1508" s="217" t="s">
        <v>32</v>
      </c>
      <c r="V1508" s="217" t="s">
        <v>32</v>
      </c>
      <c r="W1508" s="217" t="s">
        <v>32</v>
      </c>
    </row>
    <row r="1509" spans="1:23" x14ac:dyDescent="0.25">
      <c r="A1509" s="217" t="s">
        <v>22</v>
      </c>
      <c r="B1509" s="217" t="s">
        <v>23</v>
      </c>
      <c r="C1509" s="217" t="s">
        <v>85</v>
      </c>
      <c r="D1509" s="217" t="s">
        <v>84</v>
      </c>
      <c r="E1509" s="217" t="s">
        <v>175</v>
      </c>
      <c r="F1509" s="217" t="s">
        <v>174</v>
      </c>
      <c r="G1509" s="217" t="s">
        <v>467</v>
      </c>
      <c r="H1509" s="217" t="s">
        <v>1308</v>
      </c>
      <c r="I1509" s="217" t="s">
        <v>616</v>
      </c>
      <c r="J1509" s="217" t="s">
        <v>1855</v>
      </c>
      <c r="K1509" s="217">
        <v>9</v>
      </c>
      <c r="L1509" s="217">
        <v>75</v>
      </c>
      <c r="M1509" s="217" t="s">
        <v>31</v>
      </c>
      <c r="N1509" s="217" t="s">
        <v>32</v>
      </c>
      <c r="O1509" s="217" t="s">
        <v>141</v>
      </c>
      <c r="P1509" s="217" t="s">
        <v>142</v>
      </c>
      <c r="Q1509" s="217" t="s">
        <v>143</v>
      </c>
      <c r="R1509" s="217" t="s">
        <v>142</v>
      </c>
      <c r="S1509" s="217" t="s">
        <v>619</v>
      </c>
      <c r="T1509" s="217" t="s">
        <v>32</v>
      </c>
      <c r="U1509" s="217" t="s">
        <v>32</v>
      </c>
      <c r="V1509" s="217" t="s">
        <v>32</v>
      </c>
      <c r="W1509" s="217" t="s">
        <v>32</v>
      </c>
    </row>
    <row r="1510" spans="1:23" x14ac:dyDescent="0.25">
      <c r="A1510" s="217" t="s">
        <v>22</v>
      </c>
      <c r="B1510" s="217" t="s">
        <v>23</v>
      </c>
      <c r="C1510" s="217" t="s">
        <v>85</v>
      </c>
      <c r="D1510" s="217" t="s">
        <v>84</v>
      </c>
      <c r="E1510" s="217" t="s">
        <v>175</v>
      </c>
      <c r="F1510" s="217" t="s">
        <v>174</v>
      </c>
      <c r="G1510" s="217" t="s">
        <v>467</v>
      </c>
      <c r="H1510" s="217" t="s">
        <v>1308</v>
      </c>
      <c r="I1510" s="217" t="s">
        <v>616</v>
      </c>
      <c r="J1510" s="217" t="s">
        <v>1856</v>
      </c>
      <c r="K1510" s="217">
        <v>3</v>
      </c>
      <c r="L1510" s="217">
        <v>21</v>
      </c>
      <c r="M1510" s="217" t="s">
        <v>31</v>
      </c>
      <c r="N1510" s="217" t="s">
        <v>32</v>
      </c>
      <c r="O1510" s="217" t="s">
        <v>141</v>
      </c>
      <c r="P1510" s="217" t="s">
        <v>142</v>
      </c>
      <c r="Q1510" s="217" t="s">
        <v>143</v>
      </c>
      <c r="R1510" s="217" t="s">
        <v>142</v>
      </c>
      <c r="S1510" s="217" t="s">
        <v>619</v>
      </c>
      <c r="T1510" s="217" t="s">
        <v>32</v>
      </c>
      <c r="U1510" s="217" t="s">
        <v>32</v>
      </c>
      <c r="V1510" s="217" t="s">
        <v>32</v>
      </c>
      <c r="W1510" s="217" t="s">
        <v>32</v>
      </c>
    </row>
    <row r="1511" spans="1:23" x14ac:dyDescent="0.25">
      <c r="A1511" s="217" t="s">
        <v>22</v>
      </c>
      <c r="B1511" s="217" t="s">
        <v>23</v>
      </c>
      <c r="C1511" s="217" t="s">
        <v>85</v>
      </c>
      <c r="D1511" s="217" t="s">
        <v>84</v>
      </c>
      <c r="E1511" s="217" t="s">
        <v>175</v>
      </c>
      <c r="F1511" s="217" t="s">
        <v>174</v>
      </c>
      <c r="G1511" s="217" t="s">
        <v>467</v>
      </c>
      <c r="H1511" s="217" t="s">
        <v>1308</v>
      </c>
      <c r="I1511" s="217" t="s">
        <v>616</v>
      </c>
      <c r="J1511" s="217" t="s">
        <v>1858</v>
      </c>
      <c r="K1511" s="217">
        <v>18</v>
      </c>
      <c r="L1511" s="217">
        <v>166</v>
      </c>
      <c r="M1511" s="217" t="s">
        <v>31</v>
      </c>
      <c r="N1511" s="217" t="s">
        <v>32</v>
      </c>
      <c r="O1511" s="217" t="s">
        <v>141</v>
      </c>
      <c r="P1511" s="217" t="s">
        <v>142</v>
      </c>
      <c r="Q1511" s="217" t="s">
        <v>143</v>
      </c>
      <c r="R1511" s="217" t="s">
        <v>142</v>
      </c>
      <c r="S1511" s="217" t="s">
        <v>619</v>
      </c>
      <c r="T1511" s="217" t="s">
        <v>32</v>
      </c>
      <c r="U1511" s="217" t="s">
        <v>32</v>
      </c>
      <c r="V1511" s="217" t="s">
        <v>32</v>
      </c>
      <c r="W1511" s="217" t="s">
        <v>32</v>
      </c>
    </row>
    <row r="1512" spans="1:23" x14ac:dyDescent="0.25">
      <c r="A1512" s="217" t="s">
        <v>22</v>
      </c>
      <c r="B1512" s="217" t="s">
        <v>23</v>
      </c>
      <c r="C1512" s="217" t="s">
        <v>85</v>
      </c>
      <c r="D1512" s="217" t="s">
        <v>84</v>
      </c>
      <c r="E1512" s="217" t="s">
        <v>175</v>
      </c>
      <c r="F1512" s="217" t="s">
        <v>174</v>
      </c>
      <c r="G1512" s="217" t="s">
        <v>468</v>
      </c>
      <c r="H1512" s="217" t="s">
        <v>1309</v>
      </c>
      <c r="I1512" s="217" t="s">
        <v>616</v>
      </c>
      <c r="J1512" s="217" t="s">
        <v>1858</v>
      </c>
      <c r="K1512" s="217">
        <v>12</v>
      </c>
      <c r="L1512" s="217">
        <v>67</v>
      </c>
      <c r="M1512" s="217" t="s">
        <v>31</v>
      </c>
      <c r="N1512" s="217" t="s">
        <v>32</v>
      </c>
      <c r="O1512" s="217" t="s">
        <v>141</v>
      </c>
      <c r="P1512" s="217" t="s">
        <v>142</v>
      </c>
      <c r="Q1512" s="217" t="s">
        <v>143</v>
      </c>
      <c r="R1512" s="217" t="s">
        <v>142</v>
      </c>
      <c r="S1512" s="217" t="s">
        <v>619</v>
      </c>
      <c r="T1512" s="217" t="s">
        <v>32</v>
      </c>
      <c r="U1512" s="217" t="s">
        <v>32</v>
      </c>
      <c r="V1512" s="217" t="s">
        <v>32</v>
      </c>
      <c r="W1512" s="217" t="s">
        <v>32</v>
      </c>
    </row>
    <row r="1513" spans="1:23" x14ac:dyDescent="0.25">
      <c r="A1513" s="217" t="s">
        <v>22</v>
      </c>
      <c r="B1513" s="217" t="s">
        <v>23</v>
      </c>
      <c r="C1513" s="217" t="s">
        <v>85</v>
      </c>
      <c r="D1513" s="217" t="s">
        <v>84</v>
      </c>
      <c r="E1513" s="217" t="s">
        <v>175</v>
      </c>
      <c r="F1513" s="217" t="s">
        <v>174</v>
      </c>
      <c r="G1513" s="217" t="s">
        <v>469</v>
      </c>
      <c r="H1513" s="217" t="s">
        <v>1531</v>
      </c>
      <c r="I1513" s="217" t="s">
        <v>616</v>
      </c>
      <c r="J1513" s="217" t="s">
        <v>1858</v>
      </c>
      <c r="K1513" s="217">
        <v>9</v>
      </c>
      <c r="L1513" s="217">
        <v>54</v>
      </c>
      <c r="M1513" s="217" t="s">
        <v>31</v>
      </c>
      <c r="N1513" s="217" t="s">
        <v>32</v>
      </c>
      <c r="O1513" s="217" t="s">
        <v>141</v>
      </c>
      <c r="P1513" s="217" t="s">
        <v>142</v>
      </c>
      <c r="Q1513" s="217" t="s">
        <v>143</v>
      </c>
      <c r="R1513" s="217" t="s">
        <v>142</v>
      </c>
      <c r="S1513" s="217" t="s">
        <v>619</v>
      </c>
      <c r="T1513" s="217" t="s">
        <v>32</v>
      </c>
      <c r="U1513" s="217" t="s">
        <v>32</v>
      </c>
      <c r="V1513" s="217" t="s">
        <v>32</v>
      </c>
      <c r="W1513" s="217" t="s">
        <v>32</v>
      </c>
    </row>
    <row r="1514" spans="1:23" x14ac:dyDescent="0.25">
      <c r="A1514" s="217" t="s">
        <v>22</v>
      </c>
      <c r="B1514" s="217" t="s">
        <v>23</v>
      </c>
      <c r="C1514" s="217" t="s">
        <v>85</v>
      </c>
      <c r="D1514" s="217" t="s">
        <v>84</v>
      </c>
      <c r="E1514" s="217" t="s">
        <v>175</v>
      </c>
      <c r="F1514" s="217" t="s">
        <v>174</v>
      </c>
      <c r="G1514" s="217" t="s">
        <v>833</v>
      </c>
      <c r="H1514" s="217" t="s">
        <v>1310</v>
      </c>
      <c r="I1514" s="217" t="s">
        <v>616</v>
      </c>
      <c r="J1514" s="217" t="s">
        <v>1856</v>
      </c>
      <c r="K1514" s="217">
        <v>11</v>
      </c>
      <c r="L1514" s="217">
        <v>49</v>
      </c>
      <c r="M1514" s="217" t="s">
        <v>31</v>
      </c>
      <c r="N1514" s="217" t="s">
        <v>32</v>
      </c>
      <c r="O1514" s="217" t="s">
        <v>141</v>
      </c>
      <c r="P1514" s="217" t="s">
        <v>142</v>
      </c>
      <c r="Q1514" s="217" t="s">
        <v>143</v>
      </c>
      <c r="R1514" s="217" t="s">
        <v>142</v>
      </c>
      <c r="S1514" s="217" t="s">
        <v>619</v>
      </c>
      <c r="T1514" s="217" t="s">
        <v>32</v>
      </c>
      <c r="U1514" s="217" t="s">
        <v>32</v>
      </c>
      <c r="V1514" s="217" t="s">
        <v>32</v>
      </c>
      <c r="W1514" s="217" t="s">
        <v>32</v>
      </c>
    </row>
    <row r="1515" spans="1:23" x14ac:dyDescent="0.25">
      <c r="A1515" s="217" t="s">
        <v>22</v>
      </c>
      <c r="B1515" s="217" t="s">
        <v>23</v>
      </c>
      <c r="C1515" s="217" t="s">
        <v>85</v>
      </c>
      <c r="D1515" s="217" t="s">
        <v>84</v>
      </c>
      <c r="E1515" s="217" t="s">
        <v>175</v>
      </c>
      <c r="F1515" s="217" t="s">
        <v>174</v>
      </c>
      <c r="G1515" s="217" t="s">
        <v>833</v>
      </c>
      <c r="H1515" s="217" t="s">
        <v>1310</v>
      </c>
      <c r="I1515" s="217" t="s">
        <v>616</v>
      </c>
      <c r="J1515" s="217" t="s">
        <v>1858</v>
      </c>
      <c r="K1515" s="217">
        <v>2</v>
      </c>
      <c r="L1515" s="217">
        <v>9</v>
      </c>
      <c r="M1515" s="217" t="s">
        <v>31</v>
      </c>
      <c r="N1515" s="217" t="s">
        <v>32</v>
      </c>
      <c r="O1515" s="217" t="s">
        <v>141</v>
      </c>
      <c r="P1515" s="217" t="s">
        <v>142</v>
      </c>
      <c r="Q1515" s="217" t="s">
        <v>143</v>
      </c>
      <c r="R1515" s="217" t="s">
        <v>142</v>
      </c>
      <c r="S1515" s="217" t="s">
        <v>619</v>
      </c>
      <c r="T1515" s="217" t="s">
        <v>32</v>
      </c>
      <c r="U1515" s="217" t="s">
        <v>32</v>
      </c>
      <c r="V1515" s="217" t="s">
        <v>32</v>
      </c>
      <c r="W1515" s="217" t="s">
        <v>32</v>
      </c>
    </row>
    <row r="1516" spans="1:23" x14ac:dyDescent="0.25">
      <c r="A1516" s="217" t="s">
        <v>22</v>
      </c>
      <c r="B1516" s="217" t="s">
        <v>23</v>
      </c>
      <c r="C1516" s="217" t="s">
        <v>85</v>
      </c>
      <c r="D1516" s="217" t="s">
        <v>84</v>
      </c>
      <c r="E1516" s="217" t="s">
        <v>175</v>
      </c>
      <c r="F1516" s="217" t="s">
        <v>174</v>
      </c>
      <c r="G1516" s="217" t="s">
        <v>470</v>
      </c>
      <c r="H1516" s="217" t="s">
        <v>1311</v>
      </c>
      <c r="I1516" s="217" t="s">
        <v>616</v>
      </c>
      <c r="J1516" s="217" t="s">
        <v>1856</v>
      </c>
      <c r="K1516" s="217">
        <v>10</v>
      </c>
      <c r="L1516" s="217">
        <v>35</v>
      </c>
      <c r="M1516" s="217" t="s">
        <v>31</v>
      </c>
      <c r="N1516" s="217" t="s">
        <v>32</v>
      </c>
      <c r="O1516" s="217" t="s">
        <v>141</v>
      </c>
      <c r="P1516" s="217" t="s">
        <v>142</v>
      </c>
      <c r="Q1516" s="217" t="s">
        <v>143</v>
      </c>
      <c r="R1516" s="217" t="s">
        <v>142</v>
      </c>
      <c r="S1516" s="217" t="s">
        <v>619</v>
      </c>
      <c r="T1516" s="217" t="s">
        <v>32</v>
      </c>
      <c r="U1516" s="217" t="s">
        <v>32</v>
      </c>
      <c r="V1516" s="217" t="s">
        <v>32</v>
      </c>
      <c r="W1516" s="217" t="s">
        <v>32</v>
      </c>
    </row>
    <row r="1517" spans="1:23" x14ac:dyDescent="0.25">
      <c r="A1517" s="217" t="s">
        <v>22</v>
      </c>
      <c r="B1517" s="217" t="s">
        <v>23</v>
      </c>
      <c r="C1517" s="217" t="s">
        <v>85</v>
      </c>
      <c r="D1517" s="217" t="s">
        <v>84</v>
      </c>
      <c r="E1517" s="217" t="s">
        <v>175</v>
      </c>
      <c r="F1517" s="217" t="s">
        <v>174</v>
      </c>
      <c r="G1517" s="217" t="s">
        <v>470</v>
      </c>
      <c r="H1517" s="217" t="s">
        <v>1311</v>
      </c>
      <c r="I1517" s="217" t="s">
        <v>616</v>
      </c>
      <c r="J1517" s="217" t="s">
        <v>1858</v>
      </c>
      <c r="K1517" s="217">
        <v>66</v>
      </c>
      <c r="L1517" s="217">
        <v>216</v>
      </c>
      <c r="M1517" s="217" t="s">
        <v>31</v>
      </c>
      <c r="N1517" s="217" t="s">
        <v>32</v>
      </c>
      <c r="O1517" s="217" t="s">
        <v>141</v>
      </c>
      <c r="P1517" s="217" t="s">
        <v>142</v>
      </c>
      <c r="Q1517" s="217" t="s">
        <v>143</v>
      </c>
      <c r="R1517" s="217" t="s">
        <v>142</v>
      </c>
      <c r="S1517" s="217" t="s">
        <v>619</v>
      </c>
      <c r="T1517" s="217" t="s">
        <v>32</v>
      </c>
      <c r="U1517" s="217" t="s">
        <v>32</v>
      </c>
      <c r="V1517" s="217" t="s">
        <v>32</v>
      </c>
      <c r="W1517" s="217" t="s">
        <v>32</v>
      </c>
    </row>
    <row r="1518" spans="1:23" x14ac:dyDescent="0.25">
      <c r="A1518" s="217" t="s">
        <v>22</v>
      </c>
      <c r="B1518" s="217" t="s">
        <v>23</v>
      </c>
      <c r="C1518" s="217" t="s">
        <v>85</v>
      </c>
      <c r="D1518" s="217" t="s">
        <v>84</v>
      </c>
      <c r="E1518" s="217" t="s">
        <v>175</v>
      </c>
      <c r="F1518" s="217" t="s">
        <v>174</v>
      </c>
      <c r="G1518" s="217" t="s">
        <v>815</v>
      </c>
      <c r="H1518" s="217" t="s">
        <v>2141</v>
      </c>
      <c r="I1518" s="217" t="s">
        <v>616</v>
      </c>
      <c r="J1518" s="217" t="s">
        <v>1859</v>
      </c>
      <c r="K1518" s="217">
        <v>17</v>
      </c>
      <c r="L1518" s="217">
        <v>85</v>
      </c>
      <c r="M1518" s="217" t="s">
        <v>31</v>
      </c>
      <c r="N1518" s="217" t="s">
        <v>32</v>
      </c>
      <c r="O1518" s="217" t="s">
        <v>141</v>
      </c>
      <c r="P1518" s="217" t="s">
        <v>142</v>
      </c>
      <c r="Q1518" s="217" t="s">
        <v>143</v>
      </c>
      <c r="R1518" s="217" t="s">
        <v>142</v>
      </c>
      <c r="S1518" s="217" t="s">
        <v>619</v>
      </c>
      <c r="T1518" s="217" t="s">
        <v>32</v>
      </c>
      <c r="U1518" s="217" t="s">
        <v>32</v>
      </c>
      <c r="V1518" s="217" t="s">
        <v>32</v>
      </c>
      <c r="W1518" s="217" t="s">
        <v>32</v>
      </c>
    </row>
    <row r="1519" spans="1:23" x14ac:dyDescent="0.25">
      <c r="A1519" s="217" t="s">
        <v>22</v>
      </c>
      <c r="B1519" s="217" t="s">
        <v>23</v>
      </c>
      <c r="C1519" s="217" t="s">
        <v>85</v>
      </c>
      <c r="D1519" s="217" t="s">
        <v>84</v>
      </c>
      <c r="E1519" s="217" t="s">
        <v>175</v>
      </c>
      <c r="F1519" s="217" t="s">
        <v>174</v>
      </c>
      <c r="G1519" s="217" t="s">
        <v>179</v>
      </c>
      <c r="H1519" s="217" t="s">
        <v>1312</v>
      </c>
      <c r="I1519" s="217" t="s">
        <v>616</v>
      </c>
      <c r="J1519" s="217" t="s">
        <v>1855</v>
      </c>
      <c r="K1519" s="217">
        <v>19</v>
      </c>
      <c r="L1519" s="217">
        <v>150</v>
      </c>
      <c r="M1519" s="217" t="s">
        <v>31</v>
      </c>
      <c r="N1519" s="217" t="s">
        <v>32</v>
      </c>
      <c r="O1519" s="217" t="s">
        <v>141</v>
      </c>
      <c r="P1519" s="217" t="s">
        <v>142</v>
      </c>
      <c r="Q1519" s="217" t="s">
        <v>143</v>
      </c>
      <c r="R1519" s="217" t="s">
        <v>142</v>
      </c>
      <c r="S1519" s="217" t="s">
        <v>619</v>
      </c>
      <c r="T1519" s="217" t="s">
        <v>32</v>
      </c>
      <c r="U1519" s="217" t="s">
        <v>32</v>
      </c>
      <c r="V1519" s="217" t="s">
        <v>32</v>
      </c>
      <c r="W1519" s="217" t="s">
        <v>32</v>
      </c>
    </row>
    <row r="1520" spans="1:23" x14ac:dyDescent="0.25">
      <c r="A1520" s="217" t="s">
        <v>22</v>
      </c>
      <c r="B1520" s="217" t="s">
        <v>23</v>
      </c>
      <c r="C1520" s="217" t="s">
        <v>85</v>
      </c>
      <c r="D1520" s="217" t="s">
        <v>84</v>
      </c>
      <c r="E1520" s="217" t="s">
        <v>175</v>
      </c>
      <c r="F1520" s="217" t="s">
        <v>174</v>
      </c>
      <c r="G1520" s="217" t="s">
        <v>179</v>
      </c>
      <c r="H1520" s="217" t="s">
        <v>1312</v>
      </c>
      <c r="I1520" s="217" t="s">
        <v>616</v>
      </c>
      <c r="J1520" s="217" t="s">
        <v>1856</v>
      </c>
      <c r="K1520" s="217">
        <v>36</v>
      </c>
      <c r="L1520" s="217">
        <v>216</v>
      </c>
      <c r="M1520" s="217" t="s">
        <v>31</v>
      </c>
      <c r="N1520" s="217" t="s">
        <v>32</v>
      </c>
      <c r="O1520" s="217" t="s">
        <v>141</v>
      </c>
      <c r="P1520" s="217" t="s">
        <v>142</v>
      </c>
      <c r="Q1520" s="217" t="s">
        <v>143</v>
      </c>
      <c r="R1520" s="217" t="s">
        <v>142</v>
      </c>
      <c r="S1520" s="217" t="s">
        <v>619</v>
      </c>
      <c r="T1520" s="217" t="s">
        <v>32</v>
      </c>
      <c r="U1520" s="217" t="s">
        <v>32</v>
      </c>
      <c r="V1520" s="217" t="s">
        <v>32</v>
      </c>
      <c r="W1520" s="217" t="s">
        <v>32</v>
      </c>
    </row>
    <row r="1521" spans="1:23" x14ac:dyDescent="0.25">
      <c r="A1521" s="217" t="s">
        <v>22</v>
      </c>
      <c r="B1521" s="217" t="s">
        <v>23</v>
      </c>
      <c r="C1521" s="217" t="s">
        <v>85</v>
      </c>
      <c r="D1521" s="217" t="s">
        <v>84</v>
      </c>
      <c r="E1521" s="217" t="s">
        <v>175</v>
      </c>
      <c r="F1521" s="217" t="s">
        <v>174</v>
      </c>
      <c r="G1521" s="217" t="s">
        <v>179</v>
      </c>
      <c r="H1521" s="217" t="s">
        <v>1312</v>
      </c>
      <c r="I1521" s="217" t="s">
        <v>616</v>
      </c>
      <c r="J1521" s="217" t="s">
        <v>1857</v>
      </c>
      <c r="K1521" s="217">
        <v>26</v>
      </c>
      <c r="L1521" s="217">
        <v>131</v>
      </c>
      <c r="M1521" s="217" t="s">
        <v>31</v>
      </c>
      <c r="N1521" s="217" t="s">
        <v>32</v>
      </c>
      <c r="O1521" s="217" t="s">
        <v>141</v>
      </c>
      <c r="P1521" s="217" t="s">
        <v>142</v>
      </c>
      <c r="Q1521" s="217" t="s">
        <v>143</v>
      </c>
      <c r="R1521" s="217" t="s">
        <v>142</v>
      </c>
      <c r="S1521" s="217" t="s">
        <v>619</v>
      </c>
      <c r="T1521" s="217" t="s">
        <v>32</v>
      </c>
      <c r="U1521" s="217" t="s">
        <v>32</v>
      </c>
      <c r="V1521" s="217" t="s">
        <v>32</v>
      </c>
      <c r="W1521" s="217" t="s">
        <v>32</v>
      </c>
    </row>
    <row r="1522" spans="1:23" x14ac:dyDescent="0.25">
      <c r="A1522" s="217" t="s">
        <v>22</v>
      </c>
      <c r="B1522" s="217" t="s">
        <v>23</v>
      </c>
      <c r="C1522" s="217" t="s">
        <v>85</v>
      </c>
      <c r="D1522" s="217" t="s">
        <v>84</v>
      </c>
      <c r="E1522" s="217" t="s">
        <v>175</v>
      </c>
      <c r="F1522" s="217" t="s">
        <v>174</v>
      </c>
      <c r="G1522" s="217" t="s">
        <v>636</v>
      </c>
      <c r="H1522" s="217" t="s">
        <v>1532</v>
      </c>
      <c r="I1522" s="217" t="s">
        <v>616</v>
      </c>
      <c r="J1522" s="217" t="s">
        <v>1855</v>
      </c>
      <c r="K1522" s="217">
        <v>19</v>
      </c>
      <c r="L1522" s="217">
        <v>109</v>
      </c>
      <c r="M1522" s="217" t="s">
        <v>31</v>
      </c>
      <c r="N1522" s="217" t="s">
        <v>32</v>
      </c>
      <c r="O1522" s="217" t="s">
        <v>141</v>
      </c>
      <c r="P1522" s="217" t="s">
        <v>142</v>
      </c>
      <c r="Q1522" s="217" t="s">
        <v>143</v>
      </c>
      <c r="R1522" s="217" t="s">
        <v>142</v>
      </c>
      <c r="S1522" s="217" t="s">
        <v>619</v>
      </c>
      <c r="T1522" s="217" t="s">
        <v>32</v>
      </c>
      <c r="U1522" s="217" t="s">
        <v>32</v>
      </c>
      <c r="V1522" s="217" t="s">
        <v>32</v>
      </c>
      <c r="W1522" s="217" t="s">
        <v>32</v>
      </c>
    </row>
    <row r="1523" spans="1:23" x14ac:dyDescent="0.25">
      <c r="A1523" s="217" t="s">
        <v>22</v>
      </c>
      <c r="B1523" s="217" t="s">
        <v>23</v>
      </c>
      <c r="C1523" s="217" t="s">
        <v>85</v>
      </c>
      <c r="D1523" s="217" t="s">
        <v>84</v>
      </c>
      <c r="E1523" s="217" t="s">
        <v>175</v>
      </c>
      <c r="F1523" s="217" t="s">
        <v>174</v>
      </c>
      <c r="G1523" s="217" t="s">
        <v>636</v>
      </c>
      <c r="H1523" s="217" t="s">
        <v>1532</v>
      </c>
      <c r="I1523" s="217" t="s">
        <v>616</v>
      </c>
      <c r="J1523" s="217" t="s">
        <v>1858</v>
      </c>
      <c r="K1523" s="217">
        <v>4</v>
      </c>
      <c r="L1523" s="217">
        <v>18</v>
      </c>
      <c r="M1523" s="217" t="s">
        <v>31</v>
      </c>
      <c r="N1523" s="217" t="s">
        <v>32</v>
      </c>
      <c r="O1523" s="217" t="s">
        <v>141</v>
      </c>
      <c r="P1523" s="217" t="s">
        <v>142</v>
      </c>
      <c r="Q1523" s="217" t="s">
        <v>143</v>
      </c>
      <c r="R1523" s="217" t="s">
        <v>142</v>
      </c>
      <c r="S1523" s="217" t="s">
        <v>619</v>
      </c>
      <c r="T1523" s="217" t="s">
        <v>32</v>
      </c>
      <c r="U1523" s="217" t="s">
        <v>32</v>
      </c>
      <c r="V1523" s="217" t="s">
        <v>32</v>
      </c>
      <c r="W1523" s="217" t="s">
        <v>32</v>
      </c>
    </row>
    <row r="1524" spans="1:23" x14ac:dyDescent="0.25">
      <c r="A1524" s="217" t="s">
        <v>22</v>
      </c>
      <c r="B1524" s="217" t="s">
        <v>23</v>
      </c>
      <c r="C1524" s="217" t="s">
        <v>184</v>
      </c>
      <c r="D1524" s="217" t="s">
        <v>183</v>
      </c>
      <c r="E1524" s="217" t="s">
        <v>471</v>
      </c>
      <c r="F1524" s="217" t="s">
        <v>472</v>
      </c>
      <c r="G1524" s="217" t="s">
        <v>638</v>
      </c>
      <c r="H1524" s="217" t="s">
        <v>1533</v>
      </c>
      <c r="I1524" s="217" t="s">
        <v>616</v>
      </c>
      <c r="J1524" s="217" t="s">
        <v>1856</v>
      </c>
      <c r="K1524" s="217">
        <v>5</v>
      </c>
      <c r="L1524" s="217">
        <v>31</v>
      </c>
      <c r="M1524" s="217" t="s">
        <v>637</v>
      </c>
      <c r="N1524" s="217" t="s">
        <v>2147</v>
      </c>
      <c r="O1524" s="217" t="s">
        <v>141</v>
      </c>
      <c r="P1524" s="217" t="s">
        <v>144</v>
      </c>
      <c r="Q1524" s="217" t="s">
        <v>145</v>
      </c>
      <c r="R1524" s="217" t="s">
        <v>144</v>
      </c>
      <c r="S1524" s="217" t="s">
        <v>639</v>
      </c>
      <c r="T1524" s="217" t="s">
        <v>32</v>
      </c>
      <c r="U1524" s="217" t="s">
        <v>32</v>
      </c>
      <c r="V1524" s="217" t="s">
        <v>32</v>
      </c>
      <c r="W1524" s="217" t="s">
        <v>32</v>
      </c>
    </row>
    <row r="1525" spans="1:23" x14ac:dyDescent="0.25">
      <c r="A1525" s="217" t="s">
        <v>22</v>
      </c>
      <c r="B1525" s="217" t="s">
        <v>23</v>
      </c>
      <c r="C1525" s="217" t="s">
        <v>184</v>
      </c>
      <c r="D1525" s="217" t="s">
        <v>183</v>
      </c>
      <c r="E1525" s="217" t="s">
        <v>471</v>
      </c>
      <c r="F1525" s="217" t="s">
        <v>472</v>
      </c>
      <c r="G1525" s="217" t="s">
        <v>638</v>
      </c>
      <c r="H1525" s="217" t="s">
        <v>1533</v>
      </c>
      <c r="I1525" s="217" t="s">
        <v>616</v>
      </c>
      <c r="J1525" s="217" t="s">
        <v>1858</v>
      </c>
      <c r="K1525" s="217">
        <v>4</v>
      </c>
      <c r="L1525" s="217">
        <v>20</v>
      </c>
      <c r="M1525" s="217" t="s">
        <v>31</v>
      </c>
      <c r="N1525" s="217" t="s">
        <v>32</v>
      </c>
      <c r="O1525" s="217" t="s">
        <v>141</v>
      </c>
      <c r="P1525" s="217" t="s">
        <v>142</v>
      </c>
      <c r="Q1525" s="217" t="s">
        <v>143</v>
      </c>
      <c r="R1525" s="217" t="s">
        <v>142</v>
      </c>
      <c r="S1525" s="217" t="s">
        <v>619</v>
      </c>
      <c r="T1525" s="217" t="s">
        <v>32</v>
      </c>
      <c r="U1525" s="217" t="s">
        <v>32</v>
      </c>
      <c r="V1525" s="217" t="s">
        <v>32</v>
      </c>
      <c r="W1525" s="217" t="s">
        <v>32</v>
      </c>
    </row>
    <row r="1526" spans="1:23" x14ac:dyDescent="0.25">
      <c r="A1526" s="217" t="s">
        <v>22</v>
      </c>
      <c r="B1526" s="217" t="s">
        <v>23</v>
      </c>
      <c r="C1526" s="217" t="s">
        <v>184</v>
      </c>
      <c r="D1526" s="217" t="s">
        <v>183</v>
      </c>
      <c r="E1526" s="217" t="s">
        <v>471</v>
      </c>
      <c r="F1526" s="217" t="s">
        <v>472</v>
      </c>
      <c r="G1526" s="217" t="s">
        <v>638</v>
      </c>
      <c r="H1526" s="217" t="s">
        <v>1533</v>
      </c>
      <c r="I1526" s="217" t="s">
        <v>616</v>
      </c>
      <c r="J1526" s="217" t="s">
        <v>1854</v>
      </c>
      <c r="K1526" s="217">
        <v>16</v>
      </c>
      <c r="L1526" s="217">
        <v>68</v>
      </c>
      <c r="M1526" s="217" t="s">
        <v>31</v>
      </c>
      <c r="N1526" s="217" t="s">
        <v>32</v>
      </c>
      <c r="O1526" s="217" t="s">
        <v>141</v>
      </c>
      <c r="P1526" s="217" t="s">
        <v>142</v>
      </c>
      <c r="Q1526" s="217" t="s">
        <v>143</v>
      </c>
      <c r="R1526" s="217" t="s">
        <v>142</v>
      </c>
      <c r="S1526" s="217" t="s">
        <v>1541</v>
      </c>
      <c r="T1526" s="217" t="s">
        <v>32</v>
      </c>
      <c r="U1526" s="217" t="s">
        <v>32</v>
      </c>
      <c r="V1526" s="217" t="s">
        <v>32</v>
      </c>
      <c r="W1526" s="217" t="s">
        <v>32</v>
      </c>
    </row>
    <row r="1527" spans="1:23" x14ac:dyDescent="0.25">
      <c r="A1527" s="217" t="s">
        <v>22</v>
      </c>
      <c r="B1527" s="217" t="s">
        <v>23</v>
      </c>
      <c r="C1527" s="217" t="s">
        <v>218</v>
      </c>
      <c r="D1527" s="217" t="s">
        <v>217</v>
      </c>
      <c r="E1527" s="217" t="s">
        <v>220</v>
      </c>
      <c r="F1527" s="217" t="s">
        <v>219</v>
      </c>
      <c r="G1527" s="217" t="s">
        <v>225</v>
      </c>
      <c r="H1527" s="217" t="s">
        <v>1534</v>
      </c>
      <c r="I1527" s="217" t="s">
        <v>616</v>
      </c>
      <c r="J1527" s="217" t="s">
        <v>1855</v>
      </c>
      <c r="K1527" s="217">
        <v>2</v>
      </c>
      <c r="L1527" s="217">
        <v>9</v>
      </c>
      <c r="M1527" s="217" t="s">
        <v>31</v>
      </c>
      <c r="N1527" s="217" t="s">
        <v>32</v>
      </c>
      <c r="O1527" s="217" t="s">
        <v>141</v>
      </c>
      <c r="P1527" s="217" t="s">
        <v>142</v>
      </c>
      <c r="Q1527" s="217" t="s">
        <v>143</v>
      </c>
      <c r="R1527" s="217" t="s">
        <v>142</v>
      </c>
      <c r="S1527" s="217" t="s">
        <v>642</v>
      </c>
      <c r="T1527" s="217" t="s">
        <v>32</v>
      </c>
      <c r="U1527" s="217" t="s">
        <v>32</v>
      </c>
      <c r="V1527" s="217" t="s">
        <v>32</v>
      </c>
      <c r="W1527" s="217" t="s">
        <v>32</v>
      </c>
    </row>
    <row r="1528" spans="1:23" x14ac:dyDescent="0.25">
      <c r="A1528" s="217" t="s">
        <v>22</v>
      </c>
      <c r="B1528" s="217" t="s">
        <v>23</v>
      </c>
      <c r="C1528" s="217" t="s">
        <v>218</v>
      </c>
      <c r="D1528" s="217" t="s">
        <v>217</v>
      </c>
      <c r="E1528" s="217" t="s">
        <v>497</v>
      </c>
      <c r="F1528" s="217" t="s">
        <v>498</v>
      </c>
      <c r="G1528" s="217" t="s">
        <v>640</v>
      </c>
      <c r="H1528" s="217" t="s">
        <v>1535</v>
      </c>
      <c r="I1528" s="217" t="s">
        <v>616</v>
      </c>
      <c r="J1528" s="217" t="s">
        <v>1856</v>
      </c>
      <c r="K1528" s="217">
        <v>1</v>
      </c>
      <c r="L1528" s="217">
        <v>11</v>
      </c>
      <c r="M1528" s="217" t="s">
        <v>31</v>
      </c>
      <c r="N1528" s="217" t="s">
        <v>32</v>
      </c>
      <c r="O1528" s="217" t="s">
        <v>141</v>
      </c>
      <c r="P1528" s="217" t="s">
        <v>142</v>
      </c>
      <c r="Q1528" s="217" t="s">
        <v>143</v>
      </c>
      <c r="R1528" s="217" t="s">
        <v>142</v>
      </c>
      <c r="S1528" s="217" t="s">
        <v>619</v>
      </c>
      <c r="T1528" s="217" t="s">
        <v>32</v>
      </c>
      <c r="U1528" s="217" t="s">
        <v>32</v>
      </c>
      <c r="V1528" s="217" t="s">
        <v>32</v>
      </c>
      <c r="W1528" s="217" t="s">
        <v>32</v>
      </c>
    </row>
    <row r="1529" spans="1:23" x14ac:dyDescent="0.25">
      <c r="A1529" s="217" t="s">
        <v>22</v>
      </c>
      <c r="B1529" s="217" t="s">
        <v>23</v>
      </c>
      <c r="C1529" s="217" t="s">
        <v>37</v>
      </c>
      <c r="D1529" s="217" t="s">
        <v>36</v>
      </c>
      <c r="E1529" s="217" t="s">
        <v>236</v>
      </c>
      <c r="F1529" s="217" t="s">
        <v>235</v>
      </c>
      <c r="G1529" s="217" t="s">
        <v>643</v>
      </c>
      <c r="H1529" s="217" t="s">
        <v>1536</v>
      </c>
      <c r="I1529" s="217" t="s">
        <v>616</v>
      </c>
      <c r="J1529" s="217" t="s">
        <v>1855</v>
      </c>
      <c r="K1529" s="217">
        <v>10</v>
      </c>
      <c r="L1529" s="217">
        <v>55</v>
      </c>
      <c r="M1529" s="217" t="s">
        <v>31</v>
      </c>
      <c r="N1529" s="217" t="s">
        <v>32</v>
      </c>
      <c r="O1529" s="217" t="s">
        <v>141</v>
      </c>
      <c r="P1529" s="217" t="s">
        <v>142</v>
      </c>
      <c r="Q1529" s="217" t="s">
        <v>143</v>
      </c>
      <c r="R1529" s="217" t="s">
        <v>142</v>
      </c>
      <c r="S1529" s="217" t="s">
        <v>642</v>
      </c>
      <c r="T1529" s="217" t="s">
        <v>32</v>
      </c>
      <c r="U1529" s="217" t="s">
        <v>32</v>
      </c>
      <c r="V1529" s="217" t="s">
        <v>32</v>
      </c>
      <c r="W1529" s="217" t="s">
        <v>32</v>
      </c>
    </row>
    <row r="1530" spans="1:23" x14ac:dyDescent="0.25">
      <c r="A1530" s="217" t="s">
        <v>22</v>
      </c>
      <c r="B1530" s="217" t="s">
        <v>23</v>
      </c>
      <c r="C1530" s="217" t="s">
        <v>37</v>
      </c>
      <c r="D1530" s="217" t="s">
        <v>36</v>
      </c>
      <c r="E1530" s="217" t="s">
        <v>236</v>
      </c>
      <c r="F1530" s="217" t="s">
        <v>235</v>
      </c>
      <c r="G1530" s="217" t="s">
        <v>643</v>
      </c>
      <c r="H1530" s="217" t="s">
        <v>1536</v>
      </c>
      <c r="I1530" s="217" t="s">
        <v>616</v>
      </c>
      <c r="J1530" s="217" t="s">
        <v>1856</v>
      </c>
      <c r="K1530" s="217">
        <v>6</v>
      </c>
      <c r="L1530" s="217">
        <v>35</v>
      </c>
      <c r="M1530" s="217" t="s">
        <v>31</v>
      </c>
      <c r="N1530" s="217" t="s">
        <v>32</v>
      </c>
      <c r="O1530" s="217" t="s">
        <v>141</v>
      </c>
      <c r="P1530" s="217" t="s">
        <v>142</v>
      </c>
      <c r="Q1530" s="217" t="s">
        <v>143</v>
      </c>
      <c r="R1530" s="217" t="s">
        <v>142</v>
      </c>
      <c r="S1530" s="217" t="s">
        <v>642</v>
      </c>
      <c r="T1530" s="217" t="s">
        <v>32</v>
      </c>
      <c r="U1530" s="217" t="s">
        <v>32</v>
      </c>
      <c r="V1530" s="217" t="s">
        <v>32</v>
      </c>
      <c r="W1530" s="217" t="s">
        <v>32</v>
      </c>
    </row>
    <row r="1531" spans="1:23" x14ac:dyDescent="0.25">
      <c r="A1531" s="217" t="s">
        <v>22</v>
      </c>
      <c r="B1531" s="217" t="s">
        <v>23</v>
      </c>
      <c r="C1531" s="217" t="s">
        <v>37</v>
      </c>
      <c r="D1531" s="217" t="s">
        <v>36</v>
      </c>
      <c r="E1531" s="217" t="s">
        <v>547</v>
      </c>
      <c r="F1531" s="217" t="s">
        <v>548</v>
      </c>
      <c r="G1531" s="217" t="s">
        <v>552</v>
      </c>
      <c r="H1531" s="217" t="s">
        <v>1414</v>
      </c>
      <c r="I1531" s="217" t="s">
        <v>616</v>
      </c>
      <c r="J1531" s="217" t="s">
        <v>1858</v>
      </c>
      <c r="K1531" s="217">
        <v>1</v>
      </c>
      <c r="L1531" s="217">
        <v>3</v>
      </c>
      <c r="M1531" s="217" t="s">
        <v>31</v>
      </c>
      <c r="N1531" s="217" t="s">
        <v>32</v>
      </c>
      <c r="O1531" s="217" t="s">
        <v>141</v>
      </c>
      <c r="P1531" s="217" t="s">
        <v>142</v>
      </c>
      <c r="Q1531" s="217" t="s">
        <v>143</v>
      </c>
      <c r="R1531" s="217" t="s">
        <v>142</v>
      </c>
      <c r="S1531" s="217" t="s">
        <v>619</v>
      </c>
      <c r="T1531" s="217" t="s">
        <v>32</v>
      </c>
      <c r="U1531" s="217" t="s">
        <v>32</v>
      </c>
      <c r="V1531" s="217" t="s">
        <v>32</v>
      </c>
      <c r="W1531" s="217" t="s">
        <v>32</v>
      </c>
    </row>
    <row r="1532" spans="1:23" x14ac:dyDescent="0.25">
      <c r="A1532" s="217" t="s">
        <v>22</v>
      </c>
      <c r="B1532" s="217" t="s">
        <v>23</v>
      </c>
      <c r="C1532" s="217" t="s">
        <v>37</v>
      </c>
      <c r="D1532" s="217" t="s">
        <v>36</v>
      </c>
      <c r="E1532" s="217" t="s">
        <v>547</v>
      </c>
      <c r="F1532" s="217" t="s">
        <v>548</v>
      </c>
      <c r="G1532" s="217" t="s">
        <v>561</v>
      </c>
      <c r="H1532" s="217" t="s">
        <v>1423</v>
      </c>
      <c r="I1532" s="217" t="s">
        <v>616</v>
      </c>
      <c r="J1532" s="217" t="s">
        <v>1858</v>
      </c>
      <c r="K1532" s="217">
        <v>1</v>
      </c>
      <c r="L1532" s="217">
        <v>2</v>
      </c>
      <c r="M1532" s="217" t="s">
        <v>31</v>
      </c>
      <c r="N1532" s="217" t="s">
        <v>32</v>
      </c>
      <c r="O1532" s="217" t="s">
        <v>141</v>
      </c>
      <c r="P1532" s="217" t="s">
        <v>142</v>
      </c>
      <c r="Q1532" s="217" t="s">
        <v>143</v>
      </c>
      <c r="R1532" s="217" t="s">
        <v>142</v>
      </c>
      <c r="S1532" s="217" t="s">
        <v>619</v>
      </c>
      <c r="T1532" s="217" t="s">
        <v>32</v>
      </c>
      <c r="U1532" s="217" t="s">
        <v>32</v>
      </c>
      <c r="V1532" s="217" t="s">
        <v>32</v>
      </c>
      <c r="W1532" s="217" t="s">
        <v>32</v>
      </c>
    </row>
    <row r="1533" spans="1:23" x14ac:dyDescent="0.25">
      <c r="A1533" s="217" t="s">
        <v>22</v>
      </c>
      <c r="B1533" s="217" t="s">
        <v>23</v>
      </c>
      <c r="C1533" s="217" t="s">
        <v>37</v>
      </c>
      <c r="D1533" s="217" t="s">
        <v>36</v>
      </c>
      <c r="E1533" s="217" t="s">
        <v>547</v>
      </c>
      <c r="F1533" s="217" t="s">
        <v>548</v>
      </c>
      <c r="G1533" s="217" t="s">
        <v>565</v>
      </c>
      <c r="H1533" s="217" t="s">
        <v>1427</v>
      </c>
      <c r="I1533" s="217" t="s">
        <v>616</v>
      </c>
      <c r="J1533" s="217" t="s">
        <v>1858</v>
      </c>
      <c r="K1533" s="217">
        <v>3</v>
      </c>
      <c r="L1533" s="217">
        <v>11</v>
      </c>
      <c r="M1533" s="217" t="s">
        <v>31</v>
      </c>
      <c r="N1533" s="217" t="s">
        <v>32</v>
      </c>
      <c r="O1533" s="217" t="s">
        <v>141</v>
      </c>
      <c r="P1533" s="217" t="s">
        <v>142</v>
      </c>
      <c r="Q1533" s="217" t="s">
        <v>143</v>
      </c>
      <c r="R1533" s="217" t="s">
        <v>142</v>
      </c>
      <c r="S1533" s="217" t="s">
        <v>2054</v>
      </c>
      <c r="T1533" s="217" t="s">
        <v>32</v>
      </c>
      <c r="U1533" s="217" t="s">
        <v>32</v>
      </c>
      <c r="V1533" s="217" t="s">
        <v>32</v>
      </c>
      <c r="W1533" s="217" t="s">
        <v>32</v>
      </c>
    </row>
    <row r="1534" spans="1:23" x14ac:dyDescent="0.25">
      <c r="A1534" s="217" t="s">
        <v>22</v>
      </c>
      <c r="B1534" s="217" t="s">
        <v>23</v>
      </c>
      <c r="C1534" s="217" t="s">
        <v>37</v>
      </c>
      <c r="D1534" s="217" t="s">
        <v>36</v>
      </c>
      <c r="E1534" s="217" t="s">
        <v>547</v>
      </c>
      <c r="F1534" s="217" t="s">
        <v>548</v>
      </c>
      <c r="G1534" s="217" t="s">
        <v>566</v>
      </c>
      <c r="H1534" s="217" t="s">
        <v>1429</v>
      </c>
      <c r="I1534" s="217" t="s">
        <v>616</v>
      </c>
      <c r="J1534" s="217" t="s">
        <v>1858</v>
      </c>
      <c r="K1534" s="217">
        <v>2</v>
      </c>
      <c r="L1534" s="217">
        <v>7</v>
      </c>
      <c r="M1534" s="217" t="s">
        <v>31</v>
      </c>
      <c r="N1534" s="217" t="s">
        <v>32</v>
      </c>
      <c r="O1534" s="217" t="s">
        <v>141</v>
      </c>
      <c r="P1534" s="217" t="s">
        <v>142</v>
      </c>
      <c r="Q1534" s="217" t="s">
        <v>143</v>
      </c>
      <c r="R1534" s="217" t="s">
        <v>142</v>
      </c>
      <c r="S1534" s="217" t="s">
        <v>619</v>
      </c>
      <c r="T1534" s="217" t="s">
        <v>32</v>
      </c>
      <c r="U1534" s="217" t="s">
        <v>32</v>
      </c>
      <c r="V1534" s="217" t="s">
        <v>32</v>
      </c>
      <c r="W1534" s="217" t="s">
        <v>32</v>
      </c>
    </row>
    <row r="1535" spans="1:23" x14ac:dyDescent="0.25">
      <c r="A1535" s="217" t="s">
        <v>22</v>
      </c>
      <c r="B1535" s="217" t="s">
        <v>23</v>
      </c>
      <c r="C1535" s="217" t="s">
        <v>37</v>
      </c>
      <c r="D1535" s="217" t="s">
        <v>36</v>
      </c>
      <c r="E1535" s="217" t="s">
        <v>547</v>
      </c>
      <c r="F1535" s="217" t="s">
        <v>548</v>
      </c>
      <c r="G1535" s="217" t="s">
        <v>575</v>
      </c>
      <c r="H1535" s="217" t="s">
        <v>1439</v>
      </c>
      <c r="I1535" s="217" t="s">
        <v>616</v>
      </c>
      <c r="J1535" s="217" t="s">
        <v>1858</v>
      </c>
      <c r="K1535" s="217">
        <v>2</v>
      </c>
      <c r="L1535" s="217">
        <v>4</v>
      </c>
      <c r="M1535" s="217" t="s">
        <v>31</v>
      </c>
      <c r="N1535" s="217" t="s">
        <v>32</v>
      </c>
      <c r="O1535" s="217" t="s">
        <v>141</v>
      </c>
      <c r="P1535" s="217" t="s">
        <v>142</v>
      </c>
      <c r="Q1535" s="217" t="s">
        <v>143</v>
      </c>
      <c r="R1535" s="217" t="s">
        <v>142</v>
      </c>
      <c r="S1535" s="217" t="s">
        <v>619</v>
      </c>
      <c r="T1535" s="217" t="s">
        <v>32</v>
      </c>
      <c r="U1535" s="217" t="s">
        <v>32</v>
      </c>
      <c r="V1535" s="217" t="s">
        <v>32</v>
      </c>
      <c r="W1535" s="217" t="s">
        <v>32</v>
      </c>
    </row>
    <row r="1536" spans="1:23" x14ac:dyDescent="0.25">
      <c r="A1536" s="217" t="s">
        <v>22</v>
      </c>
      <c r="B1536" s="217" t="s">
        <v>23</v>
      </c>
      <c r="C1536" s="217" t="s">
        <v>37</v>
      </c>
      <c r="D1536" s="217" t="s">
        <v>36</v>
      </c>
      <c r="E1536" s="217" t="s">
        <v>547</v>
      </c>
      <c r="F1536" s="217" t="s">
        <v>548</v>
      </c>
      <c r="G1536" s="217" t="s">
        <v>576</v>
      </c>
      <c r="H1536" s="217" t="s">
        <v>1440</v>
      </c>
      <c r="I1536" s="217" t="s">
        <v>616</v>
      </c>
      <c r="J1536" s="217" t="s">
        <v>1858</v>
      </c>
      <c r="K1536" s="217">
        <v>1</v>
      </c>
      <c r="L1536" s="217">
        <v>3</v>
      </c>
      <c r="M1536" s="217" t="s">
        <v>31</v>
      </c>
      <c r="N1536" s="217" t="s">
        <v>32</v>
      </c>
      <c r="O1536" s="217" t="s">
        <v>141</v>
      </c>
      <c r="P1536" s="217" t="s">
        <v>142</v>
      </c>
      <c r="Q1536" s="217" t="s">
        <v>143</v>
      </c>
      <c r="R1536" s="217" t="s">
        <v>142</v>
      </c>
      <c r="S1536" s="217" t="s">
        <v>619</v>
      </c>
      <c r="T1536" s="217" t="s">
        <v>32</v>
      </c>
      <c r="U1536" s="217" t="s">
        <v>32</v>
      </c>
      <c r="V1536" s="217" t="s">
        <v>32</v>
      </c>
      <c r="W1536" s="217" t="s">
        <v>32</v>
      </c>
    </row>
    <row r="1537" spans="1:23" x14ac:dyDescent="0.25">
      <c r="A1537" s="217" t="s">
        <v>22</v>
      </c>
      <c r="B1537" s="217" t="s">
        <v>23</v>
      </c>
      <c r="C1537" s="217" t="s">
        <v>37</v>
      </c>
      <c r="D1537" s="217" t="s">
        <v>36</v>
      </c>
      <c r="E1537" s="217" t="s">
        <v>244</v>
      </c>
      <c r="F1537" s="217" t="s">
        <v>243</v>
      </c>
      <c r="G1537" s="217" t="s">
        <v>644</v>
      </c>
      <c r="H1537" s="217" t="s">
        <v>1537</v>
      </c>
      <c r="I1537" s="217" t="s">
        <v>616</v>
      </c>
      <c r="J1537" s="217" t="s">
        <v>1855</v>
      </c>
      <c r="K1537" s="217">
        <v>2</v>
      </c>
      <c r="L1537" s="217">
        <v>10</v>
      </c>
      <c r="M1537" s="217" t="s">
        <v>31</v>
      </c>
      <c r="N1537" s="217" t="s">
        <v>32</v>
      </c>
      <c r="O1537" s="217" t="s">
        <v>141</v>
      </c>
      <c r="P1537" s="217" t="s">
        <v>142</v>
      </c>
      <c r="Q1537" s="217" t="s">
        <v>143</v>
      </c>
      <c r="R1537" s="217" t="s">
        <v>142</v>
      </c>
      <c r="S1537" s="217" t="s">
        <v>642</v>
      </c>
      <c r="T1537" s="217" t="s">
        <v>32</v>
      </c>
      <c r="U1537" s="217" t="s">
        <v>32</v>
      </c>
      <c r="V1537" s="217" t="s">
        <v>32</v>
      </c>
      <c r="W1537" s="217" t="s">
        <v>32</v>
      </c>
    </row>
    <row r="1538" spans="1:23" x14ac:dyDescent="0.25">
      <c r="A1538" s="217" t="s">
        <v>22</v>
      </c>
      <c r="B1538" s="217" t="s">
        <v>23</v>
      </c>
      <c r="C1538" s="217" t="s">
        <v>37</v>
      </c>
      <c r="D1538" s="217" t="s">
        <v>36</v>
      </c>
      <c r="E1538" s="217" t="s">
        <v>244</v>
      </c>
      <c r="F1538" s="217" t="s">
        <v>243</v>
      </c>
      <c r="G1538" s="217" t="s">
        <v>644</v>
      </c>
      <c r="H1538" s="217" t="s">
        <v>1537</v>
      </c>
      <c r="I1538" s="217" t="s">
        <v>616</v>
      </c>
      <c r="J1538" s="217" t="s">
        <v>1856</v>
      </c>
      <c r="K1538" s="217">
        <v>4</v>
      </c>
      <c r="L1538" s="217">
        <v>25</v>
      </c>
      <c r="M1538" s="217" t="s">
        <v>31</v>
      </c>
      <c r="N1538" s="217" t="s">
        <v>32</v>
      </c>
      <c r="O1538" s="217" t="s">
        <v>141</v>
      </c>
      <c r="P1538" s="217" t="s">
        <v>142</v>
      </c>
      <c r="Q1538" s="217" t="s">
        <v>143</v>
      </c>
      <c r="R1538" s="217" t="s">
        <v>142</v>
      </c>
      <c r="S1538" s="217" t="s">
        <v>642</v>
      </c>
      <c r="T1538" s="217" t="s">
        <v>32</v>
      </c>
      <c r="U1538" s="217" t="s">
        <v>32</v>
      </c>
      <c r="V1538" s="217" t="s">
        <v>32</v>
      </c>
      <c r="W1538" s="217" t="s">
        <v>32</v>
      </c>
    </row>
    <row r="1539" spans="1:23" x14ac:dyDescent="0.25">
      <c r="A1539" s="217" t="s">
        <v>22</v>
      </c>
      <c r="B1539" s="217" t="s">
        <v>23</v>
      </c>
      <c r="C1539" s="217" t="s">
        <v>37</v>
      </c>
      <c r="D1539" s="217" t="s">
        <v>36</v>
      </c>
      <c r="E1539" s="217" t="s">
        <v>244</v>
      </c>
      <c r="F1539" s="217" t="s">
        <v>243</v>
      </c>
      <c r="G1539" s="217" t="s">
        <v>645</v>
      </c>
      <c r="H1539" s="217" t="s">
        <v>1538</v>
      </c>
      <c r="I1539" s="217" t="s">
        <v>616</v>
      </c>
      <c r="J1539" s="217" t="s">
        <v>1855</v>
      </c>
      <c r="K1539" s="217">
        <v>27</v>
      </c>
      <c r="L1539" s="217">
        <v>130</v>
      </c>
      <c r="M1539" s="217" t="s">
        <v>31</v>
      </c>
      <c r="N1539" s="217" t="s">
        <v>32</v>
      </c>
      <c r="O1539" s="217" t="s">
        <v>141</v>
      </c>
      <c r="P1539" s="217" t="s">
        <v>142</v>
      </c>
      <c r="Q1539" s="217" t="s">
        <v>143</v>
      </c>
      <c r="R1539" s="217" t="s">
        <v>142</v>
      </c>
      <c r="S1539" s="217" t="s">
        <v>642</v>
      </c>
      <c r="T1539" s="217" t="s">
        <v>32</v>
      </c>
      <c r="U1539" s="217" t="s">
        <v>32</v>
      </c>
      <c r="V1539" s="217" t="s">
        <v>32</v>
      </c>
      <c r="W1539" s="217" t="s">
        <v>32</v>
      </c>
    </row>
    <row r="1540" spans="1:23" x14ac:dyDescent="0.25">
      <c r="A1540" s="217" t="s">
        <v>22</v>
      </c>
      <c r="B1540" s="217" t="s">
        <v>23</v>
      </c>
      <c r="C1540" s="217" t="s">
        <v>37</v>
      </c>
      <c r="D1540" s="217" t="s">
        <v>36</v>
      </c>
      <c r="E1540" s="217" t="s">
        <v>244</v>
      </c>
      <c r="F1540" s="217" t="s">
        <v>243</v>
      </c>
      <c r="G1540" s="217" t="s">
        <v>645</v>
      </c>
      <c r="H1540" s="217" t="s">
        <v>1538</v>
      </c>
      <c r="I1540" s="217" t="s">
        <v>616</v>
      </c>
      <c r="J1540" s="217" t="s">
        <v>1856</v>
      </c>
      <c r="K1540" s="217">
        <v>3</v>
      </c>
      <c r="L1540" s="217">
        <v>22</v>
      </c>
      <c r="M1540" s="217" t="s">
        <v>31</v>
      </c>
      <c r="N1540" s="217" t="s">
        <v>32</v>
      </c>
      <c r="O1540" s="217" t="s">
        <v>141</v>
      </c>
      <c r="P1540" s="217" t="s">
        <v>142</v>
      </c>
      <c r="Q1540" s="217" t="s">
        <v>143</v>
      </c>
      <c r="R1540" s="217" t="s">
        <v>142</v>
      </c>
      <c r="S1540" s="217" t="s">
        <v>642</v>
      </c>
      <c r="T1540" s="217" t="s">
        <v>32</v>
      </c>
      <c r="U1540" s="217" t="s">
        <v>32</v>
      </c>
      <c r="V1540" s="217" t="s">
        <v>32</v>
      </c>
      <c r="W1540" s="217" t="s">
        <v>32</v>
      </c>
    </row>
    <row r="1541" spans="1:23" x14ac:dyDescent="0.25">
      <c r="A1541" s="217" t="s">
        <v>22</v>
      </c>
      <c r="B1541" s="217" t="s">
        <v>23</v>
      </c>
      <c r="C1541" s="217" t="s">
        <v>37</v>
      </c>
      <c r="D1541" s="217" t="s">
        <v>36</v>
      </c>
      <c r="E1541" s="217" t="s">
        <v>244</v>
      </c>
      <c r="F1541" s="217" t="s">
        <v>243</v>
      </c>
      <c r="G1541" s="217" t="s">
        <v>646</v>
      </c>
      <c r="H1541" s="217" t="s">
        <v>1539</v>
      </c>
      <c r="I1541" s="217" t="s">
        <v>616</v>
      </c>
      <c r="J1541" s="217" t="s">
        <v>1856</v>
      </c>
      <c r="K1541" s="217">
        <v>4</v>
      </c>
      <c r="L1541" s="217">
        <v>16</v>
      </c>
      <c r="M1541" s="217" t="s">
        <v>31</v>
      </c>
      <c r="N1541" s="217" t="s">
        <v>32</v>
      </c>
      <c r="O1541" s="217" t="s">
        <v>141</v>
      </c>
      <c r="P1541" s="217" t="s">
        <v>142</v>
      </c>
      <c r="Q1541" s="217" t="s">
        <v>143</v>
      </c>
      <c r="R1541" s="217" t="s">
        <v>142</v>
      </c>
      <c r="S1541" s="217" t="s">
        <v>642</v>
      </c>
      <c r="T1541" s="217" t="s">
        <v>32</v>
      </c>
      <c r="U1541" s="217" t="s">
        <v>32</v>
      </c>
      <c r="V1541" s="217" t="s">
        <v>32</v>
      </c>
      <c r="W1541" s="217" t="s">
        <v>32</v>
      </c>
    </row>
    <row r="1542" spans="1:23" x14ac:dyDescent="0.25">
      <c r="A1542" s="217" t="s">
        <v>22</v>
      </c>
      <c r="B1542" s="217" t="s">
        <v>23</v>
      </c>
      <c r="C1542" s="217" t="s">
        <v>37</v>
      </c>
      <c r="D1542" s="217" t="s">
        <v>36</v>
      </c>
      <c r="E1542" s="217" t="s">
        <v>244</v>
      </c>
      <c r="F1542" s="217" t="s">
        <v>243</v>
      </c>
      <c r="G1542" s="217" t="s">
        <v>646</v>
      </c>
      <c r="H1542" s="217" t="s">
        <v>1539</v>
      </c>
      <c r="I1542" s="217" t="s">
        <v>616</v>
      </c>
      <c r="J1542" s="217" t="s">
        <v>1857</v>
      </c>
      <c r="K1542" s="217">
        <v>1</v>
      </c>
      <c r="L1542" s="217">
        <v>4</v>
      </c>
      <c r="M1542" s="217" t="s">
        <v>31</v>
      </c>
      <c r="N1542" s="217" t="s">
        <v>32</v>
      </c>
      <c r="O1542" s="217" t="s">
        <v>141</v>
      </c>
      <c r="P1542" s="217" t="s">
        <v>142</v>
      </c>
      <c r="Q1542" s="217" t="s">
        <v>143</v>
      </c>
      <c r="R1542" s="217" t="s">
        <v>142</v>
      </c>
      <c r="S1542" s="217" t="s">
        <v>642</v>
      </c>
      <c r="T1542" s="217" t="s">
        <v>32</v>
      </c>
      <c r="U1542" s="217" t="s">
        <v>32</v>
      </c>
      <c r="V1542" s="217" t="s">
        <v>32</v>
      </c>
      <c r="W1542" s="217" t="s">
        <v>32</v>
      </c>
    </row>
    <row r="1543" spans="1:23" x14ac:dyDescent="0.25">
      <c r="A1543" s="217" t="s">
        <v>22</v>
      </c>
      <c r="B1543" s="217" t="s">
        <v>23</v>
      </c>
      <c r="C1543" s="217" t="s">
        <v>37</v>
      </c>
      <c r="D1543" s="217" t="s">
        <v>36</v>
      </c>
      <c r="E1543" s="217" t="s">
        <v>244</v>
      </c>
      <c r="F1543" s="217" t="s">
        <v>243</v>
      </c>
      <c r="G1543" s="217" t="s">
        <v>2043</v>
      </c>
      <c r="H1543" s="217" t="s">
        <v>2042</v>
      </c>
      <c r="I1543" s="217" t="s">
        <v>616</v>
      </c>
      <c r="J1543" s="217" t="s">
        <v>1857</v>
      </c>
      <c r="K1543" s="217">
        <v>2</v>
      </c>
      <c r="L1543" s="217">
        <v>8</v>
      </c>
      <c r="M1543" s="217" t="s">
        <v>31</v>
      </c>
      <c r="N1543" s="217" t="s">
        <v>32</v>
      </c>
      <c r="O1543" s="217" t="s">
        <v>141</v>
      </c>
      <c r="P1543" s="217" t="s">
        <v>142</v>
      </c>
      <c r="Q1543" s="217" t="s">
        <v>143</v>
      </c>
      <c r="R1543" s="217" t="s">
        <v>142</v>
      </c>
      <c r="S1543" s="217" t="s">
        <v>642</v>
      </c>
      <c r="T1543" s="217" t="s">
        <v>32</v>
      </c>
      <c r="U1543" s="217" t="s">
        <v>32</v>
      </c>
      <c r="V1543" s="217" t="s">
        <v>32</v>
      </c>
      <c r="W1543" s="217" t="s">
        <v>32</v>
      </c>
    </row>
    <row r="1544" spans="1:23" x14ac:dyDescent="0.25">
      <c r="A1544" s="217" t="s">
        <v>22</v>
      </c>
      <c r="B1544" s="217" t="s">
        <v>23</v>
      </c>
      <c r="C1544" s="217" t="s">
        <v>37</v>
      </c>
      <c r="D1544" s="217" t="s">
        <v>36</v>
      </c>
      <c r="E1544" s="217" t="s">
        <v>244</v>
      </c>
      <c r="F1544" s="217" t="s">
        <v>243</v>
      </c>
      <c r="G1544" s="217" t="s">
        <v>647</v>
      </c>
      <c r="H1544" s="217" t="s">
        <v>1542</v>
      </c>
      <c r="I1544" s="217" t="s">
        <v>616</v>
      </c>
      <c r="J1544" s="217" t="s">
        <v>1855</v>
      </c>
      <c r="K1544" s="217">
        <v>4</v>
      </c>
      <c r="L1544" s="217">
        <v>22</v>
      </c>
      <c r="M1544" s="217" t="s">
        <v>31</v>
      </c>
      <c r="N1544" s="217" t="s">
        <v>32</v>
      </c>
      <c r="O1544" s="217" t="s">
        <v>141</v>
      </c>
      <c r="P1544" s="217" t="s">
        <v>142</v>
      </c>
      <c r="Q1544" s="217" t="s">
        <v>143</v>
      </c>
      <c r="R1544" s="217" t="s">
        <v>142</v>
      </c>
      <c r="S1544" s="217" t="s">
        <v>642</v>
      </c>
      <c r="T1544" s="217" t="s">
        <v>32</v>
      </c>
      <c r="U1544" s="217" t="s">
        <v>32</v>
      </c>
      <c r="V1544" s="217" t="s">
        <v>32</v>
      </c>
      <c r="W1544" s="217" t="s">
        <v>32</v>
      </c>
    </row>
    <row r="1545" spans="1:23" x14ac:dyDescent="0.25">
      <c r="A1545" s="217" t="s">
        <v>22</v>
      </c>
      <c r="B1545" s="217" t="s">
        <v>23</v>
      </c>
      <c r="C1545" s="217" t="s">
        <v>37</v>
      </c>
      <c r="D1545" s="217" t="s">
        <v>36</v>
      </c>
      <c r="E1545" s="217" t="s">
        <v>244</v>
      </c>
      <c r="F1545" s="217" t="s">
        <v>243</v>
      </c>
      <c r="G1545" s="217" t="s">
        <v>647</v>
      </c>
      <c r="H1545" s="217" t="s">
        <v>1542</v>
      </c>
      <c r="I1545" s="217" t="s">
        <v>616</v>
      </c>
      <c r="J1545" s="217" t="s">
        <v>1856</v>
      </c>
      <c r="K1545" s="217">
        <v>5</v>
      </c>
      <c r="L1545" s="217">
        <v>24</v>
      </c>
      <c r="M1545" s="217" t="s">
        <v>31</v>
      </c>
      <c r="N1545" s="217" t="s">
        <v>32</v>
      </c>
      <c r="O1545" s="217" t="s">
        <v>141</v>
      </c>
      <c r="P1545" s="217" t="s">
        <v>142</v>
      </c>
      <c r="Q1545" s="217" t="s">
        <v>143</v>
      </c>
      <c r="R1545" s="217" t="s">
        <v>142</v>
      </c>
      <c r="S1545" s="217" t="s">
        <v>642</v>
      </c>
      <c r="T1545" s="217" t="s">
        <v>32</v>
      </c>
      <c r="U1545" s="217" t="s">
        <v>32</v>
      </c>
      <c r="V1545" s="217" t="s">
        <v>32</v>
      </c>
      <c r="W1545" s="217" t="s">
        <v>32</v>
      </c>
    </row>
    <row r="1546" spans="1:23" x14ac:dyDescent="0.25">
      <c r="A1546" s="217" t="s">
        <v>22</v>
      </c>
      <c r="B1546" s="217" t="s">
        <v>23</v>
      </c>
      <c r="C1546" s="217" t="s">
        <v>37</v>
      </c>
      <c r="D1546" s="217" t="s">
        <v>36</v>
      </c>
      <c r="E1546" s="217" t="s">
        <v>244</v>
      </c>
      <c r="F1546" s="217" t="s">
        <v>243</v>
      </c>
      <c r="G1546" s="217" t="s">
        <v>245</v>
      </c>
      <c r="H1546" s="217" t="s">
        <v>1543</v>
      </c>
      <c r="I1546" s="217" t="s">
        <v>616</v>
      </c>
      <c r="J1546" s="217" t="s">
        <v>1855</v>
      </c>
      <c r="K1546" s="217">
        <v>16</v>
      </c>
      <c r="L1546" s="217">
        <v>137</v>
      </c>
      <c r="M1546" s="217" t="s">
        <v>31</v>
      </c>
      <c r="N1546" s="217" t="s">
        <v>32</v>
      </c>
      <c r="O1546" s="217" t="s">
        <v>141</v>
      </c>
      <c r="P1546" s="217" t="s">
        <v>142</v>
      </c>
      <c r="Q1546" s="217" t="s">
        <v>143</v>
      </c>
      <c r="R1546" s="217" t="s">
        <v>142</v>
      </c>
      <c r="S1546" s="217" t="s">
        <v>642</v>
      </c>
      <c r="T1546" s="217" t="s">
        <v>32</v>
      </c>
      <c r="U1546" s="217" t="s">
        <v>32</v>
      </c>
      <c r="V1546" s="217" t="s">
        <v>32</v>
      </c>
      <c r="W1546" s="217" t="s">
        <v>32</v>
      </c>
    </row>
    <row r="1547" spans="1:23" x14ac:dyDescent="0.25">
      <c r="A1547" s="217" t="s">
        <v>22</v>
      </c>
      <c r="B1547" s="217" t="s">
        <v>23</v>
      </c>
      <c r="C1547" s="217" t="s">
        <v>37</v>
      </c>
      <c r="D1547" s="217" t="s">
        <v>36</v>
      </c>
      <c r="E1547" s="217" t="s">
        <v>244</v>
      </c>
      <c r="F1547" s="217" t="s">
        <v>243</v>
      </c>
      <c r="G1547" s="217" t="s">
        <v>245</v>
      </c>
      <c r="H1547" s="217" t="s">
        <v>1543</v>
      </c>
      <c r="I1547" s="217" t="s">
        <v>616</v>
      </c>
      <c r="J1547" s="217" t="s">
        <v>1856</v>
      </c>
      <c r="K1547" s="217">
        <v>12</v>
      </c>
      <c r="L1547" s="217">
        <v>129</v>
      </c>
      <c r="M1547" s="217" t="s">
        <v>31</v>
      </c>
      <c r="N1547" s="217" t="s">
        <v>32</v>
      </c>
      <c r="O1547" s="217" t="s">
        <v>141</v>
      </c>
      <c r="P1547" s="217" t="s">
        <v>142</v>
      </c>
      <c r="Q1547" s="217" t="s">
        <v>143</v>
      </c>
      <c r="R1547" s="217" t="s">
        <v>142</v>
      </c>
      <c r="S1547" s="217" t="s">
        <v>642</v>
      </c>
      <c r="T1547" s="217" t="s">
        <v>32</v>
      </c>
      <c r="U1547" s="217" t="s">
        <v>32</v>
      </c>
      <c r="V1547" s="217" t="s">
        <v>32</v>
      </c>
      <c r="W1547" s="217" t="s">
        <v>32</v>
      </c>
    </row>
    <row r="1548" spans="1:23" x14ac:dyDescent="0.25">
      <c r="A1548" s="217" t="s">
        <v>22</v>
      </c>
      <c r="B1548" s="217" t="s">
        <v>23</v>
      </c>
      <c r="C1548" s="217" t="s">
        <v>37</v>
      </c>
      <c r="D1548" s="217" t="s">
        <v>36</v>
      </c>
      <c r="E1548" s="217" t="s">
        <v>244</v>
      </c>
      <c r="F1548" s="217" t="s">
        <v>243</v>
      </c>
      <c r="G1548" s="217" t="s">
        <v>245</v>
      </c>
      <c r="H1548" s="217" t="s">
        <v>1543</v>
      </c>
      <c r="I1548" s="217" t="s">
        <v>616</v>
      </c>
      <c r="J1548" s="217" t="s">
        <v>1857</v>
      </c>
      <c r="K1548" s="217">
        <v>2</v>
      </c>
      <c r="L1548" s="217">
        <v>4</v>
      </c>
      <c r="M1548" s="217" t="s">
        <v>31</v>
      </c>
      <c r="N1548" s="217" t="s">
        <v>32</v>
      </c>
      <c r="O1548" s="217" t="s">
        <v>141</v>
      </c>
      <c r="P1548" s="217" t="s">
        <v>142</v>
      </c>
      <c r="Q1548" s="217" t="s">
        <v>143</v>
      </c>
      <c r="R1548" s="217" t="s">
        <v>142</v>
      </c>
      <c r="S1548" s="217" t="s">
        <v>642</v>
      </c>
      <c r="T1548" s="217" t="s">
        <v>32</v>
      </c>
      <c r="U1548" s="217" t="s">
        <v>32</v>
      </c>
      <c r="V1548" s="217" t="s">
        <v>32</v>
      </c>
      <c r="W1548" s="217" t="s">
        <v>32</v>
      </c>
    </row>
    <row r="1549" spans="1:23" x14ac:dyDescent="0.25">
      <c r="A1549" s="217" t="s">
        <v>22</v>
      </c>
      <c r="B1549" s="217" t="s">
        <v>23</v>
      </c>
      <c r="C1549" s="217" t="s">
        <v>37</v>
      </c>
      <c r="D1549" s="217" t="s">
        <v>36</v>
      </c>
      <c r="E1549" s="217" t="s">
        <v>244</v>
      </c>
      <c r="F1549" s="217" t="s">
        <v>243</v>
      </c>
      <c r="G1549" s="217" t="s">
        <v>648</v>
      </c>
      <c r="H1549" s="217" t="s">
        <v>1544</v>
      </c>
      <c r="I1549" s="217" t="s">
        <v>616</v>
      </c>
      <c r="J1549" s="217" t="s">
        <v>1855</v>
      </c>
      <c r="K1549" s="217">
        <v>6</v>
      </c>
      <c r="L1549" s="217">
        <v>30</v>
      </c>
      <c r="M1549" s="217" t="s">
        <v>31</v>
      </c>
      <c r="N1549" s="217" t="s">
        <v>32</v>
      </c>
      <c r="O1549" s="217" t="s">
        <v>141</v>
      </c>
      <c r="P1549" s="217" t="s">
        <v>142</v>
      </c>
      <c r="Q1549" s="217" t="s">
        <v>143</v>
      </c>
      <c r="R1549" s="217" t="s">
        <v>142</v>
      </c>
      <c r="S1549" s="217" t="s">
        <v>642</v>
      </c>
      <c r="T1549" s="217" t="s">
        <v>32</v>
      </c>
      <c r="U1549" s="217" t="s">
        <v>32</v>
      </c>
      <c r="V1549" s="217" t="s">
        <v>32</v>
      </c>
      <c r="W1549" s="217" t="s">
        <v>32</v>
      </c>
    </row>
    <row r="1550" spans="1:23" x14ac:dyDescent="0.25">
      <c r="A1550" s="217" t="s">
        <v>22</v>
      </c>
      <c r="B1550" s="217" t="s">
        <v>23</v>
      </c>
      <c r="C1550" s="217" t="s">
        <v>37</v>
      </c>
      <c r="D1550" s="217" t="s">
        <v>36</v>
      </c>
      <c r="E1550" s="217" t="s">
        <v>244</v>
      </c>
      <c r="F1550" s="217" t="s">
        <v>243</v>
      </c>
      <c r="G1550" s="217" t="s">
        <v>648</v>
      </c>
      <c r="H1550" s="217" t="s">
        <v>1544</v>
      </c>
      <c r="I1550" s="217" t="s">
        <v>616</v>
      </c>
      <c r="J1550" s="217" t="s">
        <v>1856</v>
      </c>
      <c r="K1550" s="217">
        <v>3</v>
      </c>
      <c r="L1550" s="217">
        <v>12</v>
      </c>
      <c r="M1550" s="217" t="s">
        <v>31</v>
      </c>
      <c r="N1550" s="217" t="s">
        <v>32</v>
      </c>
      <c r="O1550" s="217" t="s">
        <v>141</v>
      </c>
      <c r="P1550" s="217" t="s">
        <v>142</v>
      </c>
      <c r="Q1550" s="217" t="s">
        <v>143</v>
      </c>
      <c r="R1550" s="217" t="s">
        <v>142</v>
      </c>
      <c r="S1550" s="217" t="s">
        <v>642</v>
      </c>
      <c r="T1550" s="217" t="s">
        <v>32</v>
      </c>
      <c r="U1550" s="217" t="s">
        <v>32</v>
      </c>
      <c r="V1550" s="217" t="s">
        <v>32</v>
      </c>
      <c r="W1550" s="217" t="s">
        <v>32</v>
      </c>
    </row>
    <row r="1551" spans="1:23" x14ac:dyDescent="0.25">
      <c r="A1551" s="217" t="s">
        <v>22</v>
      </c>
      <c r="B1551" s="217" t="s">
        <v>23</v>
      </c>
      <c r="C1551" s="217" t="s">
        <v>37</v>
      </c>
      <c r="D1551" s="217" t="s">
        <v>36</v>
      </c>
      <c r="E1551" s="217" t="s">
        <v>244</v>
      </c>
      <c r="F1551" s="217" t="s">
        <v>243</v>
      </c>
      <c r="G1551" s="217" t="s">
        <v>649</v>
      </c>
      <c r="H1551" s="217" t="s">
        <v>1545</v>
      </c>
      <c r="I1551" s="217" t="s">
        <v>616</v>
      </c>
      <c r="J1551" s="217" t="s">
        <v>1855</v>
      </c>
      <c r="K1551" s="217">
        <v>10</v>
      </c>
      <c r="L1551" s="217">
        <v>82</v>
      </c>
      <c r="M1551" s="217" t="s">
        <v>31</v>
      </c>
      <c r="N1551" s="217" t="s">
        <v>32</v>
      </c>
      <c r="O1551" s="217" t="s">
        <v>141</v>
      </c>
      <c r="P1551" s="217" t="s">
        <v>142</v>
      </c>
      <c r="Q1551" s="217" t="s">
        <v>143</v>
      </c>
      <c r="R1551" s="217" t="s">
        <v>142</v>
      </c>
      <c r="S1551" s="217" t="s">
        <v>642</v>
      </c>
      <c r="T1551" s="217" t="s">
        <v>32</v>
      </c>
      <c r="U1551" s="217" t="s">
        <v>32</v>
      </c>
      <c r="V1551" s="217" t="s">
        <v>32</v>
      </c>
      <c r="W1551" s="217" t="s">
        <v>32</v>
      </c>
    </row>
    <row r="1552" spans="1:23" x14ac:dyDescent="0.25">
      <c r="A1552" s="217" t="s">
        <v>22</v>
      </c>
      <c r="B1552" s="217" t="s">
        <v>23</v>
      </c>
      <c r="C1552" s="217" t="s">
        <v>37</v>
      </c>
      <c r="D1552" s="217" t="s">
        <v>36</v>
      </c>
      <c r="E1552" s="217" t="s">
        <v>244</v>
      </c>
      <c r="F1552" s="217" t="s">
        <v>243</v>
      </c>
      <c r="G1552" s="217" t="s">
        <v>649</v>
      </c>
      <c r="H1552" s="217" t="s">
        <v>1545</v>
      </c>
      <c r="I1552" s="217" t="s">
        <v>616</v>
      </c>
      <c r="J1552" s="217" t="s">
        <v>1856</v>
      </c>
      <c r="K1552" s="217">
        <v>5</v>
      </c>
      <c r="L1552" s="217">
        <v>18</v>
      </c>
      <c r="M1552" s="217" t="s">
        <v>31</v>
      </c>
      <c r="N1552" s="217" t="s">
        <v>32</v>
      </c>
      <c r="O1552" s="217" t="s">
        <v>141</v>
      </c>
      <c r="P1552" s="217" t="s">
        <v>142</v>
      </c>
      <c r="Q1552" s="217" t="s">
        <v>143</v>
      </c>
      <c r="R1552" s="217" t="s">
        <v>142</v>
      </c>
      <c r="S1552" s="217" t="s">
        <v>642</v>
      </c>
      <c r="T1552" s="217" t="s">
        <v>32</v>
      </c>
      <c r="U1552" s="217" t="s">
        <v>32</v>
      </c>
      <c r="V1552" s="217" t="s">
        <v>32</v>
      </c>
      <c r="W1552" s="217" t="s">
        <v>32</v>
      </c>
    </row>
    <row r="1553" spans="1:23" x14ac:dyDescent="0.25">
      <c r="A1553" s="217" t="s">
        <v>22</v>
      </c>
      <c r="B1553" s="217" t="s">
        <v>23</v>
      </c>
      <c r="C1553" s="217" t="s">
        <v>37</v>
      </c>
      <c r="D1553" s="217" t="s">
        <v>36</v>
      </c>
      <c r="E1553" s="217" t="s">
        <v>244</v>
      </c>
      <c r="F1553" s="217" t="s">
        <v>243</v>
      </c>
      <c r="G1553" s="217" t="s">
        <v>650</v>
      </c>
      <c r="H1553" s="217" t="s">
        <v>1546</v>
      </c>
      <c r="I1553" s="217" t="s">
        <v>616</v>
      </c>
      <c r="J1553" s="217" t="s">
        <v>1855</v>
      </c>
      <c r="K1553" s="217">
        <v>12</v>
      </c>
      <c r="L1553" s="217">
        <v>58</v>
      </c>
      <c r="M1553" s="217" t="s">
        <v>31</v>
      </c>
      <c r="N1553" s="217" t="s">
        <v>32</v>
      </c>
      <c r="O1553" s="217" t="s">
        <v>141</v>
      </c>
      <c r="P1553" s="217" t="s">
        <v>142</v>
      </c>
      <c r="Q1553" s="217" t="s">
        <v>143</v>
      </c>
      <c r="R1553" s="217" t="s">
        <v>142</v>
      </c>
      <c r="S1553" s="217" t="s">
        <v>642</v>
      </c>
      <c r="T1553" s="217" t="s">
        <v>32</v>
      </c>
      <c r="U1553" s="217" t="s">
        <v>32</v>
      </c>
      <c r="V1553" s="217" t="s">
        <v>32</v>
      </c>
      <c r="W1553" s="217" t="s">
        <v>32</v>
      </c>
    </row>
    <row r="1554" spans="1:23" x14ac:dyDescent="0.25">
      <c r="A1554" s="217" t="s">
        <v>22</v>
      </c>
      <c r="B1554" s="217" t="s">
        <v>23</v>
      </c>
      <c r="C1554" s="217" t="s">
        <v>37</v>
      </c>
      <c r="D1554" s="217" t="s">
        <v>36</v>
      </c>
      <c r="E1554" s="217" t="s">
        <v>244</v>
      </c>
      <c r="F1554" s="217" t="s">
        <v>243</v>
      </c>
      <c r="G1554" s="217" t="s">
        <v>650</v>
      </c>
      <c r="H1554" s="217" t="s">
        <v>1546</v>
      </c>
      <c r="I1554" s="217" t="s">
        <v>616</v>
      </c>
      <c r="J1554" s="217" t="s">
        <v>1856</v>
      </c>
      <c r="K1554" s="217">
        <v>8</v>
      </c>
      <c r="L1554" s="217">
        <v>37</v>
      </c>
      <c r="M1554" s="217" t="s">
        <v>31</v>
      </c>
      <c r="N1554" s="217" t="s">
        <v>32</v>
      </c>
      <c r="O1554" s="217" t="s">
        <v>141</v>
      </c>
      <c r="P1554" s="217" t="s">
        <v>142</v>
      </c>
      <c r="Q1554" s="217" t="s">
        <v>143</v>
      </c>
      <c r="R1554" s="217" t="s">
        <v>142</v>
      </c>
      <c r="S1554" s="217" t="s">
        <v>642</v>
      </c>
      <c r="T1554" s="217" t="s">
        <v>32</v>
      </c>
      <c r="U1554" s="217" t="s">
        <v>32</v>
      </c>
      <c r="V1554" s="217" t="s">
        <v>32</v>
      </c>
      <c r="W1554" s="217" t="s">
        <v>32</v>
      </c>
    </row>
    <row r="1555" spans="1:23" x14ac:dyDescent="0.25">
      <c r="A1555" s="217" t="s">
        <v>22</v>
      </c>
      <c r="B1555" s="217" t="s">
        <v>23</v>
      </c>
      <c r="C1555" s="217" t="s">
        <v>37</v>
      </c>
      <c r="D1555" s="217" t="s">
        <v>36</v>
      </c>
      <c r="E1555" s="217" t="s">
        <v>244</v>
      </c>
      <c r="F1555" s="217" t="s">
        <v>243</v>
      </c>
      <c r="G1555" s="217" t="s">
        <v>650</v>
      </c>
      <c r="H1555" s="217" t="s">
        <v>1546</v>
      </c>
      <c r="I1555" s="217" t="s">
        <v>616</v>
      </c>
      <c r="J1555" s="217" t="s">
        <v>1857</v>
      </c>
      <c r="K1555" s="217">
        <v>2</v>
      </c>
      <c r="L1555" s="217">
        <v>8</v>
      </c>
      <c r="M1555" s="217" t="s">
        <v>31</v>
      </c>
      <c r="N1555" s="217" t="s">
        <v>32</v>
      </c>
      <c r="O1555" s="217" t="s">
        <v>141</v>
      </c>
      <c r="P1555" s="217" t="s">
        <v>142</v>
      </c>
      <c r="Q1555" s="217" t="s">
        <v>143</v>
      </c>
      <c r="R1555" s="217" t="s">
        <v>142</v>
      </c>
      <c r="S1555" s="217" t="s">
        <v>642</v>
      </c>
      <c r="T1555" s="217" t="s">
        <v>32</v>
      </c>
      <c r="U1555" s="217" t="s">
        <v>32</v>
      </c>
      <c r="V1555" s="217" t="s">
        <v>32</v>
      </c>
      <c r="W1555" s="217" t="s">
        <v>32</v>
      </c>
    </row>
    <row r="1556" spans="1:23" x14ac:dyDescent="0.25">
      <c r="A1556" s="217" t="s">
        <v>22</v>
      </c>
      <c r="B1556" s="217" t="s">
        <v>23</v>
      </c>
      <c r="C1556" s="217" t="s">
        <v>37</v>
      </c>
      <c r="D1556" s="217" t="s">
        <v>36</v>
      </c>
      <c r="E1556" s="217" t="s">
        <v>244</v>
      </c>
      <c r="F1556" s="217" t="s">
        <v>243</v>
      </c>
      <c r="G1556" s="217" t="s">
        <v>651</v>
      </c>
      <c r="H1556" s="217" t="s">
        <v>1547</v>
      </c>
      <c r="I1556" s="217" t="s">
        <v>616</v>
      </c>
      <c r="J1556" s="217" t="s">
        <v>1855</v>
      </c>
      <c r="K1556" s="217">
        <v>19</v>
      </c>
      <c r="L1556" s="217">
        <v>46</v>
      </c>
      <c r="M1556" s="217" t="s">
        <v>31</v>
      </c>
      <c r="N1556" s="217" t="s">
        <v>32</v>
      </c>
      <c r="O1556" s="217" t="s">
        <v>141</v>
      </c>
      <c r="P1556" s="217" t="s">
        <v>142</v>
      </c>
      <c r="Q1556" s="217" t="s">
        <v>143</v>
      </c>
      <c r="R1556" s="217" t="s">
        <v>142</v>
      </c>
      <c r="S1556" s="217" t="s">
        <v>642</v>
      </c>
      <c r="T1556" s="217" t="s">
        <v>32</v>
      </c>
      <c r="U1556" s="217" t="s">
        <v>32</v>
      </c>
      <c r="V1556" s="217" t="s">
        <v>32</v>
      </c>
      <c r="W1556" s="217" t="s">
        <v>32</v>
      </c>
    </row>
    <row r="1557" spans="1:23" x14ac:dyDescent="0.25">
      <c r="A1557" s="217" t="s">
        <v>22</v>
      </c>
      <c r="B1557" s="217" t="s">
        <v>23</v>
      </c>
      <c r="C1557" s="217" t="s">
        <v>37</v>
      </c>
      <c r="D1557" s="217" t="s">
        <v>36</v>
      </c>
      <c r="E1557" s="217" t="s">
        <v>244</v>
      </c>
      <c r="F1557" s="217" t="s">
        <v>243</v>
      </c>
      <c r="G1557" s="217" t="s">
        <v>651</v>
      </c>
      <c r="H1557" s="217" t="s">
        <v>1547</v>
      </c>
      <c r="I1557" s="217" t="s">
        <v>616</v>
      </c>
      <c r="J1557" s="217" t="s">
        <v>1856</v>
      </c>
      <c r="K1557" s="217">
        <v>7</v>
      </c>
      <c r="L1557" s="217">
        <v>29</v>
      </c>
      <c r="M1557" s="217" t="s">
        <v>31</v>
      </c>
      <c r="N1557" s="217" t="s">
        <v>32</v>
      </c>
      <c r="O1557" s="217" t="s">
        <v>141</v>
      </c>
      <c r="P1557" s="217" t="s">
        <v>142</v>
      </c>
      <c r="Q1557" s="217" t="s">
        <v>143</v>
      </c>
      <c r="R1557" s="217" t="s">
        <v>142</v>
      </c>
      <c r="S1557" s="217" t="s">
        <v>642</v>
      </c>
      <c r="T1557" s="217" t="s">
        <v>32</v>
      </c>
      <c r="U1557" s="217" t="s">
        <v>32</v>
      </c>
      <c r="V1557" s="217" t="s">
        <v>32</v>
      </c>
      <c r="W1557" s="217" t="s">
        <v>32</v>
      </c>
    </row>
    <row r="1558" spans="1:23" x14ac:dyDescent="0.25">
      <c r="A1558" s="217" t="s">
        <v>22</v>
      </c>
      <c r="B1558" s="217" t="s">
        <v>23</v>
      </c>
      <c r="C1558" s="217" t="s">
        <v>37</v>
      </c>
      <c r="D1558" s="217" t="s">
        <v>36</v>
      </c>
      <c r="E1558" s="217" t="s">
        <v>244</v>
      </c>
      <c r="F1558" s="217" t="s">
        <v>243</v>
      </c>
      <c r="G1558" s="217" t="s">
        <v>651</v>
      </c>
      <c r="H1558" s="217" t="s">
        <v>1547</v>
      </c>
      <c r="I1558" s="217" t="s">
        <v>616</v>
      </c>
      <c r="J1558" s="217" t="s">
        <v>1857</v>
      </c>
      <c r="K1558" s="217">
        <v>4</v>
      </c>
      <c r="L1558" s="217">
        <v>12</v>
      </c>
      <c r="M1558" s="217" t="s">
        <v>31</v>
      </c>
      <c r="N1558" s="217" t="s">
        <v>32</v>
      </c>
      <c r="O1558" s="217" t="s">
        <v>141</v>
      </c>
      <c r="P1558" s="217" t="s">
        <v>142</v>
      </c>
      <c r="Q1558" s="217" t="s">
        <v>143</v>
      </c>
      <c r="R1558" s="217" t="s">
        <v>142</v>
      </c>
      <c r="S1558" s="217" t="s">
        <v>642</v>
      </c>
      <c r="T1558" s="217" t="s">
        <v>32</v>
      </c>
      <c r="U1558" s="217" t="s">
        <v>32</v>
      </c>
      <c r="V1558" s="217" t="s">
        <v>32</v>
      </c>
      <c r="W1558" s="217" t="s">
        <v>32</v>
      </c>
    </row>
    <row r="1559" spans="1:23" x14ac:dyDescent="0.25">
      <c r="A1559" s="217" t="s">
        <v>22</v>
      </c>
      <c r="B1559" s="217" t="s">
        <v>23</v>
      </c>
      <c r="C1559" s="217" t="s">
        <v>37</v>
      </c>
      <c r="D1559" s="217" t="s">
        <v>36</v>
      </c>
      <c r="E1559" s="217" t="s">
        <v>244</v>
      </c>
      <c r="F1559" s="217" t="s">
        <v>243</v>
      </c>
      <c r="G1559" s="217" t="s">
        <v>652</v>
      </c>
      <c r="H1559" s="217" t="s">
        <v>1548</v>
      </c>
      <c r="I1559" s="217" t="s">
        <v>616</v>
      </c>
      <c r="J1559" s="217" t="s">
        <v>1855</v>
      </c>
      <c r="K1559" s="217">
        <v>20</v>
      </c>
      <c r="L1559" s="217">
        <v>100</v>
      </c>
      <c r="M1559" s="217" t="s">
        <v>31</v>
      </c>
      <c r="N1559" s="217" t="s">
        <v>32</v>
      </c>
      <c r="O1559" s="217" t="s">
        <v>141</v>
      </c>
      <c r="P1559" s="217" t="s">
        <v>142</v>
      </c>
      <c r="Q1559" s="217" t="s">
        <v>143</v>
      </c>
      <c r="R1559" s="217" t="s">
        <v>142</v>
      </c>
      <c r="S1559" s="217" t="s">
        <v>642</v>
      </c>
      <c r="T1559" s="217" t="s">
        <v>32</v>
      </c>
      <c r="U1559" s="217" t="s">
        <v>32</v>
      </c>
      <c r="V1559" s="217" t="s">
        <v>32</v>
      </c>
      <c r="W1559" s="217" t="s">
        <v>32</v>
      </c>
    </row>
    <row r="1560" spans="1:23" x14ac:dyDescent="0.25">
      <c r="A1560" s="217" t="s">
        <v>22</v>
      </c>
      <c r="B1560" s="217" t="s">
        <v>23</v>
      </c>
      <c r="C1560" s="217" t="s">
        <v>37</v>
      </c>
      <c r="D1560" s="217" t="s">
        <v>36</v>
      </c>
      <c r="E1560" s="217" t="s">
        <v>244</v>
      </c>
      <c r="F1560" s="217" t="s">
        <v>243</v>
      </c>
      <c r="G1560" s="217" t="s">
        <v>652</v>
      </c>
      <c r="H1560" s="217" t="s">
        <v>1548</v>
      </c>
      <c r="I1560" s="217" t="s">
        <v>616</v>
      </c>
      <c r="J1560" s="217" t="s">
        <v>1856</v>
      </c>
      <c r="K1560" s="217">
        <v>10</v>
      </c>
      <c r="L1560" s="217">
        <v>61</v>
      </c>
      <c r="M1560" s="217" t="s">
        <v>31</v>
      </c>
      <c r="N1560" s="217" t="s">
        <v>32</v>
      </c>
      <c r="O1560" s="217" t="s">
        <v>141</v>
      </c>
      <c r="P1560" s="217" t="s">
        <v>142</v>
      </c>
      <c r="Q1560" s="217" t="s">
        <v>143</v>
      </c>
      <c r="R1560" s="217" t="s">
        <v>142</v>
      </c>
      <c r="S1560" s="217" t="s">
        <v>642</v>
      </c>
      <c r="T1560" s="217" t="s">
        <v>32</v>
      </c>
      <c r="U1560" s="217" t="s">
        <v>32</v>
      </c>
      <c r="V1560" s="217" t="s">
        <v>32</v>
      </c>
      <c r="W1560" s="217" t="s">
        <v>32</v>
      </c>
    </row>
    <row r="1561" spans="1:23" x14ac:dyDescent="0.25">
      <c r="A1561" s="217" t="s">
        <v>22</v>
      </c>
      <c r="B1561" s="217" t="s">
        <v>23</v>
      </c>
      <c r="C1561" s="217" t="s">
        <v>37</v>
      </c>
      <c r="D1561" s="217" t="s">
        <v>36</v>
      </c>
      <c r="E1561" s="217" t="s">
        <v>244</v>
      </c>
      <c r="F1561" s="217" t="s">
        <v>243</v>
      </c>
      <c r="G1561" s="217" t="s">
        <v>653</v>
      </c>
      <c r="H1561" s="217" t="s">
        <v>1549</v>
      </c>
      <c r="I1561" s="217" t="s">
        <v>616</v>
      </c>
      <c r="J1561" s="217" t="s">
        <v>1855</v>
      </c>
      <c r="K1561" s="217">
        <v>3</v>
      </c>
      <c r="L1561" s="217">
        <v>18</v>
      </c>
      <c r="M1561" s="217" t="s">
        <v>31</v>
      </c>
      <c r="N1561" s="217" t="s">
        <v>32</v>
      </c>
      <c r="O1561" s="217" t="s">
        <v>141</v>
      </c>
      <c r="P1561" s="217" t="s">
        <v>142</v>
      </c>
      <c r="Q1561" s="217" t="s">
        <v>143</v>
      </c>
      <c r="R1561" s="217" t="s">
        <v>142</v>
      </c>
      <c r="S1561" s="217" t="s">
        <v>642</v>
      </c>
      <c r="T1561" s="217" t="s">
        <v>32</v>
      </c>
      <c r="U1561" s="217" t="s">
        <v>32</v>
      </c>
      <c r="V1561" s="217" t="s">
        <v>32</v>
      </c>
      <c r="W1561" s="217" t="s">
        <v>32</v>
      </c>
    </row>
    <row r="1562" spans="1:23" x14ac:dyDescent="0.25">
      <c r="A1562" s="217" t="s">
        <v>22</v>
      </c>
      <c r="B1562" s="217" t="s">
        <v>23</v>
      </c>
      <c r="C1562" s="217" t="s">
        <v>37</v>
      </c>
      <c r="D1562" s="217" t="s">
        <v>36</v>
      </c>
      <c r="E1562" s="217" t="s">
        <v>244</v>
      </c>
      <c r="F1562" s="217" t="s">
        <v>243</v>
      </c>
      <c r="G1562" s="217" t="s">
        <v>654</v>
      </c>
      <c r="H1562" s="217" t="s">
        <v>1550</v>
      </c>
      <c r="I1562" s="217" t="s">
        <v>616</v>
      </c>
      <c r="J1562" s="217" t="s">
        <v>1855</v>
      </c>
      <c r="K1562" s="217">
        <v>5</v>
      </c>
      <c r="L1562" s="217">
        <v>35</v>
      </c>
      <c r="M1562" s="217" t="s">
        <v>31</v>
      </c>
      <c r="N1562" s="217" t="s">
        <v>32</v>
      </c>
      <c r="O1562" s="217" t="s">
        <v>141</v>
      </c>
      <c r="P1562" s="217" t="s">
        <v>142</v>
      </c>
      <c r="Q1562" s="217" t="s">
        <v>143</v>
      </c>
      <c r="R1562" s="217" t="s">
        <v>142</v>
      </c>
      <c r="S1562" s="217" t="s">
        <v>642</v>
      </c>
      <c r="T1562" s="217" t="s">
        <v>32</v>
      </c>
      <c r="U1562" s="217" t="s">
        <v>32</v>
      </c>
      <c r="V1562" s="217" t="s">
        <v>32</v>
      </c>
      <c r="W1562" s="217" t="s">
        <v>32</v>
      </c>
    </row>
    <row r="1563" spans="1:23" x14ac:dyDescent="0.25">
      <c r="A1563" s="217" t="s">
        <v>22</v>
      </c>
      <c r="B1563" s="217" t="s">
        <v>23</v>
      </c>
      <c r="C1563" s="217" t="s">
        <v>37</v>
      </c>
      <c r="D1563" s="217" t="s">
        <v>36</v>
      </c>
      <c r="E1563" s="217" t="s">
        <v>244</v>
      </c>
      <c r="F1563" s="217" t="s">
        <v>243</v>
      </c>
      <c r="G1563" s="217" t="s">
        <v>654</v>
      </c>
      <c r="H1563" s="217" t="s">
        <v>1550</v>
      </c>
      <c r="I1563" s="217" t="s">
        <v>616</v>
      </c>
      <c r="J1563" s="217" t="s">
        <v>1856</v>
      </c>
      <c r="K1563" s="217">
        <v>4</v>
      </c>
      <c r="L1563" s="217">
        <v>15</v>
      </c>
      <c r="M1563" s="217" t="s">
        <v>31</v>
      </c>
      <c r="N1563" s="217" t="s">
        <v>32</v>
      </c>
      <c r="O1563" s="217" t="s">
        <v>141</v>
      </c>
      <c r="P1563" s="217" t="s">
        <v>142</v>
      </c>
      <c r="Q1563" s="217" t="s">
        <v>143</v>
      </c>
      <c r="R1563" s="217" t="s">
        <v>142</v>
      </c>
      <c r="S1563" s="217" t="s">
        <v>642</v>
      </c>
      <c r="T1563" s="217" t="s">
        <v>32</v>
      </c>
      <c r="U1563" s="217" t="s">
        <v>32</v>
      </c>
      <c r="V1563" s="217" t="s">
        <v>32</v>
      </c>
      <c r="W1563" s="217" t="s">
        <v>32</v>
      </c>
    </row>
    <row r="1564" spans="1:23" x14ac:dyDescent="0.25">
      <c r="A1564" s="217" t="s">
        <v>22</v>
      </c>
      <c r="B1564" s="217" t="s">
        <v>23</v>
      </c>
      <c r="C1564" s="217" t="s">
        <v>37</v>
      </c>
      <c r="D1564" s="217" t="s">
        <v>36</v>
      </c>
      <c r="E1564" s="217" t="s">
        <v>244</v>
      </c>
      <c r="F1564" s="217" t="s">
        <v>243</v>
      </c>
      <c r="G1564" s="217" t="s">
        <v>654</v>
      </c>
      <c r="H1564" s="217" t="s">
        <v>1550</v>
      </c>
      <c r="I1564" s="217" t="s">
        <v>616</v>
      </c>
      <c r="J1564" s="217" t="s">
        <v>1857</v>
      </c>
      <c r="K1564" s="217">
        <v>3</v>
      </c>
      <c r="L1564" s="217">
        <v>15</v>
      </c>
      <c r="M1564" s="217" t="s">
        <v>31</v>
      </c>
      <c r="N1564" s="217" t="s">
        <v>32</v>
      </c>
      <c r="O1564" s="217" t="s">
        <v>141</v>
      </c>
      <c r="P1564" s="217" t="s">
        <v>142</v>
      </c>
      <c r="Q1564" s="217" t="s">
        <v>143</v>
      </c>
      <c r="R1564" s="217" t="s">
        <v>142</v>
      </c>
      <c r="S1564" s="217" t="s">
        <v>642</v>
      </c>
      <c r="T1564" s="217" t="s">
        <v>32</v>
      </c>
      <c r="U1564" s="217" t="s">
        <v>32</v>
      </c>
      <c r="V1564" s="217" t="s">
        <v>32</v>
      </c>
      <c r="W1564" s="217" t="s">
        <v>32</v>
      </c>
    </row>
    <row r="1565" spans="1:23" x14ac:dyDescent="0.25">
      <c r="A1565" s="217" t="s">
        <v>22</v>
      </c>
      <c r="B1565" s="217" t="s">
        <v>23</v>
      </c>
      <c r="C1565" s="217" t="s">
        <v>37</v>
      </c>
      <c r="D1565" s="217" t="s">
        <v>36</v>
      </c>
      <c r="E1565" s="217" t="s">
        <v>244</v>
      </c>
      <c r="F1565" s="217" t="s">
        <v>243</v>
      </c>
      <c r="G1565" s="217" t="s">
        <v>655</v>
      </c>
      <c r="H1565" s="217" t="s">
        <v>1551</v>
      </c>
      <c r="I1565" s="217" t="s">
        <v>616</v>
      </c>
      <c r="J1565" s="217" t="s">
        <v>1855</v>
      </c>
      <c r="K1565" s="217">
        <v>10</v>
      </c>
      <c r="L1565" s="217">
        <v>98</v>
      </c>
      <c r="M1565" s="217" t="s">
        <v>31</v>
      </c>
      <c r="N1565" s="217" t="s">
        <v>32</v>
      </c>
      <c r="O1565" s="217" t="s">
        <v>141</v>
      </c>
      <c r="P1565" s="217" t="s">
        <v>142</v>
      </c>
      <c r="Q1565" s="217" t="s">
        <v>143</v>
      </c>
      <c r="R1565" s="217" t="s">
        <v>142</v>
      </c>
      <c r="S1565" s="217" t="s">
        <v>642</v>
      </c>
      <c r="T1565" s="217" t="s">
        <v>32</v>
      </c>
      <c r="U1565" s="217" t="s">
        <v>32</v>
      </c>
      <c r="V1565" s="217" t="s">
        <v>32</v>
      </c>
      <c r="W1565" s="217" t="s">
        <v>32</v>
      </c>
    </row>
    <row r="1566" spans="1:23" x14ac:dyDescent="0.25">
      <c r="A1566" s="217" t="s">
        <v>22</v>
      </c>
      <c r="B1566" s="217" t="s">
        <v>23</v>
      </c>
      <c r="C1566" s="217" t="s">
        <v>37</v>
      </c>
      <c r="D1566" s="217" t="s">
        <v>36</v>
      </c>
      <c r="E1566" s="217" t="s">
        <v>244</v>
      </c>
      <c r="F1566" s="217" t="s">
        <v>243</v>
      </c>
      <c r="G1566" s="217" t="s">
        <v>655</v>
      </c>
      <c r="H1566" s="217" t="s">
        <v>1551</v>
      </c>
      <c r="I1566" s="217" t="s">
        <v>616</v>
      </c>
      <c r="J1566" s="217" t="s">
        <v>1856</v>
      </c>
      <c r="K1566" s="217">
        <v>10</v>
      </c>
      <c r="L1566" s="217">
        <v>84</v>
      </c>
      <c r="M1566" s="217" t="s">
        <v>31</v>
      </c>
      <c r="N1566" s="217" t="s">
        <v>32</v>
      </c>
      <c r="O1566" s="217" t="s">
        <v>141</v>
      </c>
      <c r="P1566" s="217" t="s">
        <v>142</v>
      </c>
      <c r="Q1566" s="217" t="s">
        <v>143</v>
      </c>
      <c r="R1566" s="217" t="s">
        <v>142</v>
      </c>
      <c r="S1566" s="217" t="s">
        <v>642</v>
      </c>
      <c r="T1566" s="217" t="s">
        <v>32</v>
      </c>
      <c r="U1566" s="217" t="s">
        <v>32</v>
      </c>
      <c r="V1566" s="217" t="s">
        <v>32</v>
      </c>
      <c r="W1566" s="217" t="s">
        <v>32</v>
      </c>
    </row>
    <row r="1567" spans="1:23" x14ac:dyDescent="0.25">
      <c r="A1567" s="217" t="s">
        <v>22</v>
      </c>
      <c r="B1567" s="217" t="s">
        <v>23</v>
      </c>
      <c r="C1567" s="217" t="s">
        <v>37</v>
      </c>
      <c r="D1567" s="217" t="s">
        <v>36</v>
      </c>
      <c r="E1567" s="217" t="s">
        <v>244</v>
      </c>
      <c r="F1567" s="217" t="s">
        <v>243</v>
      </c>
      <c r="G1567" s="217" t="s">
        <v>655</v>
      </c>
      <c r="H1567" s="217" t="s">
        <v>1551</v>
      </c>
      <c r="I1567" s="217" t="s">
        <v>616</v>
      </c>
      <c r="J1567" s="217" t="s">
        <v>1857</v>
      </c>
      <c r="K1567" s="217">
        <v>5</v>
      </c>
      <c r="L1567" s="217">
        <v>20</v>
      </c>
      <c r="M1567" s="217" t="s">
        <v>31</v>
      </c>
      <c r="N1567" s="217" t="s">
        <v>32</v>
      </c>
      <c r="O1567" s="217" t="s">
        <v>141</v>
      </c>
      <c r="P1567" s="217" t="s">
        <v>142</v>
      </c>
      <c r="Q1567" s="217" t="s">
        <v>143</v>
      </c>
      <c r="R1567" s="217" t="s">
        <v>142</v>
      </c>
      <c r="S1567" s="217" t="s">
        <v>642</v>
      </c>
      <c r="T1567" s="217" t="s">
        <v>32</v>
      </c>
      <c r="U1567" s="217" t="s">
        <v>32</v>
      </c>
      <c r="V1567" s="217" t="s">
        <v>32</v>
      </c>
      <c r="W1567" s="217" t="s">
        <v>32</v>
      </c>
    </row>
    <row r="1568" spans="1:23" x14ac:dyDescent="0.25">
      <c r="A1568" s="217" t="s">
        <v>22</v>
      </c>
      <c r="B1568" s="217" t="s">
        <v>23</v>
      </c>
      <c r="C1568" s="217" t="s">
        <v>37</v>
      </c>
      <c r="D1568" s="217" t="s">
        <v>36</v>
      </c>
      <c r="E1568" s="217" t="s">
        <v>247</v>
      </c>
      <c r="F1568" s="217" t="s">
        <v>246</v>
      </c>
      <c r="G1568" s="217" t="s">
        <v>580</v>
      </c>
      <c r="H1568" s="217" t="s">
        <v>1444</v>
      </c>
      <c r="I1568" s="217" t="s">
        <v>616</v>
      </c>
      <c r="J1568" s="217" t="s">
        <v>1858</v>
      </c>
      <c r="K1568" s="217">
        <v>32</v>
      </c>
      <c r="L1568" s="217">
        <v>160</v>
      </c>
      <c r="M1568" s="217" t="s">
        <v>31</v>
      </c>
      <c r="N1568" s="217" t="s">
        <v>32</v>
      </c>
      <c r="O1568" s="217" t="s">
        <v>141</v>
      </c>
      <c r="P1568" s="217" t="s">
        <v>142</v>
      </c>
      <c r="Q1568" s="217" t="s">
        <v>143</v>
      </c>
      <c r="R1568" s="217" t="s">
        <v>142</v>
      </c>
      <c r="S1568" s="217" t="s">
        <v>642</v>
      </c>
      <c r="T1568" s="217" t="s">
        <v>32</v>
      </c>
      <c r="U1568" s="217" t="s">
        <v>32</v>
      </c>
      <c r="V1568" s="217" t="s">
        <v>32</v>
      </c>
      <c r="W1568" s="217" t="s">
        <v>32</v>
      </c>
    </row>
    <row r="1569" spans="1:23" x14ac:dyDescent="0.25">
      <c r="A1569" s="217" t="s">
        <v>22</v>
      </c>
      <c r="B1569" s="217" t="s">
        <v>23</v>
      </c>
      <c r="C1569" s="217" t="s">
        <v>37</v>
      </c>
      <c r="D1569" s="217" t="s">
        <v>36</v>
      </c>
      <c r="E1569" s="217" t="s">
        <v>247</v>
      </c>
      <c r="F1569" s="217" t="s">
        <v>246</v>
      </c>
      <c r="G1569" s="217" t="s">
        <v>1973</v>
      </c>
      <c r="H1569" s="217" t="s">
        <v>1974</v>
      </c>
      <c r="I1569" s="217" t="s">
        <v>616</v>
      </c>
      <c r="J1569" s="217" t="s">
        <v>1858</v>
      </c>
      <c r="K1569" s="217">
        <v>42</v>
      </c>
      <c r="L1569" s="217">
        <v>271</v>
      </c>
      <c r="M1569" s="217" t="s">
        <v>31</v>
      </c>
      <c r="N1569" s="217" t="s">
        <v>32</v>
      </c>
      <c r="O1569" s="217" t="s">
        <v>141</v>
      </c>
      <c r="P1569" s="217" t="s">
        <v>142</v>
      </c>
      <c r="Q1569" s="217" t="s">
        <v>143</v>
      </c>
      <c r="R1569" s="217" t="s">
        <v>142</v>
      </c>
      <c r="S1569" s="217" t="s">
        <v>2056</v>
      </c>
      <c r="T1569" s="217" t="s">
        <v>32</v>
      </c>
      <c r="U1569" s="217" t="s">
        <v>32</v>
      </c>
      <c r="V1569" s="217" t="s">
        <v>32</v>
      </c>
      <c r="W1569" s="217" t="s">
        <v>32</v>
      </c>
    </row>
    <row r="1570" spans="1:23" x14ac:dyDescent="0.25">
      <c r="A1570" s="217" t="s">
        <v>22</v>
      </c>
      <c r="B1570" s="217" t="s">
        <v>23</v>
      </c>
      <c r="C1570" s="217" t="s">
        <v>37</v>
      </c>
      <c r="D1570" s="217" t="s">
        <v>36</v>
      </c>
      <c r="E1570" s="217" t="s">
        <v>250</v>
      </c>
      <c r="F1570" s="217" t="s">
        <v>249</v>
      </c>
      <c r="G1570" s="217" t="s">
        <v>2142</v>
      </c>
      <c r="H1570" s="217" t="s">
        <v>2143</v>
      </c>
      <c r="I1570" s="217" t="s">
        <v>616</v>
      </c>
      <c r="J1570" s="217" t="s">
        <v>1856</v>
      </c>
      <c r="K1570" s="217">
        <v>476</v>
      </c>
      <c r="L1570" s="217">
        <v>2748</v>
      </c>
      <c r="M1570" s="217" t="s">
        <v>31</v>
      </c>
      <c r="N1570" s="217" t="s">
        <v>32</v>
      </c>
      <c r="O1570" s="217" t="s">
        <v>141</v>
      </c>
      <c r="P1570" s="217" t="s">
        <v>142</v>
      </c>
      <c r="Q1570" s="217" t="s">
        <v>143</v>
      </c>
      <c r="R1570" s="217" t="s">
        <v>142</v>
      </c>
      <c r="S1570" s="217" t="s">
        <v>2054</v>
      </c>
      <c r="T1570" s="217" t="s">
        <v>32</v>
      </c>
      <c r="U1570" s="217" t="s">
        <v>32</v>
      </c>
      <c r="V1570" s="217" t="s">
        <v>32</v>
      </c>
      <c r="W1570" s="217" t="s">
        <v>32</v>
      </c>
    </row>
    <row r="1571" spans="1:23" x14ac:dyDescent="0.25">
      <c r="A1571" s="217" t="s">
        <v>22</v>
      </c>
      <c r="B1571" s="217" t="s">
        <v>23</v>
      </c>
      <c r="C1571" s="217" t="s">
        <v>37</v>
      </c>
      <c r="D1571" s="217" t="s">
        <v>36</v>
      </c>
      <c r="E1571" s="217" t="s">
        <v>250</v>
      </c>
      <c r="F1571" s="217" t="s">
        <v>249</v>
      </c>
      <c r="G1571" s="217" t="s">
        <v>254</v>
      </c>
      <c r="H1571" s="217" t="s">
        <v>1468</v>
      </c>
      <c r="I1571" s="217" t="s">
        <v>616</v>
      </c>
      <c r="J1571" s="217" t="s">
        <v>1855</v>
      </c>
      <c r="K1571" s="217">
        <v>6</v>
      </c>
      <c r="L1571" s="217">
        <v>30</v>
      </c>
      <c r="M1571" s="217" t="s">
        <v>31</v>
      </c>
      <c r="N1571" s="217" t="s">
        <v>32</v>
      </c>
      <c r="O1571" s="217" t="s">
        <v>141</v>
      </c>
      <c r="P1571" s="217" t="s">
        <v>142</v>
      </c>
      <c r="Q1571" s="217" t="s">
        <v>143</v>
      </c>
      <c r="R1571" s="217" t="s">
        <v>142</v>
      </c>
      <c r="S1571" s="217" t="s">
        <v>619</v>
      </c>
      <c r="T1571" s="217" t="s">
        <v>32</v>
      </c>
      <c r="U1571" s="217" t="s">
        <v>32</v>
      </c>
      <c r="V1571" s="217" t="s">
        <v>32</v>
      </c>
      <c r="W1571" s="217" t="s">
        <v>32</v>
      </c>
    </row>
    <row r="1572" spans="1:23" x14ac:dyDescent="0.25">
      <c r="A1572" s="217" t="s">
        <v>22</v>
      </c>
      <c r="B1572" s="217" t="s">
        <v>23</v>
      </c>
      <c r="C1572" s="217" t="s">
        <v>37</v>
      </c>
      <c r="D1572" s="217" t="s">
        <v>36</v>
      </c>
      <c r="E1572" s="217" t="s">
        <v>250</v>
      </c>
      <c r="F1572" s="217" t="s">
        <v>249</v>
      </c>
      <c r="G1572" s="217" t="s">
        <v>254</v>
      </c>
      <c r="H1572" s="217" t="s">
        <v>1468</v>
      </c>
      <c r="I1572" s="217" t="s">
        <v>616</v>
      </c>
      <c r="J1572" s="217" t="s">
        <v>1856</v>
      </c>
      <c r="K1572" s="217">
        <v>3</v>
      </c>
      <c r="L1572" s="217">
        <v>15</v>
      </c>
      <c r="M1572" s="217" t="s">
        <v>31</v>
      </c>
      <c r="N1572" s="217" t="s">
        <v>32</v>
      </c>
      <c r="O1572" s="217" t="s">
        <v>141</v>
      </c>
      <c r="P1572" s="217" t="s">
        <v>142</v>
      </c>
      <c r="Q1572" s="217" t="s">
        <v>143</v>
      </c>
      <c r="R1572" s="217" t="s">
        <v>142</v>
      </c>
      <c r="S1572" s="217" t="s">
        <v>619</v>
      </c>
      <c r="T1572" s="217" t="s">
        <v>32</v>
      </c>
      <c r="U1572" s="217" t="s">
        <v>32</v>
      </c>
      <c r="V1572" s="217" t="s">
        <v>32</v>
      </c>
      <c r="W1572" s="217" t="s">
        <v>32</v>
      </c>
    </row>
    <row r="1573" spans="1:23" x14ac:dyDescent="0.25">
      <c r="A1573" s="217" t="s">
        <v>22</v>
      </c>
      <c r="B1573" s="217" t="s">
        <v>23</v>
      </c>
      <c r="C1573" s="217" t="s">
        <v>37</v>
      </c>
      <c r="D1573" s="217" t="s">
        <v>36</v>
      </c>
      <c r="E1573" s="217" t="s">
        <v>250</v>
      </c>
      <c r="F1573" s="217" t="s">
        <v>249</v>
      </c>
      <c r="G1573" s="217" t="s">
        <v>254</v>
      </c>
      <c r="H1573" s="217" t="s">
        <v>1468</v>
      </c>
      <c r="I1573" s="217" t="s">
        <v>616</v>
      </c>
      <c r="J1573" s="217" t="s">
        <v>1857</v>
      </c>
      <c r="K1573" s="217">
        <v>1</v>
      </c>
      <c r="L1573" s="217">
        <v>5</v>
      </c>
      <c r="M1573" s="217" t="s">
        <v>31</v>
      </c>
      <c r="N1573" s="217" t="s">
        <v>32</v>
      </c>
      <c r="O1573" s="217" t="s">
        <v>141</v>
      </c>
      <c r="P1573" s="217" t="s">
        <v>142</v>
      </c>
      <c r="Q1573" s="217" t="s">
        <v>143</v>
      </c>
      <c r="R1573" s="217" t="s">
        <v>142</v>
      </c>
      <c r="S1573" s="217" t="s">
        <v>619</v>
      </c>
      <c r="T1573" s="217" t="s">
        <v>32</v>
      </c>
      <c r="U1573" s="217" t="s">
        <v>32</v>
      </c>
      <c r="V1573" s="217" t="s">
        <v>32</v>
      </c>
      <c r="W1573" s="217" t="s">
        <v>32</v>
      </c>
    </row>
    <row r="1574" spans="1:23" x14ac:dyDescent="0.25">
      <c r="A1574" s="217" t="s">
        <v>22</v>
      </c>
      <c r="B1574" s="217" t="s">
        <v>23</v>
      </c>
      <c r="C1574" s="217" t="s">
        <v>37</v>
      </c>
      <c r="D1574" s="217" t="s">
        <v>36</v>
      </c>
      <c r="E1574" s="217" t="s">
        <v>250</v>
      </c>
      <c r="F1574" s="217" t="s">
        <v>249</v>
      </c>
      <c r="G1574" s="217" t="s">
        <v>254</v>
      </c>
      <c r="H1574" s="217" t="s">
        <v>1468</v>
      </c>
      <c r="I1574" s="217" t="s">
        <v>616</v>
      </c>
      <c r="J1574" s="217" t="s">
        <v>1858</v>
      </c>
      <c r="K1574" s="217">
        <v>3</v>
      </c>
      <c r="L1574" s="217">
        <v>15</v>
      </c>
      <c r="M1574" s="217" t="s">
        <v>31</v>
      </c>
      <c r="N1574" s="217" t="s">
        <v>32</v>
      </c>
      <c r="O1574" s="217" t="s">
        <v>141</v>
      </c>
      <c r="P1574" s="217" t="s">
        <v>142</v>
      </c>
      <c r="Q1574" s="217" t="s">
        <v>143</v>
      </c>
      <c r="R1574" s="217" t="s">
        <v>142</v>
      </c>
      <c r="S1574" s="217" t="s">
        <v>619</v>
      </c>
      <c r="T1574" s="217" t="s">
        <v>32</v>
      </c>
      <c r="U1574" s="217" t="s">
        <v>32</v>
      </c>
      <c r="V1574" s="217" t="s">
        <v>32</v>
      </c>
      <c r="W1574" s="217" t="s">
        <v>32</v>
      </c>
    </row>
    <row r="1575" spans="1:23" x14ac:dyDescent="0.25">
      <c r="A1575" s="217" t="s">
        <v>22</v>
      </c>
      <c r="B1575" s="217" t="s">
        <v>23</v>
      </c>
      <c r="C1575" s="217" t="s">
        <v>37</v>
      </c>
      <c r="D1575" s="217" t="s">
        <v>36</v>
      </c>
      <c r="E1575" s="217" t="s">
        <v>250</v>
      </c>
      <c r="F1575" s="217" t="s">
        <v>249</v>
      </c>
      <c r="G1575" s="217" t="s">
        <v>256</v>
      </c>
      <c r="H1575" s="217" t="s">
        <v>1472</v>
      </c>
      <c r="I1575" s="217" t="s">
        <v>616</v>
      </c>
      <c r="J1575" s="217" t="s">
        <v>1856</v>
      </c>
      <c r="K1575" s="217">
        <v>13</v>
      </c>
      <c r="L1575" s="217">
        <v>76</v>
      </c>
      <c r="M1575" s="217" t="s">
        <v>31</v>
      </c>
      <c r="N1575" s="217" t="s">
        <v>32</v>
      </c>
      <c r="O1575" s="217" t="s">
        <v>141</v>
      </c>
      <c r="P1575" s="217" t="s">
        <v>142</v>
      </c>
      <c r="Q1575" s="217" t="s">
        <v>143</v>
      </c>
      <c r="R1575" s="217" t="s">
        <v>142</v>
      </c>
      <c r="S1575" s="217" t="s">
        <v>619</v>
      </c>
      <c r="T1575" s="217" t="s">
        <v>32</v>
      </c>
      <c r="U1575" s="217" t="s">
        <v>32</v>
      </c>
      <c r="V1575" s="217" t="s">
        <v>32</v>
      </c>
      <c r="W1575" s="217" t="s">
        <v>32</v>
      </c>
    </row>
    <row r="1576" spans="1:23" x14ac:dyDescent="0.25">
      <c r="A1576" s="217" t="s">
        <v>22</v>
      </c>
      <c r="B1576" s="217" t="s">
        <v>23</v>
      </c>
      <c r="C1576" s="217" t="s">
        <v>37</v>
      </c>
      <c r="D1576" s="217" t="s">
        <v>36</v>
      </c>
      <c r="E1576" s="217" t="s">
        <v>250</v>
      </c>
      <c r="F1576" s="217" t="s">
        <v>249</v>
      </c>
      <c r="G1576" s="217" t="s">
        <v>256</v>
      </c>
      <c r="H1576" s="217" t="s">
        <v>1472</v>
      </c>
      <c r="I1576" s="217" t="s">
        <v>616</v>
      </c>
      <c r="J1576" s="217" t="s">
        <v>1857</v>
      </c>
      <c r="K1576" s="217">
        <v>2</v>
      </c>
      <c r="L1576" s="217">
        <v>13</v>
      </c>
      <c r="M1576" s="217" t="s">
        <v>31</v>
      </c>
      <c r="N1576" s="217" t="s">
        <v>32</v>
      </c>
      <c r="O1576" s="217" t="s">
        <v>141</v>
      </c>
      <c r="P1576" s="217" t="s">
        <v>142</v>
      </c>
      <c r="Q1576" s="217" t="s">
        <v>143</v>
      </c>
      <c r="R1576" s="217" t="s">
        <v>142</v>
      </c>
      <c r="S1576" s="217" t="s">
        <v>619</v>
      </c>
      <c r="T1576" s="217" t="s">
        <v>32</v>
      </c>
      <c r="U1576" s="217" t="s">
        <v>32</v>
      </c>
      <c r="V1576" s="217" t="s">
        <v>32</v>
      </c>
      <c r="W1576" s="217" t="s">
        <v>32</v>
      </c>
    </row>
    <row r="1577" spans="1:23" x14ac:dyDescent="0.25">
      <c r="A1577" s="217" t="s">
        <v>22</v>
      </c>
      <c r="B1577" s="217" t="s">
        <v>23</v>
      </c>
      <c r="C1577" s="217" t="s">
        <v>37</v>
      </c>
      <c r="D1577" s="217" t="s">
        <v>36</v>
      </c>
      <c r="E1577" s="217" t="s">
        <v>250</v>
      </c>
      <c r="F1577" s="217" t="s">
        <v>249</v>
      </c>
      <c r="G1577" s="217" t="s">
        <v>256</v>
      </c>
      <c r="H1577" s="217" t="s">
        <v>1472</v>
      </c>
      <c r="I1577" s="217" t="s">
        <v>616</v>
      </c>
      <c r="J1577" s="217" t="s">
        <v>1858</v>
      </c>
      <c r="K1577" s="217">
        <v>3</v>
      </c>
      <c r="L1577" s="217">
        <v>11</v>
      </c>
      <c r="M1577" s="217" t="s">
        <v>31</v>
      </c>
      <c r="N1577" s="217" t="s">
        <v>32</v>
      </c>
      <c r="O1577" s="217" t="s">
        <v>141</v>
      </c>
      <c r="P1577" s="217" t="s">
        <v>142</v>
      </c>
      <c r="Q1577" s="217" t="s">
        <v>143</v>
      </c>
      <c r="R1577" s="217" t="s">
        <v>142</v>
      </c>
      <c r="S1577" s="217" t="s">
        <v>619</v>
      </c>
      <c r="T1577" s="217" t="s">
        <v>32</v>
      </c>
      <c r="U1577" s="217" t="s">
        <v>32</v>
      </c>
      <c r="V1577" s="217" t="s">
        <v>32</v>
      </c>
      <c r="W1577" s="217" t="s">
        <v>32</v>
      </c>
    </row>
    <row r="1578" spans="1:23" x14ac:dyDescent="0.25">
      <c r="A1578" s="217" t="s">
        <v>22</v>
      </c>
      <c r="B1578" s="217" t="s">
        <v>23</v>
      </c>
      <c r="C1578" s="217" t="s">
        <v>37</v>
      </c>
      <c r="D1578" s="217" t="s">
        <v>36</v>
      </c>
      <c r="E1578" s="217" t="s">
        <v>250</v>
      </c>
      <c r="F1578" s="217" t="s">
        <v>249</v>
      </c>
      <c r="G1578" s="217" t="s">
        <v>259</v>
      </c>
      <c r="H1578" s="217" t="s">
        <v>1475</v>
      </c>
      <c r="I1578" s="217" t="s">
        <v>616</v>
      </c>
      <c r="J1578" s="217" t="s">
        <v>1855</v>
      </c>
      <c r="K1578" s="217">
        <v>13</v>
      </c>
      <c r="L1578" s="217">
        <v>76</v>
      </c>
      <c r="M1578" s="217" t="s">
        <v>31</v>
      </c>
      <c r="N1578" s="217" t="s">
        <v>32</v>
      </c>
      <c r="O1578" s="217" t="s">
        <v>141</v>
      </c>
      <c r="P1578" s="217" t="s">
        <v>142</v>
      </c>
      <c r="Q1578" s="217" t="s">
        <v>143</v>
      </c>
      <c r="R1578" s="217" t="s">
        <v>142</v>
      </c>
      <c r="S1578" s="217" t="s">
        <v>619</v>
      </c>
      <c r="T1578" s="217" t="s">
        <v>32</v>
      </c>
      <c r="U1578" s="217" t="s">
        <v>32</v>
      </c>
      <c r="V1578" s="217" t="s">
        <v>32</v>
      </c>
      <c r="W1578" s="217" t="s">
        <v>32</v>
      </c>
    </row>
    <row r="1579" spans="1:23" x14ac:dyDescent="0.25">
      <c r="A1579" s="217" t="s">
        <v>22</v>
      </c>
      <c r="B1579" s="217" t="s">
        <v>23</v>
      </c>
      <c r="C1579" s="217" t="s">
        <v>37</v>
      </c>
      <c r="D1579" s="217" t="s">
        <v>36</v>
      </c>
      <c r="E1579" s="217" t="s">
        <v>250</v>
      </c>
      <c r="F1579" s="217" t="s">
        <v>249</v>
      </c>
      <c r="G1579" s="217" t="s">
        <v>259</v>
      </c>
      <c r="H1579" s="217" t="s">
        <v>1475</v>
      </c>
      <c r="I1579" s="217" t="s">
        <v>616</v>
      </c>
      <c r="J1579" s="217" t="s">
        <v>1856</v>
      </c>
      <c r="K1579" s="217">
        <v>16</v>
      </c>
      <c r="L1579" s="217">
        <v>87</v>
      </c>
      <c r="M1579" s="217" t="s">
        <v>31</v>
      </c>
      <c r="N1579" s="217" t="s">
        <v>32</v>
      </c>
      <c r="O1579" s="217" t="s">
        <v>141</v>
      </c>
      <c r="P1579" s="217" t="s">
        <v>142</v>
      </c>
      <c r="Q1579" s="217" t="s">
        <v>143</v>
      </c>
      <c r="R1579" s="217" t="s">
        <v>142</v>
      </c>
      <c r="S1579" s="217" t="s">
        <v>619</v>
      </c>
      <c r="T1579" s="217" t="s">
        <v>32</v>
      </c>
      <c r="U1579" s="217" t="s">
        <v>32</v>
      </c>
      <c r="V1579" s="217" t="s">
        <v>32</v>
      </c>
      <c r="W1579" s="217" t="s">
        <v>32</v>
      </c>
    </row>
    <row r="1580" spans="1:23" x14ac:dyDescent="0.25">
      <c r="A1580" s="217" t="s">
        <v>22</v>
      </c>
      <c r="B1580" s="217" t="s">
        <v>23</v>
      </c>
      <c r="C1580" s="217" t="s">
        <v>37</v>
      </c>
      <c r="D1580" s="217" t="s">
        <v>36</v>
      </c>
      <c r="E1580" s="217" t="s">
        <v>250</v>
      </c>
      <c r="F1580" s="217" t="s">
        <v>249</v>
      </c>
      <c r="G1580" s="217" t="s">
        <v>259</v>
      </c>
      <c r="H1580" s="217" t="s">
        <v>1475</v>
      </c>
      <c r="I1580" s="217" t="s">
        <v>616</v>
      </c>
      <c r="J1580" s="217" t="s">
        <v>1858</v>
      </c>
      <c r="K1580" s="217">
        <v>7</v>
      </c>
      <c r="L1580" s="217">
        <v>32</v>
      </c>
      <c r="M1580" s="217" t="s">
        <v>31</v>
      </c>
      <c r="N1580" s="217" t="s">
        <v>32</v>
      </c>
      <c r="O1580" s="217" t="s">
        <v>141</v>
      </c>
      <c r="P1580" s="217" t="s">
        <v>142</v>
      </c>
      <c r="Q1580" s="217" t="s">
        <v>143</v>
      </c>
      <c r="R1580" s="217" t="s">
        <v>142</v>
      </c>
      <c r="S1580" s="217" t="s">
        <v>619</v>
      </c>
      <c r="T1580" s="217" t="s">
        <v>32</v>
      </c>
      <c r="U1580" s="217" t="s">
        <v>32</v>
      </c>
      <c r="V1580" s="217" t="s">
        <v>32</v>
      </c>
      <c r="W1580" s="217" t="s">
        <v>32</v>
      </c>
    </row>
    <row r="1581" spans="1:23" x14ac:dyDescent="0.25">
      <c r="A1581" s="217" t="s">
        <v>22</v>
      </c>
      <c r="B1581" s="217" t="s">
        <v>23</v>
      </c>
      <c r="C1581" s="217" t="s">
        <v>37</v>
      </c>
      <c r="D1581" s="217" t="s">
        <v>36</v>
      </c>
      <c r="E1581" s="217" t="s">
        <v>250</v>
      </c>
      <c r="F1581" s="217" t="s">
        <v>249</v>
      </c>
      <c r="G1581" s="217" t="s">
        <v>262</v>
      </c>
      <c r="H1581" s="217" t="s">
        <v>1478</v>
      </c>
      <c r="I1581" s="217" t="s">
        <v>616</v>
      </c>
      <c r="J1581" s="217" t="s">
        <v>1855</v>
      </c>
      <c r="K1581" s="217">
        <v>7</v>
      </c>
      <c r="L1581" s="217">
        <v>35</v>
      </c>
      <c r="M1581" s="217" t="s">
        <v>31</v>
      </c>
      <c r="N1581" s="217" t="s">
        <v>32</v>
      </c>
      <c r="O1581" s="217" t="s">
        <v>141</v>
      </c>
      <c r="P1581" s="217" t="s">
        <v>142</v>
      </c>
      <c r="Q1581" s="217" t="s">
        <v>143</v>
      </c>
      <c r="R1581" s="217" t="s">
        <v>142</v>
      </c>
      <c r="S1581" s="217" t="s">
        <v>619</v>
      </c>
      <c r="T1581" s="217" t="s">
        <v>32</v>
      </c>
      <c r="U1581" s="217" t="s">
        <v>32</v>
      </c>
      <c r="V1581" s="217" t="s">
        <v>32</v>
      </c>
      <c r="W1581" s="217" t="s">
        <v>32</v>
      </c>
    </row>
    <row r="1582" spans="1:23" x14ac:dyDescent="0.25">
      <c r="A1582" s="217" t="s">
        <v>22</v>
      </c>
      <c r="B1582" s="217" t="s">
        <v>23</v>
      </c>
      <c r="C1582" s="217" t="s">
        <v>37</v>
      </c>
      <c r="D1582" s="217" t="s">
        <v>36</v>
      </c>
      <c r="E1582" s="217" t="s">
        <v>250</v>
      </c>
      <c r="F1582" s="217" t="s">
        <v>249</v>
      </c>
      <c r="G1582" s="217" t="s">
        <v>262</v>
      </c>
      <c r="H1582" s="217" t="s">
        <v>1478</v>
      </c>
      <c r="I1582" s="217" t="s">
        <v>616</v>
      </c>
      <c r="J1582" s="217" t="s">
        <v>1856</v>
      </c>
      <c r="K1582" s="217">
        <v>11</v>
      </c>
      <c r="L1582" s="217">
        <v>55</v>
      </c>
      <c r="M1582" s="217" t="s">
        <v>31</v>
      </c>
      <c r="N1582" s="217" t="s">
        <v>32</v>
      </c>
      <c r="O1582" s="217" t="s">
        <v>141</v>
      </c>
      <c r="P1582" s="217" t="s">
        <v>142</v>
      </c>
      <c r="Q1582" s="217" t="s">
        <v>143</v>
      </c>
      <c r="R1582" s="217" t="s">
        <v>142</v>
      </c>
      <c r="S1582" s="217" t="s">
        <v>619</v>
      </c>
      <c r="T1582" s="217" t="s">
        <v>32</v>
      </c>
      <c r="U1582" s="217" t="s">
        <v>32</v>
      </c>
      <c r="V1582" s="217" t="s">
        <v>32</v>
      </c>
      <c r="W1582" s="217" t="s">
        <v>32</v>
      </c>
    </row>
    <row r="1583" spans="1:23" x14ac:dyDescent="0.25">
      <c r="A1583" s="217" t="s">
        <v>22</v>
      </c>
      <c r="B1583" s="217" t="s">
        <v>23</v>
      </c>
      <c r="C1583" s="217" t="s">
        <v>37</v>
      </c>
      <c r="D1583" s="217" t="s">
        <v>36</v>
      </c>
      <c r="E1583" s="217" t="s">
        <v>250</v>
      </c>
      <c r="F1583" s="217" t="s">
        <v>249</v>
      </c>
      <c r="G1583" s="217" t="s">
        <v>262</v>
      </c>
      <c r="H1583" s="217" t="s">
        <v>1478</v>
      </c>
      <c r="I1583" s="217" t="s">
        <v>616</v>
      </c>
      <c r="J1583" s="217" t="s">
        <v>1857</v>
      </c>
      <c r="K1583" s="217">
        <v>4</v>
      </c>
      <c r="L1583" s="217">
        <v>20</v>
      </c>
      <c r="M1583" s="217" t="s">
        <v>31</v>
      </c>
      <c r="N1583" s="217" t="s">
        <v>32</v>
      </c>
      <c r="O1583" s="217" t="s">
        <v>141</v>
      </c>
      <c r="P1583" s="217" t="s">
        <v>142</v>
      </c>
      <c r="Q1583" s="217" t="s">
        <v>143</v>
      </c>
      <c r="R1583" s="217" t="s">
        <v>142</v>
      </c>
      <c r="S1583" s="217" t="s">
        <v>619</v>
      </c>
      <c r="T1583" s="217" t="s">
        <v>32</v>
      </c>
      <c r="U1583" s="217" t="s">
        <v>32</v>
      </c>
      <c r="V1583" s="217" t="s">
        <v>32</v>
      </c>
      <c r="W1583" s="217" t="s">
        <v>32</v>
      </c>
    </row>
    <row r="1584" spans="1:23" x14ac:dyDescent="0.25">
      <c r="A1584" s="217" t="s">
        <v>22</v>
      </c>
      <c r="B1584" s="217" t="s">
        <v>23</v>
      </c>
      <c r="C1584" s="217" t="s">
        <v>37</v>
      </c>
      <c r="D1584" s="217" t="s">
        <v>36</v>
      </c>
      <c r="E1584" s="217" t="s">
        <v>250</v>
      </c>
      <c r="F1584" s="217" t="s">
        <v>249</v>
      </c>
      <c r="G1584" s="217" t="s">
        <v>262</v>
      </c>
      <c r="H1584" s="217" t="s">
        <v>1478</v>
      </c>
      <c r="I1584" s="217" t="s">
        <v>616</v>
      </c>
      <c r="J1584" s="217" t="s">
        <v>1858</v>
      </c>
      <c r="K1584" s="217">
        <v>3</v>
      </c>
      <c r="L1584" s="217">
        <v>15</v>
      </c>
      <c r="M1584" s="217" t="s">
        <v>31</v>
      </c>
      <c r="N1584" s="217" t="s">
        <v>32</v>
      </c>
      <c r="O1584" s="217" t="s">
        <v>141</v>
      </c>
      <c r="P1584" s="217" t="s">
        <v>142</v>
      </c>
      <c r="Q1584" s="217" t="s">
        <v>143</v>
      </c>
      <c r="R1584" s="217" t="s">
        <v>142</v>
      </c>
      <c r="S1584" s="217" t="s">
        <v>619</v>
      </c>
      <c r="T1584" s="217" t="s">
        <v>32</v>
      </c>
      <c r="U1584" s="217" t="s">
        <v>32</v>
      </c>
      <c r="V1584" s="217" t="s">
        <v>32</v>
      </c>
      <c r="W1584" s="217" t="s">
        <v>32</v>
      </c>
    </row>
    <row r="1585" spans="1:23" x14ac:dyDescent="0.25">
      <c r="A1585" s="217" t="s">
        <v>22</v>
      </c>
      <c r="B1585" s="217" t="s">
        <v>23</v>
      </c>
      <c r="C1585" s="217" t="s">
        <v>37</v>
      </c>
      <c r="D1585" s="217" t="s">
        <v>36</v>
      </c>
      <c r="E1585" s="217" t="s">
        <v>250</v>
      </c>
      <c r="F1585" s="217" t="s">
        <v>249</v>
      </c>
      <c r="G1585" s="217" t="s">
        <v>606</v>
      </c>
      <c r="H1585" s="217" t="s">
        <v>1486</v>
      </c>
      <c r="I1585" s="217" t="s">
        <v>616</v>
      </c>
      <c r="J1585" s="217" t="s">
        <v>1856</v>
      </c>
      <c r="K1585" s="217">
        <v>14</v>
      </c>
      <c r="L1585" s="217">
        <v>70</v>
      </c>
      <c r="M1585" s="217" t="s">
        <v>31</v>
      </c>
      <c r="N1585" s="217" t="s">
        <v>32</v>
      </c>
      <c r="O1585" s="217" t="s">
        <v>141</v>
      </c>
      <c r="P1585" s="217" t="s">
        <v>142</v>
      </c>
      <c r="Q1585" s="217" t="s">
        <v>143</v>
      </c>
      <c r="R1585" s="217" t="s">
        <v>142</v>
      </c>
      <c r="S1585" s="217" t="s">
        <v>619</v>
      </c>
      <c r="T1585" s="217" t="s">
        <v>32</v>
      </c>
      <c r="U1585" s="217" t="s">
        <v>32</v>
      </c>
      <c r="V1585" s="217" t="s">
        <v>32</v>
      </c>
      <c r="W1585" s="217" t="s">
        <v>32</v>
      </c>
    </row>
    <row r="1586" spans="1:23" x14ac:dyDescent="0.25">
      <c r="A1586" s="217" t="s">
        <v>22</v>
      </c>
      <c r="B1586" s="217" t="s">
        <v>23</v>
      </c>
      <c r="C1586" s="217" t="s">
        <v>37</v>
      </c>
      <c r="D1586" s="217" t="s">
        <v>36</v>
      </c>
      <c r="E1586" s="217" t="s">
        <v>250</v>
      </c>
      <c r="F1586" s="217" t="s">
        <v>249</v>
      </c>
      <c r="G1586" s="217" t="s">
        <v>606</v>
      </c>
      <c r="H1586" s="217" t="s">
        <v>1486</v>
      </c>
      <c r="I1586" s="217" t="s">
        <v>616</v>
      </c>
      <c r="J1586" s="217" t="s">
        <v>1858</v>
      </c>
      <c r="K1586" s="217">
        <v>3</v>
      </c>
      <c r="L1586" s="217">
        <v>15</v>
      </c>
      <c r="M1586" s="217" t="s">
        <v>31</v>
      </c>
      <c r="N1586" s="217" t="s">
        <v>32</v>
      </c>
      <c r="O1586" s="217" t="s">
        <v>141</v>
      </c>
      <c r="P1586" s="217" t="s">
        <v>142</v>
      </c>
      <c r="Q1586" s="217" t="s">
        <v>143</v>
      </c>
      <c r="R1586" s="217" t="s">
        <v>142</v>
      </c>
      <c r="S1586" s="217" t="s">
        <v>619</v>
      </c>
      <c r="T1586" s="217" t="s">
        <v>32</v>
      </c>
      <c r="U1586" s="217" t="s">
        <v>32</v>
      </c>
      <c r="V1586" s="217" t="s">
        <v>32</v>
      </c>
      <c r="W1586" s="217" t="s">
        <v>32</v>
      </c>
    </row>
    <row r="1587" spans="1:23" x14ac:dyDescent="0.25">
      <c r="A1587" s="217" t="s">
        <v>22</v>
      </c>
      <c r="B1587" s="217" t="s">
        <v>23</v>
      </c>
      <c r="C1587" s="217" t="s">
        <v>37</v>
      </c>
      <c r="D1587" s="217" t="s">
        <v>36</v>
      </c>
      <c r="E1587" s="217" t="s">
        <v>608</v>
      </c>
      <c r="F1587" s="217" t="s">
        <v>609</v>
      </c>
      <c r="G1587" s="217" t="s">
        <v>614</v>
      </c>
      <c r="H1587" s="217" t="s">
        <v>1494</v>
      </c>
      <c r="I1587" s="217" t="s">
        <v>616</v>
      </c>
      <c r="J1587" s="217" t="s">
        <v>1856</v>
      </c>
      <c r="K1587" s="217">
        <v>8</v>
      </c>
      <c r="L1587" s="217">
        <v>13</v>
      </c>
      <c r="M1587" s="217" t="s">
        <v>31</v>
      </c>
      <c r="N1587" s="217" t="s">
        <v>32</v>
      </c>
      <c r="O1587" s="217" t="s">
        <v>141</v>
      </c>
      <c r="P1587" s="217" t="s">
        <v>142</v>
      </c>
      <c r="Q1587" s="217" t="s">
        <v>143</v>
      </c>
      <c r="R1587" s="217" t="s">
        <v>142</v>
      </c>
      <c r="S1587" s="217" t="s">
        <v>619</v>
      </c>
      <c r="T1587" s="217" t="s">
        <v>32</v>
      </c>
      <c r="U1587" s="217" t="s">
        <v>32</v>
      </c>
      <c r="V1587" s="217" t="s">
        <v>32</v>
      </c>
      <c r="W1587" s="217" t="s">
        <v>32</v>
      </c>
    </row>
    <row r="1588" spans="1:23" x14ac:dyDescent="0.25">
      <c r="A1588" s="217" t="s">
        <v>22</v>
      </c>
      <c r="B1588" s="217" t="s">
        <v>23</v>
      </c>
      <c r="C1588" s="217" t="s">
        <v>37</v>
      </c>
      <c r="D1588" s="217" t="s">
        <v>36</v>
      </c>
      <c r="E1588" s="217" t="s">
        <v>608</v>
      </c>
      <c r="F1588" s="217" t="s">
        <v>609</v>
      </c>
      <c r="G1588" s="217" t="s">
        <v>2145</v>
      </c>
      <c r="H1588" s="217" t="s">
        <v>1496</v>
      </c>
      <c r="I1588" s="217" t="s">
        <v>616</v>
      </c>
      <c r="J1588" s="217" t="s">
        <v>1856</v>
      </c>
      <c r="K1588" s="217">
        <v>1</v>
      </c>
      <c r="L1588" s="217">
        <v>6</v>
      </c>
      <c r="M1588" s="217" t="s">
        <v>31</v>
      </c>
      <c r="N1588" s="217" t="s">
        <v>32</v>
      </c>
      <c r="O1588" s="217" t="s">
        <v>141</v>
      </c>
      <c r="P1588" s="217" t="s">
        <v>142</v>
      </c>
      <c r="Q1588" s="217" t="s">
        <v>143</v>
      </c>
      <c r="R1588" s="217" t="s">
        <v>142</v>
      </c>
      <c r="S1588" s="217" t="s">
        <v>2148</v>
      </c>
      <c r="T1588" s="217" t="s">
        <v>32</v>
      </c>
      <c r="U1588" s="217" t="s">
        <v>32</v>
      </c>
      <c r="V1588" s="217" t="s">
        <v>32</v>
      </c>
      <c r="W1588" s="217" t="s">
        <v>32</v>
      </c>
    </row>
    <row r="1589" spans="1:23" x14ac:dyDescent="0.25">
      <c r="A1589" s="217" t="s">
        <v>22</v>
      </c>
      <c r="B1589" s="217" t="s">
        <v>23</v>
      </c>
      <c r="C1589" s="217" t="s">
        <v>24</v>
      </c>
      <c r="D1589" s="217" t="s">
        <v>25</v>
      </c>
      <c r="E1589" s="217" t="s">
        <v>656</v>
      </c>
      <c r="F1589" s="217" t="s">
        <v>657</v>
      </c>
      <c r="G1589" s="217" t="s">
        <v>658</v>
      </c>
      <c r="H1589" s="217" t="s">
        <v>1553</v>
      </c>
      <c r="I1589" s="217" t="s">
        <v>659</v>
      </c>
      <c r="J1589" s="217" t="s">
        <v>1855</v>
      </c>
      <c r="K1589" s="217">
        <v>1</v>
      </c>
      <c r="L1589" s="217">
        <v>22</v>
      </c>
      <c r="M1589" s="217" t="s">
        <v>637</v>
      </c>
      <c r="N1589" s="217" t="s">
        <v>1975</v>
      </c>
      <c r="O1589" s="217" t="s">
        <v>141</v>
      </c>
      <c r="P1589" s="217" t="s">
        <v>660</v>
      </c>
      <c r="Q1589" s="217" t="s">
        <v>848</v>
      </c>
      <c r="R1589" s="217" t="s">
        <v>1842</v>
      </c>
      <c r="S1589" s="217" t="s">
        <v>1843</v>
      </c>
      <c r="T1589" s="217" t="s">
        <v>32</v>
      </c>
      <c r="U1589" s="217" t="s">
        <v>32</v>
      </c>
      <c r="V1589" s="217" t="s">
        <v>32</v>
      </c>
      <c r="W1589" s="217" t="s">
        <v>32</v>
      </c>
    </row>
    <row r="1590" spans="1:23" x14ac:dyDescent="0.25">
      <c r="A1590" s="217" t="s">
        <v>22</v>
      </c>
      <c r="B1590" s="217" t="s">
        <v>23</v>
      </c>
      <c r="C1590" s="217" t="s">
        <v>24</v>
      </c>
      <c r="D1590" s="217" t="s">
        <v>25</v>
      </c>
      <c r="E1590" s="217" t="s">
        <v>656</v>
      </c>
      <c r="F1590" s="217" t="s">
        <v>657</v>
      </c>
      <c r="G1590" s="217" t="s">
        <v>661</v>
      </c>
      <c r="H1590" s="217" t="s">
        <v>1554</v>
      </c>
      <c r="I1590" s="217" t="s">
        <v>659</v>
      </c>
      <c r="J1590" s="217" t="s">
        <v>1855</v>
      </c>
      <c r="K1590" s="217">
        <v>3</v>
      </c>
      <c r="L1590" s="217">
        <v>45</v>
      </c>
      <c r="M1590" s="217" t="s">
        <v>637</v>
      </c>
      <c r="N1590" s="217" t="s">
        <v>1975</v>
      </c>
      <c r="O1590" s="217" t="s">
        <v>141</v>
      </c>
      <c r="P1590" s="217" t="s">
        <v>660</v>
      </c>
      <c r="Q1590" s="217" t="s">
        <v>848</v>
      </c>
      <c r="R1590" s="217" t="s">
        <v>1842</v>
      </c>
      <c r="S1590" s="217" t="s">
        <v>1843</v>
      </c>
      <c r="T1590" s="217" t="s">
        <v>32</v>
      </c>
      <c r="U1590" s="217" t="s">
        <v>32</v>
      </c>
      <c r="V1590" s="217" t="s">
        <v>32</v>
      </c>
      <c r="W1590" s="217" t="s">
        <v>32</v>
      </c>
    </row>
    <row r="1591" spans="1:23" x14ac:dyDescent="0.25">
      <c r="A1591" s="217" t="s">
        <v>22</v>
      </c>
      <c r="B1591" s="217" t="s">
        <v>23</v>
      </c>
      <c r="C1591" s="217" t="s">
        <v>24</v>
      </c>
      <c r="D1591" s="217" t="s">
        <v>25</v>
      </c>
      <c r="E1591" s="217" t="s">
        <v>656</v>
      </c>
      <c r="F1591" s="217" t="s">
        <v>657</v>
      </c>
      <c r="G1591" s="217" t="s">
        <v>662</v>
      </c>
      <c r="H1591" s="217" t="s">
        <v>1555</v>
      </c>
      <c r="I1591" s="217" t="s">
        <v>659</v>
      </c>
      <c r="J1591" s="217" t="s">
        <v>1855</v>
      </c>
      <c r="K1591" s="217">
        <v>12</v>
      </c>
      <c r="L1591" s="217">
        <v>136</v>
      </c>
      <c r="M1591" s="217" t="s">
        <v>637</v>
      </c>
      <c r="N1591" s="217" t="s">
        <v>1975</v>
      </c>
      <c r="O1591" s="217" t="s">
        <v>141</v>
      </c>
      <c r="P1591" s="217" t="s">
        <v>660</v>
      </c>
      <c r="Q1591" s="217" t="s">
        <v>848</v>
      </c>
      <c r="R1591" s="217" t="s">
        <v>1842</v>
      </c>
      <c r="S1591" s="217" t="s">
        <v>1843</v>
      </c>
      <c r="T1591" s="217" t="s">
        <v>32</v>
      </c>
      <c r="U1591" s="217" t="s">
        <v>32</v>
      </c>
      <c r="V1591" s="217" t="s">
        <v>32</v>
      </c>
      <c r="W1591" s="217" t="s">
        <v>32</v>
      </c>
    </row>
    <row r="1592" spans="1:23" x14ac:dyDescent="0.25">
      <c r="A1592" s="217" t="s">
        <v>22</v>
      </c>
      <c r="B1592" s="217" t="s">
        <v>23</v>
      </c>
      <c r="C1592" s="217" t="s">
        <v>24</v>
      </c>
      <c r="D1592" s="217" t="s">
        <v>25</v>
      </c>
      <c r="E1592" s="217" t="s">
        <v>656</v>
      </c>
      <c r="F1592" s="217" t="s">
        <v>657</v>
      </c>
      <c r="G1592" s="217" t="s">
        <v>663</v>
      </c>
      <c r="H1592" s="217" t="s">
        <v>1556</v>
      </c>
      <c r="I1592" s="217" t="s">
        <v>659</v>
      </c>
      <c r="J1592" s="217" t="s">
        <v>1855</v>
      </c>
      <c r="K1592" s="217">
        <v>1</v>
      </c>
      <c r="L1592" s="217">
        <v>17</v>
      </c>
      <c r="M1592" s="217" t="s">
        <v>637</v>
      </c>
      <c r="N1592" s="217" t="s">
        <v>2149</v>
      </c>
      <c r="O1592" s="217" t="s">
        <v>141</v>
      </c>
      <c r="P1592" s="217" t="s">
        <v>660</v>
      </c>
      <c r="Q1592" s="217" t="s">
        <v>848</v>
      </c>
      <c r="R1592" s="217" t="s">
        <v>1842</v>
      </c>
      <c r="S1592" s="217" t="s">
        <v>1843</v>
      </c>
      <c r="T1592" s="217" t="s">
        <v>32</v>
      </c>
      <c r="U1592" s="217" t="s">
        <v>32</v>
      </c>
      <c r="V1592" s="217" t="s">
        <v>32</v>
      </c>
      <c r="W1592" s="217" t="s">
        <v>32</v>
      </c>
    </row>
    <row r="1593" spans="1:23" x14ac:dyDescent="0.25">
      <c r="A1593" s="217" t="s">
        <v>22</v>
      </c>
      <c r="B1593" s="217" t="s">
        <v>23</v>
      </c>
      <c r="C1593" s="217" t="s">
        <v>24</v>
      </c>
      <c r="D1593" s="217" t="s">
        <v>25</v>
      </c>
      <c r="E1593" s="217" t="s">
        <v>656</v>
      </c>
      <c r="F1593" s="217" t="s">
        <v>657</v>
      </c>
      <c r="G1593" s="217" t="s">
        <v>664</v>
      </c>
      <c r="H1593" s="217" t="s">
        <v>1557</v>
      </c>
      <c r="I1593" s="217" t="s">
        <v>659</v>
      </c>
      <c r="J1593" s="217" t="s">
        <v>1855</v>
      </c>
      <c r="K1593" s="217">
        <v>6</v>
      </c>
      <c r="L1593" s="217">
        <v>91</v>
      </c>
      <c r="M1593" s="217" t="s">
        <v>637</v>
      </c>
      <c r="N1593" s="217" t="s">
        <v>1975</v>
      </c>
      <c r="O1593" s="217" t="s">
        <v>141</v>
      </c>
      <c r="P1593" s="217" t="s">
        <v>660</v>
      </c>
      <c r="Q1593" s="217" t="s">
        <v>848</v>
      </c>
      <c r="R1593" s="217" t="s">
        <v>1842</v>
      </c>
      <c r="S1593" s="217" t="s">
        <v>1843</v>
      </c>
      <c r="T1593" s="217" t="s">
        <v>32</v>
      </c>
      <c r="U1593" s="217" t="s">
        <v>32</v>
      </c>
      <c r="V1593" s="217" t="s">
        <v>32</v>
      </c>
      <c r="W1593" s="217" t="s">
        <v>32</v>
      </c>
    </row>
    <row r="1594" spans="1:23" x14ac:dyDescent="0.25">
      <c r="A1594" s="217" t="s">
        <v>22</v>
      </c>
      <c r="B1594" s="217" t="s">
        <v>23</v>
      </c>
      <c r="C1594" s="217" t="s">
        <v>24</v>
      </c>
      <c r="D1594" s="217" t="s">
        <v>25</v>
      </c>
      <c r="E1594" s="217" t="s">
        <v>56</v>
      </c>
      <c r="F1594" s="217" t="s">
        <v>57</v>
      </c>
      <c r="G1594" s="217" t="s">
        <v>59</v>
      </c>
      <c r="H1594" s="217" t="s">
        <v>880</v>
      </c>
      <c r="I1594" s="217" t="s">
        <v>659</v>
      </c>
      <c r="J1594" s="217" t="s">
        <v>1859</v>
      </c>
      <c r="K1594" s="217">
        <v>1</v>
      </c>
      <c r="L1594" s="217">
        <v>4</v>
      </c>
      <c r="M1594" s="217" t="s">
        <v>31</v>
      </c>
      <c r="N1594" s="217" t="s">
        <v>32</v>
      </c>
      <c r="O1594" s="217" t="s">
        <v>668</v>
      </c>
      <c r="P1594" s="217" t="s">
        <v>34</v>
      </c>
      <c r="Q1594" s="217" t="s">
        <v>35</v>
      </c>
      <c r="R1594" s="217" t="s">
        <v>23</v>
      </c>
      <c r="S1594" s="217" t="s">
        <v>22</v>
      </c>
      <c r="T1594" s="217" t="s">
        <v>47</v>
      </c>
      <c r="U1594" s="217" t="s">
        <v>48</v>
      </c>
      <c r="V1594" s="217" t="s">
        <v>32</v>
      </c>
      <c r="W1594" s="217" t="s">
        <v>32</v>
      </c>
    </row>
    <row r="1595" spans="1:23" x14ac:dyDescent="0.25">
      <c r="A1595" s="217" t="s">
        <v>22</v>
      </c>
      <c r="B1595" s="217" t="s">
        <v>23</v>
      </c>
      <c r="C1595" s="217" t="s">
        <v>24</v>
      </c>
      <c r="D1595" s="217" t="s">
        <v>25</v>
      </c>
      <c r="E1595" s="217" t="s">
        <v>56</v>
      </c>
      <c r="F1595" s="217" t="s">
        <v>57</v>
      </c>
      <c r="G1595" s="217" t="s">
        <v>79</v>
      </c>
      <c r="H1595" s="217" t="s">
        <v>897</v>
      </c>
      <c r="I1595" s="217" t="s">
        <v>659</v>
      </c>
      <c r="J1595" s="217" t="s">
        <v>1858</v>
      </c>
      <c r="K1595" s="217">
        <v>4</v>
      </c>
      <c r="L1595" s="217">
        <v>15</v>
      </c>
      <c r="M1595" s="217" t="s">
        <v>31</v>
      </c>
      <c r="N1595" s="217" t="s">
        <v>32</v>
      </c>
      <c r="O1595" s="217" t="s">
        <v>668</v>
      </c>
      <c r="P1595" s="217" t="s">
        <v>34</v>
      </c>
      <c r="Q1595" s="217" t="s">
        <v>35</v>
      </c>
      <c r="R1595" s="217" t="s">
        <v>23</v>
      </c>
      <c r="S1595" s="217" t="s">
        <v>22</v>
      </c>
      <c r="T1595" s="217" t="s">
        <v>47</v>
      </c>
      <c r="U1595" s="217" t="s">
        <v>48</v>
      </c>
      <c r="V1595" s="217" t="s">
        <v>32</v>
      </c>
      <c r="W1595" s="217" t="s">
        <v>32</v>
      </c>
    </row>
    <row r="1596" spans="1:23" x14ac:dyDescent="0.25">
      <c r="A1596" s="217" t="s">
        <v>22</v>
      </c>
      <c r="B1596" s="217" t="s">
        <v>23</v>
      </c>
      <c r="C1596" s="217" t="s">
        <v>85</v>
      </c>
      <c r="D1596" s="217" t="s">
        <v>84</v>
      </c>
      <c r="E1596" s="217" t="s">
        <v>88</v>
      </c>
      <c r="F1596" s="217" t="s">
        <v>89</v>
      </c>
      <c r="G1596" s="217" t="s">
        <v>93</v>
      </c>
      <c r="H1596" s="217" t="s">
        <v>907</v>
      </c>
      <c r="I1596" s="217" t="s">
        <v>659</v>
      </c>
      <c r="J1596" s="217" t="s">
        <v>1856</v>
      </c>
      <c r="K1596" s="217">
        <v>67</v>
      </c>
      <c r="L1596" s="217">
        <v>337</v>
      </c>
      <c r="M1596" s="217" t="s">
        <v>31</v>
      </c>
      <c r="N1596" s="217" t="s">
        <v>32</v>
      </c>
      <c r="O1596" s="217" t="s">
        <v>141</v>
      </c>
      <c r="P1596" s="217" t="s">
        <v>142</v>
      </c>
      <c r="Q1596" s="217" t="s">
        <v>143</v>
      </c>
      <c r="R1596" s="217" t="s">
        <v>618</v>
      </c>
      <c r="S1596" s="217" t="s">
        <v>619</v>
      </c>
      <c r="T1596" s="217" t="s">
        <v>32</v>
      </c>
      <c r="U1596" s="217" t="s">
        <v>32</v>
      </c>
      <c r="V1596" s="217" t="s">
        <v>32</v>
      </c>
      <c r="W1596" s="217" t="s">
        <v>32</v>
      </c>
    </row>
    <row r="1597" spans="1:23" x14ac:dyDescent="0.25">
      <c r="A1597" s="217" t="s">
        <v>22</v>
      </c>
      <c r="B1597" s="217" t="s">
        <v>23</v>
      </c>
      <c r="C1597" s="217" t="s">
        <v>85</v>
      </c>
      <c r="D1597" s="217" t="s">
        <v>84</v>
      </c>
      <c r="E1597" s="217" t="s">
        <v>88</v>
      </c>
      <c r="F1597" s="217" t="s">
        <v>89</v>
      </c>
      <c r="G1597" s="217" t="s">
        <v>106</v>
      </c>
      <c r="H1597" s="217" t="s">
        <v>914</v>
      </c>
      <c r="I1597" s="217" t="s">
        <v>659</v>
      </c>
      <c r="J1597" s="217" t="s">
        <v>1858</v>
      </c>
      <c r="K1597" s="217">
        <v>4</v>
      </c>
      <c r="L1597" s="217">
        <v>22</v>
      </c>
      <c r="M1597" s="217" t="s">
        <v>31</v>
      </c>
      <c r="N1597" s="217" t="s">
        <v>32</v>
      </c>
      <c r="O1597" s="217" t="s">
        <v>141</v>
      </c>
      <c r="P1597" s="217" t="s">
        <v>142</v>
      </c>
      <c r="Q1597" s="217" t="s">
        <v>143</v>
      </c>
      <c r="R1597" s="217" t="s">
        <v>618</v>
      </c>
      <c r="S1597" s="217" t="s">
        <v>619</v>
      </c>
      <c r="T1597" s="217" t="s">
        <v>32</v>
      </c>
      <c r="U1597" s="217" t="s">
        <v>32</v>
      </c>
      <c r="V1597" s="217" t="s">
        <v>32</v>
      </c>
      <c r="W1597" s="217" t="s">
        <v>32</v>
      </c>
    </row>
    <row r="1598" spans="1:23" x14ac:dyDescent="0.25">
      <c r="A1598" s="217" t="s">
        <v>22</v>
      </c>
      <c r="B1598" s="217" t="s">
        <v>23</v>
      </c>
      <c r="C1598" s="217" t="s">
        <v>85</v>
      </c>
      <c r="D1598" s="217" t="s">
        <v>84</v>
      </c>
      <c r="E1598" s="217" t="s">
        <v>88</v>
      </c>
      <c r="F1598" s="217" t="s">
        <v>89</v>
      </c>
      <c r="G1598" s="217" t="s">
        <v>107</v>
      </c>
      <c r="H1598" s="217" t="s">
        <v>915</v>
      </c>
      <c r="I1598" s="217" t="s">
        <v>659</v>
      </c>
      <c r="J1598" s="217" t="s">
        <v>1858</v>
      </c>
      <c r="K1598" s="217">
        <v>2</v>
      </c>
      <c r="L1598" s="217">
        <v>22</v>
      </c>
      <c r="M1598" s="217" t="s">
        <v>31</v>
      </c>
      <c r="N1598" s="217" t="s">
        <v>32</v>
      </c>
      <c r="O1598" s="217" t="s">
        <v>668</v>
      </c>
      <c r="P1598" s="217" t="s">
        <v>34</v>
      </c>
      <c r="Q1598" s="217" t="s">
        <v>35</v>
      </c>
      <c r="R1598" s="217" t="s">
        <v>23</v>
      </c>
      <c r="S1598" s="217" t="s">
        <v>22</v>
      </c>
      <c r="T1598" s="217" t="s">
        <v>84</v>
      </c>
      <c r="U1598" s="217" t="s">
        <v>85</v>
      </c>
      <c r="V1598" s="217" t="s">
        <v>32</v>
      </c>
      <c r="W1598" s="217" t="s">
        <v>32</v>
      </c>
    </row>
    <row r="1599" spans="1:23" x14ac:dyDescent="0.25">
      <c r="A1599" s="217" t="s">
        <v>22</v>
      </c>
      <c r="B1599" s="217" t="s">
        <v>23</v>
      </c>
      <c r="C1599" s="217" t="s">
        <v>85</v>
      </c>
      <c r="D1599" s="217" t="s">
        <v>84</v>
      </c>
      <c r="E1599" s="217" t="s">
        <v>88</v>
      </c>
      <c r="F1599" s="217" t="s">
        <v>89</v>
      </c>
      <c r="G1599" s="217" t="s">
        <v>107</v>
      </c>
      <c r="H1599" s="217" t="s">
        <v>915</v>
      </c>
      <c r="I1599" s="217" t="s">
        <v>659</v>
      </c>
      <c r="J1599" s="217" t="s">
        <v>1855</v>
      </c>
      <c r="K1599" s="217">
        <v>7</v>
      </c>
      <c r="L1599" s="217">
        <v>100</v>
      </c>
      <c r="M1599" s="217" t="s">
        <v>31</v>
      </c>
      <c r="N1599" s="217" t="s">
        <v>32</v>
      </c>
      <c r="O1599" s="217" t="s">
        <v>141</v>
      </c>
      <c r="P1599" s="217" t="s">
        <v>142</v>
      </c>
      <c r="Q1599" s="217" t="s">
        <v>143</v>
      </c>
      <c r="R1599" s="217" t="s">
        <v>618</v>
      </c>
      <c r="S1599" s="217" t="s">
        <v>619</v>
      </c>
      <c r="T1599" s="217" t="s">
        <v>32</v>
      </c>
      <c r="U1599" s="217" t="s">
        <v>32</v>
      </c>
      <c r="V1599" s="217" t="s">
        <v>32</v>
      </c>
      <c r="W1599" s="217" t="s">
        <v>32</v>
      </c>
    </row>
    <row r="1600" spans="1:23" x14ac:dyDescent="0.25">
      <c r="A1600" s="217" t="s">
        <v>22</v>
      </c>
      <c r="B1600" s="217" t="s">
        <v>23</v>
      </c>
      <c r="C1600" s="217" t="s">
        <v>85</v>
      </c>
      <c r="D1600" s="217" t="s">
        <v>84</v>
      </c>
      <c r="E1600" s="217" t="s">
        <v>88</v>
      </c>
      <c r="F1600" s="217" t="s">
        <v>89</v>
      </c>
      <c r="G1600" s="217" t="s">
        <v>669</v>
      </c>
      <c r="H1600" s="217" t="s">
        <v>1558</v>
      </c>
      <c r="I1600" s="217" t="s">
        <v>659</v>
      </c>
      <c r="J1600" s="217" t="s">
        <v>1858</v>
      </c>
      <c r="K1600" s="217">
        <v>1</v>
      </c>
      <c r="L1600" s="217">
        <v>3</v>
      </c>
      <c r="M1600" s="217" t="s">
        <v>31</v>
      </c>
      <c r="N1600" s="217" t="s">
        <v>32</v>
      </c>
      <c r="O1600" s="217" t="s">
        <v>668</v>
      </c>
      <c r="P1600" s="217" t="s">
        <v>34</v>
      </c>
      <c r="Q1600" s="217" t="s">
        <v>35</v>
      </c>
      <c r="R1600" s="217" t="s">
        <v>23</v>
      </c>
      <c r="S1600" s="217" t="s">
        <v>22</v>
      </c>
      <c r="T1600" s="217" t="s">
        <v>84</v>
      </c>
      <c r="U1600" s="217" t="s">
        <v>85</v>
      </c>
      <c r="V1600" s="217" t="s">
        <v>32</v>
      </c>
      <c r="W1600" s="217" t="s">
        <v>32</v>
      </c>
    </row>
    <row r="1601" spans="1:23" x14ac:dyDescent="0.25">
      <c r="A1601" s="217" t="s">
        <v>22</v>
      </c>
      <c r="B1601" s="217" t="s">
        <v>23</v>
      </c>
      <c r="C1601" s="217" t="s">
        <v>85</v>
      </c>
      <c r="D1601" s="217" t="s">
        <v>84</v>
      </c>
      <c r="E1601" s="217" t="s">
        <v>88</v>
      </c>
      <c r="F1601" s="217" t="s">
        <v>89</v>
      </c>
      <c r="G1601" s="217" t="s">
        <v>669</v>
      </c>
      <c r="H1601" s="217" t="s">
        <v>1558</v>
      </c>
      <c r="I1601" s="217" t="s">
        <v>659</v>
      </c>
      <c r="J1601" s="217" t="s">
        <v>1855</v>
      </c>
      <c r="K1601" s="217">
        <v>6</v>
      </c>
      <c r="L1601" s="217">
        <v>64</v>
      </c>
      <c r="M1601" s="217" t="s">
        <v>31</v>
      </c>
      <c r="N1601" s="217" t="s">
        <v>32</v>
      </c>
      <c r="O1601" s="217" t="s">
        <v>141</v>
      </c>
      <c r="P1601" s="217" t="s">
        <v>142</v>
      </c>
      <c r="Q1601" s="217" t="s">
        <v>143</v>
      </c>
      <c r="R1601" s="217" t="s">
        <v>618</v>
      </c>
      <c r="S1601" s="217" t="s">
        <v>619</v>
      </c>
      <c r="T1601" s="217" t="s">
        <v>32</v>
      </c>
      <c r="U1601" s="217" t="s">
        <v>32</v>
      </c>
      <c r="V1601" s="217" t="s">
        <v>32</v>
      </c>
      <c r="W1601" s="217" t="s">
        <v>32</v>
      </c>
    </row>
    <row r="1602" spans="1:23" x14ac:dyDescent="0.25">
      <c r="A1602" s="217" t="s">
        <v>22</v>
      </c>
      <c r="B1602" s="217" t="s">
        <v>23</v>
      </c>
      <c r="C1602" s="217" t="s">
        <v>85</v>
      </c>
      <c r="D1602" s="217" t="s">
        <v>84</v>
      </c>
      <c r="E1602" s="217" t="s">
        <v>88</v>
      </c>
      <c r="F1602" s="217" t="s">
        <v>89</v>
      </c>
      <c r="G1602" s="217" t="s">
        <v>1809</v>
      </c>
      <c r="H1602" s="217" t="s">
        <v>1808</v>
      </c>
      <c r="I1602" s="217" t="s">
        <v>659</v>
      </c>
      <c r="J1602" s="217" t="s">
        <v>1857</v>
      </c>
      <c r="K1602" s="217">
        <v>4</v>
      </c>
      <c r="L1602" s="217">
        <v>15</v>
      </c>
      <c r="M1602" s="217" t="s">
        <v>31</v>
      </c>
      <c r="N1602" s="217" t="s">
        <v>32</v>
      </c>
      <c r="O1602" s="217" t="s">
        <v>668</v>
      </c>
      <c r="P1602" s="217" t="s">
        <v>34</v>
      </c>
      <c r="Q1602" s="217" t="s">
        <v>35</v>
      </c>
      <c r="R1602" s="217" t="s">
        <v>23</v>
      </c>
      <c r="S1602" s="217" t="s">
        <v>22</v>
      </c>
      <c r="T1602" s="217" t="s">
        <v>84</v>
      </c>
      <c r="U1602" s="217" t="s">
        <v>85</v>
      </c>
      <c r="V1602" s="217" t="s">
        <v>32</v>
      </c>
      <c r="W1602" s="217" t="s">
        <v>32</v>
      </c>
    </row>
    <row r="1603" spans="1:23" x14ac:dyDescent="0.25">
      <c r="A1603" s="217" t="s">
        <v>22</v>
      </c>
      <c r="B1603" s="217" t="s">
        <v>23</v>
      </c>
      <c r="C1603" s="217" t="s">
        <v>85</v>
      </c>
      <c r="D1603" s="217" t="s">
        <v>84</v>
      </c>
      <c r="E1603" s="217" t="s">
        <v>88</v>
      </c>
      <c r="F1603" s="217" t="s">
        <v>89</v>
      </c>
      <c r="G1603" s="217" t="s">
        <v>1809</v>
      </c>
      <c r="H1603" s="217" t="s">
        <v>1808</v>
      </c>
      <c r="I1603" s="217" t="s">
        <v>659</v>
      </c>
      <c r="J1603" s="217" t="s">
        <v>1858</v>
      </c>
      <c r="K1603" s="217">
        <v>5</v>
      </c>
      <c r="L1603" s="217">
        <v>22</v>
      </c>
      <c r="M1603" s="217" t="s">
        <v>31</v>
      </c>
      <c r="N1603" s="217" t="s">
        <v>32</v>
      </c>
      <c r="O1603" s="217" t="s">
        <v>668</v>
      </c>
      <c r="P1603" s="217" t="s">
        <v>34</v>
      </c>
      <c r="Q1603" s="217" t="s">
        <v>35</v>
      </c>
      <c r="R1603" s="217" t="s">
        <v>23</v>
      </c>
      <c r="S1603" s="217" t="s">
        <v>22</v>
      </c>
      <c r="T1603" s="217" t="s">
        <v>84</v>
      </c>
      <c r="U1603" s="217" t="s">
        <v>85</v>
      </c>
      <c r="V1603" s="217" t="s">
        <v>32</v>
      </c>
      <c r="W1603" s="217" t="s">
        <v>32</v>
      </c>
    </row>
    <row r="1604" spans="1:23" x14ac:dyDescent="0.25">
      <c r="A1604" s="217" t="s">
        <v>22</v>
      </c>
      <c r="B1604" s="217" t="s">
        <v>23</v>
      </c>
      <c r="C1604" s="217" t="s">
        <v>85</v>
      </c>
      <c r="D1604" s="217" t="s">
        <v>84</v>
      </c>
      <c r="E1604" s="217" t="s">
        <v>88</v>
      </c>
      <c r="F1604" s="217" t="s">
        <v>89</v>
      </c>
      <c r="G1604" s="217" t="s">
        <v>108</v>
      </c>
      <c r="H1604" s="217" t="s">
        <v>917</v>
      </c>
      <c r="I1604" s="217" t="s">
        <v>659</v>
      </c>
      <c r="J1604" s="217" t="s">
        <v>1856</v>
      </c>
      <c r="K1604" s="217">
        <v>6</v>
      </c>
      <c r="L1604" s="217">
        <v>50</v>
      </c>
      <c r="M1604" s="217" t="s">
        <v>31</v>
      </c>
      <c r="N1604" s="217" t="s">
        <v>32</v>
      </c>
      <c r="O1604" s="217" t="s">
        <v>668</v>
      </c>
      <c r="P1604" s="217" t="s">
        <v>34</v>
      </c>
      <c r="Q1604" s="217" t="s">
        <v>35</v>
      </c>
      <c r="R1604" s="217" t="s">
        <v>23</v>
      </c>
      <c r="S1604" s="217" t="s">
        <v>22</v>
      </c>
      <c r="T1604" s="217" t="s">
        <v>84</v>
      </c>
      <c r="U1604" s="217" t="s">
        <v>85</v>
      </c>
      <c r="V1604" s="217" t="s">
        <v>32</v>
      </c>
      <c r="W1604" s="217" t="s">
        <v>32</v>
      </c>
    </row>
    <row r="1605" spans="1:23" x14ac:dyDescent="0.25">
      <c r="A1605" s="217" t="s">
        <v>22</v>
      </c>
      <c r="B1605" s="217" t="s">
        <v>23</v>
      </c>
      <c r="C1605" s="217" t="s">
        <v>85</v>
      </c>
      <c r="D1605" s="217" t="s">
        <v>84</v>
      </c>
      <c r="E1605" s="217" t="s">
        <v>88</v>
      </c>
      <c r="F1605" s="217" t="s">
        <v>89</v>
      </c>
      <c r="G1605" s="217" t="s">
        <v>108</v>
      </c>
      <c r="H1605" s="217" t="s">
        <v>917</v>
      </c>
      <c r="I1605" s="217" t="s">
        <v>659</v>
      </c>
      <c r="J1605" s="217" t="s">
        <v>1857</v>
      </c>
      <c r="K1605" s="217">
        <v>1</v>
      </c>
      <c r="L1605" s="217">
        <v>8</v>
      </c>
      <c r="M1605" s="217" t="s">
        <v>31</v>
      </c>
      <c r="N1605" s="217" t="s">
        <v>32</v>
      </c>
      <c r="O1605" s="217" t="s">
        <v>668</v>
      </c>
      <c r="P1605" s="217" t="s">
        <v>34</v>
      </c>
      <c r="Q1605" s="217" t="s">
        <v>35</v>
      </c>
      <c r="R1605" s="217" t="s">
        <v>23</v>
      </c>
      <c r="S1605" s="217" t="s">
        <v>22</v>
      </c>
      <c r="T1605" s="217" t="s">
        <v>84</v>
      </c>
      <c r="U1605" s="217" t="s">
        <v>85</v>
      </c>
      <c r="V1605" s="217" t="s">
        <v>32</v>
      </c>
      <c r="W1605" s="217" t="s">
        <v>32</v>
      </c>
    </row>
    <row r="1606" spans="1:23" x14ac:dyDescent="0.25">
      <c r="A1606" s="217" t="s">
        <v>22</v>
      </c>
      <c r="B1606" s="217" t="s">
        <v>23</v>
      </c>
      <c r="C1606" s="217" t="s">
        <v>85</v>
      </c>
      <c r="D1606" s="217" t="s">
        <v>84</v>
      </c>
      <c r="E1606" s="217" t="s">
        <v>95</v>
      </c>
      <c r="F1606" s="217" t="s">
        <v>94</v>
      </c>
      <c r="G1606" s="217" t="s">
        <v>115</v>
      </c>
      <c r="H1606" s="217" t="s">
        <v>923</v>
      </c>
      <c r="I1606" s="217" t="s">
        <v>659</v>
      </c>
      <c r="J1606" s="217" t="s">
        <v>1858</v>
      </c>
      <c r="K1606" s="217">
        <v>25</v>
      </c>
      <c r="L1606" s="217">
        <v>212</v>
      </c>
      <c r="M1606" s="217" t="s">
        <v>31</v>
      </c>
      <c r="N1606" s="217" t="s">
        <v>32</v>
      </c>
      <c r="O1606" s="217" t="s">
        <v>668</v>
      </c>
      <c r="P1606" s="217" t="s">
        <v>34</v>
      </c>
      <c r="Q1606" s="217" t="s">
        <v>35</v>
      </c>
      <c r="R1606" s="217" t="s">
        <v>23</v>
      </c>
      <c r="S1606" s="217" t="s">
        <v>22</v>
      </c>
      <c r="T1606" s="217" t="s">
        <v>84</v>
      </c>
      <c r="U1606" s="217" t="s">
        <v>85</v>
      </c>
      <c r="V1606" s="217" t="s">
        <v>32</v>
      </c>
      <c r="W1606" s="217" t="s">
        <v>32</v>
      </c>
    </row>
    <row r="1607" spans="1:23" x14ac:dyDescent="0.25">
      <c r="A1607" s="217" t="s">
        <v>22</v>
      </c>
      <c r="B1607" s="217" t="s">
        <v>23</v>
      </c>
      <c r="C1607" s="217" t="s">
        <v>85</v>
      </c>
      <c r="D1607" s="217" t="s">
        <v>84</v>
      </c>
      <c r="E1607" s="217" t="s">
        <v>95</v>
      </c>
      <c r="F1607" s="217" t="s">
        <v>94</v>
      </c>
      <c r="G1607" s="217" t="s">
        <v>263</v>
      </c>
      <c r="H1607" s="217" t="s">
        <v>930</v>
      </c>
      <c r="I1607" s="217" t="s">
        <v>659</v>
      </c>
      <c r="J1607" s="217" t="s">
        <v>1856</v>
      </c>
      <c r="K1607" s="217">
        <v>5</v>
      </c>
      <c r="L1607" s="217">
        <v>41</v>
      </c>
      <c r="M1607" s="217" t="s">
        <v>31</v>
      </c>
      <c r="N1607" s="217" t="s">
        <v>32</v>
      </c>
      <c r="O1607" s="217" t="s">
        <v>668</v>
      </c>
      <c r="P1607" s="217" t="s">
        <v>34</v>
      </c>
      <c r="Q1607" s="217" t="s">
        <v>35</v>
      </c>
      <c r="R1607" s="217" t="s">
        <v>23</v>
      </c>
      <c r="S1607" s="217" t="s">
        <v>22</v>
      </c>
      <c r="T1607" s="217" t="s">
        <v>84</v>
      </c>
      <c r="U1607" s="217" t="s">
        <v>85</v>
      </c>
      <c r="V1607" s="217" t="s">
        <v>32</v>
      </c>
      <c r="W1607" s="217" t="s">
        <v>32</v>
      </c>
    </row>
    <row r="1608" spans="1:23" x14ac:dyDescent="0.25">
      <c r="A1608" s="217" t="s">
        <v>22</v>
      </c>
      <c r="B1608" s="217" t="s">
        <v>23</v>
      </c>
      <c r="C1608" s="217" t="s">
        <v>85</v>
      </c>
      <c r="D1608" s="217" t="s">
        <v>84</v>
      </c>
      <c r="E1608" s="217" t="s">
        <v>95</v>
      </c>
      <c r="F1608" s="217" t="s">
        <v>94</v>
      </c>
      <c r="G1608" s="217" t="s">
        <v>263</v>
      </c>
      <c r="H1608" s="217" t="s">
        <v>930</v>
      </c>
      <c r="I1608" s="217" t="s">
        <v>659</v>
      </c>
      <c r="J1608" s="217" t="s">
        <v>1858</v>
      </c>
      <c r="K1608" s="217">
        <v>3</v>
      </c>
      <c r="L1608" s="217">
        <v>21</v>
      </c>
      <c r="M1608" s="217" t="s">
        <v>31</v>
      </c>
      <c r="N1608" s="217" t="s">
        <v>32</v>
      </c>
      <c r="O1608" s="217" t="s">
        <v>668</v>
      </c>
      <c r="P1608" s="217" t="s">
        <v>34</v>
      </c>
      <c r="Q1608" s="217" t="s">
        <v>35</v>
      </c>
      <c r="R1608" s="217" t="s">
        <v>23</v>
      </c>
      <c r="S1608" s="217" t="s">
        <v>22</v>
      </c>
      <c r="T1608" s="217" t="s">
        <v>84</v>
      </c>
      <c r="U1608" s="217" t="s">
        <v>85</v>
      </c>
      <c r="V1608" s="217" t="s">
        <v>32</v>
      </c>
      <c r="W1608" s="217" t="s">
        <v>32</v>
      </c>
    </row>
    <row r="1609" spans="1:23" x14ac:dyDescent="0.25">
      <c r="A1609" s="217" t="s">
        <v>22</v>
      </c>
      <c r="B1609" s="217" t="s">
        <v>23</v>
      </c>
      <c r="C1609" s="217" t="s">
        <v>85</v>
      </c>
      <c r="D1609" s="217" t="s">
        <v>84</v>
      </c>
      <c r="E1609" s="217" t="s">
        <v>95</v>
      </c>
      <c r="F1609" s="217" t="s">
        <v>94</v>
      </c>
      <c r="G1609" s="217" t="s">
        <v>270</v>
      </c>
      <c r="H1609" s="217" t="s">
        <v>937</v>
      </c>
      <c r="I1609" s="217" t="s">
        <v>659</v>
      </c>
      <c r="J1609" s="217" t="s">
        <v>1856</v>
      </c>
      <c r="K1609" s="217">
        <v>22</v>
      </c>
      <c r="L1609" s="217">
        <v>155</v>
      </c>
      <c r="M1609" s="217" t="s">
        <v>31</v>
      </c>
      <c r="N1609" s="217" t="s">
        <v>32</v>
      </c>
      <c r="O1609" s="217" t="s">
        <v>668</v>
      </c>
      <c r="P1609" s="217" t="s">
        <v>34</v>
      </c>
      <c r="Q1609" s="217" t="s">
        <v>35</v>
      </c>
      <c r="R1609" s="217" t="s">
        <v>23</v>
      </c>
      <c r="S1609" s="217" t="s">
        <v>22</v>
      </c>
      <c r="T1609" s="217" t="s">
        <v>84</v>
      </c>
      <c r="U1609" s="217" t="s">
        <v>85</v>
      </c>
      <c r="V1609" s="217" t="s">
        <v>32</v>
      </c>
      <c r="W1609" s="217" t="s">
        <v>32</v>
      </c>
    </row>
    <row r="1610" spans="1:23" x14ac:dyDescent="0.25">
      <c r="A1610" s="217" t="s">
        <v>22</v>
      </c>
      <c r="B1610" s="217" t="s">
        <v>23</v>
      </c>
      <c r="C1610" s="217" t="s">
        <v>85</v>
      </c>
      <c r="D1610" s="217" t="s">
        <v>84</v>
      </c>
      <c r="E1610" s="217" t="s">
        <v>92</v>
      </c>
      <c r="F1610" s="217" t="s">
        <v>91</v>
      </c>
      <c r="G1610" s="217" t="s">
        <v>274</v>
      </c>
      <c r="H1610" s="217" t="s">
        <v>941</v>
      </c>
      <c r="I1610" s="217" t="s">
        <v>659</v>
      </c>
      <c r="J1610" s="217" t="s">
        <v>1859</v>
      </c>
      <c r="K1610" s="217">
        <v>11</v>
      </c>
      <c r="L1610" s="217">
        <v>97</v>
      </c>
      <c r="M1610" s="217" t="s">
        <v>31</v>
      </c>
      <c r="N1610" s="217" t="s">
        <v>32</v>
      </c>
      <c r="O1610" s="217" t="s">
        <v>668</v>
      </c>
      <c r="P1610" s="217" t="s">
        <v>34</v>
      </c>
      <c r="Q1610" s="217" t="s">
        <v>35</v>
      </c>
      <c r="R1610" s="217" t="s">
        <v>23</v>
      </c>
      <c r="S1610" s="217" t="s">
        <v>22</v>
      </c>
      <c r="T1610" s="217" t="s">
        <v>84</v>
      </c>
      <c r="U1610" s="217" t="s">
        <v>85</v>
      </c>
      <c r="V1610" s="217" t="s">
        <v>32</v>
      </c>
      <c r="W1610" s="217" t="s">
        <v>32</v>
      </c>
    </row>
    <row r="1611" spans="1:23" x14ac:dyDescent="0.25">
      <c r="A1611" s="217" t="s">
        <v>22</v>
      </c>
      <c r="B1611" s="217" t="s">
        <v>23</v>
      </c>
      <c r="C1611" s="217" t="s">
        <v>85</v>
      </c>
      <c r="D1611" s="217" t="s">
        <v>84</v>
      </c>
      <c r="E1611" s="217" t="s">
        <v>92</v>
      </c>
      <c r="F1611" s="217" t="s">
        <v>91</v>
      </c>
      <c r="G1611" s="217" t="s">
        <v>280</v>
      </c>
      <c r="H1611" s="217" t="s">
        <v>948</v>
      </c>
      <c r="I1611" s="217" t="s">
        <v>659</v>
      </c>
      <c r="J1611" s="217" t="s">
        <v>1858</v>
      </c>
      <c r="K1611" s="217">
        <v>981</v>
      </c>
      <c r="L1611" s="217">
        <v>7763</v>
      </c>
      <c r="M1611" s="217" t="s">
        <v>31</v>
      </c>
      <c r="N1611" s="217" t="s">
        <v>2150</v>
      </c>
      <c r="O1611" s="217" t="s">
        <v>668</v>
      </c>
      <c r="P1611" s="217" t="s">
        <v>34</v>
      </c>
      <c r="Q1611" s="217" t="s">
        <v>35</v>
      </c>
      <c r="R1611" s="217" t="s">
        <v>23</v>
      </c>
      <c r="S1611" s="217" t="s">
        <v>22</v>
      </c>
      <c r="T1611" s="217" t="s">
        <v>84</v>
      </c>
      <c r="U1611" s="217" t="s">
        <v>85</v>
      </c>
      <c r="V1611" s="217" t="s">
        <v>32</v>
      </c>
      <c r="W1611" s="217" t="s">
        <v>32</v>
      </c>
    </row>
    <row r="1612" spans="1:23" x14ac:dyDescent="0.25">
      <c r="A1612" s="217" t="s">
        <v>22</v>
      </c>
      <c r="B1612" s="217" t="s">
        <v>23</v>
      </c>
      <c r="C1612" s="217" t="s">
        <v>85</v>
      </c>
      <c r="D1612" s="217" t="s">
        <v>84</v>
      </c>
      <c r="E1612" s="217" t="s">
        <v>92</v>
      </c>
      <c r="F1612" s="217" t="s">
        <v>91</v>
      </c>
      <c r="G1612" s="217" t="s">
        <v>2030</v>
      </c>
      <c r="H1612" s="217" t="s">
        <v>2029</v>
      </c>
      <c r="I1612" s="217" t="s">
        <v>659</v>
      </c>
      <c r="J1612" s="217" t="s">
        <v>1858</v>
      </c>
      <c r="K1612" s="217">
        <v>1</v>
      </c>
      <c r="L1612" s="217">
        <v>8</v>
      </c>
      <c r="M1612" s="217" t="s">
        <v>31</v>
      </c>
      <c r="N1612" s="217" t="s">
        <v>32</v>
      </c>
      <c r="O1612" s="217" t="s">
        <v>668</v>
      </c>
      <c r="P1612" s="217" t="s">
        <v>34</v>
      </c>
      <c r="Q1612" s="217" t="s">
        <v>35</v>
      </c>
      <c r="R1612" s="217" t="s">
        <v>23</v>
      </c>
      <c r="S1612" s="217" t="s">
        <v>22</v>
      </c>
      <c r="T1612" s="217" t="s">
        <v>84</v>
      </c>
      <c r="U1612" s="217" t="s">
        <v>85</v>
      </c>
      <c r="V1612" s="217" t="s">
        <v>32</v>
      </c>
      <c r="W1612" s="217" t="s">
        <v>32</v>
      </c>
    </row>
    <row r="1613" spans="1:23" x14ac:dyDescent="0.25">
      <c r="A1613" s="217" t="s">
        <v>22</v>
      </c>
      <c r="B1613" s="217" t="s">
        <v>23</v>
      </c>
      <c r="C1613" s="217" t="s">
        <v>85</v>
      </c>
      <c r="D1613" s="217" t="s">
        <v>84</v>
      </c>
      <c r="E1613" s="217" t="s">
        <v>92</v>
      </c>
      <c r="F1613" s="217" t="s">
        <v>91</v>
      </c>
      <c r="G1613" s="217" t="s">
        <v>290</v>
      </c>
      <c r="H1613" s="217" t="s">
        <v>968</v>
      </c>
      <c r="I1613" s="217" t="s">
        <v>659</v>
      </c>
      <c r="J1613" s="217" t="s">
        <v>1858</v>
      </c>
      <c r="K1613" s="217">
        <v>27</v>
      </c>
      <c r="L1613" s="217">
        <v>200</v>
      </c>
      <c r="M1613" s="217" t="s">
        <v>31</v>
      </c>
      <c r="N1613" s="217" t="s">
        <v>32</v>
      </c>
      <c r="O1613" s="217" t="s">
        <v>668</v>
      </c>
      <c r="P1613" s="217" t="s">
        <v>34</v>
      </c>
      <c r="Q1613" s="217" t="s">
        <v>35</v>
      </c>
      <c r="R1613" s="217" t="s">
        <v>23</v>
      </c>
      <c r="S1613" s="217" t="s">
        <v>22</v>
      </c>
      <c r="T1613" s="217" t="s">
        <v>84</v>
      </c>
      <c r="U1613" s="217" t="s">
        <v>85</v>
      </c>
      <c r="V1613" s="217" t="s">
        <v>32</v>
      </c>
      <c r="W1613" s="217" t="s">
        <v>32</v>
      </c>
    </row>
    <row r="1614" spans="1:23" x14ac:dyDescent="0.25">
      <c r="A1614" s="217" t="s">
        <v>22</v>
      </c>
      <c r="B1614" s="217" t="s">
        <v>23</v>
      </c>
      <c r="C1614" s="217" t="s">
        <v>85</v>
      </c>
      <c r="D1614" s="217" t="s">
        <v>84</v>
      </c>
      <c r="E1614" s="217" t="s">
        <v>92</v>
      </c>
      <c r="F1614" s="217" t="s">
        <v>91</v>
      </c>
      <c r="G1614" s="217" t="s">
        <v>290</v>
      </c>
      <c r="H1614" s="217" t="s">
        <v>968</v>
      </c>
      <c r="I1614" s="217" t="s">
        <v>659</v>
      </c>
      <c r="J1614" s="217" t="s">
        <v>1859</v>
      </c>
      <c r="K1614" s="217">
        <v>169</v>
      </c>
      <c r="L1614" s="217">
        <v>1220</v>
      </c>
      <c r="M1614" s="217" t="s">
        <v>31</v>
      </c>
      <c r="N1614" s="217" t="s">
        <v>32</v>
      </c>
      <c r="O1614" s="217" t="s">
        <v>668</v>
      </c>
      <c r="P1614" s="217" t="s">
        <v>34</v>
      </c>
      <c r="Q1614" s="217" t="s">
        <v>35</v>
      </c>
      <c r="R1614" s="217" t="s">
        <v>23</v>
      </c>
      <c r="S1614" s="217" t="s">
        <v>22</v>
      </c>
      <c r="T1614" s="217" t="s">
        <v>84</v>
      </c>
      <c r="U1614" s="217" t="s">
        <v>85</v>
      </c>
      <c r="V1614" s="217" t="s">
        <v>32</v>
      </c>
      <c r="W1614" s="217" t="s">
        <v>32</v>
      </c>
    </row>
    <row r="1615" spans="1:23" x14ac:dyDescent="0.25">
      <c r="A1615" s="217" t="s">
        <v>22</v>
      </c>
      <c r="B1615" s="217" t="s">
        <v>23</v>
      </c>
      <c r="C1615" s="217" t="s">
        <v>85</v>
      </c>
      <c r="D1615" s="217" t="s">
        <v>84</v>
      </c>
      <c r="E1615" s="217" t="s">
        <v>110</v>
      </c>
      <c r="F1615" s="217" t="s">
        <v>109</v>
      </c>
      <c r="G1615" s="217" t="s">
        <v>322</v>
      </c>
      <c r="H1615" s="217" t="s">
        <v>1006</v>
      </c>
      <c r="I1615" s="217" t="s">
        <v>659</v>
      </c>
      <c r="J1615" s="217" t="s">
        <v>1859</v>
      </c>
      <c r="K1615" s="217">
        <v>21</v>
      </c>
      <c r="L1615" s="217">
        <v>147</v>
      </c>
      <c r="M1615" s="217" t="s">
        <v>31</v>
      </c>
      <c r="N1615" s="217" t="s">
        <v>32</v>
      </c>
      <c r="O1615" s="217" t="s">
        <v>668</v>
      </c>
      <c r="P1615" s="217" t="s">
        <v>34</v>
      </c>
      <c r="Q1615" s="217" t="s">
        <v>35</v>
      </c>
      <c r="R1615" s="217" t="s">
        <v>23</v>
      </c>
      <c r="S1615" s="217" t="s">
        <v>22</v>
      </c>
      <c r="T1615" s="217" t="s">
        <v>84</v>
      </c>
      <c r="U1615" s="217" t="s">
        <v>85</v>
      </c>
      <c r="V1615" s="217" t="s">
        <v>32</v>
      </c>
      <c r="W1615" s="217" t="s">
        <v>32</v>
      </c>
    </row>
    <row r="1616" spans="1:23" x14ac:dyDescent="0.25">
      <c r="A1616" s="217" t="s">
        <v>22</v>
      </c>
      <c r="B1616" s="217" t="s">
        <v>23</v>
      </c>
      <c r="C1616" s="217" t="s">
        <v>85</v>
      </c>
      <c r="D1616" s="217" t="s">
        <v>84</v>
      </c>
      <c r="E1616" s="217" t="s">
        <v>110</v>
      </c>
      <c r="F1616" s="217" t="s">
        <v>109</v>
      </c>
      <c r="G1616" s="217" t="s">
        <v>148</v>
      </c>
      <c r="H1616" s="217" t="s">
        <v>1012</v>
      </c>
      <c r="I1616" s="217" t="s">
        <v>659</v>
      </c>
      <c r="J1616" s="217" t="s">
        <v>1858</v>
      </c>
      <c r="K1616" s="217">
        <v>46</v>
      </c>
      <c r="L1616" s="217">
        <v>368</v>
      </c>
      <c r="M1616" s="217" t="s">
        <v>31</v>
      </c>
      <c r="N1616" s="217" t="s">
        <v>32</v>
      </c>
      <c r="O1616" s="217" t="s">
        <v>668</v>
      </c>
      <c r="P1616" s="217" t="s">
        <v>34</v>
      </c>
      <c r="Q1616" s="217" t="s">
        <v>35</v>
      </c>
      <c r="R1616" s="217" t="s">
        <v>23</v>
      </c>
      <c r="S1616" s="217" t="s">
        <v>22</v>
      </c>
      <c r="T1616" s="217" t="s">
        <v>84</v>
      </c>
      <c r="U1616" s="217" t="s">
        <v>85</v>
      </c>
      <c r="V1616" s="217" t="s">
        <v>32</v>
      </c>
      <c r="W1616" s="217" t="s">
        <v>32</v>
      </c>
    </row>
    <row r="1617" spans="1:23" x14ac:dyDescent="0.25">
      <c r="A1617" s="217" t="s">
        <v>22</v>
      </c>
      <c r="B1617" s="217" t="s">
        <v>23</v>
      </c>
      <c r="C1617" s="217" t="s">
        <v>85</v>
      </c>
      <c r="D1617" s="217" t="s">
        <v>84</v>
      </c>
      <c r="E1617" s="217" t="s">
        <v>110</v>
      </c>
      <c r="F1617" s="217" t="s">
        <v>109</v>
      </c>
      <c r="G1617" s="217" t="s">
        <v>148</v>
      </c>
      <c r="H1617" s="217" t="s">
        <v>1012</v>
      </c>
      <c r="I1617" s="217" t="s">
        <v>659</v>
      </c>
      <c r="J1617" s="217" t="s">
        <v>1859</v>
      </c>
      <c r="K1617" s="217">
        <v>55</v>
      </c>
      <c r="L1617" s="217">
        <v>440</v>
      </c>
      <c r="M1617" s="217" t="s">
        <v>31</v>
      </c>
      <c r="N1617" s="217" t="s">
        <v>32</v>
      </c>
      <c r="O1617" s="217" t="s">
        <v>668</v>
      </c>
      <c r="P1617" s="217" t="s">
        <v>34</v>
      </c>
      <c r="Q1617" s="217" t="s">
        <v>35</v>
      </c>
      <c r="R1617" s="217" t="s">
        <v>23</v>
      </c>
      <c r="S1617" s="217" t="s">
        <v>22</v>
      </c>
      <c r="T1617" s="217" t="s">
        <v>84</v>
      </c>
      <c r="U1617" s="217" t="s">
        <v>85</v>
      </c>
      <c r="V1617" s="217" t="s">
        <v>32</v>
      </c>
      <c r="W1617" s="217" t="s">
        <v>32</v>
      </c>
    </row>
    <row r="1618" spans="1:23" x14ac:dyDescent="0.25">
      <c r="A1618" s="217" t="s">
        <v>22</v>
      </c>
      <c r="B1618" s="217" t="s">
        <v>23</v>
      </c>
      <c r="C1618" s="217" t="s">
        <v>85</v>
      </c>
      <c r="D1618" s="217" t="s">
        <v>84</v>
      </c>
      <c r="E1618" s="217" t="s">
        <v>110</v>
      </c>
      <c r="F1618" s="217" t="s">
        <v>109</v>
      </c>
      <c r="G1618" s="217" t="s">
        <v>149</v>
      </c>
      <c r="H1618" s="217" t="s">
        <v>1013</v>
      </c>
      <c r="I1618" s="217" t="s">
        <v>659</v>
      </c>
      <c r="J1618" s="217" t="s">
        <v>1857</v>
      </c>
      <c r="K1618" s="217">
        <v>96</v>
      </c>
      <c r="L1618" s="217">
        <v>512</v>
      </c>
      <c r="M1618" s="217" t="s">
        <v>31</v>
      </c>
      <c r="N1618" s="217" t="s">
        <v>32</v>
      </c>
      <c r="O1618" s="217" t="s">
        <v>668</v>
      </c>
      <c r="P1618" s="217" t="s">
        <v>34</v>
      </c>
      <c r="Q1618" s="217" t="s">
        <v>35</v>
      </c>
      <c r="R1618" s="217" t="s">
        <v>23</v>
      </c>
      <c r="S1618" s="217" t="s">
        <v>22</v>
      </c>
      <c r="T1618" s="217" t="s">
        <v>84</v>
      </c>
      <c r="U1618" s="217" t="s">
        <v>85</v>
      </c>
      <c r="V1618" s="217" t="s">
        <v>32</v>
      </c>
      <c r="W1618" s="217" t="s">
        <v>32</v>
      </c>
    </row>
    <row r="1619" spans="1:23" x14ac:dyDescent="0.25">
      <c r="A1619" s="217" t="s">
        <v>22</v>
      </c>
      <c r="B1619" s="217" t="s">
        <v>23</v>
      </c>
      <c r="C1619" s="217" t="s">
        <v>85</v>
      </c>
      <c r="D1619" s="217" t="s">
        <v>84</v>
      </c>
      <c r="E1619" s="217" t="s">
        <v>157</v>
      </c>
      <c r="F1619" s="217" t="s">
        <v>156</v>
      </c>
      <c r="G1619" s="217" t="s">
        <v>345</v>
      </c>
      <c r="H1619" s="217" t="s">
        <v>1032</v>
      </c>
      <c r="I1619" s="217" t="s">
        <v>659</v>
      </c>
      <c r="J1619" s="217" t="s">
        <v>1858</v>
      </c>
      <c r="K1619" s="217">
        <v>1</v>
      </c>
      <c r="L1619" s="217">
        <v>13</v>
      </c>
      <c r="M1619" s="217" t="s">
        <v>637</v>
      </c>
      <c r="N1619" s="217" t="s">
        <v>2151</v>
      </c>
      <c r="O1619" s="217" t="s">
        <v>141</v>
      </c>
      <c r="P1619" s="217" t="s">
        <v>144</v>
      </c>
      <c r="Q1619" s="217" t="s">
        <v>145</v>
      </c>
      <c r="R1619" s="217" t="s">
        <v>2152</v>
      </c>
      <c r="S1619" s="217" t="s">
        <v>2153</v>
      </c>
      <c r="T1619" s="217" t="s">
        <v>32</v>
      </c>
      <c r="U1619" s="217" t="s">
        <v>32</v>
      </c>
      <c r="V1619" s="217" t="s">
        <v>32</v>
      </c>
      <c r="W1619" s="217" t="s">
        <v>32</v>
      </c>
    </row>
    <row r="1620" spans="1:23" x14ac:dyDescent="0.25">
      <c r="A1620" s="217" t="s">
        <v>22</v>
      </c>
      <c r="B1620" s="217" t="s">
        <v>23</v>
      </c>
      <c r="C1620" s="217" t="s">
        <v>85</v>
      </c>
      <c r="D1620" s="217" t="s">
        <v>84</v>
      </c>
      <c r="E1620" s="217" t="s">
        <v>151</v>
      </c>
      <c r="F1620" s="217" t="s">
        <v>150</v>
      </c>
      <c r="G1620" s="217" t="s">
        <v>152</v>
      </c>
      <c r="H1620" s="217" t="s">
        <v>1084</v>
      </c>
      <c r="I1620" s="217" t="s">
        <v>659</v>
      </c>
      <c r="J1620" s="217" t="s">
        <v>1854</v>
      </c>
      <c r="K1620" s="217">
        <v>14</v>
      </c>
      <c r="L1620" s="217">
        <v>70</v>
      </c>
      <c r="M1620" s="217" t="s">
        <v>99</v>
      </c>
      <c r="N1620" s="217" t="s">
        <v>32</v>
      </c>
      <c r="O1620" s="217" t="s">
        <v>668</v>
      </c>
      <c r="P1620" s="217" t="s">
        <v>34</v>
      </c>
      <c r="Q1620" s="217" t="s">
        <v>35</v>
      </c>
      <c r="R1620" s="217" t="s">
        <v>23</v>
      </c>
      <c r="S1620" s="217" t="s">
        <v>22</v>
      </c>
      <c r="T1620" s="217" t="s">
        <v>84</v>
      </c>
      <c r="U1620" s="217" t="s">
        <v>85</v>
      </c>
      <c r="V1620" s="217" t="s">
        <v>32</v>
      </c>
      <c r="W1620" s="217" t="s">
        <v>32</v>
      </c>
    </row>
    <row r="1621" spans="1:23" x14ac:dyDescent="0.25">
      <c r="A1621" s="217" t="s">
        <v>22</v>
      </c>
      <c r="B1621" s="217" t="s">
        <v>23</v>
      </c>
      <c r="C1621" s="217" t="s">
        <v>85</v>
      </c>
      <c r="D1621" s="217" t="s">
        <v>84</v>
      </c>
      <c r="E1621" s="217" t="s">
        <v>98</v>
      </c>
      <c r="F1621" s="217" t="s">
        <v>97</v>
      </c>
      <c r="G1621" s="217" t="s">
        <v>153</v>
      </c>
      <c r="H1621" s="217" t="s">
        <v>1117</v>
      </c>
      <c r="I1621" s="217" t="s">
        <v>659</v>
      </c>
      <c r="J1621" s="217" t="s">
        <v>1856</v>
      </c>
      <c r="K1621" s="217">
        <v>141</v>
      </c>
      <c r="L1621" s="217">
        <v>1199</v>
      </c>
      <c r="M1621" s="217" t="s">
        <v>31</v>
      </c>
      <c r="N1621" s="217" t="s">
        <v>32</v>
      </c>
      <c r="O1621" s="217" t="s">
        <v>668</v>
      </c>
      <c r="P1621" s="217" t="s">
        <v>34</v>
      </c>
      <c r="Q1621" s="217" t="s">
        <v>35</v>
      </c>
      <c r="R1621" s="217" t="s">
        <v>23</v>
      </c>
      <c r="S1621" s="217" t="s">
        <v>22</v>
      </c>
      <c r="T1621" s="217" t="s">
        <v>84</v>
      </c>
      <c r="U1621" s="217" t="s">
        <v>85</v>
      </c>
      <c r="V1621" s="217" t="s">
        <v>32</v>
      </c>
      <c r="W1621" s="217" t="s">
        <v>32</v>
      </c>
    </row>
    <row r="1622" spans="1:23" x14ac:dyDescent="0.25">
      <c r="A1622" s="217" t="s">
        <v>22</v>
      </c>
      <c r="B1622" s="217" t="s">
        <v>23</v>
      </c>
      <c r="C1622" s="217" t="s">
        <v>85</v>
      </c>
      <c r="D1622" s="217" t="s">
        <v>84</v>
      </c>
      <c r="E1622" s="217" t="s">
        <v>98</v>
      </c>
      <c r="F1622" s="217" t="s">
        <v>97</v>
      </c>
      <c r="G1622" s="217" t="s">
        <v>153</v>
      </c>
      <c r="H1622" s="217" t="s">
        <v>1117</v>
      </c>
      <c r="I1622" s="217" t="s">
        <v>659</v>
      </c>
      <c r="J1622" s="217" t="s">
        <v>1857</v>
      </c>
      <c r="K1622" s="217">
        <v>566</v>
      </c>
      <c r="L1622" s="217">
        <v>4512</v>
      </c>
      <c r="M1622" s="217" t="s">
        <v>31</v>
      </c>
      <c r="N1622" s="217" t="s">
        <v>32</v>
      </c>
      <c r="O1622" s="217" t="s">
        <v>668</v>
      </c>
      <c r="P1622" s="217" t="s">
        <v>34</v>
      </c>
      <c r="Q1622" s="217" t="s">
        <v>35</v>
      </c>
      <c r="R1622" s="217" t="s">
        <v>23</v>
      </c>
      <c r="S1622" s="217" t="s">
        <v>22</v>
      </c>
      <c r="T1622" s="217" t="s">
        <v>84</v>
      </c>
      <c r="U1622" s="217" t="s">
        <v>85</v>
      </c>
      <c r="V1622" s="217" t="s">
        <v>32</v>
      </c>
      <c r="W1622" s="217" t="s">
        <v>32</v>
      </c>
    </row>
    <row r="1623" spans="1:23" x14ac:dyDescent="0.25">
      <c r="A1623" s="217" t="s">
        <v>22</v>
      </c>
      <c r="B1623" s="217" t="s">
        <v>23</v>
      </c>
      <c r="C1623" s="217" t="s">
        <v>85</v>
      </c>
      <c r="D1623" s="217" t="s">
        <v>84</v>
      </c>
      <c r="E1623" s="217" t="s">
        <v>98</v>
      </c>
      <c r="F1623" s="217" t="s">
        <v>97</v>
      </c>
      <c r="G1623" s="217" t="s">
        <v>153</v>
      </c>
      <c r="H1623" s="217" t="s">
        <v>1117</v>
      </c>
      <c r="I1623" s="217" t="s">
        <v>659</v>
      </c>
      <c r="J1623" s="217" t="s">
        <v>1858</v>
      </c>
      <c r="K1623" s="217">
        <v>42</v>
      </c>
      <c r="L1623" s="217">
        <v>656</v>
      </c>
      <c r="M1623" s="217" t="s">
        <v>31</v>
      </c>
      <c r="N1623" s="217" t="s">
        <v>32</v>
      </c>
      <c r="O1623" s="217" t="s">
        <v>668</v>
      </c>
      <c r="P1623" s="217" t="s">
        <v>34</v>
      </c>
      <c r="Q1623" s="217" t="s">
        <v>35</v>
      </c>
      <c r="R1623" s="217" t="s">
        <v>23</v>
      </c>
      <c r="S1623" s="217" t="s">
        <v>22</v>
      </c>
      <c r="T1623" s="217" t="s">
        <v>84</v>
      </c>
      <c r="U1623" s="217" t="s">
        <v>85</v>
      </c>
      <c r="V1623" s="217" t="s">
        <v>32</v>
      </c>
      <c r="W1623" s="217" t="s">
        <v>32</v>
      </c>
    </row>
    <row r="1624" spans="1:23" x14ac:dyDescent="0.25">
      <c r="A1624" s="217" t="s">
        <v>22</v>
      </c>
      <c r="B1624" s="217" t="s">
        <v>23</v>
      </c>
      <c r="C1624" s="217" t="s">
        <v>85</v>
      </c>
      <c r="D1624" s="217" t="s">
        <v>84</v>
      </c>
      <c r="E1624" s="217" t="s">
        <v>98</v>
      </c>
      <c r="F1624" s="217" t="s">
        <v>97</v>
      </c>
      <c r="G1624" s="217" t="s">
        <v>374</v>
      </c>
      <c r="H1624" s="217" t="s">
        <v>1121</v>
      </c>
      <c r="I1624" s="217" t="s">
        <v>659</v>
      </c>
      <c r="J1624" s="217" t="s">
        <v>1856</v>
      </c>
      <c r="K1624" s="217">
        <v>4</v>
      </c>
      <c r="L1624" s="217">
        <v>18</v>
      </c>
      <c r="M1624" s="217" t="s">
        <v>31</v>
      </c>
      <c r="N1624" s="217" t="s">
        <v>32</v>
      </c>
      <c r="O1624" s="217" t="s">
        <v>141</v>
      </c>
      <c r="P1624" s="217" t="s">
        <v>142</v>
      </c>
      <c r="Q1624" s="217" t="s">
        <v>143</v>
      </c>
      <c r="R1624" s="217" t="s">
        <v>618</v>
      </c>
      <c r="S1624" s="217" t="s">
        <v>619</v>
      </c>
      <c r="T1624" s="217" t="s">
        <v>32</v>
      </c>
      <c r="U1624" s="217" t="s">
        <v>32</v>
      </c>
      <c r="V1624" s="217" t="s">
        <v>32</v>
      </c>
      <c r="W1624" s="217" t="s">
        <v>32</v>
      </c>
    </row>
    <row r="1625" spans="1:23" x14ac:dyDescent="0.25">
      <c r="A1625" s="217" t="s">
        <v>22</v>
      </c>
      <c r="B1625" s="217" t="s">
        <v>23</v>
      </c>
      <c r="C1625" s="217" t="s">
        <v>85</v>
      </c>
      <c r="D1625" s="217" t="s">
        <v>84</v>
      </c>
      <c r="E1625" s="217" t="s">
        <v>98</v>
      </c>
      <c r="F1625" s="217" t="s">
        <v>97</v>
      </c>
      <c r="G1625" s="217" t="s">
        <v>374</v>
      </c>
      <c r="H1625" s="217" t="s">
        <v>1121</v>
      </c>
      <c r="I1625" s="217" t="s">
        <v>659</v>
      </c>
      <c r="J1625" s="217" t="s">
        <v>1857</v>
      </c>
      <c r="K1625" s="217">
        <v>2</v>
      </c>
      <c r="L1625" s="217">
        <v>14</v>
      </c>
      <c r="M1625" s="217" t="s">
        <v>31</v>
      </c>
      <c r="N1625" s="217" t="s">
        <v>32</v>
      </c>
      <c r="O1625" s="217" t="s">
        <v>141</v>
      </c>
      <c r="P1625" s="217" t="s">
        <v>142</v>
      </c>
      <c r="Q1625" s="217" t="s">
        <v>143</v>
      </c>
      <c r="R1625" s="217" t="s">
        <v>618</v>
      </c>
      <c r="S1625" s="217" t="s">
        <v>619</v>
      </c>
      <c r="T1625" s="217" t="s">
        <v>32</v>
      </c>
      <c r="U1625" s="217" t="s">
        <v>32</v>
      </c>
      <c r="V1625" s="217" t="s">
        <v>32</v>
      </c>
      <c r="W1625" s="217" t="s">
        <v>32</v>
      </c>
    </row>
    <row r="1626" spans="1:23" x14ac:dyDescent="0.25">
      <c r="A1626" s="217" t="s">
        <v>22</v>
      </c>
      <c r="B1626" s="217" t="s">
        <v>23</v>
      </c>
      <c r="C1626" s="217" t="s">
        <v>85</v>
      </c>
      <c r="D1626" s="217" t="s">
        <v>84</v>
      </c>
      <c r="E1626" s="217" t="s">
        <v>98</v>
      </c>
      <c r="F1626" s="217" t="s">
        <v>97</v>
      </c>
      <c r="G1626" s="217" t="s">
        <v>383</v>
      </c>
      <c r="H1626" s="217" t="s">
        <v>1141</v>
      </c>
      <c r="I1626" s="217" t="s">
        <v>659</v>
      </c>
      <c r="J1626" s="217" t="s">
        <v>1856</v>
      </c>
      <c r="K1626" s="217">
        <v>2</v>
      </c>
      <c r="L1626" s="217">
        <v>10</v>
      </c>
      <c r="M1626" s="217" t="s">
        <v>31</v>
      </c>
      <c r="N1626" s="217" t="s">
        <v>32</v>
      </c>
      <c r="O1626" s="217" t="s">
        <v>668</v>
      </c>
      <c r="P1626" s="217" t="s">
        <v>34</v>
      </c>
      <c r="Q1626" s="217" t="s">
        <v>35</v>
      </c>
      <c r="R1626" s="217" t="s">
        <v>23</v>
      </c>
      <c r="S1626" s="217" t="s">
        <v>22</v>
      </c>
      <c r="T1626" s="217" t="s">
        <v>84</v>
      </c>
      <c r="U1626" s="217" t="s">
        <v>85</v>
      </c>
      <c r="V1626" s="217" t="s">
        <v>32</v>
      </c>
      <c r="W1626" s="217" t="s">
        <v>32</v>
      </c>
    </row>
    <row r="1627" spans="1:23" x14ac:dyDescent="0.25">
      <c r="A1627" s="217" t="s">
        <v>22</v>
      </c>
      <c r="B1627" s="217" t="s">
        <v>23</v>
      </c>
      <c r="C1627" s="217" t="s">
        <v>85</v>
      </c>
      <c r="D1627" s="217" t="s">
        <v>84</v>
      </c>
      <c r="E1627" s="217" t="s">
        <v>98</v>
      </c>
      <c r="F1627" s="217" t="s">
        <v>97</v>
      </c>
      <c r="G1627" s="217" t="s">
        <v>383</v>
      </c>
      <c r="H1627" s="217" t="s">
        <v>1141</v>
      </c>
      <c r="I1627" s="217" t="s">
        <v>659</v>
      </c>
      <c r="J1627" s="217" t="s">
        <v>1857</v>
      </c>
      <c r="K1627" s="217">
        <v>4</v>
      </c>
      <c r="L1627" s="217">
        <v>20</v>
      </c>
      <c r="M1627" s="217" t="s">
        <v>31</v>
      </c>
      <c r="N1627" s="217" t="s">
        <v>32</v>
      </c>
      <c r="O1627" s="217" t="s">
        <v>668</v>
      </c>
      <c r="P1627" s="217" t="s">
        <v>34</v>
      </c>
      <c r="Q1627" s="217" t="s">
        <v>35</v>
      </c>
      <c r="R1627" s="217" t="s">
        <v>23</v>
      </c>
      <c r="S1627" s="217" t="s">
        <v>22</v>
      </c>
      <c r="T1627" s="217" t="s">
        <v>84</v>
      </c>
      <c r="U1627" s="217" t="s">
        <v>85</v>
      </c>
      <c r="V1627" s="217" t="s">
        <v>32</v>
      </c>
      <c r="W1627" s="217" t="s">
        <v>32</v>
      </c>
    </row>
    <row r="1628" spans="1:23" x14ac:dyDescent="0.25">
      <c r="A1628" s="217" t="s">
        <v>22</v>
      </c>
      <c r="B1628" s="217" t="s">
        <v>23</v>
      </c>
      <c r="C1628" s="217" t="s">
        <v>85</v>
      </c>
      <c r="D1628" s="217" t="s">
        <v>84</v>
      </c>
      <c r="E1628" s="217" t="s">
        <v>98</v>
      </c>
      <c r="F1628" s="217" t="s">
        <v>97</v>
      </c>
      <c r="G1628" s="217" t="s">
        <v>155</v>
      </c>
      <c r="H1628" s="217" t="s">
        <v>1143</v>
      </c>
      <c r="I1628" s="217" t="s">
        <v>659</v>
      </c>
      <c r="J1628" s="217" t="s">
        <v>1856</v>
      </c>
      <c r="K1628" s="217">
        <v>6</v>
      </c>
      <c r="L1628" s="217">
        <v>30</v>
      </c>
      <c r="M1628" s="217" t="s">
        <v>31</v>
      </c>
      <c r="N1628" s="217" t="s">
        <v>32</v>
      </c>
      <c r="O1628" s="217" t="s">
        <v>668</v>
      </c>
      <c r="P1628" s="217" t="s">
        <v>34</v>
      </c>
      <c r="Q1628" s="217" t="s">
        <v>35</v>
      </c>
      <c r="R1628" s="217" t="s">
        <v>23</v>
      </c>
      <c r="S1628" s="217" t="s">
        <v>22</v>
      </c>
      <c r="T1628" s="217" t="s">
        <v>84</v>
      </c>
      <c r="U1628" s="217" t="s">
        <v>85</v>
      </c>
      <c r="V1628" s="217" t="s">
        <v>32</v>
      </c>
      <c r="W1628" s="217" t="s">
        <v>32</v>
      </c>
    </row>
    <row r="1629" spans="1:23" x14ac:dyDescent="0.25">
      <c r="A1629" s="217" t="s">
        <v>22</v>
      </c>
      <c r="B1629" s="217" t="s">
        <v>23</v>
      </c>
      <c r="C1629" s="217" t="s">
        <v>85</v>
      </c>
      <c r="D1629" s="217" t="s">
        <v>84</v>
      </c>
      <c r="E1629" s="217" t="s">
        <v>98</v>
      </c>
      <c r="F1629" s="217" t="s">
        <v>97</v>
      </c>
      <c r="G1629" s="217" t="s">
        <v>155</v>
      </c>
      <c r="H1629" s="217" t="s">
        <v>1143</v>
      </c>
      <c r="I1629" s="217" t="s">
        <v>659</v>
      </c>
      <c r="J1629" s="217" t="s">
        <v>1857</v>
      </c>
      <c r="K1629" s="217">
        <v>10</v>
      </c>
      <c r="L1629" s="217">
        <v>50</v>
      </c>
      <c r="M1629" s="217" t="s">
        <v>31</v>
      </c>
      <c r="N1629" s="217" t="s">
        <v>32</v>
      </c>
      <c r="O1629" s="217" t="s">
        <v>668</v>
      </c>
      <c r="P1629" s="217" t="s">
        <v>34</v>
      </c>
      <c r="Q1629" s="217" t="s">
        <v>35</v>
      </c>
      <c r="R1629" s="217" t="s">
        <v>23</v>
      </c>
      <c r="S1629" s="217" t="s">
        <v>22</v>
      </c>
      <c r="T1629" s="217" t="s">
        <v>84</v>
      </c>
      <c r="U1629" s="217" t="s">
        <v>85</v>
      </c>
      <c r="V1629" s="217" t="s">
        <v>32</v>
      </c>
      <c r="W1629" s="217" t="s">
        <v>32</v>
      </c>
    </row>
    <row r="1630" spans="1:23" x14ac:dyDescent="0.25">
      <c r="A1630" s="217" t="s">
        <v>22</v>
      </c>
      <c r="B1630" s="217" t="s">
        <v>23</v>
      </c>
      <c r="C1630" s="217" t="s">
        <v>85</v>
      </c>
      <c r="D1630" s="217" t="s">
        <v>84</v>
      </c>
      <c r="E1630" s="217" t="s">
        <v>98</v>
      </c>
      <c r="F1630" s="217" t="s">
        <v>97</v>
      </c>
      <c r="G1630" s="217" t="s">
        <v>159</v>
      </c>
      <c r="H1630" s="217" t="s">
        <v>1149</v>
      </c>
      <c r="I1630" s="217" t="s">
        <v>659</v>
      </c>
      <c r="J1630" s="217" t="s">
        <v>1855</v>
      </c>
      <c r="K1630" s="217">
        <v>8</v>
      </c>
      <c r="L1630" s="217">
        <v>12</v>
      </c>
      <c r="M1630" s="217" t="s">
        <v>31</v>
      </c>
      <c r="N1630" s="217" t="s">
        <v>32</v>
      </c>
      <c r="O1630" s="217" t="s">
        <v>668</v>
      </c>
      <c r="P1630" s="217" t="s">
        <v>34</v>
      </c>
      <c r="Q1630" s="217" t="s">
        <v>35</v>
      </c>
      <c r="R1630" s="217" t="s">
        <v>23</v>
      </c>
      <c r="S1630" s="217" t="s">
        <v>22</v>
      </c>
      <c r="T1630" s="217" t="s">
        <v>84</v>
      </c>
      <c r="U1630" s="217" t="s">
        <v>85</v>
      </c>
      <c r="V1630" s="217" t="s">
        <v>32</v>
      </c>
      <c r="W1630" s="217" t="s">
        <v>32</v>
      </c>
    </row>
    <row r="1631" spans="1:23" x14ac:dyDescent="0.25">
      <c r="A1631" s="217" t="s">
        <v>22</v>
      </c>
      <c r="B1631" s="217" t="s">
        <v>23</v>
      </c>
      <c r="C1631" s="217" t="s">
        <v>85</v>
      </c>
      <c r="D1631" s="217" t="s">
        <v>84</v>
      </c>
      <c r="E1631" s="217" t="s">
        <v>98</v>
      </c>
      <c r="F1631" s="217" t="s">
        <v>97</v>
      </c>
      <c r="G1631" s="217" t="s">
        <v>159</v>
      </c>
      <c r="H1631" s="217" t="s">
        <v>1149</v>
      </c>
      <c r="I1631" s="217" t="s">
        <v>659</v>
      </c>
      <c r="J1631" s="217" t="s">
        <v>1856</v>
      </c>
      <c r="K1631" s="217">
        <v>4</v>
      </c>
      <c r="L1631" s="217">
        <v>20</v>
      </c>
      <c r="M1631" s="217" t="s">
        <v>31</v>
      </c>
      <c r="N1631" s="217" t="s">
        <v>32</v>
      </c>
      <c r="O1631" s="217" t="s">
        <v>668</v>
      </c>
      <c r="P1631" s="217" t="s">
        <v>34</v>
      </c>
      <c r="Q1631" s="217" t="s">
        <v>35</v>
      </c>
      <c r="R1631" s="217" t="s">
        <v>23</v>
      </c>
      <c r="S1631" s="217" t="s">
        <v>22</v>
      </c>
      <c r="T1631" s="217" t="s">
        <v>84</v>
      </c>
      <c r="U1631" s="217" t="s">
        <v>85</v>
      </c>
      <c r="V1631" s="217" t="s">
        <v>32</v>
      </c>
      <c r="W1631" s="217" t="s">
        <v>32</v>
      </c>
    </row>
    <row r="1632" spans="1:23" x14ac:dyDescent="0.25">
      <c r="A1632" s="217" t="s">
        <v>22</v>
      </c>
      <c r="B1632" s="217" t="s">
        <v>23</v>
      </c>
      <c r="C1632" s="217" t="s">
        <v>85</v>
      </c>
      <c r="D1632" s="217" t="s">
        <v>84</v>
      </c>
      <c r="E1632" s="217" t="s">
        <v>98</v>
      </c>
      <c r="F1632" s="217" t="s">
        <v>97</v>
      </c>
      <c r="G1632" s="217" t="s">
        <v>159</v>
      </c>
      <c r="H1632" s="217" t="s">
        <v>1149</v>
      </c>
      <c r="I1632" s="217" t="s">
        <v>659</v>
      </c>
      <c r="J1632" s="217" t="s">
        <v>1857</v>
      </c>
      <c r="K1632" s="217">
        <v>8</v>
      </c>
      <c r="L1632" s="217">
        <v>48</v>
      </c>
      <c r="M1632" s="217" t="s">
        <v>31</v>
      </c>
      <c r="N1632" s="217" t="s">
        <v>32</v>
      </c>
      <c r="O1632" s="217" t="s">
        <v>668</v>
      </c>
      <c r="P1632" s="217" t="s">
        <v>34</v>
      </c>
      <c r="Q1632" s="217" t="s">
        <v>35</v>
      </c>
      <c r="R1632" s="217" t="s">
        <v>23</v>
      </c>
      <c r="S1632" s="217" t="s">
        <v>22</v>
      </c>
      <c r="T1632" s="217" t="s">
        <v>84</v>
      </c>
      <c r="U1632" s="217" t="s">
        <v>85</v>
      </c>
      <c r="V1632" s="217" t="s">
        <v>32</v>
      </c>
      <c r="W1632" s="217" t="s">
        <v>32</v>
      </c>
    </row>
    <row r="1633" spans="1:23" x14ac:dyDescent="0.25">
      <c r="A1633" s="217" t="s">
        <v>22</v>
      </c>
      <c r="B1633" s="217" t="s">
        <v>23</v>
      </c>
      <c r="C1633" s="217" t="s">
        <v>85</v>
      </c>
      <c r="D1633" s="217" t="s">
        <v>84</v>
      </c>
      <c r="E1633" s="217" t="s">
        <v>98</v>
      </c>
      <c r="F1633" s="217" t="s">
        <v>97</v>
      </c>
      <c r="G1633" s="217" t="s">
        <v>161</v>
      </c>
      <c r="H1633" s="217" t="s">
        <v>1151</v>
      </c>
      <c r="I1633" s="217" t="s">
        <v>659</v>
      </c>
      <c r="J1633" s="217" t="s">
        <v>1857</v>
      </c>
      <c r="K1633" s="217">
        <v>10</v>
      </c>
      <c r="L1633" s="217">
        <v>50</v>
      </c>
      <c r="M1633" s="217" t="s">
        <v>31</v>
      </c>
      <c r="N1633" s="217" t="s">
        <v>32</v>
      </c>
      <c r="O1633" s="217" t="s">
        <v>668</v>
      </c>
      <c r="P1633" s="217" t="s">
        <v>34</v>
      </c>
      <c r="Q1633" s="217" t="s">
        <v>35</v>
      </c>
      <c r="R1633" s="217" t="s">
        <v>23</v>
      </c>
      <c r="S1633" s="217" t="s">
        <v>22</v>
      </c>
      <c r="T1633" s="217" t="s">
        <v>84</v>
      </c>
      <c r="U1633" s="217" t="s">
        <v>85</v>
      </c>
      <c r="V1633" s="217" t="s">
        <v>32</v>
      </c>
      <c r="W1633" s="217" t="s">
        <v>32</v>
      </c>
    </row>
    <row r="1634" spans="1:23" x14ac:dyDescent="0.25">
      <c r="A1634" s="217" t="s">
        <v>22</v>
      </c>
      <c r="B1634" s="217" t="s">
        <v>23</v>
      </c>
      <c r="C1634" s="217" t="s">
        <v>85</v>
      </c>
      <c r="D1634" s="217" t="s">
        <v>84</v>
      </c>
      <c r="E1634" s="217" t="s">
        <v>98</v>
      </c>
      <c r="F1634" s="217" t="s">
        <v>97</v>
      </c>
      <c r="G1634" s="217" t="s">
        <v>386</v>
      </c>
      <c r="H1634" s="217" t="s">
        <v>1154</v>
      </c>
      <c r="I1634" s="217" t="s">
        <v>659</v>
      </c>
      <c r="J1634" s="217" t="s">
        <v>1855</v>
      </c>
      <c r="K1634" s="217">
        <v>1</v>
      </c>
      <c r="L1634" s="217">
        <v>13</v>
      </c>
      <c r="M1634" s="217" t="s">
        <v>31</v>
      </c>
      <c r="N1634" s="217" t="s">
        <v>32</v>
      </c>
      <c r="O1634" s="217" t="s">
        <v>668</v>
      </c>
      <c r="P1634" s="217" t="s">
        <v>34</v>
      </c>
      <c r="Q1634" s="217" t="s">
        <v>35</v>
      </c>
      <c r="R1634" s="217" t="s">
        <v>23</v>
      </c>
      <c r="S1634" s="217" t="s">
        <v>22</v>
      </c>
      <c r="T1634" s="217" t="s">
        <v>84</v>
      </c>
      <c r="U1634" s="217" t="s">
        <v>85</v>
      </c>
      <c r="V1634" s="217" t="s">
        <v>32</v>
      </c>
      <c r="W1634" s="217" t="s">
        <v>32</v>
      </c>
    </row>
    <row r="1635" spans="1:23" x14ac:dyDescent="0.25">
      <c r="A1635" s="217" t="s">
        <v>22</v>
      </c>
      <c r="B1635" s="217" t="s">
        <v>23</v>
      </c>
      <c r="C1635" s="217" t="s">
        <v>85</v>
      </c>
      <c r="D1635" s="217" t="s">
        <v>84</v>
      </c>
      <c r="E1635" s="217" t="s">
        <v>98</v>
      </c>
      <c r="F1635" s="217" t="s">
        <v>97</v>
      </c>
      <c r="G1635" s="217" t="s">
        <v>162</v>
      </c>
      <c r="H1635" s="217" t="s">
        <v>1158</v>
      </c>
      <c r="I1635" s="217" t="s">
        <v>659</v>
      </c>
      <c r="J1635" s="217" t="s">
        <v>1857</v>
      </c>
      <c r="K1635" s="217">
        <v>33</v>
      </c>
      <c r="L1635" s="217">
        <v>165</v>
      </c>
      <c r="M1635" s="217" t="s">
        <v>31</v>
      </c>
      <c r="N1635" s="217" t="s">
        <v>32</v>
      </c>
      <c r="O1635" s="217" t="s">
        <v>668</v>
      </c>
      <c r="P1635" s="217" t="s">
        <v>34</v>
      </c>
      <c r="Q1635" s="217" t="s">
        <v>35</v>
      </c>
      <c r="R1635" s="217" t="s">
        <v>23</v>
      </c>
      <c r="S1635" s="217" t="s">
        <v>22</v>
      </c>
      <c r="T1635" s="217" t="s">
        <v>84</v>
      </c>
      <c r="U1635" s="217" t="s">
        <v>85</v>
      </c>
      <c r="V1635" s="217" t="s">
        <v>32</v>
      </c>
      <c r="W1635" s="217" t="s">
        <v>32</v>
      </c>
    </row>
    <row r="1636" spans="1:23" x14ac:dyDescent="0.25">
      <c r="A1636" s="217" t="s">
        <v>22</v>
      </c>
      <c r="B1636" s="217" t="s">
        <v>23</v>
      </c>
      <c r="C1636" s="217" t="s">
        <v>85</v>
      </c>
      <c r="D1636" s="217" t="s">
        <v>84</v>
      </c>
      <c r="E1636" s="217" t="s">
        <v>98</v>
      </c>
      <c r="F1636" s="217" t="s">
        <v>97</v>
      </c>
      <c r="G1636" s="217" t="s">
        <v>392</v>
      </c>
      <c r="H1636" s="217" t="s">
        <v>1169</v>
      </c>
      <c r="I1636" s="217" t="s">
        <v>659</v>
      </c>
      <c r="J1636" s="217" t="s">
        <v>1855</v>
      </c>
      <c r="K1636" s="217">
        <v>11</v>
      </c>
      <c r="L1636" s="217">
        <v>36</v>
      </c>
      <c r="M1636" s="217" t="s">
        <v>31</v>
      </c>
      <c r="N1636" s="217" t="s">
        <v>32</v>
      </c>
      <c r="O1636" s="217" t="s">
        <v>141</v>
      </c>
      <c r="P1636" s="217" t="s">
        <v>142</v>
      </c>
      <c r="Q1636" s="217" t="s">
        <v>143</v>
      </c>
      <c r="R1636" s="217" t="s">
        <v>618</v>
      </c>
      <c r="S1636" s="217" t="s">
        <v>619</v>
      </c>
      <c r="T1636" s="217" t="s">
        <v>32</v>
      </c>
      <c r="U1636" s="217" t="s">
        <v>32</v>
      </c>
      <c r="V1636" s="217" t="s">
        <v>32</v>
      </c>
      <c r="W1636" s="217" t="s">
        <v>32</v>
      </c>
    </row>
    <row r="1637" spans="1:23" x14ac:dyDescent="0.25">
      <c r="A1637" s="217" t="s">
        <v>22</v>
      </c>
      <c r="B1637" s="217" t="s">
        <v>23</v>
      </c>
      <c r="C1637" s="217" t="s">
        <v>85</v>
      </c>
      <c r="D1637" s="217" t="s">
        <v>84</v>
      </c>
      <c r="E1637" s="217" t="s">
        <v>98</v>
      </c>
      <c r="F1637" s="217" t="s">
        <v>97</v>
      </c>
      <c r="G1637" s="217" t="s">
        <v>392</v>
      </c>
      <c r="H1637" s="217" t="s">
        <v>1169</v>
      </c>
      <c r="I1637" s="217" t="s">
        <v>659</v>
      </c>
      <c r="J1637" s="217" t="s">
        <v>1856</v>
      </c>
      <c r="K1637" s="217">
        <v>6</v>
      </c>
      <c r="L1637" s="217">
        <v>24</v>
      </c>
      <c r="M1637" s="217" t="s">
        <v>31</v>
      </c>
      <c r="N1637" s="217" t="s">
        <v>32</v>
      </c>
      <c r="O1637" s="217" t="s">
        <v>141</v>
      </c>
      <c r="P1637" s="217" t="s">
        <v>142</v>
      </c>
      <c r="Q1637" s="217" t="s">
        <v>143</v>
      </c>
      <c r="R1637" s="217" t="s">
        <v>618</v>
      </c>
      <c r="S1637" s="217" t="s">
        <v>619</v>
      </c>
      <c r="T1637" s="217" t="s">
        <v>32</v>
      </c>
      <c r="U1637" s="217" t="s">
        <v>32</v>
      </c>
      <c r="V1637" s="217" t="s">
        <v>32</v>
      </c>
      <c r="W1637" s="217" t="s">
        <v>32</v>
      </c>
    </row>
    <row r="1638" spans="1:23" x14ac:dyDescent="0.25">
      <c r="A1638" s="217" t="s">
        <v>22</v>
      </c>
      <c r="B1638" s="217" t="s">
        <v>23</v>
      </c>
      <c r="C1638" s="217" t="s">
        <v>85</v>
      </c>
      <c r="D1638" s="217" t="s">
        <v>84</v>
      </c>
      <c r="E1638" s="217" t="s">
        <v>98</v>
      </c>
      <c r="F1638" s="217" t="s">
        <v>97</v>
      </c>
      <c r="G1638" s="217" t="s">
        <v>163</v>
      </c>
      <c r="H1638" s="217" t="s">
        <v>1171</v>
      </c>
      <c r="I1638" s="217" t="s">
        <v>659</v>
      </c>
      <c r="J1638" s="217" t="s">
        <v>1857</v>
      </c>
      <c r="K1638" s="217">
        <v>70</v>
      </c>
      <c r="L1638" s="217">
        <v>350</v>
      </c>
      <c r="M1638" s="217" t="s">
        <v>31</v>
      </c>
      <c r="N1638" s="217" t="s">
        <v>32</v>
      </c>
      <c r="O1638" s="217" t="s">
        <v>668</v>
      </c>
      <c r="P1638" s="217" t="s">
        <v>34</v>
      </c>
      <c r="Q1638" s="217" t="s">
        <v>35</v>
      </c>
      <c r="R1638" s="217" t="s">
        <v>23</v>
      </c>
      <c r="S1638" s="217" t="s">
        <v>22</v>
      </c>
      <c r="T1638" s="217" t="s">
        <v>84</v>
      </c>
      <c r="U1638" s="217" t="s">
        <v>85</v>
      </c>
      <c r="V1638" s="217" t="s">
        <v>32</v>
      </c>
      <c r="W1638" s="217" t="s">
        <v>32</v>
      </c>
    </row>
    <row r="1639" spans="1:23" x14ac:dyDescent="0.25">
      <c r="A1639" s="217" t="s">
        <v>22</v>
      </c>
      <c r="B1639" s="217" t="s">
        <v>23</v>
      </c>
      <c r="C1639" s="217" t="s">
        <v>85</v>
      </c>
      <c r="D1639" s="217" t="s">
        <v>84</v>
      </c>
      <c r="E1639" s="217" t="s">
        <v>98</v>
      </c>
      <c r="F1639" s="217" t="s">
        <v>97</v>
      </c>
      <c r="G1639" s="217" t="s">
        <v>393</v>
      </c>
      <c r="H1639" s="217" t="s">
        <v>1172</v>
      </c>
      <c r="I1639" s="217" t="s">
        <v>659</v>
      </c>
      <c r="J1639" s="217" t="s">
        <v>1856</v>
      </c>
      <c r="K1639" s="217">
        <v>2</v>
      </c>
      <c r="L1639" s="217">
        <v>37</v>
      </c>
      <c r="M1639" s="217" t="s">
        <v>31</v>
      </c>
      <c r="N1639" s="217" t="s">
        <v>32</v>
      </c>
      <c r="O1639" s="217" t="s">
        <v>668</v>
      </c>
      <c r="P1639" s="217" t="s">
        <v>34</v>
      </c>
      <c r="Q1639" s="217" t="s">
        <v>35</v>
      </c>
      <c r="R1639" s="217" t="s">
        <v>23</v>
      </c>
      <c r="S1639" s="217" t="s">
        <v>22</v>
      </c>
      <c r="T1639" s="217" t="s">
        <v>84</v>
      </c>
      <c r="U1639" s="217" t="s">
        <v>85</v>
      </c>
      <c r="V1639" s="217" t="s">
        <v>32</v>
      </c>
      <c r="W1639" s="217" t="s">
        <v>32</v>
      </c>
    </row>
    <row r="1640" spans="1:23" x14ac:dyDescent="0.25">
      <c r="A1640" s="217" t="s">
        <v>22</v>
      </c>
      <c r="B1640" s="217" t="s">
        <v>23</v>
      </c>
      <c r="C1640" s="217" t="s">
        <v>85</v>
      </c>
      <c r="D1640" s="217" t="s">
        <v>84</v>
      </c>
      <c r="E1640" s="217" t="s">
        <v>98</v>
      </c>
      <c r="F1640" s="217" t="s">
        <v>97</v>
      </c>
      <c r="G1640" s="217" t="s">
        <v>164</v>
      </c>
      <c r="H1640" s="217" t="s">
        <v>1185</v>
      </c>
      <c r="I1640" s="217" t="s">
        <v>659</v>
      </c>
      <c r="J1640" s="217" t="s">
        <v>1856</v>
      </c>
      <c r="K1640" s="217">
        <v>7</v>
      </c>
      <c r="L1640" s="217">
        <v>26</v>
      </c>
      <c r="M1640" s="217" t="s">
        <v>31</v>
      </c>
      <c r="N1640" s="217" t="s">
        <v>32</v>
      </c>
      <c r="O1640" s="217" t="s">
        <v>668</v>
      </c>
      <c r="P1640" s="217" t="s">
        <v>34</v>
      </c>
      <c r="Q1640" s="217" t="s">
        <v>35</v>
      </c>
      <c r="R1640" s="217" t="s">
        <v>23</v>
      </c>
      <c r="S1640" s="217" t="s">
        <v>22</v>
      </c>
      <c r="T1640" s="217" t="s">
        <v>84</v>
      </c>
      <c r="U1640" s="217" t="s">
        <v>85</v>
      </c>
      <c r="V1640" s="217" t="s">
        <v>32</v>
      </c>
      <c r="W1640" s="217" t="s">
        <v>32</v>
      </c>
    </row>
    <row r="1641" spans="1:23" x14ac:dyDescent="0.25">
      <c r="A1641" s="217" t="s">
        <v>22</v>
      </c>
      <c r="B1641" s="217" t="s">
        <v>23</v>
      </c>
      <c r="C1641" s="217" t="s">
        <v>85</v>
      </c>
      <c r="D1641" s="217" t="s">
        <v>84</v>
      </c>
      <c r="E1641" s="217" t="s">
        <v>98</v>
      </c>
      <c r="F1641" s="217" t="s">
        <v>97</v>
      </c>
      <c r="G1641" s="217" t="s">
        <v>818</v>
      </c>
      <c r="H1641" s="217" t="s">
        <v>1203</v>
      </c>
      <c r="I1641" s="217" t="s">
        <v>659</v>
      </c>
      <c r="J1641" s="217" t="s">
        <v>1856</v>
      </c>
      <c r="K1641" s="217">
        <v>7</v>
      </c>
      <c r="L1641" s="217">
        <v>35</v>
      </c>
      <c r="M1641" s="217" t="s">
        <v>31</v>
      </c>
      <c r="N1641" s="217" t="s">
        <v>32</v>
      </c>
      <c r="O1641" s="217" t="s">
        <v>668</v>
      </c>
      <c r="P1641" s="217" t="s">
        <v>34</v>
      </c>
      <c r="Q1641" s="217" t="s">
        <v>35</v>
      </c>
      <c r="R1641" s="217" t="s">
        <v>23</v>
      </c>
      <c r="S1641" s="217" t="s">
        <v>22</v>
      </c>
      <c r="T1641" s="217" t="s">
        <v>84</v>
      </c>
      <c r="U1641" s="217" t="s">
        <v>85</v>
      </c>
      <c r="V1641" s="217" t="s">
        <v>32</v>
      </c>
      <c r="W1641" s="217" t="s">
        <v>32</v>
      </c>
    </row>
    <row r="1642" spans="1:23" x14ac:dyDescent="0.25">
      <c r="A1642" s="217" t="s">
        <v>22</v>
      </c>
      <c r="B1642" s="217" t="s">
        <v>23</v>
      </c>
      <c r="C1642" s="217" t="s">
        <v>85</v>
      </c>
      <c r="D1642" s="217" t="s">
        <v>84</v>
      </c>
      <c r="E1642" s="217" t="s">
        <v>98</v>
      </c>
      <c r="F1642" s="217" t="s">
        <v>97</v>
      </c>
      <c r="G1642" s="217" t="s">
        <v>818</v>
      </c>
      <c r="H1642" s="217" t="s">
        <v>1203</v>
      </c>
      <c r="I1642" s="217" t="s">
        <v>659</v>
      </c>
      <c r="J1642" s="217" t="s">
        <v>1857</v>
      </c>
      <c r="K1642" s="217">
        <v>8</v>
      </c>
      <c r="L1642" s="217">
        <v>45</v>
      </c>
      <c r="M1642" s="217" t="s">
        <v>31</v>
      </c>
      <c r="N1642" s="217" t="s">
        <v>32</v>
      </c>
      <c r="O1642" s="217" t="s">
        <v>668</v>
      </c>
      <c r="P1642" s="217" t="s">
        <v>34</v>
      </c>
      <c r="Q1642" s="217" t="s">
        <v>35</v>
      </c>
      <c r="R1642" s="217" t="s">
        <v>23</v>
      </c>
      <c r="S1642" s="217" t="s">
        <v>22</v>
      </c>
      <c r="T1642" s="217" t="s">
        <v>84</v>
      </c>
      <c r="U1642" s="217" t="s">
        <v>85</v>
      </c>
      <c r="V1642" s="217" t="s">
        <v>32</v>
      </c>
      <c r="W1642" s="217" t="s">
        <v>32</v>
      </c>
    </row>
    <row r="1643" spans="1:23" x14ac:dyDescent="0.25">
      <c r="A1643" s="217" t="s">
        <v>22</v>
      </c>
      <c r="B1643" s="217" t="s">
        <v>23</v>
      </c>
      <c r="C1643" s="217" t="s">
        <v>85</v>
      </c>
      <c r="D1643" s="217" t="s">
        <v>84</v>
      </c>
      <c r="E1643" s="217" t="s">
        <v>98</v>
      </c>
      <c r="F1643" s="217" t="s">
        <v>97</v>
      </c>
      <c r="G1643" s="217" t="s">
        <v>701</v>
      </c>
      <c r="H1643" s="217" t="s">
        <v>1204</v>
      </c>
      <c r="I1643" s="217" t="s">
        <v>659</v>
      </c>
      <c r="J1643" s="217" t="s">
        <v>1856</v>
      </c>
      <c r="K1643" s="217">
        <v>5</v>
      </c>
      <c r="L1643" s="217">
        <v>43</v>
      </c>
      <c r="M1643" s="217" t="s">
        <v>31</v>
      </c>
      <c r="N1643" s="217" t="s">
        <v>32</v>
      </c>
      <c r="O1643" s="217" t="s">
        <v>668</v>
      </c>
      <c r="P1643" s="217" t="s">
        <v>34</v>
      </c>
      <c r="Q1643" s="217" t="s">
        <v>35</v>
      </c>
      <c r="R1643" s="217" t="s">
        <v>23</v>
      </c>
      <c r="S1643" s="217" t="s">
        <v>22</v>
      </c>
      <c r="T1643" s="217" t="s">
        <v>84</v>
      </c>
      <c r="U1643" s="217" t="s">
        <v>85</v>
      </c>
      <c r="V1643" s="217" t="s">
        <v>32</v>
      </c>
      <c r="W1643" s="217" t="s">
        <v>32</v>
      </c>
    </row>
    <row r="1644" spans="1:23" x14ac:dyDescent="0.25">
      <c r="A1644" s="217" t="s">
        <v>22</v>
      </c>
      <c r="B1644" s="217" t="s">
        <v>23</v>
      </c>
      <c r="C1644" s="217" t="s">
        <v>85</v>
      </c>
      <c r="D1644" s="217" t="s">
        <v>84</v>
      </c>
      <c r="E1644" s="217" t="s">
        <v>98</v>
      </c>
      <c r="F1644" s="217" t="s">
        <v>97</v>
      </c>
      <c r="G1644" s="217" t="s">
        <v>165</v>
      </c>
      <c r="H1644" s="217" t="s">
        <v>1208</v>
      </c>
      <c r="I1644" s="217" t="s">
        <v>659</v>
      </c>
      <c r="J1644" s="217" t="s">
        <v>1855</v>
      </c>
      <c r="K1644" s="217">
        <v>2</v>
      </c>
      <c r="L1644" s="217">
        <v>8</v>
      </c>
      <c r="M1644" s="217" t="s">
        <v>31</v>
      </c>
      <c r="N1644" s="217" t="s">
        <v>32</v>
      </c>
      <c r="O1644" s="217" t="s">
        <v>668</v>
      </c>
      <c r="P1644" s="217" t="s">
        <v>34</v>
      </c>
      <c r="Q1644" s="217" t="s">
        <v>35</v>
      </c>
      <c r="R1644" s="217" t="s">
        <v>23</v>
      </c>
      <c r="S1644" s="217" t="s">
        <v>22</v>
      </c>
      <c r="T1644" s="217" t="s">
        <v>84</v>
      </c>
      <c r="U1644" s="217" t="s">
        <v>85</v>
      </c>
      <c r="V1644" s="217" t="s">
        <v>32</v>
      </c>
      <c r="W1644" s="217" t="s">
        <v>32</v>
      </c>
    </row>
    <row r="1645" spans="1:23" x14ac:dyDescent="0.25">
      <c r="A1645" s="217" t="s">
        <v>22</v>
      </c>
      <c r="B1645" s="217" t="s">
        <v>23</v>
      </c>
      <c r="C1645" s="217" t="s">
        <v>85</v>
      </c>
      <c r="D1645" s="217" t="s">
        <v>84</v>
      </c>
      <c r="E1645" s="217" t="s">
        <v>98</v>
      </c>
      <c r="F1645" s="217" t="s">
        <v>97</v>
      </c>
      <c r="G1645" s="217" t="s">
        <v>165</v>
      </c>
      <c r="H1645" s="217" t="s">
        <v>1208</v>
      </c>
      <c r="I1645" s="217" t="s">
        <v>659</v>
      </c>
      <c r="J1645" s="217" t="s">
        <v>1856</v>
      </c>
      <c r="K1645" s="217">
        <v>2</v>
      </c>
      <c r="L1645" s="217">
        <v>5</v>
      </c>
      <c r="M1645" s="217" t="s">
        <v>31</v>
      </c>
      <c r="N1645" s="217" t="s">
        <v>32</v>
      </c>
      <c r="O1645" s="217" t="s">
        <v>668</v>
      </c>
      <c r="P1645" s="217" t="s">
        <v>34</v>
      </c>
      <c r="Q1645" s="217" t="s">
        <v>35</v>
      </c>
      <c r="R1645" s="217" t="s">
        <v>23</v>
      </c>
      <c r="S1645" s="217" t="s">
        <v>22</v>
      </c>
      <c r="T1645" s="217" t="s">
        <v>84</v>
      </c>
      <c r="U1645" s="217" t="s">
        <v>85</v>
      </c>
      <c r="V1645" s="217" t="s">
        <v>32</v>
      </c>
      <c r="W1645" s="217" t="s">
        <v>32</v>
      </c>
    </row>
    <row r="1646" spans="1:23" x14ac:dyDescent="0.25">
      <c r="A1646" s="217" t="s">
        <v>22</v>
      </c>
      <c r="B1646" s="217" t="s">
        <v>23</v>
      </c>
      <c r="C1646" s="217" t="s">
        <v>85</v>
      </c>
      <c r="D1646" s="217" t="s">
        <v>84</v>
      </c>
      <c r="E1646" s="217" t="s">
        <v>98</v>
      </c>
      <c r="F1646" s="217" t="s">
        <v>97</v>
      </c>
      <c r="G1646" s="217" t="s">
        <v>422</v>
      </c>
      <c r="H1646" s="217" t="s">
        <v>1223</v>
      </c>
      <c r="I1646" s="217" t="s">
        <v>659</v>
      </c>
      <c r="J1646" s="217" t="s">
        <v>1855</v>
      </c>
      <c r="K1646" s="217">
        <v>4</v>
      </c>
      <c r="L1646" s="217">
        <v>17</v>
      </c>
      <c r="M1646" s="217" t="s">
        <v>31</v>
      </c>
      <c r="N1646" s="217" t="s">
        <v>32</v>
      </c>
      <c r="O1646" s="217" t="s">
        <v>668</v>
      </c>
      <c r="P1646" s="217" t="s">
        <v>34</v>
      </c>
      <c r="Q1646" s="217" t="s">
        <v>35</v>
      </c>
      <c r="R1646" s="217" t="s">
        <v>23</v>
      </c>
      <c r="S1646" s="217" t="s">
        <v>22</v>
      </c>
      <c r="T1646" s="217" t="s">
        <v>84</v>
      </c>
      <c r="U1646" s="217" t="s">
        <v>85</v>
      </c>
      <c r="V1646" s="217" t="s">
        <v>32</v>
      </c>
      <c r="W1646" s="217" t="s">
        <v>32</v>
      </c>
    </row>
    <row r="1647" spans="1:23" x14ac:dyDescent="0.25">
      <c r="A1647" s="217" t="s">
        <v>22</v>
      </c>
      <c r="B1647" s="217" t="s">
        <v>23</v>
      </c>
      <c r="C1647" s="217" t="s">
        <v>85</v>
      </c>
      <c r="D1647" s="217" t="s">
        <v>84</v>
      </c>
      <c r="E1647" s="217" t="s">
        <v>98</v>
      </c>
      <c r="F1647" s="217" t="s">
        <v>97</v>
      </c>
      <c r="G1647" s="217" t="s">
        <v>422</v>
      </c>
      <c r="H1647" s="217" t="s">
        <v>1223</v>
      </c>
      <c r="I1647" s="217" t="s">
        <v>659</v>
      </c>
      <c r="J1647" s="217" t="s">
        <v>1856</v>
      </c>
      <c r="K1647" s="217">
        <v>3</v>
      </c>
      <c r="L1647" s="217">
        <v>11</v>
      </c>
      <c r="M1647" s="217" t="s">
        <v>31</v>
      </c>
      <c r="N1647" s="217" t="s">
        <v>32</v>
      </c>
      <c r="O1647" s="217" t="s">
        <v>668</v>
      </c>
      <c r="P1647" s="217" t="s">
        <v>34</v>
      </c>
      <c r="Q1647" s="217" t="s">
        <v>35</v>
      </c>
      <c r="R1647" s="217" t="s">
        <v>23</v>
      </c>
      <c r="S1647" s="217" t="s">
        <v>22</v>
      </c>
      <c r="T1647" s="217" t="s">
        <v>84</v>
      </c>
      <c r="U1647" s="217" t="s">
        <v>85</v>
      </c>
      <c r="V1647" s="217" t="s">
        <v>32</v>
      </c>
      <c r="W1647" s="217" t="s">
        <v>32</v>
      </c>
    </row>
    <row r="1648" spans="1:23" x14ac:dyDescent="0.25">
      <c r="A1648" s="217" t="s">
        <v>22</v>
      </c>
      <c r="B1648" s="217" t="s">
        <v>23</v>
      </c>
      <c r="C1648" s="217" t="s">
        <v>85</v>
      </c>
      <c r="D1648" s="217" t="s">
        <v>84</v>
      </c>
      <c r="E1648" s="217" t="s">
        <v>98</v>
      </c>
      <c r="F1648" s="217" t="s">
        <v>97</v>
      </c>
      <c r="G1648" s="217" t="s">
        <v>430</v>
      </c>
      <c r="H1648" s="217" t="s">
        <v>1231</v>
      </c>
      <c r="I1648" s="217" t="s">
        <v>659</v>
      </c>
      <c r="J1648" s="217" t="s">
        <v>1858</v>
      </c>
      <c r="K1648" s="217">
        <v>5</v>
      </c>
      <c r="L1648" s="217">
        <v>56</v>
      </c>
      <c r="M1648" s="217" t="s">
        <v>31</v>
      </c>
      <c r="N1648" s="217" t="s">
        <v>32</v>
      </c>
      <c r="O1648" s="217" t="s">
        <v>668</v>
      </c>
      <c r="P1648" s="217" t="s">
        <v>34</v>
      </c>
      <c r="Q1648" s="217" t="s">
        <v>35</v>
      </c>
      <c r="R1648" s="217" t="s">
        <v>23</v>
      </c>
      <c r="S1648" s="217" t="s">
        <v>22</v>
      </c>
      <c r="T1648" s="217" t="s">
        <v>84</v>
      </c>
      <c r="U1648" s="217" t="s">
        <v>85</v>
      </c>
      <c r="V1648" s="217" t="s">
        <v>32</v>
      </c>
      <c r="W1648" s="217" t="s">
        <v>32</v>
      </c>
    </row>
    <row r="1649" spans="1:23" x14ac:dyDescent="0.25">
      <c r="A1649" s="217" t="s">
        <v>22</v>
      </c>
      <c r="B1649" s="217" t="s">
        <v>23</v>
      </c>
      <c r="C1649" s="217" t="s">
        <v>85</v>
      </c>
      <c r="D1649" s="217" t="s">
        <v>84</v>
      </c>
      <c r="E1649" s="217" t="s">
        <v>98</v>
      </c>
      <c r="F1649" s="217" t="s">
        <v>97</v>
      </c>
      <c r="G1649" s="217" t="s">
        <v>167</v>
      </c>
      <c r="H1649" s="217" t="s">
        <v>1232</v>
      </c>
      <c r="I1649" s="217" t="s">
        <v>659</v>
      </c>
      <c r="J1649" s="217" t="s">
        <v>1857</v>
      </c>
      <c r="K1649" s="217">
        <v>24</v>
      </c>
      <c r="L1649" s="217">
        <v>120</v>
      </c>
      <c r="M1649" s="217" t="s">
        <v>31</v>
      </c>
      <c r="N1649" s="217" t="s">
        <v>32</v>
      </c>
      <c r="O1649" s="217" t="s">
        <v>668</v>
      </c>
      <c r="P1649" s="217" t="s">
        <v>34</v>
      </c>
      <c r="Q1649" s="217" t="s">
        <v>35</v>
      </c>
      <c r="R1649" s="217" t="s">
        <v>23</v>
      </c>
      <c r="S1649" s="217" t="s">
        <v>22</v>
      </c>
      <c r="T1649" s="217" t="s">
        <v>84</v>
      </c>
      <c r="U1649" s="217" t="s">
        <v>85</v>
      </c>
      <c r="V1649" s="217" t="s">
        <v>32</v>
      </c>
      <c r="W1649" s="217" t="s">
        <v>32</v>
      </c>
    </row>
    <row r="1650" spans="1:23" x14ac:dyDescent="0.25">
      <c r="A1650" s="217" t="s">
        <v>22</v>
      </c>
      <c r="B1650" s="217" t="s">
        <v>23</v>
      </c>
      <c r="C1650" s="217" t="s">
        <v>85</v>
      </c>
      <c r="D1650" s="217" t="s">
        <v>84</v>
      </c>
      <c r="E1650" s="217" t="s">
        <v>98</v>
      </c>
      <c r="F1650" s="217" t="s">
        <v>97</v>
      </c>
      <c r="G1650" s="217" t="s">
        <v>431</v>
      </c>
      <c r="H1650" s="217" t="s">
        <v>1685</v>
      </c>
      <c r="I1650" s="217" t="s">
        <v>659</v>
      </c>
      <c r="J1650" s="217" t="s">
        <v>1859</v>
      </c>
      <c r="K1650" s="217">
        <v>148</v>
      </c>
      <c r="L1650" s="217">
        <v>1157</v>
      </c>
      <c r="M1650" s="217" t="s">
        <v>31</v>
      </c>
      <c r="N1650" s="217" t="s">
        <v>32</v>
      </c>
      <c r="O1650" s="217" t="s">
        <v>668</v>
      </c>
      <c r="P1650" s="217" t="s">
        <v>34</v>
      </c>
      <c r="Q1650" s="217" t="s">
        <v>35</v>
      </c>
      <c r="R1650" s="217" t="s">
        <v>23</v>
      </c>
      <c r="S1650" s="217" t="s">
        <v>22</v>
      </c>
      <c r="T1650" s="217" t="s">
        <v>84</v>
      </c>
      <c r="U1650" s="217" t="s">
        <v>85</v>
      </c>
      <c r="V1650" s="217" t="s">
        <v>32</v>
      </c>
      <c r="W1650" s="217" t="s">
        <v>32</v>
      </c>
    </row>
    <row r="1651" spans="1:23" x14ac:dyDescent="0.25">
      <c r="A1651" s="217" t="s">
        <v>22</v>
      </c>
      <c r="B1651" s="217" t="s">
        <v>23</v>
      </c>
      <c r="C1651" s="217" t="s">
        <v>85</v>
      </c>
      <c r="D1651" s="217" t="s">
        <v>84</v>
      </c>
      <c r="E1651" s="217" t="s">
        <v>98</v>
      </c>
      <c r="F1651" s="217" t="s">
        <v>97</v>
      </c>
      <c r="G1651" s="217" t="s">
        <v>168</v>
      </c>
      <c r="H1651" s="217" t="s">
        <v>1235</v>
      </c>
      <c r="I1651" s="217" t="s">
        <v>659</v>
      </c>
      <c r="J1651" s="217" t="s">
        <v>1857</v>
      </c>
      <c r="K1651" s="217">
        <v>11</v>
      </c>
      <c r="L1651" s="217">
        <v>50</v>
      </c>
      <c r="M1651" s="217" t="s">
        <v>31</v>
      </c>
      <c r="N1651" s="217" t="s">
        <v>32</v>
      </c>
      <c r="O1651" s="217" t="s">
        <v>668</v>
      </c>
      <c r="P1651" s="217" t="s">
        <v>34</v>
      </c>
      <c r="Q1651" s="217" t="s">
        <v>35</v>
      </c>
      <c r="R1651" s="217" t="s">
        <v>23</v>
      </c>
      <c r="S1651" s="217" t="s">
        <v>22</v>
      </c>
      <c r="T1651" s="217" t="s">
        <v>84</v>
      </c>
      <c r="U1651" s="217" t="s">
        <v>85</v>
      </c>
      <c r="V1651" s="217" t="s">
        <v>32</v>
      </c>
      <c r="W1651" s="217" t="s">
        <v>32</v>
      </c>
    </row>
    <row r="1652" spans="1:23" x14ac:dyDescent="0.25">
      <c r="A1652" s="217" t="s">
        <v>22</v>
      </c>
      <c r="B1652" s="217" t="s">
        <v>23</v>
      </c>
      <c r="C1652" s="217" t="s">
        <v>85</v>
      </c>
      <c r="D1652" s="217" t="s">
        <v>84</v>
      </c>
      <c r="E1652" s="217" t="s">
        <v>98</v>
      </c>
      <c r="F1652" s="217" t="s">
        <v>97</v>
      </c>
      <c r="G1652" s="217" t="s">
        <v>437</v>
      </c>
      <c r="H1652" s="217" t="s">
        <v>1253</v>
      </c>
      <c r="I1652" s="217" t="s">
        <v>659</v>
      </c>
      <c r="J1652" s="217" t="s">
        <v>1856</v>
      </c>
      <c r="K1652" s="217">
        <v>8</v>
      </c>
      <c r="L1652" s="217">
        <v>35</v>
      </c>
      <c r="M1652" s="217" t="s">
        <v>31</v>
      </c>
      <c r="N1652" s="217" t="s">
        <v>32</v>
      </c>
      <c r="O1652" s="217" t="s">
        <v>668</v>
      </c>
      <c r="P1652" s="217" t="s">
        <v>34</v>
      </c>
      <c r="Q1652" s="217" t="s">
        <v>35</v>
      </c>
      <c r="R1652" s="217" t="s">
        <v>23</v>
      </c>
      <c r="S1652" s="217" t="s">
        <v>22</v>
      </c>
      <c r="T1652" s="217" t="s">
        <v>84</v>
      </c>
      <c r="U1652" s="217" t="s">
        <v>85</v>
      </c>
      <c r="V1652" s="217" t="s">
        <v>32</v>
      </c>
      <c r="W1652" s="217" t="s">
        <v>32</v>
      </c>
    </row>
    <row r="1653" spans="1:23" x14ac:dyDescent="0.25">
      <c r="A1653" s="217" t="s">
        <v>22</v>
      </c>
      <c r="B1653" s="217" t="s">
        <v>23</v>
      </c>
      <c r="C1653" s="217" t="s">
        <v>85</v>
      </c>
      <c r="D1653" s="217" t="s">
        <v>84</v>
      </c>
      <c r="E1653" s="217" t="s">
        <v>98</v>
      </c>
      <c r="F1653" s="217" t="s">
        <v>97</v>
      </c>
      <c r="G1653" s="217" t="s">
        <v>451</v>
      </c>
      <c r="H1653" s="217" t="s">
        <v>1272</v>
      </c>
      <c r="I1653" s="217" t="s">
        <v>659</v>
      </c>
      <c r="J1653" s="217" t="s">
        <v>1855</v>
      </c>
      <c r="K1653" s="217">
        <v>10</v>
      </c>
      <c r="L1653" s="217">
        <v>50</v>
      </c>
      <c r="M1653" s="217" t="s">
        <v>31</v>
      </c>
      <c r="N1653" s="217" t="s">
        <v>32</v>
      </c>
      <c r="O1653" s="217" t="s">
        <v>668</v>
      </c>
      <c r="P1653" s="217" t="s">
        <v>34</v>
      </c>
      <c r="Q1653" s="217" t="s">
        <v>35</v>
      </c>
      <c r="R1653" s="217" t="s">
        <v>23</v>
      </c>
      <c r="S1653" s="217" t="s">
        <v>22</v>
      </c>
      <c r="T1653" s="217" t="s">
        <v>84</v>
      </c>
      <c r="U1653" s="217" t="s">
        <v>85</v>
      </c>
      <c r="V1653" s="217" t="s">
        <v>32</v>
      </c>
      <c r="W1653" s="217" t="s">
        <v>32</v>
      </c>
    </row>
    <row r="1654" spans="1:23" x14ac:dyDescent="0.25">
      <c r="A1654" s="217" t="s">
        <v>22</v>
      </c>
      <c r="B1654" s="217" t="s">
        <v>23</v>
      </c>
      <c r="C1654" s="217" t="s">
        <v>85</v>
      </c>
      <c r="D1654" s="217" t="s">
        <v>84</v>
      </c>
      <c r="E1654" s="217" t="s">
        <v>98</v>
      </c>
      <c r="F1654" s="217" t="s">
        <v>97</v>
      </c>
      <c r="G1654" s="217" t="s">
        <v>451</v>
      </c>
      <c r="H1654" s="217" t="s">
        <v>1272</v>
      </c>
      <c r="I1654" s="217" t="s">
        <v>659</v>
      </c>
      <c r="J1654" s="217" t="s">
        <v>1856</v>
      </c>
      <c r="K1654" s="217">
        <v>8</v>
      </c>
      <c r="L1654" s="217">
        <v>46</v>
      </c>
      <c r="M1654" s="217" t="s">
        <v>31</v>
      </c>
      <c r="N1654" s="217" t="s">
        <v>32</v>
      </c>
      <c r="O1654" s="217" t="s">
        <v>668</v>
      </c>
      <c r="P1654" s="217" t="s">
        <v>34</v>
      </c>
      <c r="Q1654" s="217" t="s">
        <v>35</v>
      </c>
      <c r="R1654" s="217" t="s">
        <v>23</v>
      </c>
      <c r="S1654" s="217" t="s">
        <v>22</v>
      </c>
      <c r="T1654" s="217" t="s">
        <v>84</v>
      </c>
      <c r="U1654" s="217" t="s">
        <v>85</v>
      </c>
      <c r="V1654" s="217" t="s">
        <v>32</v>
      </c>
      <c r="W1654" s="217" t="s">
        <v>32</v>
      </c>
    </row>
    <row r="1655" spans="1:23" x14ac:dyDescent="0.25">
      <c r="A1655" s="217" t="s">
        <v>22</v>
      </c>
      <c r="B1655" s="217" t="s">
        <v>23</v>
      </c>
      <c r="C1655" s="217" t="s">
        <v>85</v>
      </c>
      <c r="D1655" s="217" t="s">
        <v>84</v>
      </c>
      <c r="E1655" s="217" t="s">
        <v>98</v>
      </c>
      <c r="F1655" s="217" t="s">
        <v>97</v>
      </c>
      <c r="G1655" s="217" t="s">
        <v>454</v>
      </c>
      <c r="H1655" s="217" t="s">
        <v>1280</v>
      </c>
      <c r="I1655" s="217" t="s">
        <v>659</v>
      </c>
      <c r="J1655" s="217" t="s">
        <v>1855</v>
      </c>
      <c r="K1655" s="217">
        <v>3</v>
      </c>
      <c r="L1655" s="217">
        <v>8</v>
      </c>
      <c r="M1655" s="217" t="s">
        <v>31</v>
      </c>
      <c r="N1655" s="217" t="s">
        <v>32</v>
      </c>
      <c r="O1655" s="217" t="s">
        <v>141</v>
      </c>
      <c r="P1655" s="217" t="s">
        <v>142</v>
      </c>
      <c r="Q1655" s="217" t="s">
        <v>143</v>
      </c>
      <c r="R1655" s="217" t="s">
        <v>618</v>
      </c>
      <c r="S1655" s="217" t="s">
        <v>619</v>
      </c>
      <c r="T1655" s="217" t="s">
        <v>32</v>
      </c>
      <c r="U1655" s="217" t="s">
        <v>32</v>
      </c>
      <c r="V1655" s="217" t="s">
        <v>32</v>
      </c>
      <c r="W1655" s="217" t="s">
        <v>32</v>
      </c>
    </row>
    <row r="1656" spans="1:23" x14ac:dyDescent="0.25">
      <c r="A1656" s="217" t="s">
        <v>22</v>
      </c>
      <c r="B1656" s="217" t="s">
        <v>23</v>
      </c>
      <c r="C1656" s="217" t="s">
        <v>85</v>
      </c>
      <c r="D1656" s="217" t="s">
        <v>84</v>
      </c>
      <c r="E1656" s="217" t="s">
        <v>98</v>
      </c>
      <c r="F1656" s="217" t="s">
        <v>97</v>
      </c>
      <c r="G1656" s="217" t="s">
        <v>171</v>
      </c>
      <c r="H1656" s="217" t="s">
        <v>1297</v>
      </c>
      <c r="I1656" s="217" t="s">
        <v>659</v>
      </c>
      <c r="J1656" s="217" t="s">
        <v>1856</v>
      </c>
      <c r="K1656" s="217">
        <v>3</v>
      </c>
      <c r="L1656" s="217">
        <v>10</v>
      </c>
      <c r="M1656" s="217" t="s">
        <v>31</v>
      </c>
      <c r="N1656" s="217" t="s">
        <v>32</v>
      </c>
      <c r="O1656" s="217" t="s">
        <v>668</v>
      </c>
      <c r="P1656" s="217" t="s">
        <v>34</v>
      </c>
      <c r="Q1656" s="217" t="s">
        <v>35</v>
      </c>
      <c r="R1656" s="217" t="s">
        <v>23</v>
      </c>
      <c r="S1656" s="217" t="s">
        <v>22</v>
      </c>
      <c r="T1656" s="217" t="s">
        <v>84</v>
      </c>
      <c r="U1656" s="217" t="s">
        <v>85</v>
      </c>
      <c r="V1656" s="217" t="s">
        <v>32</v>
      </c>
      <c r="W1656" s="217" t="s">
        <v>32</v>
      </c>
    </row>
    <row r="1657" spans="1:23" x14ac:dyDescent="0.25">
      <c r="A1657" s="217" t="s">
        <v>22</v>
      </c>
      <c r="B1657" s="217" t="s">
        <v>23</v>
      </c>
      <c r="C1657" s="217" t="s">
        <v>85</v>
      </c>
      <c r="D1657" s="217" t="s">
        <v>84</v>
      </c>
      <c r="E1657" s="217" t="s">
        <v>98</v>
      </c>
      <c r="F1657" s="217" t="s">
        <v>97</v>
      </c>
      <c r="G1657" s="217" t="s">
        <v>462</v>
      </c>
      <c r="H1657" s="217" t="s">
        <v>1300</v>
      </c>
      <c r="I1657" s="217" t="s">
        <v>659</v>
      </c>
      <c r="J1657" s="217" t="s">
        <v>1856</v>
      </c>
      <c r="K1657" s="217">
        <v>3</v>
      </c>
      <c r="L1657" s="217">
        <v>10</v>
      </c>
      <c r="M1657" s="217" t="s">
        <v>31</v>
      </c>
      <c r="N1657" s="217" t="s">
        <v>32</v>
      </c>
      <c r="O1657" s="217" t="s">
        <v>141</v>
      </c>
      <c r="P1657" s="217" t="s">
        <v>142</v>
      </c>
      <c r="Q1657" s="217" t="s">
        <v>143</v>
      </c>
      <c r="R1657" s="217" t="s">
        <v>618</v>
      </c>
      <c r="S1657" s="217" t="s">
        <v>619</v>
      </c>
      <c r="T1657" s="217" t="s">
        <v>32</v>
      </c>
      <c r="U1657" s="217" t="s">
        <v>32</v>
      </c>
      <c r="V1657" s="217" t="s">
        <v>32</v>
      </c>
      <c r="W1657" s="217" t="s">
        <v>32</v>
      </c>
    </row>
    <row r="1658" spans="1:23" x14ac:dyDescent="0.25">
      <c r="A1658" s="217" t="s">
        <v>22</v>
      </c>
      <c r="B1658" s="217" t="s">
        <v>23</v>
      </c>
      <c r="C1658" s="217" t="s">
        <v>85</v>
      </c>
      <c r="D1658" s="217" t="s">
        <v>84</v>
      </c>
      <c r="E1658" s="217" t="s">
        <v>175</v>
      </c>
      <c r="F1658" s="217" t="s">
        <v>174</v>
      </c>
      <c r="G1658" s="217" t="s">
        <v>295</v>
      </c>
      <c r="H1658" s="217" t="s">
        <v>1301</v>
      </c>
      <c r="I1658" s="217" t="s">
        <v>659</v>
      </c>
      <c r="J1658" s="217" t="s">
        <v>1856</v>
      </c>
      <c r="K1658" s="217">
        <v>20</v>
      </c>
      <c r="L1658" s="217">
        <v>102</v>
      </c>
      <c r="M1658" s="217" t="s">
        <v>31</v>
      </c>
      <c r="N1658" s="217" t="s">
        <v>32</v>
      </c>
      <c r="O1658" s="217" t="s">
        <v>668</v>
      </c>
      <c r="P1658" s="217" t="s">
        <v>34</v>
      </c>
      <c r="Q1658" s="217" t="s">
        <v>35</v>
      </c>
      <c r="R1658" s="217" t="s">
        <v>23</v>
      </c>
      <c r="S1658" s="217" t="s">
        <v>22</v>
      </c>
      <c r="T1658" s="217" t="s">
        <v>84</v>
      </c>
      <c r="U1658" s="217" t="s">
        <v>85</v>
      </c>
      <c r="V1658" s="217" t="s">
        <v>32</v>
      </c>
      <c r="W1658" s="217" t="s">
        <v>32</v>
      </c>
    </row>
    <row r="1659" spans="1:23" x14ac:dyDescent="0.25">
      <c r="A1659" s="217" t="s">
        <v>22</v>
      </c>
      <c r="B1659" s="217" t="s">
        <v>23</v>
      </c>
      <c r="C1659" s="217" t="s">
        <v>85</v>
      </c>
      <c r="D1659" s="217" t="s">
        <v>84</v>
      </c>
      <c r="E1659" s="217" t="s">
        <v>175</v>
      </c>
      <c r="F1659" s="217" t="s">
        <v>174</v>
      </c>
      <c r="G1659" s="217" t="s">
        <v>1971</v>
      </c>
      <c r="H1659" s="217" t="s">
        <v>1972</v>
      </c>
      <c r="I1659" s="217" t="s">
        <v>659</v>
      </c>
      <c r="J1659" s="217" t="s">
        <v>1858</v>
      </c>
      <c r="K1659" s="217">
        <v>25</v>
      </c>
      <c r="L1659" s="217">
        <v>131</v>
      </c>
      <c r="M1659" s="217" t="s">
        <v>31</v>
      </c>
      <c r="N1659" s="217" t="s">
        <v>32</v>
      </c>
      <c r="O1659" s="217" t="s">
        <v>668</v>
      </c>
      <c r="P1659" s="217" t="s">
        <v>34</v>
      </c>
      <c r="Q1659" s="217" t="s">
        <v>35</v>
      </c>
      <c r="R1659" s="217" t="s">
        <v>23</v>
      </c>
      <c r="S1659" s="217" t="s">
        <v>22</v>
      </c>
      <c r="T1659" s="217" t="s">
        <v>84</v>
      </c>
      <c r="U1659" s="217" t="s">
        <v>85</v>
      </c>
      <c r="V1659" s="217" t="s">
        <v>32</v>
      </c>
      <c r="W1659" s="217" t="s">
        <v>32</v>
      </c>
    </row>
    <row r="1660" spans="1:23" x14ac:dyDescent="0.25">
      <c r="A1660" s="217" t="s">
        <v>22</v>
      </c>
      <c r="B1660" s="217" t="s">
        <v>23</v>
      </c>
      <c r="C1660" s="217" t="s">
        <v>85</v>
      </c>
      <c r="D1660" s="217" t="s">
        <v>84</v>
      </c>
      <c r="E1660" s="217" t="s">
        <v>175</v>
      </c>
      <c r="F1660" s="217" t="s">
        <v>174</v>
      </c>
      <c r="G1660" s="217" t="s">
        <v>464</v>
      </c>
      <c r="H1660" s="217" t="s">
        <v>1303</v>
      </c>
      <c r="I1660" s="217" t="s">
        <v>659</v>
      </c>
      <c r="J1660" s="217" t="s">
        <v>1857</v>
      </c>
      <c r="K1660" s="217">
        <v>15</v>
      </c>
      <c r="L1660" s="217">
        <v>80</v>
      </c>
      <c r="M1660" s="217" t="s">
        <v>31</v>
      </c>
      <c r="N1660" s="217" t="s">
        <v>32</v>
      </c>
      <c r="O1660" s="217" t="s">
        <v>668</v>
      </c>
      <c r="P1660" s="217" t="s">
        <v>34</v>
      </c>
      <c r="Q1660" s="217" t="s">
        <v>35</v>
      </c>
      <c r="R1660" s="217" t="s">
        <v>23</v>
      </c>
      <c r="S1660" s="217" t="s">
        <v>22</v>
      </c>
      <c r="T1660" s="217" t="s">
        <v>84</v>
      </c>
      <c r="U1660" s="217" t="s">
        <v>85</v>
      </c>
      <c r="V1660" s="217" t="s">
        <v>32</v>
      </c>
      <c r="W1660" s="217" t="s">
        <v>32</v>
      </c>
    </row>
    <row r="1661" spans="1:23" x14ac:dyDescent="0.25">
      <c r="A1661" s="217" t="s">
        <v>22</v>
      </c>
      <c r="B1661" s="217" t="s">
        <v>23</v>
      </c>
      <c r="C1661" s="217" t="s">
        <v>85</v>
      </c>
      <c r="D1661" s="217" t="s">
        <v>84</v>
      </c>
      <c r="E1661" s="217" t="s">
        <v>175</v>
      </c>
      <c r="F1661" s="217" t="s">
        <v>174</v>
      </c>
      <c r="G1661" s="217" t="s">
        <v>464</v>
      </c>
      <c r="H1661" s="217" t="s">
        <v>1303</v>
      </c>
      <c r="I1661" s="217" t="s">
        <v>659</v>
      </c>
      <c r="J1661" s="217" t="s">
        <v>1858</v>
      </c>
      <c r="K1661" s="217">
        <v>2</v>
      </c>
      <c r="L1661" s="217">
        <v>13</v>
      </c>
      <c r="M1661" s="217" t="s">
        <v>31</v>
      </c>
      <c r="N1661" s="217" t="s">
        <v>32</v>
      </c>
      <c r="O1661" s="217" t="s">
        <v>668</v>
      </c>
      <c r="P1661" s="217" t="s">
        <v>34</v>
      </c>
      <c r="Q1661" s="217" t="s">
        <v>35</v>
      </c>
      <c r="R1661" s="217" t="s">
        <v>23</v>
      </c>
      <c r="S1661" s="217" t="s">
        <v>22</v>
      </c>
      <c r="T1661" s="217" t="s">
        <v>84</v>
      </c>
      <c r="U1661" s="217" t="s">
        <v>85</v>
      </c>
      <c r="V1661" s="217" t="s">
        <v>32</v>
      </c>
      <c r="W1661" s="217" t="s">
        <v>32</v>
      </c>
    </row>
    <row r="1662" spans="1:23" x14ac:dyDescent="0.25">
      <c r="A1662" s="217" t="s">
        <v>22</v>
      </c>
      <c r="B1662" s="217" t="s">
        <v>23</v>
      </c>
      <c r="C1662" s="217" t="s">
        <v>85</v>
      </c>
      <c r="D1662" s="217" t="s">
        <v>84</v>
      </c>
      <c r="E1662" s="217" t="s">
        <v>175</v>
      </c>
      <c r="F1662" s="217" t="s">
        <v>174</v>
      </c>
      <c r="G1662" s="217" t="s">
        <v>177</v>
      </c>
      <c r="H1662" s="217" t="s">
        <v>1526</v>
      </c>
      <c r="I1662" s="217" t="s">
        <v>659</v>
      </c>
      <c r="J1662" s="217" t="s">
        <v>1858</v>
      </c>
      <c r="K1662" s="217">
        <v>62</v>
      </c>
      <c r="L1662" s="217">
        <v>350</v>
      </c>
      <c r="M1662" s="217" t="s">
        <v>31</v>
      </c>
      <c r="N1662" s="217" t="s">
        <v>32</v>
      </c>
      <c r="O1662" s="217" t="s">
        <v>668</v>
      </c>
      <c r="P1662" s="217" t="s">
        <v>34</v>
      </c>
      <c r="Q1662" s="217" t="s">
        <v>35</v>
      </c>
      <c r="R1662" s="217" t="s">
        <v>23</v>
      </c>
      <c r="S1662" s="217" t="s">
        <v>22</v>
      </c>
      <c r="T1662" s="217" t="s">
        <v>84</v>
      </c>
      <c r="U1662" s="217" t="s">
        <v>85</v>
      </c>
      <c r="V1662" s="217" t="s">
        <v>32</v>
      </c>
      <c r="W1662" s="217" t="s">
        <v>32</v>
      </c>
    </row>
    <row r="1663" spans="1:23" x14ac:dyDescent="0.25">
      <c r="A1663" s="217" t="s">
        <v>22</v>
      </c>
      <c r="B1663" s="217" t="s">
        <v>23</v>
      </c>
      <c r="C1663" s="217" t="s">
        <v>85</v>
      </c>
      <c r="D1663" s="217" t="s">
        <v>84</v>
      </c>
      <c r="E1663" s="217" t="s">
        <v>175</v>
      </c>
      <c r="F1663" s="217" t="s">
        <v>174</v>
      </c>
      <c r="G1663" s="217" t="s">
        <v>465</v>
      </c>
      <c r="H1663" s="217" t="s">
        <v>1304</v>
      </c>
      <c r="I1663" s="217" t="s">
        <v>659</v>
      </c>
      <c r="J1663" s="217" t="s">
        <v>1856</v>
      </c>
      <c r="K1663" s="217">
        <v>5</v>
      </c>
      <c r="L1663" s="217">
        <v>28</v>
      </c>
      <c r="M1663" s="217" t="s">
        <v>31</v>
      </c>
      <c r="N1663" s="217" t="s">
        <v>32</v>
      </c>
      <c r="O1663" s="217" t="s">
        <v>668</v>
      </c>
      <c r="P1663" s="217" t="s">
        <v>34</v>
      </c>
      <c r="Q1663" s="217" t="s">
        <v>35</v>
      </c>
      <c r="R1663" s="217" t="s">
        <v>23</v>
      </c>
      <c r="S1663" s="217" t="s">
        <v>22</v>
      </c>
      <c r="T1663" s="217" t="s">
        <v>84</v>
      </c>
      <c r="U1663" s="217" t="s">
        <v>85</v>
      </c>
      <c r="V1663" s="217" t="s">
        <v>32</v>
      </c>
      <c r="W1663" s="217" t="s">
        <v>32</v>
      </c>
    </row>
    <row r="1664" spans="1:23" x14ac:dyDescent="0.25">
      <c r="A1664" s="217" t="s">
        <v>22</v>
      </c>
      <c r="B1664" s="217" t="s">
        <v>23</v>
      </c>
      <c r="C1664" s="217" t="s">
        <v>85</v>
      </c>
      <c r="D1664" s="217" t="s">
        <v>84</v>
      </c>
      <c r="E1664" s="217" t="s">
        <v>175</v>
      </c>
      <c r="F1664" s="217" t="s">
        <v>174</v>
      </c>
      <c r="G1664" s="217" t="s">
        <v>465</v>
      </c>
      <c r="H1664" s="217" t="s">
        <v>1304</v>
      </c>
      <c r="I1664" s="217" t="s">
        <v>659</v>
      </c>
      <c r="J1664" s="217" t="s">
        <v>1857</v>
      </c>
      <c r="K1664" s="217">
        <v>4</v>
      </c>
      <c r="L1664" s="217">
        <v>22</v>
      </c>
      <c r="M1664" s="217" t="s">
        <v>31</v>
      </c>
      <c r="N1664" s="217" t="s">
        <v>32</v>
      </c>
      <c r="O1664" s="217" t="s">
        <v>668</v>
      </c>
      <c r="P1664" s="217" t="s">
        <v>34</v>
      </c>
      <c r="Q1664" s="217" t="s">
        <v>35</v>
      </c>
      <c r="R1664" s="217" t="s">
        <v>23</v>
      </c>
      <c r="S1664" s="217" t="s">
        <v>22</v>
      </c>
      <c r="T1664" s="217" t="s">
        <v>84</v>
      </c>
      <c r="U1664" s="217" t="s">
        <v>85</v>
      </c>
      <c r="V1664" s="217" t="s">
        <v>32</v>
      </c>
      <c r="W1664" s="217" t="s">
        <v>32</v>
      </c>
    </row>
    <row r="1665" spans="1:23" x14ac:dyDescent="0.25">
      <c r="A1665" s="217" t="s">
        <v>22</v>
      </c>
      <c r="B1665" s="217" t="s">
        <v>23</v>
      </c>
      <c r="C1665" s="217" t="s">
        <v>85</v>
      </c>
      <c r="D1665" s="217" t="s">
        <v>84</v>
      </c>
      <c r="E1665" s="217" t="s">
        <v>175</v>
      </c>
      <c r="F1665" s="217" t="s">
        <v>174</v>
      </c>
      <c r="G1665" s="217" t="s">
        <v>634</v>
      </c>
      <c r="H1665" s="217" t="s">
        <v>1527</v>
      </c>
      <c r="I1665" s="217" t="s">
        <v>659</v>
      </c>
      <c r="J1665" s="217" t="s">
        <v>1858</v>
      </c>
      <c r="K1665" s="217">
        <v>100</v>
      </c>
      <c r="L1665" s="217">
        <v>479</v>
      </c>
      <c r="M1665" s="217" t="s">
        <v>31</v>
      </c>
      <c r="N1665" s="217" t="s">
        <v>32</v>
      </c>
      <c r="O1665" s="217" t="s">
        <v>141</v>
      </c>
      <c r="P1665" s="217" t="s">
        <v>142</v>
      </c>
      <c r="Q1665" s="217" t="s">
        <v>143</v>
      </c>
      <c r="R1665" s="217" t="s">
        <v>618</v>
      </c>
      <c r="S1665" s="217" t="s">
        <v>619</v>
      </c>
      <c r="T1665" s="217" t="s">
        <v>32</v>
      </c>
      <c r="U1665" s="217" t="s">
        <v>32</v>
      </c>
      <c r="V1665" s="217" t="s">
        <v>32</v>
      </c>
      <c r="W1665" s="217" t="s">
        <v>32</v>
      </c>
    </row>
    <row r="1666" spans="1:23" x14ac:dyDescent="0.25">
      <c r="A1666" s="217" t="s">
        <v>22</v>
      </c>
      <c r="B1666" s="217" t="s">
        <v>23</v>
      </c>
      <c r="C1666" s="217" t="s">
        <v>85</v>
      </c>
      <c r="D1666" s="217" t="s">
        <v>84</v>
      </c>
      <c r="E1666" s="217" t="s">
        <v>175</v>
      </c>
      <c r="F1666" s="217" t="s">
        <v>174</v>
      </c>
      <c r="G1666" s="217" t="s">
        <v>830</v>
      </c>
      <c r="H1666" s="217" t="s">
        <v>1306</v>
      </c>
      <c r="I1666" s="217" t="s">
        <v>659</v>
      </c>
      <c r="J1666" s="217" t="s">
        <v>1856</v>
      </c>
      <c r="K1666" s="217">
        <v>12</v>
      </c>
      <c r="L1666" s="217">
        <v>76</v>
      </c>
      <c r="M1666" s="217" t="s">
        <v>31</v>
      </c>
      <c r="N1666" s="217" t="s">
        <v>32</v>
      </c>
      <c r="O1666" s="217" t="s">
        <v>668</v>
      </c>
      <c r="P1666" s="217" t="s">
        <v>34</v>
      </c>
      <c r="Q1666" s="217" t="s">
        <v>35</v>
      </c>
      <c r="R1666" s="217" t="s">
        <v>23</v>
      </c>
      <c r="S1666" s="217" t="s">
        <v>22</v>
      </c>
      <c r="T1666" s="217" t="s">
        <v>84</v>
      </c>
      <c r="U1666" s="217" t="s">
        <v>85</v>
      </c>
      <c r="V1666" s="217" t="s">
        <v>32</v>
      </c>
      <c r="W1666" s="217" t="s">
        <v>32</v>
      </c>
    </row>
    <row r="1667" spans="1:23" x14ac:dyDescent="0.25">
      <c r="A1667" s="217" t="s">
        <v>22</v>
      </c>
      <c r="B1667" s="217" t="s">
        <v>23</v>
      </c>
      <c r="C1667" s="217" t="s">
        <v>85</v>
      </c>
      <c r="D1667" s="217" t="s">
        <v>84</v>
      </c>
      <c r="E1667" s="217" t="s">
        <v>175</v>
      </c>
      <c r="F1667" s="217" t="s">
        <v>174</v>
      </c>
      <c r="G1667" s="217" t="s">
        <v>830</v>
      </c>
      <c r="H1667" s="217" t="s">
        <v>1306</v>
      </c>
      <c r="I1667" s="217" t="s">
        <v>659</v>
      </c>
      <c r="J1667" s="217" t="s">
        <v>1858</v>
      </c>
      <c r="K1667" s="217">
        <v>2</v>
      </c>
      <c r="L1667" s="217">
        <v>13</v>
      </c>
      <c r="M1667" s="217" t="s">
        <v>31</v>
      </c>
      <c r="N1667" s="217" t="s">
        <v>32</v>
      </c>
      <c r="O1667" s="217" t="s">
        <v>668</v>
      </c>
      <c r="P1667" s="217" t="s">
        <v>34</v>
      </c>
      <c r="Q1667" s="217" t="s">
        <v>35</v>
      </c>
      <c r="R1667" s="217" t="s">
        <v>23</v>
      </c>
      <c r="S1667" s="217" t="s">
        <v>22</v>
      </c>
      <c r="T1667" s="217" t="s">
        <v>84</v>
      </c>
      <c r="U1667" s="217" t="s">
        <v>85</v>
      </c>
      <c r="V1667" s="217" t="s">
        <v>32</v>
      </c>
      <c r="W1667" s="217" t="s">
        <v>32</v>
      </c>
    </row>
    <row r="1668" spans="1:23" x14ac:dyDescent="0.25">
      <c r="A1668" s="217" t="s">
        <v>22</v>
      </c>
      <c r="B1668" s="217" t="s">
        <v>23</v>
      </c>
      <c r="C1668" s="217" t="s">
        <v>85</v>
      </c>
      <c r="D1668" s="217" t="s">
        <v>84</v>
      </c>
      <c r="E1668" s="217" t="s">
        <v>175</v>
      </c>
      <c r="F1668" s="217" t="s">
        <v>174</v>
      </c>
      <c r="G1668" s="217" t="s">
        <v>853</v>
      </c>
      <c r="H1668" s="217" t="s">
        <v>1561</v>
      </c>
      <c r="I1668" s="217" t="s">
        <v>659</v>
      </c>
      <c r="J1668" s="217" t="s">
        <v>1857</v>
      </c>
      <c r="K1668" s="217">
        <v>12</v>
      </c>
      <c r="L1668" s="217">
        <v>70</v>
      </c>
      <c r="M1668" s="217" t="s">
        <v>31</v>
      </c>
      <c r="N1668" s="217" t="s">
        <v>32</v>
      </c>
      <c r="O1668" s="217" t="s">
        <v>668</v>
      </c>
      <c r="P1668" s="217" t="s">
        <v>34</v>
      </c>
      <c r="Q1668" s="217" t="s">
        <v>35</v>
      </c>
      <c r="R1668" s="217" t="s">
        <v>23</v>
      </c>
      <c r="S1668" s="217" t="s">
        <v>22</v>
      </c>
      <c r="T1668" s="217" t="s">
        <v>84</v>
      </c>
      <c r="U1668" s="217" t="s">
        <v>85</v>
      </c>
      <c r="V1668" s="217" t="s">
        <v>32</v>
      </c>
      <c r="W1668" s="217" t="s">
        <v>32</v>
      </c>
    </row>
    <row r="1669" spans="1:23" x14ac:dyDescent="0.25">
      <c r="A1669" s="217" t="s">
        <v>22</v>
      </c>
      <c r="B1669" s="217" t="s">
        <v>23</v>
      </c>
      <c r="C1669" s="217" t="s">
        <v>85</v>
      </c>
      <c r="D1669" s="217" t="s">
        <v>84</v>
      </c>
      <c r="E1669" s="217" t="s">
        <v>175</v>
      </c>
      <c r="F1669" s="217" t="s">
        <v>174</v>
      </c>
      <c r="G1669" s="217" t="s">
        <v>178</v>
      </c>
      <c r="H1669" s="217" t="s">
        <v>1562</v>
      </c>
      <c r="I1669" s="217" t="s">
        <v>659</v>
      </c>
      <c r="J1669" s="217" t="s">
        <v>1857</v>
      </c>
      <c r="K1669" s="217">
        <v>44</v>
      </c>
      <c r="L1669" s="217">
        <v>227</v>
      </c>
      <c r="M1669" s="217" t="s">
        <v>31</v>
      </c>
      <c r="N1669" s="217" t="s">
        <v>32</v>
      </c>
      <c r="O1669" s="217" t="s">
        <v>668</v>
      </c>
      <c r="P1669" s="217" t="s">
        <v>34</v>
      </c>
      <c r="Q1669" s="217" t="s">
        <v>35</v>
      </c>
      <c r="R1669" s="217" t="s">
        <v>23</v>
      </c>
      <c r="S1669" s="217" t="s">
        <v>22</v>
      </c>
      <c r="T1669" s="217" t="s">
        <v>84</v>
      </c>
      <c r="U1669" s="217" t="s">
        <v>85</v>
      </c>
      <c r="V1669" s="217" t="s">
        <v>32</v>
      </c>
      <c r="W1669" s="217" t="s">
        <v>32</v>
      </c>
    </row>
    <row r="1670" spans="1:23" x14ac:dyDescent="0.25">
      <c r="A1670" s="217" t="s">
        <v>22</v>
      </c>
      <c r="B1670" s="217" t="s">
        <v>23</v>
      </c>
      <c r="C1670" s="217" t="s">
        <v>85</v>
      </c>
      <c r="D1670" s="217" t="s">
        <v>84</v>
      </c>
      <c r="E1670" s="217" t="s">
        <v>175</v>
      </c>
      <c r="F1670" s="217" t="s">
        <v>174</v>
      </c>
      <c r="G1670" s="217" t="s">
        <v>635</v>
      </c>
      <c r="H1670" s="217" t="s">
        <v>1530</v>
      </c>
      <c r="I1670" s="217" t="s">
        <v>659</v>
      </c>
      <c r="J1670" s="217" t="s">
        <v>1858</v>
      </c>
      <c r="K1670" s="217">
        <v>101</v>
      </c>
      <c r="L1670" s="217">
        <v>513</v>
      </c>
      <c r="M1670" s="217" t="s">
        <v>31</v>
      </c>
      <c r="N1670" s="217" t="s">
        <v>32</v>
      </c>
      <c r="O1670" s="217" t="s">
        <v>668</v>
      </c>
      <c r="P1670" s="217" t="s">
        <v>34</v>
      </c>
      <c r="Q1670" s="217" t="s">
        <v>35</v>
      </c>
      <c r="R1670" s="217" t="s">
        <v>23</v>
      </c>
      <c r="S1670" s="217" t="s">
        <v>22</v>
      </c>
      <c r="T1670" s="217" t="s">
        <v>84</v>
      </c>
      <c r="U1670" s="217" t="s">
        <v>85</v>
      </c>
      <c r="V1670" s="217" t="s">
        <v>32</v>
      </c>
      <c r="W1670" s="217" t="s">
        <v>32</v>
      </c>
    </row>
    <row r="1671" spans="1:23" x14ac:dyDescent="0.25">
      <c r="A1671" s="217" t="s">
        <v>22</v>
      </c>
      <c r="B1671" s="217" t="s">
        <v>23</v>
      </c>
      <c r="C1671" s="217" t="s">
        <v>85</v>
      </c>
      <c r="D1671" s="217" t="s">
        <v>84</v>
      </c>
      <c r="E1671" s="217" t="s">
        <v>175</v>
      </c>
      <c r="F1671" s="217" t="s">
        <v>174</v>
      </c>
      <c r="G1671" s="217" t="s">
        <v>467</v>
      </c>
      <c r="H1671" s="217" t="s">
        <v>1308</v>
      </c>
      <c r="I1671" s="217" t="s">
        <v>659</v>
      </c>
      <c r="J1671" s="217" t="s">
        <v>1857</v>
      </c>
      <c r="K1671" s="217">
        <v>5</v>
      </c>
      <c r="L1671" s="217">
        <v>22</v>
      </c>
      <c r="M1671" s="217" t="s">
        <v>31</v>
      </c>
      <c r="N1671" s="217" t="s">
        <v>32</v>
      </c>
      <c r="O1671" s="217" t="s">
        <v>668</v>
      </c>
      <c r="P1671" s="217" t="s">
        <v>34</v>
      </c>
      <c r="Q1671" s="217" t="s">
        <v>35</v>
      </c>
      <c r="R1671" s="217" t="s">
        <v>23</v>
      </c>
      <c r="S1671" s="217" t="s">
        <v>22</v>
      </c>
      <c r="T1671" s="217" t="s">
        <v>84</v>
      </c>
      <c r="U1671" s="217" t="s">
        <v>85</v>
      </c>
      <c r="V1671" s="217" t="s">
        <v>32</v>
      </c>
      <c r="W1671" s="217" t="s">
        <v>32</v>
      </c>
    </row>
    <row r="1672" spans="1:23" x14ac:dyDescent="0.25">
      <c r="A1672" s="217" t="s">
        <v>22</v>
      </c>
      <c r="B1672" s="217" t="s">
        <v>23</v>
      </c>
      <c r="C1672" s="217" t="s">
        <v>85</v>
      </c>
      <c r="D1672" s="217" t="s">
        <v>84</v>
      </c>
      <c r="E1672" s="217" t="s">
        <v>175</v>
      </c>
      <c r="F1672" s="217" t="s">
        <v>174</v>
      </c>
      <c r="G1672" s="217" t="s">
        <v>469</v>
      </c>
      <c r="H1672" s="217" t="s">
        <v>1531</v>
      </c>
      <c r="I1672" s="217" t="s">
        <v>659</v>
      </c>
      <c r="J1672" s="217" t="s">
        <v>1857</v>
      </c>
      <c r="K1672" s="217">
        <v>3</v>
      </c>
      <c r="L1672" s="217">
        <v>13</v>
      </c>
      <c r="M1672" s="217" t="s">
        <v>31</v>
      </c>
      <c r="N1672" s="217" t="s">
        <v>32</v>
      </c>
      <c r="O1672" s="217" t="s">
        <v>668</v>
      </c>
      <c r="P1672" s="217" t="s">
        <v>34</v>
      </c>
      <c r="Q1672" s="217" t="s">
        <v>35</v>
      </c>
      <c r="R1672" s="217" t="s">
        <v>23</v>
      </c>
      <c r="S1672" s="217" t="s">
        <v>22</v>
      </c>
      <c r="T1672" s="217" t="s">
        <v>84</v>
      </c>
      <c r="U1672" s="217" t="s">
        <v>85</v>
      </c>
      <c r="V1672" s="217" t="s">
        <v>32</v>
      </c>
      <c r="W1672" s="217" t="s">
        <v>32</v>
      </c>
    </row>
    <row r="1673" spans="1:23" x14ac:dyDescent="0.25">
      <c r="A1673" s="217" t="s">
        <v>22</v>
      </c>
      <c r="B1673" s="217" t="s">
        <v>23</v>
      </c>
      <c r="C1673" s="217" t="s">
        <v>85</v>
      </c>
      <c r="D1673" s="217" t="s">
        <v>84</v>
      </c>
      <c r="E1673" s="217" t="s">
        <v>175</v>
      </c>
      <c r="F1673" s="217" t="s">
        <v>174</v>
      </c>
      <c r="G1673" s="217" t="s">
        <v>833</v>
      </c>
      <c r="H1673" s="217" t="s">
        <v>1310</v>
      </c>
      <c r="I1673" s="217" t="s">
        <v>659</v>
      </c>
      <c r="J1673" s="217" t="s">
        <v>1857</v>
      </c>
      <c r="K1673" s="217">
        <v>15</v>
      </c>
      <c r="L1673" s="217">
        <v>57</v>
      </c>
      <c r="M1673" s="217" t="s">
        <v>31</v>
      </c>
      <c r="N1673" s="217" t="s">
        <v>32</v>
      </c>
      <c r="O1673" s="217" t="s">
        <v>668</v>
      </c>
      <c r="P1673" s="217" t="s">
        <v>34</v>
      </c>
      <c r="Q1673" s="217" t="s">
        <v>35</v>
      </c>
      <c r="R1673" s="217" t="s">
        <v>23</v>
      </c>
      <c r="S1673" s="217" t="s">
        <v>22</v>
      </c>
      <c r="T1673" s="217" t="s">
        <v>84</v>
      </c>
      <c r="U1673" s="217" t="s">
        <v>85</v>
      </c>
      <c r="V1673" s="217" t="s">
        <v>32</v>
      </c>
      <c r="W1673" s="217" t="s">
        <v>32</v>
      </c>
    </row>
    <row r="1674" spans="1:23" x14ac:dyDescent="0.25">
      <c r="A1674" s="217" t="s">
        <v>22</v>
      </c>
      <c r="B1674" s="217" t="s">
        <v>23</v>
      </c>
      <c r="C1674" s="217" t="s">
        <v>85</v>
      </c>
      <c r="D1674" s="217" t="s">
        <v>84</v>
      </c>
      <c r="E1674" s="217" t="s">
        <v>175</v>
      </c>
      <c r="F1674" s="217" t="s">
        <v>174</v>
      </c>
      <c r="G1674" s="217" t="s">
        <v>179</v>
      </c>
      <c r="H1674" s="217" t="s">
        <v>1312</v>
      </c>
      <c r="I1674" s="217" t="s">
        <v>659</v>
      </c>
      <c r="J1674" s="217" t="s">
        <v>1855</v>
      </c>
      <c r="K1674" s="217">
        <v>10</v>
      </c>
      <c r="L1674" s="217">
        <v>50</v>
      </c>
      <c r="M1674" s="217" t="s">
        <v>31</v>
      </c>
      <c r="N1674" s="217" t="s">
        <v>32</v>
      </c>
      <c r="O1674" s="217" t="s">
        <v>668</v>
      </c>
      <c r="P1674" s="217" t="s">
        <v>34</v>
      </c>
      <c r="Q1674" s="217" t="s">
        <v>35</v>
      </c>
      <c r="R1674" s="217" t="s">
        <v>23</v>
      </c>
      <c r="S1674" s="217" t="s">
        <v>22</v>
      </c>
      <c r="T1674" s="217" t="s">
        <v>84</v>
      </c>
      <c r="U1674" s="217" t="s">
        <v>85</v>
      </c>
      <c r="V1674" s="217" t="s">
        <v>32</v>
      </c>
      <c r="W1674" s="217" t="s">
        <v>32</v>
      </c>
    </row>
    <row r="1675" spans="1:23" x14ac:dyDescent="0.25">
      <c r="A1675" s="217" t="s">
        <v>22</v>
      </c>
      <c r="B1675" s="217" t="s">
        <v>23</v>
      </c>
      <c r="C1675" s="217" t="s">
        <v>85</v>
      </c>
      <c r="D1675" s="217" t="s">
        <v>84</v>
      </c>
      <c r="E1675" s="217" t="s">
        <v>175</v>
      </c>
      <c r="F1675" s="217" t="s">
        <v>174</v>
      </c>
      <c r="G1675" s="217" t="s">
        <v>179</v>
      </c>
      <c r="H1675" s="217" t="s">
        <v>1312</v>
      </c>
      <c r="I1675" s="217" t="s">
        <v>659</v>
      </c>
      <c r="J1675" s="217" t="s">
        <v>1856</v>
      </c>
      <c r="K1675" s="217">
        <v>7</v>
      </c>
      <c r="L1675" s="217">
        <v>35</v>
      </c>
      <c r="M1675" s="217" t="s">
        <v>31</v>
      </c>
      <c r="N1675" s="217" t="s">
        <v>32</v>
      </c>
      <c r="O1675" s="217" t="s">
        <v>668</v>
      </c>
      <c r="P1675" s="217" t="s">
        <v>34</v>
      </c>
      <c r="Q1675" s="217" t="s">
        <v>35</v>
      </c>
      <c r="R1675" s="217" t="s">
        <v>23</v>
      </c>
      <c r="S1675" s="217" t="s">
        <v>22</v>
      </c>
      <c r="T1675" s="217" t="s">
        <v>84</v>
      </c>
      <c r="U1675" s="217" t="s">
        <v>85</v>
      </c>
      <c r="V1675" s="217" t="s">
        <v>32</v>
      </c>
      <c r="W1675" s="217" t="s">
        <v>32</v>
      </c>
    </row>
    <row r="1676" spans="1:23" x14ac:dyDescent="0.25">
      <c r="A1676" s="217" t="s">
        <v>22</v>
      </c>
      <c r="B1676" s="217" t="s">
        <v>23</v>
      </c>
      <c r="C1676" s="217" t="s">
        <v>85</v>
      </c>
      <c r="D1676" s="217" t="s">
        <v>84</v>
      </c>
      <c r="E1676" s="217" t="s">
        <v>175</v>
      </c>
      <c r="F1676" s="217" t="s">
        <v>174</v>
      </c>
      <c r="G1676" s="217" t="s">
        <v>179</v>
      </c>
      <c r="H1676" s="217" t="s">
        <v>1312</v>
      </c>
      <c r="I1676" s="217" t="s">
        <v>659</v>
      </c>
      <c r="J1676" s="217" t="s">
        <v>1857</v>
      </c>
      <c r="K1676" s="217">
        <v>63</v>
      </c>
      <c r="L1676" s="217">
        <v>447</v>
      </c>
      <c r="M1676" s="217" t="s">
        <v>31</v>
      </c>
      <c r="N1676" s="217" t="s">
        <v>32</v>
      </c>
      <c r="O1676" s="217" t="s">
        <v>668</v>
      </c>
      <c r="P1676" s="217" t="s">
        <v>34</v>
      </c>
      <c r="Q1676" s="217" t="s">
        <v>35</v>
      </c>
      <c r="R1676" s="217" t="s">
        <v>23</v>
      </c>
      <c r="S1676" s="217" t="s">
        <v>22</v>
      </c>
      <c r="T1676" s="217" t="s">
        <v>84</v>
      </c>
      <c r="U1676" s="217" t="s">
        <v>85</v>
      </c>
      <c r="V1676" s="217" t="s">
        <v>32</v>
      </c>
      <c r="W1676" s="217" t="s">
        <v>32</v>
      </c>
    </row>
    <row r="1677" spans="1:23" x14ac:dyDescent="0.25">
      <c r="A1677" s="217" t="s">
        <v>22</v>
      </c>
      <c r="B1677" s="217" t="s">
        <v>23</v>
      </c>
      <c r="C1677" s="217" t="s">
        <v>85</v>
      </c>
      <c r="D1677" s="217" t="s">
        <v>84</v>
      </c>
      <c r="E1677" s="217" t="s">
        <v>181</v>
      </c>
      <c r="F1677" s="217" t="s">
        <v>180</v>
      </c>
      <c r="G1677" s="217" t="s">
        <v>182</v>
      </c>
      <c r="H1677" s="217" t="s">
        <v>1313</v>
      </c>
      <c r="I1677" s="217" t="s">
        <v>659</v>
      </c>
      <c r="J1677" s="217" t="s">
        <v>1858</v>
      </c>
      <c r="K1677" s="217">
        <v>15</v>
      </c>
      <c r="L1677" s="217">
        <v>85</v>
      </c>
      <c r="M1677" s="217" t="s">
        <v>99</v>
      </c>
      <c r="N1677" s="217" t="s">
        <v>32</v>
      </c>
      <c r="O1677" s="217" t="s">
        <v>668</v>
      </c>
      <c r="P1677" s="217" t="s">
        <v>34</v>
      </c>
      <c r="Q1677" s="217" t="s">
        <v>35</v>
      </c>
      <c r="R1677" s="217" t="s">
        <v>23</v>
      </c>
      <c r="S1677" s="217" t="s">
        <v>22</v>
      </c>
      <c r="T1677" s="217" t="s">
        <v>84</v>
      </c>
      <c r="U1677" s="217" t="s">
        <v>85</v>
      </c>
      <c r="V1677" s="217" t="s">
        <v>32</v>
      </c>
      <c r="W1677" s="217" t="s">
        <v>32</v>
      </c>
    </row>
    <row r="1678" spans="1:23" x14ac:dyDescent="0.25">
      <c r="A1678" s="217" t="s">
        <v>22</v>
      </c>
      <c r="B1678" s="217" t="s">
        <v>23</v>
      </c>
      <c r="C1678" s="217" t="s">
        <v>85</v>
      </c>
      <c r="D1678" s="217" t="s">
        <v>84</v>
      </c>
      <c r="E1678" s="217" t="s">
        <v>181</v>
      </c>
      <c r="F1678" s="217" t="s">
        <v>180</v>
      </c>
      <c r="G1678" s="217" t="s">
        <v>182</v>
      </c>
      <c r="H1678" s="217" t="s">
        <v>1313</v>
      </c>
      <c r="I1678" s="217" t="s">
        <v>659</v>
      </c>
      <c r="J1678" s="217" t="s">
        <v>1859</v>
      </c>
      <c r="K1678" s="217">
        <v>64</v>
      </c>
      <c r="L1678" s="217">
        <v>498</v>
      </c>
      <c r="M1678" s="217" t="s">
        <v>99</v>
      </c>
      <c r="N1678" s="217" t="s">
        <v>32</v>
      </c>
      <c r="O1678" s="217" t="s">
        <v>668</v>
      </c>
      <c r="P1678" s="217" t="s">
        <v>34</v>
      </c>
      <c r="Q1678" s="217" t="s">
        <v>35</v>
      </c>
      <c r="R1678" s="217" t="s">
        <v>23</v>
      </c>
      <c r="S1678" s="217" t="s">
        <v>22</v>
      </c>
      <c r="T1678" s="217" t="s">
        <v>183</v>
      </c>
      <c r="U1678" s="217" t="s">
        <v>184</v>
      </c>
      <c r="V1678" s="217" t="s">
        <v>32</v>
      </c>
      <c r="W1678" s="217" t="s">
        <v>32</v>
      </c>
    </row>
    <row r="1679" spans="1:23" x14ac:dyDescent="0.25">
      <c r="A1679" s="217" t="s">
        <v>22</v>
      </c>
      <c r="B1679" s="217" t="s">
        <v>23</v>
      </c>
      <c r="C1679" s="217" t="s">
        <v>85</v>
      </c>
      <c r="D1679" s="217" t="s">
        <v>84</v>
      </c>
      <c r="E1679" s="217" t="s">
        <v>181</v>
      </c>
      <c r="F1679" s="217" t="s">
        <v>180</v>
      </c>
      <c r="G1679" s="217" t="s">
        <v>185</v>
      </c>
      <c r="H1679" s="217" t="s">
        <v>1314</v>
      </c>
      <c r="I1679" s="217" t="s">
        <v>659</v>
      </c>
      <c r="J1679" s="217" t="s">
        <v>1858</v>
      </c>
      <c r="K1679" s="217">
        <v>47</v>
      </c>
      <c r="L1679" s="217">
        <v>238</v>
      </c>
      <c r="M1679" s="217" t="s">
        <v>99</v>
      </c>
      <c r="N1679" s="217" t="s">
        <v>32</v>
      </c>
      <c r="O1679" s="217" t="s">
        <v>668</v>
      </c>
      <c r="P1679" s="217" t="s">
        <v>34</v>
      </c>
      <c r="Q1679" s="217" t="s">
        <v>35</v>
      </c>
      <c r="R1679" s="217" t="s">
        <v>23</v>
      </c>
      <c r="S1679" s="217" t="s">
        <v>22</v>
      </c>
      <c r="T1679" s="217" t="s">
        <v>84</v>
      </c>
      <c r="U1679" s="217" t="s">
        <v>85</v>
      </c>
      <c r="V1679" s="217" t="s">
        <v>32</v>
      </c>
      <c r="W1679" s="217" t="s">
        <v>32</v>
      </c>
    </row>
    <row r="1680" spans="1:23" x14ac:dyDescent="0.25">
      <c r="A1680" s="217" t="s">
        <v>22</v>
      </c>
      <c r="B1680" s="217" t="s">
        <v>23</v>
      </c>
      <c r="C1680" s="217" t="s">
        <v>85</v>
      </c>
      <c r="D1680" s="217" t="s">
        <v>84</v>
      </c>
      <c r="E1680" s="217" t="s">
        <v>181</v>
      </c>
      <c r="F1680" s="217" t="s">
        <v>180</v>
      </c>
      <c r="G1680" s="217" t="s">
        <v>186</v>
      </c>
      <c r="H1680" s="217" t="s">
        <v>1315</v>
      </c>
      <c r="I1680" s="217" t="s">
        <v>659</v>
      </c>
      <c r="J1680" s="217" t="s">
        <v>1858</v>
      </c>
      <c r="K1680" s="217">
        <v>53</v>
      </c>
      <c r="L1680" s="217">
        <v>275</v>
      </c>
      <c r="M1680" s="217" t="s">
        <v>99</v>
      </c>
      <c r="N1680" s="217" t="s">
        <v>32</v>
      </c>
      <c r="O1680" s="217" t="s">
        <v>668</v>
      </c>
      <c r="P1680" s="217" t="s">
        <v>34</v>
      </c>
      <c r="Q1680" s="217" t="s">
        <v>35</v>
      </c>
      <c r="R1680" s="217" t="s">
        <v>23</v>
      </c>
      <c r="S1680" s="217" t="s">
        <v>22</v>
      </c>
      <c r="T1680" s="217" t="s">
        <v>84</v>
      </c>
      <c r="U1680" s="217" t="s">
        <v>85</v>
      </c>
      <c r="V1680" s="217" t="s">
        <v>32</v>
      </c>
      <c r="W1680" s="217" t="s">
        <v>32</v>
      </c>
    </row>
    <row r="1681" spans="1:23" x14ac:dyDescent="0.25">
      <c r="A1681" s="217" t="s">
        <v>22</v>
      </c>
      <c r="B1681" s="217" t="s">
        <v>23</v>
      </c>
      <c r="C1681" s="217" t="s">
        <v>85</v>
      </c>
      <c r="D1681" s="217" t="s">
        <v>84</v>
      </c>
      <c r="E1681" s="217" t="s">
        <v>181</v>
      </c>
      <c r="F1681" s="217" t="s">
        <v>180</v>
      </c>
      <c r="G1681" s="217" t="s">
        <v>187</v>
      </c>
      <c r="H1681" s="217" t="s">
        <v>1316</v>
      </c>
      <c r="I1681" s="217" t="s">
        <v>659</v>
      </c>
      <c r="J1681" s="217" t="s">
        <v>1858</v>
      </c>
      <c r="K1681" s="217">
        <v>59</v>
      </c>
      <c r="L1681" s="217">
        <v>294</v>
      </c>
      <c r="M1681" s="217" t="s">
        <v>99</v>
      </c>
      <c r="N1681" s="217" t="s">
        <v>32</v>
      </c>
      <c r="O1681" s="217" t="s">
        <v>668</v>
      </c>
      <c r="P1681" s="217" t="s">
        <v>34</v>
      </c>
      <c r="Q1681" s="217" t="s">
        <v>35</v>
      </c>
      <c r="R1681" s="217" t="s">
        <v>23</v>
      </c>
      <c r="S1681" s="217" t="s">
        <v>22</v>
      </c>
      <c r="T1681" s="217" t="s">
        <v>84</v>
      </c>
      <c r="U1681" s="217" t="s">
        <v>85</v>
      </c>
      <c r="V1681" s="217" t="s">
        <v>32</v>
      </c>
      <c r="W1681" s="217" t="s">
        <v>32</v>
      </c>
    </row>
    <row r="1682" spans="1:23" x14ac:dyDescent="0.25">
      <c r="A1682" s="217" t="s">
        <v>22</v>
      </c>
      <c r="B1682" s="217" t="s">
        <v>23</v>
      </c>
      <c r="C1682" s="217" t="s">
        <v>85</v>
      </c>
      <c r="D1682" s="217" t="s">
        <v>84</v>
      </c>
      <c r="E1682" s="217" t="s">
        <v>181</v>
      </c>
      <c r="F1682" s="217" t="s">
        <v>180</v>
      </c>
      <c r="G1682" s="217" t="s">
        <v>188</v>
      </c>
      <c r="H1682" s="217" t="s">
        <v>1317</v>
      </c>
      <c r="I1682" s="217" t="s">
        <v>659</v>
      </c>
      <c r="J1682" s="217" t="s">
        <v>1858</v>
      </c>
      <c r="K1682" s="217">
        <v>53</v>
      </c>
      <c r="L1682" s="217">
        <v>270</v>
      </c>
      <c r="M1682" s="217" t="s">
        <v>99</v>
      </c>
      <c r="N1682" s="217" t="s">
        <v>32</v>
      </c>
      <c r="O1682" s="217" t="s">
        <v>668</v>
      </c>
      <c r="P1682" s="217" t="s">
        <v>34</v>
      </c>
      <c r="Q1682" s="217" t="s">
        <v>35</v>
      </c>
      <c r="R1682" s="217" t="s">
        <v>23</v>
      </c>
      <c r="S1682" s="217" t="s">
        <v>22</v>
      </c>
      <c r="T1682" s="217" t="s">
        <v>84</v>
      </c>
      <c r="U1682" s="217" t="s">
        <v>85</v>
      </c>
      <c r="V1682" s="217" t="s">
        <v>32</v>
      </c>
      <c r="W1682" s="217" t="s">
        <v>32</v>
      </c>
    </row>
    <row r="1683" spans="1:23" x14ac:dyDescent="0.25">
      <c r="A1683" s="217" t="s">
        <v>22</v>
      </c>
      <c r="B1683" s="217" t="s">
        <v>23</v>
      </c>
      <c r="C1683" s="217" t="s">
        <v>85</v>
      </c>
      <c r="D1683" s="217" t="s">
        <v>84</v>
      </c>
      <c r="E1683" s="217" t="s">
        <v>181</v>
      </c>
      <c r="F1683" s="217" t="s">
        <v>180</v>
      </c>
      <c r="G1683" s="217" t="s">
        <v>189</v>
      </c>
      <c r="H1683" s="217" t="s">
        <v>1318</v>
      </c>
      <c r="I1683" s="217" t="s">
        <v>659</v>
      </c>
      <c r="J1683" s="217" t="s">
        <v>1858</v>
      </c>
      <c r="K1683" s="217">
        <v>97</v>
      </c>
      <c r="L1683" s="217">
        <v>495</v>
      </c>
      <c r="M1683" s="217" t="s">
        <v>99</v>
      </c>
      <c r="N1683" s="217" t="s">
        <v>32</v>
      </c>
      <c r="O1683" s="217" t="s">
        <v>668</v>
      </c>
      <c r="P1683" s="217" t="s">
        <v>34</v>
      </c>
      <c r="Q1683" s="217" t="s">
        <v>35</v>
      </c>
      <c r="R1683" s="217" t="s">
        <v>23</v>
      </c>
      <c r="S1683" s="217" t="s">
        <v>22</v>
      </c>
      <c r="T1683" s="217" t="s">
        <v>84</v>
      </c>
      <c r="U1683" s="217" t="s">
        <v>85</v>
      </c>
      <c r="V1683" s="217" t="s">
        <v>32</v>
      </c>
      <c r="W1683" s="217" t="s">
        <v>32</v>
      </c>
    </row>
    <row r="1684" spans="1:23" x14ac:dyDescent="0.25">
      <c r="A1684" s="217" t="s">
        <v>22</v>
      </c>
      <c r="B1684" s="217" t="s">
        <v>23</v>
      </c>
      <c r="C1684" s="217" t="s">
        <v>85</v>
      </c>
      <c r="D1684" s="217" t="s">
        <v>84</v>
      </c>
      <c r="E1684" s="217" t="s">
        <v>181</v>
      </c>
      <c r="F1684" s="217" t="s">
        <v>180</v>
      </c>
      <c r="G1684" s="217" t="s">
        <v>190</v>
      </c>
      <c r="H1684" s="217" t="s">
        <v>1319</v>
      </c>
      <c r="I1684" s="217" t="s">
        <v>659</v>
      </c>
      <c r="J1684" s="217" t="s">
        <v>1858</v>
      </c>
      <c r="K1684" s="217">
        <v>70</v>
      </c>
      <c r="L1684" s="217">
        <v>360</v>
      </c>
      <c r="M1684" s="217" t="s">
        <v>99</v>
      </c>
      <c r="N1684" s="217" t="s">
        <v>32</v>
      </c>
      <c r="O1684" s="217" t="s">
        <v>668</v>
      </c>
      <c r="P1684" s="217" t="s">
        <v>34</v>
      </c>
      <c r="Q1684" s="217" t="s">
        <v>35</v>
      </c>
      <c r="R1684" s="217" t="s">
        <v>23</v>
      </c>
      <c r="S1684" s="217" t="s">
        <v>22</v>
      </c>
      <c r="T1684" s="217" t="s">
        <v>84</v>
      </c>
      <c r="U1684" s="217" t="s">
        <v>85</v>
      </c>
      <c r="V1684" s="217" t="s">
        <v>32</v>
      </c>
      <c r="W1684" s="217" t="s">
        <v>32</v>
      </c>
    </row>
    <row r="1685" spans="1:23" x14ac:dyDescent="0.25">
      <c r="A1685" s="217" t="s">
        <v>22</v>
      </c>
      <c r="B1685" s="217" t="s">
        <v>23</v>
      </c>
      <c r="C1685" s="217" t="s">
        <v>85</v>
      </c>
      <c r="D1685" s="217" t="s">
        <v>84</v>
      </c>
      <c r="E1685" s="217" t="s">
        <v>181</v>
      </c>
      <c r="F1685" s="217" t="s">
        <v>180</v>
      </c>
      <c r="G1685" s="217" t="s">
        <v>191</v>
      </c>
      <c r="H1685" s="217" t="s">
        <v>1320</v>
      </c>
      <c r="I1685" s="217" t="s">
        <v>659</v>
      </c>
      <c r="J1685" s="217" t="s">
        <v>1858</v>
      </c>
      <c r="K1685" s="217">
        <v>95</v>
      </c>
      <c r="L1685" s="217">
        <v>495</v>
      </c>
      <c r="M1685" s="217" t="s">
        <v>99</v>
      </c>
      <c r="N1685" s="217" t="s">
        <v>32</v>
      </c>
      <c r="O1685" s="217" t="s">
        <v>668</v>
      </c>
      <c r="P1685" s="217" t="s">
        <v>34</v>
      </c>
      <c r="Q1685" s="217" t="s">
        <v>35</v>
      </c>
      <c r="R1685" s="217" t="s">
        <v>23</v>
      </c>
      <c r="S1685" s="217" t="s">
        <v>22</v>
      </c>
      <c r="T1685" s="217" t="s">
        <v>84</v>
      </c>
      <c r="U1685" s="217" t="s">
        <v>85</v>
      </c>
      <c r="V1685" s="217" t="s">
        <v>32</v>
      </c>
      <c r="W1685" s="217" t="s">
        <v>32</v>
      </c>
    </row>
    <row r="1686" spans="1:23" x14ac:dyDescent="0.25">
      <c r="A1686" s="217" t="s">
        <v>22</v>
      </c>
      <c r="B1686" s="217" t="s">
        <v>23</v>
      </c>
      <c r="C1686" s="217" t="s">
        <v>85</v>
      </c>
      <c r="D1686" s="217" t="s">
        <v>84</v>
      </c>
      <c r="E1686" s="217" t="s">
        <v>181</v>
      </c>
      <c r="F1686" s="217" t="s">
        <v>180</v>
      </c>
      <c r="G1686" s="217" t="s">
        <v>192</v>
      </c>
      <c r="H1686" s="217" t="s">
        <v>1321</v>
      </c>
      <c r="I1686" s="217" t="s">
        <v>659</v>
      </c>
      <c r="J1686" s="217" t="s">
        <v>1858</v>
      </c>
      <c r="K1686" s="217">
        <v>92</v>
      </c>
      <c r="L1686" s="217">
        <v>460</v>
      </c>
      <c r="M1686" s="217" t="s">
        <v>99</v>
      </c>
      <c r="N1686" s="217" t="s">
        <v>32</v>
      </c>
      <c r="O1686" s="217" t="s">
        <v>668</v>
      </c>
      <c r="P1686" s="217" t="s">
        <v>34</v>
      </c>
      <c r="Q1686" s="217" t="s">
        <v>35</v>
      </c>
      <c r="R1686" s="217" t="s">
        <v>23</v>
      </c>
      <c r="S1686" s="217" t="s">
        <v>22</v>
      </c>
      <c r="T1686" s="217" t="s">
        <v>84</v>
      </c>
      <c r="U1686" s="217" t="s">
        <v>85</v>
      </c>
      <c r="V1686" s="217" t="s">
        <v>32</v>
      </c>
      <c r="W1686" s="217" t="s">
        <v>32</v>
      </c>
    </row>
    <row r="1687" spans="1:23" x14ac:dyDescent="0.25">
      <c r="A1687" s="217" t="s">
        <v>22</v>
      </c>
      <c r="B1687" s="217" t="s">
        <v>23</v>
      </c>
      <c r="C1687" s="217" t="s">
        <v>85</v>
      </c>
      <c r="D1687" s="217" t="s">
        <v>84</v>
      </c>
      <c r="E1687" s="217" t="s">
        <v>181</v>
      </c>
      <c r="F1687" s="217" t="s">
        <v>180</v>
      </c>
      <c r="G1687" s="217" t="s">
        <v>193</v>
      </c>
      <c r="H1687" s="217" t="s">
        <v>1563</v>
      </c>
      <c r="I1687" s="217" t="s">
        <v>659</v>
      </c>
      <c r="J1687" s="217" t="s">
        <v>1858</v>
      </c>
      <c r="K1687" s="217">
        <v>96</v>
      </c>
      <c r="L1687" s="217">
        <v>526</v>
      </c>
      <c r="M1687" s="217" t="s">
        <v>99</v>
      </c>
      <c r="N1687" s="217" t="s">
        <v>32</v>
      </c>
      <c r="O1687" s="217" t="s">
        <v>668</v>
      </c>
      <c r="P1687" s="217" t="s">
        <v>34</v>
      </c>
      <c r="Q1687" s="217" t="s">
        <v>35</v>
      </c>
      <c r="R1687" s="217" t="s">
        <v>23</v>
      </c>
      <c r="S1687" s="217" t="s">
        <v>22</v>
      </c>
      <c r="T1687" s="217" t="s">
        <v>84</v>
      </c>
      <c r="U1687" s="217" t="s">
        <v>85</v>
      </c>
      <c r="V1687" s="217" t="s">
        <v>32</v>
      </c>
      <c r="W1687" s="217" t="s">
        <v>32</v>
      </c>
    </row>
    <row r="1688" spans="1:23" x14ac:dyDescent="0.25">
      <c r="A1688" s="217" t="s">
        <v>22</v>
      </c>
      <c r="B1688" s="217" t="s">
        <v>23</v>
      </c>
      <c r="C1688" s="217" t="s">
        <v>85</v>
      </c>
      <c r="D1688" s="217" t="s">
        <v>84</v>
      </c>
      <c r="E1688" s="217" t="s">
        <v>181</v>
      </c>
      <c r="F1688" s="217" t="s">
        <v>180</v>
      </c>
      <c r="G1688" s="217" t="s">
        <v>194</v>
      </c>
      <c r="H1688" s="217" t="s">
        <v>1322</v>
      </c>
      <c r="I1688" s="217" t="s">
        <v>659</v>
      </c>
      <c r="J1688" s="217" t="s">
        <v>1858</v>
      </c>
      <c r="K1688" s="217">
        <v>68</v>
      </c>
      <c r="L1688" s="217">
        <v>350</v>
      </c>
      <c r="M1688" s="217" t="s">
        <v>99</v>
      </c>
      <c r="N1688" s="217" t="s">
        <v>32</v>
      </c>
      <c r="O1688" s="217" t="s">
        <v>668</v>
      </c>
      <c r="P1688" s="217" t="s">
        <v>34</v>
      </c>
      <c r="Q1688" s="217" t="s">
        <v>35</v>
      </c>
      <c r="R1688" s="217" t="s">
        <v>23</v>
      </c>
      <c r="S1688" s="217" t="s">
        <v>22</v>
      </c>
      <c r="T1688" s="217" t="s">
        <v>84</v>
      </c>
      <c r="U1688" s="217" t="s">
        <v>85</v>
      </c>
      <c r="V1688" s="217" t="s">
        <v>32</v>
      </c>
      <c r="W1688" s="217" t="s">
        <v>32</v>
      </c>
    </row>
    <row r="1689" spans="1:23" x14ac:dyDescent="0.25">
      <c r="A1689" s="217" t="s">
        <v>22</v>
      </c>
      <c r="B1689" s="217" t="s">
        <v>23</v>
      </c>
      <c r="C1689" s="217" t="s">
        <v>184</v>
      </c>
      <c r="D1689" s="217" t="s">
        <v>183</v>
      </c>
      <c r="E1689" s="217" t="s">
        <v>471</v>
      </c>
      <c r="F1689" s="217" t="s">
        <v>472</v>
      </c>
      <c r="G1689" s="217" t="s">
        <v>638</v>
      </c>
      <c r="H1689" s="217" t="s">
        <v>1533</v>
      </c>
      <c r="I1689" s="217" t="s">
        <v>659</v>
      </c>
      <c r="J1689" s="217" t="s">
        <v>1855</v>
      </c>
      <c r="K1689" s="217">
        <v>2</v>
      </c>
      <c r="L1689" s="217">
        <v>13</v>
      </c>
      <c r="M1689" s="217" t="s">
        <v>31</v>
      </c>
      <c r="N1689" s="217" t="s">
        <v>32</v>
      </c>
      <c r="O1689" s="217" t="s">
        <v>141</v>
      </c>
      <c r="P1689" s="217" t="s">
        <v>142</v>
      </c>
      <c r="Q1689" s="217" t="s">
        <v>143</v>
      </c>
      <c r="R1689" s="217" t="s">
        <v>618</v>
      </c>
      <c r="S1689" s="217" t="s">
        <v>619</v>
      </c>
      <c r="T1689" s="217" t="s">
        <v>32</v>
      </c>
      <c r="U1689" s="217" t="s">
        <v>32</v>
      </c>
      <c r="V1689" s="217" t="s">
        <v>32</v>
      </c>
      <c r="W1689" s="217" t="s">
        <v>32</v>
      </c>
    </row>
    <row r="1690" spans="1:23" x14ac:dyDescent="0.25">
      <c r="A1690" s="217" t="s">
        <v>22</v>
      </c>
      <c r="B1690" s="217" t="s">
        <v>23</v>
      </c>
      <c r="C1690" s="217" t="s">
        <v>184</v>
      </c>
      <c r="D1690" s="217" t="s">
        <v>183</v>
      </c>
      <c r="E1690" s="217" t="s">
        <v>471</v>
      </c>
      <c r="F1690" s="217" t="s">
        <v>472</v>
      </c>
      <c r="G1690" s="217" t="s">
        <v>638</v>
      </c>
      <c r="H1690" s="217" t="s">
        <v>1533</v>
      </c>
      <c r="I1690" s="217" t="s">
        <v>659</v>
      </c>
      <c r="J1690" s="217" t="s">
        <v>1856</v>
      </c>
      <c r="K1690" s="217">
        <v>1</v>
      </c>
      <c r="L1690" s="217">
        <v>8</v>
      </c>
      <c r="M1690" s="217" t="s">
        <v>31</v>
      </c>
      <c r="N1690" s="217" t="s">
        <v>32</v>
      </c>
      <c r="O1690" s="217" t="s">
        <v>141</v>
      </c>
      <c r="P1690" s="217" t="s">
        <v>142</v>
      </c>
      <c r="Q1690" s="217" t="s">
        <v>143</v>
      </c>
      <c r="R1690" s="217" t="s">
        <v>1850</v>
      </c>
      <c r="S1690" s="217" t="s">
        <v>1851</v>
      </c>
      <c r="T1690" s="217" t="s">
        <v>32</v>
      </c>
      <c r="U1690" s="217" t="s">
        <v>32</v>
      </c>
      <c r="V1690" s="217" t="s">
        <v>32</v>
      </c>
      <c r="W1690" s="217" t="s">
        <v>32</v>
      </c>
    </row>
    <row r="1691" spans="1:23" x14ac:dyDescent="0.25">
      <c r="A1691" s="217" t="s">
        <v>22</v>
      </c>
      <c r="B1691" s="217" t="s">
        <v>23</v>
      </c>
      <c r="C1691" s="217" t="s">
        <v>184</v>
      </c>
      <c r="D1691" s="217" t="s">
        <v>183</v>
      </c>
      <c r="E1691" s="217" t="s">
        <v>471</v>
      </c>
      <c r="F1691" s="217" t="s">
        <v>472</v>
      </c>
      <c r="G1691" s="217" t="s">
        <v>638</v>
      </c>
      <c r="H1691" s="217" t="s">
        <v>1533</v>
      </c>
      <c r="I1691" s="217" t="s">
        <v>659</v>
      </c>
      <c r="J1691" s="217" t="s">
        <v>1858</v>
      </c>
      <c r="K1691" s="217">
        <v>4</v>
      </c>
      <c r="L1691" s="217">
        <v>20</v>
      </c>
      <c r="M1691" s="217" t="s">
        <v>31</v>
      </c>
      <c r="N1691" s="217" t="s">
        <v>32</v>
      </c>
      <c r="O1691" s="217" t="s">
        <v>141</v>
      </c>
      <c r="P1691" s="217" t="s">
        <v>142</v>
      </c>
      <c r="Q1691" s="217" t="s">
        <v>143</v>
      </c>
      <c r="R1691" s="217" t="s">
        <v>1850</v>
      </c>
      <c r="S1691" s="217" t="s">
        <v>1851</v>
      </c>
      <c r="T1691" s="217" t="s">
        <v>32</v>
      </c>
      <c r="U1691" s="217" t="s">
        <v>32</v>
      </c>
      <c r="V1691" s="217" t="s">
        <v>32</v>
      </c>
      <c r="W1691" s="217" t="s">
        <v>32</v>
      </c>
    </row>
    <row r="1692" spans="1:23" x14ac:dyDescent="0.25">
      <c r="A1692" s="217" t="s">
        <v>22</v>
      </c>
      <c r="B1692" s="217" t="s">
        <v>23</v>
      </c>
      <c r="C1692" s="217" t="s">
        <v>184</v>
      </c>
      <c r="D1692" s="217" t="s">
        <v>183</v>
      </c>
      <c r="E1692" s="217" t="s">
        <v>196</v>
      </c>
      <c r="F1692" s="217" t="s">
        <v>195</v>
      </c>
      <c r="G1692" s="217" t="s">
        <v>481</v>
      </c>
      <c r="H1692" s="217" t="s">
        <v>1331</v>
      </c>
      <c r="I1692" s="217" t="s">
        <v>659</v>
      </c>
      <c r="J1692" s="217" t="s">
        <v>1856</v>
      </c>
      <c r="K1692" s="217">
        <v>15</v>
      </c>
      <c r="L1692" s="217">
        <v>75</v>
      </c>
      <c r="M1692" s="217" t="s">
        <v>99</v>
      </c>
      <c r="N1692" s="217" t="s">
        <v>32</v>
      </c>
      <c r="O1692" s="217" t="s">
        <v>668</v>
      </c>
      <c r="P1692" s="217" t="s">
        <v>34</v>
      </c>
      <c r="Q1692" s="217" t="s">
        <v>35</v>
      </c>
      <c r="R1692" s="217" t="s">
        <v>23</v>
      </c>
      <c r="S1692" s="217" t="s">
        <v>22</v>
      </c>
      <c r="T1692" s="217" t="s">
        <v>183</v>
      </c>
      <c r="U1692" s="217" t="s">
        <v>184</v>
      </c>
      <c r="V1692" s="217" t="s">
        <v>32</v>
      </c>
      <c r="W1692" s="217" t="s">
        <v>32</v>
      </c>
    </row>
    <row r="1693" spans="1:23" x14ac:dyDescent="0.25">
      <c r="A1693" s="217" t="s">
        <v>22</v>
      </c>
      <c r="B1693" s="217" t="s">
        <v>23</v>
      </c>
      <c r="C1693" s="217" t="s">
        <v>184</v>
      </c>
      <c r="D1693" s="217" t="s">
        <v>183</v>
      </c>
      <c r="E1693" s="217" t="s">
        <v>196</v>
      </c>
      <c r="F1693" s="217" t="s">
        <v>195</v>
      </c>
      <c r="G1693" s="217" t="s">
        <v>197</v>
      </c>
      <c r="H1693" s="217" t="s">
        <v>1332</v>
      </c>
      <c r="I1693" s="217" t="s">
        <v>659</v>
      </c>
      <c r="J1693" s="217" t="s">
        <v>1854</v>
      </c>
      <c r="K1693" s="217">
        <v>24</v>
      </c>
      <c r="L1693" s="217">
        <v>120</v>
      </c>
      <c r="M1693" s="217" t="s">
        <v>99</v>
      </c>
      <c r="N1693" s="217" t="s">
        <v>32</v>
      </c>
      <c r="O1693" s="217" t="s">
        <v>668</v>
      </c>
      <c r="P1693" s="217" t="s">
        <v>34</v>
      </c>
      <c r="Q1693" s="217" t="s">
        <v>35</v>
      </c>
      <c r="R1693" s="217" t="s">
        <v>23</v>
      </c>
      <c r="S1693" s="217" t="s">
        <v>22</v>
      </c>
      <c r="T1693" s="217" t="s">
        <v>183</v>
      </c>
      <c r="U1693" s="217" t="s">
        <v>184</v>
      </c>
      <c r="V1693" s="217" t="s">
        <v>32</v>
      </c>
      <c r="W1693" s="217" t="s">
        <v>32</v>
      </c>
    </row>
    <row r="1694" spans="1:23" x14ac:dyDescent="0.25">
      <c r="A1694" s="217" t="s">
        <v>22</v>
      </c>
      <c r="B1694" s="217" t="s">
        <v>23</v>
      </c>
      <c r="C1694" s="217" t="s">
        <v>184</v>
      </c>
      <c r="D1694" s="217" t="s">
        <v>183</v>
      </c>
      <c r="E1694" s="217" t="s">
        <v>196</v>
      </c>
      <c r="F1694" s="217" t="s">
        <v>195</v>
      </c>
      <c r="G1694" s="217" t="s">
        <v>198</v>
      </c>
      <c r="H1694" s="217" t="s">
        <v>1333</v>
      </c>
      <c r="I1694" s="217" t="s">
        <v>659</v>
      </c>
      <c r="J1694" s="217" t="s">
        <v>1856</v>
      </c>
      <c r="K1694" s="217">
        <v>15</v>
      </c>
      <c r="L1694" s="217">
        <v>75</v>
      </c>
      <c r="M1694" s="217" t="s">
        <v>99</v>
      </c>
      <c r="N1694" s="217" t="s">
        <v>32</v>
      </c>
      <c r="O1694" s="217" t="s">
        <v>668</v>
      </c>
      <c r="P1694" s="217" t="s">
        <v>34</v>
      </c>
      <c r="Q1694" s="217" t="s">
        <v>35</v>
      </c>
      <c r="R1694" s="217" t="s">
        <v>23</v>
      </c>
      <c r="S1694" s="217" t="s">
        <v>22</v>
      </c>
      <c r="T1694" s="217" t="s">
        <v>183</v>
      </c>
      <c r="U1694" s="217" t="s">
        <v>184</v>
      </c>
      <c r="V1694" s="217" t="s">
        <v>32</v>
      </c>
      <c r="W1694" s="217" t="s">
        <v>32</v>
      </c>
    </row>
    <row r="1695" spans="1:23" x14ac:dyDescent="0.25">
      <c r="A1695" s="217" t="s">
        <v>22</v>
      </c>
      <c r="B1695" s="217" t="s">
        <v>23</v>
      </c>
      <c r="C1695" s="217" t="s">
        <v>184</v>
      </c>
      <c r="D1695" s="217" t="s">
        <v>183</v>
      </c>
      <c r="E1695" s="217" t="s">
        <v>196</v>
      </c>
      <c r="F1695" s="217" t="s">
        <v>195</v>
      </c>
      <c r="G1695" s="217" t="s">
        <v>201</v>
      </c>
      <c r="H1695" s="217" t="s">
        <v>1334</v>
      </c>
      <c r="I1695" s="217" t="s">
        <v>659</v>
      </c>
      <c r="J1695" s="217" t="s">
        <v>1856</v>
      </c>
      <c r="K1695" s="217">
        <v>30</v>
      </c>
      <c r="L1695" s="217">
        <v>150</v>
      </c>
      <c r="M1695" s="217" t="s">
        <v>99</v>
      </c>
      <c r="N1695" s="217" t="s">
        <v>32</v>
      </c>
      <c r="O1695" s="217" t="s">
        <v>668</v>
      </c>
      <c r="P1695" s="217" t="s">
        <v>34</v>
      </c>
      <c r="Q1695" s="217" t="s">
        <v>35</v>
      </c>
      <c r="R1695" s="217" t="s">
        <v>23</v>
      </c>
      <c r="S1695" s="217" t="s">
        <v>22</v>
      </c>
      <c r="T1695" s="217" t="s">
        <v>183</v>
      </c>
      <c r="U1695" s="217" t="s">
        <v>184</v>
      </c>
      <c r="V1695" s="217" t="s">
        <v>32</v>
      </c>
      <c r="W1695" s="217" t="s">
        <v>32</v>
      </c>
    </row>
    <row r="1696" spans="1:23" x14ac:dyDescent="0.25">
      <c r="A1696" s="217" t="s">
        <v>22</v>
      </c>
      <c r="B1696" s="217" t="s">
        <v>23</v>
      </c>
      <c r="C1696" s="217" t="s">
        <v>184</v>
      </c>
      <c r="D1696" s="217" t="s">
        <v>183</v>
      </c>
      <c r="E1696" s="217" t="s">
        <v>203</v>
      </c>
      <c r="F1696" s="217" t="s">
        <v>202</v>
      </c>
      <c r="G1696" s="217" t="s">
        <v>671</v>
      </c>
      <c r="H1696" s="217" t="s">
        <v>1564</v>
      </c>
      <c r="I1696" s="217" t="s">
        <v>659</v>
      </c>
      <c r="J1696" s="217" t="s">
        <v>1854</v>
      </c>
      <c r="K1696" s="217">
        <v>50</v>
      </c>
      <c r="L1696" s="217">
        <v>281</v>
      </c>
      <c r="M1696" s="217" t="s">
        <v>99</v>
      </c>
      <c r="N1696" s="217" t="s">
        <v>32</v>
      </c>
      <c r="O1696" s="217" t="s">
        <v>668</v>
      </c>
      <c r="P1696" s="217" t="s">
        <v>34</v>
      </c>
      <c r="Q1696" s="217" t="s">
        <v>35</v>
      </c>
      <c r="R1696" s="217" t="s">
        <v>23</v>
      </c>
      <c r="S1696" s="217" t="s">
        <v>22</v>
      </c>
      <c r="T1696" s="217" t="s">
        <v>183</v>
      </c>
      <c r="U1696" s="217" t="s">
        <v>184</v>
      </c>
      <c r="V1696" s="217" t="s">
        <v>32</v>
      </c>
      <c r="W1696" s="217" t="s">
        <v>32</v>
      </c>
    </row>
    <row r="1697" spans="1:23" x14ac:dyDescent="0.25">
      <c r="A1697" s="217" t="s">
        <v>22</v>
      </c>
      <c r="B1697" s="217" t="s">
        <v>23</v>
      </c>
      <c r="C1697" s="217" t="s">
        <v>184</v>
      </c>
      <c r="D1697" s="217" t="s">
        <v>183</v>
      </c>
      <c r="E1697" s="217" t="s">
        <v>203</v>
      </c>
      <c r="F1697" s="217" t="s">
        <v>202</v>
      </c>
      <c r="G1697" s="217" t="s">
        <v>704</v>
      </c>
      <c r="H1697" s="217" t="s">
        <v>1565</v>
      </c>
      <c r="I1697" s="217" t="s">
        <v>659</v>
      </c>
      <c r="J1697" s="217" t="s">
        <v>1854</v>
      </c>
      <c r="K1697" s="217">
        <v>60</v>
      </c>
      <c r="L1697" s="217">
        <v>300</v>
      </c>
      <c r="M1697" s="217" t="s">
        <v>99</v>
      </c>
      <c r="N1697" s="217" t="s">
        <v>32</v>
      </c>
      <c r="O1697" s="217" t="s">
        <v>668</v>
      </c>
      <c r="P1697" s="217" t="s">
        <v>34</v>
      </c>
      <c r="Q1697" s="217" t="s">
        <v>35</v>
      </c>
      <c r="R1697" s="217" t="s">
        <v>23</v>
      </c>
      <c r="S1697" s="217" t="s">
        <v>22</v>
      </c>
      <c r="T1697" s="217" t="s">
        <v>183</v>
      </c>
      <c r="U1697" s="217" t="s">
        <v>184</v>
      </c>
      <c r="V1697" s="217" t="s">
        <v>32</v>
      </c>
      <c r="W1697" s="217" t="s">
        <v>32</v>
      </c>
    </row>
    <row r="1698" spans="1:23" x14ac:dyDescent="0.25">
      <c r="A1698" s="217" t="s">
        <v>22</v>
      </c>
      <c r="B1698" s="217" t="s">
        <v>23</v>
      </c>
      <c r="C1698" s="217" t="s">
        <v>184</v>
      </c>
      <c r="D1698" s="217" t="s">
        <v>183</v>
      </c>
      <c r="E1698" s="217" t="s">
        <v>203</v>
      </c>
      <c r="F1698" s="217" t="s">
        <v>202</v>
      </c>
      <c r="G1698" s="217" t="s">
        <v>672</v>
      </c>
      <c r="H1698" s="217" t="s">
        <v>1566</v>
      </c>
      <c r="I1698" s="217" t="s">
        <v>659</v>
      </c>
      <c r="J1698" s="217" t="s">
        <v>1854</v>
      </c>
      <c r="K1698" s="217">
        <v>15</v>
      </c>
      <c r="L1698" s="217">
        <v>92</v>
      </c>
      <c r="M1698" s="217" t="s">
        <v>99</v>
      </c>
      <c r="N1698" s="217" t="s">
        <v>32</v>
      </c>
      <c r="O1698" s="217" t="s">
        <v>668</v>
      </c>
      <c r="P1698" s="217" t="s">
        <v>34</v>
      </c>
      <c r="Q1698" s="217" t="s">
        <v>35</v>
      </c>
      <c r="R1698" s="217" t="s">
        <v>23</v>
      </c>
      <c r="S1698" s="217" t="s">
        <v>22</v>
      </c>
      <c r="T1698" s="217" t="s">
        <v>183</v>
      </c>
      <c r="U1698" s="217" t="s">
        <v>184</v>
      </c>
      <c r="V1698" s="217" t="s">
        <v>32</v>
      </c>
      <c r="W1698" s="217" t="s">
        <v>32</v>
      </c>
    </row>
    <row r="1699" spans="1:23" x14ac:dyDescent="0.25">
      <c r="A1699" s="217" t="s">
        <v>22</v>
      </c>
      <c r="B1699" s="217" t="s">
        <v>23</v>
      </c>
      <c r="C1699" s="217" t="s">
        <v>184</v>
      </c>
      <c r="D1699" s="217" t="s">
        <v>183</v>
      </c>
      <c r="E1699" s="217" t="s">
        <v>203</v>
      </c>
      <c r="F1699" s="217" t="s">
        <v>202</v>
      </c>
      <c r="G1699" s="217" t="s">
        <v>673</v>
      </c>
      <c r="H1699" s="217" t="s">
        <v>1567</v>
      </c>
      <c r="I1699" s="217" t="s">
        <v>659</v>
      </c>
      <c r="J1699" s="217" t="s">
        <v>1854</v>
      </c>
      <c r="K1699" s="217">
        <v>20</v>
      </c>
      <c r="L1699" s="217">
        <v>200</v>
      </c>
      <c r="M1699" s="217" t="s">
        <v>99</v>
      </c>
      <c r="N1699" s="217" t="s">
        <v>32</v>
      </c>
      <c r="O1699" s="217" t="s">
        <v>668</v>
      </c>
      <c r="P1699" s="217" t="s">
        <v>34</v>
      </c>
      <c r="Q1699" s="217" t="s">
        <v>35</v>
      </c>
      <c r="R1699" s="217" t="s">
        <v>23</v>
      </c>
      <c r="S1699" s="217" t="s">
        <v>22</v>
      </c>
      <c r="T1699" s="217" t="s">
        <v>183</v>
      </c>
      <c r="U1699" s="217" t="s">
        <v>184</v>
      </c>
      <c r="V1699" s="217" t="s">
        <v>32</v>
      </c>
      <c r="W1699" s="217" t="s">
        <v>32</v>
      </c>
    </row>
    <row r="1700" spans="1:23" x14ac:dyDescent="0.25">
      <c r="A1700" s="217" t="s">
        <v>22</v>
      </c>
      <c r="B1700" s="217" t="s">
        <v>23</v>
      </c>
      <c r="C1700" s="217" t="s">
        <v>184</v>
      </c>
      <c r="D1700" s="217" t="s">
        <v>183</v>
      </c>
      <c r="E1700" s="217" t="s">
        <v>203</v>
      </c>
      <c r="F1700" s="217" t="s">
        <v>202</v>
      </c>
      <c r="G1700" s="217" t="s">
        <v>204</v>
      </c>
      <c r="H1700" s="217" t="s">
        <v>1336</v>
      </c>
      <c r="I1700" s="217" t="s">
        <v>659</v>
      </c>
      <c r="J1700" s="217" t="s">
        <v>1854</v>
      </c>
      <c r="K1700" s="217">
        <v>18</v>
      </c>
      <c r="L1700" s="217">
        <v>227</v>
      </c>
      <c r="M1700" s="217" t="s">
        <v>99</v>
      </c>
      <c r="N1700" s="217" t="s">
        <v>32</v>
      </c>
      <c r="O1700" s="217" t="s">
        <v>668</v>
      </c>
      <c r="P1700" s="217" t="s">
        <v>34</v>
      </c>
      <c r="Q1700" s="217" t="s">
        <v>35</v>
      </c>
      <c r="R1700" s="217" t="s">
        <v>23</v>
      </c>
      <c r="S1700" s="217" t="s">
        <v>22</v>
      </c>
      <c r="T1700" s="217" t="s">
        <v>183</v>
      </c>
      <c r="U1700" s="217" t="s">
        <v>184</v>
      </c>
      <c r="V1700" s="217" t="s">
        <v>32</v>
      </c>
      <c r="W1700" s="217" t="s">
        <v>32</v>
      </c>
    </row>
    <row r="1701" spans="1:23" x14ac:dyDescent="0.25">
      <c r="A1701" s="217" t="s">
        <v>22</v>
      </c>
      <c r="B1701" s="217" t="s">
        <v>23</v>
      </c>
      <c r="C1701" s="217" t="s">
        <v>184</v>
      </c>
      <c r="D1701" s="217" t="s">
        <v>183</v>
      </c>
      <c r="E1701" s="217" t="s">
        <v>206</v>
      </c>
      <c r="F1701" s="217" t="s">
        <v>205</v>
      </c>
      <c r="G1701" s="217" t="s">
        <v>207</v>
      </c>
      <c r="H1701" s="217" t="s">
        <v>1568</v>
      </c>
      <c r="I1701" s="217" t="s">
        <v>659</v>
      </c>
      <c r="J1701" s="217" t="s">
        <v>1854</v>
      </c>
      <c r="K1701" s="217">
        <v>93</v>
      </c>
      <c r="L1701" s="217">
        <v>558</v>
      </c>
      <c r="M1701" s="217" t="s">
        <v>99</v>
      </c>
      <c r="N1701" s="217" t="s">
        <v>32</v>
      </c>
      <c r="O1701" s="217" t="s">
        <v>668</v>
      </c>
      <c r="P1701" s="217" t="s">
        <v>34</v>
      </c>
      <c r="Q1701" s="217" t="s">
        <v>35</v>
      </c>
      <c r="R1701" s="217" t="s">
        <v>23</v>
      </c>
      <c r="S1701" s="217" t="s">
        <v>22</v>
      </c>
      <c r="T1701" s="217" t="s">
        <v>183</v>
      </c>
      <c r="U1701" s="217" t="s">
        <v>184</v>
      </c>
      <c r="V1701" s="217" t="s">
        <v>32</v>
      </c>
      <c r="W1701" s="217" t="s">
        <v>32</v>
      </c>
    </row>
    <row r="1702" spans="1:23" x14ac:dyDescent="0.25">
      <c r="A1702" s="217" t="s">
        <v>22</v>
      </c>
      <c r="B1702" s="217" t="s">
        <v>23</v>
      </c>
      <c r="C1702" s="217" t="s">
        <v>184</v>
      </c>
      <c r="D1702" s="217" t="s">
        <v>183</v>
      </c>
      <c r="E1702" s="217" t="s">
        <v>206</v>
      </c>
      <c r="F1702" s="217" t="s">
        <v>205</v>
      </c>
      <c r="G1702" s="217" t="s">
        <v>207</v>
      </c>
      <c r="H1702" s="217" t="s">
        <v>1568</v>
      </c>
      <c r="I1702" s="217" t="s">
        <v>659</v>
      </c>
      <c r="J1702" s="217" t="s">
        <v>1855</v>
      </c>
      <c r="K1702" s="217">
        <v>100</v>
      </c>
      <c r="L1702" s="217">
        <v>600</v>
      </c>
      <c r="M1702" s="217" t="s">
        <v>99</v>
      </c>
      <c r="N1702" s="217" t="s">
        <v>32</v>
      </c>
      <c r="O1702" s="217" t="s">
        <v>668</v>
      </c>
      <c r="P1702" s="217" t="s">
        <v>34</v>
      </c>
      <c r="Q1702" s="217" t="s">
        <v>35</v>
      </c>
      <c r="R1702" s="217" t="s">
        <v>23</v>
      </c>
      <c r="S1702" s="217" t="s">
        <v>22</v>
      </c>
      <c r="T1702" s="217" t="s">
        <v>183</v>
      </c>
      <c r="U1702" s="217" t="s">
        <v>184</v>
      </c>
      <c r="V1702" s="217" t="s">
        <v>32</v>
      </c>
      <c r="W1702" s="217" t="s">
        <v>32</v>
      </c>
    </row>
    <row r="1703" spans="1:23" x14ac:dyDescent="0.25">
      <c r="A1703" s="217" t="s">
        <v>22</v>
      </c>
      <c r="B1703" s="217" t="s">
        <v>23</v>
      </c>
      <c r="C1703" s="217" t="s">
        <v>184</v>
      </c>
      <c r="D1703" s="217" t="s">
        <v>183</v>
      </c>
      <c r="E1703" s="217" t="s">
        <v>206</v>
      </c>
      <c r="F1703" s="217" t="s">
        <v>205</v>
      </c>
      <c r="G1703" s="217" t="s">
        <v>207</v>
      </c>
      <c r="H1703" s="217" t="s">
        <v>1568</v>
      </c>
      <c r="I1703" s="217" t="s">
        <v>659</v>
      </c>
      <c r="J1703" s="217" t="s">
        <v>1858</v>
      </c>
      <c r="K1703" s="217">
        <v>9</v>
      </c>
      <c r="L1703" s="217">
        <v>54</v>
      </c>
      <c r="M1703" s="217" t="s">
        <v>99</v>
      </c>
      <c r="N1703" s="217" t="s">
        <v>32</v>
      </c>
      <c r="O1703" s="217" t="s">
        <v>668</v>
      </c>
      <c r="P1703" s="217" t="s">
        <v>34</v>
      </c>
      <c r="Q1703" s="217" t="s">
        <v>35</v>
      </c>
      <c r="R1703" s="217" t="s">
        <v>23</v>
      </c>
      <c r="S1703" s="217" t="s">
        <v>22</v>
      </c>
      <c r="T1703" s="217" t="s">
        <v>183</v>
      </c>
      <c r="U1703" s="217" t="s">
        <v>184</v>
      </c>
      <c r="V1703" s="217" t="s">
        <v>32</v>
      </c>
      <c r="W1703" s="217" t="s">
        <v>32</v>
      </c>
    </row>
    <row r="1704" spans="1:23" x14ac:dyDescent="0.25">
      <c r="A1704" s="217" t="s">
        <v>22</v>
      </c>
      <c r="B1704" s="217" t="s">
        <v>23</v>
      </c>
      <c r="C1704" s="217" t="s">
        <v>184</v>
      </c>
      <c r="D1704" s="217" t="s">
        <v>183</v>
      </c>
      <c r="E1704" s="217" t="s">
        <v>206</v>
      </c>
      <c r="F1704" s="217" t="s">
        <v>205</v>
      </c>
      <c r="G1704" s="217" t="s">
        <v>208</v>
      </c>
      <c r="H1704" s="217" t="s">
        <v>1337</v>
      </c>
      <c r="I1704" s="217" t="s">
        <v>659</v>
      </c>
      <c r="J1704" s="217" t="s">
        <v>1855</v>
      </c>
      <c r="K1704" s="217">
        <v>31</v>
      </c>
      <c r="L1704" s="217">
        <v>186</v>
      </c>
      <c r="M1704" s="217" t="s">
        <v>99</v>
      </c>
      <c r="N1704" s="217" t="s">
        <v>32</v>
      </c>
      <c r="O1704" s="217" t="s">
        <v>668</v>
      </c>
      <c r="P1704" s="217" t="s">
        <v>34</v>
      </c>
      <c r="Q1704" s="217" t="s">
        <v>35</v>
      </c>
      <c r="R1704" s="217" t="s">
        <v>23</v>
      </c>
      <c r="S1704" s="217" t="s">
        <v>22</v>
      </c>
      <c r="T1704" s="217" t="s">
        <v>183</v>
      </c>
      <c r="U1704" s="217" t="s">
        <v>184</v>
      </c>
      <c r="V1704" s="217" t="s">
        <v>32</v>
      </c>
      <c r="W1704" s="217" t="s">
        <v>32</v>
      </c>
    </row>
    <row r="1705" spans="1:23" x14ac:dyDescent="0.25">
      <c r="A1705" s="217" t="s">
        <v>22</v>
      </c>
      <c r="B1705" s="217" t="s">
        <v>23</v>
      </c>
      <c r="C1705" s="217" t="s">
        <v>184</v>
      </c>
      <c r="D1705" s="217" t="s">
        <v>183</v>
      </c>
      <c r="E1705" s="217" t="s">
        <v>206</v>
      </c>
      <c r="F1705" s="217" t="s">
        <v>205</v>
      </c>
      <c r="G1705" s="217" t="s">
        <v>208</v>
      </c>
      <c r="H1705" s="217" t="s">
        <v>1337</v>
      </c>
      <c r="I1705" s="217" t="s">
        <v>659</v>
      </c>
      <c r="J1705" s="217" t="s">
        <v>1856</v>
      </c>
      <c r="K1705" s="217">
        <v>9</v>
      </c>
      <c r="L1705" s="217">
        <v>54</v>
      </c>
      <c r="M1705" s="217" t="s">
        <v>99</v>
      </c>
      <c r="N1705" s="217" t="s">
        <v>32</v>
      </c>
      <c r="O1705" s="217" t="s">
        <v>668</v>
      </c>
      <c r="P1705" s="217" t="s">
        <v>34</v>
      </c>
      <c r="Q1705" s="217" t="s">
        <v>35</v>
      </c>
      <c r="R1705" s="217" t="s">
        <v>23</v>
      </c>
      <c r="S1705" s="217" t="s">
        <v>22</v>
      </c>
      <c r="T1705" s="217" t="s">
        <v>183</v>
      </c>
      <c r="U1705" s="217" t="s">
        <v>184</v>
      </c>
      <c r="V1705" s="217" t="s">
        <v>32</v>
      </c>
      <c r="W1705" s="217" t="s">
        <v>32</v>
      </c>
    </row>
    <row r="1706" spans="1:23" x14ac:dyDescent="0.25">
      <c r="A1706" s="217" t="s">
        <v>22</v>
      </c>
      <c r="B1706" s="217" t="s">
        <v>23</v>
      </c>
      <c r="C1706" s="217" t="s">
        <v>184</v>
      </c>
      <c r="D1706" s="217" t="s">
        <v>183</v>
      </c>
      <c r="E1706" s="217" t="s">
        <v>206</v>
      </c>
      <c r="F1706" s="217" t="s">
        <v>205</v>
      </c>
      <c r="G1706" s="217" t="s">
        <v>208</v>
      </c>
      <c r="H1706" s="217" t="s">
        <v>1337</v>
      </c>
      <c r="I1706" s="217" t="s">
        <v>659</v>
      </c>
      <c r="J1706" s="217" t="s">
        <v>1858</v>
      </c>
      <c r="K1706" s="217">
        <v>5</v>
      </c>
      <c r="L1706" s="217">
        <v>35</v>
      </c>
      <c r="M1706" s="217" t="s">
        <v>99</v>
      </c>
      <c r="N1706" s="217" t="s">
        <v>32</v>
      </c>
      <c r="O1706" s="217" t="s">
        <v>668</v>
      </c>
      <c r="P1706" s="217" t="s">
        <v>34</v>
      </c>
      <c r="Q1706" s="217" t="s">
        <v>35</v>
      </c>
      <c r="R1706" s="217" t="s">
        <v>23</v>
      </c>
      <c r="S1706" s="217" t="s">
        <v>22</v>
      </c>
      <c r="T1706" s="217" t="s">
        <v>183</v>
      </c>
      <c r="U1706" s="217" t="s">
        <v>184</v>
      </c>
      <c r="V1706" s="217" t="s">
        <v>32</v>
      </c>
      <c r="W1706" s="217" t="s">
        <v>32</v>
      </c>
    </row>
    <row r="1707" spans="1:23" x14ac:dyDescent="0.25">
      <c r="A1707" s="217" t="s">
        <v>22</v>
      </c>
      <c r="B1707" s="217" t="s">
        <v>23</v>
      </c>
      <c r="C1707" s="217" t="s">
        <v>184</v>
      </c>
      <c r="D1707" s="217" t="s">
        <v>183</v>
      </c>
      <c r="E1707" s="217" t="s">
        <v>206</v>
      </c>
      <c r="F1707" s="217" t="s">
        <v>205</v>
      </c>
      <c r="G1707" s="217" t="s">
        <v>209</v>
      </c>
      <c r="H1707" s="217" t="s">
        <v>1569</v>
      </c>
      <c r="I1707" s="217" t="s">
        <v>659</v>
      </c>
      <c r="J1707" s="217" t="s">
        <v>1854</v>
      </c>
      <c r="K1707" s="217">
        <v>120</v>
      </c>
      <c r="L1707" s="217">
        <v>722</v>
      </c>
      <c r="M1707" s="217" t="s">
        <v>99</v>
      </c>
      <c r="N1707" s="217" t="s">
        <v>32</v>
      </c>
      <c r="O1707" s="217" t="s">
        <v>668</v>
      </c>
      <c r="P1707" s="217" t="s">
        <v>34</v>
      </c>
      <c r="Q1707" s="217" t="s">
        <v>35</v>
      </c>
      <c r="R1707" s="217" t="s">
        <v>23</v>
      </c>
      <c r="S1707" s="217" t="s">
        <v>22</v>
      </c>
      <c r="T1707" s="217" t="s">
        <v>183</v>
      </c>
      <c r="U1707" s="217" t="s">
        <v>184</v>
      </c>
      <c r="V1707" s="217" t="s">
        <v>32</v>
      </c>
      <c r="W1707" s="217" t="s">
        <v>32</v>
      </c>
    </row>
    <row r="1708" spans="1:23" x14ac:dyDescent="0.25">
      <c r="A1708" s="217" t="s">
        <v>22</v>
      </c>
      <c r="B1708" s="217" t="s">
        <v>23</v>
      </c>
      <c r="C1708" s="217" t="s">
        <v>184</v>
      </c>
      <c r="D1708" s="217" t="s">
        <v>183</v>
      </c>
      <c r="E1708" s="217" t="s">
        <v>206</v>
      </c>
      <c r="F1708" s="217" t="s">
        <v>205</v>
      </c>
      <c r="G1708" s="217" t="s">
        <v>209</v>
      </c>
      <c r="H1708" s="217" t="s">
        <v>1569</v>
      </c>
      <c r="I1708" s="217" t="s">
        <v>659</v>
      </c>
      <c r="J1708" s="217" t="s">
        <v>1855</v>
      </c>
      <c r="K1708" s="217">
        <v>80</v>
      </c>
      <c r="L1708" s="217">
        <v>480</v>
      </c>
      <c r="M1708" s="217" t="s">
        <v>99</v>
      </c>
      <c r="N1708" s="217" t="s">
        <v>32</v>
      </c>
      <c r="O1708" s="217" t="s">
        <v>668</v>
      </c>
      <c r="P1708" s="217" t="s">
        <v>34</v>
      </c>
      <c r="Q1708" s="217" t="s">
        <v>35</v>
      </c>
      <c r="R1708" s="217" t="s">
        <v>23</v>
      </c>
      <c r="S1708" s="217" t="s">
        <v>22</v>
      </c>
      <c r="T1708" s="217" t="s">
        <v>183</v>
      </c>
      <c r="U1708" s="217" t="s">
        <v>184</v>
      </c>
      <c r="V1708" s="217" t="s">
        <v>32</v>
      </c>
      <c r="W1708" s="217" t="s">
        <v>32</v>
      </c>
    </row>
    <row r="1709" spans="1:23" x14ac:dyDescent="0.25">
      <c r="A1709" s="217" t="s">
        <v>22</v>
      </c>
      <c r="B1709" s="217" t="s">
        <v>23</v>
      </c>
      <c r="C1709" s="217" t="s">
        <v>184</v>
      </c>
      <c r="D1709" s="217" t="s">
        <v>183</v>
      </c>
      <c r="E1709" s="217" t="s">
        <v>206</v>
      </c>
      <c r="F1709" s="217" t="s">
        <v>205</v>
      </c>
      <c r="G1709" s="217" t="s">
        <v>209</v>
      </c>
      <c r="H1709" s="217" t="s">
        <v>1569</v>
      </c>
      <c r="I1709" s="217" t="s">
        <v>659</v>
      </c>
      <c r="J1709" s="217" t="s">
        <v>1856</v>
      </c>
      <c r="K1709" s="217">
        <v>14</v>
      </c>
      <c r="L1709" s="217">
        <v>88</v>
      </c>
      <c r="M1709" s="217" t="s">
        <v>99</v>
      </c>
      <c r="N1709" s="217" t="s">
        <v>32</v>
      </c>
      <c r="O1709" s="217" t="s">
        <v>668</v>
      </c>
      <c r="P1709" s="217" t="s">
        <v>34</v>
      </c>
      <c r="Q1709" s="217" t="s">
        <v>35</v>
      </c>
      <c r="R1709" s="217" t="s">
        <v>23</v>
      </c>
      <c r="S1709" s="217" t="s">
        <v>22</v>
      </c>
      <c r="T1709" s="217" t="s">
        <v>183</v>
      </c>
      <c r="U1709" s="217" t="s">
        <v>184</v>
      </c>
      <c r="V1709" s="217" t="s">
        <v>32</v>
      </c>
      <c r="W1709" s="217" t="s">
        <v>32</v>
      </c>
    </row>
    <row r="1710" spans="1:23" x14ac:dyDescent="0.25">
      <c r="A1710" s="217" t="s">
        <v>22</v>
      </c>
      <c r="B1710" s="217" t="s">
        <v>23</v>
      </c>
      <c r="C1710" s="217" t="s">
        <v>184</v>
      </c>
      <c r="D1710" s="217" t="s">
        <v>183</v>
      </c>
      <c r="E1710" s="217" t="s">
        <v>206</v>
      </c>
      <c r="F1710" s="217" t="s">
        <v>205</v>
      </c>
      <c r="G1710" s="217" t="s">
        <v>483</v>
      </c>
      <c r="H1710" s="217" t="s">
        <v>1338</v>
      </c>
      <c r="I1710" s="217" t="s">
        <v>659</v>
      </c>
      <c r="J1710" s="217" t="s">
        <v>1858</v>
      </c>
      <c r="K1710" s="217">
        <v>7</v>
      </c>
      <c r="L1710" s="217">
        <v>101</v>
      </c>
      <c r="M1710" s="217" t="s">
        <v>99</v>
      </c>
      <c r="N1710" s="217" t="s">
        <v>32</v>
      </c>
      <c r="O1710" s="217" t="s">
        <v>668</v>
      </c>
      <c r="P1710" s="217" t="s">
        <v>34</v>
      </c>
      <c r="Q1710" s="217" t="s">
        <v>35</v>
      </c>
      <c r="R1710" s="217" t="s">
        <v>23</v>
      </c>
      <c r="S1710" s="217" t="s">
        <v>22</v>
      </c>
      <c r="T1710" s="217" t="s">
        <v>183</v>
      </c>
      <c r="U1710" s="217" t="s">
        <v>184</v>
      </c>
      <c r="V1710" s="217" t="s">
        <v>32</v>
      </c>
      <c r="W1710" s="217" t="s">
        <v>32</v>
      </c>
    </row>
    <row r="1711" spans="1:23" x14ac:dyDescent="0.25">
      <c r="A1711" s="217" t="s">
        <v>22</v>
      </c>
      <c r="B1711" s="217" t="s">
        <v>23</v>
      </c>
      <c r="C1711" s="217" t="s">
        <v>184</v>
      </c>
      <c r="D1711" s="217" t="s">
        <v>183</v>
      </c>
      <c r="E1711" s="217" t="s">
        <v>206</v>
      </c>
      <c r="F1711" s="217" t="s">
        <v>205</v>
      </c>
      <c r="G1711" s="217" t="s">
        <v>210</v>
      </c>
      <c r="H1711" s="217" t="s">
        <v>1339</v>
      </c>
      <c r="I1711" s="217" t="s">
        <v>659</v>
      </c>
      <c r="J1711" s="217" t="s">
        <v>1856</v>
      </c>
      <c r="K1711" s="217">
        <v>18</v>
      </c>
      <c r="L1711" s="217">
        <v>108</v>
      </c>
      <c r="M1711" s="217" t="s">
        <v>99</v>
      </c>
      <c r="N1711" s="217" t="s">
        <v>32</v>
      </c>
      <c r="O1711" s="217" t="s">
        <v>668</v>
      </c>
      <c r="P1711" s="217" t="s">
        <v>34</v>
      </c>
      <c r="Q1711" s="217" t="s">
        <v>35</v>
      </c>
      <c r="R1711" s="217" t="s">
        <v>23</v>
      </c>
      <c r="S1711" s="217" t="s">
        <v>22</v>
      </c>
      <c r="T1711" s="217" t="s">
        <v>183</v>
      </c>
      <c r="U1711" s="217" t="s">
        <v>184</v>
      </c>
      <c r="V1711" s="217" t="s">
        <v>32</v>
      </c>
      <c r="W1711" s="217" t="s">
        <v>32</v>
      </c>
    </row>
    <row r="1712" spans="1:23" x14ac:dyDescent="0.25">
      <c r="A1712" s="217" t="s">
        <v>22</v>
      </c>
      <c r="B1712" s="217" t="s">
        <v>23</v>
      </c>
      <c r="C1712" s="217" t="s">
        <v>184</v>
      </c>
      <c r="D1712" s="217" t="s">
        <v>183</v>
      </c>
      <c r="E1712" s="217" t="s">
        <v>206</v>
      </c>
      <c r="F1712" s="217" t="s">
        <v>205</v>
      </c>
      <c r="G1712" s="217" t="s">
        <v>210</v>
      </c>
      <c r="H1712" s="217" t="s">
        <v>1339</v>
      </c>
      <c r="I1712" s="217" t="s">
        <v>659</v>
      </c>
      <c r="J1712" s="217" t="s">
        <v>1858</v>
      </c>
      <c r="K1712" s="217">
        <v>5</v>
      </c>
      <c r="L1712" s="217">
        <v>34</v>
      </c>
      <c r="M1712" s="217" t="s">
        <v>99</v>
      </c>
      <c r="N1712" s="217" t="s">
        <v>32</v>
      </c>
      <c r="O1712" s="217" t="s">
        <v>668</v>
      </c>
      <c r="P1712" s="217" t="s">
        <v>34</v>
      </c>
      <c r="Q1712" s="217" t="s">
        <v>35</v>
      </c>
      <c r="R1712" s="217" t="s">
        <v>23</v>
      </c>
      <c r="S1712" s="217" t="s">
        <v>22</v>
      </c>
      <c r="T1712" s="217" t="s">
        <v>183</v>
      </c>
      <c r="U1712" s="217" t="s">
        <v>184</v>
      </c>
      <c r="V1712" s="217" t="s">
        <v>32</v>
      </c>
      <c r="W1712" s="217" t="s">
        <v>32</v>
      </c>
    </row>
    <row r="1713" spans="1:23" x14ac:dyDescent="0.25">
      <c r="A1713" s="217" t="s">
        <v>22</v>
      </c>
      <c r="B1713" s="217" t="s">
        <v>23</v>
      </c>
      <c r="C1713" s="217" t="s">
        <v>184</v>
      </c>
      <c r="D1713" s="217" t="s">
        <v>183</v>
      </c>
      <c r="E1713" s="217" t="s">
        <v>206</v>
      </c>
      <c r="F1713" s="217" t="s">
        <v>205</v>
      </c>
      <c r="G1713" s="217" t="s">
        <v>674</v>
      </c>
      <c r="H1713" s="217" t="s">
        <v>1570</v>
      </c>
      <c r="I1713" s="217" t="s">
        <v>659</v>
      </c>
      <c r="J1713" s="217" t="s">
        <v>1854</v>
      </c>
      <c r="K1713" s="217">
        <v>27</v>
      </c>
      <c r="L1713" s="217">
        <v>190</v>
      </c>
      <c r="M1713" s="217" t="s">
        <v>99</v>
      </c>
      <c r="N1713" s="217" t="s">
        <v>32</v>
      </c>
      <c r="O1713" s="217" t="s">
        <v>668</v>
      </c>
      <c r="P1713" s="217" t="s">
        <v>34</v>
      </c>
      <c r="Q1713" s="217" t="s">
        <v>35</v>
      </c>
      <c r="R1713" s="217" t="s">
        <v>23</v>
      </c>
      <c r="S1713" s="217" t="s">
        <v>22</v>
      </c>
      <c r="T1713" s="217" t="s">
        <v>183</v>
      </c>
      <c r="U1713" s="217" t="s">
        <v>184</v>
      </c>
      <c r="V1713" s="217" t="s">
        <v>32</v>
      </c>
      <c r="W1713" s="217" t="s">
        <v>32</v>
      </c>
    </row>
    <row r="1714" spans="1:23" x14ac:dyDescent="0.25">
      <c r="A1714" s="217" t="s">
        <v>22</v>
      </c>
      <c r="B1714" s="217" t="s">
        <v>23</v>
      </c>
      <c r="C1714" s="217" t="s">
        <v>184</v>
      </c>
      <c r="D1714" s="217" t="s">
        <v>183</v>
      </c>
      <c r="E1714" s="217" t="s">
        <v>206</v>
      </c>
      <c r="F1714" s="217" t="s">
        <v>205</v>
      </c>
      <c r="G1714" s="217" t="s">
        <v>484</v>
      </c>
      <c r="H1714" s="217" t="s">
        <v>1340</v>
      </c>
      <c r="I1714" s="217" t="s">
        <v>659</v>
      </c>
      <c r="J1714" s="217" t="s">
        <v>1854</v>
      </c>
      <c r="K1714" s="217">
        <v>42</v>
      </c>
      <c r="L1714" s="217">
        <v>262</v>
      </c>
      <c r="M1714" s="217" t="s">
        <v>99</v>
      </c>
      <c r="N1714" s="217" t="s">
        <v>32</v>
      </c>
      <c r="O1714" s="217" t="s">
        <v>668</v>
      </c>
      <c r="P1714" s="217" t="s">
        <v>34</v>
      </c>
      <c r="Q1714" s="217" t="s">
        <v>35</v>
      </c>
      <c r="R1714" s="217" t="s">
        <v>23</v>
      </c>
      <c r="S1714" s="217" t="s">
        <v>22</v>
      </c>
      <c r="T1714" s="217" t="s">
        <v>183</v>
      </c>
      <c r="U1714" s="217" t="s">
        <v>184</v>
      </c>
      <c r="V1714" s="217" t="s">
        <v>32</v>
      </c>
      <c r="W1714" s="217" t="s">
        <v>32</v>
      </c>
    </row>
    <row r="1715" spans="1:23" x14ac:dyDescent="0.25">
      <c r="A1715" s="217" t="s">
        <v>22</v>
      </c>
      <c r="B1715" s="217" t="s">
        <v>23</v>
      </c>
      <c r="C1715" s="217" t="s">
        <v>184</v>
      </c>
      <c r="D1715" s="217" t="s">
        <v>183</v>
      </c>
      <c r="E1715" s="217" t="s">
        <v>206</v>
      </c>
      <c r="F1715" s="217" t="s">
        <v>205</v>
      </c>
      <c r="G1715" s="217" t="s">
        <v>484</v>
      </c>
      <c r="H1715" s="217" t="s">
        <v>1340</v>
      </c>
      <c r="I1715" s="217" t="s">
        <v>659</v>
      </c>
      <c r="J1715" s="217" t="s">
        <v>1858</v>
      </c>
      <c r="K1715" s="217">
        <v>3</v>
      </c>
      <c r="L1715" s="217">
        <v>18</v>
      </c>
      <c r="M1715" s="217" t="s">
        <v>99</v>
      </c>
      <c r="N1715" s="217" t="s">
        <v>32</v>
      </c>
      <c r="O1715" s="217" t="s">
        <v>668</v>
      </c>
      <c r="P1715" s="217" t="s">
        <v>34</v>
      </c>
      <c r="Q1715" s="217" t="s">
        <v>35</v>
      </c>
      <c r="R1715" s="217" t="s">
        <v>23</v>
      </c>
      <c r="S1715" s="217" t="s">
        <v>22</v>
      </c>
      <c r="T1715" s="217" t="s">
        <v>183</v>
      </c>
      <c r="U1715" s="217" t="s">
        <v>184</v>
      </c>
      <c r="V1715" s="217" t="s">
        <v>32</v>
      </c>
      <c r="W1715" s="217" t="s">
        <v>32</v>
      </c>
    </row>
    <row r="1716" spans="1:23" x14ac:dyDescent="0.25">
      <c r="A1716" s="217" t="s">
        <v>22</v>
      </c>
      <c r="B1716" s="217" t="s">
        <v>23</v>
      </c>
      <c r="C1716" s="217" t="s">
        <v>184</v>
      </c>
      <c r="D1716" s="217" t="s">
        <v>183</v>
      </c>
      <c r="E1716" s="217" t="s">
        <v>206</v>
      </c>
      <c r="F1716" s="217" t="s">
        <v>205</v>
      </c>
      <c r="G1716" s="217" t="s">
        <v>211</v>
      </c>
      <c r="H1716" s="217" t="s">
        <v>1341</v>
      </c>
      <c r="I1716" s="217" t="s">
        <v>659</v>
      </c>
      <c r="J1716" s="217" t="s">
        <v>1855</v>
      </c>
      <c r="K1716" s="217">
        <v>10</v>
      </c>
      <c r="L1716" s="217">
        <v>72</v>
      </c>
      <c r="M1716" s="217" t="s">
        <v>99</v>
      </c>
      <c r="N1716" s="217" t="s">
        <v>32</v>
      </c>
      <c r="O1716" s="217" t="s">
        <v>668</v>
      </c>
      <c r="P1716" s="217" t="s">
        <v>34</v>
      </c>
      <c r="Q1716" s="217" t="s">
        <v>35</v>
      </c>
      <c r="R1716" s="217" t="s">
        <v>23</v>
      </c>
      <c r="S1716" s="217" t="s">
        <v>22</v>
      </c>
      <c r="T1716" s="217" t="s">
        <v>183</v>
      </c>
      <c r="U1716" s="217" t="s">
        <v>184</v>
      </c>
      <c r="V1716" s="217" t="s">
        <v>32</v>
      </c>
      <c r="W1716" s="217" t="s">
        <v>32</v>
      </c>
    </row>
    <row r="1717" spans="1:23" x14ac:dyDescent="0.25">
      <c r="A1717" s="217" t="s">
        <v>22</v>
      </c>
      <c r="B1717" s="217" t="s">
        <v>23</v>
      </c>
      <c r="C1717" s="217" t="s">
        <v>184</v>
      </c>
      <c r="D1717" s="217" t="s">
        <v>183</v>
      </c>
      <c r="E1717" s="217" t="s">
        <v>206</v>
      </c>
      <c r="F1717" s="217" t="s">
        <v>205</v>
      </c>
      <c r="G1717" s="217" t="s">
        <v>211</v>
      </c>
      <c r="H1717" s="217" t="s">
        <v>1341</v>
      </c>
      <c r="I1717" s="217" t="s">
        <v>659</v>
      </c>
      <c r="J1717" s="217" t="s">
        <v>1856</v>
      </c>
      <c r="K1717" s="217">
        <v>5</v>
      </c>
      <c r="L1717" s="217">
        <v>35</v>
      </c>
      <c r="M1717" s="217" t="s">
        <v>99</v>
      </c>
      <c r="N1717" s="217" t="s">
        <v>32</v>
      </c>
      <c r="O1717" s="217" t="s">
        <v>668</v>
      </c>
      <c r="P1717" s="217" t="s">
        <v>34</v>
      </c>
      <c r="Q1717" s="217" t="s">
        <v>35</v>
      </c>
      <c r="R1717" s="217" t="s">
        <v>23</v>
      </c>
      <c r="S1717" s="217" t="s">
        <v>22</v>
      </c>
      <c r="T1717" s="217" t="s">
        <v>183</v>
      </c>
      <c r="U1717" s="217" t="s">
        <v>184</v>
      </c>
      <c r="V1717" s="217" t="s">
        <v>32</v>
      </c>
      <c r="W1717" s="217" t="s">
        <v>32</v>
      </c>
    </row>
    <row r="1718" spans="1:23" x14ac:dyDescent="0.25">
      <c r="A1718" s="217" t="s">
        <v>22</v>
      </c>
      <c r="B1718" s="217" t="s">
        <v>23</v>
      </c>
      <c r="C1718" s="217" t="s">
        <v>184</v>
      </c>
      <c r="D1718" s="217" t="s">
        <v>183</v>
      </c>
      <c r="E1718" s="217" t="s">
        <v>206</v>
      </c>
      <c r="F1718" s="217" t="s">
        <v>205</v>
      </c>
      <c r="G1718" s="217" t="s">
        <v>675</v>
      </c>
      <c r="H1718" s="217" t="s">
        <v>1571</v>
      </c>
      <c r="I1718" s="217" t="s">
        <v>659</v>
      </c>
      <c r="J1718" s="217" t="s">
        <v>1854</v>
      </c>
      <c r="K1718" s="217">
        <v>13</v>
      </c>
      <c r="L1718" s="217">
        <v>102</v>
      </c>
      <c r="M1718" s="217" t="s">
        <v>99</v>
      </c>
      <c r="N1718" s="217" t="s">
        <v>32</v>
      </c>
      <c r="O1718" s="217" t="s">
        <v>668</v>
      </c>
      <c r="P1718" s="217" t="s">
        <v>34</v>
      </c>
      <c r="Q1718" s="217" t="s">
        <v>35</v>
      </c>
      <c r="R1718" s="217" t="s">
        <v>23</v>
      </c>
      <c r="S1718" s="217" t="s">
        <v>22</v>
      </c>
      <c r="T1718" s="217" t="s">
        <v>183</v>
      </c>
      <c r="U1718" s="217" t="s">
        <v>184</v>
      </c>
      <c r="V1718" s="217" t="s">
        <v>32</v>
      </c>
      <c r="W1718" s="217" t="s">
        <v>32</v>
      </c>
    </row>
    <row r="1719" spans="1:23" x14ac:dyDescent="0.25">
      <c r="A1719" s="217" t="s">
        <v>22</v>
      </c>
      <c r="B1719" s="217" t="s">
        <v>23</v>
      </c>
      <c r="C1719" s="217" t="s">
        <v>184</v>
      </c>
      <c r="D1719" s="217" t="s">
        <v>183</v>
      </c>
      <c r="E1719" s="217" t="s">
        <v>215</v>
      </c>
      <c r="F1719" s="217" t="s">
        <v>214</v>
      </c>
      <c r="G1719" s="217" t="s">
        <v>216</v>
      </c>
      <c r="H1719" s="217" t="s">
        <v>1342</v>
      </c>
      <c r="I1719" s="217" t="s">
        <v>659</v>
      </c>
      <c r="J1719" s="217" t="s">
        <v>1856</v>
      </c>
      <c r="K1719" s="217">
        <v>2</v>
      </c>
      <c r="L1719" s="217">
        <v>13</v>
      </c>
      <c r="M1719" s="217" t="s">
        <v>99</v>
      </c>
      <c r="N1719" s="217" t="s">
        <v>32</v>
      </c>
      <c r="O1719" s="217" t="s">
        <v>668</v>
      </c>
      <c r="P1719" s="217" t="s">
        <v>34</v>
      </c>
      <c r="Q1719" s="217" t="s">
        <v>35</v>
      </c>
      <c r="R1719" s="217" t="s">
        <v>23</v>
      </c>
      <c r="S1719" s="217" t="s">
        <v>22</v>
      </c>
      <c r="T1719" s="217" t="s">
        <v>183</v>
      </c>
      <c r="U1719" s="217" t="s">
        <v>184</v>
      </c>
      <c r="V1719" s="217" t="s">
        <v>32</v>
      </c>
      <c r="W1719" s="217" t="s">
        <v>32</v>
      </c>
    </row>
    <row r="1720" spans="1:23" x14ac:dyDescent="0.25">
      <c r="A1720" s="217" t="s">
        <v>22</v>
      </c>
      <c r="B1720" s="217" t="s">
        <v>23</v>
      </c>
      <c r="C1720" s="217" t="s">
        <v>184</v>
      </c>
      <c r="D1720" s="217" t="s">
        <v>183</v>
      </c>
      <c r="E1720" s="217" t="s">
        <v>215</v>
      </c>
      <c r="F1720" s="217" t="s">
        <v>214</v>
      </c>
      <c r="G1720" s="217" t="s">
        <v>487</v>
      </c>
      <c r="H1720" s="217" t="s">
        <v>1345</v>
      </c>
      <c r="I1720" s="217" t="s">
        <v>659</v>
      </c>
      <c r="J1720" s="217" t="s">
        <v>1858</v>
      </c>
      <c r="K1720" s="217">
        <v>1</v>
      </c>
      <c r="L1720" s="217">
        <v>4</v>
      </c>
      <c r="M1720" s="217" t="s">
        <v>99</v>
      </c>
      <c r="N1720" s="217" t="s">
        <v>32</v>
      </c>
      <c r="O1720" s="217" t="s">
        <v>668</v>
      </c>
      <c r="P1720" s="217" t="s">
        <v>34</v>
      </c>
      <c r="Q1720" s="217" t="s">
        <v>35</v>
      </c>
      <c r="R1720" s="217" t="s">
        <v>23</v>
      </c>
      <c r="S1720" s="217" t="s">
        <v>22</v>
      </c>
      <c r="T1720" s="217" t="s">
        <v>183</v>
      </c>
      <c r="U1720" s="217" t="s">
        <v>184</v>
      </c>
      <c r="V1720" s="217" t="s">
        <v>32</v>
      </c>
      <c r="W1720" s="217" t="s">
        <v>32</v>
      </c>
    </row>
    <row r="1721" spans="1:23" x14ac:dyDescent="0.25">
      <c r="A1721" s="217" t="s">
        <v>22</v>
      </c>
      <c r="B1721" s="217" t="s">
        <v>23</v>
      </c>
      <c r="C1721" s="217" t="s">
        <v>184</v>
      </c>
      <c r="D1721" s="217" t="s">
        <v>183</v>
      </c>
      <c r="E1721" s="217" t="s">
        <v>215</v>
      </c>
      <c r="F1721" s="217" t="s">
        <v>214</v>
      </c>
      <c r="G1721" s="217" t="s">
        <v>1838</v>
      </c>
      <c r="H1721" s="217" t="s">
        <v>1347</v>
      </c>
      <c r="I1721" s="217" t="s">
        <v>659</v>
      </c>
      <c r="J1721" s="217" t="s">
        <v>1858</v>
      </c>
      <c r="K1721" s="217">
        <v>56</v>
      </c>
      <c r="L1721" s="217">
        <v>352</v>
      </c>
      <c r="M1721" s="217" t="s">
        <v>99</v>
      </c>
      <c r="N1721" s="217" t="s">
        <v>32</v>
      </c>
      <c r="O1721" s="217" t="s">
        <v>668</v>
      </c>
      <c r="P1721" s="217" t="s">
        <v>34</v>
      </c>
      <c r="Q1721" s="217" t="s">
        <v>35</v>
      </c>
      <c r="R1721" s="217" t="s">
        <v>23</v>
      </c>
      <c r="S1721" s="217" t="s">
        <v>22</v>
      </c>
      <c r="T1721" s="217" t="s">
        <v>84</v>
      </c>
      <c r="U1721" s="217" t="s">
        <v>85</v>
      </c>
      <c r="V1721" s="217" t="s">
        <v>32</v>
      </c>
      <c r="W1721" s="217" t="s">
        <v>32</v>
      </c>
    </row>
    <row r="1722" spans="1:23" x14ac:dyDescent="0.25">
      <c r="A1722" s="217" t="s">
        <v>22</v>
      </c>
      <c r="B1722" s="217" t="s">
        <v>23</v>
      </c>
      <c r="C1722" s="217" t="s">
        <v>184</v>
      </c>
      <c r="D1722" s="217" t="s">
        <v>183</v>
      </c>
      <c r="E1722" s="217" t="s">
        <v>213</v>
      </c>
      <c r="F1722" s="217" t="s">
        <v>212</v>
      </c>
      <c r="G1722" s="217" t="s">
        <v>2032</v>
      </c>
      <c r="H1722" s="217" t="s">
        <v>2031</v>
      </c>
      <c r="I1722" s="217" t="s">
        <v>659</v>
      </c>
      <c r="J1722" s="217" t="s">
        <v>1854</v>
      </c>
      <c r="K1722" s="217">
        <v>90</v>
      </c>
      <c r="L1722" s="217">
        <v>450</v>
      </c>
      <c r="M1722" s="217" t="s">
        <v>99</v>
      </c>
      <c r="N1722" s="217" t="s">
        <v>32</v>
      </c>
      <c r="O1722" s="217" t="s">
        <v>668</v>
      </c>
      <c r="P1722" s="217" t="s">
        <v>34</v>
      </c>
      <c r="Q1722" s="217" t="s">
        <v>35</v>
      </c>
      <c r="R1722" s="217" t="s">
        <v>23</v>
      </c>
      <c r="S1722" s="217" t="s">
        <v>22</v>
      </c>
      <c r="T1722" s="217" t="s">
        <v>183</v>
      </c>
      <c r="U1722" s="217" t="s">
        <v>184</v>
      </c>
      <c r="V1722" s="217" t="s">
        <v>32</v>
      </c>
      <c r="W1722" s="217" t="s">
        <v>32</v>
      </c>
    </row>
    <row r="1723" spans="1:23" x14ac:dyDescent="0.25">
      <c r="A1723" s="217" t="s">
        <v>22</v>
      </c>
      <c r="B1723" s="217" t="s">
        <v>23</v>
      </c>
      <c r="C1723" s="217" t="s">
        <v>184</v>
      </c>
      <c r="D1723" s="217" t="s">
        <v>183</v>
      </c>
      <c r="E1723" s="217" t="s">
        <v>213</v>
      </c>
      <c r="F1723" s="217" t="s">
        <v>212</v>
      </c>
      <c r="G1723" s="217" t="s">
        <v>2034</v>
      </c>
      <c r="H1723" s="217" t="s">
        <v>2033</v>
      </c>
      <c r="I1723" s="217" t="s">
        <v>659</v>
      </c>
      <c r="J1723" s="217" t="s">
        <v>1854</v>
      </c>
      <c r="K1723" s="217">
        <v>70</v>
      </c>
      <c r="L1723" s="217">
        <v>350</v>
      </c>
      <c r="M1723" s="217" t="s">
        <v>99</v>
      </c>
      <c r="N1723" s="217" t="s">
        <v>32</v>
      </c>
      <c r="O1723" s="217" t="s">
        <v>668</v>
      </c>
      <c r="P1723" s="217" t="s">
        <v>34</v>
      </c>
      <c r="Q1723" s="217" t="s">
        <v>35</v>
      </c>
      <c r="R1723" s="217" t="s">
        <v>23</v>
      </c>
      <c r="S1723" s="217" t="s">
        <v>22</v>
      </c>
      <c r="T1723" s="217" t="s">
        <v>183</v>
      </c>
      <c r="U1723" s="217" t="s">
        <v>184</v>
      </c>
      <c r="V1723" s="217" t="s">
        <v>32</v>
      </c>
      <c r="W1723" s="217" t="s">
        <v>32</v>
      </c>
    </row>
    <row r="1724" spans="1:23" x14ac:dyDescent="0.25">
      <c r="A1724" s="217" t="s">
        <v>22</v>
      </c>
      <c r="B1724" s="217" t="s">
        <v>23</v>
      </c>
      <c r="C1724" s="217" t="s">
        <v>218</v>
      </c>
      <c r="D1724" s="217" t="s">
        <v>217</v>
      </c>
      <c r="E1724" s="217" t="s">
        <v>676</v>
      </c>
      <c r="F1724" s="217" t="s">
        <v>677</v>
      </c>
      <c r="G1724" s="217" t="s">
        <v>678</v>
      </c>
      <c r="H1724" s="217" t="s">
        <v>1572</v>
      </c>
      <c r="I1724" s="217" t="s">
        <v>659</v>
      </c>
      <c r="J1724" s="217" t="s">
        <v>1855</v>
      </c>
      <c r="K1724" s="217">
        <v>1</v>
      </c>
      <c r="L1724" s="217">
        <v>6</v>
      </c>
      <c r="M1724" s="217" t="s">
        <v>637</v>
      </c>
      <c r="N1724" s="217" t="s">
        <v>2058</v>
      </c>
      <c r="O1724" s="217" t="s">
        <v>141</v>
      </c>
      <c r="P1724" s="217" t="s">
        <v>660</v>
      </c>
      <c r="Q1724" s="217" t="s">
        <v>848</v>
      </c>
      <c r="R1724" s="217" t="s">
        <v>1844</v>
      </c>
      <c r="S1724" s="217" t="s">
        <v>1845</v>
      </c>
      <c r="T1724" s="217" t="s">
        <v>32</v>
      </c>
      <c r="U1724" s="217" t="s">
        <v>32</v>
      </c>
      <c r="V1724" s="217" t="s">
        <v>32</v>
      </c>
      <c r="W1724" s="217" t="s">
        <v>32</v>
      </c>
    </row>
    <row r="1725" spans="1:23" x14ac:dyDescent="0.25">
      <c r="A1725" s="217" t="s">
        <v>22</v>
      </c>
      <c r="B1725" s="217" t="s">
        <v>23</v>
      </c>
      <c r="C1725" s="217" t="s">
        <v>218</v>
      </c>
      <c r="D1725" s="217" t="s">
        <v>217</v>
      </c>
      <c r="E1725" s="217" t="s">
        <v>676</v>
      </c>
      <c r="F1725" s="217" t="s">
        <v>677</v>
      </c>
      <c r="G1725" s="217" t="s">
        <v>679</v>
      </c>
      <c r="H1725" s="217" t="s">
        <v>1573</v>
      </c>
      <c r="I1725" s="217" t="s">
        <v>659</v>
      </c>
      <c r="J1725" s="217" t="s">
        <v>1855</v>
      </c>
      <c r="K1725" s="217">
        <v>1</v>
      </c>
      <c r="L1725" s="217">
        <v>4</v>
      </c>
      <c r="M1725" s="217" t="s">
        <v>637</v>
      </c>
      <c r="N1725" s="217" t="s">
        <v>2059</v>
      </c>
      <c r="O1725" s="217" t="s">
        <v>141</v>
      </c>
      <c r="P1725" s="217" t="s">
        <v>660</v>
      </c>
      <c r="Q1725" s="217" t="s">
        <v>848</v>
      </c>
      <c r="R1725" s="217" t="s">
        <v>1844</v>
      </c>
      <c r="S1725" s="217" t="s">
        <v>1845</v>
      </c>
      <c r="T1725" s="217" t="s">
        <v>32</v>
      </c>
      <c r="U1725" s="217" t="s">
        <v>32</v>
      </c>
      <c r="V1725" s="217" t="s">
        <v>32</v>
      </c>
      <c r="W1725" s="217" t="s">
        <v>32</v>
      </c>
    </row>
    <row r="1726" spans="1:23" x14ac:dyDescent="0.25">
      <c r="A1726" s="217" t="s">
        <v>22</v>
      </c>
      <c r="B1726" s="217" t="s">
        <v>23</v>
      </c>
      <c r="C1726" s="217" t="s">
        <v>218</v>
      </c>
      <c r="D1726" s="217" t="s">
        <v>217</v>
      </c>
      <c r="E1726" s="217" t="s">
        <v>676</v>
      </c>
      <c r="F1726" s="217" t="s">
        <v>677</v>
      </c>
      <c r="G1726" s="217" t="s">
        <v>680</v>
      </c>
      <c r="H1726" s="217" t="s">
        <v>1574</v>
      </c>
      <c r="I1726" s="217" t="s">
        <v>659</v>
      </c>
      <c r="J1726" s="217" t="s">
        <v>1854</v>
      </c>
      <c r="K1726" s="217">
        <v>2</v>
      </c>
      <c r="L1726" s="217">
        <v>42</v>
      </c>
      <c r="M1726" s="217" t="s">
        <v>637</v>
      </c>
      <c r="N1726" s="217" t="s">
        <v>2059</v>
      </c>
      <c r="O1726" s="217" t="s">
        <v>141</v>
      </c>
      <c r="P1726" s="217" t="s">
        <v>660</v>
      </c>
      <c r="Q1726" s="217" t="s">
        <v>848</v>
      </c>
      <c r="R1726" s="217" t="s">
        <v>1844</v>
      </c>
      <c r="S1726" s="217" t="s">
        <v>1845</v>
      </c>
      <c r="T1726" s="217" t="s">
        <v>32</v>
      </c>
      <c r="U1726" s="217" t="s">
        <v>32</v>
      </c>
      <c r="V1726" s="217" t="s">
        <v>32</v>
      </c>
      <c r="W1726" s="217" t="s">
        <v>32</v>
      </c>
    </row>
    <row r="1727" spans="1:23" x14ac:dyDescent="0.25">
      <c r="A1727" s="217" t="s">
        <v>22</v>
      </c>
      <c r="B1727" s="217" t="s">
        <v>23</v>
      </c>
      <c r="C1727" s="217" t="s">
        <v>218</v>
      </c>
      <c r="D1727" s="217" t="s">
        <v>217</v>
      </c>
      <c r="E1727" s="217" t="s">
        <v>676</v>
      </c>
      <c r="F1727" s="217" t="s">
        <v>677</v>
      </c>
      <c r="G1727" s="217" t="s">
        <v>681</v>
      </c>
      <c r="H1727" s="217" t="s">
        <v>1575</v>
      </c>
      <c r="I1727" s="217" t="s">
        <v>659</v>
      </c>
      <c r="J1727" s="217" t="s">
        <v>1854</v>
      </c>
      <c r="K1727" s="217">
        <v>2</v>
      </c>
      <c r="L1727" s="217">
        <v>24</v>
      </c>
      <c r="M1727" s="217" t="s">
        <v>637</v>
      </c>
      <c r="N1727" s="217" t="s">
        <v>2059</v>
      </c>
      <c r="O1727" s="217" t="s">
        <v>141</v>
      </c>
      <c r="P1727" s="217" t="s">
        <v>660</v>
      </c>
      <c r="Q1727" s="217" t="s">
        <v>848</v>
      </c>
      <c r="R1727" s="217" t="s">
        <v>1844</v>
      </c>
      <c r="S1727" s="217" t="s">
        <v>1845</v>
      </c>
      <c r="T1727" s="217" t="s">
        <v>32</v>
      </c>
      <c r="U1727" s="217" t="s">
        <v>32</v>
      </c>
      <c r="V1727" s="217" t="s">
        <v>32</v>
      </c>
      <c r="W1727" s="217" t="s">
        <v>32</v>
      </c>
    </row>
    <row r="1728" spans="1:23" x14ac:dyDescent="0.25">
      <c r="A1728" s="217" t="s">
        <v>22</v>
      </c>
      <c r="B1728" s="217" t="s">
        <v>23</v>
      </c>
      <c r="C1728" s="217" t="s">
        <v>218</v>
      </c>
      <c r="D1728" s="217" t="s">
        <v>217</v>
      </c>
      <c r="E1728" s="217" t="s">
        <v>676</v>
      </c>
      <c r="F1728" s="217" t="s">
        <v>677</v>
      </c>
      <c r="G1728" s="217" t="s">
        <v>682</v>
      </c>
      <c r="H1728" s="217" t="s">
        <v>1576</v>
      </c>
      <c r="I1728" s="217" t="s">
        <v>659</v>
      </c>
      <c r="J1728" s="217" t="s">
        <v>1854</v>
      </c>
      <c r="K1728" s="217">
        <v>1</v>
      </c>
      <c r="L1728" s="217">
        <v>6</v>
      </c>
      <c r="M1728" s="217" t="s">
        <v>637</v>
      </c>
      <c r="N1728" s="217" t="s">
        <v>2060</v>
      </c>
      <c r="O1728" s="217" t="s">
        <v>141</v>
      </c>
      <c r="P1728" s="217" t="s">
        <v>660</v>
      </c>
      <c r="Q1728" s="217" t="s">
        <v>848</v>
      </c>
      <c r="R1728" s="217" t="s">
        <v>1844</v>
      </c>
      <c r="S1728" s="217" t="s">
        <v>1845</v>
      </c>
      <c r="T1728" s="217" t="s">
        <v>32</v>
      </c>
      <c r="U1728" s="217" t="s">
        <v>32</v>
      </c>
      <c r="V1728" s="217" t="s">
        <v>32</v>
      </c>
      <c r="W1728" s="217" t="s">
        <v>32</v>
      </c>
    </row>
    <row r="1729" spans="1:23" x14ac:dyDescent="0.25">
      <c r="A1729" s="217" t="s">
        <v>22</v>
      </c>
      <c r="B1729" s="217" t="s">
        <v>23</v>
      </c>
      <c r="C1729" s="217" t="s">
        <v>218</v>
      </c>
      <c r="D1729" s="217" t="s">
        <v>217</v>
      </c>
      <c r="E1729" s="217" t="s">
        <v>224</v>
      </c>
      <c r="F1729" s="217" t="s">
        <v>223</v>
      </c>
      <c r="G1729" s="217" t="s">
        <v>490</v>
      </c>
      <c r="H1729" s="217" t="s">
        <v>1349</v>
      </c>
      <c r="I1729" s="217" t="s">
        <v>659</v>
      </c>
      <c r="J1729" s="217" t="s">
        <v>1854</v>
      </c>
      <c r="K1729" s="217">
        <v>2</v>
      </c>
      <c r="L1729" s="217">
        <v>17</v>
      </c>
      <c r="M1729" s="217" t="s">
        <v>31</v>
      </c>
      <c r="N1729" s="217" t="s">
        <v>32</v>
      </c>
      <c r="O1729" s="217" t="s">
        <v>668</v>
      </c>
      <c r="P1729" s="217" t="s">
        <v>34</v>
      </c>
      <c r="Q1729" s="217" t="s">
        <v>35</v>
      </c>
      <c r="R1729" s="217" t="s">
        <v>23</v>
      </c>
      <c r="S1729" s="217" t="s">
        <v>22</v>
      </c>
      <c r="T1729" s="217" t="s">
        <v>47</v>
      </c>
      <c r="U1729" s="217" t="s">
        <v>48</v>
      </c>
      <c r="V1729" s="217" t="s">
        <v>32</v>
      </c>
      <c r="W1729" s="217" t="s">
        <v>32</v>
      </c>
    </row>
    <row r="1730" spans="1:23" x14ac:dyDescent="0.25">
      <c r="A1730" s="217" t="s">
        <v>22</v>
      </c>
      <c r="B1730" s="217" t="s">
        <v>23</v>
      </c>
      <c r="C1730" s="217" t="s">
        <v>218</v>
      </c>
      <c r="D1730" s="217" t="s">
        <v>217</v>
      </c>
      <c r="E1730" s="217" t="s">
        <v>224</v>
      </c>
      <c r="F1730" s="217" t="s">
        <v>223</v>
      </c>
      <c r="G1730" s="217" t="s">
        <v>490</v>
      </c>
      <c r="H1730" s="217" t="s">
        <v>1349</v>
      </c>
      <c r="I1730" s="217" t="s">
        <v>659</v>
      </c>
      <c r="J1730" s="217" t="s">
        <v>1855</v>
      </c>
      <c r="K1730" s="217">
        <v>2</v>
      </c>
      <c r="L1730" s="217">
        <v>7</v>
      </c>
      <c r="M1730" s="217" t="s">
        <v>31</v>
      </c>
      <c r="N1730" s="217" t="s">
        <v>32</v>
      </c>
      <c r="O1730" s="217" t="s">
        <v>668</v>
      </c>
      <c r="P1730" s="217" t="s">
        <v>34</v>
      </c>
      <c r="Q1730" s="217" t="s">
        <v>35</v>
      </c>
      <c r="R1730" s="217" t="s">
        <v>23</v>
      </c>
      <c r="S1730" s="217" t="s">
        <v>22</v>
      </c>
      <c r="T1730" s="217" t="s">
        <v>47</v>
      </c>
      <c r="U1730" s="217" t="s">
        <v>48</v>
      </c>
      <c r="V1730" s="217" t="s">
        <v>32</v>
      </c>
      <c r="W1730" s="217" t="s">
        <v>32</v>
      </c>
    </row>
    <row r="1731" spans="1:23" x14ac:dyDescent="0.25">
      <c r="A1731" s="217" t="s">
        <v>22</v>
      </c>
      <c r="B1731" s="217" t="s">
        <v>23</v>
      </c>
      <c r="C1731" s="217" t="s">
        <v>218</v>
      </c>
      <c r="D1731" s="217" t="s">
        <v>217</v>
      </c>
      <c r="E1731" s="217" t="s">
        <v>224</v>
      </c>
      <c r="F1731" s="217" t="s">
        <v>223</v>
      </c>
      <c r="G1731" s="217" t="s">
        <v>492</v>
      </c>
      <c r="H1731" s="217" t="s">
        <v>1351</v>
      </c>
      <c r="I1731" s="217" t="s">
        <v>659</v>
      </c>
      <c r="J1731" s="217" t="s">
        <v>1854</v>
      </c>
      <c r="K1731" s="217">
        <v>4</v>
      </c>
      <c r="L1731" s="217">
        <v>58</v>
      </c>
      <c r="M1731" s="217" t="s">
        <v>31</v>
      </c>
      <c r="N1731" s="217" t="s">
        <v>32</v>
      </c>
      <c r="O1731" s="217" t="s">
        <v>668</v>
      </c>
      <c r="P1731" s="217" t="s">
        <v>34</v>
      </c>
      <c r="Q1731" s="217" t="s">
        <v>35</v>
      </c>
      <c r="R1731" s="217" t="s">
        <v>23</v>
      </c>
      <c r="S1731" s="217" t="s">
        <v>22</v>
      </c>
      <c r="T1731" s="217" t="s">
        <v>47</v>
      </c>
      <c r="U1731" s="217" t="s">
        <v>48</v>
      </c>
      <c r="V1731" s="217" t="s">
        <v>32</v>
      </c>
      <c r="W1731" s="217" t="s">
        <v>32</v>
      </c>
    </row>
    <row r="1732" spans="1:23" x14ac:dyDescent="0.25">
      <c r="A1732" s="217" t="s">
        <v>22</v>
      </c>
      <c r="B1732" s="217" t="s">
        <v>23</v>
      </c>
      <c r="C1732" s="217" t="s">
        <v>218</v>
      </c>
      <c r="D1732" s="217" t="s">
        <v>217</v>
      </c>
      <c r="E1732" s="217" t="s">
        <v>224</v>
      </c>
      <c r="F1732" s="217" t="s">
        <v>223</v>
      </c>
      <c r="G1732" s="217" t="s">
        <v>493</v>
      </c>
      <c r="H1732" s="217" t="s">
        <v>1352</v>
      </c>
      <c r="I1732" s="217" t="s">
        <v>659</v>
      </c>
      <c r="J1732" s="217" t="s">
        <v>1855</v>
      </c>
      <c r="K1732" s="217">
        <v>1</v>
      </c>
      <c r="L1732" s="217">
        <v>5</v>
      </c>
      <c r="M1732" s="217" t="s">
        <v>637</v>
      </c>
      <c r="N1732" s="217" t="s">
        <v>2059</v>
      </c>
      <c r="O1732" s="217" t="s">
        <v>141</v>
      </c>
      <c r="P1732" s="217" t="s">
        <v>660</v>
      </c>
      <c r="Q1732" s="217" t="s">
        <v>848</v>
      </c>
      <c r="R1732" s="217" t="s">
        <v>1844</v>
      </c>
      <c r="S1732" s="217" t="s">
        <v>1845</v>
      </c>
      <c r="T1732" s="217" t="s">
        <v>32</v>
      </c>
      <c r="U1732" s="217" t="s">
        <v>32</v>
      </c>
      <c r="V1732" s="217" t="s">
        <v>32</v>
      </c>
      <c r="W1732" s="217" t="s">
        <v>32</v>
      </c>
    </row>
    <row r="1733" spans="1:23" x14ac:dyDescent="0.25">
      <c r="A1733" s="217" t="s">
        <v>22</v>
      </c>
      <c r="B1733" s="217" t="s">
        <v>23</v>
      </c>
      <c r="C1733" s="217" t="s">
        <v>218</v>
      </c>
      <c r="D1733" s="217" t="s">
        <v>217</v>
      </c>
      <c r="E1733" s="217" t="s">
        <v>224</v>
      </c>
      <c r="F1733" s="217" t="s">
        <v>223</v>
      </c>
      <c r="G1733" s="217" t="s">
        <v>495</v>
      </c>
      <c r="H1733" s="217" t="s">
        <v>1354</v>
      </c>
      <c r="I1733" s="217" t="s">
        <v>659</v>
      </c>
      <c r="J1733" s="217" t="s">
        <v>1854</v>
      </c>
      <c r="K1733" s="217">
        <v>1</v>
      </c>
      <c r="L1733" s="217">
        <v>6</v>
      </c>
      <c r="M1733" s="217" t="s">
        <v>31</v>
      </c>
      <c r="N1733" s="217" t="s">
        <v>32</v>
      </c>
      <c r="O1733" s="217" t="s">
        <v>668</v>
      </c>
      <c r="P1733" s="217" t="s">
        <v>34</v>
      </c>
      <c r="Q1733" s="217" t="s">
        <v>35</v>
      </c>
      <c r="R1733" s="217" t="s">
        <v>23</v>
      </c>
      <c r="S1733" s="217" t="s">
        <v>22</v>
      </c>
      <c r="T1733" s="217" t="s">
        <v>47</v>
      </c>
      <c r="U1733" s="217" t="s">
        <v>48</v>
      </c>
      <c r="V1733" s="217" t="s">
        <v>32</v>
      </c>
      <c r="W1733" s="217" t="s">
        <v>32</v>
      </c>
    </row>
    <row r="1734" spans="1:23" x14ac:dyDescent="0.25">
      <c r="A1734" s="217" t="s">
        <v>22</v>
      </c>
      <c r="B1734" s="217" t="s">
        <v>23</v>
      </c>
      <c r="C1734" s="217" t="s">
        <v>218</v>
      </c>
      <c r="D1734" s="217" t="s">
        <v>217</v>
      </c>
      <c r="E1734" s="217" t="s">
        <v>224</v>
      </c>
      <c r="F1734" s="217" t="s">
        <v>223</v>
      </c>
      <c r="G1734" s="217" t="s">
        <v>496</v>
      </c>
      <c r="H1734" s="217" t="s">
        <v>1355</v>
      </c>
      <c r="I1734" s="217" t="s">
        <v>659</v>
      </c>
      <c r="J1734" s="217" t="s">
        <v>1855</v>
      </c>
      <c r="K1734" s="217">
        <v>3</v>
      </c>
      <c r="L1734" s="217">
        <v>22</v>
      </c>
      <c r="M1734" s="217" t="s">
        <v>31</v>
      </c>
      <c r="N1734" s="217" t="s">
        <v>32</v>
      </c>
      <c r="O1734" s="217" t="s">
        <v>668</v>
      </c>
      <c r="P1734" s="217" t="s">
        <v>34</v>
      </c>
      <c r="Q1734" s="217" t="s">
        <v>35</v>
      </c>
      <c r="R1734" s="217" t="s">
        <v>23</v>
      </c>
      <c r="S1734" s="217" t="s">
        <v>22</v>
      </c>
      <c r="T1734" s="217" t="s">
        <v>47</v>
      </c>
      <c r="U1734" s="217" t="s">
        <v>48</v>
      </c>
      <c r="V1734" s="217" t="s">
        <v>32</v>
      </c>
      <c r="W1734" s="217" t="s">
        <v>32</v>
      </c>
    </row>
    <row r="1735" spans="1:23" x14ac:dyDescent="0.25">
      <c r="A1735" s="217" t="s">
        <v>22</v>
      </c>
      <c r="B1735" s="217" t="s">
        <v>23</v>
      </c>
      <c r="C1735" s="217" t="s">
        <v>218</v>
      </c>
      <c r="D1735" s="217" t="s">
        <v>217</v>
      </c>
      <c r="E1735" s="217" t="s">
        <v>220</v>
      </c>
      <c r="F1735" s="217" t="s">
        <v>219</v>
      </c>
      <c r="G1735" s="217" t="s">
        <v>222</v>
      </c>
      <c r="H1735" s="217" t="s">
        <v>1577</v>
      </c>
      <c r="I1735" s="217" t="s">
        <v>659</v>
      </c>
      <c r="J1735" s="217" t="s">
        <v>1855</v>
      </c>
      <c r="K1735" s="217">
        <v>3</v>
      </c>
      <c r="L1735" s="217">
        <v>16</v>
      </c>
      <c r="M1735" s="217" t="s">
        <v>31</v>
      </c>
      <c r="N1735" s="217" t="s">
        <v>32</v>
      </c>
      <c r="O1735" s="217" t="s">
        <v>141</v>
      </c>
      <c r="P1735" s="217" t="s">
        <v>142</v>
      </c>
      <c r="Q1735" s="217" t="s">
        <v>143</v>
      </c>
      <c r="R1735" s="217" t="s">
        <v>618</v>
      </c>
      <c r="S1735" s="217" t="s">
        <v>619</v>
      </c>
      <c r="T1735" s="217" t="s">
        <v>32</v>
      </c>
      <c r="U1735" s="217" t="s">
        <v>32</v>
      </c>
      <c r="V1735" s="217" t="s">
        <v>32</v>
      </c>
      <c r="W1735" s="217" t="s">
        <v>32</v>
      </c>
    </row>
    <row r="1736" spans="1:23" x14ac:dyDescent="0.25">
      <c r="A1736" s="217" t="s">
        <v>22</v>
      </c>
      <c r="B1736" s="217" t="s">
        <v>23</v>
      </c>
      <c r="C1736" s="217" t="s">
        <v>218</v>
      </c>
      <c r="D1736" s="217" t="s">
        <v>217</v>
      </c>
      <c r="E1736" s="217" t="s">
        <v>220</v>
      </c>
      <c r="F1736" s="217" t="s">
        <v>219</v>
      </c>
      <c r="G1736" s="217" t="s">
        <v>226</v>
      </c>
      <c r="H1736" s="217" t="s">
        <v>1578</v>
      </c>
      <c r="I1736" s="217" t="s">
        <v>659</v>
      </c>
      <c r="J1736" s="217" t="s">
        <v>1855</v>
      </c>
      <c r="K1736" s="217">
        <v>1</v>
      </c>
      <c r="L1736" s="217">
        <v>8</v>
      </c>
      <c r="M1736" s="217" t="s">
        <v>637</v>
      </c>
      <c r="N1736" s="217" t="s">
        <v>2154</v>
      </c>
      <c r="O1736" s="217" t="s">
        <v>141</v>
      </c>
      <c r="P1736" s="217" t="s">
        <v>660</v>
      </c>
      <c r="Q1736" s="217" t="s">
        <v>848</v>
      </c>
      <c r="R1736" s="217" t="s">
        <v>1846</v>
      </c>
      <c r="S1736" s="217" t="s">
        <v>1847</v>
      </c>
      <c r="T1736" s="217" t="s">
        <v>32</v>
      </c>
      <c r="U1736" s="217" t="s">
        <v>32</v>
      </c>
      <c r="V1736" s="217" t="s">
        <v>32</v>
      </c>
      <c r="W1736" s="217" t="s">
        <v>32</v>
      </c>
    </row>
    <row r="1737" spans="1:23" x14ac:dyDescent="0.25">
      <c r="A1737" s="217" t="s">
        <v>22</v>
      </c>
      <c r="B1737" s="217" t="s">
        <v>23</v>
      </c>
      <c r="C1737" s="217" t="s">
        <v>218</v>
      </c>
      <c r="D1737" s="217" t="s">
        <v>217</v>
      </c>
      <c r="E1737" s="217" t="s">
        <v>220</v>
      </c>
      <c r="F1737" s="217" t="s">
        <v>219</v>
      </c>
      <c r="G1737" s="217" t="s">
        <v>1579</v>
      </c>
      <c r="H1737" s="217" t="s">
        <v>1580</v>
      </c>
      <c r="I1737" s="217" t="s">
        <v>659</v>
      </c>
      <c r="J1737" s="217" t="s">
        <v>1857</v>
      </c>
      <c r="K1737" s="217">
        <v>4</v>
      </c>
      <c r="L1737" s="217">
        <v>13</v>
      </c>
      <c r="M1737" s="217" t="s">
        <v>31</v>
      </c>
      <c r="N1737" s="217" t="s">
        <v>32</v>
      </c>
      <c r="O1737" s="217" t="s">
        <v>141</v>
      </c>
      <c r="P1737" s="217" t="s">
        <v>142</v>
      </c>
      <c r="Q1737" s="217" t="s">
        <v>143</v>
      </c>
      <c r="R1737" s="217" t="s">
        <v>2155</v>
      </c>
      <c r="S1737" s="217" t="s">
        <v>2156</v>
      </c>
      <c r="T1737" s="217" t="s">
        <v>32</v>
      </c>
      <c r="U1737" s="217" t="s">
        <v>32</v>
      </c>
      <c r="V1737" s="217" t="s">
        <v>32</v>
      </c>
      <c r="W1737" s="217" t="s">
        <v>32</v>
      </c>
    </row>
    <row r="1738" spans="1:23" x14ac:dyDescent="0.25">
      <c r="A1738" s="217" t="s">
        <v>22</v>
      </c>
      <c r="B1738" s="217" t="s">
        <v>23</v>
      </c>
      <c r="C1738" s="217" t="s">
        <v>218</v>
      </c>
      <c r="D1738" s="217" t="s">
        <v>217</v>
      </c>
      <c r="E1738" s="217" t="s">
        <v>228</v>
      </c>
      <c r="F1738" s="217" t="s">
        <v>227</v>
      </c>
      <c r="G1738" s="217" t="s">
        <v>229</v>
      </c>
      <c r="H1738" s="217" t="s">
        <v>1581</v>
      </c>
      <c r="I1738" s="217" t="s">
        <v>659</v>
      </c>
      <c r="J1738" s="217" t="s">
        <v>1855</v>
      </c>
      <c r="K1738" s="217">
        <v>27</v>
      </c>
      <c r="L1738" s="217">
        <v>163</v>
      </c>
      <c r="M1738" s="217" t="s">
        <v>31</v>
      </c>
      <c r="N1738" s="217" t="s">
        <v>32</v>
      </c>
      <c r="O1738" s="217" t="s">
        <v>141</v>
      </c>
      <c r="P1738" s="217" t="s">
        <v>142</v>
      </c>
      <c r="Q1738" s="217" t="s">
        <v>143</v>
      </c>
      <c r="R1738" s="217" t="s">
        <v>618</v>
      </c>
      <c r="S1738" s="217" t="s">
        <v>619</v>
      </c>
      <c r="T1738" s="217" t="s">
        <v>32</v>
      </c>
      <c r="U1738" s="217" t="s">
        <v>32</v>
      </c>
      <c r="V1738" s="217" t="s">
        <v>32</v>
      </c>
      <c r="W1738" s="217" t="s">
        <v>32</v>
      </c>
    </row>
    <row r="1739" spans="1:23" x14ac:dyDescent="0.25">
      <c r="A1739" s="217" t="s">
        <v>22</v>
      </c>
      <c r="B1739" s="217" t="s">
        <v>23</v>
      </c>
      <c r="C1739" s="217" t="s">
        <v>218</v>
      </c>
      <c r="D1739" s="217" t="s">
        <v>217</v>
      </c>
      <c r="E1739" s="217" t="s">
        <v>228</v>
      </c>
      <c r="F1739" s="217" t="s">
        <v>227</v>
      </c>
      <c r="G1739" s="217" t="s">
        <v>229</v>
      </c>
      <c r="H1739" s="217" t="s">
        <v>1581</v>
      </c>
      <c r="I1739" s="217" t="s">
        <v>659</v>
      </c>
      <c r="J1739" s="217" t="s">
        <v>1856</v>
      </c>
      <c r="K1739" s="217">
        <v>26</v>
      </c>
      <c r="L1739" s="217">
        <v>138</v>
      </c>
      <c r="M1739" s="217" t="s">
        <v>31</v>
      </c>
      <c r="N1739" s="217" t="s">
        <v>32</v>
      </c>
      <c r="O1739" s="217" t="s">
        <v>141</v>
      </c>
      <c r="P1739" s="217" t="s">
        <v>142</v>
      </c>
      <c r="Q1739" s="217" t="s">
        <v>143</v>
      </c>
      <c r="R1739" s="217" t="s">
        <v>618</v>
      </c>
      <c r="S1739" s="217" t="s">
        <v>619</v>
      </c>
      <c r="T1739" s="217" t="s">
        <v>32</v>
      </c>
      <c r="U1739" s="217" t="s">
        <v>32</v>
      </c>
      <c r="V1739" s="217" t="s">
        <v>32</v>
      </c>
      <c r="W1739" s="217" t="s">
        <v>32</v>
      </c>
    </row>
    <row r="1740" spans="1:23" x14ac:dyDescent="0.25">
      <c r="A1740" s="217" t="s">
        <v>22</v>
      </c>
      <c r="B1740" s="217" t="s">
        <v>23</v>
      </c>
      <c r="C1740" s="217" t="s">
        <v>218</v>
      </c>
      <c r="D1740" s="217" t="s">
        <v>217</v>
      </c>
      <c r="E1740" s="217" t="s">
        <v>228</v>
      </c>
      <c r="F1740" s="217" t="s">
        <v>227</v>
      </c>
      <c r="G1740" s="217" t="s">
        <v>229</v>
      </c>
      <c r="H1740" s="217" t="s">
        <v>1581</v>
      </c>
      <c r="I1740" s="217" t="s">
        <v>659</v>
      </c>
      <c r="J1740" s="217" t="s">
        <v>1857</v>
      </c>
      <c r="K1740" s="217">
        <v>11</v>
      </c>
      <c r="L1740" s="217">
        <v>56</v>
      </c>
      <c r="M1740" s="217" t="s">
        <v>31</v>
      </c>
      <c r="N1740" s="217" t="s">
        <v>32</v>
      </c>
      <c r="O1740" s="217" t="s">
        <v>141</v>
      </c>
      <c r="P1740" s="217" t="s">
        <v>142</v>
      </c>
      <c r="Q1740" s="217" t="s">
        <v>143</v>
      </c>
      <c r="R1740" s="217" t="s">
        <v>1540</v>
      </c>
      <c r="S1740" s="217" t="s">
        <v>1541</v>
      </c>
      <c r="T1740" s="217" t="s">
        <v>32</v>
      </c>
      <c r="U1740" s="217" t="s">
        <v>32</v>
      </c>
      <c r="V1740" s="217" t="s">
        <v>32</v>
      </c>
      <c r="W1740" s="217" t="s">
        <v>32</v>
      </c>
    </row>
    <row r="1741" spans="1:23" x14ac:dyDescent="0.25">
      <c r="A1741" s="217" t="s">
        <v>22</v>
      </c>
      <c r="B1741" s="217" t="s">
        <v>23</v>
      </c>
      <c r="C1741" s="217" t="s">
        <v>218</v>
      </c>
      <c r="D1741" s="217" t="s">
        <v>217</v>
      </c>
      <c r="E1741" s="217" t="s">
        <v>228</v>
      </c>
      <c r="F1741" s="217" t="s">
        <v>227</v>
      </c>
      <c r="G1741" s="217" t="s">
        <v>230</v>
      </c>
      <c r="H1741" s="217" t="s">
        <v>1582</v>
      </c>
      <c r="I1741" s="217" t="s">
        <v>659</v>
      </c>
      <c r="J1741" s="217" t="s">
        <v>1856</v>
      </c>
      <c r="K1741" s="217">
        <v>15</v>
      </c>
      <c r="L1741" s="217">
        <v>72</v>
      </c>
      <c r="M1741" s="217" t="s">
        <v>31</v>
      </c>
      <c r="N1741" s="217" t="s">
        <v>32</v>
      </c>
      <c r="O1741" s="217" t="s">
        <v>141</v>
      </c>
      <c r="P1741" s="217" t="s">
        <v>142</v>
      </c>
      <c r="Q1741" s="217" t="s">
        <v>143</v>
      </c>
      <c r="R1741" s="217" t="s">
        <v>618</v>
      </c>
      <c r="S1741" s="217" t="s">
        <v>619</v>
      </c>
      <c r="T1741" s="217" t="s">
        <v>32</v>
      </c>
      <c r="U1741" s="217" t="s">
        <v>32</v>
      </c>
      <c r="V1741" s="217" t="s">
        <v>32</v>
      </c>
      <c r="W1741" s="217" t="s">
        <v>32</v>
      </c>
    </row>
    <row r="1742" spans="1:23" x14ac:dyDescent="0.25">
      <c r="A1742" s="217" t="s">
        <v>22</v>
      </c>
      <c r="B1742" s="217" t="s">
        <v>23</v>
      </c>
      <c r="C1742" s="217" t="s">
        <v>218</v>
      </c>
      <c r="D1742" s="217" t="s">
        <v>217</v>
      </c>
      <c r="E1742" s="217" t="s">
        <v>497</v>
      </c>
      <c r="F1742" s="217" t="s">
        <v>498</v>
      </c>
      <c r="G1742" s="217" t="s">
        <v>500</v>
      </c>
      <c r="H1742" s="217" t="s">
        <v>1357</v>
      </c>
      <c r="I1742" s="217" t="s">
        <v>659</v>
      </c>
      <c r="J1742" s="217" t="s">
        <v>1856</v>
      </c>
      <c r="K1742" s="217">
        <v>1</v>
      </c>
      <c r="L1742" s="217">
        <v>4</v>
      </c>
      <c r="M1742" s="217" t="s">
        <v>31</v>
      </c>
      <c r="N1742" s="217" t="s">
        <v>32</v>
      </c>
      <c r="O1742" s="217" t="s">
        <v>141</v>
      </c>
      <c r="P1742" s="217" t="s">
        <v>142</v>
      </c>
      <c r="Q1742" s="217" t="s">
        <v>143</v>
      </c>
      <c r="R1742" s="217" t="s">
        <v>641</v>
      </c>
      <c r="S1742" s="217" t="s">
        <v>642</v>
      </c>
      <c r="T1742" s="217" t="s">
        <v>32</v>
      </c>
      <c r="U1742" s="217" t="s">
        <v>32</v>
      </c>
      <c r="V1742" s="217" t="s">
        <v>32</v>
      </c>
      <c r="W1742" s="217" t="s">
        <v>32</v>
      </c>
    </row>
    <row r="1743" spans="1:23" x14ac:dyDescent="0.25">
      <c r="A1743" s="217" t="s">
        <v>22</v>
      </c>
      <c r="B1743" s="217" t="s">
        <v>23</v>
      </c>
      <c r="C1743" s="217" t="s">
        <v>48</v>
      </c>
      <c r="D1743" s="217" t="s">
        <v>47</v>
      </c>
      <c r="E1743" s="217" t="s">
        <v>232</v>
      </c>
      <c r="F1743" s="217" t="s">
        <v>231</v>
      </c>
      <c r="G1743" s="217" t="s">
        <v>233</v>
      </c>
      <c r="H1743" s="217" t="s">
        <v>1358</v>
      </c>
      <c r="I1743" s="217" t="s">
        <v>659</v>
      </c>
      <c r="J1743" s="217" t="s">
        <v>1856</v>
      </c>
      <c r="K1743" s="217">
        <v>31</v>
      </c>
      <c r="L1743" s="217">
        <v>195</v>
      </c>
      <c r="M1743" s="217" t="s">
        <v>31</v>
      </c>
      <c r="N1743" s="217" t="s">
        <v>32</v>
      </c>
      <c r="O1743" s="217" t="s">
        <v>668</v>
      </c>
      <c r="P1743" s="217" t="s">
        <v>34</v>
      </c>
      <c r="Q1743" s="217" t="s">
        <v>35</v>
      </c>
      <c r="R1743" s="217" t="s">
        <v>23</v>
      </c>
      <c r="S1743" s="217" t="s">
        <v>22</v>
      </c>
      <c r="T1743" s="217" t="s">
        <v>36</v>
      </c>
      <c r="U1743" s="217" t="s">
        <v>37</v>
      </c>
      <c r="V1743" s="217" t="s">
        <v>32</v>
      </c>
      <c r="W1743" s="217" t="s">
        <v>32</v>
      </c>
    </row>
    <row r="1744" spans="1:23" x14ac:dyDescent="0.25">
      <c r="A1744" s="217" t="s">
        <v>22</v>
      </c>
      <c r="B1744" s="217" t="s">
        <v>23</v>
      </c>
      <c r="C1744" s="217" t="s">
        <v>48</v>
      </c>
      <c r="D1744" s="217" t="s">
        <v>47</v>
      </c>
      <c r="E1744" s="217" t="s">
        <v>232</v>
      </c>
      <c r="F1744" s="217" t="s">
        <v>231</v>
      </c>
      <c r="G1744" s="217" t="s">
        <v>233</v>
      </c>
      <c r="H1744" s="217" t="s">
        <v>1358</v>
      </c>
      <c r="I1744" s="217" t="s">
        <v>659</v>
      </c>
      <c r="J1744" s="217" t="s">
        <v>1857</v>
      </c>
      <c r="K1744" s="217">
        <v>274</v>
      </c>
      <c r="L1744" s="217">
        <v>1876</v>
      </c>
      <c r="M1744" s="217" t="s">
        <v>31</v>
      </c>
      <c r="N1744" s="217" t="s">
        <v>32</v>
      </c>
      <c r="O1744" s="217" t="s">
        <v>668</v>
      </c>
      <c r="P1744" s="217" t="s">
        <v>34</v>
      </c>
      <c r="Q1744" s="217" t="s">
        <v>35</v>
      </c>
      <c r="R1744" s="217" t="s">
        <v>23</v>
      </c>
      <c r="S1744" s="217" t="s">
        <v>22</v>
      </c>
      <c r="T1744" s="217" t="s">
        <v>36</v>
      </c>
      <c r="U1744" s="217" t="s">
        <v>37</v>
      </c>
      <c r="V1744" s="217" t="s">
        <v>32</v>
      </c>
      <c r="W1744" s="217" t="s">
        <v>32</v>
      </c>
    </row>
    <row r="1745" spans="1:23" x14ac:dyDescent="0.25">
      <c r="A1745" s="217" t="s">
        <v>22</v>
      </c>
      <c r="B1745" s="217" t="s">
        <v>23</v>
      </c>
      <c r="C1745" s="217" t="s">
        <v>48</v>
      </c>
      <c r="D1745" s="217" t="s">
        <v>47</v>
      </c>
      <c r="E1745" s="217" t="s">
        <v>232</v>
      </c>
      <c r="F1745" s="217" t="s">
        <v>231</v>
      </c>
      <c r="G1745" s="217" t="s">
        <v>233</v>
      </c>
      <c r="H1745" s="217" t="s">
        <v>1358</v>
      </c>
      <c r="I1745" s="217" t="s">
        <v>659</v>
      </c>
      <c r="J1745" s="217" t="s">
        <v>1858</v>
      </c>
      <c r="K1745" s="217">
        <v>408</v>
      </c>
      <c r="L1745" s="217">
        <v>2521</v>
      </c>
      <c r="M1745" s="217" t="s">
        <v>31</v>
      </c>
      <c r="N1745" s="217" t="s">
        <v>32</v>
      </c>
      <c r="O1745" s="217" t="s">
        <v>668</v>
      </c>
      <c r="P1745" s="217" t="s">
        <v>34</v>
      </c>
      <c r="Q1745" s="217" t="s">
        <v>35</v>
      </c>
      <c r="R1745" s="217" t="s">
        <v>23</v>
      </c>
      <c r="S1745" s="217" t="s">
        <v>22</v>
      </c>
      <c r="T1745" s="217" t="s">
        <v>36</v>
      </c>
      <c r="U1745" s="217" t="s">
        <v>37</v>
      </c>
      <c r="V1745" s="217" t="s">
        <v>32</v>
      </c>
      <c r="W1745" s="217" t="s">
        <v>32</v>
      </c>
    </row>
    <row r="1746" spans="1:23" x14ac:dyDescent="0.25">
      <c r="A1746" s="217" t="s">
        <v>22</v>
      </c>
      <c r="B1746" s="217" t="s">
        <v>23</v>
      </c>
      <c r="C1746" s="217" t="s">
        <v>48</v>
      </c>
      <c r="D1746" s="217" t="s">
        <v>47</v>
      </c>
      <c r="E1746" s="217" t="s">
        <v>232</v>
      </c>
      <c r="F1746" s="217" t="s">
        <v>231</v>
      </c>
      <c r="G1746" s="217" t="s">
        <v>233</v>
      </c>
      <c r="H1746" s="217" t="s">
        <v>1358</v>
      </c>
      <c r="I1746" s="217" t="s">
        <v>659</v>
      </c>
      <c r="J1746" s="217" t="s">
        <v>1859</v>
      </c>
      <c r="K1746" s="217">
        <v>385</v>
      </c>
      <c r="L1746" s="217">
        <v>3375</v>
      </c>
      <c r="M1746" s="217" t="s">
        <v>31</v>
      </c>
      <c r="N1746" s="217" t="s">
        <v>32</v>
      </c>
      <c r="O1746" s="217" t="s">
        <v>141</v>
      </c>
      <c r="P1746" s="217" t="s">
        <v>142</v>
      </c>
      <c r="Q1746" s="217" t="s">
        <v>143</v>
      </c>
      <c r="R1746" s="217" t="s">
        <v>641</v>
      </c>
      <c r="S1746" s="217" t="s">
        <v>642</v>
      </c>
      <c r="T1746" s="217" t="s">
        <v>32</v>
      </c>
      <c r="U1746" s="217" t="s">
        <v>32</v>
      </c>
      <c r="V1746" s="217" t="s">
        <v>32</v>
      </c>
      <c r="W1746" s="217" t="s">
        <v>32</v>
      </c>
    </row>
    <row r="1747" spans="1:23" x14ac:dyDescent="0.25">
      <c r="A1747" s="217" t="s">
        <v>22</v>
      </c>
      <c r="B1747" s="217" t="s">
        <v>23</v>
      </c>
      <c r="C1747" s="217" t="s">
        <v>48</v>
      </c>
      <c r="D1747" s="217" t="s">
        <v>47</v>
      </c>
      <c r="E1747" s="217" t="s">
        <v>232</v>
      </c>
      <c r="F1747" s="217" t="s">
        <v>231</v>
      </c>
      <c r="G1747" s="217" t="s">
        <v>706</v>
      </c>
      <c r="H1747" s="217" t="s">
        <v>1583</v>
      </c>
      <c r="I1747" s="217" t="s">
        <v>659</v>
      </c>
      <c r="J1747" s="217" t="s">
        <v>1858</v>
      </c>
      <c r="K1747" s="217">
        <v>16</v>
      </c>
      <c r="L1747" s="217">
        <v>75</v>
      </c>
      <c r="M1747" s="217" t="s">
        <v>31</v>
      </c>
      <c r="N1747" s="217" t="s">
        <v>32</v>
      </c>
      <c r="O1747" s="217" t="s">
        <v>668</v>
      </c>
      <c r="P1747" s="217" t="s">
        <v>34</v>
      </c>
      <c r="Q1747" s="217" t="s">
        <v>35</v>
      </c>
      <c r="R1747" s="217" t="s">
        <v>23</v>
      </c>
      <c r="S1747" s="217" t="s">
        <v>22</v>
      </c>
      <c r="T1747" s="217" t="s">
        <v>47</v>
      </c>
      <c r="U1747" s="217" t="s">
        <v>48</v>
      </c>
      <c r="V1747" s="217" t="s">
        <v>32</v>
      </c>
      <c r="W1747" s="217" t="s">
        <v>32</v>
      </c>
    </row>
    <row r="1748" spans="1:23" x14ac:dyDescent="0.25">
      <c r="A1748" s="217" t="s">
        <v>22</v>
      </c>
      <c r="B1748" s="217" t="s">
        <v>23</v>
      </c>
      <c r="C1748" s="217" t="s">
        <v>48</v>
      </c>
      <c r="D1748" s="217" t="s">
        <v>47</v>
      </c>
      <c r="E1748" s="217" t="s">
        <v>232</v>
      </c>
      <c r="F1748" s="217" t="s">
        <v>231</v>
      </c>
      <c r="G1748" s="217" t="s">
        <v>834</v>
      </c>
      <c r="H1748" s="217" t="s">
        <v>1359</v>
      </c>
      <c r="I1748" s="217" t="s">
        <v>659</v>
      </c>
      <c r="J1748" s="217" t="s">
        <v>1857</v>
      </c>
      <c r="K1748" s="217">
        <v>20</v>
      </c>
      <c r="L1748" s="217">
        <v>136</v>
      </c>
      <c r="M1748" s="217" t="s">
        <v>31</v>
      </c>
      <c r="N1748" s="217" t="s">
        <v>32</v>
      </c>
      <c r="O1748" s="217" t="s">
        <v>668</v>
      </c>
      <c r="P1748" s="217" t="s">
        <v>34</v>
      </c>
      <c r="Q1748" s="217" t="s">
        <v>35</v>
      </c>
      <c r="R1748" s="217" t="s">
        <v>23</v>
      </c>
      <c r="S1748" s="217" t="s">
        <v>22</v>
      </c>
      <c r="T1748" s="217" t="s">
        <v>47</v>
      </c>
      <c r="U1748" s="217" t="s">
        <v>48</v>
      </c>
      <c r="V1748" s="217" t="s">
        <v>32</v>
      </c>
      <c r="W1748" s="217" t="s">
        <v>32</v>
      </c>
    </row>
    <row r="1749" spans="1:23" x14ac:dyDescent="0.25">
      <c r="A1749" s="217" t="s">
        <v>22</v>
      </c>
      <c r="B1749" s="217" t="s">
        <v>23</v>
      </c>
      <c r="C1749" s="217" t="s">
        <v>48</v>
      </c>
      <c r="D1749" s="217" t="s">
        <v>47</v>
      </c>
      <c r="E1749" s="217" t="s">
        <v>232</v>
      </c>
      <c r="F1749" s="217" t="s">
        <v>231</v>
      </c>
      <c r="G1749" s="217" t="s">
        <v>834</v>
      </c>
      <c r="H1749" s="217" t="s">
        <v>1359</v>
      </c>
      <c r="I1749" s="217" t="s">
        <v>659</v>
      </c>
      <c r="J1749" s="217" t="s">
        <v>1858</v>
      </c>
      <c r="K1749" s="217">
        <v>15</v>
      </c>
      <c r="L1749" s="217">
        <v>76</v>
      </c>
      <c r="M1749" s="217" t="s">
        <v>31</v>
      </c>
      <c r="N1749" s="217" t="s">
        <v>32</v>
      </c>
      <c r="O1749" s="217" t="s">
        <v>668</v>
      </c>
      <c r="P1749" s="217" t="s">
        <v>34</v>
      </c>
      <c r="Q1749" s="217" t="s">
        <v>35</v>
      </c>
      <c r="R1749" s="217" t="s">
        <v>2063</v>
      </c>
      <c r="S1749" s="217" t="s">
        <v>2064</v>
      </c>
      <c r="T1749" s="217" t="s">
        <v>32</v>
      </c>
      <c r="U1749" s="217" t="s">
        <v>32</v>
      </c>
      <c r="V1749" s="217" t="s">
        <v>32</v>
      </c>
      <c r="W1749" s="217" t="s">
        <v>32</v>
      </c>
    </row>
    <row r="1750" spans="1:23" x14ac:dyDescent="0.25">
      <c r="A1750" s="217" t="s">
        <v>22</v>
      </c>
      <c r="B1750" s="217" t="s">
        <v>23</v>
      </c>
      <c r="C1750" s="217" t="s">
        <v>48</v>
      </c>
      <c r="D1750" s="217" t="s">
        <v>47</v>
      </c>
      <c r="E1750" s="217" t="s">
        <v>232</v>
      </c>
      <c r="F1750" s="217" t="s">
        <v>231</v>
      </c>
      <c r="G1750" s="217" t="s">
        <v>1360</v>
      </c>
      <c r="H1750" s="217" t="s">
        <v>1361</v>
      </c>
      <c r="I1750" s="217" t="s">
        <v>659</v>
      </c>
      <c r="J1750" s="217" t="s">
        <v>1857</v>
      </c>
      <c r="K1750" s="217">
        <v>3</v>
      </c>
      <c r="L1750" s="217">
        <v>21</v>
      </c>
      <c r="M1750" s="217" t="s">
        <v>31</v>
      </c>
      <c r="N1750" s="217" t="s">
        <v>32</v>
      </c>
      <c r="O1750" s="217" t="s">
        <v>668</v>
      </c>
      <c r="P1750" s="217" t="s">
        <v>34</v>
      </c>
      <c r="Q1750" s="217" t="s">
        <v>35</v>
      </c>
      <c r="R1750" s="217" t="s">
        <v>23</v>
      </c>
      <c r="S1750" s="217" t="s">
        <v>22</v>
      </c>
      <c r="T1750" s="217" t="s">
        <v>47</v>
      </c>
      <c r="U1750" s="217" t="s">
        <v>48</v>
      </c>
      <c r="V1750" s="217" t="s">
        <v>32</v>
      </c>
      <c r="W1750" s="217" t="s">
        <v>32</v>
      </c>
    </row>
    <row r="1751" spans="1:23" x14ac:dyDescent="0.25">
      <c r="A1751" s="217" t="s">
        <v>22</v>
      </c>
      <c r="B1751" s="217" t="s">
        <v>23</v>
      </c>
      <c r="C1751" s="217" t="s">
        <v>48</v>
      </c>
      <c r="D1751" s="217" t="s">
        <v>47</v>
      </c>
      <c r="E1751" s="217" t="s">
        <v>232</v>
      </c>
      <c r="F1751" s="217" t="s">
        <v>231</v>
      </c>
      <c r="G1751" s="217" t="s">
        <v>1360</v>
      </c>
      <c r="H1751" s="217" t="s">
        <v>1361</v>
      </c>
      <c r="I1751" s="217" t="s">
        <v>659</v>
      </c>
      <c r="J1751" s="217" t="s">
        <v>1858</v>
      </c>
      <c r="K1751" s="217">
        <v>14</v>
      </c>
      <c r="L1751" s="217">
        <v>98</v>
      </c>
      <c r="M1751" s="217" t="s">
        <v>31</v>
      </c>
      <c r="N1751" s="217" t="s">
        <v>32</v>
      </c>
      <c r="O1751" s="217" t="s">
        <v>668</v>
      </c>
      <c r="P1751" s="217" t="s">
        <v>34</v>
      </c>
      <c r="Q1751" s="217" t="s">
        <v>35</v>
      </c>
      <c r="R1751" s="217" t="s">
        <v>23</v>
      </c>
      <c r="S1751" s="217" t="s">
        <v>22</v>
      </c>
      <c r="T1751" s="217" t="s">
        <v>47</v>
      </c>
      <c r="U1751" s="217" t="s">
        <v>48</v>
      </c>
      <c r="V1751" s="217" t="s">
        <v>32</v>
      </c>
      <c r="W1751" s="217" t="s">
        <v>32</v>
      </c>
    </row>
    <row r="1752" spans="1:23" x14ac:dyDescent="0.25">
      <c r="A1752" s="217" t="s">
        <v>22</v>
      </c>
      <c r="B1752" s="217" t="s">
        <v>23</v>
      </c>
      <c r="C1752" s="217" t="s">
        <v>48</v>
      </c>
      <c r="D1752" s="217" t="s">
        <v>47</v>
      </c>
      <c r="E1752" s="217" t="s">
        <v>232</v>
      </c>
      <c r="F1752" s="217" t="s">
        <v>231</v>
      </c>
      <c r="G1752" s="217" t="s">
        <v>234</v>
      </c>
      <c r="H1752" s="217" t="s">
        <v>1362</v>
      </c>
      <c r="I1752" s="217" t="s">
        <v>659</v>
      </c>
      <c r="J1752" s="217" t="s">
        <v>1856</v>
      </c>
      <c r="K1752" s="217">
        <v>15</v>
      </c>
      <c r="L1752" s="217">
        <v>87</v>
      </c>
      <c r="M1752" s="217" t="s">
        <v>31</v>
      </c>
      <c r="N1752" s="217" t="s">
        <v>32</v>
      </c>
      <c r="O1752" s="217" t="s">
        <v>668</v>
      </c>
      <c r="P1752" s="217" t="s">
        <v>34</v>
      </c>
      <c r="Q1752" s="217" t="s">
        <v>35</v>
      </c>
      <c r="R1752" s="217" t="s">
        <v>23</v>
      </c>
      <c r="S1752" s="217" t="s">
        <v>22</v>
      </c>
      <c r="T1752" s="217" t="s">
        <v>36</v>
      </c>
      <c r="U1752" s="217" t="s">
        <v>37</v>
      </c>
      <c r="V1752" s="217" t="s">
        <v>32</v>
      </c>
      <c r="W1752" s="217" t="s">
        <v>32</v>
      </c>
    </row>
    <row r="1753" spans="1:23" x14ac:dyDescent="0.25">
      <c r="A1753" s="217" t="s">
        <v>22</v>
      </c>
      <c r="B1753" s="217" t="s">
        <v>23</v>
      </c>
      <c r="C1753" s="217" t="s">
        <v>48</v>
      </c>
      <c r="D1753" s="217" t="s">
        <v>47</v>
      </c>
      <c r="E1753" s="217" t="s">
        <v>232</v>
      </c>
      <c r="F1753" s="217" t="s">
        <v>231</v>
      </c>
      <c r="G1753" s="217" t="s">
        <v>234</v>
      </c>
      <c r="H1753" s="217" t="s">
        <v>1362</v>
      </c>
      <c r="I1753" s="217" t="s">
        <v>659</v>
      </c>
      <c r="J1753" s="217" t="s">
        <v>1857</v>
      </c>
      <c r="K1753" s="217">
        <v>27</v>
      </c>
      <c r="L1753" s="217">
        <v>164</v>
      </c>
      <c r="M1753" s="217" t="s">
        <v>31</v>
      </c>
      <c r="N1753" s="217" t="s">
        <v>32</v>
      </c>
      <c r="O1753" s="217" t="s">
        <v>668</v>
      </c>
      <c r="P1753" s="217" t="s">
        <v>34</v>
      </c>
      <c r="Q1753" s="217" t="s">
        <v>35</v>
      </c>
      <c r="R1753" s="217" t="s">
        <v>23</v>
      </c>
      <c r="S1753" s="217" t="s">
        <v>22</v>
      </c>
      <c r="T1753" s="217" t="s">
        <v>36</v>
      </c>
      <c r="U1753" s="217" t="s">
        <v>37</v>
      </c>
      <c r="V1753" s="217" t="s">
        <v>32</v>
      </c>
      <c r="W1753" s="217" t="s">
        <v>32</v>
      </c>
    </row>
    <row r="1754" spans="1:23" x14ac:dyDescent="0.25">
      <c r="A1754" s="217" t="s">
        <v>22</v>
      </c>
      <c r="B1754" s="217" t="s">
        <v>23</v>
      </c>
      <c r="C1754" s="217" t="s">
        <v>48</v>
      </c>
      <c r="D1754" s="217" t="s">
        <v>47</v>
      </c>
      <c r="E1754" s="217" t="s">
        <v>232</v>
      </c>
      <c r="F1754" s="217" t="s">
        <v>231</v>
      </c>
      <c r="G1754" s="217" t="s">
        <v>234</v>
      </c>
      <c r="H1754" s="217" t="s">
        <v>1362</v>
      </c>
      <c r="I1754" s="217" t="s">
        <v>659</v>
      </c>
      <c r="J1754" s="217" t="s">
        <v>1858</v>
      </c>
      <c r="K1754" s="217">
        <v>73</v>
      </c>
      <c r="L1754" s="217">
        <v>399</v>
      </c>
      <c r="M1754" s="217" t="s">
        <v>31</v>
      </c>
      <c r="N1754" s="217" t="s">
        <v>32</v>
      </c>
      <c r="O1754" s="217" t="s">
        <v>668</v>
      </c>
      <c r="P1754" s="217" t="s">
        <v>34</v>
      </c>
      <c r="Q1754" s="217" t="s">
        <v>35</v>
      </c>
      <c r="R1754" s="217" t="s">
        <v>23</v>
      </c>
      <c r="S1754" s="217" t="s">
        <v>22</v>
      </c>
      <c r="T1754" s="217" t="s">
        <v>47</v>
      </c>
      <c r="U1754" s="217" t="s">
        <v>48</v>
      </c>
      <c r="V1754" s="217" t="s">
        <v>32</v>
      </c>
      <c r="W1754" s="217" t="s">
        <v>32</v>
      </c>
    </row>
    <row r="1755" spans="1:23" x14ac:dyDescent="0.25">
      <c r="A1755" s="217" t="s">
        <v>22</v>
      </c>
      <c r="B1755" s="217" t="s">
        <v>23</v>
      </c>
      <c r="C1755" s="217" t="s">
        <v>48</v>
      </c>
      <c r="D1755" s="217" t="s">
        <v>47</v>
      </c>
      <c r="E1755" s="217" t="s">
        <v>232</v>
      </c>
      <c r="F1755" s="217" t="s">
        <v>231</v>
      </c>
      <c r="G1755" s="217" t="s">
        <v>707</v>
      </c>
      <c r="H1755" s="217" t="s">
        <v>1584</v>
      </c>
      <c r="I1755" s="217" t="s">
        <v>659</v>
      </c>
      <c r="J1755" s="217" t="s">
        <v>1858</v>
      </c>
      <c r="K1755" s="217">
        <v>20</v>
      </c>
      <c r="L1755" s="217">
        <v>105</v>
      </c>
      <c r="M1755" s="217" t="s">
        <v>31</v>
      </c>
      <c r="N1755" s="217" t="s">
        <v>32</v>
      </c>
      <c r="O1755" s="217" t="s">
        <v>668</v>
      </c>
      <c r="P1755" s="217" t="s">
        <v>34</v>
      </c>
      <c r="Q1755" s="217" t="s">
        <v>35</v>
      </c>
      <c r="R1755" s="217" t="s">
        <v>23</v>
      </c>
      <c r="S1755" s="217" t="s">
        <v>22</v>
      </c>
      <c r="T1755" s="217" t="s">
        <v>47</v>
      </c>
      <c r="U1755" s="217" t="s">
        <v>48</v>
      </c>
      <c r="V1755" s="217" t="s">
        <v>32</v>
      </c>
      <c r="W1755" s="217" t="s">
        <v>32</v>
      </c>
    </row>
    <row r="1756" spans="1:23" x14ac:dyDescent="0.25">
      <c r="A1756" s="217" t="s">
        <v>22</v>
      </c>
      <c r="B1756" s="217" t="s">
        <v>23</v>
      </c>
      <c r="C1756" s="217" t="s">
        <v>48</v>
      </c>
      <c r="D1756" s="217" t="s">
        <v>47</v>
      </c>
      <c r="E1756" s="217" t="s">
        <v>62</v>
      </c>
      <c r="F1756" s="217" t="s">
        <v>61</v>
      </c>
      <c r="G1756" s="217" t="s">
        <v>839</v>
      </c>
      <c r="H1756" s="217" t="s">
        <v>1585</v>
      </c>
      <c r="I1756" s="217" t="s">
        <v>659</v>
      </c>
      <c r="J1756" s="217" t="s">
        <v>1857</v>
      </c>
      <c r="K1756" s="217">
        <v>63</v>
      </c>
      <c r="L1756" s="217">
        <v>315</v>
      </c>
      <c r="M1756" s="217" t="s">
        <v>31</v>
      </c>
      <c r="N1756" s="217" t="s">
        <v>32</v>
      </c>
      <c r="O1756" s="217" t="s">
        <v>668</v>
      </c>
      <c r="P1756" s="217" t="s">
        <v>34</v>
      </c>
      <c r="Q1756" s="217" t="s">
        <v>35</v>
      </c>
      <c r="R1756" s="217" t="s">
        <v>23</v>
      </c>
      <c r="S1756" s="217" t="s">
        <v>22</v>
      </c>
      <c r="T1756" s="217" t="s">
        <v>47</v>
      </c>
      <c r="U1756" s="217" t="s">
        <v>48</v>
      </c>
      <c r="V1756" s="217" t="s">
        <v>32</v>
      </c>
      <c r="W1756" s="217" t="s">
        <v>32</v>
      </c>
    </row>
    <row r="1757" spans="1:23" x14ac:dyDescent="0.25">
      <c r="A1757" s="217" t="s">
        <v>22</v>
      </c>
      <c r="B1757" s="217" t="s">
        <v>23</v>
      </c>
      <c r="C1757" s="217" t="s">
        <v>48</v>
      </c>
      <c r="D1757" s="217" t="s">
        <v>47</v>
      </c>
      <c r="E1757" s="217" t="s">
        <v>62</v>
      </c>
      <c r="F1757" s="217" t="s">
        <v>61</v>
      </c>
      <c r="G1757" s="217" t="s">
        <v>839</v>
      </c>
      <c r="H1757" s="217" t="s">
        <v>1585</v>
      </c>
      <c r="I1757" s="217" t="s">
        <v>659</v>
      </c>
      <c r="J1757" s="217" t="s">
        <v>1858</v>
      </c>
      <c r="K1757" s="217">
        <v>242</v>
      </c>
      <c r="L1757" s="217">
        <v>1407</v>
      </c>
      <c r="M1757" s="217" t="s">
        <v>31</v>
      </c>
      <c r="N1757" s="217" t="s">
        <v>32</v>
      </c>
      <c r="O1757" s="217" t="s">
        <v>668</v>
      </c>
      <c r="P1757" s="217" t="s">
        <v>34</v>
      </c>
      <c r="Q1757" s="217" t="s">
        <v>35</v>
      </c>
      <c r="R1757" s="217" t="s">
        <v>23</v>
      </c>
      <c r="S1757" s="217" t="s">
        <v>22</v>
      </c>
      <c r="T1757" s="217" t="s">
        <v>47</v>
      </c>
      <c r="U1757" s="217" t="s">
        <v>48</v>
      </c>
      <c r="V1757" s="217" t="s">
        <v>32</v>
      </c>
      <c r="W1757" s="217" t="s">
        <v>32</v>
      </c>
    </row>
    <row r="1758" spans="1:23" x14ac:dyDescent="0.25">
      <c r="A1758" s="217" t="s">
        <v>22</v>
      </c>
      <c r="B1758" s="217" t="s">
        <v>23</v>
      </c>
      <c r="C1758" s="217" t="s">
        <v>48</v>
      </c>
      <c r="D1758" s="217" t="s">
        <v>47</v>
      </c>
      <c r="E1758" s="217" t="s">
        <v>62</v>
      </c>
      <c r="F1758" s="217" t="s">
        <v>61</v>
      </c>
      <c r="G1758" s="217" t="s">
        <v>505</v>
      </c>
      <c r="H1758" s="217" t="s">
        <v>1367</v>
      </c>
      <c r="I1758" s="217" t="s">
        <v>659</v>
      </c>
      <c r="J1758" s="217" t="s">
        <v>1857</v>
      </c>
      <c r="K1758" s="217">
        <v>14</v>
      </c>
      <c r="L1758" s="217">
        <v>77</v>
      </c>
      <c r="M1758" s="217" t="s">
        <v>31</v>
      </c>
      <c r="N1758" s="217" t="s">
        <v>32</v>
      </c>
      <c r="O1758" s="217" t="s">
        <v>668</v>
      </c>
      <c r="P1758" s="217" t="s">
        <v>34</v>
      </c>
      <c r="Q1758" s="217" t="s">
        <v>35</v>
      </c>
      <c r="R1758" s="217" t="s">
        <v>23</v>
      </c>
      <c r="S1758" s="217" t="s">
        <v>22</v>
      </c>
      <c r="T1758" s="217" t="s">
        <v>47</v>
      </c>
      <c r="U1758" s="217" t="s">
        <v>48</v>
      </c>
      <c r="V1758" s="217" t="s">
        <v>32</v>
      </c>
      <c r="W1758" s="217" t="s">
        <v>32</v>
      </c>
    </row>
    <row r="1759" spans="1:23" x14ac:dyDescent="0.25">
      <c r="A1759" s="217" t="s">
        <v>22</v>
      </c>
      <c r="B1759" s="217" t="s">
        <v>23</v>
      </c>
      <c r="C1759" s="217" t="s">
        <v>48</v>
      </c>
      <c r="D1759" s="217" t="s">
        <v>47</v>
      </c>
      <c r="E1759" s="217" t="s">
        <v>62</v>
      </c>
      <c r="F1759" s="217" t="s">
        <v>61</v>
      </c>
      <c r="G1759" s="217" t="s">
        <v>505</v>
      </c>
      <c r="H1759" s="217" t="s">
        <v>1367</v>
      </c>
      <c r="I1759" s="217" t="s">
        <v>659</v>
      </c>
      <c r="J1759" s="217" t="s">
        <v>1858</v>
      </c>
      <c r="K1759" s="217">
        <v>27</v>
      </c>
      <c r="L1759" s="217">
        <v>154</v>
      </c>
      <c r="M1759" s="217" t="s">
        <v>31</v>
      </c>
      <c r="N1759" s="217" t="s">
        <v>32</v>
      </c>
      <c r="O1759" s="217" t="s">
        <v>668</v>
      </c>
      <c r="P1759" s="217" t="s">
        <v>34</v>
      </c>
      <c r="Q1759" s="217" t="s">
        <v>35</v>
      </c>
      <c r="R1759" s="217" t="s">
        <v>23</v>
      </c>
      <c r="S1759" s="217" t="s">
        <v>22</v>
      </c>
      <c r="T1759" s="217" t="s">
        <v>47</v>
      </c>
      <c r="U1759" s="217" t="s">
        <v>48</v>
      </c>
      <c r="V1759" s="217" t="s">
        <v>32</v>
      </c>
      <c r="W1759" s="217" t="s">
        <v>32</v>
      </c>
    </row>
    <row r="1760" spans="1:23" x14ac:dyDescent="0.25">
      <c r="A1760" s="217" t="s">
        <v>22</v>
      </c>
      <c r="B1760" s="217" t="s">
        <v>23</v>
      </c>
      <c r="C1760" s="217" t="s">
        <v>48</v>
      </c>
      <c r="D1760" s="217" t="s">
        <v>47</v>
      </c>
      <c r="E1760" s="217" t="s">
        <v>62</v>
      </c>
      <c r="F1760" s="217" t="s">
        <v>61</v>
      </c>
      <c r="G1760" s="217" t="s">
        <v>506</v>
      </c>
      <c r="H1760" s="217" t="s">
        <v>1368</v>
      </c>
      <c r="I1760" s="217" t="s">
        <v>659</v>
      </c>
      <c r="J1760" s="217" t="s">
        <v>1857</v>
      </c>
      <c r="K1760" s="217">
        <v>223</v>
      </c>
      <c r="L1760" s="217">
        <v>1338</v>
      </c>
      <c r="M1760" s="217" t="s">
        <v>31</v>
      </c>
      <c r="N1760" s="217" t="s">
        <v>32</v>
      </c>
      <c r="O1760" s="217" t="s">
        <v>668</v>
      </c>
      <c r="P1760" s="217" t="s">
        <v>34</v>
      </c>
      <c r="Q1760" s="217" t="s">
        <v>35</v>
      </c>
      <c r="R1760" s="217" t="s">
        <v>23</v>
      </c>
      <c r="S1760" s="217" t="s">
        <v>22</v>
      </c>
      <c r="T1760" s="217" t="s">
        <v>47</v>
      </c>
      <c r="U1760" s="217" t="s">
        <v>48</v>
      </c>
      <c r="V1760" s="217" t="s">
        <v>32</v>
      </c>
      <c r="W1760" s="217" t="s">
        <v>32</v>
      </c>
    </row>
    <row r="1761" spans="1:23" x14ac:dyDescent="0.25">
      <c r="A1761" s="217" t="s">
        <v>22</v>
      </c>
      <c r="B1761" s="217" t="s">
        <v>23</v>
      </c>
      <c r="C1761" s="217" t="s">
        <v>48</v>
      </c>
      <c r="D1761" s="217" t="s">
        <v>47</v>
      </c>
      <c r="E1761" s="217" t="s">
        <v>62</v>
      </c>
      <c r="F1761" s="217" t="s">
        <v>61</v>
      </c>
      <c r="G1761" s="217" t="s">
        <v>506</v>
      </c>
      <c r="H1761" s="217" t="s">
        <v>1368</v>
      </c>
      <c r="I1761" s="217" t="s">
        <v>659</v>
      </c>
      <c r="J1761" s="217" t="s">
        <v>1858</v>
      </c>
      <c r="K1761" s="217">
        <v>61</v>
      </c>
      <c r="L1761" s="217">
        <v>327</v>
      </c>
      <c r="M1761" s="217" t="s">
        <v>31</v>
      </c>
      <c r="N1761" s="217" t="s">
        <v>32</v>
      </c>
      <c r="O1761" s="217" t="s">
        <v>668</v>
      </c>
      <c r="P1761" s="217" t="s">
        <v>34</v>
      </c>
      <c r="Q1761" s="217" t="s">
        <v>35</v>
      </c>
      <c r="R1761" s="217" t="s">
        <v>23</v>
      </c>
      <c r="S1761" s="217" t="s">
        <v>22</v>
      </c>
      <c r="T1761" s="217" t="s">
        <v>47</v>
      </c>
      <c r="U1761" s="217" t="s">
        <v>48</v>
      </c>
      <c r="V1761" s="217" t="s">
        <v>32</v>
      </c>
      <c r="W1761" s="217" t="s">
        <v>32</v>
      </c>
    </row>
    <row r="1762" spans="1:23" x14ac:dyDescent="0.25">
      <c r="A1762" s="217" t="s">
        <v>22</v>
      </c>
      <c r="B1762" s="217" t="s">
        <v>23</v>
      </c>
      <c r="C1762" s="217" t="s">
        <v>48</v>
      </c>
      <c r="D1762" s="217" t="s">
        <v>47</v>
      </c>
      <c r="E1762" s="217" t="s">
        <v>62</v>
      </c>
      <c r="F1762" s="217" t="s">
        <v>61</v>
      </c>
      <c r="G1762" s="217" t="s">
        <v>506</v>
      </c>
      <c r="H1762" s="217" t="s">
        <v>1368</v>
      </c>
      <c r="I1762" s="217" t="s">
        <v>659</v>
      </c>
      <c r="J1762" s="217" t="s">
        <v>1859</v>
      </c>
      <c r="K1762" s="217">
        <v>6</v>
      </c>
      <c r="L1762" s="217">
        <v>32</v>
      </c>
      <c r="M1762" s="217" t="s">
        <v>31</v>
      </c>
      <c r="N1762" s="217" t="s">
        <v>32</v>
      </c>
      <c r="O1762" s="217" t="s">
        <v>668</v>
      </c>
      <c r="P1762" s="217" t="s">
        <v>34</v>
      </c>
      <c r="Q1762" s="217" t="s">
        <v>35</v>
      </c>
      <c r="R1762" s="217" t="s">
        <v>23</v>
      </c>
      <c r="S1762" s="217" t="s">
        <v>22</v>
      </c>
      <c r="T1762" s="217" t="s">
        <v>47</v>
      </c>
      <c r="U1762" s="217" t="s">
        <v>48</v>
      </c>
      <c r="V1762" s="217" t="s">
        <v>32</v>
      </c>
      <c r="W1762" s="217" t="s">
        <v>32</v>
      </c>
    </row>
    <row r="1763" spans="1:23" x14ac:dyDescent="0.25">
      <c r="A1763" s="217" t="s">
        <v>22</v>
      </c>
      <c r="B1763" s="217" t="s">
        <v>23</v>
      </c>
      <c r="C1763" s="217" t="s">
        <v>48</v>
      </c>
      <c r="D1763" s="217" t="s">
        <v>47</v>
      </c>
      <c r="E1763" s="217" t="s">
        <v>62</v>
      </c>
      <c r="F1763" s="217" t="s">
        <v>61</v>
      </c>
      <c r="G1763" s="217" t="s">
        <v>837</v>
      </c>
      <c r="H1763" s="217" t="s">
        <v>1376</v>
      </c>
      <c r="I1763" s="217" t="s">
        <v>659</v>
      </c>
      <c r="J1763" s="217" t="s">
        <v>1856</v>
      </c>
      <c r="K1763" s="217">
        <v>64</v>
      </c>
      <c r="L1763" s="217">
        <v>402</v>
      </c>
      <c r="M1763" s="217" t="s">
        <v>31</v>
      </c>
      <c r="N1763" s="217" t="s">
        <v>32</v>
      </c>
      <c r="O1763" s="217" t="s">
        <v>668</v>
      </c>
      <c r="P1763" s="217" t="s">
        <v>34</v>
      </c>
      <c r="Q1763" s="217" t="s">
        <v>35</v>
      </c>
      <c r="R1763" s="217" t="s">
        <v>23</v>
      </c>
      <c r="S1763" s="217" t="s">
        <v>22</v>
      </c>
      <c r="T1763" s="217" t="s">
        <v>47</v>
      </c>
      <c r="U1763" s="217" t="s">
        <v>48</v>
      </c>
      <c r="V1763" s="217" t="s">
        <v>32</v>
      </c>
      <c r="W1763" s="217" t="s">
        <v>32</v>
      </c>
    </row>
    <row r="1764" spans="1:23" x14ac:dyDescent="0.25">
      <c r="A1764" s="217" t="s">
        <v>22</v>
      </c>
      <c r="B1764" s="217" t="s">
        <v>23</v>
      </c>
      <c r="C1764" s="217" t="s">
        <v>48</v>
      </c>
      <c r="D1764" s="217" t="s">
        <v>47</v>
      </c>
      <c r="E1764" s="217" t="s">
        <v>62</v>
      </c>
      <c r="F1764" s="217" t="s">
        <v>61</v>
      </c>
      <c r="G1764" s="217" t="s">
        <v>837</v>
      </c>
      <c r="H1764" s="217" t="s">
        <v>1376</v>
      </c>
      <c r="I1764" s="217" t="s">
        <v>659</v>
      </c>
      <c r="J1764" s="217" t="s">
        <v>1857</v>
      </c>
      <c r="K1764" s="217">
        <v>78</v>
      </c>
      <c r="L1764" s="217">
        <v>585</v>
      </c>
      <c r="M1764" s="217" t="s">
        <v>31</v>
      </c>
      <c r="N1764" s="217" t="s">
        <v>32</v>
      </c>
      <c r="O1764" s="217" t="s">
        <v>668</v>
      </c>
      <c r="P1764" s="217" t="s">
        <v>34</v>
      </c>
      <c r="Q1764" s="217" t="s">
        <v>35</v>
      </c>
      <c r="R1764" s="217" t="s">
        <v>23</v>
      </c>
      <c r="S1764" s="217" t="s">
        <v>22</v>
      </c>
      <c r="T1764" s="217" t="s">
        <v>47</v>
      </c>
      <c r="U1764" s="217" t="s">
        <v>48</v>
      </c>
      <c r="V1764" s="217" t="s">
        <v>32</v>
      </c>
      <c r="W1764" s="217" t="s">
        <v>32</v>
      </c>
    </row>
    <row r="1765" spans="1:23" x14ac:dyDescent="0.25">
      <c r="A1765" s="217" t="s">
        <v>22</v>
      </c>
      <c r="B1765" s="217" t="s">
        <v>23</v>
      </c>
      <c r="C1765" s="217" t="s">
        <v>48</v>
      </c>
      <c r="D1765" s="217" t="s">
        <v>47</v>
      </c>
      <c r="E1765" s="217" t="s">
        <v>62</v>
      </c>
      <c r="F1765" s="217" t="s">
        <v>61</v>
      </c>
      <c r="G1765" s="217" t="s">
        <v>837</v>
      </c>
      <c r="H1765" s="217" t="s">
        <v>1376</v>
      </c>
      <c r="I1765" s="217" t="s">
        <v>659</v>
      </c>
      <c r="J1765" s="217" t="s">
        <v>1858</v>
      </c>
      <c r="K1765" s="217">
        <v>31</v>
      </c>
      <c r="L1765" s="217">
        <v>190</v>
      </c>
      <c r="M1765" s="217" t="s">
        <v>31</v>
      </c>
      <c r="N1765" s="217" t="s">
        <v>32</v>
      </c>
      <c r="O1765" s="217" t="s">
        <v>668</v>
      </c>
      <c r="P1765" s="217" t="s">
        <v>34</v>
      </c>
      <c r="Q1765" s="217" t="s">
        <v>35</v>
      </c>
      <c r="R1765" s="217" t="s">
        <v>23</v>
      </c>
      <c r="S1765" s="217" t="s">
        <v>22</v>
      </c>
      <c r="T1765" s="217" t="s">
        <v>25</v>
      </c>
      <c r="U1765" s="217" t="s">
        <v>24</v>
      </c>
      <c r="V1765" s="217" t="s">
        <v>32</v>
      </c>
      <c r="W1765" s="217" t="s">
        <v>32</v>
      </c>
    </row>
    <row r="1766" spans="1:23" x14ac:dyDescent="0.25">
      <c r="A1766" s="217" t="s">
        <v>22</v>
      </c>
      <c r="B1766" s="217" t="s">
        <v>23</v>
      </c>
      <c r="C1766" s="217" t="s">
        <v>48</v>
      </c>
      <c r="D1766" s="217" t="s">
        <v>47</v>
      </c>
      <c r="E1766" s="217" t="s">
        <v>62</v>
      </c>
      <c r="F1766" s="217" t="s">
        <v>61</v>
      </c>
      <c r="G1766" s="217" t="s">
        <v>838</v>
      </c>
      <c r="H1766" s="217" t="s">
        <v>1586</v>
      </c>
      <c r="I1766" s="217" t="s">
        <v>659</v>
      </c>
      <c r="J1766" s="217" t="s">
        <v>1857</v>
      </c>
      <c r="K1766" s="217">
        <v>68</v>
      </c>
      <c r="L1766" s="217">
        <v>461</v>
      </c>
      <c r="M1766" s="217" t="s">
        <v>31</v>
      </c>
      <c r="N1766" s="217" t="s">
        <v>32</v>
      </c>
      <c r="O1766" s="217" t="s">
        <v>668</v>
      </c>
      <c r="P1766" s="217" t="s">
        <v>34</v>
      </c>
      <c r="Q1766" s="217" t="s">
        <v>35</v>
      </c>
      <c r="R1766" s="217" t="s">
        <v>23</v>
      </c>
      <c r="S1766" s="217" t="s">
        <v>22</v>
      </c>
      <c r="T1766" s="217" t="s">
        <v>47</v>
      </c>
      <c r="U1766" s="217" t="s">
        <v>48</v>
      </c>
      <c r="V1766" s="217" t="s">
        <v>32</v>
      </c>
      <c r="W1766" s="217" t="s">
        <v>32</v>
      </c>
    </row>
    <row r="1767" spans="1:23" x14ac:dyDescent="0.25">
      <c r="A1767" s="217" t="s">
        <v>22</v>
      </c>
      <c r="B1767" s="217" t="s">
        <v>23</v>
      </c>
      <c r="C1767" s="217" t="s">
        <v>48</v>
      </c>
      <c r="D1767" s="217" t="s">
        <v>47</v>
      </c>
      <c r="E1767" s="217" t="s">
        <v>62</v>
      </c>
      <c r="F1767" s="217" t="s">
        <v>61</v>
      </c>
      <c r="G1767" s="217" t="s">
        <v>838</v>
      </c>
      <c r="H1767" s="217" t="s">
        <v>1586</v>
      </c>
      <c r="I1767" s="217" t="s">
        <v>659</v>
      </c>
      <c r="J1767" s="217" t="s">
        <v>1858</v>
      </c>
      <c r="K1767" s="217">
        <v>175</v>
      </c>
      <c r="L1767" s="217">
        <v>1138</v>
      </c>
      <c r="M1767" s="217" t="s">
        <v>31</v>
      </c>
      <c r="N1767" s="217" t="s">
        <v>32</v>
      </c>
      <c r="O1767" s="217" t="s">
        <v>668</v>
      </c>
      <c r="P1767" s="217" t="s">
        <v>34</v>
      </c>
      <c r="Q1767" s="217" t="s">
        <v>35</v>
      </c>
      <c r="R1767" s="217" t="s">
        <v>23</v>
      </c>
      <c r="S1767" s="217" t="s">
        <v>22</v>
      </c>
      <c r="T1767" s="217" t="s">
        <v>47</v>
      </c>
      <c r="U1767" s="217" t="s">
        <v>48</v>
      </c>
      <c r="V1767" s="217" t="s">
        <v>32</v>
      </c>
      <c r="W1767" s="217" t="s">
        <v>32</v>
      </c>
    </row>
    <row r="1768" spans="1:23" x14ac:dyDescent="0.25">
      <c r="A1768" s="217" t="s">
        <v>22</v>
      </c>
      <c r="B1768" s="217" t="s">
        <v>23</v>
      </c>
      <c r="C1768" s="217" t="s">
        <v>48</v>
      </c>
      <c r="D1768" s="217" t="s">
        <v>47</v>
      </c>
      <c r="E1768" s="217" t="s">
        <v>62</v>
      </c>
      <c r="F1768" s="217" t="s">
        <v>61</v>
      </c>
      <c r="G1768" s="217" t="s">
        <v>838</v>
      </c>
      <c r="H1768" s="217" t="s">
        <v>1586</v>
      </c>
      <c r="I1768" s="217" t="s">
        <v>659</v>
      </c>
      <c r="J1768" s="217" t="s">
        <v>1859</v>
      </c>
      <c r="K1768" s="217">
        <v>18</v>
      </c>
      <c r="L1768" s="217">
        <v>139</v>
      </c>
      <c r="M1768" s="217" t="s">
        <v>31</v>
      </c>
      <c r="N1768" s="217" t="s">
        <v>32</v>
      </c>
      <c r="O1768" s="217" t="s">
        <v>668</v>
      </c>
      <c r="P1768" s="217" t="s">
        <v>34</v>
      </c>
      <c r="Q1768" s="217" t="s">
        <v>35</v>
      </c>
      <c r="R1768" s="217" t="s">
        <v>23</v>
      </c>
      <c r="S1768" s="217" t="s">
        <v>22</v>
      </c>
      <c r="T1768" s="217" t="s">
        <v>47</v>
      </c>
      <c r="U1768" s="217" t="s">
        <v>48</v>
      </c>
      <c r="V1768" s="217" t="s">
        <v>32</v>
      </c>
      <c r="W1768" s="217" t="s">
        <v>32</v>
      </c>
    </row>
    <row r="1769" spans="1:23" x14ac:dyDescent="0.25">
      <c r="A1769" s="217" t="s">
        <v>22</v>
      </c>
      <c r="B1769" s="217" t="s">
        <v>23</v>
      </c>
      <c r="C1769" s="217" t="s">
        <v>48</v>
      </c>
      <c r="D1769" s="217" t="s">
        <v>47</v>
      </c>
      <c r="E1769" s="217" t="s">
        <v>62</v>
      </c>
      <c r="F1769" s="217" t="s">
        <v>61</v>
      </c>
      <c r="G1769" s="217" t="s">
        <v>840</v>
      </c>
      <c r="H1769" s="217" t="s">
        <v>1378</v>
      </c>
      <c r="I1769" s="217" t="s">
        <v>659</v>
      </c>
      <c r="J1769" s="217" t="s">
        <v>1857</v>
      </c>
      <c r="K1769" s="217">
        <v>96</v>
      </c>
      <c r="L1769" s="217">
        <v>644</v>
      </c>
      <c r="M1769" s="217" t="s">
        <v>31</v>
      </c>
      <c r="N1769" s="217" t="s">
        <v>32</v>
      </c>
      <c r="O1769" s="217" t="s">
        <v>668</v>
      </c>
      <c r="P1769" s="217" t="s">
        <v>34</v>
      </c>
      <c r="Q1769" s="217" t="s">
        <v>35</v>
      </c>
      <c r="R1769" s="217" t="s">
        <v>23</v>
      </c>
      <c r="S1769" s="217" t="s">
        <v>22</v>
      </c>
      <c r="T1769" s="217" t="s">
        <v>47</v>
      </c>
      <c r="U1769" s="217" t="s">
        <v>48</v>
      </c>
      <c r="V1769" s="217" t="s">
        <v>32</v>
      </c>
      <c r="W1769" s="217" t="s">
        <v>32</v>
      </c>
    </row>
    <row r="1770" spans="1:23" x14ac:dyDescent="0.25">
      <c r="A1770" s="217" t="s">
        <v>22</v>
      </c>
      <c r="B1770" s="217" t="s">
        <v>23</v>
      </c>
      <c r="C1770" s="217" t="s">
        <v>48</v>
      </c>
      <c r="D1770" s="217" t="s">
        <v>47</v>
      </c>
      <c r="E1770" s="217" t="s">
        <v>62</v>
      </c>
      <c r="F1770" s="217" t="s">
        <v>61</v>
      </c>
      <c r="G1770" s="217" t="s">
        <v>840</v>
      </c>
      <c r="H1770" s="217" t="s">
        <v>1378</v>
      </c>
      <c r="I1770" s="217" t="s">
        <v>659</v>
      </c>
      <c r="J1770" s="217" t="s">
        <v>1858</v>
      </c>
      <c r="K1770" s="217">
        <v>38</v>
      </c>
      <c r="L1770" s="217">
        <v>257</v>
      </c>
      <c r="M1770" s="217" t="s">
        <v>31</v>
      </c>
      <c r="N1770" s="217" t="s">
        <v>32</v>
      </c>
      <c r="O1770" s="217" t="s">
        <v>668</v>
      </c>
      <c r="P1770" s="217" t="s">
        <v>34</v>
      </c>
      <c r="Q1770" s="217" t="s">
        <v>35</v>
      </c>
      <c r="R1770" s="217" t="s">
        <v>23</v>
      </c>
      <c r="S1770" s="217" t="s">
        <v>22</v>
      </c>
      <c r="T1770" s="217" t="s">
        <v>47</v>
      </c>
      <c r="U1770" s="217" t="s">
        <v>48</v>
      </c>
      <c r="V1770" s="217" t="s">
        <v>32</v>
      </c>
      <c r="W1770" s="217" t="s">
        <v>32</v>
      </c>
    </row>
    <row r="1771" spans="1:23" x14ac:dyDescent="0.25">
      <c r="A1771" s="217" t="s">
        <v>22</v>
      </c>
      <c r="B1771" s="217" t="s">
        <v>23</v>
      </c>
      <c r="C1771" s="217" t="s">
        <v>48</v>
      </c>
      <c r="D1771" s="217" t="s">
        <v>47</v>
      </c>
      <c r="E1771" s="217" t="s">
        <v>62</v>
      </c>
      <c r="F1771" s="217" t="s">
        <v>61</v>
      </c>
      <c r="G1771" s="217" t="s">
        <v>840</v>
      </c>
      <c r="H1771" s="217" t="s">
        <v>1378</v>
      </c>
      <c r="I1771" s="217" t="s">
        <v>659</v>
      </c>
      <c r="J1771" s="217" t="s">
        <v>1859</v>
      </c>
      <c r="K1771" s="217">
        <v>4</v>
      </c>
      <c r="L1771" s="217">
        <v>22</v>
      </c>
      <c r="M1771" s="217" t="s">
        <v>31</v>
      </c>
      <c r="N1771" s="217" t="s">
        <v>32</v>
      </c>
      <c r="O1771" s="217" t="s">
        <v>668</v>
      </c>
      <c r="P1771" s="217" t="s">
        <v>34</v>
      </c>
      <c r="Q1771" s="217" t="s">
        <v>35</v>
      </c>
      <c r="R1771" s="217" t="s">
        <v>23</v>
      </c>
      <c r="S1771" s="217" t="s">
        <v>22</v>
      </c>
      <c r="T1771" s="217" t="s">
        <v>47</v>
      </c>
      <c r="U1771" s="217" t="s">
        <v>48</v>
      </c>
      <c r="V1771" s="217" t="s">
        <v>32</v>
      </c>
      <c r="W1771" s="217" t="s">
        <v>32</v>
      </c>
    </row>
    <row r="1772" spans="1:23" x14ac:dyDescent="0.25">
      <c r="A1772" s="217" t="s">
        <v>22</v>
      </c>
      <c r="B1772" s="217" t="s">
        <v>23</v>
      </c>
      <c r="C1772" s="217" t="s">
        <v>48</v>
      </c>
      <c r="D1772" s="217" t="s">
        <v>47</v>
      </c>
      <c r="E1772" s="217" t="s">
        <v>62</v>
      </c>
      <c r="F1772" s="217" t="s">
        <v>61</v>
      </c>
      <c r="G1772" s="217" t="s">
        <v>841</v>
      </c>
      <c r="H1772" s="217" t="s">
        <v>1587</v>
      </c>
      <c r="I1772" s="217" t="s">
        <v>659</v>
      </c>
      <c r="J1772" s="217" t="s">
        <v>1857</v>
      </c>
      <c r="K1772" s="217">
        <v>28</v>
      </c>
      <c r="L1772" s="217">
        <v>151</v>
      </c>
      <c r="M1772" s="217" t="s">
        <v>31</v>
      </c>
      <c r="N1772" s="217" t="s">
        <v>32</v>
      </c>
      <c r="O1772" s="217" t="s">
        <v>668</v>
      </c>
      <c r="P1772" s="217" t="s">
        <v>34</v>
      </c>
      <c r="Q1772" s="217" t="s">
        <v>35</v>
      </c>
      <c r="R1772" s="217" t="s">
        <v>23</v>
      </c>
      <c r="S1772" s="217" t="s">
        <v>22</v>
      </c>
      <c r="T1772" s="217" t="s">
        <v>47</v>
      </c>
      <c r="U1772" s="217" t="s">
        <v>48</v>
      </c>
      <c r="V1772" s="217" t="s">
        <v>32</v>
      </c>
      <c r="W1772" s="217" t="s">
        <v>32</v>
      </c>
    </row>
    <row r="1773" spans="1:23" x14ac:dyDescent="0.25">
      <c r="A1773" s="217" t="s">
        <v>22</v>
      </c>
      <c r="B1773" s="217" t="s">
        <v>23</v>
      </c>
      <c r="C1773" s="217" t="s">
        <v>48</v>
      </c>
      <c r="D1773" s="217" t="s">
        <v>47</v>
      </c>
      <c r="E1773" s="217" t="s">
        <v>62</v>
      </c>
      <c r="F1773" s="217" t="s">
        <v>61</v>
      </c>
      <c r="G1773" s="217" t="s">
        <v>841</v>
      </c>
      <c r="H1773" s="217" t="s">
        <v>1587</v>
      </c>
      <c r="I1773" s="217" t="s">
        <v>659</v>
      </c>
      <c r="J1773" s="217" t="s">
        <v>1858</v>
      </c>
      <c r="K1773" s="217">
        <v>62</v>
      </c>
      <c r="L1773" s="217">
        <v>361</v>
      </c>
      <c r="M1773" s="217" t="s">
        <v>31</v>
      </c>
      <c r="N1773" s="217" t="s">
        <v>32</v>
      </c>
      <c r="O1773" s="217" t="s">
        <v>668</v>
      </c>
      <c r="P1773" s="217" t="s">
        <v>34</v>
      </c>
      <c r="Q1773" s="217" t="s">
        <v>35</v>
      </c>
      <c r="R1773" s="217" t="s">
        <v>23</v>
      </c>
      <c r="S1773" s="217" t="s">
        <v>22</v>
      </c>
      <c r="T1773" s="217" t="s">
        <v>47</v>
      </c>
      <c r="U1773" s="217" t="s">
        <v>48</v>
      </c>
      <c r="V1773" s="217" t="s">
        <v>32</v>
      </c>
      <c r="W1773" s="217" t="s">
        <v>32</v>
      </c>
    </row>
    <row r="1774" spans="1:23" x14ac:dyDescent="0.25">
      <c r="A1774" s="217" t="s">
        <v>22</v>
      </c>
      <c r="B1774" s="217" t="s">
        <v>23</v>
      </c>
      <c r="C1774" s="217" t="s">
        <v>37</v>
      </c>
      <c r="D1774" s="217" t="s">
        <v>36</v>
      </c>
      <c r="E1774" s="217" t="s">
        <v>236</v>
      </c>
      <c r="F1774" s="217" t="s">
        <v>235</v>
      </c>
      <c r="G1774" s="217" t="s">
        <v>237</v>
      </c>
      <c r="H1774" s="217" t="s">
        <v>1588</v>
      </c>
      <c r="I1774" s="217" t="s">
        <v>659</v>
      </c>
      <c r="J1774" s="217" t="s">
        <v>1855</v>
      </c>
      <c r="K1774" s="217">
        <v>9</v>
      </c>
      <c r="L1774" s="217">
        <v>50</v>
      </c>
      <c r="M1774" s="217" t="s">
        <v>31</v>
      </c>
      <c r="N1774" s="217" t="s">
        <v>32</v>
      </c>
      <c r="O1774" s="217" t="s">
        <v>141</v>
      </c>
      <c r="P1774" s="217" t="s">
        <v>142</v>
      </c>
      <c r="Q1774" s="217" t="s">
        <v>143</v>
      </c>
      <c r="R1774" s="217" t="s">
        <v>641</v>
      </c>
      <c r="S1774" s="217" t="s">
        <v>642</v>
      </c>
      <c r="T1774" s="217" t="s">
        <v>32</v>
      </c>
      <c r="U1774" s="217" t="s">
        <v>32</v>
      </c>
      <c r="V1774" s="217" t="s">
        <v>32</v>
      </c>
      <c r="W1774" s="217" t="s">
        <v>32</v>
      </c>
    </row>
    <row r="1775" spans="1:23" x14ac:dyDescent="0.25">
      <c r="A1775" s="217" t="s">
        <v>22</v>
      </c>
      <c r="B1775" s="217" t="s">
        <v>23</v>
      </c>
      <c r="C1775" s="217" t="s">
        <v>37</v>
      </c>
      <c r="D1775" s="217" t="s">
        <v>36</v>
      </c>
      <c r="E1775" s="217" t="s">
        <v>236</v>
      </c>
      <c r="F1775" s="217" t="s">
        <v>235</v>
      </c>
      <c r="G1775" s="217" t="s">
        <v>237</v>
      </c>
      <c r="H1775" s="217" t="s">
        <v>1588</v>
      </c>
      <c r="I1775" s="217" t="s">
        <v>659</v>
      </c>
      <c r="J1775" s="217" t="s">
        <v>1856</v>
      </c>
      <c r="K1775" s="217">
        <v>8</v>
      </c>
      <c r="L1775" s="217">
        <v>45</v>
      </c>
      <c r="M1775" s="217" t="s">
        <v>31</v>
      </c>
      <c r="N1775" s="217" t="s">
        <v>32</v>
      </c>
      <c r="O1775" s="217" t="s">
        <v>141</v>
      </c>
      <c r="P1775" s="217" t="s">
        <v>142</v>
      </c>
      <c r="Q1775" s="217" t="s">
        <v>143</v>
      </c>
      <c r="R1775" s="217" t="s">
        <v>641</v>
      </c>
      <c r="S1775" s="217" t="s">
        <v>642</v>
      </c>
      <c r="T1775" s="217" t="s">
        <v>32</v>
      </c>
      <c r="U1775" s="217" t="s">
        <v>32</v>
      </c>
      <c r="V1775" s="217" t="s">
        <v>32</v>
      </c>
      <c r="W1775" s="217" t="s">
        <v>32</v>
      </c>
    </row>
    <row r="1776" spans="1:23" x14ac:dyDescent="0.25">
      <c r="A1776" s="217" t="s">
        <v>22</v>
      </c>
      <c r="B1776" s="217" t="s">
        <v>23</v>
      </c>
      <c r="C1776" s="217" t="s">
        <v>37</v>
      </c>
      <c r="D1776" s="217" t="s">
        <v>36</v>
      </c>
      <c r="E1776" s="217" t="s">
        <v>236</v>
      </c>
      <c r="F1776" s="217" t="s">
        <v>235</v>
      </c>
      <c r="G1776" s="217" t="s">
        <v>241</v>
      </c>
      <c r="H1776" s="217" t="s">
        <v>1589</v>
      </c>
      <c r="I1776" s="217" t="s">
        <v>659</v>
      </c>
      <c r="J1776" s="217" t="s">
        <v>1856</v>
      </c>
      <c r="K1776" s="217">
        <v>94</v>
      </c>
      <c r="L1776" s="217">
        <v>470</v>
      </c>
      <c r="M1776" s="217" t="s">
        <v>31</v>
      </c>
      <c r="N1776" s="217" t="s">
        <v>32</v>
      </c>
      <c r="O1776" s="217" t="s">
        <v>141</v>
      </c>
      <c r="P1776" s="217" t="s">
        <v>142</v>
      </c>
      <c r="Q1776" s="217" t="s">
        <v>143</v>
      </c>
      <c r="R1776" s="217" t="s">
        <v>641</v>
      </c>
      <c r="S1776" s="217" t="s">
        <v>642</v>
      </c>
      <c r="T1776" s="217" t="s">
        <v>32</v>
      </c>
      <c r="U1776" s="217" t="s">
        <v>32</v>
      </c>
      <c r="V1776" s="217" t="s">
        <v>32</v>
      </c>
      <c r="W1776" s="217" t="s">
        <v>32</v>
      </c>
    </row>
    <row r="1777" spans="1:23" x14ac:dyDescent="0.25">
      <c r="A1777" s="217" t="s">
        <v>22</v>
      </c>
      <c r="B1777" s="217" t="s">
        <v>23</v>
      </c>
      <c r="C1777" s="217" t="s">
        <v>37</v>
      </c>
      <c r="D1777" s="217" t="s">
        <v>36</v>
      </c>
      <c r="E1777" s="217" t="s">
        <v>236</v>
      </c>
      <c r="F1777" s="217" t="s">
        <v>235</v>
      </c>
      <c r="G1777" s="217" t="s">
        <v>241</v>
      </c>
      <c r="H1777" s="217" t="s">
        <v>1589</v>
      </c>
      <c r="I1777" s="217" t="s">
        <v>659</v>
      </c>
      <c r="J1777" s="217" t="s">
        <v>1857</v>
      </c>
      <c r="K1777" s="217">
        <v>62</v>
      </c>
      <c r="L1777" s="217">
        <v>310</v>
      </c>
      <c r="M1777" s="217" t="s">
        <v>31</v>
      </c>
      <c r="N1777" s="217" t="s">
        <v>32</v>
      </c>
      <c r="O1777" s="217" t="s">
        <v>141</v>
      </c>
      <c r="P1777" s="217" t="s">
        <v>142</v>
      </c>
      <c r="Q1777" s="217" t="s">
        <v>143</v>
      </c>
      <c r="R1777" s="217" t="s">
        <v>641</v>
      </c>
      <c r="S1777" s="217" t="s">
        <v>642</v>
      </c>
      <c r="T1777" s="217" t="s">
        <v>32</v>
      </c>
      <c r="U1777" s="217" t="s">
        <v>32</v>
      </c>
      <c r="V1777" s="217" t="s">
        <v>32</v>
      </c>
      <c r="W1777" s="217" t="s">
        <v>32</v>
      </c>
    </row>
    <row r="1778" spans="1:23" x14ac:dyDescent="0.25">
      <c r="A1778" s="217" t="s">
        <v>22</v>
      </c>
      <c r="B1778" s="217" t="s">
        <v>23</v>
      </c>
      <c r="C1778" s="217" t="s">
        <v>37</v>
      </c>
      <c r="D1778" s="217" t="s">
        <v>36</v>
      </c>
      <c r="E1778" s="217" t="s">
        <v>236</v>
      </c>
      <c r="F1778" s="217" t="s">
        <v>235</v>
      </c>
      <c r="G1778" s="217" t="s">
        <v>242</v>
      </c>
      <c r="H1778" s="217" t="s">
        <v>1404</v>
      </c>
      <c r="I1778" s="217" t="s">
        <v>659</v>
      </c>
      <c r="J1778" s="217" t="s">
        <v>1856</v>
      </c>
      <c r="K1778" s="217">
        <v>2</v>
      </c>
      <c r="L1778" s="217">
        <v>9</v>
      </c>
      <c r="M1778" s="217" t="s">
        <v>31</v>
      </c>
      <c r="N1778" s="217" t="s">
        <v>32</v>
      </c>
      <c r="O1778" s="217" t="s">
        <v>668</v>
      </c>
      <c r="P1778" s="217" t="s">
        <v>34</v>
      </c>
      <c r="Q1778" s="217" t="s">
        <v>35</v>
      </c>
      <c r="R1778" s="217" t="s">
        <v>199</v>
      </c>
      <c r="S1778" s="217" t="s">
        <v>200</v>
      </c>
      <c r="T1778" s="217" t="s">
        <v>1848</v>
      </c>
      <c r="U1778" s="217" t="s">
        <v>1849</v>
      </c>
      <c r="V1778" s="217" t="s">
        <v>32</v>
      </c>
      <c r="W1778" s="217" t="s">
        <v>32</v>
      </c>
    </row>
    <row r="1779" spans="1:23" x14ac:dyDescent="0.25">
      <c r="A1779" s="217" t="s">
        <v>22</v>
      </c>
      <c r="B1779" s="217" t="s">
        <v>23</v>
      </c>
      <c r="C1779" s="217" t="s">
        <v>37</v>
      </c>
      <c r="D1779" s="217" t="s">
        <v>36</v>
      </c>
      <c r="E1779" s="217" t="s">
        <v>236</v>
      </c>
      <c r="F1779" s="217" t="s">
        <v>235</v>
      </c>
      <c r="G1779" s="217" t="s">
        <v>242</v>
      </c>
      <c r="H1779" s="217" t="s">
        <v>1404</v>
      </c>
      <c r="I1779" s="217" t="s">
        <v>659</v>
      </c>
      <c r="J1779" s="217" t="s">
        <v>1855</v>
      </c>
      <c r="K1779" s="217">
        <v>4</v>
      </c>
      <c r="L1779" s="217">
        <v>18</v>
      </c>
      <c r="M1779" s="217" t="s">
        <v>31</v>
      </c>
      <c r="N1779" s="217" t="s">
        <v>32</v>
      </c>
      <c r="O1779" s="217" t="s">
        <v>668</v>
      </c>
      <c r="P1779" s="217" t="s">
        <v>34</v>
      </c>
      <c r="Q1779" s="217" t="s">
        <v>35</v>
      </c>
      <c r="R1779" s="217" t="s">
        <v>23</v>
      </c>
      <c r="S1779" s="217" t="s">
        <v>22</v>
      </c>
      <c r="T1779" s="217" t="s">
        <v>36</v>
      </c>
      <c r="U1779" s="217" t="s">
        <v>37</v>
      </c>
      <c r="V1779" s="217" t="s">
        <v>32</v>
      </c>
      <c r="W1779" s="217" t="s">
        <v>32</v>
      </c>
    </row>
    <row r="1780" spans="1:23" x14ac:dyDescent="0.25">
      <c r="A1780" s="217" t="s">
        <v>22</v>
      </c>
      <c r="B1780" s="217" t="s">
        <v>23</v>
      </c>
      <c r="C1780" s="217" t="s">
        <v>37</v>
      </c>
      <c r="D1780" s="217" t="s">
        <v>36</v>
      </c>
      <c r="E1780" s="217" t="s">
        <v>236</v>
      </c>
      <c r="F1780" s="217" t="s">
        <v>235</v>
      </c>
      <c r="G1780" s="217" t="s">
        <v>242</v>
      </c>
      <c r="H1780" s="217" t="s">
        <v>1404</v>
      </c>
      <c r="I1780" s="217" t="s">
        <v>659</v>
      </c>
      <c r="J1780" s="217" t="s">
        <v>1857</v>
      </c>
      <c r="K1780" s="217">
        <v>115</v>
      </c>
      <c r="L1780" s="217">
        <v>589</v>
      </c>
      <c r="M1780" s="217" t="s">
        <v>31</v>
      </c>
      <c r="N1780" s="217" t="s">
        <v>32</v>
      </c>
      <c r="O1780" s="217" t="s">
        <v>141</v>
      </c>
      <c r="P1780" s="217" t="s">
        <v>142</v>
      </c>
      <c r="Q1780" s="217" t="s">
        <v>143</v>
      </c>
      <c r="R1780" s="217" t="s">
        <v>641</v>
      </c>
      <c r="S1780" s="217" t="s">
        <v>642</v>
      </c>
      <c r="T1780" s="217" t="s">
        <v>32</v>
      </c>
      <c r="U1780" s="217" t="s">
        <v>32</v>
      </c>
      <c r="V1780" s="217" t="s">
        <v>32</v>
      </c>
      <c r="W1780" s="217" t="s">
        <v>32</v>
      </c>
    </row>
    <row r="1781" spans="1:23" x14ac:dyDescent="0.25">
      <c r="A1781" s="217" t="s">
        <v>22</v>
      </c>
      <c r="B1781" s="217" t="s">
        <v>23</v>
      </c>
      <c r="C1781" s="217" t="s">
        <v>37</v>
      </c>
      <c r="D1781" s="217" t="s">
        <v>36</v>
      </c>
      <c r="E1781" s="217" t="s">
        <v>236</v>
      </c>
      <c r="F1781" s="217" t="s">
        <v>235</v>
      </c>
      <c r="G1781" s="217" t="s">
        <v>643</v>
      </c>
      <c r="H1781" s="217" t="s">
        <v>1536</v>
      </c>
      <c r="I1781" s="217" t="s">
        <v>659</v>
      </c>
      <c r="J1781" s="217" t="s">
        <v>1855</v>
      </c>
      <c r="K1781" s="217">
        <v>10</v>
      </c>
      <c r="L1781" s="217">
        <v>50</v>
      </c>
      <c r="M1781" s="217" t="s">
        <v>31</v>
      </c>
      <c r="N1781" s="217" t="s">
        <v>32</v>
      </c>
      <c r="O1781" s="217" t="s">
        <v>141</v>
      </c>
      <c r="P1781" s="217" t="s">
        <v>142</v>
      </c>
      <c r="Q1781" s="217" t="s">
        <v>143</v>
      </c>
      <c r="R1781" s="217" t="s">
        <v>641</v>
      </c>
      <c r="S1781" s="217" t="s">
        <v>642</v>
      </c>
      <c r="T1781" s="217" t="s">
        <v>32</v>
      </c>
      <c r="U1781" s="217" t="s">
        <v>32</v>
      </c>
      <c r="V1781" s="217" t="s">
        <v>32</v>
      </c>
      <c r="W1781" s="217" t="s">
        <v>32</v>
      </c>
    </row>
    <row r="1782" spans="1:23" x14ac:dyDescent="0.25">
      <c r="A1782" s="217" t="s">
        <v>22</v>
      </c>
      <c r="B1782" s="217" t="s">
        <v>23</v>
      </c>
      <c r="C1782" s="217" t="s">
        <v>37</v>
      </c>
      <c r="D1782" s="217" t="s">
        <v>36</v>
      </c>
      <c r="E1782" s="217" t="s">
        <v>236</v>
      </c>
      <c r="F1782" s="217" t="s">
        <v>235</v>
      </c>
      <c r="G1782" s="217" t="s">
        <v>643</v>
      </c>
      <c r="H1782" s="217" t="s">
        <v>1536</v>
      </c>
      <c r="I1782" s="217" t="s">
        <v>659</v>
      </c>
      <c r="J1782" s="217" t="s">
        <v>1856</v>
      </c>
      <c r="K1782" s="217">
        <v>4</v>
      </c>
      <c r="L1782" s="217">
        <v>25</v>
      </c>
      <c r="M1782" s="217" t="s">
        <v>31</v>
      </c>
      <c r="N1782" s="217" t="s">
        <v>32</v>
      </c>
      <c r="O1782" s="217" t="s">
        <v>141</v>
      </c>
      <c r="P1782" s="217" t="s">
        <v>142</v>
      </c>
      <c r="Q1782" s="217" t="s">
        <v>143</v>
      </c>
      <c r="R1782" s="217" t="s">
        <v>641</v>
      </c>
      <c r="S1782" s="217" t="s">
        <v>642</v>
      </c>
      <c r="T1782" s="217" t="s">
        <v>32</v>
      </c>
      <c r="U1782" s="217" t="s">
        <v>32</v>
      </c>
      <c r="V1782" s="217" t="s">
        <v>32</v>
      </c>
      <c r="W1782" s="217" t="s">
        <v>32</v>
      </c>
    </row>
    <row r="1783" spans="1:23" x14ac:dyDescent="0.25">
      <c r="A1783" s="217" t="s">
        <v>22</v>
      </c>
      <c r="B1783" s="217" t="s">
        <v>23</v>
      </c>
      <c r="C1783" s="217" t="s">
        <v>37</v>
      </c>
      <c r="D1783" s="217" t="s">
        <v>36</v>
      </c>
      <c r="E1783" s="217" t="s">
        <v>540</v>
      </c>
      <c r="F1783" s="217" t="s">
        <v>541</v>
      </c>
      <c r="G1783" s="217" t="s">
        <v>542</v>
      </c>
      <c r="H1783" s="217" t="s">
        <v>1405</v>
      </c>
      <c r="I1783" s="217" t="s">
        <v>659</v>
      </c>
      <c r="J1783" s="217" t="s">
        <v>1856</v>
      </c>
      <c r="K1783" s="217">
        <v>2</v>
      </c>
      <c r="L1783" s="217">
        <v>16</v>
      </c>
      <c r="M1783" s="217" t="s">
        <v>31</v>
      </c>
      <c r="N1783" s="217" t="s">
        <v>32</v>
      </c>
      <c r="O1783" s="217" t="s">
        <v>668</v>
      </c>
      <c r="P1783" s="217" t="s">
        <v>34</v>
      </c>
      <c r="Q1783" s="217" t="s">
        <v>35</v>
      </c>
      <c r="R1783" s="217" t="s">
        <v>23</v>
      </c>
      <c r="S1783" s="217" t="s">
        <v>22</v>
      </c>
      <c r="T1783" s="217" t="s">
        <v>47</v>
      </c>
      <c r="U1783" s="217" t="s">
        <v>48</v>
      </c>
      <c r="V1783" s="217" t="s">
        <v>32</v>
      </c>
      <c r="W1783" s="217" t="s">
        <v>32</v>
      </c>
    </row>
    <row r="1784" spans="1:23" x14ac:dyDescent="0.25">
      <c r="A1784" s="217" t="s">
        <v>22</v>
      </c>
      <c r="B1784" s="217" t="s">
        <v>23</v>
      </c>
      <c r="C1784" s="217" t="s">
        <v>37</v>
      </c>
      <c r="D1784" s="217" t="s">
        <v>36</v>
      </c>
      <c r="E1784" s="217" t="s">
        <v>540</v>
      </c>
      <c r="F1784" s="217" t="s">
        <v>541</v>
      </c>
      <c r="G1784" s="217" t="s">
        <v>542</v>
      </c>
      <c r="H1784" s="217" t="s">
        <v>1405</v>
      </c>
      <c r="I1784" s="217" t="s">
        <v>659</v>
      </c>
      <c r="J1784" s="217" t="s">
        <v>1855</v>
      </c>
      <c r="K1784" s="217">
        <v>3</v>
      </c>
      <c r="L1784" s="217">
        <v>19</v>
      </c>
      <c r="M1784" s="217" t="s">
        <v>31</v>
      </c>
      <c r="N1784" s="217" t="s">
        <v>32</v>
      </c>
      <c r="O1784" s="217" t="s">
        <v>141</v>
      </c>
      <c r="P1784" s="217" t="s">
        <v>142</v>
      </c>
      <c r="Q1784" s="217" t="s">
        <v>143</v>
      </c>
      <c r="R1784" s="217" t="s">
        <v>1850</v>
      </c>
      <c r="S1784" s="217" t="s">
        <v>1851</v>
      </c>
      <c r="T1784" s="217" t="s">
        <v>32</v>
      </c>
      <c r="U1784" s="217" t="s">
        <v>32</v>
      </c>
      <c r="V1784" s="217" t="s">
        <v>32</v>
      </c>
      <c r="W1784" s="217" t="s">
        <v>32</v>
      </c>
    </row>
    <row r="1785" spans="1:23" x14ac:dyDescent="0.25">
      <c r="A1785" s="217" t="s">
        <v>22</v>
      </c>
      <c r="B1785" s="217" t="s">
        <v>23</v>
      </c>
      <c r="C1785" s="217" t="s">
        <v>37</v>
      </c>
      <c r="D1785" s="217" t="s">
        <v>36</v>
      </c>
      <c r="E1785" s="217" t="s">
        <v>540</v>
      </c>
      <c r="F1785" s="217" t="s">
        <v>541</v>
      </c>
      <c r="G1785" s="217" t="s">
        <v>543</v>
      </c>
      <c r="H1785" s="217" t="s">
        <v>1406</v>
      </c>
      <c r="I1785" s="217" t="s">
        <v>659</v>
      </c>
      <c r="J1785" s="217" t="s">
        <v>1857</v>
      </c>
      <c r="K1785" s="217">
        <v>6</v>
      </c>
      <c r="L1785" s="217">
        <v>35</v>
      </c>
      <c r="M1785" s="217" t="s">
        <v>31</v>
      </c>
      <c r="N1785" s="217" t="s">
        <v>32</v>
      </c>
      <c r="O1785" s="217" t="s">
        <v>668</v>
      </c>
      <c r="P1785" s="217" t="s">
        <v>34</v>
      </c>
      <c r="Q1785" s="217" t="s">
        <v>35</v>
      </c>
      <c r="R1785" s="217" t="s">
        <v>23</v>
      </c>
      <c r="S1785" s="217" t="s">
        <v>22</v>
      </c>
      <c r="T1785" s="217" t="s">
        <v>47</v>
      </c>
      <c r="U1785" s="217" t="s">
        <v>48</v>
      </c>
      <c r="V1785" s="217" t="s">
        <v>32</v>
      </c>
      <c r="W1785" s="217" t="s">
        <v>32</v>
      </c>
    </row>
    <row r="1786" spans="1:23" x14ac:dyDescent="0.25">
      <c r="A1786" s="217" t="s">
        <v>22</v>
      </c>
      <c r="B1786" s="217" t="s">
        <v>23</v>
      </c>
      <c r="C1786" s="217" t="s">
        <v>37</v>
      </c>
      <c r="D1786" s="217" t="s">
        <v>36</v>
      </c>
      <c r="E1786" s="217" t="s">
        <v>540</v>
      </c>
      <c r="F1786" s="217" t="s">
        <v>541</v>
      </c>
      <c r="G1786" s="217" t="s">
        <v>543</v>
      </c>
      <c r="H1786" s="217" t="s">
        <v>1406</v>
      </c>
      <c r="I1786" s="217" t="s">
        <v>659</v>
      </c>
      <c r="J1786" s="217" t="s">
        <v>1856</v>
      </c>
      <c r="K1786" s="217">
        <v>2</v>
      </c>
      <c r="L1786" s="217">
        <v>15</v>
      </c>
      <c r="M1786" s="217" t="s">
        <v>31</v>
      </c>
      <c r="N1786" s="217" t="s">
        <v>32</v>
      </c>
      <c r="O1786" s="217" t="s">
        <v>141</v>
      </c>
      <c r="P1786" s="217" t="s">
        <v>142</v>
      </c>
      <c r="Q1786" s="217" t="s">
        <v>143</v>
      </c>
      <c r="R1786" s="217" t="s">
        <v>1850</v>
      </c>
      <c r="S1786" s="217" t="s">
        <v>1851</v>
      </c>
      <c r="T1786" s="217" t="s">
        <v>32</v>
      </c>
      <c r="U1786" s="217" t="s">
        <v>32</v>
      </c>
      <c r="V1786" s="217" t="s">
        <v>32</v>
      </c>
      <c r="W1786" s="217" t="s">
        <v>32</v>
      </c>
    </row>
    <row r="1787" spans="1:23" x14ac:dyDescent="0.25">
      <c r="A1787" s="217" t="s">
        <v>22</v>
      </c>
      <c r="B1787" s="217" t="s">
        <v>23</v>
      </c>
      <c r="C1787" s="217" t="s">
        <v>37</v>
      </c>
      <c r="D1787" s="217" t="s">
        <v>36</v>
      </c>
      <c r="E1787" s="217" t="s">
        <v>540</v>
      </c>
      <c r="F1787" s="217" t="s">
        <v>541</v>
      </c>
      <c r="G1787" s="217" t="s">
        <v>543</v>
      </c>
      <c r="H1787" s="217" t="s">
        <v>1406</v>
      </c>
      <c r="I1787" s="217" t="s">
        <v>659</v>
      </c>
      <c r="J1787" s="217" t="s">
        <v>1855</v>
      </c>
      <c r="K1787" s="217">
        <v>3</v>
      </c>
      <c r="L1787" s="217">
        <v>15</v>
      </c>
      <c r="M1787" s="217" t="s">
        <v>31</v>
      </c>
      <c r="N1787" s="217" t="s">
        <v>32</v>
      </c>
      <c r="O1787" s="217" t="s">
        <v>141</v>
      </c>
      <c r="P1787" s="217" t="s">
        <v>142</v>
      </c>
      <c r="Q1787" s="217" t="s">
        <v>143</v>
      </c>
      <c r="R1787" s="217" t="s">
        <v>1540</v>
      </c>
      <c r="S1787" s="217" t="s">
        <v>1541</v>
      </c>
      <c r="T1787" s="217" t="s">
        <v>32</v>
      </c>
      <c r="U1787" s="217" t="s">
        <v>32</v>
      </c>
      <c r="V1787" s="217" t="s">
        <v>32</v>
      </c>
      <c r="W1787" s="217" t="s">
        <v>32</v>
      </c>
    </row>
    <row r="1788" spans="1:23" x14ac:dyDescent="0.25">
      <c r="A1788" s="217" t="s">
        <v>22</v>
      </c>
      <c r="B1788" s="217" t="s">
        <v>23</v>
      </c>
      <c r="C1788" s="217" t="s">
        <v>37</v>
      </c>
      <c r="D1788" s="217" t="s">
        <v>36</v>
      </c>
      <c r="E1788" s="217" t="s">
        <v>540</v>
      </c>
      <c r="F1788" s="217" t="s">
        <v>541</v>
      </c>
      <c r="G1788" s="217" t="s">
        <v>544</v>
      </c>
      <c r="H1788" s="217" t="s">
        <v>1407</v>
      </c>
      <c r="I1788" s="217" t="s">
        <v>659</v>
      </c>
      <c r="J1788" s="217" t="s">
        <v>1855</v>
      </c>
      <c r="K1788" s="217">
        <v>5</v>
      </c>
      <c r="L1788" s="217">
        <v>35</v>
      </c>
      <c r="M1788" s="217" t="s">
        <v>31</v>
      </c>
      <c r="N1788" s="217" t="s">
        <v>32</v>
      </c>
      <c r="O1788" s="217" t="s">
        <v>141</v>
      </c>
      <c r="P1788" s="217" t="s">
        <v>142</v>
      </c>
      <c r="Q1788" s="217" t="s">
        <v>143</v>
      </c>
      <c r="R1788" s="217" t="s">
        <v>2067</v>
      </c>
      <c r="S1788" s="217" t="s">
        <v>2068</v>
      </c>
      <c r="T1788" s="217" t="s">
        <v>32</v>
      </c>
      <c r="U1788" s="217" t="s">
        <v>32</v>
      </c>
      <c r="V1788" s="217" t="s">
        <v>32</v>
      </c>
      <c r="W1788" s="217" t="s">
        <v>32</v>
      </c>
    </row>
    <row r="1789" spans="1:23" x14ac:dyDescent="0.25">
      <c r="A1789" s="217" t="s">
        <v>22</v>
      </c>
      <c r="B1789" s="217" t="s">
        <v>23</v>
      </c>
      <c r="C1789" s="217" t="s">
        <v>37</v>
      </c>
      <c r="D1789" s="217" t="s">
        <v>36</v>
      </c>
      <c r="E1789" s="217" t="s">
        <v>540</v>
      </c>
      <c r="F1789" s="217" t="s">
        <v>541</v>
      </c>
      <c r="G1789" s="217" t="s">
        <v>545</v>
      </c>
      <c r="H1789" s="217" t="s">
        <v>1408</v>
      </c>
      <c r="I1789" s="217" t="s">
        <v>659</v>
      </c>
      <c r="J1789" s="217" t="s">
        <v>1855</v>
      </c>
      <c r="K1789" s="217">
        <v>4</v>
      </c>
      <c r="L1789" s="217">
        <v>30</v>
      </c>
      <c r="M1789" s="217" t="s">
        <v>31</v>
      </c>
      <c r="N1789" s="217" t="s">
        <v>32</v>
      </c>
      <c r="O1789" s="217" t="s">
        <v>668</v>
      </c>
      <c r="P1789" s="217" t="s">
        <v>34</v>
      </c>
      <c r="Q1789" s="217" t="s">
        <v>35</v>
      </c>
      <c r="R1789" s="217" t="s">
        <v>23</v>
      </c>
      <c r="S1789" s="217" t="s">
        <v>22</v>
      </c>
      <c r="T1789" s="217" t="s">
        <v>36</v>
      </c>
      <c r="U1789" s="217" t="s">
        <v>37</v>
      </c>
      <c r="V1789" s="217" t="s">
        <v>32</v>
      </c>
      <c r="W1789" s="217" t="s">
        <v>32</v>
      </c>
    </row>
    <row r="1790" spans="1:23" x14ac:dyDescent="0.25">
      <c r="A1790" s="217" t="s">
        <v>22</v>
      </c>
      <c r="B1790" s="217" t="s">
        <v>23</v>
      </c>
      <c r="C1790" s="217" t="s">
        <v>37</v>
      </c>
      <c r="D1790" s="217" t="s">
        <v>36</v>
      </c>
      <c r="E1790" s="217" t="s">
        <v>540</v>
      </c>
      <c r="F1790" s="217" t="s">
        <v>541</v>
      </c>
      <c r="G1790" s="217" t="s">
        <v>545</v>
      </c>
      <c r="H1790" s="217" t="s">
        <v>1408</v>
      </c>
      <c r="I1790" s="217" t="s">
        <v>659</v>
      </c>
      <c r="J1790" s="217" t="s">
        <v>1856</v>
      </c>
      <c r="K1790" s="217">
        <v>6</v>
      </c>
      <c r="L1790" s="217">
        <v>43</v>
      </c>
      <c r="M1790" s="217" t="s">
        <v>31</v>
      </c>
      <c r="N1790" s="217" t="s">
        <v>32</v>
      </c>
      <c r="O1790" s="217" t="s">
        <v>668</v>
      </c>
      <c r="P1790" s="217" t="s">
        <v>34</v>
      </c>
      <c r="Q1790" s="217" t="s">
        <v>35</v>
      </c>
      <c r="R1790" s="217" t="s">
        <v>23</v>
      </c>
      <c r="S1790" s="217" t="s">
        <v>22</v>
      </c>
      <c r="T1790" s="217" t="s">
        <v>36</v>
      </c>
      <c r="U1790" s="217" t="s">
        <v>37</v>
      </c>
      <c r="V1790" s="217" t="s">
        <v>32</v>
      </c>
      <c r="W1790" s="217" t="s">
        <v>32</v>
      </c>
    </row>
    <row r="1791" spans="1:23" x14ac:dyDescent="0.25">
      <c r="A1791" s="217" t="s">
        <v>22</v>
      </c>
      <c r="B1791" s="217" t="s">
        <v>23</v>
      </c>
      <c r="C1791" s="217" t="s">
        <v>37</v>
      </c>
      <c r="D1791" s="217" t="s">
        <v>36</v>
      </c>
      <c r="E1791" s="217" t="s">
        <v>540</v>
      </c>
      <c r="F1791" s="217" t="s">
        <v>541</v>
      </c>
      <c r="G1791" s="217" t="s">
        <v>545</v>
      </c>
      <c r="H1791" s="217" t="s">
        <v>1408</v>
      </c>
      <c r="I1791" s="217" t="s">
        <v>659</v>
      </c>
      <c r="J1791" s="217" t="s">
        <v>1857</v>
      </c>
      <c r="K1791" s="217">
        <v>1</v>
      </c>
      <c r="L1791" s="217">
        <v>5</v>
      </c>
      <c r="M1791" s="217" t="s">
        <v>31</v>
      </c>
      <c r="N1791" s="217" t="s">
        <v>32</v>
      </c>
      <c r="O1791" s="217" t="s">
        <v>668</v>
      </c>
      <c r="P1791" s="217" t="s">
        <v>34</v>
      </c>
      <c r="Q1791" s="217" t="s">
        <v>35</v>
      </c>
      <c r="R1791" s="217" t="s">
        <v>23</v>
      </c>
      <c r="S1791" s="217" t="s">
        <v>22</v>
      </c>
      <c r="T1791" s="217" t="s">
        <v>47</v>
      </c>
      <c r="U1791" s="217" t="s">
        <v>48</v>
      </c>
      <c r="V1791" s="217" t="s">
        <v>32</v>
      </c>
      <c r="W1791" s="217" t="s">
        <v>32</v>
      </c>
    </row>
    <row r="1792" spans="1:23" x14ac:dyDescent="0.25">
      <c r="A1792" s="217" t="s">
        <v>22</v>
      </c>
      <c r="B1792" s="217" t="s">
        <v>23</v>
      </c>
      <c r="C1792" s="217" t="s">
        <v>37</v>
      </c>
      <c r="D1792" s="217" t="s">
        <v>36</v>
      </c>
      <c r="E1792" s="217" t="s">
        <v>540</v>
      </c>
      <c r="F1792" s="217" t="s">
        <v>541</v>
      </c>
      <c r="G1792" s="217" t="s">
        <v>545</v>
      </c>
      <c r="H1792" s="217" t="s">
        <v>1408</v>
      </c>
      <c r="I1792" s="217" t="s">
        <v>659</v>
      </c>
      <c r="J1792" s="217" t="s">
        <v>1858</v>
      </c>
      <c r="K1792" s="217">
        <v>1</v>
      </c>
      <c r="L1792" s="217">
        <v>2</v>
      </c>
      <c r="M1792" s="217" t="s">
        <v>31</v>
      </c>
      <c r="N1792" s="217" t="s">
        <v>32</v>
      </c>
      <c r="O1792" s="217" t="s">
        <v>668</v>
      </c>
      <c r="P1792" s="217" t="s">
        <v>34</v>
      </c>
      <c r="Q1792" s="217" t="s">
        <v>35</v>
      </c>
      <c r="R1792" s="217" t="s">
        <v>23</v>
      </c>
      <c r="S1792" s="217" t="s">
        <v>22</v>
      </c>
      <c r="T1792" s="217" t="s">
        <v>47</v>
      </c>
      <c r="U1792" s="217" t="s">
        <v>48</v>
      </c>
      <c r="V1792" s="217" t="s">
        <v>32</v>
      </c>
      <c r="W1792" s="217" t="s">
        <v>32</v>
      </c>
    </row>
    <row r="1793" spans="1:23" x14ac:dyDescent="0.25">
      <c r="A1793" s="217" t="s">
        <v>22</v>
      </c>
      <c r="B1793" s="217" t="s">
        <v>23</v>
      </c>
      <c r="C1793" s="217" t="s">
        <v>37</v>
      </c>
      <c r="D1793" s="217" t="s">
        <v>36</v>
      </c>
      <c r="E1793" s="217" t="s">
        <v>540</v>
      </c>
      <c r="F1793" s="217" t="s">
        <v>541</v>
      </c>
      <c r="G1793" s="217" t="s">
        <v>285</v>
      </c>
      <c r="H1793" s="217" t="s">
        <v>1409</v>
      </c>
      <c r="I1793" s="217" t="s">
        <v>659</v>
      </c>
      <c r="J1793" s="217" t="s">
        <v>1858</v>
      </c>
      <c r="K1793" s="217">
        <v>1</v>
      </c>
      <c r="L1793" s="217">
        <v>3</v>
      </c>
      <c r="M1793" s="217" t="s">
        <v>31</v>
      </c>
      <c r="N1793" s="217" t="s">
        <v>32</v>
      </c>
      <c r="O1793" s="217" t="s">
        <v>141</v>
      </c>
      <c r="P1793" s="217" t="s">
        <v>142</v>
      </c>
      <c r="Q1793" s="217" t="s">
        <v>143</v>
      </c>
      <c r="R1793" s="217" t="s">
        <v>1540</v>
      </c>
      <c r="S1793" s="217" t="s">
        <v>1541</v>
      </c>
      <c r="T1793" s="217" t="s">
        <v>32</v>
      </c>
      <c r="U1793" s="217" t="s">
        <v>32</v>
      </c>
      <c r="V1793" s="217" t="s">
        <v>32</v>
      </c>
      <c r="W1793" s="217" t="s">
        <v>32</v>
      </c>
    </row>
    <row r="1794" spans="1:23" x14ac:dyDescent="0.25">
      <c r="A1794" s="217" t="s">
        <v>22</v>
      </c>
      <c r="B1794" s="217" t="s">
        <v>23</v>
      </c>
      <c r="C1794" s="217" t="s">
        <v>37</v>
      </c>
      <c r="D1794" s="217" t="s">
        <v>36</v>
      </c>
      <c r="E1794" s="217" t="s">
        <v>540</v>
      </c>
      <c r="F1794" s="217" t="s">
        <v>541</v>
      </c>
      <c r="G1794" s="217" t="s">
        <v>546</v>
      </c>
      <c r="H1794" s="217" t="s">
        <v>1410</v>
      </c>
      <c r="I1794" s="217" t="s">
        <v>659</v>
      </c>
      <c r="J1794" s="217" t="s">
        <v>1856</v>
      </c>
      <c r="K1794" s="217">
        <v>4</v>
      </c>
      <c r="L1794" s="217">
        <v>22</v>
      </c>
      <c r="M1794" s="217" t="s">
        <v>31</v>
      </c>
      <c r="N1794" s="217" t="s">
        <v>32</v>
      </c>
      <c r="O1794" s="217" t="s">
        <v>668</v>
      </c>
      <c r="P1794" s="217" t="s">
        <v>34</v>
      </c>
      <c r="Q1794" s="217" t="s">
        <v>35</v>
      </c>
      <c r="R1794" s="217" t="s">
        <v>23</v>
      </c>
      <c r="S1794" s="217" t="s">
        <v>22</v>
      </c>
      <c r="T1794" s="217" t="s">
        <v>36</v>
      </c>
      <c r="U1794" s="217" t="s">
        <v>37</v>
      </c>
      <c r="V1794" s="217" t="s">
        <v>32</v>
      </c>
      <c r="W1794" s="217" t="s">
        <v>32</v>
      </c>
    </row>
    <row r="1795" spans="1:23" x14ac:dyDescent="0.25">
      <c r="A1795" s="217" t="s">
        <v>22</v>
      </c>
      <c r="B1795" s="217" t="s">
        <v>23</v>
      </c>
      <c r="C1795" s="217" t="s">
        <v>37</v>
      </c>
      <c r="D1795" s="217" t="s">
        <v>36</v>
      </c>
      <c r="E1795" s="217" t="s">
        <v>540</v>
      </c>
      <c r="F1795" s="217" t="s">
        <v>541</v>
      </c>
      <c r="G1795" s="217" t="s">
        <v>546</v>
      </c>
      <c r="H1795" s="217" t="s">
        <v>1410</v>
      </c>
      <c r="I1795" s="217" t="s">
        <v>659</v>
      </c>
      <c r="J1795" s="217" t="s">
        <v>1857</v>
      </c>
      <c r="K1795" s="217">
        <v>2</v>
      </c>
      <c r="L1795" s="217">
        <v>13</v>
      </c>
      <c r="M1795" s="217" t="s">
        <v>31</v>
      </c>
      <c r="N1795" s="217" t="s">
        <v>32</v>
      </c>
      <c r="O1795" s="217" t="s">
        <v>668</v>
      </c>
      <c r="P1795" s="217" t="s">
        <v>34</v>
      </c>
      <c r="Q1795" s="217" t="s">
        <v>35</v>
      </c>
      <c r="R1795" s="217" t="s">
        <v>23</v>
      </c>
      <c r="S1795" s="217" t="s">
        <v>22</v>
      </c>
      <c r="T1795" s="217" t="s">
        <v>47</v>
      </c>
      <c r="U1795" s="217" t="s">
        <v>48</v>
      </c>
      <c r="V1795" s="217" t="s">
        <v>32</v>
      </c>
      <c r="W1795" s="217" t="s">
        <v>32</v>
      </c>
    </row>
    <row r="1796" spans="1:23" x14ac:dyDescent="0.25">
      <c r="A1796" s="217" t="s">
        <v>22</v>
      </c>
      <c r="B1796" s="217" t="s">
        <v>23</v>
      </c>
      <c r="C1796" s="217" t="s">
        <v>37</v>
      </c>
      <c r="D1796" s="217" t="s">
        <v>36</v>
      </c>
      <c r="E1796" s="217" t="s">
        <v>547</v>
      </c>
      <c r="F1796" s="217" t="s">
        <v>548</v>
      </c>
      <c r="G1796" s="217" t="s">
        <v>549</v>
      </c>
      <c r="H1796" s="217" t="s">
        <v>1411</v>
      </c>
      <c r="I1796" s="217" t="s">
        <v>659</v>
      </c>
      <c r="J1796" s="217" t="s">
        <v>1858</v>
      </c>
      <c r="K1796" s="217">
        <v>13</v>
      </c>
      <c r="L1796" s="217">
        <v>42</v>
      </c>
      <c r="M1796" s="217" t="s">
        <v>31</v>
      </c>
      <c r="N1796" s="217" t="s">
        <v>32</v>
      </c>
      <c r="O1796" s="217" t="s">
        <v>668</v>
      </c>
      <c r="P1796" s="217" t="s">
        <v>34</v>
      </c>
      <c r="Q1796" s="217" t="s">
        <v>35</v>
      </c>
      <c r="R1796" s="217" t="s">
        <v>23</v>
      </c>
      <c r="S1796" s="217" t="s">
        <v>22</v>
      </c>
      <c r="T1796" s="217" t="s">
        <v>36</v>
      </c>
      <c r="U1796" s="217" t="s">
        <v>37</v>
      </c>
      <c r="V1796" s="217" t="s">
        <v>32</v>
      </c>
      <c r="W1796" s="217" t="s">
        <v>32</v>
      </c>
    </row>
    <row r="1797" spans="1:23" x14ac:dyDescent="0.25">
      <c r="A1797" s="217" t="s">
        <v>22</v>
      </c>
      <c r="B1797" s="217" t="s">
        <v>23</v>
      </c>
      <c r="C1797" s="217" t="s">
        <v>37</v>
      </c>
      <c r="D1797" s="217" t="s">
        <v>36</v>
      </c>
      <c r="E1797" s="217" t="s">
        <v>547</v>
      </c>
      <c r="F1797" s="217" t="s">
        <v>548</v>
      </c>
      <c r="G1797" s="217" t="s">
        <v>550</v>
      </c>
      <c r="H1797" s="217" t="s">
        <v>1412</v>
      </c>
      <c r="I1797" s="217" t="s">
        <v>659</v>
      </c>
      <c r="J1797" s="217" t="s">
        <v>1858</v>
      </c>
      <c r="K1797" s="217">
        <v>11</v>
      </c>
      <c r="L1797" s="217">
        <v>62</v>
      </c>
      <c r="M1797" s="217" t="s">
        <v>31</v>
      </c>
      <c r="N1797" s="217" t="s">
        <v>32</v>
      </c>
      <c r="O1797" s="217" t="s">
        <v>668</v>
      </c>
      <c r="P1797" s="217" t="s">
        <v>34</v>
      </c>
      <c r="Q1797" s="217" t="s">
        <v>35</v>
      </c>
      <c r="R1797" s="217" t="s">
        <v>23</v>
      </c>
      <c r="S1797" s="217" t="s">
        <v>22</v>
      </c>
      <c r="T1797" s="217" t="s">
        <v>36</v>
      </c>
      <c r="U1797" s="217" t="s">
        <v>37</v>
      </c>
      <c r="V1797" s="217" t="s">
        <v>32</v>
      </c>
      <c r="W1797" s="217" t="s">
        <v>32</v>
      </c>
    </row>
    <row r="1798" spans="1:23" x14ac:dyDescent="0.25">
      <c r="A1798" s="217" t="s">
        <v>22</v>
      </c>
      <c r="B1798" s="217" t="s">
        <v>23</v>
      </c>
      <c r="C1798" s="217" t="s">
        <v>37</v>
      </c>
      <c r="D1798" s="217" t="s">
        <v>36</v>
      </c>
      <c r="E1798" s="217" t="s">
        <v>547</v>
      </c>
      <c r="F1798" s="217" t="s">
        <v>548</v>
      </c>
      <c r="G1798" s="217" t="s">
        <v>551</v>
      </c>
      <c r="H1798" s="217" t="s">
        <v>1413</v>
      </c>
      <c r="I1798" s="217" t="s">
        <v>659</v>
      </c>
      <c r="J1798" s="217" t="s">
        <v>1858</v>
      </c>
      <c r="K1798" s="217">
        <v>6</v>
      </c>
      <c r="L1798" s="217">
        <v>48</v>
      </c>
      <c r="M1798" s="217" t="s">
        <v>31</v>
      </c>
      <c r="N1798" s="217" t="s">
        <v>32</v>
      </c>
      <c r="O1798" s="217" t="s">
        <v>668</v>
      </c>
      <c r="P1798" s="217" t="s">
        <v>34</v>
      </c>
      <c r="Q1798" s="217" t="s">
        <v>35</v>
      </c>
      <c r="R1798" s="217" t="s">
        <v>23</v>
      </c>
      <c r="S1798" s="217" t="s">
        <v>22</v>
      </c>
      <c r="T1798" s="217" t="s">
        <v>36</v>
      </c>
      <c r="U1798" s="217" t="s">
        <v>37</v>
      </c>
      <c r="V1798" s="217" t="s">
        <v>32</v>
      </c>
      <c r="W1798" s="217" t="s">
        <v>32</v>
      </c>
    </row>
    <row r="1799" spans="1:23" x14ac:dyDescent="0.25">
      <c r="A1799" s="217" t="s">
        <v>22</v>
      </c>
      <c r="B1799" s="217" t="s">
        <v>23</v>
      </c>
      <c r="C1799" s="217" t="s">
        <v>37</v>
      </c>
      <c r="D1799" s="217" t="s">
        <v>36</v>
      </c>
      <c r="E1799" s="217" t="s">
        <v>547</v>
      </c>
      <c r="F1799" s="217" t="s">
        <v>548</v>
      </c>
      <c r="G1799" s="217" t="s">
        <v>552</v>
      </c>
      <c r="H1799" s="217" t="s">
        <v>1414</v>
      </c>
      <c r="I1799" s="217" t="s">
        <v>659</v>
      </c>
      <c r="J1799" s="217" t="s">
        <v>1858</v>
      </c>
      <c r="K1799" s="217">
        <v>4</v>
      </c>
      <c r="L1799" s="217">
        <v>18</v>
      </c>
      <c r="M1799" s="217" t="s">
        <v>31</v>
      </c>
      <c r="N1799" s="217" t="s">
        <v>32</v>
      </c>
      <c r="O1799" s="217" t="s">
        <v>668</v>
      </c>
      <c r="P1799" s="217" t="s">
        <v>34</v>
      </c>
      <c r="Q1799" s="217" t="s">
        <v>35</v>
      </c>
      <c r="R1799" s="217" t="s">
        <v>23</v>
      </c>
      <c r="S1799" s="217" t="s">
        <v>22</v>
      </c>
      <c r="T1799" s="217" t="s">
        <v>36</v>
      </c>
      <c r="U1799" s="217" t="s">
        <v>37</v>
      </c>
      <c r="V1799" s="217" t="s">
        <v>32</v>
      </c>
      <c r="W1799" s="217" t="s">
        <v>32</v>
      </c>
    </row>
    <row r="1800" spans="1:23" x14ac:dyDescent="0.25">
      <c r="A1800" s="217" t="s">
        <v>22</v>
      </c>
      <c r="B1800" s="217" t="s">
        <v>23</v>
      </c>
      <c r="C1800" s="217" t="s">
        <v>37</v>
      </c>
      <c r="D1800" s="217" t="s">
        <v>36</v>
      </c>
      <c r="E1800" s="217" t="s">
        <v>547</v>
      </c>
      <c r="F1800" s="217" t="s">
        <v>548</v>
      </c>
      <c r="G1800" s="217" t="s">
        <v>553</v>
      </c>
      <c r="H1800" s="217" t="s">
        <v>1415</v>
      </c>
      <c r="I1800" s="217" t="s">
        <v>659</v>
      </c>
      <c r="J1800" s="217" t="s">
        <v>1858</v>
      </c>
      <c r="K1800" s="217">
        <v>18</v>
      </c>
      <c r="L1800" s="217">
        <v>121</v>
      </c>
      <c r="M1800" s="217" t="s">
        <v>31</v>
      </c>
      <c r="N1800" s="217" t="s">
        <v>32</v>
      </c>
      <c r="O1800" s="217" t="s">
        <v>668</v>
      </c>
      <c r="P1800" s="217" t="s">
        <v>34</v>
      </c>
      <c r="Q1800" s="217" t="s">
        <v>35</v>
      </c>
      <c r="R1800" s="217" t="s">
        <v>23</v>
      </c>
      <c r="S1800" s="217" t="s">
        <v>22</v>
      </c>
      <c r="T1800" s="217" t="s">
        <v>47</v>
      </c>
      <c r="U1800" s="217" t="s">
        <v>48</v>
      </c>
      <c r="V1800" s="217" t="s">
        <v>32</v>
      </c>
      <c r="W1800" s="217" t="s">
        <v>32</v>
      </c>
    </row>
    <row r="1801" spans="1:23" x14ac:dyDescent="0.25">
      <c r="A1801" s="217" t="s">
        <v>22</v>
      </c>
      <c r="B1801" s="217" t="s">
        <v>23</v>
      </c>
      <c r="C1801" s="217" t="s">
        <v>37</v>
      </c>
      <c r="D1801" s="217" t="s">
        <v>36</v>
      </c>
      <c r="E1801" s="217" t="s">
        <v>547</v>
      </c>
      <c r="F1801" s="217" t="s">
        <v>548</v>
      </c>
      <c r="G1801" s="217" t="s">
        <v>555</v>
      </c>
      <c r="H1801" s="217" t="s">
        <v>1417</v>
      </c>
      <c r="I1801" s="217" t="s">
        <v>659</v>
      </c>
      <c r="J1801" s="217" t="s">
        <v>1858</v>
      </c>
      <c r="K1801" s="217">
        <v>20</v>
      </c>
      <c r="L1801" s="217">
        <v>58</v>
      </c>
      <c r="M1801" s="217" t="s">
        <v>31</v>
      </c>
      <c r="N1801" s="217" t="s">
        <v>32</v>
      </c>
      <c r="O1801" s="217" t="s">
        <v>668</v>
      </c>
      <c r="P1801" s="217" t="s">
        <v>34</v>
      </c>
      <c r="Q1801" s="217" t="s">
        <v>35</v>
      </c>
      <c r="R1801" s="217" t="s">
        <v>2063</v>
      </c>
      <c r="S1801" s="217" t="s">
        <v>2064</v>
      </c>
      <c r="T1801" s="217" t="s">
        <v>36</v>
      </c>
      <c r="U1801" s="217" t="s">
        <v>37</v>
      </c>
      <c r="V1801" s="217" t="s">
        <v>32</v>
      </c>
      <c r="W1801" s="217" t="s">
        <v>32</v>
      </c>
    </row>
    <row r="1802" spans="1:23" x14ac:dyDescent="0.25">
      <c r="A1802" s="217" t="s">
        <v>22</v>
      </c>
      <c r="B1802" s="217" t="s">
        <v>23</v>
      </c>
      <c r="C1802" s="217" t="s">
        <v>37</v>
      </c>
      <c r="D1802" s="217" t="s">
        <v>36</v>
      </c>
      <c r="E1802" s="217" t="s">
        <v>547</v>
      </c>
      <c r="F1802" s="217" t="s">
        <v>548</v>
      </c>
      <c r="G1802" s="217" t="s">
        <v>556</v>
      </c>
      <c r="H1802" s="217" t="s">
        <v>1418</v>
      </c>
      <c r="I1802" s="217" t="s">
        <v>659</v>
      </c>
      <c r="J1802" s="217" t="s">
        <v>1858</v>
      </c>
      <c r="K1802" s="217">
        <v>16</v>
      </c>
      <c r="L1802" s="217">
        <v>58</v>
      </c>
      <c r="M1802" s="217" t="s">
        <v>31</v>
      </c>
      <c r="N1802" s="217" t="s">
        <v>32</v>
      </c>
      <c r="O1802" s="217" t="s">
        <v>668</v>
      </c>
      <c r="P1802" s="217" t="s">
        <v>34</v>
      </c>
      <c r="Q1802" s="217" t="s">
        <v>35</v>
      </c>
      <c r="R1802" s="217" t="s">
        <v>23</v>
      </c>
      <c r="S1802" s="217" t="s">
        <v>22</v>
      </c>
      <c r="T1802" s="217" t="s">
        <v>36</v>
      </c>
      <c r="U1802" s="217" t="s">
        <v>37</v>
      </c>
      <c r="V1802" s="217" t="s">
        <v>32</v>
      </c>
      <c r="W1802" s="217" t="s">
        <v>32</v>
      </c>
    </row>
    <row r="1803" spans="1:23" x14ac:dyDescent="0.25">
      <c r="A1803" s="217" t="s">
        <v>22</v>
      </c>
      <c r="B1803" s="217" t="s">
        <v>23</v>
      </c>
      <c r="C1803" s="217" t="s">
        <v>37</v>
      </c>
      <c r="D1803" s="217" t="s">
        <v>36</v>
      </c>
      <c r="E1803" s="217" t="s">
        <v>547</v>
      </c>
      <c r="F1803" s="217" t="s">
        <v>548</v>
      </c>
      <c r="G1803" s="217" t="s">
        <v>557</v>
      </c>
      <c r="H1803" s="217" t="s">
        <v>1419</v>
      </c>
      <c r="I1803" s="217" t="s">
        <v>659</v>
      </c>
      <c r="J1803" s="217" t="s">
        <v>1858</v>
      </c>
      <c r="K1803" s="217">
        <v>4</v>
      </c>
      <c r="L1803" s="217">
        <v>28</v>
      </c>
      <c r="M1803" s="217" t="s">
        <v>31</v>
      </c>
      <c r="N1803" s="217" t="s">
        <v>32</v>
      </c>
      <c r="O1803" s="217" t="s">
        <v>668</v>
      </c>
      <c r="P1803" s="217" t="s">
        <v>34</v>
      </c>
      <c r="Q1803" s="217" t="s">
        <v>35</v>
      </c>
      <c r="R1803" s="217" t="s">
        <v>23</v>
      </c>
      <c r="S1803" s="217" t="s">
        <v>22</v>
      </c>
      <c r="T1803" s="217" t="s">
        <v>36</v>
      </c>
      <c r="U1803" s="217" t="s">
        <v>37</v>
      </c>
      <c r="V1803" s="217" t="s">
        <v>32</v>
      </c>
      <c r="W1803" s="217" t="s">
        <v>32</v>
      </c>
    </row>
    <row r="1804" spans="1:23" x14ac:dyDescent="0.25">
      <c r="A1804" s="217" t="s">
        <v>22</v>
      </c>
      <c r="B1804" s="217" t="s">
        <v>23</v>
      </c>
      <c r="C1804" s="217" t="s">
        <v>37</v>
      </c>
      <c r="D1804" s="217" t="s">
        <v>36</v>
      </c>
      <c r="E1804" s="217" t="s">
        <v>547</v>
      </c>
      <c r="F1804" s="217" t="s">
        <v>548</v>
      </c>
      <c r="G1804" s="217" t="s">
        <v>845</v>
      </c>
      <c r="H1804" s="217" t="s">
        <v>1840</v>
      </c>
      <c r="I1804" s="217" t="s">
        <v>659</v>
      </c>
      <c r="J1804" s="217" t="s">
        <v>1858</v>
      </c>
      <c r="K1804" s="217">
        <v>15</v>
      </c>
      <c r="L1804" s="217">
        <v>82</v>
      </c>
      <c r="M1804" s="217" t="s">
        <v>31</v>
      </c>
      <c r="N1804" s="217" t="s">
        <v>32</v>
      </c>
      <c r="O1804" s="217" t="s">
        <v>668</v>
      </c>
      <c r="P1804" s="217" t="s">
        <v>34</v>
      </c>
      <c r="Q1804" s="217" t="s">
        <v>35</v>
      </c>
      <c r="R1804" s="217" t="s">
        <v>23</v>
      </c>
      <c r="S1804" s="217" t="s">
        <v>22</v>
      </c>
      <c r="T1804" s="217" t="s">
        <v>47</v>
      </c>
      <c r="U1804" s="217" t="s">
        <v>48</v>
      </c>
      <c r="V1804" s="217" t="s">
        <v>32</v>
      </c>
      <c r="W1804" s="217" t="s">
        <v>32</v>
      </c>
    </row>
    <row r="1805" spans="1:23" x14ac:dyDescent="0.25">
      <c r="A1805" s="217" t="s">
        <v>22</v>
      </c>
      <c r="B1805" s="217" t="s">
        <v>23</v>
      </c>
      <c r="C1805" s="217" t="s">
        <v>37</v>
      </c>
      <c r="D1805" s="217" t="s">
        <v>36</v>
      </c>
      <c r="E1805" s="217" t="s">
        <v>547</v>
      </c>
      <c r="F1805" s="217" t="s">
        <v>548</v>
      </c>
      <c r="G1805" s="217" t="s">
        <v>558</v>
      </c>
      <c r="H1805" s="217" t="s">
        <v>1420</v>
      </c>
      <c r="I1805" s="217" t="s">
        <v>659</v>
      </c>
      <c r="J1805" s="217" t="s">
        <v>1858</v>
      </c>
      <c r="K1805" s="217">
        <v>6</v>
      </c>
      <c r="L1805" s="217">
        <v>48</v>
      </c>
      <c r="M1805" s="217" t="s">
        <v>31</v>
      </c>
      <c r="N1805" s="217" t="s">
        <v>32</v>
      </c>
      <c r="O1805" s="217" t="s">
        <v>668</v>
      </c>
      <c r="P1805" s="217" t="s">
        <v>34</v>
      </c>
      <c r="Q1805" s="217" t="s">
        <v>35</v>
      </c>
      <c r="R1805" s="217" t="s">
        <v>23</v>
      </c>
      <c r="S1805" s="217" t="s">
        <v>22</v>
      </c>
      <c r="T1805" s="217" t="s">
        <v>36</v>
      </c>
      <c r="U1805" s="217" t="s">
        <v>37</v>
      </c>
      <c r="V1805" s="217" t="s">
        <v>32</v>
      </c>
      <c r="W1805" s="217" t="s">
        <v>32</v>
      </c>
    </row>
    <row r="1806" spans="1:23" x14ac:dyDescent="0.25">
      <c r="A1806" s="217" t="s">
        <v>22</v>
      </c>
      <c r="B1806" s="217" t="s">
        <v>23</v>
      </c>
      <c r="C1806" s="217" t="s">
        <v>37</v>
      </c>
      <c r="D1806" s="217" t="s">
        <v>36</v>
      </c>
      <c r="E1806" s="217" t="s">
        <v>547</v>
      </c>
      <c r="F1806" s="217" t="s">
        <v>548</v>
      </c>
      <c r="G1806" s="217" t="s">
        <v>559</v>
      </c>
      <c r="H1806" s="217" t="s">
        <v>1421</v>
      </c>
      <c r="I1806" s="217" t="s">
        <v>659</v>
      </c>
      <c r="J1806" s="217" t="s">
        <v>1858</v>
      </c>
      <c r="K1806" s="217">
        <v>12</v>
      </c>
      <c r="L1806" s="217">
        <v>79</v>
      </c>
      <c r="M1806" s="217" t="s">
        <v>31</v>
      </c>
      <c r="N1806" s="217" t="s">
        <v>32</v>
      </c>
      <c r="O1806" s="217" t="s">
        <v>668</v>
      </c>
      <c r="P1806" s="217" t="s">
        <v>34</v>
      </c>
      <c r="Q1806" s="217" t="s">
        <v>35</v>
      </c>
      <c r="R1806" s="217" t="s">
        <v>23</v>
      </c>
      <c r="S1806" s="217" t="s">
        <v>22</v>
      </c>
      <c r="T1806" s="217" t="s">
        <v>36</v>
      </c>
      <c r="U1806" s="217" t="s">
        <v>37</v>
      </c>
      <c r="V1806" s="217" t="s">
        <v>32</v>
      </c>
      <c r="W1806" s="217" t="s">
        <v>32</v>
      </c>
    </row>
    <row r="1807" spans="1:23" x14ac:dyDescent="0.25">
      <c r="A1807" s="217" t="s">
        <v>22</v>
      </c>
      <c r="B1807" s="217" t="s">
        <v>23</v>
      </c>
      <c r="C1807" s="217" t="s">
        <v>37</v>
      </c>
      <c r="D1807" s="217" t="s">
        <v>36</v>
      </c>
      <c r="E1807" s="217" t="s">
        <v>547</v>
      </c>
      <c r="F1807" s="217" t="s">
        <v>548</v>
      </c>
      <c r="G1807" s="217" t="s">
        <v>561</v>
      </c>
      <c r="H1807" s="217" t="s">
        <v>1423</v>
      </c>
      <c r="I1807" s="217" t="s">
        <v>659</v>
      </c>
      <c r="J1807" s="217" t="s">
        <v>1858</v>
      </c>
      <c r="K1807" s="217">
        <v>6</v>
      </c>
      <c r="L1807" s="217">
        <v>32</v>
      </c>
      <c r="M1807" s="217" t="s">
        <v>31</v>
      </c>
      <c r="N1807" s="217" t="s">
        <v>32</v>
      </c>
      <c r="O1807" s="217" t="s">
        <v>668</v>
      </c>
      <c r="P1807" s="217" t="s">
        <v>34</v>
      </c>
      <c r="Q1807" s="217" t="s">
        <v>35</v>
      </c>
      <c r="R1807" s="217" t="s">
        <v>23</v>
      </c>
      <c r="S1807" s="217" t="s">
        <v>22</v>
      </c>
      <c r="T1807" s="217" t="s">
        <v>36</v>
      </c>
      <c r="U1807" s="217" t="s">
        <v>37</v>
      </c>
      <c r="V1807" s="217" t="s">
        <v>32</v>
      </c>
      <c r="W1807" s="217" t="s">
        <v>32</v>
      </c>
    </row>
    <row r="1808" spans="1:23" x14ac:dyDescent="0.25">
      <c r="A1808" s="217" t="s">
        <v>22</v>
      </c>
      <c r="B1808" s="217" t="s">
        <v>23</v>
      </c>
      <c r="C1808" s="217" t="s">
        <v>37</v>
      </c>
      <c r="D1808" s="217" t="s">
        <v>36</v>
      </c>
      <c r="E1808" s="217" t="s">
        <v>547</v>
      </c>
      <c r="F1808" s="217" t="s">
        <v>548</v>
      </c>
      <c r="G1808" s="217" t="s">
        <v>562</v>
      </c>
      <c r="H1808" s="217" t="s">
        <v>1424</v>
      </c>
      <c r="I1808" s="217" t="s">
        <v>659</v>
      </c>
      <c r="J1808" s="217" t="s">
        <v>1859</v>
      </c>
      <c r="K1808" s="217">
        <v>11</v>
      </c>
      <c r="L1808" s="217">
        <v>69</v>
      </c>
      <c r="M1808" s="217" t="s">
        <v>31</v>
      </c>
      <c r="N1808" s="217" t="s">
        <v>32</v>
      </c>
      <c r="O1808" s="217" t="s">
        <v>668</v>
      </c>
      <c r="P1808" s="217" t="s">
        <v>34</v>
      </c>
      <c r="Q1808" s="217" t="s">
        <v>35</v>
      </c>
      <c r="R1808" s="217" t="s">
        <v>1976</v>
      </c>
      <c r="S1808" s="217" t="s">
        <v>1977</v>
      </c>
      <c r="T1808" s="217" t="s">
        <v>36</v>
      </c>
      <c r="U1808" s="217" t="s">
        <v>37</v>
      </c>
      <c r="V1808" s="217" t="s">
        <v>32</v>
      </c>
      <c r="W1808" s="217" t="s">
        <v>32</v>
      </c>
    </row>
    <row r="1809" spans="1:23" x14ac:dyDescent="0.25">
      <c r="A1809" s="217" t="s">
        <v>22</v>
      </c>
      <c r="B1809" s="217" t="s">
        <v>23</v>
      </c>
      <c r="C1809" s="217" t="s">
        <v>37</v>
      </c>
      <c r="D1809" s="217" t="s">
        <v>36</v>
      </c>
      <c r="E1809" s="217" t="s">
        <v>547</v>
      </c>
      <c r="F1809" s="217" t="s">
        <v>548</v>
      </c>
      <c r="G1809" s="217" t="s">
        <v>563</v>
      </c>
      <c r="H1809" s="217" t="s">
        <v>1425</v>
      </c>
      <c r="I1809" s="217" t="s">
        <v>659</v>
      </c>
      <c r="J1809" s="217" t="s">
        <v>1858</v>
      </c>
      <c r="K1809" s="217">
        <v>12</v>
      </c>
      <c r="L1809" s="217">
        <v>80</v>
      </c>
      <c r="M1809" s="217" t="s">
        <v>31</v>
      </c>
      <c r="N1809" s="217" t="s">
        <v>32</v>
      </c>
      <c r="O1809" s="217" t="s">
        <v>668</v>
      </c>
      <c r="P1809" s="217" t="s">
        <v>34</v>
      </c>
      <c r="Q1809" s="217" t="s">
        <v>35</v>
      </c>
      <c r="R1809" s="217" t="s">
        <v>23</v>
      </c>
      <c r="S1809" s="217" t="s">
        <v>22</v>
      </c>
      <c r="T1809" s="217" t="s">
        <v>36</v>
      </c>
      <c r="U1809" s="217" t="s">
        <v>37</v>
      </c>
      <c r="V1809" s="217" t="s">
        <v>32</v>
      </c>
      <c r="W1809" s="217" t="s">
        <v>32</v>
      </c>
    </row>
    <row r="1810" spans="1:23" x14ac:dyDescent="0.25">
      <c r="A1810" s="217" t="s">
        <v>22</v>
      </c>
      <c r="B1810" s="217" t="s">
        <v>23</v>
      </c>
      <c r="C1810" s="217" t="s">
        <v>37</v>
      </c>
      <c r="D1810" s="217" t="s">
        <v>36</v>
      </c>
      <c r="E1810" s="217" t="s">
        <v>547</v>
      </c>
      <c r="F1810" s="217" t="s">
        <v>548</v>
      </c>
      <c r="G1810" s="217" t="s">
        <v>2036</v>
      </c>
      <c r="H1810" s="217" t="s">
        <v>2035</v>
      </c>
      <c r="I1810" s="217" t="s">
        <v>659</v>
      </c>
      <c r="J1810" s="217" t="s">
        <v>1855</v>
      </c>
      <c r="K1810" s="217">
        <v>4</v>
      </c>
      <c r="L1810" s="217">
        <v>17</v>
      </c>
      <c r="M1810" s="217" t="s">
        <v>31</v>
      </c>
      <c r="N1810" s="217" t="s">
        <v>32</v>
      </c>
      <c r="O1810" s="217" t="s">
        <v>668</v>
      </c>
      <c r="P1810" s="217" t="s">
        <v>34</v>
      </c>
      <c r="Q1810" s="217" t="s">
        <v>35</v>
      </c>
      <c r="R1810" s="217" t="s">
        <v>23</v>
      </c>
      <c r="S1810" s="217" t="s">
        <v>22</v>
      </c>
      <c r="T1810" s="217" t="s">
        <v>36</v>
      </c>
      <c r="U1810" s="217" t="s">
        <v>37</v>
      </c>
      <c r="V1810" s="217" t="s">
        <v>32</v>
      </c>
      <c r="W1810" s="217" t="s">
        <v>32</v>
      </c>
    </row>
    <row r="1811" spans="1:23" x14ac:dyDescent="0.25">
      <c r="A1811" s="217" t="s">
        <v>22</v>
      </c>
      <c r="B1811" s="217" t="s">
        <v>23</v>
      </c>
      <c r="C1811" s="217" t="s">
        <v>37</v>
      </c>
      <c r="D1811" s="217" t="s">
        <v>36</v>
      </c>
      <c r="E1811" s="217" t="s">
        <v>547</v>
      </c>
      <c r="F1811" s="217" t="s">
        <v>548</v>
      </c>
      <c r="G1811" s="217" t="s">
        <v>2036</v>
      </c>
      <c r="H1811" s="217" t="s">
        <v>2035</v>
      </c>
      <c r="I1811" s="217" t="s">
        <v>659</v>
      </c>
      <c r="J1811" s="217" t="s">
        <v>1856</v>
      </c>
      <c r="K1811" s="217">
        <v>6</v>
      </c>
      <c r="L1811" s="217">
        <v>29</v>
      </c>
      <c r="M1811" s="217" t="s">
        <v>31</v>
      </c>
      <c r="N1811" s="217" t="s">
        <v>32</v>
      </c>
      <c r="O1811" s="217" t="s">
        <v>668</v>
      </c>
      <c r="P1811" s="217" t="s">
        <v>34</v>
      </c>
      <c r="Q1811" s="217" t="s">
        <v>35</v>
      </c>
      <c r="R1811" s="217" t="s">
        <v>23</v>
      </c>
      <c r="S1811" s="217" t="s">
        <v>22</v>
      </c>
      <c r="T1811" s="217" t="s">
        <v>36</v>
      </c>
      <c r="U1811" s="217" t="s">
        <v>37</v>
      </c>
      <c r="V1811" s="217" t="s">
        <v>32</v>
      </c>
      <c r="W1811" s="217" t="s">
        <v>32</v>
      </c>
    </row>
    <row r="1812" spans="1:23" x14ac:dyDescent="0.25">
      <c r="A1812" s="217" t="s">
        <v>22</v>
      </c>
      <c r="B1812" s="217" t="s">
        <v>23</v>
      </c>
      <c r="C1812" s="217" t="s">
        <v>37</v>
      </c>
      <c r="D1812" s="217" t="s">
        <v>36</v>
      </c>
      <c r="E1812" s="217" t="s">
        <v>547</v>
      </c>
      <c r="F1812" s="217" t="s">
        <v>548</v>
      </c>
      <c r="G1812" s="217" t="s">
        <v>2036</v>
      </c>
      <c r="H1812" s="217" t="s">
        <v>2035</v>
      </c>
      <c r="I1812" s="217" t="s">
        <v>659</v>
      </c>
      <c r="J1812" s="217" t="s">
        <v>1857</v>
      </c>
      <c r="K1812" s="217">
        <v>8</v>
      </c>
      <c r="L1812" s="217">
        <v>38</v>
      </c>
      <c r="M1812" s="217" t="s">
        <v>31</v>
      </c>
      <c r="N1812" s="217" t="s">
        <v>32</v>
      </c>
      <c r="O1812" s="217" t="s">
        <v>668</v>
      </c>
      <c r="P1812" s="217" t="s">
        <v>34</v>
      </c>
      <c r="Q1812" s="217" t="s">
        <v>35</v>
      </c>
      <c r="R1812" s="217" t="s">
        <v>23</v>
      </c>
      <c r="S1812" s="217" t="s">
        <v>22</v>
      </c>
      <c r="T1812" s="217" t="s">
        <v>36</v>
      </c>
      <c r="U1812" s="217" t="s">
        <v>37</v>
      </c>
      <c r="V1812" s="217" t="s">
        <v>32</v>
      </c>
      <c r="W1812" s="217" t="s">
        <v>32</v>
      </c>
    </row>
    <row r="1813" spans="1:23" x14ac:dyDescent="0.25">
      <c r="A1813" s="217" t="s">
        <v>22</v>
      </c>
      <c r="B1813" s="217" t="s">
        <v>23</v>
      </c>
      <c r="C1813" s="217" t="s">
        <v>37</v>
      </c>
      <c r="D1813" s="217" t="s">
        <v>36</v>
      </c>
      <c r="E1813" s="217" t="s">
        <v>547</v>
      </c>
      <c r="F1813" s="217" t="s">
        <v>548</v>
      </c>
      <c r="G1813" s="217" t="s">
        <v>565</v>
      </c>
      <c r="H1813" s="217" t="s">
        <v>1427</v>
      </c>
      <c r="I1813" s="217" t="s">
        <v>659</v>
      </c>
      <c r="J1813" s="217" t="s">
        <v>1858</v>
      </c>
      <c r="K1813" s="217">
        <v>23</v>
      </c>
      <c r="L1813" s="217">
        <v>115</v>
      </c>
      <c r="M1813" s="217" t="s">
        <v>31</v>
      </c>
      <c r="N1813" s="217" t="s">
        <v>32</v>
      </c>
      <c r="O1813" s="217" t="s">
        <v>668</v>
      </c>
      <c r="P1813" s="217" t="s">
        <v>34</v>
      </c>
      <c r="Q1813" s="217" t="s">
        <v>35</v>
      </c>
      <c r="R1813" s="217" t="s">
        <v>23</v>
      </c>
      <c r="S1813" s="217" t="s">
        <v>22</v>
      </c>
      <c r="T1813" s="217" t="s">
        <v>36</v>
      </c>
      <c r="U1813" s="217" t="s">
        <v>37</v>
      </c>
      <c r="V1813" s="217" t="s">
        <v>32</v>
      </c>
      <c r="W1813" s="217" t="s">
        <v>32</v>
      </c>
    </row>
    <row r="1814" spans="1:23" x14ac:dyDescent="0.25">
      <c r="A1814" s="217" t="s">
        <v>22</v>
      </c>
      <c r="B1814" s="217" t="s">
        <v>23</v>
      </c>
      <c r="C1814" s="217" t="s">
        <v>37</v>
      </c>
      <c r="D1814" s="217" t="s">
        <v>36</v>
      </c>
      <c r="E1814" s="217" t="s">
        <v>547</v>
      </c>
      <c r="F1814" s="217" t="s">
        <v>548</v>
      </c>
      <c r="G1814" s="217" t="s">
        <v>242</v>
      </c>
      <c r="H1814" s="217" t="s">
        <v>1428</v>
      </c>
      <c r="I1814" s="217" t="s">
        <v>659</v>
      </c>
      <c r="J1814" s="217" t="s">
        <v>1858</v>
      </c>
      <c r="K1814" s="217">
        <v>5</v>
      </c>
      <c r="L1814" s="217">
        <v>32</v>
      </c>
      <c r="M1814" s="217" t="s">
        <v>31</v>
      </c>
      <c r="N1814" s="217" t="s">
        <v>32</v>
      </c>
      <c r="O1814" s="217" t="s">
        <v>668</v>
      </c>
      <c r="P1814" s="217" t="s">
        <v>34</v>
      </c>
      <c r="Q1814" s="217" t="s">
        <v>35</v>
      </c>
      <c r="R1814" s="217" t="s">
        <v>2063</v>
      </c>
      <c r="S1814" s="217" t="s">
        <v>2064</v>
      </c>
      <c r="T1814" s="217" t="s">
        <v>36</v>
      </c>
      <c r="U1814" s="217" t="s">
        <v>37</v>
      </c>
      <c r="V1814" s="217" t="s">
        <v>32</v>
      </c>
      <c r="W1814" s="217" t="s">
        <v>32</v>
      </c>
    </row>
    <row r="1815" spans="1:23" x14ac:dyDescent="0.25">
      <c r="A1815" s="217" t="s">
        <v>22</v>
      </c>
      <c r="B1815" s="217" t="s">
        <v>23</v>
      </c>
      <c r="C1815" s="217" t="s">
        <v>37</v>
      </c>
      <c r="D1815" s="217" t="s">
        <v>36</v>
      </c>
      <c r="E1815" s="217" t="s">
        <v>547</v>
      </c>
      <c r="F1815" s="217" t="s">
        <v>548</v>
      </c>
      <c r="G1815" s="217" t="s">
        <v>566</v>
      </c>
      <c r="H1815" s="217" t="s">
        <v>1429</v>
      </c>
      <c r="I1815" s="217" t="s">
        <v>659</v>
      </c>
      <c r="J1815" s="217" t="s">
        <v>1858</v>
      </c>
      <c r="K1815" s="217">
        <v>12</v>
      </c>
      <c r="L1815" s="217">
        <v>67</v>
      </c>
      <c r="M1815" s="217" t="s">
        <v>31</v>
      </c>
      <c r="N1815" s="217" t="s">
        <v>32</v>
      </c>
      <c r="O1815" s="217" t="s">
        <v>668</v>
      </c>
      <c r="P1815" s="217" t="s">
        <v>34</v>
      </c>
      <c r="Q1815" s="217" t="s">
        <v>35</v>
      </c>
      <c r="R1815" s="217" t="s">
        <v>23</v>
      </c>
      <c r="S1815" s="217" t="s">
        <v>22</v>
      </c>
      <c r="T1815" s="217" t="s">
        <v>47</v>
      </c>
      <c r="U1815" s="217" t="s">
        <v>48</v>
      </c>
      <c r="V1815" s="217" t="s">
        <v>32</v>
      </c>
      <c r="W1815" s="217" t="s">
        <v>32</v>
      </c>
    </row>
    <row r="1816" spans="1:23" x14ac:dyDescent="0.25">
      <c r="A1816" s="217" t="s">
        <v>22</v>
      </c>
      <c r="B1816" s="217" t="s">
        <v>23</v>
      </c>
      <c r="C1816" s="217" t="s">
        <v>37</v>
      </c>
      <c r="D1816" s="217" t="s">
        <v>36</v>
      </c>
      <c r="E1816" s="217" t="s">
        <v>547</v>
      </c>
      <c r="F1816" s="217" t="s">
        <v>548</v>
      </c>
      <c r="G1816" s="217" t="s">
        <v>567</v>
      </c>
      <c r="H1816" s="217" t="s">
        <v>1430</v>
      </c>
      <c r="I1816" s="217" t="s">
        <v>659</v>
      </c>
      <c r="J1816" s="217" t="s">
        <v>1858</v>
      </c>
      <c r="K1816" s="217">
        <v>7</v>
      </c>
      <c r="L1816" s="217">
        <v>43</v>
      </c>
      <c r="M1816" s="217" t="s">
        <v>31</v>
      </c>
      <c r="N1816" s="217" t="s">
        <v>32</v>
      </c>
      <c r="O1816" s="217" t="s">
        <v>668</v>
      </c>
      <c r="P1816" s="217" t="s">
        <v>34</v>
      </c>
      <c r="Q1816" s="217" t="s">
        <v>35</v>
      </c>
      <c r="R1816" s="217" t="s">
        <v>23</v>
      </c>
      <c r="S1816" s="217" t="s">
        <v>22</v>
      </c>
      <c r="T1816" s="217" t="s">
        <v>36</v>
      </c>
      <c r="U1816" s="217" t="s">
        <v>37</v>
      </c>
      <c r="V1816" s="217" t="s">
        <v>32</v>
      </c>
      <c r="W1816" s="217" t="s">
        <v>32</v>
      </c>
    </row>
    <row r="1817" spans="1:23" x14ac:dyDescent="0.25">
      <c r="A1817" s="217" t="s">
        <v>22</v>
      </c>
      <c r="B1817" s="217" t="s">
        <v>23</v>
      </c>
      <c r="C1817" s="217" t="s">
        <v>37</v>
      </c>
      <c r="D1817" s="217" t="s">
        <v>36</v>
      </c>
      <c r="E1817" s="217" t="s">
        <v>547</v>
      </c>
      <c r="F1817" s="217" t="s">
        <v>548</v>
      </c>
      <c r="G1817" s="217" t="s">
        <v>599</v>
      </c>
      <c r="H1817" s="217" t="s">
        <v>1431</v>
      </c>
      <c r="I1817" s="217" t="s">
        <v>659</v>
      </c>
      <c r="J1817" s="217" t="s">
        <v>1858</v>
      </c>
      <c r="K1817" s="217">
        <v>29</v>
      </c>
      <c r="L1817" s="217">
        <v>193</v>
      </c>
      <c r="M1817" s="217" t="s">
        <v>31</v>
      </c>
      <c r="N1817" s="217" t="s">
        <v>32</v>
      </c>
      <c r="O1817" s="217" t="s">
        <v>668</v>
      </c>
      <c r="P1817" s="217" t="s">
        <v>34</v>
      </c>
      <c r="Q1817" s="217" t="s">
        <v>35</v>
      </c>
      <c r="R1817" s="217" t="s">
        <v>23</v>
      </c>
      <c r="S1817" s="217" t="s">
        <v>22</v>
      </c>
      <c r="T1817" s="217" t="s">
        <v>47</v>
      </c>
      <c r="U1817" s="217" t="s">
        <v>48</v>
      </c>
      <c r="V1817" s="217" t="s">
        <v>32</v>
      </c>
      <c r="W1817" s="217" t="s">
        <v>32</v>
      </c>
    </row>
    <row r="1818" spans="1:23" x14ac:dyDescent="0.25">
      <c r="A1818" s="217" t="s">
        <v>22</v>
      </c>
      <c r="B1818" s="217" t="s">
        <v>23</v>
      </c>
      <c r="C1818" s="217" t="s">
        <v>37</v>
      </c>
      <c r="D1818" s="217" t="s">
        <v>36</v>
      </c>
      <c r="E1818" s="217" t="s">
        <v>547</v>
      </c>
      <c r="F1818" s="217" t="s">
        <v>548</v>
      </c>
      <c r="G1818" s="217" t="s">
        <v>568</v>
      </c>
      <c r="H1818" s="217" t="s">
        <v>1432</v>
      </c>
      <c r="I1818" s="217" t="s">
        <v>659</v>
      </c>
      <c r="J1818" s="217" t="s">
        <v>1858</v>
      </c>
      <c r="K1818" s="217">
        <v>8</v>
      </c>
      <c r="L1818" s="217">
        <v>48</v>
      </c>
      <c r="M1818" s="217" t="s">
        <v>31</v>
      </c>
      <c r="N1818" s="217" t="s">
        <v>32</v>
      </c>
      <c r="O1818" s="217" t="s">
        <v>668</v>
      </c>
      <c r="P1818" s="217" t="s">
        <v>34</v>
      </c>
      <c r="Q1818" s="217" t="s">
        <v>35</v>
      </c>
      <c r="R1818" s="217" t="s">
        <v>23</v>
      </c>
      <c r="S1818" s="217" t="s">
        <v>22</v>
      </c>
      <c r="T1818" s="217" t="s">
        <v>36</v>
      </c>
      <c r="U1818" s="217" t="s">
        <v>37</v>
      </c>
      <c r="V1818" s="217" t="s">
        <v>32</v>
      </c>
      <c r="W1818" s="217" t="s">
        <v>32</v>
      </c>
    </row>
    <row r="1819" spans="1:23" x14ac:dyDescent="0.25">
      <c r="A1819" s="217" t="s">
        <v>22</v>
      </c>
      <c r="B1819" s="217" t="s">
        <v>23</v>
      </c>
      <c r="C1819" s="217" t="s">
        <v>37</v>
      </c>
      <c r="D1819" s="217" t="s">
        <v>36</v>
      </c>
      <c r="E1819" s="217" t="s">
        <v>547</v>
      </c>
      <c r="F1819" s="217" t="s">
        <v>548</v>
      </c>
      <c r="G1819" s="217" t="s">
        <v>569</v>
      </c>
      <c r="H1819" s="217" t="s">
        <v>1433</v>
      </c>
      <c r="I1819" s="217" t="s">
        <v>659</v>
      </c>
      <c r="J1819" s="217" t="s">
        <v>1858</v>
      </c>
      <c r="K1819" s="217">
        <v>21</v>
      </c>
      <c r="L1819" s="217">
        <v>142</v>
      </c>
      <c r="M1819" s="217" t="s">
        <v>31</v>
      </c>
      <c r="N1819" s="217" t="s">
        <v>32</v>
      </c>
      <c r="O1819" s="217" t="s">
        <v>668</v>
      </c>
      <c r="P1819" s="217" t="s">
        <v>34</v>
      </c>
      <c r="Q1819" s="217" t="s">
        <v>35</v>
      </c>
      <c r="R1819" s="217" t="s">
        <v>23</v>
      </c>
      <c r="S1819" s="217" t="s">
        <v>22</v>
      </c>
      <c r="T1819" s="217" t="s">
        <v>47</v>
      </c>
      <c r="U1819" s="217" t="s">
        <v>48</v>
      </c>
      <c r="V1819" s="217" t="s">
        <v>32</v>
      </c>
      <c r="W1819" s="217" t="s">
        <v>32</v>
      </c>
    </row>
    <row r="1820" spans="1:23" x14ac:dyDescent="0.25">
      <c r="A1820" s="217" t="s">
        <v>22</v>
      </c>
      <c r="B1820" s="217" t="s">
        <v>23</v>
      </c>
      <c r="C1820" s="217" t="s">
        <v>37</v>
      </c>
      <c r="D1820" s="217" t="s">
        <v>36</v>
      </c>
      <c r="E1820" s="217" t="s">
        <v>547</v>
      </c>
      <c r="F1820" s="217" t="s">
        <v>548</v>
      </c>
      <c r="G1820" s="217" t="s">
        <v>571</v>
      </c>
      <c r="H1820" s="217" t="s">
        <v>1435</v>
      </c>
      <c r="I1820" s="217" t="s">
        <v>659</v>
      </c>
      <c r="J1820" s="217" t="s">
        <v>1858</v>
      </c>
      <c r="K1820" s="217">
        <v>53</v>
      </c>
      <c r="L1820" s="217">
        <v>284</v>
      </c>
      <c r="M1820" s="217" t="s">
        <v>31</v>
      </c>
      <c r="N1820" s="217" t="s">
        <v>32</v>
      </c>
      <c r="O1820" s="217" t="s">
        <v>668</v>
      </c>
      <c r="P1820" s="217" t="s">
        <v>34</v>
      </c>
      <c r="Q1820" s="217" t="s">
        <v>35</v>
      </c>
      <c r="R1820" s="217" t="s">
        <v>23</v>
      </c>
      <c r="S1820" s="217" t="s">
        <v>22</v>
      </c>
      <c r="T1820" s="217" t="s">
        <v>36</v>
      </c>
      <c r="U1820" s="217" t="s">
        <v>37</v>
      </c>
      <c r="V1820" s="217" t="s">
        <v>32</v>
      </c>
      <c r="W1820" s="217" t="s">
        <v>32</v>
      </c>
    </row>
    <row r="1821" spans="1:23" x14ac:dyDescent="0.25">
      <c r="A1821" s="217" t="s">
        <v>22</v>
      </c>
      <c r="B1821" s="217" t="s">
        <v>23</v>
      </c>
      <c r="C1821" s="217" t="s">
        <v>37</v>
      </c>
      <c r="D1821" s="217" t="s">
        <v>36</v>
      </c>
      <c r="E1821" s="217" t="s">
        <v>547</v>
      </c>
      <c r="F1821" s="217" t="s">
        <v>548</v>
      </c>
      <c r="G1821" s="217" t="s">
        <v>572</v>
      </c>
      <c r="H1821" s="217" t="s">
        <v>1436</v>
      </c>
      <c r="I1821" s="217" t="s">
        <v>659</v>
      </c>
      <c r="J1821" s="217" t="s">
        <v>1859</v>
      </c>
      <c r="K1821" s="217">
        <v>18</v>
      </c>
      <c r="L1821" s="217">
        <v>135</v>
      </c>
      <c r="M1821" s="217" t="s">
        <v>31</v>
      </c>
      <c r="N1821" s="217" t="s">
        <v>32</v>
      </c>
      <c r="O1821" s="217" t="s">
        <v>668</v>
      </c>
      <c r="P1821" s="217" t="s">
        <v>34</v>
      </c>
      <c r="Q1821" s="217" t="s">
        <v>35</v>
      </c>
      <c r="R1821" s="217" t="s">
        <v>23</v>
      </c>
      <c r="S1821" s="217" t="s">
        <v>22</v>
      </c>
      <c r="T1821" s="217" t="s">
        <v>36</v>
      </c>
      <c r="U1821" s="217" t="s">
        <v>37</v>
      </c>
      <c r="V1821" s="217" t="s">
        <v>32</v>
      </c>
      <c r="W1821" s="217" t="s">
        <v>32</v>
      </c>
    </row>
    <row r="1822" spans="1:23" x14ac:dyDescent="0.25">
      <c r="A1822" s="217" t="s">
        <v>22</v>
      </c>
      <c r="B1822" s="217" t="s">
        <v>23</v>
      </c>
      <c r="C1822" s="217" t="s">
        <v>37</v>
      </c>
      <c r="D1822" s="217" t="s">
        <v>36</v>
      </c>
      <c r="E1822" s="217" t="s">
        <v>547</v>
      </c>
      <c r="F1822" s="217" t="s">
        <v>548</v>
      </c>
      <c r="G1822" s="217" t="s">
        <v>573</v>
      </c>
      <c r="H1822" s="217" t="s">
        <v>1437</v>
      </c>
      <c r="I1822" s="217" t="s">
        <v>659</v>
      </c>
      <c r="J1822" s="217" t="s">
        <v>1858</v>
      </c>
      <c r="K1822" s="217">
        <v>13</v>
      </c>
      <c r="L1822" s="217">
        <v>62</v>
      </c>
      <c r="M1822" s="217" t="s">
        <v>31</v>
      </c>
      <c r="N1822" s="217" t="s">
        <v>32</v>
      </c>
      <c r="O1822" s="217" t="s">
        <v>668</v>
      </c>
      <c r="P1822" s="217" t="s">
        <v>34</v>
      </c>
      <c r="Q1822" s="217" t="s">
        <v>35</v>
      </c>
      <c r="R1822" s="217" t="s">
        <v>23</v>
      </c>
      <c r="S1822" s="217" t="s">
        <v>22</v>
      </c>
      <c r="T1822" s="217" t="s">
        <v>36</v>
      </c>
      <c r="U1822" s="217" t="s">
        <v>37</v>
      </c>
      <c r="V1822" s="217" t="s">
        <v>32</v>
      </c>
      <c r="W1822" s="217" t="s">
        <v>32</v>
      </c>
    </row>
    <row r="1823" spans="1:23" x14ac:dyDescent="0.25">
      <c r="A1823" s="217" t="s">
        <v>22</v>
      </c>
      <c r="B1823" s="217" t="s">
        <v>23</v>
      </c>
      <c r="C1823" s="217" t="s">
        <v>37</v>
      </c>
      <c r="D1823" s="217" t="s">
        <v>36</v>
      </c>
      <c r="E1823" s="217" t="s">
        <v>547</v>
      </c>
      <c r="F1823" s="217" t="s">
        <v>548</v>
      </c>
      <c r="G1823" s="217" t="s">
        <v>574</v>
      </c>
      <c r="H1823" s="217" t="s">
        <v>1438</v>
      </c>
      <c r="I1823" s="217" t="s">
        <v>659</v>
      </c>
      <c r="J1823" s="217" t="s">
        <v>1858</v>
      </c>
      <c r="K1823" s="217">
        <v>16</v>
      </c>
      <c r="L1823" s="217">
        <v>109</v>
      </c>
      <c r="M1823" s="217" t="s">
        <v>31</v>
      </c>
      <c r="N1823" s="217" t="s">
        <v>32</v>
      </c>
      <c r="O1823" s="217" t="s">
        <v>668</v>
      </c>
      <c r="P1823" s="217" t="s">
        <v>34</v>
      </c>
      <c r="Q1823" s="217" t="s">
        <v>35</v>
      </c>
      <c r="R1823" s="217" t="s">
        <v>2063</v>
      </c>
      <c r="S1823" s="217" t="s">
        <v>2064</v>
      </c>
      <c r="T1823" s="217" t="s">
        <v>36</v>
      </c>
      <c r="U1823" s="217" t="s">
        <v>37</v>
      </c>
      <c r="V1823" s="217" t="s">
        <v>32</v>
      </c>
      <c r="W1823" s="217" t="s">
        <v>32</v>
      </c>
    </row>
    <row r="1824" spans="1:23" x14ac:dyDescent="0.25">
      <c r="A1824" s="217" t="s">
        <v>22</v>
      </c>
      <c r="B1824" s="217" t="s">
        <v>23</v>
      </c>
      <c r="C1824" s="217" t="s">
        <v>37</v>
      </c>
      <c r="D1824" s="217" t="s">
        <v>36</v>
      </c>
      <c r="E1824" s="217" t="s">
        <v>547</v>
      </c>
      <c r="F1824" s="217" t="s">
        <v>548</v>
      </c>
      <c r="G1824" s="217" t="s">
        <v>575</v>
      </c>
      <c r="H1824" s="217" t="s">
        <v>1439</v>
      </c>
      <c r="I1824" s="217" t="s">
        <v>659</v>
      </c>
      <c r="J1824" s="217" t="s">
        <v>1858</v>
      </c>
      <c r="K1824" s="217">
        <v>6</v>
      </c>
      <c r="L1824" s="217">
        <v>32</v>
      </c>
      <c r="M1824" s="217" t="s">
        <v>31</v>
      </c>
      <c r="N1824" s="217" t="s">
        <v>32</v>
      </c>
      <c r="O1824" s="217" t="s">
        <v>668</v>
      </c>
      <c r="P1824" s="217" t="s">
        <v>34</v>
      </c>
      <c r="Q1824" s="217" t="s">
        <v>35</v>
      </c>
      <c r="R1824" s="217" t="s">
        <v>23</v>
      </c>
      <c r="S1824" s="217" t="s">
        <v>22</v>
      </c>
      <c r="T1824" s="217" t="s">
        <v>36</v>
      </c>
      <c r="U1824" s="217" t="s">
        <v>37</v>
      </c>
      <c r="V1824" s="217" t="s">
        <v>32</v>
      </c>
      <c r="W1824" s="217" t="s">
        <v>32</v>
      </c>
    </row>
    <row r="1825" spans="1:23" x14ac:dyDescent="0.25">
      <c r="A1825" s="217" t="s">
        <v>22</v>
      </c>
      <c r="B1825" s="217" t="s">
        <v>23</v>
      </c>
      <c r="C1825" s="217" t="s">
        <v>37</v>
      </c>
      <c r="D1825" s="217" t="s">
        <v>36</v>
      </c>
      <c r="E1825" s="217" t="s">
        <v>547</v>
      </c>
      <c r="F1825" s="217" t="s">
        <v>548</v>
      </c>
      <c r="G1825" s="217" t="s">
        <v>2041</v>
      </c>
      <c r="H1825" s="217" t="s">
        <v>2040</v>
      </c>
      <c r="I1825" s="217" t="s">
        <v>659</v>
      </c>
      <c r="J1825" s="217" t="s">
        <v>1857</v>
      </c>
      <c r="K1825" s="217">
        <v>2</v>
      </c>
      <c r="L1825" s="217">
        <v>11</v>
      </c>
      <c r="M1825" s="217" t="s">
        <v>31</v>
      </c>
      <c r="N1825" s="217" t="s">
        <v>32</v>
      </c>
      <c r="O1825" s="217" t="s">
        <v>668</v>
      </c>
      <c r="P1825" s="217" t="s">
        <v>34</v>
      </c>
      <c r="Q1825" s="217" t="s">
        <v>35</v>
      </c>
      <c r="R1825" s="217" t="s">
        <v>23</v>
      </c>
      <c r="S1825" s="217" t="s">
        <v>22</v>
      </c>
      <c r="T1825" s="217" t="s">
        <v>36</v>
      </c>
      <c r="U1825" s="217" t="s">
        <v>37</v>
      </c>
      <c r="V1825" s="217" t="s">
        <v>32</v>
      </c>
      <c r="W1825" s="217" t="s">
        <v>32</v>
      </c>
    </row>
    <row r="1826" spans="1:23" x14ac:dyDescent="0.25">
      <c r="A1826" s="217" t="s">
        <v>22</v>
      </c>
      <c r="B1826" s="217" t="s">
        <v>23</v>
      </c>
      <c r="C1826" s="217" t="s">
        <v>37</v>
      </c>
      <c r="D1826" s="217" t="s">
        <v>36</v>
      </c>
      <c r="E1826" s="217" t="s">
        <v>244</v>
      </c>
      <c r="F1826" s="217" t="s">
        <v>243</v>
      </c>
      <c r="G1826" s="217" t="s">
        <v>644</v>
      </c>
      <c r="H1826" s="217" t="s">
        <v>1537</v>
      </c>
      <c r="I1826" s="217" t="s">
        <v>659</v>
      </c>
      <c r="J1826" s="217" t="s">
        <v>1856</v>
      </c>
      <c r="K1826" s="217">
        <v>2</v>
      </c>
      <c r="L1826" s="217">
        <v>8</v>
      </c>
      <c r="M1826" s="217" t="s">
        <v>31</v>
      </c>
      <c r="N1826" s="217" t="s">
        <v>32</v>
      </c>
      <c r="O1826" s="217" t="s">
        <v>668</v>
      </c>
      <c r="P1826" s="217" t="s">
        <v>34</v>
      </c>
      <c r="Q1826" s="217" t="s">
        <v>35</v>
      </c>
      <c r="R1826" s="217" t="s">
        <v>23</v>
      </c>
      <c r="S1826" s="217" t="s">
        <v>22</v>
      </c>
      <c r="T1826" s="217" t="s">
        <v>36</v>
      </c>
      <c r="U1826" s="217" t="s">
        <v>37</v>
      </c>
      <c r="V1826" s="217" t="s">
        <v>32</v>
      </c>
      <c r="W1826" s="217" t="s">
        <v>32</v>
      </c>
    </row>
    <row r="1827" spans="1:23" x14ac:dyDescent="0.25">
      <c r="A1827" s="217" t="s">
        <v>22</v>
      </c>
      <c r="B1827" s="217" t="s">
        <v>23</v>
      </c>
      <c r="C1827" s="217" t="s">
        <v>37</v>
      </c>
      <c r="D1827" s="217" t="s">
        <v>36</v>
      </c>
      <c r="E1827" s="217" t="s">
        <v>244</v>
      </c>
      <c r="F1827" s="217" t="s">
        <v>243</v>
      </c>
      <c r="G1827" s="217" t="s">
        <v>645</v>
      </c>
      <c r="H1827" s="217" t="s">
        <v>1538</v>
      </c>
      <c r="I1827" s="217" t="s">
        <v>659</v>
      </c>
      <c r="J1827" s="217" t="s">
        <v>1855</v>
      </c>
      <c r="K1827" s="217">
        <v>7</v>
      </c>
      <c r="L1827" s="217">
        <v>39</v>
      </c>
      <c r="M1827" s="217" t="s">
        <v>31</v>
      </c>
      <c r="N1827" s="217" t="s">
        <v>32</v>
      </c>
      <c r="O1827" s="217" t="s">
        <v>141</v>
      </c>
      <c r="P1827" s="217" t="s">
        <v>142</v>
      </c>
      <c r="Q1827" s="217" t="s">
        <v>143</v>
      </c>
      <c r="R1827" s="217" t="s">
        <v>641</v>
      </c>
      <c r="S1827" s="217" t="s">
        <v>642</v>
      </c>
      <c r="T1827" s="217" t="s">
        <v>32</v>
      </c>
      <c r="U1827" s="217" t="s">
        <v>32</v>
      </c>
      <c r="V1827" s="217" t="s">
        <v>32</v>
      </c>
      <c r="W1827" s="217" t="s">
        <v>32</v>
      </c>
    </row>
    <row r="1828" spans="1:23" x14ac:dyDescent="0.25">
      <c r="A1828" s="217" t="s">
        <v>22</v>
      </c>
      <c r="B1828" s="217" t="s">
        <v>23</v>
      </c>
      <c r="C1828" s="217" t="s">
        <v>37</v>
      </c>
      <c r="D1828" s="217" t="s">
        <v>36</v>
      </c>
      <c r="E1828" s="217" t="s">
        <v>244</v>
      </c>
      <c r="F1828" s="217" t="s">
        <v>243</v>
      </c>
      <c r="G1828" s="217" t="s">
        <v>645</v>
      </c>
      <c r="H1828" s="217" t="s">
        <v>1538</v>
      </c>
      <c r="I1828" s="217" t="s">
        <v>659</v>
      </c>
      <c r="J1828" s="217" t="s">
        <v>1856</v>
      </c>
      <c r="K1828" s="217">
        <v>6</v>
      </c>
      <c r="L1828" s="217">
        <v>34</v>
      </c>
      <c r="M1828" s="217" t="s">
        <v>31</v>
      </c>
      <c r="N1828" s="217" t="s">
        <v>32</v>
      </c>
      <c r="O1828" s="217" t="s">
        <v>141</v>
      </c>
      <c r="P1828" s="217" t="s">
        <v>142</v>
      </c>
      <c r="Q1828" s="217" t="s">
        <v>143</v>
      </c>
      <c r="R1828" s="217" t="s">
        <v>641</v>
      </c>
      <c r="S1828" s="217" t="s">
        <v>642</v>
      </c>
      <c r="T1828" s="217" t="s">
        <v>32</v>
      </c>
      <c r="U1828" s="217" t="s">
        <v>32</v>
      </c>
      <c r="V1828" s="217" t="s">
        <v>32</v>
      </c>
      <c r="W1828" s="217" t="s">
        <v>32</v>
      </c>
    </row>
    <row r="1829" spans="1:23" x14ac:dyDescent="0.25">
      <c r="A1829" s="217" t="s">
        <v>22</v>
      </c>
      <c r="B1829" s="217" t="s">
        <v>23</v>
      </c>
      <c r="C1829" s="217" t="s">
        <v>37</v>
      </c>
      <c r="D1829" s="217" t="s">
        <v>36</v>
      </c>
      <c r="E1829" s="217" t="s">
        <v>244</v>
      </c>
      <c r="F1829" s="217" t="s">
        <v>243</v>
      </c>
      <c r="G1829" s="217" t="s">
        <v>646</v>
      </c>
      <c r="H1829" s="217" t="s">
        <v>1539</v>
      </c>
      <c r="I1829" s="217" t="s">
        <v>659</v>
      </c>
      <c r="J1829" s="217" t="s">
        <v>1855</v>
      </c>
      <c r="K1829" s="217">
        <v>2</v>
      </c>
      <c r="L1829" s="217">
        <v>13</v>
      </c>
      <c r="M1829" s="217" t="s">
        <v>31</v>
      </c>
      <c r="N1829" s="217" t="s">
        <v>32</v>
      </c>
      <c r="O1829" s="217" t="s">
        <v>668</v>
      </c>
      <c r="P1829" s="217" t="s">
        <v>34</v>
      </c>
      <c r="Q1829" s="217" t="s">
        <v>35</v>
      </c>
      <c r="R1829" s="217" t="s">
        <v>23</v>
      </c>
      <c r="S1829" s="217" t="s">
        <v>22</v>
      </c>
      <c r="T1829" s="217" t="s">
        <v>36</v>
      </c>
      <c r="U1829" s="217" t="s">
        <v>37</v>
      </c>
      <c r="V1829" s="217" t="s">
        <v>32</v>
      </c>
      <c r="W1829" s="217" t="s">
        <v>32</v>
      </c>
    </row>
    <row r="1830" spans="1:23" x14ac:dyDescent="0.25">
      <c r="A1830" s="217" t="s">
        <v>22</v>
      </c>
      <c r="B1830" s="217" t="s">
        <v>23</v>
      </c>
      <c r="C1830" s="217" t="s">
        <v>37</v>
      </c>
      <c r="D1830" s="217" t="s">
        <v>36</v>
      </c>
      <c r="E1830" s="217" t="s">
        <v>244</v>
      </c>
      <c r="F1830" s="217" t="s">
        <v>243</v>
      </c>
      <c r="G1830" s="217" t="s">
        <v>646</v>
      </c>
      <c r="H1830" s="217" t="s">
        <v>1539</v>
      </c>
      <c r="I1830" s="217" t="s">
        <v>659</v>
      </c>
      <c r="J1830" s="217" t="s">
        <v>1856</v>
      </c>
      <c r="K1830" s="217">
        <v>3</v>
      </c>
      <c r="L1830" s="217">
        <v>17</v>
      </c>
      <c r="M1830" s="217" t="s">
        <v>31</v>
      </c>
      <c r="N1830" s="217" t="s">
        <v>32</v>
      </c>
      <c r="O1830" s="217" t="s">
        <v>668</v>
      </c>
      <c r="P1830" s="217" t="s">
        <v>34</v>
      </c>
      <c r="Q1830" s="217" t="s">
        <v>35</v>
      </c>
      <c r="R1830" s="217" t="s">
        <v>23</v>
      </c>
      <c r="S1830" s="217" t="s">
        <v>22</v>
      </c>
      <c r="T1830" s="217" t="s">
        <v>36</v>
      </c>
      <c r="U1830" s="217" t="s">
        <v>37</v>
      </c>
      <c r="V1830" s="217" t="s">
        <v>32</v>
      </c>
      <c r="W1830" s="217" t="s">
        <v>32</v>
      </c>
    </row>
    <row r="1831" spans="1:23" x14ac:dyDescent="0.25">
      <c r="A1831" s="217" t="s">
        <v>22</v>
      </c>
      <c r="B1831" s="217" t="s">
        <v>23</v>
      </c>
      <c r="C1831" s="217" t="s">
        <v>37</v>
      </c>
      <c r="D1831" s="217" t="s">
        <v>36</v>
      </c>
      <c r="E1831" s="217" t="s">
        <v>244</v>
      </c>
      <c r="F1831" s="217" t="s">
        <v>243</v>
      </c>
      <c r="G1831" s="217" t="s">
        <v>245</v>
      </c>
      <c r="H1831" s="217" t="s">
        <v>1543</v>
      </c>
      <c r="I1831" s="217" t="s">
        <v>659</v>
      </c>
      <c r="J1831" s="217" t="s">
        <v>1855</v>
      </c>
      <c r="K1831" s="217">
        <v>20</v>
      </c>
      <c r="L1831" s="217">
        <v>90</v>
      </c>
      <c r="M1831" s="217" t="s">
        <v>31</v>
      </c>
      <c r="N1831" s="217" t="s">
        <v>32</v>
      </c>
      <c r="O1831" s="217" t="s">
        <v>141</v>
      </c>
      <c r="P1831" s="217" t="s">
        <v>142</v>
      </c>
      <c r="Q1831" s="217" t="s">
        <v>143</v>
      </c>
      <c r="R1831" s="217" t="s">
        <v>641</v>
      </c>
      <c r="S1831" s="217" t="s">
        <v>642</v>
      </c>
      <c r="T1831" s="217" t="s">
        <v>32</v>
      </c>
      <c r="U1831" s="217" t="s">
        <v>32</v>
      </c>
      <c r="V1831" s="217" t="s">
        <v>32</v>
      </c>
      <c r="W1831" s="217" t="s">
        <v>32</v>
      </c>
    </row>
    <row r="1832" spans="1:23" x14ac:dyDescent="0.25">
      <c r="A1832" s="217" t="s">
        <v>22</v>
      </c>
      <c r="B1832" s="217" t="s">
        <v>23</v>
      </c>
      <c r="C1832" s="217" t="s">
        <v>37</v>
      </c>
      <c r="D1832" s="217" t="s">
        <v>36</v>
      </c>
      <c r="E1832" s="217" t="s">
        <v>244</v>
      </c>
      <c r="F1832" s="217" t="s">
        <v>243</v>
      </c>
      <c r="G1832" s="217" t="s">
        <v>245</v>
      </c>
      <c r="H1832" s="217" t="s">
        <v>1543</v>
      </c>
      <c r="I1832" s="217" t="s">
        <v>659</v>
      </c>
      <c r="J1832" s="217" t="s">
        <v>1856</v>
      </c>
      <c r="K1832" s="217">
        <v>30</v>
      </c>
      <c r="L1832" s="217">
        <v>210</v>
      </c>
      <c r="M1832" s="217" t="s">
        <v>31</v>
      </c>
      <c r="N1832" s="217" t="s">
        <v>32</v>
      </c>
      <c r="O1832" s="217" t="s">
        <v>141</v>
      </c>
      <c r="P1832" s="217" t="s">
        <v>142</v>
      </c>
      <c r="Q1832" s="217" t="s">
        <v>143</v>
      </c>
      <c r="R1832" s="217" t="s">
        <v>641</v>
      </c>
      <c r="S1832" s="217" t="s">
        <v>642</v>
      </c>
      <c r="T1832" s="217" t="s">
        <v>32</v>
      </c>
      <c r="U1832" s="217" t="s">
        <v>32</v>
      </c>
      <c r="V1832" s="217" t="s">
        <v>32</v>
      </c>
      <c r="W1832" s="217" t="s">
        <v>32</v>
      </c>
    </row>
    <row r="1833" spans="1:23" x14ac:dyDescent="0.25">
      <c r="A1833" s="217" t="s">
        <v>22</v>
      </c>
      <c r="B1833" s="217" t="s">
        <v>23</v>
      </c>
      <c r="C1833" s="217" t="s">
        <v>37</v>
      </c>
      <c r="D1833" s="217" t="s">
        <v>36</v>
      </c>
      <c r="E1833" s="217" t="s">
        <v>244</v>
      </c>
      <c r="F1833" s="217" t="s">
        <v>243</v>
      </c>
      <c r="G1833" s="217" t="s">
        <v>648</v>
      </c>
      <c r="H1833" s="217" t="s">
        <v>1544</v>
      </c>
      <c r="I1833" s="217" t="s">
        <v>659</v>
      </c>
      <c r="J1833" s="217" t="s">
        <v>1855</v>
      </c>
      <c r="K1833" s="217">
        <v>5</v>
      </c>
      <c r="L1833" s="217">
        <v>15</v>
      </c>
      <c r="M1833" s="217" t="s">
        <v>31</v>
      </c>
      <c r="N1833" s="217" t="s">
        <v>32</v>
      </c>
      <c r="O1833" s="217" t="s">
        <v>668</v>
      </c>
      <c r="P1833" s="217" t="s">
        <v>34</v>
      </c>
      <c r="Q1833" s="217" t="s">
        <v>35</v>
      </c>
      <c r="R1833" s="217" t="s">
        <v>23</v>
      </c>
      <c r="S1833" s="217" t="s">
        <v>22</v>
      </c>
      <c r="T1833" s="217" t="s">
        <v>36</v>
      </c>
      <c r="U1833" s="217" t="s">
        <v>37</v>
      </c>
      <c r="V1833" s="217" t="s">
        <v>32</v>
      </c>
      <c r="W1833" s="217" t="s">
        <v>32</v>
      </c>
    </row>
    <row r="1834" spans="1:23" x14ac:dyDescent="0.25">
      <c r="A1834" s="217" t="s">
        <v>22</v>
      </c>
      <c r="B1834" s="217" t="s">
        <v>23</v>
      </c>
      <c r="C1834" s="217" t="s">
        <v>37</v>
      </c>
      <c r="D1834" s="217" t="s">
        <v>36</v>
      </c>
      <c r="E1834" s="217" t="s">
        <v>244</v>
      </c>
      <c r="F1834" s="217" t="s">
        <v>243</v>
      </c>
      <c r="G1834" s="217" t="s">
        <v>648</v>
      </c>
      <c r="H1834" s="217" t="s">
        <v>1544</v>
      </c>
      <c r="I1834" s="217" t="s">
        <v>659</v>
      </c>
      <c r="J1834" s="217" t="s">
        <v>1856</v>
      </c>
      <c r="K1834" s="217">
        <v>7</v>
      </c>
      <c r="L1834" s="217">
        <v>17</v>
      </c>
      <c r="M1834" s="217" t="s">
        <v>31</v>
      </c>
      <c r="N1834" s="217" t="s">
        <v>32</v>
      </c>
      <c r="O1834" s="217" t="s">
        <v>668</v>
      </c>
      <c r="P1834" s="217" t="s">
        <v>34</v>
      </c>
      <c r="Q1834" s="217" t="s">
        <v>35</v>
      </c>
      <c r="R1834" s="217" t="s">
        <v>23</v>
      </c>
      <c r="S1834" s="217" t="s">
        <v>22</v>
      </c>
      <c r="T1834" s="217" t="s">
        <v>36</v>
      </c>
      <c r="U1834" s="217" t="s">
        <v>37</v>
      </c>
      <c r="V1834" s="217" t="s">
        <v>32</v>
      </c>
      <c r="W1834" s="217" t="s">
        <v>32</v>
      </c>
    </row>
    <row r="1835" spans="1:23" x14ac:dyDescent="0.25">
      <c r="A1835" s="217" t="s">
        <v>22</v>
      </c>
      <c r="B1835" s="217" t="s">
        <v>23</v>
      </c>
      <c r="C1835" s="217" t="s">
        <v>37</v>
      </c>
      <c r="D1835" s="217" t="s">
        <v>36</v>
      </c>
      <c r="E1835" s="217" t="s">
        <v>244</v>
      </c>
      <c r="F1835" s="217" t="s">
        <v>243</v>
      </c>
      <c r="G1835" s="217" t="s">
        <v>648</v>
      </c>
      <c r="H1835" s="217" t="s">
        <v>1544</v>
      </c>
      <c r="I1835" s="217" t="s">
        <v>659</v>
      </c>
      <c r="J1835" s="217" t="s">
        <v>1857</v>
      </c>
      <c r="K1835" s="217">
        <v>2</v>
      </c>
      <c r="L1835" s="217">
        <v>5</v>
      </c>
      <c r="M1835" s="217" t="s">
        <v>31</v>
      </c>
      <c r="N1835" s="217" t="s">
        <v>32</v>
      </c>
      <c r="O1835" s="217" t="s">
        <v>668</v>
      </c>
      <c r="P1835" s="217" t="s">
        <v>34</v>
      </c>
      <c r="Q1835" s="217" t="s">
        <v>35</v>
      </c>
      <c r="R1835" s="217" t="s">
        <v>23</v>
      </c>
      <c r="S1835" s="217" t="s">
        <v>22</v>
      </c>
      <c r="T1835" s="217" t="s">
        <v>36</v>
      </c>
      <c r="U1835" s="217" t="s">
        <v>37</v>
      </c>
      <c r="V1835" s="217" t="s">
        <v>32</v>
      </c>
      <c r="W1835" s="217" t="s">
        <v>32</v>
      </c>
    </row>
    <row r="1836" spans="1:23" x14ac:dyDescent="0.25">
      <c r="A1836" s="217" t="s">
        <v>22</v>
      </c>
      <c r="B1836" s="217" t="s">
        <v>23</v>
      </c>
      <c r="C1836" s="217" t="s">
        <v>37</v>
      </c>
      <c r="D1836" s="217" t="s">
        <v>36</v>
      </c>
      <c r="E1836" s="217" t="s">
        <v>244</v>
      </c>
      <c r="F1836" s="217" t="s">
        <v>243</v>
      </c>
      <c r="G1836" s="217" t="s">
        <v>649</v>
      </c>
      <c r="H1836" s="217" t="s">
        <v>1545</v>
      </c>
      <c r="I1836" s="217" t="s">
        <v>659</v>
      </c>
      <c r="J1836" s="217" t="s">
        <v>1855</v>
      </c>
      <c r="K1836" s="217">
        <v>11</v>
      </c>
      <c r="L1836" s="217">
        <v>41</v>
      </c>
      <c r="M1836" s="217" t="s">
        <v>31</v>
      </c>
      <c r="N1836" s="217" t="s">
        <v>32</v>
      </c>
      <c r="O1836" s="217" t="s">
        <v>668</v>
      </c>
      <c r="P1836" s="217" t="s">
        <v>34</v>
      </c>
      <c r="Q1836" s="217" t="s">
        <v>35</v>
      </c>
      <c r="R1836" s="217" t="s">
        <v>23</v>
      </c>
      <c r="S1836" s="217" t="s">
        <v>22</v>
      </c>
      <c r="T1836" s="217" t="s">
        <v>36</v>
      </c>
      <c r="U1836" s="217" t="s">
        <v>37</v>
      </c>
      <c r="V1836" s="217" t="s">
        <v>32</v>
      </c>
      <c r="W1836" s="217" t="s">
        <v>32</v>
      </c>
    </row>
    <row r="1837" spans="1:23" x14ac:dyDescent="0.25">
      <c r="A1837" s="217" t="s">
        <v>22</v>
      </c>
      <c r="B1837" s="217" t="s">
        <v>23</v>
      </c>
      <c r="C1837" s="217" t="s">
        <v>37</v>
      </c>
      <c r="D1837" s="217" t="s">
        <v>36</v>
      </c>
      <c r="E1837" s="217" t="s">
        <v>244</v>
      </c>
      <c r="F1837" s="217" t="s">
        <v>243</v>
      </c>
      <c r="G1837" s="217" t="s">
        <v>649</v>
      </c>
      <c r="H1837" s="217" t="s">
        <v>1545</v>
      </c>
      <c r="I1837" s="217" t="s">
        <v>659</v>
      </c>
      <c r="J1837" s="217" t="s">
        <v>1856</v>
      </c>
      <c r="K1837" s="217">
        <v>4</v>
      </c>
      <c r="L1837" s="217">
        <v>25</v>
      </c>
      <c r="M1837" s="217" t="s">
        <v>31</v>
      </c>
      <c r="N1837" s="217" t="s">
        <v>32</v>
      </c>
      <c r="O1837" s="217" t="s">
        <v>668</v>
      </c>
      <c r="P1837" s="217" t="s">
        <v>34</v>
      </c>
      <c r="Q1837" s="217" t="s">
        <v>35</v>
      </c>
      <c r="R1837" s="217" t="s">
        <v>23</v>
      </c>
      <c r="S1837" s="217" t="s">
        <v>22</v>
      </c>
      <c r="T1837" s="217" t="s">
        <v>36</v>
      </c>
      <c r="U1837" s="217" t="s">
        <v>37</v>
      </c>
      <c r="V1837" s="217" t="s">
        <v>32</v>
      </c>
      <c r="W1837" s="217" t="s">
        <v>32</v>
      </c>
    </row>
    <row r="1838" spans="1:23" x14ac:dyDescent="0.25">
      <c r="A1838" s="217" t="s">
        <v>22</v>
      </c>
      <c r="B1838" s="217" t="s">
        <v>23</v>
      </c>
      <c r="C1838" s="217" t="s">
        <v>37</v>
      </c>
      <c r="D1838" s="217" t="s">
        <v>36</v>
      </c>
      <c r="E1838" s="217" t="s">
        <v>244</v>
      </c>
      <c r="F1838" s="217" t="s">
        <v>243</v>
      </c>
      <c r="G1838" s="217" t="s">
        <v>649</v>
      </c>
      <c r="H1838" s="217" t="s">
        <v>1545</v>
      </c>
      <c r="I1838" s="217" t="s">
        <v>659</v>
      </c>
      <c r="J1838" s="217" t="s">
        <v>1857</v>
      </c>
      <c r="K1838" s="217">
        <v>1</v>
      </c>
      <c r="L1838" s="217">
        <v>3</v>
      </c>
      <c r="M1838" s="217" t="s">
        <v>31</v>
      </c>
      <c r="N1838" s="217" t="s">
        <v>32</v>
      </c>
      <c r="O1838" s="217" t="s">
        <v>668</v>
      </c>
      <c r="P1838" s="217" t="s">
        <v>34</v>
      </c>
      <c r="Q1838" s="217" t="s">
        <v>35</v>
      </c>
      <c r="R1838" s="217" t="s">
        <v>23</v>
      </c>
      <c r="S1838" s="217" t="s">
        <v>22</v>
      </c>
      <c r="T1838" s="217" t="s">
        <v>36</v>
      </c>
      <c r="U1838" s="217" t="s">
        <v>37</v>
      </c>
      <c r="V1838" s="217" t="s">
        <v>32</v>
      </c>
      <c r="W1838" s="217" t="s">
        <v>32</v>
      </c>
    </row>
    <row r="1839" spans="1:23" x14ac:dyDescent="0.25">
      <c r="A1839" s="217" t="s">
        <v>22</v>
      </c>
      <c r="B1839" s="217" t="s">
        <v>23</v>
      </c>
      <c r="C1839" s="217" t="s">
        <v>37</v>
      </c>
      <c r="D1839" s="217" t="s">
        <v>36</v>
      </c>
      <c r="E1839" s="217" t="s">
        <v>244</v>
      </c>
      <c r="F1839" s="217" t="s">
        <v>243</v>
      </c>
      <c r="G1839" s="217" t="s">
        <v>650</v>
      </c>
      <c r="H1839" s="217" t="s">
        <v>1546</v>
      </c>
      <c r="I1839" s="217" t="s">
        <v>659</v>
      </c>
      <c r="J1839" s="217" t="s">
        <v>1855</v>
      </c>
      <c r="K1839" s="217">
        <v>8</v>
      </c>
      <c r="L1839" s="217">
        <v>42</v>
      </c>
      <c r="M1839" s="217" t="s">
        <v>31</v>
      </c>
      <c r="N1839" s="217" t="s">
        <v>32</v>
      </c>
      <c r="O1839" s="217" t="s">
        <v>668</v>
      </c>
      <c r="P1839" s="217" t="s">
        <v>34</v>
      </c>
      <c r="Q1839" s="217" t="s">
        <v>35</v>
      </c>
      <c r="R1839" s="217" t="s">
        <v>23</v>
      </c>
      <c r="S1839" s="217" t="s">
        <v>22</v>
      </c>
      <c r="T1839" s="217" t="s">
        <v>36</v>
      </c>
      <c r="U1839" s="217" t="s">
        <v>37</v>
      </c>
      <c r="V1839" s="217" t="s">
        <v>32</v>
      </c>
      <c r="W1839" s="217" t="s">
        <v>32</v>
      </c>
    </row>
    <row r="1840" spans="1:23" x14ac:dyDescent="0.25">
      <c r="A1840" s="217" t="s">
        <v>22</v>
      </c>
      <c r="B1840" s="217" t="s">
        <v>23</v>
      </c>
      <c r="C1840" s="217" t="s">
        <v>37</v>
      </c>
      <c r="D1840" s="217" t="s">
        <v>36</v>
      </c>
      <c r="E1840" s="217" t="s">
        <v>244</v>
      </c>
      <c r="F1840" s="217" t="s">
        <v>243</v>
      </c>
      <c r="G1840" s="217" t="s">
        <v>650</v>
      </c>
      <c r="H1840" s="217" t="s">
        <v>1546</v>
      </c>
      <c r="I1840" s="217" t="s">
        <v>659</v>
      </c>
      <c r="J1840" s="217" t="s">
        <v>1856</v>
      </c>
      <c r="K1840" s="217">
        <v>7</v>
      </c>
      <c r="L1840" s="217">
        <v>30</v>
      </c>
      <c r="M1840" s="217" t="s">
        <v>31</v>
      </c>
      <c r="N1840" s="217" t="s">
        <v>32</v>
      </c>
      <c r="O1840" s="217" t="s">
        <v>668</v>
      </c>
      <c r="P1840" s="217" t="s">
        <v>34</v>
      </c>
      <c r="Q1840" s="217" t="s">
        <v>35</v>
      </c>
      <c r="R1840" s="217" t="s">
        <v>23</v>
      </c>
      <c r="S1840" s="217" t="s">
        <v>22</v>
      </c>
      <c r="T1840" s="217" t="s">
        <v>36</v>
      </c>
      <c r="U1840" s="217" t="s">
        <v>37</v>
      </c>
      <c r="V1840" s="217" t="s">
        <v>32</v>
      </c>
      <c r="W1840" s="217" t="s">
        <v>32</v>
      </c>
    </row>
    <row r="1841" spans="1:23" x14ac:dyDescent="0.25">
      <c r="A1841" s="217" t="s">
        <v>22</v>
      </c>
      <c r="B1841" s="217" t="s">
        <v>23</v>
      </c>
      <c r="C1841" s="217" t="s">
        <v>37</v>
      </c>
      <c r="D1841" s="217" t="s">
        <v>36</v>
      </c>
      <c r="E1841" s="217" t="s">
        <v>244</v>
      </c>
      <c r="F1841" s="217" t="s">
        <v>243</v>
      </c>
      <c r="G1841" s="217" t="s">
        <v>650</v>
      </c>
      <c r="H1841" s="217" t="s">
        <v>1546</v>
      </c>
      <c r="I1841" s="217" t="s">
        <v>659</v>
      </c>
      <c r="J1841" s="217" t="s">
        <v>1857</v>
      </c>
      <c r="K1841" s="217">
        <v>2</v>
      </c>
      <c r="L1841" s="217">
        <v>8</v>
      </c>
      <c r="M1841" s="217" t="s">
        <v>31</v>
      </c>
      <c r="N1841" s="217" t="s">
        <v>32</v>
      </c>
      <c r="O1841" s="217" t="s">
        <v>668</v>
      </c>
      <c r="P1841" s="217" t="s">
        <v>34</v>
      </c>
      <c r="Q1841" s="217" t="s">
        <v>35</v>
      </c>
      <c r="R1841" s="217" t="s">
        <v>23</v>
      </c>
      <c r="S1841" s="217" t="s">
        <v>22</v>
      </c>
      <c r="T1841" s="217" t="s">
        <v>36</v>
      </c>
      <c r="U1841" s="217" t="s">
        <v>37</v>
      </c>
      <c r="V1841" s="217" t="s">
        <v>32</v>
      </c>
      <c r="W1841" s="217" t="s">
        <v>32</v>
      </c>
    </row>
    <row r="1842" spans="1:23" x14ac:dyDescent="0.25">
      <c r="A1842" s="217" t="s">
        <v>22</v>
      </c>
      <c r="B1842" s="217" t="s">
        <v>23</v>
      </c>
      <c r="C1842" s="217" t="s">
        <v>37</v>
      </c>
      <c r="D1842" s="217" t="s">
        <v>36</v>
      </c>
      <c r="E1842" s="217" t="s">
        <v>244</v>
      </c>
      <c r="F1842" s="217" t="s">
        <v>243</v>
      </c>
      <c r="G1842" s="217" t="s">
        <v>651</v>
      </c>
      <c r="H1842" s="217" t="s">
        <v>1547</v>
      </c>
      <c r="I1842" s="217" t="s">
        <v>659</v>
      </c>
      <c r="J1842" s="217" t="s">
        <v>1855</v>
      </c>
      <c r="K1842" s="217">
        <v>45</v>
      </c>
      <c r="L1842" s="217">
        <v>135</v>
      </c>
      <c r="M1842" s="217" t="s">
        <v>31</v>
      </c>
      <c r="N1842" s="217" t="s">
        <v>32</v>
      </c>
      <c r="O1842" s="217" t="s">
        <v>668</v>
      </c>
      <c r="P1842" s="217" t="s">
        <v>34</v>
      </c>
      <c r="Q1842" s="217" t="s">
        <v>35</v>
      </c>
      <c r="R1842" s="217" t="s">
        <v>23</v>
      </c>
      <c r="S1842" s="217" t="s">
        <v>22</v>
      </c>
      <c r="T1842" s="217" t="s">
        <v>36</v>
      </c>
      <c r="U1842" s="217" t="s">
        <v>37</v>
      </c>
      <c r="V1842" s="217" t="s">
        <v>32</v>
      </c>
      <c r="W1842" s="217" t="s">
        <v>32</v>
      </c>
    </row>
    <row r="1843" spans="1:23" x14ac:dyDescent="0.25">
      <c r="A1843" s="217" t="s">
        <v>22</v>
      </c>
      <c r="B1843" s="217" t="s">
        <v>23</v>
      </c>
      <c r="C1843" s="217" t="s">
        <v>37</v>
      </c>
      <c r="D1843" s="217" t="s">
        <v>36</v>
      </c>
      <c r="E1843" s="217" t="s">
        <v>244</v>
      </c>
      <c r="F1843" s="217" t="s">
        <v>243</v>
      </c>
      <c r="G1843" s="217" t="s">
        <v>651</v>
      </c>
      <c r="H1843" s="217" t="s">
        <v>1547</v>
      </c>
      <c r="I1843" s="217" t="s">
        <v>659</v>
      </c>
      <c r="J1843" s="217" t="s">
        <v>1856</v>
      </c>
      <c r="K1843" s="217">
        <v>7</v>
      </c>
      <c r="L1843" s="217">
        <v>35</v>
      </c>
      <c r="M1843" s="217" t="s">
        <v>31</v>
      </c>
      <c r="N1843" s="217" t="s">
        <v>32</v>
      </c>
      <c r="O1843" s="217" t="s">
        <v>668</v>
      </c>
      <c r="P1843" s="217" t="s">
        <v>34</v>
      </c>
      <c r="Q1843" s="217" t="s">
        <v>35</v>
      </c>
      <c r="R1843" s="217" t="s">
        <v>23</v>
      </c>
      <c r="S1843" s="217" t="s">
        <v>22</v>
      </c>
      <c r="T1843" s="217" t="s">
        <v>36</v>
      </c>
      <c r="U1843" s="217" t="s">
        <v>37</v>
      </c>
      <c r="V1843" s="217" t="s">
        <v>32</v>
      </c>
      <c r="W1843" s="217" t="s">
        <v>32</v>
      </c>
    </row>
    <row r="1844" spans="1:23" x14ac:dyDescent="0.25">
      <c r="A1844" s="217" t="s">
        <v>22</v>
      </c>
      <c r="B1844" s="217" t="s">
        <v>23</v>
      </c>
      <c r="C1844" s="217" t="s">
        <v>37</v>
      </c>
      <c r="D1844" s="217" t="s">
        <v>36</v>
      </c>
      <c r="E1844" s="217" t="s">
        <v>244</v>
      </c>
      <c r="F1844" s="217" t="s">
        <v>243</v>
      </c>
      <c r="G1844" s="217" t="s">
        <v>652</v>
      </c>
      <c r="H1844" s="217" t="s">
        <v>1548</v>
      </c>
      <c r="I1844" s="217" t="s">
        <v>659</v>
      </c>
      <c r="J1844" s="217" t="s">
        <v>1855</v>
      </c>
      <c r="K1844" s="217">
        <v>35</v>
      </c>
      <c r="L1844" s="217">
        <v>110</v>
      </c>
      <c r="M1844" s="217" t="s">
        <v>31</v>
      </c>
      <c r="N1844" s="217" t="s">
        <v>32</v>
      </c>
      <c r="O1844" s="217" t="s">
        <v>141</v>
      </c>
      <c r="P1844" s="217" t="s">
        <v>142</v>
      </c>
      <c r="Q1844" s="217" t="s">
        <v>143</v>
      </c>
      <c r="R1844" s="217" t="s">
        <v>641</v>
      </c>
      <c r="S1844" s="217" t="s">
        <v>642</v>
      </c>
      <c r="T1844" s="217" t="s">
        <v>32</v>
      </c>
      <c r="U1844" s="217" t="s">
        <v>32</v>
      </c>
      <c r="V1844" s="217" t="s">
        <v>32</v>
      </c>
      <c r="W1844" s="217" t="s">
        <v>32</v>
      </c>
    </row>
    <row r="1845" spans="1:23" x14ac:dyDescent="0.25">
      <c r="A1845" s="217" t="s">
        <v>22</v>
      </c>
      <c r="B1845" s="217" t="s">
        <v>23</v>
      </c>
      <c r="C1845" s="217" t="s">
        <v>37</v>
      </c>
      <c r="D1845" s="217" t="s">
        <v>36</v>
      </c>
      <c r="E1845" s="217" t="s">
        <v>244</v>
      </c>
      <c r="F1845" s="217" t="s">
        <v>243</v>
      </c>
      <c r="G1845" s="217" t="s">
        <v>652</v>
      </c>
      <c r="H1845" s="217" t="s">
        <v>1548</v>
      </c>
      <c r="I1845" s="217" t="s">
        <v>659</v>
      </c>
      <c r="J1845" s="217" t="s">
        <v>1856</v>
      </c>
      <c r="K1845" s="217">
        <v>15</v>
      </c>
      <c r="L1845" s="217">
        <v>40</v>
      </c>
      <c r="M1845" s="217" t="s">
        <v>31</v>
      </c>
      <c r="N1845" s="217" t="s">
        <v>32</v>
      </c>
      <c r="O1845" s="217" t="s">
        <v>141</v>
      </c>
      <c r="P1845" s="217" t="s">
        <v>142</v>
      </c>
      <c r="Q1845" s="217" t="s">
        <v>143</v>
      </c>
      <c r="R1845" s="217" t="s">
        <v>641</v>
      </c>
      <c r="S1845" s="217" t="s">
        <v>642</v>
      </c>
      <c r="T1845" s="217" t="s">
        <v>32</v>
      </c>
      <c r="U1845" s="217" t="s">
        <v>32</v>
      </c>
      <c r="V1845" s="217" t="s">
        <v>32</v>
      </c>
      <c r="W1845" s="217" t="s">
        <v>32</v>
      </c>
    </row>
    <row r="1846" spans="1:23" x14ac:dyDescent="0.25">
      <c r="A1846" s="217" t="s">
        <v>22</v>
      </c>
      <c r="B1846" s="217" t="s">
        <v>23</v>
      </c>
      <c r="C1846" s="217" t="s">
        <v>37</v>
      </c>
      <c r="D1846" s="217" t="s">
        <v>36</v>
      </c>
      <c r="E1846" s="217" t="s">
        <v>244</v>
      </c>
      <c r="F1846" s="217" t="s">
        <v>243</v>
      </c>
      <c r="G1846" s="217" t="s">
        <v>654</v>
      </c>
      <c r="H1846" s="217" t="s">
        <v>1550</v>
      </c>
      <c r="I1846" s="217" t="s">
        <v>659</v>
      </c>
      <c r="J1846" s="217" t="s">
        <v>1855</v>
      </c>
      <c r="K1846" s="217">
        <v>5</v>
      </c>
      <c r="L1846" s="217">
        <v>25</v>
      </c>
      <c r="M1846" s="217" t="s">
        <v>31</v>
      </c>
      <c r="N1846" s="217" t="s">
        <v>32</v>
      </c>
      <c r="O1846" s="217" t="s">
        <v>668</v>
      </c>
      <c r="P1846" s="217" t="s">
        <v>34</v>
      </c>
      <c r="Q1846" s="217" t="s">
        <v>35</v>
      </c>
      <c r="R1846" s="217" t="s">
        <v>23</v>
      </c>
      <c r="S1846" s="217" t="s">
        <v>22</v>
      </c>
      <c r="T1846" s="217" t="s">
        <v>36</v>
      </c>
      <c r="U1846" s="217" t="s">
        <v>37</v>
      </c>
      <c r="V1846" s="217" t="s">
        <v>32</v>
      </c>
      <c r="W1846" s="217" t="s">
        <v>32</v>
      </c>
    </row>
    <row r="1847" spans="1:23" x14ac:dyDescent="0.25">
      <c r="A1847" s="217" t="s">
        <v>22</v>
      </c>
      <c r="B1847" s="217" t="s">
        <v>23</v>
      </c>
      <c r="C1847" s="217" t="s">
        <v>37</v>
      </c>
      <c r="D1847" s="217" t="s">
        <v>36</v>
      </c>
      <c r="E1847" s="217" t="s">
        <v>244</v>
      </c>
      <c r="F1847" s="217" t="s">
        <v>243</v>
      </c>
      <c r="G1847" s="217" t="s">
        <v>654</v>
      </c>
      <c r="H1847" s="217" t="s">
        <v>1550</v>
      </c>
      <c r="I1847" s="217" t="s">
        <v>659</v>
      </c>
      <c r="J1847" s="217" t="s">
        <v>1856</v>
      </c>
      <c r="K1847" s="217">
        <v>3</v>
      </c>
      <c r="L1847" s="217">
        <v>10</v>
      </c>
      <c r="M1847" s="217" t="s">
        <v>31</v>
      </c>
      <c r="N1847" s="217" t="s">
        <v>32</v>
      </c>
      <c r="O1847" s="217" t="s">
        <v>668</v>
      </c>
      <c r="P1847" s="217" t="s">
        <v>34</v>
      </c>
      <c r="Q1847" s="217" t="s">
        <v>35</v>
      </c>
      <c r="R1847" s="217" t="s">
        <v>23</v>
      </c>
      <c r="S1847" s="217" t="s">
        <v>22</v>
      </c>
      <c r="T1847" s="217" t="s">
        <v>36</v>
      </c>
      <c r="U1847" s="217" t="s">
        <v>37</v>
      </c>
      <c r="V1847" s="217" t="s">
        <v>32</v>
      </c>
      <c r="W1847" s="217" t="s">
        <v>32</v>
      </c>
    </row>
    <row r="1848" spans="1:23" x14ac:dyDescent="0.25">
      <c r="A1848" s="217" t="s">
        <v>22</v>
      </c>
      <c r="B1848" s="217" t="s">
        <v>23</v>
      </c>
      <c r="C1848" s="217" t="s">
        <v>37</v>
      </c>
      <c r="D1848" s="217" t="s">
        <v>36</v>
      </c>
      <c r="E1848" s="217" t="s">
        <v>244</v>
      </c>
      <c r="F1848" s="217" t="s">
        <v>243</v>
      </c>
      <c r="G1848" s="217" t="s">
        <v>655</v>
      </c>
      <c r="H1848" s="217" t="s">
        <v>1551</v>
      </c>
      <c r="I1848" s="217" t="s">
        <v>659</v>
      </c>
      <c r="J1848" s="217" t="s">
        <v>1855</v>
      </c>
      <c r="K1848" s="217">
        <v>2</v>
      </c>
      <c r="L1848" s="217">
        <v>15</v>
      </c>
      <c r="M1848" s="217" t="s">
        <v>31</v>
      </c>
      <c r="N1848" s="217" t="s">
        <v>32</v>
      </c>
      <c r="O1848" s="217" t="s">
        <v>141</v>
      </c>
      <c r="P1848" s="217" t="s">
        <v>142</v>
      </c>
      <c r="Q1848" s="217" t="s">
        <v>143</v>
      </c>
      <c r="R1848" s="217" t="s">
        <v>641</v>
      </c>
      <c r="S1848" s="217" t="s">
        <v>642</v>
      </c>
      <c r="T1848" s="217" t="s">
        <v>32</v>
      </c>
      <c r="U1848" s="217" t="s">
        <v>32</v>
      </c>
      <c r="V1848" s="217" t="s">
        <v>32</v>
      </c>
      <c r="W1848" s="217" t="s">
        <v>32</v>
      </c>
    </row>
    <row r="1849" spans="1:23" x14ac:dyDescent="0.25">
      <c r="A1849" s="217" t="s">
        <v>22</v>
      </c>
      <c r="B1849" s="217" t="s">
        <v>23</v>
      </c>
      <c r="C1849" s="217" t="s">
        <v>37</v>
      </c>
      <c r="D1849" s="217" t="s">
        <v>36</v>
      </c>
      <c r="E1849" s="217" t="s">
        <v>244</v>
      </c>
      <c r="F1849" s="217" t="s">
        <v>243</v>
      </c>
      <c r="G1849" s="217" t="s">
        <v>655</v>
      </c>
      <c r="H1849" s="217" t="s">
        <v>1551</v>
      </c>
      <c r="I1849" s="217" t="s">
        <v>659</v>
      </c>
      <c r="J1849" s="217" t="s">
        <v>1856</v>
      </c>
      <c r="K1849" s="217">
        <v>2</v>
      </c>
      <c r="L1849" s="217">
        <v>13</v>
      </c>
      <c r="M1849" s="217" t="s">
        <v>31</v>
      </c>
      <c r="N1849" s="217" t="s">
        <v>32</v>
      </c>
      <c r="O1849" s="217" t="s">
        <v>141</v>
      </c>
      <c r="P1849" s="217" t="s">
        <v>142</v>
      </c>
      <c r="Q1849" s="217" t="s">
        <v>143</v>
      </c>
      <c r="R1849" s="217" t="s">
        <v>641</v>
      </c>
      <c r="S1849" s="217" t="s">
        <v>642</v>
      </c>
      <c r="T1849" s="217" t="s">
        <v>32</v>
      </c>
      <c r="U1849" s="217" t="s">
        <v>32</v>
      </c>
      <c r="V1849" s="217" t="s">
        <v>32</v>
      </c>
      <c r="W1849" s="217" t="s">
        <v>32</v>
      </c>
    </row>
    <row r="1850" spans="1:23" x14ac:dyDescent="0.25">
      <c r="A1850" s="217" t="s">
        <v>22</v>
      </c>
      <c r="B1850" s="217" t="s">
        <v>23</v>
      </c>
      <c r="C1850" s="217" t="s">
        <v>37</v>
      </c>
      <c r="D1850" s="217" t="s">
        <v>36</v>
      </c>
      <c r="E1850" s="217" t="s">
        <v>244</v>
      </c>
      <c r="F1850" s="217" t="s">
        <v>243</v>
      </c>
      <c r="G1850" s="217" t="s">
        <v>655</v>
      </c>
      <c r="H1850" s="217" t="s">
        <v>1551</v>
      </c>
      <c r="I1850" s="217" t="s">
        <v>659</v>
      </c>
      <c r="J1850" s="217" t="s">
        <v>1859</v>
      </c>
      <c r="K1850" s="217">
        <v>1</v>
      </c>
      <c r="L1850" s="217">
        <v>3</v>
      </c>
      <c r="M1850" s="217" t="s">
        <v>31</v>
      </c>
      <c r="N1850" s="217" t="s">
        <v>32</v>
      </c>
      <c r="O1850" s="217" t="s">
        <v>141</v>
      </c>
      <c r="P1850" s="217" t="s">
        <v>142</v>
      </c>
      <c r="Q1850" s="217" t="s">
        <v>143</v>
      </c>
      <c r="R1850" s="217" t="s">
        <v>641</v>
      </c>
      <c r="S1850" s="217" t="s">
        <v>642</v>
      </c>
      <c r="T1850" s="217" t="s">
        <v>32</v>
      </c>
      <c r="U1850" s="217" t="s">
        <v>32</v>
      </c>
      <c r="V1850" s="217" t="s">
        <v>32</v>
      </c>
      <c r="W1850" s="217" t="s">
        <v>32</v>
      </c>
    </row>
    <row r="1851" spans="1:23" x14ac:dyDescent="0.25">
      <c r="A1851" s="217" t="s">
        <v>22</v>
      </c>
      <c r="B1851" s="217" t="s">
        <v>23</v>
      </c>
      <c r="C1851" s="217" t="s">
        <v>37</v>
      </c>
      <c r="D1851" s="217" t="s">
        <v>36</v>
      </c>
      <c r="E1851" s="217" t="s">
        <v>247</v>
      </c>
      <c r="F1851" s="217" t="s">
        <v>246</v>
      </c>
      <c r="G1851" s="217" t="s">
        <v>2045</v>
      </c>
      <c r="H1851" s="217" t="s">
        <v>2044</v>
      </c>
      <c r="I1851" s="217" t="s">
        <v>659</v>
      </c>
      <c r="J1851" s="217" t="s">
        <v>1858</v>
      </c>
      <c r="K1851" s="217">
        <v>1</v>
      </c>
      <c r="L1851" s="217">
        <v>4</v>
      </c>
      <c r="M1851" s="217" t="s">
        <v>31</v>
      </c>
      <c r="N1851" s="217" t="s">
        <v>32</v>
      </c>
      <c r="O1851" s="217" t="s">
        <v>141</v>
      </c>
      <c r="P1851" s="217" t="s">
        <v>142</v>
      </c>
      <c r="Q1851" s="217" t="s">
        <v>143</v>
      </c>
      <c r="R1851" s="217" t="s">
        <v>641</v>
      </c>
      <c r="S1851" s="217" t="s">
        <v>642</v>
      </c>
      <c r="T1851" s="217" t="s">
        <v>32</v>
      </c>
      <c r="U1851" s="217" t="s">
        <v>32</v>
      </c>
      <c r="V1851" s="217" t="s">
        <v>32</v>
      </c>
      <c r="W1851" s="217" t="s">
        <v>32</v>
      </c>
    </row>
    <row r="1852" spans="1:23" x14ac:dyDescent="0.25">
      <c r="A1852" s="217" t="s">
        <v>22</v>
      </c>
      <c r="B1852" s="217" t="s">
        <v>23</v>
      </c>
      <c r="C1852" s="217" t="s">
        <v>37</v>
      </c>
      <c r="D1852" s="217" t="s">
        <v>36</v>
      </c>
      <c r="E1852" s="217" t="s">
        <v>247</v>
      </c>
      <c r="F1852" s="217" t="s">
        <v>246</v>
      </c>
      <c r="G1852" s="217" t="s">
        <v>577</v>
      </c>
      <c r="H1852" s="217" t="s">
        <v>1441</v>
      </c>
      <c r="I1852" s="217" t="s">
        <v>659</v>
      </c>
      <c r="J1852" s="217" t="s">
        <v>1856</v>
      </c>
      <c r="K1852" s="217">
        <v>87</v>
      </c>
      <c r="L1852" s="217">
        <v>669</v>
      </c>
      <c r="M1852" s="217" t="s">
        <v>31</v>
      </c>
      <c r="N1852" s="217" t="s">
        <v>32</v>
      </c>
      <c r="O1852" s="217" t="s">
        <v>668</v>
      </c>
      <c r="P1852" s="217" t="s">
        <v>34</v>
      </c>
      <c r="Q1852" s="217" t="s">
        <v>35</v>
      </c>
      <c r="R1852" s="217" t="s">
        <v>23</v>
      </c>
      <c r="S1852" s="217" t="s">
        <v>22</v>
      </c>
      <c r="T1852" s="217" t="s">
        <v>36</v>
      </c>
      <c r="U1852" s="217" t="s">
        <v>37</v>
      </c>
      <c r="V1852" s="217" t="s">
        <v>32</v>
      </c>
      <c r="W1852" s="217" t="s">
        <v>32</v>
      </c>
    </row>
    <row r="1853" spans="1:23" x14ac:dyDescent="0.25">
      <c r="A1853" s="217" t="s">
        <v>22</v>
      </c>
      <c r="B1853" s="217" t="s">
        <v>23</v>
      </c>
      <c r="C1853" s="217" t="s">
        <v>37</v>
      </c>
      <c r="D1853" s="217" t="s">
        <v>36</v>
      </c>
      <c r="E1853" s="217" t="s">
        <v>247</v>
      </c>
      <c r="F1853" s="217" t="s">
        <v>246</v>
      </c>
      <c r="G1853" s="217" t="s">
        <v>577</v>
      </c>
      <c r="H1853" s="217" t="s">
        <v>1441</v>
      </c>
      <c r="I1853" s="217" t="s">
        <v>659</v>
      </c>
      <c r="J1853" s="217" t="s">
        <v>1857</v>
      </c>
      <c r="K1853" s="217">
        <v>69</v>
      </c>
      <c r="L1853" s="217">
        <v>552</v>
      </c>
      <c r="M1853" s="217" t="s">
        <v>31</v>
      </c>
      <c r="N1853" s="217" t="s">
        <v>32</v>
      </c>
      <c r="O1853" s="217" t="s">
        <v>668</v>
      </c>
      <c r="P1853" s="217" t="s">
        <v>34</v>
      </c>
      <c r="Q1853" s="217" t="s">
        <v>35</v>
      </c>
      <c r="R1853" s="217" t="s">
        <v>23</v>
      </c>
      <c r="S1853" s="217" t="s">
        <v>22</v>
      </c>
      <c r="T1853" s="217" t="s">
        <v>36</v>
      </c>
      <c r="U1853" s="217" t="s">
        <v>37</v>
      </c>
      <c r="V1853" s="217" t="s">
        <v>32</v>
      </c>
      <c r="W1853" s="217" t="s">
        <v>32</v>
      </c>
    </row>
    <row r="1854" spans="1:23" x14ac:dyDescent="0.25">
      <c r="A1854" s="217" t="s">
        <v>22</v>
      </c>
      <c r="B1854" s="217" t="s">
        <v>23</v>
      </c>
      <c r="C1854" s="217" t="s">
        <v>37</v>
      </c>
      <c r="D1854" s="217" t="s">
        <v>36</v>
      </c>
      <c r="E1854" s="217" t="s">
        <v>247</v>
      </c>
      <c r="F1854" s="217" t="s">
        <v>246</v>
      </c>
      <c r="G1854" s="217" t="s">
        <v>683</v>
      </c>
      <c r="H1854" s="217" t="s">
        <v>1590</v>
      </c>
      <c r="I1854" s="217" t="s">
        <v>659</v>
      </c>
      <c r="J1854" s="217" t="s">
        <v>1855</v>
      </c>
      <c r="K1854" s="217">
        <v>2</v>
      </c>
      <c r="L1854" s="217">
        <v>8</v>
      </c>
      <c r="M1854" s="217" t="s">
        <v>31</v>
      </c>
      <c r="N1854" s="217" t="s">
        <v>32</v>
      </c>
      <c r="O1854" s="217" t="s">
        <v>668</v>
      </c>
      <c r="P1854" s="217" t="s">
        <v>34</v>
      </c>
      <c r="Q1854" s="217" t="s">
        <v>35</v>
      </c>
      <c r="R1854" s="217" t="s">
        <v>23</v>
      </c>
      <c r="S1854" s="217" t="s">
        <v>22</v>
      </c>
      <c r="T1854" s="217" t="s">
        <v>36</v>
      </c>
      <c r="U1854" s="217" t="s">
        <v>37</v>
      </c>
      <c r="V1854" s="217" t="s">
        <v>32</v>
      </c>
      <c r="W1854" s="217" t="s">
        <v>32</v>
      </c>
    </row>
    <row r="1855" spans="1:23" x14ac:dyDescent="0.25">
      <c r="A1855" s="217" t="s">
        <v>22</v>
      </c>
      <c r="B1855" s="217" t="s">
        <v>23</v>
      </c>
      <c r="C1855" s="217" t="s">
        <v>37</v>
      </c>
      <c r="D1855" s="217" t="s">
        <v>36</v>
      </c>
      <c r="E1855" s="217" t="s">
        <v>247</v>
      </c>
      <c r="F1855" s="217" t="s">
        <v>246</v>
      </c>
      <c r="G1855" s="217" t="s">
        <v>579</v>
      </c>
      <c r="H1855" s="217" t="s">
        <v>1443</v>
      </c>
      <c r="I1855" s="217" t="s">
        <v>659</v>
      </c>
      <c r="J1855" s="217" t="s">
        <v>1856</v>
      </c>
      <c r="K1855" s="217">
        <v>2</v>
      </c>
      <c r="L1855" s="217">
        <v>16</v>
      </c>
      <c r="M1855" s="217" t="s">
        <v>31</v>
      </c>
      <c r="N1855" s="217" t="s">
        <v>32</v>
      </c>
      <c r="O1855" s="217" t="s">
        <v>668</v>
      </c>
      <c r="P1855" s="217" t="s">
        <v>34</v>
      </c>
      <c r="Q1855" s="217" t="s">
        <v>35</v>
      </c>
      <c r="R1855" s="217" t="s">
        <v>23</v>
      </c>
      <c r="S1855" s="217" t="s">
        <v>22</v>
      </c>
      <c r="T1855" s="217" t="s">
        <v>47</v>
      </c>
      <c r="U1855" s="217" t="s">
        <v>48</v>
      </c>
      <c r="V1855" s="217" t="s">
        <v>32</v>
      </c>
      <c r="W1855" s="217" t="s">
        <v>32</v>
      </c>
    </row>
    <row r="1856" spans="1:23" x14ac:dyDescent="0.25">
      <c r="A1856" s="217" t="s">
        <v>22</v>
      </c>
      <c r="B1856" s="217" t="s">
        <v>23</v>
      </c>
      <c r="C1856" s="217" t="s">
        <v>37</v>
      </c>
      <c r="D1856" s="217" t="s">
        <v>36</v>
      </c>
      <c r="E1856" s="217" t="s">
        <v>247</v>
      </c>
      <c r="F1856" s="217" t="s">
        <v>246</v>
      </c>
      <c r="G1856" s="217" t="s">
        <v>579</v>
      </c>
      <c r="H1856" s="217" t="s">
        <v>1443</v>
      </c>
      <c r="I1856" s="217" t="s">
        <v>659</v>
      </c>
      <c r="J1856" s="217" t="s">
        <v>1855</v>
      </c>
      <c r="K1856" s="217">
        <v>4</v>
      </c>
      <c r="L1856" s="217">
        <v>32</v>
      </c>
      <c r="M1856" s="217" t="s">
        <v>31</v>
      </c>
      <c r="N1856" s="217" t="s">
        <v>32</v>
      </c>
      <c r="O1856" s="217" t="s">
        <v>141</v>
      </c>
      <c r="P1856" s="217" t="s">
        <v>142</v>
      </c>
      <c r="Q1856" s="217" t="s">
        <v>143</v>
      </c>
      <c r="R1856" s="217" t="s">
        <v>618</v>
      </c>
      <c r="S1856" s="217" t="s">
        <v>619</v>
      </c>
      <c r="T1856" s="217" t="s">
        <v>32</v>
      </c>
      <c r="U1856" s="217" t="s">
        <v>32</v>
      </c>
      <c r="V1856" s="217" t="s">
        <v>32</v>
      </c>
      <c r="W1856" s="217" t="s">
        <v>32</v>
      </c>
    </row>
    <row r="1857" spans="1:23" x14ac:dyDescent="0.25">
      <c r="A1857" s="217" t="s">
        <v>22</v>
      </c>
      <c r="B1857" s="217" t="s">
        <v>23</v>
      </c>
      <c r="C1857" s="217" t="s">
        <v>37</v>
      </c>
      <c r="D1857" s="217" t="s">
        <v>36</v>
      </c>
      <c r="E1857" s="217" t="s">
        <v>247</v>
      </c>
      <c r="F1857" s="217" t="s">
        <v>246</v>
      </c>
      <c r="G1857" s="217" t="s">
        <v>580</v>
      </c>
      <c r="H1857" s="217" t="s">
        <v>1444</v>
      </c>
      <c r="I1857" s="217" t="s">
        <v>659</v>
      </c>
      <c r="J1857" s="217" t="s">
        <v>1855</v>
      </c>
      <c r="K1857" s="217">
        <v>12</v>
      </c>
      <c r="L1857" s="217">
        <v>60</v>
      </c>
      <c r="M1857" s="217" t="s">
        <v>31</v>
      </c>
      <c r="N1857" s="217" t="s">
        <v>32</v>
      </c>
      <c r="O1857" s="217" t="s">
        <v>141</v>
      </c>
      <c r="P1857" s="217" t="s">
        <v>142</v>
      </c>
      <c r="Q1857" s="217" t="s">
        <v>143</v>
      </c>
      <c r="R1857" s="217" t="s">
        <v>641</v>
      </c>
      <c r="S1857" s="217" t="s">
        <v>642</v>
      </c>
      <c r="T1857" s="217" t="s">
        <v>32</v>
      </c>
      <c r="U1857" s="217" t="s">
        <v>32</v>
      </c>
      <c r="V1857" s="217" t="s">
        <v>32</v>
      </c>
      <c r="W1857" s="217" t="s">
        <v>32</v>
      </c>
    </row>
    <row r="1858" spans="1:23" x14ac:dyDescent="0.25">
      <c r="A1858" s="217" t="s">
        <v>22</v>
      </c>
      <c r="B1858" s="217" t="s">
        <v>23</v>
      </c>
      <c r="C1858" s="217" t="s">
        <v>37</v>
      </c>
      <c r="D1858" s="217" t="s">
        <v>36</v>
      </c>
      <c r="E1858" s="217" t="s">
        <v>247</v>
      </c>
      <c r="F1858" s="217" t="s">
        <v>246</v>
      </c>
      <c r="G1858" s="217" t="s">
        <v>580</v>
      </c>
      <c r="H1858" s="217" t="s">
        <v>1444</v>
      </c>
      <c r="I1858" s="217" t="s">
        <v>659</v>
      </c>
      <c r="J1858" s="217" t="s">
        <v>1856</v>
      </c>
      <c r="K1858" s="217">
        <v>8</v>
      </c>
      <c r="L1858" s="217">
        <v>40</v>
      </c>
      <c r="M1858" s="217" t="s">
        <v>31</v>
      </c>
      <c r="N1858" s="217" t="s">
        <v>32</v>
      </c>
      <c r="O1858" s="217" t="s">
        <v>141</v>
      </c>
      <c r="P1858" s="217" t="s">
        <v>142</v>
      </c>
      <c r="Q1858" s="217" t="s">
        <v>143</v>
      </c>
      <c r="R1858" s="217" t="s">
        <v>641</v>
      </c>
      <c r="S1858" s="217" t="s">
        <v>642</v>
      </c>
      <c r="T1858" s="217" t="s">
        <v>32</v>
      </c>
      <c r="U1858" s="217" t="s">
        <v>32</v>
      </c>
      <c r="V1858" s="217" t="s">
        <v>32</v>
      </c>
      <c r="W1858" s="217" t="s">
        <v>32</v>
      </c>
    </row>
    <row r="1859" spans="1:23" x14ac:dyDescent="0.25">
      <c r="A1859" s="217" t="s">
        <v>22</v>
      </c>
      <c r="B1859" s="217" t="s">
        <v>23</v>
      </c>
      <c r="C1859" s="217" t="s">
        <v>37</v>
      </c>
      <c r="D1859" s="217" t="s">
        <v>36</v>
      </c>
      <c r="E1859" s="217" t="s">
        <v>247</v>
      </c>
      <c r="F1859" s="217" t="s">
        <v>246</v>
      </c>
      <c r="G1859" s="217" t="s">
        <v>2047</v>
      </c>
      <c r="H1859" s="217" t="s">
        <v>2046</v>
      </c>
      <c r="I1859" s="217" t="s">
        <v>659</v>
      </c>
      <c r="J1859" s="217" t="s">
        <v>1855</v>
      </c>
      <c r="K1859" s="217">
        <v>30</v>
      </c>
      <c r="L1859" s="217">
        <v>248</v>
      </c>
      <c r="M1859" s="217" t="s">
        <v>31</v>
      </c>
      <c r="N1859" s="217" t="s">
        <v>32</v>
      </c>
      <c r="O1859" s="217" t="s">
        <v>141</v>
      </c>
      <c r="P1859" s="217" t="s">
        <v>142</v>
      </c>
      <c r="Q1859" s="217" t="s">
        <v>143</v>
      </c>
      <c r="R1859" s="217" t="s">
        <v>641</v>
      </c>
      <c r="S1859" s="217" t="s">
        <v>642</v>
      </c>
      <c r="T1859" s="217" t="s">
        <v>32</v>
      </c>
      <c r="U1859" s="217" t="s">
        <v>32</v>
      </c>
      <c r="V1859" s="217" t="s">
        <v>32</v>
      </c>
      <c r="W1859" s="217" t="s">
        <v>32</v>
      </c>
    </row>
    <row r="1860" spans="1:23" x14ac:dyDescent="0.25">
      <c r="A1860" s="217" t="s">
        <v>22</v>
      </c>
      <c r="B1860" s="217" t="s">
        <v>23</v>
      </c>
      <c r="C1860" s="217" t="s">
        <v>37</v>
      </c>
      <c r="D1860" s="217" t="s">
        <v>36</v>
      </c>
      <c r="E1860" s="217" t="s">
        <v>247</v>
      </c>
      <c r="F1860" s="217" t="s">
        <v>246</v>
      </c>
      <c r="G1860" s="217" t="s">
        <v>582</v>
      </c>
      <c r="H1860" s="217" t="s">
        <v>1446</v>
      </c>
      <c r="I1860" s="217" t="s">
        <v>659</v>
      </c>
      <c r="J1860" s="217" t="s">
        <v>1855</v>
      </c>
      <c r="K1860" s="217">
        <v>60</v>
      </c>
      <c r="L1860" s="217">
        <v>300</v>
      </c>
      <c r="M1860" s="217" t="s">
        <v>31</v>
      </c>
      <c r="N1860" s="217" t="s">
        <v>32</v>
      </c>
      <c r="O1860" s="217" t="s">
        <v>141</v>
      </c>
      <c r="P1860" s="217" t="s">
        <v>142</v>
      </c>
      <c r="Q1860" s="217" t="s">
        <v>143</v>
      </c>
      <c r="R1860" s="217" t="s">
        <v>641</v>
      </c>
      <c r="S1860" s="217" t="s">
        <v>642</v>
      </c>
      <c r="T1860" s="217" t="s">
        <v>32</v>
      </c>
      <c r="U1860" s="217" t="s">
        <v>32</v>
      </c>
      <c r="V1860" s="217" t="s">
        <v>32</v>
      </c>
      <c r="W1860" s="217" t="s">
        <v>32</v>
      </c>
    </row>
    <row r="1861" spans="1:23" x14ac:dyDescent="0.25">
      <c r="A1861" s="217" t="s">
        <v>22</v>
      </c>
      <c r="B1861" s="217" t="s">
        <v>23</v>
      </c>
      <c r="C1861" s="217" t="s">
        <v>37</v>
      </c>
      <c r="D1861" s="217" t="s">
        <v>36</v>
      </c>
      <c r="E1861" s="217" t="s">
        <v>247</v>
      </c>
      <c r="F1861" s="217" t="s">
        <v>246</v>
      </c>
      <c r="G1861" s="217" t="s">
        <v>582</v>
      </c>
      <c r="H1861" s="217" t="s">
        <v>1446</v>
      </c>
      <c r="I1861" s="217" t="s">
        <v>659</v>
      </c>
      <c r="J1861" s="217" t="s">
        <v>1856</v>
      </c>
      <c r="K1861" s="217">
        <v>30</v>
      </c>
      <c r="L1861" s="217">
        <v>150</v>
      </c>
      <c r="M1861" s="217" t="s">
        <v>31</v>
      </c>
      <c r="N1861" s="217" t="s">
        <v>32</v>
      </c>
      <c r="O1861" s="217" t="s">
        <v>141</v>
      </c>
      <c r="P1861" s="217" t="s">
        <v>142</v>
      </c>
      <c r="Q1861" s="217" t="s">
        <v>143</v>
      </c>
      <c r="R1861" s="217" t="s">
        <v>641</v>
      </c>
      <c r="S1861" s="217" t="s">
        <v>642</v>
      </c>
      <c r="T1861" s="217" t="s">
        <v>32</v>
      </c>
      <c r="U1861" s="217" t="s">
        <v>32</v>
      </c>
      <c r="V1861" s="217" t="s">
        <v>32</v>
      </c>
      <c r="W1861" s="217" t="s">
        <v>32</v>
      </c>
    </row>
    <row r="1862" spans="1:23" x14ac:dyDescent="0.25">
      <c r="A1862" s="217" t="s">
        <v>22</v>
      </c>
      <c r="B1862" s="217" t="s">
        <v>23</v>
      </c>
      <c r="C1862" s="217" t="s">
        <v>37</v>
      </c>
      <c r="D1862" s="217" t="s">
        <v>36</v>
      </c>
      <c r="E1862" s="217" t="s">
        <v>247</v>
      </c>
      <c r="F1862" s="217" t="s">
        <v>246</v>
      </c>
      <c r="G1862" s="217" t="s">
        <v>582</v>
      </c>
      <c r="H1862" s="217" t="s">
        <v>1446</v>
      </c>
      <c r="I1862" s="217" t="s">
        <v>659</v>
      </c>
      <c r="J1862" s="217" t="s">
        <v>1858</v>
      </c>
      <c r="K1862" s="217">
        <v>33</v>
      </c>
      <c r="L1862" s="217">
        <v>167</v>
      </c>
      <c r="M1862" s="217" t="s">
        <v>31</v>
      </c>
      <c r="N1862" s="217" t="s">
        <v>32</v>
      </c>
      <c r="O1862" s="217" t="s">
        <v>141</v>
      </c>
      <c r="P1862" s="217" t="s">
        <v>142</v>
      </c>
      <c r="Q1862" s="217" t="s">
        <v>143</v>
      </c>
      <c r="R1862" s="217" t="s">
        <v>641</v>
      </c>
      <c r="S1862" s="217" t="s">
        <v>642</v>
      </c>
      <c r="T1862" s="217" t="s">
        <v>32</v>
      </c>
      <c r="U1862" s="217" t="s">
        <v>32</v>
      </c>
      <c r="V1862" s="217" t="s">
        <v>32</v>
      </c>
      <c r="W1862" s="217" t="s">
        <v>32</v>
      </c>
    </row>
    <row r="1863" spans="1:23" x14ac:dyDescent="0.25">
      <c r="A1863" s="217" t="s">
        <v>22</v>
      </c>
      <c r="B1863" s="217" t="s">
        <v>23</v>
      </c>
      <c r="C1863" s="217" t="s">
        <v>37</v>
      </c>
      <c r="D1863" s="217" t="s">
        <v>36</v>
      </c>
      <c r="E1863" s="217" t="s">
        <v>247</v>
      </c>
      <c r="F1863" s="217" t="s">
        <v>246</v>
      </c>
      <c r="G1863" s="217" t="s">
        <v>583</v>
      </c>
      <c r="H1863" s="217" t="s">
        <v>1447</v>
      </c>
      <c r="I1863" s="217" t="s">
        <v>659</v>
      </c>
      <c r="J1863" s="217" t="s">
        <v>1858</v>
      </c>
      <c r="K1863" s="217">
        <v>2</v>
      </c>
      <c r="L1863" s="217">
        <v>16</v>
      </c>
      <c r="M1863" s="217" t="s">
        <v>31</v>
      </c>
      <c r="N1863" s="217" t="s">
        <v>32</v>
      </c>
      <c r="O1863" s="217" t="s">
        <v>668</v>
      </c>
      <c r="P1863" s="217" t="s">
        <v>34</v>
      </c>
      <c r="Q1863" s="217" t="s">
        <v>35</v>
      </c>
      <c r="R1863" s="217" t="s">
        <v>23</v>
      </c>
      <c r="S1863" s="217" t="s">
        <v>22</v>
      </c>
      <c r="T1863" s="217" t="s">
        <v>36</v>
      </c>
      <c r="U1863" s="217" t="s">
        <v>37</v>
      </c>
      <c r="V1863" s="217" t="s">
        <v>32</v>
      </c>
      <c r="W1863" s="217" t="s">
        <v>32</v>
      </c>
    </row>
    <row r="1864" spans="1:23" x14ac:dyDescent="0.25">
      <c r="A1864" s="217" t="s">
        <v>22</v>
      </c>
      <c r="B1864" s="217" t="s">
        <v>23</v>
      </c>
      <c r="C1864" s="217" t="s">
        <v>37</v>
      </c>
      <c r="D1864" s="217" t="s">
        <v>36</v>
      </c>
      <c r="E1864" s="217" t="s">
        <v>247</v>
      </c>
      <c r="F1864" s="217" t="s">
        <v>246</v>
      </c>
      <c r="G1864" s="217" t="s">
        <v>583</v>
      </c>
      <c r="H1864" s="217" t="s">
        <v>1447</v>
      </c>
      <c r="I1864" s="217" t="s">
        <v>659</v>
      </c>
      <c r="J1864" s="217" t="s">
        <v>1855</v>
      </c>
      <c r="K1864" s="217">
        <v>4</v>
      </c>
      <c r="L1864" s="217">
        <v>32</v>
      </c>
      <c r="M1864" s="217" t="s">
        <v>31</v>
      </c>
      <c r="N1864" s="217" t="s">
        <v>32</v>
      </c>
      <c r="O1864" s="217" t="s">
        <v>141</v>
      </c>
      <c r="P1864" s="217" t="s">
        <v>142</v>
      </c>
      <c r="Q1864" s="217" t="s">
        <v>143</v>
      </c>
      <c r="R1864" s="217" t="s">
        <v>618</v>
      </c>
      <c r="S1864" s="217" t="s">
        <v>619</v>
      </c>
      <c r="T1864" s="217" t="s">
        <v>32</v>
      </c>
      <c r="U1864" s="217" t="s">
        <v>32</v>
      </c>
      <c r="V1864" s="217" t="s">
        <v>32</v>
      </c>
      <c r="W1864" s="217" t="s">
        <v>32</v>
      </c>
    </row>
    <row r="1865" spans="1:23" x14ac:dyDescent="0.25">
      <c r="A1865" s="217" t="s">
        <v>22</v>
      </c>
      <c r="B1865" s="217" t="s">
        <v>23</v>
      </c>
      <c r="C1865" s="217" t="s">
        <v>37</v>
      </c>
      <c r="D1865" s="217" t="s">
        <v>36</v>
      </c>
      <c r="E1865" s="217" t="s">
        <v>247</v>
      </c>
      <c r="F1865" s="217" t="s">
        <v>246</v>
      </c>
      <c r="G1865" s="217" t="s">
        <v>242</v>
      </c>
      <c r="H1865" s="217" t="s">
        <v>1448</v>
      </c>
      <c r="I1865" s="217" t="s">
        <v>659</v>
      </c>
      <c r="J1865" s="217" t="s">
        <v>1857</v>
      </c>
      <c r="K1865" s="217">
        <v>13</v>
      </c>
      <c r="L1865" s="217">
        <v>104</v>
      </c>
      <c r="M1865" s="217" t="s">
        <v>31</v>
      </c>
      <c r="N1865" s="217" t="s">
        <v>32</v>
      </c>
      <c r="O1865" s="217" t="s">
        <v>668</v>
      </c>
      <c r="P1865" s="217" t="s">
        <v>34</v>
      </c>
      <c r="Q1865" s="217" t="s">
        <v>35</v>
      </c>
      <c r="R1865" s="217" t="s">
        <v>23</v>
      </c>
      <c r="S1865" s="217" t="s">
        <v>22</v>
      </c>
      <c r="T1865" s="217" t="s">
        <v>47</v>
      </c>
      <c r="U1865" s="217" t="s">
        <v>48</v>
      </c>
      <c r="V1865" s="217" t="s">
        <v>32</v>
      </c>
      <c r="W1865" s="217" t="s">
        <v>32</v>
      </c>
    </row>
    <row r="1866" spans="1:23" x14ac:dyDescent="0.25">
      <c r="A1866" s="217" t="s">
        <v>22</v>
      </c>
      <c r="B1866" s="217" t="s">
        <v>23</v>
      </c>
      <c r="C1866" s="217" t="s">
        <v>37</v>
      </c>
      <c r="D1866" s="217" t="s">
        <v>36</v>
      </c>
      <c r="E1866" s="217" t="s">
        <v>247</v>
      </c>
      <c r="F1866" s="217" t="s">
        <v>246</v>
      </c>
      <c r="G1866" s="217" t="s">
        <v>242</v>
      </c>
      <c r="H1866" s="217" t="s">
        <v>1448</v>
      </c>
      <c r="I1866" s="217" t="s">
        <v>659</v>
      </c>
      <c r="J1866" s="217" t="s">
        <v>1858</v>
      </c>
      <c r="K1866" s="217">
        <v>2</v>
      </c>
      <c r="L1866" s="217">
        <v>10</v>
      </c>
      <c r="M1866" s="217" t="s">
        <v>31</v>
      </c>
      <c r="N1866" s="217" t="s">
        <v>32</v>
      </c>
      <c r="O1866" s="217" t="s">
        <v>141</v>
      </c>
      <c r="P1866" s="217" t="s">
        <v>142</v>
      </c>
      <c r="Q1866" s="217" t="s">
        <v>143</v>
      </c>
      <c r="R1866" s="217" t="s">
        <v>641</v>
      </c>
      <c r="S1866" s="217" t="s">
        <v>642</v>
      </c>
      <c r="T1866" s="217" t="s">
        <v>32</v>
      </c>
      <c r="U1866" s="217" t="s">
        <v>32</v>
      </c>
      <c r="V1866" s="217" t="s">
        <v>32</v>
      </c>
      <c r="W1866" s="217" t="s">
        <v>32</v>
      </c>
    </row>
    <row r="1867" spans="1:23" x14ac:dyDescent="0.25">
      <c r="A1867" s="217" t="s">
        <v>22</v>
      </c>
      <c r="B1867" s="217" t="s">
        <v>23</v>
      </c>
      <c r="C1867" s="217" t="s">
        <v>37</v>
      </c>
      <c r="D1867" s="217" t="s">
        <v>36</v>
      </c>
      <c r="E1867" s="217" t="s">
        <v>247</v>
      </c>
      <c r="F1867" s="217" t="s">
        <v>246</v>
      </c>
      <c r="G1867" s="217" t="s">
        <v>1973</v>
      </c>
      <c r="H1867" s="217" t="s">
        <v>1974</v>
      </c>
      <c r="I1867" s="217" t="s">
        <v>659</v>
      </c>
      <c r="J1867" s="217" t="s">
        <v>1858</v>
      </c>
      <c r="K1867" s="217">
        <v>36</v>
      </c>
      <c r="L1867" s="217">
        <v>184</v>
      </c>
      <c r="M1867" s="217" t="s">
        <v>31</v>
      </c>
      <c r="N1867" s="217" t="s">
        <v>32</v>
      </c>
      <c r="O1867" s="217" t="s">
        <v>141</v>
      </c>
      <c r="P1867" s="217" t="s">
        <v>142</v>
      </c>
      <c r="Q1867" s="217" t="s">
        <v>143</v>
      </c>
      <c r="R1867" s="217" t="s">
        <v>2157</v>
      </c>
      <c r="S1867" s="217" t="s">
        <v>2057</v>
      </c>
      <c r="T1867" s="217" t="s">
        <v>32</v>
      </c>
      <c r="U1867" s="217" t="s">
        <v>32</v>
      </c>
      <c r="V1867" s="217" t="s">
        <v>32</v>
      </c>
      <c r="W1867" s="217" t="s">
        <v>32</v>
      </c>
    </row>
    <row r="1868" spans="1:23" x14ac:dyDescent="0.25">
      <c r="A1868" s="217" t="s">
        <v>22</v>
      </c>
      <c r="B1868" s="217" t="s">
        <v>23</v>
      </c>
      <c r="C1868" s="217" t="s">
        <v>37</v>
      </c>
      <c r="D1868" s="217" t="s">
        <v>36</v>
      </c>
      <c r="E1868" s="217" t="s">
        <v>247</v>
      </c>
      <c r="F1868" s="217" t="s">
        <v>246</v>
      </c>
      <c r="G1868" s="217" t="s">
        <v>584</v>
      </c>
      <c r="H1868" s="217" t="s">
        <v>1449</v>
      </c>
      <c r="I1868" s="217" t="s">
        <v>659</v>
      </c>
      <c r="J1868" s="217" t="s">
        <v>1858</v>
      </c>
      <c r="K1868" s="217">
        <v>5</v>
      </c>
      <c r="L1868" s="217">
        <v>25</v>
      </c>
      <c r="M1868" s="217" t="s">
        <v>31</v>
      </c>
      <c r="N1868" s="217" t="s">
        <v>32</v>
      </c>
      <c r="O1868" s="217" t="s">
        <v>141</v>
      </c>
      <c r="P1868" s="217" t="s">
        <v>142</v>
      </c>
      <c r="Q1868" s="217" t="s">
        <v>143</v>
      </c>
      <c r="R1868" s="217" t="s">
        <v>641</v>
      </c>
      <c r="S1868" s="217" t="s">
        <v>642</v>
      </c>
      <c r="T1868" s="217" t="s">
        <v>32</v>
      </c>
      <c r="U1868" s="217" t="s">
        <v>32</v>
      </c>
      <c r="V1868" s="217" t="s">
        <v>32</v>
      </c>
      <c r="W1868" s="217" t="s">
        <v>32</v>
      </c>
    </row>
    <row r="1869" spans="1:23" x14ac:dyDescent="0.25">
      <c r="A1869" s="217" t="s">
        <v>22</v>
      </c>
      <c r="B1869" s="217" t="s">
        <v>23</v>
      </c>
      <c r="C1869" s="217" t="s">
        <v>37</v>
      </c>
      <c r="D1869" s="217" t="s">
        <v>36</v>
      </c>
      <c r="E1869" s="217" t="s">
        <v>247</v>
      </c>
      <c r="F1869" s="217" t="s">
        <v>246</v>
      </c>
      <c r="G1869" s="217" t="s">
        <v>585</v>
      </c>
      <c r="H1869" s="217" t="s">
        <v>1450</v>
      </c>
      <c r="I1869" s="217" t="s">
        <v>659</v>
      </c>
      <c r="J1869" s="217" t="s">
        <v>1856</v>
      </c>
      <c r="K1869" s="217">
        <v>12</v>
      </c>
      <c r="L1869" s="217">
        <v>62</v>
      </c>
      <c r="M1869" s="217" t="s">
        <v>31</v>
      </c>
      <c r="N1869" s="217" t="s">
        <v>32</v>
      </c>
      <c r="O1869" s="217" t="s">
        <v>668</v>
      </c>
      <c r="P1869" s="217" t="s">
        <v>34</v>
      </c>
      <c r="Q1869" s="217" t="s">
        <v>35</v>
      </c>
      <c r="R1869" s="217" t="s">
        <v>23</v>
      </c>
      <c r="S1869" s="217" t="s">
        <v>22</v>
      </c>
      <c r="T1869" s="217" t="s">
        <v>47</v>
      </c>
      <c r="U1869" s="217" t="s">
        <v>48</v>
      </c>
      <c r="V1869" s="217" t="s">
        <v>32</v>
      </c>
      <c r="W1869" s="217" t="s">
        <v>32</v>
      </c>
    </row>
    <row r="1870" spans="1:23" x14ac:dyDescent="0.25">
      <c r="A1870" s="217" t="s">
        <v>22</v>
      </c>
      <c r="B1870" s="217" t="s">
        <v>23</v>
      </c>
      <c r="C1870" s="217" t="s">
        <v>37</v>
      </c>
      <c r="D1870" s="217" t="s">
        <v>36</v>
      </c>
      <c r="E1870" s="217" t="s">
        <v>247</v>
      </c>
      <c r="F1870" s="217" t="s">
        <v>246</v>
      </c>
      <c r="G1870" s="217" t="s">
        <v>585</v>
      </c>
      <c r="H1870" s="217" t="s">
        <v>1450</v>
      </c>
      <c r="I1870" s="217" t="s">
        <v>659</v>
      </c>
      <c r="J1870" s="217" t="s">
        <v>1857</v>
      </c>
      <c r="K1870" s="217">
        <v>4</v>
      </c>
      <c r="L1870" s="217">
        <v>24</v>
      </c>
      <c r="M1870" s="217" t="s">
        <v>31</v>
      </c>
      <c r="N1870" s="217" t="s">
        <v>32</v>
      </c>
      <c r="O1870" s="217" t="s">
        <v>668</v>
      </c>
      <c r="P1870" s="217" t="s">
        <v>34</v>
      </c>
      <c r="Q1870" s="217" t="s">
        <v>35</v>
      </c>
      <c r="R1870" s="217" t="s">
        <v>23</v>
      </c>
      <c r="S1870" s="217" t="s">
        <v>22</v>
      </c>
      <c r="T1870" s="217" t="s">
        <v>47</v>
      </c>
      <c r="U1870" s="217" t="s">
        <v>48</v>
      </c>
      <c r="V1870" s="217" t="s">
        <v>32</v>
      </c>
      <c r="W1870" s="217" t="s">
        <v>32</v>
      </c>
    </row>
    <row r="1871" spans="1:23" x14ac:dyDescent="0.25">
      <c r="A1871" s="217" t="s">
        <v>22</v>
      </c>
      <c r="B1871" s="217" t="s">
        <v>23</v>
      </c>
      <c r="C1871" s="217" t="s">
        <v>37</v>
      </c>
      <c r="D1871" s="217" t="s">
        <v>36</v>
      </c>
      <c r="E1871" s="217" t="s">
        <v>247</v>
      </c>
      <c r="F1871" s="217" t="s">
        <v>246</v>
      </c>
      <c r="G1871" s="217" t="s">
        <v>586</v>
      </c>
      <c r="H1871" s="217" t="s">
        <v>1451</v>
      </c>
      <c r="I1871" s="217" t="s">
        <v>659</v>
      </c>
      <c r="J1871" s="217" t="s">
        <v>1855</v>
      </c>
      <c r="K1871" s="217">
        <v>12</v>
      </c>
      <c r="L1871" s="217">
        <v>60</v>
      </c>
      <c r="M1871" s="217" t="s">
        <v>31</v>
      </c>
      <c r="N1871" s="217" t="s">
        <v>32</v>
      </c>
      <c r="O1871" s="217" t="s">
        <v>141</v>
      </c>
      <c r="P1871" s="217" t="s">
        <v>142</v>
      </c>
      <c r="Q1871" s="217" t="s">
        <v>143</v>
      </c>
      <c r="R1871" s="217" t="s">
        <v>641</v>
      </c>
      <c r="S1871" s="217" t="s">
        <v>642</v>
      </c>
      <c r="T1871" s="217" t="s">
        <v>32</v>
      </c>
      <c r="U1871" s="217" t="s">
        <v>32</v>
      </c>
      <c r="V1871" s="217" t="s">
        <v>32</v>
      </c>
      <c r="W1871" s="217" t="s">
        <v>32</v>
      </c>
    </row>
    <row r="1872" spans="1:23" x14ac:dyDescent="0.25">
      <c r="A1872" s="217" t="s">
        <v>22</v>
      </c>
      <c r="B1872" s="217" t="s">
        <v>23</v>
      </c>
      <c r="C1872" s="217" t="s">
        <v>37</v>
      </c>
      <c r="D1872" s="217" t="s">
        <v>36</v>
      </c>
      <c r="E1872" s="217" t="s">
        <v>247</v>
      </c>
      <c r="F1872" s="217" t="s">
        <v>246</v>
      </c>
      <c r="G1872" s="217" t="s">
        <v>586</v>
      </c>
      <c r="H1872" s="217" t="s">
        <v>1451</v>
      </c>
      <c r="I1872" s="217" t="s">
        <v>659</v>
      </c>
      <c r="J1872" s="217" t="s">
        <v>1856</v>
      </c>
      <c r="K1872" s="217">
        <v>4</v>
      </c>
      <c r="L1872" s="217">
        <v>20</v>
      </c>
      <c r="M1872" s="217" t="s">
        <v>31</v>
      </c>
      <c r="N1872" s="217" t="s">
        <v>32</v>
      </c>
      <c r="O1872" s="217" t="s">
        <v>141</v>
      </c>
      <c r="P1872" s="217" t="s">
        <v>142</v>
      </c>
      <c r="Q1872" s="217" t="s">
        <v>143</v>
      </c>
      <c r="R1872" s="217" t="s">
        <v>641</v>
      </c>
      <c r="S1872" s="217" t="s">
        <v>642</v>
      </c>
      <c r="T1872" s="217" t="s">
        <v>32</v>
      </c>
      <c r="U1872" s="217" t="s">
        <v>32</v>
      </c>
      <c r="V1872" s="217" t="s">
        <v>32</v>
      </c>
      <c r="W1872" s="217" t="s">
        <v>32</v>
      </c>
    </row>
    <row r="1873" spans="1:23" x14ac:dyDescent="0.25">
      <c r="A1873" s="217" t="s">
        <v>22</v>
      </c>
      <c r="B1873" s="217" t="s">
        <v>23</v>
      </c>
      <c r="C1873" s="217" t="s">
        <v>37</v>
      </c>
      <c r="D1873" s="217" t="s">
        <v>36</v>
      </c>
      <c r="E1873" s="217" t="s">
        <v>247</v>
      </c>
      <c r="F1873" s="217" t="s">
        <v>246</v>
      </c>
      <c r="G1873" s="217" t="s">
        <v>586</v>
      </c>
      <c r="H1873" s="217" t="s">
        <v>1451</v>
      </c>
      <c r="I1873" s="217" t="s">
        <v>659</v>
      </c>
      <c r="J1873" s="217" t="s">
        <v>1858</v>
      </c>
      <c r="K1873" s="217">
        <v>3</v>
      </c>
      <c r="L1873" s="217">
        <v>14</v>
      </c>
      <c r="M1873" s="217" t="s">
        <v>31</v>
      </c>
      <c r="N1873" s="217" t="s">
        <v>32</v>
      </c>
      <c r="O1873" s="217" t="s">
        <v>141</v>
      </c>
      <c r="P1873" s="217" t="s">
        <v>142</v>
      </c>
      <c r="Q1873" s="217" t="s">
        <v>143</v>
      </c>
      <c r="R1873" s="217" t="s">
        <v>641</v>
      </c>
      <c r="S1873" s="217" t="s">
        <v>642</v>
      </c>
      <c r="T1873" s="217" t="s">
        <v>32</v>
      </c>
      <c r="U1873" s="217" t="s">
        <v>32</v>
      </c>
      <c r="V1873" s="217" t="s">
        <v>32</v>
      </c>
      <c r="W1873" s="217" t="s">
        <v>32</v>
      </c>
    </row>
    <row r="1874" spans="1:23" x14ac:dyDescent="0.25">
      <c r="A1874" s="217" t="s">
        <v>22</v>
      </c>
      <c r="B1874" s="217" t="s">
        <v>23</v>
      </c>
      <c r="C1874" s="217" t="s">
        <v>37</v>
      </c>
      <c r="D1874" s="217" t="s">
        <v>36</v>
      </c>
      <c r="E1874" s="217" t="s">
        <v>247</v>
      </c>
      <c r="F1874" s="217" t="s">
        <v>246</v>
      </c>
      <c r="G1874" s="217" t="s">
        <v>248</v>
      </c>
      <c r="H1874" s="217" t="s">
        <v>1452</v>
      </c>
      <c r="I1874" s="217" t="s">
        <v>659</v>
      </c>
      <c r="J1874" s="217" t="s">
        <v>1855</v>
      </c>
      <c r="K1874" s="217">
        <v>15</v>
      </c>
      <c r="L1874" s="217">
        <v>75</v>
      </c>
      <c r="M1874" s="217" t="s">
        <v>31</v>
      </c>
      <c r="N1874" s="217" t="s">
        <v>32</v>
      </c>
      <c r="O1874" s="217" t="s">
        <v>141</v>
      </c>
      <c r="P1874" s="217" t="s">
        <v>142</v>
      </c>
      <c r="Q1874" s="217" t="s">
        <v>143</v>
      </c>
      <c r="R1874" s="217" t="s">
        <v>641</v>
      </c>
      <c r="S1874" s="217" t="s">
        <v>642</v>
      </c>
      <c r="T1874" s="217" t="s">
        <v>32</v>
      </c>
      <c r="U1874" s="217" t="s">
        <v>32</v>
      </c>
      <c r="V1874" s="217" t="s">
        <v>32</v>
      </c>
      <c r="W1874" s="217" t="s">
        <v>32</v>
      </c>
    </row>
    <row r="1875" spans="1:23" x14ac:dyDescent="0.25">
      <c r="A1875" s="217" t="s">
        <v>22</v>
      </c>
      <c r="B1875" s="217" t="s">
        <v>23</v>
      </c>
      <c r="C1875" s="217" t="s">
        <v>37</v>
      </c>
      <c r="D1875" s="217" t="s">
        <v>36</v>
      </c>
      <c r="E1875" s="217" t="s">
        <v>247</v>
      </c>
      <c r="F1875" s="217" t="s">
        <v>246</v>
      </c>
      <c r="G1875" s="217" t="s">
        <v>587</v>
      </c>
      <c r="H1875" s="217" t="s">
        <v>1453</v>
      </c>
      <c r="I1875" s="217" t="s">
        <v>659</v>
      </c>
      <c r="J1875" s="217" t="s">
        <v>1855</v>
      </c>
      <c r="K1875" s="217">
        <v>56</v>
      </c>
      <c r="L1875" s="217">
        <v>336</v>
      </c>
      <c r="M1875" s="217" t="s">
        <v>31</v>
      </c>
      <c r="N1875" s="217" t="s">
        <v>32</v>
      </c>
      <c r="O1875" s="217" t="s">
        <v>668</v>
      </c>
      <c r="P1875" s="217" t="s">
        <v>34</v>
      </c>
      <c r="Q1875" s="217" t="s">
        <v>35</v>
      </c>
      <c r="R1875" s="217" t="s">
        <v>23</v>
      </c>
      <c r="S1875" s="217" t="s">
        <v>22</v>
      </c>
      <c r="T1875" s="217" t="s">
        <v>47</v>
      </c>
      <c r="U1875" s="217" t="s">
        <v>48</v>
      </c>
      <c r="V1875" s="217" t="s">
        <v>32</v>
      </c>
      <c r="W1875" s="217" t="s">
        <v>32</v>
      </c>
    </row>
    <row r="1876" spans="1:23" x14ac:dyDescent="0.25">
      <c r="A1876" s="217" t="s">
        <v>22</v>
      </c>
      <c r="B1876" s="217" t="s">
        <v>23</v>
      </c>
      <c r="C1876" s="217" t="s">
        <v>37</v>
      </c>
      <c r="D1876" s="217" t="s">
        <v>36</v>
      </c>
      <c r="E1876" s="217" t="s">
        <v>247</v>
      </c>
      <c r="F1876" s="217" t="s">
        <v>246</v>
      </c>
      <c r="G1876" s="217" t="s">
        <v>587</v>
      </c>
      <c r="H1876" s="217" t="s">
        <v>1453</v>
      </c>
      <c r="I1876" s="217" t="s">
        <v>659</v>
      </c>
      <c r="J1876" s="217" t="s">
        <v>1856</v>
      </c>
      <c r="K1876" s="217">
        <v>44</v>
      </c>
      <c r="L1876" s="217">
        <v>220</v>
      </c>
      <c r="M1876" s="217" t="s">
        <v>31</v>
      </c>
      <c r="N1876" s="217" t="s">
        <v>32</v>
      </c>
      <c r="O1876" s="217" t="s">
        <v>668</v>
      </c>
      <c r="P1876" s="217" t="s">
        <v>34</v>
      </c>
      <c r="Q1876" s="217" t="s">
        <v>35</v>
      </c>
      <c r="R1876" s="217" t="s">
        <v>23</v>
      </c>
      <c r="S1876" s="217" t="s">
        <v>22</v>
      </c>
      <c r="T1876" s="217" t="s">
        <v>47</v>
      </c>
      <c r="U1876" s="217" t="s">
        <v>48</v>
      </c>
      <c r="V1876" s="217" t="s">
        <v>32</v>
      </c>
      <c r="W1876" s="217" t="s">
        <v>32</v>
      </c>
    </row>
    <row r="1877" spans="1:23" x14ac:dyDescent="0.25">
      <c r="A1877" s="217" t="s">
        <v>22</v>
      </c>
      <c r="B1877" s="217" t="s">
        <v>23</v>
      </c>
      <c r="C1877" s="217" t="s">
        <v>37</v>
      </c>
      <c r="D1877" s="217" t="s">
        <v>36</v>
      </c>
      <c r="E1877" s="217" t="s">
        <v>247</v>
      </c>
      <c r="F1877" s="217" t="s">
        <v>246</v>
      </c>
      <c r="G1877" s="217" t="s">
        <v>587</v>
      </c>
      <c r="H1877" s="217" t="s">
        <v>1453</v>
      </c>
      <c r="I1877" s="217" t="s">
        <v>659</v>
      </c>
      <c r="J1877" s="217" t="s">
        <v>1857</v>
      </c>
      <c r="K1877" s="217">
        <v>27</v>
      </c>
      <c r="L1877" s="217">
        <v>130</v>
      </c>
      <c r="M1877" s="217" t="s">
        <v>31</v>
      </c>
      <c r="N1877" s="217" t="s">
        <v>32</v>
      </c>
      <c r="O1877" s="217" t="s">
        <v>668</v>
      </c>
      <c r="P1877" s="217" t="s">
        <v>34</v>
      </c>
      <c r="Q1877" s="217" t="s">
        <v>35</v>
      </c>
      <c r="R1877" s="217" t="s">
        <v>23</v>
      </c>
      <c r="S1877" s="217" t="s">
        <v>22</v>
      </c>
      <c r="T1877" s="217" t="s">
        <v>36</v>
      </c>
      <c r="U1877" s="217" t="s">
        <v>37</v>
      </c>
      <c r="V1877" s="217" t="s">
        <v>32</v>
      </c>
      <c r="W1877" s="217" t="s">
        <v>32</v>
      </c>
    </row>
    <row r="1878" spans="1:23" x14ac:dyDescent="0.25">
      <c r="A1878" s="217" t="s">
        <v>22</v>
      </c>
      <c r="B1878" s="217" t="s">
        <v>23</v>
      </c>
      <c r="C1878" s="217" t="s">
        <v>37</v>
      </c>
      <c r="D1878" s="217" t="s">
        <v>36</v>
      </c>
      <c r="E1878" s="217" t="s">
        <v>247</v>
      </c>
      <c r="F1878" s="217" t="s">
        <v>246</v>
      </c>
      <c r="G1878" s="217" t="s">
        <v>251</v>
      </c>
      <c r="H1878" s="217" t="s">
        <v>1454</v>
      </c>
      <c r="I1878" s="217" t="s">
        <v>659</v>
      </c>
      <c r="J1878" s="217" t="s">
        <v>1856</v>
      </c>
      <c r="K1878" s="217">
        <v>5</v>
      </c>
      <c r="L1878" s="217">
        <v>25</v>
      </c>
      <c r="M1878" s="217" t="s">
        <v>31</v>
      </c>
      <c r="N1878" s="217" t="s">
        <v>32</v>
      </c>
      <c r="O1878" s="217" t="s">
        <v>668</v>
      </c>
      <c r="P1878" s="217" t="s">
        <v>34</v>
      </c>
      <c r="Q1878" s="217" t="s">
        <v>35</v>
      </c>
      <c r="R1878" s="217" t="s">
        <v>23</v>
      </c>
      <c r="S1878" s="217" t="s">
        <v>22</v>
      </c>
      <c r="T1878" s="217" t="s">
        <v>47</v>
      </c>
      <c r="U1878" s="217" t="s">
        <v>48</v>
      </c>
      <c r="V1878" s="217" t="s">
        <v>32</v>
      </c>
      <c r="W1878" s="217" t="s">
        <v>32</v>
      </c>
    </row>
    <row r="1879" spans="1:23" x14ac:dyDescent="0.25">
      <c r="A1879" s="217" t="s">
        <v>22</v>
      </c>
      <c r="B1879" s="217" t="s">
        <v>23</v>
      </c>
      <c r="C1879" s="217" t="s">
        <v>37</v>
      </c>
      <c r="D1879" s="217" t="s">
        <v>36</v>
      </c>
      <c r="E1879" s="217" t="s">
        <v>247</v>
      </c>
      <c r="F1879" s="217" t="s">
        <v>246</v>
      </c>
      <c r="G1879" s="217" t="s">
        <v>251</v>
      </c>
      <c r="H1879" s="217" t="s">
        <v>1454</v>
      </c>
      <c r="I1879" s="217" t="s">
        <v>659</v>
      </c>
      <c r="J1879" s="217" t="s">
        <v>1857</v>
      </c>
      <c r="K1879" s="217">
        <v>3</v>
      </c>
      <c r="L1879" s="217">
        <v>20</v>
      </c>
      <c r="M1879" s="217" t="s">
        <v>31</v>
      </c>
      <c r="N1879" s="217" t="s">
        <v>32</v>
      </c>
      <c r="O1879" s="217" t="s">
        <v>668</v>
      </c>
      <c r="P1879" s="217" t="s">
        <v>34</v>
      </c>
      <c r="Q1879" s="217" t="s">
        <v>35</v>
      </c>
      <c r="R1879" s="217" t="s">
        <v>23</v>
      </c>
      <c r="S1879" s="217" t="s">
        <v>22</v>
      </c>
      <c r="T1879" s="217" t="s">
        <v>36</v>
      </c>
      <c r="U1879" s="217" t="s">
        <v>37</v>
      </c>
      <c r="V1879" s="217" t="s">
        <v>32</v>
      </c>
      <c r="W1879" s="217" t="s">
        <v>32</v>
      </c>
    </row>
    <row r="1880" spans="1:23" x14ac:dyDescent="0.25">
      <c r="A1880" s="217" t="s">
        <v>22</v>
      </c>
      <c r="B1880" s="217" t="s">
        <v>23</v>
      </c>
      <c r="C1880" s="217" t="s">
        <v>37</v>
      </c>
      <c r="D1880" s="217" t="s">
        <v>36</v>
      </c>
      <c r="E1880" s="217" t="s">
        <v>247</v>
      </c>
      <c r="F1880" s="217" t="s">
        <v>246</v>
      </c>
      <c r="G1880" s="217" t="s">
        <v>251</v>
      </c>
      <c r="H1880" s="217" t="s">
        <v>1454</v>
      </c>
      <c r="I1880" s="217" t="s">
        <v>659</v>
      </c>
      <c r="J1880" s="217" t="s">
        <v>1855</v>
      </c>
      <c r="K1880" s="217">
        <v>15</v>
      </c>
      <c r="L1880" s="217">
        <v>75</v>
      </c>
      <c r="M1880" s="217" t="s">
        <v>31</v>
      </c>
      <c r="N1880" s="217" t="s">
        <v>32</v>
      </c>
      <c r="O1880" s="217" t="s">
        <v>141</v>
      </c>
      <c r="P1880" s="217" t="s">
        <v>142</v>
      </c>
      <c r="Q1880" s="217" t="s">
        <v>143</v>
      </c>
      <c r="R1880" s="217" t="s">
        <v>1850</v>
      </c>
      <c r="S1880" s="217" t="s">
        <v>1851</v>
      </c>
      <c r="T1880" s="217" t="s">
        <v>32</v>
      </c>
      <c r="U1880" s="217" t="s">
        <v>32</v>
      </c>
      <c r="V1880" s="217" t="s">
        <v>32</v>
      </c>
      <c r="W1880" s="217" t="s">
        <v>32</v>
      </c>
    </row>
    <row r="1881" spans="1:23" x14ac:dyDescent="0.25">
      <c r="A1881" s="217" t="s">
        <v>22</v>
      </c>
      <c r="B1881" s="217" t="s">
        <v>23</v>
      </c>
      <c r="C1881" s="217" t="s">
        <v>37</v>
      </c>
      <c r="D1881" s="217" t="s">
        <v>36</v>
      </c>
      <c r="E1881" s="217" t="s">
        <v>247</v>
      </c>
      <c r="F1881" s="217" t="s">
        <v>246</v>
      </c>
      <c r="G1881" s="217" t="s">
        <v>588</v>
      </c>
      <c r="H1881" s="217" t="s">
        <v>1455</v>
      </c>
      <c r="I1881" s="217" t="s">
        <v>659</v>
      </c>
      <c r="J1881" s="217" t="s">
        <v>1856</v>
      </c>
      <c r="K1881" s="217">
        <v>6</v>
      </c>
      <c r="L1881" s="217">
        <v>32</v>
      </c>
      <c r="M1881" s="217" t="s">
        <v>31</v>
      </c>
      <c r="N1881" s="217" t="s">
        <v>32</v>
      </c>
      <c r="O1881" s="217" t="s">
        <v>668</v>
      </c>
      <c r="P1881" s="217" t="s">
        <v>34</v>
      </c>
      <c r="Q1881" s="217" t="s">
        <v>35</v>
      </c>
      <c r="R1881" s="217" t="s">
        <v>23</v>
      </c>
      <c r="S1881" s="217" t="s">
        <v>22</v>
      </c>
      <c r="T1881" s="217" t="s">
        <v>36</v>
      </c>
      <c r="U1881" s="217" t="s">
        <v>37</v>
      </c>
      <c r="V1881" s="217" t="s">
        <v>32</v>
      </c>
      <c r="W1881" s="217" t="s">
        <v>32</v>
      </c>
    </row>
    <row r="1882" spans="1:23" x14ac:dyDescent="0.25">
      <c r="A1882" s="217" t="s">
        <v>22</v>
      </c>
      <c r="B1882" s="217" t="s">
        <v>23</v>
      </c>
      <c r="C1882" s="217" t="s">
        <v>37</v>
      </c>
      <c r="D1882" s="217" t="s">
        <v>36</v>
      </c>
      <c r="E1882" s="217" t="s">
        <v>247</v>
      </c>
      <c r="F1882" s="217" t="s">
        <v>246</v>
      </c>
      <c r="G1882" s="217" t="s">
        <v>589</v>
      </c>
      <c r="H1882" s="217" t="s">
        <v>1456</v>
      </c>
      <c r="I1882" s="217" t="s">
        <v>659</v>
      </c>
      <c r="J1882" s="217" t="s">
        <v>1855</v>
      </c>
      <c r="K1882" s="217">
        <v>5</v>
      </c>
      <c r="L1882" s="217">
        <v>25</v>
      </c>
      <c r="M1882" s="217" t="s">
        <v>31</v>
      </c>
      <c r="N1882" s="217" t="s">
        <v>32</v>
      </c>
      <c r="O1882" s="217" t="s">
        <v>668</v>
      </c>
      <c r="P1882" s="217" t="s">
        <v>34</v>
      </c>
      <c r="Q1882" s="217" t="s">
        <v>35</v>
      </c>
      <c r="R1882" s="217" t="s">
        <v>23</v>
      </c>
      <c r="S1882" s="217" t="s">
        <v>22</v>
      </c>
      <c r="T1882" s="217" t="s">
        <v>36</v>
      </c>
      <c r="U1882" s="217" t="s">
        <v>37</v>
      </c>
      <c r="V1882" s="217" t="s">
        <v>32</v>
      </c>
      <c r="W1882" s="217" t="s">
        <v>32</v>
      </c>
    </row>
    <row r="1883" spans="1:23" x14ac:dyDescent="0.25">
      <c r="A1883" s="217" t="s">
        <v>22</v>
      </c>
      <c r="B1883" s="217" t="s">
        <v>23</v>
      </c>
      <c r="C1883" s="217" t="s">
        <v>37</v>
      </c>
      <c r="D1883" s="217" t="s">
        <v>36</v>
      </c>
      <c r="E1883" s="217" t="s">
        <v>247</v>
      </c>
      <c r="F1883" s="217" t="s">
        <v>246</v>
      </c>
      <c r="G1883" s="217" t="s">
        <v>589</v>
      </c>
      <c r="H1883" s="217" t="s">
        <v>1456</v>
      </c>
      <c r="I1883" s="217" t="s">
        <v>659</v>
      </c>
      <c r="J1883" s="217" t="s">
        <v>1856</v>
      </c>
      <c r="K1883" s="217">
        <v>5</v>
      </c>
      <c r="L1883" s="217">
        <v>30</v>
      </c>
      <c r="M1883" s="217" t="s">
        <v>31</v>
      </c>
      <c r="N1883" s="217" t="s">
        <v>32</v>
      </c>
      <c r="O1883" s="217" t="s">
        <v>668</v>
      </c>
      <c r="P1883" s="217" t="s">
        <v>34</v>
      </c>
      <c r="Q1883" s="217" t="s">
        <v>35</v>
      </c>
      <c r="R1883" s="217" t="s">
        <v>23</v>
      </c>
      <c r="S1883" s="217" t="s">
        <v>22</v>
      </c>
      <c r="T1883" s="217" t="s">
        <v>36</v>
      </c>
      <c r="U1883" s="217" t="s">
        <v>37</v>
      </c>
      <c r="V1883" s="217" t="s">
        <v>32</v>
      </c>
      <c r="W1883" s="217" t="s">
        <v>32</v>
      </c>
    </row>
    <row r="1884" spans="1:23" x14ac:dyDescent="0.25">
      <c r="A1884" s="217" t="s">
        <v>22</v>
      </c>
      <c r="B1884" s="217" t="s">
        <v>23</v>
      </c>
      <c r="C1884" s="217" t="s">
        <v>37</v>
      </c>
      <c r="D1884" s="217" t="s">
        <v>36</v>
      </c>
      <c r="E1884" s="217" t="s">
        <v>247</v>
      </c>
      <c r="F1884" s="217" t="s">
        <v>246</v>
      </c>
      <c r="G1884" s="217" t="s">
        <v>1968</v>
      </c>
      <c r="H1884" s="217" t="s">
        <v>1457</v>
      </c>
      <c r="I1884" s="217" t="s">
        <v>659</v>
      </c>
      <c r="J1884" s="217" t="s">
        <v>1855</v>
      </c>
      <c r="K1884" s="217">
        <v>6</v>
      </c>
      <c r="L1884" s="217">
        <v>37</v>
      </c>
      <c r="M1884" s="217" t="s">
        <v>31</v>
      </c>
      <c r="N1884" s="217" t="s">
        <v>32</v>
      </c>
      <c r="O1884" s="217" t="s">
        <v>141</v>
      </c>
      <c r="P1884" s="217" t="s">
        <v>142</v>
      </c>
      <c r="Q1884" s="217" t="s">
        <v>143</v>
      </c>
      <c r="R1884" s="217" t="s">
        <v>641</v>
      </c>
      <c r="S1884" s="217" t="s">
        <v>642</v>
      </c>
      <c r="T1884" s="217" t="s">
        <v>32</v>
      </c>
      <c r="U1884" s="217" t="s">
        <v>32</v>
      </c>
      <c r="V1884" s="217" t="s">
        <v>32</v>
      </c>
      <c r="W1884" s="217" t="s">
        <v>32</v>
      </c>
    </row>
    <row r="1885" spans="1:23" x14ac:dyDescent="0.25">
      <c r="A1885" s="217" t="s">
        <v>22</v>
      </c>
      <c r="B1885" s="217" t="s">
        <v>23</v>
      </c>
      <c r="C1885" s="217" t="s">
        <v>37</v>
      </c>
      <c r="D1885" s="217" t="s">
        <v>36</v>
      </c>
      <c r="E1885" s="217" t="s">
        <v>247</v>
      </c>
      <c r="F1885" s="217" t="s">
        <v>246</v>
      </c>
      <c r="G1885" s="217" t="s">
        <v>1968</v>
      </c>
      <c r="H1885" s="217" t="s">
        <v>1457</v>
      </c>
      <c r="I1885" s="217" t="s">
        <v>659</v>
      </c>
      <c r="J1885" s="217" t="s">
        <v>1856</v>
      </c>
      <c r="K1885" s="217">
        <v>2</v>
      </c>
      <c r="L1885" s="217">
        <v>14</v>
      </c>
      <c r="M1885" s="217" t="s">
        <v>31</v>
      </c>
      <c r="N1885" s="217" t="s">
        <v>32</v>
      </c>
      <c r="O1885" s="217" t="s">
        <v>141</v>
      </c>
      <c r="P1885" s="217" t="s">
        <v>142</v>
      </c>
      <c r="Q1885" s="217" t="s">
        <v>143</v>
      </c>
      <c r="R1885" s="217" t="s">
        <v>641</v>
      </c>
      <c r="S1885" s="217" t="s">
        <v>642</v>
      </c>
      <c r="T1885" s="217" t="s">
        <v>32</v>
      </c>
      <c r="U1885" s="217" t="s">
        <v>32</v>
      </c>
      <c r="V1885" s="217" t="s">
        <v>32</v>
      </c>
      <c r="W1885" s="217" t="s">
        <v>32</v>
      </c>
    </row>
    <row r="1886" spans="1:23" x14ac:dyDescent="0.25">
      <c r="A1886" s="217" t="s">
        <v>22</v>
      </c>
      <c r="B1886" s="217" t="s">
        <v>23</v>
      </c>
      <c r="C1886" s="217" t="s">
        <v>37</v>
      </c>
      <c r="D1886" s="217" t="s">
        <v>36</v>
      </c>
      <c r="E1886" s="217" t="s">
        <v>247</v>
      </c>
      <c r="F1886" s="217" t="s">
        <v>246</v>
      </c>
      <c r="G1886" s="217" t="s">
        <v>1968</v>
      </c>
      <c r="H1886" s="217" t="s">
        <v>1457</v>
      </c>
      <c r="I1886" s="217" t="s">
        <v>659</v>
      </c>
      <c r="J1886" s="217" t="s">
        <v>1857</v>
      </c>
      <c r="K1886" s="217">
        <v>2</v>
      </c>
      <c r="L1886" s="217">
        <v>11</v>
      </c>
      <c r="M1886" s="217" t="s">
        <v>31</v>
      </c>
      <c r="N1886" s="217" t="s">
        <v>32</v>
      </c>
      <c r="O1886" s="217" t="s">
        <v>141</v>
      </c>
      <c r="P1886" s="217" t="s">
        <v>142</v>
      </c>
      <c r="Q1886" s="217" t="s">
        <v>143</v>
      </c>
      <c r="R1886" s="217" t="s">
        <v>641</v>
      </c>
      <c r="S1886" s="217" t="s">
        <v>642</v>
      </c>
      <c r="T1886" s="217" t="s">
        <v>32</v>
      </c>
      <c r="U1886" s="217" t="s">
        <v>32</v>
      </c>
      <c r="V1886" s="217" t="s">
        <v>32</v>
      </c>
      <c r="W1886" s="217" t="s">
        <v>32</v>
      </c>
    </row>
    <row r="1887" spans="1:23" x14ac:dyDescent="0.25">
      <c r="A1887" s="217" t="s">
        <v>22</v>
      </c>
      <c r="B1887" s="217" t="s">
        <v>23</v>
      </c>
      <c r="C1887" s="217" t="s">
        <v>37</v>
      </c>
      <c r="D1887" s="217" t="s">
        <v>36</v>
      </c>
      <c r="E1887" s="217" t="s">
        <v>247</v>
      </c>
      <c r="F1887" s="217" t="s">
        <v>246</v>
      </c>
      <c r="G1887" s="217" t="s">
        <v>1968</v>
      </c>
      <c r="H1887" s="217" t="s">
        <v>1457</v>
      </c>
      <c r="I1887" s="217" t="s">
        <v>659</v>
      </c>
      <c r="J1887" s="217" t="s">
        <v>1858</v>
      </c>
      <c r="K1887" s="217">
        <v>1</v>
      </c>
      <c r="L1887" s="217">
        <v>5</v>
      </c>
      <c r="M1887" s="217" t="s">
        <v>31</v>
      </c>
      <c r="N1887" s="217" t="s">
        <v>32</v>
      </c>
      <c r="O1887" s="217" t="s">
        <v>141</v>
      </c>
      <c r="P1887" s="217" t="s">
        <v>142</v>
      </c>
      <c r="Q1887" s="217" t="s">
        <v>143</v>
      </c>
      <c r="R1887" s="217" t="s">
        <v>641</v>
      </c>
      <c r="S1887" s="217" t="s">
        <v>642</v>
      </c>
      <c r="T1887" s="217" t="s">
        <v>32</v>
      </c>
      <c r="U1887" s="217" t="s">
        <v>32</v>
      </c>
      <c r="V1887" s="217" t="s">
        <v>32</v>
      </c>
      <c r="W1887" s="217" t="s">
        <v>32</v>
      </c>
    </row>
    <row r="1888" spans="1:23" x14ac:dyDescent="0.25">
      <c r="A1888" s="217" t="s">
        <v>22</v>
      </c>
      <c r="B1888" s="217" t="s">
        <v>23</v>
      </c>
      <c r="C1888" s="217" t="s">
        <v>37</v>
      </c>
      <c r="D1888" s="217" t="s">
        <v>36</v>
      </c>
      <c r="E1888" s="217" t="s">
        <v>247</v>
      </c>
      <c r="F1888" s="217" t="s">
        <v>246</v>
      </c>
      <c r="G1888" s="217" t="s">
        <v>590</v>
      </c>
      <c r="H1888" s="217" t="s">
        <v>1458</v>
      </c>
      <c r="I1888" s="217" t="s">
        <v>659</v>
      </c>
      <c r="J1888" s="217" t="s">
        <v>1856</v>
      </c>
      <c r="K1888" s="217">
        <v>2</v>
      </c>
      <c r="L1888" s="217">
        <v>14</v>
      </c>
      <c r="M1888" s="217" t="s">
        <v>31</v>
      </c>
      <c r="N1888" s="217" t="s">
        <v>32</v>
      </c>
      <c r="O1888" s="217" t="s">
        <v>141</v>
      </c>
      <c r="P1888" s="217" t="s">
        <v>142</v>
      </c>
      <c r="Q1888" s="217" t="s">
        <v>143</v>
      </c>
      <c r="R1888" s="217" t="s">
        <v>641</v>
      </c>
      <c r="S1888" s="217" t="s">
        <v>642</v>
      </c>
      <c r="T1888" s="217" t="s">
        <v>32</v>
      </c>
      <c r="U1888" s="217" t="s">
        <v>32</v>
      </c>
      <c r="V1888" s="217" t="s">
        <v>32</v>
      </c>
      <c r="W1888" s="217" t="s">
        <v>32</v>
      </c>
    </row>
    <row r="1889" spans="1:23" x14ac:dyDescent="0.25">
      <c r="A1889" s="217" t="s">
        <v>22</v>
      </c>
      <c r="B1889" s="217" t="s">
        <v>23</v>
      </c>
      <c r="C1889" s="217" t="s">
        <v>37</v>
      </c>
      <c r="D1889" s="217" t="s">
        <v>36</v>
      </c>
      <c r="E1889" s="217" t="s">
        <v>247</v>
      </c>
      <c r="F1889" s="217" t="s">
        <v>246</v>
      </c>
      <c r="G1889" s="217" t="s">
        <v>590</v>
      </c>
      <c r="H1889" s="217" t="s">
        <v>1458</v>
      </c>
      <c r="I1889" s="217" t="s">
        <v>659</v>
      </c>
      <c r="J1889" s="217" t="s">
        <v>1858</v>
      </c>
      <c r="K1889" s="217">
        <v>33</v>
      </c>
      <c r="L1889" s="217">
        <v>264</v>
      </c>
      <c r="M1889" s="217" t="s">
        <v>31</v>
      </c>
      <c r="N1889" s="217" t="s">
        <v>32</v>
      </c>
      <c r="O1889" s="217" t="s">
        <v>141</v>
      </c>
      <c r="P1889" s="217" t="s">
        <v>142</v>
      </c>
      <c r="Q1889" s="217" t="s">
        <v>143</v>
      </c>
      <c r="R1889" s="217" t="s">
        <v>641</v>
      </c>
      <c r="S1889" s="217" t="s">
        <v>642</v>
      </c>
      <c r="T1889" s="217" t="s">
        <v>32</v>
      </c>
      <c r="U1889" s="217" t="s">
        <v>32</v>
      </c>
      <c r="V1889" s="217" t="s">
        <v>32</v>
      </c>
      <c r="W1889" s="217" t="s">
        <v>32</v>
      </c>
    </row>
    <row r="1890" spans="1:23" x14ac:dyDescent="0.25">
      <c r="A1890" s="217" t="s">
        <v>22</v>
      </c>
      <c r="B1890" s="217" t="s">
        <v>23</v>
      </c>
      <c r="C1890" s="217" t="s">
        <v>37</v>
      </c>
      <c r="D1890" s="217" t="s">
        <v>36</v>
      </c>
      <c r="E1890" s="217" t="s">
        <v>247</v>
      </c>
      <c r="F1890" s="217" t="s">
        <v>246</v>
      </c>
      <c r="G1890" s="217" t="s">
        <v>590</v>
      </c>
      <c r="H1890" s="217" t="s">
        <v>1458</v>
      </c>
      <c r="I1890" s="217" t="s">
        <v>659</v>
      </c>
      <c r="J1890" s="217" t="s">
        <v>1855</v>
      </c>
      <c r="K1890" s="217">
        <v>6</v>
      </c>
      <c r="L1890" s="217">
        <v>48</v>
      </c>
      <c r="M1890" s="217" t="s">
        <v>31</v>
      </c>
      <c r="N1890" s="217" t="s">
        <v>32</v>
      </c>
      <c r="O1890" s="217" t="s">
        <v>141</v>
      </c>
      <c r="P1890" s="217" t="s">
        <v>142</v>
      </c>
      <c r="Q1890" s="217" t="s">
        <v>143</v>
      </c>
      <c r="R1890" s="217" t="s">
        <v>2158</v>
      </c>
      <c r="S1890" s="217" t="s">
        <v>2055</v>
      </c>
      <c r="T1890" s="217" t="s">
        <v>32</v>
      </c>
      <c r="U1890" s="217" t="s">
        <v>32</v>
      </c>
      <c r="V1890" s="217" t="s">
        <v>32</v>
      </c>
      <c r="W1890" s="217" t="s">
        <v>32</v>
      </c>
    </row>
    <row r="1891" spans="1:23" x14ac:dyDescent="0.25">
      <c r="A1891" s="217" t="s">
        <v>22</v>
      </c>
      <c r="B1891" s="217" t="s">
        <v>23</v>
      </c>
      <c r="C1891" s="217" t="s">
        <v>37</v>
      </c>
      <c r="D1891" s="217" t="s">
        <v>36</v>
      </c>
      <c r="E1891" s="217" t="s">
        <v>247</v>
      </c>
      <c r="F1891" s="217" t="s">
        <v>246</v>
      </c>
      <c r="G1891" s="217" t="s">
        <v>590</v>
      </c>
      <c r="H1891" s="217" t="s">
        <v>1458</v>
      </c>
      <c r="I1891" s="217" t="s">
        <v>659</v>
      </c>
      <c r="J1891" s="217" t="s">
        <v>1857</v>
      </c>
      <c r="K1891" s="217">
        <v>19</v>
      </c>
      <c r="L1891" s="217">
        <v>152</v>
      </c>
      <c r="M1891" s="217" t="s">
        <v>31</v>
      </c>
      <c r="N1891" s="217" t="s">
        <v>32</v>
      </c>
      <c r="O1891" s="217" t="s">
        <v>141</v>
      </c>
      <c r="P1891" s="217" t="s">
        <v>142</v>
      </c>
      <c r="Q1891" s="217" t="s">
        <v>143</v>
      </c>
      <c r="R1891" s="217" t="s">
        <v>618</v>
      </c>
      <c r="S1891" s="217" t="s">
        <v>619</v>
      </c>
      <c r="T1891" s="217" t="s">
        <v>32</v>
      </c>
      <c r="U1891" s="217" t="s">
        <v>32</v>
      </c>
      <c r="V1891" s="217" t="s">
        <v>32</v>
      </c>
      <c r="W1891" s="217" t="s">
        <v>32</v>
      </c>
    </row>
    <row r="1892" spans="1:23" x14ac:dyDescent="0.25">
      <c r="A1892" s="217" t="s">
        <v>22</v>
      </c>
      <c r="B1892" s="217" t="s">
        <v>23</v>
      </c>
      <c r="C1892" s="217" t="s">
        <v>37</v>
      </c>
      <c r="D1892" s="217" t="s">
        <v>36</v>
      </c>
      <c r="E1892" s="217" t="s">
        <v>247</v>
      </c>
      <c r="F1892" s="217" t="s">
        <v>246</v>
      </c>
      <c r="G1892" s="217" t="s">
        <v>591</v>
      </c>
      <c r="H1892" s="217" t="s">
        <v>1459</v>
      </c>
      <c r="I1892" s="217" t="s">
        <v>659</v>
      </c>
      <c r="J1892" s="217" t="s">
        <v>1855</v>
      </c>
      <c r="K1892" s="217">
        <v>4</v>
      </c>
      <c r="L1892" s="217">
        <v>25</v>
      </c>
      <c r="M1892" s="217" t="s">
        <v>31</v>
      </c>
      <c r="N1892" s="217" t="s">
        <v>32</v>
      </c>
      <c r="O1892" s="217" t="s">
        <v>141</v>
      </c>
      <c r="P1892" s="217" t="s">
        <v>142</v>
      </c>
      <c r="Q1892" s="217" t="s">
        <v>143</v>
      </c>
      <c r="R1892" s="217" t="s">
        <v>618</v>
      </c>
      <c r="S1892" s="217" t="s">
        <v>619</v>
      </c>
      <c r="T1892" s="217" t="s">
        <v>32</v>
      </c>
      <c r="U1892" s="217" t="s">
        <v>32</v>
      </c>
      <c r="V1892" s="217" t="s">
        <v>32</v>
      </c>
      <c r="W1892" s="217" t="s">
        <v>32</v>
      </c>
    </row>
    <row r="1893" spans="1:23" x14ac:dyDescent="0.25">
      <c r="A1893" s="217" t="s">
        <v>22</v>
      </c>
      <c r="B1893" s="217" t="s">
        <v>23</v>
      </c>
      <c r="C1893" s="217" t="s">
        <v>37</v>
      </c>
      <c r="D1893" s="217" t="s">
        <v>36</v>
      </c>
      <c r="E1893" s="217" t="s">
        <v>247</v>
      </c>
      <c r="F1893" s="217" t="s">
        <v>246</v>
      </c>
      <c r="G1893" s="217" t="s">
        <v>591</v>
      </c>
      <c r="H1893" s="217" t="s">
        <v>1459</v>
      </c>
      <c r="I1893" s="217" t="s">
        <v>659</v>
      </c>
      <c r="J1893" s="217" t="s">
        <v>1856</v>
      </c>
      <c r="K1893" s="217">
        <v>2</v>
      </c>
      <c r="L1893" s="217">
        <v>10</v>
      </c>
      <c r="M1893" s="217" t="s">
        <v>31</v>
      </c>
      <c r="N1893" s="217" t="s">
        <v>32</v>
      </c>
      <c r="O1893" s="217" t="s">
        <v>141</v>
      </c>
      <c r="P1893" s="217" t="s">
        <v>142</v>
      </c>
      <c r="Q1893" s="217" t="s">
        <v>143</v>
      </c>
      <c r="R1893" s="217" t="s">
        <v>618</v>
      </c>
      <c r="S1893" s="217" t="s">
        <v>619</v>
      </c>
      <c r="T1893" s="217" t="s">
        <v>32</v>
      </c>
      <c r="U1893" s="217" t="s">
        <v>32</v>
      </c>
      <c r="V1893" s="217" t="s">
        <v>32</v>
      </c>
      <c r="W1893" s="217" t="s">
        <v>32</v>
      </c>
    </row>
    <row r="1894" spans="1:23" x14ac:dyDescent="0.25">
      <c r="A1894" s="217" t="s">
        <v>22</v>
      </c>
      <c r="B1894" s="217" t="s">
        <v>23</v>
      </c>
      <c r="C1894" s="217" t="s">
        <v>37</v>
      </c>
      <c r="D1894" s="217" t="s">
        <v>36</v>
      </c>
      <c r="E1894" s="217" t="s">
        <v>247</v>
      </c>
      <c r="F1894" s="217" t="s">
        <v>246</v>
      </c>
      <c r="G1894" s="217" t="s">
        <v>591</v>
      </c>
      <c r="H1894" s="217" t="s">
        <v>1459</v>
      </c>
      <c r="I1894" s="217" t="s">
        <v>659</v>
      </c>
      <c r="J1894" s="217" t="s">
        <v>1857</v>
      </c>
      <c r="K1894" s="217">
        <v>1</v>
      </c>
      <c r="L1894" s="217">
        <v>6</v>
      </c>
      <c r="M1894" s="217" t="s">
        <v>31</v>
      </c>
      <c r="N1894" s="217" t="s">
        <v>32</v>
      </c>
      <c r="O1894" s="217" t="s">
        <v>141</v>
      </c>
      <c r="P1894" s="217" t="s">
        <v>142</v>
      </c>
      <c r="Q1894" s="217" t="s">
        <v>143</v>
      </c>
      <c r="R1894" s="217" t="s">
        <v>618</v>
      </c>
      <c r="S1894" s="217" t="s">
        <v>619</v>
      </c>
      <c r="T1894" s="217" t="s">
        <v>32</v>
      </c>
      <c r="U1894" s="217" t="s">
        <v>32</v>
      </c>
      <c r="V1894" s="217" t="s">
        <v>32</v>
      </c>
      <c r="W1894" s="217" t="s">
        <v>32</v>
      </c>
    </row>
    <row r="1895" spans="1:23" x14ac:dyDescent="0.25">
      <c r="A1895" s="217" t="s">
        <v>22</v>
      </c>
      <c r="B1895" s="217" t="s">
        <v>23</v>
      </c>
      <c r="C1895" s="217" t="s">
        <v>37</v>
      </c>
      <c r="D1895" s="217" t="s">
        <v>36</v>
      </c>
      <c r="E1895" s="217" t="s">
        <v>247</v>
      </c>
      <c r="F1895" s="217" t="s">
        <v>246</v>
      </c>
      <c r="G1895" s="217" t="s">
        <v>593</v>
      </c>
      <c r="H1895" s="217" t="s">
        <v>1461</v>
      </c>
      <c r="I1895" s="217" t="s">
        <v>659</v>
      </c>
      <c r="J1895" s="217" t="s">
        <v>1856</v>
      </c>
      <c r="K1895" s="217">
        <v>8</v>
      </c>
      <c r="L1895" s="217">
        <v>40</v>
      </c>
      <c r="M1895" s="217" t="s">
        <v>31</v>
      </c>
      <c r="N1895" s="217" t="s">
        <v>32</v>
      </c>
      <c r="O1895" s="217" t="s">
        <v>141</v>
      </c>
      <c r="P1895" s="217" t="s">
        <v>142</v>
      </c>
      <c r="Q1895" s="217" t="s">
        <v>143</v>
      </c>
      <c r="R1895" s="217" t="s">
        <v>641</v>
      </c>
      <c r="S1895" s="217" t="s">
        <v>642</v>
      </c>
      <c r="T1895" s="217" t="s">
        <v>32</v>
      </c>
      <c r="U1895" s="217" t="s">
        <v>32</v>
      </c>
      <c r="V1895" s="217" t="s">
        <v>32</v>
      </c>
      <c r="W1895" s="217" t="s">
        <v>32</v>
      </c>
    </row>
    <row r="1896" spans="1:23" x14ac:dyDescent="0.25">
      <c r="A1896" s="217" t="s">
        <v>22</v>
      </c>
      <c r="B1896" s="217" t="s">
        <v>23</v>
      </c>
      <c r="C1896" s="217" t="s">
        <v>37</v>
      </c>
      <c r="D1896" s="217" t="s">
        <v>36</v>
      </c>
      <c r="E1896" s="217" t="s">
        <v>247</v>
      </c>
      <c r="F1896" s="217" t="s">
        <v>246</v>
      </c>
      <c r="G1896" s="217" t="s">
        <v>594</v>
      </c>
      <c r="H1896" s="217" t="s">
        <v>1462</v>
      </c>
      <c r="I1896" s="217" t="s">
        <v>659</v>
      </c>
      <c r="J1896" s="217" t="s">
        <v>1855</v>
      </c>
      <c r="K1896" s="217">
        <v>3</v>
      </c>
      <c r="L1896" s="217">
        <v>16</v>
      </c>
      <c r="M1896" s="217" t="s">
        <v>31</v>
      </c>
      <c r="N1896" s="217" t="s">
        <v>32</v>
      </c>
      <c r="O1896" s="217" t="s">
        <v>668</v>
      </c>
      <c r="P1896" s="217" t="s">
        <v>34</v>
      </c>
      <c r="Q1896" s="217" t="s">
        <v>35</v>
      </c>
      <c r="R1896" s="217" t="s">
        <v>23</v>
      </c>
      <c r="S1896" s="217" t="s">
        <v>22</v>
      </c>
      <c r="T1896" s="217" t="s">
        <v>36</v>
      </c>
      <c r="U1896" s="217" t="s">
        <v>37</v>
      </c>
      <c r="V1896" s="217" t="s">
        <v>32</v>
      </c>
      <c r="W1896" s="217" t="s">
        <v>32</v>
      </c>
    </row>
    <row r="1897" spans="1:23" x14ac:dyDescent="0.25">
      <c r="A1897" s="217" t="s">
        <v>22</v>
      </c>
      <c r="B1897" s="217" t="s">
        <v>23</v>
      </c>
      <c r="C1897" s="217" t="s">
        <v>37</v>
      </c>
      <c r="D1897" s="217" t="s">
        <v>36</v>
      </c>
      <c r="E1897" s="217" t="s">
        <v>247</v>
      </c>
      <c r="F1897" s="217" t="s">
        <v>246</v>
      </c>
      <c r="G1897" s="217" t="s">
        <v>594</v>
      </c>
      <c r="H1897" s="217" t="s">
        <v>1462</v>
      </c>
      <c r="I1897" s="217" t="s">
        <v>659</v>
      </c>
      <c r="J1897" s="217" t="s">
        <v>1856</v>
      </c>
      <c r="K1897" s="217">
        <v>4</v>
      </c>
      <c r="L1897" s="217">
        <v>21</v>
      </c>
      <c r="M1897" s="217" t="s">
        <v>31</v>
      </c>
      <c r="N1897" s="217" t="s">
        <v>32</v>
      </c>
      <c r="O1897" s="217" t="s">
        <v>668</v>
      </c>
      <c r="P1897" s="217" t="s">
        <v>34</v>
      </c>
      <c r="Q1897" s="217" t="s">
        <v>35</v>
      </c>
      <c r="R1897" s="217" t="s">
        <v>23</v>
      </c>
      <c r="S1897" s="217" t="s">
        <v>22</v>
      </c>
      <c r="T1897" s="217" t="s">
        <v>36</v>
      </c>
      <c r="U1897" s="217" t="s">
        <v>37</v>
      </c>
      <c r="V1897" s="217" t="s">
        <v>32</v>
      </c>
      <c r="W1897" s="217" t="s">
        <v>32</v>
      </c>
    </row>
    <row r="1898" spans="1:23" x14ac:dyDescent="0.25">
      <c r="A1898" s="217" t="s">
        <v>22</v>
      </c>
      <c r="B1898" s="217" t="s">
        <v>23</v>
      </c>
      <c r="C1898" s="217" t="s">
        <v>37</v>
      </c>
      <c r="D1898" s="217" t="s">
        <v>36</v>
      </c>
      <c r="E1898" s="217" t="s">
        <v>247</v>
      </c>
      <c r="F1898" s="217" t="s">
        <v>246</v>
      </c>
      <c r="G1898" s="217" t="s">
        <v>595</v>
      </c>
      <c r="H1898" s="217" t="s">
        <v>1463</v>
      </c>
      <c r="I1898" s="217" t="s">
        <v>659</v>
      </c>
      <c r="J1898" s="217" t="s">
        <v>1855</v>
      </c>
      <c r="K1898" s="217">
        <v>5</v>
      </c>
      <c r="L1898" s="217">
        <v>25</v>
      </c>
      <c r="M1898" s="217" t="s">
        <v>31</v>
      </c>
      <c r="N1898" s="217" t="s">
        <v>32</v>
      </c>
      <c r="O1898" s="217" t="s">
        <v>141</v>
      </c>
      <c r="P1898" s="217" t="s">
        <v>142</v>
      </c>
      <c r="Q1898" s="217" t="s">
        <v>143</v>
      </c>
      <c r="R1898" s="217" t="s">
        <v>641</v>
      </c>
      <c r="S1898" s="217" t="s">
        <v>642</v>
      </c>
      <c r="T1898" s="217" t="s">
        <v>32</v>
      </c>
      <c r="U1898" s="217" t="s">
        <v>32</v>
      </c>
      <c r="V1898" s="217" t="s">
        <v>32</v>
      </c>
      <c r="W1898" s="217" t="s">
        <v>32</v>
      </c>
    </row>
    <row r="1899" spans="1:23" x14ac:dyDescent="0.25">
      <c r="A1899" s="217" t="s">
        <v>22</v>
      </c>
      <c r="B1899" s="217" t="s">
        <v>23</v>
      </c>
      <c r="C1899" s="217" t="s">
        <v>37</v>
      </c>
      <c r="D1899" s="217" t="s">
        <v>36</v>
      </c>
      <c r="E1899" s="217" t="s">
        <v>247</v>
      </c>
      <c r="F1899" s="217" t="s">
        <v>246</v>
      </c>
      <c r="G1899" s="217" t="s">
        <v>595</v>
      </c>
      <c r="H1899" s="217" t="s">
        <v>1463</v>
      </c>
      <c r="I1899" s="217" t="s">
        <v>659</v>
      </c>
      <c r="J1899" s="217" t="s">
        <v>1856</v>
      </c>
      <c r="K1899" s="217">
        <v>3</v>
      </c>
      <c r="L1899" s="217">
        <v>15</v>
      </c>
      <c r="M1899" s="217" t="s">
        <v>31</v>
      </c>
      <c r="N1899" s="217" t="s">
        <v>32</v>
      </c>
      <c r="O1899" s="217" t="s">
        <v>141</v>
      </c>
      <c r="P1899" s="217" t="s">
        <v>142</v>
      </c>
      <c r="Q1899" s="217" t="s">
        <v>143</v>
      </c>
      <c r="R1899" s="217" t="s">
        <v>641</v>
      </c>
      <c r="S1899" s="217" t="s">
        <v>642</v>
      </c>
      <c r="T1899" s="217" t="s">
        <v>32</v>
      </c>
      <c r="U1899" s="217" t="s">
        <v>32</v>
      </c>
      <c r="V1899" s="217" t="s">
        <v>32</v>
      </c>
      <c r="W1899" s="217" t="s">
        <v>32</v>
      </c>
    </row>
    <row r="1900" spans="1:23" x14ac:dyDescent="0.25">
      <c r="A1900" s="217" t="s">
        <v>22</v>
      </c>
      <c r="B1900" s="217" t="s">
        <v>23</v>
      </c>
      <c r="C1900" s="217" t="s">
        <v>37</v>
      </c>
      <c r="D1900" s="217" t="s">
        <v>36</v>
      </c>
      <c r="E1900" s="217" t="s">
        <v>247</v>
      </c>
      <c r="F1900" s="217" t="s">
        <v>246</v>
      </c>
      <c r="G1900" s="217" t="s">
        <v>596</v>
      </c>
      <c r="H1900" s="217" t="s">
        <v>1464</v>
      </c>
      <c r="I1900" s="217" t="s">
        <v>659</v>
      </c>
      <c r="J1900" s="217" t="s">
        <v>1855</v>
      </c>
      <c r="K1900" s="217">
        <v>20</v>
      </c>
      <c r="L1900" s="217">
        <v>100</v>
      </c>
      <c r="M1900" s="217" t="s">
        <v>31</v>
      </c>
      <c r="N1900" s="217" t="s">
        <v>32</v>
      </c>
      <c r="O1900" s="217" t="s">
        <v>141</v>
      </c>
      <c r="P1900" s="217" t="s">
        <v>142</v>
      </c>
      <c r="Q1900" s="217" t="s">
        <v>143</v>
      </c>
      <c r="R1900" s="217" t="s">
        <v>641</v>
      </c>
      <c r="S1900" s="217" t="s">
        <v>642</v>
      </c>
      <c r="T1900" s="217" t="s">
        <v>32</v>
      </c>
      <c r="U1900" s="217" t="s">
        <v>32</v>
      </c>
      <c r="V1900" s="217" t="s">
        <v>32</v>
      </c>
      <c r="W1900" s="217" t="s">
        <v>32</v>
      </c>
    </row>
    <row r="1901" spans="1:23" x14ac:dyDescent="0.25">
      <c r="A1901" s="217" t="s">
        <v>22</v>
      </c>
      <c r="B1901" s="217" t="s">
        <v>23</v>
      </c>
      <c r="C1901" s="217" t="s">
        <v>37</v>
      </c>
      <c r="D1901" s="217" t="s">
        <v>36</v>
      </c>
      <c r="E1901" s="217" t="s">
        <v>247</v>
      </c>
      <c r="F1901" s="217" t="s">
        <v>246</v>
      </c>
      <c r="G1901" s="217" t="s">
        <v>596</v>
      </c>
      <c r="H1901" s="217" t="s">
        <v>1464</v>
      </c>
      <c r="I1901" s="217" t="s">
        <v>659</v>
      </c>
      <c r="J1901" s="217" t="s">
        <v>1857</v>
      </c>
      <c r="K1901" s="217">
        <v>3</v>
      </c>
      <c r="L1901" s="217">
        <v>16</v>
      </c>
      <c r="M1901" s="217" t="s">
        <v>31</v>
      </c>
      <c r="N1901" s="217" t="s">
        <v>32</v>
      </c>
      <c r="O1901" s="217" t="s">
        <v>141</v>
      </c>
      <c r="P1901" s="217" t="s">
        <v>142</v>
      </c>
      <c r="Q1901" s="217" t="s">
        <v>143</v>
      </c>
      <c r="R1901" s="217" t="s">
        <v>641</v>
      </c>
      <c r="S1901" s="217" t="s">
        <v>642</v>
      </c>
      <c r="T1901" s="217" t="s">
        <v>32</v>
      </c>
      <c r="U1901" s="217" t="s">
        <v>32</v>
      </c>
      <c r="V1901" s="217" t="s">
        <v>32</v>
      </c>
      <c r="W1901" s="217" t="s">
        <v>32</v>
      </c>
    </row>
    <row r="1902" spans="1:23" x14ac:dyDescent="0.25">
      <c r="A1902" s="217" t="s">
        <v>22</v>
      </c>
      <c r="B1902" s="217" t="s">
        <v>23</v>
      </c>
      <c r="C1902" s="217" t="s">
        <v>37</v>
      </c>
      <c r="D1902" s="217" t="s">
        <v>36</v>
      </c>
      <c r="E1902" s="217" t="s">
        <v>247</v>
      </c>
      <c r="F1902" s="217" t="s">
        <v>246</v>
      </c>
      <c r="G1902" s="217" t="s">
        <v>596</v>
      </c>
      <c r="H1902" s="217" t="s">
        <v>1464</v>
      </c>
      <c r="I1902" s="217" t="s">
        <v>659</v>
      </c>
      <c r="J1902" s="217" t="s">
        <v>1858</v>
      </c>
      <c r="K1902" s="217">
        <v>2</v>
      </c>
      <c r="L1902" s="217">
        <v>13</v>
      </c>
      <c r="M1902" s="217" t="s">
        <v>31</v>
      </c>
      <c r="N1902" s="217" t="s">
        <v>32</v>
      </c>
      <c r="O1902" s="217" t="s">
        <v>141</v>
      </c>
      <c r="P1902" s="217" t="s">
        <v>142</v>
      </c>
      <c r="Q1902" s="217" t="s">
        <v>143</v>
      </c>
      <c r="R1902" s="217" t="s">
        <v>641</v>
      </c>
      <c r="S1902" s="217" t="s">
        <v>642</v>
      </c>
      <c r="T1902" s="217" t="s">
        <v>32</v>
      </c>
      <c r="U1902" s="217" t="s">
        <v>32</v>
      </c>
      <c r="V1902" s="217" t="s">
        <v>32</v>
      </c>
      <c r="W1902" s="217" t="s">
        <v>32</v>
      </c>
    </row>
    <row r="1903" spans="1:23" x14ac:dyDescent="0.25">
      <c r="A1903" s="217" t="s">
        <v>22</v>
      </c>
      <c r="B1903" s="217" t="s">
        <v>23</v>
      </c>
      <c r="C1903" s="217" t="s">
        <v>37</v>
      </c>
      <c r="D1903" s="217" t="s">
        <v>36</v>
      </c>
      <c r="E1903" s="217" t="s">
        <v>247</v>
      </c>
      <c r="F1903" s="217" t="s">
        <v>246</v>
      </c>
      <c r="G1903" s="217" t="s">
        <v>252</v>
      </c>
      <c r="H1903" s="217" t="s">
        <v>1465</v>
      </c>
      <c r="I1903" s="217" t="s">
        <v>659</v>
      </c>
      <c r="J1903" s="217" t="s">
        <v>1855</v>
      </c>
      <c r="K1903" s="217">
        <v>16</v>
      </c>
      <c r="L1903" s="217">
        <v>80</v>
      </c>
      <c r="M1903" s="217" t="s">
        <v>31</v>
      </c>
      <c r="N1903" s="217" t="s">
        <v>32</v>
      </c>
      <c r="O1903" s="217" t="s">
        <v>141</v>
      </c>
      <c r="P1903" s="217" t="s">
        <v>142</v>
      </c>
      <c r="Q1903" s="217" t="s">
        <v>143</v>
      </c>
      <c r="R1903" s="217" t="s">
        <v>641</v>
      </c>
      <c r="S1903" s="217" t="s">
        <v>642</v>
      </c>
      <c r="T1903" s="217" t="s">
        <v>32</v>
      </c>
      <c r="U1903" s="217" t="s">
        <v>32</v>
      </c>
      <c r="V1903" s="217" t="s">
        <v>32</v>
      </c>
      <c r="W1903" s="217" t="s">
        <v>32</v>
      </c>
    </row>
    <row r="1904" spans="1:23" x14ac:dyDescent="0.25">
      <c r="A1904" s="217" t="s">
        <v>22</v>
      </c>
      <c r="B1904" s="217" t="s">
        <v>23</v>
      </c>
      <c r="C1904" s="217" t="s">
        <v>37</v>
      </c>
      <c r="D1904" s="217" t="s">
        <v>36</v>
      </c>
      <c r="E1904" s="217" t="s">
        <v>247</v>
      </c>
      <c r="F1904" s="217" t="s">
        <v>246</v>
      </c>
      <c r="G1904" s="217" t="s">
        <v>252</v>
      </c>
      <c r="H1904" s="217" t="s">
        <v>1465</v>
      </c>
      <c r="I1904" s="217" t="s">
        <v>659</v>
      </c>
      <c r="J1904" s="217" t="s">
        <v>1857</v>
      </c>
      <c r="K1904" s="217">
        <v>6</v>
      </c>
      <c r="L1904" s="217">
        <v>30</v>
      </c>
      <c r="M1904" s="217" t="s">
        <v>31</v>
      </c>
      <c r="N1904" s="217" t="s">
        <v>32</v>
      </c>
      <c r="O1904" s="217" t="s">
        <v>141</v>
      </c>
      <c r="P1904" s="217" t="s">
        <v>142</v>
      </c>
      <c r="Q1904" s="217" t="s">
        <v>143</v>
      </c>
      <c r="R1904" s="217" t="s">
        <v>641</v>
      </c>
      <c r="S1904" s="217" t="s">
        <v>642</v>
      </c>
      <c r="T1904" s="217" t="s">
        <v>32</v>
      </c>
      <c r="U1904" s="217" t="s">
        <v>32</v>
      </c>
      <c r="V1904" s="217" t="s">
        <v>32</v>
      </c>
      <c r="W1904" s="217" t="s">
        <v>32</v>
      </c>
    </row>
    <row r="1905" spans="1:23" x14ac:dyDescent="0.25">
      <c r="A1905" s="217" t="s">
        <v>22</v>
      </c>
      <c r="B1905" s="217" t="s">
        <v>23</v>
      </c>
      <c r="C1905" s="217" t="s">
        <v>37</v>
      </c>
      <c r="D1905" s="217" t="s">
        <v>36</v>
      </c>
      <c r="E1905" s="217" t="s">
        <v>247</v>
      </c>
      <c r="F1905" s="217" t="s">
        <v>246</v>
      </c>
      <c r="G1905" s="217" t="s">
        <v>252</v>
      </c>
      <c r="H1905" s="217" t="s">
        <v>1465</v>
      </c>
      <c r="I1905" s="217" t="s">
        <v>659</v>
      </c>
      <c r="J1905" s="217" t="s">
        <v>1858</v>
      </c>
      <c r="K1905" s="217">
        <v>29</v>
      </c>
      <c r="L1905" s="217">
        <v>143</v>
      </c>
      <c r="M1905" s="217" t="s">
        <v>31</v>
      </c>
      <c r="N1905" s="217" t="s">
        <v>32</v>
      </c>
      <c r="O1905" s="217" t="s">
        <v>141</v>
      </c>
      <c r="P1905" s="217" t="s">
        <v>142</v>
      </c>
      <c r="Q1905" s="217" t="s">
        <v>143</v>
      </c>
      <c r="R1905" s="217" t="s">
        <v>641</v>
      </c>
      <c r="S1905" s="217" t="s">
        <v>642</v>
      </c>
      <c r="T1905" s="217" t="s">
        <v>32</v>
      </c>
      <c r="U1905" s="217" t="s">
        <v>32</v>
      </c>
      <c r="V1905" s="217" t="s">
        <v>32</v>
      </c>
      <c r="W1905" s="217" t="s">
        <v>32</v>
      </c>
    </row>
    <row r="1906" spans="1:23" x14ac:dyDescent="0.25">
      <c r="A1906" s="217" t="s">
        <v>22</v>
      </c>
      <c r="B1906" s="217" t="s">
        <v>23</v>
      </c>
      <c r="C1906" s="217" t="s">
        <v>37</v>
      </c>
      <c r="D1906" s="217" t="s">
        <v>36</v>
      </c>
      <c r="E1906" s="217" t="s">
        <v>247</v>
      </c>
      <c r="F1906" s="217" t="s">
        <v>246</v>
      </c>
      <c r="G1906" s="217" t="s">
        <v>252</v>
      </c>
      <c r="H1906" s="217" t="s">
        <v>1465</v>
      </c>
      <c r="I1906" s="217" t="s">
        <v>659</v>
      </c>
      <c r="J1906" s="217" t="s">
        <v>1859</v>
      </c>
      <c r="K1906" s="217">
        <v>6</v>
      </c>
      <c r="L1906" s="217">
        <v>30</v>
      </c>
      <c r="M1906" s="217" t="s">
        <v>31</v>
      </c>
      <c r="N1906" s="217" t="s">
        <v>32</v>
      </c>
      <c r="O1906" s="217" t="s">
        <v>141</v>
      </c>
      <c r="P1906" s="217" t="s">
        <v>142</v>
      </c>
      <c r="Q1906" s="217" t="s">
        <v>143</v>
      </c>
      <c r="R1906" s="217" t="s">
        <v>641</v>
      </c>
      <c r="S1906" s="217" t="s">
        <v>642</v>
      </c>
      <c r="T1906" s="217" t="s">
        <v>32</v>
      </c>
      <c r="U1906" s="217" t="s">
        <v>32</v>
      </c>
      <c r="V1906" s="217" t="s">
        <v>32</v>
      </c>
      <c r="W1906" s="217" t="s">
        <v>32</v>
      </c>
    </row>
    <row r="1907" spans="1:23" x14ac:dyDescent="0.25">
      <c r="A1907" s="217" t="s">
        <v>22</v>
      </c>
      <c r="B1907" s="217" t="s">
        <v>23</v>
      </c>
      <c r="C1907" s="217" t="s">
        <v>37</v>
      </c>
      <c r="D1907" s="217" t="s">
        <v>36</v>
      </c>
      <c r="E1907" s="217" t="s">
        <v>247</v>
      </c>
      <c r="F1907" s="217" t="s">
        <v>246</v>
      </c>
      <c r="G1907" s="217" t="s">
        <v>597</v>
      </c>
      <c r="H1907" s="217" t="s">
        <v>1466</v>
      </c>
      <c r="I1907" s="217" t="s">
        <v>659</v>
      </c>
      <c r="J1907" s="217" t="s">
        <v>1855</v>
      </c>
      <c r="K1907" s="217">
        <v>4</v>
      </c>
      <c r="L1907" s="217">
        <v>20</v>
      </c>
      <c r="M1907" s="217" t="s">
        <v>31</v>
      </c>
      <c r="N1907" s="217" t="s">
        <v>32</v>
      </c>
      <c r="O1907" s="217" t="s">
        <v>668</v>
      </c>
      <c r="P1907" s="217" t="s">
        <v>34</v>
      </c>
      <c r="Q1907" s="217" t="s">
        <v>35</v>
      </c>
      <c r="R1907" s="217" t="s">
        <v>23</v>
      </c>
      <c r="S1907" s="217" t="s">
        <v>22</v>
      </c>
      <c r="T1907" s="217" t="s">
        <v>47</v>
      </c>
      <c r="U1907" s="217" t="s">
        <v>48</v>
      </c>
      <c r="V1907" s="217" t="s">
        <v>32</v>
      </c>
      <c r="W1907" s="217" t="s">
        <v>32</v>
      </c>
    </row>
    <row r="1908" spans="1:23" x14ac:dyDescent="0.25">
      <c r="A1908" s="217" t="s">
        <v>22</v>
      </c>
      <c r="B1908" s="217" t="s">
        <v>23</v>
      </c>
      <c r="C1908" s="217" t="s">
        <v>37</v>
      </c>
      <c r="D1908" s="217" t="s">
        <v>36</v>
      </c>
      <c r="E1908" s="217" t="s">
        <v>247</v>
      </c>
      <c r="F1908" s="217" t="s">
        <v>246</v>
      </c>
      <c r="G1908" s="217" t="s">
        <v>597</v>
      </c>
      <c r="H1908" s="217" t="s">
        <v>1466</v>
      </c>
      <c r="I1908" s="217" t="s">
        <v>659</v>
      </c>
      <c r="J1908" s="217" t="s">
        <v>1856</v>
      </c>
      <c r="K1908" s="217">
        <v>2</v>
      </c>
      <c r="L1908" s="217">
        <v>10</v>
      </c>
      <c r="M1908" s="217" t="s">
        <v>31</v>
      </c>
      <c r="N1908" s="217" t="s">
        <v>32</v>
      </c>
      <c r="O1908" s="217" t="s">
        <v>668</v>
      </c>
      <c r="P1908" s="217" t="s">
        <v>34</v>
      </c>
      <c r="Q1908" s="217" t="s">
        <v>35</v>
      </c>
      <c r="R1908" s="217" t="s">
        <v>23</v>
      </c>
      <c r="S1908" s="217" t="s">
        <v>22</v>
      </c>
      <c r="T1908" s="217" t="s">
        <v>47</v>
      </c>
      <c r="U1908" s="217" t="s">
        <v>48</v>
      </c>
      <c r="V1908" s="217" t="s">
        <v>32</v>
      </c>
      <c r="W1908" s="217" t="s">
        <v>32</v>
      </c>
    </row>
    <row r="1909" spans="1:23" x14ac:dyDescent="0.25">
      <c r="A1909" s="217" t="s">
        <v>22</v>
      </c>
      <c r="B1909" s="217" t="s">
        <v>23</v>
      </c>
      <c r="C1909" s="217" t="s">
        <v>37</v>
      </c>
      <c r="D1909" s="217" t="s">
        <v>36</v>
      </c>
      <c r="E1909" s="217" t="s">
        <v>247</v>
      </c>
      <c r="F1909" s="217" t="s">
        <v>246</v>
      </c>
      <c r="G1909" s="217" t="s">
        <v>597</v>
      </c>
      <c r="H1909" s="217" t="s">
        <v>1466</v>
      </c>
      <c r="I1909" s="217" t="s">
        <v>659</v>
      </c>
      <c r="J1909" s="217" t="s">
        <v>1857</v>
      </c>
      <c r="K1909" s="217">
        <v>2</v>
      </c>
      <c r="L1909" s="217">
        <v>10</v>
      </c>
      <c r="M1909" s="217" t="s">
        <v>31</v>
      </c>
      <c r="N1909" s="217" t="s">
        <v>32</v>
      </c>
      <c r="O1909" s="217" t="s">
        <v>668</v>
      </c>
      <c r="P1909" s="217" t="s">
        <v>34</v>
      </c>
      <c r="Q1909" s="217" t="s">
        <v>35</v>
      </c>
      <c r="R1909" s="217" t="s">
        <v>23</v>
      </c>
      <c r="S1909" s="217" t="s">
        <v>22</v>
      </c>
      <c r="T1909" s="217" t="s">
        <v>36</v>
      </c>
      <c r="U1909" s="217" t="s">
        <v>37</v>
      </c>
      <c r="V1909" s="217" t="s">
        <v>32</v>
      </c>
      <c r="W1909" s="217" t="s">
        <v>32</v>
      </c>
    </row>
    <row r="1910" spans="1:23" x14ac:dyDescent="0.25">
      <c r="A1910" s="217" t="s">
        <v>22</v>
      </c>
      <c r="B1910" s="217" t="s">
        <v>23</v>
      </c>
      <c r="C1910" s="217" t="s">
        <v>37</v>
      </c>
      <c r="D1910" s="217" t="s">
        <v>36</v>
      </c>
      <c r="E1910" s="217" t="s">
        <v>247</v>
      </c>
      <c r="F1910" s="217" t="s">
        <v>246</v>
      </c>
      <c r="G1910" s="217" t="s">
        <v>684</v>
      </c>
      <c r="H1910" s="217" t="s">
        <v>1552</v>
      </c>
      <c r="I1910" s="217" t="s">
        <v>659</v>
      </c>
      <c r="J1910" s="217" t="s">
        <v>1854</v>
      </c>
      <c r="K1910" s="217">
        <v>20</v>
      </c>
      <c r="L1910" s="217">
        <v>160</v>
      </c>
      <c r="M1910" s="217" t="s">
        <v>31</v>
      </c>
      <c r="N1910" s="217" t="s">
        <v>32</v>
      </c>
      <c r="O1910" s="217" t="s">
        <v>668</v>
      </c>
      <c r="P1910" s="217" t="s">
        <v>34</v>
      </c>
      <c r="Q1910" s="217" t="s">
        <v>35</v>
      </c>
      <c r="R1910" s="217" t="s">
        <v>23</v>
      </c>
      <c r="S1910" s="217" t="s">
        <v>22</v>
      </c>
      <c r="T1910" s="217" t="s">
        <v>36</v>
      </c>
      <c r="U1910" s="217" t="s">
        <v>37</v>
      </c>
      <c r="V1910" s="217" t="s">
        <v>32</v>
      </c>
      <c r="W1910" s="217" t="s">
        <v>32</v>
      </c>
    </row>
    <row r="1911" spans="1:23" x14ac:dyDescent="0.25">
      <c r="A1911" s="217" t="s">
        <v>22</v>
      </c>
      <c r="B1911" s="217" t="s">
        <v>23</v>
      </c>
      <c r="C1911" s="217" t="s">
        <v>37</v>
      </c>
      <c r="D1911" s="217" t="s">
        <v>36</v>
      </c>
      <c r="E1911" s="217" t="s">
        <v>247</v>
      </c>
      <c r="F1911" s="217" t="s">
        <v>246</v>
      </c>
      <c r="G1911" s="217" t="s">
        <v>684</v>
      </c>
      <c r="H1911" s="217" t="s">
        <v>1552</v>
      </c>
      <c r="I1911" s="217" t="s">
        <v>659</v>
      </c>
      <c r="J1911" s="217" t="s">
        <v>1855</v>
      </c>
      <c r="K1911" s="217">
        <v>90</v>
      </c>
      <c r="L1911" s="217">
        <v>720</v>
      </c>
      <c r="M1911" s="217" t="s">
        <v>31</v>
      </c>
      <c r="N1911" s="217" t="s">
        <v>32</v>
      </c>
      <c r="O1911" s="217" t="s">
        <v>668</v>
      </c>
      <c r="P1911" s="217" t="s">
        <v>34</v>
      </c>
      <c r="Q1911" s="217" t="s">
        <v>35</v>
      </c>
      <c r="R1911" s="217" t="s">
        <v>23</v>
      </c>
      <c r="S1911" s="217" t="s">
        <v>22</v>
      </c>
      <c r="T1911" s="217" t="s">
        <v>36</v>
      </c>
      <c r="U1911" s="217" t="s">
        <v>37</v>
      </c>
      <c r="V1911" s="217" t="s">
        <v>32</v>
      </c>
      <c r="W1911" s="217" t="s">
        <v>32</v>
      </c>
    </row>
    <row r="1912" spans="1:23" x14ac:dyDescent="0.25">
      <c r="A1912" s="217" t="s">
        <v>22</v>
      </c>
      <c r="B1912" s="217" t="s">
        <v>23</v>
      </c>
      <c r="C1912" s="217" t="s">
        <v>37</v>
      </c>
      <c r="D1912" s="217" t="s">
        <v>36</v>
      </c>
      <c r="E1912" s="217" t="s">
        <v>247</v>
      </c>
      <c r="F1912" s="217" t="s">
        <v>246</v>
      </c>
      <c r="G1912" s="217" t="s">
        <v>684</v>
      </c>
      <c r="H1912" s="217" t="s">
        <v>1552</v>
      </c>
      <c r="I1912" s="217" t="s">
        <v>659</v>
      </c>
      <c r="J1912" s="217" t="s">
        <v>1856</v>
      </c>
      <c r="K1912" s="217">
        <v>50</v>
      </c>
      <c r="L1912" s="217">
        <v>400</v>
      </c>
      <c r="M1912" s="217" t="s">
        <v>31</v>
      </c>
      <c r="N1912" s="217" t="s">
        <v>32</v>
      </c>
      <c r="O1912" s="217" t="s">
        <v>668</v>
      </c>
      <c r="P1912" s="217" t="s">
        <v>34</v>
      </c>
      <c r="Q1912" s="217" t="s">
        <v>35</v>
      </c>
      <c r="R1912" s="217" t="s">
        <v>23</v>
      </c>
      <c r="S1912" s="217" t="s">
        <v>22</v>
      </c>
      <c r="T1912" s="217" t="s">
        <v>47</v>
      </c>
      <c r="U1912" s="217" t="s">
        <v>48</v>
      </c>
      <c r="V1912" s="217" t="s">
        <v>32</v>
      </c>
      <c r="W1912" s="217" t="s">
        <v>32</v>
      </c>
    </row>
    <row r="1913" spans="1:23" x14ac:dyDescent="0.25">
      <c r="A1913" s="217" t="s">
        <v>22</v>
      </c>
      <c r="B1913" s="217" t="s">
        <v>23</v>
      </c>
      <c r="C1913" s="217" t="s">
        <v>37</v>
      </c>
      <c r="D1913" s="217" t="s">
        <v>36</v>
      </c>
      <c r="E1913" s="217" t="s">
        <v>247</v>
      </c>
      <c r="F1913" s="217" t="s">
        <v>246</v>
      </c>
      <c r="G1913" s="217" t="s">
        <v>684</v>
      </c>
      <c r="H1913" s="217" t="s">
        <v>1552</v>
      </c>
      <c r="I1913" s="217" t="s">
        <v>659</v>
      </c>
      <c r="J1913" s="217" t="s">
        <v>1857</v>
      </c>
      <c r="K1913" s="217">
        <v>20</v>
      </c>
      <c r="L1913" s="217">
        <v>160</v>
      </c>
      <c r="M1913" s="217" t="s">
        <v>31</v>
      </c>
      <c r="N1913" s="217" t="s">
        <v>32</v>
      </c>
      <c r="O1913" s="217" t="s">
        <v>668</v>
      </c>
      <c r="P1913" s="217" t="s">
        <v>34</v>
      </c>
      <c r="Q1913" s="217" t="s">
        <v>35</v>
      </c>
      <c r="R1913" s="217" t="s">
        <v>23</v>
      </c>
      <c r="S1913" s="217" t="s">
        <v>22</v>
      </c>
      <c r="T1913" s="217" t="s">
        <v>47</v>
      </c>
      <c r="U1913" s="217" t="s">
        <v>48</v>
      </c>
      <c r="V1913" s="217" t="s">
        <v>32</v>
      </c>
      <c r="W1913" s="217" t="s">
        <v>32</v>
      </c>
    </row>
    <row r="1914" spans="1:23" x14ac:dyDescent="0.25">
      <c r="A1914" s="217" t="s">
        <v>22</v>
      </c>
      <c r="B1914" s="217" t="s">
        <v>23</v>
      </c>
      <c r="C1914" s="217" t="s">
        <v>37</v>
      </c>
      <c r="D1914" s="217" t="s">
        <v>36</v>
      </c>
      <c r="E1914" s="217" t="s">
        <v>247</v>
      </c>
      <c r="F1914" s="217" t="s">
        <v>246</v>
      </c>
      <c r="G1914" s="217" t="s">
        <v>684</v>
      </c>
      <c r="H1914" s="217" t="s">
        <v>1552</v>
      </c>
      <c r="I1914" s="217" t="s">
        <v>659</v>
      </c>
      <c r="J1914" s="217" t="s">
        <v>1858</v>
      </c>
      <c r="K1914" s="217">
        <v>3</v>
      </c>
      <c r="L1914" s="217">
        <v>8</v>
      </c>
      <c r="M1914" s="217" t="s">
        <v>31</v>
      </c>
      <c r="N1914" s="217" t="s">
        <v>32</v>
      </c>
      <c r="O1914" s="217" t="s">
        <v>141</v>
      </c>
      <c r="P1914" s="217" t="s">
        <v>142</v>
      </c>
      <c r="Q1914" s="217" t="s">
        <v>143</v>
      </c>
      <c r="R1914" s="217" t="s">
        <v>641</v>
      </c>
      <c r="S1914" s="217" t="s">
        <v>642</v>
      </c>
      <c r="T1914" s="217" t="s">
        <v>32</v>
      </c>
      <c r="U1914" s="217" t="s">
        <v>32</v>
      </c>
      <c r="V1914" s="217" t="s">
        <v>32</v>
      </c>
      <c r="W1914" s="217" t="s">
        <v>32</v>
      </c>
    </row>
    <row r="1915" spans="1:23" x14ac:dyDescent="0.25">
      <c r="A1915" s="217" t="s">
        <v>22</v>
      </c>
      <c r="B1915" s="217" t="s">
        <v>23</v>
      </c>
      <c r="C1915" s="217" t="s">
        <v>37</v>
      </c>
      <c r="D1915" s="217" t="s">
        <v>36</v>
      </c>
      <c r="E1915" s="217" t="s">
        <v>250</v>
      </c>
      <c r="F1915" s="217" t="s">
        <v>249</v>
      </c>
      <c r="G1915" s="217" t="s">
        <v>2142</v>
      </c>
      <c r="H1915" s="217" t="s">
        <v>2143</v>
      </c>
      <c r="I1915" s="217" t="s">
        <v>659</v>
      </c>
      <c r="J1915" s="217" t="s">
        <v>1857</v>
      </c>
      <c r="K1915" s="217">
        <v>90</v>
      </c>
      <c r="L1915" s="217">
        <v>580</v>
      </c>
      <c r="M1915" s="217" t="s">
        <v>31</v>
      </c>
      <c r="N1915" s="217" t="s">
        <v>32</v>
      </c>
      <c r="O1915" s="217" t="s">
        <v>668</v>
      </c>
      <c r="P1915" s="217" t="s">
        <v>34</v>
      </c>
      <c r="Q1915" s="217" t="s">
        <v>35</v>
      </c>
      <c r="R1915" s="217" t="s">
        <v>23</v>
      </c>
      <c r="S1915" s="217" t="s">
        <v>22</v>
      </c>
      <c r="T1915" s="217" t="s">
        <v>36</v>
      </c>
      <c r="U1915" s="217" t="s">
        <v>37</v>
      </c>
      <c r="V1915" s="217" t="s">
        <v>32</v>
      </c>
      <c r="W1915" s="217" t="s">
        <v>32</v>
      </c>
    </row>
    <row r="1916" spans="1:23" x14ac:dyDescent="0.25">
      <c r="A1916" s="217" t="s">
        <v>22</v>
      </c>
      <c r="B1916" s="217" t="s">
        <v>23</v>
      </c>
      <c r="C1916" s="217" t="s">
        <v>37</v>
      </c>
      <c r="D1916" s="217" t="s">
        <v>36</v>
      </c>
      <c r="E1916" s="217" t="s">
        <v>250</v>
      </c>
      <c r="F1916" s="217" t="s">
        <v>249</v>
      </c>
      <c r="G1916" s="217" t="s">
        <v>2049</v>
      </c>
      <c r="H1916" s="217" t="s">
        <v>2048</v>
      </c>
      <c r="I1916" s="217" t="s">
        <v>659</v>
      </c>
      <c r="J1916" s="217" t="s">
        <v>1856</v>
      </c>
      <c r="K1916" s="217">
        <v>6</v>
      </c>
      <c r="L1916" s="217">
        <v>31</v>
      </c>
      <c r="M1916" s="217" t="s">
        <v>31</v>
      </c>
      <c r="N1916" s="217" t="s">
        <v>32</v>
      </c>
      <c r="O1916" s="217" t="s">
        <v>141</v>
      </c>
      <c r="P1916" s="217" t="s">
        <v>142</v>
      </c>
      <c r="Q1916" s="217" t="s">
        <v>143</v>
      </c>
      <c r="R1916" s="217" t="s">
        <v>618</v>
      </c>
      <c r="S1916" s="217" t="s">
        <v>619</v>
      </c>
      <c r="T1916" s="217" t="s">
        <v>32</v>
      </c>
      <c r="U1916" s="217" t="s">
        <v>32</v>
      </c>
      <c r="V1916" s="217" t="s">
        <v>32</v>
      </c>
      <c r="W1916" s="217" t="s">
        <v>32</v>
      </c>
    </row>
    <row r="1917" spans="1:23" x14ac:dyDescent="0.25">
      <c r="A1917" s="217" t="s">
        <v>22</v>
      </c>
      <c r="B1917" s="217" t="s">
        <v>23</v>
      </c>
      <c r="C1917" s="217" t="s">
        <v>37</v>
      </c>
      <c r="D1917" s="217" t="s">
        <v>36</v>
      </c>
      <c r="E1917" s="217" t="s">
        <v>250</v>
      </c>
      <c r="F1917" s="217" t="s">
        <v>249</v>
      </c>
      <c r="G1917" s="217" t="s">
        <v>253</v>
      </c>
      <c r="H1917" s="217" t="s">
        <v>1467</v>
      </c>
      <c r="I1917" s="217" t="s">
        <v>659</v>
      </c>
      <c r="J1917" s="217" t="s">
        <v>1855</v>
      </c>
      <c r="K1917" s="217">
        <v>6</v>
      </c>
      <c r="L1917" s="217">
        <v>30</v>
      </c>
      <c r="M1917" s="217" t="s">
        <v>31</v>
      </c>
      <c r="N1917" s="217" t="s">
        <v>32</v>
      </c>
      <c r="O1917" s="217" t="s">
        <v>668</v>
      </c>
      <c r="P1917" s="217" t="s">
        <v>34</v>
      </c>
      <c r="Q1917" s="217" t="s">
        <v>35</v>
      </c>
      <c r="R1917" s="217" t="s">
        <v>199</v>
      </c>
      <c r="S1917" s="217" t="s">
        <v>200</v>
      </c>
      <c r="T1917" s="217" t="s">
        <v>2159</v>
      </c>
      <c r="U1917" s="217" t="s">
        <v>2160</v>
      </c>
      <c r="V1917" s="217" t="s">
        <v>32</v>
      </c>
      <c r="W1917" s="217" t="s">
        <v>32</v>
      </c>
    </row>
    <row r="1918" spans="1:23" x14ac:dyDescent="0.25">
      <c r="A1918" s="217" t="s">
        <v>22</v>
      </c>
      <c r="B1918" s="217" t="s">
        <v>23</v>
      </c>
      <c r="C1918" s="217" t="s">
        <v>37</v>
      </c>
      <c r="D1918" s="217" t="s">
        <v>36</v>
      </c>
      <c r="E1918" s="217" t="s">
        <v>250</v>
      </c>
      <c r="F1918" s="217" t="s">
        <v>249</v>
      </c>
      <c r="G1918" s="217" t="s">
        <v>253</v>
      </c>
      <c r="H1918" s="217" t="s">
        <v>1467</v>
      </c>
      <c r="I1918" s="217" t="s">
        <v>659</v>
      </c>
      <c r="J1918" s="217" t="s">
        <v>1856</v>
      </c>
      <c r="K1918" s="217">
        <v>8</v>
      </c>
      <c r="L1918" s="217">
        <v>40</v>
      </c>
      <c r="M1918" s="217" t="s">
        <v>31</v>
      </c>
      <c r="N1918" s="217" t="s">
        <v>32</v>
      </c>
      <c r="O1918" s="217" t="s">
        <v>668</v>
      </c>
      <c r="P1918" s="217" t="s">
        <v>34</v>
      </c>
      <c r="Q1918" s="217" t="s">
        <v>35</v>
      </c>
      <c r="R1918" s="217" t="s">
        <v>199</v>
      </c>
      <c r="S1918" s="217" t="s">
        <v>200</v>
      </c>
      <c r="T1918" s="217" t="s">
        <v>1848</v>
      </c>
      <c r="U1918" s="217" t="s">
        <v>1849</v>
      </c>
      <c r="V1918" s="217" t="s">
        <v>32</v>
      </c>
      <c r="W1918" s="217" t="s">
        <v>32</v>
      </c>
    </row>
    <row r="1919" spans="1:23" x14ac:dyDescent="0.25">
      <c r="A1919" s="217" t="s">
        <v>22</v>
      </c>
      <c r="B1919" s="217" t="s">
        <v>23</v>
      </c>
      <c r="C1919" s="217" t="s">
        <v>37</v>
      </c>
      <c r="D1919" s="217" t="s">
        <v>36</v>
      </c>
      <c r="E1919" s="217" t="s">
        <v>250</v>
      </c>
      <c r="F1919" s="217" t="s">
        <v>249</v>
      </c>
      <c r="G1919" s="217" t="s">
        <v>253</v>
      </c>
      <c r="H1919" s="217" t="s">
        <v>1467</v>
      </c>
      <c r="I1919" s="217" t="s">
        <v>659</v>
      </c>
      <c r="J1919" s="217" t="s">
        <v>1858</v>
      </c>
      <c r="K1919" s="217">
        <v>2</v>
      </c>
      <c r="L1919" s="217">
        <v>10</v>
      </c>
      <c r="M1919" s="217" t="s">
        <v>31</v>
      </c>
      <c r="N1919" s="217" t="s">
        <v>32</v>
      </c>
      <c r="O1919" s="217" t="s">
        <v>668</v>
      </c>
      <c r="P1919" s="217" t="s">
        <v>34</v>
      </c>
      <c r="Q1919" s="217" t="s">
        <v>35</v>
      </c>
      <c r="R1919" s="217" t="s">
        <v>199</v>
      </c>
      <c r="S1919" s="217" t="s">
        <v>200</v>
      </c>
      <c r="T1919" s="217" t="s">
        <v>2159</v>
      </c>
      <c r="U1919" s="217" t="s">
        <v>2160</v>
      </c>
      <c r="V1919" s="217" t="s">
        <v>32</v>
      </c>
      <c r="W1919" s="217" t="s">
        <v>32</v>
      </c>
    </row>
    <row r="1920" spans="1:23" x14ac:dyDescent="0.25">
      <c r="A1920" s="217" t="s">
        <v>22</v>
      </c>
      <c r="B1920" s="217" t="s">
        <v>23</v>
      </c>
      <c r="C1920" s="217" t="s">
        <v>37</v>
      </c>
      <c r="D1920" s="217" t="s">
        <v>36</v>
      </c>
      <c r="E1920" s="217" t="s">
        <v>250</v>
      </c>
      <c r="F1920" s="217" t="s">
        <v>249</v>
      </c>
      <c r="G1920" s="217" t="s">
        <v>253</v>
      </c>
      <c r="H1920" s="217" t="s">
        <v>1467</v>
      </c>
      <c r="I1920" s="217" t="s">
        <v>659</v>
      </c>
      <c r="J1920" s="217" t="s">
        <v>1857</v>
      </c>
      <c r="K1920" s="217">
        <v>1</v>
      </c>
      <c r="L1920" s="217">
        <v>5</v>
      </c>
      <c r="M1920" s="217" t="s">
        <v>31</v>
      </c>
      <c r="N1920" s="217" t="s">
        <v>32</v>
      </c>
      <c r="O1920" s="217" t="s">
        <v>668</v>
      </c>
      <c r="P1920" s="217" t="s">
        <v>34</v>
      </c>
      <c r="Q1920" s="217" t="s">
        <v>35</v>
      </c>
      <c r="R1920" s="217" t="s">
        <v>239</v>
      </c>
      <c r="S1920" s="217" t="s">
        <v>240</v>
      </c>
      <c r="T1920" s="217" t="s">
        <v>2069</v>
      </c>
      <c r="U1920" s="217" t="s">
        <v>2070</v>
      </c>
      <c r="V1920" s="217" t="s">
        <v>32</v>
      </c>
      <c r="W1920" s="217" t="s">
        <v>32</v>
      </c>
    </row>
    <row r="1921" spans="1:23" x14ac:dyDescent="0.25">
      <c r="A1921" s="217" t="s">
        <v>22</v>
      </c>
      <c r="B1921" s="217" t="s">
        <v>23</v>
      </c>
      <c r="C1921" s="217" t="s">
        <v>37</v>
      </c>
      <c r="D1921" s="217" t="s">
        <v>36</v>
      </c>
      <c r="E1921" s="217" t="s">
        <v>250</v>
      </c>
      <c r="F1921" s="217" t="s">
        <v>249</v>
      </c>
      <c r="G1921" s="217" t="s">
        <v>255</v>
      </c>
      <c r="H1921" s="217" t="s">
        <v>1469</v>
      </c>
      <c r="I1921" s="217" t="s">
        <v>659</v>
      </c>
      <c r="J1921" s="217" t="s">
        <v>1857</v>
      </c>
      <c r="K1921" s="217">
        <v>44</v>
      </c>
      <c r="L1921" s="217">
        <v>226</v>
      </c>
      <c r="M1921" s="217" t="s">
        <v>31</v>
      </c>
      <c r="N1921" s="217" t="s">
        <v>32</v>
      </c>
      <c r="O1921" s="217" t="s">
        <v>668</v>
      </c>
      <c r="P1921" s="217" t="s">
        <v>34</v>
      </c>
      <c r="Q1921" s="217" t="s">
        <v>35</v>
      </c>
      <c r="R1921" s="217" t="s">
        <v>23</v>
      </c>
      <c r="S1921" s="217" t="s">
        <v>22</v>
      </c>
      <c r="T1921" s="217" t="s">
        <v>36</v>
      </c>
      <c r="U1921" s="217" t="s">
        <v>37</v>
      </c>
      <c r="V1921" s="217" t="s">
        <v>32</v>
      </c>
      <c r="W1921" s="217" t="s">
        <v>32</v>
      </c>
    </row>
    <row r="1922" spans="1:23" x14ac:dyDescent="0.25">
      <c r="A1922" s="217" t="s">
        <v>22</v>
      </c>
      <c r="B1922" s="217" t="s">
        <v>23</v>
      </c>
      <c r="C1922" s="217" t="s">
        <v>37</v>
      </c>
      <c r="D1922" s="217" t="s">
        <v>36</v>
      </c>
      <c r="E1922" s="217" t="s">
        <v>250</v>
      </c>
      <c r="F1922" s="217" t="s">
        <v>249</v>
      </c>
      <c r="G1922" s="217" t="s">
        <v>255</v>
      </c>
      <c r="H1922" s="217" t="s">
        <v>1469</v>
      </c>
      <c r="I1922" s="217" t="s">
        <v>659</v>
      </c>
      <c r="J1922" s="217" t="s">
        <v>1858</v>
      </c>
      <c r="K1922" s="217">
        <v>16</v>
      </c>
      <c r="L1922" s="217">
        <v>98</v>
      </c>
      <c r="M1922" s="217" t="s">
        <v>31</v>
      </c>
      <c r="N1922" s="217" t="s">
        <v>32</v>
      </c>
      <c r="O1922" s="217" t="s">
        <v>668</v>
      </c>
      <c r="P1922" s="217" t="s">
        <v>34</v>
      </c>
      <c r="Q1922" s="217" t="s">
        <v>35</v>
      </c>
      <c r="R1922" s="217" t="s">
        <v>23</v>
      </c>
      <c r="S1922" s="217" t="s">
        <v>22</v>
      </c>
      <c r="T1922" s="217" t="s">
        <v>36</v>
      </c>
      <c r="U1922" s="217" t="s">
        <v>37</v>
      </c>
      <c r="V1922" s="217" t="s">
        <v>32</v>
      </c>
      <c r="W1922" s="217" t="s">
        <v>32</v>
      </c>
    </row>
    <row r="1923" spans="1:23" x14ac:dyDescent="0.25">
      <c r="A1923" s="217" t="s">
        <v>22</v>
      </c>
      <c r="B1923" s="217" t="s">
        <v>23</v>
      </c>
      <c r="C1923" s="217" t="s">
        <v>37</v>
      </c>
      <c r="D1923" s="217" t="s">
        <v>36</v>
      </c>
      <c r="E1923" s="217" t="s">
        <v>250</v>
      </c>
      <c r="F1923" s="217" t="s">
        <v>249</v>
      </c>
      <c r="G1923" s="217" t="s">
        <v>846</v>
      </c>
      <c r="H1923" s="217" t="s">
        <v>1470</v>
      </c>
      <c r="I1923" s="217" t="s">
        <v>659</v>
      </c>
      <c r="J1923" s="217" t="s">
        <v>1855</v>
      </c>
      <c r="K1923" s="217">
        <v>17</v>
      </c>
      <c r="L1923" s="217">
        <v>85</v>
      </c>
      <c r="M1923" s="217" t="s">
        <v>31</v>
      </c>
      <c r="N1923" s="217" t="s">
        <v>32</v>
      </c>
      <c r="O1923" s="217" t="s">
        <v>668</v>
      </c>
      <c r="P1923" s="217" t="s">
        <v>34</v>
      </c>
      <c r="Q1923" s="217" t="s">
        <v>35</v>
      </c>
      <c r="R1923" s="217" t="s">
        <v>199</v>
      </c>
      <c r="S1923" s="217" t="s">
        <v>200</v>
      </c>
      <c r="T1923" s="217" t="s">
        <v>2159</v>
      </c>
      <c r="U1923" s="217" t="s">
        <v>2160</v>
      </c>
      <c r="V1923" s="217" t="s">
        <v>32</v>
      </c>
      <c r="W1923" s="217" t="s">
        <v>32</v>
      </c>
    </row>
    <row r="1924" spans="1:23" x14ac:dyDescent="0.25">
      <c r="A1924" s="217" t="s">
        <v>22</v>
      </c>
      <c r="B1924" s="217" t="s">
        <v>23</v>
      </c>
      <c r="C1924" s="217" t="s">
        <v>37</v>
      </c>
      <c r="D1924" s="217" t="s">
        <v>36</v>
      </c>
      <c r="E1924" s="217" t="s">
        <v>250</v>
      </c>
      <c r="F1924" s="217" t="s">
        <v>249</v>
      </c>
      <c r="G1924" s="217" t="s">
        <v>846</v>
      </c>
      <c r="H1924" s="217" t="s">
        <v>1470</v>
      </c>
      <c r="I1924" s="217" t="s">
        <v>659</v>
      </c>
      <c r="J1924" s="217" t="s">
        <v>1856</v>
      </c>
      <c r="K1924" s="217">
        <v>8</v>
      </c>
      <c r="L1924" s="217">
        <v>40</v>
      </c>
      <c r="M1924" s="217" t="s">
        <v>31</v>
      </c>
      <c r="N1924" s="217" t="s">
        <v>32</v>
      </c>
      <c r="O1924" s="217" t="s">
        <v>668</v>
      </c>
      <c r="P1924" s="217" t="s">
        <v>34</v>
      </c>
      <c r="Q1924" s="217" t="s">
        <v>35</v>
      </c>
      <c r="R1924" s="217" t="s">
        <v>199</v>
      </c>
      <c r="S1924" s="217" t="s">
        <v>200</v>
      </c>
      <c r="T1924" s="217" t="s">
        <v>2161</v>
      </c>
      <c r="U1924" s="217" t="s">
        <v>2162</v>
      </c>
      <c r="V1924" s="217" t="s">
        <v>32</v>
      </c>
      <c r="W1924" s="217" t="s">
        <v>32</v>
      </c>
    </row>
    <row r="1925" spans="1:23" x14ac:dyDescent="0.25">
      <c r="A1925" s="217" t="s">
        <v>22</v>
      </c>
      <c r="B1925" s="217" t="s">
        <v>23</v>
      </c>
      <c r="C1925" s="217" t="s">
        <v>37</v>
      </c>
      <c r="D1925" s="217" t="s">
        <v>36</v>
      </c>
      <c r="E1925" s="217" t="s">
        <v>250</v>
      </c>
      <c r="F1925" s="217" t="s">
        <v>249</v>
      </c>
      <c r="G1925" s="217" t="s">
        <v>846</v>
      </c>
      <c r="H1925" s="217" t="s">
        <v>1470</v>
      </c>
      <c r="I1925" s="217" t="s">
        <v>659</v>
      </c>
      <c r="J1925" s="217" t="s">
        <v>1857</v>
      </c>
      <c r="K1925" s="217">
        <v>4</v>
      </c>
      <c r="L1925" s="217">
        <v>20</v>
      </c>
      <c r="M1925" s="217" t="s">
        <v>31</v>
      </c>
      <c r="N1925" s="217" t="s">
        <v>32</v>
      </c>
      <c r="O1925" s="217" t="s">
        <v>668</v>
      </c>
      <c r="P1925" s="217" t="s">
        <v>34</v>
      </c>
      <c r="Q1925" s="217" t="s">
        <v>35</v>
      </c>
      <c r="R1925" s="217" t="s">
        <v>199</v>
      </c>
      <c r="S1925" s="217" t="s">
        <v>200</v>
      </c>
      <c r="T1925" s="217" t="s">
        <v>2159</v>
      </c>
      <c r="U1925" s="217" t="s">
        <v>2160</v>
      </c>
      <c r="V1925" s="217" t="s">
        <v>32</v>
      </c>
      <c r="W1925" s="217" t="s">
        <v>32</v>
      </c>
    </row>
    <row r="1926" spans="1:23" x14ac:dyDescent="0.25">
      <c r="A1926" s="217" t="s">
        <v>22</v>
      </c>
      <c r="B1926" s="217" t="s">
        <v>23</v>
      </c>
      <c r="C1926" s="217" t="s">
        <v>37</v>
      </c>
      <c r="D1926" s="217" t="s">
        <v>36</v>
      </c>
      <c r="E1926" s="217" t="s">
        <v>250</v>
      </c>
      <c r="F1926" s="217" t="s">
        <v>249</v>
      </c>
      <c r="G1926" s="217" t="s">
        <v>846</v>
      </c>
      <c r="H1926" s="217" t="s">
        <v>1470</v>
      </c>
      <c r="I1926" s="217" t="s">
        <v>659</v>
      </c>
      <c r="J1926" s="217" t="s">
        <v>1858</v>
      </c>
      <c r="K1926" s="217">
        <v>23</v>
      </c>
      <c r="L1926" s="217">
        <v>120</v>
      </c>
      <c r="M1926" s="217" t="s">
        <v>31</v>
      </c>
      <c r="N1926" s="217" t="s">
        <v>32</v>
      </c>
      <c r="O1926" s="217" t="s">
        <v>668</v>
      </c>
      <c r="P1926" s="217" t="s">
        <v>34</v>
      </c>
      <c r="Q1926" s="217" t="s">
        <v>35</v>
      </c>
      <c r="R1926" s="217" t="s">
        <v>23</v>
      </c>
      <c r="S1926" s="217" t="s">
        <v>22</v>
      </c>
      <c r="T1926" s="217" t="s">
        <v>36</v>
      </c>
      <c r="U1926" s="217" t="s">
        <v>37</v>
      </c>
      <c r="V1926" s="217" t="s">
        <v>32</v>
      </c>
      <c r="W1926" s="217" t="s">
        <v>32</v>
      </c>
    </row>
    <row r="1927" spans="1:23" x14ac:dyDescent="0.25">
      <c r="A1927" s="217" t="s">
        <v>22</v>
      </c>
      <c r="B1927" s="217" t="s">
        <v>23</v>
      </c>
      <c r="C1927" s="217" t="s">
        <v>37</v>
      </c>
      <c r="D1927" s="217" t="s">
        <v>36</v>
      </c>
      <c r="E1927" s="217" t="s">
        <v>250</v>
      </c>
      <c r="F1927" s="217" t="s">
        <v>249</v>
      </c>
      <c r="G1927" s="217" t="s">
        <v>846</v>
      </c>
      <c r="H1927" s="217" t="s">
        <v>1470</v>
      </c>
      <c r="I1927" s="217" t="s">
        <v>659</v>
      </c>
      <c r="J1927" s="217" t="s">
        <v>1859</v>
      </c>
      <c r="K1927" s="217">
        <v>4</v>
      </c>
      <c r="L1927" s="217">
        <v>21</v>
      </c>
      <c r="M1927" s="217" t="s">
        <v>31</v>
      </c>
      <c r="N1927" s="217" t="s">
        <v>32</v>
      </c>
      <c r="O1927" s="217" t="s">
        <v>668</v>
      </c>
      <c r="P1927" s="217" t="s">
        <v>34</v>
      </c>
      <c r="Q1927" s="217" t="s">
        <v>35</v>
      </c>
      <c r="R1927" s="217" t="s">
        <v>23</v>
      </c>
      <c r="S1927" s="217" t="s">
        <v>22</v>
      </c>
      <c r="T1927" s="217" t="s">
        <v>36</v>
      </c>
      <c r="U1927" s="217" t="s">
        <v>37</v>
      </c>
      <c r="V1927" s="217" t="s">
        <v>32</v>
      </c>
      <c r="W1927" s="217" t="s">
        <v>32</v>
      </c>
    </row>
    <row r="1928" spans="1:23" x14ac:dyDescent="0.25">
      <c r="A1928" s="217" t="s">
        <v>22</v>
      </c>
      <c r="B1928" s="217" t="s">
        <v>23</v>
      </c>
      <c r="C1928" s="217" t="s">
        <v>37</v>
      </c>
      <c r="D1928" s="217" t="s">
        <v>36</v>
      </c>
      <c r="E1928" s="217" t="s">
        <v>250</v>
      </c>
      <c r="F1928" s="217" t="s">
        <v>249</v>
      </c>
      <c r="G1928" s="217" t="s">
        <v>256</v>
      </c>
      <c r="H1928" s="217" t="s">
        <v>1472</v>
      </c>
      <c r="I1928" s="217" t="s">
        <v>659</v>
      </c>
      <c r="J1928" s="217" t="s">
        <v>1857</v>
      </c>
      <c r="K1928" s="217">
        <v>14</v>
      </c>
      <c r="L1928" s="217">
        <v>83</v>
      </c>
      <c r="M1928" s="217" t="s">
        <v>31</v>
      </c>
      <c r="N1928" s="217" t="s">
        <v>32</v>
      </c>
      <c r="O1928" s="217" t="s">
        <v>668</v>
      </c>
      <c r="P1928" s="217" t="s">
        <v>34</v>
      </c>
      <c r="Q1928" s="217" t="s">
        <v>35</v>
      </c>
      <c r="R1928" s="217" t="s">
        <v>23</v>
      </c>
      <c r="S1928" s="217" t="s">
        <v>22</v>
      </c>
      <c r="T1928" s="217" t="s">
        <v>36</v>
      </c>
      <c r="U1928" s="217" t="s">
        <v>37</v>
      </c>
      <c r="V1928" s="217" t="s">
        <v>32</v>
      </c>
      <c r="W1928" s="217" t="s">
        <v>32</v>
      </c>
    </row>
    <row r="1929" spans="1:23" x14ac:dyDescent="0.25">
      <c r="A1929" s="217" t="s">
        <v>22</v>
      </c>
      <c r="B1929" s="217" t="s">
        <v>23</v>
      </c>
      <c r="C1929" s="217" t="s">
        <v>37</v>
      </c>
      <c r="D1929" s="217" t="s">
        <v>36</v>
      </c>
      <c r="E1929" s="217" t="s">
        <v>250</v>
      </c>
      <c r="F1929" s="217" t="s">
        <v>249</v>
      </c>
      <c r="G1929" s="217" t="s">
        <v>256</v>
      </c>
      <c r="H1929" s="217" t="s">
        <v>1472</v>
      </c>
      <c r="I1929" s="217" t="s">
        <v>659</v>
      </c>
      <c r="J1929" s="217" t="s">
        <v>1858</v>
      </c>
      <c r="K1929" s="217">
        <v>3</v>
      </c>
      <c r="L1929" s="217">
        <v>19</v>
      </c>
      <c r="M1929" s="217" t="s">
        <v>31</v>
      </c>
      <c r="N1929" s="217" t="s">
        <v>32</v>
      </c>
      <c r="O1929" s="217" t="s">
        <v>668</v>
      </c>
      <c r="P1929" s="217" t="s">
        <v>34</v>
      </c>
      <c r="Q1929" s="217" t="s">
        <v>35</v>
      </c>
      <c r="R1929" s="217" t="s">
        <v>23</v>
      </c>
      <c r="S1929" s="217" t="s">
        <v>22</v>
      </c>
      <c r="T1929" s="217" t="s">
        <v>36</v>
      </c>
      <c r="U1929" s="217" t="s">
        <v>37</v>
      </c>
      <c r="V1929" s="217" t="s">
        <v>32</v>
      </c>
      <c r="W1929" s="217" t="s">
        <v>32</v>
      </c>
    </row>
    <row r="1930" spans="1:23" x14ac:dyDescent="0.25">
      <c r="A1930" s="217" t="s">
        <v>22</v>
      </c>
      <c r="B1930" s="217" t="s">
        <v>23</v>
      </c>
      <c r="C1930" s="217" t="s">
        <v>37</v>
      </c>
      <c r="D1930" s="217" t="s">
        <v>36</v>
      </c>
      <c r="E1930" s="217" t="s">
        <v>250</v>
      </c>
      <c r="F1930" s="217" t="s">
        <v>249</v>
      </c>
      <c r="G1930" s="217" t="s">
        <v>257</v>
      </c>
      <c r="H1930" s="217" t="s">
        <v>1473</v>
      </c>
      <c r="I1930" s="217" t="s">
        <v>659</v>
      </c>
      <c r="J1930" s="217" t="s">
        <v>1855</v>
      </c>
      <c r="K1930" s="217">
        <v>3</v>
      </c>
      <c r="L1930" s="217">
        <v>15</v>
      </c>
      <c r="M1930" s="217" t="s">
        <v>637</v>
      </c>
      <c r="N1930" s="217" t="s">
        <v>2163</v>
      </c>
      <c r="O1930" s="217" t="s">
        <v>668</v>
      </c>
      <c r="P1930" s="217" t="s">
        <v>34</v>
      </c>
      <c r="Q1930" s="217" t="s">
        <v>35</v>
      </c>
      <c r="R1930" s="217" t="s">
        <v>199</v>
      </c>
      <c r="S1930" s="217" t="s">
        <v>200</v>
      </c>
      <c r="T1930" s="217" t="s">
        <v>1591</v>
      </c>
      <c r="U1930" s="217" t="s">
        <v>1592</v>
      </c>
      <c r="V1930" s="217" t="s">
        <v>32</v>
      </c>
      <c r="W1930" s="217" t="s">
        <v>32</v>
      </c>
    </row>
    <row r="1931" spans="1:23" x14ac:dyDescent="0.25">
      <c r="A1931" s="217" t="s">
        <v>22</v>
      </c>
      <c r="B1931" s="217" t="s">
        <v>23</v>
      </c>
      <c r="C1931" s="217" t="s">
        <v>37</v>
      </c>
      <c r="D1931" s="217" t="s">
        <v>36</v>
      </c>
      <c r="E1931" s="217" t="s">
        <v>250</v>
      </c>
      <c r="F1931" s="217" t="s">
        <v>249</v>
      </c>
      <c r="G1931" s="217" t="s">
        <v>257</v>
      </c>
      <c r="H1931" s="217" t="s">
        <v>1473</v>
      </c>
      <c r="I1931" s="217" t="s">
        <v>659</v>
      </c>
      <c r="J1931" s="217" t="s">
        <v>1856</v>
      </c>
      <c r="K1931" s="217">
        <v>1</v>
      </c>
      <c r="L1931" s="217">
        <v>5</v>
      </c>
      <c r="M1931" s="217" t="s">
        <v>31</v>
      </c>
      <c r="N1931" s="217" t="s">
        <v>32</v>
      </c>
      <c r="O1931" s="217" t="s">
        <v>668</v>
      </c>
      <c r="P1931" s="217" t="s">
        <v>34</v>
      </c>
      <c r="Q1931" s="217" t="s">
        <v>35</v>
      </c>
      <c r="R1931" s="217" t="s">
        <v>23</v>
      </c>
      <c r="S1931" s="217" t="s">
        <v>22</v>
      </c>
      <c r="T1931" s="217" t="s">
        <v>47</v>
      </c>
      <c r="U1931" s="217" t="s">
        <v>48</v>
      </c>
      <c r="V1931" s="217" t="s">
        <v>32</v>
      </c>
      <c r="W1931" s="217" t="s">
        <v>32</v>
      </c>
    </row>
    <row r="1932" spans="1:23" x14ac:dyDescent="0.25">
      <c r="A1932" s="217" t="s">
        <v>22</v>
      </c>
      <c r="B1932" s="217" t="s">
        <v>23</v>
      </c>
      <c r="C1932" s="217" t="s">
        <v>37</v>
      </c>
      <c r="D1932" s="217" t="s">
        <v>36</v>
      </c>
      <c r="E1932" s="217" t="s">
        <v>250</v>
      </c>
      <c r="F1932" s="217" t="s">
        <v>249</v>
      </c>
      <c r="G1932" s="217" t="s">
        <v>257</v>
      </c>
      <c r="H1932" s="217" t="s">
        <v>1473</v>
      </c>
      <c r="I1932" s="217" t="s">
        <v>659</v>
      </c>
      <c r="J1932" s="217" t="s">
        <v>1858</v>
      </c>
      <c r="K1932" s="217">
        <v>2</v>
      </c>
      <c r="L1932" s="217">
        <v>10</v>
      </c>
      <c r="M1932" s="217" t="s">
        <v>637</v>
      </c>
      <c r="N1932" s="217" t="s">
        <v>2163</v>
      </c>
      <c r="O1932" s="217" t="s">
        <v>668</v>
      </c>
      <c r="P1932" s="217" t="s">
        <v>34</v>
      </c>
      <c r="Q1932" s="217" t="s">
        <v>35</v>
      </c>
      <c r="R1932" s="217" t="s">
        <v>23</v>
      </c>
      <c r="S1932" s="217" t="s">
        <v>22</v>
      </c>
      <c r="T1932" s="217" t="s">
        <v>36</v>
      </c>
      <c r="U1932" s="217" t="s">
        <v>37</v>
      </c>
      <c r="V1932" s="217" t="s">
        <v>32</v>
      </c>
      <c r="W1932" s="217" t="s">
        <v>32</v>
      </c>
    </row>
    <row r="1933" spans="1:23" x14ac:dyDescent="0.25">
      <c r="A1933" s="217" t="s">
        <v>22</v>
      </c>
      <c r="B1933" s="217" t="s">
        <v>23</v>
      </c>
      <c r="C1933" s="217" t="s">
        <v>37</v>
      </c>
      <c r="D1933" s="217" t="s">
        <v>36</v>
      </c>
      <c r="E1933" s="217" t="s">
        <v>250</v>
      </c>
      <c r="F1933" s="217" t="s">
        <v>249</v>
      </c>
      <c r="G1933" s="217" t="s">
        <v>258</v>
      </c>
      <c r="H1933" s="217" t="s">
        <v>1474</v>
      </c>
      <c r="I1933" s="217" t="s">
        <v>659</v>
      </c>
      <c r="J1933" s="217" t="s">
        <v>1855</v>
      </c>
      <c r="K1933" s="217">
        <v>4</v>
      </c>
      <c r="L1933" s="217">
        <v>20</v>
      </c>
      <c r="M1933" s="217" t="s">
        <v>31</v>
      </c>
      <c r="N1933" s="217" t="s">
        <v>32</v>
      </c>
      <c r="O1933" s="217" t="s">
        <v>668</v>
      </c>
      <c r="P1933" s="217" t="s">
        <v>34</v>
      </c>
      <c r="Q1933" s="217" t="s">
        <v>35</v>
      </c>
      <c r="R1933" s="217" t="s">
        <v>23</v>
      </c>
      <c r="S1933" s="217" t="s">
        <v>22</v>
      </c>
      <c r="T1933" s="217" t="s">
        <v>36</v>
      </c>
      <c r="U1933" s="217" t="s">
        <v>37</v>
      </c>
      <c r="V1933" s="217" t="s">
        <v>32</v>
      </c>
      <c r="W1933" s="217" t="s">
        <v>32</v>
      </c>
    </row>
    <row r="1934" spans="1:23" x14ac:dyDescent="0.25">
      <c r="A1934" s="217" t="s">
        <v>22</v>
      </c>
      <c r="B1934" s="217" t="s">
        <v>23</v>
      </c>
      <c r="C1934" s="217" t="s">
        <v>37</v>
      </c>
      <c r="D1934" s="217" t="s">
        <v>36</v>
      </c>
      <c r="E1934" s="217" t="s">
        <v>250</v>
      </c>
      <c r="F1934" s="217" t="s">
        <v>249</v>
      </c>
      <c r="G1934" s="217" t="s">
        <v>258</v>
      </c>
      <c r="H1934" s="217" t="s">
        <v>1474</v>
      </c>
      <c r="I1934" s="217" t="s">
        <v>659</v>
      </c>
      <c r="J1934" s="217" t="s">
        <v>1856</v>
      </c>
      <c r="K1934" s="217">
        <v>2</v>
      </c>
      <c r="L1934" s="217">
        <v>10</v>
      </c>
      <c r="M1934" s="217" t="s">
        <v>31</v>
      </c>
      <c r="N1934" s="217" t="s">
        <v>32</v>
      </c>
      <c r="O1934" s="217" t="s">
        <v>668</v>
      </c>
      <c r="P1934" s="217" t="s">
        <v>34</v>
      </c>
      <c r="Q1934" s="217" t="s">
        <v>35</v>
      </c>
      <c r="R1934" s="217" t="s">
        <v>23</v>
      </c>
      <c r="S1934" s="217" t="s">
        <v>22</v>
      </c>
      <c r="T1934" s="217" t="s">
        <v>36</v>
      </c>
      <c r="U1934" s="217" t="s">
        <v>37</v>
      </c>
      <c r="V1934" s="217" t="s">
        <v>32</v>
      </c>
      <c r="W1934" s="217" t="s">
        <v>32</v>
      </c>
    </row>
    <row r="1935" spans="1:23" x14ac:dyDescent="0.25">
      <c r="A1935" s="217" t="s">
        <v>22</v>
      </c>
      <c r="B1935" s="217" t="s">
        <v>23</v>
      </c>
      <c r="C1935" s="217" t="s">
        <v>37</v>
      </c>
      <c r="D1935" s="217" t="s">
        <v>36</v>
      </c>
      <c r="E1935" s="217" t="s">
        <v>250</v>
      </c>
      <c r="F1935" s="217" t="s">
        <v>249</v>
      </c>
      <c r="G1935" s="217" t="s">
        <v>258</v>
      </c>
      <c r="H1935" s="217" t="s">
        <v>1474</v>
      </c>
      <c r="I1935" s="217" t="s">
        <v>659</v>
      </c>
      <c r="J1935" s="217" t="s">
        <v>1857</v>
      </c>
      <c r="K1935" s="217">
        <v>1</v>
      </c>
      <c r="L1935" s="217">
        <v>5</v>
      </c>
      <c r="M1935" s="217" t="s">
        <v>31</v>
      </c>
      <c r="N1935" s="217" t="s">
        <v>32</v>
      </c>
      <c r="O1935" s="217" t="s">
        <v>668</v>
      </c>
      <c r="P1935" s="217" t="s">
        <v>34</v>
      </c>
      <c r="Q1935" s="217" t="s">
        <v>35</v>
      </c>
      <c r="R1935" s="217" t="s">
        <v>23</v>
      </c>
      <c r="S1935" s="217" t="s">
        <v>22</v>
      </c>
      <c r="T1935" s="217" t="s">
        <v>36</v>
      </c>
      <c r="U1935" s="217" t="s">
        <v>37</v>
      </c>
      <c r="V1935" s="217" t="s">
        <v>32</v>
      </c>
      <c r="W1935" s="217" t="s">
        <v>32</v>
      </c>
    </row>
    <row r="1936" spans="1:23" x14ac:dyDescent="0.25">
      <c r="A1936" s="217" t="s">
        <v>22</v>
      </c>
      <c r="B1936" s="217" t="s">
        <v>23</v>
      </c>
      <c r="C1936" s="217" t="s">
        <v>37</v>
      </c>
      <c r="D1936" s="217" t="s">
        <v>36</v>
      </c>
      <c r="E1936" s="217" t="s">
        <v>250</v>
      </c>
      <c r="F1936" s="217" t="s">
        <v>249</v>
      </c>
      <c r="G1936" s="217" t="s">
        <v>258</v>
      </c>
      <c r="H1936" s="217" t="s">
        <v>1474</v>
      </c>
      <c r="I1936" s="217" t="s">
        <v>659</v>
      </c>
      <c r="J1936" s="217" t="s">
        <v>1858</v>
      </c>
      <c r="K1936" s="217">
        <v>4</v>
      </c>
      <c r="L1936" s="217">
        <v>20</v>
      </c>
      <c r="M1936" s="217" t="s">
        <v>31</v>
      </c>
      <c r="N1936" s="217" t="s">
        <v>32</v>
      </c>
      <c r="O1936" s="217" t="s">
        <v>668</v>
      </c>
      <c r="P1936" s="217" t="s">
        <v>34</v>
      </c>
      <c r="Q1936" s="217" t="s">
        <v>35</v>
      </c>
      <c r="R1936" s="217" t="s">
        <v>23</v>
      </c>
      <c r="S1936" s="217" t="s">
        <v>22</v>
      </c>
      <c r="T1936" s="217" t="s">
        <v>36</v>
      </c>
      <c r="U1936" s="217" t="s">
        <v>37</v>
      </c>
      <c r="V1936" s="217" t="s">
        <v>32</v>
      </c>
      <c r="W1936" s="217" t="s">
        <v>32</v>
      </c>
    </row>
    <row r="1937" spans="1:23" x14ac:dyDescent="0.25">
      <c r="A1937" s="217" t="s">
        <v>22</v>
      </c>
      <c r="B1937" s="217" t="s">
        <v>23</v>
      </c>
      <c r="C1937" s="217" t="s">
        <v>37</v>
      </c>
      <c r="D1937" s="217" t="s">
        <v>36</v>
      </c>
      <c r="E1937" s="217" t="s">
        <v>250</v>
      </c>
      <c r="F1937" s="217" t="s">
        <v>249</v>
      </c>
      <c r="G1937" s="217" t="s">
        <v>259</v>
      </c>
      <c r="H1937" s="217" t="s">
        <v>1475</v>
      </c>
      <c r="I1937" s="217" t="s">
        <v>659</v>
      </c>
      <c r="J1937" s="217" t="s">
        <v>1857</v>
      </c>
      <c r="K1937" s="217">
        <v>4</v>
      </c>
      <c r="L1937" s="217">
        <v>23</v>
      </c>
      <c r="M1937" s="217" t="s">
        <v>31</v>
      </c>
      <c r="N1937" s="217" t="s">
        <v>32</v>
      </c>
      <c r="O1937" s="217" t="s">
        <v>668</v>
      </c>
      <c r="P1937" s="217" t="s">
        <v>34</v>
      </c>
      <c r="Q1937" s="217" t="s">
        <v>35</v>
      </c>
      <c r="R1937" s="217" t="s">
        <v>199</v>
      </c>
      <c r="S1937" s="217" t="s">
        <v>200</v>
      </c>
      <c r="T1937" s="217" t="s">
        <v>2159</v>
      </c>
      <c r="U1937" s="217" t="s">
        <v>2160</v>
      </c>
      <c r="V1937" s="217" t="s">
        <v>32</v>
      </c>
      <c r="W1937" s="217" t="s">
        <v>32</v>
      </c>
    </row>
    <row r="1938" spans="1:23" x14ac:dyDescent="0.25">
      <c r="A1938" s="217" t="s">
        <v>22</v>
      </c>
      <c r="B1938" s="217" t="s">
        <v>23</v>
      </c>
      <c r="C1938" s="217" t="s">
        <v>37</v>
      </c>
      <c r="D1938" s="217" t="s">
        <v>36</v>
      </c>
      <c r="E1938" s="217" t="s">
        <v>250</v>
      </c>
      <c r="F1938" s="217" t="s">
        <v>249</v>
      </c>
      <c r="G1938" s="217" t="s">
        <v>259</v>
      </c>
      <c r="H1938" s="217" t="s">
        <v>1475</v>
      </c>
      <c r="I1938" s="217" t="s">
        <v>659</v>
      </c>
      <c r="J1938" s="217" t="s">
        <v>1856</v>
      </c>
      <c r="K1938" s="217">
        <v>13</v>
      </c>
      <c r="L1938" s="217">
        <v>82</v>
      </c>
      <c r="M1938" s="217" t="s">
        <v>31</v>
      </c>
      <c r="N1938" s="217" t="s">
        <v>32</v>
      </c>
      <c r="O1938" s="217" t="s">
        <v>668</v>
      </c>
      <c r="P1938" s="217" t="s">
        <v>34</v>
      </c>
      <c r="Q1938" s="217" t="s">
        <v>35</v>
      </c>
      <c r="R1938" s="217" t="s">
        <v>23</v>
      </c>
      <c r="S1938" s="217" t="s">
        <v>22</v>
      </c>
      <c r="T1938" s="217" t="s">
        <v>36</v>
      </c>
      <c r="U1938" s="217" t="s">
        <v>37</v>
      </c>
      <c r="V1938" s="217" t="s">
        <v>32</v>
      </c>
      <c r="W1938" s="217" t="s">
        <v>32</v>
      </c>
    </row>
    <row r="1939" spans="1:23" x14ac:dyDescent="0.25">
      <c r="A1939" s="217" t="s">
        <v>22</v>
      </c>
      <c r="B1939" s="217" t="s">
        <v>23</v>
      </c>
      <c r="C1939" s="217" t="s">
        <v>37</v>
      </c>
      <c r="D1939" s="217" t="s">
        <v>36</v>
      </c>
      <c r="E1939" s="217" t="s">
        <v>250</v>
      </c>
      <c r="F1939" s="217" t="s">
        <v>249</v>
      </c>
      <c r="G1939" s="217" t="s">
        <v>259</v>
      </c>
      <c r="H1939" s="217" t="s">
        <v>1475</v>
      </c>
      <c r="I1939" s="217" t="s">
        <v>659</v>
      </c>
      <c r="J1939" s="217" t="s">
        <v>1858</v>
      </c>
      <c r="K1939" s="217">
        <v>16</v>
      </c>
      <c r="L1939" s="217">
        <v>80</v>
      </c>
      <c r="M1939" s="217" t="s">
        <v>31</v>
      </c>
      <c r="N1939" s="217" t="s">
        <v>32</v>
      </c>
      <c r="O1939" s="217" t="s">
        <v>141</v>
      </c>
      <c r="P1939" s="217" t="s">
        <v>142</v>
      </c>
      <c r="Q1939" s="217" t="s">
        <v>143</v>
      </c>
      <c r="R1939" s="217" t="s">
        <v>618</v>
      </c>
      <c r="S1939" s="217" t="s">
        <v>619</v>
      </c>
      <c r="T1939" s="217" t="s">
        <v>32</v>
      </c>
      <c r="U1939" s="217" t="s">
        <v>32</v>
      </c>
      <c r="V1939" s="217" t="s">
        <v>32</v>
      </c>
      <c r="W1939" s="217" t="s">
        <v>32</v>
      </c>
    </row>
    <row r="1940" spans="1:23" x14ac:dyDescent="0.25">
      <c r="A1940" s="217" t="s">
        <v>22</v>
      </c>
      <c r="B1940" s="217" t="s">
        <v>23</v>
      </c>
      <c r="C1940" s="217" t="s">
        <v>37</v>
      </c>
      <c r="D1940" s="217" t="s">
        <v>36</v>
      </c>
      <c r="E1940" s="217" t="s">
        <v>250</v>
      </c>
      <c r="F1940" s="217" t="s">
        <v>249</v>
      </c>
      <c r="G1940" s="217" t="s">
        <v>260</v>
      </c>
      <c r="H1940" s="217" t="s">
        <v>1476</v>
      </c>
      <c r="I1940" s="217" t="s">
        <v>659</v>
      </c>
      <c r="J1940" s="217" t="s">
        <v>1855</v>
      </c>
      <c r="K1940" s="217">
        <v>2</v>
      </c>
      <c r="L1940" s="217">
        <v>10</v>
      </c>
      <c r="M1940" s="217" t="s">
        <v>31</v>
      </c>
      <c r="N1940" s="217" t="s">
        <v>32</v>
      </c>
      <c r="O1940" s="217" t="s">
        <v>668</v>
      </c>
      <c r="P1940" s="217" t="s">
        <v>34</v>
      </c>
      <c r="Q1940" s="217" t="s">
        <v>35</v>
      </c>
      <c r="R1940" s="217" t="s">
        <v>199</v>
      </c>
      <c r="S1940" s="217" t="s">
        <v>200</v>
      </c>
      <c r="T1940" s="217" t="s">
        <v>2159</v>
      </c>
      <c r="U1940" s="217" t="s">
        <v>2160</v>
      </c>
      <c r="V1940" s="217" t="s">
        <v>32</v>
      </c>
      <c r="W1940" s="217" t="s">
        <v>32</v>
      </c>
    </row>
    <row r="1941" spans="1:23" x14ac:dyDescent="0.25">
      <c r="A1941" s="217" t="s">
        <v>22</v>
      </c>
      <c r="B1941" s="217" t="s">
        <v>23</v>
      </c>
      <c r="C1941" s="217" t="s">
        <v>37</v>
      </c>
      <c r="D1941" s="217" t="s">
        <v>36</v>
      </c>
      <c r="E1941" s="217" t="s">
        <v>250</v>
      </c>
      <c r="F1941" s="217" t="s">
        <v>249</v>
      </c>
      <c r="G1941" s="217" t="s">
        <v>260</v>
      </c>
      <c r="H1941" s="217" t="s">
        <v>1476</v>
      </c>
      <c r="I1941" s="217" t="s">
        <v>659</v>
      </c>
      <c r="J1941" s="217" t="s">
        <v>1856</v>
      </c>
      <c r="K1941" s="217">
        <v>14</v>
      </c>
      <c r="L1941" s="217">
        <v>70</v>
      </c>
      <c r="M1941" s="217" t="s">
        <v>31</v>
      </c>
      <c r="N1941" s="217" t="s">
        <v>32</v>
      </c>
      <c r="O1941" s="217" t="s">
        <v>668</v>
      </c>
      <c r="P1941" s="217" t="s">
        <v>34</v>
      </c>
      <c r="Q1941" s="217" t="s">
        <v>35</v>
      </c>
      <c r="R1941" s="217" t="s">
        <v>199</v>
      </c>
      <c r="S1941" s="217" t="s">
        <v>200</v>
      </c>
      <c r="T1941" s="217" t="s">
        <v>1848</v>
      </c>
      <c r="U1941" s="217" t="s">
        <v>1849</v>
      </c>
      <c r="V1941" s="217" t="s">
        <v>32</v>
      </c>
      <c r="W1941" s="217" t="s">
        <v>32</v>
      </c>
    </row>
    <row r="1942" spans="1:23" x14ac:dyDescent="0.25">
      <c r="A1942" s="217" t="s">
        <v>22</v>
      </c>
      <c r="B1942" s="217" t="s">
        <v>23</v>
      </c>
      <c r="C1942" s="217" t="s">
        <v>37</v>
      </c>
      <c r="D1942" s="217" t="s">
        <v>36</v>
      </c>
      <c r="E1942" s="217" t="s">
        <v>250</v>
      </c>
      <c r="F1942" s="217" t="s">
        <v>249</v>
      </c>
      <c r="G1942" s="217" t="s">
        <v>260</v>
      </c>
      <c r="H1942" s="217" t="s">
        <v>1476</v>
      </c>
      <c r="I1942" s="217" t="s">
        <v>659</v>
      </c>
      <c r="J1942" s="217" t="s">
        <v>1858</v>
      </c>
      <c r="K1942" s="217">
        <v>9</v>
      </c>
      <c r="L1942" s="217">
        <v>45</v>
      </c>
      <c r="M1942" s="217" t="s">
        <v>31</v>
      </c>
      <c r="N1942" s="217" t="s">
        <v>32</v>
      </c>
      <c r="O1942" s="217" t="s">
        <v>668</v>
      </c>
      <c r="P1942" s="217" t="s">
        <v>34</v>
      </c>
      <c r="Q1942" s="217" t="s">
        <v>35</v>
      </c>
      <c r="R1942" s="217" t="s">
        <v>199</v>
      </c>
      <c r="S1942" s="217" t="s">
        <v>200</v>
      </c>
      <c r="T1942" s="217" t="s">
        <v>2161</v>
      </c>
      <c r="U1942" s="217" t="s">
        <v>2162</v>
      </c>
      <c r="V1942" s="217" t="s">
        <v>32</v>
      </c>
      <c r="W1942" s="217" t="s">
        <v>32</v>
      </c>
    </row>
    <row r="1943" spans="1:23" x14ac:dyDescent="0.25">
      <c r="A1943" s="217" t="s">
        <v>22</v>
      </c>
      <c r="B1943" s="217" t="s">
        <v>23</v>
      </c>
      <c r="C1943" s="217" t="s">
        <v>37</v>
      </c>
      <c r="D1943" s="217" t="s">
        <v>36</v>
      </c>
      <c r="E1943" s="217" t="s">
        <v>250</v>
      </c>
      <c r="F1943" s="217" t="s">
        <v>249</v>
      </c>
      <c r="G1943" s="217" t="s">
        <v>260</v>
      </c>
      <c r="H1943" s="217" t="s">
        <v>1476</v>
      </c>
      <c r="I1943" s="217" t="s">
        <v>659</v>
      </c>
      <c r="J1943" s="217" t="s">
        <v>1857</v>
      </c>
      <c r="K1943" s="217">
        <v>2</v>
      </c>
      <c r="L1943" s="217">
        <v>10</v>
      </c>
      <c r="M1943" s="217" t="s">
        <v>31</v>
      </c>
      <c r="N1943" s="217" t="s">
        <v>32</v>
      </c>
      <c r="O1943" s="217" t="s">
        <v>668</v>
      </c>
      <c r="P1943" s="217" t="s">
        <v>34</v>
      </c>
      <c r="Q1943" s="217" t="s">
        <v>35</v>
      </c>
      <c r="R1943" s="217" t="s">
        <v>23</v>
      </c>
      <c r="S1943" s="217" t="s">
        <v>22</v>
      </c>
      <c r="T1943" s="217" t="s">
        <v>25</v>
      </c>
      <c r="U1943" s="217" t="s">
        <v>24</v>
      </c>
      <c r="V1943" s="217" t="s">
        <v>32</v>
      </c>
      <c r="W1943" s="217" t="s">
        <v>32</v>
      </c>
    </row>
    <row r="1944" spans="1:23" x14ac:dyDescent="0.25">
      <c r="A1944" s="217" t="s">
        <v>22</v>
      </c>
      <c r="B1944" s="217" t="s">
        <v>23</v>
      </c>
      <c r="C1944" s="217" t="s">
        <v>37</v>
      </c>
      <c r="D1944" s="217" t="s">
        <v>36</v>
      </c>
      <c r="E1944" s="217" t="s">
        <v>250</v>
      </c>
      <c r="F1944" s="217" t="s">
        <v>249</v>
      </c>
      <c r="G1944" s="217" t="s">
        <v>261</v>
      </c>
      <c r="H1944" s="217" t="s">
        <v>1477</v>
      </c>
      <c r="I1944" s="217" t="s">
        <v>659</v>
      </c>
      <c r="J1944" s="217" t="s">
        <v>1856</v>
      </c>
      <c r="K1944" s="217">
        <v>2</v>
      </c>
      <c r="L1944" s="217">
        <v>10</v>
      </c>
      <c r="M1944" s="217" t="s">
        <v>31</v>
      </c>
      <c r="N1944" s="217" t="s">
        <v>32</v>
      </c>
      <c r="O1944" s="217" t="s">
        <v>668</v>
      </c>
      <c r="P1944" s="217" t="s">
        <v>34</v>
      </c>
      <c r="Q1944" s="217" t="s">
        <v>35</v>
      </c>
      <c r="R1944" s="217" t="s">
        <v>23</v>
      </c>
      <c r="S1944" s="217" t="s">
        <v>22</v>
      </c>
      <c r="T1944" s="217" t="s">
        <v>36</v>
      </c>
      <c r="U1944" s="217" t="s">
        <v>37</v>
      </c>
      <c r="V1944" s="217" t="s">
        <v>32</v>
      </c>
      <c r="W1944" s="217" t="s">
        <v>32</v>
      </c>
    </row>
    <row r="1945" spans="1:23" x14ac:dyDescent="0.25">
      <c r="A1945" s="217" t="s">
        <v>22</v>
      </c>
      <c r="B1945" s="217" t="s">
        <v>23</v>
      </c>
      <c r="C1945" s="217" t="s">
        <v>37</v>
      </c>
      <c r="D1945" s="217" t="s">
        <v>36</v>
      </c>
      <c r="E1945" s="217" t="s">
        <v>250</v>
      </c>
      <c r="F1945" s="217" t="s">
        <v>249</v>
      </c>
      <c r="G1945" s="217" t="s">
        <v>262</v>
      </c>
      <c r="H1945" s="217" t="s">
        <v>1478</v>
      </c>
      <c r="I1945" s="217" t="s">
        <v>659</v>
      </c>
      <c r="J1945" s="217" t="s">
        <v>1855</v>
      </c>
      <c r="K1945" s="217">
        <v>4</v>
      </c>
      <c r="L1945" s="217">
        <v>20</v>
      </c>
      <c r="M1945" s="217" t="s">
        <v>99</v>
      </c>
      <c r="N1945" s="217" t="s">
        <v>32</v>
      </c>
      <c r="O1945" s="217" t="s">
        <v>668</v>
      </c>
      <c r="P1945" s="217" t="s">
        <v>34</v>
      </c>
      <c r="Q1945" s="217" t="s">
        <v>35</v>
      </c>
      <c r="R1945" s="217" t="s">
        <v>199</v>
      </c>
      <c r="S1945" s="217" t="s">
        <v>200</v>
      </c>
      <c r="T1945" s="217" t="s">
        <v>1848</v>
      </c>
      <c r="U1945" s="217" t="s">
        <v>1849</v>
      </c>
      <c r="V1945" s="217" t="s">
        <v>32</v>
      </c>
      <c r="W1945" s="217" t="s">
        <v>32</v>
      </c>
    </row>
    <row r="1946" spans="1:23" x14ac:dyDescent="0.25">
      <c r="A1946" s="217" t="s">
        <v>22</v>
      </c>
      <c r="B1946" s="217" t="s">
        <v>23</v>
      </c>
      <c r="C1946" s="217" t="s">
        <v>37</v>
      </c>
      <c r="D1946" s="217" t="s">
        <v>36</v>
      </c>
      <c r="E1946" s="217" t="s">
        <v>250</v>
      </c>
      <c r="F1946" s="217" t="s">
        <v>249</v>
      </c>
      <c r="G1946" s="217" t="s">
        <v>262</v>
      </c>
      <c r="H1946" s="217" t="s">
        <v>1478</v>
      </c>
      <c r="I1946" s="217" t="s">
        <v>659</v>
      </c>
      <c r="J1946" s="217" t="s">
        <v>1856</v>
      </c>
      <c r="K1946" s="217">
        <v>10</v>
      </c>
      <c r="L1946" s="217">
        <v>50</v>
      </c>
      <c r="M1946" s="217" t="s">
        <v>99</v>
      </c>
      <c r="N1946" s="217" t="s">
        <v>32</v>
      </c>
      <c r="O1946" s="217" t="s">
        <v>668</v>
      </c>
      <c r="P1946" s="217" t="s">
        <v>34</v>
      </c>
      <c r="Q1946" s="217" t="s">
        <v>35</v>
      </c>
      <c r="R1946" s="217" t="s">
        <v>199</v>
      </c>
      <c r="S1946" s="217" t="s">
        <v>200</v>
      </c>
      <c r="T1946" s="217" t="s">
        <v>1848</v>
      </c>
      <c r="U1946" s="217" t="s">
        <v>1849</v>
      </c>
      <c r="V1946" s="217" t="s">
        <v>32</v>
      </c>
      <c r="W1946" s="217" t="s">
        <v>32</v>
      </c>
    </row>
    <row r="1947" spans="1:23" x14ac:dyDescent="0.25">
      <c r="A1947" s="217" t="s">
        <v>22</v>
      </c>
      <c r="B1947" s="217" t="s">
        <v>23</v>
      </c>
      <c r="C1947" s="217" t="s">
        <v>37</v>
      </c>
      <c r="D1947" s="217" t="s">
        <v>36</v>
      </c>
      <c r="E1947" s="217" t="s">
        <v>250</v>
      </c>
      <c r="F1947" s="217" t="s">
        <v>249</v>
      </c>
      <c r="G1947" s="217" t="s">
        <v>262</v>
      </c>
      <c r="H1947" s="217" t="s">
        <v>1478</v>
      </c>
      <c r="I1947" s="217" t="s">
        <v>659</v>
      </c>
      <c r="J1947" s="217" t="s">
        <v>1857</v>
      </c>
      <c r="K1947" s="217">
        <v>2</v>
      </c>
      <c r="L1947" s="217">
        <v>10</v>
      </c>
      <c r="M1947" s="217" t="s">
        <v>637</v>
      </c>
      <c r="N1947" s="217" t="s">
        <v>2164</v>
      </c>
      <c r="O1947" s="217" t="s">
        <v>668</v>
      </c>
      <c r="P1947" s="217" t="s">
        <v>34</v>
      </c>
      <c r="Q1947" s="217" t="s">
        <v>35</v>
      </c>
      <c r="R1947" s="217" t="s">
        <v>199</v>
      </c>
      <c r="S1947" s="217" t="s">
        <v>200</v>
      </c>
      <c r="T1947" s="217" t="s">
        <v>1848</v>
      </c>
      <c r="U1947" s="217" t="s">
        <v>1849</v>
      </c>
      <c r="V1947" s="217" t="s">
        <v>32</v>
      </c>
      <c r="W1947" s="217" t="s">
        <v>32</v>
      </c>
    </row>
    <row r="1948" spans="1:23" x14ac:dyDescent="0.25">
      <c r="A1948" s="217" t="s">
        <v>22</v>
      </c>
      <c r="B1948" s="217" t="s">
        <v>23</v>
      </c>
      <c r="C1948" s="217" t="s">
        <v>37</v>
      </c>
      <c r="D1948" s="217" t="s">
        <v>36</v>
      </c>
      <c r="E1948" s="217" t="s">
        <v>250</v>
      </c>
      <c r="F1948" s="217" t="s">
        <v>249</v>
      </c>
      <c r="G1948" s="217" t="s">
        <v>262</v>
      </c>
      <c r="H1948" s="217" t="s">
        <v>1478</v>
      </c>
      <c r="I1948" s="217" t="s">
        <v>659</v>
      </c>
      <c r="J1948" s="217" t="s">
        <v>1858</v>
      </c>
      <c r="K1948" s="217">
        <v>1</v>
      </c>
      <c r="L1948" s="217">
        <v>5</v>
      </c>
      <c r="M1948" s="217" t="s">
        <v>99</v>
      </c>
      <c r="N1948" s="217" t="s">
        <v>32</v>
      </c>
      <c r="O1948" s="217" t="s">
        <v>668</v>
      </c>
      <c r="P1948" s="217" t="s">
        <v>34</v>
      </c>
      <c r="Q1948" s="217" t="s">
        <v>35</v>
      </c>
      <c r="R1948" s="217" t="s">
        <v>199</v>
      </c>
      <c r="S1948" s="217" t="s">
        <v>200</v>
      </c>
      <c r="T1948" s="217" t="s">
        <v>1848</v>
      </c>
      <c r="U1948" s="217" t="s">
        <v>1849</v>
      </c>
      <c r="V1948" s="217" t="s">
        <v>32</v>
      </c>
      <c r="W1948" s="217" t="s">
        <v>32</v>
      </c>
    </row>
    <row r="1949" spans="1:23" x14ac:dyDescent="0.25">
      <c r="A1949" s="217" t="s">
        <v>22</v>
      </c>
      <c r="B1949" s="217" t="s">
        <v>23</v>
      </c>
      <c r="C1949" s="217" t="s">
        <v>37</v>
      </c>
      <c r="D1949" s="217" t="s">
        <v>36</v>
      </c>
      <c r="E1949" s="217" t="s">
        <v>250</v>
      </c>
      <c r="F1949" s="217" t="s">
        <v>249</v>
      </c>
      <c r="G1949" s="217" t="s">
        <v>599</v>
      </c>
      <c r="H1949" s="217" t="s">
        <v>1479</v>
      </c>
      <c r="I1949" s="217" t="s">
        <v>659</v>
      </c>
      <c r="J1949" s="217" t="s">
        <v>1857</v>
      </c>
      <c r="K1949" s="217">
        <v>2</v>
      </c>
      <c r="L1949" s="217">
        <v>10</v>
      </c>
      <c r="M1949" s="217" t="s">
        <v>31</v>
      </c>
      <c r="N1949" s="217" t="s">
        <v>32</v>
      </c>
      <c r="O1949" s="217" t="s">
        <v>668</v>
      </c>
      <c r="P1949" s="217" t="s">
        <v>34</v>
      </c>
      <c r="Q1949" s="217" t="s">
        <v>35</v>
      </c>
      <c r="R1949" s="217" t="s">
        <v>199</v>
      </c>
      <c r="S1949" s="217" t="s">
        <v>200</v>
      </c>
      <c r="T1949" s="217" t="s">
        <v>1591</v>
      </c>
      <c r="U1949" s="217" t="s">
        <v>1592</v>
      </c>
      <c r="V1949" s="217" t="s">
        <v>32</v>
      </c>
      <c r="W1949" s="217" t="s">
        <v>32</v>
      </c>
    </row>
    <row r="1950" spans="1:23" x14ac:dyDescent="0.25">
      <c r="A1950" s="217" t="s">
        <v>22</v>
      </c>
      <c r="B1950" s="217" t="s">
        <v>23</v>
      </c>
      <c r="C1950" s="217" t="s">
        <v>37</v>
      </c>
      <c r="D1950" s="217" t="s">
        <v>36</v>
      </c>
      <c r="E1950" s="217" t="s">
        <v>250</v>
      </c>
      <c r="F1950" s="217" t="s">
        <v>249</v>
      </c>
      <c r="G1950" s="217" t="s">
        <v>599</v>
      </c>
      <c r="H1950" s="217" t="s">
        <v>1479</v>
      </c>
      <c r="I1950" s="217" t="s">
        <v>659</v>
      </c>
      <c r="J1950" s="217" t="s">
        <v>1855</v>
      </c>
      <c r="K1950" s="217">
        <v>1</v>
      </c>
      <c r="L1950" s="217">
        <v>5</v>
      </c>
      <c r="M1950" s="217" t="s">
        <v>31</v>
      </c>
      <c r="N1950" s="217" t="s">
        <v>32</v>
      </c>
      <c r="O1950" s="217" t="s">
        <v>668</v>
      </c>
      <c r="P1950" s="217" t="s">
        <v>34</v>
      </c>
      <c r="Q1950" s="217" t="s">
        <v>35</v>
      </c>
      <c r="R1950" s="217" t="s">
        <v>23</v>
      </c>
      <c r="S1950" s="217" t="s">
        <v>22</v>
      </c>
      <c r="T1950" s="217" t="s">
        <v>36</v>
      </c>
      <c r="U1950" s="217" t="s">
        <v>37</v>
      </c>
      <c r="V1950" s="217" t="s">
        <v>32</v>
      </c>
      <c r="W1950" s="217" t="s">
        <v>32</v>
      </c>
    </row>
    <row r="1951" spans="1:23" x14ac:dyDescent="0.25">
      <c r="A1951" s="217" t="s">
        <v>22</v>
      </c>
      <c r="B1951" s="217" t="s">
        <v>23</v>
      </c>
      <c r="C1951" s="217" t="s">
        <v>37</v>
      </c>
      <c r="D1951" s="217" t="s">
        <v>36</v>
      </c>
      <c r="E1951" s="217" t="s">
        <v>250</v>
      </c>
      <c r="F1951" s="217" t="s">
        <v>249</v>
      </c>
      <c r="G1951" s="217" t="s">
        <v>599</v>
      </c>
      <c r="H1951" s="217" t="s">
        <v>1479</v>
      </c>
      <c r="I1951" s="217" t="s">
        <v>659</v>
      </c>
      <c r="J1951" s="217" t="s">
        <v>1856</v>
      </c>
      <c r="K1951" s="217">
        <v>2</v>
      </c>
      <c r="L1951" s="217">
        <v>10</v>
      </c>
      <c r="M1951" s="217" t="s">
        <v>31</v>
      </c>
      <c r="N1951" s="217" t="s">
        <v>32</v>
      </c>
      <c r="O1951" s="217" t="s">
        <v>668</v>
      </c>
      <c r="P1951" s="217" t="s">
        <v>34</v>
      </c>
      <c r="Q1951" s="217" t="s">
        <v>35</v>
      </c>
      <c r="R1951" s="217" t="s">
        <v>23</v>
      </c>
      <c r="S1951" s="217" t="s">
        <v>22</v>
      </c>
      <c r="T1951" s="217" t="s">
        <v>36</v>
      </c>
      <c r="U1951" s="217" t="s">
        <v>37</v>
      </c>
      <c r="V1951" s="217" t="s">
        <v>32</v>
      </c>
      <c r="W1951" s="217" t="s">
        <v>32</v>
      </c>
    </row>
    <row r="1952" spans="1:23" x14ac:dyDescent="0.25">
      <c r="A1952" s="217" t="s">
        <v>22</v>
      </c>
      <c r="B1952" s="217" t="s">
        <v>23</v>
      </c>
      <c r="C1952" s="217" t="s">
        <v>37</v>
      </c>
      <c r="D1952" s="217" t="s">
        <v>36</v>
      </c>
      <c r="E1952" s="217" t="s">
        <v>250</v>
      </c>
      <c r="F1952" s="217" t="s">
        <v>249</v>
      </c>
      <c r="G1952" s="217" t="s">
        <v>599</v>
      </c>
      <c r="H1952" s="217" t="s">
        <v>1479</v>
      </c>
      <c r="I1952" s="217" t="s">
        <v>659</v>
      </c>
      <c r="J1952" s="217" t="s">
        <v>1858</v>
      </c>
      <c r="K1952" s="217">
        <v>1</v>
      </c>
      <c r="L1952" s="217">
        <v>5</v>
      </c>
      <c r="M1952" s="217" t="s">
        <v>31</v>
      </c>
      <c r="N1952" s="217" t="s">
        <v>32</v>
      </c>
      <c r="O1952" s="217" t="s">
        <v>668</v>
      </c>
      <c r="P1952" s="217" t="s">
        <v>34</v>
      </c>
      <c r="Q1952" s="217" t="s">
        <v>35</v>
      </c>
      <c r="R1952" s="217" t="s">
        <v>23</v>
      </c>
      <c r="S1952" s="217" t="s">
        <v>22</v>
      </c>
      <c r="T1952" s="217" t="s">
        <v>36</v>
      </c>
      <c r="U1952" s="217" t="s">
        <v>37</v>
      </c>
      <c r="V1952" s="217" t="s">
        <v>32</v>
      </c>
      <c r="W1952" s="217" t="s">
        <v>32</v>
      </c>
    </row>
    <row r="1953" spans="1:23" x14ac:dyDescent="0.25">
      <c r="A1953" s="217" t="s">
        <v>22</v>
      </c>
      <c r="B1953" s="217" t="s">
        <v>23</v>
      </c>
      <c r="C1953" s="217" t="s">
        <v>37</v>
      </c>
      <c r="D1953" s="217" t="s">
        <v>36</v>
      </c>
      <c r="E1953" s="217" t="s">
        <v>250</v>
      </c>
      <c r="F1953" s="217" t="s">
        <v>249</v>
      </c>
      <c r="G1953" s="217" t="s">
        <v>600</v>
      </c>
      <c r="H1953" s="217" t="s">
        <v>1480</v>
      </c>
      <c r="I1953" s="217" t="s">
        <v>659</v>
      </c>
      <c r="J1953" s="217" t="s">
        <v>1858</v>
      </c>
      <c r="K1953" s="217">
        <v>1</v>
      </c>
      <c r="L1953" s="217">
        <v>3</v>
      </c>
      <c r="M1953" s="217" t="s">
        <v>31</v>
      </c>
      <c r="N1953" s="217" t="s">
        <v>32</v>
      </c>
      <c r="O1953" s="217" t="s">
        <v>668</v>
      </c>
      <c r="P1953" s="217" t="s">
        <v>34</v>
      </c>
      <c r="Q1953" s="217" t="s">
        <v>35</v>
      </c>
      <c r="R1953" s="217" t="s">
        <v>199</v>
      </c>
      <c r="S1953" s="217" t="s">
        <v>200</v>
      </c>
      <c r="T1953" s="217" t="s">
        <v>1848</v>
      </c>
      <c r="U1953" s="217" t="s">
        <v>1849</v>
      </c>
      <c r="V1953" s="217" t="s">
        <v>32</v>
      </c>
      <c r="W1953" s="217" t="s">
        <v>32</v>
      </c>
    </row>
    <row r="1954" spans="1:23" x14ac:dyDescent="0.25">
      <c r="A1954" s="217" t="s">
        <v>22</v>
      </c>
      <c r="B1954" s="217" t="s">
        <v>23</v>
      </c>
      <c r="C1954" s="217" t="s">
        <v>37</v>
      </c>
      <c r="D1954" s="217" t="s">
        <v>36</v>
      </c>
      <c r="E1954" s="217" t="s">
        <v>250</v>
      </c>
      <c r="F1954" s="217" t="s">
        <v>249</v>
      </c>
      <c r="G1954" s="217" t="s">
        <v>600</v>
      </c>
      <c r="H1954" s="217" t="s">
        <v>1480</v>
      </c>
      <c r="I1954" s="217" t="s">
        <v>659</v>
      </c>
      <c r="J1954" s="217" t="s">
        <v>1857</v>
      </c>
      <c r="K1954" s="217">
        <v>9</v>
      </c>
      <c r="L1954" s="217">
        <v>45</v>
      </c>
      <c r="M1954" s="217" t="s">
        <v>31</v>
      </c>
      <c r="N1954" s="217" t="s">
        <v>32</v>
      </c>
      <c r="O1954" s="217" t="s">
        <v>141</v>
      </c>
      <c r="P1954" s="217" t="s">
        <v>142</v>
      </c>
      <c r="Q1954" s="217" t="s">
        <v>143</v>
      </c>
      <c r="R1954" s="217" t="s">
        <v>618</v>
      </c>
      <c r="S1954" s="217" t="s">
        <v>619</v>
      </c>
      <c r="T1954" s="217" t="s">
        <v>32</v>
      </c>
      <c r="U1954" s="217" t="s">
        <v>32</v>
      </c>
      <c r="V1954" s="217" t="s">
        <v>32</v>
      </c>
      <c r="W1954" s="217" t="s">
        <v>32</v>
      </c>
    </row>
    <row r="1955" spans="1:23" x14ac:dyDescent="0.25">
      <c r="A1955" s="217" t="s">
        <v>22</v>
      </c>
      <c r="B1955" s="217" t="s">
        <v>23</v>
      </c>
      <c r="C1955" s="217" t="s">
        <v>37</v>
      </c>
      <c r="D1955" s="217" t="s">
        <v>36</v>
      </c>
      <c r="E1955" s="217" t="s">
        <v>250</v>
      </c>
      <c r="F1955" s="217" t="s">
        <v>249</v>
      </c>
      <c r="G1955" s="217" t="s">
        <v>601</v>
      </c>
      <c r="H1955" s="217" t="s">
        <v>1481</v>
      </c>
      <c r="I1955" s="217" t="s">
        <v>659</v>
      </c>
      <c r="J1955" s="217" t="s">
        <v>1857</v>
      </c>
      <c r="K1955" s="217">
        <v>45</v>
      </c>
      <c r="L1955" s="217">
        <v>231</v>
      </c>
      <c r="M1955" s="217" t="s">
        <v>31</v>
      </c>
      <c r="N1955" s="217" t="s">
        <v>32</v>
      </c>
      <c r="O1955" s="217" t="s">
        <v>668</v>
      </c>
      <c r="P1955" s="217" t="s">
        <v>34</v>
      </c>
      <c r="Q1955" s="217" t="s">
        <v>35</v>
      </c>
      <c r="R1955" s="217" t="s">
        <v>199</v>
      </c>
      <c r="S1955" s="217" t="s">
        <v>200</v>
      </c>
      <c r="T1955" s="217" t="s">
        <v>1591</v>
      </c>
      <c r="U1955" s="217" t="s">
        <v>1592</v>
      </c>
      <c r="V1955" s="217" t="s">
        <v>32</v>
      </c>
      <c r="W1955" s="217" t="s">
        <v>32</v>
      </c>
    </row>
    <row r="1956" spans="1:23" x14ac:dyDescent="0.25">
      <c r="A1956" s="217" t="s">
        <v>22</v>
      </c>
      <c r="B1956" s="217" t="s">
        <v>23</v>
      </c>
      <c r="C1956" s="217" t="s">
        <v>37</v>
      </c>
      <c r="D1956" s="217" t="s">
        <v>36</v>
      </c>
      <c r="E1956" s="217" t="s">
        <v>250</v>
      </c>
      <c r="F1956" s="217" t="s">
        <v>249</v>
      </c>
      <c r="G1956" s="217" t="s">
        <v>601</v>
      </c>
      <c r="H1956" s="217" t="s">
        <v>1481</v>
      </c>
      <c r="I1956" s="217" t="s">
        <v>659</v>
      </c>
      <c r="J1956" s="217" t="s">
        <v>1858</v>
      </c>
      <c r="K1956" s="217">
        <v>15</v>
      </c>
      <c r="L1956" s="217">
        <v>69</v>
      </c>
      <c r="M1956" s="217" t="s">
        <v>31</v>
      </c>
      <c r="N1956" s="217" t="s">
        <v>32</v>
      </c>
      <c r="O1956" s="217" t="s">
        <v>668</v>
      </c>
      <c r="P1956" s="217" t="s">
        <v>34</v>
      </c>
      <c r="Q1956" s="217" t="s">
        <v>35</v>
      </c>
      <c r="R1956" s="217" t="s">
        <v>199</v>
      </c>
      <c r="S1956" s="217" t="s">
        <v>200</v>
      </c>
      <c r="T1956" s="217" t="s">
        <v>1591</v>
      </c>
      <c r="U1956" s="217" t="s">
        <v>1592</v>
      </c>
      <c r="V1956" s="217" t="s">
        <v>32</v>
      </c>
      <c r="W1956" s="217" t="s">
        <v>32</v>
      </c>
    </row>
    <row r="1957" spans="1:23" x14ac:dyDescent="0.25">
      <c r="A1957" s="217" t="s">
        <v>22</v>
      </c>
      <c r="B1957" s="217" t="s">
        <v>23</v>
      </c>
      <c r="C1957" s="217" t="s">
        <v>37</v>
      </c>
      <c r="D1957" s="217" t="s">
        <v>36</v>
      </c>
      <c r="E1957" s="217" t="s">
        <v>250</v>
      </c>
      <c r="F1957" s="217" t="s">
        <v>249</v>
      </c>
      <c r="G1957" s="217" t="s">
        <v>601</v>
      </c>
      <c r="H1957" s="217" t="s">
        <v>1481</v>
      </c>
      <c r="I1957" s="217" t="s">
        <v>659</v>
      </c>
      <c r="J1957" s="217" t="s">
        <v>1856</v>
      </c>
      <c r="K1957" s="217">
        <v>80</v>
      </c>
      <c r="L1957" s="217">
        <v>400</v>
      </c>
      <c r="M1957" s="217" t="s">
        <v>31</v>
      </c>
      <c r="N1957" s="217" t="s">
        <v>32</v>
      </c>
      <c r="O1957" s="217" t="s">
        <v>668</v>
      </c>
      <c r="P1957" s="217" t="s">
        <v>34</v>
      </c>
      <c r="Q1957" s="217" t="s">
        <v>35</v>
      </c>
      <c r="R1957" s="217" t="s">
        <v>23</v>
      </c>
      <c r="S1957" s="217" t="s">
        <v>22</v>
      </c>
      <c r="T1957" s="217" t="s">
        <v>36</v>
      </c>
      <c r="U1957" s="217" t="s">
        <v>37</v>
      </c>
      <c r="V1957" s="217" t="s">
        <v>32</v>
      </c>
      <c r="W1957" s="217" t="s">
        <v>32</v>
      </c>
    </row>
    <row r="1958" spans="1:23" x14ac:dyDescent="0.25">
      <c r="A1958" s="217" t="s">
        <v>22</v>
      </c>
      <c r="B1958" s="217" t="s">
        <v>23</v>
      </c>
      <c r="C1958" s="217" t="s">
        <v>37</v>
      </c>
      <c r="D1958" s="217" t="s">
        <v>36</v>
      </c>
      <c r="E1958" s="217" t="s">
        <v>250</v>
      </c>
      <c r="F1958" s="217" t="s">
        <v>249</v>
      </c>
      <c r="G1958" s="217" t="s">
        <v>602</v>
      </c>
      <c r="H1958" s="217" t="s">
        <v>1482</v>
      </c>
      <c r="I1958" s="217" t="s">
        <v>659</v>
      </c>
      <c r="J1958" s="217" t="s">
        <v>1858</v>
      </c>
      <c r="K1958" s="217">
        <v>18</v>
      </c>
      <c r="L1958" s="217">
        <v>119</v>
      </c>
      <c r="M1958" s="217" t="s">
        <v>31</v>
      </c>
      <c r="N1958" s="217" t="s">
        <v>32</v>
      </c>
      <c r="O1958" s="217" t="s">
        <v>668</v>
      </c>
      <c r="P1958" s="217" t="s">
        <v>34</v>
      </c>
      <c r="Q1958" s="217" t="s">
        <v>35</v>
      </c>
      <c r="R1958" s="217" t="s">
        <v>199</v>
      </c>
      <c r="S1958" s="217" t="s">
        <v>200</v>
      </c>
      <c r="T1958" s="217" t="s">
        <v>2159</v>
      </c>
      <c r="U1958" s="217" t="s">
        <v>2160</v>
      </c>
      <c r="V1958" s="217" t="s">
        <v>32</v>
      </c>
      <c r="W1958" s="217" t="s">
        <v>32</v>
      </c>
    </row>
    <row r="1959" spans="1:23" x14ac:dyDescent="0.25">
      <c r="A1959" s="217" t="s">
        <v>22</v>
      </c>
      <c r="B1959" s="217" t="s">
        <v>23</v>
      </c>
      <c r="C1959" s="217" t="s">
        <v>37</v>
      </c>
      <c r="D1959" s="217" t="s">
        <v>36</v>
      </c>
      <c r="E1959" s="217" t="s">
        <v>250</v>
      </c>
      <c r="F1959" s="217" t="s">
        <v>249</v>
      </c>
      <c r="G1959" s="217" t="s">
        <v>602</v>
      </c>
      <c r="H1959" s="217" t="s">
        <v>1482</v>
      </c>
      <c r="I1959" s="217" t="s">
        <v>659</v>
      </c>
      <c r="J1959" s="217" t="s">
        <v>1857</v>
      </c>
      <c r="K1959" s="217">
        <v>57</v>
      </c>
      <c r="L1959" s="217">
        <v>309</v>
      </c>
      <c r="M1959" s="217" t="s">
        <v>31</v>
      </c>
      <c r="N1959" s="217" t="s">
        <v>32</v>
      </c>
      <c r="O1959" s="217" t="s">
        <v>668</v>
      </c>
      <c r="P1959" s="217" t="s">
        <v>34</v>
      </c>
      <c r="Q1959" s="217" t="s">
        <v>35</v>
      </c>
      <c r="R1959" s="217" t="s">
        <v>23</v>
      </c>
      <c r="S1959" s="217" t="s">
        <v>22</v>
      </c>
      <c r="T1959" s="217" t="s">
        <v>47</v>
      </c>
      <c r="U1959" s="217" t="s">
        <v>48</v>
      </c>
      <c r="V1959" s="217" t="s">
        <v>32</v>
      </c>
      <c r="W1959" s="217" t="s">
        <v>32</v>
      </c>
    </row>
    <row r="1960" spans="1:23" x14ac:dyDescent="0.25">
      <c r="A1960" s="217" t="s">
        <v>22</v>
      </c>
      <c r="B1960" s="217" t="s">
        <v>23</v>
      </c>
      <c r="C1960" s="217" t="s">
        <v>37</v>
      </c>
      <c r="D1960" s="217" t="s">
        <v>36</v>
      </c>
      <c r="E1960" s="217" t="s">
        <v>250</v>
      </c>
      <c r="F1960" s="217" t="s">
        <v>249</v>
      </c>
      <c r="G1960" s="217" t="s">
        <v>603</v>
      </c>
      <c r="H1960" s="217" t="s">
        <v>1483</v>
      </c>
      <c r="I1960" s="217" t="s">
        <v>659</v>
      </c>
      <c r="J1960" s="217" t="s">
        <v>1857</v>
      </c>
      <c r="K1960" s="217">
        <v>53</v>
      </c>
      <c r="L1960" s="217">
        <v>289</v>
      </c>
      <c r="M1960" s="217" t="s">
        <v>31</v>
      </c>
      <c r="N1960" s="217" t="s">
        <v>32</v>
      </c>
      <c r="O1960" s="217" t="s">
        <v>668</v>
      </c>
      <c r="P1960" s="217" t="s">
        <v>34</v>
      </c>
      <c r="Q1960" s="217" t="s">
        <v>35</v>
      </c>
      <c r="R1960" s="217" t="s">
        <v>23</v>
      </c>
      <c r="S1960" s="217" t="s">
        <v>22</v>
      </c>
      <c r="T1960" s="217" t="s">
        <v>36</v>
      </c>
      <c r="U1960" s="217" t="s">
        <v>37</v>
      </c>
      <c r="V1960" s="217" t="s">
        <v>32</v>
      </c>
      <c r="W1960" s="217" t="s">
        <v>32</v>
      </c>
    </row>
    <row r="1961" spans="1:23" x14ac:dyDescent="0.25">
      <c r="A1961" s="217" t="s">
        <v>22</v>
      </c>
      <c r="B1961" s="217" t="s">
        <v>23</v>
      </c>
      <c r="C1961" s="217" t="s">
        <v>37</v>
      </c>
      <c r="D1961" s="217" t="s">
        <v>36</v>
      </c>
      <c r="E1961" s="217" t="s">
        <v>250</v>
      </c>
      <c r="F1961" s="217" t="s">
        <v>249</v>
      </c>
      <c r="G1961" s="217" t="s">
        <v>603</v>
      </c>
      <c r="H1961" s="217" t="s">
        <v>1483</v>
      </c>
      <c r="I1961" s="217" t="s">
        <v>659</v>
      </c>
      <c r="J1961" s="217" t="s">
        <v>1858</v>
      </c>
      <c r="K1961" s="217">
        <v>22</v>
      </c>
      <c r="L1961" s="217">
        <v>121</v>
      </c>
      <c r="M1961" s="217" t="s">
        <v>31</v>
      </c>
      <c r="N1961" s="217" t="s">
        <v>32</v>
      </c>
      <c r="O1961" s="217" t="s">
        <v>668</v>
      </c>
      <c r="P1961" s="217" t="s">
        <v>34</v>
      </c>
      <c r="Q1961" s="217" t="s">
        <v>35</v>
      </c>
      <c r="R1961" s="217" t="s">
        <v>23</v>
      </c>
      <c r="S1961" s="217" t="s">
        <v>22</v>
      </c>
      <c r="T1961" s="217" t="s">
        <v>36</v>
      </c>
      <c r="U1961" s="217" t="s">
        <v>37</v>
      </c>
      <c r="V1961" s="217" t="s">
        <v>32</v>
      </c>
      <c r="W1961" s="217" t="s">
        <v>32</v>
      </c>
    </row>
    <row r="1962" spans="1:23" x14ac:dyDescent="0.25">
      <c r="A1962" s="217" t="s">
        <v>22</v>
      </c>
      <c r="B1962" s="217" t="s">
        <v>23</v>
      </c>
      <c r="C1962" s="217" t="s">
        <v>37</v>
      </c>
      <c r="D1962" s="217" t="s">
        <v>36</v>
      </c>
      <c r="E1962" s="217" t="s">
        <v>250</v>
      </c>
      <c r="F1962" s="217" t="s">
        <v>249</v>
      </c>
      <c r="G1962" s="217" t="s">
        <v>604</v>
      </c>
      <c r="H1962" s="217" t="s">
        <v>1484</v>
      </c>
      <c r="I1962" s="217" t="s">
        <v>659</v>
      </c>
      <c r="J1962" s="217" t="s">
        <v>1858</v>
      </c>
      <c r="K1962" s="217">
        <v>11</v>
      </c>
      <c r="L1962" s="217">
        <v>76</v>
      </c>
      <c r="M1962" s="217" t="s">
        <v>31</v>
      </c>
      <c r="N1962" s="217" t="s">
        <v>32</v>
      </c>
      <c r="O1962" s="217" t="s">
        <v>668</v>
      </c>
      <c r="P1962" s="217" t="s">
        <v>34</v>
      </c>
      <c r="Q1962" s="217" t="s">
        <v>35</v>
      </c>
      <c r="R1962" s="217" t="s">
        <v>199</v>
      </c>
      <c r="S1962" s="217" t="s">
        <v>200</v>
      </c>
      <c r="T1962" s="217" t="s">
        <v>2159</v>
      </c>
      <c r="U1962" s="217" t="s">
        <v>2160</v>
      </c>
      <c r="V1962" s="217" t="s">
        <v>32</v>
      </c>
      <c r="W1962" s="217" t="s">
        <v>32</v>
      </c>
    </row>
    <row r="1963" spans="1:23" x14ac:dyDescent="0.25">
      <c r="A1963" s="217" t="s">
        <v>22</v>
      </c>
      <c r="B1963" s="217" t="s">
        <v>23</v>
      </c>
      <c r="C1963" s="217" t="s">
        <v>37</v>
      </c>
      <c r="D1963" s="217" t="s">
        <v>36</v>
      </c>
      <c r="E1963" s="217" t="s">
        <v>250</v>
      </c>
      <c r="F1963" s="217" t="s">
        <v>249</v>
      </c>
      <c r="G1963" s="217" t="s">
        <v>604</v>
      </c>
      <c r="H1963" s="217" t="s">
        <v>1484</v>
      </c>
      <c r="I1963" s="217" t="s">
        <v>659</v>
      </c>
      <c r="J1963" s="217" t="s">
        <v>1857</v>
      </c>
      <c r="K1963" s="217">
        <v>76</v>
      </c>
      <c r="L1963" s="217">
        <v>398</v>
      </c>
      <c r="M1963" s="217" t="s">
        <v>31</v>
      </c>
      <c r="N1963" s="217" t="s">
        <v>32</v>
      </c>
      <c r="O1963" s="217" t="s">
        <v>668</v>
      </c>
      <c r="P1963" s="217" t="s">
        <v>34</v>
      </c>
      <c r="Q1963" s="217" t="s">
        <v>35</v>
      </c>
      <c r="R1963" s="217" t="s">
        <v>23</v>
      </c>
      <c r="S1963" s="217" t="s">
        <v>22</v>
      </c>
      <c r="T1963" s="217" t="s">
        <v>47</v>
      </c>
      <c r="U1963" s="217" t="s">
        <v>48</v>
      </c>
      <c r="V1963" s="217" t="s">
        <v>32</v>
      </c>
      <c r="W1963" s="217" t="s">
        <v>32</v>
      </c>
    </row>
    <row r="1964" spans="1:23" x14ac:dyDescent="0.25">
      <c r="A1964" s="217" t="s">
        <v>22</v>
      </c>
      <c r="B1964" s="217" t="s">
        <v>23</v>
      </c>
      <c r="C1964" s="217" t="s">
        <v>37</v>
      </c>
      <c r="D1964" s="217" t="s">
        <v>36</v>
      </c>
      <c r="E1964" s="217" t="s">
        <v>250</v>
      </c>
      <c r="F1964" s="217" t="s">
        <v>249</v>
      </c>
      <c r="G1964" s="217" t="s">
        <v>605</v>
      </c>
      <c r="H1964" s="217" t="s">
        <v>1485</v>
      </c>
      <c r="I1964" s="217" t="s">
        <v>659</v>
      </c>
      <c r="J1964" s="217" t="s">
        <v>1857</v>
      </c>
      <c r="K1964" s="217">
        <v>163</v>
      </c>
      <c r="L1964" s="217">
        <v>828</v>
      </c>
      <c r="M1964" s="217" t="s">
        <v>31</v>
      </c>
      <c r="N1964" s="217" t="s">
        <v>32</v>
      </c>
      <c r="O1964" s="217" t="s">
        <v>668</v>
      </c>
      <c r="P1964" s="217" t="s">
        <v>34</v>
      </c>
      <c r="Q1964" s="217" t="s">
        <v>35</v>
      </c>
      <c r="R1964" s="217" t="s">
        <v>23</v>
      </c>
      <c r="S1964" s="217" t="s">
        <v>22</v>
      </c>
      <c r="T1964" s="217" t="s">
        <v>36</v>
      </c>
      <c r="U1964" s="217" t="s">
        <v>37</v>
      </c>
      <c r="V1964" s="217" t="s">
        <v>32</v>
      </c>
      <c r="W1964" s="217" t="s">
        <v>32</v>
      </c>
    </row>
    <row r="1965" spans="1:23" x14ac:dyDescent="0.25">
      <c r="A1965" s="217" t="s">
        <v>22</v>
      </c>
      <c r="B1965" s="217" t="s">
        <v>23</v>
      </c>
      <c r="C1965" s="217" t="s">
        <v>37</v>
      </c>
      <c r="D1965" s="217" t="s">
        <v>36</v>
      </c>
      <c r="E1965" s="217" t="s">
        <v>250</v>
      </c>
      <c r="F1965" s="217" t="s">
        <v>249</v>
      </c>
      <c r="G1965" s="217" t="s">
        <v>605</v>
      </c>
      <c r="H1965" s="217" t="s">
        <v>1485</v>
      </c>
      <c r="I1965" s="217" t="s">
        <v>659</v>
      </c>
      <c r="J1965" s="217" t="s">
        <v>1858</v>
      </c>
      <c r="K1965" s="217">
        <v>13</v>
      </c>
      <c r="L1965" s="217">
        <v>77</v>
      </c>
      <c r="M1965" s="217" t="s">
        <v>31</v>
      </c>
      <c r="N1965" s="217" t="s">
        <v>32</v>
      </c>
      <c r="O1965" s="217" t="s">
        <v>668</v>
      </c>
      <c r="P1965" s="217" t="s">
        <v>34</v>
      </c>
      <c r="Q1965" s="217" t="s">
        <v>35</v>
      </c>
      <c r="R1965" s="217" t="s">
        <v>23</v>
      </c>
      <c r="S1965" s="217" t="s">
        <v>22</v>
      </c>
      <c r="T1965" s="217" t="s">
        <v>36</v>
      </c>
      <c r="U1965" s="217" t="s">
        <v>37</v>
      </c>
      <c r="V1965" s="217" t="s">
        <v>32</v>
      </c>
      <c r="W1965" s="217" t="s">
        <v>32</v>
      </c>
    </row>
    <row r="1966" spans="1:23" x14ac:dyDescent="0.25">
      <c r="A1966" s="217" t="s">
        <v>22</v>
      </c>
      <c r="B1966" s="217" t="s">
        <v>23</v>
      </c>
      <c r="C1966" s="217" t="s">
        <v>37</v>
      </c>
      <c r="D1966" s="217" t="s">
        <v>36</v>
      </c>
      <c r="E1966" s="217" t="s">
        <v>250</v>
      </c>
      <c r="F1966" s="217" t="s">
        <v>249</v>
      </c>
      <c r="G1966" s="217" t="s">
        <v>607</v>
      </c>
      <c r="H1966" s="217" t="s">
        <v>1487</v>
      </c>
      <c r="I1966" s="217" t="s">
        <v>659</v>
      </c>
      <c r="J1966" s="217" t="s">
        <v>1855</v>
      </c>
      <c r="K1966" s="217">
        <v>4</v>
      </c>
      <c r="L1966" s="217">
        <v>20</v>
      </c>
      <c r="M1966" s="217" t="s">
        <v>31</v>
      </c>
      <c r="N1966" s="217" t="s">
        <v>32</v>
      </c>
      <c r="O1966" s="217" t="s">
        <v>668</v>
      </c>
      <c r="P1966" s="217" t="s">
        <v>34</v>
      </c>
      <c r="Q1966" s="217" t="s">
        <v>35</v>
      </c>
      <c r="R1966" s="217" t="s">
        <v>199</v>
      </c>
      <c r="S1966" s="217" t="s">
        <v>200</v>
      </c>
      <c r="T1966" s="217" t="s">
        <v>2159</v>
      </c>
      <c r="U1966" s="217" t="s">
        <v>2160</v>
      </c>
      <c r="V1966" s="217" t="s">
        <v>32</v>
      </c>
      <c r="W1966" s="217" t="s">
        <v>32</v>
      </c>
    </row>
    <row r="1967" spans="1:23" x14ac:dyDescent="0.25">
      <c r="A1967" s="217" t="s">
        <v>22</v>
      </c>
      <c r="B1967" s="217" t="s">
        <v>23</v>
      </c>
      <c r="C1967" s="217" t="s">
        <v>37</v>
      </c>
      <c r="D1967" s="217" t="s">
        <v>36</v>
      </c>
      <c r="E1967" s="217" t="s">
        <v>250</v>
      </c>
      <c r="F1967" s="217" t="s">
        <v>249</v>
      </c>
      <c r="G1967" s="217" t="s">
        <v>607</v>
      </c>
      <c r="H1967" s="217" t="s">
        <v>1487</v>
      </c>
      <c r="I1967" s="217" t="s">
        <v>659</v>
      </c>
      <c r="J1967" s="217" t="s">
        <v>1856</v>
      </c>
      <c r="K1967" s="217">
        <v>1</v>
      </c>
      <c r="L1967" s="217">
        <v>5</v>
      </c>
      <c r="M1967" s="217" t="s">
        <v>31</v>
      </c>
      <c r="N1967" s="217" t="s">
        <v>32</v>
      </c>
      <c r="O1967" s="217" t="s">
        <v>668</v>
      </c>
      <c r="P1967" s="217" t="s">
        <v>34</v>
      </c>
      <c r="Q1967" s="217" t="s">
        <v>35</v>
      </c>
      <c r="R1967" s="217" t="s">
        <v>23</v>
      </c>
      <c r="S1967" s="217" t="s">
        <v>22</v>
      </c>
      <c r="T1967" s="217" t="s">
        <v>36</v>
      </c>
      <c r="U1967" s="217" t="s">
        <v>37</v>
      </c>
      <c r="V1967" s="217" t="s">
        <v>32</v>
      </c>
      <c r="W1967" s="217" t="s">
        <v>32</v>
      </c>
    </row>
    <row r="1968" spans="1:23" x14ac:dyDescent="0.25">
      <c r="A1968" s="217" t="s">
        <v>22</v>
      </c>
      <c r="B1968" s="217" t="s">
        <v>23</v>
      </c>
      <c r="C1968" s="217" t="s">
        <v>37</v>
      </c>
      <c r="D1968" s="217" t="s">
        <v>36</v>
      </c>
      <c r="E1968" s="217" t="s">
        <v>250</v>
      </c>
      <c r="F1968" s="217" t="s">
        <v>249</v>
      </c>
      <c r="G1968" s="217" t="s">
        <v>607</v>
      </c>
      <c r="H1968" s="217" t="s">
        <v>1487</v>
      </c>
      <c r="I1968" s="217" t="s">
        <v>659</v>
      </c>
      <c r="J1968" s="217" t="s">
        <v>1857</v>
      </c>
      <c r="K1968" s="217">
        <v>1</v>
      </c>
      <c r="L1968" s="217">
        <v>5</v>
      </c>
      <c r="M1968" s="217" t="s">
        <v>31</v>
      </c>
      <c r="N1968" s="217" t="s">
        <v>32</v>
      </c>
      <c r="O1968" s="217" t="s">
        <v>668</v>
      </c>
      <c r="P1968" s="217" t="s">
        <v>34</v>
      </c>
      <c r="Q1968" s="217" t="s">
        <v>35</v>
      </c>
      <c r="R1968" s="217" t="s">
        <v>23</v>
      </c>
      <c r="S1968" s="217" t="s">
        <v>22</v>
      </c>
      <c r="T1968" s="217" t="s">
        <v>36</v>
      </c>
      <c r="U1968" s="217" t="s">
        <v>37</v>
      </c>
      <c r="V1968" s="217" t="s">
        <v>32</v>
      </c>
      <c r="W1968" s="217" t="s">
        <v>32</v>
      </c>
    </row>
    <row r="1969" spans="1:23" x14ac:dyDescent="0.25">
      <c r="A1969" s="217" t="s">
        <v>22</v>
      </c>
      <c r="B1969" s="217" t="s">
        <v>23</v>
      </c>
      <c r="C1969" s="217" t="s">
        <v>37</v>
      </c>
      <c r="D1969" s="217" t="s">
        <v>36</v>
      </c>
      <c r="E1969" s="217" t="s">
        <v>250</v>
      </c>
      <c r="F1969" s="217" t="s">
        <v>249</v>
      </c>
      <c r="G1969" s="217" t="s">
        <v>2051</v>
      </c>
      <c r="H1969" s="217" t="s">
        <v>2050</v>
      </c>
      <c r="I1969" s="217" t="s">
        <v>659</v>
      </c>
      <c r="J1969" s="217" t="s">
        <v>1855</v>
      </c>
      <c r="K1969" s="217">
        <v>18</v>
      </c>
      <c r="L1969" s="217">
        <v>98</v>
      </c>
      <c r="M1969" s="217" t="s">
        <v>31</v>
      </c>
      <c r="N1969" s="217" t="s">
        <v>32</v>
      </c>
      <c r="O1969" s="217" t="s">
        <v>141</v>
      </c>
      <c r="P1969" s="217" t="s">
        <v>142</v>
      </c>
      <c r="Q1969" s="217" t="s">
        <v>143</v>
      </c>
      <c r="R1969" s="217" t="s">
        <v>618</v>
      </c>
      <c r="S1969" s="217" t="s">
        <v>619</v>
      </c>
      <c r="T1969" s="217" t="s">
        <v>32</v>
      </c>
      <c r="U1969" s="217" t="s">
        <v>32</v>
      </c>
      <c r="V1969" s="217" t="s">
        <v>32</v>
      </c>
      <c r="W1969" s="217" t="s">
        <v>32</v>
      </c>
    </row>
    <row r="1970" spans="1:23" x14ac:dyDescent="0.25">
      <c r="A1970" s="217" t="s">
        <v>22</v>
      </c>
      <c r="B1970" s="217" t="s">
        <v>23</v>
      </c>
      <c r="C1970" s="217" t="s">
        <v>37</v>
      </c>
      <c r="D1970" s="217" t="s">
        <v>36</v>
      </c>
      <c r="E1970" s="217" t="s">
        <v>250</v>
      </c>
      <c r="F1970" s="217" t="s">
        <v>249</v>
      </c>
      <c r="G1970" s="217" t="s">
        <v>2051</v>
      </c>
      <c r="H1970" s="217" t="s">
        <v>2050</v>
      </c>
      <c r="I1970" s="217" t="s">
        <v>659</v>
      </c>
      <c r="J1970" s="217" t="s">
        <v>1856</v>
      </c>
      <c r="K1970" s="217">
        <v>9</v>
      </c>
      <c r="L1970" s="217">
        <v>48</v>
      </c>
      <c r="M1970" s="217" t="s">
        <v>31</v>
      </c>
      <c r="N1970" s="217" t="s">
        <v>32</v>
      </c>
      <c r="O1970" s="217" t="s">
        <v>141</v>
      </c>
      <c r="P1970" s="217" t="s">
        <v>142</v>
      </c>
      <c r="Q1970" s="217" t="s">
        <v>143</v>
      </c>
      <c r="R1970" s="217" t="s">
        <v>618</v>
      </c>
      <c r="S1970" s="217" t="s">
        <v>619</v>
      </c>
      <c r="T1970" s="217" t="s">
        <v>32</v>
      </c>
      <c r="U1970" s="217" t="s">
        <v>32</v>
      </c>
      <c r="V1970" s="217" t="s">
        <v>32</v>
      </c>
      <c r="W1970" s="217" t="s">
        <v>32</v>
      </c>
    </row>
    <row r="1971" spans="1:23" x14ac:dyDescent="0.25">
      <c r="A1971" s="217" t="s">
        <v>22</v>
      </c>
      <c r="B1971" s="217" t="s">
        <v>23</v>
      </c>
      <c r="C1971" s="217" t="s">
        <v>37</v>
      </c>
      <c r="D1971" s="217" t="s">
        <v>36</v>
      </c>
      <c r="E1971" s="217" t="s">
        <v>250</v>
      </c>
      <c r="F1971" s="217" t="s">
        <v>249</v>
      </c>
      <c r="G1971" s="217" t="s">
        <v>2051</v>
      </c>
      <c r="H1971" s="217" t="s">
        <v>2050</v>
      </c>
      <c r="I1971" s="217" t="s">
        <v>659</v>
      </c>
      <c r="J1971" s="217" t="s">
        <v>1857</v>
      </c>
      <c r="K1971" s="217">
        <v>12</v>
      </c>
      <c r="L1971" s="217">
        <v>87</v>
      </c>
      <c r="M1971" s="217" t="s">
        <v>31</v>
      </c>
      <c r="N1971" s="217" t="s">
        <v>32</v>
      </c>
      <c r="O1971" s="217" t="s">
        <v>141</v>
      </c>
      <c r="P1971" s="217" t="s">
        <v>142</v>
      </c>
      <c r="Q1971" s="217" t="s">
        <v>143</v>
      </c>
      <c r="R1971" s="217" t="s">
        <v>618</v>
      </c>
      <c r="S1971" s="217" t="s">
        <v>619</v>
      </c>
      <c r="T1971" s="217" t="s">
        <v>32</v>
      </c>
      <c r="U1971" s="217" t="s">
        <v>32</v>
      </c>
      <c r="V1971" s="217" t="s">
        <v>32</v>
      </c>
      <c r="W1971" s="217" t="s">
        <v>32</v>
      </c>
    </row>
    <row r="1972" spans="1:23" x14ac:dyDescent="0.25">
      <c r="A1972" s="217" t="s">
        <v>22</v>
      </c>
      <c r="B1972" s="217" t="s">
        <v>23</v>
      </c>
      <c r="C1972" s="217" t="s">
        <v>37</v>
      </c>
      <c r="D1972" s="217" t="s">
        <v>36</v>
      </c>
      <c r="E1972" s="217" t="s">
        <v>250</v>
      </c>
      <c r="F1972" s="217" t="s">
        <v>249</v>
      </c>
      <c r="G1972" s="217" t="s">
        <v>2051</v>
      </c>
      <c r="H1972" s="217" t="s">
        <v>2050</v>
      </c>
      <c r="I1972" s="217" t="s">
        <v>659</v>
      </c>
      <c r="J1972" s="217" t="s">
        <v>1858</v>
      </c>
      <c r="K1972" s="217">
        <v>7</v>
      </c>
      <c r="L1972" s="217">
        <v>43</v>
      </c>
      <c r="M1972" s="217" t="s">
        <v>31</v>
      </c>
      <c r="N1972" s="217" t="s">
        <v>32</v>
      </c>
      <c r="O1972" s="217" t="s">
        <v>141</v>
      </c>
      <c r="P1972" s="217" t="s">
        <v>142</v>
      </c>
      <c r="Q1972" s="217" t="s">
        <v>143</v>
      </c>
      <c r="R1972" s="217" t="s">
        <v>618</v>
      </c>
      <c r="S1972" s="217" t="s">
        <v>619</v>
      </c>
      <c r="T1972" s="217" t="s">
        <v>32</v>
      </c>
      <c r="U1972" s="217" t="s">
        <v>32</v>
      </c>
      <c r="V1972" s="217" t="s">
        <v>32</v>
      </c>
      <c r="W1972" s="217" t="s">
        <v>32</v>
      </c>
    </row>
    <row r="1973" spans="1:23" x14ac:dyDescent="0.25">
      <c r="A1973" s="217" t="s">
        <v>22</v>
      </c>
      <c r="B1973" s="217" t="s">
        <v>23</v>
      </c>
      <c r="C1973" s="217" t="s">
        <v>37</v>
      </c>
      <c r="D1973" s="217" t="s">
        <v>36</v>
      </c>
      <c r="E1973" s="217" t="s">
        <v>250</v>
      </c>
      <c r="F1973" s="217" t="s">
        <v>249</v>
      </c>
      <c r="G1973" s="217" t="s">
        <v>685</v>
      </c>
      <c r="H1973" s="217" t="s">
        <v>1488</v>
      </c>
      <c r="I1973" s="217" t="s">
        <v>659</v>
      </c>
      <c r="J1973" s="217" t="s">
        <v>1856</v>
      </c>
      <c r="K1973" s="217">
        <v>7</v>
      </c>
      <c r="L1973" s="217">
        <v>43</v>
      </c>
      <c r="M1973" s="217" t="s">
        <v>31</v>
      </c>
      <c r="N1973" s="217" t="s">
        <v>32</v>
      </c>
      <c r="O1973" s="217" t="s">
        <v>668</v>
      </c>
      <c r="P1973" s="217" t="s">
        <v>34</v>
      </c>
      <c r="Q1973" s="217" t="s">
        <v>35</v>
      </c>
      <c r="R1973" s="217" t="s">
        <v>23</v>
      </c>
      <c r="S1973" s="217" t="s">
        <v>22</v>
      </c>
      <c r="T1973" s="217" t="s">
        <v>36</v>
      </c>
      <c r="U1973" s="217" t="s">
        <v>37</v>
      </c>
      <c r="V1973" s="217" t="s">
        <v>32</v>
      </c>
      <c r="W1973" s="217" t="s">
        <v>32</v>
      </c>
    </row>
    <row r="1974" spans="1:23" x14ac:dyDescent="0.25">
      <c r="A1974" s="217" t="s">
        <v>22</v>
      </c>
      <c r="B1974" s="217" t="s">
        <v>23</v>
      </c>
      <c r="C1974" s="217" t="s">
        <v>37</v>
      </c>
      <c r="D1974" s="217" t="s">
        <v>36</v>
      </c>
      <c r="E1974" s="217" t="s">
        <v>250</v>
      </c>
      <c r="F1974" s="217" t="s">
        <v>249</v>
      </c>
      <c r="G1974" s="217" t="s">
        <v>685</v>
      </c>
      <c r="H1974" s="217" t="s">
        <v>1488</v>
      </c>
      <c r="I1974" s="217" t="s">
        <v>659</v>
      </c>
      <c r="J1974" s="217" t="s">
        <v>1857</v>
      </c>
      <c r="K1974" s="217">
        <v>18</v>
      </c>
      <c r="L1974" s="217">
        <v>99</v>
      </c>
      <c r="M1974" s="217" t="s">
        <v>31</v>
      </c>
      <c r="N1974" s="217" t="s">
        <v>32</v>
      </c>
      <c r="O1974" s="217" t="s">
        <v>668</v>
      </c>
      <c r="P1974" s="217" t="s">
        <v>34</v>
      </c>
      <c r="Q1974" s="217" t="s">
        <v>35</v>
      </c>
      <c r="R1974" s="217" t="s">
        <v>23</v>
      </c>
      <c r="S1974" s="217" t="s">
        <v>22</v>
      </c>
      <c r="T1974" s="217" t="s">
        <v>47</v>
      </c>
      <c r="U1974" s="217" t="s">
        <v>48</v>
      </c>
      <c r="V1974" s="217" t="s">
        <v>32</v>
      </c>
      <c r="W1974" s="217" t="s">
        <v>32</v>
      </c>
    </row>
    <row r="1975" spans="1:23" x14ac:dyDescent="0.25">
      <c r="A1975" s="217" t="s">
        <v>22</v>
      </c>
      <c r="B1975" s="217" t="s">
        <v>23</v>
      </c>
      <c r="C1975" s="217" t="s">
        <v>37</v>
      </c>
      <c r="D1975" s="217" t="s">
        <v>36</v>
      </c>
      <c r="E1975" s="217" t="s">
        <v>250</v>
      </c>
      <c r="F1975" s="217" t="s">
        <v>249</v>
      </c>
      <c r="G1975" s="217" t="s">
        <v>685</v>
      </c>
      <c r="H1975" s="217" t="s">
        <v>1488</v>
      </c>
      <c r="I1975" s="217" t="s">
        <v>659</v>
      </c>
      <c r="J1975" s="217" t="s">
        <v>1858</v>
      </c>
      <c r="K1975" s="217">
        <v>29</v>
      </c>
      <c r="L1975" s="217">
        <v>208</v>
      </c>
      <c r="M1975" s="217" t="s">
        <v>31</v>
      </c>
      <c r="N1975" s="217" t="s">
        <v>32</v>
      </c>
      <c r="O1975" s="217" t="s">
        <v>668</v>
      </c>
      <c r="P1975" s="217" t="s">
        <v>34</v>
      </c>
      <c r="Q1975" s="217" t="s">
        <v>35</v>
      </c>
      <c r="R1975" s="217" t="s">
        <v>23</v>
      </c>
      <c r="S1975" s="217" t="s">
        <v>22</v>
      </c>
      <c r="T1975" s="217" t="s">
        <v>47</v>
      </c>
      <c r="U1975" s="217" t="s">
        <v>48</v>
      </c>
      <c r="V1975" s="217" t="s">
        <v>32</v>
      </c>
      <c r="W1975" s="217" t="s">
        <v>32</v>
      </c>
    </row>
    <row r="1976" spans="1:23" x14ac:dyDescent="0.25">
      <c r="A1976" s="217" t="s">
        <v>22</v>
      </c>
      <c r="B1976" s="217" t="s">
        <v>23</v>
      </c>
      <c r="C1976" s="217" t="s">
        <v>37</v>
      </c>
      <c r="D1976" s="217" t="s">
        <v>36</v>
      </c>
      <c r="E1976" s="217" t="s">
        <v>250</v>
      </c>
      <c r="F1976" s="217" t="s">
        <v>249</v>
      </c>
      <c r="G1976" s="217" t="s">
        <v>2053</v>
      </c>
      <c r="H1976" s="217" t="s">
        <v>2052</v>
      </c>
      <c r="I1976" s="217" t="s">
        <v>659</v>
      </c>
      <c r="J1976" s="217" t="s">
        <v>1855</v>
      </c>
      <c r="K1976" s="217">
        <v>17</v>
      </c>
      <c r="L1976" s="217">
        <v>89</v>
      </c>
      <c r="M1976" s="217" t="s">
        <v>31</v>
      </c>
      <c r="N1976" s="217" t="s">
        <v>32</v>
      </c>
      <c r="O1976" s="217" t="s">
        <v>141</v>
      </c>
      <c r="P1976" s="217" t="s">
        <v>142</v>
      </c>
      <c r="Q1976" s="217" t="s">
        <v>143</v>
      </c>
      <c r="R1976" s="217" t="s">
        <v>618</v>
      </c>
      <c r="S1976" s="217" t="s">
        <v>619</v>
      </c>
      <c r="T1976" s="217" t="s">
        <v>32</v>
      </c>
      <c r="U1976" s="217" t="s">
        <v>32</v>
      </c>
      <c r="V1976" s="217" t="s">
        <v>32</v>
      </c>
      <c r="W1976" s="217" t="s">
        <v>32</v>
      </c>
    </row>
    <row r="1977" spans="1:23" x14ac:dyDescent="0.25">
      <c r="A1977" s="217" t="s">
        <v>22</v>
      </c>
      <c r="B1977" s="217" t="s">
        <v>23</v>
      </c>
      <c r="C1977" s="217" t="s">
        <v>37</v>
      </c>
      <c r="D1977" s="217" t="s">
        <v>36</v>
      </c>
      <c r="E1977" s="217" t="s">
        <v>250</v>
      </c>
      <c r="F1977" s="217" t="s">
        <v>249</v>
      </c>
      <c r="G1977" s="217" t="s">
        <v>2053</v>
      </c>
      <c r="H1977" s="217" t="s">
        <v>2052</v>
      </c>
      <c r="I1977" s="217" t="s">
        <v>659</v>
      </c>
      <c r="J1977" s="217" t="s">
        <v>1856</v>
      </c>
      <c r="K1977" s="217">
        <v>12</v>
      </c>
      <c r="L1977" s="217">
        <v>61</v>
      </c>
      <c r="M1977" s="217" t="s">
        <v>31</v>
      </c>
      <c r="N1977" s="217" t="s">
        <v>32</v>
      </c>
      <c r="O1977" s="217" t="s">
        <v>141</v>
      </c>
      <c r="P1977" s="217" t="s">
        <v>142</v>
      </c>
      <c r="Q1977" s="217" t="s">
        <v>143</v>
      </c>
      <c r="R1977" s="217" t="s">
        <v>618</v>
      </c>
      <c r="S1977" s="217" t="s">
        <v>619</v>
      </c>
      <c r="T1977" s="217" t="s">
        <v>32</v>
      </c>
      <c r="U1977" s="217" t="s">
        <v>32</v>
      </c>
      <c r="V1977" s="217" t="s">
        <v>32</v>
      </c>
      <c r="W1977" s="217" t="s">
        <v>32</v>
      </c>
    </row>
    <row r="1978" spans="1:23" x14ac:dyDescent="0.25">
      <c r="A1978" s="217" t="s">
        <v>22</v>
      </c>
      <c r="B1978" s="217" t="s">
        <v>23</v>
      </c>
      <c r="C1978" s="217" t="s">
        <v>37</v>
      </c>
      <c r="D1978" s="217" t="s">
        <v>36</v>
      </c>
      <c r="E1978" s="217" t="s">
        <v>250</v>
      </c>
      <c r="F1978" s="217" t="s">
        <v>249</v>
      </c>
      <c r="G1978" s="217" t="s">
        <v>2053</v>
      </c>
      <c r="H1978" s="217" t="s">
        <v>2052</v>
      </c>
      <c r="I1978" s="217" t="s">
        <v>659</v>
      </c>
      <c r="J1978" s="217" t="s">
        <v>1857</v>
      </c>
      <c r="K1978" s="217">
        <v>3</v>
      </c>
      <c r="L1978" s="217">
        <v>17</v>
      </c>
      <c r="M1978" s="217" t="s">
        <v>31</v>
      </c>
      <c r="N1978" s="217" t="s">
        <v>32</v>
      </c>
      <c r="O1978" s="217" t="s">
        <v>141</v>
      </c>
      <c r="P1978" s="217" t="s">
        <v>142</v>
      </c>
      <c r="Q1978" s="217" t="s">
        <v>143</v>
      </c>
      <c r="R1978" s="217" t="s">
        <v>618</v>
      </c>
      <c r="S1978" s="217" t="s">
        <v>619</v>
      </c>
      <c r="T1978" s="217" t="s">
        <v>32</v>
      </c>
      <c r="U1978" s="217" t="s">
        <v>32</v>
      </c>
      <c r="V1978" s="217" t="s">
        <v>32</v>
      </c>
      <c r="W1978" s="217" t="s">
        <v>32</v>
      </c>
    </row>
    <row r="1979" spans="1:23" x14ac:dyDescent="0.25">
      <c r="A1979" s="217" t="s">
        <v>22</v>
      </c>
      <c r="B1979" s="217" t="s">
        <v>23</v>
      </c>
      <c r="C1979" s="217" t="s">
        <v>37</v>
      </c>
      <c r="D1979" s="217" t="s">
        <v>36</v>
      </c>
      <c r="E1979" s="217" t="s">
        <v>608</v>
      </c>
      <c r="F1979" s="217" t="s">
        <v>609</v>
      </c>
      <c r="G1979" s="217" t="s">
        <v>2144</v>
      </c>
      <c r="H1979" s="217" t="s">
        <v>1489</v>
      </c>
      <c r="I1979" s="217" t="s">
        <v>659</v>
      </c>
      <c r="J1979" s="217" t="s">
        <v>1855</v>
      </c>
      <c r="K1979" s="217">
        <v>6</v>
      </c>
      <c r="L1979" s="217">
        <v>30</v>
      </c>
      <c r="M1979" s="217" t="s">
        <v>31</v>
      </c>
      <c r="N1979" s="217" t="s">
        <v>32</v>
      </c>
      <c r="O1979" s="217" t="s">
        <v>668</v>
      </c>
      <c r="P1979" s="217" t="s">
        <v>34</v>
      </c>
      <c r="Q1979" s="217" t="s">
        <v>35</v>
      </c>
      <c r="R1979" s="217" t="s">
        <v>199</v>
      </c>
      <c r="S1979" s="217" t="s">
        <v>200</v>
      </c>
      <c r="T1979" s="217" t="s">
        <v>1848</v>
      </c>
      <c r="U1979" s="217" t="s">
        <v>1849</v>
      </c>
      <c r="V1979" s="217" t="s">
        <v>32</v>
      </c>
      <c r="W1979" s="217" t="s">
        <v>32</v>
      </c>
    </row>
    <row r="1980" spans="1:23" x14ac:dyDescent="0.25">
      <c r="A1980" s="217" t="s">
        <v>22</v>
      </c>
      <c r="B1980" s="217" t="s">
        <v>23</v>
      </c>
      <c r="C1980" s="217" t="s">
        <v>37</v>
      </c>
      <c r="D1980" s="217" t="s">
        <v>36</v>
      </c>
      <c r="E1980" s="217" t="s">
        <v>608</v>
      </c>
      <c r="F1980" s="217" t="s">
        <v>609</v>
      </c>
      <c r="G1980" s="217" t="s">
        <v>610</v>
      </c>
      <c r="H1980" s="217" t="s">
        <v>1490</v>
      </c>
      <c r="I1980" s="217" t="s">
        <v>659</v>
      </c>
      <c r="J1980" s="217" t="s">
        <v>1857</v>
      </c>
      <c r="K1980" s="217">
        <v>5</v>
      </c>
      <c r="L1980" s="217">
        <v>22</v>
      </c>
      <c r="M1980" s="217" t="s">
        <v>31</v>
      </c>
      <c r="N1980" s="217" t="s">
        <v>32</v>
      </c>
      <c r="O1980" s="217" t="s">
        <v>668</v>
      </c>
      <c r="P1980" s="217" t="s">
        <v>34</v>
      </c>
      <c r="Q1980" s="217" t="s">
        <v>35</v>
      </c>
      <c r="R1980" s="217" t="s">
        <v>199</v>
      </c>
      <c r="S1980" s="217" t="s">
        <v>200</v>
      </c>
      <c r="T1980" s="217" t="s">
        <v>1591</v>
      </c>
      <c r="U1980" s="217" t="s">
        <v>1592</v>
      </c>
      <c r="V1980" s="217" t="s">
        <v>32</v>
      </c>
      <c r="W1980" s="217" t="s">
        <v>32</v>
      </c>
    </row>
    <row r="1981" spans="1:23" x14ac:dyDescent="0.25">
      <c r="A1981" s="217" t="s">
        <v>22</v>
      </c>
      <c r="B1981" s="217" t="s">
        <v>23</v>
      </c>
      <c r="C1981" s="217" t="s">
        <v>37</v>
      </c>
      <c r="D1981" s="217" t="s">
        <v>36</v>
      </c>
      <c r="E1981" s="217" t="s">
        <v>608</v>
      </c>
      <c r="F1981" s="217" t="s">
        <v>609</v>
      </c>
      <c r="G1981" s="217" t="s">
        <v>612</v>
      </c>
      <c r="H1981" s="217" t="s">
        <v>1492</v>
      </c>
      <c r="I1981" s="217" t="s">
        <v>659</v>
      </c>
      <c r="J1981" s="217" t="s">
        <v>1857</v>
      </c>
      <c r="K1981" s="217">
        <v>3</v>
      </c>
      <c r="L1981" s="217">
        <v>14</v>
      </c>
      <c r="M1981" s="217" t="s">
        <v>31</v>
      </c>
      <c r="N1981" s="217" t="s">
        <v>32</v>
      </c>
      <c r="O1981" s="217" t="s">
        <v>668</v>
      </c>
      <c r="P1981" s="217" t="s">
        <v>34</v>
      </c>
      <c r="Q1981" s="217" t="s">
        <v>35</v>
      </c>
      <c r="R1981" s="217" t="s">
        <v>199</v>
      </c>
      <c r="S1981" s="217" t="s">
        <v>200</v>
      </c>
      <c r="T1981" s="217" t="s">
        <v>1591</v>
      </c>
      <c r="U1981" s="217" t="s">
        <v>1592</v>
      </c>
      <c r="V1981" s="217" t="s">
        <v>32</v>
      </c>
      <c r="W1981" s="217" t="s">
        <v>32</v>
      </c>
    </row>
    <row r="1982" spans="1:23" x14ac:dyDescent="0.25">
      <c r="A1982" s="217" t="s">
        <v>22</v>
      </c>
      <c r="B1982" s="217" t="s">
        <v>23</v>
      </c>
      <c r="C1982" s="217" t="s">
        <v>37</v>
      </c>
      <c r="D1982" s="217" t="s">
        <v>36</v>
      </c>
      <c r="E1982" s="217" t="s">
        <v>608</v>
      </c>
      <c r="F1982" s="217" t="s">
        <v>609</v>
      </c>
      <c r="G1982" s="217" t="s">
        <v>612</v>
      </c>
      <c r="H1982" s="217" t="s">
        <v>1492</v>
      </c>
      <c r="I1982" s="217" t="s">
        <v>659</v>
      </c>
      <c r="J1982" s="217" t="s">
        <v>1858</v>
      </c>
      <c r="K1982" s="217">
        <v>3</v>
      </c>
      <c r="L1982" s="217">
        <v>17</v>
      </c>
      <c r="M1982" s="217" t="s">
        <v>31</v>
      </c>
      <c r="N1982" s="217" t="s">
        <v>32</v>
      </c>
      <c r="O1982" s="217" t="s">
        <v>668</v>
      </c>
      <c r="P1982" s="217" t="s">
        <v>34</v>
      </c>
      <c r="Q1982" s="217" t="s">
        <v>35</v>
      </c>
      <c r="R1982" s="217" t="s">
        <v>23</v>
      </c>
      <c r="S1982" s="217" t="s">
        <v>22</v>
      </c>
      <c r="T1982" s="217" t="s">
        <v>36</v>
      </c>
      <c r="U1982" s="217" t="s">
        <v>37</v>
      </c>
      <c r="V1982" s="217" t="s">
        <v>32</v>
      </c>
      <c r="W1982" s="217" t="s">
        <v>32</v>
      </c>
    </row>
    <row r="1983" spans="1:23" x14ac:dyDescent="0.25">
      <c r="A1983" s="217" t="s">
        <v>22</v>
      </c>
      <c r="B1983" s="217" t="s">
        <v>23</v>
      </c>
      <c r="C1983" s="217" t="s">
        <v>37</v>
      </c>
      <c r="D1983" s="217" t="s">
        <v>36</v>
      </c>
      <c r="E1983" s="217" t="s">
        <v>608</v>
      </c>
      <c r="F1983" s="217" t="s">
        <v>609</v>
      </c>
      <c r="G1983" s="217" t="s">
        <v>613</v>
      </c>
      <c r="H1983" s="217" t="s">
        <v>1493</v>
      </c>
      <c r="I1983" s="217" t="s">
        <v>659</v>
      </c>
      <c r="J1983" s="217" t="s">
        <v>1857</v>
      </c>
      <c r="K1983" s="217">
        <v>4</v>
      </c>
      <c r="L1983" s="217">
        <v>17</v>
      </c>
      <c r="M1983" s="217" t="s">
        <v>31</v>
      </c>
      <c r="N1983" s="217" t="s">
        <v>32</v>
      </c>
      <c r="O1983" s="217" t="s">
        <v>668</v>
      </c>
      <c r="P1983" s="217" t="s">
        <v>34</v>
      </c>
      <c r="Q1983" s="217" t="s">
        <v>35</v>
      </c>
      <c r="R1983" s="217" t="s">
        <v>199</v>
      </c>
      <c r="S1983" s="217" t="s">
        <v>200</v>
      </c>
      <c r="T1983" s="217" t="s">
        <v>1591</v>
      </c>
      <c r="U1983" s="217" t="s">
        <v>1592</v>
      </c>
      <c r="V1983" s="217" t="s">
        <v>32</v>
      </c>
      <c r="W1983" s="217" t="s">
        <v>32</v>
      </c>
    </row>
    <row r="1984" spans="1:23" x14ac:dyDescent="0.25">
      <c r="A1984" s="217" t="s">
        <v>22</v>
      </c>
      <c r="B1984" s="217" t="s">
        <v>23</v>
      </c>
      <c r="C1984" s="217" t="s">
        <v>37</v>
      </c>
      <c r="D1984" s="217" t="s">
        <v>36</v>
      </c>
      <c r="E1984" s="217" t="s">
        <v>608</v>
      </c>
      <c r="F1984" s="217" t="s">
        <v>609</v>
      </c>
      <c r="G1984" s="217" t="s">
        <v>614</v>
      </c>
      <c r="H1984" s="217" t="s">
        <v>1494</v>
      </c>
      <c r="I1984" s="217" t="s">
        <v>659</v>
      </c>
      <c r="J1984" s="217" t="s">
        <v>1857</v>
      </c>
      <c r="K1984" s="217">
        <v>4</v>
      </c>
      <c r="L1984" s="217">
        <v>18</v>
      </c>
      <c r="M1984" s="217" t="s">
        <v>31</v>
      </c>
      <c r="N1984" s="217" t="s">
        <v>32</v>
      </c>
      <c r="O1984" s="217" t="s">
        <v>668</v>
      </c>
      <c r="P1984" s="217" t="s">
        <v>34</v>
      </c>
      <c r="Q1984" s="217" t="s">
        <v>35</v>
      </c>
      <c r="R1984" s="217" t="s">
        <v>23</v>
      </c>
      <c r="S1984" s="217" t="s">
        <v>22</v>
      </c>
      <c r="T1984" s="217" t="s">
        <v>36</v>
      </c>
      <c r="U1984" s="217" t="s">
        <v>37</v>
      </c>
      <c r="V1984" s="217" t="s">
        <v>32</v>
      </c>
      <c r="W1984" s="217" t="s">
        <v>32</v>
      </c>
    </row>
  </sheetData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48"/>
  <sheetViews>
    <sheetView tabSelected="1" zoomScale="70" zoomScaleNormal="70" workbookViewId="0">
      <selection activeCell="BX162" sqref="BX162"/>
    </sheetView>
  </sheetViews>
  <sheetFormatPr defaultColWidth="11.42578125" defaultRowHeight="15" x14ac:dyDescent="0.25"/>
  <cols>
    <col min="1" max="1" width="12.5703125" style="6" bestFit="1" customWidth="1"/>
    <col min="2" max="2" width="14.42578125" bestFit="1" customWidth="1"/>
    <col min="3" max="3" width="21.140625" bestFit="1" customWidth="1"/>
    <col min="4" max="4" width="35.85546875" bestFit="1" customWidth="1"/>
    <col min="5" max="5" width="35.42578125" bestFit="1" customWidth="1"/>
    <col min="6" max="6" width="35.85546875" bestFit="1" customWidth="1"/>
    <col min="7" max="7" width="35.42578125" bestFit="1" customWidth="1"/>
    <col min="8" max="8" width="22.5703125" bestFit="1" customWidth="1"/>
    <col min="9" max="9" width="37.140625" bestFit="1" customWidth="1"/>
    <col min="10" max="10" width="35.85546875" bestFit="1" customWidth="1"/>
    <col min="11" max="11" width="33.85546875" bestFit="1" customWidth="1"/>
    <col min="12" max="12" width="40" bestFit="1" customWidth="1"/>
    <col min="13" max="13" width="30.5703125" bestFit="1" customWidth="1"/>
    <col min="14" max="14" width="11.7109375" bestFit="1" customWidth="1"/>
    <col min="15" max="15" width="16" bestFit="1" customWidth="1"/>
    <col min="16" max="16" width="16.7109375" style="5" bestFit="1" customWidth="1"/>
    <col min="17" max="17" width="15.42578125" style="5" bestFit="1" customWidth="1"/>
    <col min="18" max="18" width="19.7109375" style="5" bestFit="1" customWidth="1"/>
    <col min="19" max="19" width="16.7109375" bestFit="1" customWidth="1"/>
    <col min="20" max="20" width="21" bestFit="1" customWidth="1"/>
    <col min="21" max="21" width="25.85546875" bestFit="1" customWidth="1"/>
    <col min="22" max="22" width="24.28515625" bestFit="1" customWidth="1"/>
    <col min="23" max="23" width="16" bestFit="1" customWidth="1"/>
    <col min="24" max="24" width="20.28515625" style="5" bestFit="1" customWidth="1"/>
    <col min="25" max="25" width="25.28515625" style="5" bestFit="1" customWidth="1"/>
    <col min="26" max="26" width="23.5703125" style="5" bestFit="1" customWidth="1"/>
    <col min="27" max="27" width="15.85546875" style="5" bestFit="1" customWidth="1"/>
    <col min="28" max="28" width="20.140625" style="5" bestFit="1" customWidth="1"/>
    <col min="29" max="29" width="15.28515625" style="5" bestFit="1" customWidth="1"/>
    <col min="30" max="30" width="19.5703125" style="5" bestFit="1" customWidth="1"/>
    <col min="31" max="31" width="18.28515625" style="5" bestFit="1" customWidth="1"/>
    <col min="32" max="32" width="15.7109375" style="5" bestFit="1" customWidth="1"/>
    <col min="33" max="33" width="16.28515625" style="5" bestFit="1" customWidth="1"/>
    <col min="34" max="34" width="27.7109375" style="5" bestFit="1" customWidth="1"/>
    <col min="35" max="35" width="32.140625" style="5" bestFit="1" customWidth="1"/>
    <col min="36" max="36" width="35.42578125" style="5" bestFit="1" customWidth="1"/>
    <col min="37" max="37" width="25" style="5" bestFit="1" customWidth="1"/>
    <col min="38" max="38" width="15" style="5" bestFit="1" customWidth="1"/>
    <col min="39" max="39" width="19.28515625" style="5" bestFit="1" customWidth="1"/>
    <col min="40" max="40" width="16.28515625" style="5" bestFit="1" customWidth="1"/>
    <col min="41" max="41" width="20.5703125" style="5" bestFit="1" customWidth="1"/>
    <col min="42" max="42" width="25.42578125" style="5" bestFit="1" customWidth="1"/>
    <col min="43" max="43" width="23.85546875" style="5" bestFit="1" customWidth="1"/>
    <col min="44" max="44" width="15.7109375" style="5" bestFit="1" customWidth="1"/>
    <col min="45" max="45" width="20" style="5" bestFit="1" customWidth="1"/>
    <col min="46" max="46" width="24.85546875" style="5" bestFit="1" customWidth="1"/>
    <col min="47" max="47" width="23.140625" style="5" bestFit="1" customWidth="1"/>
    <col min="48" max="48" width="15.42578125" style="5" bestFit="1" customWidth="1"/>
    <col min="49" max="49" width="19.7109375" style="5" bestFit="1" customWidth="1"/>
    <col min="50" max="50" width="14.85546875" style="5" bestFit="1" customWidth="1"/>
    <col min="51" max="52" width="19.140625" style="5" bestFit="1" customWidth="1"/>
    <col min="53" max="53" width="15.7109375" style="5" bestFit="1" customWidth="1"/>
    <col min="54" max="54" width="16.28515625" style="5" bestFit="1" customWidth="1"/>
    <col min="55" max="55" width="14.85546875" style="5" bestFit="1" customWidth="1"/>
    <col min="56" max="56" width="19.140625" style="5" bestFit="1" customWidth="1"/>
    <col min="57" max="57" width="15" style="5" bestFit="1" customWidth="1"/>
    <col min="58" max="58" width="19.28515625" style="5" bestFit="1" customWidth="1"/>
    <col min="59" max="59" width="16.28515625" style="5" bestFit="1" customWidth="1"/>
    <col min="60" max="60" width="20.5703125" style="5" bestFit="1" customWidth="1"/>
    <col min="61" max="61" width="25.42578125" style="5" bestFit="1" customWidth="1"/>
    <col min="62" max="62" width="23.85546875" style="5" bestFit="1" customWidth="1"/>
    <col min="63" max="63" width="15.7109375" style="5" bestFit="1" customWidth="1"/>
    <col min="64" max="64" width="20" style="5" bestFit="1" customWidth="1"/>
    <col min="65" max="65" width="24.85546875" style="5" bestFit="1" customWidth="1"/>
    <col min="66" max="66" width="23.140625" style="5" bestFit="1" customWidth="1"/>
    <col min="67" max="67" width="15.42578125" style="5" bestFit="1" customWidth="1"/>
    <col min="68" max="68" width="19.7109375" style="5" bestFit="1" customWidth="1"/>
    <col min="69" max="69" width="14.85546875" style="5" bestFit="1" customWidth="1"/>
    <col min="70" max="70" width="19.140625" style="5" bestFit="1" customWidth="1"/>
    <col min="71" max="71" width="28.140625" style="5" bestFit="1" customWidth="1"/>
    <col min="72" max="72" width="38.5703125" style="5" bestFit="1" customWidth="1"/>
    <col min="73" max="73" width="39.140625" style="5" bestFit="1" customWidth="1"/>
    <col min="74" max="74" width="24" style="5" bestFit="1" customWidth="1"/>
    <col min="75" max="75" width="22.5703125" style="5" bestFit="1" customWidth="1"/>
    <col min="76" max="76" width="23.42578125" style="5" bestFit="1" customWidth="1"/>
    <col min="77" max="77" width="18.140625" style="5" bestFit="1" customWidth="1"/>
    <col min="78" max="78" width="12.5703125" style="5" bestFit="1" customWidth="1"/>
    <col min="79" max="79" width="27.28515625" style="5" bestFit="1" customWidth="1"/>
    <col min="80" max="80" width="26.28515625" style="5" bestFit="1" customWidth="1"/>
    <col min="81" max="81" width="18.28515625" style="5" bestFit="1" customWidth="1"/>
    <col min="82" max="82" width="26" style="5" bestFit="1" customWidth="1"/>
    <col min="83" max="83" width="27.42578125" style="5" bestFit="1" customWidth="1"/>
    <col min="84" max="84" width="17.7109375" style="5" bestFit="1" customWidth="1"/>
    <col min="85" max="85" width="12.140625" hidden="1" customWidth="1"/>
    <col min="86" max="86" width="15.140625" bestFit="1" customWidth="1"/>
    <col min="87" max="87" width="13.42578125" bestFit="1" customWidth="1"/>
    <col min="88" max="88" width="14.140625" bestFit="1" customWidth="1"/>
    <col min="89" max="89" width="14" bestFit="1" customWidth="1"/>
    <col min="90" max="90" width="20.5703125" bestFit="1" customWidth="1"/>
    <col min="91" max="91" width="20.7109375" bestFit="1" customWidth="1"/>
    <col min="92" max="92" width="22.140625" bestFit="1" customWidth="1"/>
    <col min="93" max="93" width="25.5703125" bestFit="1" customWidth="1"/>
    <col min="94" max="94" width="15.7109375" bestFit="1" customWidth="1"/>
    <col min="95" max="95" width="19.140625" bestFit="1" customWidth="1"/>
    <col min="96" max="96" width="25.7109375" bestFit="1" customWidth="1"/>
    <col min="97" max="97" width="17.7109375" bestFit="1" customWidth="1"/>
    <col min="98" max="98" width="21.140625" bestFit="1" customWidth="1"/>
    <col min="99" max="99" width="16" bestFit="1" customWidth="1"/>
    <col min="100" max="100" width="19.42578125" bestFit="1" customWidth="1"/>
    <col min="101" max="101" width="15.7109375" bestFit="1" customWidth="1"/>
    <col min="102" max="102" width="19.140625" bestFit="1" customWidth="1"/>
    <col min="103" max="103" width="21.28515625" bestFit="1" customWidth="1"/>
  </cols>
  <sheetData>
    <row r="1" spans="1:86" s="23" customFormat="1" x14ac:dyDescent="0.25">
      <c r="A1" s="26" t="s">
        <v>1593</v>
      </c>
      <c r="B1" s="24" t="s">
        <v>1594</v>
      </c>
      <c r="C1" s="24" t="s">
        <v>1</v>
      </c>
      <c r="D1" s="24" t="s">
        <v>123</v>
      </c>
      <c r="E1" s="24" t="s">
        <v>122</v>
      </c>
      <c r="F1" s="24" t="s">
        <v>125</v>
      </c>
      <c r="G1" s="24" t="s">
        <v>124</v>
      </c>
      <c r="H1" s="24" t="s">
        <v>1595</v>
      </c>
      <c r="I1" s="24" t="s">
        <v>1596</v>
      </c>
      <c r="J1" s="24" t="s">
        <v>1597</v>
      </c>
      <c r="K1" s="24" t="s">
        <v>1598</v>
      </c>
      <c r="L1" s="24" t="s">
        <v>1599</v>
      </c>
      <c r="M1" s="24" t="s">
        <v>713</v>
      </c>
      <c r="N1" s="24" t="s">
        <v>29</v>
      </c>
      <c r="O1" s="24" t="s">
        <v>1600</v>
      </c>
      <c r="P1" s="24" t="s">
        <v>1601</v>
      </c>
      <c r="Q1" s="24" t="s">
        <v>1602</v>
      </c>
      <c r="R1" s="24" t="s">
        <v>1603</v>
      </c>
      <c r="S1" s="24" t="s">
        <v>1604</v>
      </c>
      <c r="T1" s="24" t="s">
        <v>1605</v>
      </c>
      <c r="U1" s="24" t="s">
        <v>1606</v>
      </c>
      <c r="V1" s="24" t="s">
        <v>1607</v>
      </c>
      <c r="W1" s="25" t="s">
        <v>1608</v>
      </c>
      <c r="X1" s="25" t="s">
        <v>1609</v>
      </c>
      <c r="Y1" s="25" t="s">
        <v>1610</v>
      </c>
      <c r="Z1" s="25" t="s">
        <v>1611</v>
      </c>
      <c r="AA1" s="25" t="s">
        <v>1612</v>
      </c>
      <c r="AB1" s="25" t="s">
        <v>1613</v>
      </c>
      <c r="AC1" s="25" t="s">
        <v>1614</v>
      </c>
      <c r="AD1" s="25" t="s">
        <v>1615</v>
      </c>
      <c r="AE1" s="25" t="s">
        <v>1616</v>
      </c>
      <c r="AF1" s="25" t="s">
        <v>1617</v>
      </c>
      <c r="AG1" s="25" t="s">
        <v>1618</v>
      </c>
      <c r="AH1" s="25" t="s">
        <v>1802</v>
      </c>
      <c r="AI1" s="25" t="s">
        <v>1803</v>
      </c>
      <c r="AJ1" s="25" t="s">
        <v>1804</v>
      </c>
      <c r="AK1" s="25" t="s">
        <v>1805</v>
      </c>
      <c r="AL1" s="25" t="s">
        <v>1619</v>
      </c>
      <c r="AM1" s="25" t="s">
        <v>1620</v>
      </c>
      <c r="AN1" s="25" t="s">
        <v>1621</v>
      </c>
      <c r="AO1" s="25" t="s">
        <v>1622</v>
      </c>
      <c r="AP1" s="25" t="s">
        <v>1623</v>
      </c>
      <c r="AQ1" s="25" t="s">
        <v>1624</v>
      </c>
      <c r="AR1" s="25" t="s">
        <v>1625</v>
      </c>
      <c r="AS1" s="25" t="s">
        <v>1626</v>
      </c>
      <c r="AT1" s="25" t="s">
        <v>1627</v>
      </c>
      <c r="AU1" s="25" t="s">
        <v>1628</v>
      </c>
      <c r="AV1" s="25" t="s">
        <v>1629</v>
      </c>
      <c r="AW1" s="25" t="s">
        <v>1630</v>
      </c>
      <c r="AX1" s="25" t="s">
        <v>1631</v>
      </c>
      <c r="AY1" s="25" t="s">
        <v>1632</v>
      </c>
      <c r="AZ1" s="25" t="s">
        <v>1633</v>
      </c>
      <c r="BA1" s="25" t="s">
        <v>1634</v>
      </c>
      <c r="BB1" s="25" t="s">
        <v>1635</v>
      </c>
      <c r="BC1" s="25" t="s">
        <v>1636</v>
      </c>
      <c r="BD1" s="25" t="s">
        <v>1637</v>
      </c>
      <c r="BE1" s="25" t="s">
        <v>1638</v>
      </c>
      <c r="BF1" s="25" t="s">
        <v>1639</v>
      </c>
      <c r="BG1" s="25" t="s">
        <v>1640</v>
      </c>
      <c r="BH1" s="25" t="s">
        <v>1641</v>
      </c>
      <c r="BI1" s="25" t="s">
        <v>1642</v>
      </c>
      <c r="BJ1" s="25" t="s">
        <v>1643</v>
      </c>
      <c r="BK1" s="25" t="s">
        <v>1644</v>
      </c>
      <c r="BL1" s="25" t="s">
        <v>1645</v>
      </c>
      <c r="BM1" s="25" t="s">
        <v>1646</v>
      </c>
      <c r="BN1" s="25" t="s">
        <v>1647</v>
      </c>
      <c r="BO1" s="25" t="s">
        <v>1648</v>
      </c>
      <c r="BP1" s="25" t="s">
        <v>1649</v>
      </c>
      <c r="BQ1" s="25" t="s">
        <v>1650</v>
      </c>
      <c r="BR1" s="25" t="s">
        <v>1651</v>
      </c>
      <c r="BS1" s="25" t="s">
        <v>1652</v>
      </c>
      <c r="BT1" s="25" t="s">
        <v>1653</v>
      </c>
      <c r="BU1" s="25" t="s">
        <v>1654</v>
      </c>
      <c r="BV1" s="25" t="s">
        <v>1655</v>
      </c>
      <c r="BW1" s="25" t="s">
        <v>1656</v>
      </c>
      <c r="BX1" s="25" t="s">
        <v>1657</v>
      </c>
      <c r="BY1" s="25" t="s">
        <v>1806</v>
      </c>
      <c r="BZ1" s="25" t="s">
        <v>1965</v>
      </c>
      <c r="CA1" s="25" t="s">
        <v>2131</v>
      </c>
      <c r="CB1" s="25" t="s">
        <v>2132</v>
      </c>
      <c r="CC1" s="25" t="s">
        <v>857</v>
      </c>
      <c r="CD1" s="25" t="s">
        <v>2133</v>
      </c>
      <c r="CE1" s="25" t="s">
        <v>2134</v>
      </c>
      <c r="CF1" s="25" t="s">
        <v>2135</v>
      </c>
      <c r="CG1"/>
      <c r="CH1"/>
    </row>
    <row r="2" spans="1:86" hidden="1" x14ac:dyDescent="0.25">
      <c r="A2" s="27">
        <v>265</v>
      </c>
      <c r="B2" s="2" t="s">
        <v>22</v>
      </c>
      <c r="C2" s="2" t="s">
        <v>23</v>
      </c>
      <c r="D2" s="2" t="s">
        <v>24</v>
      </c>
      <c r="E2" s="2" t="s">
        <v>25</v>
      </c>
      <c r="F2" s="2" t="s">
        <v>50</v>
      </c>
      <c r="G2" s="2" t="s">
        <v>51</v>
      </c>
      <c r="H2" s="2" t="s">
        <v>877</v>
      </c>
      <c r="I2" s="2" t="s">
        <v>55</v>
      </c>
      <c r="J2" s="2" t="s">
        <v>2230</v>
      </c>
      <c r="K2" s="2" t="s">
        <v>2231</v>
      </c>
      <c r="L2" s="2" t="s">
        <v>2074</v>
      </c>
      <c r="M2" s="2">
        <v>7000</v>
      </c>
      <c r="N2" s="2" t="s">
        <v>1658</v>
      </c>
      <c r="O2" s="2">
        <v>8</v>
      </c>
      <c r="P2" s="2">
        <v>79</v>
      </c>
      <c r="Q2" s="2" t="s">
        <v>32</v>
      </c>
      <c r="R2" s="2">
        <v>0</v>
      </c>
      <c r="S2" s="2" t="s">
        <v>1658</v>
      </c>
      <c r="T2" s="2">
        <v>8</v>
      </c>
      <c r="U2" s="2" t="s">
        <v>1661</v>
      </c>
      <c r="V2" s="2" t="s">
        <v>32</v>
      </c>
      <c r="W2" s="1" t="s">
        <v>1660</v>
      </c>
      <c r="X2" s="1">
        <v>0</v>
      </c>
      <c r="Y2" s="1" t="s">
        <v>32</v>
      </c>
      <c r="Z2" s="1" t="s">
        <v>32</v>
      </c>
      <c r="AA2" s="1" t="s">
        <v>1660</v>
      </c>
      <c r="AB2" s="1">
        <v>0</v>
      </c>
      <c r="AC2" s="1" t="s">
        <v>1660</v>
      </c>
      <c r="AD2" s="1">
        <v>0</v>
      </c>
      <c r="AE2" s="1" t="s">
        <v>1660</v>
      </c>
      <c r="AF2" s="1">
        <v>0</v>
      </c>
      <c r="AG2" s="1">
        <v>0</v>
      </c>
      <c r="AH2" s="1" t="s">
        <v>32</v>
      </c>
      <c r="AI2" s="1" t="s">
        <v>32</v>
      </c>
      <c r="AJ2" s="1" t="s">
        <v>32</v>
      </c>
      <c r="AK2" s="1" t="s">
        <v>32</v>
      </c>
      <c r="AL2" s="1" t="s">
        <v>32</v>
      </c>
      <c r="AM2" s="1">
        <v>0</v>
      </c>
      <c r="AN2" s="1" t="s">
        <v>32</v>
      </c>
      <c r="AO2" s="1">
        <v>0</v>
      </c>
      <c r="AP2" s="1" t="s">
        <v>32</v>
      </c>
      <c r="AQ2" s="1" t="s">
        <v>32</v>
      </c>
      <c r="AR2" s="1" t="s">
        <v>32</v>
      </c>
      <c r="AS2" s="1">
        <v>0</v>
      </c>
      <c r="AT2" s="1" t="s">
        <v>32</v>
      </c>
      <c r="AU2" s="1" t="s">
        <v>32</v>
      </c>
      <c r="AV2" s="1" t="s">
        <v>32</v>
      </c>
      <c r="AW2" s="1">
        <v>0</v>
      </c>
      <c r="AX2" s="1" t="s">
        <v>32</v>
      </c>
      <c r="AY2" s="1">
        <v>0</v>
      </c>
      <c r="AZ2" s="1" t="s">
        <v>1660</v>
      </c>
      <c r="BA2" s="1">
        <v>0</v>
      </c>
      <c r="BB2" s="1">
        <v>0</v>
      </c>
      <c r="BC2" s="1" t="s">
        <v>32</v>
      </c>
      <c r="BD2" s="1">
        <v>0</v>
      </c>
      <c r="BE2" s="1" t="s">
        <v>32</v>
      </c>
      <c r="BF2" s="1">
        <v>0</v>
      </c>
      <c r="BG2" s="1" t="s">
        <v>32</v>
      </c>
      <c r="BH2" s="1">
        <v>0</v>
      </c>
      <c r="BI2" s="1" t="s">
        <v>32</v>
      </c>
      <c r="BJ2" s="1" t="s">
        <v>32</v>
      </c>
      <c r="BK2" s="1" t="s">
        <v>32</v>
      </c>
      <c r="BL2" s="1">
        <v>0</v>
      </c>
      <c r="BM2" s="1" t="s">
        <v>32</v>
      </c>
      <c r="BN2" s="1" t="s">
        <v>32</v>
      </c>
      <c r="BO2" s="1" t="s">
        <v>32</v>
      </c>
      <c r="BP2" s="1">
        <v>0</v>
      </c>
      <c r="BQ2" s="1" t="s">
        <v>32</v>
      </c>
      <c r="BR2" s="1">
        <v>0</v>
      </c>
      <c r="BS2" s="1" t="s">
        <v>1660</v>
      </c>
      <c r="BT2" s="1">
        <v>0</v>
      </c>
      <c r="BU2" s="1">
        <v>0</v>
      </c>
      <c r="BV2" s="1" t="s">
        <v>1660</v>
      </c>
      <c r="BW2" s="1"/>
      <c r="BX2" s="1"/>
      <c r="BY2" s="1" t="s">
        <v>1807</v>
      </c>
      <c r="BZ2" s="2" t="b">
        <f>OR( (Dashboard[[#This Row],[ref_as_hh]]&gt;=1),(Dashboard[[#This Row],[ret_as_hh]] &gt;=1), (Dashboard[[#This Row],[idp_as_hh]]&gt;=1))</f>
        <v>0</v>
      </c>
      <c r="CA2" s="2">
        <f>Dashboard[[#This Row],[ret_hi_hh]]</f>
        <v>0</v>
      </c>
      <c r="CB2" s="2">
        <f>Dashboard[[#This Row],[idp_fa_hh]]+Dashboard[[#This Row],[ref_fa_hh]]+Dashboard[[#This Row],[ret_fa_hh]]</f>
        <v>0</v>
      </c>
      <c r="CC2" s="2">
        <f>Dashboard[[#This Row],[idp_loc_hh]]+Dashboard[[#This Row],[ref_loc_hh]]+Dashboard[[#This Row],[ret_loc_hh]]</f>
        <v>8</v>
      </c>
      <c r="CD2" s="2">
        <f>Dashboard[[#This Row],[idp_cc_hh]]+Dashboard[[#This Row],[ref_cc_hh]]+Dashboard[[#This Row],[ret_cc_hh]]</f>
        <v>0</v>
      </c>
      <c r="CE2" s="2">
        <f>Dashboard[[#This Row],[idp_as_hh]]+Dashboard[[#This Row],[ref_as_hh]]+Dashboard[[#This Row],[ret_as_hh]]</f>
        <v>0</v>
      </c>
      <c r="CF2" s="2">
        <f>Dashboard[[#This Row],[idp_al_hh]]+Dashboard[[#This Row],[ref_al_hh]]+Dashboard[[#This Row],[ret_al_hh]]</f>
        <v>0</v>
      </c>
    </row>
    <row r="3" spans="1:86" hidden="1" x14ac:dyDescent="0.25">
      <c r="A3" s="27">
        <v>310</v>
      </c>
      <c r="B3" s="2" t="s">
        <v>22</v>
      </c>
      <c r="C3" s="2" t="s">
        <v>23</v>
      </c>
      <c r="D3" s="2" t="s">
        <v>24</v>
      </c>
      <c r="E3" s="2" t="s">
        <v>25</v>
      </c>
      <c r="F3" s="2" t="s">
        <v>50</v>
      </c>
      <c r="G3" s="2" t="s">
        <v>51</v>
      </c>
      <c r="H3" s="2" t="s">
        <v>874</v>
      </c>
      <c r="I3" s="2" t="s">
        <v>52</v>
      </c>
      <c r="J3" s="2" t="s">
        <v>2224</v>
      </c>
      <c r="K3" s="2" t="s">
        <v>2225</v>
      </c>
      <c r="L3" s="2" t="s">
        <v>2074</v>
      </c>
      <c r="M3" s="2">
        <v>3357</v>
      </c>
      <c r="N3" s="2" t="s">
        <v>1658</v>
      </c>
      <c r="O3" s="2">
        <v>71</v>
      </c>
      <c r="P3" s="2">
        <v>378</v>
      </c>
      <c r="Q3" s="2" t="s">
        <v>1660</v>
      </c>
      <c r="R3" s="2">
        <v>0</v>
      </c>
      <c r="S3" s="2" t="s">
        <v>1658</v>
      </c>
      <c r="T3" s="2">
        <v>71</v>
      </c>
      <c r="U3" s="2" t="s">
        <v>1659</v>
      </c>
      <c r="V3" s="2" t="s">
        <v>32</v>
      </c>
      <c r="W3" s="1" t="s">
        <v>1660</v>
      </c>
      <c r="X3" s="1">
        <v>0</v>
      </c>
      <c r="Y3" s="1" t="s">
        <v>32</v>
      </c>
      <c r="Z3" s="1" t="s">
        <v>32</v>
      </c>
      <c r="AA3" s="1" t="s">
        <v>1660</v>
      </c>
      <c r="AB3" s="1">
        <v>0</v>
      </c>
      <c r="AC3" s="1" t="s">
        <v>1660</v>
      </c>
      <c r="AD3" s="1">
        <v>0</v>
      </c>
      <c r="AE3" s="1" t="s">
        <v>1660</v>
      </c>
      <c r="AF3" s="1">
        <v>0</v>
      </c>
      <c r="AG3" s="1">
        <v>0</v>
      </c>
      <c r="AH3" s="1" t="s">
        <v>32</v>
      </c>
      <c r="AI3" s="1" t="s">
        <v>32</v>
      </c>
      <c r="AJ3" s="1" t="s">
        <v>32</v>
      </c>
      <c r="AK3" s="1" t="s">
        <v>32</v>
      </c>
      <c r="AL3" s="1" t="s">
        <v>32</v>
      </c>
      <c r="AM3" s="1">
        <v>0</v>
      </c>
      <c r="AN3" s="1" t="s">
        <v>32</v>
      </c>
      <c r="AO3" s="1">
        <v>0</v>
      </c>
      <c r="AP3" s="1" t="s">
        <v>32</v>
      </c>
      <c r="AQ3" s="1" t="s">
        <v>32</v>
      </c>
      <c r="AR3" s="1" t="s">
        <v>32</v>
      </c>
      <c r="AS3" s="1">
        <v>0</v>
      </c>
      <c r="AT3" s="1" t="s">
        <v>32</v>
      </c>
      <c r="AU3" s="1" t="s">
        <v>32</v>
      </c>
      <c r="AV3" s="1" t="s">
        <v>32</v>
      </c>
      <c r="AW3" s="1">
        <v>0</v>
      </c>
      <c r="AX3" s="1" t="s">
        <v>32</v>
      </c>
      <c r="AY3" s="1">
        <v>0</v>
      </c>
      <c r="AZ3" s="1" t="s">
        <v>1660</v>
      </c>
      <c r="BA3" s="1">
        <v>0</v>
      </c>
      <c r="BB3" s="1">
        <v>0</v>
      </c>
      <c r="BC3" s="1" t="s">
        <v>32</v>
      </c>
      <c r="BD3" s="1">
        <v>0</v>
      </c>
      <c r="BE3" s="1" t="s">
        <v>32</v>
      </c>
      <c r="BF3" s="1">
        <v>0</v>
      </c>
      <c r="BG3" s="1" t="s">
        <v>32</v>
      </c>
      <c r="BH3" s="1">
        <v>0</v>
      </c>
      <c r="BI3" s="1" t="s">
        <v>32</v>
      </c>
      <c r="BJ3" s="1" t="s">
        <v>32</v>
      </c>
      <c r="BK3" s="1" t="s">
        <v>32</v>
      </c>
      <c r="BL3" s="1">
        <v>0</v>
      </c>
      <c r="BM3" s="1" t="s">
        <v>32</v>
      </c>
      <c r="BN3" s="1" t="s">
        <v>32</v>
      </c>
      <c r="BO3" s="1" t="s">
        <v>32</v>
      </c>
      <c r="BP3" s="1">
        <v>0</v>
      </c>
      <c r="BQ3" s="1" t="s">
        <v>32</v>
      </c>
      <c r="BR3" s="1">
        <v>0</v>
      </c>
      <c r="BS3" s="1" t="s">
        <v>1660</v>
      </c>
      <c r="BT3" s="1">
        <v>0</v>
      </c>
      <c r="BU3" s="1">
        <v>0</v>
      </c>
      <c r="BV3" s="1" t="s">
        <v>1660</v>
      </c>
      <c r="BW3" s="1"/>
      <c r="BX3" s="1"/>
      <c r="BY3" s="1" t="s">
        <v>1807</v>
      </c>
      <c r="BZ3" s="2" t="b">
        <f>OR( (Dashboard[[#This Row],[ref_as_hh]]&gt;=1),(Dashboard[[#This Row],[ret_as_hh]] &gt;=1), (Dashboard[[#This Row],[idp_as_hh]]&gt;=1))</f>
        <v>0</v>
      </c>
      <c r="CA3" s="2">
        <f>Dashboard[[#This Row],[ret_hi_hh]]</f>
        <v>0</v>
      </c>
      <c r="CB3" s="2">
        <f>Dashboard[[#This Row],[idp_fa_hh]]+Dashboard[[#This Row],[ref_fa_hh]]+Dashboard[[#This Row],[ret_fa_hh]]</f>
        <v>0</v>
      </c>
      <c r="CC3" s="2">
        <f>Dashboard[[#This Row],[idp_loc_hh]]+Dashboard[[#This Row],[ref_loc_hh]]+Dashboard[[#This Row],[ret_loc_hh]]</f>
        <v>71</v>
      </c>
      <c r="CD3" s="2">
        <f>Dashboard[[#This Row],[idp_cc_hh]]+Dashboard[[#This Row],[ref_cc_hh]]+Dashboard[[#This Row],[ret_cc_hh]]</f>
        <v>0</v>
      </c>
      <c r="CE3" s="2">
        <f>Dashboard[[#This Row],[idp_as_hh]]+Dashboard[[#This Row],[ref_as_hh]]+Dashboard[[#This Row],[ret_as_hh]]</f>
        <v>0</v>
      </c>
      <c r="CF3" s="2">
        <f>Dashboard[[#This Row],[idp_al_hh]]+Dashboard[[#This Row],[ref_al_hh]]+Dashboard[[#This Row],[ret_al_hh]]</f>
        <v>0</v>
      </c>
    </row>
    <row r="4" spans="1:86" hidden="1" x14ac:dyDescent="0.25">
      <c r="A4" s="27">
        <v>422</v>
      </c>
      <c r="B4" s="2" t="s">
        <v>22</v>
      </c>
      <c r="C4" s="2" t="s">
        <v>23</v>
      </c>
      <c r="D4" s="2" t="s">
        <v>24</v>
      </c>
      <c r="E4" s="2" t="s">
        <v>25</v>
      </c>
      <c r="F4" s="2" t="s">
        <v>50</v>
      </c>
      <c r="G4" s="2" t="s">
        <v>51</v>
      </c>
      <c r="H4" s="2" t="s">
        <v>875</v>
      </c>
      <c r="I4" s="2" t="s">
        <v>53</v>
      </c>
      <c r="J4" s="2" t="s">
        <v>2226</v>
      </c>
      <c r="K4" s="2" t="s">
        <v>2227</v>
      </c>
      <c r="L4" s="2" t="s">
        <v>2074</v>
      </c>
      <c r="M4" s="2">
        <v>12535</v>
      </c>
      <c r="N4" s="2" t="s">
        <v>1658</v>
      </c>
      <c r="O4" s="2">
        <v>131</v>
      </c>
      <c r="P4" s="2">
        <v>672</v>
      </c>
      <c r="Q4" s="2" t="s">
        <v>1660</v>
      </c>
      <c r="R4" s="2">
        <v>0</v>
      </c>
      <c r="S4" s="2" t="s">
        <v>1658</v>
      </c>
      <c r="T4" s="2">
        <v>131</v>
      </c>
      <c r="U4" s="2" t="s">
        <v>1659</v>
      </c>
      <c r="V4" s="2" t="s">
        <v>32</v>
      </c>
      <c r="W4" s="1" t="s">
        <v>1660</v>
      </c>
      <c r="X4" s="1">
        <v>0</v>
      </c>
      <c r="Y4" s="1" t="s">
        <v>32</v>
      </c>
      <c r="Z4" s="1" t="s">
        <v>32</v>
      </c>
      <c r="AA4" s="1" t="s">
        <v>1660</v>
      </c>
      <c r="AB4" s="1">
        <v>0</v>
      </c>
      <c r="AC4" s="1" t="s">
        <v>1660</v>
      </c>
      <c r="AD4" s="1">
        <v>0</v>
      </c>
      <c r="AE4" s="1" t="s">
        <v>1660</v>
      </c>
      <c r="AF4" s="1">
        <v>0</v>
      </c>
      <c r="AG4" s="1">
        <v>0</v>
      </c>
      <c r="AH4" s="1" t="s">
        <v>32</v>
      </c>
      <c r="AI4" s="1" t="s">
        <v>32</v>
      </c>
      <c r="AJ4" s="1" t="s">
        <v>32</v>
      </c>
      <c r="AK4" s="1" t="s">
        <v>32</v>
      </c>
      <c r="AL4" s="1" t="s">
        <v>32</v>
      </c>
      <c r="AM4" s="1">
        <v>0</v>
      </c>
      <c r="AN4" s="1" t="s">
        <v>32</v>
      </c>
      <c r="AO4" s="1">
        <v>0</v>
      </c>
      <c r="AP4" s="1" t="s">
        <v>32</v>
      </c>
      <c r="AQ4" s="1" t="s">
        <v>32</v>
      </c>
      <c r="AR4" s="1" t="s">
        <v>32</v>
      </c>
      <c r="AS4" s="1">
        <v>0</v>
      </c>
      <c r="AT4" s="1" t="s">
        <v>32</v>
      </c>
      <c r="AU4" s="1" t="s">
        <v>32</v>
      </c>
      <c r="AV4" s="1" t="s">
        <v>32</v>
      </c>
      <c r="AW4" s="1">
        <v>0</v>
      </c>
      <c r="AX4" s="1" t="s">
        <v>32</v>
      </c>
      <c r="AY4" s="1">
        <v>0</v>
      </c>
      <c r="AZ4" s="1" t="s">
        <v>1660</v>
      </c>
      <c r="BA4" s="1">
        <v>0</v>
      </c>
      <c r="BB4" s="1">
        <v>0</v>
      </c>
      <c r="BC4" s="1" t="s">
        <v>32</v>
      </c>
      <c r="BD4" s="1">
        <v>0</v>
      </c>
      <c r="BE4" s="1" t="s">
        <v>32</v>
      </c>
      <c r="BF4" s="1">
        <v>0</v>
      </c>
      <c r="BG4" s="1" t="s">
        <v>32</v>
      </c>
      <c r="BH4" s="1">
        <v>0</v>
      </c>
      <c r="BI4" s="1" t="s">
        <v>32</v>
      </c>
      <c r="BJ4" s="1" t="s">
        <v>32</v>
      </c>
      <c r="BK4" s="1" t="s">
        <v>32</v>
      </c>
      <c r="BL4" s="1">
        <v>0</v>
      </c>
      <c r="BM4" s="1" t="s">
        <v>32</v>
      </c>
      <c r="BN4" s="1" t="s">
        <v>32</v>
      </c>
      <c r="BO4" s="1" t="s">
        <v>32</v>
      </c>
      <c r="BP4" s="1">
        <v>0</v>
      </c>
      <c r="BQ4" s="1" t="s">
        <v>32</v>
      </c>
      <c r="BR4" s="1">
        <v>0</v>
      </c>
      <c r="BS4" s="1" t="s">
        <v>1658</v>
      </c>
      <c r="BT4" s="1">
        <v>2</v>
      </c>
      <c r="BU4" s="1">
        <v>8</v>
      </c>
      <c r="BV4" s="1" t="s">
        <v>1660</v>
      </c>
      <c r="BW4" s="1"/>
      <c r="BX4" s="1"/>
      <c r="BY4" s="1" t="s">
        <v>1807</v>
      </c>
      <c r="BZ4" s="2" t="b">
        <f>OR( (Dashboard[[#This Row],[ref_as_hh]]&gt;=1),(Dashboard[[#This Row],[ret_as_hh]] &gt;=1), (Dashboard[[#This Row],[idp_as_hh]]&gt;=1))</f>
        <v>0</v>
      </c>
      <c r="CA4" s="2">
        <f>Dashboard[[#This Row],[ret_hi_hh]]</f>
        <v>0</v>
      </c>
      <c r="CB4" s="2">
        <f>Dashboard[[#This Row],[idp_fa_hh]]+Dashboard[[#This Row],[ref_fa_hh]]+Dashboard[[#This Row],[ret_fa_hh]]</f>
        <v>0</v>
      </c>
      <c r="CC4" s="2">
        <f>Dashboard[[#This Row],[idp_loc_hh]]+Dashboard[[#This Row],[ref_loc_hh]]+Dashboard[[#This Row],[ret_loc_hh]]</f>
        <v>131</v>
      </c>
      <c r="CD4" s="2">
        <f>Dashboard[[#This Row],[idp_cc_hh]]+Dashboard[[#This Row],[ref_cc_hh]]+Dashboard[[#This Row],[ret_cc_hh]]</f>
        <v>0</v>
      </c>
      <c r="CE4" s="2">
        <f>Dashboard[[#This Row],[idp_as_hh]]+Dashboard[[#This Row],[ref_as_hh]]+Dashboard[[#This Row],[ret_as_hh]]</f>
        <v>0</v>
      </c>
      <c r="CF4" s="2">
        <f>Dashboard[[#This Row],[idp_al_hh]]+Dashboard[[#This Row],[ref_al_hh]]+Dashboard[[#This Row],[ret_al_hh]]</f>
        <v>0</v>
      </c>
    </row>
    <row r="5" spans="1:86" hidden="1" x14ac:dyDescent="0.25">
      <c r="A5" s="27">
        <v>500</v>
      </c>
      <c r="B5" s="2" t="s">
        <v>22</v>
      </c>
      <c r="C5" s="2" t="s">
        <v>23</v>
      </c>
      <c r="D5" s="2" t="s">
        <v>24</v>
      </c>
      <c r="E5" s="2" t="s">
        <v>25</v>
      </c>
      <c r="F5" s="2" t="s">
        <v>50</v>
      </c>
      <c r="G5" s="2" t="s">
        <v>51</v>
      </c>
      <c r="H5" s="2" t="s">
        <v>876</v>
      </c>
      <c r="I5" s="2" t="s">
        <v>54</v>
      </c>
      <c r="J5" s="2" t="s">
        <v>2228</v>
      </c>
      <c r="K5" s="2" t="s">
        <v>2229</v>
      </c>
      <c r="L5" s="2" t="s">
        <v>2074</v>
      </c>
      <c r="M5" s="2">
        <v>7050</v>
      </c>
      <c r="N5" s="2" t="s">
        <v>1658</v>
      </c>
      <c r="O5" s="2">
        <v>195</v>
      </c>
      <c r="P5" s="2">
        <v>1110</v>
      </c>
      <c r="Q5" s="2" t="s">
        <v>1660</v>
      </c>
      <c r="R5" s="2">
        <v>0</v>
      </c>
      <c r="S5" s="2" t="s">
        <v>1658</v>
      </c>
      <c r="T5" s="2">
        <v>195</v>
      </c>
      <c r="U5" s="2" t="s">
        <v>1661</v>
      </c>
      <c r="V5" s="2" t="s">
        <v>32</v>
      </c>
      <c r="W5" s="1" t="s">
        <v>1660</v>
      </c>
      <c r="X5" s="1">
        <v>0</v>
      </c>
      <c r="Y5" s="1" t="s">
        <v>32</v>
      </c>
      <c r="Z5" s="1" t="s">
        <v>32</v>
      </c>
      <c r="AA5" s="1" t="s">
        <v>1660</v>
      </c>
      <c r="AB5" s="1">
        <v>0</v>
      </c>
      <c r="AC5" s="1" t="s">
        <v>1660</v>
      </c>
      <c r="AD5" s="1">
        <v>0</v>
      </c>
      <c r="AE5" s="1" t="s">
        <v>1660</v>
      </c>
      <c r="AF5" s="1">
        <v>0</v>
      </c>
      <c r="AG5" s="1">
        <v>0</v>
      </c>
      <c r="AH5" s="1" t="s">
        <v>32</v>
      </c>
      <c r="AI5" s="1" t="s">
        <v>32</v>
      </c>
      <c r="AJ5" s="1" t="s">
        <v>32</v>
      </c>
      <c r="AK5" s="1" t="s">
        <v>32</v>
      </c>
      <c r="AL5" s="1" t="s">
        <v>32</v>
      </c>
      <c r="AM5" s="1">
        <v>0</v>
      </c>
      <c r="AN5" s="1" t="s">
        <v>32</v>
      </c>
      <c r="AO5" s="1">
        <v>0</v>
      </c>
      <c r="AP5" s="1" t="s">
        <v>32</v>
      </c>
      <c r="AQ5" s="1" t="s">
        <v>32</v>
      </c>
      <c r="AR5" s="1" t="s">
        <v>32</v>
      </c>
      <c r="AS5" s="1">
        <v>0</v>
      </c>
      <c r="AT5" s="1" t="s">
        <v>32</v>
      </c>
      <c r="AU5" s="1" t="s">
        <v>32</v>
      </c>
      <c r="AV5" s="1" t="s">
        <v>32</v>
      </c>
      <c r="AW5" s="1">
        <v>0</v>
      </c>
      <c r="AX5" s="1" t="s">
        <v>32</v>
      </c>
      <c r="AY5" s="1">
        <v>0</v>
      </c>
      <c r="AZ5" s="1" t="s">
        <v>1660</v>
      </c>
      <c r="BA5" s="1">
        <v>0</v>
      </c>
      <c r="BB5" s="1">
        <v>0</v>
      </c>
      <c r="BC5" s="1" t="s">
        <v>32</v>
      </c>
      <c r="BD5" s="1">
        <v>0</v>
      </c>
      <c r="BE5" s="1" t="s">
        <v>32</v>
      </c>
      <c r="BF5" s="1">
        <v>0</v>
      </c>
      <c r="BG5" s="1" t="s">
        <v>32</v>
      </c>
      <c r="BH5" s="1">
        <v>0</v>
      </c>
      <c r="BI5" s="1" t="s">
        <v>32</v>
      </c>
      <c r="BJ5" s="1" t="s">
        <v>32</v>
      </c>
      <c r="BK5" s="1" t="s">
        <v>32</v>
      </c>
      <c r="BL5" s="1">
        <v>0</v>
      </c>
      <c r="BM5" s="1" t="s">
        <v>32</v>
      </c>
      <c r="BN5" s="1" t="s">
        <v>32</v>
      </c>
      <c r="BO5" s="1" t="s">
        <v>32</v>
      </c>
      <c r="BP5" s="1">
        <v>0</v>
      </c>
      <c r="BQ5" s="1" t="s">
        <v>32</v>
      </c>
      <c r="BR5" s="1">
        <v>0</v>
      </c>
      <c r="BS5" s="1" t="s">
        <v>1660</v>
      </c>
      <c r="BT5" s="1">
        <v>0</v>
      </c>
      <c r="BU5" s="1">
        <v>0</v>
      </c>
      <c r="BV5" s="1" t="s">
        <v>1660</v>
      </c>
      <c r="BW5" s="1"/>
      <c r="BX5" s="1"/>
      <c r="BY5" s="1" t="s">
        <v>1807</v>
      </c>
      <c r="BZ5" s="2" t="b">
        <f>OR( (Dashboard[[#This Row],[ref_as_hh]]&gt;=1),(Dashboard[[#This Row],[ret_as_hh]] &gt;=1), (Dashboard[[#This Row],[idp_as_hh]]&gt;=1))</f>
        <v>0</v>
      </c>
      <c r="CA5" s="2">
        <f>Dashboard[[#This Row],[ret_hi_hh]]</f>
        <v>0</v>
      </c>
      <c r="CB5" s="2">
        <f>Dashboard[[#This Row],[idp_fa_hh]]+Dashboard[[#This Row],[ref_fa_hh]]+Dashboard[[#This Row],[ret_fa_hh]]</f>
        <v>0</v>
      </c>
      <c r="CC5" s="2">
        <f>Dashboard[[#This Row],[idp_loc_hh]]+Dashboard[[#This Row],[ref_loc_hh]]+Dashboard[[#This Row],[ret_loc_hh]]</f>
        <v>195</v>
      </c>
      <c r="CD5" s="2">
        <f>Dashboard[[#This Row],[idp_cc_hh]]+Dashboard[[#This Row],[ref_cc_hh]]+Dashboard[[#This Row],[ret_cc_hh]]</f>
        <v>0</v>
      </c>
      <c r="CE5" s="2">
        <f>Dashboard[[#This Row],[idp_as_hh]]+Dashboard[[#This Row],[ref_as_hh]]+Dashboard[[#This Row],[ret_as_hh]]</f>
        <v>0</v>
      </c>
      <c r="CF5" s="2">
        <f>Dashboard[[#This Row],[idp_al_hh]]+Dashboard[[#This Row],[ref_al_hh]]+Dashboard[[#This Row],[ret_al_hh]]</f>
        <v>0</v>
      </c>
    </row>
    <row r="6" spans="1:86" hidden="1" x14ac:dyDescent="0.25">
      <c r="A6" s="27">
        <v>23</v>
      </c>
      <c r="B6" s="2" t="s">
        <v>22</v>
      </c>
      <c r="C6" s="2" t="s">
        <v>23</v>
      </c>
      <c r="D6" s="2" t="s">
        <v>24</v>
      </c>
      <c r="E6" s="2" t="s">
        <v>25</v>
      </c>
      <c r="F6" s="2" t="s">
        <v>44</v>
      </c>
      <c r="G6" s="2" t="s">
        <v>45</v>
      </c>
      <c r="H6" s="2" t="s">
        <v>872</v>
      </c>
      <c r="I6" s="2" t="s">
        <v>46</v>
      </c>
      <c r="J6" s="2" t="s">
        <v>2220</v>
      </c>
      <c r="K6" s="2" t="s">
        <v>2221</v>
      </c>
      <c r="L6" s="2" t="s">
        <v>2074</v>
      </c>
      <c r="M6" s="2">
        <v>23586</v>
      </c>
      <c r="N6" s="2" t="s">
        <v>1658</v>
      </c>
      <c r="O6" s="2">
        <v>50</v>
      </c>
      <c r="P6" s="2">
        <v>350</v>
      </c>
      <c r="Q6" s="2" t="s">
        <v>1660</v>
      </c>
      <c r="R6" s="2">
        <v>0</v>
      </c>
      <c r="S6" s="2" t="s">
        <v>1658</v>
      </c>
      <c r="T6" s="2">
        <v>50</v>
      </c>
      <c r="U6" s="2" t="s">
        <v>1659</v>
      </c>
      <c r="V6" s="2" t="s">
        <v>32</v>
      </c>
      <c r="W6" s="1" t="s">
        <v>1660</v>
      </c>
      <c r="X6" s="1">
        <v>0</v>
      </c>
      <c r="Y6" s="1" t="s">
        <v>32</v>
      </c>
      <c r="Z6" s="1" t="s">
        <v>32</v>
      </c>
      <c r="AA6" s="1" t="s">
        <v>1660</v>
      </c>
      <c r="AB6" s="1">
        <v>0</v>
      </c>
      <c r="AC6" s="1" t="s">
        <v>1660</v>
      </c>
      <c r="AD6" s="1">
        <v>0</v>
      </c>
      <c r="AE6" s="1" t="s">
        <v>1660</v>
      </c>
      <c r="AF6" s="1">
        <v>0</v>
      </c>
      <c r="AG6" s="1">
        <v>0</v>
      </c>
      <c r="AH6" s="1" t="s">
        <v>32</v>
      </c>
      <c r="AI6" s="1" t="s">
        <v>32</v>
      </c>
      <c r="AJ6" s="1" t="s">
        <v>32</v>
      </c>
      <c r="AK6" s="1" t="s">
        <v>32</v>
      </c>
      <c r="AL6" s="1" t="s">
        <v>32</v>
      </c>
      <c r="AM6" s="1">
        <v>0</v>
      </c>
      <c r="AN6" s="1" t="s">
        <v>32</v>
      </c>
      <c r="AO6" s="1">
        <v>0</v>
      </c>
      <c r="AP6" s="1" t="s">
        <v>32</v>
      </c>
      <c r="AQ6" s="1" t="s">
        <v>32</v>
      </c>
      <c r="AR6" s="1" t="s">
        <v>32</v>
      </c>
      <c r="AS6" s="1">
        <v>0</v>
      </c>
      <c r="AT6" s="1" t="s">
        <v>32</v>
      </c>
      <c r="AU6" s="1" t="s">
        <v>32</v>
      </c>
      <c r="AV6" s="1" t="s">
        <v>32</v>
      </c>
      <c r="AW6" s="1">
        <v>0</v>
      </c>
      <c r="AX6" s="1" t="s">
        <v>32</v>
      </c>
      <c r="AY6" s="1">
        <v>0</v>
      </c>
      <c r="AZ6" s="1" t="s">
        <v>1660</v>
      </c>
      <c r="BA6" s="1">
        <v>0</v>
      </c>
      <c r="BB6" s="1">
        <v>0</v>
      </c>
      <c r="BC6" s="1" t="s">
        <v>32</v>
      </c>
      <c r="BD6" s="1">
        <v>0</v>
      </c>
      <c r="BE6" s="1" t="s">
        <v>32</v>
      </c>
      <c r="BF6" s="1">
        <v>0</v>
      </c>
      <c r="BG6" s="1" t="s">
        <v>32</v>
      </c>
      <c r="BH6" s="1">
        <v>0</v>
      </c>
      <c r="BI6" s="1" t="s">
        <v>32</v>
      </c>
      <c r="BJ6" s="1" t="s">
        <v>32</v>
      </c>
      <c r="BK6" s="1" t="s">
        <v>32</v>
      </c>
      <c r="BL6" s="1">
        <v>0</v>
      </c>
      <c r="BM6" s="1" t="s">
        <v>32</v>
      </c>
      <c r="BN6" s="1" t="s">
        <v>32</v>
      </c>
      <c r="BO6" s="1" t="s">
        <v>32</v>
      </c>
      <c r="BP6" s="1">
        <v>0</v>
      </c>
      <c r="BQ6" s="1" t="s">
        <v>32</v>
      </c>
      <c r="BR6" s="1">
        <v>0</v>
      </c>
      <c r="BS6" s="1" t="s">
        <v>1660</v>
      </c>
      <c r="BT6" s="1">
        <v>0</v>
      </c>
      <c r="BU6" s="1">
        <v>0</v>
      </c>
      <c r="BV6" s="1" t="s">
        <v>1660</v>
      </c>
      <c r="BW6" s="1"/>
      <c r="BX6" s="1"/>
      <c r="BY6" s="1" t="s">
        <v>1807</v>
      </c>
      <c r="BZ6" s="2" t="b">
        <f>OR( (Dashboard[[#This Row],[ref_as_hh]]&gt;=1),(Dashboard[[#This Row],[ret_as_hh]] &gt;=1), (Dashboard[[#This Row],[idp_as_hh]]&gt;=1))</f>
        <v>0</v>
      </c>
      <c r="CA6" s="2">
        <f>Dashboard[[#This Row],[ret_hi_hh]]</f>
        <v>0</v>
      </c>
      <c r="CB6" s="2">
        <f>Dashboard[[#This Row],[idp_fa_hh]]+Dashboard[[#This Row],[ref_fa_hh]]+Dashboard[[#This Row],[ret_fa_hh]]</f>
        <v>0</v>
      </c>
      <c r="CC6" s="2">
        <f>Dashboard[[#This Row],[idp_loc_hh]]+Dashboard[[#This Row],[ref_loc_hh]]+Dashboard[[#This Row],[ret_loc_hh]]</f>
        <v>50</v>
      </c>
      <c r="CD6" s="2">
        <f>Dashboard[[#This Row],[idp_cc_hh]]+Dashboard[[#This Row],[ref_cc_hh]]+Dashboard[[#This Row],[ret_cc_hh]]</f>
        <v>0</v>
      </c>
      <c r="CE6" s="2">
        <f>Dashboard[[#This Row],[idp_as_hh]]+Dashboard[[#This Row],[ref_as_hh]]+Dashboard[[#This Row],[ret_as_hh]]</f>
        <v>0</v>
      </c>
      <c r="CF6" s="2">
        <f>Dashboard[[#This Row],[idp_al_hh]]+Dashboard[[#This Row],[ref_al_hh]]+Dashboard[[#This Row],[ret_al_hh]]</f>
        <v>0</v>
      </c>
    </row>
    <row r="7" spans="1:86" hidden="1" x14ac:dyDescent="0.25">
      <c r="A7" s="27">
        <v>191</v>
      </c>
      <c r="B7" s="2" t="s">
        <v>22</v>
      </c>
      <c r="C7" s="2" t="s">
        <v>23</v>
      </c>
      <c r="D7" s="2" t="s">
        <v>24</v>
      </c>
      <c r="E7" s="2" t="s">
        <v>25</v>
      </c>
      <c r="F7" s="2" t="s">
        <v>44</v>
      </c>
      <c r="G7" s="2" t="s">
        <v>45</v>
      </c>
      <c r="H7" s="2" t="s">
        <v>873</v>
      </c>
      <c r="I7" s="2" t="s">
        <v>49</v>
      </c>
      <c r="J7" s="2" t="s">
        <v>2222</v>
      </c>
      <c r="K7" s="2" t="s">
        <v>2223</v>
      </c>
      <c r="L7" s="2" t="s">
        <v>2074</v>
      </c>
      <c r="M7" s="2">
        <v>39875</v>
      </c>
      <c r="N7" s="2" t="s">
        <v>1658</v>
      </c>
      <c r="O7" s="2">
        <v>66</v>
      </c>
      <c r="P7" s="2">
        <v>391</v>
      </c>
      <c r="Q7" s="2" t="s">
        <v>1660</v>
      </c>
      <c r="R7" s="2">
        <v>0</v>
      </c>
      <c r="S7" s="2" t="s">
        <v>1658</v>
      </c>
      <c r="T7" s="2">
        <v>66</v>
      </c>
      <c r="U7" s="2" t="s">
        <v>1659</v>
      </c>
      <c r="V7" s="2" t="s">
        <v>32</v>
      </c>
      <c r="W7" s="1" t="s">
        <v>1660</v>
      </c>
      <c r="X7" s="1">
        <v>0</v>
      </c>
      <c r="Y7" s="1" t="s">
        <v>32</v>
      </c>
      <c r="Z7" s="1" t="s">
        <v>32</v>
      </c>
      <c r="AA7" s="1" t="s">
        <v>1660</v>
      </c>
      <c r="AB7" s="1">
        <v>0</v>
      </c>
      <c r="AC7" s="1" t="s">
        <v>1660</v>
      </c>
      <c r="AD7" s="1">
        <v>0</v>
      </c>
      <c r="AE7" s="1" t="s">
        <v>1660</v>
      </c>
      <c r="AF7" s="1">
        <v>0</v>
      </c>
      <c r="AG7" s="1">
        <v>0</v>
      </c>
      <c r="AH7" s="1" t="s">
        <v>32</v>
      </c>
      <c r="AI7" s="1" t="s">
        <v>32</v>
      </c>
      <c r="AJ7" s="1" t="s">
        <v>32</v>
      </c>
      <c r="AK7" s="1" t="s">
        <v>32</v>
      </c>
      <c r="AL7" s="1" t="s">
        <v>32</v>
      </c>
      <c r="AM7" s="1">
        <v>0</v>
      </c>
      <c r="AN7" s="1" t="s">
        <v>32</v>
      </c>
      <c r="AO7" s="1">
        <v>0</v>
      </c>
      <c r="AP7" s="1" t="s">
        <v>32</v>
      </c>
      <c r="AQ7" s="1" t="s">
        <v>32</v>
      </c>
      <c r="AR7" s="1" t="s">
        <v>32</v>
      </c>
      <c r="AS7" s="1">
        <v>0</v>
      </c>
      <c r="AT7" s="1" t="s">
        <v>32</v>
      </c>
      <c r="AU7" s="1" t="s">
        <v>32</v>
      </c>
      <c r="AV7" s="1" t="s">
        <v>32</v>
      </c>
      <c r="AW7" s="1">
        <v>0</v>
      </c>
      <c r="AX7" s="1" t="s">
        <v>32</v>
      </c>
      <c r="AY7" s="1">
        <v>0</v>
      </c>
      <c r="AZ7" s="1" t="s">
        <v>1660</v>
      </c>
      <c r="BA7" s="1">
        <v>0</v>
      </c>
      <c r="BB7" s="1">
        <v>0</v>
      </c>
      <c r="BC7" s="1" t="s">
        <v>32</v>
      </c>
      <c r="BD7" s="1">
        <v>0</v>
      </c>
      <c r="BE7" s="1" t="s">
        <v>32</v>
      </c>
      <c r="BF7" s="1">
        <v>0</v>
      </c>
      <c r="BG7" s="1" t="s">
        <v>32</v>
      </c>
      <c r="BH7" s="1">
        <v>0</v>
      </c>
      <c r="BI7" s="1" t="s">
        <v>32</v>
      </c>
      <c r="BJ7" s="1" t="s">
        <v>32</v>
      </c>
      <c r="BK7" s="1" t="s">
        <v>32</v>
      </c>
      <c r="BL7" s="1">
        <v>0</v>
      </c>
      <c r="BM7" s="1" t="s">
        <v>32</v>
      </c>
      <c r="BN7" s="1" t="s">
        <v>32</v>
      </c>
      <c r="BO7" s="1" t="s">
        <v>32</v>
      </c>
      <c r="BP7" s="1">
        <v>0</v>
      </c>
      <c r="BQ7" s="1" t="s">
        <v>32</v>
      </c>
      <c r="BR7" s="1">
        <v>0</v>
      </c>
      <c r="BS7" s="1" t="s">
        <v>1660</v>
      </c>
      <c r="BT7" s="1">
        <v>0</v>
      </c>
      <c r="BU7" s="1">
        <v>0</v>
      </c>
      <c r="BV7" s="1" t="s">
        <v>1660</v>
      </c>
      <c r="BW7" s="1"/>
      <c r="BX7" s="1"/>
      <c r="BY7" s="1" t="s">
        <v>1807</v>
      </c>
      <c r="BZ7" s="2" t="b">
        <f>OR( (Dashboard[[#This Row],[ref_as_hh]]&gt;=1),(Dashboard[[#This Row],[ret_as_hh]] &gt;=1), (Dashboard[[#This Row],[idp_as_hh]]&gt;=1))</f>
        <v>0</v>
      </c>
      <c r="CA7" s="2">
        <f>Dashboard[[#This Row],[ret_hi_hh]]</f>
        <v>0</v>
      </c>
      <c r="CB7" s="2">
        <f>Dashboard[[#This Row],[idp_fa_hh]]+Dashboard[[#This Row],[ref_fa_hh]]+Dashboard[[#This Row],[ret_fa_hh]]</f>
        <v>0</v>
      </c>
      <c r="CC7" s="2">
        <f>Dashboard[[#This Row],[idp_loc_hh]]+Dashboard[[#This Row],[ref_loc_hh]]+Dashboard[[#This Row],[ret_loc_hh]]</f>
        <v>66</v>
      </c>
      <c r="CD7" s="2">
        <f>Dashboard[[#This Row],[idp_cc_hh]]+Dashboard[[#This Row],[ref_cc_hh]]+Dashboard[[#This Row],[ret_cc_hh]]</f>
        <v>0</v>
      </c>
      <c r="CE7" s="2">
        <f>Dashboard[[#This Row],[idp_as_hh]]+Dashboard[[#This Row],[ref_as_hh]]+Dashboard[[#This Row],[ret_as_hh]]</f>
        <v>0</v>
      </c>
      <c r="CF7" s="2">
        <f>Dashboard[[#This Row],[idp_al_hh]]+Dashboard[[#This Row],[ref_al_hh]]+Dashboard[[#This Row],[ret_al_hh]]</f>
        <v>0</v>
      </c>
    </row>
    <row r="8" spans="1:86" hidden="1" x14ac:dyDescent="0.25">
      <c r="A8" s="27">
        <v>259</v>
      </c>
      <c r="B8" s="2" t="s">
        <v>22</v>
      </c>
      <c r="C8" s="2" t="s">
        <v>23</v>
      </c>
      <c r="D8" s="2" t="s">
        <v>24</v>
      </c>
      <c r="E8" s="2" t="s">
        <v>25</v>
      </c>
      <c r="F8" s="2" t="s">
        <v>56</v>
      </c>
      <c r="G8" s="2" t="s">
        <v>57</v>
      </c>
      <c r="H8" s="2" t="s">
        <v>904</v>
      </c>
      <c r="I8" s="2" t="s">
        <v>620</v>
      </c>
      <c r="J8" s="2" t="s">
        <v>2286</v>
      </c>
      <c r="K8" s="2" t="s">
        <v>2287</v>
      </c>
      <c r="L8" s="2" t="s">
        <v>2074</v>
      </c>
      <c r="M8" s="2">
        <v>700</v>
      </c>
      <c r="N8" s="2" t="s">
        <v>1660</v>
      </c>
      <c r="O8" s="2">
        <v>0</v>
      </c>
      <c r="P8" s="2">
        <v>0</v>
      </c>
      <c r="Q8" s="2" t="s">
        <v>32</v>
      </c>
      <c r="R8" s="2">
        <v>0</v>
      </c>
      <c r="S8" s="2" t="s">
        <v>32</v>
      </c>
      <c r="T8" s="2">
        <v>0</v>
      </c>
      <c r="U8" s="2" t="s">
        <v>32</v>
      </c>
      <c r="V8" s="2" t="s">
        <v>32</v>
      </c>
      <c r="W8" s="1" t="s">
        <v>32</v>
      </c>
      <c r="X8" s="1">
        <v>0</v>
      </c>
      <c r="Y8" s="1" t="s">
        <v>32</v>
      </c>
      <c r="Z8" s="1" t="s">
        <v>32</v>
      </c>
      <c r="AA8" s="1" t="s">
        <v>32</v>
      </c>
      <c r="AB8" s="1">
        <v>0</v>
      </c>
      <c r="AC8" s="1" t="s">
        <v>32</v>
      </c>
      <c r="AD8" s="1">
        <v>0</v>
      </c>
      <c r="AE8" s="1" t="s">
        <v>1660</v>
      </c>
      <c r="AF8" s="1">
        <v>0</v>
      </c>
      <c r="AG8" s="1">
        <v>0</v>
      </c>
      <c r="AH8" s="1" t="s">
        <v>32</v>
      </c>
      <c r="AI8" s="1" t="s">
        <v>32</v>
      </c>
      <c r="AJ8" s="1" t="s">
        <v>32</v>
      </c>
      <c r="AK8" s="1" t="s">
        <v>32</v>
      </c>
      <c r="AL8" s="1" t="s">
        <v>32</v>
      </c>
      <c r="AM8" s="1">
        <v>0</v>
      </c>
      <c r="AN8" s="1" t="s">
        <v>32</v>
      </c>
      <c r="AO8" s="1">
        <v>0</v>
      </c>
      <c r="AP8" s="1" t="s">
        <v>32</v>
      </c>
      <c r="AQ8" s="1" t="s">
        <v>32</v>
      </c>
      <c r="AR8" s="1" t="s">
        <v>32</v>
      </c>
      <c r="AS8" s="1">
        <v>0</v>
      </c>
      <c r="AT8" s="1" t="s">
        <v>32</v>
      </c>
      <c r="AU8" s="1" t="s">
        <v>32</v>
      </c>
      <c r="AV8" s="1" t="s">
        <v>32</v>
      </c>
      <c r="AW8" s="1">
        <v>0</v>
      </c>
      <c r="AX8" s="1" t="s">
        <v>32</v>
      </c>
      <c r="AY8" s="1">
        <v>0</v>
      </c>
      <c r="AZ8" s="1" t="s">
        <v>1660</v>
      </c>
      <c r="BA8" s="1">
        <v>0</v>
      </c>
      <c r="BB8" s="1">
        <v>0</v>
      </c>
      <c r="BC8" s="1" t="s">
        <v>32</v>
      </c>
      <c r="BD8" s="1">
        <v>0</v>
      </c>
      <c r="BE8" s="1" t="s">
        <v>32</v>
      </c>
      <c r="BF8" s="1">
        <v>0</v>
      </c>
      <c r="BG8" s="1" t="s">
        <v>32</v>
      </c>
      <c r="BH8" s="1">
        <v>0</v>
      </c>
      <c r="BI8" s="1" t="s">
        <v>32</v>
      </c>
      <c r="BJ8" s="1" t="s">
        <v>32</v>
      </c>
      <c r="BK8" s="1" t="s">
        <v>32</v>
      </c>
      <c r="BL8" s="1">
        <v>0</v>
      </c>
      <c r="BM8" s="1" t="s">
        <v>32</v>
      </c>
      <c r="BN8" s="1" t="s">
        <v>32</v>
      </c>
      <c r="BO8" s="1" t="s">
        <v>32</v>
      </c>
      <c r="BP8" s="1">
        <v>0</v>
      </c>
      <c r="BQ8" s="1" t="s">
        <v>32</v>
      </c>
      <c r="BR8" s="1">
        <v>0</v>
      </c>
      <c r="BS8" s="1" t="s">
        <v>1660</v>
      </c>
      <c r="BT8" s="1">
        <v>0</v>
      </c>
      <c r="BU8" s="1">
        <v>0</v>
      </c>
      <c r="BV8" s="1" t="s">
        <v>1660</v>
      </c>
      <c r="BW8" s="1"/>
      <c r="BX8" s="1"/>
      <c r="BY8" s="1" t="s">
        <v>1807</v>
      </c>
      <c r="BZ8" s="2" t="b">
        <f>OR( (Dashboard[[#This Row],[ref_as_hh]]&gt;=1),(Dashboard[[#This Row],[ret_as_hh]] &gt;=1), (Dashboard[[#This Row],[idp_as_hh]]&gt;=1))</f>
        <v>0</v>
      </c>
      <c r="CA8" s="2">
        <f>Dashboard[[#This Row],[ret_hi_hh]]</f>
        <v>0</v>
      </c>
      <c r="CB8" s="2">
        <f>Dashboard[[#This Row],[idp_fa_hh]]+Dashboard[[#This Row],[ref_fa_hh]]+Dashboard[[#This Row],[ret_fa_hh]]</f>
        <v>0</v>
      </c>
      <c r="CC8" s="2">
        <f>Dashboard[[#This Row],[idp_loc_hh]]+Dashboard[[#This Row],[ref_loc_hh]]+Dashboard[[#This Row],[ret_loc_hh]]</f>
        <v>0</v>
      </c>
      <c r="CD8" s="2">
        <f>Dashboard[[#This Row],[idp_cc_hh]]+Dashboard[[#This Row],[ref_cc_hh]]+Dashboard[[#This Row],[ret_cc_hh]]</f>
        <v>0</v>
      </c>
      <c r="CE8" s="2">
        <f>Dashboard[[#This Row],[idp_as_hh]]+Dashboard[[#This Row],[ref_as_hh]]+Dashboard[[#This Row],[ret_as_hh]]</f>
        <v>0</v>
      </c>
      <c r="CF8" s="2">
        <f>Dashboard[[#This Row],[idp_al_hh]]+Dashboard[[#This Row],[ref_al_hh]]+Dashboard[[#This Row],[ret_al_hh]]</f>
        <v>0</v>
      </c>
    </row>
    <row r="9" spans="1:86" x14ac:dyDescent="0.25">
      <c r="A9" s="27">
        <v>6</v>
      </c>
      <c r="B9" s="2" t="s">
        <v>22</v>
      </c>
      <c r="C9" s="2" t="s">
        <v>23</v>
      </c>
      <c r="D9" s="2" t="s">
        <v>24</v>
      </c>
      <c r="E9" s="2" t="s">
        <v>25</v>
      </c>
      <c r="F9" s="2" t="s">
        <v>56</v>
      </c>
      <c r="G9" s="2" t="s">
        <v>57</v>
      </c>
      <c r="H9" s="2" t="s">
        <v>892</v>
      </c>
      <c r="I9" s="2" t="s">
        <v>74</v>
      </c>
      <c r="J9" s="2" t="s">
        <v>2262</v>
      </c>
      <c r="K9" s="2" t="s">
        <v>2263</v>
      </c>
      <c r="L9" s="2" t="s">
        <v>2074</v>
      </c>
      <c r="M9" s="2">
        <v>10400</v>
      </c>
      <c r="N9" s="2" t="s">
        <v>1658</v>
      </c>
      <c r="O9" s="2">
        <v>19</v>
      </c>
      <c r="P9" s="2">
        <v>90</v>
      </c>
      <c r="Q9" s="2" t="s">
        <v>32</v>
      </c>
      <c r="R9" s="2">
        <v>0</v>
      </c>
      <c r="S9" s="2" t="s">
        <v>1660</v>
      </c>
      <c r="T9" s="2">
        <v>0</v>
      </c>
      <c r="U9" s="2" t="s">
        <v>32</v>
      </c>
      <c r="V9" s="2" t="s">
        <v>32</v>
      </c>
      <c r="W9" s="1" t="s">
        <v>1660</v>
      </c>
      <c r="X9" s="1">
        <v>0</v>
      </c>
      <c r="Y9" s="1" t="s">
        <v>32</v>
      </c>
      <c r="Z9" s="1" t="s">
        <v>32</v>
      </c>
      <c r="AA9" s="1" t="s">
        <v>1658</v>
      </c>
      <c r="AB9" s="1">
        <v>19</v>
      </c>
      <c r="AC9" s="1" t="s">
        <v>1660</v>
      </c>
      <c r="AD9" s="1">
        <v>0</v>
      </c>
      <c r="AE9" s="1" t="s">
        <v>1660</v>
      </c>
      <c r="AF9" s="1">
        <v>0</v>
      </c>
      <c r="AG9" s="1">
        <v>0</v>
      </c>
      <c r="AH9" s="1" t="s">
        <v>32</v>
      </c>
      <c r="AI9" s="1" t="s">
        <v>32</v>
      </c>
      <c r="AJ9" s="1" t="s">
        <v>32</v>
      </c>
      <c r="AK9" s="1" t="s">
        <v>32</v>
      </c>
      <c r="AL9" s="1" t="s">
        <v>32</v>
      </c>
      <c r="AM9" s="1">
        <v>0</v>
      </c>
      <c r="AN9" s="1" t="s">
        <v>32</v>
      </c>
      <c r="AO9" s="1">
        <v>0</v>
      </c>
      <c r="AP9" s="1" t="s">
        <v>32</v>
      </c>
      <c r="AQ9" s="1" t="s">
        <v>32</v>
      </c>
      <c r="AR9" s="1" t="s">
        <v>32</v>
      </c>
      <c r="AS9" s="1">
        <v>0</v>
      </c>
      <c r="AT9" s="1" t="s">
        <v>32</v>
      </c>
      <c r="AU9" s="1" t="s">
        <v>32</v>
      </c>
      <c r="AV9" s="1" t="s">
        <v>32</v>
      </c>
      <c r="AW9" s="1">
        <v>0</v>
      </c>
      <c r="AX9" s="1" t="s">
        <v>32</v>
      </c>
      <c r="AY9" s="1">
        <v>0</v>
      </c>
      <c r="AZ9" s="1" t="s">
        <v>1660</v>
      </c>
      <c r="BA9" s="1">
        <v>0</v>
      </c>
      <c r="BB9" s="1">
        <v>0</v>
      </c>
      <c r="BC9" s="1" t="s">
        <v>32</v>
      </c>
      <c r="BD9" s="1">
        <v>0</v>
      </c>
      <c r="BE9" s="1" t="s">
        <v>32</v>
      </c>
      <c r="BF9" s="1">
        <v>0</v>
      </c>
      <c r="BG9" s="1" t="s">
        <v>32</v>
      </c>
      <c r="BH9" s="1">
        <v>0</v>
      </c>
      <c r="BI9" s="1" t="s">
        <v>32</v>
      </c>
      <c r="BJ9" s="1" t="s">
        <v>32</v>
      </c>
      <c r="BK9" s="1" t="s">
        <v>32</v>
      </c>
      <c r="BL9" s="1">
        <v>0</v>
      </c>
      <c r="BM9" s="1" t="s">
        <v>32</v>
      </c>
      <c r="BN9" s="1" t="s">
        <v>32</v>
      </c>
      <c r="BO9" s="1" t="s">
        <v>32</v>
      </c>
      <c r="BP9" s="1">
        <v>0</v>
      </c>
      <c r="BQ9" s="1" t="s">
        <v>32</v>
      </c>
      <c r="BR9" s="1">
        <v>0</v>
      </c>
      <c r="BS9" s="1" t="s">
        <v>1660</v>
      </c>
      <c r="BT9" s="1">
        <v>0</v>
      </c>
      <c r="BU9" s="1">
        <v>0</v>
      </c>
      <c r="BV9" s="1" t="s">
        <v>1660</v>
      </c>
      <c r="BW9" s="1"/>
      <c r="BX9" s="1"/>
      <c r="BY9" s="1" t="s">
        <v>1807</v>
      </c>
      <c r="BZ9" s="2" t="b">
        <f>OR( (Dashboard[[#This Row],[ref_as_hh]]&gt;=1),(Dashboard[[#This Row],[ret_as_hh]] &gt;=1), (Dashboard[[#This Row],[idp_as_hh]]&gt;=1))</f>
        <v>1</v>
      </c>
      <c r="CA9" s="2">
        <f>Dashboard[[#This Row],[ret_hi_hh]]</f>
        <v>0</v>
      </c>
      <c r="CB9" s="2">
        <f>Dashboard[[#This Row],[idp_fa_hh]]+Dashboard[[#This Row],[ref_fa_hh]]+Dashboard[[#This Row],[ret_fa_hh]]</f>
        <v>0</v>
      </c>
      <c r="CC9" s="2">
        <f>Dashboard[[#This Row],[idp_loc_hh]]+Dashboard[[#This Row],[ref_loc_hh]]+Dashboard[[#This Row],[ret_loc_hh]]</f>
        <v>0</v>
      </c>
      <c r="CD9" s="2">
        <f>Dashboard[[#This Row],[idp_cc_hh]]+Dashboard[[#This Row],[ref_cc_hh]]+Dashboard[[#This Row],[ret_cc_hh]]</f>
        <v>0</v>
      </c>
      <c r="CE9" s="2">
        <f>Dashboard[[#This Row],[idp_as_hh]]+Dashboard[[#This Row],[ref_as_hh]]+Dashboard[[#This Row],[ret_as_hh]]</f>
        <v>19</v>
      </c>
      <c r="CF9" s="2">
        <f>Dashboard[[#This Row],[idp_al_hh]]+Dashboard[[#This Row],[ref_al_hh]]+Dashboard[[#This Row],[ret_al_hh]]</f>
        <v>0</v>
      </c>
    </row>
    <row r="10" spans="1:86" x14ac:dyDescent="0.25">
      <c r="A10" s="27">
        <v>524</v>
      </c>
      <c r="B10" s="2" t="s">
        <v>22</v>
      </c>
      <c r="C10" s="2" t="s">
        <v>23</v>
      </c>
      <c r="D10" s="2" t="s">
        <v>24</v>
      </c>
      <c r="E10" s="2" t="s">
        <v>25</v>
      </c>
      <c r="F10" s="2" t="s">
        <v>56</v>
      </c>
      <c r="G10" s="2" t="s">
        <v>57</v>
      </c>
      <c r="H10" s="2" t="s">
        <v>1497</v>
      </c>
      <c r="I10" s="2" t="s">
        <v>617</v>
      </c>
      <c r="J10" s="2" t="s">
        <v>2238</v>
      </c>
      <c r="K10" s="2" t="s">
        <v>2239</v>
      </c>
      <c r="L10" s="2" t="s">
        <v>2074</v>
      </c>
      <c r="M10" s="2">
        <v>220</v>
      </c>
      <c r="N10" s="2" t="s">
        <v>1660</v>
      </c>
      <c r="O10" s="2">
        <v>0</v>
      </c>
      <c r="P10" s="2">
        <v>0</v>
      </c>
      <c r="Q10" s="2" t="s">
        <v>32</v>
      </c>
      <c r="R10" s="2">
        <v>0</v>
      </c>
      <c r="S10" s="2" t="s">
        <v>32</v>
      </c>
      <c r="T10" s="2">
        <v>0</v>
      </c>
      <c r="U10" s="2" t="s">
        <v>32</v>
      </c>
      <c r="V10" s="2" t="s">
        <v>32</v>
      </c>
      <c r="W10" s="1" t="s">
        <v>32</v>
      </c>
      <c r="X10" s="1">
        <v>0</v>
      </c>
      <c r="Y10" s="1" t="s">
        <v>32</v>
      </c>
      <c r="Z10" s="1" t="s">
        <v>32</v>
      </c>
      <c r="AA10" s="1" t="s">
        <v>32</v>
      </c>
      <c r="AB10" s="1">
        <v>0</v>
      </c>
      <c r="AC10" s="1" t="s">
        <v>32</v>
      </c>
      <c r="AD10" s="1">
        <v>0</v>
      </c>
      <c r="AE10" s="1" t="s">
        <v>1658</v>
      </c>
      <c r="AF10" s="1">
        <v>24</v>
      </c>
      <c r="AG10" s="1">
        <v>220</v>
      </c>
      <c r="AH10" s="1" t="s">
        <v>1660</v>
      </c>
      <c r="AI10" s="1" t="s">
        <v>32</v>
      </c>
      <c r="AJ10" s="1" t="s">
        <v>32</v>
      </c>
      <c r="AK10" s="1" t="s">
        <v>32</v>
      </c>
      <c r="AL10" s="1" t="s">
        <v>32</v>
      </c>
      <c r="AM10" s="1">
        <v>0</v>
      </c>
      <c r="AN10" s="1" t="s">
        <v>1660</v>
      </c>
      <c r="AO10" s="1">
        <v>0</v>
      </c>
      <c r="AP10" s="1" t="s">
        <v>32</v>
      </c>
      <c r="AQ10" s="1" t="s">
        <v>32</v>
      </c>
      <c r="AR10" s="1" t="s">
        <v>1660</v>
      </c>
      <c r="AS10" s="1">
        <v>0</v>
      </c>
      <c r="AT10" s="1" t="s">
        <v>32</v>
      </c>
      <c r="AU10" s="1" t="s">
        <v>32</v>
      </c>
      <c r="AV10" s="1" t="s">
        <v>1658</v>
      </c>
      <c r="AW10" s="1">
        <v>24</v>
      </c>
      <c r="AX10" s="1" t="s">
        <v>1660</v>
      </c>
      <c r="AY10" s="1">
        <v>0</v>
      </c>
      <c r="AZ10" s="1" t="s">
        <v>1660</v>
      </c>
      <c r="BA10" s="1">
        <v>0</v>
      </c>
      <c r="BB10" s="1">
        <v>0</v>
      </c>
      <c r="BC10" s="1" t="s">
        <v>32</v>
      </c>
      <c r="BD10" s="1">
        <v>0</v>
      </c>
      <c r="BE10" s="1" t="s">
        <v>32</v>
      </c>
      <c r="BF10" s="1">
        <v>0</v>
      </c>
      <c r="BG10" s="1" t="s">
        <v>32</v>
      </c>
      <c r="BH10" s="1">
        <v>0</v>
      </c>
      <c r="BI10" s="1" t="s">
        <v>32</v>
      </c>
      <c r="BJ10" s="1" t="s">
        <v>32</v>
      </c>
      <c r="BK10" s="1" t="s">
        <v>32</v>
      </c>
      <c r="BL10" s="1">
        <v>0</v>
      </c>
      <c r="BM10" s="1" t="s">
        <v>32</v>
      </c>
      <c r="BN10" s="1" t="s">
        <v>32</v>
      </c>
      <c r="BO10" s="1" t="s">
        <v>32</v>
      </c>
      <c r="BP10" s="1">
        <v>0</v>
      </c>
      <c r="BQ10" s="1" t="s">
        <v>32</v>
      </c>
      <c r="BR10" s="1">
        <v>0</v>
      </c>
      <c r="BS10" s="1" t="s">
        <v>1660</v>
      </c>
      <c r="BT10" s="1">
        <v>0</v>
      </c>
      <c r="BU10" s="1">
        <v>0</v>
      </c>
      <c r="BV10" s="1" t="s">
        <v>1660</v>
      </c>
      <c r="BW10" s="1"/>
      <c r="BX10" s="1"/>
      <c r="BY10" s="1" t="s">
        <v>1807</v>
      </c>
      <c r="BZ10" s="2" t="b">
        <f>OR( (Dashboard[[#This Row],[ref_as_hh]]&gt;=1),(Dashboard[[#This Row],[ret_as_hh]] &gt;=1), (Dashboard[[#This Row],[idp_as_hh]]&gt;=1))</f>
        <v>1</v>
      </c>
      <c r="CA10" s="2">
        <f>Dashboard[[#This Row],[ret_hi_hh]]</f>
        <v>0</v>
      </c>
      <c r="CB10" s="2">
        <f>Dashboard[[#This Row],[idp_fa_hh]]+Dashboard[[#This Row],[ref_fa_hh]]+Dashboard[[#This Row],[ret_fa_hh]]</f>
        <v>0</v>
      </c>
      <c r="CC10" s="2">
        <f>Dashboard[[#This Row],[idp_loc_hh]]+Dashboard[[#This Row],[ref_loc_hh]]+Dashboard[[#This Row],[ret_loc_hh]]</f>
        <v>0</v>
      </c>
      <c r="CD10" s="2">
        <f>Dashboard[[#This Row],[idp_cc_hh]]+Dashboard[[#This Row],[ref_cc_hh]]+Dashboard[[#This Row],[ret_cc_hh]]</f>
        <v>0</v>
      </c>
      <c r="CE10" s="2">
        <f>Dashboard[[#This Row],[idp_as_hh]]+Dashboard[[#This Row],[ref_as_hh]]+Dashboard[[#This Row],[ret_as_hh]]</f>
        <v>24</v>
      </c>
      <c r="CF10" s="2">
        <f>Dashboard[[#This Row],[idp_al_hh]]+Dashboard[[#This Row],[ref_al_hh]]+Dashboard[[#This Row],[ret_al_hh]]</f>
        <v>0</v>
      </c>
    </row>
    <row r="11" spans="1:86" hidden="1" x14ac:dyDescent="0.25">
      <c r="A11" s="27">
        <v>20</v>
      </c>
      <c r="B11" s="2" t="s">
        <v>22</v>
      </c>
      <c r="C11" s="2" t="s">
        <v>23</v>
      </c>
      <c r="D11" s="2" t="s">
        <v>24</v>
      </c>
      <c r="E11" s="2" t="s">
        <v>25</v>
      </c>
      <c r="F11" s="2" t="s">
        <v>56</v>
      </c>
      <c r="G11" s="2" t="s">
        <v>57</v>
      </c>
      <c r="H11" s="2" t="s">
        <v>895</v>
      </c>
      <c r="I11" s="2" t="s">
        <v>77</v>
      </c>
      <c r="J11" s="2" t="s">
        <v>2268</v>
      </c>
      <c r="K11" s="2" t="s">
        <v>2269</v>
      </c>
      <c r="L11" s="2" t="s">
        <v>2074</v>
      </c>
      <c r="M11" s="2">
        <v>960</v>
      </c>
      <c r="N11" s="2" t="s">
        <v>1658</v>
      </c>
      <c r="O11" s="2">
        <v>4</v>
      </c>
      <c r="P11" s="2">
        <v>16</v>
      </c>
      <c r="Q11" s="2" t="s">
        <v>1658</v>
      </c>
      <c r="R11" s="2">
        <v>4</v>
      </c>
      <c r="S11" s="2" t="s">
        <v>1660</v>
      </c>
      <c r="T11" s="2">
        <v>0</v>
      </c>
      <c r="U11" s="2" t="s">
        <v>32</v>
      </c>
      <c r="V11" s="2" t="s">
        <v>32</v>
      </c>
      <c r="W11" s="1" t="s">
        <v>1660</v>
      </c>
      <c r="X11" s="1">
        <v>0</v>
      </c>
      <c r="Y11" s="1" t="s">
        <v>32</v>
      </c>
      <c r="Z11" s="1" t="s">
        <v>32</v>
      </c>
      <c r="AA11" s="1" t="s">
        <v>1660</v>
      </c>
      <c r="AB11" s="1">
        <v>0</v>
      </c>
      <c r="AC11" s="1" t="s">
        <v>1660</v>
      </c>
      <c r="AD11" s="1">
        <v>0</v>
      </c>
      <c r="AE11" s="1" t="s">
        <v>1660</v>
      </c>
      <c r="AF11" s="1">
        <v>0</v>
      </c>
      <c r="AG11" s="1">
        <v>0</v>
      </c>
      <c r="AH11" s="1" t="s">
        <v>32</v>
      </c>
      <c r="AI11" s="1" t="s">
        <v>32</v>
      </c>
      <c r="AJ11" s="1" t="s">
        <v>32</v>
      </c>
      <c r="AK11" s="1" t="s">
        <v>32</v>
      </c>
      <c r="AL11" s="1" t="s">
        <v>32</v>
      </c>
      <c r="AM11" s="1">
        <v>0</v>
      </c>
      <c r="AN11" s="1" t="s">
        <v>32</v>
      </c>
      <c r="AO11" s="1">
        <v>0</v>
      </c>
      <c r="AP11" s="1" t="s">
        <v>32</v>
      </c>
      <c r="AQ11" s="1" t="s">
        <v>32</v>
      </c>
      <c r="AR11" s="1" t="s">
        <v>32</v>
      </c>
      <c r="AS11" s="1">
        <v>0</v>
      </c>
      <c r="AT11" s="1" t="s">
        <v>32</v>
      </c>
      <c r="AU11" s="1" t="s">
        <v>32</v>
      </c>
      <c r="AV11" s="1" t="s">
        <v>32</v>
      </c>
      <c r="AW11" s="1">
        <v>0</v>
      </c>
      <c r="AX11" s="1" t="s">
        <v>32</v>
      </c>
      <c r="AY11" s="1">
        <v>0</v>
      </c>
      <c r="AZ11" s="1" t="s">
        <v>1660</v>
      </c>
      <c r="BA11" s="1">
        <v>0</v>
      </c>
      <c r="BB11" s="1">
        <v>0</v>
      </c>
      <c r="BC11" s="1" t="s">
        <v>32</v>
      </c>
      <c r="BD11" s="1">
        <v>0</v>
      </c>
      <c r="BE11" s="1" t="s">
        <v>32</v>
      </c>
      <c r="BF11" s="1">
        <v>0</v>
      </c>
      <c r="BG11" s="1" t="s">
        <v>32</v>
      </c>
      <c r="BH11" s="1">
        <v>0</v>
      </c>
      <c r="BI11" s="1" t="s">
        <v>32</v>
      </c>
      <c r="BJ11" s="1" t="s">
        <v>32</v>
      </c>
      <c r="BK11" s="1" t="s">
        <v>32</v>
      </c>
      <c r="BL11" s="1">
        <v>0</v>
      </c>
      <c r="BM11" s="1" t="s">
        <v>32</v>
      </c>
      <c r="BN11" s="1" t="s">
        <v>32</v>
      </c>
      <c r="BO11" s="1" t="s">
        <v>32</v>
      </c>
      <c r="BP11" s="1">
        <v>0</v>
      </c>
      <c r="BQ11" s="1" t="s">
        <v>32</v>
      </c>
      <c r="BR11" s="1">
        <v>0</v>
      </c>
      <c r="BS11" s="1" t="s">
        <v>1660</v>
      </c>
      <c r="BT11" s="1">
        <v>0</v>
      </c>
      <c r="BU11" s="1">
        <v>0</v>
      </c>
      <c r="BV11" s="1" t="s">
        <v>1660</v>
      </c>
      <c r="BW11" s="1"/>
      <c r="BX11" s="1"/>
      <c r="BY11" s="1" t="s">
        <v>1807</v>
      </c>
      <c r="BZ11" s="2" t="b">
        <f>OR( (Dashboard[[#This Row],[ref_as_hh]]&gt;=1),(Dashboard[[#This Row],[ret_as_hh]] &gt;=1), (Dashboard[[#This Row],[idp_as_hh]]&gt;=1))</f>
        <v>0</v>
      </c>
      <c r="CA11" s="2">
        <f>Dashboard[[#This Row],[ret_hi_hh]]</f>
        <v>0</v>
      </c>
      <c r="CB11" s="2">
        <f>Dashboard[[#This Row],[idp_fa_hh]]+Dashboard[[#This Row],[ref_fa_hh]]+Dashboard[[#This Row],[ret_fa_hh]]</f>
        <v>4</v>
      </c>
      <c r="CC11" s="2">
        <f>Dashboard[[#This Row],[idp_loc_hh]]+Dashboard[[#This Row],[ref_loc_hh]]+Dashboard[[#This Row],[ret_loc_hh]]</f>
        <v>0</v>
      </c>
      <c r="CD11" s="2">
        <f>Dashboard[[#This Row],[idp_cc_hh]]+Dashboard[[#This Row],[ref_cc_hh]]+Dashboard[[#This Row],[ret_cc_hh]]</f>
        <v>0</v>
      </c>
      <c r="CE11" s="2">
        <f>Dashboard[[#This Row],[idp_as_hh]]+Dashboard[[#This Row],[ref_as_hh]]+Dashboard[[#This Row],[ret_as_hh]]</f>
        <v>0</v>
      </c>
      <c r="CF11" s="2">
        <f>Dashboard[[#This Row],[idp_al_hh]]+Dashboard[[#This Row],[ref_al_hh]]+Dashboard[[#This Row],[ret_al_hh]]</f>
        <v>0</v>
      </c>
    </row>
    <row r="12" spans="1:86" hidden="1" x14ac:dyDescent="0.25">
      <c r="A12" s="27">
        <v>54</v>
      </c>
      <c r="B12" s="2" t="s">
        <v>22</v>
      </c>
      <c r="C12" s="2" t="s">
        <v>23</v>
      </c>
      <c r="D12" s="2" t="s">
        <v>24</v>
      </c>
      <c r="E12" s="2" t="s">
        <v>25</v>
      </c>
      <c r="F12" s="2" t="s">
        <v>56</v>
      </c>
      <c r="G12" s="2" t="s">
        <v>57</v>
      </c>
      <c r="H12" s="2" t="s">
        <v>896</v>
      </c>
      <c r="I12" s="2" t="s">
        <v>78</v>
      </c>
      <c r="J12" s="2" t="s">
        <v>2270</v>
      </c>
      <c r="K12" s="2" t="s">
        <v>2271</v>
      </c>
      <c r="L12" s="2" t="s">
        <v>3692</v>
      </c>
      <c r="M12" s="2">
        <v>400</v>
      </c>
      <c r="N12" s="2" t="s">
        <v>1658</v>
      </c>
      <c r="O12" s="2">
        <v>1</v>
      </c>
      <c r="P12" s="2">
        <v>6</v>
      </c>
      <c r="Q12" s="2" t="s">
        <v>1658</v>
      </c>
      <c r="R12" s="2">
        <v>1</v>
      </c>
      <c r="S12" s="2" t="s">
        <v>1660</v>
      </c>
      <c r="T12" s="2">
        <v>0</v>
      </c>
      <c r="U12" s="2" t="s">
        <v>32</v>
      </c>
      <c r="V12" s="2" t="s">
        <v>32</v>
      </c>
      <c r="W12" s="1" t="s">
        <v>1660</v>
      </c>
      <c r="X12" s="1">
        <v>0</v>
      </c>
      <c r="Y12" s="1" t="s">
        <v>32</v>
      </c>
      <c r="Z12" s="1" t="s">
        <v>32</v>
      </c>
      <c r="AA12" s="1" t="s">
        <v>1660</v>
      </c>
      <c r="AB12" s="1">
        <v>0</v>
      </c>
      <c r="AC12" s="1" t="s">
        <v>1660</v>
      </c>
      <c r="AD12" s="1">
        <v>0</v>
      </c>
      <c r="AE12" s="1" t="s">
        <v>1660</v>
      </c>
      <c r="AF12" s="1">
        <v>0</v>
      </c>
      <c r="AG12" s="1">
        <v>0</v>
      </c>
      <c r="AH12" s="1" t="s">
        <v>32</v>
      </c>
      <c r="AI12" s="1" t="s">
        <v>32</v>
      </c>
      <c r="AJ12" s="1" t="s">
        <v>32</v>
      </c>
      <c r="AK12" s="1" t="s">
        <v>32</v>
      </c>
      <c r="AL12" s="1" t="s">
        <v>32</v>
      </c>
      <c r="AM12" s="1">
        <v>0</v>
      </c>
      <c r="AN12" s="1" t="s">
        <v>32</v>
      </c>
      <c r="AO12" s="1">
        <v>0</v>
      </c>
      <c r="AP12" s="1" t="s">
        <v>32</v>
      </c>
      <c r="AQ12" s="1" t="s">
        <v>32</v>
      </c>
      <c r="AR12" s="1" t="s">
        <v>32</v>
      </c>
      <c r="AS12" s="1">
        <v>0</v>
      </c>
      <c r="AT12" s="1" t="s">
        <v>32</v>
      </c>
      <c r="AU12" s="1" t="s">
        <v>32</v>
      </c>
      <c r="AV12" s="1" t="s">
        <v>32</v>
      </c>
      <c r="AW12" s="1">
        <v>0</v>
      </c>
      <c r="AX12" s="1" t="s">
        <v>32</v>
      </c>
      <c r="AY12" s="1">
        <v>0</v>
      </c>
      <c r="AZ12" s="1" t="s">
        <v>1660</v>
      </c>
      <c r="BA12" s="1">
        <v>0</v>
      </c>
      <c r="BB12" s="1">
        <v>0</v>
      </c>
      <c r="BC12" s="1" t="s">
        <v>32</v>
      </c>
      <c r="BD12" s="1">
        <v>0</v>
      </c>
      <c r="BE12" s="1" t="s">
        <v>32</v>
      </c>
      <c r="BF12" s="1">
        <v>0</v>
      </c>
      <c r="BG12" s="1" t="s">
        <v>32</v>
      </c>
      <c r="BH12" s="1">
        <v>0</v>
      </c>
      <c r="BI12" s="1" t="s">
        <v>32</v>
      </c>
      <c r="BJ12" s="1" t="s">
        <v>32</v>
      </c>
      <c r="BK12" s="1" t="s">
        <v>32</v>
      </c>
      <c r="BL12" s="1">
        <v>0</v>
      </c>
      <c r="BM12" s="1" t="s">
        <v>32</v>
      </c>
      <c r="BN12" s="1" t="s">
        <v>32</v>
      </c>
      <c r="BO12" s="1" t="s">
        <v>32</v>
      </c>
      <c r="BP12" s="1">
        <v>0</v>
      </c>
      <c r="BQ12" s="1" t="s">
        <v>32</v>
      </c>
      <c r="BR12" s="1">
        <v>0</v>
      </c>
      <c r="BS12" s="1" t="s">
        <v>1660</v>
      </c>
      <c r="BT12" s="1">
        <v>0</v>
      </c>
      <c r="BU12" s="1">
        <v>0</v>
      </c>
      <c r="BV12" s="1" t="s">
        <v>1660</v>
      </c>
      <c r="BW12" s="1"/>
      <c r="BX12" s="1"/>
      <c r="BY12" s="1" t="s">
        <v>1807</v>
      </c>
      <c r="BZ12" s="2" t="b">
        <f>OR( (Dashboard[[#This Row],[ref_as_hh]]&gt;=1),(Dashboard[[#This Row],[ret_as_hh]] &gt;=1), (Dashboard[[#This Row],[idp_as_hh]]&gt;=1))</f>
        <v>0</v>
      </c>
      <c r="CA12" s="2">
        <f>Dashboard[[#This Row],[ret_hi_hh]]</f>
        <v>0</v>
      </c>
      <c r="CB12" s="2">
        <f>Dashboard[[#This Row],[idp_fa_hh]]+Dashboard[[#This Row],[ref_fa_hh]]+Dashboard[[#This Row],[ret_fa_hh]]</f>
        <v>1</v>
      </c>
      <c r="CC12" s="2">
        <f>Dashboard[[#This Row],[idp_loc_hh]]+Dashboard[[#This Row],[ref_loc_hh]]+Dashboard[[#This Row],[ret_loc_hh]]</f>
        <v>0</v>
      </c>
      <c r="CD12" s="2">
        <f>Dashboard[[#This Row],[idp_cc_hh]]+Dashboard[[#This Row],[ref_cc_hh]]+Dashboard[[#This Row],[ret_cc_hh]]</f>
        <v>0</v>
      </c>
      <c r="CE12" s="2">
        <f>Dashboard[[#This Row],[idp_as_hh]]+Dashboard[[#This Row],[ref_as_hh]]+Dashboard[[#This Row],[ret_as_hh]]</f>
        <v>0</v>
      </c>
      <c r="CF12" s="2">
        <f>Dashboard[[#This Row],[idp_al_hh]]+Dashboard[[#This Row],[ref_al_hh]]+Dashboard[[#This Row],[ret_al_hh]]</f>
        <v>0</v>
      </c>
    </row>
    <row r="13" spans="1:86" hidden="1" x14ac:dyDescent="0.25">
      <c r="A13" s="27">
        <v>55</v>
      </c>
      <c r="B13" s="2" t="s">
        <v>22</v>
      </c>
      <c r="C13" s="2" t="s">
        <v>23</v>
      </c>
      <c r="D13" s="2" t="s">
        <v>24</v>
      </c>
      <c r="E13" s="2" t="s">
        <v>25</v>
      </c>
      <c r="F13" s="2" t="s">
        <v>56</v>
      </c>
      <c r="G13" s="2" t="s">
        <v>57</v>
      </c>
      <c r="H13" s="2" t="s">
        <v>901</v>
      </c>
      <c r="I13" s="2" t="s">
        <v>83</v>
      </c>
      <c r="J13" s="2" t="s">
        <v>2280</v>
      </c>
      <c r="K13" s="2" t="s">
        <v>2281</v>
      </c>
      <c r="L13" s="2" t="s">
        <v>2074</v>
      </c>
      <c r="M13" s="2">
        <v>532</v>
      </c>
      <c r="N13" s="2" t="s">
        <v>1658</v>
      </c>
      <c r="O13" s="2">
        <v>7</v>
      </c>
      <c r="P13" s="2">
        <v>48</v>
      </c>
      <c r="Q13" s="2" t="s">
        <v>1658</v>
      </c>
      <c r="R13" s="2">
        <v>7</v>
      </c>
      <c r="S13" s="2" t="s">
        <v>1660</v>
      </c>
      <c r="T13" s="2">
        <v>0</v>
      </c>
      <c r="U13" s="2" t="s">
        <v>32</v>
      </c>
      <c r="V13" s="2" t="s">
        <v>32</v>
      </c>
      <c r="W13" s="1" t="s">
        <v>1660</v>
      </c>
      <c r="X13" s="1">
        <v>0</v>
      </c>
      <c r="Y13" s="1" t="s">
        <v>32</v>
      </c>
      <c r="Z13" s="1" t="s">
        <v>32</v>
      </c>
      <c r="AA13" s="1" t="s">
        <v>1660</v>
      </c>
      <c r="AB13" s="1">
        <v>0</v>
      </c>
      <c r="AC13" s="1" t="s">
        <v>1660</v>
      </c>
      <c r="AD13" s="1">
        <v>0</v>
      </c>
      <c r="AE13" s="1" t="s">
        <v>1660</v>
      </c>
      <c r="AF13" s="1">
        <v>0</v>
      </c>
      <c r="AG13" s="1">
        <v>0</v>
      </c>
      <c r="AH13" s="1" t="s">
        <v>32</v>
      </c>
      <c r="AI13" s="1" t="s">
        <v>32</v>
      </c>
      <c r="AJ13" s="1" t="s">
        <v>32</v>
      </c>
      <c r="AK13" s="1" t="s">
        <v>32</v>
      </c>
      <c r="AL13" s="1" t="s">
        <v>32</v>
      </c>
      <c r="AM13" s="1">
        <v>0</v>
      </c>
      <c r="AN13" s="1" t="s">
        <v>32</v>
      </c>
      <c r="AO13" s="1">
        <v>0</v>
      </c>
      <c r="AP13" s="1" t="s">
        <v>32</v>
      </c>
      <c r="AQ13" s="1" t="s">
        <v>32</v>
      </c>
      <c r="AR13" s="1" t="s">
        <v>32</v>
      </c>
      <c r="AS13" s="1">
        <v>0</v>
      </c>
      <c r="AT13" s="1" t="s">
        <v>32</v>
      </c>
      <c r="AU13" s="1" t="s">
        <v>32</v>
      </c>
      <c r="AV13" s="1" t="s">
        <v>32</v>
      </c>
      <c r="AW13" s="1">
        <v>0</v>
      </c>
      <c r="AX13" s="1" t="s">
        <v>32</v>
      </c>
      <c r="AY13" s="1">
        <v>0</v>
      </c>
      <c r="AZ13" s="1" t="s">
        <v>1660</v>
      </c>
      <c r="BA13" s="1">
        <v>0</v>
      </c>
      <c r="BB13" s="1">
        <v>0</v>
      </c>
      <c r="BC13" s="1" t="s">
        <v>32</v>
      </c>
      <c r="BD13" s="1">
        <v>0</v>
      </c>
      <c r="BE13" s="1" t="s">
        <v>32</v>
      </c>
      <c r="BF13" s="1">
        <v>0</v>
      </c>
      <c r="BG13" s="1" t="s">
        <v>32</v>
      </c>
      <c r="BH13" s="1">
        <v>0</v>
      </c>
      <c r="BI13" s="1" t="s">
        <v>32</v>
      </c>
      <c r="BJ13" s="1" t="s">
        <v>32</v>
      </c>
      <c r="BK13" s="1" t="s">
        <v>32</v>
      </c>
      <c r="BL13" s="1">
        <v>0</v>
      </c>
      <c r="BM13" s="1" t="s">
        <v>32</v>
      </c>
      <c r="BN13" s="1" t="s">
        <v>32</v>
      </c>
      <c r="BO13" s="1" t="s">
        <v>32</v>
      </c>
      <c r="BP13" s="1">
        <v>0</v>
      </c>
      <c r="BQ13" s="1" t="s">
        <v>32</v>
      </c>
      <c r="BR13" s="1">
        <v>0</v>
      </c>
      <c r="BS13" s="1" t="s">
        <v>1660</v>
      </c>
      <c r="BT13" s="1">
        <v>0</v>
      </c>
      <c r="BU13" s="1">
        <v>0</v>
      </c>
      <c r="BV13" s="1" t="s">
        <v>1660</v>
      </c>
      <c r="BW13" s="1"/>
      <c r="BX13" s="1"/>
      <c r="BY13" s="1" t="s">
        <v>1807</v>
      </c>
      <c r="BZ13" s="2" t="b">
        <f>OR( (Dashboard[[#This Row],[ref_as_hh]]&gt;=1),(Dashboard[[#This Row],[ret_as_hh]] &gt;=1), (Dashboard[[#This Row],[idp_as_hh]]&gt;=1))</f>
        <v>0</v>
      </c>
      <c r="CA13" s="2">
        <f>Dashboard[[#This Row],[ret_hi_hh]]</f>
        <v>0</v>
      </c>
      <c r="CB13" s="2">
        <f>Dashboard[[#This Row],[idp_fa_hh]]+Dashboard[[#This Row],[ref_fa_hh]]+Dashboard[[#This Row],[ret_fa_hh]]</f>
        <v>7</v>
      </c>
      <c r="CC13" s="2">
        <f>Dashboard[[#This Row],[idp_loc_hh]]+Dashboard[[#This Row],[ref_loc_hh]]+Dashboard[[#This Row],[ret_loc_hh]]</f>
        <v>0</v>
      </c>
      <c r="CD13" s="2">
        <f>Dashboard[[#This Row],[idp_cc_hh]]+Dashboard[[#This Row],[ref_cc_hh]]+Dashboard[[#This Row],[ret_cc_hh]]</f>
        <v>0</v>
      </c>
      <c r="CE13" s="2">
        <f>Dashboard[[#This Row],[idp_as_hh]]+Dashboard[[#This Row],[ref_as_hh]]+Dashboard[[#This Row],[ret_as_hh]]</f>
        <v>0</v>
      </c>
      <c r="CF13" s="2">
        <f>Dashboard[[#This Row],[idp_al_hh]]+Dashboard[[#This Row],[ref_al_hh]]+Dashboard[[#This Row],[ret_al_hh]]</f>
        <v>0</v>
      </c>
    </row>
    <row r="14" spans="1:86" hidden="1" x14ac:dyDescent="0.25">
      <c r="A14" s="27">
        <v>567</v>
      </c>
      <c r="B14" s="2" t="s">
        <v>22</v>
      </c>
      <c r="C14" s="2" t="s">
        <v>23</v>
      </c>
      <c r="D14" s="2" t="s">
        <v>24</v>
      </c>
      <c r="E14" s="2" t="s">
        <v>25</v>
      </c>
      <c r="F14" s="2" t="s">
        <v>56</v>
      </c>
      <c r="G14" s="2" t="s">
        <v>57</v>
      </c>
      <c r="H14" s="2" t="s">
        <v>900</v>
      </c>
      <c r="I14" s="2" t="s">
        <v>82</v>
      </c>
      <c r="J14" s="2" t="s">
        <v>2278</v>
      </c>
      <c r="K14" s="2" t="s">
        <v>2279</v>
      </c>
      <c r="L14" s="2" t="s">
        <v>2074</v>
      </c>
      <c r="M14" s="2">
        <v>340</v>
      </c>
      <c r="N14" s="2" t="s">
        <v>1658</v>
      </c>
      <c r="O14" s="2">
        <v>4</v>
      </c>
      <c r="P14" s="2">
        <v>25</v>
      </c>
      <c r="Q14" s="2" t="s">
        <v>1658</v>
      </c>
      <c r="R14" s="2">
        <v>4</v>
      </c>
      <c r="S14" s="2" t="s">
        <v>1660</v>
      </c>
      <c r="T14" s="2">
        <v>0</v>
      </c>
      <c r="U14" s="2" t="s">
        <v>32</v>
      </c>
      <c r="V14" s="2" t="s">
        <v>32</v>
      </c>
      <c r="W14" s="1" t="s">
        <v>1660</v>
      </c>
      <c r="X14" s="1">
        <v>0</v>
      </c>
      <c r="Y14" s="1" t="s">
        <v>32</v>
      </c>
      <c r="Z14" s="1" t="s">
        <v>32</v>
      </c>
      <c r="AA14" s="1" t="s">
        <v>1660</v>
      </c>
      <c r="AB14" s="1">
        <v>0</v>
      </c>
      <c r="AC14" s="1" t="s">
        <v>1660</v>
      </c>
      <c r="AD14" s="1">
        <v>0</v>
      </c>
      <c r="AE14" s="1" t="s">
        <v>1660</v>
      </c>
      <c r="AF14" s="1">
        <v>0</v>
      </c>
      <c r="AG14" s="1">
        <v>0</v>
      </c>
      <c r="AH14" s="1" t="s">
        <v>32</v>
      </c>
      <c r="AI14" s="1" t="s">
        <v>32</v>
      </c>
      <c r="AJ14" s="1" t="s">
        <v>32</v>
      </c>
      <c r="AK14" s="1" t="s">
        <v>32</v>
      </c>
      <c r="AL14" s="1" t="s">
        <v>32</v>
      </c>
      <c r="AM14" s="1">
        <v>0</v>
      </c>
      <c r="AN14" s="1" t="s">
        <v>32</v>
      </c>
      <c r="AO14" s="1">
        <v>0</v>
      </c>
      <c r="AP14" s="1" t="s">
        <v>32</v>
      </c>
      <c r="AQ14" s="1" t="s">
        <v>32</v>
      </c>
      <c r="AR14" s="1" t="s">
        <v>32</v>
      </c>
      <c r="AS14" s="1">
        <v>0</v>
      </c>
      <c r="AT14" s="1" t="s">
        <v>32</v>
      </c>
      <c r="AU14" s="1" t="s">
        <v>32</v>
      </c>
      <c r="AV14" s="1" t="s">
        <v>32</v>
      </c>
      <c r="AW14" s="1">
        <v>0</v>
      </c>
      <c r="AX14" s="1" t="s">
        <v>32</v>
      </c>
      <c r="AY14" s="1">
        <v>0</v>
      </c>
      <c r="AZ14" s="1" t="s">
        <v>1660</v>
      </c>
      <c r="BA14" s="1">
        <v>0</v>
      </c>
      <c r="BB14" s="1">
        <v>0</v>
      </c>
      <c r="BC14" s="1" t="s">
        <v>32</v>
      </c>
      <c r="BD14" s="1">
        <v>0</v>
      </c>
      <c r="BE14" s="1" t="s">
        <v>32</v>
      </c>
      <c r="BF14" s="1">
        <v>0</v>
      </c>
      <c r="BG14" s="1" t="s">
        <v>32</v>
      </c>
      <c r="BH14" s="1">
        <v>0</v>
      </c>
      <c r="BI14" s="1" t="s">
        <v>32</v>
      </c>
      <c r="BJ14" s="1" t="s">
        <v>32</v>
      </c>
      <c r="BK14" s="1" t="s">
        <v>32</v>
      </c>
      <c r="BL14" s="1">
        <v>0</v>
      </c>
      <c r="BM14" s="1" t="s">
        <v>32</v>
      </c>
      <c r="BN14" s="1" t="s">
        <v>32</v>
      </c>
      <c r="BO14" s="1" t="s">
        <v>32</v>
      </c>
      <c r="BP14" s="1">
        <v>0</v>
      </c>
      <c r="BQ14" s="1" t="s">
        <v>32</v>
      </c>
      <c r="BR14" s="1">
        <v>0</v>
      </c>
      <c r="BS14" s="1" t="s">
        <v>1660</v>
      </c>
      <c r="BT14" s="1">
        <v>0</v>
      </c>
      <c r="BU14" s="1">
        <v>0</v>
      </c>
      <c r="BV14" s="1" t="s">
        <v>1660</v>
      </c>
      <c r="BW14" s="1"/>
      <c r="BX14" s="1"/>
      <c r="BY14" s="1" t="s">
        <v>1807</v>
      </c>
      <c r="BZ14" s="2" t="b">
        <f>OR( (Dashboard[[#This Row],[ref_as_hh]]&gt;=1),(Dashboard[[#This Row],[ret_as_hh]] &gt;=1), (Dashboard[[#This Row],[idp_as_hh]]&gt;=1))</f>
        <v>0</v>
      </c>
      <c r="CA14" s="2">
        <f>Dashboard[[#This Row],[ret_hi_hh]]</f>
        <v>0</v>
      </c>
      <c r="CB14" s="2">
        <f>Dashboard[[#This Row],[idp_fa_hh]]+Dashboard[[#This Row],[ref_fa_hh]]+Dashboard[[#This Row],[ret_fa_hh]]</f>
        <v>4</v>
      </c>
      <c r="CC14" s="2">
        <f>Dashboard[[#This Row],[idp_loc_hh]]+Dashboard[[#This Row],[ref_loc_hh]]+Dashboard[[#This Row],[ret_loc_hh]]</f>
        <v>0</v>
      </c>
      <c r="CD14" s="2">
        <f>Dashboard[[#This Row],[idp_cc_hh]]+Dashboard[[#This Row],[ref_cc_hh]]+Dashboard[[#This Row],[ret_cc_hh]]</f>
        <v>0</v>
      </c>
      <c r="CE14" s="2">
        <f>Dashboard[[#This Row],[idp_as_hh]]+Dashboard[[#This Row],[ref_as_hh]]+Dashboard[[#This Row],[ret_as_hh]]</f>
        <v>0</v>
      </c>
      <c r="CF14" s="2">
        <f>Dashboard[[#This Row],[idp_al_hh]]+Dashboard[[#This Row],[ref_al_hh]]+Dashboard[[#This Row],[ret_al_hh]]</f>
        <v>0</v>
      </c>
    </row>
    <row r="15" spans="1:86" hidden="1" x14ac:dyDescent="0.25">
      <c r="A15" s="27">
        <v>56</v>
      </c>
      <c r="B15" s="2" t="s">
        <v>22</v>
      </c>
      <c r="C15" s="2" t="s">
        <v>23</v>
      </c>
      <c r="D15" s="2" t="s">
        <v>24</v>
      </c>
      <c r="E15" s="2" t="s">
        <v>25</v>
      </c>
      <c r="F15" s="2" t="s">
        <v>56</v>
      </c>
      <c r="G15" s="2" t="s">
        <v>57</v>
      </c>
      <c r="H15" s="2" t="s">
        <v>883</v>
      </c>
      <c r="I15" s="2" t="s">
        <v>64</v>
      </c>
      <c r="J15" s="2" t="s">
        <v>2244</v>
      </c>
      <c r="K15" s="2" t="s">
        <v>2245</v>
      </c>
      <c r="L15" s="2" t="s">
        <v>2074</v>
      </c>
      <c r="M15" s="2">
        <v>774</v>
      </c>
      <c r="N15" s="2" t="s">
        <v>1658</v>
      </c>
      <c r="O15" s="2">
        <v>7</v>
      </c>
      <c r="P15" s="2">
        <v>36</v>
      </c>
      <c r="Q15" s="2" t="s">
        <v>1658</v>
      </c>
      <c r="R15" s="2">
        <v>7</v>
      </c>
      <c r="S15" s="2" t="s">
        <v>1660</v>
      </c>
      <c r="T15" s="2">
        <v>0</v>
      </c>
      <c r="U15" s="2" t="s">
        <v>32</v>
      </c>
      <c r="V15" s="2" t="s">
        <v>32</v>
      </c>
      <c r="W15" s="1" t="s">
        <v>1660</v>
      </c>
      <c r="X15" s="1">
        <v>0</v>
      </c>
      <c r="Y15" s="1" t="s">
        <v>32</v>
      </c>
      <c r="Z15" s="1" t="s">
        <v>32</v>
      </c>
      <c r="AA15" s="1" t="s">
        <v>1660</v>
      </c>
      <c r="AB15" s="1">
        <v>0</v>
      </c>
      <c r="AC15" s="1" t="s">
        <v>1660</v>
      </c>
      <c r="AD15" s="1">
        <v>0</v>
      </c>
      <c r="AE15" s="1" t="s">
        <v>1660</v>
      </c>
      <c r="AF15" s="1">
        <v>0</v>
      </c>
      <c r="AG15" s="1">
        <v>0</v>
      </c>
      <c r="AH15" s="1" t="s">
        <v>32</v>
      </c>
      <c r="AI15" s="1" t="s">
        <v>32</v>
      </c>
      <c r="AJ15" s="1" t="s">
        <v>32</v>
      </c>
      <c r="AK15" s="1" t="s">
        <v>32</v>
      </c>
      <c r="AL15" s="1" t="s">
        <v>32</v>
      </c>
      <c r="AM15" s="1">
        <v>0</v>
      </c>
      <c r="AN15" s="1" t="s">
        <v>32</v>
      </c>
      <c r="AO15" s="1">
        <v>0</v>
      </c>
      <c r="AP15" s="1" t="s">
        <v>32</v>
      </c>
      <c r="AQ15" s="1" t="s">
        <v>32</v>
      </c>
      <c r="AR15" s="1" t="s">
        <v>32</v>
      </c>
      <c r="AS15" s="1">
        <v>0</v>
      </c>
      <c r="AT15" s="1" t="s">
        <v>32</v>
      </c>
      <c r="AU15" s="1" t="s">
        <v>32</v>
      </c>
      <c r="AV15" s="1" t="s">
        <v>32</v>
      </c>
      <c r="AW15" s="1">
        <v>0</v>
      </c>
      <c r="AX15" s="1" t="s">
        <v>32</v>
      </c>
      <c r="AY15" s="1">
        <v>0</v>
      </c>
      <c r="AZ15" s="1" t="s">
        <v>1660</v>
      </c>
      <c r="BA15" s="1">
        <v>0</v>
      </c>
      <c r="BB15" s="1">
        <v>0</v>
      </c>
      <c r="BC15" s="1" t="s">
        <v>32</v>
      </c>
      <c r="BD15" s="1">
        <v>0</v>
      </c>
      <c r="BE15" s="1" t="s">
        <v>32</v>
      </c>
      <c r="BF15" s="1">
        <v>0</v>
      </c>
      <c r="BG15" s="1" t="s">
        <v>32</v>
      </c>
      <c r="BH15" s="1">
        <v>0</v>
      </c>
      <c r="BI15" s="1" t="s">
        <v>32</v>
      </c>
      <c r="BJ15" s="1" t="s">
        <v>32</v>
      </c>
      <c r="BK15" s="1" t="s">
        <v>32</v>
      </c>
      <c r="BL15" s="1">
        <v>0</v>
      </c>
      <c r="BM15" s="1" t="s">
        <v>32</v>
      </c>
      <c r="BN15" s="1" t="s">
        <v>32</v>
      </c>
      <c r="BO15" s="1" t="s">
        <v>32</v>
      </c>
      <c r="BP15" s="1">
        <v>0</v>
      </c>
      <c r="BQ15" s="1" t="s">
        <v>32</v>
      </c>
      <c r="BR15" s="1">
        <v>0</v>
      </c>
      <c r="BS15" s="1" t="s">
        <v>1660</v>
      </c>
      <c r="BT15" s="1">
        <v>0</v>
      </c>
      <c r="BU15" s="1">
        <v>0</v>
      </c>
      <c r="BV15" s="1" t="s">
        <v>1660</v>
      </c>
      <c r="BW15" s="1"/>
      <c r="BX15" s="1"/>
      <c r="BY15" s="1" t="s">
        <v>1807</v>
      </c>
      <c r="BZ15" s="2" t="b">
        <f>OR( (Dashboard[[#This Row],[ref_as_hh]]&gt;=1),(Dashboard[[#This Row],[ret_as_hh]] &gt;=1), (Dashboard[[#This Row],[idp_as_hh]]&gt;=1))</f>
        <v>0</v>
      </c>
      <c r="CA15" s="2">
        <f>Dashboard[[#This Row],[ret_hi_hh]]</f>
        <v>0</v>
      </c>
      <c r="CB15" s="2">
        <f>Dashboard[[#This Row],[idp_fa_hh]]+Dashboard[[#This Row],[ref_fa_hh]]+Dashboard[[#This Row],[ret_fa_hh]]</f>
        <v>7</v>
      </c>
      <c r="CC15" s="2">
        <f>Dashboard[[#This Row],[idp_loc_hh]]+Dashboard[[#This Row],[ref_loc_hh]]+Dashboard[[#This Row],[ret_loc_hh]]</f>
        <v>0</v>
      </c>
      <c r="CD15" s="2">
        <f>Dashboard[[#This Row],[idp_cc_hh]]+Dashboard[[#This Row],[ref_cc_hh]]+Dashboard[[#This Row],[ret_cc_hh]]</f>
        <v>0</v>
      </c>
      <c r="CE15" s="2">
        <f>Dashboard[[#This Row],[idp_as_hh]]+Dashboard[[#This Row],[ref_as_hh]]+Dashboard[[#This Row],[ret_as_hh]]</f>
        <v>0</v>
      </c>
      <c r="CF15" s="2">
        <f>Dashboard[[#This Row],[idp_al_hh]]+Dashboard[[#This Row],[ref_al_hh]]+Dashboard[[#This Row],[ret_al_hh]]</f>
        <v>0</v>
      </c>
    </row>
    <row r="16" spans="1:86" x14ac:dyDescent="0.25">
      <c r="A16" s="27">
        <v>57</v>
      </c>
      <c r="B16" s="2" t="s">
        <v>22</v>
      </c>
      <c r="C16" s="2" t="s">
        <v>23</v>
      </c>
      <c r="D16" s="2" t="s">
        <v>24</v>
      </c>
      <c r="E16" s="2" t="s">
        <v>25</v>
      </c>
      <c r="F16" s="2" t="s">
        <v>56</v>
      </c>
      <c r="G16" s="2" t="s">
        <v>57</v>
      </c>
      <c r="H16" s="2" t="s">
        <v>893</v>
      </c>
      <c r="I16" s="2" t="s">
        <v>75</v>
      </c>
      <c r="J16" s="2" t="s">
        <v>2264</v>
      </c>
      <c r="K16" s="2" t="s">
        <v>2265</v>
      </c>
      <c r="L16" s="2" t="s">
        <v>3693</v>
      </c>
      <c r="M16" s="2">
        <v>220</v>
      </c>
      <c r="N16" s="2" t="s">
        <v>1658</v>
      </c>
      <c r="O16" s="2">
        <v>13</v>
      </c>
      <c r="P16" s="2">
        <v>68</v>
      </c>
      <c r="Q16" s="2" t="s">
        <v>32</v>
      </c>
      <c r="R16" s="2">
        <v>0</v>
      </c>
      <c r="S16" s="2" t="s">
        <v>1660</v>
      </c>
      <c r="T16" s="2">
        <v>0</v>
      </c>
      <c r="U16" s="2" t="s">
        <v>32</v>
      </c>
      <c r="V16" s="2" t="s">
        <v>32</v>
      </c>
      <c r="W16" s="1" t="s">
        <v>1660</v>
      </c>
      <c r="X16" s="1">
        <v>0</v>
      </c>
      <c r="Y16" s="1" t="s">
        <v>32</v>
      </c>
      <c r="Z16" s="1" t="s">
        <v>32</v>
      </c>
      <c r="AA16" s="1" t="s">
        <v>1658</v>
      </c>
      <c r="AB16" s="1">
        <v>13</v>
      </c>
      <c r="AC16" s="1" t="s">
        <v>1660</v>
      </c>
      <c r="AD16" s="1">
        <v>0</v>
      </c>
      <c r="AE16" s="1" t="s">
        <v>1660</v>
      </c>
      <c r="AF16" s="1">
        <v>0</v>
      </c>
      <c r="AG16" s="1">
        <v>0</v>
      </c>
      <c r="AH16" s="1" t="s">
        <v>32</v>
      </c>
      <c r="AI16" s="1" t="s">
        <v>32</v>
      </c>
      <c r="AJ16" s="1" t="s">
        <v>32</v>
      </c>
      <c r="AK16" s="1" t="s">
        <v>32</v>
      </c>
      <c r="AL16" s="1" t="s">
        <v>32</v>
      </c>
      <c r="AM16" s="1">
        <v>0</v>
      </c>
      <c r="AN16" s="1" t="s">
        <v>32</v>
      </c>
      <c r="AO16" s="1">
        <v>0</v>
      </c>
      <c r="AP16" s="1" t="s">
        <v>32</v>
      </c>
      <c r="AQ16" s="1" t="s">
        <v>32</v>
      </c>
      <c r="AR16" s="1" t="s">
        <v>32</v>
      </c>
      <c r="AS16" s="1">
        <v>0</v>
      </c>
      <c r="AT16" s="1" t="s">
        <v>32</v>
      </c>
      <c r="AU16" s="1" t="s">
        <v>32</v>
      </c>
      <c r="AV16" s="1" t="s">
        <v>32</v>
      </c>
      <c r="AW16" s="1">
        <v>0</v>
      </c>
      <c r="AX16" s="1" t="s">
        <v>32</v>
      </c>
      <c r="AY16" s="1">
        <v>0</v>
      </c>
      <c r="AZ16" s="1" t="s">
        <v>1660</v>
      </c>
      <c r="BA16" s="1">
        <v>0</v>
      </c>
      <c r="BB16" s="1">
        <v>0</v>
      </c>
      <c r="BC16" s="1" t="s">
        <v>32</v>
      </c>
      <c r="BD16" s="1">
        <v>0</v>
      </c>
      <c r="BE16" s="1" t="s">
        <v>32</v>
      </c>
      <c r="BF16" s="1">
        <v>0</v>
      </c>
      <c r="BG16" s="1" t="s">
        <v>32</v>
      </c>
      <c r="BH16" s="1">
        <v>0</v>
      </c>
      <c r="BI16" s="1" t="s">
        <v>32</v>
      </c>
      <c r="BJ16" s="1" t="s">
        <v>32</v>
      </c>
      <c r="BK16" s="1" t="s">
        <v>32</v>
      </c>
      <c r="BL16" s="1">
        <v>0</v>
      </c>
      <c r="BM16" s="1" t="s">
        <v>32</v>
      </c>
      <c r="BN16" s="1" t="s">
        <v>32</v>
      </c>
      <c r="BO16" s="1" t="s">
        <v>32</v>
      </c>
      <c r="BP16" s="1">
        <v>0</v>
      </c>
      <c r="BQ16" s="1" t="s">
        <v>32</v>
      </c>
      <c r="BR16" s="1">
        <v>0</v>
      </c>
      <c r="BS16" s="1" t="s">
        <v>1660</v>
      </c>
      <c r="BT16" s="1">
        <v>0</v>
      </c>
      <c r="BU16" s="1">
        <v>0</v>
      </c>
      <c r="BV16" s="1" t="s">
        <v>1660</v>
      </c>
      <c r="BW16" s="1"/>
      <c r="BX16" s="1"/>
      <c r="BY16" s="1" t="s">
        <v>1807</v>
      </c>
      <c r="BZ16" s="2" t="b">
        <f>OR( (Dashboard[[#This Row],[ref_as_hh]]&gt;=1),(Dashboard[[#This Row],[ret_as_hh]] &gt;=1), (Dashboard[[#This Row],[idp_as_hh]]&gt;=1))</f>
        <v>1</v>
      </c>
      <c r="CA16" s="2">
        <f>Dashboard[[#This Row],[ret_hi_hh]]</f>
        <v>0</v>
      </c>
      <c r="CB16" s="2">
        <f>Dashboard[[#This Row],[idp_fa_hh]]+Dashboard[[#This Row],[ref_fa_hh]]+Dashboard[[#This Row],[ret_fa_hh]]</f>
        <v>0</v>
      </c>
      <c r="CC16" s="2">
        <f>Dashboard[[#This Row],[idp_loc_hh]]+Dashboard[[#This Row],[ref_loc_hh]]+Dashboard[[#This Row],[ret_loc_hh]]</f>
        <v>0</v>
      </c>
      <c r="CD16" s="2">
        <f>Dashboard[[#This Row],[idp_cc_hh]]+Dashboard[[#This Row],[ref_cc_hh]]+Dashboard[[#This Row],[ret_cc_hh]]</f>
        <v>0</v>
      </c>
      <c r="CE16" s="2">
        <f>Dashboard[[#This Row],[idp_as_hh]]+Dashboard[[#This Row],[ref_as_hh]]+Dashboard[[#This Row],[ret_as_hh]]</f>
        <v>13</v>
      </c>
      <c r="CF16" s="2">
        <f>Dashboard[[#This Row],[idp_al_hh]]+Dashboard[[#This Row],[ref_al_hh]]+Dashboard[[#This Row],[ret_al_hh]]</f>
        <v>0</v>
      </c>
    </row>
    <row r="17" spans="1:84" hidden="1" x14ac:dyDescent="0.25">
      <c r="A17" s="27">
        <v>58</v>
      </c>
      <c r="B17" s="2" t="s">
        <v>22</v>
      </c>
      <c r="C17" s="2" t="s">
        <v>23</v>
      </c>
      <c r="D17" s="2" t="s">
        <v>24</v>
      </c>
      <c r="E17" s="2" t="s">
        <v>25</v>
      </c>
      <c r="F17" s="2" t="s">
        <v>56</v>
      </c>
      <c r="G17" s="2" t="s">
        <v>57</v>
      </c>
      <c r="H17" s="2" t="s">
        <v>885</v>
      </c>
      <c r="I17" s="2" t="s">
        <v>66</v>
      </c>
      <c r="J17" s="2" t="s">
        <v>2248</v>
      </c>
      <c r="K17" s="2" t="s">
        <v>2249</v>
      </c>
      <c r="L17" s="2" t="s">
        <v>2074</v>
      </c>
      <c r="M17" s="2">
        <v>300</v>
      </c>
      <c r="N17" s="2" t="s">
        <v>1660</v>
      </c>
      <c r="O17" s="2">
        <v>0</v>
      </c>
      <c r="P17" s="2">
        <v>0</v>
      </c>
      <c r="Q17" s="2" t="s">
        <v>32</v>
      </c>
      <c r="R17" s="2">
        <v>0</v>
      </c>
      <c r="S17" s="2" t="s">
        <v>32</v>
      </c>
      <c r="T17" s="2">
        <v>0</v>
      </c>
      <c r="U17" s="2" t="s">
        <v>32</v>
      </c>
      <c r="V17" s="2" t="s">
        <v>32</v>
      </c>
      <c r="W17" s="1" t="s">
        <v>32</v>
      </c>
      <c r="X17" s="1">
        <v>0</v>
      </c>
      <c r="Y17" s="1" t="s">
        <v>32</v>
      </c>
      <c r="Z17" s="1" t="s">
        <v>32</v>
      </c>
      <c r="AA17" s="1" t="s">
        <v>32</v>
      </c>
      <c r="AB17" s="1">
        <v>0</v>
      </c>
      <c r="AC17" s="1" t="s">
        <v>32</v>
      </c>
      <c r="AD17" s="1">
        <v>0</v>
      </c>
      <c r="AE17" s="1" t="s">
        <v>1660</v>
      </c>
      <c r="AF17" s="1">
        <v>0</v>
      </c>
      <c r="AG17" s="1">
        <v>0</v>
      </c>
      <c r="AH17" s="1" t="s">
        <v>32</v>
      </c>
      <c r="AI17" s="1" t="s">
        <v>32</v>
      </c>
      <c r="AJ17" s="1" t="s">
        <v>32</v>
      </c>
      <c r="AK17" s="1" t="s">
        <v>32</v>
      </c>
      <c r="AL17" s="1" t="s">
        <v>32</v>
      </c>
      <c r="AM17" s="1">
        <v>0</v>
      </c>
      <c r="AN17" s="1" t="s">
        <v>32</v>
      </c>
      <c r="AO17" s="1">
        <v>0</v>
      </c>
      <c r="AP17" s="1" t="s">
        <v>32</v>
      </c>
      <c r="AQ17" s="1" t="s">
        <v>32</v>
      </c>
      <c r="AR17" s="1" t="s">
        <v>32</v>
      </c>
      <c r="AS17" s="1">
        <v>0</v>
      </c>
      <c r="AT17" s="1" t="s">
        <v>32</v>
      </c>
      <c r="AU17" s="1" t="s">
        <v>32</v>
      </c>
      <c r="AV17" s="1" t="s">
        <v>32</v>
      </c>
      <c r="AW17" s="1">
        <v>0</v>
      </c>
      <c r="AX17" s="1" t="s">
        <v>32</v>
      </c>
      <c r="AY17" s="1">
        <v>0</v>
      </c>
      <c r="AZ17" s="1" t="s">
        <v>1660</v>
      </c>
      <c r="BA17" s="1">
        <v>0</v>
      </c>
      <c r="BB17" s="1">
        <v>0</v>
      </c>
      <c r="BC17" s="1" t="s">
        <v>32</v>
      </c>
      <c r="BD17" s="1">
        <v>0</v>
      </c>
      <c r="BE17" s="1" t="s">
        <v>32</v>
      </c>
      <c r="BF17" s="1">
        <v>0</v>
      </c>
      <c r="BG17" s="1" t="s">
        <v>32</v>
      </c>
      <c r="BH17" s="1">
        <v>0</v>
      </c>
      <c r="BI17" s="1" t="s">
        <v>32</v>
      </c>
      <c r="BJ17" s="1" t="s">
        <v>32</v>
      </c>
      <c r="BK17" s="1" t="s">
        <v>32</v>
      </c>
      <c r="BL17" s="1">
        <v>0</v>
      </c>
      <c r="BM17" s="1" t="s">
        <v>32</v>
      </c>
      <c r="BN17" s="1" t="s">
        <v>32</v>
      </c>
      <c r="BO17" s="1" t="s">
        <v>32</v>
      </c>
      <c r="BP17" s="1">
        <v>0</v>
      </c>
      <c r="BQ17" s="1" t="s">
        <v>32</v>
      </c>
      <c r="BR17" s="1">
        <v>0</v>
      </c>
      <c r="BS17" s="1" t="s">
        <v>1660</v>
      </c>
      <c r="BT17" s="1">
        <v>0</v>
      </c>
      <c r="BU17" s="1">
        <v>0</v>
      </c>
      <c r="BV17" s="1" t="s">
        <v>1660</v>
      </c>
      <c r="BW17" s="1"/>
      <c r="BX17" s="1"/>
      <c r="BY17" s="1" t="s">
        <v>1807</v>
      </c>
      <c r="BZ17" s="2" t="b">
        <f>OR( (Dashboard[[#This Row],[ref_as_hh]]&gt;=1),(Dashboard[[#This Row],[ret_as_hh]] &gt;=1), (Dashboard[[#This Row],[idp_as_hh]]&gt;=1))</f>
        <v>0</v>
      </c>
      <c r="CA17" s="2">
        <f>Dashboard[[#This Row],[ret_hi_hh]]</f>
        <v>0</v>
      </c>
      <c r="CB17" s="2">
        <f>Dashboard[[#This Row],[idp_fa_hh]]+Dashboard[[#This Row],[ref_fa_hh]]+Dashboard[[#This Row],[ret_fa_hh]]</f>
        <v>0</v>
      </c>
      <c r="CC17" s="2">
        <f>Dashboard[[#This Row],[idp_loc_hh]]+Dashboard[[#This Row],[ref_loc_hh]]+Dashboard[[#This Row],[ret_loc_hh]]</f>
        <v>0</v>
      </c>
      <c r="CD17" s="2">
        <f>Dashboard[[#This Row],[idp_cc_hh]]+Dashboard[[#This Row],[ref_cc_hh]]+Dashboard[[#This Row],[ret_cc_hh]]</f>
        <v>0</v>
      </c>
      <c r="CE17" s="2">
        <f>Dashboard[[#This Row],[idp_as_hh]]+Dashboard[[#This Row],[ref_as_hh]]+Dashboard[[#This Row],[ret_as_hh]]</f>
        <v>0</v>
      </c>
      <c r="CF17" s="2">
        <f>Dashboard[[#This Row],[idp_al_hh]]+Dashboard[[#This Row],[ref_al_hh]]+Dashboard[[#This Row],[ret_al_hh]]</f>
        <v>0</v>
      </c>
    </row>
    <row r="18" spans="1:84" hidden="1" x14ac:dyDescent="0.25">
      <c r="A18" s="27">
        <v>578</v>
      </c>
      <c r="B18" s="2" t="s">
        <v>22</v>
      </c>
      <c r="C18" s="2" t="s">
        <v>23</v>
      </c>
      <c r="D18" s="2" t="s">
        <v>24</v>
      </c>
      <c r="E18" s="2" t="s">
        <v>25</v>
      </c>
      <c r="F18" s="2" t="s">
        <v>56</v>
      </c>
      <c r="G18" s="2" t="s">
        <v>57</v>
      </c>
      <c r="H18" s="2" t="s">
        <v>902</v>
      </c>
      <c r="I18" s="2" t="s">
        <v>86</v>
      </c>
      <c r="J18" s="2" t="s">
        <v>2282</v>
      </c>
      <c r="K18" s="2" t="s">
        <v>2283</v>
      </c>
      <c r="L18" s="2" t="s">
        <v>2074</v>
      </c>
      <c r="M18" s="2">
        <v>3071</v>
      </c>
      <c r="N18" s="2" t="s">
        <v>1658</v>
      </c>
      <c r="O18" s="2">
        <v>22</v>
      </c>
      <c r="P18" s="2">
        <v>136</v>
      </c>
      <c r="Q18" s="2" t="s">
        <v>1658</v>
      </c>
      <c r="R18" s="2">
        <v>22</v>
      </c>
      <c r="S18" s="2" t="s">
        <v>1660</v>
      </c>
      <c r="T18" s="2">
        <v>0</v>
      </c>
      <c r="U18" s="2" t="s">
        <v>32</v>
      </c>
      <c r="V18" s="2" t="s">
        <v>32</v>
      </c>
      <c r="W18" s="1" t="s">
        <v>1660</v>
      </c>
      <c r="X18" s="1">
        <v>0</v>
      </c>
      <c r="Y18" s="1" t="s">
        <v>32</v>
      </c>
      <c r="Z18" s="1" t="s">
        <v>32</v>
      </c>
      <c r="AA18" s="1" t="s">
        <v>1660</v>
      </c>
      <c r="AB18" s="1">
        <v>0</v>
      </c>
      <c r="AC18" s="1" t="s">
        <v>1660</v>
      </c>
      <c r="AD18" s="1">
        <v>0</v>
      </c>
      <c r="AE18" s="1" t="s">
        <v>1660</v>
      </c>
      <c r="AF18" s="1">
        <v>0</v>
      </c>
      <c r="AG18" s="1">
        <v>0</v>
      </c>
      <c r="AH18" s="1" t="s">
        <v>32</v>
      </c>
      <c r="AI18" s="1" t="s">
        <v>32</v>
      </c>
      <c r="AJ18" s="1" t="s">
        <v>32</v>
      </c>
      <c r="AK18" s="1" t="s">
        <v>32</v>
      </c>
      <c r="AL18" s="1" t="s">
        <v>32</v>
      </c>
      <c r="AM18" s="1">
        <v>0</v>
      </c>
      <c r="AN18" s="1" t="s">
        <v>32</v>
      </c>
      <c r="AO18" s="1">
        <v>0</v>
      </c>
      <c r="AP18" s="1" t="s">
        <v>32</v>
      </c>
      <c r="AQ18" s="1" t="s">
        <v>32</v>
      </c>
      <c r="AR18" s="1" t="s">
        <v>32</v>
      </c>
      <c r="AS18" s="1">
        <v>0</v>
      </c>
      <c r="AT18" s="1" t="s">
        <v>32</v>
      </c>
      <c r="AU18" s="1" t="s">
        <v>32</v>
      </c>
      <c r="AV18" s="1" t="s">
        <v>32</v>
      </c>
      <c r="AW18" s="1">
        <v>0</v>
      </c>
      <c r="AX18" s="1" t="s">
        <v>32</v>
      </c>
      <c r="AY18" s="1">
        <v>0</v>
      </c>
      <c r="AZ18" s="1" t="s">
        <v>1660</v>
      </c>
      <c r="BA18" s="1">
        <v>0</v>
      </c>
      <c r="BB18" s="1">
        <v>0</v>
      </c>
      <c r="BC18" s="1" t="s">
        <v>32</v>
      </c>
      <c r="BD18" s="1">
        <v>0</v>
      </c>
      <c r="BE18" s="1" t="s">
        <v>32</v>
      </c>
      <c r="BF18" s="1">
        <v>0</v>
      </c>
      <c r="BG18" s="1" t="s">
        <v>32</v>
      </c>
      <c r="BH18" s="1">
        <v>0</v>
      </c>
      <c r="BI18" s="1" t="s">
        <v>32</v>
      </c>
      <c r="BJ18" s="1" t="s">
        <v>32</v>
      </c>
      <c r="BK18" s="1" t="s">
        <v>32</v>
      </c>
      <c r="BL18" s="1">
        <v>0</v>
      </c>
      <c r="BM18" s="1" t="s">
        <v>32</v>
      </c>
      <c r="BN18" s="1" t="s">
        <v>32</v>
      </c>
      <c r="BO18" s="1" t="s">
        <v>32</v>
      </c>
      <c r="BP18" s="1">
        <v>0</v>
      </c>
      <c r="BQ18" s="1" t="s">
        <v>32</v>
      </c>
      <c r="BR18" s="1">
        <v>0</v>
      </c>
      <c r="BS18" s="1" t="s">
        <v>1660</v>
      </c>
      <c r="BT18" s="1">
        <v>0</v>
      </c>
      <c r="BU18" s="1">
        <v>0</v>
      </c>
      <c r="BV18" s="1" t="s">
        <v>1660</v>
      </c>
      <c r="BW18" s="1"/>
      <c r="BX18" s="1"/>
      <c r="BY18" s="1" t="s">
        <v>1807</v>
      </c>
      <c r="BZ18" s="2" t="b">
        <f>OR( (Dashboard[[#This Row],[ref_as_hh]]&gt;=1),(Dashboard[[#This Row],[ret_as_hh]] &gt;=1), (Dashboard[[#This Row],[idp_as_hh]]&gt;=1))</f>
        <v>0</v>
      </c>
      <c r="CA18" s="2">
        <f>Dashboard[[#This Row],[ret_hi_hh]]</f>
        <v>0</v>
      </c>
      <c r="CB18" s="2">
        <f>Dashboard[[#This Row],[idp_fa_hh]]+Dashboard[[#This Row],[ref_fa_hh]]+Dashboard[[#This Row],[ret_fa_hh]]</f>
        <v>22</v>
      </c>
      <c r="CC18" s="2">
        <f>Dashboard[[#This Row],[idp_loc_hh]]+Dashboard[[#This Row],[ref_loc_hh]]+Dashboard[[#This Row],[ret_loc_hh]]</f>
        <v>0</v>
      </c>
      <c r="CD18" s="2">
        <f>Dashboard[[#This Row],[idp_cc_hh]]+Dashboard[[#This Row],[ref_cc_hh]]+Dashboard[[#This Row],[ret_cc_hh]]</f>
        <v>0</v>
      </c>
      <c r="CE18" s="2">
        <f>Dashboard[[#This Row],[idp_as_hh]]+Dashboard[[#This Row],[ref_as_hh]]+Dashboard[[#This Row],[ret_as_hh]]</f>
        <v>0</v>
      </c>
      <c r="CF18" s="2">
        <f>Dashboard[[#This Row],[idp_al_hh]]+Dashboard[[#This Row],[ref_al_hh]]+Dashboard[[#This Row],[ret_al_hh]]</f>
        <v>0</v>
      </c>
    </row>
    <row r="19" spans="1:84" hidden="1" x14ac:dyDescent="0.25">
      <c r="A19" s="27">
        <v>581</v>
      </c>
      <c r="B19" s="2" t="s">
        <v>22</v>
      </c>
      <c r="C19" s="2" t="s">
        <v>23</v>
      </c>
      <c r="D19" s="2" t="s">
        <v>24</v>
      </c>
      <c r="E19" s="2" t="s">
        <v>25</v>
      </c>
      <c r="F19" s="2" t="s">
        <v>56</v>
      </c>
      <c r="G19" s="2" t="s">
        <v>57</v>
      </c>
      <c r="H19" s="2" t="s">
        <v>905</v>
      </c>
      <c r="I19" s="2" t="s">
        <v>87</v>
      </c>
      <c r="J19" s="2" t="s">
        <v>2288</v>
      </c>
      <c r="K19" s="2" t="s">
        <v>2289</v>
      </c>
      <c r="L19" s="2" t="s">
        <v>2078</v>
      </c>
      <c r="M19" s="2">
        <v>157</v>
      </c>
      <c r="N19" s="2" t="s">
        <v>1658</v>
      </c>
      <c r="O19" s="2">
        <v>3</v>
      </c>
      <c r="P19" s="2">
        <v>15</v>
      </c>
      <c r="Q19" s="2" t="s">
        <v>1658</v>
      </c>
      <c r="R19" s="2">
        <v>3</v>
      </c>
      <c r="S19" s="2" t="s">
        <v>1660</v>
      </c>
      <c r="T19" s="2">
        <v>0</v>
      </c>
      <c r="U19" s="2" t="s">
        <v>32</v>
      </c>
      <c r="V19" s="2" t="s">
        <v>32</v>
      </c>
      <c r="W19" s="1" t="s">
        <v>1660</v>
      </c>
      <c r="X19" s="1">
        <v>0</v>
      </c>
      <c r="Y19" s="1" t="s">
        <v>32</v>
      </c>
      <c r="Z19" s="1" t="s">
        <v>32</v>
      </c>
      <c r="AA19" s="1" t="s">
        <v>1660</v>
      </c>
      <c r="AB19" s="1">
        <v>0</v>
      </c>
      <c r="AC19" s="1" t="s">
        <v>1660</v>
      </c>
      <c r="AD19" s="1">
        <v>0</v>
      </c>
      <c r="AE19" s="1" t="s">
        <v>1660</v>
      </c>
      <c r="AF19" s="1">
        <v>0</v>
      </c>
      <c r="AG19" s="1">
        <v>0</v>
      </c>
      <c r="AH19" s="1" t="s">
        <v>32</v>
      </c>
      <c r="AI19" s="1" t="s">
        <v>32</v>
      </c>
      <c r="AJ19" s="1" t="s">
        <v>32</v>
      </c>
      <c r="AK19" s="1" t="s">
        <v>32</v>
      </c>
      <c r="AL19" s="1" t="s">
        <v>32</v>
      </c>
      <c r="AM19" s="1">
        <v>0</v>
      </c>
      <c r="AN19" s="1" t="s">
        <v>32</v>
      </c>
      <c r="AO19" s="1">
        <v>0</v>
      </c>
      <c r="AP19" s="1" t="s">
        <v>32</v>
      </c>
      <c r="AQ19" s="1" t="s">
        <v>32</v>
      </c>
      <c r="AR19" s="1" t="s">
        <v>32</v>
      </c>
      <c r="AS19" s="1">
        <v>0</v>
      </c>
      <c r="AT19" s="1" t="s">
        <v>32</v>
      </c>
      <c r="AU19" s="1" t="s">
        <v>32</v>
      </c>
      <c r="AV19" s="1" t="s">
        <v>32</v>
      </c>
      <c r="AW19" s="1">
        <v>0</v>
      </c>
      <c r="AX19" s="1" t="s">
        <v>32</v>
      </c>
      <c r="AY19" s="1">
        <v>0</v>
      </c>
      <c r="AZ19" s="1" t="s">
        <v>1660</v>
      </c>
      <c r="BA19" s="1">
        <v>0</v>
      </c>
      <c r="BB19" s="1">
        <v>0</v>
      </c>
      <c r="BC19" s="1" t="s">
        <v>32</v>
      </c>
      <c r="BD19" s="1">
        <v>0</v>
      </c>
      <c r="BE19" s="1" t="s">
        <v>32</v>
      </c>
      <c r="BF19" s="1">
        <v>0</v>
      </c>
      <c r="BG19" s="1" t="s">
        <v>32</v>
      </c>
      <c r="BH19" s="1">
        <v>0</v>
      </c>
      <c r="BI19" s="1" t="s">
        <v>32</v>
      </c>
      <c r="BJ19" s="1" t="s">
        <v>32</v>
      </c>
      <c r="BK19" s="1" t="s">
        <v>32</v>
      </c>
      <c r="BL19" s="1">
        <v>0</v>
      </c>
      <c r="BM19" s="1" t="s">
        <v>32</v>
      </c>
      <c r="BN19" s="1" t="s">
        <v>32</v>
      </c>
      <c r="BO19" s="1" t="s">
        <v>32</v>
      </c>
      <c r="BP19" s="1">
        <v>0</v>
      </c>
      <c r="BQ19" s="1" t="s">
        <v>32</v>
      </c>
      <c r="BR19" s="1">
        <v>0</v>
      </c>
      <c r="BS19" s="1" t="s">
        <v>1660</v>
      </c>
      <c r="BT19" s="1">
        <v>0</v>
      </c>
      <c r="BU19" s="1">
        <v>0</v>
      </c>
      <c r="BV19" s="1" t="s">
        <v>1660</v>
      </c>
      <c r="BW19" s="1"/>
      <c r="BX19" s="1"/>
      <c r="BY19" s="1" t="s">
        <v>1807</v>
      </c>
      <c r="BZ19" s="2" t="b">
        <f>OR( (Dashboard[[#This Row],[ref_as_hh]]&gt;=1),(Dashboard[[#This Row],[ret_as_hh]] &gt;=1), (Dashboard[[#This Row],[idp_as_hh]]&gt;=1))</f>
        <v>0</v>
      </c>
      <c r="CA19" s="2">
        <f>Dashboard[[#This Row],[ret_hi_hh]]</f>
        <v>0</v>
      </c>
      <c r="CB19" s="2">
        <f>Dashboard[[#This Row],[idp_fa_hh]]+Dashboard[[#This Row],[ref_fa_hh]]+Dashboard[[#This Row],[ret_fa_hh]]</f>
        <v>3</v>
      </c>
      <c r="CC19" s="2">
        <f>Dashboard[[#This Row],[idp_loc_hh]]+Dashboard[[#This Row],[ref_loc_hh]]+Dashboard[[#This Row],[ret_loc_hh]]</f>
        <v>0</v>
      </c>
      <c r="CD19" s="2">
        <f>Dashboard[[#This Row],[idp_cc_hh]]+Dashboard[[#This Row],[ref_cc_hh]]+Dashboard[[#This Row],[ret_cc_hh]]</f>
        <v>0</v>
      </c>
      <c r="CE19" s="2">
        <f>Dashboard[[#This Row],[idp_as_hh]]+Dashboard[[#This Row],[ref_as_hh]]+Dashboard[[#This Row],[ret_as_hh]]</f>
        <v>0</v>
      </c>
      <c r="CF19" s="2">
        <f>Dashboard[[#This Row],[idp_al_hh]]+Dashboard[[#This Row],[ref_al_hh]]+Dashboard[[#This Row],[ret_al_hh]]</f>
        <v>0</v>
      </c>
    </row>
    <row r="20" spans="1:84" hidden="1" x14ac:dyDescent="0.25">
      <c r="A20" s="27">
        <v>590</v>
      </c>
      <c r="B20" s="2" t="s">
        <v>22</v>
      </c>
      <c r="C20" s="2" t="s">
        <v>23</v>
      </c>
      <c r="D20" s="2" t="s">
        <v>24</v>
      </c>
      <c r="E20" s="2" t="s">
        <v>25</v>
      </c>
      <c r="F20" s="2" t="s">
        <v>56</v>
      </c>
      <c r="G20" s="2" t="s">
        <v>57</v>
      </c>
      <c r="H20" s="2" t="s">
        <v>888</v>
      </c>
      <c r="I20" s="2" t="s">
        <v>70</v>
      </c>
      <c r="J20" s="2" t="s">
        <v>2254</v>
      </c>
      <c r="K20" s="2" t="s">
        <v>2255</v>
      </c>
      <c r="L20" s="2" t="s">
        <v>3693</v>
      </c>
      <c r="M20" s="2">
        <v>730</v>
      </c>
      <c r="N20" s="2" t="s">
        <v>1658</v>
      </c>
      <c r="O20" s="2">
        <v>4</v>
      </c>
      <c r="P20" s="2">
        <v>16</v>
      </c>
      <c r="Q20" s="2" t="s">
        <v>1658</v>
      </c>
      <c r="R20" s="2">
        <v>4</v>
      </c>
      <c r="S20" s="2" t="s">
        <v>1660</v>
      </c>
      <c r="T20" s="2">
        <v>0</v>
      </c>
      <c r="U20" s="2" t="s">
        <v>32</v>
      </c>
      <c r="V20" s="2" t="s">
        <v>32</v>
      </c>
      <c r="W20" s="1" t="s">
        <v>1660</v>
      </c>
      <c r="X20" s="1">
        <v>0</v>
      </c>
      <c r="Y20" s="1" t="s">
        <v>32</v>
      </c>
      <c r="Z20" s="1" t="s">
        <v>32</v>
      </c>
      <c r="AA20" s="1" t="s">
        <v>1660</v>
      </c>
      <c r="AB20" s="1">
        <v>0</v>
      </c>
      <c r="AC20" s="1" t="s">
        <v>1660</v>
      </c>
      <c r="AD20" s="1">
        <v>0</v>
      </c>
      <c r="AE20" s="1" t="s">
        <v>1660</v>
      </c>
      <c r="AF20" s="1">
        <v>0</v>
      </c>
      <c r="AG20" s="1">
        <v>0</v>
      </c>
      <c r="AH20" s="1" t="s">
        <v>32</v>
      </c>
      <c r="AI20" s="1" t="s">
        <v>32</v>
      </c>
      <c r="AJ20" s="1" t="s">
        <v>32</v>
      </c>
      <c r="AK20" s="1" t="s">
        <v>32</v>
      </c>
      <c r="AL20" s="1" t="s">
        <v>32</v>
      </c>
      <c r="AM20" s="1">
        <v>0</v>
      </c>
      <c r="AN20" s="1" t="s">
        <v>32</v>
      </c>
      <c r="AO20" s="1">
        <v>0</v>
      </c>
      <c r="AP20" s="1" t="s">
        <v>32</v>
      </c>
      <c r="AQ20" s="1" t="s">
        <v>32</v>
      </c>
      <c r="AR20" s="1" t="s">
        <v>32</v>
      </c>
      <c r="AS20" s="1">
        <v>0</v>
      </c>
      <c r="AT20" s="1" t="s">
        <v>32</v>
      </c>
      <c r="AU20" s="1" t="s">
        <v>32</v>
      </c>
      <c r="AV20" s="1" t="s">
        <v>32</v>
      </c>
      <c r="AW20" s="1">
        <v>0</v>
      </c>
      <c r="AX20" s="1" t="s">
        <v>32</v>
      </c>
      <c r="AY20" s="1">
        <v>0</v>
      </c>
      <c r="AZ20" s="1" t="s">
        <v>1660</v>
      </c>
      <c r="BA20" s="1">
        <v>0</v>
      </c>
      <c r="BB20" s="1">
        <v>0</v>
      </c>
      <c r="BC20" s="1" t="s">
        <v>32</v>
      </c>
      <c r="BD20" s="1">
        <v>0</v>
      </c>
      <c r="BE20" s="1" t="s">
        <v>32</v>
      </c>
      <c r="BF20" s="1">
        <v>0</v>
      </c>
      <c r="BG20" s="1" t="s">
        <v>32</v>
      </c>
      <c r="BH20" s="1">
        <v>0</v>
      </c>
      <c r="BI20" s="1" t="s">
        <v>32</v>
      </c>
      <c r="BJ20" s="1" t="s">
        <v>32</v>
      </c>
      <c r="BK20" s="1" t="s">
        <v>32</v>
      </c>
      <c r="BL20" s="1">
        <v>0</v>
      </c>
      <c r="BM20" s="1" t="s">
        <v>32</v>
      </c>
      <c r="BN20" s="1" t="s">
        <v>32</v>
      </c>
      <c r="BO20" s="1" t="s">
        <v>32</v>
      </c>
      <c r="BP20" s="1">
        <v>0</v>
      </c>
      <c r="BQ20" s="1" t="s">
        <v>32</v>
      </c>
      <c r="BR20" s="1">
        <v>0</v>
      </c>
      <c r="BS20" s="1" t="s">
        <v>1660</v>
      </c>
      <c r="BT20" s="1">
        <v>0</v>
      </c>
      <c r="BU20" s="1">
        <v>0</v>
      </c>
      <c r="BV20" s="1" t="s">
        <v>1660</v>
      </c>
      <c r="BW20" s="1"/>
      <c r="BX20" s="1"/>
      <c r="BY20" s="1" t="s">
        <v>1807</v>
      </c>
      <c r="BZ20" s="2" t="b">
        <f>OR( (Dashboard[[#This Row],[ref_as_hh]]&gt;=1),(Dashboard[[#This Row],[ret_as_hh]] &gt;=1), (Dashboard[[#This Row],[idp_as_hh]]&gt;=1))</f>
        <v>0</v>
      </c>
      <c r="CA20" s="2">
        <f>Dashboard[[#This Row],[ret_hi_hh]]</f>
        <v>0</v>
      </c>
      <c r="CB20" s="2">
        <f>Dashboard[[#This Row],[idp_fa_hh]]+Dashboard[[#This Row],[ref_fa_hh]]+Dashboard[[#This Row],[ret_fa_hh]]</f>
        <v>4</v>
      </c>
      <c r="CC20" s="2">
        <f>Dashboard[[#This Row],[idp_loc_hh]]+Dashboard[[#This Row],[ref_loc_hh]]+Dashboard[[#This Row],[ret_loc_hh]]</f>
        <v>0</v>
      </c>
      <c r="CD20" s="2">
        <f>Dashboard[[#This Row],[idp_cc_hh]]+Dashboard[[#This Row],[ref_cc_hh]]+Dashboard[[#This Row],[ret_cc_hh]]</f>
        <v>0</v>
      </c>
      <c r="CE20" s="2">
        <f>Dashboard[[#This Row],[idp_as_hh]]+Dashboard[[#This Row],[ref_as_hh]]+Dashboard[[#This Row],[ret_as_hh]]</f>
        <v>0</v>
      </c>
      <c r="CF20" s="2">
        <f>Dashboard[[#This Row],[idp_al_hh]]+Dashboard[[#This Row],[ref_al_hh]]+Dashboard[[#This Row],[ret_al_hh]]</f>
        <v>0</v>
      </c>
    </row>
    <row r="21" spans="1:84" x14ac:dyDescent="0.25">
      <c r="A21" s="27">
        <v>102</v>
      </c>
      <c r="B21" s="2" t="s">
        <v>22</v>
      </c>
      <c r="C21" s="2" t="s">
        <v>23</v>
      </c>
      <c r="D21" s="2" t="s">
        <v>24</v>
      </c>
      <c r="E21" s="2" t="s">
        <v>25</v>
      </c>
      <c r="F21" s="2" t="s">
        <v>56</v>
      </c>
      <c r="G21" s="2" t="s">
        <v>57</v>
      </c>
      <c r="H21" s="2" t="s">
        <v>894</v>
      </c>
      <c r="I21" s="2" t="s">
        <v>76</v>
      </c>
      <c r="J21" s="2" t="s">
        <v>2266</v>
      </c>
      <c r="K21" s="2" t="s">
        <v>2267</v>
      </c>
      <c r="L21" s="2" t="s">
        <v>2074</v>
      </c>
      <c r="M21" s="2">
        <v>228</v>
      </c>
      <c r="N21" s="2" t="s">
        <v>1658</v>
      </c>
      <c r="O21" s="2">
        <v>28</v>
      </c>
      <c r="P21" s="2">
        <v>228</v>
      </c>
      <c r="Q21" s="2" t="s">
        <v>32</v>
      </c>
      <c r="R21" s="2">
        <v>0</v>
      </c>
      <c r="S21" s="2" t="s">
        <v>1660</v>
      </c>
      <c r="T21" s="2">
        <v>0</v>
      </c>
      <c r="U21" s="2" t="s">
        <v>32</v>
      </c>
      <c r="V21" s="2" t="s">
        <v>32</v>
      </c>
      <c r="W21" s="1" t="s">
        <v>1660</v>
      </c>
      <c r="X21" s="1">
        <v>0</v>
      </c>
      <c r="Y21" s="1" t="s">
        <v>32</v>
      </c>
      <c r="Z21" s="1" t="s">
        <v>32</v>
      </c>
      <c r="AA21" s="1" t="s">
        <v>1658</v>
      </c>
      <c r="AB21" s="1">
        <v>28</v>
      </c>
      <c r="AC21" s="1" t="s">
        <v>1660</v>
      </c>
      <c r="AD21" s="1">
        <v>0</v>
      </c>
      <c r="AE21" s="1" t="s">
        <v>1660</v>
      </c>
      <c r="AF21" s="1">
        <v>0</v>
      </c>
      <c r="AG21" s="1">
        <v>0</v>
      </c>
      <c r="AH21" s="1" t="s">
        <v>32</v>
      </c>
      <c r="AI21" s="1" t="s">
        <v>32</v>
      </c>
      <c r="AJ21" s="1" t="s">
        <v>32</v>
      </c>
      <c r="AK21" s="1" t="s">
        <v>32</v>
      </c>
      <c r="AL21" s="1" t="s">
        <v>32</v>
      </c>
      <c r="AM21" s="1">
        <v>0</v>
      </c>
      <c r="AN21" s="1" t="s">
        <v>32</v>
      </c>
      <c r="AO21" s="1">
        <v>0</v>
      </c>
      <c r="AP21" s="1" t="s">
        <v>32</v>
      </c>
      <c r="AQ21" s="1" t="s">
        <v>32</v>
      </c>
      <c r="AR21" s="1" t="s">
        <v>32</v>
      </c>
      <c r="AS21" s="1">
        <v>0</v>
      </c>
      <c r="AT21" s="1" t="s">
        <v>32</v>
      </c>
      <c r="AU21" s="1" t="s">
        <v>32</v>
      </c>
      <c r="AV21" s="1" t="s">
        <v>32</v>
      </c>
      <c r="AW21" s="1">
        <v>0</v>
      </c>
      <c r="AX21" s="1" t="s">
        <v>32</v>
      </c>
      <c r="AY21" s="1">
        <v>0</v>
      </c>
      <c r="AZ21" s="1" t="s">
        <v>1660</v>
      </c>
      <c r="BA21" s="1">
        <v>0</v>
      </c>
      <c r="BB21" s="1">
        <v>0</v>
      </c>
      <c r="BC21" s="1" t="s">
        <v>32</v>
      </c>
      <c r="BD21" s="1">
        <v>0</v>
      </c>
      <c r="BE21" s="1" t="s">
        <v>32</v>
      </c>
      <c r="BF21" s="1">
        <v>0</v>
      </c>
      <c r="BG21" s="1" t="s">
        <v>32</v>
      </c>
      <c r="BH21" s="1">
        <v>0</v>
      </c>
      <c r="BI21" s="1" t="s">
        <v>32</v>
      </c>
      <c r="BJ21" s="1" t="s">
        <v>32</v>
      </c>
      <c r="BK21" s="1" t="s">
        <v>32</v>
      </c>
      <c r="BL21" s="1">
        <v>0</v>
      </c>
      <c r="BM21" s="1" t="s">
        <v>32</v>
      </c>
      <c r="BN21" s="1" t="s">
        <v>32</v>
      </c>
      <c r="BO21" s="1" t="s">
        <v>32</v>
      </c>
      <c r="BP21" s="1">
        <v>0</v>
      </c>
      <c r="BQ21" s="1" t="s">
        <v>32</v>
      </c>
      <c r="BR21" s="1">
        <v>0</v>
      </c>
      <c r="BS21" s="1" t="s">
        <v>1660</v>
      </c>
      <c r="BT21" s="1">
        <v>0</v>
      </c>
      <c r="BU21" s="1">
        <v>0</v>
      </c>
      <c r="BV21" s="1" t="s">
        <v>1660</v>
      </c>
      <c r="BW21" s="1"/>
      <c r="BX21" s="1"/>
      <c r="BY21" s="1" t="s">
        <v>1807</v>
      </c>
      <c r="BZ21" s="2" t="b">
        <f>OR( (Dashboard[[#This Row],[ref_as_hh]]&gt;=1),(Dashboard[[#This Row],[ret_as_hh]] &gt;=1), (Dashboard[[#This Row],[idp_as_hh]]&gt;=1))</f>
        <v>1</v>
      </c>
      <c r="CA21" s="2">
        <f>Dashboard[[#This Row],[ret_hi_hh]]</f>
        <v>0</v>
      </c>
      <c r="CB21" s="2">
        <f>Dashboard[[#This Row],[idp_fa_hh]]+Dashboard[[#This Row],[ref_fa_hh]]+Dashboard[[#This Row],[ret_fa_hh]]</f>
        <v>0</v>
      </c>
      <c r="CC21" s="2">
        <f>Dashboard[[#This Row],[idp_loc_hh]]+Dashboard[[#This Row],[ref_loc_hh]]+Dashboard[[#This Row],[ret_loc_hh]]</f>
        <v>0</v>
      </c>
      <c r="CD21" s="2">
        <f>Dashboard[[#This Row],[idp_cc_hh]]+Dashboard[[#This Row],[ref_cc_hh]]+Dashboard[[#This Row],[ret_cc_hh]]</f>
        <v>0</v>
      </c>
      <c r="CE21" s="2">
        <f>Dashboard[[#This Row],[idp_as_hh]]+Dashboard[[#This Row],[ref_as_hh]]+Dashboard[[#This Row],[ret_as_hh]]</f>
        <v>28</v>
      </c>
      <c r="CF21" s="2">
        <f>Dashboard[[#This Row],[idp_al_hh]]+Dashboard[[#This Row],[ref_al_hh]]+Dashboard[[#This Row],[ret_al_hh]]</f>
        <v>0</v>
      </c>
    </row>
    <row r="22" spans="1:84" hidden="1" x14ac:dyDescent="0.25">
      <c r="A22" s="27">
        <v>372</v>
      </c>
      <c r="B22" s="2" t="s">
        <v>22</v>
      </c>
      <c r="C22" s="2" t="s">
        <v>23</v>
      </c>
      <c r="D22" s="2" t="s">
        <v>24</v>
      </c>
      <c r="E22" s="2" t="s">
        <v>25</v>
      </c>
      <c r="F22" s="2" t="s">
        <v>56</v>
      </c>
      <c r="G22" s="2" t="s">
        <v>57</v>
      </c>
      <c r="H22" s="2" t="s">
        <v>898</v>
      </c>
      <c r="I22" s="2" t="s">
        <v>80</v>
      </c>
      <c r="J22" s="2" t="s">
        <v>2274</v>
      </c>
      <c r="K22" s="2" t="s">
        <v>2275</v>
      </c>
      <c r="L22" s="2" t="s">
        <v>2074</v>
      </c>
      <c r="M22" s="2">
        <v>800</v>
      </c>
      <c r="N22" s="2" t="s">
        <v>1658</v>
      </c>
      <c r="O22" s="2">
        <v>9</v>
      </c>
      <c r="P22" s="2">
        <v>44</v>
      </c>
      <c r="Q22" s="2" t="s">
        <v>1658</v>
      </c>
      <c r="R22" s="2">
        <v>9</v>
      </c>
      <c r="S22" s="2" t="s">
        <v>1660</v>
      </c>
      <c r="T22" s="2">
        <v>0</v>
      </c>
      <c r="U22" s="2" t="s">
        <v>32</v>
      </c>
      <c r="V22" s="2" t="s">
        <v>32</v>
      </c>
      <c r="W22" s="1" t="s">
        <v>1660</v>
      </c>
      <c r="X22" s="1">
        <v>0</v>
      </c>
      <c r="Y22" s="1" t="s">
        <v>32</v>
      </c>
      <c r="Z22" s="1" t="s">
        <v>32</v>
      </c>
      <c r="AA22" s="1" t="s">
        <v>1660</v>
      </c>
      <c r="AB22" s="1">
        <v>0</v>
      </c>
      <c r="AC22" s="1" t="s">
        <v>1660</v>
      </c>
      <c r="AD22" s="1">
        <v>0</v>
      </c>
      <c r="AE22" s="1" t="s">
        <v>1660</v>
      </c>
      <c r="AF22" s="1">
        <v>0</v>
      </c>
      <c r="AG22" s="1">
        <v>0</v>
      </c>
      <c r="AH22" s="1" t="s">
        <v>32</v>
      </c>
      <c r="AI22" s="1" t="s">
        <v>32</v>
      </c>
      <c r="AJ22" s="1" t="s">
        <v>32</v>
      </c>
      <c r="AK22" s="1" t="s">
        <v>32</v>
      </c>
      <c r="AL22" s="1" t="s">
        <v>32</v>
      </c>
      <c r="AM22" s="1">
        <v>0</v>
      </c>
      <c r="AN22" s="1" t="s">
        <v>32</v>
      </c>
      <c r="AO22" s="1">
        <v>0</v>
      </c>
      <c r="AP22" s="1" t="s">
        <v>32</v>
      </c>
      <c r="AQ22" s="1" t="s">
        <v>32</v>
      </c>
      <c r="AR22" s="1" t="s">
        <v>32</v>
      </c>
      <c r="AS22" s="1">
        <v>0</v>
      </c>
      <c r="AT22" s="1" t="s">
        <v>32</v>
      </c>
      <c r="AU22" s="1" t="s">
        <v>32</v>
      </c>
      <c r="AV22" s="1" t="s">
        <v>32</v>
      </c>
      <c r="AW22" s="1">
        <v>0</v>
      </c>
      <c r="AX22" s="1" t="s">
        <v>32</v>
      </c>
      <c r="AY22" s="1">
        <v>0</v>
      </c>
      <c r="AZ22" s="1" t="s">
        <v>1660</v>
      </c>
      <c r="BA22" s="1">
        <v>0</v>
      </c>
      <c r="BB22" s="1">
        <v>0</v>
      </c>
      <c r="BC22" s="1" t="s">
        <v>32</v>
      </c>
      <c r="BD22" s="1">
        <v>0</v>
      </c>
      <c r="BE22" s="1" t="s">
        <v>32</v>
      </c>
      <c r="BF22" s="1">
        <v>0</v>
      </c>
      <c r="BG22" s="1" t="s">
        <v>32</v>
      </c>
      <c r="BH22" s="1">
        <v>0</v>
      </c>
      <c r="BI22" s="1" t="s">
        <v>32</v>
      </c>
      <c r="BJ22" s="1" t="s">
        <v>32</v>
      </c>
      <c r="BK22" s="1" t="s">
        <v>32</v>
      </c>
      <c r="BL22" s="1">
        <v>0</v>
      </c>
      <c r="BM22" s="1" t="s">
        <v>32</v>
      </c>
      <c r="BN22" s="1" t="s">
        <v>32</v>
      </c>
      <c r="BO22" s="1" t="s">
        <v>32</v>
      </c>
      <c r="BP22" s="1">
        <v>0</v>
      </c>
      <c r="BQ22" s="1" t="s">
        <v>32</v>
      </c>
      <c r="BR22" s="1">
        <v>0</v>
      </c>
      <c r="BS22" s="1" t="s">
        <v>1660</v>
      </c>
      <c r="BT22" s="1">
        <v>0</v>
      </c>
      <c r="BU22" s="1">
        <v>0</v>
      </c>
      <c r="BV22" s="1" t="s">
        <v>1660</v>
      </c>
      <c r="BW22" s="1"/>
      <c r="BX22" s="1"/>
      <c r="BY22" s="1" t="s">
        <v>1807</v>
      </c>
      <c r="BZ22" s="2" t="b">
        <f>OR( (Dashboard[[#This Row],[ref_as_hh]]&gt;=1),(Dashboard[[#This Row],[ret_as_hh]] &gt;=1), (Dashboard[[#This Row],[idp_as_hh]]&gt;=1))</f>
        <v>0</v>
      </c>
      <c r="CA22" s="2">
        <f>Dashboard[[#This Row],[ret_hi_hh]]</f>
        <v>0</v>
      </c>
      <c r="CB22" s="2">
        <f>Dashboard[[#This Row],[idp_fa_hh]]+Dashboard[[#This Row],[ref_fa_hh]]+Dashboard[[#This Row],[ret_fa_hh]]</f>
        <v>9</v>
      </c>
      <c r="CC22" s="2">
        <f>Dashboard[[#This Row],[idp_loc_hh]]+Dashboard[[#This Row],[ref_loc_hh]]+Dashboard[[#This Row],[ret_loc_hh]]</f>
        <v>0</v>
      </c>
      <c r="CD22" s="2">
        <f>Dashboard[[#This Row],[idp_cc_hh]]+Dashboard[[#This Row],[ref_cc_hh]]+Dashboard[[#This Row],[ret_cc_hh]]</f>
        <v>0</v>
      </c>
      <c r="CE22" s="2">
        <f>Dashboard[[#This Row],[idp_as_hh]]+Dashboard[[#This Row],[ref_as_hh]]+Dashboard[[#This Row],[ret_as_hh]]</f>
        <v>0</v>
      </c>
      <c r="CF22" s="2">
        <f>Dashboard[[#This Row],[idp_al_hh]]+Dashboard[[#This Row],[ref_al_hh]]+Dashboard[[#This Row],[ret_al_hh]]</f>
        <v>0</v>
      </c>
    </row>
    <row r="23" spans="1:84" hidden="1" x14ac:dyDescent="0.25">
      <c r="A23" s="27">
        <v>117</v>
      </c>
      <c r="B23" s="2" t="s">
        <v>22</v>
      </c>
      <c r="C23" s="2" t="s">
        <v>23</v>
      </c>
      <c r="D23" s="2" t="s">
        <v>24</v>
      </c>
      <c r="E23" s="2" t="s">
        <v>25</v>
      </c>
      <c r="F23" s="2" t="s">
        <v>56</v>
      </c>
      <c r="G23" s="2" t="s">
        <v>57</v>
      </c>
      <c r="H23" s="2" t="s">
        <v>903</v>
      </c>
      <c r="I23" s="2" t="s">
        <v>140</v>
      </c>
      <c r="J23" s="2" t="s">
        <v>2284</v>
      </c>
      <c r="K23" s="2" t="s">
        <v>2285</v>
      </c>
      <c r="L23" s="2" t="s">
        <v>2074</v>
      </c>
      <c r="M23" s="2">
        <v>650</v>
      </c>
      <c r="N23" s="2" t="s">
        <v>1658</v>
      </c>
      <c r="O23" s="2">
        <v>3</v>
      </c>
      <c r="P23" s="2">
        <v>20</v>
      </c>
      <c r="Q23" s="2" t="s">
        <v>1658</v>
      </c>
      <c r="R23" s="2">
        <v>3</v>
      </c>
      <c r="S23" s="2" t="s">
        <v>1660</v>
      </c>
      <c r="T23" s="2">
        <v>0</v>
      </c>
      <c r="U23" s="2" t="s">
        <v>32</v>
      </c>
      <c r="V23" s="2" t="s">
        <v>32</v>
      </c>
      <c r="W23" s="1" t="s">
        <v>1660</v>
      </c>
      <c r="X23" s="1">
        <v>0</v>
      </c>
      <c r="Y23" s="1" t="s">
        <v>32</v>
      </c>
      <c r="Z23" s="1" t="s">
        <v>32</v>
      </c>
      <c r="AA23" s="1" t="s">
        <v>1660</v>
      </c>
      <c r="AB23" s="1">
        <v>0</v>
      </c>
      <c r="AC23" s="1" t="s">
        <v>1660</v>
      </c>
      <c r="AD23" s="1">
        <v>0</v>
      </c>
      <c r="AE23" s="1" t="s">
        <v>1660</v>
      </c>
      <c r="AF23" s="1">
        <v>0</v>
      </c>
      <c r="AG23" s="1">
        <v>0</v>
      </c>
      <c r="AH23" s="1" t="s">
        <v>32</v>
      </c>
      <c r="AI23" s="1" t="s">
        <v>32</v>
      </c>
      <c r="AJ23" s="1" t="s">
        <v>32</v>
      </c>
      <c r="AK23" s="1" t="s">
        <v>32</v>
      </c>
      <c r="AL23" s="1" t="s">
        <v>32</v>
      </c>
      <c r="AM23" s="1">
        <v>0</v>
      </c>
      <c r="AN23" s="1" t="s">
        <v>32</v>
      </c>
      <c r="AO23" s="1">
        <v>0</v>
      </c>
      <c r="AP23" s="1" t="s">
        <v>32</v>
      </c>
      <c r="AQ23" s="1" t="s">
        <v>32</v>
      </c>
      <c r="AR23" s="1" t="s">
        <v>32</v>
      </c>
      <c r="AS23" s="1">
        <v>0</v>
      </c>
      <c r="AT23" s="1" t="s">
        <v>32</v>
      </c>
      <c r="AU23" s="1" t="s">
        <v>32</v>
      </c>
      <c r="AV23" s="1" t="s">
        <v>32</v>
      </c>
      <c r="AW23" s="1">
        <v>0</v>
      </c>
      <c r="AX23" s="1" t="s">
        <v>32</v>
      </c>
      <c r="AY23" s="1">
        <v>0</v>
      </c>
      <c r="AZ23" s="1" t="s">
        <v>1660</v>
      </c>
      <c r="BA23" s="1">
        <v>0</v>
      </c>
      <c r="BB23" s="1">
        <v>0</v>
      </c>
      <c r="BC23" s="1" t="s">
        <v>32</v>
      </c>
      <c r="BD23" s="1">
        <v>0</v>
      </c>
      <c r="BE23" s="1" t="s">
        <v>32</v>
      </c>
      <c r="BF23" s="1">
        <v>0</v>
      </c>
      <c r="BG23" s="1" t="s">
        <v>32</v>
      </c>
      <c r="BH23" s="1">
        <v>0</v>
      </c>
      <c r="BI23" s="1" t="s">
        <v>32</v>
      </c>
      <c r="BJ23" s="1" t="s">
        <v>32</v>
      </c>
      <c r="BK23" s="1" t="s">
        <v>32</v>
      </c>
      <c r="BL23" s="1">
        <v>0</v>
      </c>
      <c r="BM23" s="1" t="s">
        <v>32</v>
      </c>
      <c r="BN23" s="1" t="s">
        <v>32</v>
      </c>
      <c r="BO23" s="1" t="s">
        <v>32</v>
      </c>
      <c r="BP23" s="1">
        <v>0</v>
      </c>
      <c r="BQ23" s="1" t="s">
        <v>32</v>
      </c>
      <c r="BR23" s="1">
        <v>0</v>
      </c>
      <c r="BS23" s="1" t="s">
        <v>1660</v>
      </c>
      <c r="BT23" s="1">
        <v>0</v>
      </c>
      <c r="BU23" s="1">
        <v>0</v>
      </c>
      <c r="BV23" s="1" t="s">
        <v>1660</v>
      </c>
      <c r="BW23" s="1"/>
      <c r="BX23" s="1"/>
      <c r="BY23" s="1" t="s">
        <v>1807</v>
      </c>
      <c r="BZ23" s="2" t="b">
        <f>OR( (Dashboard[[#This Row],[ref_as_hh]]&gt;=1),(Dashboard[[#This Row],[ret_as_hh]] &gt;=1), (Dashboard[[#This Row],[idp_as_hh]]&gt;=1))</f>
        <v>0</v>
      </c>
      <c r="CA23" s="2">
        <f>Dashboard[[#This Row],[ret_hi_hh]]</f>
        <v>0</v>
      </c>
      <c r="CB23" s="2">
        <f>Dashboard[[#This Row],[idp_fa_hh]]+Dashboard[[#This Row],[ref_fa_hh]]+Dashboard[[#This Row],[ret_fa_hh]]</f>
        <v>3</v>
      </c>
      <c r="CC23" s="2">
        <f>Dashboard[[#This Row],[idp_loc_hh]]+Dashboard[[#This Row],[ref_loc_hh]]+Dashboard[[#This Row],[ret_loc_hh]]</f>
        <v>0</v>
      </c>
      <c r="CD23" s="2">
        <f>Dashboard[[#This Row],[idp_cc_hh]]+Dashboard[[#This Row],[ref_cc_hh]]+Dashboard[[#This Row],[ret_cc_hh]]</f>
        <v>0</v>
      </c>
      <c r="CE23" s="2">
        <f>Dashboard[[#This Row],[idp_as_hh]]+Dashboard[[#This Row],[ref_as_hh]]+Dashboard[[#This Row],[ret_as_hh]]</f>
        <v>0</v>
      </c>
      <c r="CF23" s="2">
        <f>Dashboard[[#This Row],[idp_al_hh]]+Dashboard[[#This Row],[ref_al_hh]]+Dashboard[[#This Row],[ret_al_hh]]</f>
        <v>0</v>
      </c>
    </row>
    <row r="24" spans="1:84" hidden="1" x14ac:dyDescent="0.25">
      <c r="A24" s="27">
        <v>384</v>
      </c>
      <c r="B24" s="2" t="s">
        <v>22</v>
      </c>
      <c r="C24" s="2" t="s">
        <v>23</v>
      </c>
      <c r="D24" s="2" t="s">
        <v>24</v>
      </c>
      <c r="E24" s="2" t="s">
        <v>25</v>
      </c>
      <c r="F24" s="2" t="s">
        <v>56</v>
      </c>
      <c r="G24" s="2" t="s">
        <v>57</v>
      </c>
      <c r="H24" s="2" t="s">
        <v>890</v>
      </c>
      <c r="I24" s="2" t="s">
        <v>72</v>
      </c>
      <c r="J24" s="2" t="s">
        <v>2258</v>
      </c>
      <c r="K24" s="2" t="s">
        <v>2259</v>
      </c>
      <c r="L24" s="2" t="s">
        <v>2074</v>
      </c>
      <c r="M24" s="2">
        <v>307</v>
      </c>
      <c r="N24" s="2" t="s">
        <v>1658</v>
      </c>
      <c r="O24" s="2">
        <v>11</v>
      </c>
      <c r="P24" s="2">
        <v>59</v>
      </c>
      <c r="Q24" s="2" t="s">
        <v>1658</v>
      </c>
      <c r="R24" s="2">
        <v>11</v>
      </c>
      <c r="S24" s="2" t="s">
        <v>1660</v>
      </c>
      <c r="T24" s="2">
        <v>0</v>
      </c>
      <c r="U24" s="2" t="s">
        <v>32</v>
      </c>
      <c r="V24" s="2" t="s">
        <v>32</v>
      </c>
      <c r="W24" s="1" t="s">
        <v>1660</v>
      </c>
      <c r="X24" s="1">
        <v>0</v>
      </c>
      <c r="Y24" s="1" t="s">
        <v>32</v>
      </c>
      <c r="Z24" s="1" t="s">
        <v>32</v>
      </c>
      <c r="AA24" s="1" t="s">
        <v>1660</v>
      </c>
      <c r="AB24" s="1">
        <v>0</v>
      </c>
      <c r="AC24" s="1" t="s">
        <v>1660</v>
      </c>
      <c r="AD24" s="1">
        <v>0</v>
      </c>
      <c r="AE24" s="1" t="s">
        <v>1660</v>
      </c>
      <c r="AF24" s="1">
        <v>0</v>
      </c>
      <c r="AG24" s="1">
        <v>0</v>
      </c>
      <c r="AH24" s="1" t="s">
        <v>32</v>
      </c>
      <c r="AI24" s="1" t="s">
        <v>32</v>
      </c>
      <c r="AJ24" s="1" t="s">
        <v>32</v>
      </c>
      <c r="AK24" s="1" t="s">
        <v>32</v>
      </c>
      <c r="AL24" s="1" t="s">
        <v>32</v>
      </c>
      <c r="AM24" s="1">
        <v>0</v>
      </c>
      <c r="AN24" s="1" t="s">
        <v>32</v>
      </c>
      <c r="AO24" s="1">
        <v>0</v>
      </c>
      <c r="AP24" s="1" t="s">
        <v>32</v>
      </c>
      <c r="AQ24" s="1" t="s">
        <v>32</v>
      </c>
      <c r="AR24" s="1" t="s">
        <v>32</v>
      </c>
      <c r="AS24" s="1">
        <v>0</v>
      </c>
      <c r="AT24" s="1" t="s">
        <v>32</v>
      </c>
      <c r="AU24" s="1" t="s">
        <v>32</v>
      </c>
      <c r="AV24" s="1" t="s">
        <v>32</v>
      </c>
      <c r="AW24" s="1">
        <v>0</v>
      </c>
      <c r="AX24" s="1" t="s">
        <v>32</v>
      </c>
      <c r="AY24" s="1">
        <v>0</v>
      </c>
      <c r="AZ24" s="1" t="s">
        <v>1660</v>
      </c>
      <c r="BA24" s="1">
        <v>0</v>
      </c>
      <c r="BB24" s="1">
        <v>0</v>
      </c>
      <c r="BC24" s="1" t="s">
        <v>32</v>
      </c>
      <c r="BD24" s="1">
        <v>0</v>
      </c>
      <c r="BE24" s="1" t="s">
        <v>32</v>
      </c>
      <c r="BF24" s="1">
        <v>0</v>
      </c>
      <c r="BG24" s="1" t="s">
        <v>32</v>
      </c>
      <c r="BH24" s="1">
        <v>0</v>
      </c>
      <c r="BI24" s="1" t="s">
        <v>32</v>
      </c>
      <c r="BJ24" s="1" t="s">
        <v>32</v>
      </c>
      <c r="BK24" s="1" t="s">
        <v>32</v>
      </c>
      <c r="BL24" s="1">
        <v>0</v>
      </c>
      <c r="BM24" s="1" t="s">
        <v>32</v>
      </c>
      <c r="BN24" s="1" t="s">
        <v>32</v>
      </c>
      <c r="BO24" s="1" t="s">
        <v>32</v>
      </c>
      <c r="BP24" s="1">
        <v>0</v>
      </c>
      <c r="BQ24" s="1" t="s">
        <v>32</v>
      </c>
      <c r="BR24" s="1">
        <v>0</v>
      </c>
      <c r="BS24" s="1" t="s">
        <v>1660</v>
      </c>
      <c r="BT24" s="1">
        <v>0</v>
      </c>
      <c r="BU24" s="1">
        <v>0</v>
      </c>
      <c r="BV24" s="1" t="s">
        <v>1660</v>
      </c>
      <c r="BW24" s="1"/>
      <c r="BX24" s="1"/>
      <c r="BY24" s="1" t="s">
        <v>1807</v>
      </c>
      <c r="BZ24" s="2" t="b">
        <f>OR( (Dashboard[[#This Row],[ref_as_hh]]&gt;=1),(Dashboard[[#This Row],[ret_as_hh]] &gt;=1), (Dashboard[[#This Row],[idp_as_hh]]&gt;=1))</f>
        <v>0</v>
      </c>
      <c r="CA24" s="2">
        <f>Dashboard[[#This Row],[ret_hi_hh]]</f>
        <v>0</v>
      </c>
      <c r="CB24" s="2">
        <f>Dashboard[[#This Row],[idp_fa_hh]]+Dashboard[[#This Row],[ref_fa_hh]]+Dashboard[[#This Row],[ret_fa_hh]]</f>
        <v>11</v>
      </c>
      <c r="CC24" s="2">
        <f>Dashboard[[#This Row],[idp_loc_hh]]+Dashboard[[#This Row],[ref_loc_hh]]+Dashboard[[#This Row],[ret_loc_hh]]</f>
        <v>0</v>
      </c>
      <c r="CD24" s="2">
        <f>Dashboard[[#This Row],[idp_cc_hh]]+Dashboard[[#This Row],[ref_cc_hh]]+Dashboard[[#This Row],[ret_cc_hh]]</f>
        <v>0</v>
      </c>
      <c r="CE24" s="2">
        <f>Dashboard[[#This Row],[idp_as_hh]]+Dashboard[[#This Row],[ref_as_hh]]+Dashboard[[#This Row],[ret_as_hh]]</f>
        <v>0</v>
      </c>
      <c r="CF24" s="2">
        <f>Dashboard[[#This Row],[idp_al_hh]]+Dashboard[[#This Row],[ref_al_hh]]+Dashboard[[#This Row],[ret_al_hh]]</f>
        <v>0</v>
      </c>
    </row>
    <row r="25" spans="1:84" hidden="1" x14ac:dyDescent="0.25">
      <c r="A25" s="27">
        <v>385</v>
      </c>
      <c r="B25" s="2" t="s">
        <v>22</v>
      </c>
      <c r="C25" s="2" t="s">
        <v>23</v>
      </c>
      <c r="D25" s="2" t="s">
        <v>24</v>
      </c>
      <c r="E25" s="2" t="s">
        <v>25</v>
      </c>
      <c r="F25" s="2" t="s">
        <v>56</v>
      </c>
      <c r="G25" s="2" t="s">
        <v>57</v>
      </c>
      <c r="H25" s="2" t="s">
        <v>879</v>
      </c>
      <c r="I25" s="2" t="s">
        <v>58</v>
      </c>
      <c r="J25" s="2" t="s">
        <v>2234</v>
      </c>
      <c r="K25" s="2" t="s">
        <v>2235</v>
      </c>
      <c r="L25" s="2" t="s">
        <v>2074</v>
      </c>
      <c r="M25" s="2">
        <v>507</v>
      </c>
      <c r="N25" s="2" t="s">
        <v>1658</v>
      </c>
      <c r="O25" s="2">
        <v>3</v>
      </c>
      <c r="P25" s="2">
        <v>18</v>
      </c>
      <c r="Q25" s="2" t="s">
        <v>1658</v>
      </c>
      <c r="R25" s="2">
        <v>3</v>
      </c>
      <c r="S25" s="2" t="s">
        <v>1660</v>
      </c>
      <c r="T25" s="2">
        <v>0</v>
      </c>
      <c r="U25" s="2" t="s">
        <v>32</v>
      </c>
      <c r="V25" s="2" t="s">
        <v>32</v>
      </c>
      <c r="W25" s="1" t="s">
        <v>1660</v>
      </c>
      <c r="X25" s="1">
        <v>0</v>
      </c>
      <c r="Y25" s="1" t="s">
        <v>32</v>
      </c>
      <c r="Z25" s="1" t="s">
        <v>32</v>
      </c>
      <c r="AA25" s="1" t="s">
        <v>1660</v>
      </c>
      <c r="AB25" s="1">
        <v>0</v>
      </c>
      <c r="AC25" s="1" t="s">
        <v>1660</v>
      </c>
      <c r="AD25" s="1">
        <v>0</v>
      </c>
      <c r="AE25" s="1" t="s">
        <v>1658</v>
      </c>
      <c r="AF25" s="1">
        <v>2</v>
      </c>
      <c r="AG25" s="1">
        <v>11</v>
      </c>
      <c r="AH25" s="1" t="s">
        <v>1660</v>
      </c>
      <c r="AI25" s="1" t="s">
        <v>32</v>
      </c>
      <c r="AJ25" s="1" t="s">
        <v>32</v>
      </c>
      <c r="AK25" s="1" t="s">
        <v>32</v>
      </c>
      <c r="AL25" s="1" t="s">
        <v>1658</v>
      </c>
      <c r="AM25" s="1">
        <v>2</v>
      </c>
      <c r="AN25" s="1" t="s">
        <v>1660</v>
      </c>
      <c r="AO25" s="1">
        <v>0</v>
      </c>
      <c r="AP25" s="1" t="s">
        <v>32</v>
      </c>
      <c r="AQ25" s="1" t="s">
        <v>32</v>
      </c>
      <c r="AR25" s="1" t="s">
        <v>1660</v>
      </c>
      <c r="AS25" s="1">
        <v>0</v>
      </c>
      <c r="AT25" s="1" t="s">
        <v>32</v>
      </c>
      <c r="AU25" s="1" t="s">
        <v>32</v>
      </c>
      <c r="AV25" s="1" t="s">
        <v>1660</v>
      </c>
      <c r="AW25" s="1">
        <v>0</v>
      </c>
      <c r="AX25" s="1" t="s">
        <v>1660</v>
      </c>
      <c r="AY25" s="1">
        <v>0</v>
      </c>
      <c r="AZ25" s="1" t="s">
        <v>1660</v>
      </c>
      <c r="BA25" s="1">
        <v>0</v>
      </c>
      <c r="BB25" s="1">
        <v>0</v>
      </c>
      <c r="BC25" s="1" t="s">
        <v>32</v>
      </c>
      <c r="BD25" s="1">
        <v>0</v>
      </c>
      <c r="BE25" s="1" t="s">
        <v>32</v>
      </c>
      <c r="BF25" s="1">
        <v>0</v>
      </c>
      <c r="BG25" s="1" t="s">
        <v>32</v>
      </c>
      <c r="BH25" s="1">
        <v>0</v>
      </c>
      <c r="BI25" s="1" t="s">
        <v>32</v>
      </c>
      <c r="BJ25" s="1" t="s">
        <v>32</v>
      </c>
      <c r="BK25" s="1" t="s">
        <v>32</v>
      </c>
      <c r="BL25" s="1">
        <v>0</v>
      </c>
      <c r="BM25" s="1" t="s">
        <v>32</v>
      </c>
      <c r="BN25" s="1" t="s">
        <v>32</v>
      </c>
      <c r="BO25" s="1" t="s">
        <v>32</v>
      </c>
      <c r="BP25" s="1">
        <v>0</v>
      </c>
      <c r="BQ25" s="1" t="s">
        <v>32</v>
      </c>
      <c r="BR25" s="1">
        <v>0</v>
      </c>
      <c r="BS25" s="1" t="s">
        <v>1660</v>
      </c>
      <c r="BT25" s="1">
        <v>0</v>
      </c>
      <c r="BU25" s="1">
        <v>0</v>
      </c>
      <c r="BV25" s="1" t="s">
        <v>1660</v>
      </c>
      <c r="BW25" s="1"/>
      <c r="BX25" s="1"/>
      <c r="BY25" s="1" t="s">
        <v>1807</v>
      </c>
      <c r="BZ25" s="2" t="b">
        <f>OR( (Dashboard[[#This Row],[ref_as_hh]]&gt;=1),(Dashboard[[#This Row],[ret_as_hh]] &gt;=1), (Dashboard[[#This Row],[idp_as_hh]]&gt;=1))</f>
        <v>0</v>
      </c>
      <c r="CA25" s="2">
        <f>Dashboard[[#This Row],[ret_hi_hh]]</f>
        <v>0</v>
      </c>
      <c r="CB25" s="2">
        <f>Dashboard[[#This Row],[idp_fa_hh]]+Dashboard[[#This Row],[ref_fa_hh]]+Dashboard[[#This Row],[ret_fa_hh]]</f>
        <v>5</v>
      </c>
      <c r="CC25" s="2">
        <f>Dashboard[[#This Row],[idp_loc_hh]]+Dashboard[[#This Row],[ref_loc_hh]]+Dashboard[[#This Row],[ret_loc_hh]]</f>
        <v>0</v>
      </c>
      <c r="CD25" s="2">
        <f>Dashboard[[#This Row],[idp_cc_hh]]+Dashboard[[#This Row],[ref_cc_hh]]+Dashboard[[#This Row],[ret_cc_hh]]</f>
        <v>0</v>
      </c>
      <c r="CE25" s="2">
        <f>Dashboard[[#This Row],[idp_as_hh]]+Dashboard[[#This Row],[ref_as_hh]]+Dashboard[[#This Row],[ret_as_hh]]</f>
        <v>0</v>
      </c>
      <c r="CF25" s="2">
        <f>Dashboard[[#This Row],[idp_al_hh]]+Dashboard[[#This Row],[ref_al_hh]]+Dashboard[[#This Row],[ret_al_hh]]</f>
        <v>0</v>
      </c>
    </row>
    <row r="26" spans="1:84" hidden="1" x14ac:dyDescent="0.25">
      <c r="A26" s="27">
        <v>131</v>
      </c>
      <c r="B26" s="2" t="s">
        <v>22</v>
      </c>
      <c r="C26" s="2" t="s">
        <v>23</v>
      </c>
      <c r="D26" s="2" t="s">
        <v>24</v>
      </c>
      <c r="E26" s="2" t="s">
        <v>25</v>
      </c>
      <c r="F26" s="2" t="s">
        <v>56</v>
      </c>
      <c r="G26" s="2" t="s">
        <v>57</v>
      </c>
      <c r="H26" s="2" t="s">
        <v>881</v>
      </c>
      <c r="I26" s="2" t="s">
        <v>60</v>
      </c>
      <c r="J26" s="2" t="s">
        <v>2240</v>
      </c>
      <c r="K26" s="2" t="s">
        <v>2241</v>
      </c>
      <c r="L26" s="2" t="s">
        <v>2074</v>
      </c>
      <c r="M26" s="2">
        <v>1892</v>
      </c>
      <c r="N26" s="2" t="s">
        <v>1658</v>
      </c>
      <c r="O26" s="2">
        <v>19</v>
      </c>
      <c r="P26" s="2">
        <v>165</v>
      </c>
      <c r="Q26" s="2" t="s">
        <v>1658</v>
      </c>
      <c r="R26" s="2">
        <v>19</v>
      </c>
      <c r="S26" s="2" t="s">
        <v>1660</v>
      </c>
      <c r="T26" s="2">
        <v>0</v>
      </c>
      <c r="U26" s="2" t="s">
        <v>32</v>
      </c>
      <c r="V26" s="2" t="s">
        <v>32</v>
      </c>
      <c r="W26" s="1" t="s">
        <v>1660</v>
      </c>
      <c r="X26" s="1">
        <v>0</v>
      </c>
      <c r="Y26" s="1" t="s">
        <v>32</v>
      </c>
      <c r="Z26" s="1" t="s">
        <v>32</v>
      </c>
      <c r="AA26" s="1" t="s">
        <v>1660</v>
      </c>
      <c r="AB26" s="1">
        <v>0</v>
      </c>
      <c r="AC26" s="1" t="s">
        <v>1660</v>
      </c>
      <c r="AD26" s="1">
        <v>0</v>
      </c>
      <c r="AE26" s="1" t="s">
        <v>1660</v>
      </c>
      <c r="AF26" s="1">
        <v>0</v>
      </c>
      <c r="AG26" s="1">
        <v>0</v>
      </c>
      <c r="AH26" s="1" t="s">
        <v>32</v>
      </c>
      <c r="AI26" s="1" t="s">
        <v>32</v>
      </c>
      <c r="AJ26" s="1" t="s">
        <v>32</v>
      </c>
      <c r="AK26" s="1" t="s">
        <v>32</v>
      </c>
      <c r="AL26" s="1" t="s">
        <v>32</v>
      </c>
      <c r="AM26" s="1">
        <v>0</v>
      </c>
      <c r="AN26" s="1" t="s">
        <v>32</v>
      </c>
      <c r="AO26" s="1">
        <v>0</v>
      </c>
      <c r="AP26" s="1" t="s">
        <v>32</v>
      </c>
      <c r="AQ26" s="1" t="s">
        <v>32</v>
      </c>
      <c r="AR26" s="1" t="s">
        <v>32</v>
      </c>
      <c r="AS26" s="1">
        <v>0</v>
      </c>
      <c r="AT26" s="1" t="s">
        <v>32</v>
      </c>
      <c r="AU26" s="1" t="s">
        <v>32</v>
      </c>
      <c r="AV26" s="1" t="s">
        <v>32</v>
      </c>
      <c r="AW26" s="1">
        <v>0</v>
      </c>
      <c r="AX26" s="1" t="s">
        <v>32</v>
      </c>
      <c r="AY26" s="1">
        <v>0</v>
      </c>
      <c r="AZ26" s="1" t="s">
        <v>1660</v>
      </c>
      <c r="BA26" s="1">
        <v>0</v>
      </c>
      <c r="BB26" s="1">
        <v>0</v>
      </c>
      <c r="BC26" s="1" t="s">
        <v>32</v>
      </c>
      <c r="BD26" s="1">
        <v>0</v>
      </c>
      <c r="BE26" s="1" t="s">
        <v>32</v>
      </c>
      <c r="BF26" s="1">
        <v>0</v>
      </c>
      <c r="BG26" s="1" t="s">
        <v>32</v>
      </c>
      <c r="BH26" s="1">
        <v>0</v>
      </c>
      <c r="BI26" s="1" t="s">
        <v>32</v>
      </c>
      <c r="BJ26" s="1" t="s">
        <v>32</v>
      </c>
      <c r="BK26" s="1" t="s">
        <v>32</v>
      </c>
      <c r="BL26" s="1">
        <v>0</v>
      </c>
      <c r="BM26" s="1" t="s">
        <v>32</v>
      </c>
      <c r="BN26" s="1" t="s">
        <v>32</v>
      </c>
      <c r="BO26" s="1" t="s">
        <v>32</v>
      </c>
      <c r="BP26" s="1">
        <v>0</v>
      </c>
      <c r="BQ26" s="1" t="s">
        <v>32</v>
      </c>
      <c r="BR26" s="1">
        <v>0</v>
      </c>
      <c r="BS26" s="1" t="s">
        <v>1660</v>
      </c>
      <c r="BT26" s="1">
        <v>0</v>
      </c>
      <c r="BU26" s="1">
        <v>0</v>
      </c>
      <c r="BV26" s="1" t="s">
        <v>1660</v>
      </c>
      <c r="BW26" s="1"/>
      <c r="BX26" s="1"/>
      <c r="BY26" s="1" t="s">
        <v>1807</v>
      </c>
      <c r="BZ26" s="2" t="b">
        <f>OR( (Dashboard[[#This Row],[ref_as_hh]]&gt;=1),(Dashboard[[#This Row],[ret_as_hh]] &gt;=1), (Dashboard[[#This Row],[idp_as_hh]]&gt;=1))</f>
        <v>0</v>
      </c>
      <c r="CA26" s="2">
        <f>Dashboard[[#This Row],[ret_hi_hh]]</f>
        <v>0</v>
      </c>
      <c r="CB26" s="2">
        <f>Dashboard[[#This Row],[idp_fa_hh]]+Dashboard[[#This Row],[ref_fa_hh]]+Dashboard[[#This Row],[ret_fa_hh]]</f>
        <v>19</v>
      </c>
      <c r="CC26" s="2">
        <f>Dashboard[[#This Row],[idp_loc_hh]]+Dashboard[[#This Row],[ref_loc_hh]]+Dashboard[[#This Row],[ret_loc_hh]]</f>
        <v>0</v>
      </c>
      <c r="CD26" s="2">
        <f>Dashboard[[#This Row],[idp_cc_hh]]+Dashboard[[#This Row],[ref_cc_hh]]+Dashboard[[#This Row],[ret_cc_hh]]</f>
        <v>0</v>
      </c>
      <c r="CE26" s="2">
        <f>Dashboard[[#This Row],[idp_as_hh]]+Dashboard[[#This Row],[ref_as_hh]]+Dashboard[[#This Row],[ret_as_hh]]</f>
        <v>0</v>
      </c>
      <c r="CF26" s="2">
        <f>Dashboard[[#This Row],[idp_al_hh]]+Dashboard[[#This Row],[ref_al_hh]]+Dashboard[[#This Row],[ret_al_hh]]</f>
        <v>0</v>
      </c>
    </row>
    <row r="27" spans="1:84" hidden="1" x14ac:dyDescent="0.25">
      <c r="A27" s="27">
        <v>388</v>
      </c>
      <c r="B27" s="2" t="s">
        <v>22</v>
      </c>
      <c r="C27" s="2" t="s">
        <v>23</v>
      </c>
      <c r="D27" s="2" t="s">
        <v>24</v>
      </c>
      <c r="E27" s="2" t="s">
        <v>25</v>
      </c>
      <c r="F27" s="2" t="s">
        <v>56</v>
      </c>
      <c r="G27" s="2" t="s">
        <v>57</v>
      </c>
      <c r="H27" s="2" t="s">
        <v>891</v>
      </c>
      <c r="I27" s="2" t="s">
        <v>73</v>
      </c>
      <c r="J27" s="2" t="s">
        <v>2260</v>
      </c>
      <c r="K27" s="2" t="s">
        <v>2261</v>
      </c>
      <c r="L27" s="2" t="s">
        <v>2077</v>
      </c>
      <c r="M27" s="2">
        <v>1325</v>
      </c>
      <c r="N27" s="2" t="s">
        <v>1658</v>
      </c>
      <c r="O27" s="2">
        <v>27</v>
      </c>
      <c r="P27" s="2">
        <v>98</v>
      </c>
      <c r="Q27" s="2" t="s">
        <v>1658</v>
      </c>
      <c r="R27" s="2">
        <v>27</v>
      </c>
      <c r="S27" s="2" t="s">
        <v>1660</v>
      </c>
      <c r="T27" s="2">
        <v>0</v>
      </c>
      <c r="U27" s="2" t="s">
        <v>32</v>
      </c>
      <c r="V27" s="2" t="s">
        <v>32</v>
      </c>
      <c r="W27" s="1" t="s">
        <v>1660</v>
      </c>
      <c r="X27" s="1">
        <v>0</v>
      </c>
      <c r="Y27" s="1" t="s">
        <v>32</v>
      </c>
      <c r="Z27" s="1" t="s">
        <v>32</v>
      </c>
      <c r="AA27" s="1" t="s">
        <v>1660</v>
      </c>
      <c r="AB27" s="1">
        <v>0</v>
      </c>
      <c r="AC27" s="1" t="s">
        <v>1660</v>
      </c>
      <c r="AD27" s="1">
        <v>0</v>
      </c>
      <c r="AE27" s="1" t="s">
        <v>1658</v>
      </c>
      <c r="AF27" s="1">
        <v>1</v>
      </c>
      <c r="AG27" s="1">
        <v>6</v>
      </c>
      <c r="AH27" s="1" t="s">
        <v>1660</v>
      </c>
      <c r="AI27" s="1" t="s">
        <v>32</v>
      </c>
      <c r="AJ27" s="1" t="s">
        <v>32</v>
      </c>
      <c r="AK27" s="1" t="s">
        <v>32</v>
      </c>
      <c r="AL27" s="1" t="s">
        <v>1658</v>
      </c>
      <c r="AM27" s="1">
        <v>1</v>
      </c>
      <c r="AN27" s="1" t="s">
        <v>1660</v>
      </c>
      <c r="AO27" s="1">
        <v>0</v>
      </c>
      <c r="AP27" s="1" t="s">
        <v>32</v>
      </c>
      <c r="AQ27" s="1" t="s">
        <v>32</v>
      </c>
      <c r="AR27" s="1" t="s">
        <v>1660</v>
      </c>
      <c r="AS27" s="1">
        <v>0</v>
      </c>
      <c r="AT27" s="1" t="s">
        <v>32</v>
      </c>
      <c r="AU27" s="1" t="s">
        <v>32</v>
      </c>
      <c r="AV27" s="1" t="s">
        <v>1660</v>
      </c>
      <c r="AW27" s="1">
        <v>0</v>
      </c>
      <c r="AX27" s="1" t="s">
        <v>1660</v>
      </c>
      <c r="AY27" s="1">
        <v>0</v>
      </c>
      <c r="AZ27" s="1" t="s">
        <v>1660</v>
      </c>
      <c r="BA27" s="1">
        <v>0</v>
      </c>
      <c r="BB27" s="1">
        <v>0</v>
      </c>
      <c r="BC27" s="1" t="s">
        <v>32</v>
      </c>
      <c r="BD27" s="1">
        <v>0</v>
      </c>
      <c r="BE27" s="1" t="s">
        <v>32</v>
      </c>
      <c r="BF27" s="1">
        <v>0</v>
      </c>
      <c r="BG27" s="1" t="s">
        <v>32</v>
      </c>
      <c r="BH27" s="1">
        <v>0</v>
      </c>
      <c r="BI27" s="1" t="s">
        <v>32</v>
      </c>
      <c r="BJ27" s="1" t="s">
        <v>32</v>
      </c>
      <c r="BK27" s="1" t="s">
        <v>32</v>
      </c>
      <c r="BL27" s="1">
        <v>0</v>
      </c>
      <c r="BM27" s="1" t="s">
        <v>32</v>
      </c>
      <c r="BN27" s="1" t="s">
        <v>32</v>
      </c>
      <c r="BO27" s="1" t="s">
        <v>32</v>
      </c>
      <c r="BP27" s="1">
        <v>0</v>
      </c>
      <c r="BQ27" s="1" t="s">
        <v>32</v>
      </c>
      <c r="BR27" s="1">
        <v>0</v>
      </c>
      <c r="BS27" s="1" t="s">
        <v>1660</v>
      </c>
      <c r="BT27" s="1">
        <v>0</v>
      </c>
      <c r="BU27" s="1">
        <v>0</v>
      </c>
      <c r="BV27" s="1" t="s">
        <v>1660</v>
      </c>
      <c r="BW27" s="1"/>
      <c r="BX27" s="1"/>
      <c r="BY27" s="1" t="s">
        <v>1807</v>
      </c>
      <c r="BZ27" s="2" t="b">
        <f>OR( (Dashboard[[#This Row],[ref_as_hh]]&gt;=1),(Dashboard[[#This Row],[ret_as_hh]] &gt;=1), (Dashboard[[#This Row],[idp_as_hh]]&gt;=1))</f>
        <v>0</v>
      </c>
      <c r="CA27" s="2">
        <f>Dashboard[[#This Row],[ret_hi_hh]]</f>
        <v>0</v>
      </c>
      <c r="CB27" s="2">
        <f>Dashboard[[#This Row],[idp_fa_hh]]+Dashboard[[#This Row],[ref_fa_hh]]+Dashboard[[#This Row],[ret_fa_hh]]</f>
        <v>28</v>
      </c>
      <c r="CC27" s="2">
        <f>Dashboard[[#This Row],[idp_loc_hh]]+Dashboard[[#This Row],[ref_loc_hh]]+Dashboard[[#This Row],[ret_loc_hh]]</f>
        <v>0</v>
      </c>
      <c r="CD27" s="2">
        <f>Dashboard[[#This Row],[idp_cc_hh]]+Dashboard[[#This Row],[ref_cc_hh]]+Dashboard[[#This Row],[ret_cc_hh]]</f>
        <v>0</v>
      </c>
      <c r="CE27" s="2">
        <f>Dashboard[[#This Row],[idp_as_hh]]+Dashboard[[#This Row],[ref_as_hh]]+Dashboard[[#This Row],[ret_as_hh]]</f>
        <v>0</v>
      </c>
      <c r="CF27" s="2">
        <f>Dashboard[[#This Row],[idp_al_hh]]+Dashboard[[#This Row],[ref_al_hh]]+Dashboard[[#This Row],[ret_al_hh]]</f>
        <v>0</v>
      </c>
    </row>
    <row r="28" spans="1:84" hidden="1" x14ac:dyDescent="0.25">
      <c r="A28" s="27">
        <v>158</v>
      </c>
      <c r="B28" s="2" t="s">
        <v>22</v>
      </c>
      <c r="C28" s="2" t="s">
        <v>23</v>
      </c>
      <c r="D28" s="2" t="s">
        <v>24</v>
      </c>
      <c r="E28" s="2" t="s">
        <v>25</v>
      </c>
      <c r="F28" s="2" t="s">
        <v>56</v>
      </c>
      <c r="G28" s="2" t="s">
        <v>57</v>
      </c>
      <c r="H28" s="2" t="s">
        <v>882</v>
      </c>
      <c r="I28" s="2" t="s">
        <v>63</v>
      </c>
      <c r="J28" s="2" t="s">
        <v>2242</v>
      </c>
      <c r="K28" s="2" t="s">
        <v>2243</v>
      </c>
      <c r="L28" s="2" t="s">
        <v>2074</v>
      </c>
      <c r="M28" s="2">
        <v>4375</v>
      </c>
      <c r="N28" s="2" t="s">
        <v>1658</v>
      </c>
      <c r="O28" s="2">
        <v>144</v>
      </c>
      <c r="P28" s="2">
        <v>742</v>
      </c>
      <c r="Q28" s="2" t="s">
        <v>1658</v>
      </c>
      <c r="R28" s="2">
        <v>144</v>
      </c>
      <c r="S28" s="2" t="s">
        <v>1660</v>
      </c>
      <c r="T28" s="2">
        <v>0</v>
      </c>
      <c r="U28" s="2" t="s">
        <v>32</v>
      </c>
      <c r="V28" s="2" t="s">
        <v>32</v>
      </c>
      <c r="W28" s="1" t="s">
        <v>1660</v>
      </c>
      <c r="X28" s="1">
        <v>0</v>
      </c>
      <c r="Y28" s="1" t="s">
        <v>32</v>
      </c>
      <c r="Z28" s="1" t="s">
        <v>32</v>
      </c>
      <c r="AA28" s="1" t="s">
        <v>1660</v>
      </c>
      <c r="AB28" s="1">
        <v>0</v>
      </c>
      <c r="AC28" s="1" t="s">
        <v>1660</v>
      </c>
      <c r="AD28" s="1">
        <v>0</v>
      </c>
      <c r="AE28" s="1" t="s">
        <v>1660</v>
      </c>
      <c r="AF28" s="1">
        <v>0</v>
      </c>
      <c r="AG28" s="1">
        <v>0</v>
      </c>
      <c r="AH28" s="1" t="s">
        <v>32</v>
      </c>
      <c r="AI28" s="1" t="s">
        <v>32</v>
      </c>
      <c r="AJ28" s="1" t="s">
        <v>32</v>
      </c>
      <c r="AK28" s="1" t="s">
        <v>32</v>
      </c>
      <c r="AL28" s="1" t="s">
        <v>32</v>
      </c>
      <c r="AM28" s="1">
        <v>0</v>
      </c>
      <c r="AN28" s="1" t="s">
        <v>32</v>
      </c>
      <c r="AO28" s="1">
        <v>0</v>
      </c>
      <c r="AP28" s="1" t="s">
        <v>32</v>
      </c>
      <c r="AQ28" s="1" t="s">
        <v>32</v>
      </c>
      <c r="AR28" s="1" t="s">
        <v>32</v>
      </c>
      <c r="AS28" s="1">
        <v>0</v>
      </c>
      <c r="AT28" s="1" t="s">
        <v>32</v>
      </c>
      <c r="AU28" s="1" t="s">
        <v>32</v>
      </c>
      <c r="AV28" s="1" t="s">
        <v>32</v>
      </c>
      <c r="AW28" s="1">
        <v>0</v>
      </c>
      <c r="AX28" s="1" t="s">
        <v>32</v>
      </c>
      <c r="AY28" s="1">
        <v>0</v>
      </c>
      <c r="AZ28" s="1" t="s">
        <v>1660</v>
      </c>
      <c r="BA28" s="1">
        <v>0</v>
      </c>
      <c r="BB28" s="1">
        <v>0</v>
      </c>
      <c r="BC28" s="1" t="s">
        <v>32</v>
      </c>
      <c r="BD28" s="1">
        <v>0</v>
      </c>
      <c r="BE28" s="1" t="s">
        <v>32</v>
      </c>
      <c r="BF28" s="1">
        <v>0</v>
      </c>
      <c r="BG28" s="1" t="s">
        <v>32</v>
      </c>
      <c r="BH28" s="1">
        <v>0</v>
      </c>
      <c r="BI28" s="1" t="s">
        <v>32</v>
      </c>
      <c r="BJ28" s="1" t="s">
        <v>32</v>
      </c>
      <c r="BK28" s="1" t="s">
        <v>32</v>
      </c>
      <c r="BL28" s="1">
        <v>0</v>
      </c>
      <c r="BM28" s="1" t="s">
        <v>32</v>
      </c>
      <c r="BN28" s="1" t="s">
        <v>32</v>
      </c>
      <c r="BO28" s="1" t="s">
        <v>32</v>
      </c>
      <c r="BP28" s="1">
        <v>0</v>
      </c>
      <c r="BQ28" s="1" t="s">
        <v>32</v>
      </c>
      <c r="BR28" s="1">
        <v>0</v>
      </c>
      <c r="BS28" s="1" t="s">
        <v>1660</v>
      </c>
      <c r="BT28" s="1">
        <v>0</v>
      </c>
      <c r="BU28" s="1">
        <v>0</v>
      </c>
      <c r="BV28" s="1" t="s">
        <v>1660</v>
      </c>
      <c r="BW28" s="1"/>
      <c r="BX28" s="1"/>
      <c r="BY28" s="1" t="s">
        <v>1807</v>
      </c>
      <c r="BZ28" s="2" t="b">
        <f>OR( (Dashboard[[#This Row],[ref_as_hh]]&gt;=1),(Dashboard[[#This Row],[ret_as_hh]] &gt;=1), (Dashboard[[#This Row],[idp_as_hh]]&gt;=1))</f>
        <v>0</v>
      </c>
      <c r="CA28" s="2">
        <f>Dashboard[[#This Row],[ret_hi_hh]]</f>
        <v>0</v>
      </c>
      <c r="CB28" s="2">
        <f>Dashboard[[#This Row],[idp_fa_hh]]+Dashboard[[#This Row],[ref_fa_hh]]+Dashboard[[#This Row],[ret_fa_hh]]</f>
        <v>144</v>
      </c>
      <c r="CC28" s="2">
        <f>Dashboard[[#This Row],[idp_loc_hh]]+Dashboard[[#This Row],[ref_loc_hh]]+Dashboard[[#This Row],[ret_loc_hh]]</f>
        <v>0</v>
      </c>
      <c r="CD28" s="2">
        <f>Dashboard[[#This Row],[idp_cc_hh]]+Dashboard[[#This Row],[ref_cc_hh]]+Dashboard[[#This Row],[ret_cc_hh]]</f>
        <v>0</v>
      </c>
      <c r="CE28" s="2">
        <f>Dashboard[[#This Row],[idp_as_hh]]+Dashboard[[#This Row],[ref_as_hh]]+Dashboard[[#This Row],[ret_as_hh]]</f>
        <v>0</v>
      </c>
      <c r="CF28" s="2">
        <f>Dashboard[[#This Row],[idp_al_hh]]+Dashboard[[#This Row],[ref_al_hh]]+Dashboard[[#This Row],[ret_al_hh]]</f>
        <v>0</v>
      </c>
    </row>
    <row r="29" spans="1:84" hidden="1" x14ac:dyDescent="0.25">
      <c r="A29" s="27">
        <v>470</v>
      </c>
      <c r="B29" s="2" t="s">
        <v>22</v>
      </c>
      <c r="C29" s="2" t="s">
        <v>23</v>
      </c>
      <c r="D29" s="2" t="s">
        <v>24</v>
      </c>
      <c r="E29" s="2" t="s">
        <v>25</v>
      </c>
      <c r="F29" s="2" t="s">
        <v>56</v>
      </c>
      <c r="G29" s="2" t="s">
        <v>57</v>
      </c>
      <c r="H29" s="2" t="s">
        <v>899</v>
      </c>
      <c r="I29" s="2" t="s">
        <v>81</v>
      </c>
      <c r="J29" s="2" t="s">
        <v>2276</v>
      </c>
      <c r="K29" s="2" t="s">
        <v>2277</v>
      </c>
      <c r="L29" s="2" t="s">
        <v>2074</v>
      </c>
      <c r="M29" s="2">
        <v>300</v>
      </c>
      <c r="N29" s="2" t="s">
        <v>1658</v>
      </c>
      <c r="O29" s="2">
        <v>9</v>
      </c>
      <c r="P29" s="2">
        <v>63</v>
      </c>
      <c r="Q29" s="2" t="s">
        <v>1658</v>
      </c>
      <c r="R29" s="2">
        <v>9</v>
      </c>
      <c r="S29" s="2" t="s">
        <v>1660</v>
      </c>
      <c r="T29" s="2">
        <v>0</v>
      </c>
      <c r="U29" s="2" t="s">
        <v>32</v>
      </c>
      <c r="V29" s="2" t="s">
        <v>32</v>
      </c>
      <c r="W29" s="1" t="s">
        <v>1660</v>
      </c>
      <c r="X29" s="1">
        <v>0</v>
      </c>
      <c r="Y29" s="1" t="s">
        <v>32</v>
      </c>
      <c r="Z29" s="1" t="s">
        <v>32</v>
      </c>
      <c r="AA29" s="1" t="s">
        <v>1660</v>
      </c>
      <c r="AB29" s="1">
        <v>0</v>
      </c>
      <c r="AC29" s="1" t="s">
        <v>1660</v>
      </c>
      <c r="AD29" s="1">
        <v>0</v>
      </c>
      <c r="AE29" s="1" t="s">
        <v>1658</v>
      </c>
      <c r="AF29" s="1">
        <v>2</v>
      </c>
      <c r="AG29" s="1">
        <v>13</v>
      </c>
      <c r="AH29" s="1" t="s">
        <v>1658</v>
      </c>
      <c r="AI29" s="1" t="s">
        <v>32</v>
      </c>
      <c r="AJ29" s="1" t="s">
        <v>32</v>
      </c>
      <c r="AK29" s="1" t="s">
        <v>32</v>
      </c>
      <c r="AL29" s="1" t="s">
        <v>1658</v>
      </c>
      <c r="AM29" s="1">
        <v>2</v>
      </c>
      <c r="AN29" s="1" t="s">
        <v>1660</v>
      </c>
      <c r="AO29" s="1">
        <v>0</v>
      </c>
      <c r="AP29" s="1" t="s">
        <v>32</v>
      </c>
      <c r="AQ29" s="1" t="s">
        <v>32</v>
      </c>
      <c r="AR29" s="1" t="s">
        <v>1660</v>
      </c>
      <c r="AS29" s="1">
        <v>0</v>
      </c>
      <c r="AT29" s="1" t="s">
        <v>32</v>
      </c>
      <c r="AU29" s="1" t="s">
        <v>32</v>
      </c>
      <c r="AV29" s="1" t="s">
        <v>1660</v>
      </c>
      <c r="AW29" s="1">
        <v>0</v>
      </c>
      <c r="AX29" s="1" t="s">
        <v>1660</v>
      </c>
      <c r="AY29" s="1">
        <v>0</v>
      </c>
      <c r="AZ29" s="1" t="s">
        <v>1660</v>
      </c>
      <c r="BA29" s="1">
        <v>0</v>
      </c>
      <c r="BB29" s="1">
        <v>0</v>
      </c>
      <c r="BC29" s="1" t="s">
        <v>32</v>
      </c>
      <c r="BD29" s="1">
        <v>0</v>
      </c>
      <c r="BE29" s="1" t="s">
        <v>32</v>
      </c>
      <c r="BF29" s="1">
        <v>0</v>
      </c>
      <c r="BG29" s="1" t="s">
        <v>32</v>
      </c>
      <c r="BH29" s="1">
        <v>0</v>
      </c>
      <c r="BI29" s="1" t="s">
        <v>32</v>
      </c>
      <c r="BJ29" s="1" t="s">
        <v>32</v>
      </c>
      <c r="BK29" s="1" t="s">
        <v>32</v>
      </c>
      <c r="BL29" s="1">
        <v>0</v>
      </c>
      <c r="BM29" s="1" t="s">
        <v>32</v>
      </c>
      <c r="BN29" s="1" t="s">
        <v>32</v>
      </c>
      <c r="BO29" s="1" t="s">
        <v>32</v>
      </c>
      <c r="BP29" s="1">
        <v>0</v>
      </c>
      <c r="BQ29" s="1" t="s">
        <v>32</v>
      </c>
      <c r="BR29" s="1">
        <v>0</v>
      </c>
      <c r="BS29" s="1" t="s">
        <v>1660</v>
      </c>
      <c r="BT29" s="1">
        <v>0</v>
      </c>
      <c r="BU29" s="1">
        <v>0</v>
      </c>
      <c r="BV29" s="1" t="s">
        <v>1660</v>
      </c>
      <c r="BW29" s="1"/>
      <c r="BX29" s="1"/>
      <c r="BY29" s="1" t="s">
        <v>1807</v>
      </c>
      <c r="BZ29" s="2" t="b">
        <f>OR( (Dashboard[[#This Row],[ref_as_hh]]&gt;=1),(Dashboard[[#This Row],[ret_as_hh]] &gt;=1), (Dashboard[[#This Row],[idp_as_hh]]&gt;=1))</f>
        <v>0</v>
      </c>
      <c r="CA29" s="2">
        <f>Dashboard[[#This Row],[ret_hi_hh]]</f>
        <v>0</v>
      </c>
      <c r="CB29" s="2">
        <f>Dashboard[[#This Row],[idp_fa_hh]]+Dashboard[[#This Row],[ref_fa_hh]]+Dashboard[[#This Row],[ret_fa_hh]]</f>
        <v>11</v>
      </c>
      <c r="CC29" s="2">
        <f>Dashboard[[#This Row],[idp_loc_hh]]+Dashboard[[#This Row],[ref_loc_hh]]+Dashboard[[#This Row],[ret_loc_hh]]</f>
        <v>0</v>
      </c>
      <c r="CD29" s="2">
        <f>Dashboard[[#This Row],[idp_cc_hh]]+Dashboard[[#This Row],[ref_cc_hh]]+Dashboard[[#This Row],[ret_cc_hh]]</f>
        <v>0</v>
      </c>
      <c r="CE29" s="2">
        <f>Dashboard[[#This Row],[idp_as_hh]]+Dashboard[[#This Row],[ref_as_hh]]+Dashboard[[#This Row],[ret_as_hh]]</f>
        <v>0</v>
      </c>
      <c r="CF29" s="2">
        <f>Dashboard[[#This Row],[idp_al_hh]]+Dashboard[[#This Row],[ref_al_hh]]+Dashboard[[#This Row],[ret_al_hh]]</f>
        <v>0</v>
      </c>
    </row>
    <row r="30" spans="1:84" hidden="1" x14ac:dyDescent="0.25">
      <c r="A30" s="27">
        <v>484</v>
      </c>
      <c r="B30" s="2" t="s">
        <v>22</v>
      </c>
      <c r="C30" s="2" t="s">
        <v>23</v>
      </c>
      <c r="D30" s="2" t="s">
        <v>24</v>
      </c>
      <c r="E30" s="2" t="s">
        <v>25</v>
      </c>
      <c r="F30" s="2" t="s">
        <v>56</v>
      </c>
      <c r="G30" s="2" t="s">
        <v>57</v>
      </c>
      <c r="H30" s="2" t="s">
        <v>880</v>
      </c>
      <c r="I30" s="2" t="s">
        <v>59</v>
      </c>
      <c r="J30" s="2" t="s">
        <v>2236</v>
      </c>
      <c r="K30" s="2" t="s">
        <v>2237</v>
      </c>
      <c r="L30" s="2" t="s">
        <v>2074</v>
      </c>
      <c r="M30" s="2">
        <v>220</v>
      </c>
      <c r="N30" s="2" t="s">
        <v>1658</v>
      </c>
      <c r="O30" s="2">
        <v>2</v>
      </c>
      <c r="P30" s="2">
        <v>19</v>
      </c>
      <c r="Q30" s="2" t="s">
        <v>1658</v>
      </c>
      <c r="R30" s="2">
        <v>2</v>
      </c>
      <c r="S30" s="2" t="s">
        <v>1660</v>
      </c>
      <c r="T30" s="2">
        <v>0</v>
      </c>
      <c r="U30" s="2" t="s">
        <v>32</v>
      </c>
      <c r="V30" s="2" t="s">
        <v>32</v>
      </c>
      <c r="W30" s="1" t="s">
        <v>1660</v>
      </c>
      <c r="X30" s="1">
        <v>0</v>
      </c>
      <c r="Y30" s="1" t="s">
        <v>32</v>
      </c>
      <c r="Z30" s="1" t="s">
        <v>32</v>
      </c>
      <c r="AA30" s="1" t="s">
        <v>1660</v>
      </c>
      <c r="AB30" s="1">
        <v>0</v>
      </c>
      <c r="AC30" s="1" t="s">
        <v>1660</v>
      </c>
      <c r="AD30" s="1">
        <v>0</v>
      </c>
      <c r="AE30" s="1" t="s">
        <v>1660</v>
      </c>
      <c r="AF30" s="1">
        <v>0</v>
      </c>
      <c r="AG30" s="1">
        <v>0</v>
      </c>
      <c r="AH30" s="1" t="s">
        <v>32</v>
      </c>
      <c r="AI30" s="1" t="s">
        <v>32</v>
      </c>
      <c r="AJ30" s="1" t="s">
        <v>32</v>
      </c>
      <c r="AK30" s="1" t="s">
        <v>32</v>
      </c>
      <c r="AL30" s="1" t="s">
        <v>32</v>
      </c>
      <c r="AM30" s="1">
        <v>0</v>
      </c>
      <c r="AN30" s="1" t="s">
        <v>32</v>
      </c>
      <c r="AO30" s="1">
        <v>0</v>
      </c>
      <c r="AP30" s="1" t="s">
        <v>32</v>
      </c>
      <c r="AQ30" s="1" t="s">
        <v>32</v>
      </c>
      <c r="AR30" s="1" t="s">
        <v>32</v>
      </c>
      <c r="AS30" s="1">
        <v>0</v>
      </c>
      <c r="AT30" s="1" t="s">
        <v>32</v>
      </c>
      <c r="AU30" s="1" t="s">
        <v>32</v>
      </c>
      <c r="AV30" s="1" t="s">
        <v>32</v>
      </c>
      <c r="AW30" s="1">
        <v>0</v>
      </c>
      <c r="AX30" s="1" t="s">
        <v>32</v>
      </c>
      <c r="AY30" s="1">
        <v>0</v>
      </c>
      <c r="AZ30" s="1" t="s">
        <v>1658</v>
      </c>
      <c r="BA30" s="1">
        <v>1</v>
      </c>
      <c r="BB30" s="1">
        <v>4</v>
      </c>
      <c r="BC30" s="1" t="s">
        <v>1658</v>
      </c>
      <c r="BD30" s="1">
        <v>1</v>
      </c>
      <c r="BE30" s="1" t="s">
        <v>1660</v>
      </c>
      <c r="BF30" s="1">
        <v>0</v>
      </c>
      <c r="BG30" s="1" t="s">
        <v>1660</v>
      </c>
      <c r="BH30" s="1">
        <v>0</v>
      </c>
      <c r="BI30" s="1" t="s">
        <v>32</v>
      </c>
      <c r="BJ30" s="1" t="s">
        <v>32</v>
      </c>
      <c r="BK30" s="1" t="s">
        <v>1660</v>
      </c>
      <c r="BL30" s="1">
        <v>0</v>
      </c>
      <c r="BM30" s="1" t="s">
        <v>32</v>
      </c>
      <c r="BN30" s="1" t="s">
        <v>32</v>
      </c>
      <c r="BO30" s="1" t="s">
        <v>1660</v>
      </c>
      <c r="BP30" s="1">
        <v>0</v>
      </c>
      <c r="BQ30" s="1" t="s">
        <v>1660</v>
      </c>
      <c r="BR30" s="1">
        <v>0</v>
      </c>
      <c r="BS30" s="1" t="s">
        <v>1660</v>
      </c>
      <c r="BT30" s="1">
        <v>0</v>
      </c>
      <c r="BU30" s="1">
        <v>0</v>
      </c>
      <c r="BV30" s="1" t="s">
        <v>1660</v>
      </c>
      <c r="BW30" s="1"/>
      <c r="BX30" s="1"/>
      <c r="BY30" s="1" t="s">
        <v>1807</v>
      </c>
      <c r="BZ30" s="2" t="b">
        <f>OR( (Dashboard[[#This Row],[ref_as_hh]]&gt;=1),(Dashboard[[#This Row],[ret_as_hh]] &gt;=1), (Dashboard[[#This Row],[idp_as_hh]]&gt;=1))</f>
        <v>0</v>
      </c>
      <c r="CA30" s="2">
        <f>Dashboard[[#This Row],[ret_hi_hh]]</f>
        <v>1</v>
      </c>
      <c r="CB30" s="2">
        <f>Dashboard[[#This Row],[idp_fa_hh]]+Dashboard[[#This Row],[ref_fa_hh]]+Dashboard[[#This Row],[ret_fa_hh]]</f>
        <v>2</v>
      </c>
      <c r="CC30" s="2">
        <f>Dashboard[[#This Row],[idp_loc_hh]]+Dashboard[[#This Row],[ref_loc_hh]]+Dashboard[[#This Row],[ret_loc_hh]]</f>
        <v>0</v>
      </c>
      <c r="CD30" s="2">
        <f>Dashboard[[#This Row],[idp_cc_hh]]+Dashboard[[#This Row],[ref_cc_hh]]+Dashboard[[#This Row],[ret_cc_hh]]</f>
        <v>0</v>
      </c>
      <c r="CE30" s="2">
        <f>Dashboard[[#This Row],[idp_as_hh]]+Dashboard[[#This Row],[ref_as_hh]]+Dashboard[[#This Row],[ret_as_hh]]</f>
        <v>0</v>
      </c>
      <c r="CF30" s="2">
        <f>Dashboard[[#This Row],[idp_al_hh]]+Dashboard[[#This Row],[ref_al_hh]]+Dashboard[[#This Row],[ret_al_hh]]</f>
        <v>0</v>
      </c>
    </row>
    <row r="31" spans="1:84" hidden="1" x14ac:dyDescent="0.25">
      <c r="A31" s="27">
        <v>492</v>
      </c>
      <c r="B31" s="2" t="s">
        <v>22</v>
      </c>
      <c r="C31" s="2" t="s">
        <v>23</v>
      </c>
      <c r="D31" s="2" t="s">
        <v>24</v>
      </c>
      <c r="E31" s="2" t="s">
        <v>25</v>
      </c>
      <c r="F31" s="2" t="s">
        <v>56</v>
      </c>
      <c r="G31" s="2" t="s">
        <v>57</v>
      </c>
      <c r="H31" s="2" t="s">
        <v>886</v>
      </c>
      <c r="I31" s="2" t="s">
        <v>67</v>
      </c>
      <c r="J31" s="2" t="s">
        <v>2250</v>
      </c>
      <c r="K31" s="2" t="s">
        <v>2251</v>
      </c>
      <c r="L31" s="2" t="s">
        <v>2074</v>
      </c>
      <c r="M31" s="2">
        <v>1064</v>
      </c>
      <c r="N31" s="2" t="s">
        <v>1658</v>
      </c>
      <c r="O31" s="2">
        <v>3</v>
      </c>
      <c r="P31" s="2">
        <v>27</v>
      </c>
      <c r="Q31" s="2" t="s">
        <v>1658</v>
      </c>
      <c r="R31" s="2">
        <v>3</v>
      </c>
      <c r="S31" s="2" t="s">
        <v>1660</v>
      </c>
      <c r="T31" s="2">
        <v>0</v>
      </c>
      <c r="U31" s="2" t="s">
        <v>32</v>
      </c>
      <c r="V31" s="2" t="s">
        <v>32</v>
      </c>
      <c r="W31" s="1" t="s">
        <v>1660</v>
      </c>
      <c r="X31" s="1">
        <v>0</v>
      </c>
      <c r="Y31" s="1" t="s">
        <v>32</v>
      </c>
      <c r="Z31" s="1" t="s">
        <v>32</v>
      </c>
      <c r="AA31" s="1" t="s">
        <v>1660</v>
      </c>
      <c r="AB31" s="1">
        <v>0</v>
      </c>
      <c r="AC31" s="1" t="s">
        <v>1660</v>
      </c>
      <c r="AD31" s="1">
        <v>0</v>
      </c>
      <c r="AE31" s="1" t="s">
        <v>1660</v>
      </c>
      <c r="AF31" s="1">
        <v>0</v>
      </c>
      <c r="AG31" s="1">
        <v>0</v>
      </c>
      <c r="AH31" s="1" t="s">
        <v>32</v>
      </c>
      <c r="AI31" s="1" t="s">
        <v>32</v>
      </c>
      <c r="AJ31" s="1" t="s">
        <v>32</v>
      </c>
      <c r="AK31" s="1" t="s">
        <v>32</v>
      </c>
      <c r="AL31" s="1" t="s">
        <v>32</v>
      </c>
      <c r="AM31" s="1">
        <v>0</v>
      </c>
      <c r="AN31" s="1" t="s">
        <v>32</v>
      </c>
      <c r="AO31" s="1">
        <v>0</v>
      </c>
      <c r="AP31" s="1" t="s">
        <v>32</v>
      </c>
      <c r="AQ31" s="1" t="s">
        <v>32</v>
      </c>
      <c r="AR31" s="1" t="s">
        <v>32</v>
      </c>
      <c r="AS31" s="1">
        <v>0</v>
      </c>
      <c r="AT31" s="1" t="s">
        <v>32</v>
      </c>
      <c r="AU31" s="1" t="s">
        <v>32</v>
      </c>
      <c r="AV31" s="1" t="s">
        <v>32</v>
      </c>
      <c r="AW31" s="1">
        <v>0</v>
      </c>
      <c r="AX31" s="1" t="s">
        <v>32</v>
      </c>
      <c r="AY31" s="1">
        <v>0</v>
      </c>
      <c r="AZ31" s="1" t="s">
        <v>1660</v>
      </c>
      <c r="BA31" s="1">
        <v>0</v>
      </c>
      <c r="BB31" s="1">
        <v>0</v>
      </c>
      <c r="BC31" s="1" t="s">
        <v>32</v>
      </c>
      <c r="BD31" s="1">
        <v>0</v>
      </c>
      <c r="BE31" s="1" t="s">
        <v>32</v>
      </c>
      <c r="BF31" s="1">
        <v>0</v>
      </c>
      <c r="BG31" s="1" t="s">
        <v>32</v>
      </c>
      <c r="BH31" s="1">
        <v>0</v>
      </c>
      <c r="BI31" s="1" t="s">
        <v>32</v>
      </c>
      <c r="BJ31" s="1" t="s">
        <v>32</v>
      </c>
      <c r="BK31" s="1" t="s">
        <v>32</v>
      </c>
      <c r="BL31" s="1">
        <v>0</v>
      </c>
      <c r="BM31" s="1" t="s">
        <v>32</v>
      </c>
      <c r="BN31" s="1" t="s">
        <v>32</v>
      </c>
      <c r="BO31" s="1" t="s">
        <v>32</v>
      </c>
      <c r="BP31" s="1">
        <v>0</v>
      </c>
      <c r="BQ31" s="1" t="s">
        <v>32</v>
      </c>
      <c r="BR31" s="1">
        <v>0</v>
      </c>
      <c r="BS31" s="1" t="s">
        <v>1660</v>
      </c>
      <c r="BT31" s="1">
        <v>0</v>
      </c>
      <c r="BU31" s="1">
        <v>0</v>
      </c>
      <c r="BV31" s="1" t="s">
        <v>1660</v>
      </c>
      <c r="BW31" s="1"/>
      <c r="BX31" s="1"/>
      <c r="BY31" s="1" t="s">
        <v>1807</v>
      </c>
      <c r="BZ31" s="2" t="b">
        <f>OR( (Dashboard[[#This Row],[ref_as_hh]]&gt;=1),(Dashboard[[#This Row],[ret_as_hh]] &gt;=1), (Dashboard[[#This Row],[idp_as_hh]]&gt;=1))</f>
        <v>0</v>
      </c>
      <c r="CA31" s="2">
        <f>Dashboard[[#This Row],[ret_hi_hh]]</f>
        <v>0</v>
      </c>
      <c r="CB31" s="2">
        <f>Dashboard[[#This Row],[idp_fa_hh]]+Dashboard[[#This Row],[ref_fa_hh]]+Dashboard[[#This Row],[ret_fa_hh]]</f>
        <v>3</v>
      </c>
      <c r="CC31" s="2">
        <f>Dashboard[[#This Row],[idp_loc_hh]]+Dashboard[[#This Row],[ref_loc_hh]]+Dashboard[[#This Row],[ret_loc_hh]]</f>
        <v>0</v>
      </c>
      <c r="CD31" s="2">
        <f>Dashboard[[#This Row],[idp_cc_hh]]+Dashboard[[#This Row],[ref_cc_hh]]+Dashboard[[#This Row],[ret_cc_hh]]</f>
        <v>0</v>
      </c>
      <c r="CE31" s="2">
        <f>Dashboard[[#This Row],[idp_as_hh]]+Dashboard[[#This Row],[ref_as_hh]]+Dashboard[[#This Row],[ret_as_hh]]</f>
        <v>0</v>
      </c>
      <c r="CF31" s="2">
        <f>Dashboard[[#This Row],[idp_al_hh]]+Dashboard[[#This Row],[ref_al_hh]]+Dashboard[[#This Row],[ret_al_hh]]</f>
        <v>0</v>
      </c>
    </row>
    <row r="32" spans="1:84" hidden="1" x14ac:dyDescent="0.25">
      <c r="A32" s="27">
        <v>499</v>
      </c>
      <c r="B32" s="2" t="s">
        <v>22</v>
      </c>
      <c r="C32" s="2" t="s">
        <v>23</v>
      </c>
      <c r="D32" s="2" t="s">
        <v>24</v>
      </c>
      <c r="E32" s="2" t="s">
        <v>25</v>
      </c>
      <c r="F32" s="2" t="s">
        <v>56</v>
      </c>
      <c r="G32" s="2" t="s">
        <v>57</v>
      </c>
      <c r="H32" s="2" t="s">
        <v>887</v>
      </c>
      <c r="I32" s="2" t="s">
        <v>69</v>
      </c>
      <c r="J32" s="2" t="s">
        <v>2252</v>
      </c>
      <c r="K32" s="2" t="s">
        <v>2253</v>
      </c>
      <c r="L32" s="2" t="s">
        <v>2074</v>
      </c>
      <c r="M32" s="2">
        <v>412</v>
      </c>
      <c r="N32" s="2" t="s">
        <v>1660</v>
      </c>
      <c r="O32" s="2">
        <v>0</v>
      </c>
      <c r="P32" s="2">
        <v>0</v>
      </c>
      <c r="Q32" s="2" t="s">
        <v>32</v>
      </c>
      <c r="R32" s="2">
        <v>0</v>
      </c>
      <c r="S32" s="2" t="s">
        <v>32</v>
      </c>
      <c r="T32" s="2">
        <v>0</v>
      </c>
      <c r="U32" s="2" t="s">
        <v>32</v>
      </c>
      <c r="V32" s="2" t="s">
        <v>32</v>
      </c>
      <c r="W32" s="1" t="s">
        <v>32</v>
      </c>
      <c r="X32" s="1">
        <v>0</v>
      </c>
      <c r="Y32" s="1" t="s">
        <v>32</v>
      </c>
      <c r="Z32" s="1" t="s">
        <v>32</v>
      </c>
      <c r="AA32" s="1" t="s">
        <v>32</v>
      </c>
      <c r="AB32" s="1">
        <v>0</v>
      </c>
      <c r="AC32" s="1" t="s">
        <v>32</v>
      </c>
      <c r="AD32" s="1">
        <v>0</v>
      </c>
      <c r="AE32" s="1" t="s">
        <v>1658</v>
      </c>
      <c r="AF32" s="1">
        <v>1</v>
      </c>
      <c r="AG32" s="1">
        <v>3</v>
      </c>
      <c r="AH32" s="1" t="s">
        <v>1660</v>
      </c>
      <c r="AI32" s="1" t="s">
        <v>32</v>
      </c>
      <c r="AJ32" s="1" t="s">
        <v>32</v>
      </c>
      <c r="AK32" s="1" t="s">
        <v>32</v>
      </c>
      <c r="AL32" s="1" t="s">
        <v>1658</v>
      </c>
      <c r="AM32" s="1">
        <v>1</v>
      </c>
      <c r="AN32" s="1" t="s">
        <v>1660</v>
      </c>
      <c r="AO32" s="1">
        <v>0</v>
      </c>
      <c r="AP32" s="1" t="s">
        <v>32</v>
      </c>
      <c r="AQ32" s="1" t="s">
        <v>32</v>
      </c>
      <c r="AR32" s="1" t="s">
        <v>1660</v>
      </c>
      <c r="AS32" s="1">
        <v>0</v>
      </c>
      <c r="AT32" s="1" t="s">
        <v>32</v>
      </c>
      <c r="AU32" s="1" t="s">
        <v>32</v>
      </c>
      <c r="AV32" s="1" t="s">
        <v>1660</v>
      </c>
      <c r="AW32" s="1">
        <v>0</v>
      </c>
      <c r="AX32" s="1" t="s">
        <v>1660</v>
      </c>
      <c r="AY32" s="1">
        <v>0</v>
      </c>
      <c r="AZ32" s="1" t="s">
        <v>1660</v>
      </c>
      <c r="BA32" s="1">
        <v>0</v>
      </c>
      <c r="BB32" s="1">
        <v>0</v>
      </c>
      <c r="BC32" s="1" t="s">
        <v>32</v>
      </c>
      <c r="BD32" s="1">
        <v>0</v>
      </c>
      <c r="BE32" s="1" t="s">
        <v>32</v>
      </c>
      <c r="BF32" s="1">
        <v>0</v>
      </c>
      <c r="BG32" s="1" t="s">
        <v>32</v>
      </c>
      <c r="BH32" s="1">
        <v>0</v>
      </c>
      <c r="BI32" s="1" t="s">
        <v>32</v>
      </c>
      <c r="BJ32" s="1" t="s">
        <v>32</v>
      </c>
      <c r="BK32" s="1" t="s">
        <v>32</v>
      </c>
      <c r="BL32" s="1">
        <v>0</v>
      </c>
      <c r="BM32" s="1" t="s">
        <v>32</v>
      </c>
      <c r="BN32" s="1" t="s">
        <v>32</v>
      </c>
      <c r="BO32" s="1" t="s">
        <v>32</v>
      </c>
      <c r="BP32" s="1">
        <v>0</v>
      </c>
      <c r="BQ32" s="1" t="s">
        <v>32</v>
      </c>
      <c r="BR32" s="1">
        <v>0</v>
      </c>
      <c r="BS32" s="1" t="s">
        <v>1660</v>
      </c>
      <c r="BT32" s="1">
        <v>0</v>
      </c>
      <c r="BU32" s="1">
        <v>0</v>
      </c>
      <c r="BV32" s="1" t="s">
        <v>1660</v>
      </c>
      <c r="BW32" s="1"/>
      <c r="BX32" s="1"/>
      <c r="BY32" s="1" t="s">
        <v>1807</v>
      </c>
      <c r="BZ32" s="2" t="b">
        <f>OR( (Dashboard[[#This Row],[ref_as_hh]]&gt;=1),(Dashboard[[#This Row],[ret_as_hh]] &gt;=1), (Dashboard[[#This Row],[idp_as_hh]]&gt;=1))</f>
        <v>0</v>
      </c>
      <c r="CA32" s="2">
        <f>Dashboard[[#This Row],[ret_hi_hh]]</f>
        <v>0</v>
      </c>
      <c r="CB32" s="2">
        <f>Dashboard[[#This Row],[idp_fa_hh]]+Dashboard[[#This Row],[ref_fa_hh]]+Dashboard[[#This Row],[ret_fa_hh]]</f>
        <v>1</v>
      </c>
      <c r="CC32" s="2">
        <f>Dashboard[[#This Row],[idp_loc_hh]]+Dashboard[[#This Row],[ref_loc_hh]]+Dashboard[[#This Row],[ret_loc_hh]]</f>
        <v>0</v>
      </c>
      <c r="CD32" s="2">
        <f>Dashboard[[#This Row],[idp_cc_hh]]+Dashboard[[#This Row],[ref_cc_hh]]+Dashboard[[#This Row],[ret_cc_hh]]</f>
        <v>0</v>
      </c>
      <c r="CE32" s="2">
        <f>Dashboard[[#This Row],[idp_as_hh]]+Dashboard[[#This Row],[ref_as_hh]]+Dashboard[[#This Row],[ret_as_hh]]</f>
        <v>0</v>
      </c>
      <c r="CF32" s="2">
        <f>Dashboard[[#This Row],[idp_al_hh]]+Dashboard[[#This Row],[ref_al_hh]]+Dashboard[[#This Row],[ret_al_hh]]</f>
        <v>0</v>
      </c>
    </row>
    <row r="33" spans="1:84" hidden="1" x14ac:dyDescent="0.25">
      <c r="A33" s="27">
        <v>253</v>
      </c>
      <c r="B33" s="2" t="s">
        <v>22</v>
      </c>
      <c r="C33" s="2" t="s">
        <v>23</v>
      </c>
      <c r="D33" s="2" t="s">
        <v>24</v>
      </c>
      <c r="E33" s="2" t="s">
        <v>25</v>
      </c>
      <c r="F33" s="2" t="s">
        <v>56</v>
      </c>
      <c r="G33" s="2" t="s">
        <v>57</v>
      </c>
      <c r="H33" s="2" t="s">
        <v>897</v>
      </c>
      <c r="I33" s="2" t="s">
        <v>79</v>
      </c>
      <c r="J33" s="2" t="s">
        <v>2272</v>
      </c>
      <c r="K33" s="2" t="s">
        <v>2273</v>
      </c>
      <c r="L33" s="2" t="s">
        <v>2074</v>
      </c>
      <c r="M33" s="2">
        <v>220</v>
      </c>
      <c r="N33" s="2" t="s">
        <v>1658</v>
      </c>
      <c r="O33" s="2">
        <v>5</v>
      </c>
      <c r="P33" s="2">
        <v>23</v>
      </c>
      <c r="Q33" s="2" t="s">
        <v>1658</v>
      </c>
      <c r="R33" s="2">
        <v>5</v>
      </c>
      <c r="S33" s="2" t="s">
        <v>1660</v>
      </c>
      <c r="T33" s="2">
        <v>0</v>
      </c>
      <c r="U33" s="2" t="s">
        <v>32</v>
      </c>
      <c r="V33" s="2" t="s">
        <v>32</v>
      </c>
      <c r="W33" s="1" t="s">
        <v>1660</v>
      </c>
      <c r="X33" s="1">
        <v>0</v>
      </c>
      <c r="Y33" s="1" t="s">
        <v>32</v>
      </c>
      <c r="Z33" s="1" t="s">
        <v>32</v>
      </c>
      <c r="AA33" s="1" t="s">
        <v>1660</v>
      </c>
      <c r="AB33" s="1">
        <v>0</v>
      </c>
      <c r="AC33" s="1" t="s">
        <v>1660</v>
      </c>
      <c r="AD33" s="1">
        <v>0</v>
      </c>
      <c r="AE33" s="1" t="s">
        <v>1660</v>
      </c>
      <c r="AF33" s="1">
        <v>0</v>
      </c>
      <c r="AG33" s="1">
        <v>0</v>
      </c>
      <c r="AH33" s="1" t="s">
        <v>32</v>
      </c>
      <c r="AI33" s="1" t="s">
        <v>32</v>
      </c>
      <c r="AJ33" s="1" t="s">
        <v>32</v>
      </c>
      <c r="AK33" s="1" t="s">
        <v>32</v>
      </c>
      <c r="AL33" s="1" t="s">
        <v>32</v>
      </c>
      <c r="AM33" s="1">
        <v>0</v>
      </c>
      <c r="AN33" s="1" t="s">
        <v>32</v>
      </c>
      <c r="AO33" s="1">
        <v>0</v>
      </c>
      <c r="AP33" s="1" t="s">
        <v>32</v>
      </c>
      <c r="AQ33" s="1" t="s">
        <v>32</v>
      </c>
      <c r="AR33" s="1" t="s">
        <v>32</v>
      </c>
      <c r="AS33" s="1">
        <v>0</v>
      </c>
      <c r="AT33" s="1" t="s">
        <v>32</v>
      </c>
      <c r="AU33" s="1" t="s">
        <v>32</v>
      </c>
      <c r="AV33" s="1" t="s">
        <v>32</v>
      </c>
      <c r="AW33" s="1">
        <v>0</v>
      </c>
      <c r="AX33" s="1" t="s">
        <v>32</v>
      </c>
      <c r="AY33" s="1">
        <v>0</v>
      </c>
      <c r="AZ33" s="1" t="s">
        <v>1658</v>
      </c>
      <c r="BA33" s="1">
        <v>4</v>
      </c>
      <c r="BB33" s="1">
        <v>15</v>
      </c>
      <c r="BC33" s="1" t="s">
        <v>1658</v>
      </c>
      <c r="BD33" s="1">
        <v>2</v>
      </c>
      <c r="BE33" s="1" t="s">
        <v>1658</v>
      </c>
      <c r="BF33" s="1">
        <v>2</v>
      </c>
      <c r="BG33" s="1" t="s">
        <v>1660</v>
      </c>
      <c r="BH33" s="1">
        <v>0</v>
      </c>
      <c r="BI33" s="1" t="s">
        <v>32</v>
      </c>
      <c r="BJ33" s="1" t="s">
        <v>32</v>
      </c>
      <c r="BK33" s="1" t="s">
        <v>1660</v>
      </c>
      <c r="BL33" s="1">
        <v>0</v>
      </c>
      <c r="BM33" s="1" t="s">
        <v>32</v>
      </c>
      <c r="BN33" s="1" t="s">
        <v>32</v>
      </c>
      <c r="BO33" s="1" t="s">
        <v>1660</v>
      </c>
      <c r="BP33" s="1">
        <v>0</v>
      </c>
      <c r="BQ33" s="1" t="s">
        <v>1660</v>
      </c>
      <c r="BR33" s="1">
        <v>0</v>
      </c>
      <c r="BS33" s="1" t="s">
        <v>1660</v>
      </c>
      <c r="BT33" s="1">
        <v>0</v>
      </c>
      <c r="BU33" s="1">
        <v>0</v>
      </c>
      <c r="BV33" s="1" t="s">
        <v>1660</v>
      </c>
      <c r="BW33" s="1"/>
      <c r="BX33" s="1"/>
      <c r="BY33" s="1" t="s">
        <v>1807</v>
      </c>
      <c r="BZ33" s="2" t="b">
        <f>OR( (Dashboard[[#This Row],[ref_as_hh]]&gt;=1),(Dashboard[[#This Row],[ret_as_hh]] &gt;=1), (Dashboard[[#This Row],[idp_as_hh]]&gt;=1))</f>
        <v>0</v>
      </c>
      <c r="CA33" s="2">
        <f>Dashboard[[#This Row],[ret_hi_hh]]</f>
        <v>2</v>
      </c>
      <c r="CB33" s="2">
        <f>Dashboard[[#This Row],[idp_fa_hh]]+Dashboard[[#This Row],[ref_fa_hh]]+Dashboard[[#This Row],[ret_fa_hh]]</f>
        <v>7</v>
      </c>
      <c r="CC33" s="2">
        <f>Dashboard[[#This Row],[idp_loc_hh]]+Dashboard[[#This Row],[ref_loc_hh]]+Dashboard[[#This Row],[ret_loc_hh]]</f>
        <v>0</v>
      </c>
      <c r="CD33" s="2">
        <f>Dashboard[[#This Row],[idp_cc_hh]]+Dashboard[[#This Row],[ref_cc_hh]]+Dashboard[[#This Row],[ret_cc_hh]]</f>
        <v>0</v>
      </c>
      <c r="CE33" s="2">
        <f>Dashboard[[#This Row],[idp_as_hh]]+Dashboard[[#This Row],[ref_as_hh]]+Dashboard[[#This Row],[ret_as_hh]]</f>
        <v>0</v>
      </c>
      <c r="CF33" s="2">
        <f>Dashboard[[#This Row],[idp_al_hh]]+Dashboard[[#This Row],[ref_al_hh]]+Dashboard[[#This Row],[ret_al_hh]]</f>
        <v>0</v>
      </c>
    </row>
    <row r="34" spans="1:84" hidden="1" x14ac:dyDescent="0.25">
      <c r="A34" s="27">
        <v>254</v>
      </c>
      <c r="B34" s="2" t="s">
        <v>22</v>
      </c>
      <c r="C34" s="2" t="s">
        <v>23</v>
      </c>
      <c r="D34" s="2" t="s">
        <v>24</v>
      </c>
      <c r="E34" s="2" t="s">
        <v>25</v>
      </c>
      <c r="F34" s="2" t="s">
        <v>56</v>
      </c>
      <c r="G34" s="2" t="s">
        <v>57</v>
      </c>
      <c r="H34" s="2" t="s">
        <v>889</v>
      </c>
      <c r="I34" s="2" t="s">
        <v>71</v>
      </c>
      <c r="J34" s="2" t="s">
        <v>2256</v>
      </c>
      <c r="K34" s="2" t="s">
        <v>2257</v>
      </c>
      <c r="L34" s="2" t="s">
        <v>3693</v>
      </c>
      <c r="M34" s="2">
        <v>1500</v>
      </c>
      <c r="N34" s="2" t="s">
        <v>1658</v>
      </c>
      <c r="O34" s="2">
        <v>5</v>
      </c>
      <c r="P34" s="2">
        <v>41</v>
      </c>
      <c r="Q34" s="2" t="s">
        <v>1658</v>
      </c>
      <c r="R34" s="2">
        <v>5</v>
      </c>
      <c r="S34" s="2" t="s">
        <v>1660</v>
      </c>
      <c r="T34" s="2">
        <v>0</v>
      </c>
      <c r="U34" s="2" t="s">
        <v>32</v>
      </c>
      <c r="V34" s="2" t="s">
        <v>32</v>
      </c>
      <c r="W34" s="1" t="s">
        <v>1660</v>
      </c>
      <c r="X34" s="1">
        <v>0</v>
      </c>
      <c r="Y34" s="1" t="s">
        <v>32</v>
      </c>
      <c r="Z34" s="1" t="s">
        <v>32</v>
      </c>
      <c r="AA34" s="1" t="s">
        <v>1660</v>
      </c>
      <c r="AB34" s="1">
        <v>0</v>
      </c>
      <c r="AC34" s="1" t="s">
        <v>1660</v>
      </c>
      <c r="AD34" s="1">
        <v>0</v>
      </c>
      <c r="AE34" s="1" t="s">
        <v>1660</v>
      </c>
      <c r="AF34" s="1">
        <v>0</v>
      </c>
      <c r="AG34" s="1">
        <v>0</v>
      </c>
      <c r="AH34" s="1" t="s">
        <v>32</v>
      </c>
      <c r="AI34" s="1" t="s">
        <v>32</v>
      </c>
      <c r="AJ34" s="1" t="s">
        <v>32</v>
      </c>
      <c r="AK34" s="1" t="s">
        <v>32</v>
      </c>
      <c r="AL34" s="1" t="s">
        <v>32</v>
      </c>
      <c r="AM34" s="1">
        <v>0</v>
      </c>
      <c r="AN34" s="1" t="s">
        <v>32</v>
      </c>
      <c r="AO34" s="1">
        <v>0</v>
      </c>
      <c r="AP34" s="1" t="s">
        <v>32</v>
      </c>
      <c r="AQ34" s="1" t="s">
        <v>32</v>
      </c>
      <c r="AR34" s="1" t="s">
        <v>32</v>
      </c>
      <c r="AS34" s="1">
        <v>0</v>
      </c>
      <c r="AT34" s="1" t="s">
        <v>32</v>
      </c>
      <c r="AU34" s="1" t="s">
        <v>32</v>
      </c>
      <c r="AV34" s="1" t="s">
        <v>32</v>
      </c>
      <c r="AW34" s="1">
        <v>0</v>
      </c>
      <c r="AX34" s="1" t="s">
        <v>32</v>
      </c>
      <c r="AY34" s="1">
        <v>0</v>
      </c>
      <c r="AZ34" s="1" t="s">
        <v>1660</v>
      </c>
      <c r="BA34" s="1">
        <v>0</v>
      </c>
      <c r="BB34" s="1">
        <v>0</v>
      </c>
      <c r="BC34" s="1" t="s">
        <v>32</v>
      </c>
      <c r="BD34" s="1">
        <v>0</v>
      </c>
      <c r="BE34" s="1" t="s">
        <v>32</v>
      </c>
      <c r="BF34" s="1">
        <v>0</v>
      </c>
      <c r="BG34" s="1" t="s">
        <v>32</v>
      </c>
      <c r="BH34" s="1">
        <v>0</v>
      </c>
      <c r="BI34" s="1" t="s">
        <v>32</v>
      </c>
      <c r="BJ34" s="1" t="s">
        <v>32</v>
      </c>
      <c r="BK34" s="1" t="s">
        <v>32</v>
      </c>
      <c r="BL34" s="1">
        <v>0</v>
      </c>
      <c r="BM34" s="1" t="s">
        <v>32</v>
      </c>
      <c r="BN34" s="1" t="s">
        <v>32</v>
      </c>
      <c r="BO34" s="1" t="s">
        <v>32</v>
      </c>
      <c r="BP34" s="1">
        <v>0</v>
      </c>
      <c r="BQ34" s="1" t="s">
        <v>32</v>
      </c>
      <c r="BR34" s="1">
        <v>0</v>
      </c>
      <c r="BS34" s="1" t="s">
        <v>1660</v>
      </c>
      <c r="BT34" s="1">
        <v>0</v>
      </c>
      <c r="BU34" s="1">
        <v>0</v>
      </c>
      <c r="BV34" s="1" t="s">
        <v>1660</v>
      </c>
      <c r="BW34" s="1"/>
      <c r="BX34" s="1"/>
      <c r="BY34" s="1" t="s">
        <v>1807</v>
      </c>
      <c r="BZ34" s="2" t="b">
        <f>OR( (Dashboard[[#This Row],[ref_as_hh]]&gt;=1),(Dashboard[[#This Row],[ret_as_hh]] &gt;=1), (Dashboard[[#This Row],[idp_as_hh]]&gt;=1))</f>
        <v>0</v>
      </c>
      <c r="CA34" s="2">
        <f>Dashboard[[#This Row],[ret_hi_hh]]</f>
        <v>0</v>
      </c>
      <c r="CB34" s="2">
        <f>Dashboard[[#This Row],[idp_fa_hh]]+Dashboard[[#This Row],[ref_fa_hh]]+Dashboard[[#This Row],[ret_fa_hh]]</f>
        <v>5</v>
      </c>
      <c r="CC34" s="2">
        <f>Dashboard[[#This Row],[idp_loc_hh]]+Dashboard[[#This Row],[ref_loc_hh]]+Dashboard[[#This Row],[ret_loc_hh]]</f>
        <v>0</v>
      </c>
      <c r="CD34" s="2">
        <f>Dashboard[[#This Row],[idp_cc_hh]]+Dashboard[[#This Row],[ref_cc_hh]]+Dashboard[[#This Row],[ret_cc_hh]]</f>
        <v>0</v>
      </c>
      <c r="CE34" s="2">
        <f>Dashboard[[#This Row],[idp_as_hh]]+Dashboard[[#This Row],[ref_as_hh]]+Dashboard[[#This Row],[ret_as_hh]]</f>
        <v>0</v>
      </c>
      <c r="CF34" s="2">
        <f>Dashboard[[#This Row],[idp_al_hh]]+Dashboard[[#This Row],[ref_al_hh]]+Dashboard[[#This Row],[ret_al_hh]]</f>
        <v>0</v>
      </c>
    </row>
    <row r="35" spans="1:84" hidden="1" x14ac:dyDescent="0.25">
      <c r="A35" s="27">
        <v>255</v>
      </c>
      <c r="B35" s="2" t="s">
        <v>22</v>
      </c>
      <c r="C35" s="2" t="s">
        <v>23</v>
      </c>
      <c r="D35" s="2" t="s">
        <v>24</v>
      </c>
      <c r="E35" s="2" t="s">
        <v>25</v>
      </c>
      <c r="F35" s="2" t="s">
        <v>56</v>
      </c>
      <c r="G35" s="2" t="s">
        <v>57</v>
      </c>
      <c r="H35" s="2" t="s">
        <v>884</v>
      </c>
      <c r="I35" s="2" t="s">
        <v>65</v>
      </c>
      <c r="J35" s="2" t="s">
        <v>2246</v>
      </c>
      <c r="K35" s="2" t="s">
        <v>2247</v>
      </c>
      <c r="L35" s="2" t="s">
        <v>2074</v>
      </c>
      <c r="M35" s="2">
        <v>720</v>
      </c>
      <c r="N35" s="2" t="s">
        <v>1658</v>
      </c>
      <c r="O35" s="2">
        <v>7</v>
      </c>
      <c r="P35" s="2">
        <v>37</v>
      </c>
      <c r="Q35" s="2" t="s">
        <v>1658</v>
      </c>
      <c r="R35" s="2">
        <v>7</v>
      </c>
      <c r="S35" s="2" t="s">
        <v>1660</v>
      </c>
      <c r="T35" s="2">
        <v>0</v>
      </c>
      <c r="U35" s="2" t="s">
        <v>32</v>
      </c>
      <c r="V35" s="2" t="s">
        <v>32</v>
      </c>
      <c r="W35" s="1" t="s">
        <v>1660</v>
      </c>
      <c r="X35" s="1">
        <v>0</v>
      </c>
      <c r="Y35" s="1" t="s">
        <v>32</v>
      </c>
      <c r="Z35" s="1" t="s">
        <v>32</v>
      </c>
      <c r="AA35" s="1" t="s">
        <v>1660</v>
      </c>
      <c r="AB35" s="1">
        <v>0</v>
      </c>
      <c r="AC35" s="1" t="s">
        <v>1660</v>
      </c>
      <c r="AD35" s="1">
        <v>0</v>
      </c>
      <c r="AE35" s="1" t="s">
        <v>1660</v>
      </c>
      <c r="AF35" s="1">
        <v>0</v>
      </c>
      <c r="AG35" s="1">
        <v>0</v>
      </c>
      <c r="AH35" s="1" t="s">
        <v>32</v>
      </c>
      <c r="AI35" s="1" t="s">
        <v>32</v>
      </c>
      <c r="AJ35" s="1" t="s">
        <v>32</v>
      </c>
      <c r="AK35" s="1" t="s">
        <v>32</v>
      </c>
      <c r="AL35" s="1" t="s">
        <v>32</v>
      </c>
      <c r="AM35" s="1">
        <v>0</v>
      </c>
      <c r="AN35" s="1" t="s">
        <v>32</v>
      </c>
      <c r="AO35" s="1">
        <v>0</v>
      </c>
      <c r="AP35" s="1" t="s">
        <v>32</v>
      </c>
      <c r="AQ35" s="1" t="s">
        <v>32</v>
      </c>
      <c r="AR35" s="1" t="s">
        <v>32</v>
      </c>
      <c r="AS35" s="1">
        <v>0</v>
      </c>
      <c r="AT35" s="1" t="s">
        <v>32</v>
      </c>
      <c r="AU35" s="1" t="s">
        <v>32</v>
      </c>
      <c r="AV35" s="1" t="s">
        <v>32</v>
      </c>
      <c r="AW35" s="1">
        <v>0</v>
      </c>
      <c r="AX35" s="1" t="s">
        <v>32</v>
      </c>
      <c r="AY35" s="1">
        <v>0</v>
      </c>
      <c r="AZ35" s="1" t="s">
        <v>1660</v>
      </c>
      <c r="BA35" s="1">
        <v>0</v>
      </c>
      <c r="BB35" s="1">
        <v>0</v>
      </c>
      <c r="BC35" s="1" t="s">
        <v>32</v>
      </c>
      <c r="BD35" s="1">
        <v>0</v>
      </c>
      <c r="BE35" s="1" t="s">
        <v>32</v>
      </c>
      <c r="BF35" s="1">
        <v>0</v>
      </c>
      <c r="BG35" s="1" t="s">
        <v>32</v>
      </c>
      <c r="BH35" s="1">
        <v>0</v>
      </c>
      <c r="BI35" s="1" t="s">
        <v>32</v>
      </c>
      <c r="BJ35" s="1" t="s">
        <v>32</v>
      </c>
      <c r="BK35" s="1" t="s">
        <v>32</v>
      </c>
      <c r="BL35" s="1">
        <v>0</v>
      </c>
      <c r="BM35" s="1" t="s">
        <v>32</v>
      </c>
      <c r="BN35" s="1" t="s">
        <v>32</v>
      </c>
      <c r="BO35" s="1" t="s">
        <v>32</v>
      </c>
      <c r="BP35" s="1">
        <v>0</v>
      </c>
      <c r="BQ35" s="1" t="s">
        <v>32</v>
      </c>
      <c r="BR35" s="1">
        <v>0</v>
      </c>
      <c r="BS35" s="1" t="s">
        <v>1660</v>
      </c>
      <c r="BT35" s="1">
        <v>0</v>
      </c>
      <c r="BU35" s="1">
        <v>0</v>
      </c>
      <c r="BV35" s="1" t="s">
        <v>1660</v>
      </c>
      <c r="BW35" s="1"/>
      <c r="BX35" s="1"/>
      <c r="BY35" s="1" t="s">
        <v>1807</v>
      </c>
      <c r="BZ35" s="2" t="b">
        <f>OR( (Dashboard[[#This Row],[ref_as_hh]]&gt;=1),(Dashboard[[#This Row],[ret_as_hh]] &gt;=1), (Dashboard[[#This Row],[idp_as_hh]]&gt;=1))</f>
        <v>0</v>
      </c>
      <c r="CA35" s="2">
        <f>Dashboard[[#This Row],[ret_hi_hh]]</f>
        <v>0</v>
      </c>
      <c r="CB35" s="2">
        <f>Dashboard[[#This Row],[idp_fa_hh]]+Dashboard[[#This Row],[ref_fa_hh]]+Dashboard[[#This Row],[ret_fa_hh]]</f>
        <v>7</v>
      </c>
      <c r="CC35" s="2">
        <f>Dashboard[[#This Row],[idp_loc_hh]]+Dashboard[[#This Row],[ref_loc_hh]]+Dashboard[[#This Row],[ret_loc_hh]]</f>
        <v>0</v>
      </c>
      <c r="CD35" s="2">
        <f>Dashboard[[#This Row],[idp_cc_hh]]+Dashboard[[#This Row],[ref_cc_hh]]+Dashboard[[#This Row],[ret_cc_hh]]</f>
        <v>0</v>
      </c>
      <c r="CE35" s="2">
        <f>Dashboard[[#This Row],[idp_as_hh]]+Dashboard[[#This Row],[ref_as_hh]]+Dashboard[[#This Row],[ret_as_hh]]</f>
        <v>0</v>
      </c>
      <c r="CF35" s="2">
        <f>Dashboard[[#This Row],[idp_al_hh]]+Dashboard[[#This Row],[ref_al_hh]]+Dashboard[[#This Row],[ret_al_hh]]</f>
        <v>0</v>
      </c>
    </row>
    <row r="36" spans="1:84" hidden="1" x14ac:dyDescent="0.25">
      <c r="A36" s="27">
        <v>517</v>
      </c>
      <c r="B36" s="2" t="s">
        <v>22</v>
      </c>
      <c r="C36" s="2" t="s">
        <v>23</v>
      </c>
      <c r="D36" s="2" t="s">
        <v>24</v>
      </c>
      <c r="E36" s="2" t="s">
        <v>25</v>
      </c>
      <c r="F36" s="2" t="s">
        <v>656</v>
      </c>
      <c r="G36" s="2" t="s">
        <v>657</v>
      </c>
      <c r="H36" s="2" t="s">
        <v>1556</v>
      </c>
      <c r="I36" s="2" t="s">
        <v>663</v>
      </c>
      <c r="J36" s="2" t="s">
        <v>2204</v>
      </c>
      <c r="K36" s="2" t="s">
        <v>2205</v>
      </c>
      <c r="L36" s="2" t="s">
        <v>2074</v>
      </c>
      <c r="M36" s="2">
        <v>465</v>
      </c>
      <c r="N36" s="2" t="s">
        <v>1660</v>
      </c>
      <c r="O36" s="2">
        <v>0</v>
      </c>
      <c r="P36" s="2">
        <v>0</v>
      </c>
      <c r="Q36" s="2" t="s">
        <v>32</v>
      </c>
      <c r="R36" s="2">
        <v>0</v>
      </c>
      <c r="S36" s="2" t="s">
        <v>32</v>
      </c>
      <c r="T36" s="2">
        <v>0</v>
      </c>
      <c r="U36" s="2" t="s">
        <v>32</v>
      </c>
      <c r="V36" s="2" t="s">
        <v>32</v>
      </c>
      <c r="W36" s="1" t="s">
        <v>32</v>
      </c>
      <c r="X36" s="1">
        <v>0</v>
      </c>
      <c r="Y36" s="1" t="s">
        <v>32</v>
      </c>
      <c r="Z36" s="1" t="s">
        <v>32</v>
      </c>
      <c r="AA36" s="1" t="s">
        <v>32</v>
      </c>
      <c r="AB36" s="1">
        <v>0</v>
      </c>
      <c r="AC36" s="1" t="s">
        <v>32</v>
      </c>
      <c r="AD36" s="1">
        <v>0</v>
      </c>
      <c r="AE36" s="1" t="s">
        <v>1660</v>
      </c>
      <c r="AF36" s="1">
        <v>0</v>
      </c>
      <c r="AG36" s="1">
        <v>0</v>
      </c>
      <c r="AH36" s="1" t="s">
        <v>32</v>
      </c>
      <c r="AI36" s="1" t="s">
        <v>32</v>
      </c>
      <c r="AJ36" s="1" t="s">
        <v>32</v>
      </c>
      <c r="AK36" s="1" t="s">
        <v>32</v>
      </c>
      <c r="AL36" s="1" t="s">
        <v>32</v>
      </c>
      <c r="AM36" s="1">
        <v>0</v>
      </c>
      <c r="AN36" s="1" t="s">
        <v>32</v>
      </c>
      <c r="AO36" s="1">
        <v>0</v>
      </c>
      <c r="AP36" s="1" t="s">
        <v>32</v>
      </c>
      <c r="AQ36" s="1" t="s">
        <v>32</v>
      </c>
      <c r="AR36" s="1" t="s">
        <v>32</v>
      </c>
      <c r="AS36" s="1">
        <v>0</v>
      </c>
      <c r="AT36" s="1" t="s">
        <v>32</v>
      </c>
      <c r="AU36" s="1" t="s">
        <v>32</v>
      </c>
      <c r="AV36" s="1" t="s">
        <v>32</v>
      </c>
      <c r="AW36" s="1">
        <v>0</v>
      </c>
      <c r="AX36" s="1" t="s">
        <v>32</v>
      </c>
      <c r="AY36" s="1">
        <v>0</v>
      </c>
      <c r="AZ36" s="1" t="s">
        <v>1658</v>
      </c>
      <c r="BA36" s="1">
        <v>1</v>
      </c>
      <c r="BB36" s="1">
        <v>17</v>
      </c>
      <c r="BC36" s="1" t="s">
        <v>1660</v>
      </c>
      <c r="BD36" s="1">
        <v>0</v>
      </c>
      <c r="BE36" s="1" t="s">
        <v>1658</v>
      </c>
      <c r="BF36" s="1">
        <v>1</v>
      </c>
      <c r="BG36" s="1" t="s">
        <v>1660</v>
      </c>
      <c r="BH36" s="1">
        <v>0</v>
      </c>
      <c r="BI36" s="1" t="s">
        <v>32</v>
      </c>
      <c r="BJ36" s="1" t="s">
        <v>32</v>
      </c>
      <c r="BK36" s="1" t="s">
        <v>1660</v>
      </c>
      <c r="BL36" s="1">
        <v>0</v>
      </c>
      <c r="BM36" s="1" t="s">
        <v>32</v>
      </c>
      <c r="BN36" s="1" t="s">
        <v>32</v>
      </c>
      <c r="BO36" s="1" t="s">
        <v>1660</v>
      </c>
      <c r="BP36" s="1">
        <v>0</v>
      </c>
      <c r="BQ36" s="1" t="s">
        <v>1660</v>
      </c>
      <c r="BR36" s="1">
        <v>0</v>
      </c>
      <c r="BS36" s="1" t="s">
        <v>1658</v>
      </c>
      <c r="BT36" s="1">
        <v>13</v>
      </c>
      <c r="BU36" s="1">
        <v>85</v>
      </c>
      <c r="BV36" s="1" t="s">
        <v>1660</v>
      </c>
      <c r="BW36" s="1"/>
      <c r="BX36" s="1"/>
      <c r="BY36" s="1" t="s">
        <v>1807</v>
      </c>
      <c r="BZ36" s="2" t="b">
        <f>OR( (Dashboard[[#This Row],[ref_as_hh]]&gt;=1),(Dashboard[[#This Row],[ret_as_hh]] &gt;=1), (Dashboard[[#This Row],[idp_as_hh]]&gt;=1))</f>
        <v>0</v>
      </c>
      <c r="CA36" s="2">
        <f>Dashboard[[#This Row],[ret_hi_hh]]</f>
        <v>0</v>
      </c>
      <c r="CB36" s="2">
        <f>Dashboard[[#This Row],[idp_fa_hh]]+Dashboard[[#This Row],[ref_fa_hh]]+Dashboard[[#This Row],[ret_fa_hh]]</f>
        <v>1</v>
      </c>
      <c r="CC36" s="2">
        <f>Dashboard[[#This Row],[idp_loc_hh]]+Dashboard[[#This Row],[ref_loc_hh]]+Dashboard[[#This Row],[ret_loc_hh]]</f>
        <v>0</v>
      </c>
      <c r="CD36" s="2">
        <f>Dashboard[[#This Row],[idp_cc_hh]]+Dashboard[[#This Row],[ref_cc_hh]]+Dashboard[[#This Row],[ret_cc_hh]]</f>
        <v>0</v>
      </c>
      <c r="CE36" s="2">
        <f>Dashboard[[#This Row],[idp_as_hh]]+Dashboard[[#This Row],[ref_as_hh]]+Dashboard[[#This Row],[ret_as_hh]]</f>
        <v>0</v>
      </c>
      <c r="CF36" s="2">
        <f>Dashboard[[#This Row],[idp_al_hh]]+Dashboard[[#This Row],[ref_al_hh]]+Dashboard[[#This Row],[ret_al_hh]]</f>
        <v>0</v>
      </c>
    </row>
    <row r="37" spans="1:84" hidden="1" x14ac:dyDescent="0.25">
      <c r="A37" s="27">
        <v>298</v>
      </c>
      <c r="B37" s="2" t="s">
        <v>22</v>
      </c>
      <c r="C37" s="2" t="s">
        <v>23</v>
      </c>
      <c r="D37" s="2" t="s">
        <v>24</v>
      </c>
      <c r="E37" s="2" t="s">
        <v>25</v>
      </c>
      <c r="F37" s="2" t="s">
        <v>656</v>
      </c>
      <c r="G37" s="2" t="s">
        <v>657</v>
      </c>
      <c r="H37" s="2" t="s">
        <v>1554</v>
      </c>
      <c r="I37" s="2" t="s">
        <v>661</v>
      </c>
      <c r="J37" s="2" t="s">
        <v>2200</v>
      </c>
      <c r="K37" s="2" t="s">
        <v>2201</v>
      </c>
      <c r="L37" s="2" t="s">
        <v>2074</v>
      </c>
      <c r="M37" s="2">
        <v>283</v>
      </c>
      <c r="N37" s="2" t="s">
        <v>1660</v>
      </c>
      <c r="O37" s="2">
        <v>0</v>
      </c>
      <c r="P37" s="2">
        <v>0</v>
      </c>
      <c r="Q37" s="2" t="s">
        <v>32</v>
      </c>
      <c r="R37" s="2">
        <v>0</v>
      </c>
      <c r="S37" s="2" t="s">
        <v>32</v>
      </c>
      <c r="T37" s="2">
        <v>0</v>
      </c>
      <c r="U37" s="2" t="s">
        <v>32</v>
      </c>
      <c r="V37" s="2" t="s">
        <v>32</v>
      </c>
      <c r="W37" s="1" t="s">
        <v>32</v>
      </c>
      <c r="X37" s="1">
        <v>0</v>
      </c>
      <c r="Y37" s="1" t="s">
        <v>32</v>
      </c>
      <c r="Z37" s="1" t="s">
        <v>32</v>
      </c>
      <c r="AA37" s="1" t="s">
        <v>32</v>
      </c>
      <c r="AB37" s="1">
        <v>0</v>
      </c>
      <c r="AC37" s="1" t="s">
        <v>32</v>
      </c>
      <c r="AD37" s="1">
        <v>0</v>
      </c>
      <c r="AE37" s="1" t="s">
        <v>1660</v>
      </c>
      <c r="AF37" s="1">
        <v>0</v>
      </c>
      <c r="AG37" s="1">
        <v>0</v>
      </c>
      <c r="AH37" s="1" t="s">
        <v>32</v>
      </c>
      <c r="AI37" s="1" t="s">
        <v>32</v>
      </c>
      <c r="AJ37" s="1" t="s">
        <v>32</v>
      </c>
      <c r="AK37" s="1" t="s">
        <v>32</v>
      </c>
      <c r="AL37" s="1" t="s">
        <v>32</v>
      </c>
      <c r="AM37" s="1">
        <v>0</v>
      </c>
      <c r="AN37" s="1" t="s">
        <v>32</v>
      </c>
      <c r="AO37" s="1">
        <v>0</v>
      </c>
      <c r="AP37" s="1" t="s">
        <v>32</v>
      </c>
      <c r="AQ37" s="1" t="s">
        <v>32</v>
      </c>
      <c r="AR37" s="1" t="s">
        <v>32</v>
      </c>
      <c r="AS37" s="1">
        <v>0</v>
      </c>
      <c r="AT37" s="1" t="s">
        <v>32</v>
      </c>
      <c r="AU37" s="1" t="s">
        <v>32</v>
      </c>
      <c r="AV37" s="1" t="s">
        <v>32</v>
      </c>
      <c r="AW37" s="1">
        <v>0</v>
      </c>
      <c r="AX37" s="1" t="s">
        <v>32</v>
      </c>
      <c r="AY37" s="1">
        <v>0</v>
      </c>
      <c r="AZ37" s="1" t="s">
        <v>1658</v>
      </c>
      <c r="BA37" s="1">
        <v>3</v>
      </c>
      <c r="BB37" s="1">
        <v>45</v>
      </c>
      <c r="BC37" s="1" t="s">
        <v>1660</v>
      </c>
      <c r="BD37" s="1">
        <v>0</v>
      </c>
      <c r="BE37" s="1" t="s">
        <v>1658</v>
      </c>
      <c r="BF37" s="1">
        <v>3</v>
      </c>
      <c r="BG37" s="1" t="s">
        <v>1660</v>
      </c>
      <c r="BH37" s="1">
        <v>0</v>
      </c>
      <c r="BI37" s="1" t="s">
        <v>32</v>
      </c>
      <c r="BJ37" s="1" t="s">
        <v>32</v>
      </c>
      <c r="BK37" s="1" t="s">
        <v>1660</v>
      </c>
      <c r="BL37" s="1">
        <v>0</v>
      </c>
      <c r="BM37" s="1" t="s">
        <v>32</v>
      </c>
      <c r="BN37" s="1" t="s">
        <v>32</v>
      </c>
      <c r="BO37" s="1" t="s">
        <v>1660</v>
      </c>
      <c r="BP37" s="1">
        <v>0</v>
      </c>
      <c r="BQ37" s="1" t="s">
        <v>1660</v>
      </c>
      <c r="BR37" s="1">
        <v>0</v>
      </c>
      <c r="BS37" s="1" t="s">
        <v>1658</v>
      </c>
      <c r="BT37" s="1">
        <v>21</v>
      </c>
      <c r="BU37" s="1">
        <v>150</v>
      </c>
      <c r="BV37" s="1" t="s">
        <v>1660</v>
      </c>
      <c r="BW37" s="1"/>
      <c r="BX37" s="1"/>
      <c r="BY37" s="1" t="s">
        <v>1807</v>
      </c>
      <c r="BZ37" s="2" t="b">
        <f>OR( (Dashboard[[#This Row],[ref_as_hh]]&gt;=1),(Dashboard[[#This Row],[ret_as_hh]] &gt;=1), (Dashboard[[#This Row],[idp_as_hh]]&gt;=1))</f>
        <v>0</v>
      </c>
      <c r="CA37" s="2">
        <f>Dashboard[[#This Row],[ret_hi_hh]]</f>
        <v>0</v>
      </c>
      <c r="CB37" s="2">
        <f>Dashboard[[#This Row],[idp_fa_hh]]+Dashboard[[#This Row],[ref_fa_hh]]+Dashboard[[#This Row],[ret_fa_hh]]</f>
        <v>3</v>
      </c>
      <c r="CC37" s="2">
        <f>Dashboard[[#This Row],[idp_loc_hh]]+Dashboard[[#This Row],[ref_loc_hh]]+Dashboard[[#This Row],[ret_loc_hh]]</f>
        <v>0</v>
      </c>
      <c r="CD37" s="2">
        <f>Dashboard[[#This Row],[idp_cc_hh]]+Dashboard[[#This Row],[ref_cc_hh]]+Dashboard[[#This Row],[ret_cc_hh]]</f>
        <v>0</v>
      </c>
      <c r="CE37" s="2">
        <f>Dashboard[[#This Row],[idp_as_hh]]+Dashboard[[#This Row],[ref_as_hh]]+Dashboard[[#This Row],[ret_as_hh]]</f>
        <v>0</v>
      </c>
      <c r="CF37" s="2">
        <f>Dashboard[[#This Row],[idp_al_hh]]+Dashboard[[#This Row],[ref_al_hh]]+Dashboard[[#This Row],[ret_al_hh]]</f>
        <v>0</v>
      </c>
    </row>
    <row r="38" spans="1:84" hidden="1" x14ac:dyDescent="0.25">
      <c r="A38" s="27">
        <v>74</v>
      </c>
      <c r="B38" s="2" t="s">
        <v>22</v>
      </c>
      <c r="C38" s="2" t="s">
        <v>23</v>
      </c>
      <c r="D38" s="2" t="s">
        <v>24</v>
      </c>
      <c r="E38" s="2" t="s">
        <v>25</v>
      </c>
      <c r="F38" s="2" t="s">
        <v>656</v>
      </c>
      <c r="G38" s="2" t="s">
        <v>657</v>
      </c>
      <c r="H38" s="2" t="s">
        <v>1553</v>
      </c>
      <c r="I38" s="2" t="s">
        <v>658</v>
      </c>
      <c r="J38" s="2" t="s">
        <v>2198</v>
      </c>
      <c r="K38" s="2" t="s">
        <v>2199</v>
      </c>
      <c r="L38" s="2" t="s">
        <v>2074</v>
      </c>
      <c r="M38" s="2">
        <v>1860</v>
      </c>
      <c r="N38" s="2" t="s">
        <v>1660</v>
      </c>
      <c r="O38" s="2">
        <v>0</v>
      </c>
      <c r="P38" s="2">
        <v>0</v>
      </c>
      <c r="Q38" s="2" t="s">
        <v>32</v>
      </c>
      <c r="R38" s="2">
        <v>0</v>
      </c>
      <c r="S38" s="2" t="s">
        <v>32</v>
      </c>
      <c r="T38" s="2">
        <v>0</v>
      </c>
      <c r="U38" s="2" t="s">
        <v>32</v>
      </c>
      <c r="V38" s="2" t="s">
        <v>32</v>
      </c>
      <c r="W38" s="1" t="s">
        <v>32</v>
      </c>
      <c r="X38" s="1">
        <v>0</v>
      </c>
      <c r="Y38" s="1" t="s">
        <v>32</v>
      </c>
      <c r="Z38" s="1" t="s">
        <v>32</v>
      </c>
      <c r="AA38" s="1" t="s">
        <v>32</v>
      </c>
      <c r="AB38" s="1">
        <v>0</v>
      </c>
      <c r="AC38" s="1" t="s">
        <v>32</v>
      </c>
      <c r="AD38" s="1">
        <v>0</v>
      </c>
      <c r="AE38" s="1" t="s">
        <v>1660</v>
      </c>
      <c r="AF38" s="1">
        <v>0</v>
      </c>
      <c r="AG38" s="1">
        <v>0</v>
      </c>
      <c r="AH38" s="1" t="s">
        <v>32</v>
      </c>
      <c r="AI38" s="1" t="s">
        <v>32</v>
      </c>
      <c r="AJ38" s="1" t="s">
        <v>32</v>
      </c>
      <c r="AK38" s="1" t="s">
        <v>32</v>
      </c>
      <c r="AL38" s="1" t="s">
        <v>32</v>
      </c>
      <c r="AM38" s="1">
        <v>0</v>
      </c>
      <c r="AN38" s="1" t="s">
        <v>32</v>
      </c>
      <c r="AO38" s="1">
        <v>0</v>
      </c>
      <c r="AP38" s="1" t="s">
        <v>32</v>
      </c>
      <c r="AQ38" s="1" t="s">
        <v>32</v>
      </c>
      <c r="AR38" s="1" t="s">
        <v>32</v>
      </c>
      <c r="AS38" s="1">
        <v>0</v>
      </c>
      <c r="AT38" s="1" t="s">
        <v>32</v>
      </c>
      <c r="AU38" s="1" t="s">
        <v>32</v>
      </c>
      <c r="AV38" s="1" t="s">
        <v>32</v>
      </c>
      <c r="AW38" s="1">
        <v>0</v>
      </c>
      <c r="AX38" s="1" t="s">
        <v>32</v>
      </c>
      <c r="AY38" s="1">
        <v>0</v>
      </c>
      <c r="AZ38" s="1" t="s">
        <v>1658</v>
      </c>
      <c r="BA38" s="1">
        <v>1</v>
      </c>
      <c r="BB38" s="1">
        <v>22</v>
      </c>
      <c r="BC38" s="1" t="s">
        <v>1660</v>
      </c>
      <c r="BD38" s="1">
        <v>0</v>
      </c>
      <c r="BE38" s="1" t="s">
        <v>1658</v>
      </c>
      <c r="BF38" s="1">
        <v>1</v>
      </c>
      <c r="BG38" s="1" t="s">
        <v>1660</v>
      </c>
      <c r="BH38" s="1">
        <v>0</v>
      </c>
      <c r="BI38" s="1" t="s">
        <v>32</v>
      </c>
      <c r="BJ38" s="1" t="s">
        <v>32</v>
      </c>
      <c r="BK38" s="1" t="s">
        <v>1660</v>
      </c>
      <c r="BL38" s="1">
        <v>0</v>
      </c>
      <c r="BM38" s="1" t="s">
        <v>32</v>
      </c>
      <c r="BN38" s="1" t="s">
        <v>32</v>
      </c>
      <c r="BO38" s="1" t="s">
        <v>1660</v>
      </c>
      <c r="BP38" s="1">
        <v>0</v>
      </c>
      <c r="BQ38" s="1" t="s">
        <v>1660</v>
      </c>
      <c r="BR38" s="1">
        <v>0</v>
      </c>
      <c r="BS38" s="1" t="s">
        <v>1658</v>
      </c>
      <c r="BT38" s="1">
        <v>4</v>
      </c>
      <c r="BU38" s="1">
        <v>22</v>
      </c>
      <c r="BV38" s="1" t="s">
        <v>1660</v>
      </c>
      <c r="BW38" s="1"/>
      <c r="BX38" s="1"/>
      <c r="BY38" s="1" t="s">
        <v>1807</v>
      </c>
      <c r="BZ38" s="2" t="b">
        <f>OR( (Dashboard[[#This Row],[ref_as_hh]]&gt;=1),(Dashboard[[#This Row],[ret_as_hh]] &gt;=1), (Dashboard[[#This Row],[idp_as_hh]]&gt;=1))</f>
        <v>0</v>
      </c>
      <c r="CA38" s="2">
        <f>Dashboard[[#This Row],[ret_hi_hh]]</f>
        <v>0</v>
      </c>
      <c r="CB38" s="2">
        <f>Dashboard[[#This Row],[idp_fa_hh]]+Dashboard[[#This Row],[ref_fa_hh]]+Dashboard[[#This Row],[ret_fa_hh]]</f>
        <v>1</v>
      </c>
      <c r="CC38" s="2">
        <f>Dashboard[[#This Row],[idp_loc_hh]]+Dashboard[[#This Row],[ref_loc_hh]]+Dashboard[[#This Row],[ret_loc_hh]]</f>
        <v>0</v>
      </c>
      <c r="CD38" s="2">
        <f>Dashboard[[#This Row],[idp_cc_hh]]+Dashboard[[#This Row],[ref_cc_hh]]+Dashboard[[#This Row],[ret_cc_hh]]</f>
        <v>0</v>
      </c>
      <c r="CE38" s="2">
        <f>Dashboard[[#This Row],[idp_as_hh]]+Dashboard[[#This Row],[ref_as_hh]]+Dashboard[[#This Row],[ret_as_hh]]</f>
        <v>0</v>
      </c>
      <c r="CF38" s="2">
        <f>Dashboard[[#This Row],[idp_al_hh]]+Dashboard[[#This Row],[ref_al_hh]]+Dashboard[[#This Row],[ret_al_hh]]</f>
        <v>0</v>
      </c>
    </row>
    <row r="39" spans="1:84" hidden="1" x14ac:dyDescent="0.25">
      <c r="A39" s="27">
        <v>371</v>
      </c>
      <c r="B39" s="2" t="s">
        <v>22</v>
      </c>
      <c r="C39" s="2" t="s">
        <v>23</v>
      </c>
      <c r="D39" s="2" t="s">
        <v>24</v>
      </c>
      <c r="E39" s="2" t="s">
        <v>25</v>
      </c>
      <c r="F39" s="2" t="s">
        <v>656</v>
      </c>
      <c r="G39" s="2" t="s">
        <v>657</v>
      </c>
      <c r="H39" s="2" t="s">
        <v>1557</v>
      </c>
      <c r="I39" s="2" t="s">
        <v>664</v>
      </c>
      <c r="J39" s="2" t="s">
        <v>2206</v>
      </c>
      <c r="K39" s="2" t="s">
        <v>2207</v>
      </c>
      <c r="L39" s="2" t="s">
        <v>2074</v>
      </c>
      <c r="M39" s="2">
        <v>194</v>
      </c>
      <c r="N39" s="2" t="s">
        <v>1660</v>
      </c>
      <c r="O39" s="2">
        <v>0</v>
      </c>
      <c r="P39" s="2">
        <v>0</v>
      </c>
      <c r="Q39" s="2" t="s">
        <v>32</v>
      </c>
      <c r="R39" s="2">
        <v>0</v>
      </c>
      <c r="S39" s="2" t="s">
        <v>32</v>
      </c>
      <c r="T39" s="2">
        <v>0</v>
      </c>
      <c r="U39" s="2" t="s">
        <v>32</v>
      </c>
      <c r="V39" s="2" t="s">
        <v>32</v>
      </c>
      <c r="W39" s="1" t="s">
        <v>32</v>
      </c>
      <c r="X39" s="1">
        <v>0</v>
      </c>
      <c r="Y39" s="1" t="s">
        <v>32</v>
      </c>
      <c r="Z39" s="1" t="s">
        <v>32</v>
      </c>
      <c r="AA39" s="1" t="s">
        <v>32</v>
      </c>
      <c r="AB39" s="1">
        <v>0</v>
      </c>
      <c r="AC39" s="1" t="s">
        <v>32</v>
      </c>
      <c r="AD39" s="1">
        <v>0</v>
      </c>
      <c r="AE39" s="1" t="s">
        <v>1660</v>
      </c>
      <c r="AF39" s="1">
        <v>0</v>
      </c>
      <c r="AG39" s="1">
        <v>0</v>
      </c>
      <c r="AH39" s="1" t="s">
        <v>32</v>
      </c>
      <c r="AI39" s="1" t="s">
        <v>32</v>
      </c>
      <c r="AJ39" s="1" t="s">
        <v>32</v>
      </c>
      <c r="AK39" s="1" t="s">
        <v>32</v>
      </c>
      <c r="AL39" s="1" t="s">
        <v>32</v>
      </c>
      <c r="AM39" s="1">
        <v>0</v>
      </c>
      <c r="AN39" s="1" t="s">
        <v>32</v>
      </c>
      <c r="AO39" s="1">
        <v>0</v>
      </c>
      <c r="AP39" s="1" t="s">
        <v>32</v>
      </c>
      <c r="AQ39" s="1" t="s">
        <v>32</v>
      </c>
      <c r="AR39" s="1" t="s">
        <v>32</v>
      </c>
      <c r="AS39" s="1">
        <v>0</v>
      </c>
      <c r="AT39" s="1" t="s">
        <v>32</v>
      </c>
      <c r="AU39" s="1" t="s">
        <v>32</v>
      </c>
      <c r="AV39" s="1" t="s">
        <v>32</v>
      </c>
      <c r="AW39" s="1">
        <v>0</v>
      </c>
      <c r="AX39" s="1" t="s">
        <v>32</v>
      </c>
      <c r="AY39" s="1">
        <v>0</v>
      </c>
      <c r="AZ39" s="1" t="s">
        <v>1658</v>
      </c>
      <c r="BA39" s="1">
        <v>6</v>
      </c>
      <c r="BB39" s="1">
        <v>91</v>
      </c>
      <c r="BC39" s="1" t="s">
        <v>1660</v>
      </c>
      <c r="BD39" s="1">
        <v>0</v>
      </c>
      <c r="BE39" s="1" t="s">
        <v>1658</v>
      </c>
      <c r="BF39" s="1">
        <v>6</v>
      </c>
      <c r="BG39" s="1" t="s">
        <v>1660</v>
      </c>
      <c r="BH39" s="1">
        <v>0</v>
      </c>
      <c r="BI39" s="1" t="s">
        <v>32</v>
      </c>
      <c r="BJ39" s="1" t="s">
        <v>32</v>
      </c>
      <c r="BK39" s="1" t="s">
        <v>1660</v>
      </c>
      <c r="BL39" s="1">
        <v>0</v>
      </c>
      <c r="BM39" s="1" t="s">
        <v>32</v>
      </c>
      <c r="BN39" s="1" t="s">
        <v>32</v>
      </c>
      <c r="BO39" s="1" t="s">
        <v>1660</v>
      </c>
      <c r="BP39" s="1">
        <v>0</v>
      </c>
      <c r="BQ39" s="1" t="s">
        <v>1660</v>
      </c>
      <c r="BR39" s="1">
        <v>0</v>
      </c>
      <c r="BS39" s="1" t="s">
        <v>1658</v>
      </c>
      <c r="BT39" s="1">
        <v>12</v>
      </c>
      <c r="BU39" s="1">
        <v>75</v>
      </c>
      <c r="BV39" s="1" t="s">
        <v>1660</v>
      </c>
      <c r="BW39" s="1"/>
      <c r="BX39" s="1"/>
      <c r="BY39" s="1" t="s">
        <v>1807</v>
      </c>
      <c r="BZ39" s="2" t="b">
        <f>OR( (Dashboard[[#This Row],[ref_as_hh]]&gt;=1),(Dashboard[[#This Row],[ret_as_hh]] &gt;=1), (Dashboard[[#This Row],[idp_as_hh]]&gt;=1))</f>
        <v>0</v>
      </c>
      <c r="CA39" s="2">
        <f>Dashboard[[#This Row],[ret_hi_hh]]</f>
        <v>0</v>
      </c>
      <c r="CB39" s="2">
        <f>Dashboard[[#This Row],[idp_fa_hh]]+Dashboard[[#This Row],[ref_fa_hh]]+Dashboard[[#This Row],[ret_fa_hh]]</f>
        <v>6</v>
      </c>
      <c r="CC39" s="2">
        <f>Dashboard[[#This Row],[idp_loc_hh]]+Dashboard[[#This Row],[ref_loc_hh]]+Dashboard[[#This Row],[ret_loc_hh]]</f>
        <v>0</v>
      </c>
      <c r="CD39" s="2">
        <f>Dashboard[[#This Row],[idp_cc_hh]]+Dashboard[[#This Row],[ref_cc_hh]]+Dashboard[[#This Row],[ret_cc_hh]]</f>
        <v>0</v>
      </c>
      <c r="CE39" s="2">
        <f>Dashboard[[#This Row],[idp_as_hh]]+Dashboard[[#This Row],[ref_as_hh]]+Dashboard[[#This Row],[ret_as_hh]]</f>
        <v>0</v>
      </c>
      <c r="CF39" s="2">
        <f>Dashboard[[#This Row],[idp_al_hh]]+Dashboard[[#This Row],[ref_al_hh]]+Dashboard[[#This Row],[ret_al_hh]]</f>
        <v>0</v>
      </c>
    </row>
    <row r="40" spans="1:84" hidden="1" x14ac:dyDescent="0.25">
      <c r="A40" s="27">
        <v>163</v>
      </c>
      <c r="B40" s="2" t="s">
        <v>22</v>
      </c>
      <c r="C40" s="2" t="s">
        <v>23</v>
      </c>
      <c r="D40" s="2" t="s">
        <v>24</v>
      </c>
      <c r="E40" s="2" t="s">
        <v>25</v>
      </c>
      <c r="F40" s="2" t="s">
        <v>656</v>
      </c>
      <c r="G40" s="2" t="s">
        <v>657</v>
      </c>
      <c r="H40" s="2" t="s">
        <v>1555</v>
      </c>
      <c r="I40" s="2" t="s">
        <v>662</v>
      </c>
      <c r="J40" s="2" t="s">
        <v>2202</v>
      </c>
      <c r="K40" s="2" t="s">
        <v>2203</v>
      </c>
      <c r="L40" s="2" t="s">
        <v>2074</v>
      </c>
      <c r="M40" s="2">
        <v>1526</v>
      </c>
      <c r="N40" s="2" t="s">
        <v>1660</v>
      </c>
      <c r="O40" s="2">
        <v>0</v>
      </c>
      <c r="P40" s="2">
        <v>0</v>
      </c>
      <c r="Q40" s="2" t="s">
        <v>32</v>
      </c>
      <c r="R40" s="2">
        <v>0</v>
      </c>
      <c r="S40" s="2" t="s">
        <v>32</v>
      </c>
      <c r="T40" s="2">
        <v>0</v>
      </c>
      <c r="U40" s="2" t="s">
        <v>32</v>
      </c>
      <c r="V40" s="2" t="s">
        <v>32</v>
      </c>
      <c r="W40" s="1" t="s">
        <v>32</v>
      </c>
      <c r="X40" s="1">
        <v>0</v>
      </c>
      <c r="Y40" s="1" t="s">
        <v>32</v>
      </c>
      <c r="Z40" s="1" t="s">
        <v>32</v>
      </c>
      <c r="AA40" s="1" t="s">
        <v>32</v>
      </c>
      <c r="AB40" s="1">
        <v>0</v>
      </c>
      <c r="AC40" s="1" t="s">
        <v>32</v>
      </c>
      <c r="AD40" s="1">
        <v>0</v>
      </c>
      <c r="AE40" s="1" t="s">
        <v>1660</v>
      </c>
      <c r="AF40" s="1">
        <v>0</v>
      </c>
      <c r="AG40" s="1">
        <v>0</v>
      </c>
      <c r="AH40" s="1" t="s">
        <v>32</v>
      </c>
      <c r="AI40" s="1" t="s">
        <v>32</v>
      </c>
      <c r="AJ40" s="1" t="s">
        <v>32</v>
      </c>
      <c r="AK40" s="1" t="s">
        <v>32</v>
      </c>
      <c r="AL40" s="1" t="s">
        <v>32</v>
      </c>
      <c r="AM40" s="1">
        <v>0</v>
      </c>
      <c r="AN40" s="1" t="s">
        <v>32</v>
      </c>
      <c r="AO40" s="1">
        <v>0</v>
      </c>
      <c r="AP40" s="1" t="s">
        <v>32</v>
      </c>
      <c r="AQ40" s="1" t="s">
        <v>32</v>
      </c>
      <c r="AR40" s="1" t="s">
        <v>32</v>
      </c>
      <c r="AS40" s="1">
        <v>0</v>
      </c>
      <c r="AT40" s="1" t="s">
        <v>32</v>
      </c>
      <c r="AU40" s="1" t="s">
        <v>32</v>
      </c>
      <c r="AV40" s="1" t="s">
        <v>32</v>
      </c>
      <c r="AW40" s="1">
        <v>0</v>
      </c>
      <c r="AX40" s="1" t="s">
        <v>32</v>
      </c>
      <c r="AY40" s="1">
        <v>0</v>
      </c>
      <c r="AZ40" s="1" t="s">
        <v>1658</v>
      </c>
      <c r="BA40" s="1">
        <v>12</v>
      </c>
      <c r="BB40" s="1">
        <v>136</v>
      </c>
      <c r="BC40" s="1" t="s">
        <v>1660</v>
      </c>
      <c r="BD40" s="1">
        <v>0</v>
      </c>
      <c r="BE40" s="1" t="s">
        <v>1658</v>
      </c>
      <c r="BF40" s="1">
        <v>12</v>
      </c>
      <c r="BG40" s="1" t="s">
        <v>1660</v>
      </c>
      <c r="BH40" s="1">
        <v>0</v>
      </c>
      <c r="BI40" s="1" t="s">
        <v>32</v>
      </c>
      <c r="BJ40" s="1" t="s">
        <v>32</v>
      </c>
      <c r="BK40" s="1" t="s">
        <v>1660</v>
      </c>
      <c r="BL40" s="1">
        <v>0</v>
      </c>
      <c r="BM40" s="1" t="s">
        <v>32</v>
      </c>
      <c r="BN40" s="1" t="s">
        <v>32</v>
      </c>
      <c r="BO40" s="1" t="s">
        <v>1660</v>
      </c>
      <c r="BP40" s="1">
        <v>0</v>
      </c>
      <c r="BQ40" s="1" t="s">
        <v>1660</v>
      </c>
      <c r="BR40" s="1">
        <v>0</v>
      </c>
      <c r="BS40" s="1" t="s">
        <v>1658</v>
      </c>
      <c r="BT40" s="1">
        <v>6</v>
      </c>
      <c r="BU40" s="1">
        <v>39</v>
      </c>
      <c r="BV40" s="1" t="s">
        <v>1660</v>
      </c>
      <c r="BW40" s="1"/>
      <c r="BX40" s="1"/>
      <c r="BY40" s="1" t="s">
        <v>1807</v>
      </c>
      <c r="BZ40" s="2" t="b">
        <f>OR( (Dashboard[[#This Row],[ref_as_hh]]&gt;=1),(Dashboard[[#This Row],[ret_as_hh]] &gt;=1), (Dashboard[[#This Row],[idp_as_hh]]&gt;=1))</f>
        <v>0</v>
      </c>
      <c r="CA40" s="2">
        <f>Dashboard[[#This Row],[ret_hi_hh]]</f>
        <v>0</v>
      </c>
      <c r="CB40" s="2">
        <f>Dashboard[[#This Row],[idp_fa_hh]]+Dashboard[[#This Row],[ref_fa_hh]]+Dashboard[[#This Row],[ret_fa_hh]]</f>
        <v>12</v>
      </c>
      <c r="CC40" s="2">
        <f>Dashboard[[#This Row],[idp_loc_hh]]+Dashboard[[#This Row],[ref_loc_hh]]+Dashboard[[#This Row],[ret_loc_hh]]</f>
        <v>0</v>
      </c>
      <c r="CD40" s="2">
        <f>Dashboard[[#This Row],[idp_cc_hh]]+Dashboard[[#This Row],[ref_cc_hh]]+Dashboard[[#This Row],[ret_cc_hh]]</f>
        <v>0</v>
      </c>
      <c r="CE40" s="2">
        <f>Dashboard[[#This Row],[idp_as_hh]]+Dashboard[[#This Row],[ref_as_hh]]+Dashboard[[#This Row],[ret_as_hh]]</f>
        <v>0</v>
      </c>
      <c r="CF40" s="2">
        <f>Dashboard[[#This Row],[idp_al_hh]]+Dashboard[[#This Row],[ref_al_hh]]+Dashboard[[#This Row],[ret_al_hh]]</f>
        <v>0</v>
      </c>
    </row>
    <row r="41" spans="1:84" hidden="1" x14ac:dyDescent="0.25">
      <c r="A41" s="27">
        <v>1</v>
      </c>
      <c r="B41" s="2" t="s">
        <v>22</v>
      </c>
      <c r="C41" s="2" t="s">
        <v>23</v>
      </c>
      <c r="D41" s="2" t="s">
        <v>24</v>
      </c>
      <c r="E41" s="2" t="s">
        <v>25</v>
      </c>
      <c r="F41" s="2" t="s">
        <v>665</v>
      </c>
      <c r="G41" s="2" t="s">
        <v>666</v>
      </c>
      <c r="H41" s="2" t="s">
        <v>878</v>
      </c>
      <c r="I41" s="2" t="s">
        <v>667</v>
      </c>
      <c r="J41" s="2" t="s">
        <v>2232</v>
      </c>
      <c r="K41" s="2" t="s">
        <v>2233</v>
      </c>
      <c r="L41" s="2" t="s">
        <v>2074</v>
      </c>
      <c r="M41" s="2">
        <v>280</v>
      </c>
      <c r="N41" s="2" t="s">
        <v>1658</v>
      </c>
      <c r="O41" s="2">
        <v>8</v>
      </c>
      <c r="P41" s="2">
        <v>36</v>
      </c>
      <c r="Q41" s="2" t="s">
        <v>1658</v>
      </c>
      <c r="R41" s="2">
        <v>8</v>
      </c>
      <c r="S41" s="2" t="s">
        <v>1660</v>
      </c>
      <c r="T41" s="2">
        <v>0</v>
      </c>
      <c r="U41" s="2" t="s">
        <v>32</v>
      </c>
      <c r="V41" s="2" t="s">
        <v>32</v>
      </c>
      <c r="W41" s="1" t="s">
        <v>1660</v>
      </c>
      <c r="X41" s="1">
        <v>0</v>
      </c>
      <c r="Y41" s="1" t="s">
        <v>32</v>
      </c>
      <c r="Z41" s="1" t="s">
        <v>32</v>
      </c>
      <c r="AA41" s="1" t="s">
        <v>1660</v>
      </c>
      <c r="AB41" s="1">
        <v>0</v>
      </c>
      <c r="AC41" s="1" t="s">
        <v>1660</v>
      </c>
      <c r="AD41" s="1">
        <v>0</v>
      </c>
      <c r="AE41" s="1" t="s">
        <v>1660</v>
      </c>
      <c r="AF41" s="1">
        <v>0</v>
      </c>
      <c r="AG41" s="1">
        <v>0</v>
      </c>
      <c r="AH41" s="1" t="s">
        <v>32</v>
      </c>
      <c r="AI41" s="1" t="s">
        <v>32</v>
      </c>
      <c r="AJ41" s="1" t="s">
        <v>32</v>
      </c>
      <c r="AK41" s="1" t="s">
        <v>32</v>
      </c>
      <c r="AL41" s="1" t="s">
        <v>32</v>
      </c>
      <c r="AM41" s="1">
        <v>0</v>
      </c>
      <c r="AN41" s="1" t="s">
        <v>32</v>
      </c>
      <c r="AO41" s="1">
        <v>0</v>
      </c>
      <c r="AP41" s="1" t="s">
        <v>32</v>
      </c>
      <c r="AQ41" s="1" t="s">
        <v>32</v>
      </c>
      <c r="AR41" s="1" t="s">
        <v>32</v>
      </c>
      <c r="AS41" s="1">
        <v>0</v>
      </c>
      <c r="AT41" s="1" t="s">
        <v>32</v>
      </c>
      <c r="AU41" s="1" t="s">
        <v>32</v>
      </c>
      <c r="AV41" s="1" t="s">
        <v>32</v>
      </c>
      <c r="AW41" s="1">
        <v>0</v>
      </c>
      <c r="AX41" s="1" t="s">
        <v>32</v>
      </c>
      <c r="AY41" s="1">
        <v>0</v>
      </c>
      <c r="AZ41" s="1" t="s">
        <v>1660</v>
      </c>
      <c r="BA41" s="1">
        <v>0</v>
      </c>
      <c r="BB41" s="1">
        <v>0</v>
      </c>
      <c r="BC41" s="1" t="s">
        <v>32</v>
      </c>
      <c r="BD41" s="1">
        <v>0</v>
      </c>
      <c r="BE41" s="1" t="s">
        <v>32</v>
      </c>
      <c r="BF41" s="1">
        <v>0</v>
      </c>
      <c r="BG41" s="1" t="s">
        <v>32</v>
      </c>
      <c r="BH41" s="1">
        <v>0</v>
      </c>
      <c r="BI41" s="1" t="s">
        <v>32</v>
      </c>
      <c r="BJ41" s="1" t="s">
        <v>32</v>
      </c>
      <c r="BK41" s="1" t="s">
        <v>32</v>
      </c>
      <c r="BL41" s="1">
        <v>0</v>
      </c>
      <c r="BM41" s="1" t="s">
        <v>32</v>
      </c>
      <c r="BN41" s="1" t="s">
        <v>32</v>
      </c>
      <c r="BO41" s="1" t="s">
        <v>32</v>
      </c>
      <c r="BP41" s="1">
        <v>0</v>
      </c>
      <c r="BQ41" s="1" t="s">
        <v>32</v>
      </c>
      <c r="BR41" s="1">
        <v>0</v>
      </c>
      <c r="BS41" s="1" t="s">
        <v>1660</v>
      </c>
      <c r="BT41" s="1">
        <v>0</v>
      </c>
      <c r="BU41" s="1">
        <v>0</v>
      </c>
      <c r="BV41" s="1" t="s">
        <v>1660</v>
      </c>
      <c r="BW41" s="1"/>
      <c r="BX41" s="1"/>
      <c r="BY41" s="1" t="s">
        <v>1807</v>
      </c>
      <c r="BZ41" s="2" t="b">
        <f>OR( (Dashboard[[#This Row],[ref_as_hh]]&gt;=1),(Dashboard[[#This Row],[ret_as_hh]] &gt;=1), (Dashboard[[#This Row],[idp_as_hh]]&gt;=1))</f>
        <v>0</v>
      </c>
      <c r="CA41" s="2">
        <f>Dashboard[[#This Row],[ret_hi_hh]]</f>
        <v>0</v>
      </c>
      <c r="CB41" s="2">
        <f>Dashboard[[#This Row],[idp_fa_hh]]+Dashboard[[#This Row],[ref_fa_hh]]+Dashboard[[#This Row],[ret_fa_hh]]</f>
        <v>8</v>
      </c>
      <c r="CC41" s="2">
        <f>Dashboard[[#This Row],[idp_loc_hh]]+Dashboard[[#This Row],[ref_loc_hh]]+Dashboard[[#This Row],[ret_loc_hh]]</f>
        <v>0</v>
      </c>
      <c r="CD41" s="2">
        <f>Dashboard[[#This Row],[idp_cc_hh]]+Dashboard[[#This Row],[ref_cc_hh]]+Dashboard[[#This Row],[ret_cc_hh]]</f>
        <v>0</v>
      </c>
      <c r="CE41" s="2">
        <f>Dashboard[[#This Row],[idp_as_hh]]+Dashboard[[#This Row],[ref_as_hh]]+Dashboard[[#This Row],[ret_as_hh]]</f>
        <v>0</v>
      </c>
      <c r="CF41" s="2">
        <f>Dashboard[[#This Row],[idp_al_hh]]+Dashboard[[#This Row],[ref_al_hh]]+Dashboard[[#This Row],[ret_al_hh]]</f>
        <v>0</v>
      </c>
    </row>
    <row r="42" spans="1:84" hidden="1" x14ac:dyDescent="0.25">
      <c r="A42" s="27">
        <v>279</v>
      </c>
      <c r="B42" s="2" t="s">
        <v>22</v>
      </c>
      <c r="C42" s="2" t="s">
        <v>23</v>
      </c>
      <c r="D42" s="2" t="s">
        <v>24</v>
      </c>
      <c r="E42" s="2" t="s">
        <v>25</v>
      </c>
      <c r="F42" s="2" t="s">
        <v>26</v>
      </c>
      <c r="G42" s="2" t="s">
        <v>27</v>
      </c>
      <c r="H42" s="2" t="s">
        <v>870</v>
      </c>
      <c r="I42" s="2" t="s">
        <v>41</v>
      </c>
      <c r="J42" s="2" t="s">
        <v>2216</v>
      </c>
      <c r="K42" s="2" t="s">
        <v>2217</v>
      </c>
      <c r="L42" s="2" t="s">
        <v>2077</v>
      </c>
      <c r="M42" s="2">
        <v>12000</v>
      </c>
      <c r="N42" s="2" t="s">
        <v>1658</v>
      </c>
      <c r="O42" s="2">
        <v>27</v>
      </c>
      <c r="P42" s="2">
        <v>151</v>
      </c>
      <c r="Q42" s="2" t="s">
        <v>1660</v>
      </c>
      <c r="R42" s="2">
        <v>0</v>
      </c>
      <c r="S42" s="2" t="s">
        <v>1658</v>
      </c>
      <c r="T42" s="2">
        <v>27</v>
      </c>
      <c r="U42" s="2" t="s">
        <v>1659</v>
      </c>
      <c r="V42" s="2" t="s">
        <v>32</v>
      </c>
      <c r="W42" s="1" t="s">
        <v>1660</v>
      </c>
      <c r="X42" s="1">
        <v>0</v>
      </c>
      <c r="Y42" s="1" t="s">
        <v>32</v>
      </c>
      <c r="Z42" s="1" t="s">
        <v>32</v>
      </c>
      <c r="AA42" s="1" t="s">
        <v>1660</v>
      </c>
      <c r="AB42" s="1">
        <v>0</v>
      </c>
      <c r="AC42" s="1" t="s">
        <v>1660</v>
      </c>
      <c r="AD42" s="1">
        <v>0</v>
      </c>
      <c r="AE42" s="1" t="s">
        <v>1660</v>
      </c>
      <c r="AF42" s="1">
        <v>0</v>
      </c>
      <c r="AG42" s="1">
        <v>0</v>
      </c>
      <c r="AH42" s="1" t="s">
        <v>32</v>
      </c>
      <c r="AI42" s="1" t="s">
        <v>32</v>
      </c>
      <c r="AJ42" s="1" t="s">
        <v>32</v>
      </c>
      <c r="AK42" s="1" t="s">
        <v>32</v>
      </c>
      <c r="AL42" s="1" t="s">
        <v>32</v>
      </c>
      <c r="AM42" s="1">
        <v>0</v>
      </c>
      <c r="AN42" s="1" t="s">
        <v>32</v>
      </c>
      <c r="AO42" s="1">
        <v>0</v>
      </c>
      <c r="AP42" s="1" t="s">
        <v>32</v>
      </c>
      <c r="AQ42" s="1" t="s">
        <v>32</v>
      </c>
      <c r="AR42" s="1" t="s">
        <v>32</v>
      </c>
      <c r="AS42" s="1">
        <v>0</v>
      </c>
      <c r="AT42" s="1" t="s">
        <v>32</v>
      </c>
      <c r="AU42" s="1" t="s">
        <v>32</v>
      </c>
      <c r="AV42" s="1" t="s">
        <v>32</v>
      </c>
      <c r="AW42" s="1">
        <v>0</v>
      </c>
      <c r="AX42" s="1" t="s">
        <v>32</v>
      </c>
      <c r="AY42" s="1">
        <v>0</v>
      </c>
      <c r="AZ42" s="1" t="s">
        <v>1660</v>
      </c>
      <c r="BA42" s="1">
        <v>0</v>
      </c>
      <c r="BB42" s="1">
        <v>0</v>
      </c>
      <c r="BC42" s="1" t="s">
        <v>32</v>
      </c>
      <c r="BD42" s="1">
        <v>0</v>
      </c>
      <c r="BE42" s="1" t="s">
        <v>32</v>
      </c>
      <c r="BF42" s="1">
        <v>0</v>
      </c>
      <c r="BG42" s="1" t="s">
        <v>32</v>
      </c>
      <c r="BH42" s="1">
        <v>0</v>
      </c>
      <c r="BI42" s="1" t="s">
        <v>32</v>
      </c>
      <c r="BJ42" s="1" t="s">
        <v>32</v>
      </c>
      <c r="BK42" s="1" t="s">
        <v>32</v>
      </c>
      <c r="BL42" s="1">
        <v>0</v>
      </c>
      <c r="BM42" s="1" t="s">
        <v>32</v>
      </c>
      <c r="BN42" s="1" t="s">
        <v>32</v>
      </c>
      <c r="BO42" s="1" t="s">
        <v>32</v>
      </c>
      <c r="BP42" s="1">
        <v>0</v>
      </c>
      <c r="BQ42" s="1" t="s">
        <v>32</v>
      </c>
      <c r="BR42" s="1">
        <v>0</v>
      </c>
      <c r="BS42" s="1" t="s">
        <v>1660</v>
      </c>
      <c r="BT42" s="1">
        <v>0</v>
      </c>
      <c r="BU42" s="1">
        <v>0</v>
      </c>
      <c r="BV42" s="1" t="s">
        <v>1660</v>
      </c>
      <c r="BW42" s="1"/>
      <c r="BX42" s="1"/>
      <c r="BY42" s="1" t="s">
        <v>1807</v>
      </c>
      <c r="BZ42" s="2" t="b">
        <f>OR( (Dashboard[[#This Row],[ref_as_hh]]&gt;=1),(Dashboard[[#This Row],[ret_as_hh]] &gt;=1), (Dashboard[[#This Row],[idp_as_hh]]&gt;=1))</f>
        <v>0</v>
      </c>
      <c r="CA42" s="2">
        <f>Dashboard[[#This Row],[ret_hi_hh]]</f>
        <v>0</v>
      </c>
      <c r="CB42" s="2">
        <f>Dashboard[[#This Row],[idp_fa_hh]]+Dashboard[[#This Row],[ref_fa_hh]]+Dashboard[[#This Row],[ret_fa_hh]]</f>
        <v>0</v>
      </c>
      <c r="CC42" s="2">
        <f>Dashboard[[#This Row],[idp_loc_hh]]+Dashboard[[#This Row],[ref_loc_hh]]+Dashboard[[#This Row],[ret_loc_hh]]</f>
        <v>27</v>
      </c>
      <c r="CD42" s="2">
        <f>Dashboard[[#This Row],[idp_cc_hh]]+Dashboard[[#This Row],[ref_cc_hh]]+Dashboard[[#This Row],[ret_cc_hh]]</f>
        <v>0</v>
      </c>
      <c r="CE42" s="2">
        <f>Dashboard[[#This Row],[idp_as_hh]]+Dashboard[[#This Row],[ref_as_hh]]+Dashboard[[#This Row],[ret_as_hh]]</f>
        <v>0</v>
      </c>
      <c r="CF42" s="2">
        <f>Dashboard[[#This Row],[idp_al_hh]]+Dashboard[[#This Row],[ref_al_hh]]+Dashboard[[#This Row],[ret_al_hh]]</f>
        <v>0</v>
      </c>
    </row>
    <row r="43" spans="1:84" hidden="1" x14ac:dyDescent="0.25">
      <c r="A43" s="27">
        <v>25</v>
      </c>
      <c r="B43" s="2" t="s">
        <v>22</v>
      </c>
      <c r="C43" s="2" t="s">
        <v>23</v>
      </c>
      <c r="D43" s="2" t="s">
        <v>24</v>
      </c>
      <c r="E43" s="2" t="s">
        <v>25</v>
      </c>
      <c r="F43" s="2" t="s">
        <v>26</v>
      </c>
      <c r="G43" s="2" t="s">
        <v>27</v>
      </c>
      <c r="H43" s="2" t="s">
        <v>868</v>
      </c>
      <c r="I43" s="2" t="s">
        <v>39</v>
      </c>
      <c r="J43" s="2" t="s">
        <v>2212</v>
      </c>
      <c r="K43" s="2" t="s">
        <v>2213</v>
      </c>
      <c r="L43" s="2" t="s">
        <v>2077</v>
      </c>
      <c r="M43" s="2">
        <v>1200</v>
      </c>
      <c r="N43" s="2" t="s">
        <v>1658</v>
      </c>
      <c r="O43" s="2">
        <v>3</v>
      </c>
      <c r="P43" s="2">
        <v>21</v>
      </c>
      <c r="Q43" s="2" t="s">
        <v>1660</v>
      </c>
      <c r="R43" s="2">
        <v>0</v>
      </c>
      <c r="S43" s="2" t="s">
        <v>1658</v>
      </c>
      <c r="T43" s="2">
        <v>3</v>
      </c>
      <c r="U43" s="2" t="s">
        <v>1661</v>
      </c>
      <c r="V43" s="2" t="s">
        <v>32</v>
      </c>
      <c r="W43" s="1" t="s">
        <v>1660</v>
      </c>
      <c r="X43" s="1">
        <v>0</v>
      </c>
      <c r="Y43" s="1" t="s">
        <v>32</v>
      </c>
      <c r="Z43" s="1" t="s">
        <v>32</v>
      </c>
      <c r="AA43" s="1" t="s">
        <v>1660</v>
      </c>
      <c r="AB43" s="1">
        <v>0</v>
      </c>
      <c r="AC43" s="1" t="s">
        <v>1660</v>
      </c>
      <c r="AD43" s="1">
        <v>0</v>
      </c>
      <c r="AE43" s="1" t="s">
        <v>1660</v>
      </c>
      <c r="AF43" s="1">
        <v>0</v>
      </c>
      <c r="AG43" s="1">
        <v>0</v>
      </c>
      <c r="AH43" s="1" t="s">
        <v>32</v>
      </c>
      <c r="AI43" s="1" t="s">
        <v>32</v>
      </c>
      <c r="AJ43" s="1" t="s">
        <v>32</v>
      </c>
      <c r="AK43" s="1" t="s">
        <v>32</v>
      </c>
      <c r="AL43" s="1" t="s">
        <v>32</v>
      </c>
      <c r="AM43" s="1">
        <v>0</v>
      </c>
      <c r="AN43" s="1" t="s">
        <v>32</v>
      </c>
      <c r="AO43" s="1">
        <v>0</v>
      </c>
      <c r="AP43" s="1" t="s">
        <v>32</v>
      </c>
      <c r="AQ43" s="1" t="s">
        <v>32</v>
      </c>
      <c r="AR43" s="1" t="s">
        <v>32</v>
      </c>
      <c r="AS43" s="1">
        <v>0</v>
      </c>
      <c r="AT43" s="1" t="s">
        <v>32</v>
      </c>
      <c r="AU43" s="1" t="s">
        <v>32</v>
      </c>
      <c r="AV43" s="1" t="s">
        <v>32</v>
      </c>
      <c r="AW43" s="1">
        <v>0</v>
      </c>
      <c r="AX43" s="1" t="s">
        <v>32</v>
      </c>
      <c r="AY43" s="1">
        <v>0</v>
      </c>
      <c r="AZ43" s="1" t="s">
        <v>1660</v>
      </c>
      <c r="BA43" s="1">
        <v>0</v>
      </c>
      <c r="BB43" s="1">
        <v>0</v>
      </c>
      <c r="BC43" s="1" t="s">
        <v>32</v>
      </c>
      <c r="BD43" s="1">
        <v>0</v>
      </c>
      <c r="BE43" s="1" t="s">
        <v>32</v>
      </c>
      <c r="BF43" s="1">
        <v>0</v>
      </c>
      <c r="BG43" s="1" t="s">
        <v>32</v>
      </c>
      <c r="BH43" s="1">
        <v>0</v>
      </c>
      <c r="BI43" s="1" t="s">
        <v>32</v>
      </c>
      <c r="BJ43" s="1" t="s">
        <v>32</v>
      </c>
      <c r="BK43" s="1" t="s">
        <v>32</v>
      </c>
      <c r="BL43" s="1">
        <v>0</v>
      </c>
      <c r="BM43" s="1" t="s">
        <v>32</v>
      </c>
      <c r="BN43" s="1" t="s">
        <v>32</v>
      </c>
      <c r="BO43" s="1" t="s">
        <v>32</v>
      </c>
      <c r="BP43" s="1">
        <v>0</v>
      </c>
      <c r="BQ43" s="1" t="s">
        <v>32</v>
      </c>
      <c r="BR43" s="1">
        <v>0</v>
      </c>
      <c r="BS43" s="1" t="s">
        <v>1660</v>
      </c>
      <c r="BT43" s="1">
        <v>0</v>
      </c>
      <c r="BU43" s="1">
        <v>0</v>
      </c>
      <c r="BV43" s="1" t="s">
        <v>1660</v>
      </c>
      <c r="BW43" s="1"/>
      <c r="BX43" s="1"/>
      <c r="BY43" s="1" t="s">
        <v>1807</v>
      </c>
      <c r="BZ43" s="2" t="b">
        <f>OR( (Dashboard[[#This Row],[ref_as_hh]]&gt;=1),(Dashboard[[#This Row],[ret_as_hh]] &gt;=1), (Dashboard[[#This Row],[idp_as_hh]]&gt;=1))</f>
        <v>0</v>
      </c>
      <c r="CA43" s="2">
        <f>Dashboard[[#This Row],[ret_hi_hh]]</f>
        <v>0</v>
      </c>
      <c r="CB43" s="2">
        <f>Dashboard[[#This Row],[idp_fa_hh]]+Dashboard[[#This Row],[ref_fa_hh]]+Dashboard[[#This Row],[ret_fa_hh]]</f>
        <v>0</v>
      </c>
      <c r="CC43" s="2">
        <f>Dashboard[[#This Row],[idp_loc_hh]]+Dashboard[[#This Row],[ref_loc_hh]]+Dashboard[[#This Row],[ret_loc_hh]]</f>
        <v>3</v>
      </c>
      <c r="CD43" s="2">
        <f>Dashboard[[#This Row],[idp_cc_hh]]+Dashboard[[#This Row],[ref_cc_hh]]+Dashboard[[#This Row],[ret_cc_hh]]</f>
        <v>0</v>
      </c>
      <c r="CE43" s="2">
        <f>Dashboard[[#This Row],[idp_as_hh]]+Dashboard[[#This Row],[ref_as_hh]]+Dashboard[[#This Row],[ret_as_hh]]</f>
        <v>0</v>
      </c>
      <c r="CF43" s="2">
        <f>Dashboard[[#This Row],[idp_al_hh]]+Dashboard[[#This Row],[ref_al_hh]]+Dashboard[[#This Row],[ret_al_hh]]</f>
        <v>0</v>
      </c>
    </row>
    <row r="44" spans="1:84" hidden="1" x14ac:dyDescent="0.25">
      <c r="A44" s="27">
        <v>108</v>
      </c>
      <c r="B44" s="2" t="s">
        <v>22</v>
      </c>
      <c r="C44" s="2" t="s">
        <v>23</v>
      </c>
      <c r="D44" s="2" t="s">
        <v>24</v>
      </c>
      <c r="E44" s="2" t="s">
        <v>25</v>
      </c>
      <c r="F44" s="2" t="s">
        <v>26</v>
      </c>
      <c r="G44" s="2" t="s">
        <v>27</v>
      </c>
      <c r="H44" s="2" t="s">
        <v>869</v>
      </c>
      <c r="I44" s="2" t="s">
        <v>40</v>
      </c>
      <c r="J44" s="2" t="s">
        <v>2214</v>
      </c>
      <c r="K44" s="2" t="s">
        <v>2215</v>
      </c>
      <c r="L44" s="2" t="s">
        <v>2077</v>
      </c>
      <c r="M44" s="2">
        <v>2000</v>
      </c>
      <c r="N44" s="2" t="s">
        <v>1658</v>
      </c>
      <c r="O44" s="2">
        <v>2</v>
      </c>
      <c r="P44" s="2">
        <v>8</v>
      </c>
      <c r="Q44" s="2" t="s">
        <v>1660</v>
      </c>
      <c r="R44" s="2">
        <v>0</v>
      </c>
      <c r="S44" s="2" t="s">
        <v>1658</v>
      </c>
      <c r="T44" s="2">
        <v>2</v>
      </c>
      <c r="U44" s="2" t="s">
        <v>1659</v>
      </c>
      <c r="V44" s="2" t="s">
        <v>32</v>
      </c>
      <c r="W44" s="1" t="s">
        <v>1660</v>
      </c>
      <c r="X44" s="1">
        <v>0</v>
      </c>
      <c r="Y44" s="1" t="s">
        <v>32</v>
      </c>
      <c r="Z44" s="1" t="s">
        <v>32</v>
      </c>
      <c r="AA44" s="1" t="s">
        <v>1660</v>
      </c>
      <c r="AB44" s="1">
        <v>0</v>
      </c>
      <c r="AC44" s="1" t="s">
        <v>1660</v>
      </c>
      <c r="AD44" s="1">
        <v>0</v>
      </c>
      <c r="AE44" s="1" t="s">
        <v>1660</v>
      </c>
      <c r="AF44" s="1">
        <v>0</v>
      </c>
      <c r="AG44" s="1">
        <v>0</v>
      </c>
      <c r="AH44" s="1" t="s">
        <v>32</v>
      </c>
      <c r="AI44" s="1" t="s">
        <v>32</v>
      </c>
      <c r="AJ44" s="1" t="s">
        <v>32</v>
      </c>
      <c r="AK44" s="1" t="s">
        <v>32</v>
      </c>
      <c r="AL44" s="1" t="s">
        <v>32</v>
      </c>
      <c r="AM44" s="1">
        <v>0</v>
      </c>
      <c r="AN44" s="1" t="s">
        <v>32</v>
      </c>
      <c r="AO44" s="1">
        <v>0</v>
      </c>
      <c r="AP44" s="1" t="s">
        <v>32</v>
      </c>
      <c r="AQ44" s="1" t="s">
        <v>32</v>
      </c>
      <c r="AR44" s="1" t="s">
        <v>32</v>
      </c>
      <c r="AS44" s="1">
        <v>0</v>
      </c>
      <c r="AT44" s="1" t="s">
        <v>32</v>
      </c>
      <c r="AU44" s="1" t="s">
        <v>32</v>
      </c>
      <c r="AV44" s="1" t="s">
        <v>32</v>
      </c>
      <c r="AW44" s="1">
        <v>0</v>
      </c>
      <c r="AX44" s="1" t="s">
        <v>32</v>
      </c>
      <c r="AY44" s="1">
        <v>0</v>
      </c>
      <c r="AZ44" s="1" t="s">
        <v>1660</v>
      </c>
      <c r="BA44" s="1">
        <v>0</v>
      </c>
      <c r="BB44" s="1">
        <v>0</v>
      </c>
      <c r="BC44" s="1" t="s">
        <v>32</v>
      </c>
      <c r="BD44" s="1">
        <v>0</v>
      </c>
      <c r="BE44" s="1" t="s">
        <v>32</v>
      </c>
      <c r="BF44" s="1">
        <v>0</v>
      </c>
      <c r="BG44" s="1" t="s">
        <v>32</v>
      </c>
      <c r="BH44" s="1">
        <v>0</v>
      </c>
      <c r="BI44" s="1" t="s">
        <v>32</v>
      </c>
      <c r="BJ44" s="1" t="s">
        <v>32</v>
      </c>
      <c r="BK44" s="1" t="s">
        <v>32</v>
      </c>
      <c r="BL44" s="1">
        <v>0</v>
      </c>
      <c r="BM44" s="1" t="s">
        <v>32</v>
      </c>
      <c r="BN44" s="1" t="s">
        <v>32</v>
      </c>
      <c r="BO44" s="1" t="s">
        <v>32</v>
      </c>
      <c r="BP44" s="1">
        <v>0</v>
      </c>
      <c r="BQ44" s="1" t="s">
        <v>32</v>
      </c>
      <c r="BR44" s="1">
        <v>0</v>
      </c>
      <c r="BS44" s="1" t="s">
        <v>1660</v>
      </c>
      <c r="BT44" s="1">
        <v>0</v>
      </c>
      <c r="BU44" s="1">
        <v>0</v>
      </c>
      <c r="BV44" s="1" t="s">
        <v>1660</v>
      </c>
      <c r="BW44" s="1"/>
      <c r="BX44" s="1"/>
      <c r="BY44" s="1" t="s">
        <v>1807</v>
      </c>
      <c r="BZ44" s="2" t="b">
        <f>OR( (Dashboard[[#This Row],[ref_as_hh]]&gt;=1),(Dashboard[[#This Row],[ret_as_hh]] &gt;=1), (Dashboard[[#This Row],[idp_as_hh]]&gt;=1))</f>
        <v>0</v>
      </c>
      <c r="CA44" s="2">
        <f>Dashboard[[#This Row],[ret_hi_hh]]</f>
        <v>0</v>
      </c>
      <c r="CB44" s="2">
        <f>Dashboard[[#This Row],[idp_fa_hh]]+Dashboard[[#This Row],[ref_fa_hh]]+Dashboard[[#This Row],[ret_fa_hh]]</f>
        <v>0</v>
      </c>
      <c r="CC44" s="2">
        <f>Dashboard[[#This Row],[idp_loc_hh]]+Dashboard[[#This Row],[ref_loc_hh]]+Dashboard[[#This Row],[ret_loc_hh]]</f>
        <v>2</v>
      </c>
      <c r="CD44" s="2">
        <f>Dashboard[[#This Row],[idp_cc_hh]]+Dashboard[[#This Row],[ref_cc_hh]]+Dashboard[[#This Row],[ret_cc_hh]]</f>
        <v>0</v>
      </c>
      <c r="CE44" s="2">
        <f>Dashboard[[#This Row],[idp_as_hh]]+Dashboard[[#This Row],[ref_as_hh]]+Dashboard[[#This Row],[ret_as_hh]]</f>
        <v>0</v>
      </c>
      <c r="CF44" s="2">
        <f>Dashboard[[#This Row],[idp_al_hh]]+Dashboard[[#This Row],[ref_al_hh]]+Dashboard[[#This Row],[ret_al_hh]]</f>
        <v>0</v>
      </c>
    </row>
    <row r="45" spans="1:84" hidden="1" x14ac:dyDescent="0.25">
      <c r="A45" s="27">
        <v>445</v>
      </c>
      <c r="B45" s="2" t="s">
        <v>22</v>
      </c>
      <c r="C45" s="2" t="s">
        <v>23</v>
      </c>
      <c r="D45" s="2" t="s">
        <v>24</v>
      </c>
      <c r="E45" s="2" t="s">
        <v>25</v>
      </c>
      <c r="F45" s="2" t="s">
        <v>26</v>
      </c>
      <c r="G45" s="2" t="s">
        <v>27</v>
      </c>
      <c r="H45" s="2" t="s">
        <v>866</v>
      </c>
      <c r="I45" s="2" t="s">
        <v>28</v>
      </c>
      <c r="J45" s="2" t="s">
        <v>2208</v>
      </c>
      <c r="K45" s="2" t="s">
        <v>2209</v>
      </c>
      <c r="L45" s="2" t="s">
        <v>3694</v>
      </c>
      <c r="M45" s="2">
        <v>1000</v>
      </c>
      <c r="N45" s="2" t="s">
        <v>1658</v>
      </c>
      <c r="O45" s="2">
        <v>3</v>
      </c>
      <c r="P45" s="2">
        <v>16</v>
      </c>
      <c r="Q45" s="2" t="s">
        <v>1660</v>
      </c>
      <c r="R45" s="2">
        <v>0</v>
      </c>
      <c r="S45" s="2" t="s">
        <v>1658</v>
      </c>
      <c r="T45" s="2">
        <v>3</v>
      </c>
      <c r="U45" s="2" t="s">
        <v>1659</v>
      </c>
      <c r="V45" s="2" t="s">
        <v>32</v>
      </c>
      <c r="W45" s="1" t="s">
        <v>1660</v>
      </c>
      <c r="X45" s="1">
        <v>0</v>
      </c>
      <c r="Y45" s="1" t="s">
        <v>32</v>
      </c>
      <c r="Z45" s="1" t="s">
        <v>32</v>
      </c>
      <c r="AA45" s="1" t="s">
        <v>1660</v>
      </c>
      <c r="AB45" s="1">
        <v>0</v>
      </c>
      <c r="AC45" s="1" t="s">
        <v>1660</v>
      </c>
      <c r="AD45" s="1">
        <v>0</v>
      </c>
      <c r="AE45" s="1" t="s">
        <v>1660</v>
      </c>
      <c r="AF45" s="1">
        <v>0</v>
      </c>
      <c r="AG45" s="1">
        <v>0</v>
      </c>
      <c r="AH45" s="1" t="s">
        <v>32</v>
      </c>
      <c r="AI45" s="1" t="s">
        <v>32</v>
      </c>
      <c r="AJ45" s="1" t="s">
        <v>32</v>
      </c>
      <c r="AK45" s="1" t="s">
        <v>32</v>
      </c>
      <c r="AL45" s="1" t="s">
        <v>32</v>
      </c>
      <c r="AM45" s="1">
        <v>0</v>
      </c>
      <c r="AN45" s="1" t="s">
        <v>32</v>
      </c>
      <c r="AO45" s="1">
        <v>0</v>
      </c>
      <c r="AP45" s="1" t="s">
        <v>32</v>
      </c>
      <c r="AQ45" s="1" t="s">
        <v>32</v>
      </c>
      <c r="AR45" s="1" t="s">
        <v>32</v>
      </c>
      <c r="AS45" s="1">
        <v>0</v>
      </c>
      <c r="AT45" s="1" t="s">
        <v>32</v>
      </c>
      <c r="AU45" s="1" t="s">
        <v>32</v>
      </c>
      <c r="AV45" s="1" t="s">
        <v>32</v>
      </c>
      <c r="AW45" s="1">
        <v>0</v>
      </c>
      <c r="AX45" s="1" t="s">
        <v>32</v>
      </c>
      <c r="AY45" s="1">
        <v>0</v>
      </c>
      <c r="AZ45" s="1" t="s">
        <v>1660</v>
      </c>
      <c r="BA45" s="1">
        <v>0</v>
      </c>
      <c r="BB45" s="1">
        <v>0</v>
      </c>
      <c r="BC45" s="1" t="s">
        <v>32</v>
      </c>
      <c r="BD45" s="1">
        <v>0</v>
      </c>
      <c r="BE45" s="1" t="s">
        <v>32</v>
      </c>
      <c r="BF45" s="1">
        <v>0</v>
      </c>
      <c r="BG45" s="1" t="s">
        <v>32</v>
      </c>
      <c r="BH45" s="1">
        <v>0</v>
      </c>
      <c r="BI45" s="1" t="s">
        <v>32</v>
      </c>
      <c r="BJ45" s="1" t="s">
        <v>32</v>
      </c>
      <c r="BK45" s="1" t="s">
        <v>32</v>
      </c>
      <c r="BL45" s="1">
        <v>0</v>
      </c>
      <c r="BM45" s="1" t="s">
        <v>32</v>
      </c>
      <c r="BN45" s="1" t="s">
        <v>32</v>
      </c>
      <c r="BO45" s="1" t="s">
        <v>32</v>
      </c>
      <c r="BP45" s="1">
        <v>0</v>
      </c>
      <c r="BQ45" s="1" t="s">
        <v>32</v>
      </c>
      <c r="BR45" s="1">
        <v>0</v>
      </c>
      <c r="BS45" s="1" t="s">
        <v>1660</v>
      </c>
      <c r="BT45" s="1">
        <v>0</v>
      </c>
      <c r="BU45" s="1">
        <v>0</v>
      </c>
      <c r="BV45" s="1" t="s">
        <v>1660</v>
      </c>
      <c r="BW45" s="1"/>
      <c r="BX45" s="1"/>
      <c r="BY45" s="1" t="s">
        <v>1807</v>
      </c>
      <c r="BZ45" s="2" t="b">
        <f>OR( (Dashboard[[#This Row],[ref_as_hh]]&gt;=1),(Dashboard[[#This Row],[ret_as_hh]] &gt;=1), (Dashboard[[#This Row],[idp_as_hh]]&gt;=1))</f>
        <v>0</v>
      </c>
      <c r="CA45" s="2">
        <f>Dashboard[[#This Row],[ret_hi_hh]]</f>
        <v>0</v>
      </c>
      <c r="CB45" s="2">
        <f>Dashboard[[#This Row],[idp_fa_hh]]+Dashboard[[#This Row],[ref_fa_hh]]+Dashboard[[#This Row],[ret_fa_hh]]</f>
        <v>0</v>
      </c>
      <c r="CC45" s="2">
        <f>Dashboard[[#This Row],[idp_loc_hh]]+Dashboard[[#This Row],[ref_loc_hh]]+Dashboard[[#This Row],[ret_loc_hh]]</f>
        <v>3</v>
      </c>
      <c r="CD45" s="2">
        <f>Dashboard[[#This Row],[idp_cc_hh]]+Dashboard[[#This Row],[ref_cc_hh]]+Dashboard[[#This Row],[ret_cc_hh]]</f>
        <v>0</v>
      </c>
      <c r="CE45" s="2">
        <f>Dashboard[[#This Row],[idp_as_hh]]+Dashboard[[#This Row],[ref_as_hh]]+Dashboard[[#This Row],[ret_as_hh]]</f>
        <v>0</v>
      </c>
      <c r="CF45" s="2">
        <f>Dashboard[[#This Row],[idp_al_hh]]+Dashboard[[#This Row],[ref_al_hh]]+Dashboard[[#This Row],[ret_al_hh]]</f>
        <v>0</v>
      </c>
    </row>
    <row r="46" spans="1:84" hidden="1" x14ac:dyDescent="0.25">
      <c r="A46" s="27">
        <v>446</v>
      </c>
      <c r="B46" s="2" t="s">
        <v>22</v>
      </c>
      <c r="C46" s="2" t="s">
        <v>23</v>
      </c>
      <c r="D46" s="2" t="s">
        <v>24</v>
      </c>
      <c r="E46" s="2" t="s">
        <v>25</v>
      </c>
      <c r="F46" s="2" t="s">
        <v>26</v>
      </c>
      <c r="G46" s="2" t="s">
        <v>27</v>
      </c>
      <c r="H46" s="2" t="s">
        <v>867</v>
      </c>
      <c r="I46" s="2" t="s">
        <v>38</v>
      </c>
      <c r="J46" s="2" t="s">
        <v>2210</v>
      </c>
      <c r="K46" s="2" t="s">
        <v>2211</v>
      </c>
      <c r="L46" s="2" t="s">
        <v>3695</v>
      </c>
      <c r="M46" s="2">
        <v>800</v>
      </c>
      <c r="N46" s="2" t="s">
        <v>1658</v>
      </c>
      <c r="O46" s="2">
        <v>3</v>
      </c>
      <c r="P46" s="2">
        <v>10</v>
      </c>
      <c r="Q46" s="2" t="s">
        <v>1658</v>
      </c>
      <c r="R46" s="2">
        <v>2</v>
      </c>
      <c r="S46" s="2" t="s">
        <v>1658</v>
      </c>
      <c r="T46" s="2">
        <v>1</v>
      </c>
      <c r="U46" s="2" t="s">
        <v>1659</v>
      </c>
      <c r="V46" s="2" t="s">
        <v>32</v>
      </c>
      <c r="W46" s="1" t="s">
        <v>1660</v>
      </c>
      <c r="X46" s="1">
        <v>0</v>
      </c>
      <c r="Y46" s="1" t="s">
        <v>32</v>
      </c>
      <c r="Z46" s="1" t="s">
        <v>32</v>
      </c>
      <c r="AA46" s="1" t="s">
        <v>1660</v>
      </c>
      <c r="AB46" s="1">
        <v>0</v>
      </c>
      <c r="AC46" s="1" t="s">
        <v>1660</v>
      </c>
      <c r="AD46" s="1">
        <v>0</v>
      </c>
      <c r="AE46" s="1" t="s">
        <v>1660</v>
      </c>
      <c r="AF46" s="1">
        <v>0</v>
      </c>
      <c r="AG46" s="1">
        <v>0</v>
      </c>
      <c r="AH46" s="1" t="s">
        <v>32</v>
      </c>
      <c r="AI46" s="1" t="s">
        <v>32</v>
      </c>
      <c r="AJ46" s="1" t="s">
        <v>32</v>
      </c>
      <c r="AK46" s="1" t="s">
        <v>32</v>
      </c>
      <c r="AL46" s="1" t="s">
        <v>32</v>
      </c>
      <c r="AM46" s="1">
        <v>0</v>
      </c>
      <c r="AN46" s="1" t="s">
        <v>32</v>
      </c>
      <c r="AO46" s="1">
        <v>0</v>
      </c>
      <c r="AP46" s="1" t="s">
        <v>32</v>
      </c>
      <c r="AQ46" s="1" t="s">
        <v>32</v>
      </c>
      <c r="AR46" s="1" t="s">
        <v>32</v>
      </c>
      <c r="AS46" s="1">
        <v>0</v>
      </c>
      <c r="AT46" s="1" t="s">
        <v>32</v>
      </c>
      <c r="AU46" s="1" t="s">
        <v>32</v>
      </c>
      <c r="AV46" s="1" t="s">
        <v>32</v>
      </c>
      <c r="AW46" s="1">
        <v>0</v>
      </c>
      <c r="AX46" s="1" t="s">
        <v>32</v>
      </c>
      <c r="AY46" s="1">
        <v>0</v>
      </c>
      <c r="AZ46" s="1" t="s">
        <v>1660</v>
      </c>
      <c r="BA46" s="1">
        <v>0</v>
      </c>
      <c r="BB46" s="1">
        <v>0</v>
      </c>
      <c r="BC46" s="1" t="s">
        <v>32</v>
      </c>
      <c r="BD46" s="1">
        <v>0</v>
      </c>
      <c r="BE46" s="1" t="s">
        <v>32</v>
      </c>
      <c r="BF46" s="1">
        <v>0</v>
      </c>
      <c r="BG46" s="1" t="s">
        <v>32</v>
      </c>
      <c r="BH46" s="1">
        <v>0</v>
      </c>
      <c r="BI46" s="1" t="s">
        <v>32</v>
      </c>
      <c r="BJ46" s="1" t="s">
        <v>32</v>
      </c>
      <c r="BK46" s="1" t="s">
        <v>32</v>
      </c>
      <c r="BL46" s="1">
        <v>0</v>
      </c>
      <c r="BM46" s="1" t="s">
        <v>32</v>
      </c>
      <c r="BN46" s="1" t="s">
        <v>32</v>
      </c>
      <c r="BO46" s="1" t="s">
        <v>32</v>
      </c>
      <c r="BP46" s="1">
        <v>0</v>
      </c>
      <c r="BQ46" s="1" t="s">
        <v>32</v>
      </c>
      <c r="BR46" s="1">
        <v>0</v>
      </c>
      <c r="BS46" s="1" t="s">
        <v>1660</v>
      </c>
      <c r="BT46" s="1">
        <v>0</v>
      </c>
      <c r="BU46" s="1">
        <v>0</v>
      </c>
      <c r="BV46" s="1" t="s">
        <v>1660</v>
      </c>
      <c r="BW46" s="1"/>
      <c r="BX46" s="1"/>
      <c r="BY46" s="1" t="s">
        <v>1807</v>
      </c>
      <c r="BZ46" s="2" t="b">
        <f>OR( (Dashboard[[#This Row],[ref_as_hh]]&gt;=1),(Dashboard[[#This Row],[ret_as_hh]] &gt;=1), (Dashboard[[#This Row],[idp_as_hh]]&gt;=1))</f>
        <v>0</v>
      </c>
      <c r="CA46" s="2">
        <f>Dashboard[[#This Row],[ret_hi_hh]]</f>
        <v>0</v>
      </c>
      <c r="CB46" s="2">
        <f>Dashboard[[#This Row],[idp_fa_hh]]+Dashboard[[#This Row],[ref_fa_hh]]+Dashboard[[#This Row],[ret_fa_hh]]</f>
        <v>2</v>
      </c>
      <c r="CC46" s="2">
        <f>Dashboard[[#This Row],[idp_loc_hh]]+Dashboard[[#This Row],[ref_loc_hh]]+Dashboard[[#This Row],[ret_loc_hh]]</f>
        <v>1</v>
      </c>
      <c r="CD46" s="2">
        <f>Dashboard[[#This Row],[idp_cc_hh]]+Dashboard[[#This Row],[ref_cc_hh]]+Dashboard[[#This Row],[ret_cc_hh]]</f>
        <v>0</v>
      </c>
      <c r="CE46" s="2">
        <f>Dashboard[[#This Row],[idp_as_hh]]+Dashboard[[#This Row],[ref_as_hh]]+Dashboard[[#This Row],[ret_as_hh]]</f>
        <v>0</v>
      </c>
      <c r="CF46" s="2">
        <f>Dashboard[[#This Row],[idp_al_hh]]+Dashboard[[#This Row],[ref_al_hh]]+Dashboard[[#This Row],[ret_al_hh]]</f>
        <v>0</v>
      </c>
    </row>
    <row r="47" spans="1:84" hidden="1" x14ac:dyDescent="0.25">
      <c r="A47" s="27">
        <v>467</v>
      </c>
      <c r="B47" s="2" t="s">
        <v>22</v>
      </c>
      <c r="C47" s="2" t="s">
        <v>23</v>
      </c>
      <c r="D47" s="2" t="s">
        <v>24</v>
      </c>
      <c r="E47" s="2" t="s">
        <v>25</v>
      </c>
      <c r="F47" s="2" t="s">
        <v>26</v>
      </c>
      <c r="G47" s="2" t="s">
        <v>27</v>
      </c>
      <c r="H47" s="2" t="s">
        <v>871</v>
      </c>
      <c r="I47" s="2" t="s">
        <v>43</v>
      </c>
      <c r="J47" s="2" t="s">
        <v>2218</v>
      </c>
      <c r="K47" s="2" t="s">
        <v>2219</v>
      </c>
      <c r="L47" s="2" t="s">
        <v>2075</v>
      </c>
      <c r="M47" s="2">
        <v>1200</v>
      </c>
      <c r="N47" s="2" t="s">
        <v>1658</v>
      </c>
      <c r="O47" s="2">
        <v>9</v>
      </c>
      <c r="P47" s="2">
        <v>67</v>
      </c>
      <c r="Q47" s="2" t="s">
        <v>1660</v>
      </c>
      <c r="R47" s="2">
        <v>0</v>
      </c>
      <c r="S47" s="2" t="s">
        <v>1658</v>
      </c>
      <c r="T47" s="2">
        <v>9</v>
      </c>
      <c r="U47" s="2" t="s">
        <v>1659</v>
      </c>
      <c r="V47" s="2" t="s">
        <v>32</v>
      </c>
      <c r="W47" s="1" t="s">
        <v>1660</v>
      </c>
      <c r="X47" s="1">
        <v>0</v>
      </c>
      <c r="Y47" s="1" t="s">
        <v>32</v>
      </c>
      <c r="Z47" s="1" t="s">
        <v>32</v>
      </c>
      <c r="AA47" s="1" t="s">
        <v>1660</v>
      </c>
      <c r="AB47" s="1">
        <v>0</v>
      </c>
      <c r="AC47" s="1" t="s">
        <v>1660</v>
      </c>
      <c r="AD47" s="1">
        <v>0</v>
      </c>
      <c r="AE47" s="1" t="s">
        <v>1660</v>
      </c>
      <c r="AF47" s="1">
        <v>0</v>
      </c>
      <c r="AG47" s="1">
        <v>0</v>
      </c>
      <c r="AH47" s="1" t="s">
        <v>32</v>
      </c>
      <c r="AI47" s="1" t="s">
        <v>32</v>
      </c>
      <c r="AJ47" s="1" t="s">
        <v>32</v>
      </c>
      <c r="AK47" s="1" t="s">
        <v>32</v>
      </c>
      <c r="AL47" s="1" t="s">
        <v>32</v>
      </c>
      <c r="AM47" s="1">
        <v>0</v>
      </c>
      <c r="AN47" s="1" t="s">
        <v>32</v>
      </c>
      <c r="AO47" s="1">
        <v>0</v>
      </c>
      <c r="AP47" s="1" t="s">
        <v>32</v>
      </c>
      <c r="AQ47" s="1" t="s">
        <v>32</v>
      </c>
      <c r="AR47" s="1" t="s">
        <v>32</v>
      </c>
      <c r="AS47" s="1">
        <v>0</v>
      </c>
      <c r="AT47" s="1" t="s">
        <v>32</v>
      </c>
      <c r="AU47" s="1" t="s">
        <v>32</v>
      </c>
      <c r="AV47" s="1" t="s">
        <v>32</v>
      </c>
      <c r="AW47" s="1">
        <v>0</v>
      </c>
      <c r="AX47" s="1" t="s">
        <v>32</v>
      </c>
      <c r="AY47" s="1">
        <v>0</v>
      </c>
      <c r="AZ47" s="1" t="s">
        <v>1660</v>
      </c>
      <c r="BA47" s="1">
        <v>0</v>
      </c>
      <c r="BB47" s="1">
        <v>0</v>
      </c>
      <c r="BC47" s="1" t="s">
        <v>32</v>
      </c>
      <c r="BD47" s="1">
        <v>0</v>
      </c>
      <c r="BE47" s="1" t="s">
        <v>32</v>
      </c>
      <c r="BF47" s="1">
        <v>0</v>
      </c>
      <c r="BG47" s="1" t="s">
        <v>32</v>
      </c>
      <c r="BH47" s="1">
        <v>0</v>
      </c>
      <c r="BI47" s="1" t="s">
        <v>32</v>
      </c>
      <c r="BJ47" s="1" t="s">
        <v>32</v>
      </c>
      <c r="BK47" s="1" t="s">
        <v>32</v>
      </c>
      <c r="BL47" s="1">
        <v>0</v>
      </c>
      <c r="BM47" s="1" t="s">
        <v>32</v>
      </c>
      <c r="BN47" s="1" t="s">
        <v>32</v>
      </c>
      <c r="BO47" s="1" t="s">
        <v>32</v>
      </c>
      <c r="BP47" s="1">
        <v>0</v>
      </c>
      <c r="BQ47" s="1" t="s">
        <v>32</v>
      </c>
      <c r="BR47" s="1">
        <v>0</v>
      </c>
      <c r="BS47" s="1" t="s">
        <v>1660</v>
      </c>
      <c r="BT47" s="1">
        <v>0</v>
      </c>
      <c r="BU47" s="1">
        <v>0</v>
      </c>
      <c r="BV47" s="1" t="s">
        <v>1660</v>
      </c>
      <c r="BW47" s="1"/>
      <c r="BX47" s="1"/>
      <c r="BY47" s="1" t="s">
        <v>1807</v>
      </c>
      <c r="BZ47" s="2" t="b">
        <f>OR( (Dashboard[[#This Row],[ref_as_hh]]&gt;=1),(Dashboard[[#This Row],[ret_as_hh]] &gt;=1), (Dashboard[[#This Row],[idp_as_hh]]&gt;=1))</f>
        <v>0</v>
      </c>
      <c r="CA47" s="2">
        <f>Dashboard[[#This Row],[ret_hi_hh]]</f>
        <v>0</v>
      </c>
      <c r="CB47" s="2">
        <f>Dashboard[[#This Row],[idp_fa_hh]]+Dashboard[[#This Row],[ref_fa_hh]]+Dashboard[[#This Row],[ret_fa_hh]]</f>
        <v>0</v>
      </c>
      <c r="CC47" s="2">
        <f>Dashboard[[#This Row],[idp_loc_hh]]+Dashboard[[#This Row],[ref_loc_hh]]+Dashboard[[#This Row],[ret_loc_hh]]</f>
        <v>9</v>
      </c>
      <c r="CD47" s="2">
        <f>Dashboard[[#This Row],[idp_cc_hh]]+Dashboard[[#This Row],[ref_cc_hh]]+Dashboard[[#This Row],[ret_cc_hh]]</f>
        <v>0</v>
      </c>
      <c r="CE47" s="2">
        <f>Dashboard[[#This Row],[idp_as_hh]]+Dashboard[[#This Row],[ref_as_hh]]+Dashboard[[#This Row],[ret_as_hh]]</f>
        <v>0</v>
      </c>
      <c r="CF47" s="2">
        <f>Dashboard[[#This Row],[idp_al_hh]]+Dashboard[[#This Row],[ref_al_hh]]+Dashboard[[#This Row],[ret_al_hh]]</f>
        <v>0</v>
      </c>
    </row>
    <row r="48" spans="1:84" x14ac:dyDescent="0.25">
      <c r="A48" s="27">
        <v>7</v>
      </c>
      <c r="B48" s="2" t="s">
        <v>22</v>
      </c>
      <c r="C48" s="2" t="s">
        <v>23</v>
      </c>
      <c r="D48" s="2" t="s">
        <v>85</v>
      </c>
      <c r="E48" s="2" t="s">
        <v>84</v>
      </c>
      <c r="F48" s="2" t="s">
        <v>175</v>
      </c>
      <c r="G48" s="2" t="s">
        <v>174</v>
      </c>
      <c r="H48" s="2" t="s">
        <v>1307</v>
      </c>
      <c r="I48" s="2" t="s">
        <v>466</v>
      </c>
      <c r="J48" s="2" t="s">
        <v>3162</v>
      </c>
      <c r="K48" s="2" t="s">
        <v>3163</v>
      </c>
      <c r="L48" s="2" t="s">
        <v>2074</v>
      </c>
      <c r="M48" s="2">
        <v>134</v>
      </c>
      <c r="N48" s="2" t="s">
        <v>1658</v>
      </c>
      <c r="O48" s="2">
        <v>3</v>
      </c>
      <c r="P48" s="2">
        <v>16</v>
      </c>
      <c r="Q48" s="2" t="s">
        <v>32</v>
      </c>
      <c r="R48" s="2">
        <v>0</v>
      </c>
      <c r="S48" s="2" t="s">
        <v>1660</v>
      </c>
      <c r="T48" s="2">
        <v>0</v>
      </c>
      <c r="U48" s="2" t="s">
        <v>32</v>
      </c>
      <c r="V48" s="2" t="s">
        <v>32</v>
      </c>
      <c r="W48" s="1" t="s">
        <v>1660</v>
      </c>
      <c r="X48" s="1">
        <v>0</v>
      </c>
      <c r="Y48" s="1" t="s">
        <v>32</v>
      </c>
      <c r="Z48" s="1" t="s">
        <v>32</v>
      </c>
      <c r="AA48" s="1" t="s">
        <v>1658</v>
      </c>
      <c r="AB48" s="1">
        <v>3</v>
      </c>
      <c r="AC48" s="1" t="s">
        <v>1660</v>
      </c>
      <c r="AD48" s="1">
        <v>0</v>
      </c>
      <c r="AE48" s="1" t="s">
        <v>1658</v>
      </c>
      <c r="AF48" s="1">
        <v>6</v>
      </c>
      <c r="AG48" s="1">
        <v>68</v>
      </c>
      <c r="AH48" s="1" t="s">
        <v>1658</v>
      </c>
      <c r="AI48" s="1" t="s">
        <v>32</v>
      </c>
      <c r="AJ48" s="1" t="s">
        <v>32</v>
      </c>
      <c r="AK48" s="1" t="s">
        <v>32</v>
      </c>
      <c r="AL48" s="1" t="s">
        <v>32</v>
      </c>
      <c r="AM48" s="1">
        <v>0</v>
      </c>
      <c r="AN48" s="1" t="s">
        <v>1660</v>
      </c>
      <c r="AO48" s="1">
        <v>0</v>
      </c>
      <c r="AP48" s="1" t="s">
        <v>32</v>
      </c>
      <c r="AQ48" s="1" t="s">
        <v>32</v>
      </c>
      <c r="AR48" s="1" t="s">
        <v>1660</v>
      </c>
      <c r="AS48" s="1">
        <v>0</v>
      </c>
      <c r="AT48" s="1" t="s">
        <v>32</v>
      </c>
      <c r="AU48" s="1" t="s">
        <v>32</v>
      </c>
      <c r="AV48" s="1" t="s">
        <v>1658</v>
      </c>
      <c r="AW48" s="1">
        <v>6</v>
      </c>
      <c r="AX48" s="1" t="s">
        <v>1660</v>
      </c>
      <c r="AY48" s="1">
        <v>0</v>
      </c>
      <c r="AZ48" s="1" t="s">
        <v>1660</v>
      </c>
      <c r="BA48" s="1">
        <v>0</v>
      </c>
      <c r="BB48" s="1">
        <v>0</v>
      </c>
      <c r="BC48" s="1" t="s">
        <v>32</v>
      </c>
      <c r="BD48" s="1">
        <v>0</v>
      </c>
      <c r="BE48" s="1" t="s">
        <v>32</v>
      </c>
      <c r="BF48" s="1">
        <v>0</v>
      </c>
      <c r="BG48" s="1" t="s">
        <v>32</v>
      </c>
      <c r="BH48" s="1">
        <v>0</v>
      </c>
      <c r="BI48" s="1" t="s">
        <v>32</v>
      </c>
      <c r="BJ48" s="1" t="s">
        <v>32</v>
      </c>
      <c r="BK48" s="1" t="s">
        <v>32</v>
      </c>
      <c r="BL48" s="1">
        <v>0</v>
      </c>
      <c r="BM48" s="1" t="s">
        <v>32</v>
      </c>
      <c r="BN48" s="1" t="s">
        <v>32</v>
      </c>
      <c r="BO48" s="1" t="s">
        <v>32</v>
      </c>
      <c r="BP48" s="1">
        <v>0</v>
      </c>
      <c r="BQ48" s="1" t="s">
        <v>32</v>
      </c>
      <c r="BR48" s="1">
        <v>0</v>
      </c>
      <c r="BS48" s="1" t="s">
        <v>1660</v>
      </c>
      <c r="BT48" s="1">
        <v>0</v>
      </c>
      <c r="BU48" s="1">
        <v>0</v>
      </c>
      <c r="BV48" s="1" t="s">
        <v>1658</v>
      </c>
      <c r="BW48" s="1">
        <v>11</v>
      </c>
      <c r="BX48" s="1">
        <v>59</v>
      </c>
      <c r="BY48" s="1" t="s">
        <v>1807</v>
      </c>
      <c r="BZ48" s="2" t="b">
        <f>OR( (Dashboard[[#This Row],[ref_as_hh]]&gt;=1),(Dashboard[[#This Row],[ret_as_hh]] &gt;=1), (Dashboard[[#This Row],[idp_as_hh]]&gt;=1))</f>
        <v>1</v>
      </c>
      <c r="CA48" s="2">
        <f>Dashboard[[#This Row],[ret_hi_hh]]</f>
        <v>0</v>
      </c>
      <c r="CB48" s="2">
        <f>Dashboard[[#This Row],[idp_fa_hh]]+Dashboard[[#This Row],[ref_fa_hh]]+Dashboard[[#This Row],[ret_fa_hh]]</f>
        <v>0</v>
      </c>
      <c r="CC48" s="2">
        <f>Dashboard[[#This Row],[idp_loc_hh]]+Dashboard[[#This Row],[ref_loc_hh]]+Dashboard[[#This Row],[ret_loc_hh]]</f>
        <v>0</v>
      </c>
      <c r="CD48" s="2">
        <f>Dashboard[[#This Row],[idp_cc_hh]]+Dashboard[[#This Row],[ref_cc_hh]]+Dashboard[[#This Row],[ret_cc_hh]]</f>
        <v>0</v>
      </c>
      <c r="CE48" s="2">
        <f>Dashboard[[#This Row],[idp_as_hh]]+Dashboard[[#This Row],[ref_as_hh]]+Dashboard[[#This Row],[ret_as_hh]]</f>
        <v>9</v>
      </c>
      <c r="CF48" s="2">
        <f>Dashboard[[#This Row],[idp_al_hh]]+Dashboard[[#This Row],[ref_al_hh]]+Dashboard[[#This Row],[ret_al_hh]]</f>
        <v>0</v>
      </c>
    </row>
    <row r="49" spans="1:84" x14ac:dyDescent="0.25">
      <c r="A49" s="27">
        <v>10</v>
      </c>
      <c r="B49" s="2" t="s">
        <v>22</v>
      </c>
      <c r="C49" s="2" t="s">
        <v>23</v>
      </c>
      <c r="D49" s="2" t="s">
        <v>85</v>
      </c>
      <c r="E49" s="2" t="s">
        <v>84</v>
      </c>
      <c r="F49" s="2" t="s">
        <v>175</v>
      </c>
      <c r="G49" s="2" t="s">
        <v>174</v>
      </c>
      <c r="H49" s="2" t="s">
        <v>1308</v>
      </c>
      <c r="I49" s="2" t="s">
        <v>467</v>
      </c>
      <c r="J49" s="2" t="s">
        <v>3164</v>
      </c>
      <c r="K49" s="2" t="s">
        <v>3165</v>
      </c>
      <c r="L49" s="2" t="s">
        <v>2074</v>
      </c>
      <c r="M49" s="2">
        <v>373</v>
      </c>
      <c r="N49" s="2" t="s">
        <v>1658</v>
      </c>
      <c r="O49" s="2">
        <v>5</v>
      </c>
      <c r="P49" s="2">
        <v>36</v>
      </c>
      <c r="Q49" s="2" t="s">
        <v>32</v>
      </c>
      <c r="R49" s="2">
        <v>0</v>
      </c>
      <c r="S49" s="2" t="s">
        <v>1660</v>
      </c>
      <c r="T49" s="2">
        <v>0</v>
      </c>
      <c r="U49" s="2" t="s">
        <v>32</v>
      </c>
      <c r="V49" s="2" t="s">
        <v>32</v>
      </c>
      <c r="W49" s="1" t="s">
        <v>1660</v>
      </c>
      <c r="X49" s="1">
        <v>0</v>
      </c>
      <c r="Y49" s="1" t="s">
        <v>32</v>
      </c>
      <c r="Z49" s="1" t="s">
        <v>32</v>
      </c>
      <c r="AA49" s="1" t="s">
        <v>1658</v>
      </c>
      <c r="AB49" s="1">
        <v>5</v>
      </c>
      <c r="AC49" s="1" t="s">
        <v>1660</v>
      </c>
      <c r="AD49" s="1">
        <v>0</v>
      </c>
      <c r="AE49" s="1" t="s">
        <v>1658</v>
      </c>
      <c r="AF49" s="1">
        <v>30</v>
      </c>
      <c r="AG49" s="1">
        <v>262</v>
      </c>
      <c r="AH49" s="1" t="s">
        <v>1660</v>
      </c>
      <c r="AI49" s="1" t="s">
        <v>32</v>
      </c>
      <c r="AJ49" s="1" t="s">
        <v>32</v>
      </c>
      <c r="AK49" s="1" t="s">
        <v>32</v>
      </c>
      <c r="AL49" s="1" t="s">
        <v>32</v>
      </c>
      <c r="AM49" s="1">
        <v>0</v>
      </c>
      <c r="AN49" s="1" t="s">
        <v>1660</v>
      </c>
      <c r="AO49" s="1">
        <v>0</v>
      </c>
      <c r="AP49" s="1" t="s">
        <v>32</v>
      </c>
      <c r="AQ49" s="1" t="s">
        <v>32</v>
      </c>
      <c r="AR49" s="1" t="s">
        <v>1660</v>
      </c>
      <c r="AS49" s="1">
        <v>0</v>
      </c>
      <c r="AT49" s="1" t="s">
        <v>32</v>
      </c>
      <c r="AU49" s="1" t="s">
        <v>32</v>
      </c>
      <c r="AV49" s="1" t="s">
        <v>1658</v>
      </c>
      <c r="AW49" s="1">
        <v>30</v>
      </c>
      <c r="AX49" s="1" t="s">
        <v>1660</v>
      </c>
      <c r="AY49" s="1">
        <v>0</v>
      </c>
      <c r="AZ49" s="1" t="s">
        <v>1658</v>
      </c>
      <c r="BA49" s="1">
        <v>5</v>
      </c>
      <c r="BB49" s="1">
        <v>22</v>
      </c>
      <c r="BC49" s="1" t="s">
        <v>1660</v>
      </c>
      <c r="BD49" s="1">
        <v>0</v>
      </c>
      <c r="BE49" s="1" t="s">
        <v>32</v>
      </c>
      <c r="BF49" s="1">
        <v>0</v>
      </c>
      <c r="BG49" s="1" t="s">
        <v>1660</v>
      </c>
      <c r="BH49" s="1">
        <v>0</v>
      </c>
      <c r="BI49" s="1" t="s">
        <v>32</v>
      </c>
      <c r="BJ49" s="1" t="s">
        <v>32</v>
      </c>
      <c r="BK49" s="1" t="s">
        <v>1660</v>
      </c>
      <c r="BL49" s="1">
        <v>0</v>
      </c>
      <c r="BM49" s="1" t="s">
        <v>32</v>
      </c>
      <c r="BN49" s="1" t="s">
        <v>32</v>
      </c>
      <c r="BO49" s="1" t="s">
        <v>1658</v>
      </c>
      <c r="BP49" s="1">
        <v>5</v>
      </c>
      <c r="BQ49" s="1" t="s">
        <v>1660</v>
      </c>
      <c r="BR49" s="1">
        <v>0</v>
      </c>
      <c r="BS49" s="1" t="s">
        <v>1660</v>
      </c>
      <c r="BT49" s="1">
        <v>0</v>
      </c>
      <c r="BU49" s="1">
        <v>0</v>
      </c>
      <c r="BV49" s="1" t="s">
        <v>1660</v>
      </c>
      <c r="BW49" s="1"/>
      <c r="BX49" s="1"/>
      <c r="BY49" s="1" t="s">
        <v>1807</v>
      </c>
      <c r="BZ49" s="2" t="b">
        <f>OR( (Dashboard[[#This Row],[ref_as_hh]]&gt;=1),(Dashboard[[#This Row],[ret_as_hh]] &gt;=1), (Dashboard[[#This Row],[idp_as_hh]]&gt;=1))</f>
        <v>1</v>
      </c>
      <c r="CA49" s="2">
        <f>Dashboard[[#This Row],[ret_hi_hh]]</f>
        <v>0</v>
      </c>
      <c r="CB49" s="2">
        <f>Dashboard[[#This Row],[idp_fa_hh]]+Dashboard[[#This Row],[ref_fa_hh]]+Dashboard[[#This Row],[ret_fa_hh]]</f>
        <v>0</v>
      </c>
      <c r="CC49" s="2">
        <f>Dashboard[[#This Row],[idp_loc_hh]]+Dashboard[[#This Row],[ref_loc_hh]]+Dashboard[[#This Row],[ret_loc_hh]]</f>
        <v>0</v>
      </c>
      <c r="CD49" s="2">
        <f>Dashboard[[#This Row],[idp_cc_hh]]+Dashboard[[#This Row],[ref_cc_hh]]+Dashboard[[#This Row],[ret_cc_hh]]</f>
        <v>0</v>
      </c>
      <c r="CE49" s="2">
        <f>Dashboard[[#This Row],[idp_as_hh]]+Dashboard[[#This Row],[ref_as_hh]]+Dashboard[[#This Row],[ret_as_hh]]</f>
        <v>40</v>
      </c>
      <c r="CF49" s="2">
        <f>Dashboard[[#This Row],[idp_al_hh]]+Dashboard[[#This Row],[ref_al_hh]]+Dashboard[[#This Row],[ret_al_hh]]</f>
        <v>0</v>
      </c>
    </row>
    <row r="50" spans="1:84" x14ac:dyDescent="0.25">
      <c r="A50" s="27">
        <v>12</v>
      </c>
      <c r="B50" s="2" t="s">
        <v>22</v>
      </c>
      <c r="C50" s="2" t="s">
        <v>23</v>
      </c>
      <c r="D50" s="2" t="s">
        <v>85</v>
      </c>
      <c r="E50" s="2" t="s">
        <v>84</v>
      </c>
      <c r="F50" s="2" t="s">
        <v>175</v>
      </c>
      <c r="G50" s="2" t="s">
        <v>174</v>
      </c>
      <c r="H50" s="2" t="s">
        <v>1309</v>
      </c>
      <c r="I50" s="2" t="s">
        <v>468</v>
      </c>
      <c r="J50" s="2" t="s">
        <v>3166</v>
      </c>
      <c r="K50" s="2" t="s">
        <v>3167</v>
      </c>
      <c r="L50" s="2" t="s">
        <v>2074</v>
      </c>
      <c r="M50" s="2">
        <v>287</v>
      </c>
      <c r="N50" s="2" t="s">
        <v>1658</v>
      </c>
      <c r="O50" s="2">
        <v>12</v>
      </c>
      <c r="P50" s="2">
        <v>90</v>
      </c>
      <c r="Q50" s="2" t="s">
        <v>32</v>
      </c>
      <c r="R50" s="2">
        <v>0</v>
      </c>
      <c r="S50" s="2" t="s">
        <v>1660</v>
      </c>
      <c r="T50" s="2">
        <v>0</v>
      </c>
      <c r="U50" s="2" t="s">
        <v>32</v>
      </c>
      <c r="V50" s="2" t="s">
        <v>32</v>
      </c>
      <c r="W50" s="1" t="s">
        <v>1660</v>
      </c>
      <c r="X50" s="1">
        <v>0</v>
      </c>
      <c r="Y50" s="1" t="s">
        <v>32</v>
      </c>
      <c r="Z50" s="1" t="s">
        <v>32</v>
      </c>
      <c r="AA50" s="1" t="s">
        <v>1658</v>
      </c>
      <c r="AB50" s="1">
        <v>12</v>
      </c>
      <c r="AC50" s="1" t="s">
        <v>1660</v>
      </c>
      <c r="AD50" s="1">
        <v>0</v>
      </c>
      <c r="AE50" s="1" t="s">
        <v>1658</v>
      </c>
      <c r="AF50" s="1">
        <v>12</v>
      </c>
      <c r="AG50" s="1">
        <v>67</v>
      </c>
      <c r="AH50" s="1" t="s">
        <v>1660</v>
      </c>
      <c r="AI50" s="1" t="s">
        <v>32</v>
      </c>
      <c r="AJ50" s="1" t="s">
        <v>32</v>
      </c>
      <c r="AK50" s="1" t="s">
        <v>32</v>
      </c>
      <c r="AL50" s="1" t="s">
        <v>32</v>
      </c>
      <c r="AM50" s="1">
        <v>0</v>
      </c>
      <c r="AN50" s="1" t="s">
        <v>1660</v>
      </c>
      <c r="AO50" s="1">
        <v>0</v>
      </c>
      <c r="AP50" s="1" t="s">
        <v>32</v>
      </c>
      <c r="AQ50" s="1" t="s">
        <v>32</v>
      </c>
      <c r="AR50" s="1" t="s">
        <v>1660</v>
      </c>
      <c r="AS50" s="1">
        <v>0</v>
      </c>
      <c r="AT50" s="1" t="s">
        <v>32</v>
      </c>
      <c r="AU50" s="1" t="s">
        <v>32</v>
      </c>
      <c r="AV50" s="1" t="s">
        <v>1658</v>
      </c>
      <c r="AW50" s="1">
        <v>12</v>
      </c>
      <c r="AX50" s="1" t="s">
        <v>1660</v>
      </c>
      <c r="AY50" s="1">
        <v>0</v>
      </c>
      <c r="AZ50" s="1" t="s">
        <v>1660</v>
      </c>
      <c r="BA50" s="1">
        <v>0</v>
      </c>
      <c r="BB50" s="1">
        <v>0</v>
      </c>
      <c r="BC50" s="1" t="s">
        <v>32</v>
      </c>
      <c r="BD50" s="1">
        <v>0</v>
      </c>
      <c r="BE50" s="1" t="s">
        <v>32</v>
      </c>
      <c r="BF50" s="1">
        <v>0</v>
      </c>
      <c r="BG50" s="1" t="s">
        <v>32</v>
      </c>
      <c r="BH50" s="1">
        <v>0</v>
      </c>
      <c r="BI50" s="1" t="s">
        <v>32</v>
      </c>
      <c r="BJ50" s="1" t="s">
        <v>32</v>
      </c>
      <c r="BK50" s="1" t="s">
        <v>32</v>
      </c>
      <c r="BL50" s="1">
        <v>0</v>
      </c>
      <c r="BM50" s="1" t="s">
        <v>32</v>
      </c>
      <c r="BN50" s="1" t="s">
        <v>32</v>
      </c>
      <c r="BO50" s="1" t="s">
        <v>32</v>
      </c>
      <c r="BP50" s="1">
        <v>0</v>
      </c>
      <c r="BQ50" s="1" t="s">
        <v>32</v>
      </c>
      <c r="BR50" s="1">
        <v>0</v>
      </c>
      <c r="BS50" s="1" t="s">
        <v>1660</v>
      </c>
      <c r="BT50" s="1">
        <v>0</v>
      </c>
      <c r="BU50" s="1">
        <v>0</v>
      </c>
      <c r="BV50" s="1" t="s">
        <v>1658</v>
      </c>
      <c r="BW50" s="1">
        <v>8</v>
      </c>
      <c r="BX50" s="1">
        <v>40</v>
      </c>
      <c r="BY50" s="1" t="s">
        <v>1807</v>
      </c>
      <c r="BZ50" s="2" t="b">
        <f>OR( (Dashboard[[#This Row],[ref_as_hh]]&gt;=1),(Dashboard[[#This Row],[ret_as_hh]] &gt;=1), (Dashboard[[#This Row],[idp_as_hh]]&gt;=1))</f>
        <v>1</v>
      </c>
      <c r="CA50" s="2">
        <f>Dashboard[[#This Row],[ret_hi_hh]]</f>
        <v>0</v>
      </c>
      <c r="CB50" s="2">
        <f>Dashboard[[#This Row],[idp_fa_hh]]+Dashboard[[#This Row],[ref_fa_hh]]+Dashboard[[#This Row],[ret_fa_hh]]</f>
        <v>0</v>
      </c>
      <c r="CC50" s="2">
        <f>Dashboard[[#This Row],[idp_loc_hh]]+Dashboard[[#This Row],[ref_loc_hh]]+Dashboard[[#This Row],[ret_loc_hh]]</f>
        <v>0</v>
      </c>
      <c r="CD50" s="2">
        <f>Dashboard[[#This Row],[idp_cc_hh]]+Dashboard[[#This Row],[ref_cc_hh]]+Dashboard[[#This Row],[ret_cc_hh]]</f>
        <v>0</v>
      </c>
      <c r="CE50" s="2">
        <f>Dashboard[[#This Row],[idp_as_hh]]+Dashboard[[#This Row],[ref_as_hh]]+Dashboard[[#This Row],[ret_as_hh]]</f>
        <v>24</v>
      </c>
      <c r="CF50" s="2">
        <f>Dashboard[[#This Row],[idp_al_hh]]+Dashboard[[#This Row],[ref_al_hh]]+Dashboard[[#This Row],[ret_al_hh]]</f>
        <v>0</v>
      </c>
    </row>
    <row r="51" spans="1:84" x14ac:dyDescent="0.25">
      <c r="A51" s="27">
        <v>13</v>
      </c>
      <c r="B51" s="2" t="s">
        <v>22</v>
      </c>
      <c r="C51" s="2" t="s">
        <v>23</v>
      </c>
      <c r="D51" s="2" t="s">
        <v>85</v>
      </c>
      <c r="E51" s="2" t="s">
        <v>84</v>
      </c>
      <c r="F51" s="2" t="s">
        <v>175</v>
      </c>
      <c r="G51" s="2" t="s">
        <v>174</v>
      </c>
      <c r="H51" s="2" t="s">
        <v>1531</v>
      </c>
      <c r="I51" s="2" t="s">
        <v>469</v>
      </c>
      <c r="J51" s="2" t="s">
        <v>3168</v>
      </c>
      <c r="K51" s="2" t="s">
        <v>3169</v>
      </c>
      <c r="L51" s="2" t="s">
        <v>2074</v>
      </c>
      <c r="M51" s="2">
        <v>247</v>
      </c>
      <c r="N51" s="2" t="s">
        <v>1658</v>
      </c>
      <c r="O51" s="2">
        <v>12</v>
      </c>
      <c r="P51" s="2">
        <v>68</v>
      </c>
      <c r="Q51" s="2" t="s">
        <v>32</v>
      </c>
      <c r="R51" s="2">
        <v>0</v>
      </c>
      <c r="S51" s="2" t="s">
        <v>1660</v>
      </c>
      <c r="T51" s="2">
        <v>0</v>
      </c>
      <c r="U51" s="2" t="s">
        <v>32</v>
      </c>
      <c r="V51" s="2" t="s">
        <v>32</v>
      </c>
      <c r="W51" s="1" t="s">
        <v>1660</v>
      </c>
      <c r="X51" s="1">
        <v>0</v>
      </c>
      <c r="Y51" s="1" t="s">
        <v>32</v>
      </c>
      <c r="Z51" s="1" t="s">
        <v>32</v>
      </c>
      <c r="AA51" s="1" t="s">
        <v>1658</v>
      </c>
      <c r="AB51" s="1">
        <v>12</v>
      </c>
      <c r="AC51" s="1" t="s">
        <v>1660</v>
      </c>
      <c r="AD51" s="1">
        <v>0</v>
      </c>
      <c r="AE51" s="1" t="s">
        <v>1658</v>
      </c>
      <c r="AF51" s="1">
        <v>9</v>
      </c>
      <c r="AG51" s="1">
        <v>54</v>
      </c>
      <c r="AH51" s="1" t="s">
        <v>1658</v>
      </c>
      <c r="AI51" s="1" t="s">
        <v>32</v>
      </c>
      <c r="AJ51" s="1" t="s">
        <v>32</v>
      </c>
      <c r="AK51" s="1" t="s">
        <v>32</v>
      </c>
      <c r="AL51" s="1" t="s">
        <v>32</v>
      </c>
      <c r="AM51" s="1">
        <v>0</v>
      </c>
      <c r="AN51" s="1" t="s">
        <v>1660</v>
      </c>
      <c r="AO51" s="1">
        <v>0</v>
      </c>
      <c r="AP51" s="1" t="s">
        <v>32</v>
      </c>
      <c r="AQ51" s="1" t="s">
        <v>32</v>
      </c>
      <c r="AR51" s="1" t="s">
        <v>1660</v>
      </c>
      <c r="AS51" s="1">
        <v>0</v>
      </c>
      <c r="AT51" s="1" t="s">
        <v>32</v>
      </c>
      <c r="AU51" s="1" t="s">
        <v>32</v>
      </c>
      <c r="AV51" s="1" t="s">
        <v>1658</v>
      </c>
      <c r="AW51" s="1">
        <v>9</v>
      </c>
      <c r="AX51" s="1" t="s">
        <v>1660</v>
      </c>
      <c r="AY51" s="1">
        <v>0</v>
      </c>
      <c r="AZ51" s="1" t="s">
        <v>1658</v>
      </c>
      <c r="BA51" s="1">
        <v>3</v>
      </c>
      <c r="BB51" s="1">
        <v>13</v>
      </c>
      <c r="BC51" s="1" t="s">
        <v>1660</v>
      </c>
      <c r="BD51" s="1">
        <v>0</v>
      </c>
      <c r="BE51" s="1" t="s">
        <v>32</v>
      </c>
      <c r="BF51" s="1">
        <v>0</v>
      </c>
      <c r="BG51" s="1" t="s">
        <v>1660</v>
      </c>
      <c r="BH51" s="1">
        <v>0</v>
      </c>
      <c r="BI51" s="1" t="s">
        <v>32</v>
      </c>
      <c r="BJ51" s="1" t="s">
        <v>32</v>
      </c>
      <c r="BK51" s="1" t="s">
        <v>1660</v>
      </c>
      <c r="BL51" s="1">
        <v>0</v>
      </c>
      <c r="BM51" s="1" t="s">
        <v>32</v>
      </c>
      <c r="BN51" s="1" t="s">
        <v>32</v>
      </c>
      <c r="BO51" s="1" t="s">
        <v>1658</v>
      </c>
      <c r="BP51" s="1">
        <v>3</v>
      </c>
      <c r="BQ51" s="1" t="s">
        <v>1660</v>
      </c>
      <c r="BR51" s="1">
        <v>0</v>
      </c>
      <c r="BS51" s="1" t="s">
        <v>1660</v>
      </c>
      <c r="BT51" s="1">
        <v>0</v>
      </c>
      <c r="BU51" s="1">
        <v>0</v>
      </c>
      <c r="BV51" s="1" t="s">
        <v>1658</v>
      </c>
      <c r="BW51" s="1">
        <v>22</v>
      </c>
      <c r="BX51" s="1">
        <v>91</v>
      </c>
      <c r="BY51" s="1" t="s">
        <v>1807</v>
      </c>
      <c r="BZ51" s="2" t="b">
        <f>OR( (Dashboard[[#This Row],[ref_as_hh]]&gt;=1),(Dashboard[[#This Row],[ret_as_hh]] &gt;=1), (Dashboard[[#This Row],[idp_as_hh]]&gt;=1))</f>
        <v>1</v>
      </c>
      <c r="CA51" s="2">
        <f>Dashboard[[#This Row],[ret_hi_hh]]</f>
        <v>0</v>
      </c>
      <c r="CB51" s="2">
        <f>Dashboard[[#This Row],[idp_fa_hh]]+Dashboard[[#This Row],[ref_fa_hh]]+Dashboard[[#This Row],[ret_fa_hh]]</f>
        <v>0</v>
      </c>
      <c r="CC51" s="2">
        <f>Dashboard[[#This Row],[idp_loc_hh]]+Dashboard[[#This Row],[ref_loc_hh]]+Dashboard[[#This Row],[ret_loc_hh]]</f>
        <v>0</v>
      </c>
      <c r="CD51" s="2">
        <f>Dashboard[[#This Row],[idp_cc_hh]]+Dashboard[[#This Row],[ref_cc_hh]]+Dashboard[[#This Row],[ret_cc_hh]]</f>
        <v>0</v>
      </c>
      <c r="CE51" s="2">
        <f>Dashboard[[#This Row],[idp_as_hh]]+Dashboard[[#This Row],[ref_as_hh]]+Dashboard[[#This Row],[ret_as_hh]]</f>
        <v>24</v>
      </c>
      <c r="CF51" s="2">
        <f>Dashboard[[#This Row],[idp_al_hh]]+Dashboard[[#This Row],[ref_al_hh]]+Dashboard[[#This Row],[ret_al_hh]]</f>
        <v>0</v>
      </c>
    </row>
    <row r="52" spans="1:84" x14ac:dyDescent="0.25">
      <c r="A52" s="27">
        <v>278</v>
      </c>
      <c r="B52" s="2" t="s">
        <v>22</v>
      </c>
      <c r="C52" s="2" t="s">
        <v>23</v>
      </c>
      <c r="D52" s="2" t="s">
        <v>85</v>
      </c>
      <c r="E52" s="2" t="s">
        <v>84</v>
      </c>
      <c r="F52" s="2" t="s">
        <v>175</v>
      </c>
      <c r="G52" s="2" t="s">
        <v>174</v>
      </c>
      <c r="H52" s="2" t="s">
        <v>1527</v>
      </c>
      <c r="I52" s="2" t="s">
        <v>634</v>
      </c>
      <c r="J52" s="2" t="s">
        <v>3148</v>
      </c>
      <c r="K52" s="2" t="s">
        <v>3149</v>
      </c>
      <c r="L52" s="2" t="s">
        <v>2074</v>
      </c>
      <c r="M52" s="2">
        <v>1221</v>
      </c>
      <c r="N52" s="2" t="s">
        <v>1660</v>
      </c>
      <c r="O52" s="2">
        <v>0</v>
      </c>
      <c r="P52" s="2">
        <v>0</v>
      </c>
      <c r="Q52" s="2" t="s">
        <v>32</v>
      </c>
      <c r="R52" s="2">
        <v>0</v>
      </c>
      <c r="S52" s="2" t="s">
        <v>32</v>
      </c>
      <c r="T52" s="2">
        <v>0</v>
      </c>
      <c r="U52" s="2" t="s">
        <v>32</v>
      </c>
      <c r="V52" s="2" t="s">
        <v>32</v>
      </c>
      <c r="W52" s="1" t="s">
        <v>32</v>
      </c>
      <c r="X52" s="1">
        <v>0</v>
      </c>
      <c r="Y52" s="1" t="s">
        <v>32</v>
      </c>
      <c r="Z52" s="1" t="s">
        <v>32</v>
      </c>
      <c r="AA52" s="1" t="s">
        <v>32</v>
      </c>
      <c r="AB52" s="1">
        <v>0</v>
      </c>
      <c r="AC52" s="1" t="s">
        <v>32</v>
      </c>
      <c r="AD52" s="1">
        <v>0</v>
      </c>
      <c r="AE52" s="1" t="s">
        <v>1658</v>
      </c>
      <c r="AF52" s="1">
        <v>69</v>
      </c>
      <c r="AG52" s="1">
        <v>350</v>
      </c>
      <c r="AH52" s="1" t="s">
        <v>1660</v>
      </c>
      <c r="AI52" s="1" t="s">
        <v>32</v>
      </c>
      <c r="AJ52" s="1" t="s">
        <v>32</v>
      </c>
      <c r="AK52" s="1" t="s">
        <v>32</v>
      </c>
      <c r="AL52" s="1" t="s">
        <v>32</v>
      </c>
      <c r="AM52" s="1">
        <v>0</v>
      </c>
      <c r="AN52" s="1" t="s">
        <v>1660</v>
      </c>
      <c r="AO52" s="1">
        <v>0</v>
      </c>
      <c r="AP52" s="1" t="s">
        <v>32</v>
      </c>
      <c r="AQ52" s="1" t="s">
        <v>32</v>
      </c>
      <c r="AR52" s="1" t="s">
        <v>1660</v>
      </c>
      <c r="AS52" s="1">
        <v>0</v>
      </c>
      <c r="AT52" s="1" t="s">
        <v>32</v>
      </c>
      <c r="AU52" s="1" t="s">
        <v>32</v>
      </c>
      <c r="AV52" s="1" t="s">
        <v>1658</v>
      </c>
      <c r="AW52" s="1">
        <v>69</v>
      </c>
      <c r="AX52" s="1" t="s">
        <v>1660</v>
      </c>
      <c r="AY52" s="1">
        <v>0</v>
      </c>
      <c r="AZ52" s="1" t="s">
        <v>1658</v>
      </c>
      <c r="BA52" s="1">
        <v>100</v>
      </c>
      <c r="BB52" s="1">
        <v>479</v>
      </c>
      <c r="BC52" s="1" t="s">
        <v>1658</v>
      </c>
      <c r="BD52" s="1">
        <v>100</v>
      </c>
      <c r="BE52" s="1" t="s">
        <v>32</v>
      </c>
      <c r="BF52" s="1">
        <v>0</v>
      </c>
      <c r="BG52" s="1" t="s">
        <v>1660</v>
      </c>
      <c r="BH52" s="1">
        <v>0</v>
      </c>
      <c r="BI52" s="1" t="s">
        <v>32</v>
      </c>
      <c r="BJ52" s="1" t="s">
        <v>32</v>
      </c>
      <c r="BK52" s="1" t="s">
        <v>1660</v>
      </c>
      <c r="BL52" s="1">
        <v>0</v>
      </c>
      <c r="BM52" s="1" t="s">
        <v>32</v>
      </c>
      <c r="BN52" s="1" t="s">
        <v>32</v>
      </c>
      <c r="BO52" s="1" t="s">
        <v>1658</v>
      </c>
      <c r="BP52" s="1">
        <v>0</v>
      </c>
      <c r="BQ52" s="1" t="s">
        <v>1660</v>
      </c>
      <c r="BR52" s="1">
        <v>0</v>
      </c>
      <c r="BS52" s="1" t="s">
        <v>1660</v>
      </c>
      <c r="BT52" s="1">
        <v>0</v>
      </c>
      <c r="BU52" s="1">
        <v>0</v>
      </c>
      <c r="BV52" s="1" t="s">
        <v>1660</v>
      </c>
      <c r="BW52" s="1"/>
      <c r="BX52" s="1"/>
      <c r="BY52" s="1" t="s">
        <v>1807</v>
      </c>
      <c r="BZ52" s="2" t="b">
        <f>OR( (Dashboard[[#This Row],[ref_as_hh]]&gt;=1),(Dashboard[[#This Row],[ret_as_hh]] &gt;=1), (Dashboard[[#This Row],[idp_as_hh]]&gt;=1))</f>
        <v>1</v>
      </c>
      <c r="CA52" s="2">
        <f>Dashboard[[#This Row],[ret_hi_hh]]</f>
        <v>100</v>
      </c>
      <c r="CB52" s="2">
        <f>Dashboard[[#This Row],[idp_fa_hh]]+Dashboard[[#This Row],[ref_fa_hh]]+Dashboard[[#This Row],[ret_fa_hh]]</f>
        <v>0</v>
      </c>
      <c r="CC52" s="2">
        <f>Dashboard[[#This Row],[idp_loc_hh]]+Dashboard[[#This Row],[ref_loc_hh]]+Dashboard[[#This Row],[ret_loc_hh]]</f>
        <v>0</v>
      </c>
      <c r="CD52" s="2">
        <f>Dashboard[[#This Row],[idp_cc_hh]]+Dashboard[[#This Row],[ref_cc_hh]]+Dashboard[[#This Row],[ret_cc_hh]]</f>
        <v>0</v>
      </c>
      <c r="CE52" s="2">
        <f>Dashboard[[#This Row],[idp_as_hh]]+Dashboard[[#This Row],[ref_as_hh]]+Dashboard[[#This Row],[ret_as_hh]]</f>
        <v>69</v>
      </c>
      <c r="CF52" s="2">
        <f>Dashboard[[#This Row],[idp_al_hh]]+Dashboard[[#This Row],[ref_al_hh]]+Dashboard[[#This Row],[ret_al_hh]]</f>
        <v>0</v>
      </c>
    </row>
    <row r="53" spans="1:84" x14ac:dyDescent="0.25">
      <c r="A53" s="27">
        <v>82</v>
      </c>
      <c r="B53" s="2" t="s">
        <v>22</v>
      </c>
      <c r="C53" s="2" t="s">
        <v>23</v>
      </c>
      <c r="D53" s="2" t="s">
        <v>85</v>
      </c>
      <c r="E53" s="2" t="s">
        <v>84</v>
      </c>
      <c r="F53" s="2" t="s">
        <v>175</v>
      </c>
      <c r="G53" s="2" t="s">
        <v>174</v>
      </c>
      <c r="H53" s="2" t="s">
        <v>1303</v>
      </c>
      <c r="I53" s="2" t="s">
        <v>464</v>
      </c>
      <c r="J53" s="2" t="s">
        <v>3138</v>
      </c>
      <c r="K53" s="2" t="s">
        <v>3139</v>
      </c>
      <c r="L53" s="2" t="s">
        <v>3693</v>
      </c>
      <c r="M53" s="2">
        <v>360</v>
      </c>
      <c r="N53" s="2" t="s">
        <v>1658</v>
      </c>
      <c r="O53" s="2">
        <v>6</v>
      </c>
      <c r="P53" s="2">
        <v>20</v>
      </c>
      <c r="Q53" s="2" t="s">
        <v>32</v>
      </c>
      <c r="R53" s="2">
        <v>0</v>
      </c>
      <c r="S53" s="2" t="s">
        <v>1660</v>
      </c>
      <c r="T53" s="2">
        <v>0</v>
      </c>
      <c r="U53" s="2" t="s">
        <v>32</v>
      </c>
      <c r="V53" s="2" t="s">
        <v>32</v>
      </c>
      <c r="W53" s="1" t="s">
        <v>1660</v>
      </c>
      <c r="X53" s="1">
        <v>0</v>
      </c>
      <c r="Y53" s="1" t="s">
        <v>32</v>
      </c>
      <c r="Z53" s="1" t="s">
        <v>32</v>
      </c>
      <c r="AA53" s="1" t="s">
        <v>1658</v>
      </c>
      <c r="AB53" s="1">
        <v>6</v>
      </c>
      <c r="AC53" s="1" t="s">
        <v>1660</v>
      </c>
      <c r="AD53" s="1">
        <v>0</v>
      </c>
      <c r="AE53" s="1" t="s">
        <v>1658</v>
      </c>
      <c r="AF53" s="1">
        <v>32</v>
      </c>
      <c r="AG53" s="1">
        <v>128</v>
      </c>
      <c r="AH53" s="1" t="s">
        <v>1660</v>
      </c>
      <c r="AI53" s="1" t="s">
        <v>32</v>
      </c>
      <c r="AJ53" s="1" t="s">
        <v>32</v>
      </c>
      <c r="AK53" s="1" t="s">
        <v>32</v>
      </c>
      <c r="AL53" s="1" t="s">
        <v>32</v>
      </c>
      <c r="AM53" s="1">
        <v>0</v>
      </c>
      <c r="AN53" s="1" t="s">
        <v>1660</v>
      </c>
      <c r="AO53" s="1">
        <v>0</v>
      </c>
      <c r="AP53" s="1" t="s">
        <v>32</v>
      </c>
      <c r="AQ53" s="1" t="s">
        <v>32</v>
      </c>
      <c r="AR53" s="1" t="s">
        <v>1660</v>
      </c>
      <c r="AS53" s="1">
        <v>0</v>
      </c>
      <c r="AT53" s="1" t="s">
        <v>32</v>
      </c>
      <c r="AU53" s="1" t="s">
        <v>32</v>
      </c>
      <c r="AV53" s="1" t="s">
        <v>1658</v>
      </c>
      <c r="AW53" s="1">
        <v>32</v>
      </c>
      <c r="AX53" s="1" t="s">
        <v>1660</v>
      </c>
      <c r="AY53" s="1">
        <v>0</v>
      </c>
      <c r="AZ53" s="1" t="s">
        <v>1658</v>
      </c>
      <c r="BA53" s="1">
        <v>17</v>
      </c>
      <c r="BB53" s="1">
        <v>93</v>
      </c>
      <c r="BC53" s="1" t="s">
        <v>1658</v>
      </c>
      <c r="BD53" s="1">
        <v>17</v>
      </c>
      <c r="BE53" s="1" t="s">
        <v>32</v>
      </c>
      <c r="BF53" s="1">
        <v>0</v>
      </c>
      <c r="BG53" s="1" t="s">
        <v>1660</v>
      </c>
      <c r="BH53" s="1">
        <v>0</v>
      </c>
      <c r="BI53" s="1" t="s">
        <v>32</v>
      </c>
      <c r="BJ53" s="1" t="s">
        <v>32</v>
      </c>
      <c r="BK53" s="1" t="s">
        <v>1660</v>
      </c>
      <c r="BL53" s="1">
        <v>0</v>
      </c>
      <c r="BM53" s="1" t="s">
        <v>32</v>
      </c>
      <c r="BN53" s="1" t="s">
        <v>32</v>
      </c>
      <c r="BO53" s="1" t="s">
        <v>1660</v>
      </c>
      <c r="BP53" s="1">
        <v>0</v>
      </c>
      <c r="BQ53" s="1" t="s">
        <v>1660</v>
      </c>
      <c r="BR53" s="1">
        <v>0</v>
      </c>
      <c r="BS53" s="1" t="s">
        <v>1660</v>
      </c>
      <c r="BT53" s="1">
        <v>0</v>
      </c>
      <c r="BU53" s="1">
        <v>0</v>
      </c>
      <c r="BV53" s="1" t="s">
        <v>1660</v>
      </c>
      <c r="BW53" s="1"/>
      <c r="BX53" s="1"/>
      <c r="BY53" s="1" t="s">
        <v>1807</v>
      </c>
      <c r="BZ53" s="2" t="b">
        <f>OR( (Dashboard[[#This Row],[ref_as_hh]]&gt;=1),(Dashboard[[#This Row],[ret_as_hh]] &gt;=1), (Dashboard[[#This Row],[idp_as_hh]]&gt;=1))</f>
        <v>1</v>
      </c>
      <c r="CA53" s="2">
        <f>Dashboard[[#This Row],[ret_hi_hh]]</f>
        <v>17</v>
      </c>
      <c r="CB53" s="2">
        <f>Dashboard[[#This Row],[idp_fa_hh]]+Dashboard[[#This Row],[ref_fa_hh]]+Dashboard[[#This Row],[ret_fa_hh]]</f>
        <v>0</v>
      </c>
      <c r="CC53" s="2">
        <f>Dashboard[[#This Row],[idp_loc_hh]]+Dashboard[[#This Row],[ref_loc_hh]]+Dashboard[[#This Row],[ret_loc_hh]]</f>
        <v>0</v>
      </c>
      <c r="CD53" s="2">
        <f>Dashboard[[#This Row],[idp_cc_hh]]+Dashboard[[#This Row],[ref_cc_hh]]+Dashboard[[#This Row],[ret_cc_hh]]</f>
        <v>0</v>
      </c>
      <c r="CE53" s="2">
        <f>Dashboard[[#This Row],[idp_as_hh]]+Dashboard[[#This Row],[ref_as_hh]]+Dashboard[[#This Row],[ret_as_hh]]</f>
        <v>38</v>
      </c>
      <c r="CF53" s="2">
        <f>Dashboard[[#This Row],[idp_al_hh]]+Dashboard[[#This Row],[ref_al_hh]]+Dashboard[[#This Row],[ret_al_hh]]</f>
        <v>0</v>
      </c>
    </row>
    <row r="54" spans="1:84" x14ac:dyDescent="0.25">
      <c r="A54" s="27">
        <v>84</v>
      </c>
      <c r="B54" s="2" t="s">
        <v>22</v>
      </c>
      <c r="C54" s="2" t="s">
        <v>23</v>
      </c>
      <c r="D54" s="2" t="s">
        <v>85</v>
      </c>
      <c r="E54" s="2" t="s">
        <v>84</v>
      </c>
      <c r="F54" s="2" t="s">
        <v>175</v>
      </c>
      <c r="G54" s="2" t="s">
        <v>174</v>
      </c>
      <c r="H54" s="2" t="s">
        <v>2141</v>
      </c>
      <c r="I54" s="2" t="s">
        <v>815</v>
      </c>
      <c r="J54" s="2" t="s">
        <v>3174</v>
      </c>
      <c r="K54" s="2" t="s">
        <v>3175</v>
      </c>
      <c r="L54" s="2" t="s">
        <v>2074</v>
      </c>
      <c r="M54" s="2">
        <v>563</v>
      </c>
      <c r="N54" s="2" t="s">
        <v>1658</v>
      </c>
      <c r="O54" s="2">
        <v>58</v>
      </c>
      <c r="P54" s="2">
        <v>483</v>
      </c>
      <c r="Q54" s="2" t="s">
        <v>32</v>
      </c>
      <c r="R54" s="2">
        <v>0</v>
      </c>
      <c r="S54" s="2" t="s">
        <v>1660</v>
      </c>
      <c r="T54" s="2">
        <v>0</v>
      </c>
      <c r="U54" s="2" t="s">
        <v>32</v>
      </c>
      <c r="V54" s="2" t="s">
        <v>32</v>
      </c>
      <c r="W54" s="1" t="s">
        <v>1660</v>
      </c>
      <c r="X54" s="1">
        <v>0</v>
      </c>
      <c r="Y54" s="1" t="s">
        <v>32</v>
      </c>
      <c r="Z54" s="1" t="s">
        <v>32</v>
      </c>
      <c r="AA54" s="1" t="s">
        <v>1658</v>
      </c>
      <c r="AB54" s="1">
        <v>58</v>
      </c>
      <c r="AC54" s="1" t="s">
        <v>1660</v>
      </c>
      <c r="AD54" s="1">
        <v>0</v>
      </c>
      <c r="AE54" s="1" t="s">
        <v>1658</v>
      </c>
      <c r="AF54" s="1">
        <v>17</v>
      </c>
      <c r="AG54" s="1">
        <v>85</v>
      </c>
      <c r="AH54" s="1" t="s">
        <v>1658</v>
      </c>
      <c r="AI54" s="1" t="s">
        <v>85</v>
      </c>
      <c r="AJ54" s="1" t="s">
        <v>175</v>
      </c>
      <c r="AK54" s="1" t="s">
        <v>420</v>
      </c>
      <c r="AL54" s="1" t="s">
        <v>32</v>
      </c>
      <c r="AM54" s="1">
        <v>0</v>
      </c>
      <c r="AN54" s="1" t="s">
        <v>1660</v>
      </c>
      <c r="AO54" s="1">
        <v>0</v>
      </c>
      <c r="AP54" s="1" t="s">
        <v>32</v>
      </c>
      <c r="AQ54" s="1" t="s">
        <v>32</v>
      </c>
      <c r="AR54" s="1" t="s">
        <v>1660</v>
      </c>
      <c r="AS54" s="1">
        <v>0</v>
      </c>
      <c r="AT54" s="1" t="s">
        <v>32</v>
      </c>
      <c r="AU54" s="1" t="s">
        <v>32</v>
      </c>
      <c r="AV54" s="1" t="s">
        <v>1658</v>
      </c>
      <c r="AW54" s="1">
        <v>17</v>
      </c>
      <c r="AX54" s="1" t="s">
        <v>1660</v>
      </c>
      <c r="AY54" s="1">
        <v>0</v>
      </c>
      <c r="AZ54" s="1" t="s">
        <v>1660</v>
      </c>
      <c r="BA54" s="1">
        <v>0</v>
      </c>
      <c r="BB54" s="1">
        <v>0</v>
      </c>
      <c r="BC54" s="1" t="s">
        <v>32</v>
      </c>
      <c r="BD54" s="1">
        <v>0</v>
      </c>
      <c r="BE54" s="1" t="s">
        <v>32</v>
      </c>
      <c r="BF54" s="1">
        <v>0</v>
      </c>
      <c r="BG54" s="1" t="s">
        <v>32</v>
      </c>
      <c r="BH54" s="1">
        <v>0</v>
      </c>
      <c r="BI54" s="1" t="s">
        <v>32</v>
      </c>
      <c r="BJ54" s="1" t="s">
        <v>32</v>
      </c>
      <c r="BK54" s="1" t="s">
        <v>32</v>
      </c>
      <c r="BL54" s="1">
        <v>0</v>
      </c>
      <c r="BM54" s="1" t="s">
        <v>32</v>
      </c>
      <c r="BN54" s="1" t="s">
        <v>32</v>
      </c>
      <c r="BO54" s="1" t="s">
        <v>32</v>
      </c>
      <c r="BP54" s="1">
        <v>0</v>
      </c>
      <c r="BQ54" s="1" t="s">
        <v>32</v>
      </c>
      <c r="BR54" s="1">
        <v>0</v>
      </c>
      <c r="BS54" s="1" t="s">
        <v>1660</v>
      </c>
      <c r="BT54" s="1">
        <v>0</v>
      </c>
      <c r="BU54" s="1">
        <v>0</v>
      </c>
      <c r="BV54" s="1" t="s">
        <v>1660</v>
      </c>
      <c r="BW54" s="1"/>
      <c r="BX54" s="1"/>
      <c r="BY54" s="1" t="s">
        <v>1810</v>
      </c>
      <c r="BZ54" s="2" t="b">
        <f>OR( (Dashboard[[#This Row],[ref_as_hh]]&gt;=1),(Dashboard[[#This Row],[ret_as_hh]] &gt;=1), (Dashboard[[#This Row],[idp_as_hh]]&gt;=1))</f>
        <v>1</v>
      </c>
      <c r="CA54" s="2">
        <f>Dashboard[[#This Row],[ret_hi_hh]]</f>
        <v>0</v>
      </c>
      <c r="CB54" s="2">
        <f>Dashboard[[#This Row],[idp_fa_hh]]+Dashboard[[#This Row],[ref_fa_hh]]+Dashboard[[#This Row],[ret_fa_hh]]</f>
        <v>0</v>
      </c>
      <c r="CC54" s="2">
        <f>Dashboard[[#This Row],[idp_loc_hh]]+Dashboard[[#This Row],[ref_loc_hh]]+Dashboard[[#This Row],[ret_loc_hh]]</f>
        <v>0</v>
      </c>
      <c r="CD54" s="2">
        <f>Dashboard[[#This Row],[idp_cc_hh]]+Dashboard[[#This Row],[ref_cc_hh]]+Dashboard[[#This Row],[ret_cc_hh]]</f>
        <v>0</v>
      </c>
      <c r="CE54" s="2">
        <f>Dashboard[[#This Row],[idp_as_hh]]+Dashboard[[#This Row],[ref_as_hh]]+Dashboard[[#This Row],[ret_as_hh]]</f>
        <v>75</v>
      </c>
      <c r="CF54" s="2">
        <f>Dashboard[[#This Row],[idp_al_hh]]+Dashboard[[#This Row],[ref_al_hh]]+Dashboard[[#This Row],[ret_al_hh]]</f>
        <v>0</v>
      </c>
    </row>
    <row r="55" spans="1:84" x14ac:dyDescent="0.25">
      <c r="A55" s="27">
        <v>343</v>
      </c>
      <c r="B55" s="2" t="s">
        <v>22</v>
      </c>
      <c r="C55" s="2" t="s">
        <v>23</v>
      </c>
      <c r="D55" s="2" t="s">
        <v>85</v>
      </c>
      <c r="E55" s="2" t="s">
        <v>84</v>
      </c>
      <c r="F55" s="2" t="s">
        <v>175</v>
      </c>
      <c r="G55" s="2" t="s">
        <v>174</v>
      </c>
      <c r="H55" s="2" t="s">
        <v>1525</v>
      </c>
      <c r="I55" s="2" t="s">
        <v>176</v>
      </c>
      <c r="J55" s="2" t="s">
        <v>3130</v>
      </c>
      <c r="K55" s="2" t="s">
        <v>3131</v>
      </c>
      <c r="L55" s="2" t="s">
        <v>3693</v>
      </c>
      <c r="M55" s="2">
        <v>375</v>
      </c>
      <c r="N55" s="2" t="s">
        <v>1660</v>
      </c>
      <c r="O55" s="2">
        <v>0</v>
      </c>
      <c r="P55" s="2">
        <v>0</v>
      </c>
      <c r="Q55" s="2" t="s">
        <v>32</v>
      </c>
      <c r="R55" s="2">
        <v>0</v>
      </c>
      <c r="S55" s="2" t="s">
        <v>32</v>
      </c>
      <c r="T55" s="2">
        <v>0</v>
      </c>
      <c r="U55" s="2" t="s">
        <v>32</v>
      </c>
      <c r="V55" s="2" t="s">
        <v>32</v>
      </c>
      <c r="W55" s="1" t="s">
        <v>32</v>
      </c>
      <c r="X55" s="1">
        <v>0</v>
      </c>
      <c r="Y55" s="1" t="s">
        <v>32</v>
      </c>
      <c r="Z55" s="1" t="s">
        <v>32</v>
      </c>
      <c r="AA55" s="1" t="s">
        <v>32</v>
      </c>
      <c r="AB55" s="1">
        <v>0</v>
      </c>
      <c r="AC55" s="1" t="s">
        <v>32</v>
      </c>
      <c r="AD55" s="1">
        <v>0</v>
      </c>
      <c r="AE55" s="1" t="s">
        <v>1658</v>
      </c>
      <c r="AF55" s="1">
        <v>45</v>
      </c>
      <c r="AG55" s="1">
        <v>288</v>
      </c>
      <c r="AH55" s="1" t="s">
        <v>1660</v>
      </c>
      <c r="AI55" s="1" t="s">
        <v>32</v>
      </c>
      <c r="AJ55" s="1" t="s">
        <v>32</v>
      </c>
      <c r="AK55" s="1" t="s">
        <v>32</v>
      </c>
      <c r="AL55" s="1" t="s">
        <v>32</v>
      </c>
      <c r="AM55" s="1">
        <v>0</v>
      </c>
      <c r="AN55" s="1" t="s">
        <v>1660</v>
      </c>
      <c r="AO55" s="1">
        <v>0</v>
      </c>
      <c r="AP55" s="1" t="s">
        <v>32</v>
      </c>
      <c r="AQ55" s="1" t="s">
        <v>32</v>
      </c>
      <c r="AR55" s="1" t="s">
        <v>1660</v>
      </c>
      <c r="AS55" s="1">
        <v>0</v>
      </c>
      <c r="AT55" s="1" t="s">
        <v>32</v>
      </c>
      <c r="AU55" s="1" t="s">
        <v>32</v>
      </c>
      <c r="AV55" s="1" t="s">
        <v>1658</v>
      </c>
      <c r="AW55" s="1">
        <v>45</v>
      </c>
      <c r="AX55" s="1" t="s">
        <v>1660</v>
      </c>
      <c r="AY55" s="1">
        <v>0</v>
      </c>
      <c r="AZ55" s="1" t="s">
        <v>1660</v>
      </c>
      <c r="BA55" s="1">
        <v>0</v>
      </c>
      <c r="BB55" s="1">
        <v>0</v>
      </c>
      <c r="BC55" s="1" t="s">
        <v>32</v>
      </c>
      <c r="BD55" s="1">
        <v>0</v>
      </c>
      <c r="BE55" s="1" t="s">
        <v>32</v>
      </c>
      <c r="BF55" s="1">
        <v>0</v>
      </c>
      <c r="BG55" s="1" t="s">
        <v>32</v>
      </c>
      <c r="BH55" s="1">
        <v>0</v>
      </c>
      <c r="BI55" s="1" t="s">
        <v>32</v>
      </c>
      <c r="BJ55" s="1" t="s">
        <v>32</v>
      </c>
      <c r="BK55" s="1" t="s">
        <v>32</v>
      </c>
      <c r="BL55" s="1">
        <v>0</v>
      </c>
      <c r="BM55" s="1" t="s">
        <v>32</v>
      </c>
      <c r="BN55" s="1" t="s">
        <v>32</v>
      </c>
      <c r="BO55" s="1" t="s">
        <v>32</v>
      </c>
      <c r="BP55" s="1">
        <v>0</v>
      </c>
      <c r="BQ55" s="1" t="s">
        <v>32</v>
      </c>
      <c r="BR55" s="1">
        <v>0</v>
      </c>
      <c r="BS55" s="1" t="s">
        <v>1658</v>
      </c>
      <c r="BT55" s="1">
        <v>4</v>
      </c>
      <c r="BU55" s="1">
        <v>26</v>
      </c>
      <c r="BV55" s="1" t="s">
        <v>1660</v>
      </c>
      <c r="BW55" s="1"/>
      <c r="BX55" s="1"/>
      <c r="BY55" s="1" t="s">
        <v>1807</v>
      </c>
      <c r="BZ55" s="2" t="b">
        <f>OR( (Dashboard[[#This Row],[ref_as_hh]]&gt;=1),(Dashboard[[#This Row],[ret_as_hh]] &gt;=1), (Dashboard[[#This Row],[idp_as_hh]]&gt;=1))</f>
        <v>1</v>
      </c>
      <c r="CA55" s="2">
        <f>Dashboard[[#This Row],[ret_hi_hh]]</f>
        <v>0</v>
      </c>
      <c r="CB55" s="2">
        <f>Dashboard[[#This Row],[idp_fa_hh]]+Dashboard[[#This Row],[ref_fa_hh]]+Dashboard[[#This Row],[ret_fa_hh]]</f>
        <v>0</v>
      </c>
      <c r="CC55" s="2">
        <f>Dashboard[[#This Row],[idp_loc_hh]]+Dashboard[[#This Row],[ref_loc_hh]]+Dashboard[[#This Row],[ret_loc_hh]]</f>
        <v>0</v>
      </c>
      <c r="CD55" s="2">
        <f>Dashboard[[#This Row],[idp_cc_hh]]+Dashboard[[#This Row],[ref_cc_hh]]+Dashboard[[#This Row],[ret_cc_hh]]</f>
        <v>0</v>
      </c>
      <c r="CE55" s="2">
        <f>Dashboard[[#This Row],[idp_as_hh]]+Dashboard[[#This Row],[ref_as_hh]]+Dashboard[[#This Row],[ret_as_hh]]</f>
        <v>45</v>
      </c>
      <c r="CF55" s="2">
        <f>Dashboard[[#This Row],[idp_al_hh]]+Dashboard[[#This Row],[ref_al_hh]]+Dashboard[[#This Row],[ret_al_hh]]</f>
        <v>0</v>
      </c>
    </row>
    <row r="56" spans="1:84" x14ac:dyDescent="0.25">
      <c r="A56" s="27">
        <v>356</v>
      </c>
      <c r="B56" s="2" t="s">
        <v>22</v>
      </c>
      <c r="C56" s="2" t="s">
        <v>23</v>
      </c>
      <c r="D56" s="2" t="s">
        <v>85</v>
      </c>
      <c r="E56" s="2" t="s">
        <v>84</v>
      </c>
      <c r="F56" s="2" t="s">
        <v>175</v>
      </c>
      <c r="G56" s="2" t="s">
        <v>174</v>
      </c>
      <c r="H56" s="2" t="s">
        <v>1304</v>
      </c>
      <c r="I56" s="2" t="s">
        <v>465</v>
      </c>
      <c r="J56" s="2" t="s">
        <v>3142</v>
      </c>
      <c r="K56" s="2" t="s">
        <v>3143</v>
      </c>
      <c r="L56" s="2" t="s">
        <v>3693</v>
      </c>
      <c r="M56" s="2">
        <v>324</v>
      </c>
      <c r="N56" s="2" t="s">
        <v>1658</v>
      </c>
      <c r="O56" s="2">
        <v>10</v>
      </c>
      <c r="P56" s="2">
        <v>44</v>
      </c>
      <c r="Q56" s="2" t="s">
        <v>32</v>
      </c>
      <c r="R56" s="2">
        <v>0</v>
      </c>
      <c r="S56" s="2" t="s">
        <v>1660</v>
      </c>
      <c r="T56" s="2">
        <v>0</v>
      </c>
      <c r="U56" s="2" t="s">
        <v>32</v>
      </c>
      <c r="V56" s="2" t="s">
        <v>32</v>
      </c>
      <c r="W56" s="1" t="s">
        <v>1660</v>
      </c>
      <c r="X56" s="1">
        <v>0</v>
      </c>
      <c r="Y56" s="1" t="s">
        <v>32</v>
      </c>
      <c r="Z56" s="1" t="s">
        <v>32</v>
      </c>
      <c r="AA56" s="1" t="s">
        <v>1658</v>
      </c>
      <c r="AB56" s="1">
        <v>10</v>
      </c>
      <c r="AC56" s="1" t="s">
        <v>1660</v>
      </c>
      <c r="AD56" s="1">
        <v>0</v>
      </c>
      <c r="AE56" s="1" t="s">
        <v>1658</v>
      </c>
      <c r="AF56" s="1">
        <v>18</v>
      </c>
      <c r="AG56" s="1">
        <v>69</v>
      </c>
      <c r="AH56" s="1" t="s">
        <v>1660</v>
      </c>
      <c r="AI56" s="1" t="s">
        <v>32</v>
      </c>
      <c r="AJ56" s="1" t="s">
        <v>32</v>
      </c>
      <c r="AK56" s="1" t="s">
        <v>32</v>
      </c>
      <c r="AL56" s="1" t="s">
        <v>32</v>
      </c>
      <c r="AM56" s="1">
        <v>0</v>
      </c>
      <c r="AN56" s="1" t="s">
        <v>1660</v>
      </c>
      <c r="AO56" s="1">
        <v>0</v>
      </c>
      <c r="AP56" s="1" t="s">
        <v>32</v>
      </c>
      <c r="AQ56" s="1" t="s">
        <v>32</v>
      </c>
      <c r="AR56" s="1" t="s">
        <v>1660</v>
      </c>
      <c r="AS56" s="1">
        <v>0</v>
      </c>
      <c r="AT56" s="1" t="s">
        <v>32</v>
      </c>
      <c r="AU56" s="1" t="s">
        <v>32</v>
      </c>
      <c r="AV56" s="1" t="s">
        <v>1658</v>
      </c>
      <c r="AW56" s="1">
        <v>18</v>
      </c>
      <c r="AX56" s="1" t="s">
        <v>1660</v>
      </c>
      <c r="AY56" s="1">
        <v>0</v>
      </c>
      <c r="AZ56" s="1" t="s">
        <v>1658</v>
      </c>
      <c r="BA56" s="1">
        <v>9</v>
      </c>
      <c r="BB56" s="1">
        <v>50</v>
      </c>
      <c r="BC56" s="1" t="s">
        <v>1658</v>
      </c>
      <c r="BD56" s="1">
        <v>9</v>
      </c>
      <c r="BE56" s="1" t="s">
        <v>32</v>
      </c>
      <c r="BF56" s="1">
        <v>0</v>
      </c>
      <c r="BG56" s="1" t="s">
        <v>1660</v>
      </c>
      <c r="BH56" s="1">
        <v>0</v>
      </c>
      <c r="BI56" s="1" t="s">
        <v>32</v>
      </c>
      <c r="BJ56" s="1" t="s">
        <v>32</v>
      </c>
      <c r="BK56" s="1" t="s">
        <v>1660</v>
      </c>
      <c r="BL56" s="1">
        <v>0</v>
      </c>
      <c r="BM56" s="1" t="s">
        <v>32</v>
      </c>
      <c r="BN56" s="1" t="s">
        <v>32</v>
      </c>
      <c r="BO56" s="1" t="s">
        <v>1660</v>
      </c>
      <c r="BP56" s="1">
        <v>0</v>
      </c>
      <c r="BQ56" s="1" t="s">
        <v>1660</v>
      </c>
      <c r="BR56" s="1">
        <v>0</v>
      </c>
      <c r="BS56" s="1" t="s">
        <v>1660</v>
      </c>
      <c r="BT56" s="1">
        <v>0</v>
      </c>
      <c r="BU56" s="1">
        <v>0</v>
      </c>
      <c r="BV56" s="1" t="s">
        <v>1660</v>
      </c>
      <c r="BW56" s="1"/>
      <c r="BX56" s="1"/>
      <c r="BY56" s="1" t="s">
        <v>1807</v>
      </c>
      <c r="BZ56" s="2" t="b">
        <f>OR( (Dashboard[[#This Row],[ref_as_hh]]&gt;=1),(Dashboard[[#This Row],[ret_as_hh]] &gt;=1), (Dashboard[[#This Row],[idp_as_hh]]&gt;=1))</f>
        <v>1</v>
      </c>
      <c r="CA56" s="2">
        <f>Dashboard[[#This Row],[ret_hi_hh]]</f>
        <v>9</v>
      </c>
      <c r="CB56" s="2">
        <f>Dashboard[[#This Row],[idp_fa_hh]]+Dashboard[[#This Row],[ref_fa_hh]]+Dashboard[[#This Row],[ret_fa_hh]]</f>
        <v>0</v>
      </c>
      <c r="CC56" s="2">
        <f>Dashboard[[#This Row],[idp_loc_hh]]+Dashboard[[#This Row],[ref_loc_hh]]+Dashboard[[#This Row],[ret_loc_hh]]</f>
        <v>0</v>
      </c>
      <c r="CD56" s="2">
        <f>Dashboard[[#This Row],[idp_cc_hh]]+Dashboard[[#This Row],[ref_cc_hh]]+Dashboard[[#This Row],[ret_cc_hh]]</f>
        <v>0</v>
      </c>
      <c r="CE56" s="2">
        <f>Dashboard[[#This Row],[idp_as_hh]]+Dashboard[[#This Row],[ref_as_hh]]+Dashboard[[#This Row],[ret_as_hh]]</f>
        <v>28</v>
      </c>
      <c r="CF56" s="2">
        <f>Dashboard[[#This Row],[idp_al_hh]]+Dashboard[[#This Row],[ref_al_hh]]+Dashboard[[#This Row],[ret_al_hh]]</f>
        <v>0</v>
      </c>
    </row>
    <row r="57" spans="1:84" hidden="1" x14ac:dyDescent="0.25">
      <c r="A57" s="27">
        <v>362</v>
      </c>
      <c r="B57" s="2" t="s">
        <v>22</v>
      </c>
      <c r="C57" s="2" t="s">
        <v>23</v>
      </c>
      <c r="D57" s="2" t="s">
        <v>85</v>
      </c>
      <c r="E57" s="2" t="s">
        <v>84</v>
      </c>
      <c r="F57" s="2" t="s">
        <v>175</v>
      </c>
      <c r="G57" s="2" t="s">
        <v>174</v>
      </c>
      <c r="H57" s="2" t="s">
        <v>1562</v>
      </c>
      <c r="I57" s="2" t="s">
        <v>178</v>
      </c>
      <c r="J57" s="2" t="s">
        <v>3156</v>
      </c>
      <c r="K57" s="2" t="s">
        <v>3157</v>
      </c>
      <c r="L57" s="2" t="s">
        <v>2074</v>
      </c>
      <c r="M57" s="2">
        <v>337</v>
      </c>
      <c r="N57" s="2" t="s">
        <v>1660</v>
      </c>
      <c r="O57" s="2">
        <v>0</v>
      </c>
      <c r="P57" s="2">
        <v>0</v>
      </c>
      <c r="Q57" s="2" t="s">
        <v>32</v>
      </c>
      <c r="R57" s="2">
        <v>0</v>
      </c>
      <c r="S57" s="2" t="s">
        <v>32</v>
      </c>
      <c r="T57" s="2">
        <v>0</v>
      </c>
      <c r="U57" s="2" t="s">
        <v>32</v>
      </c>
      <c r="V57" s="2" t="s">
        <v>32</v>
      </c>
      <c r="W57" s="1" t="s">
        <v>32</v>
      </c>
      <c r="X57" s="1">
        <v>0</v>
      </c>
      <c r="Y57" s="1" t="s">
        <v>32</v>
      </c>
      <c r="Z57" s="1" t="s">
        <v>32</v>
      </c>
      <c r="AA57" s="1" t="s">
        <v>32</v>
      </c>
      <c r="AB57" s="1">
        <v>0</v>
      </c>
      <c r="AC57" s="1" t="s">
        <v>32</v>
      </c>
      <c r="AD57" s="1">
        <v>0</v>
      </c>
      <c r="AE57" s="1" t="s">
        <v>1660</v>
      </c>
      <c r="AF57" s="1">
        <v>0</v>
      </c>
      <c r="AG57" s="1">
        <v>0</v>
      </c>
      <c r="AH57" s="1" t="s">
        <v>32</v>
      </c>
      <c r="AI57" s="1" t="s">
        <v>32</v>
      </c>
      <c r="AJ57" s="1" t="s">
        <v>32</v>
      </c>
      <c r="AK57" s="1" t="s">
        <v>32</v>
      </c>
      <c r="AL57" s="1" t="s">
        <v>32</v>
      </c>
      <c r="AM57" s="1">
        <v>0</v>
      </c>
      <c r="AN57" s="1" t="s">
        <v>32</v>
      </c>
      <c r="AO57" s="1">
        <v>0</v>
      </c>
      <c r="AP57" s="1" t="s">
        <v>32</v>
      </c>
      <c r="AQ57" s="1" t="s">
        <v>32</v>
      </c>
      <c r="AR57" s="1" t="s">
        <v>32</v>
      </c>
      <c r="AS57" s="1">
        <v>0</v>
      </c>
      <c r="AT57" s="1" t="s">
        <v>32</v>
      </c>
      <c r="AU57" s="1" t="s">
        <v>32</v>
      </c>
      <c r="AV57" s="1" t="s">
        <v>32</v>
      </c>
      <c r="AW57" s="1">
        <v>0</v>
      </c>
      <c r="AX57" s="1" t="s">
        <v>32</v>
      </c>
      <c r="AY57" s="1">
        <v>0</v>
      </c>
      <c r="AZ57" s="1" t="s">
        <v>1658</v>
      </c>
      <c r="BA57" s="1">
        <v>44</v>
      </c>
      <c r="BB57" s="1">
        <v>227</v>
      </c>
      <c r="BC57" s="1" t="s">
        <v>1658</v>
      </c>
      <c r="BD57" s="1">
        <v>44</v>
      </c>
      <c r="BE57" s="1" t="s">
        <v>32</v>
      </c>
      <c r="BF57" s="1">
        <v>0</v>
      </c>
      <c r="BG57" s="1" t="s">
        <v>1660</v>
      </c>
      <c r="BH57" s="1">
        <v>0</v>
      </c>
      <c r="BI57" s="1" t="s">
        <v>32</v>
      </c>
      <c r="BJ57" s="1" t="s">
        <v>32</v>
      </c>
      <c r="BK57" s="1" t="s">
        <v>1660</v>
      </c>
      <c r="BL57" s="1">
        <v>0</v>
      </c>
      <c r="BM57" s="1" t="s">
        <v>32</v>
      </c>
      <c r="BN57" s="1" t="s">
        <v>32</v>
      </c>
      <c r="BO57" s="1" t="s">
        <v>1660</v>
      </c>
      <c r="BP57" s="1">
        <v>0</v>
      </c>
      <c r="BQ57" s="1" t="s">
        <v>1660</v>
      </c>
      <c r="BR57" s="1">
        <v>0</v>
      </c>
      <c r="BS57" s="1" t="s">
        <v>1658</v>
      </c>
      <c r="BT57" s="1">
        <v>4</v>
      </c>
      <c r="BU57" s="1">
        <v>18</v>
      </c>
      <c r="BV57" s="1" t="s">
        <v>1660</v>
      </c>
      <c r="BW57" s="1"/>
      <c r="BX57" s="1"/>
      <c r="BY57" s="1" t="s">
        <v>1807</v>
      </c>
      <c r="BZ57" s="2" t="b">
        <f>OR( (Dashboard[[#This Row],[ref_as_hh]]&gt;=1),(Dashboard[[#This Row],[ret_as_hh]] &gt;=1), (Dashboard[[#This Row],[idp_as_hh]]&gt;=1))</f>
        <v>0</v>
      </c>
      <c r="CA57" s="2">
        <f>Dashboard[[#This Row],[ret_hi_hh]]</f>
        <v>44</v>
      </c>
      <c r="CB57" s="2">
        <f>Dashboard[[#This Row],[idp_fa_hh]]+Dashboard[[#This Row],[ref_fa_hh]]+Dashboard[[#This Row],[ret_fa_hh]]</f>
        <v>0</v>
      </c>
      <c r="CC57" s="2">
        <f>Dashboard[[#This Row],[idp_loc_hh]]+Dashboard[[#This Row],[ref_loc_hh]]+Dashboard[[#This Row],[ret_loc_hh]]</f>
        <v>0</v>
      </c>
      <c r="CD57" s="2">
        <f>Dashboard[[#This Row],[idp_cc_hh]]+Dashboard[[#This Row],[ref_cc_hh]]+Dashboard[[#This Row],[ret_cc_hh]]</f>
        <v>0</v>
      </c>
      <c r="CE57" s="2">
        <f>Dashboard[[#This Row],[idp_as_hh]]+Dashboard[[#This Row],[ref_as_hh]]+Dashboard[[#This Row],[ret_as_hh]]</f>
        <v>0</v>
      </c>
      <c r="CF57" s="2">
        <f>Dashboard[[#This Row],[idp_al_hh]]+Dashboard[[#This Row],[ref_al_hh]]+Dashboard[[#This Row],[ret_al_hh]]</f>
        <v>0</v>
      </c>
    </row>
    <row r="58" spans="1:84" x14ac:dyDescent="0.25">
      <c r="A58" s="27">
        <v>626</v>
      </c>
      <c r="B58" s="2" t="s">
        <v>22</v>
      </c>
      <c r="C58" s="2" t="s">
        <v>23</v>
      </c>
      <c r="D58" s="2" t="s">
        <v>85</v>
      </c>
      <c r="E58" s="2" t="s">
        <v>84</v>
      </c>
      <c r="F58" s="2" t="s">
        <v>175</v>
      </c>
      <c r="G58" s="2" t="s">
        <v>174</v>
      </c>
      <c r="H58" s="2" t="s">
        <v>1311</v>
      </c>
      <c r="I58" s="2" t="s">
        <v>470</v>
      </c>
      <c r="J58" s="2" t="s">
        <v>3172</v>
      </c>
      <c r="K58" s="2" t="s">
        <v>3173</v>
      </c>
      <c r="L58" s="2" t="s">
        <v>2074</v>
      </c>
      <c r="M58" s="2">
        <v>7600</v>
      </c>
      <c r="N58" s="2" t="s">
        <v>1658</v>
      </c>
      <c r="O58" s="2">
        <v>418</v>
      </c>
      <c r="P58" s="2">
        <v>2151</v>
      </c>
      <c r="Q58" s="2" t="s">
        <v>32</v>
      </c>
      <c r="R58" s="2">
        <v>0</v>
      </c>
      <c r="S58" s="2" t="s">
        <v>1660</v>
      </c>
      <c r="T58" s="2">
        <v>0</v>
      </c>
      <c r="U58" s="2" t="s">
        <v>32</v>
      </c>
      <c r="V58" s="2" t="s">
        <v>32</v>
      </c>
      <c r="W58" s="1" t="s">
        <v>1660</v>
      </c>
      <c r="X58" s="1">
        <v>0</v>
      </c>
      <c r="Y58" s="1" t="s">
        <v>32</v>
      </c>
      <c r="Z58" s="1" t="s">
        <v>32</v>
      </c>
      <c r="AA58" s="1" t="s">
        <v>1658</v>
      </c>
      <c r="AB58" s="1">
        <v>418</v>
      </c>
      <c r="AC58" s="1" t="s">
        <v>1660</v>
      </c>
      <c r="AD58" s="1">
        <v>0</v>
      </c>
      <c r="AE58" s="1" t="s">
        <v>1658</v>
      </c>
      <c r="AF58" s="1">
        <v>76</v>
      </c>
      <c r="AG58" s="1">
        <v>251</v>
      </c>
      <c r="AH58" s="1" t="s">
        <v>1660</v>
      </c>
      <c r="AI58" s="1" t="s">
        <v>32</v>
      </c>
      <c r="AJ58" s="1" t="s">
        <v>32</v>
      </c>
      <c r="AK58" s="1" t="s">
        <v>32</v>
      </c>
      <c r="AL58" s="1" t="s">
        <v>32</v>
      </c>
      <c r="AM58" s="1">
        <v>0</v>
      </c>
      <c r="AN58" s="1" t="s">
        <v>1660</v>
      </c>
      <c r="AO58" s="1">
        <v>0</v>
      </c>
      <c r="AP58" s="1" t="s">
        <v>32</v>
      </c>
      <c r="AQ58" s="1" t="s">
        <v>32</v>
      </c>
      <c r="AR58" s="1" t="s">
        <v>1660</v>
      </c>
      <c r="AS58" s="1">
        <v>0</v>
      </c>
      <c r="AT58" s="1" t="s">
        <v>32</v>
      </c>
      <c r="AU58" s="1" t="s">
        <v>32</v>
      </c>
      <c r="AV58" s="1" t="s">
        <v>1658</v>
      </c>
      <c r="AW58" s="1">
        <v>76</v>
      </c>
      <c r="AX58" s="1" t="s">
        <v>1660</v>
      </c>
      <c r="AY58" s="1">
        <v>0</v>
      </c>
      <c r="AZ58" s="1" t="s">
        <v>1660</v>
      </c>
      <c r="BA58" s="1">
        <v>0</v>
      </c>
      <c r="BB58" s="1">
        <v>0</v>
      </c>
      <c r="BC58" s="1" t="s">
        <v>32</v>
      </c>
      <c r="BD58" s="1">
        <v>0</v>
      </c>
      <c r="BE58" s="1" t="s">
        <v>32</v>
      </c>
      <c r="BF58" s="1">
        <v>0</v>
      </c>
      <c r="BG58" s="1" t="s">
        <v>32</v>
      </c>
      <c r="BH58" s="1">
        <v>0</v>
      </c>
      <c r="BI58" s="1" t="s">
        <v>32</v>
      </c>
      <c r="BJ58" s="1" t="s">
        <v>32</v>
      </c>
      <c r="BK58" s="1" t="s">
        <v>32</v>
      </c>
      <c r="BL58" s="1">
        <v>0</v>
      </c>
      <c r="BM58" s="1" t="s">
        <v>32</v>
      </c>
      <c r="BN58" s="1" t="s">
        <v>32</v>
      </c>
      <c r="BO58" s="1" t="s">
        <v>32</v>
      </c>
      <c r="BP58" s="1">
        <v>0</v>
      </c>
      <c r="BQ58" s="1" t="s">
        <v>32</v>
      </c>
      <c r="BR58" s="1">
        <v>0</v>
      </c>
      <c r="BS58" s="1" t="s">
        <v>1660</v>
      </c>
      <c r="BT58" s="1">
        <v>0</v>
      </c>
      <c r="BU58" s="1">
        <v>0</v>
      </c>
      <c r="BV58" s="1" t="s">
        <v>1660</v>
      </c>
      <c r="BW58" s="1"/>
      <c r="BX58" s="1"/>
      <c r="BY58" s="1" t="s">
        <v>1807</v>
      </c>
      <c r="BZ58" s="2" t="b">
        <f>OR( (Dashboard[[#This Row],[ref_as_hh]]&gt;=1),(Dashboard[[#This Row],[ret_as_hh]] &gt;=1), (Dashboard[[#This Row],[idp_as_hh]]&gt;=1))</f>
        <v>1</v>
      </c>
      <c r="CA58" s="2">
        <f>Dashboard[[#This Row],[ret_hi_hh]]</f>
        <v>0</v>
      </c>
      <c r="CB58" s="2">
        <f>Dashboard[[#This Row],[idp_fa_hh]]+Dashboard[[#This Row],[ref_fa_hh]]+Dashboard[[#This Row],[ret_fa_hh]]</f>
        <v>0</v>
      </c>
      <c r="CC58" s="2">
        <f>Dashboard[[#This Row],[idp_loc_hh]]+Dashboard[[#This Row],[ref_loc_hh]]+Dashboard[[#This Row],[ret_loc_hh]]</f>
        <v>0</v>
      </c>
      <c r="CD58" s="2">
        <f>Dashboard[[#This Row],[idp_cc_hh]]+Dashboard[[#This Row],[ref_cc_hh]]+Dashboard[[#This Row],[ret_cc_hh]]</f>
        <v>0</v>
      </c>
      <c r="CE58" s="2">
        <f>Dashboard[[#This Row],[idp_as_hh]]+Dashboard[[#This Row],[ref_as_hh]]+Dashboard[[#This Row],[ret_as_hh]]</f>
        <v>494</v>
      </c>
      <c r="CF58" s="2">
        <f>Dashboard[[#This Row],[idp_al_hh]]+Dashboard[[#This Row],[ref_al_hh]]+Dashboard[[#This Row],[ret_al_hh]]</f>
        <v>0</v>
      </c>
    </row>
    <row r="59" spans="1:84" x14ac:dyDescent="0.25">
      <c r="A59" s="27">
        <v>627</v>
      </c>
      <c r="B59" s="2" t="s">
        <v>22</v>
      </c>
      <c r="C59" s="2" t="s">
        <v>23</v>
      </c>
      <c r="D59" s="2" t="s">
        <v>85</v>
      </c>
      <c r="E59" s="2" t="s">
        <v>84</v>
      </c>
      <c r="F59" s="2" t="s">
        <v>175</v>
      </c>
      <c r="G59" s="2" t="s">
        <v>174</v>
      </c>
      <c r="H59" s="2" t="s">
        <v>1972</v>
      </c>
      <c r="I59" s="2" t="s">
        <v>1971</v>
      </c>
      <c r="J59" s="2" t="s">
        <v>3136</v>
      </c>
      <c r="K59" s="2" t="s">
        <v>3137</v>
      </c>
      <c r="L59" s="2" t="s">
        <v>2074</v>
      </c>
      <c r="M59" s="2">
        <v>156</v>
      </c>
      <c r="N59" s="2" t="s">
        <v>1660</v>
      </c>
      <c r="O59" s="2">
        <v>0</v>
      </c>
      <c r="P59" s="2">
        <v>0</v>
      </c>
      <c r="Q59" s="2" t="s">
        <v>32</v>
      </c>
      <c r="R59" s="2">
        <v>0</v>
      </c>
      <c r="S59" s="2" t="s">
        <v>32</v>
      </c>
      <c r="T59" s="2">
        <v>0</v>
      </c>
      <c r="U59" s="2" t="s">
        <v>32</v>
      </c>
      <c r="V59" s="2" t="s">
        <v>32</v>
      </c>
      <c r="W59" s="1" t="s">
        <v>32</v>
      </c>
      <c r="X59" s="1">
        <v>0</v>
      </c>
      <c r="Y59" s="1" t="s">
        <v>32</v>
      </c>
      <c r="Z59" s="1" t="s">
        <v>32</v>
      </c>
      <c r="AA59" s="1" t="s">
        <v>32</v>
      </c>
      <c r="AB59" s="1">
        <v>0</v>
      </c>
      <c r="AC59" s="1" t="s">
        <v>32</v>
      </c>
      <c r="AD59" s="1">
        <v>0</v>
      </c>
      <c r="AE59" s="1" t="s">
        <v>1658</v>
      </c>
      <c r="AF59" s="1">
        <v>4</v>
      </c>
      <c r="AG59" s="1">
        <v>25</v>
      </c>
      <c r="AH59" s="1" t="s">
        <v>1660</v>
      </c>
      <c r="AI59" s="1" t="s">
        <v>32</v>
      </c>
      <c r="AJ59" s="1" t="s">
        <v>32</v>
      </c>
      <c r="AK59" s="1" t="s">
        <v>32</v>
      </c>
      <c r="AL59" s="1" t="s">
        <v>32</v>
      </c>
      <c r="AM59" s="1">
        <v>0</v>
      </c>
      <c r="AN59" s="1" t="s">
        <v>1660</v>
      </c>
      <c r="AO59" s="1">
        <v>0</v>
      </c>
      <c r="AP59" s="1" t="s">
        <v>32</v>
      </c>
      <c r="AQ59" s="1" t="s">
        <v>32</v>
      </c>
      <c r="AR59" s="1" t="s">
        <v>1660</v>
      </c>
      <c r="AS59" s="1">
        <v>0</v>
      </c>
      <c r="AT59" s="1" t="s">
        <v>32</v>
      </c>
      <c r="AU59" s="1" t="s">
        <v>32</v>
      </c>
      <c r="AV59" s="1" t="s">
        <v>1658</v>
      </c>
      <c r="AW59" s="1">
        <v>4</v>
      </c>
      <c r="AX59" s="1" t="s">
        <v>1660</v>
      </c>
      <c r="AY59" s="1">
        <v>0</v>
      </c>
      <c r="AZ59" s="1" t="s">
        <v>1658</v>
      </c>
      <c r="BA59" s="1">
        <v>25</v>
      </c>
      <c r="BB59" s="1">
        <v>131</v>
      </c>
      <c r="BC59" s="1" t="s">
        <v>1658</v>
      </c>
      <c r="BD59" s="1">
        <v>25</v>
      </c>
      <c r="BE59" s="1" t="s">
        <v>32</v>
      </c>
      <c r="BF59" s="1">
        <v>0</v>
      </c>
      <c r="BG59" s="1" t="s">
        <v>1660</v>
      </c>
      <c r="BH59" s="1">
        <v>0</v>
      </c>
      <c r="BI59" s="1" t="s">
        <v>32</v>
      </c>
      <c r="BJ59" s="1" t="s">
        <v>32</v>
      </c>
      <c r="BK59" s="1" t="s">
        <v>1660</v>
      </c>
      <c r="BL59" s="1">
        <v>0</v>
      </c>
      <c r="BM59" s="1" t="s">
        <v>32</v>
      </c>
      <c r="BN59" s="1" t="s">
        <v>32</v>
      </c>
      <c r="BO59" s="1" t="s">
        <v>1660</v>
      </c>
      <c r="BP59" s="1">
        <v>0</v>
      </c>
      <c r="BQ59" s="1" t="s">
        <v>1660</v>
      </c>
      <c r="BR59" s="1">
        <v>0</v>
      </c>
      <c r="BS59" s="1" t="s">
        <v>1660</v>
      </c>
      <c r="BT59" s="1">
        <v>0</v>
      </c>
      <c r="BU59" s="1">
        <v>0</v>
      </c>
      <c r="BV59" s="1" t="s">
        <v>1660</v>
      </c>
      <c r="BW59" s="1"/>
      <c r="BX59" s="1"/>
      <c r="BY59" s="1" t="s">
        <v>1807</v>
      </c>
      <c r="BZ59" s="2" t="b">
        <f>OR( (Dashboard[[#This Row],[ref_as_hh]]&gt;=1),(Dashboard[[#This Row],[ret_as_hh]] &gt;=1), (Dashboard[[#This Row],[idp_as_hh]]&gt;=1))</f>
        <v>1</v>
      </c>
      <c r="CA59" s="2">
        <f>Dashboard[[#This Row],[ret_hi_hh]]</f>
        <v>25</v>
      </c>
      <c r="CB59" s="2">
        <f>Dashboard[[#This Row],[idp_fa_hh]]+Dashboard[[#This Row],[ref_fa_hh]]+Dashboard[[#This Row],[ret_fa_hh]]</f>
        <v>0</v>
      </c>
      <c r="CC59" s="2">
        <f>Dashboard[[#This Row],[idp_loc_hh]]+Dashboard[[#This Row],[ref_loc_hh]]+Dashboard[[#This Row],[ret_loc_hh]]</f>
        <v>0</v>
      </c>
      <c r="CD59" s="2">
        <f>Dashboard[[#This Row],[idp_cc_hh]]+Dashboard[[#This Row],[ref_cc_hh]]+Dashboard[[#This Row],[ret_cc_hh]]</f>
        <v>0</v>
      </c>
      <c r="CE59" s="2">
        <f>Dashboard[[#This Row],[idp_as_hh]]+Dashboard[[#This Row],[ref_as_hh]]+Dashboard[[#This Row],[ret_as_hh]]</f>
        <v>4</v>
      </c>
      <c r="CF59" s="2">
        <f>Dashboard[[#This Row],[idp_al_hh]]+Dashboard[[#This Row],[ref_al_hh]]+Dashboard[[#This Row],[ret_al_hh]]</f>
        <v>0</v>
      </c>
    </row>
    <row r="60" spans="1:84" x14ac:dyDescent="0.25">
      <c r="A60" s="27">
        <v>128</v>
      </c>
      <c r="B60" s="2" t="s">
        <v>22</v>
      </c>
      <c r="C60" s="2" t="s">
        <v>23</v>
      </c>
      <c r="D60" s="2" t="s">
        <v>85</v>
      </c>
      <c r="E60" s="2" t="s">
        <v>84</v>
      </c>
      <c r="F60" s="2" t="s">
        <v>175</v>
      </c>
      <c r="G60" s="2" t="s">
        <v>174</v>
      </c>
      <c r="H60" s="2" t="s">
        <v>1302</v>
      </c>
      <c r="I60" s="2" t="s">
        <v>463</v>
      </c>
      <c r="J60" s="2" t="s">
        <v>3132</v>
      </c>
      <c r="K60" s="2" t="s">
        <v>3133</v>
      </c>
      <c r="L60" s="2" t="s">
        <v>2074</v>
      </c>
      <c r="M60" s="2">
        <v>617</v>
      </c>
      <c r="N60" s="2" t="s">
        <v>1658</v>
      </c>
      <c r="O60" s="2">
        <v>37</v>
      </c>
      <c r="P60" s="2">
        <v>310</v>
      </c>
      <c r="Q60" s="2" t="s">
        <v>32</v>
      </c>
      <c r="R60" s="2">
        <v>0</v>
      </c>
      <c r="S60" s="2" t="s">
        <v>1660</v>
      </c>
      <c r="T60" s="2">
        <v>0</v>
      </c>
      <c r="U60" s="2" t="s">
        <v>32</v>
      </c>
      <c r="V60" s="2" t="s">
        <v>32</v>
      </c>
      <c r="W60" s="2" t="s">
        <v>1660</v>
      </c>
      <c r="X60" s="2">
        <v>0</v>
      </c>
      <c r="Y60" s="2" t="s">
        <v>32</v>
      </c>
      <c r="Z60" s="2" t="s">
        <v>32</v>
      </c>
      <c r="AA60" s="2" t="s">
        <v>1658</v>
      </c>
      <c r="AB60" s="2">
        <v>37</v>
      </c>
      <c r="AC60" s="2" t="s">
        <v>1660</v>
      </c>
      <c r="AD60" s="2">
        <v>0</v>
      </c>
      <c r="AE60" s="2" t="s">
        <v>1658</v>
      </c>
      <c r="AF60" s="2">
        <v>56</v>
      </c>
      <c r="AG60" s="2">
        <v>276</v>
      </c>
      <c r="AH60" s="2" t="s">
        <v>1658</v>
      </c>
      <c r="AI60" s="2" t="s">
        <v>85</v>
      </c>
      <c r="AJ60" s="2" t="s">
        <v>175</v>
      </c>
      <c r="AK60" s="2" t="s">
        <v>691</v>
      </c>
      <c r="AL60" s="2" t="s">
        <v>32</v>
      </c>
      <c r="AM60" s="2">
        <v>0</v>
      </c>
      <c r="AN60" s="2" t="s">
        <v>1660</v>
      </c>
      <c r="AO60" s="2">
        <v>0</v>
      </c>
      <c r="AP60" s="2" t="s">
        <v>32</v>
      </c>
      <c r="AQ60" s="2" t="s">
        <v>32</v>
      </c>
      <c r="AR60" s="2" t="s">
        <v>1660</v>
      </c>
      <c r="AS60" s="2">
        <v>0</v>
      </c>
      <c r="AT60" s="2" t="s">
        <v>32</v>
      </c>
      <c r="AU60" s="2" t="s">
        <v>32</v>
      </c>
      <c r="AV60" s="2" t="s">
        <v>1658</v>
      </c>
      <c r="AW60" s="2">
        <v>56</v>
      </c>
      <c r="AX60" s="2" t="s">
        <v>1660</v>
      </c>
      <c r="AY60" s="2">
        <v>0</v>
      </c>
      <c r="AZ60" s="2" t="s">
        <v>1660</v>
      </c>
      <c r="BA60" s="2">
        <v>0</v>
      </c>
      <c r="BB60" s="2">
        <v>0</v>
      </c>
      <c r="BC60" s="2" t="s">
        <v>32</v>
      </c>
      <c r="BD60" s="2">
        <v>0</v>
      </c>
      <c r="BE60" s="2" t="s">
        <v>32</v>
      </c>
      <c r="BF60" s="2">
        <v>0</v>
      </c>
      <c r="BG60" s="2" t="s">
        <v>32</v>
      </c>
      <c r="BH60" s="2">
        <v>0</v>
      </c>
      <c r="BI60" s="2" t="s">
        <v>32</v>
      </c>
      <c r="BJ60" s="2" t="s">
        <v>32</v>
      </c>
      <c r="BK60" s="2" t="s">
        <v>32</v>
      </c>
      <c r="BL60" s="2">
        <v>0</v>
      </c>
      <c r="BM60" s="2" t="s">
        <v>32</v>
      </c>
      <c r="BN60" s="2" t="s">
        <v>32</v>
      </c>
      <c r="BO60" s="2" t="s">
        <v>32</v>
      </c>
      <c r="BP60" s="2">
        <v>0</v>
      </c>
      <c r="BQ60" s="2" t="s">
        <v>32</v>
      </c>
      <c r="BR60" s="2">
        <v>0</v>
      </c>
      <c r="BS60" s="2" t="s">
        <v>1660</v>
      </c>
      <c r="BT60" s="2">
        <v>0</v>
      </c>
      <c r="BU60" s="2">
        <v>0</v>
      </c>
      <c r="BV60" s="2" t="s">
        <v>1660</v>
      </c>
      <c r="BW60" s="2"/>
      <c r="BX60" s="2"/>
      <c r="BY60" s="2" t="s">
        <v>1807</v>
      </c>
      <c r="BZ60" s="2" t="b">
        <f>OR( (Dashboard[[#This Row],[ref_as_hh]]&gt;=1),(Dashboard[[#This Row],[ret_as_hh]] &gt;=1), (Dashboard[[#This Row],[idp_as_hh]]&gt;=1))</f>
        <v>1</v>
      </c>
      <c r="CA60" s="2">
        <f>Dashboard[[#This Row],[ret_hi_hh]]</f>
        <v>0</v>
      </c>
      <c r="CB60" s="2">
        <f>Dashboard[[#This Row],[idp_fa_hh]]+Dashboard[[#This Row],[ref_fa_hh]]+Dashboard[[#This Row],[ret_fa_hh]]</f>
        <v>0</v>
      </c>
      <c r="CC60" s="2">
        <f>Dashboard[[#This Row],[idp_loc_hh]]+Dashboard[[#This Row],[ref_loc_hh]]+Dashboard[[#This Row],[ret_loc_hh]]</f>
        <v>0</v>
      </c>
      <c r="CD60" s="2">
        <f>Dashboard[[#This Row],[idp_cc_hh]]+Dashboard[[#This Row],[ref_cc_hh]]+Dashboard[[#This Row],[ret_cc_hh]]</f>
        <v>0</v>
      </c>
      <c r="CE60" s="2">
        <f>Dashboard[[#This Row],[idp_as_hh]]+Dashboard[[#This Row],[ref_as_hh]]+Dashboard[[#This Row],[ret_as_hh]]</f>
        <v>93</v>
      </c>
      <c r="CF60" s="2">
        <f>Dashboard[[#This Row],[idp_al_hh]]+Dashboard[[#This Row],[ref_al_hh]]+Dashboard[[#This Row],[ret_al_hh]]</f>
        <v>0</v>
      </c>
    </row>
    <row r="61" spans="1:84" hidden="1" x14ac:dyDescent="0.25">
      <c r="A61" s="27">
        <v>156</v>
      </c>
      <c r="B61" s="2" t="s">
        <v>22</v>
      </c>
      <c r="C61" s="2" t="s">
        <v>23</v>
      </c>
      <c r="D61" s="2" t="s">
        <v>85</v>
      </c>
      <c r="E61" s="2" t="s">
        <v>84</v>
      </c>
      <c r="F61" s="2" t="s">
        <v>175</v>
      </c>
      <c r="G61" s="2" t="s">
        <v>174</v>
      </c>
      <c r="H61" s="2" t="s">
        <v>1663</v>
      </c>
      <c r="I61" s="2" t="s">
        <v>829</v>
      </c>
      <c r="J61" s="2" t="s">
        <v>3134</v>
      </c>
      <c r="K61" s="2" t="s">
        <v>3135</v>
      </c>
      <c r="L61" s="2" t="s">
        <v>2074</v>
      </c>
      <c r="M61" s="2">
        <v>0</v>
      </c>
      <c r="N61" s="2" t="s">
        <v>1660</v>
      </c>
      <c r="O61" s="2">
        <v>0</v>
      </c>
      <c r="P61" s="2">
        <v>0</v>
      </c>
      <c r="Q61" s="2" t="s">
        <v>32</v>
      </c>
      <c r="R61" s="2">
        <v>0</v>
      </c>
      <c r="S61" s="2" t="s">
        <v>32</v>
      </c>
      <c r="T61" s="2">
        <v>0</v>
      </c>
      <c r="U61" s="2" t="s">
        <v>32</v>
      </c>
      <c r="V61" s="2" t="s">
        <v>32</v>
      </c>
      <c r="W61" s="1" t="s">
        <v>32</v>
      </c>
      <c r="X61" s="1">
        <v>0</v>
      </c>
      <c r="Y61" s="1" t="s">
        <v>32</v>
      </c>
      <c r="Z61" s="1" t="s">
        <v>32</v>
      </c>
      <c r="AA61" s="1" t="s">
        <v>32</v>
      </c>
      <c r="AB61" s="1">
        <v>0</v>
      </c>
      <c r="AC61" s="1" t="s">
        <v>32</v>
      </c>
      <c r="AD61" s="1">
        <v>0</v>
      </c>
      <c r="AE61" s="1" t="s">
        <v>1660</v>
      </c>
      <c r="AF61" s="1">
        <v>0</v>
      </c>
      <c r="AG61" s="1">
        <v>0</v>
      </c>
      <c r="AH61" s="1" t="s">
        <v>32</v>
      </c>
      <c r="AI61" s="1" t="s">
        <v>32</v>
      </c>
      <c r="AJ61" s="1" t="s">
        <v>32</v>
      </c>
      <c r="AK61" s="1" t="s">
        <v>32</v>
      </c>
      <c r="AL61" s="1" t="s">
        <v>32</v>
      </c>
      <c r="AM61" s="1">
        <v>0</v>
      </c>
      <c r="AN61" s="1" t="s">
        <v>32</v>
      </c>
      <c r="AO61" s="1">
        <v>0</v>
      </c>
      <c r="AP61" s="1" t="s">
        <v>32</v>
      </c>
      <c r="AQ61" s="1" t="s">
        <v>32</v>
      </c>
      <c r="AR61" s="1" t="s">
        <v>32</v>
      </c>
      <c r="AS61" s="1">
        <v>0</v>
      </c>
      <c r="AT61" s="1" t="s">
        <v>32</v>
      </c>
      <c r="AU61" s="1" t="s">
        <v>32</v>
      </c>
      <c r="AV61" s="1" t="s">
        <v>32</v>
      </c>
      <c r="AW61" s="1">
        <v>0</v>
      </c>
      <c r="AX61" s="1" t="s">
        <v>32</v>
      </c>
      <c r="AY61" s="1">
        <v>0</v>
      </c>
      <c r="AZ61" s="1" t="s">
        <v>1660</v>
      </c>
      <c r="BA61" s="1">
        <v>0</v>
      </c>
      <c r="BB61" s="1">
        <v>0</v>
      </c>
      <c r="BC61" s="1" t="s">
        <v>32</v>
      </c>
      <c r="BD61" s="1">
        <v>0</v>
      </c>
      <c r="BE61" s="1" t="s">
        <v>32</v>
      </c>
      <c r="BF61" s="1">
        <v>0</v>
      </c>
      <c r="BG61" s="1" t="s">
        <v>32</v>
      </c>
      <c r="BH61" s="1">
        <v>0</v>
      </c>
      <c r="BI61" s="1" t="s">
        <v>32</v>
      </c>
      <c r="BJ61" s="1" t="s">
        <v>32</v>
      </c>
      <c r="BK61" s="1" t="s">
        <v>32</v>
      </c>
      <c r="BL61" s="1">
        <v>0</v>
      </c>
      <c r="BM61" s="1" t="s">
        <v>32</v>
      </c>
      <c r="BN61" s="1" t="s">
        <v>32</v>
      </c>
      <c r="BO61" s="1" t="s">
        <v>32</v>
      </c>
      <c r="BP61" s="1">
        <v>0</v>
      </c>
      <c r="BQ61" s="1" t="s">
        <v>32</v>
      </c>
      <c r="BR61" s="1">
        <v>0</v>
      </c>
      <c r="BS61" s="1" t="s">
        <v>1660</v>
      </c>
      <c r="BT61" s="1">
        <v>0</v>
      </c>
      <c r="BU61" s="1">
        <v>0</v>
      </c>
      <c r="BV61" s="1" t="s">
        <v>1660</v>
      </c>
      <c r="BW61" s="1"/>
      <c r="BX61" s="1"/>
      <c r="BY61" s="1" t="s">
        <v>1807</v>
      </c>
      <c r="BZ61" s="2" t="b">
        <f>OR( (Dashboard[[#This Row],[ref_as_hh]]&gt;=1),(Dashboard[[#This Row],[ret_as_hh]] &gt;=1), (Dashboard[[#This Row],[idp_as_hh]]&gt;=1))</f>
        <v>0</v>
      </c>
      <c r="CA61" s="2">
        <f>Dashboard[[#This Row],[ret_hi_hh]]</f>
        <v>0</v>
      </c>
      <c r="CB61" s="2">
        <f>Dashboard[[#This Row],[idp_fa_hh]]+Dashboard[[#This Row],[ref_fa_hh]]+Dashboard[[#This Row],[ret_fa_hh]]</f>
        <v>0</v>
      </c>
      <c r="CC61" s="2">
        <f>Dashboard[[#This Row],[idp_loc_hh]]+Dashboard[[#This Row],[ref_loc_hh]]+Dashboard[[#This Row],[ret_loc_hh]]</f>
        <v>0</v>
      </c>
      <c r="CD61" s="2">
        <f>Dashboard[[#This Row],[idp_cc_hh]]+Dashboard[[#This Row],[ref_cc_hh]]+Dashboard[[#This Row],[ret_cc_hh]]</f>
        <v>0</v>
      </c>
      <c r="CE61" s="2">
        <f>Dashboard[[#This Row],[idp_as_hh]]+Dashboard[[#This Row],[ref_as_hh]]+Dashboard[[#This Row],[ret_as_hh]]</f>
        <v>0</v>
      </c>
      <c r="CF61" s="2">
        <f>Dashboard[[#This Row],[idp_al_hh]]+Dashboard[[#This Row],[ref_al_hh]]+Dashboard[[#This Row],[ret_al_hh]]</f>
        <v>0</v>
      </c>
    </row>
    <row r="62" spans="1:84" x14ac:dyDescent="0.25">
      <c r="A62" s="27">
        <v>415</v>
      </c>
      <c r="B62" s="2" t="s">
        <v>22</v>
      </c>
      <c r="C62" s="2" t="s">
        <v>23</v>
      </c>
      <c r="D62" s="2" t="s">
        <v>85</v>
      </c>
      <c r="E62" s="2" t="s">
        <v>84</v>
      </c>
      <c r="F62" s="2" t="s">
        <v>175</v>
      </c>
      <c r="G62" s="2" t="s">
        <v>174</v>
      </c>
      <c r="H62" s="2" t="s">
        <v>1526</v>
      </c>
      <c r="I62" s="2" t="s">
        <v>177</v>
      </c>
      <c r="J62" s="2" t="s">
        <v>3140</v>
      </c>
      <c r="K62" s="2" t="s">
        <v>3141</v>
      </c>
      <c r="L62" s="2" t="s">
        <v>2074</v>
      </c>
      <c r="M62" s="2">
        <v>396</v>
      </c>
      <c r="N62" s="2" t="s">
        <v>1660</v>
      </c>
      <c r="O62" s="2">
        <v>0</v>
      </c>
      <c r="P62" s="2">
        <v>0</v>
      </c>
      <c r="Q62" s="2" t="s">
        <v>32</v>
      </c>
      <c r="R62" s="2">
        <v>0</v>
      </c>
      <c r="S62" s="2" t="s">
        <v>32</v>
      </c>
      <c r="T62" s="2">
        <v>0</v>
      </c>
      <c r="U62" s="2" t="s">
        <v>32</v>
      </c>
      <c r="V62" s="2" t="s">
        <v>32</v>
      </c>
      <c r="W62" s="1" t="s">
        <v>32</v>
      </c>
      <c r="X62" s="1">
        <v>0</v>
      </c>
      <c r="Y62" s="1" t="s">
        <v>32</v>
      </c>
      <c r="Z62" s="1" t="s">
        <v>32</v>
      </c>
      <c r="AA62" s="1" t="s">
        <v>32</v>
      </c>
      <c r="AB62" s="1">
        <v>0</v>
      </c>
      <c r="AC62" s="1" t="s">
        <v>32</v>
      </c>
      <c r="AD62" s="1">
        <v>0</v>
      </c>
      <c r="AE62" s="1" t="s">
        <v>1658</v>
      </c>
      <c r="AF62" s="1">
        <v>6</v>
      </c>
      <c r="AG62" s="1">
        <v>20</v>
      </c>
      <c r="AH62" s="1" t="s">
        <v>1660</v>
      </c>
      <c r="AI62" s="1" t="s">
        <v>32</v>
      </c>
      <c r="AJ62" s="1" t="s">
        <v>32</v>
      </c>
      <c r="AK62" s="1" t="s">
        <v>32</v>
      </c>
      <c r="AL62" s="1" t="s">
        <v>32</v>
      </c>
      <c r="AM62" s="1">
        <v>0</v>
      </c>
      <c r="AN62" s="1" t="s">
        <v>1660</v>
      </c>
      <c r="AO62" s="1">
        <v>0</v>
      </c>
      <c r="AP62" s="1" t="s">
        <v>32</v>
      </c>
      <c r="AQ62" s="1" t="s">
        <v>32</v>
      </c>
      <c r="AR62" s="1" t="s">
        <v>1660</v>
      </c>
      <c r="AS62" s="1">
        <v>0</v>
      </c>
      <c r="AT62" s="1" t="s">
        <v>32</v>
      </c>
      <c r="AU62" s="1" t="s">
        <v>32</v>
      </c>
      <c r="AV62" s="1" t="s">
        <v>1658</v>
      </c>
      <c r="AW62" s="1">
        <v>6</v>
      </c>
      <c r="AX62" s="1" t="s">
        <v>1660</v>
      </c>
      <c r="AY62" s="1">
        <v>0</v>
      </c>
      <c r="AZ62" s="1" t="s">
        <v>1658</v>
      </c>
      <c r="BA62" s="1">
        <v>62</v>
      </c>
      <c r="BB62" s="1">
        <v>350</v>
      </c>
      <c r="BC62" s="1" t="s">
        <v>1658</v>
      </c>
      <c r="BD62" s="1">
        <v>62</v>
      </c>
      <c r="BE62" s="1" t="s">
        <v>32</v>
      </c>
      <c r="BF62" s="1">
        <v>0</v>
      </c>
      <c r="BG62" s="1" t="s">
        <v>1660</v>
      </c>
      <c r="BH62" s="1">
        <v>0</v>
      </c>
      <c r="BI62" s="1" t="s">
        <v>32</v>
      </c>
      <c r="BJ62" s="1" t="s">
        <v>32</v>
      </c>
      <c r="BK62" s="1" t="s">
        <v>1660</v>
      </c>
      <c r="BL62" s="1">
        <v>0</v>
      </c>
      <c r="BM62" s="1" t="s">
        <v>32</v>
      </c>
      <c r="BN62" s="1" t="s">
        <v>32</v>
      </c>
      <c r="BO62" s="1" t="s">
        <v>1660</v>
      </c>
      <c r="BP62" s="1">
        <v>0</v>
      </c>
      <c r="BQ62" s="1" t="s">
        <v>1660</v>
      </c>
      <c r="BR62" s="1">
        <v>0</v>
      </c>
      <c r="BS62" s="1" t="s">
        <v>1658</v>
      </c>
      <c r="BT62" s="1">
        <v>3</v>
      </c>
      <c r="BU62" s="1">
        <v>8</v>
      </c>
      <c r="BV62" s="1" t="s">
        <v>1660</v>
      </c>
      <c r="BW62" s="1"/>
      <c r="BX62" s="1"/>
      <c r="BY62" s="1" t="s">
        <v>1807</v>
      </c>
      <c r="BZ62" s="2" t="b">
        <f>OR( (Dashboard[[#This Row],[ref_as_hh]]&gt;=1),(Dashboard[[#This Row],[ret_as_hh]] &gt;=1), (Dashboard[[#This Row],[idp_as_hh]]&gt;=1))</f>
        <v>1</v>
      </c>
      <c r="CA62" s="2">
        <f>Dashboard[[#This Row],[ret_hi_hh]]</f>
        <v>62</v>
      </c>
      <c r="CB62" s="2">
        <f>Dashboard[[#This Row],[idp_fa_hh]]+Dashboard[[#This Row],[ref_fa_hh]]+Dashboard[[#This Row],[ret_fa_hh]]</f>
        <v>0</v>
      </c>
      <c r="CC62" s="2">
        <f>Dashboard[[#This Row],[idp_loc_hh]]+Dashboard[[#This Row],[ref_loc_hh]]+Dashboard[[#This Row],[ret_loc_hh]]</f>
        <v>0</v>
      </c>
      <c r="CD62" s="2">
        <f>Dashboard[[#This Row],[idp_cc_hh]]+Dashboard[[#This Row],[ref_cc_hh]]+Dashboard[[#This Row],[ret_cc_hh]]</f>
        <v>0</v>
      </c>
      <c r="CE62" s="2">
        <f>Dashboard[[#This Row],[idp_as_hh]]+Dashboard[[#This Row],[ref_as_hh]]+Dashboard[[#This Row],[ret_as_hh]]</f>
        <v>6</v>
      </c>
      <c r="CF62" s="2">
        <f>Dashboard[[#This Row],[idp_al_hh]]+Dashboard[[#This Row],[ref_al_hh]]+Dashboard[[#This Row],[ret_al_hh]]</f>
        <v>0</v>
      </c>
    </row>
    <row r="63" spans="1:84" x14ac:dyDescent="0.25">
      <c r="A63" s="27">
        <v>214</v>
      </c>
      <c r="B63" s="2" t="s">
        <v>22</v>
      </c>
      <c r="C63" s="2" t="s">
        <v>23</v>
      </c>
      <c r="D63" s="2" t="s">
        <v>85</v>
      </c>
      <c r="E63" s="2" t="s">
        <v>84</v>
      </c>
      <c r="F63" s="2" t="s">
        <v>175</v>
      </c>
      <c r="G63" s="2" t="s">
        <v>174</v>
      </c>
      <c r="H63" s="2" t="s">
        <v>1530</v>
      </c>
      <c r="I63" s="2" t="s">
        <v>635</v>
      </c>
      <c r="J63" s="2" t="s">
        <v>3160</v>
      </c>
      <c r="K63" s="2" t="s">
        <v>3161</v>
      </c>
      <c r="L63" s="2" t="s">
        <v>3693</v>
      </c>
      <c r="M63" s="2">
        <v>1014</v>
      </c>
      <c r="N63" s="2" t="s">
        <v>1660</v>
      </c>
      <c r="O63" s="2">
        <v>0</v>
      </c>
      <c r="P63" s="2">
        <v>0</v>
      </c>
      <c r="Q63" s="2" t="s">
        <v>32</v>
      </c>
      <c r="R63" s="2">
        <v>0</v>
      </c>
      <c r="S63" s="2" t="s">
        <v>32</v>
      </c>
      <c r="T63" s="2">
        <v>0</v>
      </c>
      <c r="U63" s="2" t="s">
        <v>32</v>
      </c>
      <c r="V63" s="2" t="s">
        <v>32</v>
      </c>
      <c r="W63" s="1" t="s">
        <v>32</v>
      </c>
      <c r="X63" s="1">
        <v>0</v>
      </c>
      <c r="Y63" s="1" t="s">
        <v>32</v>
      </c>
      <c r="Z63" s="1" t="s">
        <v>32</v>
      </c>
      <c r="AA63" s="1" t="s">
        <v>32</v>
      </c>
      <c r="AB63" s="1">
        <v>0</v>
      </c>
      <c r="AC63" s="1" t="s">
        <v>32</v>
      </c>
      <c r="AD63" s="1">
        <v>0</v>
      </c>
      <c r="AE63" s="1" t="s">
        <v>1658</v>
      </c>
      <c r="AF63" s="1">
        <v>49</v>
      </c>
      <c r="AG63" s="1">
        <v>209</v>
      </c>
      <c r="AH63" s="1" t="s">
        <v>1660</v>
      </c>
      <c r="AI63" s="1" t="s">
        <v>32</v>
      </c>
      <c r="AJ63" s="1" t="s">
        <v>32</v>
      </c>
      <c r="AK63" s="1" t="s">
        <v>32</v>
      </c>
      <c r="AL63" s="1" t="s">
        <v>32</v>
      </c>
      <c r="AM63" s="1">
        <v>0</v>
      </c>
      <c r="AN63" s="1" t="s">
        <v>1660</v>
      </c>
      <c r="AO63" s="1">
        <v>0</v>
      </c>
      <c r="AP63" s="1" t="s">
        <v>32</v>
      </c>
      <c r="AQ63" s="1" t="s">
        <v>32</v>
      </c>
      <c r="AR63" s="1" t="s">
        <v>1660</v>
      </c>
      <c r="AS63" s="1">
        <v>0</v>
      </c>
      <c r="AT63" s="1" t="s">
        <v>32</v>
      </c>
      <c r="AU63" s="1" t="s">
        <v>32</v>
      </c>
      <c r="AV63" s="1" t="s">
        <v>1658</v>
      </c>
      <c r="AW63" s="1">
        <v>49</v>
      </c>
      <c r="AX63" s="1" t="s">
        <v>1660</v>
      </c>
      <c r="AY63" s="1">
        <v>0</v>
      </c>
      <c r="AZ63" s="1" t="s">
        <v>1658</v>
      </c>
      <c r="BA63" s="1">
        <v>101</v>
      </c>
      <c r="BB63" s="1">
        <v>513</v>
      </c>
      <c r="BC63" s="1" t="s">
        <v>1658</v>
      </c>
      <c r="BD63" s="1">
        <v>101</v>
      </c>
      <c r="BE63" s="1" t="s">
        <v>32</v>
      </c>
      <c r="BF63" s="1">
        <v>0</v>
      </c>
      <c r="BG63" s="1" t="s">
        <v>1660</v>
      </c>
      <c r="BH63" s="1">
        <v>0</v>
      </c>
      <c r="BI63" s="1" t="s">
        <v>32</v>
      </c>
      <c r="BJ63" s="1" t="s">
        <v>32</v>
      </c>
      <c r="BK63" s="1" t="s">
        <v>1660</v>
      </c>
      <c r="BL63" s="1">
        <v>0</v>
      </c>
      <c r="BM63" s="1" t="s">
        <v>32</v>
      </c>
      <c r="BN63" s="1" t="s">
        <v>32</v>
      </c>
      <c r="BO63" s="1" t="s">
        <v>1660</v>
      </c>
      <c r="BP63" s="1">
        <v>0</v>
      </c>
      <c r="BQ63" s="1" t="s">
        <v>1660</v>
      </c>
      <c r="BR63" s="1">
        <v>0</v>
      </c>
      <c r="BS63" s="1" t="s">
        <v>1660</v>
      </c>
      <c r="BT63" s="1">
        <v>0</v>
      </c>
      <c r="BU63" s="1">
        <v>0</v>
      </c>
      <c r="BV63" s="1" t="s">
        <v>1660</v>
      </c>
      <c r="BW63" s="1"/>
      <c r="BX63" s="1"/>
      <c r="BY63" s="1" t="s">
        <v>1807</v>
      </c>
      <c r="BZ63" s="2" t="b">
        <f>OR( (Dashboard[[#This Row],[ref_as_hh]]&gt;=1),(Dashboard[[#This Row],[ret_as_hh]] &gt;=1), (Dashboard[[#This Row],[idp_as_hh]]&gt;=1))</f>
        <v>1</v>
      </c>
      <c r="CA63" s="2">
        <f>Dashboard[[#This Row],[ret_hi_hh]]</f>
        <v>101</v>
      </c>
      <c r="CB63" s="2">
        <f>Dashboard[[#This Row],[idp_fa_hh]]+Dashboard[[#This Row],[ref_fa_hh]]+Dashboard[[#This Row],[ret_fa_hh]]</f>
        <v>0</v>
      </c>
      <c r="CC63" s="2">
        <f>Dashboard[[#This Row],[idp_loc_hh]]+Dashboard[[#This Row],[ref_loc_hh]]+Dashboard[[#This Row],[ret_loc_hh]]</f>
        <v>0</v>
      </c>
      <c r="CD63" s="2">
        <f>Dashboard[[#This Row],[idp_cc_hh]]+Dashboard[[#This Row],[ref_cc_hh]]+Dashboard[[#This Row],[ret_cc_hh]]</f>
        <v>0</v>
      </c>
      <c r="CE63" s="2">
        <f>Dashboard[[#This Row],[idp_as_hh]]+Dashboard[[#This Row],[ref_as_hh]]+Dashboard[[#This Row],[ret_as_hh]]</f>
        <v>49</v>
      </c>
      <c r="CF63" s="2">
        <f>Dashboard[[#This Row],[idp_al_hh]]+Dashboard[[#This Row],[ref_al_hh]]+Dashboard[[#This Row],[ret_al_hh]]</f>
        <v>0</v>
      </c>
    </row>
    <row r="64" spans="1:84" x14ac:dyDescent="0.25">
      <c r="A64" s="27">
        <v>733</v>
      </c>
      <c r="B64" s="2" t="s">
        <v>22</v>
      </c>
      <c r="C64" s="2" t="s">
        <v>23</v>
      </c>
      <c r="D64" s="2" t="s">
        <v>85</v>
      </c>
      <c r="E64" s="2" t="s">
        <v>84</v>
      </c>
      <c r="F64" s="2" t="s">
        <v>175</v>
      </c>
      <c r="G64" s="2" t="s">
        <v>174</v>
      </c>
      <c r="H64" s="2" t="s">
        <v>1528</v>
      </c>
      <c r="I64" s="2" t="s">
        <v>832</v>
      </c>
      <c r="J64" s="2" t="s">
        <v>3150</v>
      </c>
      <c r="K64" s="2" t="s">
        <v>3151</v>
      </c>
      <c r="L64" s="2" t="s">
        <v>3693</v>
      </c>
      <c r="M64" s="2">
        <v>234</v>
      </c>
      <c r="N64" s="2" t="s">
        <v>1660</v>
      </c>
      <c r="O64" s="2">
        <v>0</v>
      </c>
      <c r="P64" s="2">
        <v>0</v>
      </c>
      <c r="Q64" s="2" t="s">
        <v>32</v>
      </c>
      <c r="R64" s="2">
        <v>0</v>
      </c>
      <c r="S64" s="2" t="s">
        <v>32</v>
      </c>
      <c r="T64" s="2">
        <v>0</v>
      </c>
      <c r="U64" s="2" t="s">
        <v>32</v>
      </c>
      <c r="V64" s="2" t="s">
        <v>32</v>
      </c>
      <c r="W64" s="1" t="s">
        <v>32</v>
      </c>
      <c r="X64" s="1">
        <v>0</v>
      </c>
      <c r="Y64" s="1" t="s">
        <v>32</v>
      </c>
      <c r="Z64" s="1" t="s">
        <v>32</v>
      </c>
      <c r="AA64" s="1" t="s">
        <v>32</v>
      </c>
      <c r="AB64" s="1">
        <v>0</v>
      </c>
      <c r="AC64" s="1" t="s">
        <v>32</v>
      </c>
      <c r="AD64" s="1">
        <v>0</v>
      </c>
      <c r="AE64" s="1" t="s">
        <v>1658</v>
      </c>
      <c r="AF64" s="1">
        <v>27</v>
      </c>
      <c r="AG64" s="1">
        <v>159</v>
      </c>
      <c r="AH64" s="1" t="s">
        <v>1660</v>
      </c>
      <c r="AI64" s="1" t="s">
        <v>32</v>
      </c>
      <c r="AJ64" s="1" t="s">
        <v>32</v>
      </c>
      <c r="AK64" s="1" t="s">
        <v>32</v>
      </c>
      <c r="AL64" s="1" t="s">
        <v>32</v>
      </c>
      <c r="AM64" s="1">
        <v>0</v>
      </c>
      <c r="AN64" s="1" t="s">
        <v>1660</v>
      </c>
      <c r="AO64" s="1">
        <v>0</v>
      </c>
      <c r="AP64" s="1" t="s">
        <v>32</v>
      </c>
      <c r="AQ64" s="1" t="s">
        <v>32</v>
      </c>
      <c r="AR64" s="1" t="s">
        <v>1660</v>
      </c>
      <c r="AS64" s="1">
        <v>0</v>
      </c>
      <c r="AT64" s="1" t="s">
        <v>32</v>
      </c>
      <c r="AU64" s="1" t="s">
        <v>32</v>
      </c>
      <c r="AV64" s="1" t="s">
        <v>1658</v>
      </c>
      <c r="AW64" s="1">
        <v>27</v>
      </c>
      <c r="AX64" s="1" t="s">
        <v>1660</v>
      </c>
      <c r="AY64" s="1">
        <v>0</v>
      </c>
      <c r="AZ64" s="1" t="s">
        <v>1660</v>
      </c>
      <c r="BA64" s="1">
        <v>0</v>
      </c>
      <c r="BB64" s="1">
        <v>0</v>
      </c>
      <c r="BC64" s="1" t="s">
        <v>32</v>
      </c>
      <c r="BD64" s="1">
        <v>0</v>
      </c>
      <c r="BE64" s="1" t="s">
        <v>32</v>
      </c>
      <c r="BF64" s="1">
        <v>0</v>
      </c>
      <c r="BG64" s="1" t="s">
        <v>32</v>
      </c>
      <c r="BH64" s="1">
        <v>0</v>
      </c>
      <c r="BI64" s="1" t="s">
        <v>32</v>
      </c>
      <c r="BJ64" s="1" t="s">
        <v>32</v>
      </c>
      <c r="BK64" s="1" t="s">
        <v>32</v>
      </c>
      <c r="BL64" s="1">
        <v>0</v>
      </c>
      <c r="BM64" s="1" t="s">
        <v>32</v>
      </c>
      <c r="BN64" s="1" t="s">
        <v>32</v>
      </c>
      <c r="BO64" s="1" t="s">
        <v>32</v>
      </c>
      <c r="BP64" s="1">
        <v>0</v>
      </c>
      <c r="BQ64" s="1" t="s">
        <v>32</v>
      </c>
      <c r="BR64" s="1">
        <v>0</v>
      </c>
      <c r="BS64" s="1" t="s">
        <v>1660</v>
      </c>
      <c r="BT64" s="1">
        <v>0</v>
      </c>
      <c r="BU64" s="1">
        <v>0</v>
      </c>
      <c r="BV64" s="1" t="s">
        <v>1660</v>
      </c>
      <c r="BW64" s="1"/>
      <c r="BX64" s="1"/>
      <c r="BY64" s="1" t="s">
        <v>1807</v>
      </c>
      <c r="BZ64" s="2" t="b">
        <f>OR( (Dashboard[[#This Row],[ref_as_hh]]&gt;=1),(Dashboard[[#This Row],[ret_as_hh]] &gt;=1), (Dashboard[[#This Row],[idp_as_hh]]&gt;=1))</f>
        <v>1</v>
      </c>
      <c r="CA64" s="2">
        <f>Dashboard[[#This Row],[ret_hi_hh]]</f>
        <v>0</v>
      </c>
      <c r="CB64" s="2">
        <f>Dashboard[[#This Row],[idp_fa_hh]]+Dashboard[[#This Row],[ref_fa_hh]]+Dashboard[[#This Row],[ret_fa_hh]]</f>
        <v>0</v>
      </c>
      <c r="CC64" s="2">
        <f>Dashboard[[#This Row],[idp_loc_hh]]+Dashboard[[#This Row],[ref_loc_hh]]+Dashboard[[#This Row],[ret_loc_hh]]</f>
        <v>0</v>
      </c>
      <c r="CD64" s="2">
        <f>Dashboard[[#This Row],[idp_cc_hh]]+Dashboard[[#This Row],[ref_cc_hh]]+Dashboard[[#This Row],[ret_cc_hh]]</f>
        <v>0</v>
      </c>
      <c r="CE64" s="2">
        <f>Dashboard[[#This Row],[idp_as_hh]]+Dashboard[[#This Row],[ref_as_hh]]+Dashboard[[#This Row],[ret_as_hh]]</f>
        <v>27</v>
      </c>
      <c r="CF64" s="2">
        <f>Dashboard[[#This Row],[idp_al_hh]]+Dashboard[[#This Row],[ref_al_hh]]+Dashboard[[#This Row],[ret_al_hh]]</f>
        <v>0</v>
      </c>
    </row>
    <row r="65" spans="1:84" x14ac:dyDescent="0.25">
      <c r="A65" s="27">
        <v>735</v>
      </c>
      <c r="B65" s="2" t="s">
        <v>22</v>
      </c>
      <c r="C65" s="2" t="s">
        <v>23</v>
      </c>
      <c r="D65" s="2" t="s">
        <v>85</v>
      </c>
      <c r="E65" s="2" t="s">
        <v>84</v>
      </c>
      <c r="F65" s="2" t="s">
        <v>175</v>
      </c>
      <c r="G65" s="2" t="s">
        <v>174</v>
      </c>
      <c r="H65" s="2" t="s">
        <v>1529</v>
      </c>
      <c r="I65" s="2" t="s">
        <v>831</v>
      </c>
      <c r="J65" s="2" t="s">
        <v>3158</v>
      </c>
      <c r="K65" s="2" t="s">
        <v>3159</v>
      </c>
      <c r="L65" s="2" t="s">
        <v>3693</v>
      </c>
      <c r="M65" s="2">
        <v>260</v>
      </c>
      <c r="N65" s="2" t="s">
        <v>1660</v>
      </c>
      <c r="O65" s="2">
        <v>0</v>
      </c>
      <c r="P65" s="2">
        <v>0</v>
      </c>
      <c r="Q65" s="2" t="s">
        <v>32</v>
      </c>
      <c r="R65" s="2">
        <v>0</v>
      </c>
      <c r="S65" s="2" t="s">
        <v>32</v>
      </c>
      <c r="T65" s="2">
        <v>0</v>
      </c>
      <c r="U65" s="2" t="s">
        <v>32</v>
      </c>
      <c r="V65" s="2" t="s">
        <v>32</v>
      </c>
      <c r="W65" s="1" t="s">
        <v>32</v>
      </c>
      <c r="X65" s="1">
        <v>0</v>
      </c>
      <c r="Y65" s="1" t="s">
        <v>32</v>
      </c>
      <c r="Z65" s="1" t="s">
        <v>32</v>
      </c>
      <c r="AA65" s="1" t="s">
        <v>32</v>
      </c>
      <c r="AB65" s="1">
        <v>0</v>
      </c>
      <c r="AC65" s="1" t="s">
        <v>32</v>
      </c>
      <c r="AD65" s="1">
        <v>0</v>
      </c>
      <c r="AE65" s="1" t="s">
        <v>1658</v>
      </c>
      <c r="AF65" s="1">
        <v>40</v>
      </c>
      <c r="AG65" s="1">
        <v>260</v>
      </c>
      <c r="AH65" s="1" t="s">
        <v>1658</v>
      </c>
      <c r="AI65" s="1" t="s">
        <v>85</v>
      </c>
      <c r="AJ65" s="1" t="s">
        <v>175</v>
      </c>
      <c r="AK65" s="1" t="s">
        <v>179</v>
      </c>
      <c r="AL65" s="1" t="s">
        <v>32</v>
      </c>
      <c r="AM65" s="1">
        <v>0</v>
      </c>
      <c r="AN65" s="1" t="s">
        <v>1660</v>
      </c>
      <c r="AO65" s="1">
        <v>0</v>
      </c>
      <c r="AP65" s="1" t="s">
        <v>32</v>
      </c>
      <c r="AQ65" s="1" t="s">
        <v>32</v>
      </c>
      <c r="AR65" s="1" t="s">
        <v>1660</v>
      </c>
      <c r="AS65" s="1">
        <v>0</v>
      </c>
      <c r="AT65" s="1" t="s">
        <v>32</v>
      </c>
      <c r="AU65" s="1" t="s">
        <v>32</v>
      </c>
      <c r="AV65" s="1" t="s">
        <v>1658</v>
      </c>
      <c r="AW65" s="1">
        <v>40</v>
      </c>
      <c r="AX65" s="1" t="s">
        <v>1660</v>
      </c>
      <c r="AY65" s="1">
        <v>0</v>
      </c>
      <c r="AZ65" s="1" t="s">
        <v>1660</v>
      </c>
      <c r="BA65" s="1">
        <v>0</v>
      </c>
      <c r="BB65" s="1">
        <v>0</v>
      </c>
      <c r="BC65" s="1" t="s">
        <v>32</v>
      </c>
      <c r="BD65" s="1">
        <v>0</v>
      </c>
      <c r="BE65" s="1" t="s">
        <v>32</v>
      </c>
      <c r="BF65" s="1">
        <v>0</v>
      </c>
      <c r="BG65" s="1" t="s">
        <v>32</v>
      </c>
      <c r="BH65" s="1">
        <v>0</v>
      </c>
      <c r="BI65" s="1" t="s">
        <v>32</v>
      </c>
      <c r="BJ65" s="1" t="s">
        <v>32</v>
      </c>
      <c r="BK65" s="1" t="s">
        <v>32</v>
      </c>
      <c r="BL65" s="1">
        <v>0</v>
      </c>
      <c r="BM65" s="1" t="s">
        <v>32</v>
      </c>
      <c r="BN65" s="1" t="s">
        <v>32</v>
      </c>
      <c r="BO65" s="1" t="s">
        <v>32</v>
      </c>
      <c r="BP65" s="1">
        <v>0</v>
      </c>
      <c r="BQ65" s="1" t="s">
        <v>32</v>
      </c>
      <c r="BR65" s="1">
        <v>0</v>
      </c>
      <c r="BS65" s="1" t="s">
        <v>1660</v>
      </c>
      <c r="BT65" s="1">
        <v>0</v>
      </c>
      <c r="BU65" s="1">
        <v>0</v>
      </c>
      <c r="BV65" s="1" t="s">
        <v>1660</v>
      </c>
      <c r="BW65" s="1"/>
      <c r="BX65" s="1"/>
      <c r="BY65" s="1" t="s">
        <v>1807</v>
      </c>
      <c r="BZ65" s="2" t="b">
        <f>OR( (Dashboard[[#This Row],[ref_as_hh]]&gt;=1),(Dashboard[[#This Row],[ret_as_hh]] &gt;=1), (Dashboard[[#This Row],[idp_as_hh]]&gt;=1))</f>
        <v>1</v>
      </c>
      <c r="CA65" s="2">
        <f>Dashboard[[#This Row],[ret_hi_hh]]</f>
        <v>0</v>
      </c>
      <c r="CB65" s="2">
        <f>Dashboard[[#This Row],[idp_fa_hh]]+Dashboard[[#This Row],[ref_fa_hh]]+Dashboard[[#This Row],[ret_fa_hh]]</f>
        <v>0</v>
      </c>
      <c r="CC65" s="2">
        <f>Dashboard[[#This Row],[idp_loc_hh]]+Dashboard[[#This Row],[ref_loc_hh]]+Dashboard[[#This Row],[ret_loc_hh]]</f>
        <v>0</v>
      </c>
      <c r="CD65" s="2">
        <f>Dashboard[[#This Row],[idp_cc_hh]]+Dashboard[[#This Row],[ref_cc_hh]]+Dashboard[[#This Row],[ret_cc_hh]]</f>
        <v>0</v>
      </c>
      <c r="CE65" s="2">
        <f>Dashboard[[#This Row],[idp_as_hh]]+Dashboard[[#This Row],[ref_as_hh]]+Dashboard[[#This Row],[ret_as_hh]]</f>
        <v>40</v>
      </c>
      <c r="CF65" s="2">
        <f>Dashboard[[#This Row],[idp_al_hh]]+Dashboard[[#This Row],[ref_al_hh]]+Dashboard[[#This Row],[ret_al_hh]]</f>
        <v>0</v>
      </c>
    </row>
    <row r="66" spans="1:84" hidden="1" x14ac:dyDescent="0.25">
      <c r="A66" s="27">
        <v>738</v>
      </c>
      <c r="B66" s="2" t="s">
        <v>22</v>
      </c>
      <c r="C66" s="2" t="s">
        <v>23</v>
      </c>
      <c r="D66" s="2" t="s">
        <v>85</v>
      </c>
      <c r="E66" s="2" t="s">
        <v>84</v>
      </c>
      <c r="F66" s="2" t="s">
        <v>175</v>
      </c>
      <c r="G66" s="2" t="s">
        <v>174</v>
      </c>
      <c r="H66" s="2" t="s">
        <v>1305</v>
      </c>
      <c r="I66" s="2" t="s">
        <v>420</v>
      </c>
      <c r="J66" s="2" t="s">
        <v>3146</v>
      </c>
      <c r="K66" s="2" t="s">
        <v>3147</v>
      </c>
      <c r="L66" s="2" t="s">
        <v>3693</v>
      </c>
      <c r="M66" s="2">
        <v>0</v>
      </c>
      <c r="N66" s="2" t="s">
        <v>1660</v>
      </c>
      <c r="O66" s="2">
        <v>0</v>
      </c>
      <c r="P66" s="2">
        <v>0</v>
      </c>
      <c r="Q66" s="2" t="s">
        <v>32</v>
      </c>
      <c r="R66" s="2">
        <v>0</v>
      </c>
      <c r="S66" s="2" t="s">
        <v>32</v>
      </c>
      <c r="T66" s="2">
        <v>0</v>
      </c>
      <c r="U66" s="2" t="s">
        <v>32</v>
      </c>
      <c r="V66" s="2" t="s">
        <v>32</v>
      </c>
      <c r="W66" s="1" t="s">
        <v>32</v>
      </c>
      <c r="X66" s="1">
        <v>0</v>
      </c>
      <c r="Y66" s="1" t="s">
        <v>32</v>
      </c>
      <c r="Z66" s="1" t="s">
        <v>32</v>
      </c>
      <c r="AA66" s="1" t="s">
        <v>32</v>
      </c>
      <c r="AB66" s="1">
        <v>0</v>
      </c>
      <c r="AC66" s="1" t="s">
        <v>32</v>
      </c>
      <c r="AD66" s="1">
        <v>0</v>
      </c>
      <c r="AE66" s="1" t="s">
        <v>1660</v>
      </c>
      <c r="AF66" s="1">
        <v>0</v>
      </c>
      <c r="AG66" s="1">
        <v>0</v>
      </c>
      <c r="AH66" s="1" t="s">
        <v>32</v>
      </c>
      <c r="AI66" s="1" t="s">
        <v>32</v>
      </c>
      <c r="AJ66" s="1" t="s">
        <v>32</v>
      </c>
      <c r="AK66" s="1" t="s">
        <v>32</v>
      </c>
      <c r="AL66" s="1" t="s">
        <v>32</v>
      </c>
      <c r="AM66" s="1">
        <v>0</v>
      </c>
      <c r="AN66" s="1" t="s">
        <v>32</v>
      </c>
      <c r="AO66" s="1">
        <v>0</v>
      </c>
      <c r="AP66" s="1" t="s">
        <v>32</v>
      </c>
      <c r="AQ66" s="1" t="s">
        <v>32</v>
      </c>
      <c r="AR66" s="1" t="s">
        <v>32</v>
      </c>
      <c r="AS66" s="1">
        <v>0</v>
      </c>
      <c r="AT66" s="1" t="s">
        <v>32</v>
      </c>
      <c r="AU66" s="1" t="s">
        <v>32</v>
      </c>
      <c r="AV66" s="1" t="s">
        <v>32</v>
      </c>
      <c r="AW66" s="1">
        <v>0</v>
      </c>
      <c r="AX66" s="1" t="s">
        <v>32</v>
      </c>
      <c r="AY66" s="1">
        <v>0</v>
      </c>
      <c r="AZ66" s="1" t="s">
        <v>1660</v>
      </c>
      <c r="BA66" s="1">
        <v>0</v>
      </c>
      <c r="BB66" s="1">
        <v>0</v>
      </c>
      <c r="BC66" s="1" t="s">
        <v>32</v>
      </c>
      <c r="BD66" s="1">
        <v>0</v>
      </c>
      <c r="BE66" s="1" t="s">
        <v>32</v>
      </c>
      <c r="BF66" s="1">
        <v>0</v>
      </c>
      <c r="BG66" s="1" t="s">
        <v>32</v>
      </c>
      <c r="BH66" s="1">
        <v>0</v>
      </c>
      <c r="BI66" s="1" t="s">
        <v>32</v>
      </c>
      <c r="BJ66" s="1" t="s">
        <v>32</v>
      </c>
      <c r="BK66" s="1" t="s">
        <v>32</v>
      </c>
      <c r="BL66" s="1">
        <v>0</v>
      </c>
      <c r="BM66" s="1" t="s">
        <v>32</v>
      </c>
      <c r="BN66" s="1" t="s">
        <v>32</v>
      </c>
      <c r="BO66" s="1" t="s">
        <v>32</v>
      </c>
      <c r="BP66" s="1">
        <v>0</v>
      </c>
      <c r="BQ66" s="1" t="s">
        <v>32</v>
      </c>
      <c r="BR66" s="1">
        <v>0</v>
      </c>
      <c r="BS66" s="1" t="s">
        <v>1660</v>
      </c>
      <c r="BT66" s="1">
        <v>0</v>
      </c>
      <c r="BU66" s="1">
        <v>0</v>
      </c>
      <c r="BV66" s="1" t="s">
        <v>1660</v>
      </c>
      <c r="BW66" s="1"/>
      <c r="BX66" s="1"/>
      <c r="BY66" s="1" t="s">
        <v>1807</v>
      </c>
      <c r="BZ66" s="2" t="b">
        <f>OR( (Dashboard[[#This Row],[ref_as_hh]]&gt;=1),(Dashboard[[#This Row],[ret_as_hh]] &gt;=1), (Dashboard[[#This Row],[idp_as_hh]]&gt;=1))</f>
        <v>0</v>
      </c>
      <c r="CA66" s="2">
        <f>Dashboard[[#This Row],[ret_hi_hh]]</f>
        <v>0</v>
      </c>
      <c r="CB66" s="2">
        <f>Dashboard[[#This Row],[idp_fa_hh]]+Dashboard[[#This Row],[ref_fa_hh]]+Dashboard[[#This Row],[ret_fa_hh]]</f>
        <v>0</v>
      </c>
      <c r="CC66" s="2">
        <f>Dashboard[[#This Row],[idp_loc_hh]]+Dashboard[[#This Row],[ref_loc_hh]]+Dashboard[[#This Row],[ret_loc_hh]]</f>
        <v>0</v>
      </c>
      <c r="CD66" s="2">
        <f>Dashboard[[#This Row],[idp_cc_hh]]+Dashboard[[#This Row],[ref_cc_hh]]+Dashboard[[#This Row],[ret_cc_hh]]</f>
        <v>0</v>
      </c>
      <c r="CE66" s="2">
        <f>Dashboard[[#This Row],[idp_as_hh]]+Dashboard[[#This Row],[ref_as_hh]]+Dashboard[[#This Row],[ret_as_hh]]</f>
        <v>0</v>
      </c>
      <c r="CF66" s="2">
        <f>Dashboard[[#This Row],[idp_al_hh]]+Dashboard[[#This Row],[ref_al_hh]]+Dashboard[[#This Row],[ret_al_hh]]</f>
        <v>0</v>
      </c>
    </row>
    <row r="67" spans="1:84" hidden="1" x14ac:dyDescent="0.25">
      <c r="A67" s="27">
        <v>739</v>
      </c>
      <c r="B67" s="2" t="s">
        <v>22</v>
      </c>
      <c r="C67" s="2" t="s">
        <v>23</v>
      </c>
      <c r="D67" s="2" t="s">
        <v>85</v>
      </c>
      <c r="E67" s="2" t="s">
        <v>84</v>
      </c>
      <c r="F67" s="2" t="s">
        <v>175</v>
      </c>
      <c r="G67" s="2" t="s">
        <v>174</v>
      </c>
      <c r="H67" s="2" t="s">
        <v>1662</v>
      </c>
      <c r="I67" s="2" t="s">
        <v>691</v>
      </c>
      <c r="J67" s="2" t="s">
        <v>3144</v>
      </c>
      <c r="K67" s="2" t="s">
        <v>3145</v>
      </c>
      <c r="L67" s="2" t="s">
        <v>3696</v>
      </c>
      <c r="M67" s="2">
        <v>0</v>
      </c>
      <c r="N67" s="2" t="s">
        <v>1660</v>
      </c>
      <c r="O67" s="2">
        <v>0</v>
      </c>
      <c r="P67" s="2">
        <v>0</v>
      </c>
      <c r="Q67" s="2" t="s">
        <v>32</v>
      </c>
      <c r="R67" s="2">
        <v>0</v>
      </c>
      <c r="S67" s="2" t="s">
        <v>32</v>
      </c>
      <c r="T67" s="2">
        <v>0</v>
      </c>
      <c r="U67" s="2" t="s">
        <v>32</v>
      </c>
      <c r="V67" s="2" t="s">
        <v>32</v>
      </c>
      <c r="W67" s="1" t="s">
        <v>32</v>
      </c>
      <c r="X67" s="1">
        <v>0</v>
      </c>
      <c r="Y67" s="1" t="s">
        <v>32</v>
      </c>
      <c r="Z67" s="1" t="s">
        <v>32</v>
      </c>
      <c r="AA67" s="1" t="s">
        <v>32</v>
      </c>
      <c r="AB67" s="1">
        <v>0</v>
      </c>
      <c r="AC67" s="1" t="s">
        <v>32</v>
      </c>
      <c r="AD67" s="1">
        <v>0</v>
      </c>
      <c r="AE67" s="1" t="s">
        <v>1660</v>
      </c>
      <c r="AF67" s="1">
        <v>0</v>
      </c>
      <c r="AG67" s="1">
        <v>0</v>
      </c>
      <c r="AH67" s="1" t="s">
        <v>32</v>
      </c>
      <c r="AI67" s="1" t="s">
        <v>32</v>
      </c>
      <c r="AJ67" s="1" t="s">
        <v>32</v>
      </c>
      <c r="AK67" s="1" t="s">
        <v>32</v>
      </c>
      <c r="AL67" s="1" t="s">
        <v>32</v>
      </c>
      <c r="AM67" s="1">
        <v>0</v>
      </c>
      <c r="AN67" s="1" t="s">
        <v>32</v>
      </c>
      <c r="AO67" s="1">
        <v>0</v>
      </c>
      <c r="AP67" s="1" t="s">
        <v>32</v>
      </c>
      <c r="AQ67" s="1" t="s">
        <v>32</v>
      </c>
      <c r="AR67" s="1" t="s">
        <v>32</v>
      </c>
      <c r="AS67" s="1">
        <v>0</v>
      </c>
      <c r="AT67" s="1" t="s">
        <v>32</v>
      </c>
      <c r="AU67" s="1" t="s">
        <v>32</v>
      </c>
      <c r="AV67" s="1" t="s">
        <v>32</v>
      </c>
      <c r="AW67" s="1">
        <v>0</v>
      </c>
      <c r="AX67" s="1" t="s">
        <v>32</v>
      </c>
      <c r="AY67" s="1">
        <v>0</v>
      </c>
      <c r="AZ67" s="1" t="s">
        <v>1660</v>
      </c>
      <c r="BA67" s="1">
        <v>0</v>
      </c>
      <c r="BB67" s="1">
        <v>0</v>
      </c>
      <c r="BC67" s="1" t="s">
        <v>32</v>
      </c>
      <c r="BD67" s="1">
        <v>0</v>
      </c>
      <c r="BE67" s="1" t="s">
        <v>32</v>
      </c>
      <c r="BF67" s="1">
        <v>0</v>
      </c>
      <c r="BG67" s="1" t="s">
        <v>32</v>
      </c>
      <c r="BH67" s="1">
        <v>0</v>
      </c>
      <c r="BI67" s="1" t="s">
        <v>32</v>
      </c>
      <c r="BJ67" s="1" t="s">
        <v>32</v>
      </c>
      <c r="BK67" s="1" t="s">
        <v>32</v>
      </c>
      <c r="BL67" s="1">
        <v>0</v>
      </c>
      <c r="BM67" s="1" t="s">
        <v>32</v>
      </c>
      <c r="BN67" s="1" t="s">
        <v>32</v>
      </c>
      <c r="BO67" s="1" t="s">
        <v>32</v>
      </c>
      <c r="BP67" s="1">
        <v>0</v>
      </c>
      <c r="BQ67" s="1" t="s">
        <v>32</v>
      </c>
      <c r="BR67" s="1">
        <v>0</v>
      </c>
      <c r="BS67" s="1" t="s">
        <v>1660</v>
      </c>
      <c r="BT67" s="1">
        <v>0</v>
      </c>
      <c r="BU67" s="1">
        <v>0</v>
      </c>
      <c r="BV67" s="1" t="s">
        <v>1660</v>
      </c>
      <c r="BW67" s="1"/>
      <c r="BX67" s="1"/>
      <c r="BY67" s="1" t="s">
        <v>1807</v>
      </c>
      <c r="BZ67" s="2" t="b">
        <f>OR( (Dashboard[[#This Row],[ref_as_hh]]&gt;=1),(Dashboard[[#This Row],[ret_as_hh]] &gt;=1), (Dashboard[[#This Row],[idp_as_hh]]&gt;=1))</f>
        <v>0</v>
      </c>
      <c r="CA67" s="2">
        <f>Dashboard[[#This Row],[ret_hi_hh]]</f>
        <v>0</v>
      </c>
      <c r="CB67" s="2">
        <f>Dashboard[[#This Row],[idp_fa_hh]]+Dashboard[[#This Row],[ref_fa_hh]]+Dashboard[[#This Row],[ret_fa_hh]]</f>
        <v>0</v>
      </c>
      <c r="CC67" s="2">
        <f>Dashboard[[#This Row],[idp_loc_hh]]+Dashboard[[#This Row],[ref_loc_hh]]+Dashboard[[#This Row],[ret_loc_hh]]</f>
        <v>0</v>
      </c>
      <c r="CD67" s="2">
        <f>Dashboard[[#This Row],[idp_cc_hh]]+Dashboard[[#This Row],[ref_cc_hh]]+Dashboard[[#This Row],[ret_cc_hh]]</f>
        <v>0</v>
      </c>
      <c r="CE67" s="2">
        <f>Dashboard[[#This Row],[idp_as_hh]]+Dashboard[[#This Row],[ref_as_hh]]+Dashboard[[#This Row],[ret_as_hh]]</f>
        <v>0</v>
      </c>
      <c r="CF67" s="2">
        <f>Dashboard[[#This Row],[idp_al_hh]]+Dashboard[[#This Row],[ref_al_hh]]+Dashboard[[#This Row],[ret_al_hh]]</f>
        <v>0</v>
      </c>
    </row>
    <row r="68" spans="1:84" hidden="1" x14ac:dyDescent="0.25">
      <c r="A68" s="27">
        <v>494</v>
      </c>
      <c r="B68" s="2" t="s">
        <v>22</v>
      </c>
      <c r="C68" s="2" t="s">
        <v>23</v>
      </c>
      <c r="D68" s="2" t="s">
        <v>85</v>
      </c>
      <c r="E68" s="2" t="s">
        <v>84</v>
      </c>
      <c r="F68" s="2" t="s">
        <v>175</v>
      </c>
      <c r="G68" s="2" t="s">
        <v>174</v>
      </c>
      <c r="H68" s="2" t="s">
        <v>1561</v>
      </c>
      <c r="I68" s="2" t="s">
        <v>853</v>
      </c>
      <c r="J68" s="2" t="s">
        <v>3154</v>
      </c>
      <c r="K68" s="2" t="s">
        <v>3155</v>
      </c>
      <c r="L68" s="2" t="s">
        <v>3693</v>
      </c>
      <c r="M68" s="2">
        <v>70</v>
      </c>
      <c r="N68" s="2" t="s">
        <v>1660</v>
      </c>
      <c r="O68" s="2">
        <v>0</v>
      </c>
      <c r="P68" s="2">
        <v>0</v>
      </c>
      <c r="Q68" s="2" t="s">
        <v>32</v>
      </c>
      <c r="R68" s="2">
        <v>0</v>
      </c>
      <c r="S68" s="2" t="s">
        <v>32</v>
      </c>
      <c r="T68" s="2">
        <v>0</v>
      </c>
      <c r="U68" s="2" t="s">
        <v>32</v>
      </c>
      <c r="V68" s="2" t="s">
        <v>32</v>
      </c>
      <c r="W68" s="1" t="s">
        <v>32</v>
      </c>
      <c r="X68" s="1">
        <v>0</v>
      </c>
      <c r="Y68" s="1" t="s">
        <v>32</v>
      </c>
      <c r="Z68" s="1" t="s">
        <v>32</v>
      </c>
      <c r="AA68" s="1" t="s">
        <v>32</v>
      </c>
      <c r="AB68" s="1">
        <v>0</v>
      </c>
      <c r="AC68" s="1" t="s">
        <v>32</v>
      </c>
      <c r="AD68" s="1">
        <v>0</v>
      </c>
      <c r="AE68" s="1" t="s">
        <v>1660</v>
      </c>
      <c r="AF68" s="1">
        <v>0</v>
      </c>
      <c r="AG68" s="1">
        <v>0</v>
      </c>
      <c r="AH68" s="1" t="s">
        <v>32</v>
      </c>
      <c r="AI68" s="1" t="s">
        <v>32</v>
      </c>
      <c r="AJ68" s="1" t="s">
        <v>32</v>
      </c>
      <c r="AK68" s="1" t="s">
        <v>32</v>
      </c>
      <c r="AL68" s="1" t="s">
        <v>32</v>
      </c>
      <c r="AM68" s="1">
        <v>0</v>
      </c>
      <c r="AN68" s="1" t="s">
        <v>32</v>
      </c>
      <c r="AO68" s="1">
        <v>0</v>
      </c>
      <c r="AP68" s="1" t="s">
        <v>32</v>
      </c>
      <c r="AQ68" s="1" t="s">
        <v>32</v>
      </c>
      <c r="AR68" s="1" t="s">
        <v>32</v>
      </c>
      <c r="AS68" s="1">
        <v>0</v>
      </c>
      <c r="AT68" s="1" t="s">
        <v>32</v>
      </c>
      <c r="AU68" s="1" t="s">
        <v>32</v>
      </c>
      <c r="AV68" s="1" t="s">
        <v>32</v>
      </c>
      <c r="AW68" s="1">
        <v>0</v>
      </c>
      <c r="AX68" s="1" t="s">
        <v>32</v>
      </c>
      <c r="AY68" s="1">
        <v>0</v>
      </c>
      <c r="AZ68" s="1" t="s">
        <v>1658</v>
      </c>
      <c r="BA68" s="1">
        <v>12</v>
      </c>
      <c r="BB68" s="1">
        <v>70</v>
      </c>
      <c r="BC68" s="1" t="s">
        <v>1658</v>
      </c>
      <c r="BD68" s="1">
        <v>12</v>
      </c>
      <c r="BE68" s="1" t="s">
        <v>32</v>
      </c>
      <c r="BF68" s="1">
        <v>0</v>
      </c>
      <c r="BG68" s="1" t="s">
        <v>1660</v>
      </c>
      <c r="BH68" s="1">
        <v>0</v>
      </c>
      <c r="BI68" s="1" t="s">
        <v>32</v>
      </c>
      <c r="BJ68" s="1" t="s">
        <v>32</v>
      </c>
      <c r="BK68" s="1" t="s">
        <v>1660</v>
      </c>
      <c r="BL68" s="1">
        <v>0</v>
      </c>
      <c r="BM68" s="1" t="s">
        <v>32</v>
      </c>
      <c r="BN68" s="1" t="s">
        <v>32</v>
      </c>
      <c r="BO68" s="1" t="s">
        <v>1660</v>
      </c>
      <c r="BP68" s="1">
        <v>0</v>
      </c>
      <c r="BQ68" s="1" t="s">
        <v>1660</v>
      </c>
      <c r="BR68" s="1">
        <v>0</v>
      </c>
      <c r="BS68" s="1" t="s">
        <v>1658</v>
      </c>
      <c r="BT68" s="1">
        <v>15</v>
      </c>
      <c r="BU68" s="1">
        <v>78</v>
      </c>
      <c r="BV68" s="1" t="s">
        <v>1660</v>
      </c>
      <c r="BW68" s="1"/>
      <c r="BX68" s="1"/>
      <c r="BY68" s="1" t="s">
        <v>1807</v>
      </c>
      <c r="BZ68" s="2" t="b">
        <f>OR( (Dashboard[[#This Row],[ref_as_hh]]&gt;=1),(Dashboard[[#This Row],[ret_as_hh]] &gt;=1), (Dashboard[[#This Row],[idp_as_hh]]&gt;=1))</f>
        <v>0</v>
      </c>
      <c r="CA68" s="2">
        <f>Dashboard[[#This Row],[ret_hi_hh]]</f>
        <v>12</v>
      </c>
      <c r="CB68" s="2">
        <f>Dashboard[[#This Row],[idp_fa_hh]]+Dashboard[[#This Row],[ref_fa_hh]]+Dashboard[[#This Row],[ret_fa_hh]]</f>
        <v>0</v>
      </c>
      <c r="CC68" s="2">
        <f>Dashboard[[#This Row],[idp_loc_hh]]+Dashboard[[#This Row],[ref_loc_hh]]+Dashboard[[#This Row],[ret_loc_hh]]</f>
        <v>0</v>
      </c>
      <c r="CD68" s="2">
        <f>Dashboard[[#This Row],[idp_cc_hh]]+Dashboard[[#This Row],[ref_cc_hh]]+Dashboard[[#This Row],[ret_cc_hh]]</f>
        <v>0</v>
      </c>
      <c r="CE68" s="2">
        <f>Dashboard[[#This Row],[idp_as_hh]]+Dashboard[[#This Row],[ref_as_hh]]+Dashboard[[#This Row],[ret_as_hh]]</f>
        <v>0</v>
      </c>
      <c r="CF68" s="2">
        <f>Dashboard[[#This Row],[idp_al_hh]]+Dashboard[[#This Row],[ref_al_hh]]+Dashboard[[#This Row],[ret_al_hh]]</f>
        <v>0</v>
      </c>
    </row>
    <row r="69" spans="1:84" x14ac:dyDescent="0.25">
      <c r="A69" s="27">
        <v>495</v>
      </c>
      <c r="B69" s="2" t="s">
        <v>22</v>
      </c>
      <c r="C69" s="2" t="s">
        <v>23</v>
      </c>
      <c r="D69" s="2" t="s">
        <v>85</v>
      </c>
      <c r="E69" s="2" t="s">
        <v>84</v>
      </c>
      <c r="F69" s="2" t="s">
        <v>175</v>
      </c>
      <c r="G69" s="2" t="s">
        <v>174</v>
      </c>
      <c r="H69" s="2" t="s">
        <v>1306</v>
      </c>
      <c r="I69" s="2" t="s">
        <v>830</v>
      </c>
      <c r="J69" s="2" t="s">
        <v>3152</v>
      </c>
      <c r="K69" s="2" t="s">
        <v>3153</v>
      </c>
      <c r="L69" s="2" t="s">
        <v>3693</v>
      </c>
      <c r="M69" s="2">
        <v>257</v>
      </c>
      <c r="N69" s="2" t="s">
        <v>1658</v>
      </c>
      <c r="O69" s="2">
        <v>7</v>
      </c>
      <c r="P69" s="2">
        <v>87</v>
      </c>
      <c r="Q69" s="2" t="s">
        <v>32</v>
      </c>
      <c r="R69" s="2">
        <v>0</v>
      </c>
      <c r="S69" s="2" t="s">
        <v>1660</v>
      </c>
      <c r="T69" s="2">
        <v>0</v>
      </c>
      <c r="U69" s="2" t="s">
        <v>32</v>
      </c>
      <c r="V69" s="2" t="s">
        <v>32</v>
      </c>
      <c r="W69" s="1" t="s">
        <v>1660</v>
      </c>
      <c r="X69" s="1">
        <v>0</v>
      </c>
      <c r="Y69" s="1" t="s">
        <v>32</v>
      </c>
      <c r="Z69" s="1" t="s">
        <v>32</v>
      </c>
      <c r="AA69" s="1" t="s">
        <v>1658</v>
      </c>
      <c r="AB69" s="1">
        <v>7</v>
      </c>
      <c r="AC69" s="1" t="s">
        <v>1660</v>
      </c>
      <c r="AD69" s="1">
        <v>0</v>
      </c>
      <c r="AE69" s="1" t="s">
        <v>1658</v>
      </c>
      <c r="AF69" s="1">
        <v>12</v>
      </c>
      <c r="AG69" s="1">
        <v>91</v>
      </c>
      <c r="AH69" s="1" t="s">
        <v>1660</v>
      </c>
      <c r="AI69" s="1" t="s">
        <v>32</v>
      </c>
      <c r="AJ69" s="1" t="s">
        <v>32</v>
      </c>
      <c r="AK69" s="1" t="s">
        <v>32</v>
      </c>
      <c r="AL69" s="1" t="s">
        <v>32</v>
      </c>
      <c r="AM69" s="1">
        <v>0</v>
      </c>
      <c r="AN69" s="1" t="s">
        <v>1660</v>
      </c>
      <c r="AO69" s="1">
        <v>0</v>
      </c>
      <c r="AP69" s="1" t="s">
        <v>32</v>
      </c>
      <c r="AQ69" s="1" t="s">
        <v>32</v>
      </c>
      <c r="AR69" s="1" t="s">
        <v>1660</v>
      </c>
      <c r="AS69" s="1">
        <v>0</v>
      </c>
      <c r="AT69" s="1" t="s">
        <v>32</v>
      </c>
      <c r="AU69" s="1" t="s">
        <v>32</v>
      </c>
      <c r="AV69" s="1" t="s">
        <v>1658</v>
      </c>
      <c r="AW69" s="1">
        <v>12</v>
      </c>
      <c r="AX69" s="1" t="s">
        <v>1660</v>
      </c>
      <c r="AY69" s="1">
        <v>0</v>
      </c>
      <c r="AZ69" s="1" t="s">
        <v>1658</v>
      </c>
      <c r="BA69" s="1">
        <v>14</v>
      </c>
      <c r="BB69" s="1">
        <v>89</v>
      </c>
      <c r="BC69" s="1" t="s">
        <v>1658</v>
      </c>
      <c r="BD69" s="1">
        <v>14</v>
      </c>
      <c r="BE69" s="1" t="s">
        <v>32</v>
      </c>
      <c r="BF69" s="1">
        <v>0</v>
      </c>
      <c r="BG69" s="1" t="s">
        <v>1660</v>
      </c>
      <c r="BH69" s="1">
        <v>0</v>
      </c>
      <c r="BI69" s="1" t="s">
        <v>32</v>
      </c>
      <c r="BJ69" s="1" t="s">
        <v>32</v>
      </c>
      <c r="BK69" s="1" t="s">
        <v>1660</v>
      </c>
      <c r="BL69" s="1">
        <v>0</v>
      </c>
      <c r="BM69" s="1" t="s">
        <v>32</v>
      </c>
      <c r="BN69" s="1" t="s">
        <v>32</v>
      </c>
      <c r="BO69" s="1" t="s">
        <v>1660</v>
      </c>
      <c r="BP69" s="1">
        <v>0</v>
      </c>
      <c r="BQ69" s="1" t="s">
        <v>1660</v>
      </c>
      <c r="BR69" s="1">
        <v>0</v>
      </c>
      <c r="BS69" s="1" t="s">
        <v>1660</v>
      </c>
      <c r="BT69" s="1">
        <v>0</v>
      </c>
      <c r="BU69" s="1">
        <v>0</v>
      </c>
      <c r="BV69" s="1" t="s">
        <v>1660</v>
      </c>
      <c r="BW69" s="1"/>
      <c r="BX69" s="1"/>
      <c r="BY69" s="1" t="s">
        <v>1807</v>
      </c>
      <c r="BZ69" s="2" t="b">
        <f>OR( (Dashboard[[#This Row],[ref_as_hh]]&gt;=1),(Dashboard[[#This Row],[ret_as_hh]] &gt;=1), (Dashboard[[#This Row],[idp_as_hh]]&gt;=1))</f>
        <v>1</v>
      </c>
      <c r="CA69" s="2">
        <f>Dashboard[[#This Row],[ret_hi_hh]]</f>
        <v>14</v>
      </c>
      <c r="CB69" s="2">
        <f>Dashboard[[#This Row],[idp_fa_hh]]+Dashboard[[#This Row],[ref_fa_hh]]+Dashboard[[#This Row],[ret_fa_hh]]</f>
        <v>0</v>
      </c>
      <c r="CC69" s="2">
        <f>Dashboard[[#This Row],[idp_loc_hh]]+Dashboard[[#This Row],[ref_loc_hh]]+Dashboard[[#This Row],[ret_loc_hh]]</f>
        <v>0</v>
      </c>
      <c r="CD69" s="2">
        <f>Dashboard[[#This Row],[idp_cc_hh]]+Dashboard[[#This Row],[ref_cc_hh]]+Dashboard[[#This Row],[ret_cc_hh]]</f>
        <v>0</v>
      </c>
      <c r="CE69" s="2">
        <f>Dashboard[[#This Row],[idp_as_hh]]+Dashboard[[#This Row],[ref_as_hh]]+Dashboard[[#This Row],[ret_as_hh]]</f>
        <v>19</v>
      </c>
      <c r="CF69" s="2">
        <f>Dashboard[[#This Row],[idp_al_hh]]+Dashboard[[#This Row],[ref_al_hh]]+Dashboard[[#This Row],[ret_al_hh]]</f>
        <v>0</v>
      </c>
    </row>
    <row r="70" spans="1:84" x14ac:dyDescent="0.25">
      <c r="A70" s="27">
        <v>496</v>
      </c>
      <c r="B70" s="2" t="s">
        <v>22</v>
      </c>
      <c r="C70" s="2" t="s">
        <v>23</v>
      </c>
      <c r="D70" s="2" t="s">
        <v>85</v>
      </c>
      <c r="E70" s="2" t="s">
        <v>84</v>
      </c>
      <c r="F70" s="2" t="s">
        <v>175</v>
      </c>
      <c r="G70" s="2" t="s">
        <v>174</v>
      </c>
      <c r="H70" s="2" t="s">
        <v>1532</v>
      </c>
      <c r="I70" s="2" t="s">
        <v>636</v>
      </c>
      <c r="J70" s="2" t="s">
        <v>3178</v>
      </c>
      <c r="K70" s="2" t="s">
        <v>3179</v>
      </c>
      <c r="L70" s="2" t="s">
        <v>3693</v>
      </c>
      <c r="M70" s="2">
        <v>247</v>
      </c>
      <c r="N70" s="2" t="s">
        <v>1658</v>
      </c>
      <c r="O70" s="2">
        <v>3</v>
      </c>
      <c r="P70" s="2">
        <v>29</v>
      </c>
      <c r="Q70" s="2" t="s">
        <v>32</v>
      </c>
      <c r="R70" s="2">
        <v>0</v>
      </c>
      <c r="S70" s="2" t="s">
        <v>1660</v>
      </c>
      <c r="T70" s="2">
        <v>0</v>
      </c>
      <c r="U70" s="2" t="s">
        <v>32</v>
      </c>
      <c r="V70" s="2" t="s">
        <v>32</v>
      </c>
      <c r="W70" s="1" t="s">
        <v>1660</v>
      </c>
      <c r="X70" s="1">
        <v>0</v>
      </c>
      <c r="Y70" s="1" t="s">
        <v>32</v>
      </c>
      <c r="Z70" s="1" t="s">
        <v>32</v>
      </c>
      <c r="AA70" s="1" t="s">
        <v>1658</v>
      </c>
      <c r="AB70" s="1">
        <v>3</v>
      </c>
      <c r="AC70" s="1" t="s">
        <v>1660</v>
      </c>
      <c r="AD70" s="1">
        <v>0</v>
      </c>
      <c r="AE70" s="1" t="s">
        <v>1658</v>
      </c>
      <c r="AF70" s="1">
        <v>23</v>
      </c>
      <c r="AG70" s="1">
        <v>127</v>
      </c>
      <c r="AH70" s="1" t="s">
        <v>1660</v>
      </c>
      <c r="AI70" s="1" t="s">
        <v>32</v>
      </c>
      <c r="AJ70" s="1" t="s">
        <v>32</v>
      </c>
      <c r="AK70" s="1" t="s">
        <v>32</v>
      </c>
      <c r="AL70" s="1" t="s">
        <v>32</v>
      </c>
      <c r="AM70" s="1">
        <v>0</v>
      </c>
      <c r="AN70" s="1" t="s">
        <v>1660</v>
      </c>
      <c r="AO70" s="1">
        <v>0</v>
      </c>
      <c r="AP70" s="1" t="s">
        <v>32</v>
      </c>
      <c r="AQ70" s="1" t="s">
        <v>32</v>
      </c>
      <c r="AR70" s="1" t="s">
        <v>1660</v>
      </c>
      <c r="AS70" s="1">
        <v>0</v>
      </c>
      <c r="AT70" s="1" t="s">
        <v>32</v>
      </c>
      <c r="AU70" s="1" t="s">
        <v>32</v>
      </c>
      <c r="AV70" s="1" t="s">
        <v>1658</v>
      </c>
      <c r="AW70" s="1">
        <v>23</v>
      </c>
      <c r="AX70" s="1" t="s">
        <v>1660</v>
      </c>
      <c r="AY70" s="1">
        <v>0</v>
      </c>
      <c r="AZ70" s="1" t="s">
        <v>1660</v>
      </c>
      <c r="BA70" s="1">
        <v>0</v>
      </c>
      <c r="BB70" s="1">
        <v>0</v>
      </c>
      <c r="BC70" s="1" t="s">
        <v>32</v>
      </c>
      <c r="BD70" s="1">
        <v>0</v>
      </c>
      <c r="BE70" s="1" t="s">
        <v>32</v>
      </c>
      <c r="BF70" s="1">
        <v>0</v>
      </c>
      <c r="BG70" s="1" t="s">
        <v>32</v>
      </c>
      <c r="BH70" s="1">
        <v>0</v>
      </c>
      <c r="BI70" s="1" t="s">
        <v>32</v>
      </c>
      <c r="BJ70" s="1" t="s">
        <v>32</v>
      </c>
      <c r="BK70" s="1" t="s">
        <v>32</v>
      </c>
      <c r="BL70" s="1">
        <v>0</v>
      </c>
      <c r="BM70" s="1" t="s">
        <v>32</v>
      </c>
      <c r="BN70" s="1" t="s">
        <v>32</v>
      </c>
      <c r="BO70" s="1" t="s">
        <v>32</v>
      </c>
      <c r="BP70" s="1">
        <v>0</v>
      </c>
      <c r="BQ70" s="1" t="s">
        <v>32</v>
      </c>
      <c r="BR70" s="1">
        <v>0</v>
      </c>
      <c r="BS70" s="1" t="s">
        <v>1660</v>
      </c>
      <c r="BT70" s="1">
        <v>0</v>
      </c>
      <c r="BU70" s="1">
        <v>0</v>
      </c>
      <c r="BV70" s="1" t="s">
        <v>1660</v>
      </c>
      <c r="BW70" s="1"/>
      <c r="BX70" s="1"/>
      <c r="BY70" s="1" t="s">
        <v>1807</v>
      </c>
      <c r="BZ70" s="2" t="b">
        <f>OR( (Dashboard[[#This Row],[ref_as_hh]]&gt;=1),(Dashboard[[#This Row],[ret_as_hh]] &gt;=1), (Dashboard[[#This Row],[idp_as_hh]]&gt;=1))</f>
        <v>1</v>
      </c>
      <c r="CA70" s="2">
        <f>Dashboard[[#This Row],[ret_hi_hh]]</f>
        <v>0</v>
      </c>
      <c r="CB70" s="2">
        <f>Dashboard[[#This Row],[idp_fa_hh]]+Dashboard[[#This Row],[ref_fa_hh]]+Dashboard[[#This Row],[ret_fa_hh]]</f>
        <v>0</v>
      </c>
      <c r="CC70" s="2">
        <f>Dashboard[[#This Row],[idp_loc_hh]]+Dashboard[[#This Row],[ref_loc_hh]]+Dashboard[[#This Row],[ret_loc_hh]]</f>
        <v>0</v>
      </c>
      <c r="CD70" s="2">
        <f>Dashboard[[#This Row],[idp_cc_hh]]+Dashboard[[#This Row],[ref_cc_hh]]+Dashboard[[#This Row],[ret_cc_hh]]</f>
        <v>0</v>
      </c>
      <c r="CE70" s="2">
        <f>Dashboard[[#This Row],[idp_as_hh]]+Dashboard[[#This Row],[ref_as_hh]]+Dashboard[[#This Row],[ret_as_hh]]</f>
        <v>26</v>
      </c>
      <c r="CF70" s="2">
        <f>Dashboard[[#This Row],[idp_al_hh]]+Dashboard[[#This Row],[ref_al_hh]]+Dashboard[[#This Row],[ret_al_hh]]</f>
        <v>0</v>
      </c>
    </row>
    <row r="71" spans="1:84" x14ac:dyDescent="0.25">
      <c r="A71" s="27">
        <v>497</v>
      </c>
      <c r="B71" s="2" t="s">
        <v>22</v>
      </c>
      <c r="C71" s="2" t="s">
        <v>23</v>
      </c>
      <c r="D71" s="2" t="s">
        <v>85</v>
      </c>
      <c r="E71" s="2" t="s">
        <v>84</v>
      </c>
      <c r="F71" s="2" t="s">
        <v>175</v>
      </c>
      <c r="G71" s="2" t="s">
        <v>174</v>
      </c>
      <c r="H71" s="2" t="s">
        <v>1301</v>
      </c>
      <c r="I71" s="2" t="s">
        <v>295</v>
      </c>
      <c r="J71" s="2" t="s">
        <v>3128</v>
      </c>
      <c r="K71" s="2" t="s">
        <v>3129</v>
      </c>
      <c r="L71" s="2" t="s">
        <v>3693</v>
      </c>
      <c r="M71" s="2">
        <v>345</v>
      </c>
      <c r="N71" s="2" t="s">
        <v>1658</v>
      </c>
      <c r="O71" s="2">
        <v>5</v>
      </c>
      <c r="P71" s="2">
        <v>20</v>
      </c>
      <c r="Q71" s="2" t="s">
        <v>32</v>
      </c>
      <c r="R71" s="2">
        <v>0</v>
      </c>
      <c r="S71" s="2" t="s">
        <v>1660</v>
      </c>
      <c r="T71" s="2">
        <v>0</v>
      </c>
      <c r="U71" s="2" t="s">
        <v>32</v>
      </c>
      <c r="V71" s="2" t="s">
        <v>32</v>
      </c>
      <c r="W71" s="1" t="s">
        <v>1660</v>
      </c>
      <c r="X71" s="1">
        <v>0</v>
      </c>
      <c r="Y71" s="1" t="s">
        <v>32</v>
      </c>
      <c r="Z71" s="1" t="s">
        <v>32</v>
      </c>
      <c r="AA71" s="1" t="s">
        <v>1658</v>
      </c>
      <c r="AB71" s="1">
        <v>5</v>
      </c>
      <c r="AC71" s="1" t="s">
        <v>1660</v>
      </c>
      <c r="AD71" s="1">
        <v>0</v>
      </c>
      <c r="AE71" s="1" t="s">
        <v>1658</v>
      </c>
      <c r="AF71" s="1">
        <v>14</v>
      </c>
      <c r="AG71" s="1">
        <v>50</v>
      </c>
      <c r="AH71" s="1" t="s">
        <v>1660</v>
      </c>
      <c r="AI71" s="1" t="s">
        <v>32</v>
      </c>
      <c r="AJ71" s="1" t="s">
        <v>32</v>
      </c>
      <c r="AK71" s="1" t="s">
        <v>32</v>
      </c>
      <c r="AL71" s="1" t="s">
        <v>32</v>
      </c>
      <c r="AM71" s="1">
        <v>0</v>
      </c>
      <c r="AN71" s="1" t="s">
        <v>1660</v>
      </c>
      <c r="AO71" s="1">
        <v>0</v>
      </c>
      <c r="AP71" s="1" t="s">
        <v>32</v>
      </c>
      <c r="AQ71" s="1" t="s">
        <v>32</v>
      </c>
      <c r="AR71" s="1" t="s">
        <v>1660</v>
      </c>
      <c r="AS71" s="1">
        <v>0</v>
      </c>
      <c r="AT71" s="1" t="s">
        <v>32</v>
      </c>
      <c r="AU71" s="1" t="s">
        <v>32</v>
      </c>
      <c r="AV71" s="1" t="s">
        <v>1658</v>
      </c>
      <c r="AW71" s="1">
        <v>14</v>
      </c>
      <c r="AX71" s="1" t="s">
        <v>1660</v>
      </c>
      <c r="AY71" s="1">
        <v>0</v>
      </c>
      <c r="AZ71" s="1" t="s">
        <v>1658</v>
      </c>
      <c r="BA71" s="1">
        <v>20</v>
      </c>
      <c r="BB71" s="1">
        <v>102</v>
      </c>
      <c r="BC71" s="1" t="s">
        <v>1658</v>
      </c>
      <c r="BD71" s="1">
        <v>20</v>
      </c>
      <c r="BE71" s="1" t="s">
        <v>32</v>
      </c>
      <c r="BF71" s="1">
        <v>0</v>
      </c>
      <c r="BG71" s="1" t="s">
        <v>1660</v>
      </c>
      <c r="BH71" s="1">
        <v>0</v>
      </c>
      <c r="BI71" s="1" t="s">
        <v>32</v>
      </c>
      <c r="BJ71" s="1" t="s">
        <v>32</v>
      </c>
      <c r="BK71" s="1" t="s">
        <v>1660</v>
      </c>
      <c r="BL71" s="1">
        <v>0</v>
      </c>
      <c r="BM71" s="1" t="s">
        <v>32</v>
      </c>
      <c r="BN71" s="1" t="s">
        <v>32</v>
      </c>
      <c r="BO71" s="1" t="s">
        <v>1660</v>
      </c>
      <c r="BP71" s="1">
        <v>0</v>
      </c>
      <c r="BQ71" s="1" t="s">
        <v>1660</v>
      </c>
      <c r="BR71" s="1">
        <v>0</v>
      </c>
      <c r="BS71" s="1" t="s">
        <v>1660</v>
      </c>
      <c r="BT71" s="1">
        <v>0</v>
      </c>
      <c r="BU71" s="1">
        <v>0</v>
      </c>
      <c r="BV71" s="1" t="s">
        <v>1660</v>
      </c>
      <c r="BW71" s="1"/>
      <c r="BX71" s="1"/>
      <c r="BY71" s="1" t="s">
        <v>1807</v>
      </c>
      <c r="BZ71" s="2" t="b">
        <f>OR( (Dashboard[[#This Row],[ref_as_hh]]&gt;=1),(Dashboard[[#This Row],[ret_as_hh]] &gt;=1), (Dashboard[[#This Row],[idp_as_hh]]&gt;=1))</f>
        <v>1</v>
      </c>
      <c r="CA71" s="2">
        <f>Dashboard[[#This Row],[ret_hi_hh]]</f>
        <v>20</v>
      </c>
      <c r="CB71" s="2">
        <f>Dashboard[[#This Row],[idp_fa_hh]]+Dashboard[[#This Row],[ref_fa_hh]]+Dashboard[[#This Row],[ret_fa_hh]]</f>
        <v>0</v>
      </c>
      <c r="CC71" s="2">
        <f>Dashboard[[#This Row],[idp_loc_hh]]+Dashboard[[#This Row],[ref_loc_hh]]+Dashboard[[#This Row],[ret_loc_hh]]</f>
        <v>0</v>
      </c>
      <c r="CD71" s="2">
        <f>Dashboard[[#This Row],[idp_cc_hh]]+Dashboard[[#This Row],[ref_cc_hh]]+Dashboard[[#This Row],[ret_cc_hh]]</f>
        <v>0</v>
      </c>
      <c r="CE71" s="2">
        <f>Dashboard[[#This Row],[idp_as_hh]]+Dashboard[[#This Row],[ref_as_hh]]+Dashboard[[#This Row],[ret_as_hh]]</f>
        <v>19</v>
      </c>
      <c r="CF71" s="2">
        <f>Dashboard[[#This Row],[idp_al_hh]]+Dashboard[[#This Row],[ref_al_hh]]+Dashboard[[#This Row],[ret_al_hh]]</f>
        <v>0</v>
      </c>
    </row>
    <row r="72" spans="1:84" x14ac:dyDescent="0.25">
      <c r="A72" s="27">
        <v>498</v>
      </c>
      <c r="B72" s="2" t="s">
        <v>22</v>
      </c>
      <c r="C72" s="2" t="s">
        <v>23</v>
      </c>
      <c r="D72" s="2" t="s">
        <v>85</v>
      </c>
      <c r="E72" s="2" t="s">
        <v>84</v>
      </c>
      <c r="F72" s="2" t="s">
        <v>175</v>
      </c>
      <c r="G72" s="2" t="s">
        <v>174</v>
      </c>
      <c r="H72" s="2" t="s">
        <v>1312</v>
      </c>
      <c r="I72" s="2" t="s">
        <v>179</v>
      </c>
      <c r="J72" s="2" t="s">
        <v>3176</v>
      </c>
      <c r="K72" s="2" t="s">
        <v>3177</v>
      </c>
      <c r="L72" s="2" t="s">
        <v>2074</v>
      </c>
      <c r="M72" s="2">
        <v>2412</v>
      </c>
      <c r="N72" s="2" t="s">
        <v>1658</v>
      </c>
      <c r="O72" s="2">
        <v>57</v>
      </c>
      <c r="P72" s="2">
        <v>338</v>
      </c>
      <c r="Q72" s="2" t="s">
        <v>32</v>
      </c>
      <c r="R72" s="2">
        <v>0</v>
      </c>
      <c r="S72" s="2" t="s">
        <v>1660</v>
      </c>
      <c r="T72" s="2">
        <v>0</v>
      </c>
      <c r="U72" s="2" t="s">
        <v>32</v>
      </c>
      <c r="V72" s="2" t="s">
        <v>32</v>
      </c>
      <c r="W72" s="1" t="s">
        <v>1660</v>
      </c>
      <c r="X72" s="1">
        <v>0</v>
      </c>
      <c r="Y72" s="1" t="s">
        <v>32</v>
      </c>
      <c r="Z72" s="1" t="s">
        <v>32</v>
      </c>
      <c r="AA72" s="1" t="s">
        <v>1658</v>
      </c>
      <c r="AB72" s="1">
        <v>57</v>
      </c>
      <c r="AC72" s="1" t="s">
        <v>1660</v>
      </c>
      <c r="AD72" s="1">
        <v>0</v>
      </c>
      <c r="AE72" s="1" t="s">
        <v>1658</v>
      </c>
      <c r="AF72" s="1">
        <v>81</v>
      </c>
      <c r="AG72" s="1">
        <v>497</v>
      </c>
      <c r="AH72" s="1" t="s">
        <v>1660</v>
      </c>
      <c r="AI72" s="1" t="s">
        <v>32</v>
      </c>
      <c r="AJ72" s="1" t="s">
        <v>32</v>
      </c>
      <c r="AK72" s="1" t="s">
        <v>32</v>
      </c>
      <c r="AL72" s="1" t="s">
        <v>32</v>
      </c>
      <c r="AM72" s="1">
        <v>0</v>
      </c>
      <c r="AN72" s="1" t="s">
        <v>1660</v>
      </c>
      <c r="AO72" s="1">
        <v>0</v>
      </c>
      <c r="AP72" s="1" t="s">
        <v>32</v>
      </c>
      <c r="AQ72" s="1" t="s">
        <v>32</v>
      </c>
      <c r="AR72" s="1" t="s">
        <v>1660</v>
      </c>
      <c r="AS72" s="1">
        <v>0</v>
      </c>
      <c r="AT72" s="1" t="s">
        <v>32</v>
      </c>
      <c r="AU72" s="1" t="s">
        <v>32</v>
      </c>
      <c r="AV72" s="1" t="s">
        <v>1658</v>
      </c>
      <c r="AW72" s="1">
        <v>81</v>
      </c>
      <c r="AX72" s="1" t="s">
        <v>1660</v>
      </c>
      <c r="AY72" s="1">
        <v>0</v>
      </c>
      <c r="AZ72" s="1" t="s">
        <v>1658</v>
      </c>
      <c r="BA72" s="1">
        <v>80</v>
      </c>
      <c r="BB72" s="1">
        <v>532</v>
      </c>
      <c r="BC72" s="1" t="s">
        <v>1658</v>
      </c>
      <c r="BD72" s="1">
        <v>80</v>
      </c>
      <c r="BE72" s="1" t="s">
        <v>32</v>
      </c>
      <c r="BF72" s="1">
        <v>0</v>
      </c>
      <c r="BG72" s="1" t="s">
        <v>1660</v>
      </c>
      <c r="BH72" s="1">
        <v>0</v>
      </c>
      <c r="BI72" s="1" t="s">
        <v>32</v>
      </c>
      <c r="BJ72" s="1" t="s">
        <v>32</v>
      </c>
      <c r="BK72" s="1" t="s">
        <v>1660</v>
      </c>
      <c r="BL72" s="1">
        <v>0</v>
      </c>
      <c r="BM72" s="1" t="s">
        <v>32</v>
      </c>
      <c r="BN72" s="1" t="s">
        <v>32</v>
      </c>
      <c r="BO72" s="1" t="s">
        <v>1660</v>
      </c>
      <c r="BP72" s="1">
        <v>0</v>
      </c>
      <c r="BQ72" s="1" t="s">
        <v>1660</v>
      </c>
      <c r="BR72" s="1">
        <v>0</v>
      </c>
      <c r="BS72" s="1" t="s">
        <v>1658</v>
      </c>
      <c r="BT72" s="1">
        <v>4</v>
      </c>
      <c r="BU72" s="1">
        <v>20</v>
      </c>
      <c r="BV72" s="1" t="s">
        <v>1660</v>
      </c>
      <c r="BW72" s="1"/>
      <c r="BX72" s="1"/>
      <c r="BY72" s="1" t="s">
        <v>1807</v>
      </c>
      <c r="BZ72" s="2" t="b">
        <f>OR( (Dashboard[[#This Row],[ref_as_hh]]&gt;=1),(Dashboard[[#This Row],[ret_as_hh]] &gt;=1), (Dashboard[[#This Row],[idp_as_hh]]&gt;=1))</f>
        <v>1</v>
      </c>
      <c r="CA72" s="2">
        <f>Dashboard[[#This Row],[ret_hi_hh]]</f>
        <v>80</v>
      </c>
      <c r="CB72" s="2">
        <f>Dashboard[[#This Row],[idp_fa_hh]]+Dashboard[[#This Row],[ref_fa_hh]]+Dashboard[[#This Row],[ret_fa_hh]]</f>
        <v>0</v>
      </c>
      <c r="CC72" s="2">
        <f>Dashboard[[#This Row],[idp_loc_hh]]+Dashboard[[#This Row],[ref_loc_hh]]+Dashboard[[#This Row],[ret_loc_hh]]</f>
        <v>0</v>
      </c>
      <c r="CD72" s="2">
        <f>Dashboard[[#This Row],[idp_cc_hh]]+Dashboard[[#This Row],[ref_cc_hh]]+Dashboard[[#This Row],[ret_cc_hh]]</f>
        <v>0</v>
      </c>
      <c r="CE72" s="2">
        <f>Dashboard[[#This Row],[idp_as_hh]]+Dashboard[[#This Row],[ref_as_hh]]+Dashboard[[#This Row],[ret_as_hh]]</f>
        <v>138</v>
      </c>
      <c r="CF72" s="2">
        <f>Dashboard[[#This Row],[idp_al_hh]]+Dashboard[[#This Row],[ref_al_hh]]+Dashboard[[#This Row],[ret_al_hh]]</f>
        <v>0</v>
      </c>
    </row>
    <row r="73" spans="1:84" x14ac:dyDescent="0.25">
      <c r="A73" s="27">
        <v>245</v>
      </c>
      <c r="B73" s="2" t="s">
        <v>22</v>
      </c>
      <c r="C73" s="2" t="s">
        <v>23</v>
      </c>
      <c r="D73" s="2" t="s">
        <v>85</v>
      </c>
      <c r="E73" s="2" t="s">
        <v>84</v>
      </c>
      <c r="F73" s="2" t="s">
        <v>175</v>
      </c>
      <c r="G73" s="2" t="s">
        <v>174</v>
      </c>
      <c r="H73" s="2" t="s">
        <v>1310</v>
      </c>
      <c r="I73" s="2" t="s">
        <v>833</v>
      </c>
      <c r="J73" s="2" t="s">
        <v>3170</v>
      </c>
      <c r="K73" s="2" t="s">
        <v>3171</v>
      </c>
      <c r="L73" s="2" t="s">
        <v>2074</v>
      </c>
      <c r="M73" s="2">
        <v>350</v>
      </c>
      <c r="N73" s="2" t="s">
        <v>1658</v>
      </c>
      <c r="O73" s="2">
        <v>3</v>
      </c>
      <c r="P73" s="2">
        <v>16</v>
      </c>
      <c r="Q73" s="2" t="s">
        <v>32</v>
      </c>
      <c r="R73" s="2">
        <v>0</v>
      </c>
      <c r="S73" s="2" t="s">
        <v>1660</v>
      </c>
      <c r="T73" s="2">
        <v>0</v>
      </c>
      <c r="U73" s="2" t="s">
        <v>32</v>
      </c>
      <c r="V73" s="2" t="s">
        <v>32</v>
      </c>
      <c r="W73" s="1" t="s">
        <v>1660</v>
      </c>
      <c r="X73" s="1">
        <v>0</v>
      </c>
      <c r="Y73" s="1" t="s">
        <v>32</v>
      </c>
      <c r="Z73" s="1" t="s">
        <v>32</v>
      </c>
      <c r="AA73" s="1" t="s">
        <v>1658</v>
      </c>
      <c r="AB73" s="1">
        <v>3</v>
      </c>
      <c r="AC73" s="1" t="s">
        <v>1660</v>
      </c>
      <c r="AD73" s="1">
        <v>0</v>
      </c>
      <c r="AE73" s="1" t="s">
        <v>1658</v>
      </c>
      <c r="AF73" s="1">
        <v>13</v>
      </c>
      <c r="AG73" s="1">
        <v>58</v>
      </c>
      <c r="AH73" s="1" t="s">
        <v>1660</v>
      </c>
      <c r="AI73" s="1" t="s">
        <v>32</v>
      </c>
      <c r="AJ73" s="1" t="s">
        <v>32</v>
      </c>
      <c r="AK73" s="1" t="s">
        <v>32</v>
      </c>
      <c r="AL73" s="1" t="s">
        <v>32</v>
      </c>
      <c r="AM73" s="1">
        <v>0</v>
      </c>
      <c r="AN73" s="1" t="s">
        <v>1660</v>
      </c>
      <c r="AO73" s="1">
        <v>0</v>
      </c>
      <c r="AP73" s="1" t="s">
        <v>32</v>
      </c>
      <c r="AQ73" s="1" t="s">
        <v>32</v>
      </c>
      <c r="AR73" s="1" t="s">
        <v>1660</v>
      </c>
      <c r="AS73" s="1">
        <v>0</v>
      </c>
      <c r="AT73" s="1" t="s">
        <v>32</v>
      </c>
      <c r="AU73" s="1" t="s">
        <v>32</v>
      </c>
      <c r="AV73" s="1" t="s">
        <v>1658</v>
      </c>
      <c r="AW73" s="1">
        <v>13</v>
      </c>
      <c r="AX73" s="1" t="s">
        <v>1660</v>
      </c>
      <c r="AY73" s="1">
        <v>0</v>
      </c>
      <c r="AZ73" s="1" t="s">
        <v>1658</v>
      </c>
      <c r="BA73" s="1">
        <v>15</v>
      </c>
      <c r="BB73" s="1">
        <v>57</v>
      </c>
      <c r="BC73" s="1" t="s">
        <v>1658</v>
      </c>
      <c r="BD73" s="1">
        <v>15</v>
      </c>
      <c r="BE73" s="1" t="s">
        <v>32</v>
      </c>
      <c r="BF73" s="1">
        <v>0</v>
      </c>
      <c r="BG73" s="1" t="s">
        <v>1660</v>
      </c>
      <c r="BH73" s="1">
        <v>0</v>
      </c>
      <c r="BI73" s="1" t="s">
        <v>32</v>
      </c>
      <c r="BJ73" s="1" t="s">
        <v>32</v>
      </c>
      <c r="BK73" s="1" t="s">
        <v>1660</v>
      </c>
      <c r="BL73" s="1">
        <v>0</v>
      </c>
      <c r="BM73" s="1" t="s">
        <v>32</v>
      </c>
      <c r="BN73" s="1" t="s">
        <v>32</v>
      </c>
      <c r="BO73" s="1" t="s">
        <v>1660</v>
      </c>
      <c r="BP73" s="1">
        <v>0</v>
      </c>
      <c r="BQ73" s="1" t="s">
        <v>1660</v>
      </c>
      <c r="BR73" s="1">
        <v>0</v>
      </c>
      <c r="BS73" s="1" t="s">
        <v>1660</v>
      </c>
      <c r="BT73" s="1">
        <v>0</v>
      </c>
      <c r="BU73" s="1">
        <v>0</v>
      </c>
      <c r="BV73" s="1" t="s">
        <v>1660</v>
      </c>
      <c r="BW73" s="1"/>
      <c r="BX73" s="1"/>
      <c r="BY73" s="1" t="s">
        <v>1807</v>
      </c>
      <c r="BZ73" s="2" t="b">
        <f>OR( (Dashboard[[#This Row],[ref_as_hh]]&gt;=1),(Dashboard[[#This Row],[ret_as_hh]] &gt;=1), (Dashboard[[#This Row],[idp_as_hh]]&gt;=1))</f>
        <v>1</v>
      </c>
      <c r="CA73" s="2">
        <f>Dashboard[[#This Row],[ret_hi_hh]]</f>
        <v>15</v>
      </c>
      <c r="CB73" s="2">
        <f>Dashboard[[#This Row],[idp_fa_hh]]+Dashboard[[#This Row],[ref_fa_hh]]+Dashboard[[#This Row],[ret_fa_hh]]</f>
        <v>0</v>
      </c>
      <c r="CC73" s="2">
        <f>Dashboard[[#This Row],[idp_loc_hh]]+Dashboard[[#This Row],[ref_loc_hh]]+Dashboard[[#This Row],[ret_loc_hh]]</f>
        <v>0</v>
      </c>
      <c r="CD73" s="2">
        <f>Dashboard[[#This Row],[idp_cc_hh]]+Dashboard[[#This Row],[ref_cc_hh]]+Dashboard[[#This Row],[ret_cc_hh]]</f>
        <v>0</v>
      </c>
      <c r="CE73" s="2">
        <f>Dashboard[[#This Row],[idp_as_hh]]+Dashboard[[#This Row],[ref_as_hh]]+Dashboard[[#This Row],[ret_as_hh]]</f>
        <v>16</v>
      </c>
      <c r="CF73" s="2">
        <f>Dashboard[[#This Row],[idp_al_hh]]+Dashboard[[#This Row],[ref_al_hh]]+Dashboard[[#This Row],[ret_al_hh]]</f>
        <v>0</v>
      </c>
    </row>
    <row r="74" spans="1:84" hidden="1" x14ac:dyDescent="0.25">
      <c r="A74" s="27">
        <v>27</v>
      </c>
      <c r="B74" s="2" t="s">
        <v>22</v>
      </c>
      <c r="C74" s="2" t="s">
        <v>23</v>
      </c>
      <c r="D74" s="2" t="s">
        <v>85</v>
      </c>
      <c r="E74" s="2" t="s">
        <v>84</v>
      </c>
      <c r="F74" s="2" t="s">
        <v>173</v>
      </c>
      <c r="G74" s="2" t="s">
        <v>172</v>
      </c>
      <c r="H74" s="2" t="s">
        <v>986</v>
      </c>
      <c r="I74" s="2" t="s">
        <v>771</v>
      </c>
      <c r="J74" s="2" t="s">
        <v>2476</v>
      </c>
      <c r="K74" s="2" t="s">
        <v>2477</v>
      </c>
      <c r="L74" s="2" t="s">
        <v>2074</v>
      </c>
      <c r="M74" s="2">
        <v>1240</v>
      </c>
      <c r="N74" s="2" t="s">
        <v>1658</v>
      </c>
      <c r="O74" s="2">
        <v>4</v>
      </c>
      <c r="P74" s="2">
        <v>47</v>
      </c>
      <c r="Q74" s="2" t="s">
        <v>1658</v>
      </c>
      <c r="R74" s="2">
        <v>4</v>
      </c>
      <c r="S74" s="2" t="s">
        <v>1660</v>
      </c>
      <c r="T74" s="2">
        <v>0</v>
      </c>
      <c r="U74" s="2" t="s">
        <v>32</v>
      </c>
      <c r="V74" s="2" t="s">
        <v>32</v>
      </c>
      <c r="W74" s="1" t="s">
        <v>1660</v>
      </c>
      <c r="X74" s="1">
        <v>0</v>
      </c>
      <c r="Y74" s="1" t="s">
        <v>32</v>
      </c>
      <c r="Z74" s="1" t="s">
        <v>32</v>
      </c>
      <c r="AA74" s="1" t="s">
        <v>1660</v>
      </c>
      <c r="AB74" s="1">
        <v>0</v>
      </c>
      <c r="AC74" s="1" t="s">
        <v>1660</v>
      </c>
      <c r="AD74" s="1">
        <v>0</v>
      </c>
      <c r="AE74" s="1" t="s">
        <v>1660</v>
      </c>
      <c r="AF74" s="1">
        <v>0</v>
      </c>
      <c r="AG74" s="1">
        <v>0</v>
      </c>
      <c r="AH74" s="1" t="s">
        <v>32</v>
      </c>
      <c r="AI74" s="1" t="s">
        <v>32</v>
      </c>
      <c r="AJ74" s="1" t="s">
        <v>32</v>
      </c>
      <c r="AK74" s="1" t="s">
        <v>32</v>
      </c>
      <c r="AL74" s="1" t="s">
        <v>32</v>
      </c>
      <c r="AM74" s="1">
        <v>0</v>
      </c>
      <c r="AN74" s="1" t="s">
        <v>32</v>
      </c>
      <c r="AO74" s="1">
        <v>0</v>
      </c>
      <c r="AP74" s="1" t="s">
        <v>32</v>
      </c>
      <c r="AQ74" s="1" t="s">
        <v>32</v>
      </c>
      <c r="AR74" s="1" t="s">
        <v>32</v>
      </c>
      <c r="AS74" s="1">
        <v>0</v>
      </c>
      <c r="AT74" s="1" t="s">
        <v>32</v>
      </c>
      <c r="AU74" s="1" t="s">
        <v>32</v>
      </c>
      <c r="AV74" s="1" t="s">
        <v>32</v>
      </c>
      <c r="AW74" s="1">
        <v>0</v>
      </c>
      <c r="AX74" s="1" t="s">
        <v>32</v>
      </c>
      <c r="AY74" s="1">
        <v>0</v>
      </c>
      <c r="AZ74" s="1" t="s">
        <v>1660</v>
      </c>
      <c r="BA74" s="1">
        <v>0</v>
      </c>
      <c r="BB74" s="1">
        <v>0</v>
      </c>
      <c r="BC74" s="1" t="s">
        <v>32</v>
      </c>
      <c r="BD74" s="1">
        <v>0</v>
      </c>
      <c r="BE74" s="1" t="s">
        <v>32</v>
      </c>
      <c r="BF74" s="1">
        <v>0</v>
      </c>
      <c r="BG74" s="1" t="s">
        <v>32</v>
      </c>
      <c r="BH74" s="1">
        <v>0</v>
      </c>
      <c r="BI74" s="1" t="s">
        <v>32</v>
      </c>
      <c r="BJ74" s="1" t="s">
        <v>32</v>
      </c>
      <c r="BK74" s="1" t="s">
        <v>32</v>
      </c>
      <c r="BL74" s="1">
        <v>0</v>
      </c>
      <c r="BM74" s="1" t="s">
        <v>32</v>
      </c>
      <c r="BN74" s="1" t="s">
        <v>32</v>
      </c>
      <c r="BO74" s="1" t="s">
        <v>32</v>
      </c>
      <c r="BP74" s="1">
        <v>0</v>
      </c>
      <c r="BQ74" s="1" t="s">
        <v>32</v>
      </c>
      <c r="BR74" s="1">
        <v>0</v>
      </c>
      <c r="BS74" s="1" t="s">
        <v>1660</v>
      </c>
      <c r="BT74" s="1">
        <v>0</v>
      </c>
      <c r="BU74" s="1">
        <v>0</v>
      </c>
      <c r="BV74" s="1" t="s">
        <v>1660</v>
      </c>
      <c r="BW74" s="1"/>
      <c r="BX74" s="1"/>
      <c r="BY74" s="1" t="s">
        <v>1807</v>
      </c>
      <c r="BZ74" s="2" t="b">
        <f>OR( (Dashboard[[#This Row],[ref_as_hh]]&gt;=1),(Dashboard[[#This Row],[ret_as_hh]] &gt;=1), (Dashboard[[#This Row],[idp_as_hh]]&gt;=1))</f>
        <v>0</v>
      </c>
      <c r="CA74" s="2">
        <f>Dashboard[[#This Row],[ret_hi_hh]]</f>
        <v>0</v>
      </c>
      <c r="CB74" s="2">
        <f>Dashboard[[#This Row],[idp_fa_hh]]+Dashboard[[#This Row],[ref_fa_hh]]+Dashboard[[#This Row],[ret_fa_hh]]</f>
        <v>4</v>
      </c>
      <c r="CC74" s="2">
        <f>Dashboard[[#This Row],[idp_loc_hh]]+Dashboard[[#This Row],[ref_loc_hh]]+Dashboard[[#This Row],[ret_loc_hh]]</f>
        <v>0</v>
      </c>
      <c r="CD74" s="2">
        <f>Dashboard[[#This Row],[idp_cc_hh]]+Dashboard[[#This Row],[ref_cc_hh]]+Dashboard[[#This Row],[ret_cc_hh]]</f>
        <v>0</v>
      </c>
      <c r="CE74" s="2">
        <f>Dashboard[[#This Row],[idp_as_hh]]+Dashboard[[#This Row],[ref_as_hh]]+Dashboard[[#This Row],[ret_as_hh]]</f>
        <v>0</v>
      </c>
      <c r="CF74" s="2">
        <f>Dashboard[[#This Row],[idp_al_hh]]+Dashboard[[#This Row],[ref_al_hh]]+Dashboard[[#This Row],[ret_al_hh]]</f>
        <v>0</v>
      </c>
    </row>
    <row r="75" spans="1:84" hidden="1" x14ac:dyDescent="0.25">
      <c r="A75" s="27">
        <v>28</v>
      </c>
      <c r="B75" s="2" t="s">
        <v>22</v>
      </c>
      <c r="C75" s="2" t="s">
        <v>23</v>
      </c>
      <c r="D75" s="2" t="s">
        <v>85</v>
      </c>
      <c r="E75" s="2" t="s">
        <v>84</v>
      </c>
      <c r="F75" s="2" t="s">
        <v>173</v>
      </c>
      <c r="G75" s="2" t="s">
        <v>172</v>
      </c>
      <c r="H75" s="2" t="s">
        <v>972</v>
      </c>
      <c r="I75" s="2" t="s">
        <v>293</v>
      </c>
      <c r="J75" s="2" t="s">
        <v>2448</v>
      </c>
      <c r="K75" s="2" t="s">
        <v>2449</v>
      </c>
      <c r="L75" s="2" t="s">
        <v>2074</v>
      </c>
      <c r="M75" s="2">
        <v>2627</v>
      </c>
      <c r="N75" s="2" t="s">
        <v>1658</v>
      </c>
      <c r="O75" s="2">
        <v>28</v>
      </c>
      <c r="P75" s="2">
        <v>128</v>
      </c>
      <c r="Q75" s="2" t="s">
        <v>1658</v>
      </c>
      <c r="R75" s="2">
        <v>28</v>
      </c>
      <c r="S75" s="2" t="s">
        <v>1660</v>
      </c>
      <c r="T75" s="2">
        <v>0</v>
      </c>
      <c r="U75" s="2" t="s">
        <v>32</v>
      </c>
      <c r="V75" s="2" t="s">
        <v>32</v>
      </c>
      <c r="W75" s="1" t="s">
        <v>1660</v>
      </c>
      <c r="X75" s="1">
        <v>0</v>
      </c>
      <c r="Y75" s="1" t="s">
        <v>32</v>
      </c>
      <c r="Z75" s="1" t="s">
        <v>32</v>
      </c>
      <c r="AA75" s="1" t="s">
        <v>1660</v>
      </c>
      <c r="AB75" s="1">
        <v>0</v>
      </c>
      <c r="AC75" s="1" t="s">
        <v>1660</v>
      </c>
      <c r="AD75" s="1">
        <v>0</v>
      </c>
      <c r="AE75" s="1" t="s">
        <v>1660</v>
      </c>
      <c r="AF75" s="1">
        <v>0</v>
      </c>
      <c r="AG75" s="1">
        <v>0</v>
      </c>
      <c r="AH75" s="1" t="s">
        <v>32</v>
      </c>
      <c r="AI75" s="1" t="s">
        <v>32</v>
      </c>
      <c r="AJ75" s="1" t="s">
        <v>32</v>
      </c>
      <c r="AK75" s="1" t="s">
        <v>32</v>
      </c>
      <c r="AL75" s="1" t="s">
        <v>32</v>
      </c>
      <c r="AM75" s="1">
        <v>0</v>
      </c>
      <c r="AN75" s="1" t="s">
        <v>32</v>
      </c>
      <c r="AO75" s="1">
        <v>0</v>
      </c>
      <c r="AP75" s="1" t="s">
        <v>32</v>
      </c>
      <c r="AQ75" s="1" t="s">
        <v>32</v>
      </c>
      <c r="AR75" s="1" t="s">
        <v>32</v>
      </c>
      <c r="AS75" s="1">
        <v>0</v>
      </c>
      <c r="AT75" s="1" t="s">
        <v>32</v>
      </c>
      <c r="AU75" s="1" t="s">
        <v>32</v>
      </c>
      <c r="AV75" s="1" t="s">
        <v>32</v>
      </c>
      <c r="AW75" s="1">
        <v>0</v>
      </c>
      <c r="AX75" s="1" t="s">
        <v>32</v>
      </c>
      <c r="AY75" s="1">
        <v>0</v>
      </c>
      <c r="AZ75" s="1" t="s">
        <v>1660</v>
      </c>
      <c r="BA75" s="1">
        <v>0</v>
      </c>
      <c r="BB75" s="1">
        <v>0</v>
      </c>
      <c r="BC75" s="1" t="s">
        <v>32</v>
      </c>
      <c r="BD75" s="1">
        <v>0</v>
      </c>
      <c r="BE75" s="1" t="s">
        <v>32</v>
      </c>
      <c r="BF75" s="1">
        <v>0</v>
      </c>
      <c r="BG75" s="1" t="s">
        <v>32</v>
      </c>
      <c r="BH75" s="1">
        <v>0</v>
      </c>
      <c r="BI75" s="1" t="s">
        <v>32</v>
      </c>
      <c r="BJ75" s="1" t="s">
        <v>32</v>
      </c>
      <c r="BK75" s="1" t="s">
        <v>32</v>
      </c>
      <c r="BL75" s="1">
        <v>0</v>
      </c>
      <c r="BM75" s="1" t="s">
        <v>32</v>
      </c>
      <c r="BN75" s="1" t="s">
        <v>32</v>
      </c>
      <c r="BO75" s="1" t="s">
        <v>32</v>
      </c>
      <c r="BP75" s="1">
        <v>0</v>
      </c>
      <c r="BQ75" s="1" t="s">
        <v>32</v>
      </c>
      <c r="BR75" s="1">
        <v>0</v>
      </c>
      <c r="BS75" s="1" t="s">
        <v>1660</v>
      </c>
      <c r="BT75" s="1">
        <v>0</v>
      </c>
      <c r="BU75" s="1">
        <v>0</v>
      </c>
      <c r="BV75" s="1" t="s">
        <v>1660</v>
      </c>
      <c r="BW75" s="1"/>
      <c r="BX75" s="1"/>
      <c r="BY75" s="1" t="s">
        <v>1807</v>
      </c>
      <c r="BZ75" s="2" t="b">
        <f>OR( (Dashboard[[#This Row],[ref_as_hh]]&gt;=1),(Dashboard[[#This Row],[ret_as_hh]] &gt;=1), (Dashboard[[#This Row],[idp_as_hh]]&gt;=1))</f>
        <v>0</v>
      </c>
      <c r="CA75" s="2">
        <f>Dashboard[[#This Row],[ret_hi_hh]]</f>
        <v>0</v>
      </c>
      <c r="CB75" s="2">
        <f>Dashboard[[#This Row],[idp_fa_hh]]+Dashboard[[#This Row],[ref_fa_hh]]+Dashboard[[#This Row],[ret_fa_hh]]</f>
        <v>28</v>
      </c>
      <c r="CC75" s="2">
        <f>Dashboard[[#This Row],[idp_loc_hh]]+Dashboard[[#This Row],[ref_loc_hh]]+Dashboard[[#This Row],[ret_loc_hh]]</f>
        <v>0</v>
      </c>
      <c r="CD75" s="2">
        <f>Dashboard[[#This Row],[idp_cc_hh]]+Dashboard[[#This Row],[ref_cc_hh]]+Dashboard[[#This Row],[ret_cc_hh]]</f>
        <v>0</v>
      </c>
      <c r="CE75" s="2">
        <f>Dashboard[[#This Row],[idp_as_hh]]+Dashboard[[#This Row],[ref_as_hh]]+Dashboard[[#This Row],[ret_as_hh]]</f>
        <v>0</v>
      </c>
      <c r="CF75" s="2">
        <f>Dashboard[[#This Row],[idp_al_hh]]+Dashboard[[#This Row],[ref_al_hh]]+Dashboard[[#This Row],[ret_al_hh]]</f>
        <v>0</v>
      </c>
    </row>
    <row r="76" spans="1:84" hidden="1" x14ac:dyDescent="0.25">
      <c r="A76" s="27">
        <v>29</v>
      </c>
      <c r="B76" s="2" t="s">
        <v>22</v>
      </c>
      <c r="C76" s="2" t="s">
        <v>23</v>
      </c>
      <c r="D76" s="2" t="s">
        <v>85</v>
      </c>
      <c r="E76" s="2" t="s">
        <v>84</v>
      </c>
      <c r="F76" s="2" t="s">
        <v>173</v>
      </c>
      <c r="G76" s="2" t="s">
        <v>172</v>
      </c>
      <c r="H76" s="2" t="s">
        <v>994</v>
      </c>
      <c r="I76" s="2" t="s">
        <v>311</v>
      </c>
      <c r="J76" s="2" t="s">
        <v>2492</v>
      </c>
      <c r="K76" s="2" t="s">
        <v>2493</v>
      </c>
      <c r="L76" s="2" t="s">
        <v>2074</v>
      </c>
      <c r="M76" s="2">
        <v>1906</v>
      </c>
      <c r="N76" s="2" t="s">
        <v>1658</v>
      </c>
      <c r="O76" s="2">
        <v>10</v>
      </c>
      <c r="P76" s="2">
        <v>62</v>
      </c>
      <c r="Q76" s="2" t="s">
        <v>1658</v>
      </c>
      <c r="R76" s="2">
        <v>10</v>
      </c>
      <c r="S76" s="2" t="s">
        <v>1660</v>
      </c>
      <c r="T76" s="2">
        <v>0</v>
      </c>
      <c r="U76" s="2" t="s">
        <v>32</v>
      </c>
      <c r="V76" s="2" t="s">
        <v>32</v>
      </c>
      <c r="W76" s="1" t="s">
        <v>1660</v>
      </c>
      <c r="X76" s="1">
        <v>0</v>
      </c>
      <c r="Y76" s="1" t="s">
        <v>32</v>
      </c>
      <c r="Z76" s="1" t="s">
        <v>32</v>
      </c>
      <c r="AA76" s="1" t="s">
        <v>1660</v>
      </c>
      <c r="AB76" s="1">
        <v>0</v>
      </c>
      <c r="AC76" s="1" t="s">
        <v>1660</v>
      </c>
      <c r="AD76" s="1">
        <v>0</v>
      </c>
      <c r="AE76" s="1" t="s">
        <v>1660</v>
      </c>
      <c r="AF76" s="1">
        <v>0</v>
      </c>
      <c r="AG76" s="1">
        <v>0</v>
      </c>
      <c r="AH76" s="1" t="s">
        <v>32</v>
      </c>
      <c r="AI76" s="1" t="s">
        <v>32</v>
      </c>
      <c r="AJ76" s="1" t="s">
        <v>32</v>
      </c>
      <c r="AK76" s="1" t="s">
        <v>32</v>
      </c>
      <c r="AL76" s="1" t="s">
        <v>32</v>
      </c>
      <c r="AM76" s="1">
        <v>0</v>
      </c>
      <c r="AN76" s="1" t="s">
        <v>32</v>
      </c>
      <c r="AO76" s="1">
        <v>0</v>
      </c>
      <c r="AP76" s="1" t="s">
        <v>32</v>
      </c>
      <c r="AQ76" s="1" t="s">
        <v>32</v>
      </c>
      <c r="AR76" s="1" t="s">
        <v>32</v>
      </c>
      <c r="AS76" s="1">
        <v>0</v>
      </c>
      <c r="AT76" s="1" t="s">
        <v>32</v>
      </c>
      <c r="AU76" s="1" t="s">
        <v>32</v>
      </c>
      <c r="AV76" s="1" t="s">
        <v>32</v>
      </c>
      <c r="AW76" s="1">
        <v>0</v>
      </c>
      <c r="AX76" s="1" t="s">
        <v>32</v>
      </c>
      <c r="AY76" s="1">
        <v>0</v>
      </c>
      <c r="AZ76" s="1" t="s">
        <v>1660</v>
      </c>
      <c r="BA76" s="1">
        <v>0</v>
      </c>
      <c r="BB76" s="1">
        <v>0</v>
      </c>
      <c r="BC76" s="1" t="s">
        <v>32</v>
      </c>
      <c r="BD76" s="1">
        <v>0</v>
      </c>
      <c r="BE76" s="1" t="s">
        <v>32</v>
      </c>
      <c r="BF76" s="1">
        <v>0</v>
      </c>
      <c r="BG76" s="1" t="s">
        <v>32</v>
      </c>
      <c r="BH76" s="1">
        <v>0</v>
      </c>
      <c r="BI76" s="1" t="s">
        <v>32</v>
      </c>
      <c r="BJ76" s="1" t="s">
        <v>32</v>
      </c>
      <c r="BK76" s="1" t="s">
        <v>32</v>
      </c>
      <c r="BL76" s="1">
        <v>0</v>
      </c>
      <c r="BM76" s="1" t="s">
        <v>32</v>
      </c>
      <c r="BN76" s="1" t="s">
        <v>32</v>
      </c>
      <c r="BO76" s="1" t="s">
        <v>32</v>
      </c>
      <c r="BP76" s="1">
        <v>0</v>
      </c>
      <c r="BQ76" s="1" t="s">
        <v>32</v>
      </c>
      <c r="BR76" s="1">
        <v>0</v>
      </c>
      <c r="BS76" s="1" t="s">
        <v>1660</v>
      </c>
      <c r="BT76" s="1">
        <v>0</v>
      </c>
      <c r="BU76" s="1">
        <v>0</v>
      </c>
      <c r="BV76" s="1" t="s">
        <v>1660</v>
      </c>
      <c r="BW76" s="1"/>
      <c r="BX76" s="1"/>
      <c r="BY76" s="1" t="s">
        <v>1807</v>
      </c>
      <c r="BZ76" s="2" t="b">
        <f>OR( (Dashboard[[#This Row],[ref_as_hh]]&gt;=1),(Dashboard[[#This Row],[ret_as_hh]] &gt;=1), (Dashboard[[#This Row],[idp_as_hh]]&gt;=1))</f>
        <v>0</v>
      </c>
      <c r="CA76" s="2">
        <f>Dashboard[[#This Row],[ret_hi_hh]]</f>
        <v>0</v>
      </c>
      <c r="CB76" s="2">
        <f>Dashboard[[#This Row],[idp_fa_hh]]+Dashboard[[#This Row],[ref_fa_hh]]+Dashboard[[#This Row],[ret_fa_hh]]</f>
        <v>10</v>
      </c>
      <c r="CC76" s="2">
        <f>Dashboard[[#This Row],[idp_loc_hh]]+Dashboard[[#This Row],[ref_loc_hh]]+Dashboard[[#This Row],[ret_loc_hh]]</f>
        <v>0</v>
      </c>
      <c r="CD76" s="2">
        <f>Dashboard[[#This Row],[idp_cc_hh]]+Dashboard[[#This Row],[ref_cc_hh]]+Dashboard[[#This Row],[ret_cc_hh]]</f>
        <v>0</v>
      </c>
      <c r="CE76" s="2">
        <f>Dashboard[[#This Row],[idp_as_hh]]+Dashboard[[#This Row],[ref_as_hh]]+Dashboard[[#This Row],[ret_as_hh]]</f>
        <v>0</v>
      </c>
      <c r="CF76" s="2">
        <f>Dashboard[[#This Row],[idp_al_hh]]+Dashboard[[#This Row],[ref_al_hh]]+Dashboard[[#This Row],[ret_al_hh]]</f>
        <v>0</v>
      </c>
    </row>
    <row r="77" spans="1:84" hidden="1" x14ac:dyDescent="0.25">
      <c r="A77" s="27">
        <v>30</v>
      </c>
      <c r="B77" s="2" t="s">
        <v>22</v>
      </c>
      <c r="C77" s="2" t="s">
        <v>23</v>
      </c>
      <c r="D77" s="2" t="s">
        <v>85</v>
      </c>
      <c r="E77" s="2" t="s">
        <v>84</v>
      </c>
      <c r="F77" s="2" t="s">
        <v>173</v>
      </c>
      <c r="G77" s="2" t="s">
        <v>172</v>
      </c>
      <c r="H77" s="2" t="s">
        <v>976</v>
      </c>
      <c r="I77" s="2" t="s">
        <v>297</v>
      </c>
      <c r="J77" s="2" t="s">
        <v>2456</v>
      </c>
      <c r="K77" s="2" t="s">
        <v>2457</v>
      </c>
      <c r="L77" s="2" t="s">
        <v>2074</v>
      </c>
      <c r="M77" s="2">
        <v>623</v>
      </c>
      <c r="N77" s="2" t="s">
        <v>1658</v>
      </c>
      <c r="O77" s="2">
        <v>6</v>
      </c>
      <c r="P77" s="2">
        <v>42</v>
      </c>
      <c r="Q77" s="2" t="s">
        <v>1658</v>
      </c>
      <c r="R77" s="2">
        <v>6</v>
      </c>
      <c r="S77" s="2" t="s">
        <v>1660</v>
      </c>
      <c r="T77" s="2">
        <v>0</v>
      </c>
      <c r="U77" s="2" t="s">
        <v>32</v>
      </c>
      <c r="V77" s="2" t="s">
        <v>32</v>
      </c>
      <c r="W77" s="1" t="s">
        <v>1660</v>
      </c>
      <c r="X77" s="1">
        <v>0</v>
      </c>
      <c r="Y77" s="1" t="s">
        <v>32</v>
      </c>
      <c r="Z77" s="1" t="s">
        <v>32</v>
      </c>
      <c r="AA77" s="1" t="s">
        <v>1660</v>
      </c>
      <c r="AB77" s="1">
        <v>0</v>
      </c>
      <c r="AC77" s="1" t="s">
        <v>1660</v>
      </c>
      <c r="AD77" s="1">
        <v>0</v>
      </c>
      <c r="AE77" s="1" t="s">
        <v>1660</v>
      </c>
      <c r="AF77" s="1">
        <v>0</v>
      </c>
      <c r="AG77" s="1">
        <v>0</v>
      </c>
      <c r="AH77" s="1" t="s">
        <v>32</v>
      </c>
      <c r="AI77" s="1" t="s">
        <v>32</v>
      </c>
      <c r="AJ77" s="1" t="s">
        <v>32</v>
      </c>
      <c r="AK77" s="1" t="s">
        <v>32</v>
      </c>
      <c r="AL77" s="1" t="s">
        <v>32</v>
      </c>
      <c r="AM77" s="1">
        <v>0</v>
      </c>
      <c r="AN77" s="1" t="s">
        <v>32</v>
      </c>
      <c r="AO77" s="1">
        <v>0</v>
      </c>
      <c r="AP77" s="1" t="s">
        <v>32</v>
      </c>
      <c r="AQ77" s="1" t="s">
        <v>32</v>
      </c>
      <c r="AR77" s="1" t="s">
        <v>32</v>
      </c>
      <c r="AS77" s="1">
        <v>0</v>
      </c>
      <c r="AT77" s="1" t="s">
        <v>32</v>
      </c>
      <c r="AU77" s="1" t="s">
        <v>32</v>
      </c>
      <c r="AV77" s="1" t="s">
        <v>32</v>
      </c>
      <c r="AW77" s="1">
        <v>0</v>
      </c>
      <c r="AX77" s="1" t="s">
        <v>32</v>
      </c>
      <c r="AY77" s="1">
        <v>0</v>
      </c>
      <c r="AZ77" s="1" t="s">
        <v>1660</v>
      </c>
      <c r="BA77" s="1">
        <v>0</v>
      </c>
      <c r="BB77" s="1">
        <v>0</v>
      </c>
      <c r="BC77" s="1" t="s">
        <v>32</v>
      </c>
      <c r="BD77" s="1">
        <v>0</v>
      </c>
      <c r="BE77" s="1" t="s">
        <v>32</v>
      </c>
      <c r="BF77" s="1">
        <v>0</v>
      </c>
      <c r="BG77" s="1" t="s">
        <v>32</v>
      </c>
      <c r="BH77" s="1">
        <v>0</v>
      </c>
      <c r="BI77" s="1" t="s">
        <v>32</v>
      </c>
      <c r="BJ77" s="1" t="s">
        <v>32</v>
      </c>
      <c r="BK77" s="1" t="s">
        <v>32</v>
      </c>
      <c r="BL77" s="1">
        <v>0</v>
      </c>
      <c r="BM77" s="1" t="s">
        <v>32</v>
      </c>
      <c r="BN77" s="1" t="s">
        <v>32</v>
      </c>
      <c r="BO77" s="1" t="s">
        <v>32</v>
      </c>
      <c r="BP77" s="1">
        <v>0</v>
      </c>
      <c r="BQ77" s="1" t="s">
        <v>32</v>
      </c>
      <c r="BR77" s="1">
        <v>0</v>
      </c>
      <c r="BS77" s="1" t="s">
        <v>1660</v>
      </c>
      <c r="BT77" s="1">
        <v>0</v>
      </c>
      <c r="BU77" s="1">
        <v>0</v>
      </c>
      <c r="BV77" s="1" t="s">
        <v>1660</v>
      </c>
      <c r="BW77" s="1"/>
      <c r="BX77" s="1"/>
      <c r="BY77" s="1" t="s">
        <v>1807</v>
      </c>
      <c r="BZ77" s="2" t="b">
        <f>OR( (Dashboard[[#This Row],[ref_as_hh]]&gt;=1),(Dashboard[[#This Row],[ret_as_hh]] &gt;=1), (Dashboard[[#This Row],[idp_as_hh]]&gt;=1))</f>
        <v>0</v>
      </c>
      <c r="CA77" s="2">
        <f>Dashboard[[#This Row],[ret_hi_hh]]</f>
        <v>0</v>
      </c>
      <c r="CB77" s="2">
        <f>Dashboard[[#This Row],[idp_fa_hh]]+Dashboard[[#This Row],[ref_fa_hh]]+Dashboard[[#This Row],[ret_fa_hh]]</f>
        <v>6</v>
      </c>
      <c r="CC77" s="2">
        <f>Dashboard[[#This Row],[idp_loc_hh]]+Dashboard[[#This Row],[ref_loc_hh]]+Dashboard[[#This Row],[ret_loc_hh]]</f>
        <v>0</v>
      </c>
      <c r="CD77" s="2">
        <f>Dashboard[[#This Row],[idp_cc_hh]]+Dashboard[[#This Row],[ref_cc_hh]]+Dashboard[[#This Row],[ret_cc_hh]]</f>
        <v>0</v>
      </c>
      <c r="CE77" s="2">
        <f>Dashboard[[#This Row],[idp_as_hh]]+Dashboard[[#This Row],[ref_as_hh]]+Dashboard[[#This Row],[ret_as_hh]]</f>
        <v>0</v>
      </c>
      <c r="CF77" s="2">
        <f>Dashboard[[#This Row],[idp_al_hh]]+Dashboard[[#This Row],[ref_al_hh]]+Dashboard[[#This Row],[ret_al_hh]]</f>
        <v>0</v>
      </c>
    </row>
    <row r="78" spans="1:84" hidden="1" x14ac:dyDescent="0.25">
      <c r="A78" s="27">
        <v>31</v>
      </c>
      <c r="B78" s="2" t="s">
        <v>22</v>
      </c>
      <c r="C78" s="2" t="s">
        <v>23</v>
      </c>
      <c r="D78" s="2" t="s">
        <v>85</v>
      </c>
      <c r="E78" s="2" t="s">
        <v>84</v>
      </c>
      <c r="F78" s="2" t="s">
        <v>173</v>
      </c>
      <c r="G78" s="2" t="s">
        <v>172</v>
      </c>
      <c r="H78" s="2" t="s">
        <v>975</v>
      </c>
      <c r="I78" s="2" t="s">
        <v>296</v>
      </c>
      <c r="J78" s="2" t="s">
        <v>2454</v>
      </c>
      <c r="K78" s="2" t="s">
        <v>2455</v>
      </c>
      <c r="L78" s="2" t="s">
        <v>2074</v>
      </c>
      <c r="M78" s="2">
        <v>883</v>
      </c>
      <c r="N78" s="2" t="s">
        <v>1658</v>
      </c>
      <c r="O78" s="2">
        <v>6</v>
      </c>
      <c r="P78" s="2">
        <v>53</v>
      </c>
      <c r="Q78" s="2" t="s">
        <v>1658</v>
      </c>
      <c r="R78" s="2">
        <v>6</v>
      </c>
      <c r="S78" s="2" t="s">
        <v>1660</v>
      </c>
      <c r="T78" s="2">
        <v>0</v>
      </c>
      <c r="U78" s="2" t="s">
        <v>32</v>
      </c>
      <c r="V78" s="2" t="s">
        <v>32</v>
      </c>
      <c r="W78" s="1" t="s">
        <v>1660</v>
      </c>
      <c r="X78" s="1">
        <v>0</v>
      </c>
      <c r="Y78" s="1" t="s">
        <v>32</v>
      </c>
      <c r="Z78" s="1" t="s">
        <v>32</v>
      </c>
      <c r="AA78" s="1" t="s">
        <v>1660</v>
      </c>
      <c r="AB78" s="1">
        <v>0</v>
      </c>
      <c r="AC78" s="1" t="s">
        <v>1660</v>
      </c>
      <c r="AD78" s="1">
        <v>0</v>
      </c>
      <c r="AE78" s="1" t="s">
        <v>1660</v>
      </c>
      <c r="AF78" s="1">
        <v>0</v>
      </c>
      <c r="AG78" s="1">
        <v>0</v>
      </c>
      <c r="AH78" s="1" t="s">
        <v>32</v>
      </c>
      <c r="AI78" s="1" t="s">
        <v>32</v>
      </c>
      <c r="AJ78" s="1" t="s">
        <v>32</v>
      </c>
      <c r="AK78" s="1" t="s">
        <v>32</v>
      </c>
      <c r="AL78" s="1" t="s">
        <v>32</v>
      </c>
      <c r="AM78" s="1">
        <v>0</v>
      </c>
      <c r="AN78" s="1" t="s">
        <v>32</v>
      </c>
      <c r="AO78" s="1">
        <v>0</v>
      </c>
      <c r="AP78" s="1" t="s">
        <v>32</v>
      </c>
      <c r="AQ78" s="1" t="s">
        <v>32</v>
      </c>
      <c r="AR78" s="1" t="s">
        <v>32</v>
      </c>
      <c r="AS78" s="1">
        <v>0</v>
      </c>
      <c r="AT78" s="1" t="s">
        <v>32</v>
      </c>
      <c r="AU78" s="1" t="s">
        <v>32</v>
      </c>
      <c r="AV78" s="1" t="s">
        <v>32</v>
      </c>
      <c r="AW78" s="1">
        <v>0</v>
      </c>
      <c r="AX78" s="1" t="s">
        <v>32</v>
      </c>
      <c r="AY78" s="1">
        <v>0</v>
      </c>
      <c r="AZ78" s="1" t="s">
        <v>1660</v>
      </c>
      <c r="BA78" s="1">
        <v>0</v>
      </c>
      <c r="BB78" s="1">
        <v>0</v>
      </c>
      <c r="BC78" s="1" t="s">
        <v>32</v>
      </c>
      <c r="BD78" s="1">
        <v>0</v>
      </c>
      <c r="BE78" s="1" t="s">
        <v>32</v>
      </c>
      <c r="BF78" s="1">
        <v>0</v>
      </c>
      <c r="BG78" s="1" t="s">
        <v>32</v>
      </c>
      <c r="BH78" s="1">
        <v>0</v>
      </c>
      <c r="BI78" s="1" t="s">
        <v>32</v>
      </c>
      <c r="BJ78" s="1" t="s">
        <v>32</v>
      </c>
      <c r="BK78" s="1" t="s">
        <v>32</v>
      </c>
      <c r="BL78" s="1">
        <v>0</v>
      </c>
      <c r="BM78" s="1" t="s">
        <v>32</v>
      </c>
      <c r="BN78" s="1" t="s">
        <v>32</v>
      </c>
      <c r="BO78" s="1" t="s">
        <v>32</v>
      </c>
      <c r="BP78" s="1">
        <v>0</v>
      </c>
      <c r="BQ78" s="1" t="s">
        <v>32</v>
      </c>
      <c r="BR78" s="1">
        <v>0</v>
      </c>
      <c r="BS78" s="1" t="s">
        <v>1660</v>
      </c>
      <c r="BT78" s="1">
        <v>0</v>
      </c>
      <c r="BU78" s="1">
        <v>0</v>
      </c>
      <c r="BV78" s="1" t="s">
        <v>1660</v>
      </c>
      <c r="BW78" s="1"/>
      <c r="BX78" s="1"/>
      <c r="BY78" s="1" t="s">
        <v>1807</v>
      </c>
      <c r="BZ78" s="2" t="b">
        <f>OR( (Dashboard[[#This Row],[ref_as_hh]]&gt;=1),(Dashboard[[#This Row],[ret_as_hh]] &gt;=1), (Dashboard[[#This Row],[idp_as_hh]]&gt;=1))</f>
        <v>0</v>
      </c>
      <c r="CA78" s="2">
        <f>Dashboard[[#This Row],[ret_hi_hh]]</f>
        <v>0</v>
      </c>
      <c r="CB78" s="2">
        <f>Dashboard[[#This Row],[idp_fa_hh]]+Dashboard[[#This Row],[ref_fa_hh]]+Dashboard[[#This Row],[ret_fa_hh]]</f>
        <v>6</v>
      </c>
      <c r="CC78" s="2">
        <f>Dashboard[[#This Row],[idp_loc_hh]]+Dashboard[[#This Row],[ref_loc_hh]]+Dashboard[[#This Row],[ret_loc_hh]]</f>
        <v>0</v>
      </c>
      <c r="CD78" s="2">
        <f>Dashboard[[#This Row],[idp_cc_hh]]+Dashboard[[#This Row],[ref_cc_hh]]+Dashboard[[#This Row],[ret_cc_hh]]</f>
        <v>0</v>
      </c>
      <c r="CE78" s="2">
        <f>Dashboard[[#This Row],[idp_as_hh]]+Dashboard[[#This Row],[ref_as_hh]]+Dashboard[[#This Row],[ret_as_hh]]</f>
        <v>0</v>
      </c>
      <c r="CF78" s="2">
        <f>Dashboard[[#This Row],[idp_al_hh]]+Dashboard[[#This Row],[ref_al_hh]]+Dashboard[[#This Row],[ret_al_hh]]</f>
        <v>0</v>
      </c>
    </row>
    <row r="79" spans="1:84" hidden="1" x14ac:dyDescent="0.25">
      <c r="A79" s="27">
        <v>37</v>
      </c>
      <c r="B79" s="2" t="s">
        <v>22</v>
      </c>
      <c r="C79" s="2" t="s">
        <v>23</v>
      </c>
      <c r="D79" s="2" t="s">
        <v>85</v>
      </c>
      <c r="E79" s="2" t="s">
        <v>84</v>
      </c>
      <c r="F79" s="2" t="s">
        <v>173</v>
      </c>
      <c r="G79" s="2" t="s">
        <v>172</v>
      </c>
      <c r="H79" s="2" t="s">
        <v>982</v>
      </c>
      <c r="I79" s="2" t="s">
        <v>697</v>
      </c>
      <c r="J79" s="2" t="s">
        <v>2468</v>
      </c>
      <c r="K79" s="2" t="s">
        <v>2469</v>
      </c>
      <c r="L79" s="2" t="s">
        <v>3693</v>
      </c>
      <c r="M79" s="2">
        <v>570</v>
      </c>
      <c r="N79" s="2" t="s">
        <v>1658</v>
      </c>
      <c r="O79" s="2">
        <v>3</v>
      </c>
      <c r="P79" s="2">
        <v>34</v>
      </c>
      <c r="Q79" s="2" t="s">
        <v>1658</v>
      </c>
      <c r="R79" s="2">
        <v>3</v>
      </c>
      <c r="S79" s="2" t="s">
        <v>1660</v>
      </c>
      <c r="T79" s="2">
        <v>0</v>
      </c>
      <c r="U79" s="2" t="s">
        <v>32</v>
      </c>
      <c r="V79" s="2" t="s">
        <v>32</v>
      </c>
      <c r="W79" s="1" t="s">
        <v>1660</v>
      </c>
      <c r="X79" s="1">
        <v>0</v>
      </c>
      <c r="Y79" s="1" t="s">
        <v>32</v>
      </c>
      <c r="Z79" s="1" t="s">
        <v>32</v>
      </c>
      <c r="AA79" s="1" t="s">
        <v>1660</v>
      </c>
      <c r="AB79" s="1">
        <v>0</v>
      </c>
      <c r="AC79" s="1" t="s">
        <v>1660</v>
      </c>
      <c r="AD79" s="1">
        <v>0</v>
      </c>
      <c r="AE79" s="1" t="s">
        <v>1660</v>
      </c>
      <c r="AF79" s="1">
        <v>0</v>
      </c>
      <c r="AG79" s="1">
        <v>0</v>
      </c>
      <c r="AH79" s="1" t="s">
        <v>32</v>
      </c>
      <c r="AI79" s="1" t="s">
        <v>32</v>
      </c>
      <c r="AJ79" s="1" t="s">
        <v>32</v>
      </c>
      <c r="AK79" s="1" t="s">
        <v>32</v>
      </c>
      <c r="AL79" s="1" t="s">
        <v>32</v>
      </c>
      <c r="AM79" s="1">
        <v>0</v>
      </c>
      <c r="AN79" s="1" t="s">
        <v>32</v>
      </c>
      <c r="AO79" s="1">
        <v>0</v>
      </c>
      <c r="AP79" s="1" t="s">
        <v>32</v>
      </c>
      <c r="AQ79" s="1" t="s">
        <v>32</v>
      </c>
      <c r="AR79" s="1" t="s">
        <v>32</v>
      </c>
      <c r="AS79" s="1">
        <v>0</v>
      </c>
      <c r="AT79" s="1" t="s">
        <v>32</v>
      </c>
      <c r="AU79" s="1" t="s">
        <v>32</v>
      </c>
      <c r="AV79" s="1" t="s">
        <v>32</v>
      </c>
      <c r="AW79" s="1">
        <v>0</v>
      </c>
      <c r="AX79" s="1" t="s">
        <v>32</v>
      </c>
      <c r="AY79" s="1">
        <v>0</v>
      </c>
      <c r="AZ79" s="1" t="s">
        <v>1660</v>
      </c>
      <c r="BA79" s="1">
        <v>0</v>
      </c>
      <c r="BB79" s="1">
        <v>0</v>
      </c>
      <c r="BC79" s="1" t="s">
        <v>32</v>
      </c>
      <c r="BD79" s="1">
        <v>0</v>
      </c>
      <c r="BE79" s="1" t="s">
        <v>32</v>
      </c>
      <c r="BF79" s="1">
        <v>0</v>
      </c>
      <c r="BG79" s="1" t="s">
        <v>32</v>
      </c>
      <c r="BH79" s="1">
        <v>0</v>
      </c>
      <c r="BI79" s="1" t="s">
        <v>32</v>
      </c>
      <c r="BJ79" s="1" t="s">
        <v>32</v>
      </c>
      <c r="BK79" s="1" t="s">
        <v>32</v>
      </c>
      <c r="BL79" s="1">
        <v>0</v>
      </c>
      <c r="BM79" s="1" t="s">
        <v>32</v>
      </c>
      <c r="BN79" s="1" t="s">
        <v>32</v>
      </c>
      <c r="BO79" s="1" t="s">
        <v>32</v>
      </c>
      <c r="BP79" s="1">
        <v>0</v>
      </c>
      <c r="BQ79" s="1" t="s">
        <v>32</v>
      </c>
      <c r="BR79" s="1">
        <v>0</v>
      </c>
      <c r="BS79" s="1" t="s">
        <v>1660</v>
      </c>
      <c r="BT79" s="1">
        <v>0</v>
      </c>
      <c r="BU79" s="1">
        <v>0</v>
      </c>
      <c r="BV79" s="1" t="s">
        <v>1660</v>
      </c>
      <c r="BW79" s="1"/>
      <c r="BX79" s="1"/>
      <c r="BY79" s="1" t="s">
        <v>1807</v>
      </c>
      <c r="BZ79" s="2" t="b">
        <f>OR( (Dashboard[[#This Row],[ref_as_hh]]&gt;=1),(Dashboard[[#This Row],[ret_as_hh]] &gt;=1), (Dashboard[[#This Row],[idp_as_hh]]&gt;=1))</f>
        <v>0</v>
      </c>
      <c r="CA79" s="2">
        <f>Dashboard[[#This Row],[ret_hi_hh]]</f>
        <v>0</v>
      </c>
      <c r="CB79" s="2">
        <f>Dashboard[[#This Row],[idp_fa_hh]]+Dashboard[[#This Row],[ref_fa_hh]]+Dashboard[[#This Row],[ret_fa_hh]]</f>
        <v>3</v>
      </c>
      <c r="CC79" s="2">
        <f>Dashboard[[#This Row],[idp_loc_hh]]+Dashboard[[#This Row],[ref_loc_hh]]+Dashboard[[#This Row],[ret_loc_hh]]</f>
        <v>0</v>
      </c>
      <c r="CD79" s="2">
        <f>Dashboard[[#This Row],[idp_cc_hh]]+Dashboard[[#This Row],[ref_cc_hh]]+Dashboard[[#This Row],[ret_cc_hh]]</f>
        <v>0</v>
      </c>
      <c r="CE79" s="2">
        <f>Dashboard[[#This Row],[idp_as_hh]]+Dashboard[[#This Row],[ref_as_hh]]+Dashboard[[#This Row],[ret_as_hh]]</f>
        <v>0</v>
      </c>
      <c r="CF79" s="2">
        <f>Dashboard[[#This Row],[idp_al_hh]]+Dashboard[[#This Row],[ref_al_hh]]+Dashboard[[#This Row],[ret_al_hh]]</f>
        <v>0</v>
      </c>
    </row>
    <row r="80" spans="1:84" hidden="1" x14ac:dyDescent="0.25">
      <c r="A80" s="27">
        <v>41</v>
      </c>
      <c r="B80" s="2" t="s">
        <v>22</v>
      </c>
      <c r="C80" s="2" t="s">
        <v>23</v>
      </c>
      <c r="D80" s="2" t="s">
        <v>85</v>
      </c>
      <c r="E80" s="2" t="s">
        <v>84</v>
      </c>
      <c r="F80" s="2" t="s">
        <v>173</v>
      </c>
      <c r="G80" s="2" t="s">
        <v>172</v>
      </c>
      <c r="H80" s="2" t="s">
        <v>980</v>
      </c>
      <c r="I80" s="2" t="s">
        <v>301</v>
      </c>
      <c r="J80" s="2" t="s">
        <v>2464</v>
      </c>
      <c r="K80" s="2" t="s">
        <v>2465</v>
      </c>
      <c r="L80" s="2" t="s">
        <v>2074</v>
      </c>
      <c r="M80" s="2">
        <v>447</v>
      </c>
      <c r="N80" s="2" t="s">
        <v>1658</v>
      </c>
      <c r="O80" s="2">
        <v>6</v>
      </c>
      <c r="P80" s="2">
        <v>37</v>
      </c>
      <c r="Q80" s="2" t="s">
        <v>1658</v>
      </c>
      <c r="R80" s="2">
        <v>6</v>
      </c>
      <c r="S80" s="2" t="s">
        <v>1660</v>
      </c>
      <c r="T80" s="2">
        <v>0</v>
      </c>
      <c r="U80" s="2" t="s">
        <v>32</v>
      </c>
      <c r="V80" s="2" t="s">
        <v>32</v>
      </c>
      <c r="W80" s="1" t="s">
        <v>1660</v>
      </c>
      <c r="X80" s="1">
        <v>0</v>
      </c>
      <c r="Y80" s="1" t="s">
        <v>32</v>
      </c>
      <c r="Z80" s="1" t="s">
        <v>32</v>
      </c>
      <c r="AA80" s="1" t="s">
        <v>1660</v>
      </c>
      <c r="AB80" s="1">
        <v>0</v>
      </c>
      <c r="AC80" s="1" t="s">
        <v>1660</v>
      </c>
      <c r="AD80" s="1">
        <v>0</v>
      </c>
      <c r="AE80" s="1" t="s">
        <v>1660</v>
      </c>
      <c r="AF80" s="1">
        <v>0</v>
      </c>
      <c r="AG80" s="1">
        <v>0</v>
      </c>
      <c r="AH80" s="1" t="s">
        <v>32</v>
      </c>
      <c r="AI80" s="1" t="s">
        <v>32</v>
      </c>
      <c r="AJ80" s="1" t="s">
        <v>32</v>
      </c>
      <c r="AK80" s="1" t="s">
        <v>32</v>
      </c>
      <c r="AL80" s="1" t="s">
        <v>32</v>
      </c>
      <c r="AM80" s="1">
        <v>0</v>
      </c>
      <c r="AN80" s="1" t="s">
        <v>32</v>
      </c>
      <c r="AO80" s="1">
        <v>0</v>
      </c>
      <c r="AP80" s="1" t="s">
        <v>32</v>
      </c>
      <c r="AQ80" s="1" t="s">
        <v>32</v>
      </c>
      <c r="AR80" s="1" t="s">
        <v>32</v>
      </c>
      <c r="AS80" s="1">
        <v>0</v>
      </c>
      <c r="AT80" s="1" t="s">
        <v>32</v>
      </c>
      <c r="AU80" s="1" t="s">
        <v>32</v>
      </c>
      <c r="AV80" s="1" t="s">
        <v>32</v>
      </c>
      <c r="AW80" s="1">
        <v>0</v>
      </c>
      <c r="AX80" s="1" t="s">
        <v>32</v>
      </c>
      <c r="AY80" s="1">
        <v>0</v>
      </c>
      <c r="AZ80" s="1" t="s">
        <v>1660</v>
      </c>
      <c r="BA80" s="1">
        <v>0</v>
      </c>
      <c r="BB80" s="1">
        <v>0</v>
      </c>
      <c r="BC80" s="1" t="s">
        <v>32</v>
      </c>
      <c r="BD80" s="1">
        <v>0</v>
      </c>
      <c r="BE80" s="1" t="s">
        <v>32</v>
      </c>
      <c r="BF80" s="1">
        <v>0</v>
      </c>
      <c r="BG80" s="1" t="s">
        <v>32</v>
      </c>
      <c r="BH80" s="1">
        <v>0</v>
      </c>
      <c r="BI80" s="1" t="s">
        <v>32</v>
      </c>
      <c r="BJ80" s="1" t="s">
        <v>32</v>
      </c>
      <c r="BK80" s="1" t="s">
        <v>32</v>
      </c>
      <c r="BL80" s="1">
        <v>0</v>
      </c>
      <c r="BM80" s="1" t="s">
        <v>32</v>
      </c>
      <c r="BN80" s="1" t="s">
        <v>32</v>
      </c>
      <c r="BO80" s="1" t="s">
        <v>32</v>
      </c>
      <c r="BP80" s="1">
        <v>0</v>
      </c>
      <c r="BQ80" s="1" t="s">
        <v>32</v>
      </c>
      <c r="BR80" s="1">
        <v>0</v>
      </c>
      <c r="BS80" s="1" t="s">
        <v>1660</v>
      </c>
      <c r="BT80" s="1">
        <v>0</v>
      </c>
      <c r="BU80" s="1">
        <v>0</v>
      </c>
      <c r="BV80" s="1" t="s">
        <v>1660</v>
      </c>
      <c r="BW80" s="1"/>
      <c r="BX80" s="1"/>
      <c r="BY80" s="1" t="s">
        <v>1807</v>
      </c>
      <c r="BZ80" s="2" t="b">
        <f>OR( (Dashboard[[#This Row],[ref_as_hh]]&gt;=1),(Dashboard[[#This Row],[ret_as_hh]] &gt;=1), (Dashboard[[#This Row],[idp_as_hh]]&gt;=1))</f>
        <v>0</v>
      </c>
      <c r="CA80" s="2">
        <f>Dashboard[[#This Row],[ret_hi_hh]]</f>
        <v>0</v>
      </c>
      <c r="CB80" s="2">
        <f>Dashboard[[#This Row],[idp_fa_hh]]+Dashboard[[#This Row],[ref_fa_hh]]+Dashboard[[#This Row],[ret_fa_hh]]</f>
        <v>6</v>
      </c>
      <c r="CC80" s="2">
        <f>Dashboard[[#This Row],[idp_loc_hh]]+Dashboard[[#This Row],[ref_loc_hh]]+Dashboard[[#This Row],[ret_loc_hh]]</f>
        <v>0</v>
      </c>
      <c r="CD80" s="2">
        <f>Dashboard[[#This Row],[idp_cc_hh]]+Dashboard[[#This Row],[ref_cc_hh]]+Dashboard[[#This Row],[ret_cc_hh]]</f>
        <v>0</v>
      </c>
      <c r="CE80" s="2">
        <f>Dashboard[[#This Row],[idp_as_hh]]+Dashboard[[#This Row],[ref_as_hh]]+Dashboard[[#This Row],[ret_as_hh]]</f>
        <v>0</v>
      </c>
      <c r="CF80" s="2">
        <f>Dashboard[[#This Row],[idp_al_hh]]+Dashboard[[#This Row],[ref_al_hh]]+Dashboard[[#This Row],[ret_al_hh]]</f>
        <v>0</v>
      </c>
    </row>
    <row r="81" spans="1:84" hidden="1" x14ac:dyDescent="0.25">
      <c r="A81" s="27">
        <v>50</v>
      </c>
      <c r="B81" s="2" t="s">
        <v>22</v>
      </c>
      <c r="C81" s="2" t="s">
        <v>23</v>
      </c>
      <c r="D81" s="2" t="s">
        <v>85</v>
      </c>
      <c r="E81" s="2" t="s">
        <v>84</v>
      </c>
      <c r="F81" s="2" t="s">
        <v>173</v>
      </c>
      <c r="G81" s="2" t="s">
        <v>172</v>
      </c>
      <c r="H81" s="2" t="s">
        <v>991</v>
      </c>
      <c r="I81" s="2" t="s">
        <v>308</v>
      </c>
      <c r="J81" s="2" t="s">
        <v>2486</v>
      </c>
      <c r="K81" s="2" t="s">
        <v>2487</v>
      </c>
      <c r="L81" s="2" t="s">
        <v>2074</v>
      </c>
      <c r="M81" s="2">
        <v>446</v>
      </c>
      <c r="N81" s="2" t="s">
        <v>1658</v>
      </c>
      <c r="O81" s="2">
        <v>7</v>
      </c>
      <c r="P81" s="2">
        <v>32</v>
      </c>
      <c r="Q81" s="2" t="s">
        <v>1658</v>
      </c>
      <c r="R81" s="2">
        <v>7</v>
      </c>
      <c r="S81" s="2" t="s">
        <v>1660</v>
      </c>
      <c r="T81" s="2">
        <v>0</v>
      </c>
      <c r="U81" s="2" t="s">
        <v>32</v>
      </c>
      <c r="V81" s="2" t="s">
        <v>32</v>
      </c>
      <c r="W81" s="1" t="s">
        <v>1660</v>
      </c>
      <c r="X81" s="1">
        <v>0</v>
      </c>
      <c r="Y81" s="1" t="s">
        <v>32</v>
      </c>
      <c r="Z81" s="1" t="s">
        <v>32</v>
      </c>
      <c r="AA81" s="1" t="s">
        <v>1660</v>
      </c>
      <c r="AB81" s="1">
        <v>0</v>
      </c>
      <c r="AC81" s="1" t="s">
        <v>1660</v>
      </c>
      <c r="AD81" s="1">
        <v>0</v>
      </c>
      <c r="AE81" s="1" t="s">
        <v>1660</v>
      </c>
      <c r="AF81" s="1">
        <v>0</v>
      </c>
      <c r="AG81" s="1">
        <v>0</v>
      </c>
      <c r="AH81" s="1" t="s">
        <v>32</v>
      </c>
      <c r="AI81" s="1" t="s">
        <v>32</v>
      </c>
      <c r="AJ81" s="1" t="s">
        <v>32</v>
      </c>
      <c r="AK81" s="1" t="s">
        <v>32</v>
      </c>
      <c r="AL81" s="1" t="s">
        <v>32</v>
      </c>
      <c r="AM81" s="1">
        <v>0</v>
      </c>
      <c r="AN81" s="1" t="s">
        <v>32</v>
      </c>
      <c r="AO81" s="1">
        <v>0</v>
      </c>
      <c r="AP81" s="1" t="s">
        <v>32</v>
      </c>
      <c r="AQ81" s="1" t="s">
        <v>32</v>
      </c>
      <c r="AR81" s="1" t="s">
        <v>32</v>
      </c>
      <c r="AS81" s="1">
        <v>0</v>
      </c>
      <c r="AT81" s="1" t="s">
        <v>32</v>
      </c>
      <c r="AU81" s="1" t="s">
        <v>32</v>
      </c>
      <c r="AV81" s="1" t="s">
        <v>32</v>
      </c>
      <c r="AW81" s="1">
        <v>0</v>
      </c>
      <c r="AX81" s="1" t="s">
        <v>32</v>
      </c>
      <c r="AY81" s="1">
        <v>0</v>
      </c>
      <c r="AZ81" s="1" t="s">
        <v>1660</v>
      </c>
      <c r="BA81" s="1">
        <v>0</v>
      </c>
      <c r="BB81" s="1">
        <v>0</v>
      </c>
      <c r="BC81" s="1" t="s">
        <v>32</v>
      </c>
      <c r="BD81" s="1">
        <v>0</v>
      </c>
      <c r="BE81" s="1" t="s">
        <v>32</v>
      </c>
      <c r="BF81" s="1">
        <v>0</v>
      </c>
      <c r="BG81" s="1" t="s">
        <v>32</v>
      </c>
      <c r="BH81" s="1">
        <v>0</v>
      </c>
      <c r="BI81" s="1" t="s">
        <v>32</v>
      </c>
      <c r="BJ81" s="1" t="s">
        <v>32</v>
      </c>
      <c r="BK81" s="1" t="s">
        <v>32</v>
      </c>
      <c r="BL81" s="1">
        <v>0</v>
      </c>
      <c r="BM81" s="1" t="s">
        <v>32</v>
      </c>
      <c r="BN81" s="1" t="s">
        <v>32</v>
      </c>
      <c r="BO81" s="1" t="s">
        <v>32</v>
      </c>
      <c r="BP81" s="1">
        <v>0</v>
      </c>
      <c r="BQ81" s="1" t="s">
        <v>32</v>
      </c>
      <c r="BR81" s="1">
        <v>0</v>
      </c>
      <c r="BS81" s="1" t="s">
        <v>1660</v>
      </c>
      <c r="BT81" s="1">
        <v>0</v>
      </c>
      <c r="BU81" s="1">
        <v>0</v>
      </c>
      <c r="BV81" s="1" t="s">
        <v>1660</v>
      </c>
      <c r="BW81" s="1"/>
      <c r="BX81" s="1"/>
      <c r="BY81" s="1" t="s">
        <v>1807</v>
      </c>
      <c r="BZ81" s="2" t="b">
        <f>OR( (Dashboard[[#This Row],[ref_as_hh]]&gt;=1),(Dashboard[[#This Row],[ret_as_hh]] &gt;=1), (Dashboard[[#This Row],[idp_as_hh]]&gt;=1))</f>
        <v>0</v>
      </c>
      <c r="CA81" s="2">
        <f>Dashboard[[#This Row],[ret_hi_hh]]</f>
        <v>0</v>
      </c>
      <c r="CB81" s="2">
        <f>Dashboard[[#This Row],[idp_fa_hh]]+Dashboard[[#This Row],[ref_fa_hh]]+Dashboard[[#This Row],[ret_fa_hh]]</f>
        <v>7</v>
      </c>
      <c r="CC81" s="2">
        <f>Dashboard[[#This Row],[idp_loc_hh]]+Dashboard[[#This Row],[ref_loc_hh]]+Dashboard[[#This Row],[ret_loc_hh]]</f>
        <v>0</v>
      </c>
      <c r="CD81" s="2">
        <f>Dashboard[[#This Row],[idp_cc_hh]]+Dashboard[[#This Row],[ref_cc_hh]]+Dashboard[[#This Row],[ret_cc_hh]]</f>
        <v>0</v>
      </c>
      <c r="CE81" s="2">
        <f>Dashboard[[#This Row],[idp_as_hh]]+Dashboard[[#This Row],[ref_as_hh]]+Dashboard[[#This Row],[ret_as_hh]]</f>
        <v>0</v>
      </c>
      <c r="CF81" s="2">
        <f>Dashboard[[#This Row],[idp_al_hh]]+Dashboard[[#This Row],[ref_al_hh]]+Dashboard[[#This Row],[ret_al_hh]]</f>
        <v>0</v>
      </c>
    </row>
    <row r="82" spans="1:84" hidden="1" x14ac:dyDescent="0.25">
      <c r="A82" s="27">
        <v>51</v>
      </c>
      <c r="B82" s="2" t="s">
        <v>22</v>
      </c>
      <c r="C82" s="2" t="s">
        <v>23</v>
      </c>
      <c r="D82" s="2" t="s">
        <v>85</v>
      </c>
      <c r="E82" s="2" t="s">
        <v>84</v>
      </c>
      <c r="F82" s="2" t="s">
        <v>173</v>
      </c>
      <c r="G82" s="2" t="s">
        <v>172</v>
      </c>
      <c r="H82" s="2" t="s">
        <v>978</v>
      </c>
      <c r="I82" s="2" t="s">
        <v>299</v>
      </c>
      <c r="J82" s="2" t="s">
        <v>2460</v>
      </c>
      <c r="K82" s="2" t="s">
        <v>2461</v>
      </c>
      <c r="L82" s="2" t="s">
        <v>2074</v>
      </c>
      <c r="M82" s="2">
        <v>12668</v>
      </c>
      <c r="N82" s="2" t="s">
        <v>1658</v>
      </c>
      <c r="O82" s="2">
        <v>88</v>
      </c>
      <c r="P82" s="2">
        <v>614</v>
      </c>
      <c r="Q82" s="2" t="s">
        <v>1658</v>
      </c>
      <c r="R82" s="2">
        <v>82</v>
      </c>
      <c r="S82" s="2" t="s">
        <v>1658</v>
      </c>
      <c r="T82" s="2">
        <v>6</v>
      </c>
      <c r="U82" s="2" t="s">
        <v>1659</v>
      </c>
      <c r="V82" s="2" t="s">
        <v>32</v>
      </c>
      <c r="W82" s="1" t="s">
        <v>1660</v>
      </c>
      <c r="X82" s="1">
        <v>0</v>
      </c>
      <c r="Y82" s="1" t="s">
        <v>32</v>
      </c>
      <c r="Z82" s="1" t="s">
        <v>32</v>
      </c>
      <c r="AA82" s="1" t="s">
        <v>1660</v>
      </c>
      <c r="AB82" s="1">
        <v>0</v>
      </c>
      <c r="AC82" s="1" t="s">
        <v>1660</v>
      </c>
      <c r="AD82" s="1">
        <v>0</v>
      </c>
      <c r="AE82" s="1" t="s">
        <v>1660</v>
      </c>
      <c r="AF82" s="1">
        <v>0</v>
      </c>
      <c r="AG82" s="1">
        <v>0</v>
      </c>
      <c r="AH82" s="1" t="s">
        <v>32</v>
      </c>
      <c r="AI82" s="1" t="s">
        <v>32</v>
      </c>
      <c r="AJ82" s="1" t="s">
        <v>32</v>
      </c>
      <c r="AK82" s="1" t="s">
        <v>32</v>
      </c>
      <c r="AL82" s="1" t="s">
        <v>32</v>
      </c>
      <c r="AM82" s="1">
        <v>0</v>
      </c>
      <c r="AN82" s="1" t="s">
        <v>32</v>
      </c>
      <c r="AO82" s="1">
        <v>0</v>
      </c>
      <c r="AP82" s="1" t="s">
        <v>32</v>
      </c>
      <c r="AQ82" s="1" t="s">
        <v>32</v>
      </c>
      <c r="AR82" s="1" t="s">
        <v>32</v>
      </c>
      <c r="AS82" s="1">
        <v>0</v>
      </c>
      <c r="AT82" s="1" t="s">
        <v>32</v>
      </c>
      <c r="AU82" s="1" t="s">
        <v>32</v>
      </c>
      <c r="AV82" s="1" t="s">
        <v>32</v>
      </c>
      <c r="AW82" s="1">
        <v>0</v>
      </c>
      <c r="AX82" s="1" t="s">
        <v>32</v>
      </c>
      <c r="AY82" s="1">
        <v>0</v>
      </c>
      <c r="AZ82" s="1" t="s">
        <v>1660</v>
      </c>
      <c r="BA82" s="1">
        <v>0</v>
      </c>
      <c r="BB82" s="1">
        <v>0</v>
      </c>
      <c r="BC82" s="1" t="s">
        <v>32</v>
      </c>
      <c r="BD82" s="1">
        <v>0</v>
      </c>
      <c r="BE82" s="1" t="s">
        <v>32</v>
      </c>
      <c r="BF82" s="1">
        <v>0</v>
      </c>
      <c r="BG82" s="1" t="s">
        <v>32</v>
      </c>
      <c r="BH82" s="1">
        <v>0</v>
      </c>
      <c r="BI82" s="1" t="s">
        <v>32</v>
      </c>
      <c r="BJ82" s="1" t="s">
        <v>32</v>
      </c>
      <c r="BK82" s="1" t="s">
        <v>32</v>
      </c>
      <c r="BL82" s="1">
        <v>0</v>
      </c>
      <c r="BM82" s="1" t="s">
        <v>32</v>
      </c>
      <c r="BN82" s="1" t="s">
        <v>32</v>
      </c>
      <c r="BO82" s="1" t="s">
        <v>32</v>
      </c>
      <c r="BP82" s="1">
        <v>0</v>
      </c>
      <c r="BQ82" s="1" t="s">
        <v>32</v>
      </c>
      <c r="BR82" s="1">
        <v>0</v>
      </c>
      <c r="BS82" s="1" t="s">
        <v>1660</v>
      </c>
      <c r="BT82" s="1">
        <v>0</v>
      </c>
      <c r="BU82" s="1">
        <v>0</v>
      </c>
      <c r="BV82" s="1" t="s">
        <v>1660</v>
      </c>
      <c r="BW82" s="1"/>
      <c r="BX82" s="1"/>
      <c r="BY82" s="1" t="s">
        <v>1807</v>
      </c>
      <c r="BZ82" s="2" t="b">
        <f>OR( (Dashboard[[#This Row],[ref_as_hh]]&gt;=1),(Dashboard[[#This Row],[ret_as_hh]] &gt;=1), (Dashboard[[#This Row],[idp_as_hh]]&gt;=1))</f>
        <v>0</v>
      </c>
      <c r="CA82" s="2">
        <f>Dashboard[[#This Row],[ret_hi_hh]]</f>
        <v>0</v>
      </c>
      <c r="CB82" s="2">
        <f>Dashboard[[#This Row],[idp_fa_hh]]+Dashboard[[#This Row],[ref_fa_hh]]+Dashboard[[#This Row],[ret_fa_hh]]</f>
        <v>82</v>
      </c>
      <c r="CC82" s="2">
        <f>Dashboard[[#This Row],[idp_loc_hh]]+Dashboard[[#This Row],[ref_loc_hh]]+Dashboard[[#This Row],[ret_loc_hh]]</f>
        <v>6</v>
      </c>
      <c r="CD82" s="2">
        <f>Dashboard[[#This Row],[idp_cc_hh]]+Dashboard[[#This Row],[ref_cc_hh]]+Dashboard[[#This Row],[ret_cc_hh]]</f>
        <v>0</v>
      </c>
      <c r="CE82" s="2">
        <f>Dashboard[[#This Row],[idp_as_hh]]+Dashboard[[#This Row],[ref_as_hh]]+Dashboard[[#This Row],[ret_as_hh]]</f>
        <v>0</v>
      </c>
      <c r="CF82" s="2">
        <f>Dashboard[[#This Row],[idp_al_hh]]+Dashboard[[#This Row],[ref_al_hh]]+Dashboard[[#This Row],[ret_al_hh]]</f>
        <v>0</v>
      </c>
    </row>
    <row r="83" spans="1:84" hidden="1" x14ac:dyDescent="0.25">
      <c r="A83" s="27">
        <v>52</v>
      </c>
      <c r="B83" s="2" t="s">
        <v>22</v>
      </c>
      <c r="C83" s="2" t="s">
        <v>23</v>
      </c>
      <c r="D83" s="2" t="s">
        <v>85</v>
      </c>
      <c r="E83" s="2" t="s">
        <v>84</v>
      </c>
      <c r="F83" s="2" t="s">
        <v>173</v>
      </c>
      <c r="G83" s="2" t="s">
        <v>172</v>
      </c>
      <c r="H83" s="2" t="s">
        <v>974</v>
      </c>
      <c r="I83" s="2" t="s">
        <v>295</v>
      </c>
      <c r="J83" s="2" t="s">
        <v>2452</v>
      </c>
      <c r="K83" s="2" t="s">
        <v>2453</v>
      </c>
      <c r="L83" s="2" t="s">
        <v>2074</v>
      </c>
      <c r="M83" s="2">
        <v>693</v>
      </c>
      <c r="N83" s="2" t="s">
        <v>1658</v>
      </c>
      <c r="O83" s="2">
        <v>7</v>
      </c>
      <c r="P83" s="2">
        <v>44</v>
      </c>
      <c r="Q83" s="2" t="s">
        <v>1658</v>
      </c>
      <c r="R83" s="2">
        <v>7</v>
      </c>
      <c r="S83" s="2" t="s">
        <v>1660</v>
      </c>
      <c r="T83" s="2">
        <v>0</v>
      </c>
      <c r="U83" s="2" t="s">
        <v>32</v>
      </c>
      <c r="V83" s="2" t="s">
        <v>32</v>
      </c>
      <c r="W83" s="1" t="s">
        <v>1660</v>
      </c>
      <c r="X83" s="1">
        <v>0</v>
      </c>
      <c r="Y83" s="1" t="s">
        <v>32</v>
      </c>
      <c r="Z83" s="1" t="s">
        <v>32</v>
      </c>
      <c r="AA83" s="1" t="s">
        <v>1660</v>
      </c>
      <c r="AB83" s="1">
        <v>0</v>
      </c>
      <c r="AC83" s="1" t="s">
        <v>1660</v>
      </c>
      <c r="AD83" s="1">
        <v>0</v>
      </c>
      <c r="AE83" s="1" t="s">
        <v>1660</v>
      </c>
      <c r="AF83" s="1">
        <v>0</v>
      </c>
      <c r="AG83" s="1">
        <v>0</v>
      </c>
      <c r="AH83" s="1" t="s">
        <v>32</v>
      </c>
      <c r="AI83" s="1" t="s">
        <v>32</v>
      </c>
      <c r="AJ83" s="1" t="s">
        <v>32</v>
      </c>
      <c r="AK83" s="1" t="s">
        <v>32</v>
      </c>
      <c r="AL83" s="1" t="s">
        <v>32</v>
      </c>
      <c r="AM83" s="1">
        <v>0</v>
      </c>
      <c r="AN83" s="1" t="s">
        <v>32</v>
      </c>
      <c r="AO83" s="1">
        <v>0</v>
      </c>
      <c r="AP83" s="1" t="s">
        <v>32</v>
      </c>
      <c r="AQ83" s="1" t="s">
        <v>32</v>
      </c>
      <c r="AR83" s="1" t="s">
        <v>32</v>
      </c>
      <c r="AS83" s="1">
        <v>0</v>
      </c>
      <c r="AT83" s="1" t="s">
        <v>32</v>
      </c>
      <c r="AU83" s="1" t="s">
        <v>32</v>
      </c>
      <c r="AV83" s="1" t="s">
        <v>32</v>
      </c>
      <c r="AW83" s="1">
        <v>0</v>
      </c>
      <c r="AX83" s="1" t="s">
        <v>32</v>
      </c>
      <c r="AY83" s="1">
        <v>0</v>
      </c>
      <c r="AZ83" s="1" t="s">
        <v>1660</v>
      </c>
      <c r="BA83" s="1">
        <v>0</v>
      </c>
      <c r="BB83" s="1">
        <v>0</v>
      </c>
      <c r="BC83" s="1" t="s">
        <v>32</v>
      </c>
      <c r="BD83" s="1">
        <v>0</v>
      </c>
      <c r="BE83" s="1" t="s">
        <v>32</v>
      </c>
      <c r="BF83" s="1">
        <v>0</v>
      </c>
      <c r="BG83" s="1" t="s">
        <v>32</v>
      </c>
      <c r="BH83" s="1">
        <v>0</v>
      </c>
      <c r="BI83" s="1" t="s">
        <v>32</v>
      </c>
      <c r="BJ83" s="1" t="s">
        <v>32</v>
      </c>
      <c r="BK83" s="1" t="s">
        <v>32</v>
      </c>
      <c r="BL83" s="1">
        <v>0</v>
      </c>
      <c r="BM83" s="1" t="s">
        <v>32</v>
      </c>
      <c r="BN83" s="1" t="s">
        <v>32</v>
      </c>
      <c r="BO83" s="1" t="s">
        <v>32</v>
      </c>
      <c r="BP83" s="1">
        <v>0</v>
      </c>
      <c r="BQ83" s="1" t="s">
        <v>32</v>
      </c>
      <c r="BR83" s="1">
        <v>0</v>
      </c>
      <c r="BS83" s="1" t="s">
        <v>1660</v>
      </c>
      <c r="BT83" s="1">
        <v>0</v>
      </c>
      <c r="BU83" s="1">
        <v>0</v>
      </c>
      <c r="BV83" s="1" t="s">
        <v>1660</v>
      </c>
      <c r="BW83" s="1"/>
      <c r="BX83" s="1"/>
      <c r="BY83" s="1" t="s">
        <v>1807</v>
      </c>
      <c r="BZ83" s="2" t="b">
        <f>OR( (Dashboard[[#This Row],[ref_as_hh]]&gt;=1),(Dashboard[[#This Row],[ret_as_hh]] &gt;=1), (Dashboard[[#This Row],[idp_as_hh]]&gt;=1))</f>
        <v>0</v>
      </c>
      <c r="CA83" s="2">
        <f>Dashboard[[#This Row],[ret_hi_hh]]</f>
        <v>0</v>
      </c>
      <c r="CB83" s="2">
        <f>Dashboard[[#This Row],[idp_fa_hh]]+Dashboard[[#This Row],[ref_fa_hh]]+Dashboard[[#This Row],[ret_fa_hh]]</f>
        <v>7</v>
      </c>
      <c r="CC83" s="2">
        <f>Dashboard[[#This Row],[idp_loc_hh]]+Dashboard[[#This Row],[ref_loc_hh]]+Dashboard[[#This Row],[ret_loc_hh]]</f>
        <v>0</v>
      </c>
      <c r="CD83" s="2">
        <f>Dashboard[[#This Row],[idp_cc_hh]]+Dashboard[[#This Row],[ref_cc_hh]]+Dashboard[[#This Row],[ret_cc_hh]]</f>
        <v>0</v>
      </c>
      <c r="CE83" s="2">
        <f>Dashboard[[#This Row],[idp_as_hh]]+Dashboard[[#This Row],[ref_as_hh]]+Dashboard[[#This Row],[ret_as_hh]]</f>
        <v>0</v>
      </c>
      <c r="CF83" s="2">
        <f>Dashboard[[#This Row],[idp_al_hh]]+Dashboard[[#This Row],[ref_al_hh]]+Dashboard[[#This Row],[ret_al_hh]]</f>
        <v>0</v>
      </c>
    </row>
    <row r="84" spans="1:84" hidden="1" x14ac:dyDescent="0.25">
      <c r="A84" s="27">
        <v>78</v>
      </c>
      <c r="B84" s="2" t="s">
        <v>22</v>
      </c>
      <c r="C84" s="2" t="s">
        <v>23</v>
      </c>
      <c r="D84" s="2" t="s">
        <v>85</v>
      </c>
      <c r="E84" s="2" t="s">
        <v>84</v>
      </c>
      <c r="F84" s="2" t="s">
        <v>173</v>
      </c>
      <c r="G84" s="2" t="s">
        <v>172</v>
      </c>
      <c r="H84" s="2" t="s">
        <v>996</v>
      </c>
      <c r="I84" s="2" t="s">
        <v>313</v>
      </c>
      <c r="J84" s="2" t="s">
        <v>2496</v>
      </c>
      <c r="K84" s="2" t="s">
        <v>2497</v>
      </c>
      <c r="L84" s="2" t="s">
        <v>2074</v>
      </c>
      <c r="M84" s="2">
        <v>1293</v>
      </c>
      <c r="N84" s="2" t="s">
        <v>1658</v>
      </c>
      <c r="O84" s="2">
        <v>10</v>
      </c>
      <c r="P84" s="2">
        <v>51</v>
      </c>
      <c r="Q84" s="2" t="s">
        <v>1658</v>
      </c>
      <c r="R84" s="2">
        <v>10</v>
      </c>
      <c r="S84" s="2" t="s">
        <v>1660</v>
      </c>
      <c r="T84" s="2">
        <v>0</v>
      </c>
      <c r="U84" s="2" t="s">
        <v>32</v>
      </c>
      <c r="V84" s="2" t="s">
        <v>32</v>
      </c>
      <c r="W84" s="1" t="s">
        <v>1660</v>
      </c>
      <c r="X84" s="1">
        <v>0</v>
      </c>
      <c r="Y84" s="1" t="s">
        <v>32</v>
      </c>
      <c r="Z84" s="1" t="s">
        <v>32</v>
      </c>
      <c r="AA84" s="1" t="s">
        <v>1660</v>
      </c>
      <c r="AB84" s="1">
        <v>0</v>
      </c>
      <c r="AC84" s="1" t="s">
        <v>1660</v>
      </c>
      <c r="AD84" s="1">
        <v>0</v>
      </c>
      <c r="AE84" s="1" t="s">
        <v>1660</v>
      </c>
      <c r="AF84" s="1">
        <v>0</v>
      </c>
      <c r="AG84" s="1">
        <v>0</v>
      </c>
      <c r="AH84" s="1" t="s">
        <v>32</v>
      </c>
      <c r="AI84" s="1" t="s">
        <v>32</v>
      </c>
      <c r="AJ84" s="1" t="s">
        <v>32</v>
      </c>
      <c r="AK84" s="1" t="s">
        <v>32</v>
      </c>
      <c r="AL84" s="1" t="s">
        <v>32</v>
      </c>
      <c r="AM84" s="1">
        <v>0</v>
      </c>
      <c r="AN84" s="1" t="s">
        <v>32</v>
      </c>
      <c r="AO84" s="1">
        <v>0</v>
      </c>
      <c r="AP84" s="1" t="s">
        <v>32</v>
      </c>
      <c r="AQ84" s="1" t="s">
        <v>32</v>
      </c>
      <c r="AR84" s="1" t="s">
        <v>32</v>
      </c>
      <c r="AS84" s="1">
        <v>0</v>
      </c>
      <c r="AT84" s="1" t="s">
        <v>32</v>
      </c>
      <c r="AU84" s="1" t="s">
        <v>32</v>
      </c>
      <c r="AV84" s="1" t="s">
        <v>32</v>
      </c>
      <c r="AW84" s="1">
        <v>0</v>
      </c>
      <c r="AX84" s="1" t="s">
        <v>32</v>
      </c>
      <c r="AY84" s="1">
        <v>0</v>
      </c>
      <c r="AZ84" s="1" t="s">
        <v>1660</v>
      </c>
      <c r="BA84" s="1">
        <v>0</v>
      </c>
      <c r="BB84" s="1">
        <v>0</v>
      </c>
      <c r="BC84" s="1" t="s">
        <v>32</v>
      </c>
      <c r="BD84" s="1">
        <v>0</v>
      </c>
      <c r="BE84" s="1" t="s">
        <v>32</v>
      </c>
      <c r="BF84" s="1">
        <v>0</v>
      </c>
      <c r="BG84" s="1" t="s">
        <v>32</v>
      </c>
      <c r="BH84" s="1">
        <v>0</v>
      </c>
      <c r="BI84" s="1" t="s">
        <v>32</v>
      </c>
      <c r="BJ84" s="1" t="s">
        <v>32</v>
      </c>
      <c r="BK84" s="1" t="s">
        <v>32</v>
      </c>
      <c r="BL84" s="1">
        <v>0</v>
      </c>
      <c r="BM84" s="1" t="s">
        <v>32</v>
      </c>
      <c r="BN84" s="1" t="s">
        <v>32</v>
      </c>
      <c r="BO84" s="1" t="s">
        <v>32</v>
      </c>
      <c r="BP84" s="1">
        <v>0</v>
      </c>
      <c r="BQ84" s="1" t="s">
        <v>32</v>
      </c>
      <c r="BR84" s="1">
        <v>0</v>
      </c>
      <c r="BS84" s="1" t="s">
        <v>1660</v>
      </c>
      <c r="BT84" s="1">
        <v>0</v>
      </c>
      <c r="BU84" s="1">
        <v>0</v>
      </c>
      <c r="BV84" s="1" t="s">
        <v>1660</v>
      </c>
      <c r="BW84" s="1"/>
      <c r="BX84" s="1"/>
      <c r="BY84" s="1" t="s">
        <v>1807</v>
      </c>
      <c r="BZ84" s="2" t="b">
        <f>OR( (Dashboard[[#This Row],[ref_as_hh]]&gt;=1),(Dashboard[[#This Row],[ret_as_hh]] &gt;=1), (Dashboard[[#This Row],[idp_as_hh]]&gt;=1))</f>
        <v>0</v>
      </c>
      <c r="CA84" s="2">
        <f>Dashboard[[#This Row],[ret_hi_hh]]</f>
        <v>0</v>
      </c>
      <c r="CB84" s="2">
        <f>Dashboard[[#This Row],[idp_fa_hh]]+Dashboard[[#This Row],[ref_fa_hh]]+Dashboard[[#This Row],[ret_fa_hh]]</f>
        <v>10</v>
      </c>
      <c r="CC84" s="2">
        <f>Dashboard[[#This Row],[idp_loc_hh]]+Dashboard[[#This Row],[ref_loc_hh]]+Dashboard[[#This Row],[ret_loc_hh]]</f>
        <v>0</v>
      </c>
      <c r="CD84" s="2">
        <f>Dashboard[[#This Row],[idp_cc_hh]]+Dashboard[[#This Row],[ref_cc_hh]]+Dashboard[[#This Row],[ret_cc_hh]]</f>
        <v>0</v>
      </c>
      <c r="CE84" s="2">
        <f>Dashboard[[#This Row],[idp_as_hh]]+Dashboard[[#This Row],[ref_as_hh]]+Dashboard[[#This Row],[ret_as_hh]]</f>
        <v>0</v>
      </c>
      <c r="CF84" s="2">
        <f>Dashboard[[#This Row],[idp_al_hh]]+Dashboard[[#This Row],[ref_al_hh]]+Dashboard[[#This Row],[ret_al_hh]]</f>
        <v>0</v>
      </c>
    </row>
    <row r="85" spans="1:84" hidden="1" x14ac:dyDescent="0.25">
      <c r="A85" s="27">
        <v>79</v>
      </c>
      <c r="B85" s="2" t="s">
        <v>22</v>
      </c>
      <c r="C85" s="2" t="s">
        <v>23</v>
      </c>
      <c r="D85" s="2" t="s">
        <v>85</v>
      </c>
      <c r="E85" s="2" t="s">
        <v>84</v>
      </c>
      <c r="F85" s="2" t="s">
        <v>173</v>
      </c>
      <c r="G85" s="2" t="s">
        <v>172</v>
      </c>
      <c r="H85" s="2" t="s">
        <v>984</v>
      </c>
      <c r="I85" s="2" t="s">
        <v>303</v>
      </c>
      <c r="J85" s="2" t="s">
        <v>2472</v>
      </c>
      <c r="K85" s="2" t="s">
        <v>2473</v>
      </c>
      <c r="L85" s="2" t="s">
        <v>2074</v>
      </c>
      <c r="M85" s="2">
        <v>502</v>
      </c>
      <c r="N85" s="2" t="s">
        <v>1658</v>
      </c>
      <c r="O85" s="2">
        <v>10</v>
      </c>
      <c r="P85" s="2">
        <v>52</v>
      </c>
      <c r="Q85" s="2" t="s">
        <v>1658</v>
      </c>
      <c r="R85" s="2">
        <v>10</v>
      </c>
      <c r="S85" s="2" t="s">
        <v>1660</v>
      </c>
      <c r="T85" s="2">
        <v>0</v>
      </c>
      <c r="U85" s="2" t="s">
        <v>32</v>
      </c>
      <c r="V85" s="2" t="s">
        <v>32</v>
      </c>
      <c r="W85" s="1" t="s">
        <v>1660</v>
      </c>
      <c r="X85" s="1">
        <v>0</v>
      </c>
      <c r="Y85" s="1" t="s">
        <v>32</v>
      </c>
      <c r="Z85" s="1" t="s">
        <v>32</v>
      </c>
      <c r="AA85" s="1" t="s">
        <v>1660</v>
      </c>
      <c r="AB85" s="1">
        <v>0</v>
      </c>
      <c r="AC85" s="1" t="s">
        <v>1660</v>
      </c>
      <c r="AD85" s="1">
        <v>0</v>
      </c>
      <c r="AE85" s="1" t="s">
        <v>1660</v>
      </c>
      <c r="AF85" s="1">
        <v>0</v>
      </c>
      <c r="AG85" s="1">
        <v>0</v>
      </c>
      <c r="AH85" s="1" t="s">
        <v>32</v>
      </c>
      <c r="AI85" s="1" t="s">
        <v>32</v>
      </c>
      <c r="AJ85" s="1" t="s">
        <v>32</v>
      </c>
      <c r="AK85" s="1" t="s">
        <v>32</v>
      </c>
      <c r="AL85" s="1" t="s">
        <v>32</v>
      </c>
      <c r="AM85" s="1">
        <v>0</v>
      </c>
      <c r="AN85" s="1" t="s">
        <v>32</v>
      </c>
      <c r="AO85" s="1">
        <v>0</v>
      </c>
      <c r="AP85" s="1" t="s">
        <v>32</v>
      </c>
      <c r="AQ85" s="1" t="s">
        <v>32</v>
      </c>
      <c r="AR85" s="1" t="s">
        <v>32</v>
      </c>
      <c r="AS85" s="1">
        <v>0</v>
      </c>
      <c r="AT85" s="1" t="s">
        <v>32</v>
      </c>
      <c r="AU85" s="1" t="s">
        <v>32</v>
      </c>
      <c r="AV85" s="1" t="s">
        <v>32</v>
      </c>
      <c r="AW85" s="1">
        <v>0</v>
      </c>
      <c r="AX85" s="1" t="s">
        <v>32</v>
      </c>
      <c r="AY85" s="1">
        <v>0</v>
      </c>
      <c r="AZ85" s="1" t="s">
        <v>1660</v>
      </c>
      <c r="BA85" s="1">
        <v>0</v>
      </c>
      <c r="BB85" s="1">
        <v>0</v>
      </c>
      <c r="BC85" s="1" t="s">
        <v>32</v>
      </c>
      <c r="BD85" s="1">
        <v>0</v>
      </c>
      <c r="BE85" s="1" t="s">
        <v>32</v>
      </c>
      <c r="BF85" s="1">
        <v>0</v>
      </c>
      <c r="BG85" s="1" t="s">
        <v>32</v>
      </c>
      <c r="BH85" s="1">
        <v>0</v>
      </c>
      <c r="BI85" s="1" t="s">
        <v>32</v>
      </c>
      <c r="BJ85" s="1" t="s">
        <v>32</v>
      </c>
      <c r="BK85" s="1" t="s">
        <v>32</v>
      </c>
      <c r="BL85" s="1">
        <v>0</v>
      </c>
      <c r="BM85" s="1" t="s">
        <v>32</v>
      </c>
      <c r="BN85" s="1" t="s">
        <v>32</v>
      </c>
      <c r="BO85" s="1" t="s">
        <v>32</v>
      </c>
      <c r="BP85" s="1">
        <v>0</v>
      </c>
      <c r="BQ85" s="1" t="s">
        <v>32</v>
      </c>
      <c r="BR85" s="1">
        <v>0</v>
      </c>
      <c r="BS85" s="1" t="s">
        <v>1660</v>
      </c>
      <c r="BT85" s="1">
        <v>0</v>
      </c>
      <c r="BU85" s="1">
        <v>0</v>
      </c>
      <c r="BV85" s="1" t="s">
        <v>1660</v>
      </c>
      <c r="BW85" s="1"/>
      <c r="BX85" s="1"/>
      <c r="BY85" s="1" t="s">
        <v>1807</v>
      </c>
      <c r="BZ85" s="2" t="b">
        <f>OR( (Dashboard[[#This Row],[ref_as_hh]]&gt;=1),(Dashboard[[#This Row],[ret_as_hh]] &gt;=1), (Dashboard[[#This Row],[idp_as_hh]]&gt;=1))</f>
        <v>0</v>
      </c>
      <c r="CA85" s="2">
        <f>Dashboard[[#This Row],[ret_hi_hh]]</f>
        <v>0</v>
      </c>
      <c r="CB85" s="2">
        <f>Dashboard[[#This Row],[idp_fa_hh]]+Dashboard[[#This Row],[ref_fa_hh]]+Dashboard[[#This Row],[ret_fa_hh]]</f>
        <v>10</v>
      </c>
      <c r="CC85" s="2">
        <f>Dashboard[[#This Row],[idp_loc_hh]]+Dashboard[[#This Row],[ref_loc_hh]]+Dashboard[[#This Row],[ret_loc_hh]]</f>
        <v>0</v>
      </c>
      <c r="CD85" s="2">
        <f>Dashboard[[#This Row],[idp_cc_hh]]+Dashboard[[#This Row],[ref_cc_hh]]+Dashboard[[#This Row],[ret_cc_hh]]</f>
        <v>0</v>
      </c>
      <c r="CE85" s="2">
        <f>Dashboard[[#This Row],[idp_as_hh]]+Dashboard[[#This Row],[ref_as_hh]]+Dashboard[[#This Row],[ret_as_hh]]</f>
        <v>0</v>
      </c>
      <c r="CF85" s="2">
        <f>Dashboard[[#This Row],[idp_al_hh]]+Dashboard[[#This Row],[ref_al_hh]]+Dashboard[[#This Row],[ret_al_hh]]</f>
        <v>0</v>
      </c>
    </row>
    <row r="86" spans="1:84" hidden="1" x14ac:dyDescent="0.25">
      <c r="A86" s="27">
        <v>80</v>
      </c>
      <c r="B86" s="2" t="s">
        <v>22</v>
      </c>
      <c r="C86" s="2" t="s">
        <v>23</v>
      </c>
      <c r="D86" s="2" t="s">
        <v>85</v>
      </c>
      <c r="E86" s="2" t="s">
        <v>84</v>
      </c>
      <c r="F86" s="2" t="s">
        <v>173</v>
      </c>
      <c r="G86" s="2" t="s">
        <v>172</v>
      </c>
      <c r="H86" s="2" t="s">
        <v>981</v>
      </c>
      <c r="I86" s="2" t="s">
        <v>302</v>
      </c>
      <c r="J86" s="2" t="s">
        <v>2466</v>
      </c>
      <c r="K86" s="2" t="s">
        <v>2467</v>
      </c>
      <c r="L86" s="2" t="s">
        <v>2074</v>
      </c>
      <c r="M86" s="2">
        <v>2230</v>
      </c>
      <c r="N86" s="2" t="s">
        <v>1658</v>
      </c>
      <c r="O86" s="2">
        <v>15</v>
      </c>
      <c r="P86" s="2">
        <v>115</v>
      </c>
      <c r="Q86" s="2" t="s">
        <v>1658</v>
      </c>
      <c r="R86" s="2">
        <v>15</v>
      </c>
      <c r="S86" s="2" t="s">
        <v>1660</v>
      </c>
      <c r="T86" s="2">
        <v>0</v>
      </c>
      <c r="U86" s="2" t="s">
        <v>32</v>
      </c>
      <c r="V86" s="2" t="s">
        <v>32</v>
      </c>
      <c r="W86" s="1" t="s">
        <v>1660</v>
      </c>
      <c r="X86" s="1">
        <v>0</v>
      </c>
      <c r="Y86" s="1" t="s">
        <v>32</v>
      </c>
      <c r="Z86" s="1" t="s">
        <v>32</v>
      </c>
      <c r="AA86" s="1" t="s">
        <v>1660</v>
      </c>
      <c r="AB86" s="1">
        <v>0</v>
      </c>
      <c r="AC86" s="1" t="s">
        <v>1660</v>
      </c>
      <c r="AD86" s="1">
        <v>0</v>
      </c>
      <c r="AE86" s="1" t="s">
        <v>1660</v>
      </c>
      <c r="AF86" s="1">
        <v>0</v>
      </c>
      <c r="AG86" s="1">
        <v>0</v>
      </c>
      <c r="AH86" s="1" t="s">
        <v>32</v>
      </c>
      <c r="AI86" s="1" t="s">
        <v>32</v>
      </c>
      <c r="AJ86" s="1" t="s">
        <v>32</v>
      </c>
      <c r="AK86" s="1" t="s">
        <v>32</v>
      </c>
      <c r="AL86" s="1" t="s">
        <v>32</v>
      </c>
      <c r="AM86" s="1">
        <v>0</v>
      </c>
      <c r="AN86" s="1" t="s">
        <v>32</v>
      </c>
      <c r="AO86" s="1">
        <v>0</v>
      </c>
      <c r="AP86" s="1" t="s">
        <v>32</v>
      </c>
      <c r="AQ86" s="1" t="s">
        <v>32</v>
      </c>
      <c r="AR86" s="1" t="s">
        <v>32</v>
      </c>
      <c r="AS86" s="1">
        <v>0</v>
      </c>
      <c r="AT86" s="1" t="s">
        <v>32</v>
      </c>
      <c r="AU86" s="1" t="s">
        <v>32</v>
      </c>
      <c r="AV86" s="1" t="s">
        <v>32</v>
      </c>
      <c r="AW86" s="1">
        <v>0</v>
      </c>
      <c r="AX86" s="1" t="s">
        <v>32</v>
      </c>
      <c r="AY86" s="1">
        <v>0</v>
      </c>
      <c r="AZ86" s="1" t="s">
        <v>1660</v>
      </c>
      <c r="BA86" s="1">
        <v>0</v>
      </c>
      <c r="BB86" s="1">
        <v>0</v>
      </c>
      <c r="BC86" s="1" t="s">
        <v>32</v>
      </c>
      <c r="BD86" s="1">
        <v>0</v>
      </c>
      <c r="BE86" s="1" t="s">
        <v>32</v>
      </c>
      <c r="BF86" s="1">
        <v>0</v>
      </c>
      <c r="BG86" s="1" t="s">
        <v>32</v>
      </c>
      <c r="BH86" s="1">
        <v>0</v>
      </c>
      <c r="BI86" s="1" t="s">
        <v>32</v>
      </c>
      <c r="BJ86" s="1" t="s">
        <v>32</v>
      </c>
      <c r="BK86" s="1" t="s">
        <v>32</v>
      </c>
      <c r="BL86" s="1">
        <v>0</v>
      </c>
      <c r="BM86" s="1" t="s">
        <v>32</v>
      </c>
      <c r="BN86" s="1" t="s">
        <v>32</v>
      </c>
      <c r="BO86" s="1" t="s">
        <v>32</v>
      </c>
      <c r="BP86" s="1">
        <v>0</v>
      </c>
      <c r="BQ86" s="1" t="s">
        <v>32</v>
      </c>
      <c r="BR86" s="1">
        <v>0</v>
      </c>
      <c r="BS86" s="1" t="s">
        <v>1660</v>
      </c>
      <c r="BT86" s="1">
        <v>0</v>
      </c>
      <c r="BU86" s="1">
        <v>0</v>
      </c>
      <c r="BV86" s="1" t="s">
        <v>1660</v>
      </c>
      <c r="BW86" s="1"/>
      <c r="BX86" s="1"/>
      <c r="BY86" s="1" t="s">
        <v>1807</v>
      </c>
      <c r="BZ86" s="2" t="b">
        <f>OR( (Dashboard[[#This Row],[ref_as_hh]]&gt;=1),(Dashboard[[#This Row],[ret_as_hh]] &gt;=1), (Dashboard[[#This Row],[idp_as_hh]]&gt;=1))</f>
        <v>0</v>
      </c>
      <c r="CA86" s="2">
        <f>Dashboard[[#This Row],[ret_hi_hh]]</f>
        <v>0</v>
      </c>
      <c r="CB86" s="2">
        <f>Dashboard[[#This Row],[idp_fa_hh]]+Dashboard[[#This Row],[ref_fa_hh]]+Dashboard[[#This Row],[ret_fa_hh]]</f>
        <v>15</v>
      </c>
      <c r="CC86" s="2">
        <f>Dashboard[[#This Row],[idp_loc_hh]]+Dashboard[[#This Row],[ref_loc_hh]]+Dashboard[[#This Row],[ret_loc_hh]]</f>
        <v>0</v>
      </c>
      <c r="CD86" s="2">
        <f>Dashboard[[#This Row],[idp_cc_hh]]+Dashboard[[#This Row],[ref_cc_hh]]+Dashboard[[#This Row],[ret_cc_hh]]</f>
        <v>0</v>
      </c>
      <c r="CE86" s="2">
        <f>Dashboard[[#This Row],[idp_as_hh]]+Dashboard[[#This Row],[ref_as_hh]]+Dashboard[[#This Row],[ret_as_hh]]</f>
        <v>0</v>
      </c>
      <c r="CF86" s="2">
        <f>Dashboard[[#This Row],[idp_al_hh]]+Dashboard[[#This Row],[ref_al_hh]]+Dashboard[[#This Row],[ret_al_hh]]</f>
        <v>0</v>
      </c>
    </row>
    <row r="87" spans="1:84" hidden="1" x14ac:dyDescent="0.25">
      <c r="A87" s="27">
        <v>83</v>
      </c>
      <c r="B87" s="2" t="s">
        <v>22</v>
      </c>
      <c r="C87" s="2" t="s">
        <v>23</v>
      </c>
      <c r="D87" s="2" t="s">
        <v>85</v>
      </c>
      <c r="E87" s="2" t="s">
        <v>84</v>
      </c>
      <c r="F87" s="2" t="s">
        <v>173</v>
      </c>
      <c r="G87" s="2" t="s">
        <v>172</v>
      </c>
      <c r="H87" s="2" t="s">
        <v>973</v>
      </c>
      <c r="I87" s="2" t="s">
        <v>294</v>
      </c>
      <c r="J87" s="2" t="s">
        <v>2450</v>
      </c>
      <c r="K87" s="2" t="s">
        <v>2451</v>
      </c>
      <c r="L87" s="2" t="s">
        <v>2074</v>
      </c>
      <c r="M87" s="2">
        <v>1002</v>
      </c>
      <c r="N87" s="2" t="s">
        <v>1658</v>
      </c>
      <c r="O87" s="2">
        <v>5</v>
      </c>
      <c r="P87" s="2">
        <v>33</v>
      </c>
      <c r="Q87" s="2" t="s">
        <v>1658</v>
      </c>
      <c r="R87" s="2">
        <v>5</v>
      </c>
      <c r="S87" s="2" t="s">
        <v>1660</v>
      </c>
      <c r="T87" s="2">
        <v>0</v>
      </c>
      <c r="U87" s="2" t="s">
        <v>32</v>
      </c>
      <c r="V87" s="2" t="s">
        <v>32</v>
      </c>
      <c r="W87" s="1" t="s">
        <v>1660</v>
      </c>
      <c r="X87" s="1">
        <v>0</v>
      </c>
      <c r="Y87" s="1" t="s">
        <v>32</v>
      </c>
      <c r="Z87" s="1" t="s">
        <v>32</v>
      </c>
      <c r="AA87" s="1" t="s">
        <v>1660</v>
      </c>
      <c r="AB87" s="1">
        <v>0</v>
      </c>
      <c r="AC87" s="1" t="s">
        <v>1660</v>
      </c>
      <c r="AD87" s="1">
        <v>0</v>
      </c>
      <c r="AE87" s="1" t="s">
        <v>1660</v>
      </c>
      <c r="AF87" s="1">
        <v>0</v>
      </c>
      <c r="AG87" s="1">
        <v>0</v>
      </c>
      <c r="AH87" s="1" t="s">
        <v>32</v>
      </c>
      <c r="AI87" s="1" t="s">
        <v>32</v>
      </c>
      <c r="AJ87" s="1" t="s">
        <v>32</v>
      </c>
      <c r="AK87" s="1" t="s">
        <v>32</v>
      </c>
      <c r="AL87" s="1" t="s">
        <v>32</v>
      </c>
      <c r="AM87" s="1">
        <v>0</v>
      </c>
      <c r="AN87" s="1" t="s">
        <v>32</v>
      </c>
      <c r="AO87" s="1">
        <v>0</v>
      </c>
      <c r="AP87" s="1" t="s">
        <v>32</v>
      </c>
      <c r="AQ87" s="1" t="s">
        <v>32</v>
      </c>
      <c r="AR87" s="1" t="s">
        <v>32</v>
      </c>
      <c r="AS87" s="1">
        <v>0</v>
      </c>
      <c r="AT87" s="1" t="s">
        <v>32</v>
      </c>
      <c r="AU87" s="1" t="s">
        <v>32</v>
      </c>
      <c r="AV87" s="1" t="s">
        <v>32</v>
      </c>
      <c r="AW87" s="1">
        <v>0</v>
      </c>
      <c r="AX87" s="1" t="s">
        <v>32</v>
      </c>
      <c r="AY87" s="1">
        <v>0</v>
      </c>
      <c r="AZ87" s="1" t="s">
        <v>1660</v>
      </c>
      <c r="BA87" s="1">
        <v>0</v>
      </c>
      <c r="BB87" s="1">
        <v>0</v>
      </c>
      <c r="BC87" s="1" t="s">
        <v>32</v>
      </c>
      <c r="BD87" s="1">
        <v>0</v>
      </c>
      <c r="BE87" s="1" t="s">
        <v>32</v>
      </c>
      <c r="BF87" s="1">
        <v>0</v>
      </c>
      <c r="BG87" s="1" t="s">
        <v>32</v>
      </c>
      <c r="BH87" s="1">
        <v>0</v>
      </c>
      <c r="BI87" s="1" t="s">
        <v>32</v>
      </c>
      <c r="BJ87" s="1" t="s">
        <v>32</v>
      </c>
      <c r="BK87" s="1" t="s">
        <v>32</v>
      </c>
      <c r="BL87" s="1">
        <v>0</v>
      </c>
      <c r="BM87" s="1" t="s">
        <v>32</v>
      </c>
      <c r="BN87" s="1" t="s">
        <v>32</v>
      </c>
      <c r="BO87" s="1" t="s">
        <v>32</v>
      </c>
      <c r="BP87" s="1">
        <v>0</v>
      </c>
      <c r="BQ87" s="1" t="s">
        <v>32</v>
      </c>
      <c r="BR87" s="1">
        <v>0</v>
      </c>
      <c r="BS87" s="1" t="s">
        <v>1660</v>
      </c>
      <c r="BT87" s="1">
        <v>0</v>
      </c>
      <c r="BU87" s="1">
        <v>0</v>
      </c>
      <c r="BV87" s="1" t="s">
        <v>1660</v>
      </c>
      <c r="BW87" s="1"/>
      <c r="BX87" s="1"/>
      <c r="BY87" s="1" t="s">
        <v>1807</v>
      </c>
      <c r="BZ87" s="2" t="b">
        <f>OR( (Dashboard[[#This Row],[ref_as_hh]]&gt;=1),(Dashboard[[#This Row],[ret_as_hh]] &gt;=1), (Dashboard[[#This Row],[idp_as_hh]]&gt;=1))</f>
        <v>0</v>
      </c>
      <c r="CA87" s="2">
        <f>Dashboard[[#This Row],[ret_hi_hh]]</f>
        <v>0</v>
      </c>
      <c r="CB87" s="2">
        <f>Dashboard[[#This Row],[idp_fa_hh]]+Dashboard[[#This Row],[ref_fa_hh]]+Dashboard[[#This Row],[ret_fa_hh]]</f>
        <v>5</v>
      </c>
      <c r="CC87" s="2">
        <f>Dashboard[[#This Row],[idp_loc_hh]]+Dashboard[[#This Row],[ref_loc_hh]]+Dashboard[[#This Row],[ret_loc_hh]]</f>
        <v>0</v>
      </c>
      <c r="CD87" s="2">
        <f>Dashboard[[#This Row],[idp_cc_hh]]+Dashboard[[#This Row],[ref_cc_hh]]+Dashboard[[#This Row],[ret_cc_hh]]</f>
        <v>0</v>
      </c>
      <c r="CE87" s="2">
        <f>Dashboard[[#This Row],[idp_as_hh]]+Dashboard[[#This Row],[ref_as_hh]]+Dashboard[[#This Row],[ret_as_hh]]</f>
        <v>0</v>
      </c>
      <c r="CF87" s="2">
        <f>Dashboard[[#This Row],[idp_al_hh]]+Dashboard[[#This Row],[ref_al_hh]]+Dashboard[[#This Row],[ret_al_hh]]</f>
        <v>0</v>
      </c>
    </row>
    <row r="88" spans="1:84" hidden="1" x14ac:dyDescent="0.25">
      <c r="A88" s="27">
        <v>340</v>
      </c>
      <c r="B88" s="2" t="s">
        <v>22</v>
      </c>
      <c r="C88" s="2" t="s">
        <v>23</v>
      </c>
      <c r="D88" s="2" t="s">
        <v>85</v>
      </c>
      <c r="E88" s="2" t="s">
        <v>84</v>
      </c>
      <c r="F88" s="2" t="s">
        <v>173</v>
      </c>
      <c r="G88" s="2" t="s">
        <v>172</v>
      </c>
      <c r="H88" s="2" t="s">
        <v>987</v>
      </c>
      <c r="I88" s="2" t="s">
        <v>305</v>
      </c>
      <c r="J88" s="2" t="s">
        <v>2478</v>
      </c>
      <c r="K88" s="2" t="s">
        <v>2479</v>
      </c>
      <c r="L88" s="2" t="s">
        <v>3693</v>
      </c>
      <c r="M88" s="2">
        <v>506</v>
      </c>
      <c r="N88" s="2" t="s">
        <v>1658</v>
      </c>
      <c r="O88" s="2">
        <v>9</v>
      </c>
      <c r="P88" s="2">
        <v>62</v>
      </c>
      <c r="Q88" s="2" t="s">
        <v>1658</v>
      </c>
      <c r="R88" s="2">
        <v>9</v>
      </c>
      <c r="S88" s="2" t="s">
        <v>1660</v>
      </c>
      <c r="T88" s="2">
        <v>0</v>
      </c>
      <c r="U88" s="2" t="s">
        <v>32</v>
      </c>
      <c r="V88" s="2" t="s">
        <v>32</v>
      </c>
      <c r="W88" s="1" t="s">
        <v>1660</v>
      </c>
      <c r="X88" s="1">
        <v>0</v>
      </c>
      <c r="Y88" s="1" t="s">
        <v>32</v>
      </c>
      <c r="Z88" s="1" t="s">
        <v>32</v>
      </c>
      <c r="AA88" s="1" t="s">
        <v>1660</v>
      </c>
      <c r="AB88" s="1">
        <v>0</v>
      </c>
      <c r="AC88" s="1" t="s">
        <v>1660</v>
      </c>
      <c r="AD88" s="1">
        <v>0</v>
      </c>
      <c r="AE88" s="1" t="s">
        <v>1660</v>
      </c>
      <c r="AF88" s="1">
        <v>0</v>
      </c>
      <c r="AG88" s="1">
        <v>0</v>
      </c>
      <c r="AH88" s="1" t="s">
        <v>32</v>
      </c>
      <c r="AI88" s="1" t="s">
        <v>32</v>
      </c>
      <c r="AJ88" s="1" t="s">
        <v>32</v>
      </c>
      <c r="AK88" s="1" t="s">
        <v>32</v>
      </c>
      <c r="AL88" s="1" t="s">
        <v>32</v>
      </c>
      <c r="AM88" s="1">
        <v>0</v>
      </c>
      <c r="AN88" s="1" t="s">
        <v>32</v>
      </c>
      <c r="AO88" s="1">
        <v>0</v>
      </c>
      <c r="AP88" s="1" t="s">
        <v>32</v>
      </c>
      <c r="AQ88" s="1" t="s">
        <v>32</v>
      </c>
      <c r="AR88" s="1" t="s">
        <v>32</v>
      </c>
      <c r="AS88" s="1">
        <v>0</v>
      </c>
      <c r="AT88" s="1" t="s">
        <v>32</v>
      </c>
      <c r="AU88" s="1" t="s">
        <v>32</v>
      </c>
      <c r="AV88" s="1" t="s">
        <v>32</v>
      </c>
      <c r="AW88" s="1">
        <v>0</v>
      </c>
      <c r="AX88" s="1" t="s">
        <v>32</v>
      </c>
      <c r="AY88" s="1">
        <v>0</v>
      </c>
      <c r="AZ88" s="1" t="s">
        <v>1660</v>
      </c>
      <c r="BA88" s="1">
        <v>0</v>
      </c>
      <c r="BB88" s="1">
        <v>0</v>
      </c>
      <c r="BC88" s="1" t="s">
        <v>32</v>
      </c>
      <c r="BD88" s="1">
        <v>0</v>
      </c>
      <c r="BE88" s="1" t="s">
        <v>32</v>
      </c>
      <c r="BF88" s="1">
        <v>0</v>
      </c>
      <c r="BG88" s="1" t="s">
        <v>32</v>
      </c>
      <c r="BH88" s="1">
        <v>0</v>
      </c>
      <c r="BI88" s="1" t="s">
        <v>32</v>
      </c>
      <c r="BJ88" s="1" t="s">
        <v>32</v>
      </c>
      <c r="BK88" s="1" t="s">
        <v>32</v>
      </c>
      <c r="BL88" s="1">
        <v>0</v>
      </c>
      <c r="BM88" s="1" t="s">
        <v>32</v>
      </c>
      <c r="BN88" s="1" t="s">
        <v>32</v>
      </c>
      <c r="BO88" s="1" t="s">
        <v>32</v>
      </c>
      <c r="BP88" s="1">
        <v>0</v>
      </c>
      <c r="BQ88" s="1" t="s">
        <v>32</v>
      </c>
      <c r="BR88" s="1">
        <v>0</v>
      </c>
      <c r="BS88" s="1" t="s">
        <v>1660</v>
      </c>
      <c r="BT88" s="1">
        <v>0</v>
      </c>
      <c r="BU88" s="1">
        <v>0</v>
      </c>
      <c r="BV88" s="1" t="s">
        <v>1660</v>
      </c>
      <c r="BW88" s="1"/>
      <c r="BX88" s="1"/>
      <c r="BY88" s="1" t="s">
        <v>1807</v>
      </c>
      <c r="BZ88" s="2" t="b">
        <f>OR( (Dashboard[[#This Row],[ref_as_hh]]&gt;=1),(Dashboard[[#This Row],[ret_as_hh]] &gt;=1), (Dashboard[[#This Row],[idp_as_hh]]&gt;=1))</f>
        <v>0</v>
      </c>
      <c r="CA88" s="2">
        <f>Dashboard[[#This Row],[ret_hi_hh]]</f>
        <v>0</v>
      </c>
      <c r="CB88" s="2">
        <f>Dashboard[[#This Row],[idp_fa_hh]]+Dashboard[[#This Row],[ref_fa_hh]]+Dashboard[[#This Row],[ret_fa_hh]]</f>
        <v>9</v>
      </c>
      <c r="CC88" s="2">
        <f>Dashboard[[#This Row],[idp_loc_hh]]+Dashboard[[#This Row],[ref_loc_hh]]+Dashboard[[#This Row],[ret_loc_hh]]</f>
        <v>0</v>
      </c>
      <c r="CD88" s="2">
        <f>Dashboard[[#This Row],[idp_cc_hh]]+Dashboard[[#This Row],[ref_cc_hh]]+Dashboard[[#This Row],[ret_cc_hh]]</f>
        <v>0</v>
      </c>
      <c r="CE88" s="2">
        <f>Dashboard[[#This Row],[idp_as_hh]]+Dashboard[[#This Row],[ref_as_hh]]+Dashboard[[#This Row],[ret_as_hh]]</f>
        <v>0</v>
      </c>
      <c r="CF88" s="2">
        <f>Dashboard[[#This Row],[idp_al_hh]]+Dashboard[[#This Row],[ref_al_hh]]+Dashboard[[#This Row],[ret_al_hh]]</f>
        <v>0</v>
      </c>
    </row>
    <row r="89" spans="1:84" hidden="1" x14ac:dyDescent="0.25">
      <c r="A89" s="27">
        <v>85</v>
      </c>
      <c r="B89" s="2" t="s">
        <v>22</v>
      </c>
      <c r="C89" s="2" t="s">
        <v>23</v>
      </c>
      <c r="D89" s="2" t="s">
        <v>85</v>
      </c>
      <c r="E89" s="2" t="s">
        <v>84</v>
      </c>
      <c r="F89" s="2" t="s">
        <v>173</v>
      </c>
      <c r="G89" s="2" t="s">
        <v>172</v>
      </c>
      <c r="H89" s="2" t="s">
        <v>979</v>
      </c>
      <c r="I89" s="2" t="s">
        <v>300</v>
      </c>
      <c r="J89" s="2" t="s">
        <v>2462</v>
      </c>
      <c r="K89" s="2" t="s">
        <v>2463</v>
      </c>
      <c r="L89" s="2" t="s">
        <v>3693</v>
      </c>
      <c r="M89" s="2">
        <v>3616</v>
      </c>
      <c r="N89" s="2" t="s">
        <v>1658</v>
      </c>
      <c r="O89" s="2">
        <v>27</v>
      </c>
      <c r="P89" s="2">
        <v>119</v>
      </c>
      <c r="Q89" s="2" t="s">
        <v>1658</v>
      </c>
      <c r="R89" s="2">
        <v>27</v>
      </c>
      <c r="S89" s="2" t="s">
        <v>1660</v>
      </c>
      <c r="T89" s="2">
        <v>0</v>
      </c>
      <c r="U89" s="2" t="s">
        <v>32</v>
      </c>
      <c r="V89" s="2" t="s">
        <v>32</v>
      </c>
      <c r="W89" s="1" t="s">
        <v>1660</v>
      </c>
      <c r="X89" s="1">
        <v>0</v>
      </c>
      <c r="Y89" s="1" t="s">
        <v>32</v>
      </c>
      <c r="Z89" s="1" t="s">
        <v>32</v>
      </c>
      <c r="AA89" s="1" t="s">
        <v>1660</v>
      </c>
      <c r="AB89" s="1">
        <v>0</v>
      </c>
      <c r="AC89" s="1" t="s">
        <v>1660</v>
      </c>
      <c r="AD89" s="1">
        <v>0</v>
      </c>
      <c r="AE89" s="1" t="s">
        <v>1660</v>
      </c>
      <c r="AF89" s="1">
        <v>0</v>
      </c>
      <c r="AG89" s="1">
        <v>0</v>
      </c>
      <c r="AH89" s="1" t="s">
        <v>32</v>
      </c>
      <c r="AI89" s="1" t="s">
        <v>32</v>
      </c>
      <c r="AJ89" s="1" t="s">
        <v>32</v>
      </c>
      <c r="AK89" s="1" t="s">
        <v>32</v>
      </c>
      <c r="AL89" s="1" t="s">
        <v>32</v>
      </c>
      <c r="AM89" s="1">
        <v>0</v>
      </c>
      <c r="AN89" s="1" t="s">
        <v>32</v>
      </c>
      <c r="AO89" s="1">
        <v>0</v>
      </c>
      <c r="AP89" s="1" t="s">
        <v>32</v>
      </c>
      <c r="AQ89" s="1" t="s">
        <v>32</v>
      </c>
      <c r="AR89" s="1" t="s">
        <v>32</v>
      </c>
      <c r="AS89" s="1">
        <v>0</v>
      </c>
      <c r="AT89" s="1" t="s">
        <v>32</v>
      </c>
      <c r="AU89" s="1" t="s">
        <v>32</v>
      </c>
      <c r="AV89" s="1" t="s">
        <v>32</v>
      </c>
      <c r="AW89" s="1">
        <v>0</v>
      </c>
      <c r="AX89" s="1" t="s">
        <v>32</v>
      </c>
      <c r="AY89" s="1">
        <v>0</v>
      </c>
      <c r="AZ89" s="1" t="s">
        <v>1660</v>
      </c>
      <c r="BA89" s="1">
        <v>0</v>
      </c>
      <c r="BB89" s="1">
        <v>0</v>
      </c>
      <c r="BC89" s="1" t="s">
        <v>32</v>
      </c>
      <c r="BD89" s="1">
        <v>0</v>
      </c>
      <c r="BE89" s="1" t="s">
        <v>32</v>
      </c>
      <c r="BF89" s="1">
        <v>0</v>
      </c>
      <c r="BG89" s="1" t="s">
        <v>32</v>
      </c>
      <c r="BH89" s="1">
        <v>0</v>
      </c>
      <c r="BI89" s="1" t="s">
        <v>32</v>
      </c>
      <c r="BJ89" s="1" t="s">
        <v>32</v>
      </c>
      <c r="BK89" s="1" t="s">
        <v>32</v>
      </c>
      <c r="BL89" s="1">
        <v>0</v>
      </c>
      <c r="BM89" s="1" t="s">
        <v>32</v>
      </c>
      <c r="BN89" s="1" t="s">
        <v>32</v>
      </c>
      <c r="BO89" s="1" t="s">
        <v>32</v>
      </c>
      <c r="BP89" s="1">
        <v>0</v>
      </c>
      <c r="BQ89" s="1" t="s">
        <v>32</v>
      </c>
      <c r="BR89" s="1">
        <v>0</v>
      </c>
      <c r="BS89" s="1" t="s">
        <v>1660</v>
      </c>
      <c r="BT89" s="1">
        <v>0</v>
      </c>
      <c r="BU89" s="1">
        <v>0</v>
      </c>
      <c r="BV89" s="1" t="s">
        <v>1660</v>
      </c>
      <c r="BW89" s="1"/>
      <c r="BX89" s="1"/>
      <c r="BY89" s="1" t="s">
        <v>1807</v>
      </c>
      <c r="BZ89" s="2" t="b">
        <f>OR( (Dashboard[[#This Row],[ref_as_hh]]&gt;=1),(Dashboard[[#This Row],[ret_as_hh]] &gt;=1), (Dashboard[[#This Row],[idp_as_hh]]&gt;=1))</f>
        <v>0</v>
      </c>
      <c r="CA89" s="2">
        <f>Dashboard[[#This Row],[ret_hi_hh]]</f>
        <v>0</v>
      </c>
      <c r="CB89" s="2">
        <f>Dashboard[[#This Row],[idp_fa_hh]]+Dashboard[[#This Row],[ref_fa_hh]]+Dashboard[[#This Row],[ret_fa_hh]]</f>
        <v>27</v>
      </c>
      <c r="CC89" s="2">
        <f>Dashboard[[#This Row],[idp_loc_hh]]+Dashboard[[#This Row],[ref_loc_hh]]+Dashboard[[#This Row],[ret_loc_hh]]</f>
        <v>0</v>
      </c>
      <c r="CD89" s="2">
        <f>Dashboard[[#This Row],[idp_cc_hh]]+Dashboard[[#This Row],[ref_cc_hh]]+Dashboard[[#This Row],[ret_cc_hh]]</f>
        <v>0</v>
      </c>
      <c r="CE89" s="2">
        <f>Dashboard[[#This Row],[idp_as_hh]]+Dashboard[[#This Row],[ref_as_hh]]+Dashboard[[#This Row],[ret_as_hh]]</f>
        <v>0</v>
      </c>
      <c r="CF89" s="2">
        <f>Dashboard[[#This Row],[idp_al_hh]]+Dashboard[[#This Row],[ref_al_hh]]+Dashboard[[#This Row],[ret_al_hh]]</f>
        <v>0</v>
      </c>
    </row>
    <row r="90" spans="1:84" hidden="1" x14ac:dyDescent="0.25">
      <c r="A90" s="27">
        <v>86</v>
      </c>
      <c r="B90" s="2" t="s">
        <v>22</v>
      </c>
      <c r="C90" s="2" t="s">
        <v>23</v>
      </c>
      <c r="D90" s="2" t="s">
        <v>85</v>
      </c>
      <c r="E90" s="2" t="s">
        <v>84</v>
      </c>
      <c r="F90" s="2" t="s">
        <v>173</v>
      </c>
      <c r="G90" s="2" t="s">
        <v>172</v>
      </c>
      <c r="H90" s="2" t="s">
        <v>985</v>
      </c>
      <c r="I90" s="2" t="s">
        <v>304</v>
      </c>
      <c r="J90" s="2" t="s">
        <v>2474</v>
      </c>
      <c r="K90" s="2" t="s">
        <v>2475</v>
      </c>
      <c r="L90" s="2" t="s">
        <v>2074</v>
      </c>
      <c r="M90" s="2">
        <v>576</v>
      </c>
      <c r="N90" s="2" t="s">
        <v>1658</v>
      </c>
      <c r="O90" s="2">
        <v>4</v>
      </c>
      <c r="P90" s="2">
        <v>25</v>
      </c>
      <c r="Q90" s="2" t="s">
        <v>1658</v>
      </c>
      <c r="R90" s="2">
        <v>4</v>
      </c>
      <c r="S90" s="2" t="s">
        <v>1660</v>
      </c>
      <c r="T90" s="2">
        <v>0</v>
      </c>
      <c r="U90" s="2" t="s">
        <v>32</v>
      </c>
      <c r="V90" s="2" t="s">
        <v>32</v>
      </c>
      <c r="W90" s="1" t="s">
        <v>1660</v>
      </c>
      <c r="X90" s="1">
        <v>0</v>
      </c>
      <c r="Y90" s="1" t="s">
        <v>32</v>
      </c>
      <c r="Z90" s="1" t="s">
        <v>32</v>
      </c>
      <c r="AA90" s="1" t="s">
        <v>1660</v>
      </c>
      <c r="AB90" s="1">
        <v>0</v>
      </c>
      <c r="AC90" s="1" t="s">
        <v>1660</v>
      </c>
      <c r="AD90" s="1">
        <v>0</v>
      </c>
      <c r="AE90" s="1" t="s">
        <v>1660</v>
      </c>
      <c r="AF90" s="1">
        <v>0</v>
      </c>
      <c r="AG90" s="1">
        <v>0</v>
      </c>
      <c r="AH90" s="1" t="s">
        <v>32</v>
      </c>
      <c r="AI90" s="1" t="s">
        <v>32</v>
      </c>
      <c r="AJ90" s="1" t="s">
        <v>32</v>
      </c>
      <c r="AK90" s="1" t="s">
        <v>32</v>
      </c>
      <c r="AL90" s="1" t="s">
        <v>32</v>
      </c>
      <c r="AM90" s="1">
        <v>0</v>
      </c>
      <c r="AN90" s="1" t="s">
        <v>32</v>
      </c>
      <c r="AO90" s="1">
        <v>0</v>
      </c>
      <c r="AP90" s="1" t="s">
        <v>32</v>
      </c>
      <c r="AQ90" s="1" t="s">
        <v>32</v>
      </c>
      <c r="AR90" s="1" t="s">
        <v>32</v>
      </c>
      <c r="AS90" s="1">
        <v>0</v>
      </c>
      <c r="AT90" s="1" t="s">
        <v>32</v>
      </c>
      <c r="AU90" s="1" t="s">
        <v>32</v>
      </c>
      <c r="AV90" s="1" t="s">
        <v>32</v>
      </c>
      <c r="AW90" s="1">
        <v>0</v>
      </c>
      <c r="AX90" s="1" t="s">
        <v>32</v>
      </c>
      <c r="AY90" s="1">
        <v>0</v>
      </c>
      <c r="AZ90" s="1" t="s">
        <v>1660</v>
      </c>
      <c r="BA90" s="1">
        <v>0</v>
      </c>
      <c r="BB90" s="1">
        <v>0</v>
      </c>
      <c r="BC90" s="1" t="s">
        <v>32</v>
      </c>
      <c r="BD90" s="1">
        <v>0</v>
      </c>
      <c r="BE90" s="1" t="s">
        <v>32</v>
      </c>
      <c r="BF90" s="1">
        <v>0</v>
      </c>
      <c r="BG90" s="1" t="s">
        <v>32</v>
      </c>
      <c r="BH90" s="1">
        <v>0</v>
      </c>
      <c r="BI90" s="1" t="s">
        <v>32</v>
      </c>
      <c r="BJ90" s="1" t="s">
        <v>32</v>
      </c>
      <c r="BK90" s="1" t="s">
        <v>32</v>
      </c>
      <c r="BL90" s="1">
        <v>0</v>
      </c>
      <c r="BM90" s="1" t="s">
        <v>32</v>
      </c>
      <c r="BN90" s="1" t="s">
        <v>32</v>
      </c>
      <c r="BO90" s="1" t="s">
        <v>32</v>
      </c>
      <c r="BP90" s="1">
        <v>0</v>
      </c>
      <c r="BQ90" s="1" t="s">
        <v>32</v>
      </c>
      <c r="BR90" s="1">
        <v>0</v>
      </c>
      <c r="BS90" s="1" t="s">
        <v>1660</v>
      </c>
      <c r="BT90" s="1">
        <v>0</v>
      </c>
      <c r="BU90" s="1">
        <v>0</v>
      </c>
      <c r="BV90" s="1" t="s">
        <v>1660</v>
      </c>
      <c r="BW90" s="1"/>
      <c r="BX90" s="1"/>
      <c r="BY90" s="1" t="s">
        <v>1807</v>
      </c>
      <c r="BZ90" s="2" t="b">
        <f>OR( (Dashboard[[#This Row],[ref_as_hh]]&gt;=1),(Dashboard[[#This Row],[ret_as_hh]] &gt;=1), (Dashboard[[#This Row],[idp_as_hh]]&gt;=1))</f>
        <v>0</v>
      </c>
      <c r="CA90" s="2">
        <f>Dashboard[[#This Row],[ret_hi_hh]]</f>
        <v>0</v>
      </c>
      <c r="CB90" s="2">
        <f>Dashboard[[#This Row],[idp_fa_hh]]+Dashboard[[#This Row],[ref_fa_hh]]+Dashboard[[#This Row],[ret_fa_hh]]</f>
        <v>4</v>
      </c>
      <c r="CC90" s="2">
        <f>Dashboard[[#This Row],[idp_loc_hh]]+Dashboard[[#This Row],[ref_loc_hh]]+Dashboard[[#This Row],[ret_loc_hh]]</f>
        <v>0</v>
      </c>
      <c r="CD90" s="2">
        <f>Dashboard[[#This Row],[idp_cc_hh]]+Dashboard[[#This Row],[ref_cc_hh]]+Dashboard[[#This Row],[ret_cc_hh]]</f>
        <v>0</v>
      </c>
      <c r="CE90" s="2">
        <f>Dashboard[[#This Row],[idp_as_hh]]+Dashboard[[#This Row],[ref_as_hh]]+Dashboard[[#This Row],[ret_as_hh]]</f>
        <v>0</v>
      </c>
      <c r="CF90" s="2">
        <f>Dashboard[[#This Row],[idp_al_hh]]+Dashboard[[#This Row],[ref_al_hh]]+Dashboard[[#This Row],[ret_al_hh]]</f>
        <v>0</v>
      </c>
    </row>
    <row r="91" spans="1:84" hidden="1" x14ac:dyDescent="0.25">
      <c r="A91" s="27">
        <v>342</v>
      </c>
      <c r="B91" s="2" t="s">
        <v>22</v>
      </c>
      <c r="C91" s="2" t="s">
        <v>23</v>
      </c>
      <c r="D91" s="2" t="s">
        <v>85</v>
      </c>
      <c r="E91" s="2" t="s">
        <v>84</v>
      </c>
      <c r="F91" s="2" t="s">
        <v>173</v>
      </c>
      <c r="G91" s="2" t="s">
        <v>172</v>
      </c>
      <c r="H91" s="2" t="s">
        <v>977</v>
      </c>
      <c r="I91" s="2" t="s">
        <v>298</v>
      </c>
      <c r="J91" s="2" t="s">
        <v>2458</v>
      </c>
      <c r="K91" s="2" t="s">
        <v>2459</v>
      </c>
      <c r="L91" s="2" t="s">
        <v>3693</v>
      </c>
      <c r="M91" s="2">
        <v>1232</v>
      </c>
      <c r="N91" s="2" t="s">
        <v>1658</v>
      </c>
      <c r="O91" s="2">
        <v>3</v>
      </c>
      <c r="P91" s="2">
        <v>30</v>
      </c>
      <c r="Q91" s="2" t="s">
        <v>1658</v>
      </c>
      <c r="R91" s="2">
        <v>3</v>
      </c>
      <c r="S91" s="2" t="s">
        <v>1660</v>
      </c>
      <c r="T91" s="2">
        <v>0</v>
      </c>
      <c r="U91" s="2" t="s">
        <v>32</v>
      </c>
      <c r="V91" s="2" t="s">
        <v>32</v>
      </c>
      <c r="W91" s="1" t="s">
        <v>1660</v>
      </c>
      <c r="X91" s="1">
        <v>0</v>
      </c>
      <c r="Y91" s="1" t="s">
        <v>32</v>
      </c>
      <c r="Z91" s="1" t="s">
        <v>32</v>
      </c>
      <c r="AA91" s="1" t="s">
        <v>1660</v>
      </c>
      <c r="AB91" s="1">
        <v>0</v>
      </c>
      <c r="AC91" s="1" t="s">
        <v>1660</v>
      </c>
      <c r="AD91" s="1">
        <v>0</v>
      </c>
      <c r="AE91" s="1" t="s">
        <v>1660</v>
      </c>
      <c r="AF91" s="1">
        <v>0</v>
      </c>
      <c r="AG91" s="1">
        <v>0</v>
      </c>
      <c r="AH91" s="1" t="s">
        <v>32</v>
      </c>
      <c r="AI91" s="1" t="s">
        <v>32</v>
      </c>
      <c r="AJ91" s="1" t="s">
        <v>32</v>
      </c>
      <c r="AK91" s="1" t="s">
        <v>32</v>
      </c>
      <c r="AL91" s="1" t="s">
        <v>32</v>
      </c>
      <c r="AM91" s="1">
        <v>0</v>
      </c>
      <c r="AN91" s="1" t="s">
        <v>32</v>
      </c>
      <c r="AO91" s="1">
        <v>0</v>
      </c>
      <c r="AP91" s="1" t="s">
        <v>32</v>
      </c>
      <c r="AQ91" s="1" t="s">
        <v>32</v>
      </c>
      <c r="AR91" s="1" t="s">
        <v>32</v>
      </c>
      <c r="AS91" s="1">
        <v>0</v>
      </c>
      <c r="AT91" s="1" t="s">
        <v>32</v>
      </c>
      <c r="AU91" s="1" t="s">
        <v>32</v>
      </c>
      <c r="AV91" s="1" t="s">
        <v>32</v>
      </c>
      <c r="AW91" s="1">
        <v>0</v>
      </c>
      <c r="AX91" s="1" t="s">
        <v>32</v>
      </c>
      <c r="AY91" s="1">
        <v>0</v>
      </c>
      <c r="AZ91" s="1" t="s">
        <v>1660</v>
      </c>
      <c r="BA91" s="1">
        <v>0</v>
      </c>
      <c r="BB91" s="1">
        <v>0</v>
      </c>
      <c r="BC91" s="1" t="s">
        <v>32</v>
      </c>
      <c r="BD91" s="1">
        <v>0</v>
      </c>
      <c r="BE91" s="1" t="s">
        <v>32</v>
      </c>
      <c r="BF91" s="1">
        <v>0</v>
      </c>
      <c r="BG91" s="1" t="s">
        <v>32</v>
      </c>
      <c r="BH91" s="1">
        <v>0</v>
      </c>
      <c r="BI91" s="1" t="s">
        <v>32</v>
      </c>
      <c r="BJ91" s="1" t="s">
        <v>32</v>
      </c>
      <c r="BK91" s="1" t="s">
        <v>32</v>
      </c>
      <c r="BL91" s="1">
        <v>0</v>
      </c>
      <c r="BM91" s="1" t="s">
        <v>32</v>
      </c>
      <c r="BN91" s="1" t="s">
        <v>32</v>
      </c>
      <c r="BO91" s="1" t="s">
        <v>32</v>
      </c>
      <c r="BP91" s="1">
        <v>0</v>
      </c>
      <c r="BQ91" s="1" t="s">
        <v>32</v>
      </c>
      <c r="BR91" s="1">
        <v>0</v>
      </c>
      <c r="BS91" s="1" t="s">
        <v>1660</v>
      </c>
      <c r="BT91" s="1">
        <v>0</v>
      </c>
      <c r="BU91" s="1">
        <v>0</v>
      </c>
      <c r="BV91" s="1" t="s">
        <v>1660</v>
      </c>
      <c r="BW91" s="1"/>
      <c r="BX91" s="1"/>
      <c r="BY91" s="1" t="s">
        <v>1807</v>
      </c>
      <c r="BZ91" s="2" t="b">
        <f>OR( (Dashboard[[#This Row],[ref_as_hh]]&gt;=1),(Dashboard[[#This Row],[ret_as_hh]] &gt;=1), (Dashboard[[#This Row],[idp_as_hh]]&gt;=1))</f>
        <v>0</v>
      </c>
      <c r="CA91" s="2">
        <f>Dashboard[[#This Row],[ret_hi_hh]]</f>
        <v>0</v>
      </c>
      <c r="CB91" s="2">
        <f>Dashboard[[#This Row],[idp_fa_hh]]+Dashboard[[#This Row],[ref_fa_hh]]+Dashboard[[#This Row],[ret_fa_hh]]</f>
        <v>3</v>
      </c>
      <c r="CC91" s="2">
        <f>Dashboard[[#This Row],[idp_loc_hh]]+Dashboard[[#This Row],[ref_loc_hh]]+Dashboard[[#This Row],[ret_loc_hh]]</f>
        <v>0</v>
      </c>
      <c r="CD91" s="2">
        <f>Dashboard[[#This Row],[idp_cc_hh]]+Dashboard[[#This Row],[ref_cc_hh]]+Dashboard[[#This Row],[ret_cc_hh]]</f>
        <v>0</v>
      </c>
      <c r="CE91" s="2">
        <f>Dashboard[[#This Row],[idp_as_hh]]+Dashboard[[#This Row],[ref_as_hh]]+Dashboard[[#This Row],[ret_as_hh]]</f>
        <v>0</v>
      </c>
      <c r="CF91" s="2">
        <f>Dashboard[[#This Row],[idp_al_hh]]+Dashboard[[#This Row],[ref_al_hh]]+Dashboard[[#This Row],[ret_al_hh]]</f>
        <v>0</v>
      </c>
    </row>
    <row r="92" spans="1:84" hidden="1" x14ac:dyDescent="0.25">
      <c r="A92" s="27">
        <v>91</v>
      </c>
      <c r="B92" s="2" t="s">
        <v>22</v>
      </c>
      <c r="C92" s="2" t="s">
        <v>23</v>
      </c>
      <c r="D92" s="2" t="s">
        <v>85</v>
      </c>
      <c r="E92" s="2" t="s">
        <v>84</v>
      </c>
      <c r="F92" s="2" t="s">
        <v>173</v>
      </c>
      <c r="G92" s="2" t="s">
        <v>172</v>
      </c>
      <c r="H92" s="2" t="s">
        <v>1000</v>
      </c>
      <c r="I92" s="2" t="s">
        <v>773</v>
      </c>
      <c r="J92" s="2" t="s">
        <v>2504</v>
      </c>
      <c r="K92" s="2" t="s">
        <v>2505</v>
      </c>
      <c r="L92" s="2" t="s">
        <v>3693</v>
      </c>
      <c r="M92" s="2">
        <v>443</v>
      </c>
      <c r="N92" s="2" t="s">
        <v>1658</v>
      </c>
      <c r="O92" s="2">
        <v>2</v>
      </c>
      <c r="P92" s="2">
        <v>17</v>
      </c>
      <c r="Q92" s="2" t="s">
        <v>1658</v>
      </c>
      <c r="R92" s="2">
        <v>2</v>
      </c>
      <c r="S92" s="2" t="s">
        <v>1660</v>
      </c>
      <c r="T92" s="2">
        <v>0</v>
      </c>
      <c r="U92" s="2" t="s">
        <v>32</v>
      </c>
      <c r="V92" s="2" t="s">
        <v>32</v>
      </c>
      <c r="W92" s="1" t="s">
        <v>1660</v>
      </c>
      <c r="X92" s="1">
        <v>0</v>
      </c>
      <c r="Y92" s="1" t="s">
        <v>32</v>
      </c>
      <c r="Z92" s="1" t="s">
        <v>32</v>
      </c>
      <c r="AA92" s="1" t="s">
        <v>1660</v>
      </c>
      <c r="AB92" s="1">
        <v>0</v>
      </c>
      <c r="AC92" s="1" t="s">
        <v>1660</v>
      </c>
      <c r="AD92" s="1">
        <v>0</v>
      </c>
      <c r="AE92" s="1" t="s">
        <v>1660</v>
      </c>
      <c r="AF92" s="1">
        <v>0</v>
      </c>
      <c r="AG92" s="1">
        <v>0</v>
      </c>
      <c r="AH92" s="1" t="s">
        <v>32</v>
      </c>
      <c r="AI92" s="1" t="s">
        <v>32</v>
      </c>
      <c r="AJ92" s="1" t="s">
        <v>32</v>
      </c>
      <c r="AK92" s="1" t="s">
        <v>32</v>
      </c>
      <c r="AL92" s="1" t="s">
        <v>32</v>
      </c>
      <c r="AM92" s="1">
        <v>0</v>
      </c>
      <c r="AN92" s="1" t="s">
        <v>32</v>
      </c>
      <c r="AO92" s="1">
        <v>0</v>
      </c>
      <c r="AP92" s="1" t="s">
        <v>32</v>
      </c>
      <c r="AQ92" s="1" t="s">
        <v>32</v>
      </c>
      <c r="AR92" s="1" t="s">
        <v>32</v>
      </c>
      <c r="AS92" s="1">
        <v>0</v>
      </c>
      <c r="AT92" s="1" t="s">
        <v>32</v>
      </c>
      <c r="AU92" s="1" t="s">
        <v>32</v>
      </c>
      <c r="AV92" s="1" t="s">
        <v>32</v>
      </c>
      <c r="AW92" s="1">
        <v>0</v>
      </c>
      <c r="AX92" s="1" t="s">
        <v>32</v>
      </c>
      <c r="AY92" s="1">
        <v>0</v>
      </c>
      <c r="AZ92" s="1" t="s">
        <v>1660</v>
      </c>
      <c r="BA92" s="1">
        <v>0</v>
      </c>
      <c r="BB92" s="1">
        <v>0</v>
      </c>
      <c r="BC92" s="1" t="s">
        <v>32</v>
      </c>
      <c r="BD92" s="1">
        <v>0</v>
      </c>
      <c r="BE92" s="1" t="s">
        <v>32</v>
      </c>
      <c r="BF92" s="1">
        <v>0</v>
      </c>
      <c r="BG92" s="1" t="s">
        <v>32</v>
      </c>
      <c r="BH92" s="1">
        <v>0</v>
      </c>
      <c r="BI92" s="1" t="s">
        <v>32</v>
      </c>
      <c r="BJ92" s="1" t="s">
        <v>32</v>
      </c>
      <c r="BK92" s="1" t="s">
        <v>32</v>
      </c>
      <c r="BL92" s="1">
        <v>0</v>
      </c>
      <c r="BM92" s="1" t="s">
        <v>32</v>
      </c>
      <c r="BN92" s="1" t="s">
        <v>32</v>
      </c>
      <c r="BO92" s="1" t="s">
        <v>32</v>
      </c>
      <c r="BP92" s="1">
        <v>0</v>
      </c>
      <c r="BQ92" s="1" t="s">
        <v>32</v>
      </c>
      <c r="BR92" s="1">
        <v>0</v>
      </c>
      <c r="BS92" s="1" t="s">
        <v>1660</v>
      </c>
      <c r="BT92" s="1">
        <v>0</v>
      </c>
      <c r="BU92" s="1">
        <v>0</v>
      </c>
      <c r="BV92" s="1" t="s">
        <v>1660</v>
      </c>
      <c r="BW92" s="1"/>
      <c r="BX92" s="1"/>
      <c r="BY92" s="1" t="s">
        <v>1807</v>
      </c>
      <c r="BZ92" s="2" t="b">
        <f>OR( (Dashboard[[#This Row],[ref_as_hh]]&gt;=1),(Dashboard[[#This Row],[ret_as_hh]] &gt;=1), (Dashboard[[#This Row],[idp_as_hh]]&gt;=1))</f>
        <v>0</v>
      </c>
      <c r="CA92" s="2">
        <f>Dashboard[[#This Row],[ret_hi_hh]]</f>
        <v>0</v>
      </c>
      <c r="CB92" s="2">
        <f>Dashboard[[#This Row],[idp_fa_hh]]+Dashboard[[#This Row],[ref_fa_hh]]+Dashboard[[#This Row],[ret_fa_hh]]</f>
        <v>2</v>
      </c>
      <c r="CC92" s="2">
        <f>Dashboard[[#This Row],[idp_loc_hh]]+Dashboard[[#This Row],[ref_loc_hh]]+Dashboard[[#This Row],[ret_loc_hh]]</f>
        <v>0</v>
      </c>
      <c r="CD92" s="2">
        <f>Dashboard[[#This Row],[idp_cc_hh]]+Dashboard[[#This Row],[ref_cc_hh]]+Dashboard[[#This Row],[ret_cc_hh]]</f>
        <v>0</v>
      </c>
      <c r="CE92" s="2">
        <f>Dashboard[[#This Row],[idp_as_hh]]+Dashboard[[#This Row],[ref_as_hh]]+Dashboard[[#This Row],[ret_as_hh]]</f>
        <v>0</v>
      </c>
      <c r="CF92" s="2">
        <f>Dashboard[[#This Row],[idp_al_hh]]+Dashboard[[#This Row],[ref_al_hh]]+Dashboard[[#This Row],[ret_al_hh]]</f>
        <v>0</v>
      </c>
    </row>
    <row r="93" spans="1:84" hidden="1" x14ac:dyDescent="0.25">
      <c r="A93" s="27">
        <v>347</v>
      </c>
      <c r="B93" s="2" t="s">
        <v>22</v>
      </c>
      <c r="C93" s="2" t="s">
        <v>23</v>
      </c>
      <c r="D93" s="2" t="s">
        <v>85</v>
      </c>
      <c r="E93" s="2" t="s">
        <v>84</v>
      </c>
      <c r="F93" s="2" t="s">
        <v>173</v>
      </c>
      <c r="G93" s="2" t="s">
        <v>172</v>
      </c>
      <c r="H93" s="2" t="s">
        <v>997</v>
      </c>
      <c r="I93" s="2" t="s">
        <v>314</v>
      </c>
      <c r="J93" s="2" t="s">
        <v>2498</v>
      </c>
      <c r="K93" s="2" t="s">
        <v>2499</v>
      </c>
      <c r="L93" s="2" t="s">
        <v>3693</v>
      </c>
      <c r="M93" s="2">
        <v>829</v>
      </c>
      <c r="N93" s="2" t="s">
        <v>1658</v>
      </c>
      <c r="O93" s="2">
        <v>19</v>
      </c>
      <c r="P93" s="2">
        <v>95</v>
      </c>
      <c r="Q93" s="2" t="s">
        <v>1658</v>
      </c>
      <c r="R93" s="2">
        <v>19</v>
      </c>
      <c r="S93" s="2" t="s">
        <v>1660</v>
      </c>
      <c r="T93" s="2">
        <v>0</v>
      </c>
      <c r="U93" s="2" t="s">
        <v>32</v>
      </c>
      <c r="V93" s="2" t="s">
        <v>32</v>
      </c>
      <c r="W93" s="1" t="s">
        <v>1660</v>
      </c>
      <c r="X93" s="1">
        <v>0</v>
      </c>
      <c r="Y93" s="1" t="s">
        <v>32</v>
      </c>
      <c r="Z93" s="1" t="s">
        <v>32</v>
      </c>
      <c r="AA93" s="1" t="s">
        <v>1660</v>
      </c>
      <c r="AB93" s="1">
        <v>0</v>
      </c>
      <c r="AC93" s="1" t="s">
        <v>1660</v>
      </c>
      <c r="AD93" s="1">
        <v>0</v>
      </c>
      <c r="AE93" s="1" t="s">
        <v>1660</v>
      </c>
      <c r="AF93" s="1">
        <v>0</v>
      </c>
      <c r="AG93" s="1">
        <v>0</v>
      </c>
      <c r="AH93" s="1" t="s">
        <v>32</v>
      </c>
      <c r="AI93" s="1" t="s">
        <v>32</v>
      </c>
      <c r="AJ93" s="1" t="s">
        <v>32</v>
      </c>
      <c r="AK93" s="1" t="s">
        <v>32</v>
      </c>
      <c r="AL93" s="1" t="s">
        <v>32</v>
      </c>
      <c r="AM93" s="1">
        <v>0</v>
      </c>
      <c r="AN93" s="1" t="s">
        <v>32</v>
      </c>
      <c r="AO93" s="1">
        <v>0</v>
      </c>
      <c r="AP93" s="1" t="s">
        <v>32</v>
      </c>
      <c r="AQ93" s="1" t="s">
        <v>32</v>
      </c>
      <c r="AR93" s="1" t="s">
        <v>32</v>
      </c>
      <c r="AS93" s="1">
        <v>0</v>
      </c>
      <c r="AT93" s="1" t="s">
        <v>32</v>
      </c>
      <c r="AU93" s="1" t="s">
        <v>32</v>
      </c>
      <c r="AV93" s="1" t="s">
        <v>32</v>
      </c>
      <c r="AW93" s="1">
        <v>0</v>
      </c>
      <c r="AX93" s="1" t="s">
        <v>32</v>
      </c>
      <c r="AY93" s="1">
        <v>0</v>
      </c>
      <c r="AZ93" s="1" t="s">
        <v>1660</v>
      </c>
      <c r="BA93" s="1">
        <v>0</v>
      </c>
      <c r="BB93" s="1">
        <v>0</v>
      </c>
      <c r="BC93" s="1" t="s">
        <v>32</v>
      </c>
      <c r="BD93" s="1">
        <v>0</v>
      </c>
      <c r="BE93" s="1" t="s">
        <v>32</v>
      </c>
      <c r="BF93" s="1">
        <v>0</v>
      </c>
      <c r="BG93" s="1" t="s">
        <v>32</v>
      </c>
      <c r="BH93" s="1">
        <v>0</v>
      </c>
      <c r="BI93" s="1" t="s">
        <v>32</v>
      </c>
      <c r="BJ93" s="1" t="s">
        <v>32</v>
      </c>
      <c r="BK93" s="1" t="s">
        <v>32</v>
      </c>
      <c r="BL93" s="1">
        <v>0</v>
      </c>
      <c r="BM93" s="1" t="s">
        <v>32</v>
      </c>
      <c r="BN93" s="1" t="s">
        <v>32</v>
      </c>
      <c r="BO93" s="1" t="s">
        <v>32</v>
      </c>
      <c r="BP93" s="1">
        <v>0</v>
      </c>
      <c r="BQ93" s="1" t="s">
        <v>32</v>
      </c>
      <c r="BR93" s="1">
        <v>0</v>
      </c>
      <c r="BS93" s="1" t="s">
        <v>1660</v>
      </c>
      <c r="BT93" s="1">
        <v>0</v>
      </c>
      <c r="BU93" s="1">
        <v>0</v>
      </c>
      <c r="BV93" s="1" t="s">
        <v>1660</v>
      </c>
      <c r="BW93" s="1"/>
      <c r="BX93" s="1"/>
      <c r="BY93" s="1" t="s">
        <v>1807</v>
      </c>
      <c r="BZ93" s="2" t="b">
        <f>OR( (Dashboard[[#This Row],[ref_as_hh]]&gt;=1),(Dashboard[[#This Row],[ret_as_hh]] &gt;=1), (Dashboard[[#This Row],[idp_as_hh]]&gt;=1))</f>
        <v>0</v>
      </c>
      <c r="CA93" s="2">
        <f>Dashboard[[#This Row],[ret_hi_hh]]</f>
        <v>0</v>
      </c>
      <c r="CB93" s="2">
        <f>Dashboard[[#This Row],[idp_fa_hh]]+Dashboard[[#This Row],[ref_fa_hh]]+Dashboard[[#This Row],[ret_fa_hh]]</f>
        <v>19</v>
      </c>
      <c r="CC93" s="2">
        <f>Dashboard[[#This Row],[idp_loc_hh]]+Dashboard[[#This Row],[ref_loc_hh]]+Dashboard[[#This Row],[ret_loc_hh]]</f>
        <v>0</v>
      </c>
      <c r="CD93" s="2">
        <f>Dashboard[[#This Row],[idp_cc_hh]]+Dashboard[[#This Row],[ref_cc_hh]]+Dashboard[[#This Row],[ret_cc_hh]]</f>
        <v>0</v>
      </c>
      <c r="CE93" s="2">
        <f>Dashboard[[#This Row],[idp_as_hh]]+Dashboard[[#This Row],[ref_as_hh]]+Dashboard[[#This Row],[ret_as_hh]]</f>
        <v>0</v>
      </c>
      <c r="CF93" s="2">
        <f>Dashboard[[#This Row],[idp_al_hh]]+Dashboard[[#This Row],[ref_al_hh]]+Dashboard[[#This Row],[ret_al_hh]]</f>
        <v>0</v>
      </c>
    </row>
    <row r="94" spans="1:84" hidden="1" x14ac:dyDescent="0.25">
      <c r="A94" s="27">
        <v>95</v>
      </c>
      <c r="B94" s="2" t="s">
        <v>22</v>
      </c>
      <c r="C94" s="2" t="s">
        <v>23</v>
      </c>
      <c r="D94" s="2" t="s">
        <v>85</v>
      </c>
      <c r="E94" s="2" t="s">
        <v>84</v>
      </c>
      <c r="F94" s="2" t="s">
        <v>173</v>
      </c>
      <c r="G94" s="2" t="s">
        <v>172</v>
      </c>
      <c r="H94" s="2" t="s">
        <v>990</v>
      </c>
      <c r="I94" s="2" t="s">
        <v>772</v>
      </c>
      <c r="J94" s="2" t="s">
        <v>2484</v>
      </c>
      <c r="K94" s="2" t="s">
        <v>2485</v>
      </c>
      <c r="L94" s="2" t="s">
        <v>3693</v>
      </c>
      <c r="M94" s="2">
        <v>1200</v>
      </c>
      <c r="N94" s="2" t="s">
        <v>1658</v>
      </c>
      <c r="O94" s="2">
        <v>4</v>
      </c>
      <c r="P94" s="2">
        <v>38</v>
      </c>
      <c r="Q94" s="2" t="s">
        <v>1658</v>
      </c>
      <c r="R94" s="2">
        <v>4</v>
      </c>
      <c r="S94" s="2" t="s">
        <v>1660</v>
      </c>
      <c r="T94" s="2">
        <v>0</v>
      </c>
      <c r="U94" s="2" t="s">
        <v>32</v>
      </c>
      <c r="V94" s="2" t="s">
        <v>32</v>
      </c>
      <c r="W94" s="1" t="s">
        <v>1660</v>
      </c>
      <c r="X94" s="1">
        <v>0</v>
      </c>
      <c r="Y94" s="1" t="s">
        <v>32</v>
      </c>
      <c r="Z94" s="1" t="s">
        <v>32</v>
      </c>
      <c r="AA94" s="1" t="s">
        <v>1660</v>
      </c>
      <c r="AB94" s="1">
        <v>0</v>
      </c>
      <c r="AC94" s="1" t="s">
        <v>1660</v>
      </c>
      <c r="AD94" s="1">
        <v>0</v>
      </c>
      <c r="AE94" s="1" t="s">
        <v>1660</v>
      </c>
      <c r="AF94" s="1">
        <v>0</v>
      </c>
      <c r="AG94" s="1">
        <v>0</v>
      </c>
      <c r="AH94" s="1" t="s">
        <v>32</v>
      </c>
      <c r="AI94" s="1" t="s">
        <v>32</v>
      </c>
      <c r="AJ94" s="1" t="s">
        <v>32</v>
      </c>
      <c r="AK94" s="1" t="s">
        <v>32</v>
      </c>
      <c r="AL94" s="1" t="s">
        <v>32</v>
      </c>
      <c r="AM94" s="1">
        <v>0</v>
      </c>
      <c r="AN94" s="1" t="s">
        <v>32</v>
      </c>
      <c r="AO94" s="1">
        <v>0</v>
      </c>
      <c r="AP94" s="1" t="s">
        <v>32</v>
      </c>
      <c r="AQ94" s="1" t="s">
        <v>32</v>
      </c>
      <c r="AR94" s="1" t="s">
        <v>32</v>
      </c>
      <c r="AS94" s="1">
        <v>0</v>
      </c>
      <c r="AT94" s="1" t="s">
        <v>32</v>
      </c>
      <c r="AU94" s="1" t="s">
        <v>32</v>
      </c>
      <c r="AV94" s="1" t="s">
        <v>32</v>
      </c>
      <c r="AW94" s="1">
        <v>0</v>
      </c>
      <c r="AX94" s="1" t="s">
        <v>32</v>
      </c>
      <c r="AY94" s="1">
        <v>0</v>
      </c>
      <c r="AZ94" s="1" t="s">
        <v>1660</v>
      </c>
      <c r="BA94" s="1">
        <v>0</v>
      </c>
      <c r="BB94" s="1">
        <v>0</v>
      </c>
      <c r="BC94" s="1" t="s">
        <v>32</v>
      </c>
      <c r="BD94" s="1">
        <v>0</v>
      </c>
      <c r="BE94" s="1" t="s">
        <v>32</v>
      </c>
      <c r="BF94" s="1">
        <v>0</v>
      </c>
      <c r="BG94" s="1" t="s">
        <v>32</v>
      </c>
      <c r="BH94" s="1">
        <v>0</v>
      </c>
      <c r="BI94" s="1" t="s">
        <v>32</v>
      </c>
      <c r="BJ94" s="1" t="s">
        <v>32</v>
      </c>
      <c r="BK94" s="1" t="s">
        <v>32</v>
      </c>
      <c r="BL94" s="1">
        <v>0</v>
      </c>
      <c r="BM94" s="1" t="s">
        <v>32</v>
      </c>
      <c r="BN94" s="1" t="s">
        <v>32</v>
      </c>
      <c r="BO94" s="1" t="s">
        <v>32</v>
      </c>
      <c r="BP94" s="1">
        <v>0</v>
      </c>
      <c r="BQ94" s="1" t="s">
        <v>32</v>
      </c>
      <c r="BR94" s="1">
        <v>0</v>
      </c>
      <c r="BS94" s="1" t="s">
        <v>1660</v>
      </c>
      <c r="BT94" s="1">
        <v>0</v>
      </c>
      <c r="BU94" s="1">
        <v>0</v>
      </c>
      <c r="BV94" s="1" t="s">
        <v>1660</v>
      </c>
      <c r="BW94" s="1"/>
      <c r="BX94" s="1"/>
      <c r="BY94" s="1" t="s">
        <v>1807</v>
      </c>
      <c r="BZ94" s="2" t="b">
        <f>OR( (Dashboard[[#This Row],[ref_as_hh]]&gt;=1),(Dashboard[[#This Row],[ret_as_hh]] &gt;=1), (Dashboard[[#This Row],[idp_as_hh]]&gt;=1))</f>
        <v>0</v>
      </c>
      <c r="CA94" s="2">
        <f>Dashboard[[#This Row],[ret_hi_hh]]</f>
        <v>0</v>
      </c>
      <c r="CB94" s="2">
        <f>Dashboard[[#This Row],[idp_fa_hh]]+Dashboard[[#This Row],[ref_fa_hh]]+Dashboard[[#This Row],[ret_fa_hh]]</f>
        <v>4</v>
      </c>
      <c r="CC94" s="2">
        <f>Dashboard[[#This Row],[idp_loc_hh]]+Dashboard[[#This Row],[ref_loc_hh]]+Dashboard[[#This Row],[ret_loc_hh]]</f>
        <v>0</v>
      </c>
      <c r="CD94" s="2">
        <f>Dashboard[[#This Row],[idp_cc_hh]]+Dashboard[[#This Row],[ref_cc_hh]]+Dashboard[[#This Row],[ret_cc_hh]]</f>
        <v>0</v>
      </c>
      <c r="CE94" s="2">
        <f>Dashboard[[#This Row],[idp_as_hh]]+Dashboard[[#This Row],[ref_as_hh]]+Dashboard[[#This Row],[ret_as_hh]]</f>
        <v>0</v>
      </c>
      <c r="CF94" s="2">
        <f>Dashboard[[#This Row],[idp_al_hh]]+Dashboard[[#This Row],[ref_al_hh]]+Dashboard[[#This Row],[ret_al_hh]]</f>
        <v>0</v>
      </c>
    </row>
    <row r="95" spans="1:84" hidden="1" x14ac:dyDescent="0.25">
      <c r="A95" s="27">
        <v>97</v>
      </c>
      <c r="B95" s="2" t="s">
        <v>22</v>
      </c>
      <c r="C95" s="2" t="s">
        <v>23</v>
      </c>
      <c r="D95" s="2" t="s">
        <v>85</v>
      </c>
      <c r="E95" s="2" t="s">
        <v>84</v>
      </c>
      <c r="F95" s="2" t="s">
        <v>173</v>
      </c>
      <c r="G95" s="2" t="s">
        <v>172</v>
      </c>
      <c r="H95" s="2" t="s">
        <v>1002</v>
      </c>
      <c r="I95" s="2" t="s">
        <v>318</v>
      </c>
      <c r="J95" s="2" t="s">
        <v>2508</v>
      </c>
      <c r="K95" s="2" t="s">
        <v>2509</v>
      </c>
      <c r="L95" s="2" t="s">
        <v>2074</v>
      </c>
      <c r="M95" s="2">
        <v>602</v>
      </c>
      <c r="N95" s="2" t="s">
        <v>1658</v>
      </c>
      <c r="O95" s="2">
        <v>4</v>
      </c>
      <c r="P95" s="2">
        <v>22</v>
      </c>
      <c r="Q95" s="2" t="s">
        <v>1658</v>
      </c>
      <c r="R95" s="2">
        <v>4</v>
      </c>
      <c r="S95" s="2" t="s">
        <v>1660</v>
      </c>
      <c r="T95" s="2">
        <v>0</v>
      </c>
      <c r="U95" s="2" t="s">
        <v>32</v>
      </c>
      <c r="V95" s="2" t="s">
        <v>32</v>
      </c>
      <c r="W95" s="1" t="s">
        <v>1660</v>
      </c>
      <c r="X95" s="1">
        <v>0</v>
      </c>
      <c r="Y95" s="1" t="s">
        <v>32</v>
      </c>
      <c r="Z95" s="1" t="s">
        <v>32</v>
      </c>
      <c r="AA95" s="1" t="s">
        <v>1660</v>
      </c>
      <c r="AB95" s="1">
        <v>0</v>
      </c>
      <c r="AC95" s="1" t="s">
        <v>1660</v>
      </c>
      <c r="AD95" s="1">
        <v>0</v>
      </c>
      <c r="AE95" s="1" t="s">
        <v>1660</v>
      </c>
      <c r="AF95" s="1">
        <v>0</v>
      </c>
      <c r="AG95" s="1">
        <v>0</v>
      </c>
      <c r="AH95" s="1" t="s">
        <v>32</v>
      </c>
      <c r="AI95" s="1" t="s">
        <v>32</v>
      </c>
      <c r="AJ95" s="1" t="s">
        <v>32</v>
      </c>
      <c r="AK95" s="1" t="s">
        <v>32</v>
      </c>
      <c r="AL95" s="1" t="s">
        <v>32</v>
      </c>
      <c r="AM95" s="1">
        <v>0</v>
      </c>
      <c r="AN95" s="1" t="s">
        <v>32</v>
      </c>
      <c r="AO95" s="1">
        <v>0</v>
      </c>
      <c r="AP95" s="1" t="s">
        <v>32</v>
      </c>
      <c r="AQ95" s="1" t="s">
        <v>32</v>
      </c>
      <c r="AR95" s="1" t="s">
        <v>32</v>
      </c>
      <c r="AS95" s="1">
        <v>0</v>
      </c>
      <c r="AT95" s="1" t="s">
        <v>32</v>
      </c>
      <c r="AU95" s="1" t="s">
        <v>32</v>
      </c>
      <c r="AV95" s="1" t="s">
        <v>32</v>
      </c>
      <c r="AW95" s="1">
        <v>0</v>
      </c>
      <c r="AX95" s="1" t="s">
        <v>32</v>
      </c>
      <c r="AY95" s="1">
        <v>0</v>
      </c>
      <c r="AZ95" s="1" t="s">
        <v>1660</v>
      </c>
      <c r="BA95" s="1">
        <v>0</v>
      </c>
      <c r="BB95" s="1">
        <v>0</v>
      </c>
      <c r="BC95" s="1" t="s">
        <v>32</v>
      </c>
      <c r="BD95" s="1">
        <v>0</v>
      </c>
      <c r="BE95" s="1" t="s">
        <v>32</v>
      </c>
      <c r="BF95" s="1">
        <v>0</v>
      </c>
      <c r="BG95" s="1" t="s">
        <v>32</v>
      </c>
      <c r="BH95" s="1">
        <v>0</v>
      </c>
      <c r="BI95" s="1" t="s">
        <v>32</v>
      </c>
      <c r="BJ95" s="1" t="s">
        <v>32</v>
      </c>
      <c r="BK95" s="1" t="s">
        <v>32</v>
      </c>
      <c r="BL95" s="1">
        <v>0</v>
      </c>
      <c r="BM95" s="1" t="s">
        <v>32</v>
      </c>
      <c r="BN95" s="1" t="s">
        <v>32</v>
      </c>
      <c r="BO95" s="1" t="s">
        <v>32</v>
      </c>
      <c r="BP95" s="1">
        <v>0</v>
      </c>
      <c r="BQ95" s="1" t="s">
        <v>32</v>
      </c>
      <c r="BR95" s="1">
        <v>0</v>
      </c>
      <c r="BS95" s="1" t="s">
        <v>1660</v>
      </c>
      <c r="BT95" s="1">
        <v>0</v>
      </c>
      <c r="BU95" s="1">
        <v>0</v>
      </c>
      <c r="BV95" s="1" t="s">
        <v>1660</v>
      </c>
      <c r="BW95" s="1"/>
      <c r="BX95" s="1"/>
      <c r="BY95" s="1" t="s">
        <v>1807</v>
      </c>
      <c r="BZ95" s="2" t="b">
        <f>OR( (Dashboard[[#This Row],[ref_as_hh]]&gt;=1),(Dashboard[[#This Row],[ret_as_hh]] &gt;=1), (Dashboard[[#This Row],[idp_as_hh]]&gt;=1))</f>
        <v>0</v>
      </c>
      <c r="CA95" s="2">
        <f>Dashboard[[#This Row],[ret_hi_hh]]</f>
        <v>0</v>
      </c>
      <c r="CB95" s="2">
        <f>Dashboard[[#This Row],[idp_fa_hh]]+Dashboard[[#This Row],[ref_fa_hh]]+Dashboard[[#This Row],[ret_fa_hh]]</f>
        <v>4</v>
      </c>
      <c r="CC95" s="2">
        <f>Dashboard[[#This Row],[idp_loc_hh]]+Dashboard[[#This Row],[ref_loc_hh]]+Dashboard[[#This Row],[ret_loc_hh]]</f>
        <v>0</v>
      </c>
      <c r="CD95" s="2">
        <f>Dashboard[[#This Row],[idp_cc_hh]]+Dashboard[[#This Row],[ref_cc_hh]]+Dashboard[[#This Row],[ret_cc_hh]]</f>
        <v>0</v>
      </c>
      <c r="CE95" s="2">
        <f>Dashboard[[#This Row],[idp_as_hh]]+Dashboard[[#This Row],[ref_as_hh]]+Dashboard[[#This Row],[ret_as_hh]]</f>
        <v>0</v>
      </c>
      <c r="CF95" s="2">
        <f>Dashboard[[#This Row],[idp_al_hh]]+Dashboard[[#This Row],[ref_al_hh]]+Dashboard[[#This Row],[ret_al_hh]]</f>
        <v>0</v>
      </c>
    </row>
    <row r="96" spans="1:84" hidden="1" x14ac:dyDescent="0.25">
      <c r="A96" s="27">
        <v>105</v>
      </c>
      <c r="B96" s="2" t="s">
        <v>22</v>
      </c>
      <c r="C96" s="2" t="s">
        <v>23</v>
      </c>
      <c r="D96" s="2" t="s">
        <v>85</v>
      </c>
      <c r="E96" s="2" t="s">
        <v>84</v>
      </c>
      <c r="F96" s="2" t="s">
        <v>173</v>
      </c>
      <c r="G96" s="2" t="s">
        <v>172</v>
      </c>
      <c r="H96" s="2" t="s">
        <v>993</v>
      </c>
      <c r="I96" s="2" t="s">
        <v>310</v>
      </c>
      <c r="J96" s="2" t="s">
        <v>2490</v>
      </c>
      <c r="K96" s="2" t="s">
        <v>2491</v>
      </c>
      <c r="L96" s="2" t="s">
        <v>3693</v>
      </c>
      <c r="M96" s="2">
        <v>950</v>
      </c>
      <c r="N96" s="2" t="s">
        <v>1658</v>
      </c>
      <c r="O96" s="2">
        <v>8</v>
      </c>
      <c r="P96" s="2">
        <v>41</v>
      </c>
      <c r="Q96" s="2" t="s">
        <v>1658</v>
      </c>
      <c r="R96" s="2">
        <v>8</v>
      </c>
      <c r="S96" s="2" t="s">
        <v>1660</v>
      </c>
      <c r="T96" s="2">
        <v>0</v>
      </c>
      <c r="U96" s="2" t="s">
        <v>32</v>
      </c>
      <c r="V96" s="2" t="s">
        <v>32</v>
      </c>
      <c r="W96" s="1" t="s">
        <v>1660</v>
      </c>
      <c r="X96" s="1">
        <v>0</v>
      </c>
      <c r="Y96" s="1" t="s">
        <v>32</v>
      </c>
      <c r="Z96" s="1" t="s">
        <v>32</v>
      </c>
      <c r="AA96" s="1" t="s">
        <v>1660</v>
      </c>
      <c r="AB96" s="1">
        <v>0</v>
      </c>
      <c r="AC96" s="1" t="s">
        <v>1660</v>
      </c>
      <c r="AD96" s="1">
        <v>0</v>
      </c>
      <c r="AE96" s="1" t="s">
        <v>1660</v>
      </c>
      <c r="AF96" s="1">
        <v>0</v>
      </c>
      <c r="AG96" s="1">
        <v>0</v>
      </c>
      <c r="AH96" s="1" t="s">
        <v>32</v>
      </c>
      <c r="AI96" s="1" t="s">
        <v>32</v>
      </c>
      <c r="AJ96" s="1" t="s">
        <v>32</v>
      </c>
      <c r="AK96" s="1" t="s">
        <v>32</v>
      </c>
      <c r="AL96" s="1" t="s">
        <v>32</v>
      </c>
      <c r="AM96" s="1">
        <v>0</v>
      </c>
      <c r="AN96" s="1" t="s">
        <v>32</v>
      </c>
      <c r="AO96" s="1">
        <v>0</v>
      </c>
      <c r="AP96" s="1" t="s">
        <v>32</v>
      </c>
      <c r="AQ96" s="1" t="s">
        <v>32</v>
      </c>
      <c r="AR96" s="1" t="s">
        <v>32</v>
      </c>
      <c r="AS96" s="1">
        <v>0</v>
      </c>
      <c r="AT96" s="1" t="s">
        <v>32</v>
      </c>
      <c r="AU96" s="1" t="s">
        <v>32</v>
      </c>
      <c r="AV96" s="1" t="s">
        <v>32</v>
      </c>
      <c r="AW96" s="1">
        <v>0</v>
      </c>
      <c r="AX96" s="1" t="s">
        <v>32</v>
      </c>
      <c r="AY96" s="1">
        <v>0</v>
      </c>
      <c r="AZ96" s="1" t="s">
        <v>1660</v>
      </c>
      <c r="BA96" s="1">
        <v>0</v>
      </c>
      <c r="BB96" s="1">
        <v>0</v>
      </c>
      <c r="BC96" s="1" t="s">
        <v>32</v>
      </c>
      <c r="BD96" s="1">
        <v>0</v>
      </c>
      <c r="BE96" s="1" t="s">
        <v>32</v>
      </c>
      <c r="BF96" s="1">
        <v>0</v>
      </c>
      <c r="BG96" s="1" t="s">
        <v>32</v>
      </c>
      <c r="BH96" s="1">
        <v>0</v>
      </c>
      <c r="BI96" s="1" t="s">
        <v>32</v>
      </c>
      <c r="BJ96" s="1" t="s">
        <v>32</v>
      </c>
      <c r="BK96" s="1" t="s">
        <v>32</v>
      </c>
      <c r="BL96" s="1">
        <v>0</v>
      </c>
      <c r="BM96" s="1" t="s">
        <v>32</v>
      </c>
      <c r="BN96" s="1" t="s">
        <v>32</v>
      </c>
      <c r="BO96" s="1" t="s">
        <v>32</v>
      </c>
      <c r="BP96" s="1">
        <v>0</v>
      </c>
      <c r="BQ96" s="1" t="s">
        <v>32</v>
      </c>
      <c r="BR96" s="1">
        <v>0</v>
      </c>
      <c r="BS96" s="1" t="s">
        <v>1660</v>
      </c>
      <c r="BT96" s="1">
        <v>0</v>
      </c>
      <c r="BU96" s="1">
        <v>0</v>
      </c>
      <c r="BV96" s="1" t="s">
        <v>1660</v>
      </c>
      <c r="BW96" s="1"/>
      <c r="BX96" s="1"/>
      <c r="BY96" s="1" t="s">
        <v>1807</v>
      </c>
      <c r="BZ96" s="2" t="b">
        <f>OR( (Dashboard[[#This Row],[ref_as_hh]]&gt;=1),(Dashboard[[#This Row],[ret_as_hh]] &gt;=1), (Dashboard[[#This Row],[idp_as_hh]]&gt;=1))</f>
        <v>0</v>
      </c>
      <c r="CA96" s="2">
        <f>Dashboard[[#This Row],[ret_hi_hh]]</f>
        <v>0</v>
      </c>
      <c r="CB96" s="2">
        <f>Dashboard[[#This Row],[idp_fa_hh]]+Dashboard[[#This Row],[ref_fa_hh]]+Dashboard[[#This Row],[ret_fa_hh]]</f>
        <v>8</v>
      </c>
      <c r="CC96" s="2">
        <f>Dashboard[[#This Row],[idp_loc_hh]]+Dashboard[[#This Row],[ref_loc_hh]]+Dashboard[[#This Row],[ret_loc_hh]]</f>
        <v>0</v>
      </c>
      <c r="CD96" s="2">
        <f>Dashboard[[#This Row],[idp_cc_hh]]+Dashboard[[#This Row],[ref_cc_hh]]+Dashboard[[#This Row],[ret_cc_hh]]</f>
        <v>0</v>
      </c>
      <c r="CE96" s="2">
        <f>Dashboard[[#This Row],[idp_as_hh]]+Dashboard[[#This Row],[ref_as_hh]]+Dashboard[[#This Row],[ret_as_hh]]</f>
        <v>0</v>
      </c>
      <c r="CF96" s="2">
        <f>Dashboard[[#This Row],[idp_al_hh]]+Dashboard[[#This Row],[ref_al_hh]]+Dashboard[[#This Row],[ret_al_hh]]</f>
        <v>0</v>
      </c>
    </row>
    <row r="97" spans="1:84" hidden="1" x14ac:dyDescent="0.25">
      <c r="A97" s="27">
        <v>106</v>
      </c>
      <c r="B97" s="2" t="s">
        <v>22</v>
      </c>
      <c r="C97" s="2" t="s">
        <v>23</v>
      </c>
      <c r="D97" s="2" t="s">
        <v>85</v>
      </c>
      <c r="E97" s="2" t="s">
        <v>84</v>
      </c>
      <c r="F97" s="2" t="s">
        <v>173</v>
      </c>
      <c r="G97" s="2" t="s">
        <v>172</v>
      </c>
      <c r="H97" s="2" t="s">
        <v>983</v>
      </c>
      <c r="I97" s="2" t="s">
        <v>285</v>
      </c>
      <c r="J97" s="2" t="s">
        <v>2470</v>
      </c>
      <c r="K97" s="2" t="s">
        <v>2471</v>
      </c>
      <c r="L97" s="2" t="s">
        <v>3693</v>
      </c>
      <c r="M97" s="2">
        <v>651</v>
      </c>
      <c r="N97" s="2" t="s">
        <v>1658</v>
      </c>
      <c r="O97" s="2">
        <v>4</v>
      </c>
      <c r="P97" s="2">
        <v>47</v>
      </c>
      <c r="Q97" s="2" t="s">
        <v>1658</v>
      </c>
      <c r="R97" s="2">
        <v>4</v>
      </c>
      <c r="S97" s="2" t="s">
        <v>1660</v>
      </c>
      <c r="T97" s="2">
        <v>0</v>
      </c>
      <c r="U97" s="2" t="s">
        <v>32</v>
      </c>
      <c r="V97" s="2" t="s">
        <v>32</v>
      </c>
      <c r="W97" s="1" t="s">
        <v>1660</v>
      </c>
      <c r="X97" s="1">
        <v>0</v>
      </c>
      <c r="Y97" s="1" t="s">
        <v>32</v>
      </c>
      <c r="Z97" s="1" t="s">
        <v>32</v>
      </c>
      <c r="AA97" s="1" t="s">
        <v>1660</v>
      </c>
      <c r="AB97" s="1">
        <v>0</v>
      </c>
      <c r="AC97" s="1" t="s">
        <v>1660</v>
      </c>
      <c r="AD97" s="1">
        <v>0</v>
      </c>
      <c r="AE97" s="1" t="s">
        <v>1660</v>
      </c>
      <c r="AF97" s="1">
        <v>0</v>
      </c>
      <c r="AG97" s="1">
        <v>0</v>
      </c>
      <c r="AH97" s="1" t="s">
        <v>32</v>
      </c>
      <c r="AI97" s="1" t="s">
        <v>32</v>
      </c>
      <c r="AJ97" s="1" t="s">
        <v>32</v>
      </c>
      <c r="AK97" s="1" t="s">
        <v>32</v>
      </c>
      <c r="AL97" s="1" t="s">
        <v>32</v>
      </c>
      <c r="AM97" s="1">
        <v>0</v>
      </c>
      <c r="AN97" s="1" t="s">
        <v>32</v>
      </c>
      <c r="AO97" s="1">
        <v>0</v>
      </c>
      <c r="AP97" s="1" t="s">
        <v>32</v>
      </c>
      <c r="AQ97" s="1" t="s">
        <v>32</v>
      </c>
      <c r="AR97" s="1" t="s">
        <v>32</v>
      </c>
      <c r="AS97" s="1">
        <v>0</v>
      </c>
      <c r="AT97" s="1" t="s">
        <v>32</v>
      </c>
      <c r="AU97" s="1" t="s">
        <v>32</v>
      </c>
      <c r="AV97" s="1" t="s">
        <v>32</v>
      </c>
      <c r="AW97" s="1">
        <v>0</v>
      </c>
      <c r="AX97" s="1" t="s">
        <v>32</v>
      </c>
      <c r="AY97" s="1">
        <v>0</v>
      </c>
      <c r="AZ97" s="1" t="s">
        <v>1660</v>
      </c>
      <c r="BA97" s="1">
        <v>0</v>
      </c>
      <c r="BB97" s="1">
        <v>0</v>
      </c>
      <c r="BC97" s="1" t="s">
        <v>32</v>
      </c>
      <c r="BD97" s="1">
        <v>0</v>
      </c>
      <c r="BE97" s="1" t="s">
        <v>32</v>
      </c>
      <c r="BF97" s="1">
        <v>0</v>
      </c>
      <c r="BG97" s="1" t="s">
        <v>32</v>
      </c>
      <c r="BH97" s="1">
        <v>0</v>
      </c>
      <c r="BI97" s="1" t="s">
        <v>32</v>
      </c>
      <c r="BJ97" s="1" t="s">
        <v>32</v>
      </c>
      <c r="BK97" s="1" t="s">
        <v>32</v>
      </c>
      <c r="BL97" s="1">
        <v>0</v>
      </c>
      <c r="BM97" s="1" t="s">
        <v>32</v>
      </c>
      <c r="BN97" s="1" t="s">
        <v>32</v>
      </c>
      <c r="BO97" s="1" t="s">
        <v>32</v>
      </c>
      <c r="BP97" s="1">
        <v>0</v>
      </c>
      <c r="BQ97" s="1" t="s">
        <v>32</v>
      </c>
      <c r="BR97" s="1">
        <v>0</v>
      </c>
      <c r="BS97" s="1" t="s">
        <v>1660</v>
      </c>
      <c r="BT97" s="1">
        <v>0</v>
      </c>
      <c r="BU97" s="1">
        <v>0</v>
      </c>
      <c r="BV97" s="1" t="s">
        <v>1660</v>
      </c>
      <c r="BW97" s="1"/>
      <c r="BX97" s="1"/>
      <c r="BY97" s="1" t="s">
        <v>1807</v>
      </c>
      <c r="BZ97" s="2" t="b">
        <f>OR( (Dashboard[[#This Row],[ref_as_hh]]&gt;=1),(Dashboard[[#This Row],[ret_as_hh]] &gt;=1), (Dashboard[[#This Row],[idp_as_hh]]&gt;=1))</f>
        <v>0</v>
      </c>
      <c r="CA97" s="2">
        <f>Dashboard[[#This Row],[ret_hi_hh]]</f>
        <v>0</v>
      </c>
      <c r="CB97" s="2">
        <f>Dashboard[[#This Row],[idp_fa_hh]]+Dashboard[[#This Row],[ref_fa_hh]]+Dashboard[[#This Row],[ret_fa_hh]]</f>
        <v>4</v>
      </c>
      <c r="CC97" s="2">
        <f>Dashboard[[#This Row],[idp_loc_hh]]+Dashboard[[#This Row],[ref_loc_hh]]+Dashboard[[#This Row],[ret_loc_hh]]</f>
        <v>0</v>
      </c>
      <c r="CD97" s="2">
        <f>Dashboard[[#This Row],[idp_cc_hh]]+Dashboard[[#This Row],[ref_cc_hh]]+Dashboard[[#This Row],[ret_cc_hh]]</f>
        <v>0</v>
      </c>
      <c r="CE97" s="2">
        <f>Dashboard[[#This Row],[idp_as_hh]]+Dashboard[[#This Row],[ref_as_hh]]+Dashboard[[#This Row],[ret_as_hh]]</f>
        <v>0</v>
      </c>
      <c r="CF97" s="2">
        <f>Dashboard[[#This Row],[idp_al_hh]]+Dashboard[[#This Row],[ref_al_hh]]+Dashboard[[#This Row],[ret_al_hh]]</f>
        <v>0</v>
      </c>
    </row>
    <row r="98" spans="1:84" hidden="1" x14ac:dyDescent="0.25">
      <c r="A98" s="27">
        <v>118</v>
      </c>
      <c r="B98" s="2" t="s">
        <v>22</v>
      </c>
      <c r="C98" s="2" t="s">
        <v>23</v>
      </c>
      <c r="D98" s="2" t="s">
        <v>85</v>
      </c>
      <c r="E98" s="2" t="s">
        <v>84</v>
      </c>
      <c r="F98" s="2" t="s">
        <v>173</v>
      </c>
      <c r="G98" s="2" t="s">
        <v>172</v>
      </c>
      <c r="H98" s="2" t="s">
        <v>992</v>
      </c>
      <c r="I98" s="2" t="s">
        <v>309</v>
      </c>
      <c r="J98" s="2" t="s">
        <v>2488</v>
      </c>
      <c r="K98" s="2" t="s">
        <v>2489</v>
      </c>
      <c r="L98" s="2" t="s">
        <v>2074</v>
      </c>
      <c r="M98" s="2">
        <v>422</v>
      </c>
      <c r="N98" s="2" t="s">
        <v>1658</v>
      </c>
      <c r="O98" s="2">
        <v>3</v>
      </c>
      <c r="P98" s="2">
        <v>22</v>
      </c>
      <c r="Q98" s="2" t="s">
        <v>1658</v>
      </c>
      <c r="R98" s="2">
        <v>3</v>
      </c>
      <c r="S98" s="2" t="s">
        <v>1660</v>
      </c>
      <c r="T98" s="2">
        <v>0</v>
      </c>
      <c r="U98" s="2" t="s">
        <v>32</v>
      </c>
      <c r="V98" s="2" t="s">
        <v>32</v>
      </c>
      <c r="W98" s="1" t="s">
        <v>1660</v>
      </c>
      <c r="X98" s="1">
        <v>0</v>
      </c>
      <c r="Y98" s="1" t="s">
        <v>32</v>
      </c>
      <c r="Z98" s="1" t="s">
        <v>32</v>
      </c>
      <c r="AA98" s="1" t="s">
        <v>1660</v>
      </c>
      <c r="AB98" s="1">
        <v>0</v>
      </c>
      <c r="AC98" s="1" t="s">
        <v>1660</v>
      </c>
      <c r="AD98" s="1">
        <v>0</v>
      </c>
      <c r="AE98" s="1" t="s">
        <v>1660</v>
      </c>
      <c r="AF98" s="1">
        <v>0</v>
      </c>
      <c r="AG98" s="1">
        <v>0</v>
      </c>
      <c r="AH98" s="1" t="s">
        <v>32</v>
      </c>
      <c r="AI98" s="1" t="s">
        <v>32</v>
      </c>
      <c r="AJ98" s="1" t="s">
        <v>32</v>
      </c>
      <c r="AK98" s="1" t="s">
        <v>32</v>
      </c>
      <c r="AL98" s="1" t="s">
        <v>32</v>
      </c>
      <c r="AM98" s="1">
        <v>0</v>
      </c>
      <c r="AN98" s="1" t="s">
        <v>32</v>
      </c>
      <c r="AO98" s="1">
        <v>0</v>
      </c>
      <c r="AP98" s="1" t="s">
        <v>32</v>
      </c>
      <c r="AQ98" s="1" t="s">
        <v>32</v>
      </c>
      <c r="AR98" s="1" t="s">
        <v>32</v>
      </c>
      <c r="AS98" s="1">
        <v>0</v>
      </c>
      <c r="AT98" s="1" t="s">
        <v>32</v>
      </c>
      <c r="AU98" s="1" t="s">
        <v>32</v>
      </c>
      <c r="AV98" s="1" t="s">
        <v>32</v>
      </c>
      <c r="AW98" s="1">
        <v>0</v>
      </c>
      <c r="AX98" s="1" t="s">
        <v>32</v>
      </c>
      <c r="AY98" s="1">
        <v>0</v>
      </c>
      <c r="AZ98" s="1" t="s">
        <v>1660</v>
      </c>
      <c r="BA98" s="1">
        <v>0</v>
      </c>
      <c r="BB98" s="1">
        <v>0</v>
      </c>
      <c r="BC98" s="1" t="s">
        <v>32</v>
      </c>
      <c r="BD98" s="1">
        <v>0</v>
      </c>
      <c r="BE98" s="1" t="s">
        <v>32</v>
      </c>
      <c r="BF98" s="1">
        <v>0</v>
      </c>
      <c r="BG98" s="1" t="s">
        <v>32</v>
      </c>
      <c r="BH98" s="1">
        <v>0</v>
      </c>
      <c r="BI98" s="1" t="s">
        <v>32</v>
      </c>
      <c r="BJ98" s="1" t="s">
        <v>32</v>
      </c>
      <c r="BK98" s="1" t="s">
        <v>32</v>
      </c>
      <c r="BL98" s="1">
        <v>0</v>
      </c>
      <c r="BM98" s="1" t="s">
        <v>32</v>
      </c>
      <c r="BN98" s="1" t="s">
        <v>32</v>
      </c>
      <c r="BO98" s="1" t="s">
        <v>32</v>
      </c>
      <c r="BP98" s="1">
        <v>0</v>
      </c>
      <c r="BQ98" s="1" t="s">
        <v>32</v>
      </c>
      <c r="BR98" s="1">
        <v>0</v>
      </c>
      <c r="BS98" s="1" t="s">
        <v>1660</v>
      </c>
      <c r="BT98" s="1">
        <v>0</v>
      </c>
      <c r="BU98" s="1">
        <v>0</v>
      </c>
      <c r="BV98" s="1" t="s">
        <v>1660</v>
      </c>
      <c r="BW98" s="1"/>
      <c r="BX98" s="1"/>
      <c r="BY98" s="1" t="s">
        <v>1807</v>
      </c>
      <c r="BZ98" s="2" t="b">
        <f>OR( (Dashboard[[#This Row],[ref_as_hh]]&gt;=1),(Dashboard[[#This Row],[ret_as_hh]] &gt;=1), (Dashboard[[#This Row],[idp_as_hh]]&gt;=1))</f>
        <v>0</v>
      </c>
      <c r="CA98" s="2">
        <f>Dashboard[[#This Row],[ret_hi_hh]]</f>
        <v>0</v>
      </c>
      <c r="CB98" s="2">
        <f>Dashboard[[#This Row],[idp_fa_hh]]+Dashboard[[#This Row],[ref_fa_hh]]+Dashboard[[#This Row],[ret_fa_hh]]</f>
        <v>3</v>
      </c>
      <c r="CC98" s="2">
        <f>Dashboard[[#This Row],[idp_loc_hh]]+Dashboard[[#This Row],[ref_loc_hh]]+Dashboard[[#This Row],[ret_loc_hh]]</f>
        <v>0</v>
      </c>
      <c r="CD98" s="2">
        <f>Dashboard[[#This Row],[idp_cc_hh]]+Dashboard[[#This Row],[ref_cc_hh]]+Dashboard[[#This Row],[ret_cc_hh]]</f>
        <v>0</v>
      </c>
      <c r="CE98" s="2">
        <f>Dashboard[[#This Row],[idp_as_hh]]+Dashboard[[#This Row],[ref_as_hh]]+Dashboard[[#This Row],[ret_as_hh]]</f>
        <v>0</v>
      </c>
      <c r="CF98" s="2">
        <f>Dashboard[[#This Row],[idp_al_hh]]+Dashboard[[#This Row],[ref_al_hh]]+Dashboard[[#This Row],[ret_al_hh]]</f>
        <v>0</v>
      </c>
    </row>
    <row r="99" spans="1:84" hidden="1" x14ac:dyDescent="0.25">
      <c r="A99" s="27">
        <v>210</v>
      </c>
      <c r="B99" s="2" t="s">
        <v>22</v>
      </c>
      <c r="C99" s="2" t="s">
        <v>23</v>
      </c>
      <c r="D99" s="2" t="s">
        <v>85</v>
      </c>
      <c r="E99" s="2" t="s">
        <v>84</v>
      </c>
      <c r="F99" s="2" t="s">
        <v>173</v>
      </c>
      <c r="G99" s="2" t="s">
        <v>172</v>
      </c>
      <c r="H99" s="2" t="s">
        <v>995</v>
      </c>
      <c r="I99" s="2" t="s">
        <v>312</v>
      </c>
      <c r="J99" s="2" t="s">
        <v>2494</v>
      </c>
      <c r="K99" s="2" t="s">
        <v>2495</v>
      </c>
      <c r="L99" s="2" t="s">
        <v>3693</v>
      </c>
      <c r="M99" s="2">
        <v>966</v>
      </c>
      <c r="N99" s="2" t="s">
        <v>1658</v>
      </c>
      <c r="O99" s="2">
        <v>22</v>
      </c>
      <c r="P99" s="2">
        <v>112</v>
      </c>
      <c r="Q99" s="2" t="s">
        <v>1658</v>
      </c>
      <c r="R99" s="2">
        <v>22</v>
      </c>
      <c r="S99" s="2" t="s">
        <v>1660</v>
      </c>
      <c r="T99" s="2">
        <v>0</v>
      </c>
      <c r="U99" s="2" t="s">
        <v>32</v>
      </c>
      <c r="V99" s="2" t="s">
        <v>32</v>
      </c>
      <c r="W99" s="1" t="s">
        <v>1660</v>
      </c>
      <c r="X99" s="1">
        <v>0</v>
      </c>
      <c r="Y99" s="1" t="s">
        <v>32</v>
      </c>
      <c r="Z99" s="1" t="s">
        <v>32</v>
      </c>
      <c r="AA99" s="1" t="s">
        <v>1660</v>
      </c>
      <c r="AB99" s="1">
        <v>0</v>
      </c>
      <c r="AC99" s="1" t="s">
        <v>1660</v>
      </c>
      <c r="AD99" s="1">
        <v>0</v>
      </c>
      <c r="AE99" s="1" t="s">
        <v>1660</v>
      </c>
      <c r="AF99" s="1">
        <v>0</v>
      </c>
      <c r="AG99" s="1">
        <v>0</v>
      </c>
      <c r="AH99" s="1" t="s">
        <v>32</v>
      </c>
      <c r="AI99" s="1" t="s">
        <v>32</v>
      </c>
      <c r="AJ99" s="1" t="s">
        <v>32</v>
      </c>
      <c r="AK99" s="1" t="s">
        <v>32</v>
      </c>
      <c r="AL99" s="1" t="s">
        <v>32</v>
      </c>
      <c r="AM99" s="1">
        <v>0</v>
      </c>
      <c r="AN99" s="1" t="s">
        <v>32</v>
      </c>
      <c r="AO99" s="1">
        <v>0</v>
      </c>
      <c r="AP99" s="1" t="s">
        <v>32</v>
      </c>
      <c r="AQ99" s="1" t="s">
        <v>32</v>
      </c>
      <c r="AR99" s="1" t="s">
        <v>32</v>
      </c>
      <c r="AS99" s="1">
        <v>0</v>
      </c>
      <c r="AT99" s="1" t="s">
        <v>32</v>
      </c>
      <c r="AU99" s="1" t="s">
        <v>32</v>
      </c>
      <c r="AV99" s="1" t="s">
        <v>32</v>
      </c>
      <c r="AW99" s="1">
        <v>0</v>
      </c>
      <c r="AX99" s="1" t="s">
        <v>32</v>
      </c>
      <c r="AY99" s="1">
        <v>0</v>
      </c>
      <c r="AZ99" s="1" t="s">
        <v>1660</v>
      </c>
      <c r="BA99" s="1">
        <v>0</v>
      </c>
      <c r="BB99" s="1">
        <v>0</v>
      </c>
      <c r="BC99" s="1" t="s">
        <v>32</v>
      </c>
      <c r="BD99" s="1">
        <v>0</v>
      </c>
      <c r="BE99" s="1" t="s">
        <v>32</v>
      </c>
      <c r="BF99" s="1">
        <v>0</v>
      </c>
      <c r="BG99" s="1" t="s">
        <v>32</v>
      </c>
      <c r="BH99" s="1">
        <v>0</v>
      </c>
      <c r="BI99" s="1" t="s">
        <v>32</v>
      </c>
      <c r="BJ99" s="1" t="s">
        <v>32</v>
      </c>
      <c r="BK99" s="1" t="s">
        <v>32</v>
      </c>
      <c r="BL99" s="1">
        <v>0</v>
      </c>
      <c r="BM99" s="1" t="s">
        <v>32</v>
      </c>
      <c r="BN99" s="1" t="s">
        <v>32</v>
      </c>
      <c r="BO99" s="1" t="s">
        <v>32</v>
      </c>
      <c r="BP99" s="1">
        <v>0</v>
      </c>
      <c r="BQ99" s="1" t="s">
        <v>32</v>
      </c>
      <c r="BR99" s="1">
        <v>0</v>
      </c>
      <c r="BS99" s="1" t="s">
        <v>1660</v>
      </c>
      <c r="BT99" s="1">
        <v>0</v>
      </c>
      <c r="BU99" s="1">
        <v>0</v>
      </c>
      <c r="BV99" s="1" t="s">
        <v>1660</v>
      </c>
      <c r="BW99" s="1"/>
      <c r="BX99" s="1"/>
      <c r="BY99" s="1" t="s">
        <v>1807</v>
      </c>
      <c r="BZ99" s="2" t="b">
        <f>OR( (Dashboard[[#This Row],[ref_as_hh]]&gt;=1),(Dashboard[[#This Row],[ret_as_hh]] &gt;=1), (Dashboard[[#This Row],[idp_as_hh]]&gt;=1))</f>
        <v>0</v>
      </c>
      <c r="CA99" s="2">
        <f>Dashboard[[#This Row],[ret_hi_hh]]</f>
        <v>0</v>
      </c>
      <c r="CB99" s="2">
        <f>Dashboard[[#This Row],[idp_fa_hh]]+Dashboard[[#This Row],[ref_fa_hh]]+Dashboard[[#This Row],[ret_fa_hh]]</f>
        <v>22</v>
      </c>
      <c r="CC99" s="2">
        <f>Dashboard[[#This Row],[idp_loc_hh]]+Dashboard[[#This Row],[ref_loc_hh]]+Dashboard[[#This Row],[ret_loc_hh]]</f>
        <v>0</v>
      </c>
      <c r="CD99" s="2">
        <f>Dashboard[[#This Row],[idp_cc_hh]]+Dashboard[[#This Row],[ref_cc_hh]]+Dashboard[[#This Row],[ret_cc_hh]]</f>
        <v>0</v>
      </c>
      <c r="CE99" s="2">
        <f>Dashboard[[#This Row],[idp_as_hh]]+Dashboard[[#This Row],[ref_as_hh]]+Dashboard[[#This Row],[ret_as_hh]]</f>
        <v>0</v>
      </c>
      <c r="CF99" s="2">
        <f>Dashboard[[#This Row],[idp_al_hh]]+Dashboard[[#This Row],[ref_al_hh]]+Dashboard[[#This Row],[ret_al_hh]]</f>
        <v>0</v>
      </c>
    </row>
    <row r="100" spans="1:84" hidden="1" x14ac:dyDescent="0.25">
      <c r="A100" s="27">
        <v>215</v>
      </c>
      <c r="B100" s="2" t="s">
        <v>22</v>
      </c>
      <c r="C100" s="2" t="s">
        <v>23</v>
      </c>
      <c r="D100" s="2" t="s">
        <v>85</v>
      </c>
      <c r="E100" s="2" t="s">
        <v>84</v>
      </c>
      <c r="F100" s="2" t="s">
        <v>173</v>
      </c>
      <c r="G100" s="2" t="s">
        <v>172</v>
      </c>
      <c r="H100" s="2" t="s">
        <v>988</v>
      </c>
      <c r="I100" s="2" t="s">
        <v>306</v>
      </c>
      <c r="J100" s="2" t="s">
        <v>2480</v>
      </c>
      <c r="K100" s="2" t="s">
        <v>2481</v>
      </c>
      <c r="L100" s="2" t="s">
        <v>2074</v>
      </c>
      <c r="M100" s="2">
        <v>1653</v>
      </c>
      <c r="N100" s="2" t="s">
        <v>1658</v>
      </c>
      <c r="O100" s="2">
        <v>11</v>
      </c>
      <c r="P100" s="2">
        <v>66</v>
      </c>
      <c r="Q100" s="2" t="s">
        <v>1658</v>
      </c>
      <c r="R100" s="2">
        <v>11</v>
      </c>
      <c r="S100" s="2" t="s">
        <v>1660</v>
      </c>
      <c r="T100" s="2">
        <v>0</v>
      </c>
      <c r="U100" s="2" t="s">
        <v>32</v>
      </c>
      <c r="V100" s="2" t="s">
        <v>32</v>
      </c>
      <c r="W100" s="1" t="s">
        <v>1660</v>
      </c>
      <c r="X100" s="1">
        <v>0</v>
      </c>
      <c r="Y100" s="1" t="s">
        <v>32</v>
      </c>
      <c r="Z100" s="1" t="s">
        <v>32</v>
      </c>
      <c r="AA100" s="1" t="s">
        <v>1660</v>
      </c>
      <c r="AB100" s="1">
        <v>0</v>
      </c>
      <c r="AC100" s="1" t="s">
        <v>1660</v>
      </c>
      <c r="AD100" s="1">
        <v>0</v>
      </c>
      <c r="AE100" s="1" t="s">
        <v>1660</v>
      </c>
      <c r="AF100" s="1">
        <v>0</v>
      </c>
      <c r="AG100" s="1">
        <v>0</v>
      </c>
      <c r="AH100" s="1" t="s">
        <v>32</v>
      </c>
      <c r="AI100" s="1" t="s">
        <v>32</v>
      </c>
      <c r="AJ100" s="1" t="s">
        <v>32</v>
      </c>
      <c r="AK100" s="1" t="s">
        <v>32</v>
      </c>
      <c r="AL100" s="1" t="s">
        <v>32</v>
      </c>
      <c r="AM100" s="1">
        <v>0</v>
      </c>
      <c r="AN100" s="1" t="s">
        <v>32</v>
      </c>
      <c r="AO100" s="1">
        <v>0</v>
      </c>
      <c r="AP100" s="1" t="s">
        <v>32</v>
      </c>
      <c r="AQ100" s="1" t="s">
        <v>32</v>
      </c>
      <c r="AR100" s="1" t="s">
        <v>32</v>
      </c>
      <c r="AS100" s="1">
        <v>0</v>
      </c>
      <c r="AT100" s="1" t="s">
        <v>32</v>
      </c>
      <c r="AU100" s="1" t="s">
        <v>32</v>
      </c>
      <c r="AV100" s="1" t="s">
        <v>32</v>
      </c>
      <c r="AW100" s="1">
        <v>0</v>
      </c>
      <c r="AX100" s="1" t="s">
        <v>32</v>
      </c>
      <c r="AY100" s="1">
        <v>0</v>
      </c>
      <c r="AZ100" s="1" t="s">
        <v>1660</v>
      </c>
      <c r="BA100" s="1">
        <v>0</v>
      </c>
      <c r="BB100" s="1">
        <v>0</v>
      </c>
      <c r="BC100" s="1" t="s">
        <v>32</v>
      </c>
      <c r="BD100" s="1">
        <v>0</v>
      </c>
      <c r="BE100" s="1" t="s">
        <v>32</v>
      </c>
      <c r="BF100" s="1">
        <v>0</v>
      </c>
      <c r="BG100" s="1" t="s">
        <v>32</v>
      </c>
      <c r="BH100" s="1">
        <v>0</v>
      </c>
      <c r="BI100" s="1" t="s">
        <v>32</v>
      </c>
      <c r="BJ100" s="1" t="s">
        <v>32</v>
      </c>
      <c r="BK100" s="1" t="s">
        <v>32</v>
      </c>
      <c r="BL100" s="1">
        <v>0</v>
      </c>
      <c r="BM100" s="1" t="s">
        <v>32</v>
      </c>
      <c r="BN100" s="1" t="s">
        <v>32</v>
      </c>
      <c r="BO100" s="1" t="s">
        <v>32</v>
      </c>
      <c r="BP100" s="1">
        <v>0</v>
      </c>
      <c r="BQ100" s="1" t="s">
        <v>32</v>
      </c>
      <c r="BR100" s="1">
        <v>0</v>
      </c>
      <c r="BS100" s="1" t="s">
        <v>1660</v>
      </c>
      <c r="BT100" s="1">
        <v>0</v>
      </c>
      <c r="BU100" s="1">
        <v>0</v>
      </c>
      <c r="BV100" s="1" t="s">
        <v>1660</v>
      </c>
      <c r="BW100" s="1"/>
      <c r="BX100" s="1"/>
      <c r="BY100" s="1" t="s">
        <v>1807</v>
      </c>
      <c r="BZ100" s="2" t="b">
        <f>OR( (Dashboard[[#This Row],[ref_as_hh]]&gt;=1),(Dashboard[[#This Row],[ret_as_hh]] &gt;=1), (Dashboard[[#This Row],[idp_as_hh]]&gt;=1))</f>
        <v>0</v>
      </c>
      <c r="CA100" s="2">
        <f>Dashboard[[#This Row],[ret_hi_hh]]</f>
        <v>0</v>
      </c>
      <c r="CB100" s="2">
        <f>Dashboard[[#This Row],[idp_fa_hh]]+Dashboard[[#This Row],[ref_fa_hh]]+Dashboard[[#This Row],[ret_fa_hh]]</f>
        <v>11</v>
      </c>
      <c r="CC100" s="2">
        <f>Dashboard[[#This Row],[idp_loc_hh]]+Dashboard[[#This Row],[ref_loc_hh]]+Dashboard[[#This Row],[ret_loc_hh]]</f>
        <v>0</v>
      </c>
      <c r="CD100" s="2">
        <f>Dashboard[[#This Row],[idp_cc_hh]]+Dashboard[[#This Row],[ref_cc_hh]]+Dashboard[[#This Row],[ret_cc_hh]]</f>
        <v>0</v>
      </c>
      <c r="CE100" s="2">
        <f>Dashboard[[#This Row],[idp_as_hh]]+Dashboard[[#This Row],[ref_as_hh]]+Dashboard[[#This Row],[ret_as_hh]]</f>
        <v>0</v>
      </c>
      <c r="CF100" s="2">
        <f>Dashboard[[#This Row],[idp_al_hh]]+Dashboard[[#This Row],[ref_al_hh]]+Dashboard[[#This Row],[ret_al_hh]]</f>
        <v>0</v>
      </c>
    </row>
    <row r="101" spans="1:84" hidden="1" x14ac:dyDescent="0.25">
      <c r="A101" s="27">
        <v>217</v>
      </c>
      <c r="B101" s="2" t="s">
        <v>22</v>
      </c>
      <c r="C101" s="2" t="s">
        <v>23</v>
      </c>
      <c r="D101" s="2" t="s">
        <v>85</v>
      </c>
      <c r="E101" s="2" t="s">
        <v>84</v>
      </c>
      <c r="F101" s="2" t="s">
        <v>173</v>
      </c>
      <c r="G101" s="2" t="s">
        <v>172</v>
      </c>
      <c r="H101" s="2" t="s">
        <v>989</v>
      </c>
      <c r="I101" s="2" t="s">
        <v>307</v>
      </c>
      <c r="J101" s="2" t="s">
        <v>2482</v>
      </c>
      <c r="K101" s="2" t="s">
        <v>2483</v>
      </c>
      <c r="L101" s="2" t="s">
        <v>2074</v>
      </c>
      <c r="M101" s="2">
        <v>1176</v>
      </c>
      <c r="N101" s="2" t="s">
        <v>1658</v>
      </c>
      <c r="O101" s="2">
        <v>12</v>
      </c>
      <c r="P101" s="2">
        <v>81</v>
      </c>
      <c r="Q101" s="2" t="s">
        <v>1658</v>
      </c>
      <c r="R101" s="2">
        <v>12</v>
      </c>
      <c r="S101" s="2" t="s">
        <v>1660</v>
      </c>
      <c r="T101" s="2">
        <v>0</v>
      </c>
      <c r="U101" s="2" t="s">
        <v>32</v>
      </c>
      <c r="V101" s="2" t="s">
        <v>32</v>
      </c>
      <c r="W101" s="1" t="s">
        <v>1660</v>
      </c>
      <c r="X101" s="1">
        <v>0</v>
      </c>
      <c r="Y101" s="1" t="s">
        <v>32</v>
      </c>
      <c r="Z101" s="1" t="s">
        <v>32</v>
      </c>
      <c r="AA101" s="1" t="s">
        <v>1660</v>
      </c>
      <c r="AB101" s="1">
        <v>0</v>
      </c>
      <c r="AC101" s="1" t="s">
        <v>1660</v>
      </c>
      <c r="AD101" s="1">
        <v>0</v>
      </c>
      <c r="AE101" s="1" t="s">
        <v>1660</v>
      </c>
      <c r="AF101" s="1">
        <v>0</v>
      </c>
      <c r="AG101" s="1">
        <v>0</v>
      </c>
      <c r="AH101" s="1" t="s">
        <v>32</v>
      </c>
      <c r="AI101" s="1" t="s">
        <v>32</v>
      </c>
      <c r="AJ101" s="1" t="s">
        <v>32</v>
      </c>
      <c r="AK101" s="1" t="s">
        <v>32</v>
      </c>
      <c r="AL101" s="1" t="s">
        <v>32</v>
      </c>
      <c r="AM101" s="1">
        <v>0</v>
      </c>
      <c r="AN101" s="1" t="s">
        <v>32</v>
      </c>
      <c r="AO101" s="1">
        <v>0</v>
      </c>
      <c r="AP101" s="1" t="s">
        <v>32</v>
      </c>
      <c r="AQ101" s="1" t="s">
        <v>32</v>
      </c>
      <c r="AR101" s="1" t="s">
        <v>32</v>
      </c>
      <c r="AS101" s="1">
        <v>0</v>
      </c>
      <c r="AT101" s="1" t="s">
        <v>32</v>
      </c>
      <c r="AU101" s="1" t="s">
        <v>32</v>
      </c>
      <c r="AV101" s="1" t="s">
        <v>32</v>
      </c>
      <c r="AW101" s="1">
        <v>0</v>
      </c>
      <c r="AX101" s="1" t="s">
        <v>32</v>
      </c>
      <c r="AY101" s="1">
        <v>0</v>
      </c>
      <c r="AZ101" s="1" t="s">
        <v>1660</v>
      </c>
      <c r="BA101" s="1">
        <v>0</v>
      </c>
      <c r="BB101" s="1">
        <v>0</v>
      </c>
      <c r="BC101" s="1" t="s">
        <v>32</v>
      </c>
      <c r="BD101" s="1">
        <v>0</v>
      </c>
      <c r="BE101" s="1" t="s">
        <v>32</v>
      </c>
      <c r="BF101" s="1">
        <v>0</v>
      </c>
      <c r="BG101" s="1" t="s">
        <v>32</v>
      </c>
      <c r="BH101" s="1">
        <v>0</v>
      </c>
      <c r="BI101" s="1" t="s">
        <v>32</v>
      </c>
      <c r="BJ101" s="1" t="s">
        <v>32</v>
      </c>
      <c r="BK101" s="1" t="s">
        <v>32</v>
      </c>
      <c r="BL101" s="1">
        <v>0</v>
      </c>
      <c r="BM101" s="1" t="s">
        <v>32</v>
      </c>
      <c r="BN101" s="1" t="s">
        <v>32</v>
      </c>
      <c r="BO101" s="1" t="s">
        <v>32</v>
      </c>
      <c r="BP101" s="1">
        <v>0</v>
      </c>
      <c r="BQ101" s="1" t="s">
        <v>32</v>
      </c>
      <c r="BR101" s="1">
        <v>0</v>
      </c>
      <c r="BS101" s="1" t="s">
        <v>1660</v>
      </c>
      <c r="BT101" s="1">
        <v>0</v>
      </c>
      <c r="BU101" s="1">
        <v>0</v>
      </c>
      <c r="BV101" s="1" t="s">
        <v>1660</v>
      </c>
      <c r="BW101" s="1"/>
      <c r="BX101" s="1"/>
      <c r="BY101" s="1" t="s">
        <v>1807</v>
      </c>
      <c r="BZ101" s="2" t="b">
        <f>OR( (Dashboard[[#This Row],[ref_as_hh]]&gt;=1),(Dashboard[[#This Row],[ret_as_hh]] &gt;=1), (Dashboard[[#This Row],[idp_as_hh]]&gt;=1))</f>
        <v>0</v>
      </c>
      <c r="CA101" s="2">
        <f>Dashboard[[#This Row],[ret_hi_hh]]</f>
        <v>0</v>
      </c>
      <c r="CB101" s="2">
        <f>Dashboard[[#This Row],[idp_fa_hh]]+Dashboard[[#This Row],[ref_fa_hh]]+Dashboard[[#This Row],[ret_fa_hh]]</f>
        <v>12</v>
      </c>
      <c r="CC101" s="2">
        <f>Dashboard[[#This Row],[idp_loc_hh]]+Dashboard[[#This Row],[ref_loc_hh]]+Dashboard[[#This Row],[ret_loc_hh]]</f>
        <v>0</v>
      </c>
      <c r="CD101" s="2">
        <f>Dashboard[[#This Row],[idp_cc_hh]]+Dashboard[[#This Row],[ref_cc_hh]]+Dashboard[[#This Row],[ret_cc_hh]]</f>
        <v>0</v>
      </c>
      <c r="CE101" s="2">
        <f>Dashboard[[#This Row],[idp_as_hh]]+Dashboard[[#This Row],[ref_as_hh]]+Dashboard[[#This Row],[ret_as_hh]]</f>
        <v>0</v>
      </c>
      <c r="CF101" s="2">
        <f>Dashboard[[#This Row],[idp_al_hh]]+Dashboard[[#This Row],[ref_al_hh]]+Dashboard[[#This Row],[ret_al_hh]]</f>
        <v>0</v>
      </c>
    </row>
    <row r="102" spans="1:84" hidden="1" x14ac:dyDescent="0.25">
      <c r="A102" s="27">
        <v>226</v>
      </c>
      <c r="B102" s="2" t="s">
        <v>22</v>
      </c>
      <c r="C102" s="2" t="s">
        <v>23</v>
      </c>
      <c r="D102" s="2" t="s">
        <v>85</v>
      </c>
      <c r="E102" s="2" t="s">
        <v>84</v>
      </c>
      <c r="F102" s="2" t="s">
        <v>173</v>
      </c>
      <c r="G102" s="2" t="s">
        <v>172</v>
      </c>
      <c r="H102" s="2" t="s">
        <v>999</v>
      </c>
      <c r="I102" s="2" t="s">
        <v>316</v>
      </c>
      <c r="J102" s="2" t="s">
        <v>2502</v>
      </c>
      <c r="K102" s="2" t="s">
        <v>2503</v>
      </c>
      <c r="L102" s="2" t="s">
        <v>2074</v>
      </c>
      <c r="M102" s="2">
        <v>1476</v>
      </c>
      <c r="N102" s="2" t="s">
        <v>1658</v>
      </c>
      <c r="O102" s="2">
        <v>36</v>
      </c>
      <c r="P102" s="2">
        <v>208</v>
      </c>
      <c r="Q102" s="2" t="s">
        <v>1658</v>
      </c>
      <c r="R102" s="2">
        <v>36</v>
      </c>
      <c r="S102" s="2" t="s">
        <v>1660</v>
      </c>
      <c r="T102" s="2">
        <v>0</v>
      </c>
      <c r="U102" s="2" t="s">
        <v>32</v>
      </c>
      <c r="V102" s="2" t="s">
        <v>32</v>
      </c>
      <c r="W102" s="1" t="s">
        <v>1660</v>
      </c>
      <c r="X102" s="1">
        <v>0</v>
      </c>
      <c r="Y102" s="1" t="s">
        <v>32</v>
      </c>
      <c r="Z102" s="1" t="s">
        <v>32</v>
      </c>
      <c r="AA102" s="1" t="s">
        <v>1660</v>
      </c>
      <c r="AB102" s="1">
        <v>0</v>
      </c>
      <c r="AC102" s="1" t="s">
        <v>1660</v>
      </c>
      <c r="AD102" s="1">
        <v>0</v>
      </c>
      <c r="AE102" s="1" t="s">
        <v>1660</v>
      </c>
      <c r="AF102" s="1">
        <v>0</v>
      </c>
      <c r="AG102" s="1">
        <v>0</v>
      </c>
      <c r="AH102" s="1" t="s">
        <v>32</v>
      </c>
      <c r="AI102" s="1" t="s">
        <v>32</v>
      </c>
      <c r="AJ102" s="1" t="s">
        <v>32</v>
      </c>
      <c r="AK102" s="1" t="s">
        <v>32</v>
      </c>
      <c r="AL102" s="1" t="s">
        <v>32</v>
      </c>
      <c r="AM102" s="1">
        <v>0</v>
      </c>
      <c r="AN102" s="1" t="s">
        <v>32</v>
      </c>
      <c r="AO102" s="1">
        <v>0</v>
      </c>
      <c r="AP102" s="1" t="s">
        <v>32</v>
      </c>
      <c r="AQ102" s="1" t="s">
        <v>32</v>
      </c>
      <c r="AR102" s="1" t="s">
        <v>32</v>
      </c>
      <c r="AS102" s="1">
        <v>0</v>
      </c>
      <c r="AT102" s="1" t="s">
        <v>32</v>
      </c>
      <c r="AU102" s="1" t="s">
        <v>32</v>
      </c>
      <c r="AV102" s="1" t="s">
        <v>32</v>
      </c>
      <c r="AW102" s="1">
        <v>0</v>
      </c>
      <c r="AX102" s="1" t="s">
        <v>32</v>
      </c>
      <c r="AY102" s="1">
        <v>0</v>
      </c>
      <c r="AZ102" s="1" t="s">
        <v>1660</v>
      </c>
      <c r="BA102" s="1">
        <v>0</v>
      </c>
      <c r="BB102" s="1">
        <v>0</v>
      </c>
      <c r="BC102" s="1" t="s">
        <v>32</v>
      </c>
      <c r="BD102" s="1">
        <v>0</v>
      </c>
      <c r="BE102" s="1" t="s">
        <v>32</v>
      </c>
      <c r="BF102" s="1">
        <v>0</v>
      </c>
      <c r="BG102" s="1" t="s">
        <v>32</v>
      </c>
      <c r="BH102" s="1">
        <v>0</v>
      </c>
      <c r="BI102" s="1" t="s">
        <v>32</v>
      </c>
      <c r="BJ102" s="1" t="s">
        <v>32</v>
      </c>
      <c r="BK102" s="1" t="s">
        <v>32</v>
      </c>
      <c r="BL102" s="1">
        <v>0</v>
      </c>
      <c r="BM102" s="1" t="s">
        <v>32</v>
      </c>
      <c r="BN102" s="1" t="s">
        <v>32</v>
      </c>
      <c r="BO102" s="1" t="s">
        <v>32</v>
      </c>
      <c r="BP102" s="1">
        <v>0</v>
      </c>
      <c r="BQ102" s="1" t="s">
        <v>32</v>
      </c>
      <c r="BR102" s="1">
        <v>0</v>
      </c>
      <c r="BS102" s="1" t="s">
        <v>1660</v>
      </c>
      <c r="BT102" s="1">
        <v>0</v>
      </c>
      <c r="BU102" s="1">
        <v>0</v>
      </c>
      <c r="BV102" s="1" t="s">
        <v>1660</v>
      </c>
      <c r="BW102" s="1"/>
      <c r="BX102" s="1"/>
      <c r="BY102" s="1" t="s">
        <v>1807</v>
      </c>
      <c r="BZ102" s="2" t="b">
        <f>OR( (Dashboard[[#This Row],[ref_as_hh]]&gt;=1),(Dashboard[[#This Row],[ret_as_hh]] &gt;=1), (Dashboard[[#This Row],[idp_as_hh]]&gt;=1))</f>
        <v>0</v>
      </c>
      <c r="CA102" s="2">
        <f>Dashboard[[#This Row],[ret_hi_hh]]</f>
        <v>0</v>
      </c>
      <c r="CB102" s="2">
        <f>Dashboard[[#This Row],[idp_fa_hh]]+Dashboard[[#This Row],[ref_fa_hh]]+Dashboard[[#This Row],[ret_fa_hh]]</f>
        <v>36</v>
      </c>
      <c r="CC102" s="2">
        <f>Dashboard[[#This Row],[idp_loc_hh]]+Dashboard[[#This Row],[ref_loc_hh]]+Dashboard[[#This Row],[ret_loc_hh]]</f>
        <v>0</v>
      </c>
      <c r="CD102" s="2">
        <f>Dashboard[[#This Row],[idp_cc_hh]]+Dashboard[[#This Row],[ref_cc_hh]]+Dashboard[[#This Row],[ret_cc_hh]]</f>
        <v>0</v>
      </c>
      <c r="CE102" s="2">
        <f>Dashboard[[#This Row],[idp_as_hh]]+Dashboard[[#This Row],[ref_as_hh]]+Dashboard[[#This Row],[ret_as_hh]]</f>
        <v>0</v>
      </c>
      <c r="CF102" s="2">
        <f>Dashboard[[#This Row],[idp_al_hh]]+Dashboard[[#This Row],[ref_al_hh]]+Dashboard[[#This Row],[ret_al_hh]]</f>
        <v>0</v>
      </c>
    </row>
    <row r="103" spans="1:84" hidden="1" x14ac:dyDescent="0.25">
      <c r="A103" s="27">
        <v>246</v>
      </c>
      <c r="B103" s="2" t="s">
        <v>22</v>
      </c>
      <c r="C103" s="2" t="s">
        <v>23</v>
      </c>
      <c r="D103" s="2" t="s">
        <v>85</v>
      </c>
      <c r="E103" s="2" t="s">
        <v>84</v>
      </c>
      <c r="F103" s="2" t="s">
        <v>173</v>
      </c>
      <c r="G103" s="2" t="s">
        <v>172</v>
      </c>
      <c r="H103" s="2" t="s">
        <v>1001</v>
      </c>
      <c r="I103" s="2" t="s">
        <v>317</v>
      </c>
      <c r="J103" s="2" t="s">
        <v>2506</v>
      </c>
      <c r="K103" s="2" t="s">
        <v>2507</v>
      </c>
      <c r="L103" s="2" t="s">
        <v>2078</v>
      </c>
      <c r="M103" s="2">
        <v>424</v>
      </c>
      <c r="N103" s="2" t="s">
        <v>1658</v>
      </c>
      <c r="O103" s="2">
        <v>2</v>
      </c>
      <c r="P103" s="2">
        <v>10</v>
      </c>
      <c r="Q103" s="2" t="s">
        <v>1658</v>
      </c>
      <c r="R103" s="2">
        <v>2</v>
      </c>
      <c r="S103" s="2" t="s">
        <v>1660</v>
      </c>
      <c r="T103" s="2">
        <v>0</v>
      </c>
      <c r="U103" s="2" t="s">
        <v>32</v>
      </c>
      <c r="V103" s="2" t="s">
        <v>32</v>
      </c>
      <c r="W103" s="2" t="s">
        <v>1660</v>
      </c>
      <c r="X103" s="2">
        <v>0</v>
      </c>
      <c r="Y103" s="2" t="s">
        <v>32</v>
      </c>
      <c r="Z103" s="2" t="s">
        <v>32</v>
      </c>
      <c r="AA103" s="2" t="s">
        <v>1660</v>
      </c>
      <c r="AB103" s="2">
        <v>0</v>
      </c>
      <c r="AC103" s="2" t="s">
        <v>1660</v>
      </c>
      <c r="AD103" s="2">
        <v>0</v>
      </c>
      <c r="AE103" s="2" t="s">
        <v>1660</v>
      </c>
      <c r="AF103" s="2">
        <v>0</v>
      </c>
      <c r="AG103" s="2">
        <v>0</v>
      </c>
      <c r="AH103" s="2" t="s">
        <v>32</v>
      </c>
      <c r="AI103" s="2" t="s">
        <v>32</v>
      </c>
      <c r="AJ103" s="2" t="s">
        <v>32</v>
      </c>
      <c r="AK103" s="2" t="s">
        <v>32</v>
      </c>
      <c r="AL103" s="2" t="s">
        <v>32</v>
      </c>
      <c r="AM103" s="2">
        <v>0</v>
      </c>
      <c r="AN103" s="2" t="s">
        <v>32</v>
      </c>
      <c r="AO103" s="2">
        <v>0</v>
      </c>
      <c r="AP103" s="2" t="s">
        <v>32</v>
      </c>
      <c r="AQ103" s="2" t="s">
        <v>32</v>
      </c>
      <c r="AR103" s="2" t="s">
        <v>32</v>
      </c>
      <c r="AS103" s="2">
        <v>0</v>
      </c>
      <c r="AT103" s="2" t="s">
        <v>32</v>
      </c>
      <c r="AU103" s="2" t="s">
        <v>32</v>
      </c>
      <c r="AV103" s="2" t="s">
        <v>32</v>
      </c>
      <c r="AW103" s="2">
        <v>0</v>
      </c>
      <c r="AX103" s="2" t="s">
        <v>32</v>
      </c>
      <c r="AY103" s="2">
        <v>0</v>
      </c>
      <c r="AZ103" s="2" t="s">
        <v>1660</v>
      </c>
      <c r="BA103" s="2">
        <v>0</v>
      </c>
      <c r="BB103" s="2">
        <v>0</v>
      </c>
      <c r="BC103" s="2" t="s">
        <v>32</v>
      </c>
      <c r="BD103" s="2">
        <v>0</v>
      </c>
      <c r="BE103" s="2" t="s">
        <v>32</v>
      </c>
      <c r="BF103" s="2">
        <v>0</v>
      </c>
      <c r="BG103" s="2" t="s">
        <v>32</v>
      </c>
      <c r="BH103" s="2">
        <v>0</v>
      </c>
      <c r="BI103" s="2" t="s">
        <v>32</v>
      </c>
      <c r="BJ103" s="2" t="s">
        <v>32</v>
      </c>
      <c r="BK103" s="2" t="s">
        <v>32</v>
      </c>
      <c r="BL103" s="2">
        <v>0</v>
      </c>
      <c r="BM103" s="2" t="s">
        <v>32</v>
      </c>
      <c r="BN103" s="2" t="s">
        <v>32</v>
      </c>
      <c r="BO103" s="2" t="s">
        <v>32</v>
      </c>
      <c r="BP103" s="2">
        <v>0</v>
      </c>
      <c r="BQ103" s="2" t="s">
        <v>32</v>
      </c>
      <c r="BR103" s="2">
        <v>0</v>
      </c>
      <c r="BS103" s="2" t="s">
        <v>1660</v>
      </c>
      <c r="BT103" s="2">
        <v>0</v>
      </c>
      <c r="BU103" s="2">
        <v>0</v>
      </c>
      <c r="BV103" s="2" t="s">
        <v>1660</v>
      </c>
      <c r="BW103" s="2"/>
      <c r="BX103" s="2"/>
      <c r="BY103" s="2" t="s">
        <v>1807</v>
      </c>
      <c r="BZ103" s="2" t="b">
        <f>OR( (Dashboard[[#This Row],[ref_as_hh]]&gt;=1),(Dashboard[[#This Row],[ret_as_hh]] &gt;=1), (Dashboard[[#This Row],[idp_as_hh]]&gt;=1))</f>
        <v>0</v>
      </c>
      <c r="CA103" s="2">
        <f>Dashboard[[#This Row],[ret_hi_hh]]</f>
        <v>0</v>
      </c>
      <c r="CB103" s="2">
        <f>Dashboard[[#This Row],[idp_fa_hh]]+Dashboard[[#This Row],[ref_fa_hh]]+Dashboard[[#This Row],[ret_fa_hh]]</f>
        <v>2</v>
      </c>
      <c r="CC103" s="2">
        <f>Dashboard[[#This Row],[idp_loc_hh]]+Dashboard[[#This Row],[ref_loc_hh]]+Dashboard[[#This Row],[ret_loc_hh]]</f>
        <v>0</v>
      </c>
      <c r="CD103" s="2">
        <f>Dashboard[[#This Row],[idp_cc_hh]]+Dashboard[[#This Row],[ref_cc_hh]]+Dashboard[[#This Row],[ret_cc_hh]]</f>
        <v>0</v>
      </c>
      <c r="CE103" s="2">
        <f>Dashboard[[#This Row],[idp_as_hh]]+Dashboard[[#This Row],[ref_as_hh]]+Dashboard[[#This Row],[ret_as_hh]]</f>
        <v>0</v>
      </c>
      <c r="CF103" s="2">
        <f>Dashboard[[#This Row],[idp_al_hh]]+Dashboard[[#This Row],[ref_al_hh]]+Dashboard[[#This Row],[ret_al_hh]]</f>
        <v>0</v>
      </c>
    </row>
    <row r="104" spans="1:84" hidden="1" x14ac:dyDescent="0.25">
      <c r="A104" s="27">
        <v>248</v>
      </c>
      <c r="B104" s="2" t="s">
        <v>22</v>
      </c>
      <c r="C104" s="2" t="s">
        <v>23</v>
      </c>
      <c r="D104" s="2" t="s">
        <v>85</v>
      </c>
      <c r="E104" s="2" t="s">
        <v>84</v>
      </c>
      <c r="F104" s="2" t="s">
        <v>173</v>
      </c>
      <c r="G104" s="2" t="s">
        <v>172</v>
      </c>
      <c r="H104" s="2" t="s">
        <v>998</v>
      </c>
      <c r="I104" s="2" t="s">
        <v>315</v>
      </c>
      <c r="J104" s="2" t="s">
        <v>2500</v>
      </c>
      <c r="K104" s="2" t="s">
        <v>2501</v>
      </c>
      <c r="L104" s="2" t="s">
        <v>2078</v>
      </c>
      <c r="M104" s="2">
        <v>992</v>
      </c>
      <c r="N104" s="2" t="s">
        <v>1658</v>
      </c>
      <c r="O104" s="2">
        <v>4</v>
      </c>
      <c r="P104" s="2">
        <v>42</v>
      </c>
      <c r="Q104" s="2" t="s">
        <v>1658</v>
      </c>
      <c r="R104" s="2">
        <v>4</v>
      </c>
      <c r="S104" s="2" t="s">
        <v>1660</v>
      </c>
      <c r="T104" s="2">
        <v>0</v>
      </c>
      <c r="U104" s="2" t="s">
        <v>32</v>
      </c>
      <c r="V104" s="2" t="s">
        <v>32</v>
      </c>
      <c r="W104" s="2" t="s">
        <v>1660</v>
      </c>
      <c r="X104" s="2">
        <v>0</v>
      </c>
      <c r="Y104" s="2" t="s">
        <v>32</v>
      </c>
      <c r="Z104" s="2" t="s">
        <v>32</v>
      </c>
      <c r="AA104" s="2" t="s">
        <v>1660</v>
      </c>
      <c r="AB104" s="2">
        <v>0</v>
      </c>
      <c r="AC104" s="2" t="s">
        <v>1660</v>
      </c>
      <c r="AD104" s="2">
        <v>0</v>
      </c>
      <c r="AE104" s="2" t="s">
        <v>1660</v>
      </c>
      <c r="AF104" s="2">
        <v>0</v>
      </c>
      <c r="AG104" s="2">
        <v>0</v>
      </c>
      <c r="AH104" s="2" t="s">
        <v>32</v>
      </c>
      <c r="AI104" s="2" t="s">
        <v>32</v>
      </c>
      <c r="AJ104" s="2" t="s">
        <v>32</v>
      </c>
      <c r="AK104" s="2" t="s">
        <v>32</v>
      </c>
      <c r="AL104" s="2" t="s">
        <v>32</v>
      </c>
      <c r="AM104" s="2">
        <v>0</v>
      </c>
      <c r="AN104" s="2" t="s">
        <v>32</v>
      </c>
      <c r="AO104" s="2">
        <v>0</v>
      </c>
      <c r="AP104" s="2" t="s">
        <v>32</v>
      </c>
      <c r="AQ104" s="2" t="s">
        <v>32</v>
      </c>
      <c r="AR104" s="2" t="s">
        <v>32</v>
      </c>
      <c r="AS104" s="2">
        <v>0</v>
      </c>
      <c r="AT104" s="2" t="s">
        <v>32</v>
      </c>
      <c r="AU104" s="2" t="s">
        <v>32</v>
      </c>
      <c r="AV104" s="2" t="s">
        <v>32</v>
      </c>
      <c r="AW104" s="2">
        <v>0</v>
      </c>
      <c r="AX104" s="2" t="s">
        <v>32</v>
      </c>
      <c r="AY104" s="2">
        <v>0</v>
      </c>
      <c r="AZ104" s="2" t="s">
        <v>1660</v>
      </c>
      <c r="BA104" s="2">
        <v>0</v>
      </c>
      <c r="BB104" s="2">
        <v>0</v>
      </c>
      <c r="BC104" s="2" t="s">
        <v>32</v>
      </c>
      <c r="BD104" s="2">
        <v>0</v>
      </c>
      <c r="BE104" s="2" t="s">
        <v>32</v>
      </c>
      <c r="BF104" s="2">
        <v>0</v>
      </c>
      <c r="BG104" s="2" t="s">
        <v>32</v>
      </c>
      <c r="BH104" s="2">
        <v>0</v>
      </c>
      <c r="BI104" s="2" t="s">
        <v>32</v>
      </c>
      <c r="BJ104" s="2" t="s">
        <v>32</v>
      </c>
      <c r="BK104" s="2" t="s">
        <v>32</v>
      </c>
      <c r="BL104" s="2">
        <v>0</v>
      </c>
      <c r="BM104" s="2" t="s">
        <v>32</v>
      </c>
      <c r="BN104" s="2" t="s">
        <v>32</v>
      </c>
      <c r="BO104" s="2" t="s">
        <v>32</v>
      </c>
      <c r="BP104" s="2">
        <v>0</v>
      </c>
      <c r="BQ104" s="2" t="s">
        <v>32</v>
      </c>
      <c r="BR104" s="2">
        <v>0</v>
      </c>
      <c r="BS104" s="2" t="s">
        <v>1660</v>
      </c>
      <c r="BT104" s="2">
        <v>0</v>
      </c>
      <c r="BU104" s="2">
        <v>0</v>
      </c>
      <c r="BV104" s="2" t="s">
        <v>1660</v>
      </c>
      <c r="BW104" s="2"/>
      <c r="BX104" s="2"/>
      <c r="BY104" s="2" t="s">
        <v>1807</v>
      </c>
      <c r="BZ104" s="2" t="b">
        <f>OR( (Dashboard[[#This Row],[ref_as_hh]]&gt;=1),(Dashboard[[#This Row],[ret_as_hh]] &gt;=1), (Dashboard[[#This Row],[idp_as_hh]]&gt;=1))</f>
        <v>0</v>
      </c>
      <c r="CA104" s="2">
        <f>Dashboard[[#This Row],[ret_hi_hh]]</f>
        <v>0</v>
      </c>
      <c r="CB104" s="2">
        <f>Dashboard[[#This Row],[idp_fa_hh]]+Dashboard[[#This Row],[ref_fa_hh]]+Dashboard[[#This Row],[ret_fa_hh]]</f>
        <v>4</v>
      </c>
      <c r="CC104" s="2">
        <f>Dashboard[[#This Row],[idp_loc_hh]]+Dashboard[[#This Row],[ref_loc_hh]]+Dashboard[[#This Row],[ret_loc_hh]]</f>
        <v>0</v>
      </c>
      <c r="CD104" s="2">
        <f>Dashboard[[#This Row],[idp_cc_hh]]+Dashboard[[#This Row],[ref_cc_hh]]+Dashboard[[#This Row],[ret_cc_hh]]</f>
        <v>0</v>
      </c>
      <c r="CE104" s="2">
        <f>Dashboard[[#This Row],[idp_as_hh]]+Dashboard[[#This Row],[ref_as_hh]]+Dashboard[[#This Row],[ret_as_hh]]</f>
        <v>0</v>
      </c>
      <c r="CF104" s="2">
        <f>Dashboard[[#This Row],[idp_al_hh]]+Dashboard[[#This Row],[ref_al_hh]]+Dashboard[[#This Row],[ret_al_hh]]</f>
        <v>0</v>
      </c>
    </row>
    <row r="105" spans="1:84" x14ac:dyDescent="0.25">
      <c r="A105" s="27">
        <v>518</v>
      </c>
      <c r="B105" s="2" t="s">
        <v>22</v>
      </c>
      <c r="C105" s="2" t="s">
        <v>23</v>
      </c>
      <c r="D105" s="2" t="s">
        <v>85</v>
      </c>
      <c r="E105" s="2" t="s">
        <v>84</v>
      </c>
      <c r="F105" s="2" t="s">
        <v>88</v>
      </c>
      <c r="G105" s="2" t="s">
        <v>89</v>
      </c>
      <c r="H105" s="2" t="s">
        <v>916</v>
      </c>
      <c r="I105" s="2" t="s">
        <v>766</v>
      </c>
      <c r="J105" s="2" t="s">
        <v>2310</v>
      </c>
      <c r="K105" s="2" t="s">
        <v>2311</v>
      </c>
      <c r="L105" s="2" t="s">
        <v>2074</v>
      </c>
      <c r="M105" s="2">
        <v>615</v>
      </c>
      <c r="N105" s="2" t="s">
        <v>1658</v>
      </c>
      <c r="O105" s="2">
        <v>22</v>
      </c>
      <c r="P105" s="2">
        <v>126</v>
      </c>
      <c r="Q105" s="2" t="s">
        <v>1660</v>
      </c>
      <c r="R105" s="2">
        <v>0</v>
      </c>
      <c r="S105" s="2" t="s">
        <v>1660</v>
      </c>
      <c r="T105" s="2">
        <v>0</v>
      </c>
      <c r="U105" s="2" t="s">
        <v>32</v>
      </c>
      <c r="V105" s="2" t="s">
        <v>32</v>
      </c>
      <c r="W105" s="2" t="s">
        <v>1660</v>
      </c>
      <c r="X105" s="2">
        <v>0</v>
      </c>
      <c r="Y105" s="2" t="s">
        <v>32</v>
      </c>
      <c r="Z105" s="2" t="s">
        <v>32</v>
      </c>
      <c r="AA105" s="2" t="s">
        <v>1658</v>
      </c>
      <c r="AB105" s="2">
        <v>22</v>
      </c>
      <c r="AC105" s="2" t="s">
        <v>1660</v>
      </c>
      <c r="AD105" s="2">
        <v>0</v>
      </c>
      <c r="AE105" s="2" t="s">
        <v>1660</v>
      </c>
      <c r="AF105" s="2">
        <v>0</v>
      </c>
      <c r="AG105" s="2">
        <v>0</v>
      </c>
      <c r="AH105" s="2" t="s">
        <v>32</v>
      </c>
      <c r="AI105" s="2" t="s">
        <v>32</v>
      </c>
      <c r="AJ105" s="2" t="s">
        <v>32</v>
      </c>
      <c r="AK105" s="2" t="s">
        <v>32</v>
      </c>
      <c r="AL105" s="2" t="s">
        <v>32</v>
      </c>
      <c r="AM105" s="2">
        <v>0</v>
      </c>
      <c r="AN105" s="2" t="s">
        <v>32</v>
      </c>
      <c r="AO105" s="2">
        <v>0</v>
      </c>
      <c r="AP105" s="2" t="s">
        <v>32</v>
      </c>
      <c r="AQ105" s="2" t="s">
        <v>32</v>
      </c>
      <c r="AR105" s="2" t="s">
        <v>32</v>
      </c>
      <c r="AS105" s="2">
        <v>0</v>
      </c>
      <c r="AT105" s="2" t="s">
        <v>32</v>
      </c>
      <c r="AU105" s="2" t="s">
        <v>32</v>
      </c>
      <c r="AV105" s="2" t="s">
        <v>32</v>
      </c>
      <c r="AW105" s="2">
        <v>0</v>
      </c>
      <c r="AX105" s="2" t="s">
        <v>32</v>
      </c>
      <c r="AY105" s="2">
        <v>0</v>
      </c>
      <c r="AZ105" s="2" t="s">
        <v>1660</v>
      </c>
      <c r="BA105" s="2">
        <v>0</v>
      </c>
      <c r="BB105" s="2">
        <v>0</v>
      </c>
      <c r="BC105" s="2" t="s">
        <v>32</v>
      </c>
      <c r="BD105" s="2">
        <v>0</v>
      </c>
      <c r="BE105" s="2" t="s">
        <v>32</v>
      </c>
      <c r="BF105" s="2">
        <v>0</v>
      </c>
      <c r="BG105" s="2" t="s">
        <v>32</v>
      </c>
      <c r="BH105" s="2">
        <v>0</v>
      </c>
      <c r="BI105" s="2" t="s">
        <v>32</v>
      </c>
      <c r="BJ105" s="2" t="s">
        <v>32</v>
      </c>
      <c r="BK105" s="2" t="s">
        <v>32</v>
      </c>
      <c r="BL105" s="2">
        <v>0</v>
      </c>
      <c r="BM105" s="2" t="s">
        <v>32</v>
      </c>
      <c r="BN105" s="2" t="s">
        <v>32</v>
      </c>
      <c r="BO105" s="2" t="s">
        <v>32</v>
      </c>
      <c r="BP105" s="2">
        <v>0</v>
      </c>
      <c r="BQ105" s="2" t="s">
        <v>32</v>
      </c>
      <c r="BR105" s="2">
        <v>0</v>
      </c>
      <c r="BS105" s="2" t="s">
        <v>1660</v>
      </c>
      <c r="BT105" s="2">
        <v>0</v>
      </c>
      <c r="BU105" s="2">
        <v>0</v>
      </c>
      <c r="BV105" s="2" t="s">
        <v>1660</v>
      </c>
      <c r="BW105" s="2"/>
      <c r="BX105" s="2"/>
      <c r="BY105" s="2" t="s">
        <v>1807</v>
      </c>
      <c r="BZ105" s="2" t="b">
        <f>OR( (Dashboard[[#This Row],[ref_as_hh]]&gt;=1),(Dashboard[[#This Row],[ret_as_hh]] &gt;=1), (Dashboard[[#This Row],[idp_as_hh]]&gt;=1))</f>
        <v>1</v>
      </c>
      <c r="CA105" s="2">
        <f>Dashboard[[#This Row],[ret_hi_hh]]</f>
        <v>0</v>
      </c>
      <c r="CB105" s="2">
        <f>Dashboard[[#This Row],[idp_fa_hh]]+Dashboard[[#This Row],[ref_fa_hh]]+Dashboard[[#This Row],[ret_fa_hh]]</f>
        <v>0</v>
      </c>
      <c r="CC105" s="2">
        <f>Dashboard[[#This Row],[idp_loc_hh]]+Dashboard[[#This Row],[ref_loc_hh]]+Dashboard[[#This Row],[ret_loc_hh]]</f>
        <v>0</v>
      </c>
      <c r="CD105" s="2">
        <f>Dashboard[[#This Row],[idp_cc_hh]]+Dashboard[[#This Row],[ref_cc_hh]]+Dashboard[[#This Row],[ret_cc_hh]]</f>
        <v>0</v>
      </c>
      <c r="CE105" s="2">
        <f>Dashboard[[#This Row],[idp_as_hh]]+Dashboard[[#This Row],[ref_as_hh]]+Dashboard[[#This Row],[ret_as_hh]]</f>
        <v>22</v>
      </c>
      <c r="CF105" s="2">
        <f>Dashboard[[#This Row],[idp_al_hh]]+Dashboard[[#This Row],[ref_al_hh]]+Dashboard[[#This Row],[ret_al_hh]]</f>
        <v>0</v>
      </c>
    </row>
    <row r="106" spans="1:84" hidden="1" x14ac:dyDescent="0.25">
      <c r="A106" s="27">
        <v>519</v>
      </c>
      <c r="B106" s="2" t="s">
        <v>22</v>
      </c>
      <c r="C106" s="2" t="s">
        <v>23</v>
      </c>
      <c r="D106" s="2" t="s">
        <v>85</v>
      </c>
      <c r="E106" s="2" t="s">
        <v>84</v>
      </c>
      <c r="F106" s="2" t="s">
        <v>88</v>
      </c>
      <c r="G106" s="2" t="s">
        <v>89</v>
      </c>
      <c r="H106" s="2" t="s">
        <v>919</v>
      </c>
      <c r="I106" s="2" t="s">
        <v>111</v>
      </c>
      <c r="J106" s="2" t="s">
        <v>2322</v>
      </c>
      <c r="K106" s="2" t="s">
        <v>2323</v>
      </c>
      <c r="L106" s="2" t="s">
        <v>2074</v>
      </c>
      <c r="M106" s="2">
        <v>658</v>
      </c>
      <c r="N106" s="2" t="s">
        <v>1658</v>
      </c>
      <c r="O106" s="2">
        <v>16</v>
      </c>
      <c r="P106" s="2">
        <v>112</v>
      </c>
      <c r="Q106" s="2" t="s">
        <v>1658</v>
      </c>
      <c r="R106" s="2">
        <v>16</v>
      </c>
      <c r="S106" s="2" t="s">
        <v>1660</v>
      </c>
      <c r="T106" s="2">
        <v>0</v>
      </c>
      <c r="U106" s="2" t="s">
        <v>32</v>
      </c>
      <c r="V106" s="2" t="s">
        <v>32</v>
      </c>
      <c r="W106" s="2" t="s">
        <v>1660</v>
      </c>
      <c r="X106" s="2">
        <v>0</v>
      </c>
      <c r="Y106" s="2" t="s">
        <v>32</v>
      </c>
      <c r="Z106" s="2" t="s">
        <v>32</v>
      </c>
      <c r="AA106" s="2" t="s">
        <v>1660</v>
      </c>
      <c r="AB106" s="2">
        <v>0</v>
      </c>
      <c r="AC106" s="2" t="s">
        <v>1660</v>
      </c>
      <c r="AD106" s="2">
        <v>0</v>
      </c>
      <c r="AE106" s="2" t="s">
        <v>1658</v>
      </c>
      <c r="AF106" s="2">
        <v>10</v>
      </c>
      <c r="AG106" s="2">
        <v>81</v>
      </c>
      <c r="AH106" s="2" t="s">
        <v>1660</v>
      </c>
      <c r="AI106" s="2" t="s">
        <v>32</v>
      </c>
      <c r="AJ106" s="2" t="s">
        <v>32</v>
      </c>
      <c r="AK106" s="2" t="s">
        <v>32</v>
      </c>
      <c r="AL106" s="2" t="s">
        <v>1658</v>
      </c>
      <c r="AM106" s="2">
        <v>10</v>
      </c>
      <c r="AN106" s="2" t="s">
        <v>1660</v>
      </c>
      <c r="AO106" s="2">
        <v>0</v>
      </c>
      <c r="AP106" s="2" t="s">
        <v>32</v>
      </c>
      <c r="AQ106" s="2" t="s">
        <v>32</v>
      </c>
      <c r="AR106" s="2" t="s">
        <v>1660</v>
      </c>
      <c r="AS106" s="2">
        <v>0</v>
      </c>
      <c r="AT106" s="2" t="s">
        <v>32</v>
      </c>
      <c r="AU106" s="2" t="s">
        <v>32</v>
      </c>
      <c r="AV106" s="2" t="s">
        <v>1660</v>
      </c>
      <c r="AW106" s="2">
        <v>0</v>
      </c>
      <c r="AX106" s="2" t="s">
        <v>1660</v>
      </c>
      <c r="AY106" s="2">
        <v>0</v>
      </c>
      <c r="AZ106" s="2" t="s">
        <v>1660</v>
      </c>
      <c r="BA106" s="2">
        <v>0</v>
      </c>
      <c r="BB106" s="2">
        <v>0</v>
      </c>
      <c r="BC106" s="2" t="s">
        <v>32</v>
      </c>
      <c r="BD106" s="2">
        <v>0</v>
      </c>
      <c r="BE106" s="2" t="s">
        <v>32</v>
      </c>
      <c r="BF106" s="2">
        <v>0</v>
      </c>
      <c r="BG106" s="2" t="s">
        <v>32</v>
      </c>
      <c r="BH106" s="2">
        <v>0</v>
      </c>
      <c r="BI106" s="2" t="s">
        <v>32</v>
      </c>
      <c r="BJ106" s="2" t="s">
        <v>32</v>
      </c>
      <c r="BK106" s="2" t="s">
        <v>32</v>
      </c>
      <c r="BL106" s="2">
        <v>0</v>
      </c>
      <c r="BM106" s="2" t="s">
        <v>32</v>
      </c>
      <c r="BN106" s="2" t="s">
        <v>32</v>
      </c>
      <c r="BO106" s="2" t="s">
        <v>32</v>
      </c>
      <c r="BP106" s="2">
        <v>0</v>
      </c>
      <c r="BQ106" s="2" t="s">
        <v>32</v>
      </c>
      <c r="BR106" s="2">
        <v>0</v>
      </c>
      <c r="BS106" s="2" t="s">
        <v>1660</v>
      </c>
      <c r="BT106" s="2">
        <v>0</v>
      </c>
      <c r="BU106" s="2">
        <v>0</v>
      </c>
      <c r="BV106" s="2" t="s">
        <v>1660</v>
      </c>
      <c r="BW106" s="2"/>
      <c r="BX106" s="2"/>
      <c r="BY106" s="2" t="s">
        <v>1807</v>
      </c>
      <c r="BZ106" s="2" t="b">
        <f>OR( (Dashboard[[#This Row],[ref_as_hh]]&gt;=1),(Dashboard[[#This Row],[ret_as_hh]] &gt;=1), (Dashboard[[#This Row],[idp_as_hh]]&gt;=1))</f>
        <v>0</v>
      </c>
      <c r="CA106" s="2">
        <f>Dashboard[[#This Row],[ret_hi_hh]]</f>
        <v>0</v>
      </c>
      <c r="CB106" s="2">
        <f>Dashboard[[#This Row],[idp_fa_hh]]+Dashboard[[#This Row],[ref_fa_hh]]+Dashboard[[#This Row],[ret_fa_hh]]</f>
        <v>26</v>
      </c>
      <c r="CC106" s="2">
        <f>Dashboard[[#This Row],[idp_loc_hh]]+Dashboard[[#This Row],[ref_loc_hh]]+Dashboard[[#This Row],[ret_loc_hh]]</f>
        <v>0</v>
      </c>
      <c r="CD106" s="2">
        <f>Dashboard[[#This Row],[idp_cc_hh]]+Dashboard[[#This Row],[ref_cc_hh]]+Dashboard[[#This Row],[ret_cc_hh]]</f>
        <v>0</v>
      </c>
      <c r="CE106" s="2">
        <f>Dashboard[[#This Row],[idp_as_hh]]+Dashboard[[#This Row],[ref_as_hh]]+Dashboard[[#This Row],[ret_as_hh]]</f>
        <v>0</v>
      </c>
      <c r="CF106" s="2">
        <f>Dashboard[[#This Row],[idp_al_hh]]+Dashboard[[#This Row],[ref_al_hh]]+Dashboard[[#This Row],[ret_al_hh]]</f>
        <v>0</v>
      </c>
    </row>
    <row r="107" spans="1:84" hidden="1" x14ac:dyDescent="0.25">
      <c r="A107" s="27">
        <v>119</v>
      </c>
      <c r="B107" s="2" t="s">
        <v>22</v>
      </c>
      <c r="C107" s="2" t="s">
        <v>23</v>
      </c>
      <c r="D107" s="2" t="s">
        <v>85</v>
      </c>
      <c r="E107" s="2" t="s">
        <v>84</v>
      </c>
      <c r="F107" s="2" t="s">
        <v>88</v>
      </c>
      <c r="G107" s="2" t="s">
        <v>89</v>
      </c>
      <c r="H107" s="2" t="s">
        <v>913</v>
      </c>
      <c r="I107" s="2" t="s">
        <v>105</v>
      </c>
      <c r="J107" s="2" t="s">
        <v>2304</v>
      </c>
      <c r="K107" s="2" t="s">
        <v>2305</v>
      </c>
      <c r="L107" s="2" t="s">
        <v>2074</v>
      </c>
      <c r="M107" s="2">
        <v>600</v>
      </c>
      <c r="N107" s="2" t="s">
        <v>1658</v>
      </c>
      <c r="O107" s="2">
        <v>4</v>
      </c>
      <c r="P107" s="2">
        <v>15</v>
      </c>
      <c r="Q107" s="2" t="s">
        <v>1658</v>
      </c>
      <c r="R107" s="2">
        <v>4</v>
      </c>
      <c r="S107" s="2" t="s">
        <v>1660</v>
      </c>
      <c r="T107" s="2">
        <v>0</v>
      </c>
      <c r="U107" s="2" t="s">
        <v>32</v>
      </c>
      <c r="V107" s="2" t="s">
        <v>32</v>
      </c>
      <c r="W107" s="2" t="s">
        <v>1660</v>
      </c>
      <c r="X107" s="2">
        <v>0</v>
      </c>
      <c r="Y107" s="2" t="s">
        <v>32</v>
      </c>
      <c r="Z107" s="2" t="s">
        <v>32</v>
      </c>
      <c r="AA107" s="2" t="s">
        <v>1660</v>
      </c>
      <c r="AB107" s="2">
        <v>0</v>
      </c>
      <c r="AC107" s="2" t="s">
        <v>1660</v>
      </c>
      <c r="AD107" s="2">
        <v>0</v>
      </c>
      <c r="AE107" s="2" t="s">
        <v>1660</v>
      </c>
      <c r="AF107" s="2">
        <v>0</v>
      </c>
      <c r="AG107" s="2">
        <v>0</v>
      </c>
      <c r="AH107" s="2" t="s">
        <v>32</v>
      </c>
      <c r="AI107" s="2" t="s">
        <v>32</v>
      </c>
      <c r="AJ107" s="2" t="s">
        <v>32</v>
      </c>
      <c r="AK107" s="2" t="s">
        <v>32</v>
      </c>
      <c r="AL107" s="2" t="s">
        <v>32</v>
      </c>
      <c r="AM107" s="2">
        <v>0</v>
      </c>
      <c r="AN107" s="2" t="s">
        <v>32</v>
      </c>
      <c r="AO107" s="2">
        <v>0</v>
      </c>
      <c r="AP107" s="2" t="s">
        <v>32</v>
      </c>
      <c r="AQ107" s="2" t="s">
        <v>32</v>
      </c>
      <c r="AR107" s="2" t="s">
        <v>32</v>
      </c>
      <c r="AS107" s="2">
        <v>0</v>
      </c>
      <c r="AT107" s="2" t="s">
        <v>32</v>
      </c>
      <c r="AU107" s="2" t="s">
        <v>32</v>
      </c>
      <c r="AV107" s="2" t="s">
        <v>32</v>
      </c>
      <c r="AW107" s="2">
        <v>0</v>
      </c>
      <c r="AX107" s="2" t="s">
        <v>32</v>
      </c>
      <c r="AY107" s="2">
        <v>0</v>
      </c>
      <c r="AZ107" s="2" t="s">
        <v>1660</v>
      </c>
      <c r="BA107" s="2">
        <v>0</v>
      </c>
      <c r="BB107" s="2">
        <v>0</v>
      </c>
      <c r="BC107" s="2" t="s">
        <v>32</v>
      </c>
      <c r="BD107" s="2">
        <v>0</v>
      </c>
      <c r="BE107" s="2" t="s">
        <v>32</v>
      </c>
      <c r="BF107" s="2">
        <v>0</v>
      </c>
      <c r="BG107" s="2" t="s">
        <v>32</v>
      </c>
      <c r="BH107" s="2">
        <v>0</v>
      </c>
      <c r="BI107" s="2" t="s">
        <v>32</v>
      </c>
      <c r="BJ107" s="2" t="s">
        <v>32</v>
      </c>
      <c r="BK107" s="2" t="s">
        <v>32</v>
      </c>
      <c r="BL107" s="2">
        <v>0</v>
      </c>
      <c r="BM107" s="2" t="s">
        <v>32</v>
      </c>
      <c r="BN107" s="2" t="s">
        <v>32</v>
      </c>
      <c r="BO107" s="2" t="s">
        <v>32</v>
      </c>
      <c r="BP107" s="2">
        <v>0</v>
      </c>
      <c r="BQ107" s="2" t="s">
        <v>32</v>
      </c>
      <c r="BR107" s="2">
        <v>0</v>
      </c>
      <c r="BS107" s="2" t="s">
        <v>1660</v>
      </c>
      <c r="BT107" s="2">
        <v>0</v>
      </c>
      <c r="BU107" s="2">
        <v>0</v>
      </c>
      <c r="BV107" s="2" t="s">
        <v>1660</v>
      </c>
      <c r="BW107" s="2"/>
      <c r="BX107" s="2"/>
      <c r="BY107" s="2" t="s">
        <v>1807</v>
      </c>
      <c r="BZ107" s="2" t="b">
        <f>OR( (Dashboard[[#This Row],[ref_as_hh]]&gt;=1),(Dashboard[[#This Row],[ret_as_hh]] &gt;=1), (Dashboard[[#This Row],[idp_as_hh]]&gt;=1))</f>
        <v>0</v>
      </c>
      <c r="CA107" s="2">
        <f>Dashboard[[#This Row],[ret_hi_hh]]</f>
        <v>0</v>
      </c>
      <c r="CB107" s="2">
        <f>Dashboard[[#This Row],[idp_fa_hh]]+Dashboard[[#This Row],[ref_fa_hh]]+Dashboard[[#This Row],[ret_fa_hh]]</f>
        <v>4</v>
      </c>
      <c r="CC107" s="2">
        <f>Dashboard[[#This Row],[idp_loc_hh]]+Dashboard[[#This Row],[ref_loc_hh]]+Dashboard[[#This Row],[ret_loc_hh]]</f>
        <v>0</v>
      </c>
      <c r="CD107" s="2">
        <f>Dashboard[[#This Row],[idp_cc_hh]]+Dashboard[[#This Row],[ref_cc_hh]]+Dashboard[[#This Row],[ret_cc_hh]]</f>
        <v>0</v>
      </c>
      <c r="CE107" s="2">
        <f>Dashboard[[#This Row],[idp_as_hh]]+Dashboard[[#This Row],[ref_as_hh]]+Dashboard[[#This Row],[ret_as_hh]]</f>
        <v>0</v>
      </c>
      <c r="CF107" s="2">
        <f>Dashboard[[#This Row],[idp_al_hh]]+Dashboard[[#This Row],[ref_al_hh]]+Dashboard[[#This Row],[ret_al_hh]]</f>
        <v>0</v>
      </c>
    </row>
    <row r="108" spans="1:84" hidden="1" x14ac:dyDescent="0.25">
      <c r="A108" s="27">
        <v>120</v>
      </c>
      <c r="B108" s="2" t="s">
        <v>22</v>
      </c>
      <c r="C108" s="2" t="s">
        <v>23</v>
      </c>
      <c r="D108" s="2" t="s">
        <v>85</v>
      </c>
      <c r="E108" s="2" t="s">
        <v>84</v>
      </c>
      <c r="F108" s="2" t="s">
        <v>88</v>
      </c>
      <c r="G108" s="2" t="s">
        <v>89</v>
      </c>
      <c r="H108" s="2" t="s">
        <v>910</v>
      </c>
      <c r="I108" s="2" t="s">
        <v>102</v>
      </c>
      <c r="J108" s="2" t="s">
        <v>2298</v>
      </c>
      <c r="K108" s="2" t="s">
        <v>2299</v>
      </c>
      <c r="L108" s="2" t="s">
        <v>2074</v>
      </c>
      <c r="M108" s="2">
        <v>425</v>
      </c>
      <c r="N108" s="2" t="s">
        <v>1658</v>
      </c>
      <c r="O108" s="2">
        <v>7</v>
      </c>
      <c r="P108" s="2">
        <v>68</v>
      </c>
      <c r="Q108" s="2" t="s">
        <v>1658</v>
      </c>
      <c r="R108" s="2">
        <v>7</v>
      </c>
      <c r="S108" s="2" t="s">
        <v>1660</v>
      </c>
      <c r="T108" s="2">
        <v>0</v>
      </c>
      <c r="U108" s="2" t="s">
        <v>32</v>
      </c>
      <c r="V108" s="2" t="s">
        <v>32</v>
      </c>
      <c r="W108" s="2" t="s">
        <v>1660</v>
      </c>
      <c r="X108" s="2">
        <v>0</v>
      </c>
      <c r="Y108" s="2" t="s">
        <v>32</v>
      </c>
      <c r="Z108" s="2" t="s">
        <v>32</v>
      </c>
      <c r="AA108" s="2" t="s">
        <v>1660</v>
      </c>
      <c r="AB108" s="2">
        <v>0</v>
      </c>
      <c r="AC108" s="2" t="s">
        <v>1660</v>
      </c>
      <c r="AD108" s="2">
        <v>0</v>
      </c>
      <c r="AE108" s="2" t="s">
        <v>1658</v>
      </c>
      <c r="AF108" s="2">
        <v>1</v>
      </c>
      <c r="AG108" s="2">
        <v>4</v>
      </c>
      <c r="AH108" s="2" t="s">
        <v>1660</v>
      </c>
      <c r="AI108" s="2" t="s">
        <v>32</v>
      </c>
      <c r="AJ108" s="2" t="s">
        <v>32</v>
      </c>
      <c r="AK108" s="2" t="s">
        <v>32</v>
      </c>
      <c r="AL108" s="2" t="s">
        <v>1658</v>
      </c>
      <c r="AM108" s="2">
        <v>1</v>
      </c>
      <c r="AN108" s="2" t="s">
        <v>1660</v>
      </c>
      <c r="AO108" s="2">
        <v>0</v>
      </c>
      <c r="AP108" s="2" t="s">
        <v>32</v>
      </c>
      <c r="AQ108" s="2" t="s">
        <v>32</v>
      </c>
      <c r="AR108" s="2" t="s">
        <v>1660</v>
      </c>
      <c r="AS108" s="2">
        <v>0</v>
      </c>
      <c r="AT108" s="2" t="s">
        <v>32</v>
      </c>
      <c r="AU108" s="2" t="s">
        <v>32</v>
      </c>
      <c r="AV108" s="2" t="s">
        <v>1660</v>
      </c>
      <c r="AW108" s="2">
        <v>0</v>
      </c>
      <c r="AX108" s="2" t="s">
        <v>1660</v>
      </c>
      <c r="AY108" s="2">
        <v>0</v>
      </c>
      <c r="AZ108" s="2" t="s">
        <v>1660</v>
      </c>
      <c r="BA108" s="2">
        <v>0</v>
      </c>
      <c r="BB108" s="2">
        <v>0</v>
      </c>
      <c r="BC108" s="2" t="s">
        <v>32</v>
      </c>
      <c r="BD108" s="2">
        <v>0</v>
      </c>
      <c r="BE108" s="2" t="s">
        <v>32</v>
      </c>
      <c r="BF108" s="2">
        <v>0</v>
      </c>
      <c r="BG108" s="2" t="s">
        <v>32</v>
      </c>
      <c r="BH108" s="2">
        <v>0</v>
      </c>
      <c r="BI108" s="2" t="s">
        <v>32</v>
      </c>
      <c r="BJ108" s="2" t="s">
        <v>32</v>
      </c>
      <c r="BK108" s="2" t="s">
        <v>32</v>
      </c>
      <c r="BL108" s="2">
        <v>0</v>
      </c>
      <c r="BM108" s="2" t="s">
        <v>32</v>
      </c>
      <c r="BN108" s="2" t="s">
        <v>32</v>
      </c>
      <c r="BO108" s="2" t="s">
        <v>32</v>
      </c>
      <c r="BP108" s="2">
        <v>0</v>
      </c>
      <c r="BQ108" s="2" t="s">
        <v>32</v>
      </c>
      <c r="BR108" s="2">
        <v>0</v>
      </c>
      <c r="BS108" s="2" t="s">
        <v>1658</v>
      </c>
      <c r="BT108" s="2">
        <v>92</v>
      </c>
      <c r="BU108" s="2">
        <v>510</v>
      </c>
      <c r="BV108" s="2" t="s">
        <v>1660</v>
      </c>
      <c r="BW108" s="2"/>
      <c r="BX108" s="2"/>
      <c r="BY108" s="2" t="s">
        <v>1807</v>
      </c>
      <c r="BZ108" s="2" t="b">
        <f>OR( (Dashboard[[#This Row],[ref_as_hh]]&gt;=1),(Dashboard[[#This Row],[ret_as_hh]] &gt;=1), (Dashboard[[#This Row],[idp_as_hh]]&gt;=1))</f>
        <v>0</v>
      </c>
      <c r="CA108" s="2">
        <f>Dashboard[[#This Row],[ret_hi_hh]]</f>
        <v>0</v>
      </c>
      <c r="CB108" s="2">
        <f>Dashboard[[#This Row],[idp_fa_hh]]+Dashboard[[#This Row],[ref_fa_hh]]+Dashboard[[#This Row],[ret_fa_hh]]</f>
        <v>8</v>
      </c>
      <c r="CC108" s="2">
        <f>Dashboard[[#This Row],[idp_loc_hh]]+Dashboard[[#This Row],[ref_loc_hh]]+Dashboard[[#This Row],[ret_loc_hh]]</f>
        <v>0</v>
      </c>
      <c r="CD108" s="2">
        <f>Dashboard[[#This Row],[idp_cc_hh]]+Dashboard[[#This Row],[ref_cc_hh]]+Dashboard[[#This Row],[ret_cc_hh]]</f>
        <v>0</v>
      </c>
      <c r="CE108" s="2">
        <f>Dashboard[[#This Row],[idp_as_hh]]+Dashboard[[#This Row],[ref_as_hh]]+Dashboard[[#This Row],[ret_as_hh]]</f>
        <v>0</v>
      </c>
      <c r="CF108" s="2">
        <f>Dashboard[[#This Row],[idp_al_hh]]+Dashboard[[#This Row],[ref_al_hh]]+Dashboard[[#This Row],[ret_al_hh]]</f>
        <v>0</v>
      </c>
    </row>
    <row r="109" spans="1:84" hidden="1" x14ac:dyDescent="0.25">
      <c r="A109" s="27">
        <v>121</v>
      </c>
      <c r="B109" s="2" t="s">
        <v>22</v>
      </c>
      <c r="C109" s="2" t="s">
        <v>23</v>
      </c>
      <c r="D109" s="2" t="s">
        <v>85</v>
      </c>
      <c r="E109" s="2" t="s">
        <v>84</v>
      </c>
      <c r="F109" s="2" t="s">
        <v>88</v>
      </c>
      <c r="G109" s="2" t="s">
        <v>89</v>
      </c>
      <c r="H109" s="2" t="s">
        <v>1808</v>
      </c>
      <c r="I109" s="2" t="s">
        <v>1809</v>
      </c>
      <c r="J109" s="2" t="s">
        <v>2316</v>
      </c>
      <c r="K109" s="2" t="s">
        <v>2317</v>
      </c>
      <c r="L109" s="2" t="s">
        <v>2074</v>
      </c>
      <c r="M109" s="2">
        <v>410</v>
      </c>
      <c r="N109" s="2" t="s">
        <v>1658</v>
      </c>
      <c r="O109" s="2">
        <v>10</v>
      </c>
      <c r="P109" s="2">
        <v>44</v>
      </c>
      <c r="Q109" s="2" t="s">
        <v>1658</v>
      </c>
      <c r="R109" s="2">
        <v>10</v>
      </c>
      <c r="S109" s="2" t="s">
        <v>1660</v>
      </c>
      <c r="T109" s="2">
        <v>0</v>
      </c>
      <c r="U109" s="2" t="s">
        <v>32</v>
      </c>
      <c r="V109" s="2" t="s">
        <v>32</v>
      </c>
      <c r="W109" s="2" t="s">
        <v>1660</v>
      </c>
      <c r="X109" s="2">
        <v>0</v>
      </c>
      <c r="Y109" s="2" t="s">
        <v>32</v>
      </c>
      <c r="Z109" s="2" t="s">
        <v>32</v>
      </c>
      <c r="AA109" s="2" t="s">
        <v>1660</v>
      </c>
      <c r="AB109" s="2">
        <v>0</v>
      </c>
      <c r="AC109" s="2" t="s">
        <v>1660</v>
      </c>
      <c r="AD109" s="2">
        <v>0</v>
      </c>
      <c r="AE109" s="2" t="s">
        <v>1660</v>
      </c>
      <c r="AF109" s="2">
        <v>0</v>
      </c>
      <c r="AG109" s="2">
        <v>0</v>
      </c>
      <c r="AH109" s="2" t="s">
        <v>32</v>
      </c>
      <c r="AI109" s="2" t="s">
        <v>32</v>
      </c>
      <c r="AJ109" s="2" t="s">
        <v>32</v>
      </c>
      <c r="AK109" s="2" t="s">
        <v>32</v>
      </c>
      <c r="AL109" s="2" t="s">
        <v>32</v>
      </c>
      <c r="AM109" s="2">
        <v>0</v>
      </c>
      <c r="AN109" s="2" t="s">
        <v>32</v>
      </c>
      <c r="AO109" s="2">
        <v>0</v>
      </c>
      <c r="AP109" s="2" t="s">
        <v>32</v>
      </c>
      <c r="AQ109" s="2" t="s">
        <v>32</v>
      </c>
      <c r="AR109" s="2" t="s">
        <v>32</v>
      </c>
      <c r="AS109" s="2">
        <v>0</v>
      </c>
      <c r="AT109" s="2" t="s">
        <v>32</v>
      </c>
      <c r="AU109" s="2" t="s">
        <v>32</v>
      </c>
      <c r="AV109" s="2" t="s">
        <v>32</v>
      </c>
      <c r="AW109" s="2">
        <v>0</v>
      </c>
      <c r="AX109" s="2" t="s">
        <v>32</v>
      </c>
      <c r="AY109" s="2">
        <v>0</v>
      </c>
      <c r="AZ109" s="2" t="s">
        <v>1658</v>
      </c>
      <c r="BA109" s="2">
        <v>9</v>
      </c>
      <c r="BB109" s="2">
        <v>37</v>
      </c>
      <c r="BC109" s="2" t="s">
        <v>1658</v>
      </c>
      <c r="BD109" s="2">
        <v>1</v>
      </c>
      <c r="BE109" s="2" t="s">
        <v>1658</v>
      </c>
      <c r="BF109" s="2">
        <v>8</v>
      </c>
      <c r="BG109" s="2" t="s">
        <v>1660</v>
      </c>
      <c r="BH109" s="2">
        <v>0</v>
      </c>
      <c r="BI109" s="2" t="s">
        <v>32</v>
      </c>
      <c r="BJ109" s="2" t="s">
        <v>32</v>
      </c>
      <c r="BK109" s="2" t="s">
        <v>1660</v>
      </c>
      <c r="BL109" s="2">
        <v>0</v>
      </c>
      <c r="BM109" s="2" t="s">
        <v>32</v>
      </c>
      <c r="BN109" s="2" t="s">
        <v>32</v>
      </c>
      <c r="BO109" s="2" t="s">
        <v>1660</v>
      </c>
      <c r="BP109" s="2">
        <v>0</v>
      </c>
      <c r="BQ109" s="2" t="s">
        <v>1660</v>
      </c>
      <c r="BR109" s="2">
        <v>0</v>
      </c>
      <c r="BS109" s="2" t="s">
        <v>1660</v>
      </c>
      <c r="BT109" s="2">
        <v>0</v>
      </c>
      <c r="BU109" s="2">
        <v>0</v>
      </c>
      <c r="BV109" s="2" t="s">
        <v>1660</v>
      </c>
      <c r="BW109" s="2"/>
      <c r="BX109" s="2"/>
      <c r="BY109" s="2" t="s">
        <v>1807</v>
      </c>
      <c r="BZ109" s="2" t="b">
        <f>OR( (Dashboard[[#This Row],[ref_as_hh]]&gt;=1),(Dashboard[[#This Row],[ret_as_hh]] &gt;=1), (Dashboard[[#This Row],[idp_as_hh]]&gt;=1))</f>
        <v>0</v>
      </c>
      <c r="CA109" s="2">
        <f>Dashboard[[#This Row],[ret_hi_hh]]</f>
        <v>1</v>
      </c>
      <c r="CB109" s="2">
        <f>Dashboard[[#This Row],[idp_fa_hh]]+Dashboard[[#This Row],[ref_fa_hh]]+Dashboard[[#This Row],[ret_fa_hh]]</f>
        <v>18</v>
      </c>
      <c r="CC109" s="2">
        <f>Dashboard[[#This Row],[idp_loc_hh]]+Dashboard[[#This Row],[ref_loc_hh]]+Dashboard[[#This Row],[ret_loc_hh]]</f>
        <v>0</v>
      </c>
      <c r="CD109" s="2">
        <f>Dashboard[[#This Row],[idp_cc_hh]]+Dashboard[[#This Row],[ref_cc_hh]]+Dashboard[[#This Row],[ret_cc_hh]]</f>
        <v>0</v>
      </c>
      <c r="CE109" s="2">
        <f>Dashboard[[#This Row],[idp_as_hh]]+Dashboard[[#This Row],[ref_as_hh]]+Dashboard[[#This Row],[ret_as_hh]]</f>
        <v>0</v>
      </c>
      <c r="CF109" s="2">
        <f>Dashboard[[#This Row],[idp_al_hh]]+Dashboard[[#This Row],[ref_al_hh]]+Dashboard[[#This Row],[ret_al_hh]]</f>
        <v>0</v>
      </c>
    </row>
    <row r="110" spans="1:84" hidden="1" x14ac:dyDescent="0.25">
      <c r="A110" s="27">
        <v>122</v>
      </c>
      <c r="B110" s="2" t="s">
        <v>22</v>
      </c>
      <c r="C110" s="2" t="s">
        <v>23</v>
      </c>
      <c r="D110" s="2" t="s">
        <v>85</v>
      </c>
      <c r="E110" s="2" t="s">
        <v>84</v>
      </c>
      <c r="F110" s="2" t="s">
        <v>88</v>
      </c>
      <c r="G110" s="2" t="s">
        <v>89</v>
      </c>
      <c r="H110" s="2" t="s">
        <v>1558</v>
      </c>
      <c r="I110" s="2" t="s">
        <v>669</v>
      </c>
      <c r="J110" s="2" t="s">
        <v>2312</v>
      </c>
      <c r="K110" s="2" t="s">
        <v>2313</v>
      </c>
      <c r="L110" s="2" t="s">
        <v>2074</v>
      </c>
      <c r="M110" s="2">
        <v>396</v>
      </c>
      <c r="N110" s="2" t="s">
        <v>1658</v>
      </c>
      <c r="O110" s="2">
        <v>1</v>
      </c>
      <c r="P110" s="2">
        <v>7</v>
      </c>
      <c r="Q110" s="2" t="s">
        <v>1658</v>
      </c>
      <c r="R110" s="2">
        <v>1</v>
      </c>
      <c r="S110" s="2" t="s">
        <v>1660</v>
      </c>
      <c r="T110" s="2">
        <v>0</v>
      </c>
      <c r="U110" s="2" t="s">
        <v>32</v>
      </c>
      <c r="V110" s="2" t="s">
        <v>32</v>
      </c>
      <c r="W110" s="2" t="s">
        <v>1660</v>
      </c>
      <c r="X110" s="2">
        <v>0</v>
      </c>
      <c r="Y110" s="2" t="s">
        <v>32</v>
      </c>
      <c r="Z110" s="2" t="s">
        <v>32</v>
      </c>
      <c r="AA110" s="2" t="s">
        <v>1660</v>
      </c>
      <c r="AB110" s="2">
        <v>0</v>
      </c>
      <c r="AC110" s="2" t="s">
        <v>1660</v>
      </c>
      <c r="AD110" s="2">
        <v>0</v>
      </c>
      <c r="AE110" s="2" t="s">
        <v>1660</v>
      </c>
      <c r="AF110" s="2">
        <v>0</v>
      </c>
      <c r="AG110" s="2">
        <v>0</v>
      </c>
      <c r="AH110" s="2" t="s">
        <v>32</v>
      </c>
      <c r="AI110" s="2" t="s">
        <v>32</v>
      </c>
      <c r="AJ110" s="2" t="s">
        <v>32</v>
      </c>
      <c r="AK110" s="2" t="s">
        <v>32</v>
      </c>
      <c r="AL110" s="2" t="s">
        <v>32</v>
      </c>
      <c r="AM110" s="2">
        <v>0</v>
      </c>
      <c r="AN110" s="2" t="s">
        <v>32</v>
      </c>
      <c r="AO110" s="2">
        <v>0</v>
      </c>
      <c r="AP110" s="2" t="s">
        <v>32</v>
      </c>
      <c r="AQ110" s="2" t="s">
        <v>32</v>
      </c>
      <c r="AR110" s="2" t="s">
        <v>32</v>
      </c>
      <c r="AS110" s="2">
        <v>0</v>
      </c>
      <c r="AT110" s="2" t="s">
        <v>32</v>
      </c>
      <c r="AU110" s="2" t="s">
        <v>32</v>
      </c>
      <c r="AV110" s="2" t="s">
        <v>32</v>
      </c>
      <c r="AW110" s="2">
        <v>0</v>
      </c>
      <c r="AX110" s="2" t="s">
        <v>32</v>
      </c>
      <c r="AY110" s="2">
        <v>0</v>
      </c>
      <c r="AZ110" s="2" t="s">
        <v>1658</v>
      </c>
      <c r="BA110" s="2">
        <v>7</v>
      </c>
      <c r="BB110" s="2">
        <v>67</v>
      </c>
      <c r="BC110" s="2" t="s">
        <v>1658</v>
      </c>
      <c r="BD110" s="2">
        <v>2</v>
      </c>
      <c r="BE110" s="2" t="s">
        <v>1658</v>
      </c>
      <c r="BF110" s="2">
        <v>5</v>
      </c>
      <c r="BG110" s="2" t="s">
        <v>1660</v>
      </c>
      <c r="BH110" s="2">
        <v>0</v>
      </c>
      <c r="BI110" s="2" t="s">
        <v>32</v>
      </c>
      <c r="BJ110" s="2" t="s">
        <v>32</v>
      </c>
      <c r="BK110" s="2" t="s">
        <v>1660</v>
      </c>
      <c r="BL110" s="2">
        <v>0</v>
      </c>
      <c r="BM110" s="2" t="s">
        <v>32</v>
      </c>
      <c r="BN110" s="2" t="s">
        <v>32</v>
      </c>
      <c r="BO110" s="2" t="s">
        <v>1660</v>
      </c>
      <c r="BP110" s="2">
        <v>0</v>
      </c>
      <c r="BQ110" s="2" t="s">
        <v>1660</v>
      </c>
      <c r="BR110" s="2">
        <v>0</v>
      </c>
      <c r="BS110" s="2" t="s">
        <v>1660</v>
      </c>
      <c r="BT110" s="2">
        <v>0</v>
      </c>
      <c r="BU110" s="2">
        <v>0</v>
      </c>
      <c r="BV110" s="2" t="s">
        <v>1660</v>
      </c>
      <c r="BW110" s="2"/>
      <c r="BX110" s="2"/>
      <c r="BY110" s="2" t="s">
        <v>1807</v>
      </c>
      <c r="BZ110" s="2" t="b">
        <f>OR( (Dashboard[[#This Row],[ref_as_hh]]&gt;=1),(Dashboard[[#This Row],[ret_as_hh]] &gt;=1), (Dashboard[[#This Row],[idp_as_hh]]&gt;=1))</f>
        <v>0</v>
      </c>
      <c r="CA110" s="2">
        <f>Dashboard[[#This Row],[ret_hi_hh]]</f>
        <v>2</v>
      </c>
      <c r="CB110" s="2">
        <f>Dashboard[[#This Row],[idp_fa_hh]]+Dashboard[[#This Row],[ref_fa_hh]]+Dashboard[[#This Row],[ret_fa_hh]]</f>
        <v>6</v>
      </c>
      <c r="CC110" s="2">
        <f>Dashboard[[#This Row],[idp_loc_hh]]+Dashboard[[#This Row],[ref_loc_hh]]+Dashboard[[#This Row],[ret_loc_hh]]</f>
        <v>0</v>
      </c>
      <c r="CD110" s="2">
        <f>Dashboard[[#This Row],[idp_cc_hh]]+Dashboard[[#This Row],[ref_cc_hh]]+Dashboard[[#This Row],[ret_cc_hh]]</f>
        <v>0</v>
      </c>
      <c r="CE110" s="2">
        <f>Dashboard[[#This Row],[idp_as_hh]]+Dashboard[[#This Row],[ref_as_hh]]+Dashboard[[#This Row],[ret_as_hh]]</f>
        <v>0</v>
      </c>
      <c r="CF110" s="2">
        <f>Dashboard[[#This Row],[idp_al_hh]]+Dashboard[[#This Row],[ref_al_hh]]+Dashboard[[#This Row],[ret_al_hh]]</f>
        <v>0</v>
      </c>
    </row>
    <row r="111" spans="1:84" hidden="1" x14ac:dyDescent="0.25">
      <c r="A111" s="27">
        <v>123</v>
      </c>
      <c r="B111" s="2" t="s">
        <v>22</v>
      </c>
      <c r="C111" s="2" t="s">
        <v>23</v>
      </c>
      <c r="D111" s="2" t="s">
        <v>85</v>
      </c>
      <c r="E111" s="2" t="s">
        <v>84</v>
      </c>
      <c r="F111" s="2" t="s">
        <v>88</v>
      </c>
      <c r="G111" s="2" t="s">
        <v>89</v>
      </c>
      <c r="H111" s="2" t="s">
        <v>917</v>
      </c>
      <c r="I111" s="2" t="s">
        <v>108</v>
      </c>
      <c r="J111" s="2" t="s">
        <v>2318</v>
      </c>
      <c r="K111" s="2" t="s">
        <v>2319</v>
      </c>
      <c r="L111" s="2" t="s">
        <v>2074</v>
      </c>
      <c r="M111" s="2">
        <v>792</v>
      </c>
      <c r="N111" s="2" t="s">
        <v>1658</v>
      </c>
      <c r="O111" s="2">
        <v>1</v>
      </c>
      <c r="P111" s="2">
        <v>4</v>
      </c>
      <c r="Q111" s="2" t="s">
        <v>1658</v>
      </c>
      <c r="R111" s="2">
        <v>1</v>
      </c>
      <c r="S111" s="2" t="s">
        <v>1660</v>
      </c>
      <c r="T111" s="2">
        <v>0</v>
      </c>
      <c r="U111" s="2" t="s">
        <v>32</v>
      </c>
      <c r="V111" s="2" t="s">
        <v>32</v>
      </c>
      <c r="W111" s="2" t="s">
        <v>1660</v>
      </c>
      <c r="X111" s="2">
        <v>0</v>
      </c>
      <c r="Y111" s="2" t="s">
        <v>32</v>
      </c>
      <c r="Z111" s="2" t="s">
        <v>32</v>
      </c>
      <c r="AA111" s="2" t="s">
        <v>1660</v>
      </c>
      <c r="AB111" s="2">
        <v>0</v>
      </c>
      <c r="AC111" s="2" t="s">
        <v>1660</v>
      </c>
      <c r="AD111" s="2">
        <v>0</v>
      </c>
      <c r="AE111" s="2" t="s">
        <v>1660</v>
      </c>
      <c r="AF111" s="2">
        <v>0</v>
      </c>
      <c r="AG111" s="2">
        <v>0</v>
      </c>
      <c r="AH111" s="2" t="s">
        <v>32</v>
      </c>
      <c r="AI111" s="2" t="s">
        <v>32</v>
      </c>
      <c r="AJ111" s="2" t="s">
        <v>32</v>
      </c>
      <c r="AK111" s="2" t="s">
        <v>32</v>
      </c>
      <c r="AL111" s="2" t="s">
        <v>32</v>
      </c>
      <c r="AM111" s="2">
        <v>0</v>
      </c>
      <c r="AN111" s="2" t="s">
        <v>32</v>
      </c>
      <c r="AO111" s="2">
        <v>0</v>
      </c>
      <c r="AP111" s="2" t="s">
        <v>32</v>
      </c>
      <c r="AQ111" s="2" t="s">
        <v>32</v>
      </c>
      <c r="AR111" s="2" t="s">
        <v>32</v>
      </c>
      <c r="AS111" s="2">
        <v>0</v>
      </c>
      <c r="AT111" s="2" t="s">
        <v>32</v>
      </c>
      <c r="AU111" s="2" t="s">
        <v>32</v>
      </c>
      <c r="AV111" s="2" t="s">
        <v>32</v>
      </c>
      <c r="AW111" s="2">
        <v>0</v>
      </c>
      <c r="AX111" s="2" t="s">
        <v>32</v>
      </c>
      <c r="AY111" s="2">
        <v>0</v>
      </c>
      <c r="AZ111" s="2" t="s">
        <v>1658</v>
      </c>
      <c r="BA111" s="2">
        <v>7</v>
      </c>
      <c r="BB111" s="2">
        <v>58</v>
      </c>
      <c r="BC111" s="2" t="s">
        <v>1660</v>
      </c>
      <c r="BD111" s="2">
        <v>0</v>
      </c>
      <c r="BE111" s="2" t="s">
        <v>1658</v>
      </c>
      <c r="BF111" s="2">
        <v>7</v>
      </c>
      <c r="BG111" s="2" t="s">
        <v>1660</v>
      </c>
      <c r="BH111" s="2">
        <v>0</v>
      </c>
      <c r="BI111" s="2" t="s">
        <v>32</v>
      </c>
      <c r="BJ111" s="2" t="s">
        <v>32</v>
      </c>
      <c r="BK111" s="2" t="s">
        <v>1660</v>
      </c>
      <c r="BL111" s="2">
        <v>0</v>
      </c>
      <c r="BM111" s="2" t="s">
        <v>32</v>
      </c>
      <c r="BN111" s="2" t="s">
        <v>32</v>
      </c>
      <c r="BO111" s="2" t="s">
        <v>1660</v>
      </c>
      <c r="BP111" s="2">
        <v>0</v>
      </c>
      <c r="BQ111" s="2" t="s">
        <v>1660</v>
      </c>
      <c r="BR111" s="2">
        <v>0</v>
      </c>
      <c r="BS111" s="2" t="s">
        <v>1660</v>
      </c>
      <c r="BT111" s="2">
        <v>0</v>
      </c>
      <c r="BU111" s="2">
        <v>0</v>
      </c>
      <c r="BV111" s="2" t="s">
        <v>1660</v>
      </c>
      <c r="BW111" s="2"/>
      <c r="BX111" s="2"/>
      <c r="BY111" s="2" t="s">
        <v>1807</v>
      </c>
      <c r="BZ111" s="2" t="b">
        <f>OR( (Dashboard[[#This Row],[ref_as_hh]]&gt;=1),(Dashboard[[#This Row],[ret_as_hh]] &gt;=1), (Dashboard[[#This Row],[idp_as_hh]]&gt;=1))</f>
        <v>0</v>
      </c>
      <c r="CA111" s="2">
        <f>Dashboard[[#This Row],[ret_hi_hh]]</f>
        <v>0</v>
      </c>
      <c r="CB111" s="2">
        <f>Dashboard[[#This Row],[idp_fa_hh]]+Dashboard[[#This Row],[ref_fa_hh]]+Dashboard[[#This Row],[ret_fa_hh]]</f>
        <v>8</v>
      </c>
      <c r="CC111" s="2">
        <f>Dashboard[[#This Row],[idp_loc_hh]]+Dashboard[[#This Row],[ref_loc_hh]]+Dashboard[[#This Row],[ret_loc_hh]]</f>
        <v>0</v>
      </c>
      <c r="CD111" s="2">
        <f>Dashboard[[#This Row],[idp_cc_hh]]+Dashboard[[#This Row],[ref_cc_hh]]+Dashboard[[#This Row],[ret_cc_hh]]</f>
        <v>0</v>
      </c>
      <c r="CE111" s="2">
        <f>Dashboard[[#This Row],[idp_as_hh]]+Dashboard[[#This Row],[ref_as_hh]]+Dashboard[[#This Row],[ret_as_hh]]</f>
        <v>0</v>
      </c>
      <c r="CF111" s="2">
        <f>Dashboard[[#This Row],[idp_al_hh]]+Dashboard[[#This Row],[ref_al_hh]]+Dashboard[[#This Row],[ret_al_hh]]</f>
        <v>0</v>
      </c>
    </row>
    <row r="112" spans="1:84" hidden="1" x14ac:dyDescent="0.25">
      <c r="A112" s="27">
        <v>124</v>
      </c>
      <c r="B112" s="2" t="s">
        <v>22</v>
      </c>
      <c r="C112" s="2" t="s">
        <v>23</v>
      </c>
      <c r="D112" s="2" t="s">
        <v>85</v>
      </c>
      <c r="E112" s="2" t="s">
        <v>84</v>
      </c>
      <c r="F112" s="2" t="s">
        <v>88</v>
      </c>
      <c r="G112" s="2" t="s">
        <v>89</v>
      </c>
      <c r="H112" s="2" t="s">
        <v>906</v>
      </c>
      <c r="I112" s="2" t="s">
        <v>90</v>
      </c>
      <c r="J112" s="2" t="s">
        <v>2290</v>
      </c>
      <c r="K112" s="2" t="s">
        <v>2291</v>
      </c>
      <c r="L112" s="2" t="s">
        <v>3693</v>
      </c>
      <c r="M112" s="2">
        <v>264</v>
      </c>
      <c r="N112" s="2" t="s">
        <v>1658</v>
      </c>
      <c r="O112" s="2">
        <v>10</v>
      </c>
      <c r="P112" s="2">
        <v>88</v>
      </c>
      <c r="Q112" s="2" t="s">
        <v>1658</v>
      </c>
      <c r="R112" s="2">
        <v>10</v>
      </c>
      <c r="S112" s="2" t="s">
        <v>1660</v>
      </c>
      <c r="T112" s="2">
        <v>0</v>
      </c>
      <c r="U112" s="2" t="s">
        <v>32</v>
      </c>
      <c r="V112" s="2" t="s">
        <v>32</v>
      </c>
      <c r="W112" s="2" t="s">
        <v>1660</v>
      </c>
      <c r="X112" s="2">
        <v>0</v>
      </c>
      <c r="Y112" s="2" t="s">
        <v>32</v>
      </c>
      <c r="Z112" s="2" t="s">
        <v>32</v>
      </c>
      <c r="AA112" s="2" t="s">
        <v>1660</v>
      </c>
      <c r="AB112" s="2">
        <v>0</v>
      </c>
      <c r="AC112" s="2" t="s">
        <v>1660</v>
      </c>
      <c r="AD112" s="2">
        <v>0</v>
      </c>
      <c r="AE112" s="2" t="s">
        <v>1660</v>
      </c>
      <c r="AF112" s="2">
        <v>0</v>
      </c>
      <c r="AG112" s="2">
        <v>0</v>
      </c>
      <c r="AH112" s="2" t="s">
        <v>32</v>
      </c>
      <c r="AI112" s="2" t="s">
        <v>32</v>
      </c>
      <c r="AJ112" s="2" t="s">
        <v>32</v>
      </c>
      <c r="AK112" s="2" t="s">
        <v>32</v>
      </c>
      <c r="AL112" s="2" t="s">
        <v>32</v>
      </c>
      <c r="AM112" s="2">
        <v>0</v>
      </c>
      <c r="AN112" s="2" t="s">
        <v>32</v>
      </c>
      <c r="AO112" s="2">
        <v>0</v>
      </c>
      <c r="AP112" s="2" t="s">
        <v>32</v>
      </c>
      <c r="AQ112" s="2" t="s">
        <v>32</v>
      </c>
      <c r="AR112" s="2" t="s">
        <v>32</v>
      </c>
      <c r="AS112" s="2">
        <v>0</v>
      </c>
      <c r="AT112" s="2" t="s">
        <v>32</v>
      </c>
      <c r="AU112" s="2" t="s">
        <v>32</v>
      </c>
      <c r="AV112" s="2" t="s">
        <v>32</v>
      </c>
      <c r="AW112" s="2">
        <v>0</v>
      </c>
      <c r="AX112" s="2" t="s">
        <v>32</v>
      </c>
      <c r="AY112" s="2">
        <v>0</v>
      </c>
      <c r="AZ112" s="2" t="s">
        <v>1660</v>
      </c>
      <c r="BA112" s="2">
        <v>0</v>
      </c>
      <c r="BB112" s="2">
        <v>0</v>
      </c>
      <c r="BC112" s="2" t="s">
        <v>32</v>
      </c>
      <c r="BD112" s="2">
        <v>0</v>
      </c>
      <c r="BE112" s="2" t="s">
        <v>32</v>
      </c>
      <c r="BF112" s="2">
        <v>0</v>
      </c>
      <c r="BG112" s="2" t="s">
        <v>32</v>
      </c>
      <c r="BH112" s="2">
        <v>0</v>
      </c>
      <c r="BI112" s="2" t="s">
        <v>32</v>
      </c>
      <c r="BJ112" s="2" t="s">
        <v>32</v>
      </c>
      <c r="BK112" s="2" t="s">
        <v>32</v>
      </c>
      <c r="BL112" s="2">
        <v>0</v>
      </c>
      <c r="BM112" s="2" t="s">
        <v>32</v>
      </c>
      <c r="BN112" s="2" t="s">
        <v>32</v>
      </c>
      <c r="BO112" s="2" t="s">
        <v>32</v>
      </c>
      <c r="BP112" s="2">
        <v>0</v>
      </c>
      <c r="BQ112" s="2" t="s">
        <v>32</v>
      </c>
      <c r="BR112" s="2">
        <v>0</v>
      </c>
      <c r="BS112" s="2" t="s">
        <v>1660</v>
      </c>
      <c r="BT112" s="2">
        <v>0</v>
      </c>
      <c r="BU112" s="2">
        <v>0</v>
      </c>
      <c r="BV112" s="2" t="s">
        <v>1660</v>
      </c>
      <c r="BW112" s="2"/>
      <c r="BX112" s="2"/>
      <c r="BY112" s="2" t="s">
        <v>1807</v>
      </c>
      <c r="BZ112" s="2" t="b">
        <f>OR( (Dashboard[[#This Row],[ref_as_hh]]&gt;=1),(Dashboard[[#This Row],[ret_as_hh]] &gt;=1), (Dashboard[[#This Row],[idp_as_hh]]&gt;=1))</f>
        <v>0</v>
      </c>
      <c r="CA112" s="2">
        <f>Dashboard[[#This Row],[ret_hi_hh]]</f>
        <v>0</v>
      </c>
      <c r="CB112" s="2">
        <f>Dashboard[[#This Row],[idp_fa_hh]]+Dashboard[[#This Row],[ref_fa_hh]]+Dashboard[[#This Row],[ret_fa_hh]]</f>
        <v>10</v>
      </c>
      <c r="CC112" s="2">
        <f>Dashboard[[#This Row],[idp_loc_hh]]+Dashboard[[#This Row],[ref_loc_hh]]+Dashboard[[#This Row],[ret_loc_hh]]</f>
        <v>0</v>
      </c>
      <c r="CD112" s="2">
        <f>Dashboard[[#This Row],[idp_cc_hh]]+Dashboard[[#This Row],[ref_cc_hh]]+Dashboard[[#This Row],[ret_cc_hh]]</f>
        <v>0</v>
      </c>
      <c r="CE112" s="2">
        <f>Dashboard[[#This Row],[idp_as_hh]]+Dashboard[[#This Row],[ref_as_hh]]+Dashboard[[#This Row],[ret_as_hh]]</f>
        <v>0</v>
      </c>
      <c r="CF112" s="2">
        <f>Dashboard[[#This Row],[idp_al_hh]]+Dashboard[[#This Row],[ref_al_hh]]+Dashboard[[#This Row],[ret_al_hh]]</f>
        <v>0</v>
      </c>
    </row>
    <row r="113" spans="1:84" hidden="1" x14ac:dyDescent="0.25">
      <c r="A113" s="27">
        <v>391</v>
      </c>
      <c r="B113" s="2" t="s">
        <v>22</v>
      </c>
      <c r="C113" s="2" t="s">
        <v>23</v>
      </c>
      <c r="D113" s="2" t="s">
        <v>85</v>
      </c>
      <c r="E113" s="2" t="s">
        <v>84</v>
      </c>
      <c r="F113" s="2" t="s">
        <v>88</v>
      </c>
      <c r="G113" s="2" t="s">
        <v>89</v>
      </c>
      <c r="H113" s="2" t="s">
        <v>1498</v>
      </c>
      <c r="I113" s="2" t="s">
        <v>621</v>
      </c>
      <c r="J113" s="2" t="s">
        <v>2314</v>
      </c>
      <c r="K113" s="2" t="s">
        <v>2315</v>
      </c>
      <c r="L113" s="2" t="s">
        <v>2074</v>
      </c>
      <c r="M113" s="2">
        <v>575</v>
      </c>
      <c r="N113" s="2" t="s">
        <v>1660</v>
      </c>
      <c r="O113" s="2">
        <v>0</v>
      </c>
      <c r="P113" s="2">
        <v>0</v>
      </c>
      <c r="Q113" s="2" t="s">
        <v>32</v>
      </c>
      <c r="R113" s="2">
        <v>0</v>
      </c>
      <c r="S113" s="2" t="s">
        <v>32</v>
      </c>
      <c r="T113" s="2">
        <v>0</v>
      </c>
      <c r="U113" s="2" t="s">
        <v>32</v>
      </c>
      <c r="V113" s="2" t="s">
        <v>32</v>
      </c>
      <c r="W113" s="2" t="s">
        <v>32</v>
      </c>
      <c r="X113" s="2">
        <v>0</v>
      </c>
      <c r="Y113" s="2" t="s">
        <v>32</v>
      </c>
      <c r="Z113" s="2" t="s">
        <v>32</v>
      </c>
      <c r="AA113" s="2" t="s">
        <v>32</v>
      </c>
      <c r="AB113" s="2">
        <v>0</v>
      </c>
      <c r="AC113" s="2" t="s">
        <v>32</v>
      </c>
      <c r="AD113" s="2">
        <v>0</v>
      </c>
      <c r="AE113" s="2" t="s">
        <v>1660</v>
      </c>
      <c r="AF113" s="2">
        <v>0</v>
      </c>
      <c r="AG113" s="2">
        <v>0</v>
      </c>
      <c r="AH113" s="2" t="s">
        <v>32</v>
      </c>
      <c r="AI113" s="2" t="s">
        <v>32</v>
      </c>
      <c r="AJ113" s="2" t="s">
        <v>32</v>
      </c>
      <c r="AK113" s="2" t="s">
        <v>32</v>
      </c>
      <c r="AL113" s="2" t="s">
        <v>32</v>
      </c>
      <c r="AM113" s="2">
        <v>0</v>
      </c>
      <c r="AN113" s="2" t="s">
        <v>32</v>
      </c>
      <c r="AO113" s="2">
        <v>0</v>
      </c>
      <c r="AP113" s="2" t="s">
        <v>32</v>
      </c>
      <c r="AQ113" s="2" t="s">
        <v>32</v>
      </c>
      <c r="AR113" s="2" t="s">
        <v>32</v>
      </c>
      <c r="AS113" s="2">
        <v>0</v>
      </c>
      <c r="AT113" s="2" t="s">
        <v>32</v>
      </c>
      <c r="AU113" s="2" t="s">
        <v>32</v>
      </c>
      <c r="AV113" s="2" t="s">
        <v>32</v>
      </c>
      <c r="AW113" s="2">
        <v>0</v>
      </c>
      <c r="AX113" s="2" t="s">
        <v>32</v>
      </c>
      <c r="AY113" s="2">
        <v>0</v>
      </c>
      <c r="AZ113" s="2" t="s">
        <v>1660</v>
      </c>
      <c r="BA113" s="2">
        <v>0</v>
      </c>
      <c r="BB113" s="2">
        <v>0</v>
      </c>
      <c r="BC113" s="2" t="s">
        <v>32</v>
      </c>
      <c r="BD113" s="2">
        <v>0</v>
      </c>
      <c r="BE113" s="2" t="s">
        <v>32</v>
      </c>
      <c r="BF113" s="2">
        <v>0</v>
      </c>
      <c r="BG113" s="2" t="s">
        <v>32</v>
      </c>
      <c r="BH113" s="2">
        <v>0</v>
      </c>
      <c r="BI113" s="2" t="s">
        <v>32</v>
      </c>
      <c r="BJ113" s="2" t="s">
        <v>32</v>
      </c>
      <c r="BK113" s="2" t="s">
        <v>32</v>
      </c>
      <c r="BL113" s="2">
        <v>0</v>
      </c>
      <c r="BM113" s="2" t="s">
        <v>32</v>
      </c>
      <c r="BN113" s="2" t="s">
        <v>32</v>
      </c>
      <c r="BO113" s="2" t="s">
        <v>32</v>
      </c>
      <c r="BP113" s="2">
        <v>0</v>
      </c>
      <c r="BQ113" s="2" t="s">
        <v>32</v>
      </c>
      <c r="BR113" s="2">
        <v>0</v>
      </c>
      <c r="BS113" s="2" t="s">
        <v>1660</v>
      </c>
      <c r="BT113" s="2">
        <v>0</v>
      </c>
      <c r="BU113" s="2">
        <v>0</v>
      </c>
      <c r="BV113" s="2" t="s">
        <v>1660</v>
      </c>
      <c r="BW113" s="2"/>
      <c r="BX113" s="2"/>
      <c r="BY113" s="2" t="s">
        <v>1807</v>
      </c>
      <c r="BZ113" s="2" t="b">
        <f>OR( (Dashboard[[#This Row],[ref_as_hh]]&gt;=1),(Dashboard[[#This Row],[ret_as_hh]] &gt;=1), (Dashboard[[#This Row],[idp_as_hh]]&gt;=1))</f>
        <v>0</v>
      </c>
      <c r="CA113" s="2">
        <f>Dashboard[[#This Row],[ret_hi_hh]]</f>
        <v>0</v>
      </c>
      <c r="CB113" s="2">
        <f>Dashboard[[#This Row],[idp_fa_hh]]+Dashboard[[#This Row],[ref_fa_hh]]+Dashboard[[#This Row],[ret_fa_hh]]</f>
        <v>0</v>
      </c>
      <c r="CC113" s="2">
        <f>Dashboard[[#This Row],[idp_loc_hh]]+Dashboard[[#This Row],[ref_loc_hh]]+Dashboard[[#This Row],[ret_loc_hh]]</f>
        <v>0</v>
      </c>
      <c r="CD113" s="2">
        <f>Dashboard[[#This Row],[idp_cc_hh]]+Dashboard[[#This Row],[ref_cc_hh]]+Dashboard[[#This Row],[ret_cc_hh]]</f>
        <v>0</v>
      </c>
      <c r="CE113" s="2">
        <f>Dashboard[[#This Row],[idp_as_hh]]+Dashboard[[#This Row],[ref_as_hh]]+Dashboard[[#This Row],[ret_as_hh]]</f>
        <v>0</v>
      </c>
      <c r="CF113" s="2">
        <f>Dashboard[[#This Row],[idp_al_hh]]+Dashboard[[#This Row],[ref_al_hh]]+Dashboard[[#This Row],[ret_al_hh]]</f>
        <v>0</v>
      </c>
    </row>
    <row r="114" spans="1:84" x14ac:dyDescent="0.25">
      <c r="A114" s="27">
        <v>652</v>
      </c>
      <c r="B114" s="2" t="s">
        <v>22</v>
      </c>
      <c r="C114" s="2" t="s">
        <v>23</v>
      </c>
      <c r="D114" s="2" t="s">
        <v>85</v>
      </c>
      <c r="E114" s="2" t="s">
        <v>84</v>
      </c>
      <c r="F114" s="2" t="s">
        <v>88</v>
      </c>
      <c r="G114" s="2" t="s">
        <v>89</v>
      </c>
      <c r="H114" s="2" t="s">
        <v>914</v>
      </c>
      <c r="I114" s="2" t="s">
        <v>106</v>
      </c>
      <c r="J114" s="2" t="s">
        <v>2306</v>
      </c>
      <c r="K114" s="2" t="s">
        <v>2307</v>
      </c>
      <c r="L114" s="2" t="s">
        <v>2074</v>
      </c>
      <c r="M114" s="2">
        <v>10082</v>
      </c>
      <c r="N114" s="2" t="s">
        <v>1658</v>
      </c>
      <c r="O114" s="2">
        <v>62</v>
      </c>
      <c r="P114" s="2">
        <v>331</v>
      </c>
      <c r="Q114" s="2" t="s">
        <v>1658</v>
      </c>
      <c r="R114" s="2">
        <v>30</v>
      </c>
      <c r="S114" s="2" t="s">
        <v>1658</v>
      </c>
      <c r="T114" s="2">
        <v>23</v>
      </c>
      <c r="U114" s="2" t="s">
        <v>1661</v>
      </c>
      <c r="V114" s="2" t="s">
        <v>32</v>
      </c>
      <c r="W114" s="2" t="s">
        <v>1660</v>
      </c>
      <c r="X114" s="2">
        <v>0</v>
      </c>
      <c r="Y114" s="2" t="s">
        <v>32</v>
      </c>
      <c r="Z114" s="2" t="s">
        <v>32</v>
      </c>
      <c r="AA114" s="2" t="s">
        <v>1658</v>
      </c>
      <c r="AB114" s="2">
        <v>9</v>
      </c>
      <c r="AC114" s="2" t="s">
        <v>1660</v>
      </c>
      <c r="AD114" s="2">
        <v>0</v>
      </c>
      <c r="AE114" s="2" t="s">
        <v>1658</v>
      </c>
      <c r="AF114" s="2">
        <v>33</v>
      </c>
      <c r="AG114" s="2">
        <v>193</v>
      </c>
      <c r="AH114" s="2" t="s">
        <v>1660</v>
      </c>
      <c r="AI114" s="2" t="s">
        <v>32</v>
      </c>
      <c r="AJ114" s="2" t="s">
        <v>32</v>
      </c>
      <c r="AK114" s="2" t="s">
        <v>32</v>
      </c>
      <c r="AL114" s="2" t="s">
        <v>1658</v>
      </c>
      <c r="AM114" s="2">
        <v>15</v>
      </c>
      <c r="AN114" s="2" t="s">
        <v>1658</v>
      </c>
      <c r="AO114" s="2">
        <v>11</v>
      </c>
      <c r="AP114" s="2" t="s">
        <v>1661</v>
      </c>
      <c r="AQ114" s="2" t="s">
        <v>32</v>
      </c>
      <c r="AR114" s="2" t="s">
        <v>1660</v>
      </c>
      <c r="AS114" s="2">
        <v>0</v>
      </c>
      <c r="AT114" s="2" t="s">
        <v>32</v>
      </c>
      <c r="AU114" s="2" t="s">
        <v>32</v>
      </c>
      <c r="AV114" s="2" t="s">
        <v>1658</v>
      </c>
      <c r="AW114" s="2">
        <v>7</v>
      </c>
      <c r="AX114" s="2" t="s">
        <v>1660</v>
      </c>
      <c r="AY114" s="2">
        <v>0</v>
      </c>
      <c r="AZ114" s="2" t="s">
        <v>1658</v>
      </c>
      <c r="BA114" s="2">
        <v>4</v>
      </c>
      <c r="BB114" s="2">
        <v>22</v>
      </c>
      <c r="BC114" s="2" t="s">
        <v>1658</v>
      </c>
      <c r="BD114" s="2">
        <v>2</v>
      </c>
      <c r="BE114" s="2" t="s">
        <v>1658</v>
      </c>
      <c r="BF114" s="2">
        <v>2</v>
      </c>
      <c r="BG114" s="2" t="s">
        <v>1660</v>
      </c>
      <c r="BH114" s="2">
        <v>0</v>
      </c>
      <c r="BI114" s="2" t="s">
        <v>32</v>
      </c>
      <c r="BJ114" s="2" t="s">
        <v>32</v>
      </c>
      <c r="BK114" s="2" t="s">
        <v>1660</v>
      </c>
      <c r="BL114" s="2">
        <v>0</v>
      </c>
      <c r="BM114" s="2" t="s">
        <v>32</v>
      </c>
      <c r="BN114" s="2" t="s">
        <v>32</v>
      </c>
      <c r="BO114" s="2" t="s">
        <v>1660</v>
      </c>
      <c r="BP114" s="2">
        <v>0</v>
      </c>
      <c r="BQ114" s="2" t="s">
        <v>1660</v>
      </c>
      <c r="BR114" s="2">
        <v>0</v>
      </c>
      <c r="BS114" s="2" t="s">
        <v>1660</v>
      </c>
      <c r="BT114" s="2">
        <v>0</v>
      </c>
      <c r="BU114" s="2">
        <v>0</v>
      </c>
      <c r="BV114" s="2" t="s">
        <v>1660</v>
      </c>
      <c r="BW114" s="2"/>
      <c r="BX114" s="2"/>
      <c r="BY114" s="2" t="s">
        <v>1807</v>
      </c>
      <c r="BZ114" s="2" t="b">
        <f>OR( (Dashboard[[#This Row],[ref_as_hh]]&gt;=1),(Dashboard[[#This Row],[ret_as_hh]] &gt;=1), (Dashboard[[#This Row],[idp_as_hh]]&gt;=1))</f>
        <v>1</v>
      </c>
      <c r="CA114" s="2">
        <f>Dashboard[[#This Row],[ret_hi_hh]]</f>
        <v>2</v>
      </c>
      <c r="CB114" s="2">
        <f>Dashboard[[#This Row],[idp_fa_hh]]+Dashboard[[#This Row],[ref_fa_hh]]+Dashboard[[#This Row],[ret_fa_hh]]</f>
        <v>47</v>
      </c>
      <c r="CC114" s="2">
        <f>Dashboard[[#This Row],[idp_loc_hh]]+Dashboard[[#This Row],[ref_loc_hh]]+Dashboard[[#This Row],[ret_loc_hh]]</f>
        <v>34</v>
      </c>
      <c r="CD114" s="2">
        <f>Dashboard[[#This Row],[idp_cc_hh]]+Dashboard[[#This Row],[ref_cc_hh]]+Dashboard[[#This Row],[ret_cc_hh]]</f>
        <v>0</v>
      </c>
      <c r="CE114" s="2">
        <f>Dashboard[[#This Row],[idp_as_hh]]+Dashboard[[#This Row],[ref_as_hh]]+Dashboard[[#This Row],[ret_as_hh]]</f>
        <v>16</v>
      </c>
      <c r="CF114" s="2">
        <f>Dashboard[[#This Row],[idp_al_hh]]+Dashboard[[#This Row],[ref_al_hh]]+Dashboard[[#This Row],[ret_al_hh]]</f>
        <v>0</v>
      </c>
    </row>
    <row r="115" spans="1:84" hidden="1" x14ac:dyDescent="0.25">
      <c r="A115" s="27">
        <v>397</v>
      </c>
      <c r="B115" s="2" t="s">
        <v>22</v>
      </c>
      <c r="C115" s="2" t="s">
        <v>23</v>
      </c>
      <c r="D115" s="2" t="s">
        <v>85</v>
      </c>
      <c r="E115" s="2" t="s">
        <v>84</v>
      </c>
      <c r="F115" s="2" t="s">
        <v>88</v>
      </c>
      <c r="G115" s="2" t="s">
        <v>89</v>
      </c>
      <c r="H115" s="2" t="s">
        <v>907</v>
      </c>
      <c r="I115" s="2" t="s">
        <v>93</v>
      </c>
      <c r="J115" s="2" t="s">
        <v>2292</v>
      </c>
      <c r="K115" s="2" t="s">
        <v>2293</v>
      </c>
      <c r="L115" s="2" t="s">
        <v>3693</v>
      </c>
      <c r="M115" s="2">
        <v>23234</v>
      </c>
      <c r="N115" s="2" t="s">
        <v>1658</v>
      </c>
      <c r="O115" s="2">
        <v>609</v>
      </c>
      <c r="P115" s="2">
        <v>3828</v>
      </c>
      <c r="Q115" s="2" t="s">
        <v>1658</v>
      </c>
      <c r="R115" s="2">
        <v>392</v>
      </c>
      <c r="S115" s="2" t="s">
        <v>1658</v>
      </c>
      <c r="T115" s="2">
        <v>217</v>
      </c>
      <c r="U115" s="2" t="s">
        <v>1661</v>
      </c>
      <c r="V115" s="2" t="s">
        <v>32</v>
      </c>
      <c r="W115" s="2" t="s">
        <v>1660</v>
      </c>
      <c r="X115" s="2">
        <v>0</v>
      </c>
      <c r="Y115" s="2" t="s">
        <v>32</v>
      </c>
      <c r="Z115" s="2" t="s">
        <v>32</v>
      </c>
      <c r="AA115" s="2" t="s">
        <v>1660</v>
      </c>
      <c r="AB115" s="2">
        <v>0</v>
      </c>
      <c r="AC115" s="2" t="s">
        <v>1660</v>
      </c>
      <c r="AD115" s="2">
        <v>0</v>
      </c>
      <c r="AE115" s="2" t="s">
        <v>1658</v>
      </c>
      <c r="AF115" s="2">
        <v>108</v>
      </c>
      <c r="AG115" s="2">
        <v>481</v>
      </c>
      <c r="AH115" s="2" t="s">
        <v>1660</v>
      </c>
      <c r="AI115" s="2" t="s">
        <v>32</v>
      </c>
      <c r="AJ115" s="2" t="s">
        <v>32</v>
      </c>
      <c r="AK115" s="2" t="s">
        <v>32</v>
      </c>
      <c r="AL115" s="2" t="s">
        <v>1658</v>
      </c>
      <c r="AM115" s="2">
        <v>27</v>
      </c>
      <c r="AN115" s="2" t="s">
        <v>1658</v>
      </c>
      <c r="AO115" s="2">
        <v>81</v>
      </c>
      <c r="AP115" s="2" t="s">
        <v>1661</v>
      </c>
      <c r="AQ115" s="2" t="s">
        <v>32</v>
      </c>
      <c r="AR115" s="2" t="s">
        <v>1660</v>
      </c>
      <c r="AS115" s="2">
        <v>0</v>
      </c>
      <c r="AT115" s="2" t="s">
        <v>32</v>
      </c>
      <c r="AU115" s="2" t="s">
        <v>32</v>
      </c>
      <c r="AV115" s="2" t="s">
        <v>1660</v>
      </c>
      <c r="AW115" s="2">
        <v>0</v>
      </c>
      <c r="AX115" s="2" t="s">
        <v>1660</v>
      </c>
      <c r="AY115" s="2">
        <v>0</v>
      </c>
      <c r="AZ115" s="2" t="s">
        <v>1658</v>
      </c>
      <c r="BA115" s="2">
        <v>67</v>
      </c>
      <c r="BB115" s="2">
        <v>337</v>
      </c>
      <c r="BC115" s="2" t="s">
        <v>1658</v>
      </c>
      <c r="BD115" s="2">
        <v>32</v>
      </c>
      <c r="BE115" s="2" t="s">
        <v>1658</v>
      </c>
      <c r="BF115" s="2">
        <v>26</v>
      </c>
      <c r="BG115" s="2" t="s">
        <v>1658</v>
      </c>
      <c r="BH115" s="2">
        <v>9</v>
      </c>
      <c r="BI115" s="2" t="s">
        <v>1661</v>
      </c>
      <c r="BJ115" s="2" t="s">
        <v>32</v>
      </c>
      <c r="BK115" s="2" t="s">
        <v>1660</v>
      </c>
      <c r="BL115" s="2">
        <v>0</v>
      </c>
      <c r="BM115" s="2" t="s">
        <v>32</v>
      </c>
      <c r="BN115" s="2" t="s">
        <v>32</v>
      </c>
      <c r="BO115" s="2" t="s">
        <v>1660</v>
      </c>
      <c r="BP115" s="2">
        <v>0</v>
      </c>
      <c r="BQ115" s="2" t="s">
        <v>1660</v>
      </c>
      <c r="BR115" s="2">
        <v>0</v>
      </c>
      <c r="BS115" s="2" t="s">
        <v>1660</v>
      </c>
      <c r="BT115" s="2">
        <v>0</v>
      </c>
      <c r="BU115" s="2">
        <v>0</v>
      </c>
      <c r="BV115" s="2" t="s">
        <v>1660</v>
      </c>
      <c r="BW115" s="2"/>
      <c r="BX115" s="2"/>
      <c r="BY115" s="2" t="s">
        <v>1807</v>
      </c>
      <c r="BZ115" s="2" t="b">
        <f>OR( (Dashboard[[#This Row],[ref_as_hh]]&gt;=1),(Dashboard[[#This Row],[ret_as_hh]] &gt;=1), (Dashboard[[#This Row],[idp_as_hh]]&gt;=1))</f>
        <v>0</v>
      </c>
      <c r="CA115" s="2">
        <f>Dashboard[[#This Row],[ret_hi_hh]]</f>
        <v>32</v>
      </c>
      <c r="CB115" s="2">
        <f>Dashboard[[#This Row],[idp_fa_hh]]+Dashboard[[#This Row],[ref_fa_hh]]+Dashboard[[#This Row],[ret_fa_hh]]</f>
        <v>445</v>
      </c>
      <c r="CC115" s="2">
        <f>Dashboard[[#This Row],[idp_loc_hh]]+Dashboard[[#This Row],[ref_loc_hh]]+Dashboard[[#This Row],[ret_loc_hh]]</f>
        <v>307</v>
      </c>
      <c r="CD115" s="2">
        <f>Dashboard[[#This Row],[idp_cc_hh]]+Dashboard[[#This Row],[ref_cc_hh]]+Dashboard[[#This Row],[ret_cc_hh]]</f>
        <v>0</v>
      </c>
      <c r="CE115" s="2">
        <f>Dashboard[[#This Row],[idp_as_hh]]+Dashboard[[#This Row],[ref_as_hh]]+Dashboard[[#This Row],[ret_as_hh]]</f>
        <v>0</v>
      </c>
      <c r="CF115" s="2">
        <f>Dashboard[[#This Row],[idp_al_hh]]+Dashboard[[#This Row],[ref_al_hh]]+Dashboard[[#This Row],[ret_al_hh]]</f>
        <v>0</v>
      </c>
    </row>
    <row r="116" spans="1:84" hidden="1" x14ac:dyDescent="0.25">
      <c r="A116" s="27">
        <v>653</v>
      </c>
      <c r="B116" s="2" t="s">
        <v>22</v>
      </c>
      <c r="C116" s="2" t="s">
        <v>23</v>
      </c>
      <c r="D116" s="2" t="s">
        <v>85</v>
      </c>
      <c r="E116" s="2" t="s">
        <v>84</v>
      </c>
      <c r="F116" s="2" t="s">
        <v>88</v>
      </c>
      <c r="G116" s="2" t="s">
        <v>89</v>
      </c>
      <c r="H116" s="2" t="s">
        <v>911</v>
      </c>
      <c r="I116" s="2" t="s">
        <v>103</v>
      </c>
      <c r="J116" s="2" t="s">
        <v>2300</v>
      </c>
      <c r="K116" s="2" t="s">
        <v>2301</v>
      </c>
      <c r="L116" s="2" t="s">
        <v>3693</v>
      </c>
      <c r="M116" s="2">
        <v>47</v>
      </c>
      <c r="N116" s="2" t="s">
        <v>1658</v>
      </c>
      <c r="O116" s="2">
        <v>18</v>
      </c>
      <c r="P116" s="2">
        <v>145</v>
      </c>
      <c r="Q116" s="2" t="s">
        <v>1658</v>
      </c>
      <c r="R116" s="2">
        <v>18</v>
      </c>
      <c r="S116" s="2" t="s">
        <v>1660</v>
      </c>
      <c r="T116" s="2">
        <v>0</v>
      </c>
      <c r="U116" s="2" t="s">
        <v>32</v>
      </c>
      <c r="V116" s="2" t="s">
        <v>32</v>
      </c>
      <c r="W116" s="2" t="s">
        <v>1660</v>
      </c>
      <c r="X116" s="2">
        <v>0</v>
      </c>
      <c r="Y116" s="2" t="s">
        <v>32</v>
      </c>
      <c r="Z116" s="2" t="s">
        <v>32</v>
      </c>
      <c r="AA116" s="2" t="s">
        <v>1660</v>
      </c>
      <c r="AB116" s="2">
        <v>0</v>
      </c>
      <c r="AC116" s="2" t="s">
        <v>1660</v>
      </c>
      <c r="AD116" s="2">
        <v>0</v>
      </c>
      <c r="AE116" s="2" t="s">
        <v>1658</v>
      </c>
      <c r="AF116" s="2">
        <v>2</v>
      </c>
      <c r="AG116" s="2">
        <v>8</v>
      </c>
      <c r="AH116" s="2" t="s">
        <v>1660</v>
      </c>
      <c r="AI116" s="2" t="s">
        <v>32</v>
      </c>
      <c r="AJ116" s="2" t="s">
        <v>32</v>
      </c>
      <c r="AK116" s="2" t="s">
        <v>32</v>
      </c>
      <c r="AL116" s="2" t="s">
        <v>1658</v>
      </c>
      <c r="AM116" s="2">
        <v>2</v>
      </c>
      <c r="AN116" s="2" t="s">
        <v>1660</v>
      </c>
      <c r="AO116" s="2">
        <v>0</v>
      </c>
      <c r="AP116" s="2" t="s">
        <v>32</v>
      </c>
      <c r="AQ116" s="2" t="s">
        <v>32</v>
      </c>
      <c r="AR116" s="2" t="s">
        <v>1660</v>
      </c>
      <c r="AS116" s="2">
        <v>0</v>
      </c>
      <c r="AT116" s="2" t="s">
        <v>32</v>
      </c>
      <c r="AU116" s="2" t="s">
        <v>32</v>
      </c>
      <c r="AV116" s="2" t="s">
        <v>1660</v>
      </c>
      <c r="AW116" s="2">
        <v>0</v>
      </c>
      <c r="AX116" s="2" t="s">
        <v>1660</v>
      </c>
      <c r="AY116" s="2">
        <v>0</v>
      </c>
      <c r="AZ116" s="2" t="s">
        <v>1660</v>
      </c>
      <c r="BA116" s="2">
        <v>0</v>
      </c>
      <c r="BB116" s="2">
        <v>0</v>
      </c>
      <c r="BC116" s="2" t="s">
        <v>32</v>
      </c>
      <c r="BD116" s="2">
        <v>0</v>
      </c>
      <c r="BE116" s="2" t="s">
        <v>32</v>
      </c>
      <c r="BF116" s="2">
        <v>0</v>
      </c>
      <c r="BG116" s="2" t="s">
        <v>32</v>
      </c>
      <c r="BH116" s="2">
        <v>0</v>
      </c>
      <c r="BI116" s="2" t="s">
        <v>32</v>
      </c>
      <c r="BJ116" s="2" t="s">
        <v>32</v>
      </c>
      <c r="BK116" s="2" t="s">
        <v>32</v>
      </c>
      <c r="BL116" s="2">
        <v>0</v>
      </c>
      <c r="BM116" s="2" t="s">
        <v>32</v>
      </c>
      <c r="BN116" s="2" t="s">
        <v>32</v>
      </c>
      <c r="BO116" s="2" t="s">
        <v>32</v>
      </c>
      <c r="BP116" s="2">
        <v>0</v>
      </c>
      <c r="BQ116" s="2" t="s">
        <v>32</v>
      </c>
      <c r="BR116" s="2">
        <v>0</v>
      </c>
      <c r="BS116" s="2" t="s">
        <v>1660</v>
      </c>
      <c r="BT116" s="2">
        <v>0</v>
      </c>
      <c r="BU116" s="2">
        <v>0</v>
      </c>
      <c r="BV116" s="2" t="s">
        <v>1660</v>
      </c>
      <c r="BW116" s="2"/>
      <c r="BX116" s="2"/>
      <c r="BY116" s="2" t="s">
        <v>1807</v>
      </c>
      <c r="BZ116" s="2" t="b">
        <f>OR( (Dashboard[[#This Row],[ref_as_hh]]&gt;=1),(Dashboard[[#This Row],[ret_as_hh]] &gt;=1), (Dashboard[[#This Row],[idp_as_hh]]&gt;=1))</f>
        <v>0</v>
      </c>
      <c r="CA116" s="2">
        <f>Dashboard[[#This Row],[ret_hi_hh]]</f>
        <v>0</v>
      </c>
      <c r="CB116" s="2">
        <f>Dashboard[[#This Row],[idp_fa_hh]]+Dashboard[[#This Row],[ref_fa_hh]]+Dashboard[[#This Row],[ret_fa_hh]]</f>
        <v>20</v>
      </c>
      <c r="CC116" s="2">
        <f>Dashboard[[#This Row],[idp_loc_hh]]+Dashboard[[#This Row],[ref_loc_hh]]+Dashboard[[#This Row],[ret_loc_hh]]</f>
        <v>0</v>
      </c>
      <c r="CD116" s="2">
        <f>Dashboard[[#This Row],[idp_cc_hh]]+Dashboard[[#This Row],[ref_cc_hh]]+Dashboard[[#This Row],[ret_cc_hh]]</f>
        <v>0</v>
      </c>
      <c r="CE116" s="2">
        <f>Dashboard[[#This Row],[idp_as_hh]]+Dashboard[[#This Row],[ref_as_hh]]+Dashboard[[#This Row],[ret_as_hh]]</f>
        <v>0</v>
      </c>
      <c r="CF116" s="2">
        <f>Dashboard[[#This Row],[idp_al_hh]]+Dashboard[[#This Row],[ref_al_hh]]+Dashboard[[#This Row],[ret_al_hh]]</f>
        <v>0</v>
      </c>
    </row>
    <row r="117" spans="1:84" hidden="1" x14ac:dyDescent="0.25">
      <c r="A117" s="27">
        <v>410</v>
      </c>
      <c r="B117" s="2" t="s">
        <v>22</v>
      </c>
      <c r="C117" s="2" t="s">
        <v>23</v>
      </c>
      <c r="D117" s="2" t="s">
        <v>85</v>
      </c>
      <c r="E117" s="2" t="s">
        <v>84</v>
      </c>
      <c r="F117" s="2" t="s">
        <v>88</v>
      </c>
      <c r="G117" s="2" t="s">
        <v>89</v>
      </c>
      <c r="H117" s="2" t="s">
        <v>915</v>
      </c>
      <c r="I117" s="2" t="s">
        <v>107</v>
      </c>
      <c r="J117" s="2" t="s">
        <v>2308</v>
      </c>
      <c r="K117" s="2" t="s">
        <v>2309</v>
      </c>
      <c r="L117" s="2" t="s">
        <v>2074</v>
      </c>
      <c r="M117" s="2">
        <v>4614</v>
      </c>
      <c r="N117" s="2" t="s">
        <v>1658</v>
      </c>
      <c r="O117" s="2">
        <v>3</v>
      </c>
      <c r="P117" s="2">
        <v>40</v>
      </c>
      <c r="Q117" s="2" t="s">
        <v>1658</v>
      </c>
      <c r="R117" s="2">
        <v>3</v>
      </c>
      <c r="S117" s="2" t="s">
        <v>1660</v>
      </c>
      <c r="T117" s="2">
        <v>0</v>
      </c>
      <c r="U117" s="2" t="s">
        <v>32</v>
      </c>
      <c r="V117" s="2" t="s">
        <v>32</v>
      </c>
      <c r="W117" s="2" t="s">
        <v>1660</v>
      </c>
      <c r="X117" s="2">
        <v>0</v>
      </c>
      <c r="Y117" s="2" t="s">
        <v>32</v>
      </c>
      <c r="Z117" s="2" t="s">
        <v>32</v>
      </c>
      <c r="AA117" s="2" t="s">
        <v>1660</v>
      </c>
      <c r="AB117" s="2">
        <v>0</v>
      </c>
      <c r="AC117" s="2" t="s">
        <v>1660</v>
      </c>
      <c r="AD117" s="2">
        <v>0</v>
      </c>
      <c r="AE117" s="2" t="s">
        <v>1658</v>
      </c>
      <c r="AF117" s="2">
        <v>5</v>
      </c>
      <c r="AG117" s="2">
        <v>38</v>
      </c>
      <c r="AH117" s="2" t="s">
        <v>1660</v>
      </c>
      <c r="AI117" s="2" t="s">
        <v>32</v>
      </c>
      <c r="AJ117" s="2" t="s">
        <v>32</v>
      </c>
      <c r="AK117" s="2" t="s">
        <v>32</v>
      </c>
      <c r="AL117" s="2" t="s">
        <v>1658</v>
      </c>
      <c r="AM117" s="2">
        <v>5</v>
      </c>
      <c r="AN117" s="2" t="s">
        <v>1660</v>
      </c>
      <c r="AO117" s="2">
        <v>0</v>
      </c>
      <c r="AP117" s="2" t="s">
        <v>32</v>
      </c>
      <c r="AQ117" s="2" t="s">
        <v>32</v>
      </c>
      <c r="AR117" s="2" t="s">
        <v>1660</v>
      </c>
      <c r="AS117" s="2">
        <v>0</v>
      </c>
      <c r="AT117" s="2" t="s">
        <v>32</v>
      </c>
      <c r="AU117" s="2" t="s">
        <v>32</v>
      </c>
      <c r="AV117" s="2" t="s">
        <v>1660</v>
      </c>
      <c r="AW117" s="2">
        <v>0</v>
      </c>
      <c r="AX117" s="2" t="s">
        <v>1660</v>
      </c>
      <c r="AY117" s="2">
        <v>0</v>
      </c>
      <c r="AZ117" s="2" t="s">
        <v>1658</v>
      </c>
      <c r="BA117" s="2">
        <v>9</v>
      </c>
      <c r="BB117" s="2">
        <v>122</v>
      </c>
      <c r="BC117" s="2" t="s">
        <v>1658</v>
      </c>
      <c r="BD117" s="2">
        <v>2</v>
      </c>
      <c r="BE117" s="2" t="s">
        <v>1658</v>
      </c>
      <c r="BF117" s="2">
        <v>7</v>
      </c>
      <c r="BG117" s="2" t="s">
        <v>1660</v>
      </c>
      <c r="BH117" s="2">
        <v>0</v>
      </c>
      <c r="BI117" s="2" t="s">
        <v>32</v>
      </c>
      <c r="BJ117" s="2" t="s">
        <v>32</v>
      </c>
      <c r="BK117" s="2" t="s">
        <v>1660</v>
      </c>
      <c r="BL117" s="2">
        <v>0</v>
      </c>
      <c r="BM117" s="2" t="s">
        <v>32</v>
      </c>
      <c r="BN117" s="2" t="s">
        <v>32</v>
      </c>
      <c r="BO117" s="2" t="s">
        <v>1660</v>
      </c>
      <c r="BP117" s="2">
        <v>0</v>
      </c>
      <c r="BQ117" s="2" t="s">
        <v>1660</v>
      </c>
      <c r="BR117" s="2">
        <v>0</v>
      </c>
      <c r="BS117" s="2" t="s">
        <v>1658</v>
      </c>
      <c r="BT117" s="2">
        <v>15</v>
      </c>
      <c r="BU117" s="2">
        <v>145</v>
      </c>
      <c r="BV117" s="2" t="s">
        <v>1660</v>
      </c>
      <c r="BW117" s="2"/>
      <c r="BX117" s="2"/>
      <c r="BY117" s="2" t="s">
        <v>1807</v>
      </c>
      <c r="BZ117" s="2" t="b">
        <f>OR( (Dashboard[[#This Row],[ref_as_hh]]&gt;=1),(Dashboard[[#This Row],[ret_as_hh]] &gt;=1), (Dashboard[[#This Row],[idp_as_hh]]&gt;=1))</f>
        <v>0</v>
      </c>
      <c r="CA117" s="2">
        <f>Dashboard[[#This Row],[ret_hi_hh]]</f>
        <v>2</v>
      </c>
      <c r="CB117" s="2">
        <f>Dashboard[[#This Row],[idp_fa_hh]]+Dashboard[[#This Row],[ref_fa_hh]]+Dashboard[[#This Row],[ret_fa_hh]]</f>
        <v>15</v>
      </c>
      <c r="CC117" s="2">
        <f>Dashboard[[#This Row],[idp_loc_hh]]+Dashboard[[#This Row],[ref_loc_hh]]+Dashboard[[#This Row],[ret_loc_hh]]</f>
        <v>0</v>
      </c>
      <c r="CD117" s="2">
        <f>Dashboard[[#This Row],[idp_cc_hh]]+Dashboard[[#This Row],[ref_cc_hh]]+Dashboard[[#This Row],[ret_cc_hh]]</f>
        <v>0</v>
      </c>
      <c r="CE117" s="2">
        <f>Dashboard[[#This Row],[idp_as_hh]]+Dashboard[[#This Row],[ref_as_hh]]+Dashboard[[#This Row],[ret_as_hh]]</f>
        <v>0</v>
      </c>
      <c r="CF117" s="2">
        <f>Dashboard[[#This Row],[idp_al_hh]]+Dashboard[[#This Row],[ref_al_hh]]+Dashboard[[#This Row],[ret_al_hh]]</f>
        <v>0</v>
      </c>
    </row>
    <row r="118" spans="1:84" x14ac:dyDescent="0.25">
      <c r="A118" s="27">
        <v>439</v>
      </c>
      <c r="B118" s="2" t="s">
        <v>22</v>
      </c>
      <c r="C118" s="2" t="s">
        <v>23</v>
      </c>
      <c r="D118" s="2" t="s">
        <v>85</v>
      </c>
      <c r="E118" s="2" t="s">
        <v>84</v>
      </c>
      <c r="F118" s="2" t="s">
        <v>88</v>
      </c>
      <c r="G118" s="2" t="s">
        <v>89</v>
      </c>
      <c r="H118" s="2" t="s">
        <v>908</v>
      </c>
      <c r="I118" s="2" t="s">
        <v>96</v>
      </c>
      <c r="J118" s="2" t="s">
        <v>2294</v>
      </c>
      <c r="K118" s="2" t="s">
        <v>2295</v>
      </c>
      <c r="L118" s="2" t="s">
        <v>3693</v>
      </c>
      <c r="M118" s="2">
        <v>2191</v>
      </c>
      <c r="N118" s="2" t="s">
        <v>1658</v>
      </c>
      <c r="O118" s="2">
        <v>316</v>
      </c>
      <c r="P118" s="2">
        <v>2191</v>
      </c>
      <c r="Q118" s="2" t="s">
        <v>32</v>
      </c>
      <c r="R118" s="2">
        <v>0</v>
      </c>
      <c r="S118" s="2" t="s">
        <v>1660</v>
      </c>
      <c r="T118" s="2">
        <v>0</v>
      </c>
      <c r="U118" s="2" t="s">
        <v>32</v>
      </c>
      <c r="V118" s="2" t="s">
        <v>32</v>
      </c>
      <c r="W118" s="2" t="s">
        <v>1660</v>
      </c>
      <c r="X118" s="2">
        <v>0</v>
      </c>
      <c r="Y118" s="2" t="s">
        <v>32</v>
      </c>
      <c r="Z118" s="2" t="s">
        <v>32</v>
      </c>
      <c r="AA118" s="2" t="s">
        <v>1658</v>
      </c>
      <c r="AB118" s="2">
        <v>316</v>
      </c>
      <c r="AC118" s="2" t="s">
        <v>1660</v>
      </c>
      <c r="AD118" s="2">
        <v>0</v>
      </c>
      <c r="AE118" s="2" t="s">
        <v>1660</v>
      </c>
      <c r="AF118" s="2">
        <v>0</v>
      </c>
      <c r="AG118" s="2">
        <v>0</v>
      </c>
      <c r="AH118" s="2" t="s">
        <v>32</v>
      </c>
      <c r="AI118" s="2" t="s">
        <v>32</v>
      </c>
      <c r="AJ118" s="2" t="s">
        <v>32</v>
      </c>
      <c r="AK118" s="2" t="s">
        <v>32</v>
      </c>
      <c r="AL118" s="2" t="s">
        <v>32</v>
      </c>
      <c r="AM118" s="2">
        <v>0</v>
      </c>
      <c r="AN118" s="2" t="s">
        <v>32</v>
      </c>
      <c r="AO118" s="2">
        <v>0</v>
      </c>
      <c r="AP118" s="2" t="s">
        <v>32</v>
      </c>
      <c r="AQ118" s="2" t="s">
        <v>32</v>
      </c>
      <c r="AR118" s="2" t="s">
        <v>32</v>
      </c>
      <c r="AS118" s="2">
        <v>0</v>
      </c>
      <c r="AT118" s="2" t="s">
        <v>32</v>
      </c>
      <c r="AU118" s="2" t="s">
        <v>32</v>
      </c>
      <c r="AV118" s="2" t="s">
        <v>32</v>
      </c>
      <c r="AW118" s="2">
        <v>0</v>
      </c>
      <c r="AX118" s="2" t="s">
        <v>32</v>
      </c>
      <c r="AY118" s="2">
        <v>0</v>
      </c>
      <c r="AZ118" s="2" t="s">
        <v>1660</v>
      </c>
      <c r="BA118" s="2">
        <v>0</v>
      </c>
      <c r="BB118" s="2">
        <v>0</v>
      </c>
      <c r="BC118" s="2" t="s">
        <v>32</v>
      </c>
      <c r="BD118" s="2">
        <v>0</v>
      </c>
      <c r="BE118" s="2" t="s">
        <v>32</v>
      </c>
      <c r="BF118" s="2">
        <v>0</v>
      </c>
      <c r="BG118" s="2" t="s">
        <v>32</v>
      </c>
      <c r="BH118" s="2">
        <v>0</v>
      </c>
      <c r="BI118" s="2" t="s">
        <v>32</v>
      </c>
      <c r="BJ118" s="2" t="s">
        <v>32</v>
      </c>
      <c r="BK118" s="2" t="s">
        <v>32</v>
      </c>
      <c r="BL118" s="2">
        <v>0</v>
      </c>
      <c r="BM118" s="2" t="s">
        <v>32</v>
      </c>
      <c r="BN118" s="2" t="s">
        <v>32</v>
      </c>
      <c r="BO118" s="2" t="s">
        <v>32</v>
      </c>
      <c r="BP118" s="2">
        <v>0</v>
      </c>
      <c r="BQ118" s="2" t="s">
        <v>32</v>
      </c>
      <c r="BR118" s="2">
        <v>0</v>
      </c>
      <c r="BS118" s="2" t="s">
        <v>1660</v>
      </c>
      <c r="BT118" s="2">
        <v>0</v>
      </c>
      <c r="BU118" s="2">
        <v>0</v>
      </c>
      <c r="BV118" s="2" t="s">
        <v>1660</v>
      </c>
      <c r="BW118" s="2"/>
      <c r="BX118" s="2"/>
      <c r="BY118" s="2" t="s">
        <v>1807</v>
      </c>
      <c r="BZ118" s="2" t="b">
        <f>OR( (Dashboard[[#This Row],[ref_as_hh]]&gt;=1),(Dashboard[[#This Row],[ret_as_hh]] &gt;=1), (Dashboard[[#This Row],[idp_as_hh]]&gt;=1))</f>
        <v>1</v>
      </c>
      <c r="CA118" s="2">
        <f>Dashboard[[#This Row],[ret_hi_hh]]</f>
        <v>0</v>
      </c>
      <c r="CB118" s="2">
        <f>Dashboard[[#This Row],[idp_fa_hh]]+Dashboard[[#This Row],[ref_fa_hh]]+Dashboard[[#This Row],[ret_fa_hh]]</f>
        <v>0</v>
      </c>
      <c r="CC118" s="2">
        <f>Dashboard[[#This Row],[idp_loc_hh]]+Dashboard[[#This Row],[ref_loc_hh]]+Dashboard[[#This Row],[ret_loc_hh]]</f>
        <v>0</v>
      </c>
      <c r="CD118" s="2">
        <f>Dashboard[[#This Row],[idp_cc_hh]]+Dashboard[[#This Row],[ref_cc_hh]]+Dashboard[[#This Row],[ret_cc_hh]]</f>
        <v>0</v>
      </c>
      <c r="CE118" s="2">
        <f>Dashboard[[#This Row],[idp_as_hh]]+Dashboard[[#This Row],[ref_as_hh]]+Dashboard[[#This Row],[ret_as_hh]]</f>
        <v>316</v>
      </c>
      <c r="CF118" s="2">
        <f>Dashboard[[#This Row],[idp_al_hh]]+Dashboard[[#This Row],[ref_al_hh]]+Dashboard[[#This Row],[ret_al_hh]]</f>
        <v>0</v>
      </c>
    </row>
    <row r="119" spans="1:84" x14ac:dyDescent="0.25">
      <c r="A119" s="27">
        <v>456</v>
      </c>
      <c r="B119" s="2" t="s">
        <v>22</v>
      </c>
      <c r="C119" s="2" t="s">
        <v>23</v>
      </c>
      <c r="D119" s="2" t="s">
        <v>85</v>
      </c>
      <c r="E119" s="2" t="s">
        <v>84</v>
      </c>
      <c r="F119" s="2" t="s">
        <v>88</v>
      </c>
      <c r="G119" s="2" t="s">
        <v>89</v>
      </c>
      <c r="H119" s="2" t="s">
        <v>918</v>
      </c>
      <c r="I119" s="2" t="s">
        <v>767</v>
      </c>
      <c r="J119" s="2" t="s">
        <v>2320</v>
      </c>
      <c r="K119" s="2" t="s">
        <v>2321</v>
      </c>
      <c r="L119" s="2" t="s">
        <v>2074</v>
      </c>
      <c r="M119" s="2">
        <v>261</v>
      </c>
      <c r="N119" s="2" t="s">
        <v>1658</v>
      </c>
      <c r="O119" s="2">
        <v>8</v>
      </c>
      <c r="P119" s="2">
        <v>38</v>
      </c>
      <c r="Q119" s="2" t="s">
        <v>1660</v>
      </c>
      <c r="R119" s="2">
        <v>0</v>
      </c>
      <c r="S119" s="2" t="s">
        <v>1660</v>
      </c>
      <c r="T119" s="2">
        <v>0</v>
      </c>
      <c r="U119" s="2" t="s">
        <v>32</v>
      </c>
      <c r="V119" s="2" t="s">
        <v>32</v>
      </c>
      <c r="W119" s="2" t="s">
        <v>1660</v>
      </c>
      <c r="X119" s="2">
        <v>0</v>
      </c>
      <c r="Y119" s="2" t="s">
        <v>32</v>
      </c>
      <c r="Z119" s="2" t="s">
        <v>32</v>
      </c>
      <c r="AA119" s="2" t="s">
        <v>1658</v>
      </c>
      <c r="AB119" s="2">
        <v>8</v>
      </c>
      <c r="AC119" s="2" t="s">
        <v>1660</v>
      </c>
      <c r="AD119" s="2">
        <v>0</v>
      </c>
      <c r="AE119" s="2" t="s">
        <v>1658</v>
      </c>
      <c r="AF119" s="2">
        <v>9</v>
      </c>
      <c r="AG119" s="2">
        <v>39</v>
      </c>
      <c r="AH119" s="2" t="s">
        <v>1658</v>
      </c>
      <c r="AI119" s="2" t="s">
        <v>1821</v>
      </c>
      <c r="AJ119" s="2" t="s">
        <v>92</v>
      </c>
      <c r="AK119" s="2" t="s">
        <v>769</v>
      </c>
      <c r="AL119" s="2" t="s">
        <v>1660</v>
      </c>
      <c r="AM119" s="2">
        <v>0</v>
      </c>
      <c r="AN119" s="2" t="s">
        <v>1660</v>
      </c>
      <c r="AO119" s="2">
        <v>0</v>
      </c>
      <c r="AP119" s="2" t="s">
        <v>32</v>
      </c>
      <c r="AQ119" s="2" t="s">
        <v>32</v>
      </c>
      <c r="AR119" s="2" t="s">
        <v>1660</v>
      </c>
      <c r="AS119" s="2">
        <v>0</v>
      </c>
      <c r="AT119" s="2" t="s">
        <v>32</v>
      </c>
      <c r="AU119" s="2" t="s">
        <v>32</v>
      </c>
      <c r="AV119" s="2" t="s">
        <v>1658</v>
      </c>
      <c r="AW119" s="2">
        <v>9</v>
      </c>
      <c r="AX119" s="2" t="s">
        <v>1660</v>
      </c>
      <c r="AY119" s="2">
        <v>0</v>
      </c>
      <c r="AZ119" s="2" t="s">
        <v>1660</v>
      </c>
      <c r="BA119" s="2">
        <v>0</v>
      </c>
      <c r="BB119" s="2">
        <v>0</v>
      </c>
      <c r="BC119" s="2" t="s">
        <v>32</v>
      </c>
      <c r="BD119" s="2">
        <v>0</v>
      </c>
      <c r="BE119" s="2" t="s">
        <v>32</v>
      </c>
      <c r="BF119" s="2">
        <v>0</v>
      </c>
      <c r="BG119" s="2" t="s">
        <v>32</v>
      </c>
      <c r="BH119" s="2">
        <v>0</v>
      </c>
      <c r="BI119" s="2" t="s">
        <v>32</v>
      </c>
      <c r="BJ119" s="2" t="s">
        <v>32</v>
      </c>
      <c r="BK119" s="2" t="s">
        <v>32</v>
      </c>
      <c r="BL119" s="2">
        <v>0</v>
      </c>
      <c r="BM119" s="2" t="s">
        <v>32</v>
      </c>
      <c r="BN119" s="2" t="s">
        <v>32</v>
      </c>
      <c r="BO119" s="2" t="s">
        <v>32</v>
      </c>
      <c r="BP119" s="2">
        <v>0</v>
      </c>
      <c r="BQ119" s="2" t="s">
        <v>32</v>
      </c>
      <c r="BR119" s="2">
        <v>0</v>
      </c>
      <c r="BS119" s="2" t="s">
        <v>1660</v>
      </c>
      <c r="BT119" s="2">
        <v>0</v>
      </c>
      <c r="BU119" s="2">
        <v>0</v>
      </c>
      <c r="BV119" s="2" t="s">
        <v>1660</v>
      </c>
      <c r="BW119" s="2"/>
      <c r="BX119" s="2"/>
      <c r="BY119" s="2" t="s">
        <v>1807</v>
      </c>
      <c r="BZ119" s="2" t="b">
        <f>OR( (Dashboard[[#This Row],[ref_as_hh]]&gt;=1),(Dashboard[[#This Row],[ret_as_hh]] &gt;=1), (Dashboard[[#This Row],[idp_as_hh]]&gt;=1))</f>
        <v>1</v>
      </c>
      <c r="CA119" s="2">
        <f>Dashboard[[#This Row],[ret_hi_hh]]</f>
        <v>0</v>
      </c>
      <c r="CB119" s="2">
        <f>Dashboard[[#This Row],[idp_fa_hh]]+Dashboard[[#This Row],[ref_fa_hh]]+Dashboard[[#This Row],[ret_fa_hh]]</f>
        <v>0</v>
      </c>
      <c r="CC119" s="2">
        <f>Dashboard[[#This Row],[idp_loc_hh]]+Dashboard[[#This Row],[ref_loc_hh]]+Dashboard[[#This Row],[ret_loc_hh]]</f>
        <v>0</v>
      </c>
      <c r="CD119" s="2">
        <f>Dashboard[[#This Row],[idp_cc_hh]]+Dashboard[[#This Row],[ref_cc_hh]]+Dashboard[[#This Row],[ret_cc_hh]]</f>
        <v>0</v>
      </c>
      <c r="CE119" s="2">
        <f>Dashboard[[#This Row],[idp_as_hh]]+Dashboard[[#This Row],[ref_as_hh]]+Dashboard[[#This Row],[ret_as_hh]]</f>
        <v>17</v>
      </c>
      <c r="CF119" s="2">
        <f>Dashboard[[#This Row],[idp_al_hh]]+Dashboard[[#This Row],[ref_al_hh]]+Dashboard[[#This Row],[ret_al_hh]]</f>
        <v>0</v>
      </c>
    </row>
    <row r="120" spans="1:84" hidden="1" x14ac:dyDescent="0.25">
      <c r="A120" s="27">
        <v>457</v>
      </c>
      <c r="B120" s="2" t="s">
        <v>22</v>
      </c>
      <c r="C120" s="2" t="s">
        <v>23</v>
      </c>
      <c r="D120" s="2" t="s">
        <v>85</v>
      </c>
      <c r="E120" s="2" t="s">
        <v>84</v>
      </c>
      <c r="F120" s="2" t="s">
        <v>88</v>
      </c>
      <c r="G120" s="2" t="s">
        <v>89</v>
      </c>
      <c r="H120" s="2" t="s">
        <v>912</v>
      </c>
      <c r="I120" s="2" t="s">
        <v>104</v>
      </c>
      <c r="J120" s="2" t="s">
        <v>2302</v>
      </c>
      <c r="K120" s="2" t="s">
        <v>2303</v>
      </c>
      <c r="L120" s="2" t="s">
        <v>2074</v>
      </c>
      <c r="M120" s="2">
        <v>1932</v>
      </c>
      <c r="N120" s="2" t="s">
        <v>1658</v>
      </c>
      <c r="O120" s="2">
        <v>11</v>
      </c>
      <c r="P120" s="2">
        <v>74</v>
      </c>
      <c r="Q120" s="2" t="s">
        <v>1658</v>
      </c>
      <c r="R120" s="2">
        <v>10</v>
      </c>
      <c r="S120" s="2" t="s">
        <v>1658</v>
      </c>
      <c r="T120" s="2">
        <v>1</v>
      </c>
      <c r="U120" s="2" t="s">
        <v>1661</v>
      </c>
      <c r="V120" s="2" t="s">
        <v>32</v>
      </c>
      <c r="W120" s="2" t="s">
        <v>1660</v>
      </c>
      <c r="X120" s="2">
        <v>0</v>
      </c>
      <c r="Y120" s="2" t="s">
        <v>32</v>
      </c>
      <c r="Z120" s="2" t="s">
        <v>32</v>
      </c>
      <c r="AA120" s="2" t="s">
        <v>1660</v>
      </c>
      <c r="AB120" s="2">
        <v>0</v>
      </c>
      <c r="AC120" s="2" t="s">
        <v>1660</v>
      </c>
      <c r="AD120" s="2">
        <v>0</v>
      </c>
      <c r="AE120" s="2" t="s">
        <v>1658</v>
      </c>
      <c r="AF120" s="2">
        <v>2</v>
      </c>
      <c r="AG120" s="2">
        <v>10</v>
      </c>
      <c r="AH120" s="2" t="s">
        <v>1660</v>
      </c>
      <c r="AI120" s="2" t="s">
        <v>32</v>
      </c>
      <c r="AJ120" s="2" t="s">
        <v>32</v>
      </c>
      <c r="AK120" s="2" t="s">
        <v>32</v>
      </c>
      <c r="AL120" s="2" t="s">
        <v>1658</v>
      </c>
      <c r="AM120" s="2">
        <v>2</v>
      </c>
      <c r="AN120" s="2" t="s">
        <v>1660</v>
      </c>
      <c r="AO120" s="2">
        <v>0</v>
      </c>
      <c r="AP120" s="2" t="s">
        <v>32</v>
      </c>
      <c r="AQ120" s="2" t="s">
        <v>32</v>
      </c>
      <c r="AR120" s="2" t="s">
        <v>1660</v>
      </c>
      <c r="AS120" s="2">
        <v>0</v>
      </c>
      <c r="AT120" s="2" t="s">
        <v>32</v>
      </c>
      <c r="AU120" s="2" t="s">
        <v>32</v>
      </c>
      <c r="AV120" s="2" t="s">
        <v>1660</v>
      </c>
      <c r="AW120" s="2">
        <v>0</v>
      </c>
      <c r="AX120" s="2" t="s">
        <v>1660</v>
      </c>
      <c r="AY120" s="2">
        <v>0</v>
      </c>
      <c r="AZ120" s="2" t="s">
        <v>1660</v>
      </c>
      <c r="BA120" s="2">
        <v>0</v>
      </c>
      <c r="BB120" s="2">
        <v>0</v>
      </c>
      <c r="BC120" s="2" t="s">
        <v>32</v>
      </c>
      <c r="BD120" s="2">
        <v>0</v>
      </c>
      <c r="BE120" s="2" t="s">
        <v>32</v>
      </c>
      <c r="BF120" s="2">
        <v>0</v>
      </c>
      <c r="BG120" s="2" t="s">
        <v>32</v>
      </c>
      <c r="BH120" s="2">
        <v>0</v>
      </c>
      <c r="BI120" s="2" t="s">
        <v>32</v>
      </c>
      <c r="BJ120" s="2" t="s">
        <v>32</v>
      </c>
      <c r="BK120" s="2" t="s">
        <v>32</v>
      </c>
      <c r="BL120" s="2">
        <v>0</v>
      </c>
      <c r="BM120" s="2" t="s">
        <v>32</v>
      </c>
      <c r="BN120" s="2" t="s">
        <v>32</v>
      </c>
      <c r="BO120" s="2" t="s">
        <v>32</v>
      </c>
      <c r="BP120" s="2">
        <v>0</v>
      </c>
      <c r="BQ120" s="2" t="s">
        <v>32</v>
      </c>
      <c r="BR120" s="2">
        <v>0</v>
      </c>
      <c r="BS120" s="2" t="s">
        <v>1660</v>
      </c>
      <c r="BT120" s="2">
        <v>0</v>
      </c>
      <c r="BU120" s="2">
        <v>0</v>
      </c>
      <c r="BV120" s="2" t="s">
        <v>1660</v>
      </c>
      <c r="BW120" s="2"/>
      <c r="BX120" s="2"/>
      <c r="BY120" s="2" t="s">
        <v>1807</v>
      </c>
      <c r="BZ120" s="2" t="b">
        <f>OR( (Dashboard[[#This Row],[ref_as_hh]]&gt;=1),(Dashboard[[#This Row],[ret_as_hh]] &gt;=1), (Dashboard[[#This Row],[idp_as_hh]]&gt;=1))</f>
        <v>0</v>
      </c>
      <c r="CA120" s="2">
        <f>Dashboard[[#This Row],[ret_hi_hh]]</f>
        <v>0</v>
      </c>
      <c r="CB120" s="2">
        <f>Dashboard[[#This Row],[idp_fa_hh]]+Dashboard[[#This Row],[ref_fa_hh]]+Dashboard[[#This Row],[ret_fa_hh]]</f>
        <v>12</v>
      </c>
      <c r="CC120" s="2">
        <f>Dashboard[[#This Row],[idp_loc_hh]]+Dashboard[[#This Row],[ref_loc_hh]]+Dashboard[[#This Row],[ret_loc_hh]]</f>
        <v>1</v>
      </c>
      <c r="CD120" s="2">
        <f>Dashboard[[#This Row],[idp_cc_hh]]+Dashboard[[#This Row],[ref_cc_hh]]+Dashboard[[#This Row],[ret_cc_hh]]</f>
        <v>0</v>
      </c>
      <c r="CE120" s="2">
        <f>Dashboard[[#This Row],[idp_as_hh]]+Dashboard[[#This Row],[ref_as_hh]]+Dashboard[[#This Row],[ret_as_hh]]</f>
        <v>0</v>
      </c>
      <c r="CF120" s="2">
        <f>Dashboard[[#This Row],[idp_al_hh]]+Dashboard[[#This Row],[ref_al_hh]]+Dashboard[[#This Row],[ret_al_hh]]</f>
        <v>0</v>
      </c>
    </row>
    <row r="121" spans="1:84" hidden="1" x14ac:dyDescent="0.25">
      <c r="A121" s="27">
        <v>465</v>
      </c>
      <c r="B121" s="2" t="s">
        <v>22</v>
      </c>
      <c r="C121" s="2" t="s">
        <v>23</v>
      </c>
      <c r="D121" s="2" t="s">
        <v>85</v>
      </c>
      <c r="E121" s="2" t="s">
        <v>84</v>
      </c>
      <c r="F121" s="2" t="s">
        <v>88</v>
      </c>
      <c r="G121" s="2" t="s">
        <v>89</v>
      </c>
      <c r="H121" s="2" t="s">
        <v>909</v>
      </c>
      <c r="I121" s="2" t="s">
        <v>101</v>
      </c>
      <c r="J121" s="2" t="s">
        <v>2296</v>
      </c>
      <c r="K121" s="2" t="s">
        <v>2297</v>
      </c>
      <c r="L121" s="2" t="s">
        <v>2074</v>
      </c>
      <c r="M121" s="2">
        <v>447</v>
      </c>
      <c r="N121" s="2" t="s">
        <v>1658</v>
      </c>
      <c r="O121" s="2">
        <v>7</v>
      </c>
      <c r="P121" s="2">
        <v>42</v>
      </c>
      <c r="Q121" s="2" t="s">
        <v>1658</v>
      </c>
      <c r="R121" s="2">
        <v>7</v>
      </c>
      <c r="S121" s="2" t="s">
        <v>1660</v>
      </c>
      <c r="T121" s="2">
        <v>0</v>
      </c>
      <c r="U121" s="2" t="s">
        <v>32</v>
      </c>
      <c r="V121" s="2" t="s">
        <v>32</v>
      </c>
      <c r="W121" s="2" t="s">
        <v>1660</v>
      </c>
      <c r="X121" s="2">
        <v>0</v>
      </c>
      <c r="Y121" s="2" t="s">
        <v>32</v>
      </c>
      <c r="Z121" s="2" t="s">
        <v>32</v>
      </c>
      <c r="AA121" s="2" t="s">
        <v>1660</v>
      </c>
      <c r="AB121" s="2">
        <v>0</v>
      </c>
      <c r="AC121" s="2" t="s">
        <v>1660</v>
      </c>
      <c r="AD121" s="2">
        <v>0</v>
      </c>
      <c r="AE121" s="2" t="s">
        <v>1658</v>
      </c>
      <c r="AF121" s="2">
        <v>1</v>
      </c>
      <c r="AG121" s="2">
        <v>7</v>
      </c>
      <c r="AH121" s="2" t="s">
        <v>1660</v>
      </c>
      <c r="AI121" s="2" t="s">
        <v>32</v>
      </c>
      <c r="AJ121" s="2" t="s">
        <v>32</v>
      </c>
      <c r="AK121" s="2" t="s">
        <v>32</v>
      </c>
      <c r="AL121" s="2" t="s">
        <v>1658</v>
      </c>
      <c r="AM121" s="2">
        <v>1</v>
      </c>
      <c r="AN121" s="2" t="s">
        <v>1660</v>
      </c>
      <c r="AO121" s="2">
        <v>0</v>
      </c>
      <c r="AP121" s="2" t="s">
        <v>32</v>
      </c>
      <c r="AQ121" s="2" t="s">
        <v>32</v>
      </c>
      <c r="AR121" s="2" t="s">
        <v>1660</v>
      </c>
      <c r="AS121" s="2">
        <v>0</v>
      </c>
      <c r="AT121" s="2" t="s">
        <v>32</v>
      </c>
      <c r="AU121" s="2" t="s">
        <v>32</v>
      </c>
      <c r="AV121" s="2" t="s">
        <v>1660</v>
      </c>
      <c r="AW121" s="2">
        <v>0</v>
      </c>
      <c r="AX121" s="2" t="s">
        <v>1660</v>
      </c>
      <c r="AY121" s="2">
        <v>0</v>
      </c>
      <c r="AZ121" s="2" t="s">
        <v>1660</v>
      </c>
      <c r="BA121" s="2">
        <v>0</v>
      </c>
      <c r="BB121" s="2">
        <v>0</v>
      </c>
      <c r="BC121" s="2" t="s">
        <v>32</v>
      </c>
      <c r="BD121" s="2">
        <v>0</v>
      </c>
      <c r="BE121" s="2" t="s">
        <v>32</v>
      </c>
      <c r="BF121" s="2">
        <v>0</v>
      </c>
      <c r="BG121" s="2" t="s">
        <v>32</v>
      </c>
      <c r="BH121" s="2">
        <v>0</v>
      </c>
      <c r="BI121" s="2" t="s">
        <v>32</v>
      </c>
      <c r="BJ121" s="2" t="s">
        <v>32</v>
      </c>
      <c r="BK121" s="2" t="s">
        <v>32</v>
      </c>
      <c r="BL121" s="2">
        <v>0</v>
      </c>
      <c r="BM121" s="2" t="s">
        <v>32</v>
      </c>
      <c r="BN121" s="2" t="s">
        <v>32</v>
      </c>
      <c r="BO121" s="2" t="s">
        <v>32</v>
      </c>
      <c r="BP121" s="2">
        <v>0</v>
      </c>
      <c r="BQ121" s="2" t="s">
        <v>32</v>
      </c>
      <c r="BR121" s="2">
        <v>0</v>
      </c>
      <c r="BS121" s="2" t="s">
        <v>1660</v>
      </c>
      <c r="BT121" s="2">
        <v>0</v>
      </c>
      <c r="BU121" s="2">
        <v>0</v>
      </c>
      <c r="BV121" s="2" t="s">
        <v>1660</v>
      </c>
      <c r="BW121" s="2"/>
      <c r="BX121" s="2"/>
      <c r="BY121" s="2" t="s">
        <v>1807</v>
      </c>
      <c r="BZ121" s="2" t="b">
        <f>OR( (Dashboard[[#This Row],[ref_as_hh]]&gt;=1),(Dashboard[[#This Row],[ret_as_hh]] &gt;=1), (Dashboard[[#This Row],[idp_as_hh]]&gt;=1))</f>
        <v>0</v>
      </c>
      <c r="CA121" s="2">
        <f>Dashboard[[#This Row],[ret_hi_hh]]</f>
        <v>0</v>
      </c>
      <c r="CB121" s="2">
        <f>Dashboard[[#This Row],[idp_fa_hh]]+Dashboard[[#This Row],[ref_fa_hh]]+Dashboard[[#This Row],[ret_fa_hh]]</f>
        <v>8</v>
      </c>
      <c r="CC121" s="2">
        <f>Dashboard[[#This Row],[idp_loc_hh]]+Dashboard[[#This Row],[ref_loc_hh]]+Dashboard[[#This Row],[ret_loc_hh]]</f>
        <v>0</v>
      </c>
      <c r="CD121" s="2">
        <f>Dashboard[[#This Row],[idp_cc_hh]]+Dashboard[[#This Row],[ref_cc_hh]]+Dashboard[[#This Row],[ret_cc_hh]]</f>
        <v>0</v>
      </c>
      <c r="CE121" s="2">
        <f>Dashboard[[#This Row],[idp_as_hh]]+Dashboard[[#This Row],[ref_as_hh]]+Dashboard[[#This Row],[ret_as_hh]]</f>
        <v>0</v>
      </c>
      <c r="CF121" s="2">
        <f>Dashboard[[#This Row],[idp_al_hh]]+Dashboard[[#This Row],[ref_al_hh]]+Dashboard[[#This Row],[ret_al_hh]]</f>
        <v>0</v>
      </c>
    </row>
    <row r="122" spans="1:84" x14ac:dyDescent="0.25">
      <c r="A122" s="27">
        <v>273</v>
      </c>
      <c r="B122" s="2" t="s">
        <v>22</v>
      </c>
      <c r="C122" s="2" t="s">
        <v>23</v>
      </c>
      <c r="D122" s="2" t="s">
        <v>85</v>
      </c>
      <c r="E122" s="2" t="s">
        <v>84</v>
      </c>
      <c r="F122" s="2" t="s">
        <v>151</v>
      </c>
      <c r="G122" s="2" t="s">
        <v>150</v>
      </c>
      <c r="H122" s="2" t="s">
        <v>1088</v>
      </c>
      <c r="I122" s="2" t="s">
        <v>1087</v>
      </c>
      <c r="J122" s="2" t="s">
        <v>2680</v>
      </c>
      <c r="K122" s="2" t="s">
        <v>2681</v>
      </c>
      <c r="L122" s="2" t="s">
        <v>2074</v>
      </c>
      <c r="M122" s="2">
        <v>320</v>
      </c>
      <c r="N122" s="2" t="s">
        <v>1658</v>
      </c>
      <c r="O122" s="2">
        <v>4</v>
      </c>
      <c r="P122" s="2">
        <v>25</v>
      </c>
      <c r="Q122" s="2" t="s">
        <v>1660</v>
      </c>
      <c r="R122" s="2">
        <v>0</v>
      </c>
      <c r="S122" s="2" t="s">
        <v>1660</v>
      </c>
      <c r="T122" s="2">
        <v>0</v>
      </c>
      <c r="U122" s="2" t="s">
        <v>32</v>
      </c>
      <c r="V122" s="2" t="s">
        <v>32</v>
      </c>
      <c r="W122" s="2" t="s">
        <v>1660</v>
      </c>
      <c r="X122" s="2">
        <v>0</v>
      </c>
      <c r="Y122" s="2" t="s">
        <v>32</v>
      </c>
      <c r="Z122" s="2" t="s">
        <v>32</v>
      </c>
      <c r="AA122" s="2" t="s">
        <v>1658</v>
      </c>
      <c r="AB122" s="2">
        <v>4</v>
      </c>
      <c r="AC122" s="2" t="s">
        <v>1660</v>
      </c>
      <c r="AD122" s="2">
        <v>0</v>
      </c>
      <c r="AE122" s="2" t="s">
        <v>1660</v>
      </c>
      <c r="AF122" s="2">
        <v>0</v>
      </c>
      <c r="AG122" s="2">
        <v>0</v>
      </c>
      <c r="AH122" s="2" t="s">
        <v>32</v>
      </c>
      <c r="AI122" s="2" t="s">
        <v>32</v>
      </c>
      <c r="AJ122" s="2" t="s">
        <v>32</v>
      </c>
      <c r="AK122" s="2" t="s">
        <v>32</v>
      </c>
      <c r="AL122" s="2" t="s">
        <v>32</v>
      </c>
      <c r="AM122" s="2">
        <v>0</v>
      </c>
      <c r="AN122" s="2" t="s">
        <v>32</v>
      </c>
      <c r="AO122" s="2">
        <v>0</v>
      </c>
      <c r="AP122" s="2" t="s">
        <v>32</v>
      </c>
      <c r="AQ122" s="2" t="s">
        <v>32</v>
      </c>
      <c r="AR122" s="2" t="s">
        <v>32</v>
      </c>
      <c r="AS122" s="2">
        <v>0</v>
      </c>
      <c r="AT122" s="2" t="s">
        <v>32</v>
      </c>
      <c r="AU122" s="2" t="s">
        <v>32</v>
      </c>
      <c r="AV122" s="2" t="s">
        <v>32</v>
      </c>
      <c r="AW122" s="2">
        <v>0</v>
      </c>
      <c r="AX122" s="2" t="s">
        <v>32</v>
      </c>
      <c r="AY122" s="2">
        <v>0</v>
      </c>
      <c r="AZ122" s="2" t="s">
        <v>1660</v>
      </c>
      <c r="BA122" s="2">
        <v>0</v>
      </c>
      <c r="BB122" s="2">
        <v>0</v>
      </c>
      <c r="BC122" s="2" t="s">
        <v>32</v>
      </c>
      <c r="BD122" s="2">
        <v>0</v>
      </c>
      <c r="BE122" s="2" t="s">
        <v>32</v>
      </c>
      <c r="BF122" s="2">
        <v>0</v>
      </c>
      <c r="BG122" s="2" t="s">
        <v>32</v>
      </c>
      <c r="BH122" s="2">
        <v>0</v>
      </c>
      <c r="BI122" s="2" t="s">
        <v>32</v>
      </c>
      <c r="BJ122" s="2" t="s">
        <v>32</v>
      </c>
      <c r="BK122" s="2" t="s">
        <v>32</v>
      </c>
      <c r="BL122" s="2">
        <v>0</v>
      </c>
      <c r="BM122" s="2" t="s">
        <v>32</v>
      </c>
      <c r="BN122" s="2" t="s">
        <v>32</v>
      </c>
      <c r="BO122" s="2" t="s">
        <v>32</v>
      </c>
      <c r="BP122" s="2">
        <v>0</v>
      </c>
      <c r="BQ122" s="2" t="s">
        <v>32</v>
      </c>
      <c r="BR122" s="2">
        <v>0</v>
      </c>
      <c r="BS122" s="2" t="s">
        <v>1660</v>
      </c>
      <c r="BT122" s="2">
        <v>0</v>
      </c>
      <c r="BU122" s="2">
        <v>0</v>
      </c>
      <c r="BV122" s="2" t="s">
        <v>1660</v>
      </c>
      <c r="BW122" s="2"/>
      <c r="BX122" s="2"/>
      <c r="BY122" s="2" t="s">
        <v>1807</v>
      </c>
      <c r="BZ122" s="2" t="b">
        <f>OR( (Dashboard[[#This Row],[ref_as_hh]]&gt;=1),(Dashboard[[#This Row],[ret_as_hh]] &gt;=1), (Dashboard[[#This Row],[idp_as_hh]]&gt;=1))</f>
        <v>1</v>
      </c>
      <c r="CA122" s="2">
        <f>Dashboard[[#This Row],[ret_hi_hh]]</f>
        <v>0</v>
      </c>
      <c r="CB122" s="2">
        <f>Dashboard[[#This Row],[idp_fa_hh]]+Dashboard[[#This Row],[ref_fa_hh]]+Dashboard[[#This Row],[ret_fa_hh]]</f>
        <v>0</v>
      </c>
      <c r="CC122" s="2">
        <f>Dashboard[[#This Row],[idp_loc_hh]]+Dashboard[[#This Row],[ref_loc_hh]]+Dashboard[[#This Row],[ret_loc_hh]]</f>
        <v>0</v>
      </c>
      <c r="CD122" s="2">
        <f>Dashboard[[#This Row],[idp_cc_hh]]+Dashboard[[#This Row],[ref_cc_hh]]+Dashboard[[#This Row],[ret_cc_hh]]</f>
        <v>0</v>
      </c>
      <c r="CE122" s="2">
        <f>Dashboard[[#This Row],[idp_as_hh]]+Dashboard[[#This Row],[ref_as_hh]]+Dashboard[[#This Row],[ret_as_hh]]</f>
        <v>4</v>
      </c>
      <c r="CF122" s="2">
        <f>Dashboard[[#This Row],[idp_al_hh]]+Dashboard[[#This Row],[ref_al_hh]]+Dashboard[[#This Row],[ret_al_hh]]</f>
        <v>0</v>
      </c>
    </row>
    <row r="123" spans="1:84" x14ac:dyDescent="0.25">
      <c r="A123" s="27">
        <v>274</v>
      </c>
      <c r="B123" s="2" t="s">
        <v>22</v>
      </c>
      <c r="C123" s="2" t="s">
        <v>23</v>
      </c>
      <c r="D123" s="2" t="s">
        <v>85</v>
      </c>
      <c r="E123" s="2" t="s">
        <v>84</v>
      </c>
      <c r="F123" s="2" t="s">
        <v>151</v>
      </c>
      <c r="G123" s="2" t="s">
        <v>150</v>
      </c>
      <c r="H123" s="2" t="s">
        <v>1070</v>
      </c>
      <c r="I123" s="2" t="s">
        <v>1069</v>
      </c>
      <c r="J123" s="2" t="s">
        <v>2652</v>
      </c>
      <c r="K123" s="2" t="s">
        <v>2653</v>
      </c>
      <c r="L123" s="2" t="s">
        <v>2074</v>
      </c>
      <c r="M123" s="2">
        <v>450</v>
      </c>
      <c r="N123" s="2" t="s">
        <v>1658</v>
      </c>
      <c r="O123" s="2">
        <v>52</v>
      </c>
      <c r="P123" s="2">
        <v>150</v>
      </c>
      <c r="Q123" s="2" t="s">
        <v>1660</v>
      </c>
      <c r="R123" s="2">
        <v>0</v>
      </c>
      <c r="S123" s="2" t="s">
        <v>1660</v>
      </c>
      <c r="T123" s="2">
        <v>0</v>
      </c>
      <c r="U123" s="2" t="s">
        <v>32</v>
      </c>
      <c r="V123" s="2" t="s">
        <v>32</v>
      </c>
      <c r="W123" s="2" t="s">
        <v>1660</v>
      </c>
      <c r="X123" s="2">
        <v>0</v>
      </c>
      <c r="Y123" s="2" t="s">
        <v>32</v>
      </c>
      <c r="Z123" s="2" t="s">
        <v>32</v>
      </c>
      <c r="AA123" s="2" t="s">
        <v>1658</v>
      </c>
      <c r="AB123" s="2">
        <v>52</v>
      </c>
      <c r="AC123" s="2" t="s">
        <v>1660</v>
      </c>
      <c r="AD123" s="2">
        <v>0</v>
      </c>
      <c r="AE123" s="2" t="s">
        <v>1660</v>
      </c>
      <c r="AF123" s="2">
        <v>0</v>
      </c>
      <c r="AG123" s="2">
        <v>0</v>
      </c>
      <c r="AH123" s="2" t="s">
        <v>32</v>
      </c>
      <c r="AI123" s="2" t="s">
        <v>32</v>
      </c>
      <c r="AJ123" s="2" t="s">
        <v>32</v>
      </c>
      <c r="AK123" s="2" t="s">
        <v>32</v>
      </c>
      <c r="AL123" s="2" t="s">
        <v>32</v>
      </c>
      <c r="AM123" s="2">
        <v>0</v>
      </c>
      <c r="AN123" s="2" t="s">
        <v>32</v>
      </c>
      <c r="AO123" s="2">
        <v>0</v>
      </c>
      <c r="AP123" s="2" t="s">
        <v>32</v>
      </c>
      <c r="AQ123" s="2" t="s">
        <v>32</v>
      </c>
      <c r="AR123" s="2" t="s">
        <v>32</v>
      </c>
      <c r="AS123" s="2">
        <v>0</v>
      </c>
      <c r="AT123" s="2" t="s">
        <v>32</v>
      </c>
      <c r="AU123" s="2" t="s">
        <v>32</v>
      </c>
      <c r="AV123" s="2" t="s">
        <v>32</v>
      </c>
      <c r="AW123" s="2">
        <v>0</v>
      </c>
      <c r="AX123" s="2" t="s">
        <v>32</v>
      </c>
      <c r="AY123" s="2">
        <v>0</v>
      </c>
      <c r="AZ123" s="2" t="s">
        <v>1660</v>
      </c>
      <c r="BA123" s="2">
        <v>0</v>
      </c>
      <c r="BB123" s="2">
        <v>0</v>
      </c>
      <c r="BC123" s="2" t="s">
        <v>32</v>
      </c>
      <c r="BD123" s="2">
        <v>0</v>
      </c>
      <c r="BE123" s="2" t="s">
        <v>32</v>
      </c>
      <c r="BF123" s="2">
        <v>0</v>
      </c>
      <c r="BG123" s="2" t="s">
        <v>32</v>
      </c>
      <c r="BH123" s="2">
        <v>0</v>
      </c>
      <c r="BI123" s="2" t="s">
        <v>32</v>
      </c>
      <c r="BJ123" s="2" t="s">
        <v>32</v>
      </c>
      <c r="BK123" s="2" t="s">
        <v>32</v>
      </c>
      <c r="BL123" s="2">
        <v>0</v>
      </c>
      <c r="BM123" s="2" t="s">
        <v>32</v>
      </c>
      <c r="BN123" s="2" t="s">
        <v>32</v>
      </c>
      <c r="BO123" s="2" t="s">
        <v>32</v>
      </c>
      <c r="BP123" s="2">
        <v>0</v>
      </c>
      <c r="BQ123" s="2" t="s">
        <v>32</v>
      </c>
      <c r="BR123" s="2">
        <v>0</v>
      </c>
      <c r="BS123" s="2" t="s">
        <v>1660</v>
      </c>
      <c r="BT123" s="2">
        <v>0</v>
      </c>
      <c r="BU123" s="2">
        <v>0</v>
      </c>
      <c r="BV123" s="2" t="s">
        <v>1660</v>
      </c>
      <c r="BW123" s="2"/>
      <c r="BX123" s="2"/>
      <c r="BY123" s="2" t="s">
        <v>1807</v>
      </c>
      <c r="BZ123" s="2" t="b">
        <f>OR( (Dashboard[[#This Row],[ref_as_hh]]&gt;=1),(Dashboard[[#This Row],[ret_as_hh]] &gt;=1), (Dashboard[[#This Row],[idp_as_hh]]&gt;=1))</f>
        <v>1</v>
      </c>
      <c r="CA123" s="2">
        <f>Dashboard[[#This Row],[ret_hi_hh]]</f>
        <v>0</v>
      </c>
      <c r="CB123" s="2">
        <f>Dashboard[[#This Row],[idp_fa_hh]]+Dashboard[[#This Row],[ref_fa_hh]]+Dashboard[[#This Row],[ret_fa_hh]]</f>
        <v>0</v>
      </c>
      <c r="CC123" s="2">
        <f>Dashboard[[#This Row],[idp_loc_hh]]+Dashboard[[#This Row],[ref_loc_hh]]+Dashboard[[#This Row],[ret_loc_hh]]</f>
        <v>0</v>
      </c>
      <c r="CD123" s="2">
        <f>Dashboard[[#This Row],[idp_cc_hh]]+Dashboard[[#This Row],[ref_cc_hh]]+Dashboard[[#This Row],[ret_cc_hh]]</f>
        <v>0</v>
      </c>
      <c r="CE123" s="2">
        <f>Dashboard[[#This Row],[idp_as_hh]]+Dashboard[[#This Row],[ref_as_hh]]+Dashboard[[#This Row],[ret_as_hh]]</f>
        <v>52</v>
      </c>
      <c r="CF123" s="2">
        <f>Dashboard[[#This Row],[idp_al_hh]]+Dashboard[[#This Row],[ref_al_hh]]+Dashboard[[#This Row],[ret_al_hh]]</f>
        <v>0</v>
      </c>
    </row>
    <row r="124" spans="1:84" x14ac:dyDescent="0.25">
      <c r="A124" s="27">
        <v>276</v>
      </c>
      <c r="B124" s="2" t="s">
        <v>22</v>
      </c>
      <c r="C124" s="2" t="s">
        <v>23</v>
      </c>
      <c r="D124" s="2" t="s">
        <v>85</v>
      </c>
      <c r="E124" s="2" t="s">
        <v>84</v>
      </c>
      <c r="F124" s="2" t="s">
        <v>151</v>
      </c>
      <c r="G124" s="2" t="s">
        <v>150</v>
      </c>
      <c r="H124" s="2" t="s">
        <v>1079</v>
      </c>
      <c r="I124" s="2" t="s">
        <v>1078</v>
      </c>
      <c r="J124" s="2" t="s">
        <v>2662</v>
      </c>
      <c r="K124" s="2" t="s">
        <v>2663</v>
      </c>
      <c r="L124" s="2" t="s">
        <v>2074</v>
      </c>
      <c r="M124" s="2">
        <v>1005</v>
      </c>
      <c r="N124" s="2" t="s">
        <v>1658</v>
      </c>
      <c r="O124" s="2">
        <v>100</v>
      </c>
      <c r="P124" s="2">
        <v>500</v>
      </c>
      <c r="Q124" s="2" t="s">
        <v>1658</v>
      </c>
      <c r="R124" s="2">
        <v>30</v>
      </c>
      <c r="S124" s="2" t="s">
        <v>1660</v>
      </c>
      <c r="T124" s="2">
        <v>0</v>
      </c>
      <c r="U124" s="2" t="s">
        <v>32</v>
      </c>
      <c r="V124" s="2" t="s">
        <v>32</v>
      </c>
      <c r="W124" s="2" t="s">
        <v>1660</v>
      </c>
      <c r="X124" s="2">
        <v>0</v>
      </c>
      <c r="Y124" s="2" t="s">
        <v>32</v>
      </c>
      <c r="Z124" s="2" t="s">
        <v>32</v>
      </c>
      <c r="AA124" s="2" t="s">
        <v>1658</v>
      </c>
      <c r="AB124" s="2">
        <v>70</v>
      </c>
      <c r="AC124" s="2" t="s">
        <v>1660</v>
      </c>
      <c r="AD124" s="2">
        <v>0</v>
      </c>
      <c r="AE124" s="2" t="s">
        <v>1660</v>
      </c>
      <c r="AF124" s="2">
        <v>0</v>
      </c>
      <c r="AG124" s="2">
        <v>0</v>
      </c>
      <c r="AH124" s="2" t="s">
        <v>32</v>
      </c>
      <c r="AI124" s="2" t="s">
        <v>32</v>
      </c>
      <c r="AJ124" s="2" t="s">
        <v>32</v>
      </c>
      <c r="AK124" s="2" t="s">
        <v>32</v>
      </c>
      <c r="AL124" s="2" t="s">
        <v>32</v>
      </c>
      <c r="AM124" s="2">
        <v>0</v>
      </c>
      <c r="AN124" s="2" t="s">
        <v>32</v>
      </c>
      <c r="AO124" s="2">
        <v>0</v>
      </c>
      <c r="AP124" s="2" t="s">
        <v>32</v>
      </c>
      <c r="AQ124" s="2" t="s">
        <v>32</v>
      </c>
      <c r="AR124" s="2" t="s">
        <v>32</v>
      </c>
      <c r="AS124" s="2">
        <v>0</v>
      </c>
      <c r="AT124" s="2" t="s">
        <v>32</v>
      </c>
      <c r="AU124" s="2" t="s">
        <v>32</v>
      </c>
      <c r="AV124" s="2" t="s">
        <v>32</v>
      </c>
      <c r="AW124" s="2">
        <v>0</v>
      </c>
      <c r="AX124" s="2" t="s">
        <v>32</v>
      </c>
      <c r="AY124" s="2">
        <v>0</v>
      </c>
      <c r="AZ124" s="2" t="s">
        <v>1660</v>
      </c>
      <c r="BA124" s="2">
        <v>0</v>
      </c>
      <c r="BB124" s="2">
        <v>0</v>
      </c>
      <c r="BC124" s="2" t="s">
        <v>32</v>
      </c>
      <c r="BD124" s="2">
        <v>0</v>
      </c>
      <c r="BE124" s="2" t="s">
        <v>32</v>
      </c>
      <c r="BF124" s="2">
        <v>0</v>
      </c>
      <c r="BG124" s="2" t="s">
        <v>32</v>
      </c>
      <c r="BH124" s="2">
        <v>0</v>
      </c>
      <c r="BI124" s="2" t="s">
        <v>32</v>
      </c>
      <c r="BJ124" s="2" t="s">
        <v>32</v>
      </c>
      <c r="BK124" s="2" t="s">
        <v>32</v>
      </c>
      <c r="BL124" s="2">
        <v>0</v>
      </c>
      <c r="BM124" s="2" t="s">
        <v>32</v>
      </c>
      <c r="BN124" s="2" t="s">
        <v>32</v>
      </c>
      <c r="BO124" s="2" t="s">
        <v>32</v>
      </c>
      <c r="BP124" s="2">
        <v>0</v>
      </c>
      <c r="BQ124" s="2" t="s">
        <v>32</v>
      </c>
      <c r="BR124" s="2">
        <v>0</v>
      </c>
      <c r="BS124" s="2" t="s">
        <v>1660</v>
      </c>
      <c r="BT124" s="2">
        <v>0</v>
      </c>
      <c r="BU124" s="2">
        <v>0</v>
      </c>
      <c r="BV124" s="2" t="s">
        <v>1660</v>
      </c>
      <c r="BW124" s="2"/>
      <c r="BX124" s="2"/>
      <c r="BY124" s="2" t="s">
        <v>1807</v>
      </c>
      <c r="BZ124" s="2" t="b">
        <f>OR( (Dashboard[[#This Row],[ref_as_hh]]&gt;=1),(Dashboard[[#This Row],[ret_as_hh]] &gt;=1), (Dashboard[[#This Row],[idp_as_hh]]&gt;=1))</f>
        <v>1</v>
      </c>
      <c r="CA124" s="2">
        <f>Dashboard[[#This Row],[ret_hi_hh]]</f>
        <v>0</v>
      </c>
      <c r="CB124" s="2">
        <f>Dashboard[[#This Row],[idp_fa_hh]]+Dashboard[[#This Row],[ref_fa_hh]]+Dashboard[[#This Row],[ret_fa_hh]]</f>
        <v>30</v>
      </c>
      <c r="CC124" s="2">
        <f>Dashboard[[#This Row],[idp_loc_hh]]+Dashboard[[#This Row],[ref_loc_hh]]+Dashboard[[#This Row],[ret_loc_hh]]</f>
        <v>0</v>
      </c>
      <c r="CD124" s="2">
        <f>Dashboard[[#This Row],[idp_cc_hh]]+Dashboard[[#This Row],[ref_cc_hh]]+Dashboard[[#This Row],[ret_cc_hh]]</f>
        <v>0</v>
      </c>
      <c r="CE124" s="2">
        <f>Dashboard[[#This Row],[idp_as_hh]]+Dashboard[[#This Row],[ref_as_hh]]+Dashboard[[#This Row],[ret_as_hh]]</f>
        <v>70</v>
      </c>
      <c r="CF124" s="2">
        <f>Dashboard[[#This Row],[idp_al_hh]]+Dashboard[[#This Row],[ref_al_hh]]+Dashboard[[#This Row],[ret_al_hh]]</f>
        <v>0</v>
      </c>
    </row>
    <row r="125" spans="1:84" hidden="1" x14ac:dyDescent="0.25">
      <c r="A125" s="27">
        <v>277</v>
      </c>
      <c r="B125" s="2" t="s">
        <v>22</v>
      </c>
      <c r="C125" s="2" t="s">
        <v>23</v>
      </c>
      <c r="D125" s="2" t="s">
        <v>85</v>
      </c>
      <c r="E125" s="2" t="s">
        <v>84</v>
      </c>
      <c r="F125" s="2" t="s">
        <v>151</v>
      </c>
      <c r="G125" s="2" t="s">
        <v>150</v>
      </c>
      <c r="H125" s="2" t="s">
        <v>1091</v>
      </c>
      <c r="I125" s="2" t="s">
        <v>779</v>
      </c>
      <c r="J125" s="2" t="s">
        <v>2684</v>
      </c>
      <c r="K125" s="2" t="s">
        <v>2685</v>
      </c>
      <c r="L125" s="2" t="s">
        <v>2074</v>
      </c>
      <c r="M125" s="2">
        <v>450</v>
      </c>
      <c r="N125" s="2" t="s">
        <v>1658</v>
      </c>
      <c r="O125" s="2">
        <v>35</v>
      </c>
      <c r="P125" s="2">
        <v>147</v>
      </c>
      <c r="Q125" s="2" t="s">
        <v>1658</v>
      </c>
      <c r="R125" s="2">
        <v>35</v>
      </c>
      <c r="S125" s="2" t="s">
        <v>1660</v>
      </c>
      <c r="T125" s="2">
        <v>0</v>
      </c>
      <c r="U125" s="2" t="s">
        <v>32</v>
      </c>
      <c r="V125" s="2" t="s">
        <v>32</v>
      </c>
      <c r="W125" s="2" t="s">
        <v>1660</v>
      </c>
      <c r="X125" s="2">
        <v>0</v>
      </c>
      <c r="Y125" s="2" t="s">
        <v>32</v>
      </c>
      <c r="Z125" s="2" t="s">
        <v>32</v>
      </c>
      <c r="AA125" s="2" t="s">
        <v>1660</v>
      </c>
      <c r="AB125" s="2">
        <v>0</v>
      </c>
      <c r="AC125" s="2" t="s">
        <v>1660</v>
      </c>
      <c r="AD125" s="2">
        <v>0</v>
      </c>
      <c r="AE125" s="2" t="s">
        <v>1660</v>
      </c>
      <c r="AF125" s="2">
        <v>0</v>
      </c>
      <c r="AG125" s="2">
        <v>0</v>
      </c>
      <c r="AH125" s="2" t="s">
        <v>32</v>
      </c>
      <c r="AI125" s="2" t="s">
        <v>32</v>
      </c>
      <c r="AJ125" s="2" t="s">
        <v>32</v>
      </c>
      <c r="AK125" s="2" t="s">
        <v>32</v>
      </c>
      <c r="AL125" s="2" t="s">
        <v>32</v>
      </c>
      <c r="AM125" s="2">
        <v>0</v>
      </c>
      <c r="AN125" s="2" t="s">
        <v>32</v>
      </c>
      <c r="AO125" s="2">
        <v>0</v>
      </c>
      <c r="AP125" s="2" t="s">
        <v>32</v>
      </c>
      <c r="AQ125" s="2" t="s">
        <v>32</v>
      </c>
      <c r="AR125" s="2" t="s">
        <v>32</v>
      </c>
      <c r="AS125" s="2">
        <v>0</v>
      </c>
      <c r="AT125" s="2" t="s">
        <v>32</v>
      </c>
      <c r="AU125" s="2" t="s">
        <v>32</v>
      </c>
      <c r="AV125" s="2" t="s">
        <v>32</v>
      </c>
      <c r="AW125" s="2">
        <v>0</v>
      </c>
      <c r="AX125" s="2" t="s">
        <v>32</v>
      </c>
      <c r="AY125" s="2">
        <v>0</v>
      </c>
      <c r="AZ125" s="2" t="s">
        <v>1660</v>
      </c>
      <c r="BA125" s="2">
        <v>0</v>
      </c>
      <c r="BB125" s="2">
        <v>0</v>
      </c>
      <c r="BC125" s="2" t="s">
        <v>32</v>
      </c>
      <c r="BD125" s="2">
        <v>0</v>
      </c>
      <c r="BE125" s="2" t="s">
        <v>32</v>
      </c>
      <c r="BF125" s="2">
        <v>0</v>
      </c>
      <c r="BG125" s="2" t="s">
        <v>32</v>
      </c>
      <c r="BH125" s="2">
        <v>0</v>
      </c>
      <c r="BI125" s="2" t="s">
        <v>32</v>
      </c>
      <c r="BJ125" s="2" t="s">
        <v>32</v>
      </c>
      <c r="BK125" s="2" t="s">
        <v>32</v>
      </c>
      <c r="BL125" s="2">
        <v>0</v>
      </c>
      <c r="BM125" s="2" t="s">
        <v>32</v>
      </c>
      <c r="BN125" s="2" t="s">
        <v>32</v>
      </c>
      <c r="BO125" s="2" t="s">
        <v>32</v>
      </c>
      <c r="BP125" s="2">
        <v>0</v>
      </c>
      <c r="BQ125" s="2" t="s">
        <v>32</v>
      </c>
      <c r="BR125" s="2">
        <v>0</v>
      </c>
      <c r="BS125" s="2" t="s">
        <v>1660</v>
      </c>
      <c r="BT125" s="2">
        <v>0</v>
      </c>
      <c r="BU125" s="2">
        <v>0</v>
      </c>
      <c r="BV125" s="2" t="s">
        <v>1660</v>
      </c>
      <c r="BW125" s="2"/>
      <c r="BX125" s="2"/>
      <c r="BY125" s="2" t="s">
        <v>1807</v>
      </c>
      <c r="BZ125" s="2" t="b">
        <f>OR( (Dashboard[[#This Row],[ref_as_hh]]&gt;=1),(Dashboard[[#This Row],[ret_as_hh]] &gt;=1), (Dashboard[[#This Row],[idp_as_hh]]&gt;=1))</f>
        <v>0</v>
      </c>
      <c r="CA125" s="2">
        <f>Dashboard[[#This Row],[ret_hi_hh]]</f>
        <v>0</v>
      </c>
      <c r="CB125" s="2">
        <f>Dashboard[[#This Row],[idp_fa_hh]]+Dashboard[[#This Row],[ref_fa_hh]]+Dashboard[[#This Row],[ret_fa_hh]]</f>
        <v>35</v>
      </c>
      <c r="CC125" s="2">
        <f>Dashboard[[#This Row],[idp_loc_hh]]+Dashboard[[#This Row],[ref_loc_hh]]+Dashboard[[#This Row],[ret_loc_hh]]</f>
        <v>0</v>
      </c>
      <c r="CD125" s="2">
        <f>Dashboard[[#This Row],[idp_cc_hh]]+Dashboard[[#This Row],[ref_cc_hh]]+Dashboard[[#This Row],[ret_cc_hh]]</f>
        <v>0</v>
      </c>
      <c r="CE125" s="2">
        <f>Dashboard[[#This Row],[idp_as_hh]]+Dashboard[[#This Row],[ref_as_hh]]+Dashboard[[#This Row],[ret_as_hh]]</f>
        <v>0</v>
      </c>
      <c r="CF125" s="2">
        <f>Dashboard[[#This Row],[idp_al_hh]]+Dashboard[[#This Row],[ref_al_hh]]+Dashboard[[#This Row],[ret_al_hh]]</f>
        <v>0</v>
      </c>
    </row>
    <row r="126" spans="1:84" x14ac:dyDescent="0.25">
      <c r="A126" s="27">
        <v>533</v>
      </c>
      <c r="B126" s="2" t="s">
        <v>22</v>
      </c>
      <c r="C126" s="2" t="s">
        <v>23</v>
      </c>
      <c r="D126" s="2" t="s">
        <v>85</v>
      </c>
      <c r="E126" s="2" t="s">
        <v>84</v>
      </c>
      <c r="F126" s="2" t="s">
        <v>151</v>
      </c>
      <c r="G126" s="2" t="s">
        <v>150</v>
      </c>
      <c r="H126" s="2" t="s">
        <v>1101</v>
      </c>
      <c r="I126" s="2" t="s">
        <v>788</v>
      </c>
      <c r="J126" s="2" t="s">
        <v>2702</v>
      </c>
      <c r="K126" s="2" t="s">
        <v>2703</v>
      </c>
      <c r="L126" s="2" t="s">
        <v>3695</v>
      </c>
      <c r="M126" s="2">
        <v>1164</v>
      </c>
      <c r="N126" s="2" t="s">
        <v>1658</v>
      </c>
      <c r="O126" s="2">
        <v>100</v>
      </c>
      <c r="P126" s="2">
        <v>447</v>
      </c>
      <c r="Q126" s="2" t="s">
        <v>1660</v>
      </c>
      <c r="R126" s="2">
        <v>0</v>
      </c>
      <c r="S126" s="2" t="s">
        <v>1660</v>
      </c>
      <c r="T126" s="2">
        <v>0</v>
      </c>
      <c r="U126" s="2" t="s">
        <v>32</v>
      </c>
      <c r="V126" s="2" t="s">
        <v>32</v>
      </c>
      <c r="W126" s="2" t="s">
        <v>1660</v>
      </c>
      <c r="X126" s="2">
        <v>0</v>
      </c>
      <c r="Y126" s="2" t="s">
        <v>32</v>
      </c>
      <c r="Z126" s="2" t="s">
        <v>32</v>
      </c>
      <c r="AA126" s="2" t="s">
        <v>1658</v>
      </c>
      <c r="AB126" s="2">
        <v>100</v>
      </c>
      <c r="AC126" s="2" t="s">
        <v>1660</v>
      </c>
      <c r="AD126" s="2">
        <v>0</v>
      </c>
      <c r="AE126" s="2" t="s">
        <v>1658</v>
      </c>
      <c r="AF126" s="2">
        <v>28</v>
      </c>
      <c r="AG126" s="2">
        <v>152</v>
      </c>
      <c r="AH126" s="2" t="s">
        <v>1660</v>
      </c>
      <c r="AI126" s="2" t="s">
        <v>32</v>
      </c>
      <c r="AJ126" s="2" t="s">
        <v>32</v>
      </c>
      <c r="AK126" s="2" t="s">
        <v>32</v>
      </c>
      <c r="AL126" s="2" t="s">
        <v>1660</v>
      </c>
      <c r="AM126" s="2">
        <v>0</v>
      </c>
      <c r="AN126" s="2" t="s">
        <v>1660</v>
      </c>
      <c r="AO126" s="2">
        <v>0</v>
      </c>
      <c r="AP126" s="2" t="s">
        <v>32</v>
      </c>
      <c r="AQ126" s="2" t="s">
        <v>32</v>
      </c>
      <c r="AR126" s="2" t="s">
        <v>1660</v>
      </c>
      <c r="AS126" s="2">
        <v>0</v>
      </c>
      <c r="AT126" s="2" t="s">
        <v>32</v>
      </c>
      <c r="AU126" s="2" t="s">
        <v>32</v>
      </c>
      <c r="AV126" s="2" t="s">
        <v>1658</v>
      </c>
      <c r="AW126" s="2">
        <v>28</v>
      </c>
      <c r="AX126" s="2" t="s">
        <v>1660</v>
      </c>
      <c r="AY126" s="2">
        <v>0</v>
      </c>
      <c r="AZ126" s="2" t="s">
        <v>1660</v>
      </c>
      <c r="BA126" s="2">
        <v>0</v>
      </c>
      <c r="BB126" s="2">
        <v>0</v>
      </c>
      <c r="BC126" s="2" t="s">
        <v>32</v>
      </c>
      <c r="BD126" s="2">
        <v>0</v>
      </c>
      <c r="BE126" s="2" t="s">
        <v>32</v>
      </c>
      <c r="BF126" s="2">
        <v>0</v>
      </c>
      <c r="BG126" s="2" t="s">
        <v>32</v>
      </c>
      <c r="BH126" s="2">
        <v>0</v>
      </c>
      <c r="BI126" s="2" t="s">
        <v>32</v>
      </c>
      <c r="BJ126" s="2" t="s">
        <v>32</v>
      </c>
      <c r="BK126" s="2" t="s">
        <v>32</v>
      </c>
      <c r="BL126" s="2">
        <v>0</v>
      </c>
      <c r="BM126" s="2" t="s">
        <v>32</v>
      </c>
      <c r="BN126" s="2" t="s">
        <v>32</v>
      </c>
      <c r="BO126" s="2" t="s">
        <v>32</v>
      </c>
      <c r="BP126" s="2">
        <v>0</v>
      </c>
      <c r="BQ126" s="2" t="s">
        <v>32</v>
      </c>
      <c r="BR126" s="2">
        <v>0</v>
      </c>
      <c r="BS126" s="2" t="s">
        <v>1660</v>
      </c>
      <c r="BT126" s="2">
        <v>0</v>
      </c>
      <c r="BU126" s="2">
        <v>0</v>
      </c>
      <c r="BV126" s="2" t="s">
        <v>1660</v>
      </c>
      <c r="BW126" s="2"/>
      <c r="BX126" s="2"/>
      <c r="BY126" s="2" t="s">
        <v>1807</v>
      </c>
      <c r="BZ126" s="2" t="b">
        <f>OR( (Dashboard[[#This Row],[ref_as_hh]]&gt;=1),(Dashboard[[#This Row],[ret_as_hh]] &gt;=1), (Dashboard[[#This Row],[idp_as_hh]]&gt;=1))</f>
        <v>1</v>
      </c>
      <c r="CA126" s="2">
        <f>Dashboard[[#This Row],[ret_hi_hh]]</f>
        <v>0</v>
      </c>
      <c r="CB126" s="2">
        <f>Dashboard[[#This Row],[idp_fa_hh]]+Dashboard[[#This Row],[ref_fa_hh]]+Dashboard[[#This Row],[ret_fa_hh]]</f>
        <v>0</v>
      </c>
      <c r="CC126" s="2">
        <f>Dashboard[[#This Row],[idp_loc_hh]]+Dashboard[[#This Row],[ref_loc_hh]]+Dashboard[[#This Row],[ret_loc_hh]]</f>
        <v>0</v>
      </c>
      <c r="CD126" s="2">
        <f>Dashboard[[#This Row],[idp_cc_hh]]+Dashboard[[#This Row],[ref_cc_hh]]+Dashboard[[#This Row],[ret_cc_hh]]</f>
        <v>0</v>
      </c>
      <c r="CE126" s="2">
        <f>Dashboard[[#This Row],[idp_as_hh]]+Dashboard[[#This Row],[ref_as_hh]]+Dashboard[[#This Row],[ret_as_hh]]</f>
        <v>128</v>
      </c>
      <c r="CF126" s="2">
        <f>Dashboard[[#This Row],[idp_al_hh]]+Dashboard[[#This Row],[ref_al_hh]]+Dashboard[[#This Row],[ret_al_hh]]</f>
        <v>0</v>
      </c>
    </row>
    <row r="127" spans="1:84" x14ac:dyDescent="0.25">
      <c r="A127" s="27">
        <v>280</v>
      </c>
      <c r="B127" s="2" t="s">
        <v>22</v>
      </c>
      <c r="C127" s="2" t="s">
        <v>23</v>
      </c>
      <c r="D127" s="2" t="s">
        <v>85</v>
      </c>
      <c r="E127" s="2" t="s">
        <v>84</v>
      </c>
      <c r="F127" s="2" t="s">
        <v>151</v>
      </c>
      <c r="G127" s="2" t="s">
        <v>150</v>
      </c>
      <c r="H127" s="2" t="s">
        <v>1064</v>
      </c>
      <c r="I127" s="2" t="s">
        <v>1063</v>
      </c>
      <c r="J127" s="2" t="s">
        <v>2644</v>
      </c>
      <c r="K127" s="2" t="s">
        <v>2645</v>
      </c>
      <c r="L127" s="2" t="s">
        <v>2074</v>
      </c>
      <c r="M127" s="2">
        <v>1110</v>
      </c>
      <c r="N127" s="2" t="s">
        <v>1658</v>
      </c>
      <c r="O127" s="2">
        <v>53</v>
      </c>
      <c r="P127" s="2">
        <v>205</v>
      </c>
      <c r="Q127" s="2" t="s">
        <v>1658</v>
      </c>
      <c r="R127" s="2">
        <v>20</v>
      </c>
      <c r="S127" s="2" t="s">
        <v>1660</v>
      </c>
      <c r="T127" s="2">
        <v>0</v>
      </c>
      <c r="U127" s="2" t="s">
        <v>32</v>
      </c>
      <c r="V127" s="2" t="s">
        <v>32</v>
      </c>
      <c r="W127" s="2" t="s">
        <v>1660</v>
      </c>
      <c r="X127" s="2">
        <v>0</v>
      </c>
      <c r="Y127" s="2" t="s">
        <v>32</v>
      </c>
      <c r="Z127" s="2" t="s">
        <v>32</v>
      </c>
      <c r="AA127" s="2" t="s">
        <v>1658</v>
      </c>
      <c r="AB127" s="2">
        <v>33</v>
      </c>
      <c r="AC127" s="2" t="s">
        <v>1660</v>
      </c>
      <c r="AD127" s="2">
        <v>0</v>
      </c>
      <c r="AE127" s="2" t="s">
        <v>1658</v>
      </c>
      <c r="AF127" s="2">
        <v>20</v>
      </c>
      <c r="AG127" s="2">
        <v>110</v>
      </c>
      <c r="AH127" s="2" t="s">
        <v>1660</v>
      </c>
      <c r="AI127" s="2" t="s">
        <v>32</v>
      </c>
      <c r="AJ127" s="2" t="s">
        <v>32</v>
      </c>
      <c r="AK127" s="2" t="s">
        <v>32</v>
      </c>
      <c r="AL127" s="2" t="s">
        <v>1660</v>
      </c>
      <c r="AM127" s="2">
        <v>0</v>
      </c>
      <c r="AN127" s="2" t="s">
        <v>1660</v>
      </c>
      <c r="AO127" s="2">
        <v>0</v>
      </c>
      <c r="AP127" s="2" t="s">
        <v>32</v>
      </c>
      <c r="AQ127" s="2" t="s">
        <v>32</v>
      </c>
      <c r="AR127" s="2" t="s">
        <v>1660</v>
      </c>
      <c r="AS127" s="2">
        <v>0</v>
      </c>
      <c r="AT127" s="2" t="s">
        <v>32</v>
      </c>
      <c r="AU127" s="2" t="s">
        <v>32</v>
      </c>
      <c r="AV127" s="2" t="s">
        <v>1658</v>
      </c>
      <c r="AW127" s="2">
        <v>20</v>
      </c>
      <c r="AX127" s="2" t="s">
        <v>1660</v>
      </c>
      <c r="AY127" s="2">
        <v>0</v>
      </c>
      <c r="AZ127" s="2" t="s">
        <v>1660</v>
      </c>
      <c r="BA127" s="2">
        <v>0</v>
      </c>
      <c r="BB127" s="2">
        <v>0</v>
      </c>
      <c r="BC127" s="2" t="s">
        <v>32</v>
      </c>
      <c r="BD127" s="2">
        <v>0</v>
      </c>
      <c r="BE127" s="2" t="s">
        <v>32</v>
      </c>
      <c r="BF127" s="2">
        <v>0</v>
      </c>
      <c r="BG127" s="2" t="s">
        <v>32</v>
      </c>
      <c r="BH127" s="2">
        <v>0</v>
      </c>
      <c r="BI127" s="2" t="s">
        <v>32</v>
      </c>
      <c r="BJ127" s="2" t="s">
        <v>32</v>
      </c>
      <c r="BK127" s="2" t="s">
        <v>32</v>
      </c>
      <c r="BL127" s="2">
        <v>0</v>
      </c>
      <c r="BM127" s="2" t="s">
        <v>32</v>
      </c>
      <c r="BN127" s="2" t="s">
        <v>32</v>
      </c>
      <c r="BO127" s="2" t="s">
        <v>32</v>
      </c>
      <c r="BP127" s="2">
        <v>0</v>
      </c>
      <c r="BQ127" s="2" t="s">
        <v>32</v>
      </c>
      <c r="BR127" s="2">
        <v>0</v>
      </c>
      <c r="BS127" s="2" t="s">
        <v>1660</v>
      </c>
      <c r="BT127" s="2">
        <v>0</v>
      </c>
      <c r="BU127" s="2">
        <v>0</v>
      </c>
      <c r="BV127" s="2" t="s">
        <v>1660</v>
      </c>
      <c r="BW127" s="2"/>
      <c r="BX127" s="2"/>
      <c r="BY127" s="2" t="s">
        <v>1807</v>
      </c>
      <c r="BZ127" s="2" t="b">
        <f>OR( (Dashboard[[#This Row],[ref_as_hh]]&gt;=1),(Dashboard[[#This Row],[ret_as_hh]] &gt;=1), (Dashboard[[#This Row],[idp_as_hh]]&gt;=1))</f>
        <v>1</v>
      </c>
      <c r="CA127" s="2">
        <f>Dashboard[[#This Row],[ret_hi_hh]]</f>
        <v>0</v>
      </c>
      <c r="CB127" s="2">
        <f>Dashboard[[#This Row],[idp_fa_hh]]+Dashboard[[#This Row],[ref_fa_hh]]+Dashboard[[#This Row],[ret_fa_hh]]</f>
        <v>20</v>
      </c>
      <c r="CC127" s="2">
        <f>Dashboard[[#This Row],[idp_loc_hh]]+Dashboard[[#This Row],[ref_loc_hh]]+Dashboard[[#This Row],[ret_loc_hh]]</f>
        <v>0</v>
      </c>
      <c r="CD127" s="2">
        <f>Dashboard[[#This Row],[idp_cc_hh]]+Dashboard[[#This Row],[ref_cc_hh]]+Dashboard[[#This Row],[ret_cc_hh]]</f>
        <v>0</v>
      </c>
      <c r="CE127" s="2">
        <f>Dashboard[[#This Row],[idp_as_hh]]+Dashboard[[#This Row],[ref_as_hh]]+Dashboard[[#This Row],[ret_as_hh]]</f>
        <v>53</v>
      </c>
      <c r="CF127" s="2">
        <f>Dashboard[[#This Row],[idp_al_hh]]+Dashboard[[#This Row],[ref_al_hh]]+Dashboard[[#This Row],[ret_al_hh]]</f>
        <v>0</v>
      </c>
    </row>
    <row r="128" spans="1:84" x14ac:dyDescent="0.25">
      <c r="A128" s="27">
        <v>282</v>
      </c>
      <c r="B128" s="2" t="s">
        <v>22</v>
      </c>
      <c r="C128" s="2" t="s">
        <v>23</v>
      </c>
      <c r="D128" s="2" t="s">
        <v>85</v>
      </c>
      <c r="E128" s="2" t="s">
        <v>84</v>
      </c>
      <c r="F128" s="2" t="s">
        <v>151</v>
      </c>
      <c r="G128" s="2" t="s">
        <v>150</v>
      </c>
      <c r="H128" s="2" t="s">
        <v>1057</v>
      </c>
      <c r="I128" s="2" t="s">
        <v>1056</v>
      </c>
      <c r="J128" s="2" t="s">
        <v>2634</v>
      </c>
      <c r="K128" s="2" t="s">
        <v>2635</v>
      </c>
      <c r="L128" s="2" t="s">
        <v>3693</v>
      </c>
      <c r="M128" s="2">
        <v>350</v>
      </c>
      <c r="N128" s="2" t="s">
        <v>1658</v>
      </c>
      <c r="O128" s="2">
        <v>70</v>
      </c>
      <c r="P128" s="2">
        <v>150</v>
      </c>
      <c r="Q128" s="2" t="s">
        <v>1660</v>
      </c>
      <c r="R128" s="2">
        <v>0</v>
      </c>
      <c r="S128" s="2" t="s">
        <v>1660</v>
      </c>
      <c r="T128" s="2">
        <v>0</v>
      </c>
      <c r="U128" s="2" t="s">
        <v>32</v>
      </c>
      <c r="V128" s="2" t="s">
        <v>32</v>
      </c>
      <c r="W128" s="2" t="s">
        <v>1660</v>
      </c>
      <c r="X128" s="2">
        <v>0</v>
      </c>
      <c r="Y128" s="2" t="s">
        <v>32</v>
      </c>
      <c r="Z128" s="2" t="s">
        <v>32</v>
      </c>
      <c r="AA128" s="2" t="s">
        <v>1658</v>
      </c>
      <c r="AB128" s="2">
        <v>70</v>
      </c>
      <c r="AC128" s="2" t="s">
        <v>1660</v>
      </c>
      <c r="AD128" s="2">
        <v>0</v>
      </c>
      <c r="AE128" s="2" t="s">
        <v>1660</v>
      </c>
      <c r="AF128" s="2">
        <v>0</v>
      </c>
      <c r="AG128" s="2">
        <v>0</v>
      </c>
      <c r="AH128" s="2" t="s">
        <v>32</v>
      </c>
      <c r="AI128" s="2" t="s">
        <v>32</v>
      </c>
      <c r="AJ128" s="2" t="s">
        <v>32</v>
      </c>
      <c r="AK128" s="2" t="s">
        <v>32</v>
      </c>
      <c r="AL128" s="2" t="s">
        <v>32</v>
      </c>
      <c r="AM128" s="2">
        <v>0</v>
      </c>
      <c r="AN128" s="2" t="s">
        <v>32</v>
      </c>
      <c r="AO128" s="2">
        <v>0</v>
      </c>
      <c r="AP128" s="2" t="s">
        <v>32</v>
      </c>
      <c r="AQ128" s="2" t="s">
        <v>32</v>
      </c>
      <c r="AR128" s="2" t="s">
        <v>32</v>
      </c>
      <c r="AS128" s="2">
        <v>0</v>
      </c>
      <c r="AT128" s="2" t="s">
        <v>32</v>
      </c>
      <c r="AU128" s="2" t="s">
        <v>32</v>
      </c>
      <c r="AV128" s="2" t="s">
        <v>32</v>
      </c>
      <c r="AW128" s="2">
        <v>0</v>
      </c>
      <c r="AX128" s="2" t="s">
        <v>32</v>
      </c>
      <c r="AY128" s="2">
        <v>0</v>
      </c>
      <c r="AZ128" s="2" t="s">
        <v>1660</v>
      </c>
      <c r="BA128" s="2">
        <v>0</v>
      </c>
      <c r="BB128" s="2">
        <v>0</v>
      </c>
      <c r="BC128" s="2" t="s">
        <v>32</v>
      </c>
      <c r="BD128" s="2">
        <v>0</v>
      </c>
      <c r="BE128" s="2" t="s">
        <v>32</v>
      </c>
      <c r="BF128" s="2">
        <v>0</v>
      </c>
      <c r="BG128" s="2" t="s">
        <v>32</v>
      </c>
      <c r="BH128" s="2">
        <v>0</v>
      </c>
      <c r="BI128" s="2" t="s">
        <v>32</v>
      </c>
      <c r="BJ128" s="2" t="s">
        <v>32</v>
      </c>
      <c r="BK128" s="2" t="s">
        <v>32</v>
      </c>
      <c r="BL128" s="2">
        <v>0</v>
      </c>
      <c r="BM128" s="2" t="s">
        <v>32</v>
      </c>
      <c r="BN128" s="2" t="s">
        <v>32</v>
      </c>
      <c r="BO128" s="2" t="s">
        <v>32</v>
      </c>
      <c r="BP128" s="2">
        <v>0</v>
      </c>
      <c r="BQ128" s="2" t="s">
        <v>32</v>
      </c>
      <c r="BR128" s="2">
        <v>0</v>
      </c>
      <c r="BS128" s="2" t="s">
        <v>1660</v>
      </c>
      <c r="BT128" s="2">
        <v>0</v>
      </c>
      <c r="BU128" s="2">
        <v>0</v>
      </c>
      <c r="BV128" s="2" t="s">
        <v>1660</v>
      </c>
      <c r="BW128" s="2"/>
      <c r="BX128" s="2"/>
      <c r="BY128" s="2" t="s">
        <v>1807</v>
      </c>
      <c r="BZ128" s="2" t="b">
        <f>OR( (Dashboard[[#This Row],[ref_as_hh]]&gt;=1),(Dashboard[[#This Row],[ret_as_hh]] &gt;=1), (Dashboard[[#This Row],[idp_as_hh]]&gt;=1))</f>
        <v>1</v>
      </c>
      <c r="CA128" s="2">
        <f>Dashboard[[#This Row],[ret_hi_hh]]</f>
        <v>0</v>
      </c>
      <c r="CB128" s="2">
        <f>Dashboard[[#This Row],[idp_fa_hh]]+Dashboard[[#This Row],[ref_fa_hh]]+Dashboard[[#This Row],[ret_fa_hh]]</f>
        <v>0</v>
      </c>
      <c r="CC128" s="2">
        <f>Dashboard[[#This Row],[idp_loc_hh]]+Dashboard[[#This Row],[ref_loc_hh]]+Dashboard[[#This Row],[ret_loc_hh]]</f>
        <v>0</v>
      </c>
      <c r="CD128" s="2">
        <f>Dashboard[[#This Row],[idp_cc_hh]]+Dashboard[[#This Row],[ref_cc_hh]]+Dashboard[[#This Row],[ret_cc_hh]]</f>
        <v>0</v>
      </c>
      <c r="CE128" s="2">
        <f>Dashboard[[#This Row],[idp_as_hh]]+Dashboard[[#This Row],[ref_as_hh]]+Dashboard[[#This Row],[ret_as_hh]]</f>
        <v>70</v>
      </c>
      <c r="CF128" s="2">
        <f>Dashboard[[#This Row],[idp_al_hh]]+Dashboard[[#This Row],[ref_al_hh]]+Dashboard[[#This Row],[ret_al_hh]]</f>
        <v>0</v>
      </c>
    </row>
    <row r="129" spans="1:84" x14ac:dyDescent="0.25">
      <c r="A129" s="27">
        <v>543</v>
      </c>
      <c r="B129" s="2" t="s">
        <v>22</v>
      </c>
      <c r="C129" s="2" t="s">
        <v>23</v>
      </c>
      <c r="D129" s="2" t="s">
        <v>85</v>
      </c>
      <c r="E129" s="2" t="s">
        <v>84</v>
      </c>
      <c r="F129" s="2" t="s">
        <v>151</v>
      </c>
      <c r="G129" s="2" t="s">
        <v>150</v>
      </c>
      <c r="H129" s="2" t="s">
        <v>1102</v>
      </c>
      <c r="I129" s="2" t="s">
        <v>775</v>
      </c>
      <c r="J129" s="2" t="s">
        <v>2704</v>
      </c>
      <c r="K129" s="2" t="s">
        <v>2705</v>
      </c>
      <c r="L129" s="2" t="s">
        <v>3697</v>
      </c>
      <c r="M129" s="2">
        <v>546</v>
      </c>
      <c r="N129" s="2" t="s">
        <v>1658</v>
      </c>
      <c r="O129" s="2">
        <v>8</v>
      </c>
      <c r="P129" s="2">
        <v>71</v>
      </c>
      <c r="Q129" s="2" t="s">
        <v>1660</v>
      </c>
      <c r="R129" s="2">
        <v>0</v>
      </c>
      <c r="S129" s="2" t="s">
        <v>1660</v>
      </c>
      <c r="T129" s="2">
        <v>0</v>
      </c>
      <c r="U129" s="2" t="s">
        <v>32</v>
      </c>
      <c r="V129" s="2" t="s">
        <v>32</v>
      </c>
      <c r="W129" s="2" t="s">
        <v>1660</v>
      </c>
      <c r="X129" s="2">
        <v>0</v>
      </c>
      <c r="Y129" s="2" t="s">
        <v>32</v>
      </c>
      <c r="Z129" s="2" t="s">
        <v>32</v>
      </c>
      <c r="AA129" s="2" t="s">
        <v>1658</v>
      </c>
      <c r="AB129" s="2">
        <v>8</v>
      </c>
      <c r="AC129" s="2" t="s">
        <v>1660</v>
      </c>
      <c r="AD129" s="2">
        <v>0</v>
      </c>
      <c r="AE129" s="2" t="s">
        <v>1658</v>
      </c>
      <c r="AF129" s="2">
        <v>50</v>
      </c>
      <c r="AG129" s="2">
        <v>425</v>
      </c>
      <c r="AH129" s="2" t="s">
        <v>1660</v>
      </c>
      <c r="AI129" s="2" t="s">
        <v>32</v>
      </c>
      <c r="AJ129" s="2" t="s">
        <v>32</v>
      </c>
      <c r="AK129" s="2" t="s">
        <v>32</v>
      </c>
      <c r="AL129" s="2" t="s">
        <v>1660</v>
      </c>
      <c r="AM129" s="2">
        <v>0</v>
      </c>
      <c r="AN129" s="2" t="s">
        <v>1660</v>
      </c>
      <c r="AO129" s="2">
        <v>0</v>
      </c>
      <c r="AP129" s="2" t="s">
        <v>32</v>
      </c>
      <c r="AQ129" s="2" t="s">
        <v>32</v>
      </c>
      <c r="AR129" s="2" t="s">
        <v>1660</v>
      </c>
      <c r="AS129" s="2">
        <v>0</v>
      </c>
      <c r="AT129" s="2" t="s">
        <v>32</v>
      </c>
      <c r="AU129" s="2" t="s">
        <v>32</v>
      </c>
      <c r="AV129" s="2" t="s">
        <v>1658</v>
      </c>
      <c r="AW129" s="2">
        <v>50</v>
      </c>
      <c r="AX129" s="2" t="s">
        <v>1660</v>
      </c>
      <c r="AY129" s="2">
        <v>0</v>
      </c>
      <c r="AZ129" s="2" t="s">
        <v>1660</v>
      </c>
      <c r="BA129" s="2">
        <v>0</v>
      </c>
      <c r="BB129" s="2">
        <v>0</v>
      </c>
      <c r="BC129" s="2" t="s">
        <v>32</v>
      </c>
      <c r="BD129" s="2">
        <v>0</v>
      </c>
      <c r="BE129" s="2" t="s">
        <v>32</v>
      </c>
      <c r="BF129" s="2">
        <v>0</v>
      </c>
      <c r="BG129" s="2" t="s">
        <v>32</v>
      </c>
      <c r="BH129" s="2">
        <v>0</v>
      </c>
      <c r="BI129" s="2" t="s">
        <v>32</v>
      </c>
      <c r="BJ129" s="2" t="s">
        <v>32</v>
      </c>
      <c r="BK129" s="2" t="s">
        <v>32</v>
      </c>
      <c r="BL129" s="2">
        <v>0</v>
      </c>
      <c r="BM129" s="2" t="s">
        <v>32</v>
      </c>
      <c r="BN129" s="2" t="s">
        <v>32</v>
      </c>
      <c r="BO129" s="2" t="s">
        <v>32</v>
      </c>
      <c r="BP129" s="2">
        <v>0</v>
      </c>
      <c r="BQ129" s="2" t="s">
        <v>32</v>
      </c>
      <c r="BR129" s="2">
        <v>0</v>
      </c>
      <c r="BS129" s="2" t="s">
        <v>1660</v>
      </c>
      <c r="BT129" s="2">
        <v>0</v>
      </c>
      <c r="BU129" s="2">
        <v>0</v>
      </c>
      <c r="BV129" s="2" t="s">
        <v>1660</v>
      </c>
      <c r="BW129" s="2"/>
      <c r="BX129" s="2"/>
      <c r="BY129" s="2" t="s">
        <v>1807</v>
      </c>
      <c r="BZ129" s="2" t="b">
        <f>OR( (Dashboard[[#This Row],[ref_as_hh]]&gt;=1),(Dashboard[[#This Row],[ret_as_hh]] &gt;=1), (Dashboard[[#This Row],[idp_as_hh]]&gt;=1))</f>
        <v>1</v>
      </c>
      <c r="CA129" s="2">
        <f>Dashboard[[#This Row],[ret_hi_hh]]</f>
        <v>0</v>
      </c>
      <c r="CB129" s="2">
        <f>Dashboard[[#This Row],[idp_fa_hh]]+Dashboard[[#This Row],[ref_fa_hh]]+Dashboard[[#This Row],[ret_fa_hh]]</f>
        <v>0</v>
      </c>
      <c r="CC129" s="2">
        <f>Dashboard[[#This Row],[idp_loc_hh]]+Dashboard[[#This Row],[ref_loc_hh]]+Dashboard[[#This Row],[ret_loc_hh]]</f>
        <v>0</v>
      </c>
      <c r="CD129" s="2">
        <f>Dashboard[[#This Row],[idp_cc_hh]]+Dashboard[[#This Row],[ref_cc_hh]]+Dashboard[[#This Row],[ret_cc_hh]]</f>
        <v>0</v>
      </c>
      <c r="CE129" s="2">
        <f>Dashboard[[#This Row],[idp_as_hh]]+Dashboard[[#This Row],[ref_as_hh]]+Dashboard[[#This Row],[ret_as_hh]]</f>
        <v>58</v>
      </c>
      <c r="CF129" s="2">
        <f>Dashboard[[#This Row],[idp_al_hh]]+Dashboard[[#This Row],[ref_al_hh]]+Dashboard[[#This Row],[ret_al_hh]]</f>
        <v>0</v>
      </c>
    </row>
    <row r="130" spans="1:84" x14ac:dyDescent="0.25">
      <c r="A130" s="27">
        <v>544</v>
      </c>
      <c r="B130" s="2" t="s">
        <v>22</v>
      </c>
      <c r="C130" s="2" t="s">
        <v>23</v>
      </c>
      <c r="D130" s="2" t="s">
        <v>85</v>
      </c>
      <c r="E130" s="2" t="s">
        <v>84</v>
      </c>
      <c r="F130" s="2" t="s">
        <v>151</v>
      </c>
      <c r="G130" s="2" t="s">
        <v>150</v>
      </c>
      <c r="H130" s="2" t="s">
        <v>1092</v>
      </c>
      <c r="I130" s="2" t="s">
        <v>783</v>
      </c>
      <c r="J130" s="2" t="s">
        <v>2686</v>
      </c>
      <c r="K130" s="2" t="s">
        <v>2687</v>
      </c>
      <c r="L130" s="2" t="s">
        <v>2075</v>
      </c>
      <c r="M130" s="2">
        <v>246</v>
      </c>
      <c r="N130" s="2" t="s">
        <v>1658</v>
      </c>
      <c r="O130" s="2">
        <v>18</v>
      </c>
      <c r="P130" s="2">
        <v>125</v>
      </c>
      <c r="Q130" s="2" t="s">
        <v>1660</v>
      </c>
      <c r="R130" s="2">
        <v>0</v>
      </c>
      <c r="S130" s="2" t="s">
        <v>1660</v>
      </c>
      <c r="T130" s="2">
        <v>0</v>
      </c>
      <c r="U130" s="2" t="s">
        <v>32</v>
      </c>
      <c r="V130" s="2" t="s">
        <v>32</v>
      </c>
      <c r="W130" s="2" t="s">
        <v>1660</v>
      </c>
      <c r="X130" s="2">
        <v>0</v>
      </c>
      <c r="Y130" s="2" t="s">
        <v>32</v>
      </c>
      <c r="Z130" s="2" t="s">
        <v>32</v>
      </c>
      <c r="AA130" s="2" t="s">
        <v>1658</v>
      </c>
      <c r="AB130" s="2">
        <v>18</v>
      </c>
      <c r="AC130" s="2" t="s">
        <v>1660</v>
      </c>
      <c r="AD130" s="2">
        <v>0</v>
      </c>
      <c r="AE130" s="2" t="s">
        <v>1660</v>
      </c>
      <c r="AF130" s="2">
        <v>0</v>
      </c>
      <c r="AG130" s="2">
        <v>0</v>
      </c>
      <c r="AH130" s="2" t="s">
        <v>32</v>
      </c>
      <c r="AI130" s="2" t="s">
        <v>32</v>
      </c>
      <c r="AJ130" s="2" t="s">
        <v>32</v>
      </c>
      <c r="AK130" s="2" t="s">
        <v>32</v>
      </c>
      <c r="AL130" s="2" t="s">
        <v>32</v>
      </c>
      <c r="AM130" s="2">
        <v>0</v>
      </c>
      <c r="AN130" s="2" t="s">
        <v>32</v>
      </c>
      <c r="AO130" s="2">
        <v>0</v>
      </c>
      <c r="AP130" s="2" t="s">
        <v>32</v>
      </c>
      <c r="AQ130" s="2" t="s">
        <v>32</v>
      </c>
      <c r="AR130" s="2" t="s">
        <v>32</v>
      </c>
      <c r="AS130" s="2">
        <v>0</v>
      </c>
      <c r="AT130" s="2" t="s">
        <v>32</v>
      </c>
      <c r="AU130" s="2" t="s">
        <v>32</v>
      </c>
      <c r="AV130" s="2" t="s">
        <v>32</v>
      </c>
      <c r="AW130" s="2">
        <v>0</v>
      </c>
      <c r="AX130" s="2" t="s">
        <v>32</v>
      </c>
      <c r="AY130" s="2">
        <v>0</v>
      </c>
      <c r="AZ130" s="2" t="s">
        <v>1660</v>
      </c>
      <c r="BA130" s="2">
        <v>0</v>
      </c>
      <c r="BB130" s="2">
        <v>0</v>
      </c>
      <c r="BC130" s="2" t="s">
        <v>32</v>
      </c>
      <c r="BD130" s="2">
        <v>0</v>
      </c>
      <c r="BE130" s="2" t="s">
        <v>32</v>
      </c>
      <c r="BF130" s="2">
        <v>0</v>
      </c>
      <c r="BG130" s="2" t="s">
        <v>32</v>
      </c>
      <c r="BH130" s="2">
        <v>0</v>
      </c>
      <c r="BI130" s="2" t="s">
        <v>32</v>
      </c>
      <c r="BJ130" s="2" t="s">
        <v>32</v>
      </c>
      <c r="BK130" s="2" t="s">
        <v>32</v>
      </c>
      <c r="BL130" s="2">
        <v>0</v>
      </c>
      <c r="BM130" s="2" t="s">
        <v>32</v>
      </c>
      <c r="BN130" s="2" t="s">
        <v>32</v>
      </c>
      <c r="BO130" s="2" t="s">
        <v>32</v>
      </c>
      <c r="BP130" s="2">
        <v>0</v>
      </c>
      <c r="BQ130" s="2" t="s">
        <v>32</v>
      </c>
      <c r="BR130" s="2">
        <v>0</v>
      </c>
      <c r="BS130" s="2" t="s">
        <v>1660</v>
      </c>
      <c r="BT130" s="2">
        <v>0</v>
      </c>
      <c r="BU130" s="2">
        <v>0</v>
      </c>
      <c r="BV130" s="2" t="s">
        <v>1660</v>
      </c>
      <c r="BW130" s="2"/>
      <c r="BX130" s="2"/>
      <c r="BY130" s="2" t="s">
        <v>1807</v>
      </c>
      <c r="BZ130" s="2" t="b">
        <f>OR( (Dashboard[[#This Row],[ref_as_hh]]&gt;=1),(Dashboard[[#This Row],[ret_as_hh]] &gt;=1), (Dashboard[[#This Row],[idp_as_hh]]&gt;=1))</f>
        <v>1</v>
      </c>
      <c r="CA130" s="2">
        <f>Dashboard[[#This Row],[ret_hi_hh]]</f>
        <v>0</v>
      </c>
      <c r="CB130" s="2">
        <f>Dashboard[[#This Row],[idp_fa_hh]]+Dashboard[[#This Row],[ref_fa_hh]]+Dashboard[[#This Row],[ret_fa_hh]]</f>
        <v>0</v>
      </c>
      <c r="CC130" s="2">
        <f>Dashboard[[#This Row],[idp_loc_hh]]+Dashboard[[#This Row],[ref_loc_hh]]+Dashboard[[#This Row],[ret_loc_hh]]</f>
        <v>0</v>
      </c>
      <c r="CD130" s="2">
        <f>Dashboard[[#This Row],[idp_cc_hh]]+Dashboard[[#This Row],[ref_cc_hh]]+Dashboard[[#This Row],[ret_cc_hh]]</f>
        <v>0</v>
      </c>
      <c r="CE130" s="2">
        <f>Dashboard[[#This Row],[idp_as_hh]]+Dashboard[[#This Row],[ref_as_hh]]+Dashboard[[#This Row],[ret_as_hh]]</f>
        <v>18</v>
      </c>
      <c r="CF130" s="2">
        <f>Dashboard[[#This Row],[idp_al_hh]]+Dashboard[[#This Row],[ref_al_hh]]+Dashboard[[#This Row],[ret_al_hh]]</f>
        <v>0</v>
      </c>
    </row>
    <row r="131" spans="1:84" x14ac:dyDescent="0.25">
      <c r="A131" s="27">
        <v>289</v>
      </c>
      <c r="B131" s="2" t="s">
        <v>22</v>
      </c>
      <c r="C131" s="2" t="s">
        <v>23</v>
      </c>
      <c r="D131" s="2" t="s">
        <v>85</v>
      </c>
      <c r="E131" s="2" t="s">
        <v>84</v>
      </c>
      <c r="F131" s="2" t="s">
        <v>151</v>
      </c>
      <c r="G131" s="2" t="s">
        <v>150</v>
      </c>
      <c r="H131" s="2" t="s">
        <v>1106</v>
      </c>
      <c r="I131" s="2" t="s">
        <v>369</v>
      </c>
      <c r="J131" s="2" t="s">
        <v>2710</v>
      </c>
      <c r="K131" s="2" t="s">
        <v>2711</v>
      </c>
      <c r="L131" s="2" t="s">
        <v>3693</v>
      </c>
      <c r="M131" s="2">
        <v>2133</v>
      </c>
      <c r="N131" s="2" t="s">
        <v>1658</v>
      </c>
      <c r="O131" s="2">
        <v>213</v>
      </c>
      <c r="P131" s="2">
        <v>1598</v>
      </c>
      <c r="Q131" s="2" t="s">
        <v>1658</v>
      </c>
      <c r="R131" s="2">
        <v>110</v>
      </c>
      <c r="S131" s="2" t="s">
        <v>1660</v>
      </c>
      <c r="T131" s="2">
        <v>0</v>
      </c>
      <c r="U131" s="2" t="s">
        <v>32</v>
      </c>
      <c r="V131" s="2" t="s">
        <v>32</v>
      </c>
      <c r="W131" s="2" t="s">
        <v>1660</v>
      </c>
      <c r="X131" s="2">
        <v>0</v>
      </c>
      <c r="Y131" s="2" t="s">
        <v>32</v>
      </c>
      <c r="Z131" s="2" t="s">
        <v>32</v>
      </c>
      <c r="AA131" s="2" t="s">
        <v>1658</v>
      </c>
      <c r="AB131" s="2">
        <v>103</v>
      </c>
      <c r="AC131" s="2" t="s">
        <v>1660</v>
      </c>
      <c r="AD131" s="2">
        <v>0</v>
      </c>
      <c r="AE131" s="2" t="s">
        <v>1660</v>
      </c>
      <c r="AF131" s="2">
        <v>0</v>
      </c>
      <c r="AG131" s="2">
        <v>0</v>
      </c>
      <c r="AH131" s="2" t="s">
        <v>32</v>
      </c>
      <c r="AI131" s="2" t="s">
        <v>32</v>
      </c>
      <c r="AJ131" s="2" t="s">
        <v>32</v>
      </c>
      <c r="AK131" s="2" t="s">
        <v>32</v>
      </c>
      <c r="AL131" s="2" t="s">
        <v>32</v>
      </c>
      <c r="AM131" s="2">
        <v>0</v>
      </c>
      <c r="AN131" s="2" t="s">
        <v>32</v>
      </c>
      <c r="AO131" s="2">
        <v>0</v>
      </c>
      <c r="AP131" s="2" t="s">
        <v>32</v>
      </c>
      <c r="AQ131" s="2" t="s">
        <v>32</v>
      </c>
      <c r="AR131" s="2" t="s">
        <v>32</v>
      </c>
      <c r="AS131" s="2">
        <v>0</v>
      </c>
      <c r="AT131" s="2" t="s">
        <v>32</v>
      </c>
      <c r="AU131" s="2" t="s">
        <v>32</v>
      </c>
      <c r="AV131" s="2" t="s">
        <v>32</v>
      </c>
      <c r="AW131" s="2">
        <v>0</v>
      </c>
      <c r="AX131" s="2" t="s">
        <v>32</v>
      </c>
      <c r="AY131" s="2">
        <v>0</v>
      </c>
      <c r="AZ131" s="2" t="s">
        <v>1660</v>
      </c>
      <c r="BA131" s="2">
        <v>0</v>
      </c>
      <c r="BB131" s="2">
        <v>0</v>
      </c>
      <c r="BC131" s="2" t="s">
        <v>32</v>
      </c>
      <c r="BD131" s="2">
        <v>0</v>
      </c>
      <c r="BE131" s="2" t="s">
        <v>32</v>
      </c>
      <c r="BF131" s="2">
        <v>0</v>
      </c>
      <c r="BG131" s="2" t="s">
        <v>32</v>
      </c>
      <c r="BH131" s="2">
        <v>0</v>
      </c>
      <c r="BI131" s="2" t="s">
        <v>32</v>
      </c>
      <c r="BJ131" s="2" t="s">
        <v>32</v>
      </c>
      <c r="BK131" s="2" t="s">
        <v>32</v>
      </c>
      <c r="BL131" s="2">
        <v>0</v>
      </c>
      <c r="BM131" s="2" t="s">
        <v>32</v>
      </c>
      <c r="BN131" s="2" t="s">
        <v>32</v>
      </c>
      <c r="BO131" s="2" t="s">
        <v>32</v>
      </c>
      <c r="BP131" s="2">
        <v>0</v>
      </c>
      <c r="BQ131" s="2" t="s">
        <v>32</v>
      </c>
      <c r="BR131" s="2">
        <v>0</v>
      </c>
      <c r="BS131" s="2" t="s">
        <v>1660</v>
      </c>
      <c r="BT131" s="2">
        <v>0</v>
      </c>
      <c r="BU131" s="2">
        <v>0</v>
      </c>
      <c r="BV131" s="2" t="s">
        <v>1660</v>
      </c>
      <c r="BW131" s="2"/>
      <c r="BX131" s="2"/>
      <c r="BY131" s="2" t="s">
        <v>1807</v>
      </c>
      <c r="BZ131" s="2" t="b">
        <f>OR( (Dashboard[[#This Row],[ref_as_hh]]&gt;=1),(Dashboard[[#This Row],[ret_as_hh]] &gt;=1), (Dashboard[[#This Row],[idp_as_hh]]&gt;=1))</f>
        <v>1</v>
      </c>
      <c r="CA131" s="2">
        <f>Dashboard[[#This Row],[ret_hi_hh]]</f>
        <v>0</v>
      </c>
      <c r="CB131" s="2">
        <f>Dashboard[[#This Row],[idp_fa_hh]]+Dashboard[[#This Row],[ref_fa_hh]]+Dashboard[[#This Row],[ret_fa_hh]]</f>
        <v>110</v>
      </c>
      <c r="CC131" s="2">
        <f>Dashboard[[#This Row],[idp_loc_hh]]+Dashboard[[#This Row],[ref_loc_hh]]+Dashboard[[#This Row],[ret_loc_hh]]</f>
        <v>0</v>
      </c>
      <c r="CD131" s="2">
        <f>Dashboard[[#This Row],[idp_cc_hh]]+Dashboard[[#This Row],[ref_cc_hh]]+Dashboard[[#This Row],[ret_cc_hh]]</f>
        <v>0</v>
      </c>
      <c r="CE131" s="2">
        <f>Dashboard[[#This Row],[idp_as_hh]]+Dashboard[[#This Row],[ref_as_hh]]+Dashboard[[#This Row],[ret_as_hh]]</f>
        <v>103</v>
      </c>
      <c r="CF131" s="2">
        <f>Dashboard[[#This Row],[idp_al_hh]]+Dashboard[[#This Row],[ref_al_hh]]+Dashboard[[#This Row],[ret_al_hh]]</f>
        <v>0</v>
      </c>
    </row>
    <row r="132" spans="1:84" x14ac:dyDescent="0.25">
      <c r="A132" s="27">
        <v>545</v>
      </c>
      <c r="B132" s="2" t="s">
        <v>22</v>
      </c>
      <c r="C132" s="2" t="s">
        <v>23</v>
      </c>
      <c r="D132" s="2" t="s">
        <v>85</v>
      </c>
      <c r="E132" s="2" t="s">
        <v>84</v>
      </c>
      <c r="F132" s="2" t="s">
        <v>151</v>
      </c>
      <c r="G132" s="2" t="s">
        <v>150</v>
      </c>
      <c r="H132" s="2" t="s">
        <v>1100</v>
      </c>
      <c r="I132" s="2" t="s">
        <v>1099</v>
      </c>
      <c r="J132" s="2" t="s">
        <v>2700</v>
      </c>
      <c r="K132" s="2" t="s">
        <v>2701</v>
      </c>
      <c r="L132" s="2" t="s">
        <v>2074</v>
      </c>
      <c r="M132" s="2">
        <v>150</v>
      </c>
      <c r="N132" s="2" t="s">
        <v>1658</v>
      </c>
      <c r="O132" s="2">
        <v>35</v>
      </c>
      <c r="P132" s="2">
        <v>150</v>
      </c>
      <c r="Q132" s="2" t="s">
        <v>1660</v>
      </c>
      <c r="R132" s="2">
        <v>0</v>
      </c>
      <c r="S132" s="2" t="s">
        <v>1660</v>
      </c>
      <c r="T132" s="2">
        <v>0</v>
      </c>
      <c r="U132" s="2" t="s">
        <v>32</v>
      </c>
      <c r="V132" s="2" t="s">
        <v>32</v>
      </c>
      <c r="W132" s="2" t="s">
        <v>1660</v>
      </c>
      <c r="X132" s="2">
        <v>0</v>
      </c>
      <c r="Y132" s="2" t="s">
        <v>32</v>
      </c>
      <c r="Z132" s="2" t="s">
        <v>32</v>
      </c>
      <c r="AA132" s="2" t="s">
        <v>1658</v>
      </c>
      <c r="AB132" s="2">
        <v>35</v>
      </c>
      <c r="AC132" s="2" t="s">
        <v>1660</v>
      </c>
      <c r="AD132" s="2">
        <v>0</v>
      </c>
      <c r="AE132" s="2" t="s">
        <v>1660</v>
      </c>
      <c r="AF132" s="2">
        <v>0</v>
      </c>
      <c r="AG132" s="2">
        <v>0</v>
      </c>
      <c r="AH132" s="2" t="s">
        <v>32</v>
      </c>
      <c r="AI132" s="2" t="s">
        <v>32</v>
      </c>
      <c r="AJ132" s="2" t="s">
        <v>32</v>
      </c>
      <c r="AK132" s="2" t="s">
        <v>32</v>
      </c>
      <c r="AL132" s="2" t="s">
        <v>32</v>
      </c>
      <c r="AM132" s="2">
        <v>0</v>
      </c>
      <c r="AN132" s="2" t="s">
        <v>32</v>
      </c>
      <c r="AO132" s="2">
        <v>0</v>
      </c>
      <c r="AP132" s="2" t="s">
        <v>32</v>
      </c>
      <c r="AQ132" s="2" t="s">
        <v>32</v>
      </c>
      <c r="AR132" s="2" t="s">
        <v>32</v>
      </c>
      <c r="AS132" s="2">
        <v>0</v>
      </c>
      <c r="AT132" s="2" t="s">
        <v>32</v>
      </c>
      <c r="AU132" s="2" t="s">
        <v>32</v>
      </c>
      <c r="AV132" s="2" t="s">
        <v>32</v>
      </c>
      <c r="AW132" s="2">
        <v>0</v>
      </c>
      <c r="AX132" s="2" t="s">
        <v>32</v>
      </c>
      <c r="AY132" s="2">
        <v>0</v>
      </c>
      <c r="AZ132" s="2" t="s">
        <v>1660</v>
      </c>
      <c r="BA132" s="2">
        <v>0</v>
      </c>
      <c r="BB132" s="2">
        <v>0</v>
      </c>
      <c r="BC132" s="2" t="s">
        <v>32</v>
      </c>
      <c r="BD132" s="2">
        <v>0</v>
      </c>
      <c r="BE132" s="2" t="s">
        <v>32</v>
      </c>
      <c r="BF132" s="2">
        <v>0</v>
      </c>
      <c r="BG132" s="2" t="s">
        <v>32</v>
      </c>
      <c r="BH132" s="2">
        <v>0</v>
      </c>
      <c r="BI132" s="2" t="s">
        <v>32</v>
      </c>
      <c r="BJ132" s="2" t="s">
        <v>32</v>
      </c>
      <c r="BK132" s="2" t="s">
        <v>32</v>
      </c>
      <c r="BL132" s="2">
        <v>0</v>
      </c>
      <c r="BM132" s="2" t="s">
        <v>32</v>
      </c>
      <c r="BN132" s="2" t="s">
        <v>32</v>
      </c>
      <c r="BO132" s="2" t="s">
        <v>32</v>
      </c>
      <c r="BP132" s="2">
        <v>0</v>
      </c>
      <c r="BQ132" s="2" t="s">
        <v>32</v>
      </c>
      <c r="BR132" s="2">
        <v>0</v>
      </c>
      <c r="BS132" s="2" t="s">
        <v>1660</v>
      </c>
      <c r="BT132" s="2">
        <v>0</v>
      </c>
      <c r="BU132" s="2">
        <v>0</v>
      </c>
      <c r="BV132" s="2" t="s">
        <v>1660</v>
      </c>
      <c r="BW132" s="2"/>
      <c r="BX132" s="2"/>
      <c r="BY132" s="2" t="s">
        <v>1807</v>
      </c>
      <c r="BZ132" s="2" t="b">
        <f>OR( (Dashboard[[#This Row],[ref_as_hh]]&gt;=1),(Dashboard[[#This Row],[ret_as_hh]] &gt;=1), (Dashboard[[#This Row],[idp_as_hh]]&gt;=1))</f>
        <v>1</v>
      </c>
      <c r="CA132" s="2">
        <f>Dashboard[[#This Row],[ret_hi_hh]]</f>
        <v>0</v>
      </c>
      <c r="CB132" s="2">
        <f>Dashboard[[#This Row],[idp_fa_hh]]+Dashboard[[#This Row],[ref_fa_hh]]+Dashboard[[#This Row],[ret_fa_hh]]</f>
        <v>0</v>
      </c>
      <c r="CC132" s="2">
        <f>Dashboard[[#This Row],[idp_loc_hh]]+Dashboard[[#This Row],[ref_loc_hh]]+Dashboard[[#This Row],[ret_loc_hh]]</f>
        <v>0</v>
      </c>
      <c r="CD132" s="2">
        <f>Dashboard[[#This Row],[idp_cc_hh]]+Dashboard[[#This Row],[ref_cc_hh]]+Dashboard[[#This Row],[ret_cc_hh]]</f>
        <v>0</v>
      </c>
      <c r="CE132" s="2">
        <f>Dashboard[[#This Row],[idp_as_hh]]+Dashboard[[#This Row],[ref_as_hh]]+Dashboard[[#This Row],[ret_as_hh]]</f>
        <v>35</v>
      </c>
      <c r="CF132" s="2">
        <f>Dashboard[[#This Row],[idp_al_hh]]+Dashboard[[#This Row],[ref_al_hh]]+Dashboard[[#This Row],[ret_al_hh]]</f>
        <v>0</v>
      </c>
    </row>
    <row r="133" spans="1:84" hidden="1" x14ac:dyDescent="0.25">
      <c r="A133" s="27">
        <v>290</v>
      </c>
      <c r="B133" s="2" t="s">
        <v>22</v>
      </c>
      <c r="C133" s="2" t="s">
        <v>23</v>
      </c>
      <c r="D133" s="2" t="s">
        <v>85</v>
      </c>
      <c r="E133" s="2" t="s">
        <v>84</v>
      </c>
      <c r="F133" s="2" t="s">
        <v>151</v>
      </c>
      <c r="G133" s="2" t="s">
        <v>150</v>
      </c>
      <c r="H133" s="2" t="s">
        <v>1060</v>
      </c>
      <c r="I133" s="2" t="s">
        <v>776</v>
      </c>
      <c r="J133" s="2" t="s">
        <v>2638</v>
      </c>
      <c r="K133" s="2" t="s">
        <v>2639</v>
      </c>
      <c r="L133" s="2" t="s">
        <v>3695</v>
      </c>
      <c r="M133" s="2">
        <v>0</v>
      </c>
      <c r="N133" s="2" t="s">
        <v>1660</v>
      </c>
      <c r="O133" s="2">
        <v>0</v>
      </c>
      <c r="P133" s="2">
        <v>0</v>
      </c>
      <c r="Q133" s="2" t="s">
        <v>32</v>
      </c>
      <c r="R133" s="2">
        <v>0</v>
      </c>
      <c r="S133" s="2" t="s">
        <v>32</v>
      </c>
      <c r="T133" s="2">
        <v>0</v>
      </c>
      <c r="U133" s="2" t="s">
        <v>32</v>
      </c>
      <c r="V133" s="2" t="s">
        <v>32</v>
      </c>
      <c r="W133" s="2" t="s">
        <v>32</v>
      </c>
      <c r="X133" s="2">
        <v>0</v>
      </c>
      <c r="Y133" s="2" t="s">
        <v>32</v>
      </c>
      <c r="Z133" s="2" t="s">
        <v>32</v>
      </c>
      <c r="AA133" s="2" t="s">
        <v>32</v>
      </c>
      <c r="AB133" s="2">
        <v>0</v>
      </c>
      <c r="AC133" s="2" t="s">
        <v>32</v>
      </c>
      <c r="AD133" s="2">
        <v>0</v>
      </c>
      <c r="AE133" s="2" t="s">
        <v>1660</v>
      </c>
      <c r="AF133" s="2">
        <v>0</v>
      </c>
      <c r="AG133" s="2">
        <v>0</v>
      </c>
      <c r="AH133" s="2" t="s">
        <v>32</v>
      </c>
      <c r="AI133" s="2" t="s">
        <v>32</v>
      </c>
      <c r="AJ133" s="2" t="s">
        <v>32</v>
      </c>
      <c r="AK133" s="2" t="s">
        <v>32</v>
      </c>
      <c r="AL133" s="2" t="s">
        <v>32</v>
      </c>
      <c r="AM133" s="2">
        <v>0</v>
      </c>
      <c r="AN133" s="2" t="s">
        <v>32</v>
      </c>
      <c r="AO133" s="2">
        <v>0</v>
      </c>
      <c r="AP133" s="2" t="s">
        <v>32</v>
      </c>
      <c r="AQ133" s="2" t="s">
        <v>32</v>
      </c>
      <c r="AR133" s="2" t="s">
        <v>32</v>
      </c>
      <c r="AS133" s="2">
        <v>0</v>
      </c>
      <c r="AT133" s="2" t="s">
        <v>32</v>
      </c>
      <c r="AU133" s="2" t="s">
        <v>32</v>
      </c>
      <c r="AV133" s="2" t="s">
        <v>32</v>
      </c>
      <c r="AW133" s="2">
        <v>0</v>
      </c>
      <c r="AX133" s="2" t="s">
        <v>32</v>
      </c>
      <c r="AY133" s="2">
        <v>0</v>
      </c>
      <c r="AZ133" s="2" t="s">
        <v>1660</v>
      </c>
      <c r="BA133" s="2">
        <v>0</v>
      </c>
      <c r="BB133" s="2">
        <v>0</v>
      </c>
      <c r="BC133" s="2" t="s">
        <v>32</v>
      </c>
      <c r="BD133" s="2">
        <v>0</v>
      </c>
      <c r="BE133" s="2" t="s">
        <v>32</v>
      </c>
      <c r="BF133" s="2">
        <v>0</v>
      </c>
      <c r="BG133" s="2" t="s">
        <v>32</v>
      </c>
      <c r="BH133" s="2">
        <v>0</v>
      </c>
      <c r="BI133" s="2" t="s">
        <v>32</v>
      </c>
      <c r="BJ133" s="2" t="s">
        <v>32</v>
      </c>
      <c r="BK133" s="2" t="s">
        <v>32</v>
      </c>
      <c r="BL133" s="2">
        <v>0</v>
      </c>
      <c r="BM133" s="2" t="s">
        <v>32</v>
      </c>
      <c r="BN133" s="2" t="s">
        <v>32</v>
      </c>
      <c r="BO133" s="2" t="s">
        <v>32</v>
      </c>
      <c r="BP133" s="2">
        <v>0</v>
      </c>
      <c r="BQ133" s="2" t="s">
        <v>32</v>
      </c>
      <c r="BR133" s="2">
        <v>0</v>
      </c>
      <c r="BS133" s="2" t="s">
        <v>1660</v>
      </c>
      <c r="BT133" s="2">
        <v>0</v>
      </c>
      <c r="BU133" s="2">
        <v>0</v>
      </c>
      <c r="BV133" s="2" t="s">
        <v>1660</v>
      </c>
      <c r="BW133" s="2"/>
      <c r="BX133" s="2"/>
      <c r="BY133" s="2" t="s">
        <v>1807</v>
      </c>
      <c r="BZ133" s="2" t="b">
        <f>OR( (Dashboard[[#This Row],[ref_as_hh]]&gt;=1),(Dashboard[[#This Row],[ret_as_hh]] &gt;=1), (Dashboard[[#This Row],[idp_as_hh]]&gt;=1))</f>
        <v>0</v>
      </c>
      <c r="CA133" s="2">
        <f>Dashboard[[#This Row],[ret_hi_hh]]</f>
        <v>0</v>
      </c>
      <c r="CB133" s="2">
        <f>Dashboard[[#This Row],[idp_fa_hh]]+Dashboard[[#This Row],[ref_fa_hh]]+Dashboard[[#This Row],[ret_fa_hh]]</f>
        <v>0</v>
      </c>
      <c r="CC133" s="2">
        <f>Dashboard[[#This Row],[idp_loc_hh]]+Dashboard[[#This Row],[ref_loc_hh]]+Dashboard[[#This Row],[ret_loc_hh]]</f>
        <v>0</v>
      </c>
      <c r="CD133" s="2">
        <f>Dashboard[[#This Row],[idp_cc_hh]]+Dashboard[[#This Row],[ref_cc_hh]]+Dashboard[[#This Row],[ret_cc_hh]]</f>
        <v>0</v>
      </c>
      <c r="CE133" s="2">
        <f>Dashboard[[#This Row],[idp_as_hh]]+Dashboard[[#This Row],[ref_as_hh]]+Dashboard[[#This Row],[ret_as_hh]]</f>
        <v>0</v>
      </c>
      <c r="CF133" s="2">
        <f>Dashboard[[#This Row],[idp_al_hh]]+Dashboard[[#This Row],[ref_al_hh]]+Dashboard[[#This Row],[ret_al_hh]]</f>
        <v>0</v>
      </c>
    </row>
    <row r="134" spans="1:84" x14ac:dyDescent="0.25">
      <c r="A134" s="27">
        <v>546</v>
      </c>
      <c r="B134" s="2" t="s">
        <v>22</v>
      </c>
      <c r="C134" s="2" t="s">
        <v>23</v>
      </c>
      <c r="D134" s="2" t="s">
        <v>85</v>
      </c>
      <c r="E134" s="2" t="s">
        <v>84</v>
      </c>
      <c r="F134" s="2" t="s">
        <v>151</v>
      </c>
      <c r="G134" s="2" t="s">
        <v>150</v>
      </c>
      <c r="H134" s="2" t="s">
        <v>1105</v>
      </c>
      <c r="I134" s="2" t="s">
        <v>1104</v>
      </c>
      <c r="J134" s="2" t="s">
        <v>2708</v>
      </c>
      <c r="K134" s="2" t="s">
        <v>2709</v>
      </c>
      <c r="L134" s="2" t="s">
        <v>3694</v>
      </c>
      <c r="M134" s="2">
        <v>1776</v>
      </c>
      <c r="N134" s="2" t="s">
        <v>1658</v>
      </c>
      <c r="O134" s="2">
        <v>82</v>
      </c>
      <c r="P134" s="2">
        <v>656</v>
      </c>
      <c r="Q134" s="2" t="s">
        <v>1660</v>
      </c>
      <c r="R134" s="2">
        <v>0</v>
      </c>
      <c r="S134" s="2" t="s">
        <v>1660</v>
      </c>
      <c r="T134" s="2">
        <v>0</v>
      </c>
      <c r="U134" s="2" t="s">
        <v>32</v>
      </c>
      <c r="V134" s="2" t="s">
        <v>32</v>
      </c>
      <c r="W134" s="2" t="s">
        <v>1660</v>
      </c>
      <c r="X134" s="2">
        <v>0</v>
      </c>
      <c r="Y134" s="2" t="s">
        <v>32</v>
      </c>
      <c r="Z134" s="2" t="s">
        <v>32</v>
      </c>
      <c r="AA134" s="2" t="s">
        <v>1658</v>
      </c>
      <c r="AB134" s="2">
        <v>82</v>
      </c>
      <c r="AC134" s="2" t="s">
        <v>1660</v>
      </c>
      <c r="AD134" s="2">
        <v>0</v>
      </c>
      <c r="AE134" s="2" t="s">
        <v>1658</v>
      </c>
      <c r="AF134" s="2">
        <v>25</v>
      </c>
      <c r="AG134" s="2">
        <v>212</v>
      </c>
      <c r="AH134" s="2" t="s">
        <v>1660</v>
      </c>
      <c r="AI134" s="2" t="s">
        <v>32</v>
      </c>
      <c r="AJ134" s="2" t="s">
        <v>32</v>
      </c>
      <c r="AK134" s="2" t="s">
        <v>32</v>
      </c>
      <c r="AL134" s="2" t="s">
        <v>1660</v>
      </c>
      <c r="AM134" s="2">
        <v>0</v>
      </c>
      <c r="AN134" s="2" t="s">
        <v>1660</v>
      </c>
      <c r="AO134" s="2">
        <v>0</v>
      </c>
      <c r="AP134" s="2" t="s">
        <v>32</v>
      </c>
      <c r="AQ134" s="2" t="s">
        <v>32</v>
      </c>
      <c r="AR134" s="2" t="s">
        <v>1660</v>
      </c>
      <c r="AS134" s="2">
        <v>0</v>
      </c>
      <c r="AT134" s="2" t="s">
        <v>32</v>
      </c>
      <c r="AU134" s="2" t="s">
        <v>32</v>
      </c>
      <c r="AV134" s="2" t="s">
        <v>1658</v>
      </c>
      <c r="AW134" s="2">
        <v>25</v>
      </c>
      <c r="AX134" s="2" t="s">
        <v>1660</v>
      </c>
      <c r="AY134" s="2">
        <v>0</v>
      </c>
      <c r="AZ134" s="2" t="s">
        <v>1660</v>
      </c>
      <c r="BA134" s="2">
        <v>0</v>
      </c>
      <c r="BB134" s="2">
        <v>0</v>
      </c>
      <c r="BC134" s="2" t="s">
        <v>32</v>
      </c>
      <c r="BD134" s="2">
        <v>0</v>
      </c>
      <c r="BE134" s="2" t="s">
        <v>32</v>
      </c>
      <c r="BF134" s="2">
        <v>0</v>
      </c>
      <c r="BG134" s="2" t="s">
        <v>32</v>
      </c>
      <c r="BH134" s="2">
        <v>0</v>
      </c>
      <c r="BI134" s="2" t="s">
        <v>32</v>
      </c>
      <c r="BJ134" s="2" t="s">
        <v>32</v>
      </c>
      <c r="BK134" s="2" t="s">
        <v>32</v>
      </c>
      <c r="BL134" s="2">
        <v>0</v>
      </c>
      <c r="BM134" s="2" t="s">
        <v>32</v>
      </c>
      <c r="BN134" s="2" t="s">
        <v>32</v>
      </c>
      <c r="BO134" s="2" t="s">
        <v>32</v>
      </c>
      <c r="BP134" s="2">
        <v>0</v>
      </c>
      <c r="BQ134" s="2" t="s">
        <v>32</v>
      </c>
      <c r="BR134" s="2">
        <v>0</v>
      </c>
      <c r="BS134" s="2" t="s">
        <v>1660</v>
      </c>
      <c r="BT134" s="2">
        <v>0</v>
      </c>
      <c r="BU134" s="2">
        <v>0</v>
      </c>
      <c r="BV134" s="2" t="s">
        <v>1660</v>
      </c>
      <c r="BW134" s="2"/>
      <c r="BX134" s="2"/>
      <c r="BY134" s="2" t="s">
        <v>1807</v>
      </c>
      <c r="BZ134" s="2" t="b">
        <f>OR( (Dashboard[[#This Row],[ref_as_hh]]&gt;=1),(Dashboard[[#This Row],[ret_as_hh]] &gt;=1), (Dashboard[[#This Row],[idp_as_hh]]&gt;=1))</f>
        <v>1</v>
      </c>
      <c r="CA134" s="2">
        <f>Dashboard[[#This Row],[ret_hi_hh]]</f>
        <v>0</v>
      </c>
      <c r="CB134" s="2">
        <f>Dashboard[[#This Row],[idp_fa_hh]]+Dashboard[[#This Row],[ref_fa_hh]]+Dashboard[[#This Row],[ret_fa_hh]]</f>
        <v>0</v>
      </c>
      <c r="CC134" s="2">
        <f>Dashboard[[#This Row],[idp_loc_hh]]+Dashboard[[#This Row],[ref_loc_hh]]+Dashboard[[#This Row],[ret_loc_hh]]</f>
        <v>0</v>
      </c>
      <c r="CD134" s="2">
        <f>Dashboard[[#This Row],[idp_cc_hh]]+Dashboard[[#This Row],[ref_cc_hh]]+Dashboard[[#This Row],[ret_cc_hh]]</f>
        <v>0</v>
      </c>
      <c r="CE134" s="2">
        <f>Dashboard[[#This Row],[idp_as_hh]]+Dashboard[[#This Row],[ref_as_hh]]+Dashboard[[#This Row],[ret_as_hh]]</f>
        <v>107</v>
      </c>
      <c r="CF134" s="2">
        <f>Dashboard[[#This Row],[idp_al_hh]]+Dashboard[[#This Row],[ref_al_hh]]+Dashboard[[#This Row],[ret_al_hh]]</f>
        <v>0</v>
      </c>
    </row>
    <row r="135" spans="1:84" hidden="1" x14ac:dyDescent="0.25">
      <c r="A135" s="27">
        <v>38</v>
      </c>
      <c r="B135" s="2" t="s">
        <v>22</v>
      </c>
      <c r="C135" s="2" t="s">
        <v>23</v>
      </c>
      <c r="D135" s="2" t="s">
        <v>85</v>
      </c>
      <c r="E135" s="2" t="s">
        <v>84</v>
      </c>
      <c r="F135" s="2" t="s">
        <v>151</v>
      </c>
      <c r="G135" s="2" t="s">
        <v>150</v>
      </c>
      <c r="H135" s="2" t="s">
        <v>1108</v>
      </c>
      <c r="I135" s="2" t="s">
        <v>370</v>
      </c>
      <c r="J135" s="2" t="s">
        <v>2714</v>
      </c>
      <c r="K135" s="2" t="s">
        <v>2715</v>
      </c>
      <c r="L135" s="2" t="s">
        <v>2074</v>
      </c>
      <c r="M135" s="2">
        <v>12869</v>
      </c>
      <c r="N135" s="2" t="s">
        <v>1658</v>
      </c>
      <c r="O135" s="2">
        <v>98</v>
      </c>
      <c r="P135" s="2">
        <v>869</v>
      </c>
      <c r="Q135" s="2" t="s">
        <v>1658</v>
      </c>
      <c r="R135" s="2">
        <v>98</v>
      </c>
      <c r="S135" s="2" t="s">
        <v>1660</v>
      </c>
      <c r="T135" s="2">
        <v>0</v>
      </c>
      <c r="U135" s="2" t="s">
        <v>32</v>
      </c>
      <c r="V135" s="2" t="s">
        <v>32</v>
      </c>
      <c r="W135" s="2" t="s">
        <v>1660</v>
      </c>
      <c r="X135" s="2">
        <v>0</v>
      </c>
      <c r="Y135" s="2" t="s">
        <v>32</v>
      </c>
      <c r="Z135" s="2" t="s">
        <v>32</v>
      </c>
      <c r="AA135" s="2" t="s">
        <v>1660</v>
      </c>
      <c r="AB135" s="2">
        <v>0</v>
      </c>
      <c r="AC135" s="2" t="s">
        <v>1660</v>
      </c>
      <c r="AD135" s="2">
        <v>0</v>
      </c>
      <c r="AE135" s="2" t="s">
        <v>1660</v>
      </c>
      <c r="AF135" s="2">
        <v>0</v>
      </c>
      <c r="AG135" s="2">
        <v>0</v>
      </c>
      <c r="AH135" s="2" t="s">
        <v>32</v>
      </c>
      <c r="AI135" s="2" t="s">
        <v>32</v>
      </c>
      <c r="AJ135" s="2" t="s">
        <v>32</v>
      </c>
      <c r="AK135" s="2" t="s">
        <v>32</v>
      </c>
      <c r="AL135" s="2" t="s">
        <v>32</v>
      </c>
      <c r="AM135" s="2">
        <v>0</v>
      </c>
      <c r="AN135" s="2" t="s">
        <v>32</v>
      </c>
      <c r="AO135" s="2">
        <v>0</v>
      </c>
      <c r="AP135" s="2" t="s">
        <v>32</v>
      </c>
      <c r="AQ135" s="2" t="s">
        <v>32</v>
      </c>
      <c r="AR135" s="2" t="s">
        <v>32</v>
      </c>
      <c r="AS135" s="2">
        <v>0</v>
      </c>
      <c r="AT135" s="2" t="s">
        <v>32</v>
      </c>
      <c r="AU135" s="2" t="s">
        <v>32</v>
      </c>
      <c r="AV135" s="2" t="s">
        <v>32</v>
      </c>
      <c r="AW135" s="2">
        <v>0</v>
      </c>
      <c r="AX135" s="2" t="s">
        <v>32</v>
      </c>
      <c r="AY135" s="2">
        <v>0</v>
      </c>
      <c r="AZ135" s="2" t="s">
        <v>1660</v>
      </c>
      <c r="BA135" s="2">
        <v>0</v>
      </c>
      <c r="BB135" s="2">
        <v>0</v>
      </c>
      <c r="BC135" s="2" t="s">
        <v>32</v>
      </c>
      <c r="BD135" s="2">
        <v>0</v>
      </c>
      <c r="BE135" s="2" t="s">
        <v>32</v>
      </c>
      <c r="BF135" s="2">
        <v>0</v>
      </c>
      <c r="BG135" s="2" t="s">
        <v>32</v>
      </c>
      <c r="BH135" s="2">
        <v>0</v>
      </c>
      <c r="BI135" s="2" t="s">
        <v>32</v>
      </c>
      <c r="BJ135" s="2" t="s">
        <v>32</v>
      </c>
      <c r="BK135" s="2" t="s">
        <v>32</v>
      </c>
      <c r="BL135" s="2">
        <v>0</v>
      </c>
      <c r="BM135" s="2" t="s">
        <v>32</v>
      </c>
      <c r="BN135" s="2" t="s">
        <v>32</v>
      </c>
      <c r="BO135" s="2" t="s">
        <v>32</v>
      </c>
      <c r="BP135" s="2">
        <v>0</v>
      </c>
      <c r="BQ135" s="2" t="s">
        <v>32</v>
      </c>
      <c r="BR135" s="2">
        <v>0</v>
      </c>
      <c r="BS135" s="2" t="s">
        <v>1660</v>
      </c>
      <c r="BT135" s="2">
        <v>0</v>
      </c>
      <c r="BU135" s="2">
        <v>0</v>
      </c>
      <c r="BV135" s="2" t="s">
        <v>1660</v>
      </c>
      <c r="BW135" s="2"/>
      <c r="BX135" s="2"/>
      <c r="BY135" s="2" t="s">
        <v>1807</v>
      </c>
      <c r="BZ135" s="2" t="b">
        <f>OR( (Dashboard[[#This Row],[ref_as_hh]]&gt;=1),(Dashboard[[#This Row],[ret_as_hh]] &gt;=1), (Dashboard[[#This Row],[idp_as_hh]]&gt;=1))</f>
        <v>0</v>
      </c>
      <c r="CA135" s="2">
        <f>Dashboard[[#This Row],[ret_hi_hh]]</f>
        <v>0</v>
      </c>
      <c r="CB135" s="2">
        <f>Dashboard[[#This Row],[idp_fa_hh]]+Dashboard[[#This Row],[ref_fa_hh]]+Dashboard[[#This Row],[ret_fa_hh]]</f>
        <v>98</v>
      </c>
      <c r="CC135" s="2">
        <f>Dashboard[[#This Row],[idp_loc_hh]]+Dashboard[[#This Row],[ref_loc_hh]]+Dashboard[[#This Row],[ret_loc_hh]]</f>
        <v>0</v>
      </c>
      <c r="CD135" s="2">
        <f>Dashboard[[#This Row],[idp_cc_hh]]+Dashboard[[#This Row],[ref_cc_hh]]+Dashboard[[#This Row],[ret_cc_hh]]</f>
        <v>0</v>
      </c>
      <c r="CE135" s="2">
        <f>Dashboard[[#This Row],[idp_as_hh]]+Dashboard[[#This Row],[ref_as_hh]]+Dashboard[[#This Row],[ret_as_hh]]</f>
        <v>0</v>
      </c>
      <c r="CF135" s="2">
        <f>Dashboard[[#This Row],[idp_al_hh]]+Dashboard[[#This Row],[ref_al_hh]]+Dashboard[[#This Row],[ret_al_hh]]</f>
        <v>0</v>
      </c>
    </row>
    <row r="136" spans="1:84" x14ac:dyDescent="0.25">
      <c r="A136" s="27">
        <v>586</v>
      </c>
      <c r="B136" s="2" t="s">
        <v>22</v>
      </c>
      <c r="C136" s="2" t="s">
        <v>23</v>
      </c>
      <c r="D136" s="2" t="s">
        <v>85</v>
      </c>
      <c r="E136" s="2" t="s">
        <v>84</v>
      </c>
      <c r="F136" s="2" t="s">
        <v>151</v>
      </c>
      <c r="G136" s="2" t="s">
        <v>150</v>
      </c>
      <c r="H136" s="2" t="s">
        <v>1098</v>
      </c>
      <c r="I136" s="2" t="s">
        <v>787</v>
      </c>
      <c r="J136" s="2" t="s">
        <v>2698</v>
      </c>
      <c r="K136" s="2" t="s">
        <v>2699</v>
      </c>
      <c r="L136" s="2" t="s">
        <v>3693</v>
      </c>
      <c r="M136" s="2">
        <v>747</v>
      </c>
      <c r="N136" s="2" t="s">
        <v>1658</v>
      </c>
      <c r="O136" s="2">
        <v>89</v>
      </c>
      <c r="P136" s="2">
        <v>440</v>
      </c>
      <c r="Q136" s="2" t="s">
        <v>1660</v>
      </c>
      <c r="R136" s="2">
        <v>0</v>
      </c>
      <c r="S136" s="2" t="s">
        <v>1660</v>
      </c>
      <c r="T136" s="2">
        <v>0</v>
      </c>
      <c r="U136" s="2" t="s">
        <v>32</v>
      </c>
      <c r="V136" s="2" t="s">
        <v>32</v>
      </c>
      <c r="W136" s="2" t="s">
        <v>1660</v>
      </c>
      <c r="X136" s="2">
        <v>0</v>
      </c>
      <c r="Y136" s="2" t="s">
        <v>32</v>
      </c>
      <c r="Z136" s="2" t="s">
        <v>32</v>
      </c>
      <c r="AA136" s="2" t="s">
        <v>1658</v>
      </c>
      <c r="AB136" s="2">
        <v>89</v>
      </c>
      <c r="AC136" s="2" t="s">
        <v>1660</v>
      </c>
      <c r="AD136" s="2">
        <v>0</v>
      </c>
      <c r="AE136" s="2" t="s">
        <v>1658</v>
      </c>
      <c r="AF136" s="2">
        <v>66</v>
      </c>
      <c r="AG136" s="2">
        <v>207</v>
      </c>
      <c r="AH136" s="2" t="s">
        <v>1660</v>
      </c>
      <c r="AI136" s="2" t="s">
        <v>32</v>
      </c>
      <c r="AJ136" s="2" t="s">
        <v>32</v>
      </c>
      <c r="AK136" s="2" t="s">
        <v>32</v>
      </c>
      <c r="AL136" s="2" t="s">
        <v>1660</v>
      </c>
      <c r="AM136" s="2">
        <v>0</v>
      </c>
      <c r="AN136" s="2" t="s">
        <v>1660</v>
      </c>
      <c r="AO136" s="2">
        <v>0</v>
      </c>
      <c r="AP136" s="2" t="s">
        <v>32</v>
      </c>
      <c r="AQ136" s="2" t="s">
        <v>32</v>
      </c>
      <c r="AR136" s="2" t="s">
        <v>1660</v>
      </c>
      <c r="AS136" s="2">
        <v>0</v>
      </c>
      <c r="AT136" s="2" t="s">
        <v>32</v>
      </c>
      <c r="AU136" s="2" t="s">
        <v>32</v>
      </c>
      <c r="AV136" s="2" t="s">
        <v>1658</v>
      </c>
      <c r="AW136" s="2">
        <v>66</v>
      </c>
      <c r="AX136" s="2" t="s">
        <v>1660</v>
      </c>
      <c r="AY136" s="2">
        <v>0</v>
      </c>
      <c r="AZ136" s="2" t="s">
        <v>1660</v>
      </c>
      <c r="BA136" s="2">
        <v>0</v>
      </c>
      <c r="BB136" s="2">
        <v>0</v>
      </c>
      <c r="BC136" s="2" t="s">
        <v>32</v>
      </c>
      <c r="BD136" s="2">
        <v>0</v>
      </c>
      <c r="BE136" s="2" t="s">
        <v>32</v>
      </c>
      <c r="BF136" s="2">
        <v>0</v>
      </c>
      <c r="BG136" s="2" t="s">
        <v>32</v>
      </c>
      <c r="BH136" s="2">
        <v>0</v>
      </c>
      <c r="BI136" s="2" t="s">
        <v>32</v>
      </c>
      <c r="BJ136" s="2" t="s">
        <v>32</v>
      </c>
      <c r="BK136" s="2" t="s">
        <v>32</v>
      </c>
      <c r="BL136" s="2">
        <v>0</v>
      </c>
      <c r="BM136" s="2" t="s">
        <v>32</v>
      </c>
      <c r="BN136" s="2" t="s">
        <v>32</v>
      </c>
      <c r="BO136" s="2" t="s">
        <v>32</v>
      </c>
      <c r="BP136" s="2">
        <v>0</v>
      </c>
      <c r="BQ136" s="2" t="s">
        <v>32</v>
      </c>
      <c r="BR136" s="2">
        <v>0</v>
      </c>
      <c r="BS136" s="2" t="s">
        <v>1660</v>
      </c>
      <c r="BT136" s="2">
        <v>0</v>
      </c>
      <c r="BU136" s="2">
        <v>0</v>
      </c>
      <c r="BV136" s="2" t="s">
        <v>1660</v>
      </c>
      <c r="BW136" s="2"/>
      <c r="BX136" s="2"/>
      <c r="BY136" s="2" t="s">
        <v>1807</v>
      </c>
      <c r="BZ136" s="2" t="b">
        <f>OR( (Dashboard[[#This Row],[ref_as_hh]]&gt;=1),(Dashboard[[#This Row],[ret_as_hh]] &gt;=1), (Dashboard[[#This Row],[idp_as_hh]]&gt;=1))</f>
        <v>1</v>
      </c>
      <c r="CA136" s="2">
        <f>Dashboard[[#This Row],[ret_hi_hh]]</f>
        <v>0</v>
      </c>
      <c r="CB136" s="2">
        <f>Dashboard[[#This Row],[idp_fa_hh]]+Dashboard[[#This Row],[ref_fa_hh]]+Dashboard[[#This Row],[ret_fa_hh]]</f>
        <v>0</v>
      </c>
      <c r="CC136" s="2">
        <f>Dashboard[[#This Row],[idp_loc_hh]]+Dashboard[[#This Row],[ref_loc_hh]]+Dashboard[[#This Row],[ret_loc_hh]]</f>
        <v>0</v>
      </c>
      <c r="CD136" s="2">
        <f>Dashboard[[#This Row],[idp_cc_hh]]+Dashboard[[#This Row],[ref_cc_hh]]+Dashboard[[#This Row],[ret_cc_hh]]</f>
        <v>0</v>
      </c>
      <c r="CE136" s="2">
        <f>Dashboard[[#This Row],[idp_as_hh]]+Dashboard[[#This Row],[ref_as_hh]]+Dashboard[[#This Row],[ret_as_hh]]</f>
        <v>155</v>
      </c>
      <c r="CF136" s="2">
        <f>Dashboard[[#This Row],[idp_al_hh]]+Dashboard[[#This Row],[ref_al_hh]]+Dashboard[[#This Row],[ret_al_hh]]</f>
        <v>0</v>
      </c>
    </row>
    <row r="137" spans="1:84" x14ac:dyDescent="0.25">
      <c r="A137" s="27">
        <v>587</v>
      </c>
      <c r="B137" s="2" t="s">
        <v>22</v>
      </c>
      <c r="C137" s="2" t="s">
        <v>23</v>
      </c>
      <c r="D137" s="2" t="s">
        <v>85</v>
      </c>
      <c r="E137" s="2" t="s">
        <v>84</v>
      </c>
      <c r="F137" s="2" t="s">
        <v>151</v>
      </c>
      <c r="G137" s="2" t="s">
        <v>150</v>
      </c>
      <c r="H137" s="2" t="s">
        <v>1071</v>
      </c>
      <c r="I137" s="2" t="s">
        <v>781</v>
      </c>
      <c r="J137" s="2" t="s">
        <v>2654</v>
      </c>
      <c r="K137" s="2" t="s">
        <v>2655</v>
      </c>
      <c r="L137" s="2" t="s">
        <v>3693</v>
      </c>
      <c r="M137" s="2">
        <v>332</v>
      </c>
      <c r="N137" s="2" t="s">
        <v>1658</v>
      </c>
      <c r="O137" s="2">
        <v>50</v>
      </c>
      <c r="P137" s="2">
        <v>283</v>
      </c>
      <c r="Q137" s="2" t="s">
        <v>1660</v>
      </c>
      <c r="R137" s="2">
        <v>0</v>
      </c>
      <c r="S137" s="2" t="s">
        <v>1660</v>
      </c>
      <c r="T137" s="2">
        <v>0</v>
      </c>
      <c r="U137" s="2" t="s">
        <v>32</v>
      </c>
      <c r="V137" s="2" t="s">
        <v>32</v>
      </c>
      <c r="W137" s="2" t="s">
        <v>1660</v>
      </c>
      <c r="X137" s="2">
        <v>0</v>
      </c>
      <c r="Y137" s="2" t="s">
        <v>32</v>
      </c>
      <c r="Z137" s="2" t="s">
        <v>32</v>
      </c>
      <c r="AA137" s="2" t="s">
        <v>1658</v>
      </c>
      <c r="AB137" s="2">
        <v>50</v>
      </c>
      <c r="AC137" s="2" t="s">
        <v>1660</v>
      </c>
      <c r="AD137" s="2">
        <v>0</v>
      </c>
      <c r="AE137" s="2" t="s">
        <v>1658</v>
      </c>
      <c r="AF137" s="2">
        <v>5</v>
      </c>
      <c r="AG137" s="2">
        <v>49</v>
      </c>
      <c r="AH137" s="2" t="s">
        <v>1660</v>
      </c>
      <c r="AI137" s="2" t="s">
        <v>32</v>
      </c>
      <c r="AJ137" s="2" t="s">
        <v>32</v>
      </c>
      <c r="AK137" s="2" t="s">
        <v>32</v>
      </c>
      <c r="AL137" s="2" t="s">
        <v>1660</v>
      </c>
      <c r="AM137" s="2">
        <v>0</v>
      </c>
      <c r="AN137" s="2" t="s">
        <v>1660</v>
      </c>
      <c r="AO137" s="2">
        <v>0</v>
      </c>
      <c r="AP137" s="2" t="s">
        <v>32</v>
      </c>
      <c r="AQ137" s="2" t="s">
        <v>32</v>
      </c>
      <c r="AR137" s="2" t="s">
        <v>1660</v>
      </c>
      <c r="AS137" s="2">
        <v>0</v>
      </c>
      <c r="AT137" s="2" t="s">
        <v>32</v>
      </c>
      <c r="AU137" s="2" t="s">
        <v>32</v>
      </c>
      <c r="AV137" s="2" t="s">
        <v>1658</v>
      </c>
      <c r="AW137" s="2">
        <v>5</v>
      </c>
      <c r="AX137" s="2" t="s">
        <v>1660</v>
      </c>
      <c r="AY137" s="2">
        <v>0</v>
      </c>
      <c r="AZ137" s="2" t="s">
        <v>1660</v>
      </c>
      <c r="BA137" s="2">
        <v>0</v>
      </c>
      <c r="BB137" s="2">
        <v>0</v>
      </c>
      <c r="BC137" s="2" t="s">
        <v>32</v>
      </c>
      <c r="BD137" s="2">
        <v>0</v>
      </c>
      <c r="BE137" s="2" t="s">
        <v>32</v>
      </c>
      <c r="BF137" s="2">
        <v>0</v>
      </c>
      <c r="BG137" s="2" t="s">
        <v>32</v>
      </c>
      <c r="BH137" s="2">
        <v>0</v>
      </c>
      <c r="BI137" s="2" t="s">
        <v>32</v>
      </c>
      <c r="BJ137" s="2" t="s">
        <v>32</v>
      </c>
      <c r="BK137" s="2" t="s">
        <v>32</v>
      </c>
      <c r="BL137" s="2">
        <v>0</v>
      </c>
      <c r="BM137" s="2" t="s">
        <v>32</v>
      </c>
      <c r="BN137" s="2" t="s">
        <v>32</v>
      </c>
      <c r="BO137" s="2" t="s">
        <v>32</v>
      </c>
      <c r="BP137" s="2">
        <v>0</v>
      </c>
      <c r="BQ137" s="2" t="s">
        <v>32</v>
      </c>
      <c r="BR137" s="2">
        <v>0</v>
      </c>
      <c r="BS137" s="2" t="s">
        <v>1660</v>
      </c>
      <c r="BT137" s="2">
        <v>0</v>
      </c>
      <c r="BU137" s="2">
        <v>0</v>
      </c>
      <c r="BV137" s="2" t="s">
        <v>1660</v>
      </c>
      <c r="BW137" s="2"/>
      <c r="BX137" s="2"/>
      <c r="BY137" s="2" t="s">
        <v>1807</v>
      </c>
      <c r="BZ137" s="2" t="b">
        <f>OR( (Dashboard[[#This Row],[ref_as_hh]]&gt;=1),(Dashboard[[#This Row],[ret_as_hh]] &gt;=1), (Dashboard[[#This Row],[idp_as_hh]]&gt;=1))</f>
        <v>1</v>
      </c>
      <c r="CA137" s="2">
        <f>Dashboard[[#This Row],[ret_hi_hh]]</f>
        <v>0</v>
      </c>
      <c r="CB137" s="2">
        <f>Dashboard[[#This Row],[idp_fa_hh]]+Dashboard[[#This Row],[ref_fa_hh]]+Dashboard[[#This Row],[ret_fa_hh]]</f>
        <v>0</v>
      </c>
      <c r="CC137" s="2">
        <f>Dashboard[[#This Row],[idp_loc_hh]]+Dashboard[[#This Row],[ref_loc_hh]]+Dashboard[[#This Row],[ret_loc_hh]]</f>
        <v>0</v>
      </c>
      <c r="CD137" s="2">
        <f>Dashboard[[#This Row],[idp_cc_hh]]+Dashboard[[#This Row],[ref_cc_hh]]+Dashboard[[#This Row],[ret_cc_hh]]</f>
        <v>0</v>
      </c>
      <c r="CE137" s="2">
        <f>Dashboard[[#This Row],[idp_as_hh]]+Dashboard[[#This Row],[ref_as_hh]]+Dashboard[[#This Row],[ret_as_hh]]</f>
        <v>55</v>
      </c>
      <c r="CF137" s="2">
        <f>Dashboard[[#This Row],[idp_al_hh]]+Dashboard[[#This Row],[ref_al_hh]]+Dashboard[[#This Row],[ret_al_hh]]</f>
        <v>0</v>
      </c>
    </row>
    <row r="138" spans="1:84" x14ac:dyDescent="0.25">
      <c r="A138" s="27">
        <v>588</v>
      </c>
      <c r="B138" s="2" t="s">
        <v>22</v>
      </c>
      <c r="C138" s="2" t="s">
        <v>23</v>
      </c>
      <c r="D138" s="2" t="s">
        <v>85</v>
      </c>
      <c r="E138" s="2" t="s">
        <v>84</v>
      </c>
      <c r="F138" s="2" t="s">
        <v>151</v>
      </c>
      <c r="G138" s="2" t="s">
        <v>150</v>
      </c>
      <c r="H138" s="2" t="s">
        <v>1086</v>
      </c>
      <c r="I138" s="2" t="s">
        <v>1085</v>
      </c>
      <c r="J138" s="2" t="s">
        <v>2678</v>
      </c>
      <c r="K138" s="2" t="s">
        <v>2679</v>
      </c>
      <c r="L138" s="2" t="s">
        <v>2074</v>
      </c>
      <c r="M138" s="2">
        <v>1000</v>
      </c>
      <c r="N138" s="2" t="s">
        <v>1658</v>
      </c>
      <c r="O138" s="2">
        <v>7</v>
      </c>
      <c r="P138" s="2">
        <v>45</v>
      </c>
      <c r="Q138" s="2" t="s">
        <v>32</v>
      </c>
      <c r="R138" s="2">
        <v>0</v>
      </c>
      <c r="S138" s="2" t="s">
        <v>1660</v>
      </c>
      <c r="T138" s="2">
        <v>0</v>
      </c>
      <c r="U138" s="2" t="s">
        <v>32</v>
      </c>
      <c r="V138" s="2" t="s">
        <v>32</v>
      </c>
      <c r="W138" s="2" t="s">
        <v>1660</v>
      </c>
      <c r="X138" s="2">
        <v>0</v>
      </c>
      <c r="Y138" s="2" t="s">
        <v>32</v>
      </c>
      <c r="Z138" s="2" t="s">
        <v>32</v>
      </c>
      <c r="AA138" s="2" t="s">
        <v>1658</v>
      </c>
      <c r="AB138" s="2">
        <v>7</v>
      </c>
      <c r="AC138" s="2" t="s">
        <v>1660</v>
      </c>
      <c r="AD138" s="2">
        <v>0</v>
      </c>
      <c r="AE138" s="2" t="s">
        <v>1660</v>
      </c>
      <c r="AF138" s="2">
        <v>0</v>
      </c>
      <c r="AG138" s="2">
        <v>0</v>
      </c>
      <c r="AH138" s="2" t="s">
        <v>32</v>
      </c>
      <c r="AI138" s="2" t="s">
        <v>32</v>
      </c>
      <c r="AJ138" s="2" t="s">
        <v>32</v>
      </c>
      <c r="AK138" s="2" t="s">
        <v>32</v>
      </c>
      <c r="AL138" s="2" t="s">
        <v>32</v>
      </c>
      <c r="AM138" s="2">
        <v>0</v>
      </c>
      <c r="AN138" s="2" t="s">
        <v>32</v>
      </c>
      <c r="AO138" s="2">
        <v>0</v>
      </c>
      <c r="AP138" s="2" t="s">
        <v>32</v>
      </c>
      <c r="AQ138" s="2" t="s">
        <v>32</v>
      </c>
      <c r="AR138" s="2" t="s">
        <v>32</v>
      </c>
      <c r="AS138" s="2">
        <v>0</v>
      </c>
      <c r="AT138" s="2" t="s">
        <v>32</v>
      </c>
      <c r="AU138" s="2" t="s">
        <v>32</v>
      </c>
      <c r="AV138" s="2" t="s">
        <v>32</v>
      </c>
      <c r="AW138" s="2">
        <v>0</v>
      </c>
      <c r="AX138" s="2" t="s">
        <v>32</v>
      </c>
      <c r="AY138" s="2">
        <v>0</v>
      </c>
      <c r="AZ138" s="2" t="s">
        <v>1660</v>
      </c>
      <c r="BA138" s="2">
        <v>0</v>
      </c>
      <c r="BB138" s="2">
        <v>0</v>
      </c>
      <c r="BC138" s="2" t="s">
        <v>32</v>
      </c>
      <c r="BD138" s="2">
        <v>0</v>
      </c>
      <c r="BE138" s="2" t="s">
        <v>32</v>
      </c>
      <c r="BF138" s="2">
        <v>0</v>
      </c>
      <c r="BG138" s="2" t="s">
        <v>32</v>
      </c>
      <c r="BH138" s="2">
        <v>0</v>
      </c>
      <c r="BI138" s="2" t="s">
        <v>32</v>
      </c>
      <c r="BJ138" s="2" t="s">
        <v>32</v>
      </c>
      <c r="BK138" s="2" t="s">
        <v>32</v>
      </c>
      <c r="BL138" s="2">
        <v>0</v>
      </c>
      <c r="BM138" s="2" t="s">
        <v>32</v>
      </c>
      <c r="BN138" s="2" t="s">
        <v>32</v>
      </c>
      <c r="BO138" s="2" t="s">
        <v>32</v>
      </c>
      <c r="BP138" s="2">
        <v>0</v>
      </c>
      <c r="BQ138" s="2" t="s">
        <v>32</v>
      </c>
      <c r="BR138" s="2">
        <v>0</v>
      </c>
      <c r="BS138" s="2" t="s">
        <v>1660</v>
      </c>
      <c r="BT138" s="2">
        <v>0</v>
      </c>
      <c r="BU138" s="2">
        <v>0</v>
      </c>
      <c r="BV138" s="2" t="s">
        <v>1660</v>
      </c>
      <c r="BW138" s="2"/>
      <c r="BX138" s="2"/>
      <c r="BY138" s="2" t="s">
        <v>1807</v>
      </c>
      <c r="BZ138" s="2" t="b">
        <f>OR( (Dashboard[[#This Row],[ref_as_hh]]&gt;=1),(Dashboard[[#This Row],[ret_as_hh]] &gt;=1), (Dashboard[[#This Row],[idp_as_hh]]&gt;=1))</f>
        <v>1</v>
      </c>
      <c r="CA138" s="2">
        <f>Dashboard[[#This Row],[ret_hi_hh]]</f>
        <v>0</v>
      </c>
      <c r="CB138" s="2">
        <f>Dashboard[[#This Row],[idp_fa_hh]]+Dashboard[[#This Row],[ref_fa_hh]]+Dashboard[[#This Row],[ret_fa_hh]]</f>
        <v>0</v>
      </c>
      <c r="CC138" s="2">
        <f>Dashboard[[#This Row],[idp_loc_hh]]+Dashboard[[#This Row],[ref_loc_hh]]+Dashboard[[#This Row],[ret_loc_hh]]</f>
        <v>0</v>
      </c>
      <c r="CD138" s="2">
        <f>Dashboard[[#This Row],[idp_cc_hh]]+Dashboard[[#This Row],[ref_cc_hh]]+Dashboard[[#This Row],[ret_cc_hh]]</f>
        <v>0</v>
      </c>
      <c r="CE138" s="2">
        <f>Dashboard[[#This Row],[idp_as_hh]]+Dashboard[[#This Row],[ref_as_hh]]+Dashboard[[#This Row],[ret_as_hh]]</f>
        <v>7</v>
      </c>
      <c r="CF138" s="2">
        <f>Dashboard[[#This Row],[idp_al_hh]]+Dashboard[[#This Row],[ref_al_hh]]+Dashboard[[#This Row],[ret_al_hh]]</f>
        <v>0</v>
      </c>
    </row>
    <row r="139" spans="1:84" hidden="1" x14ac:dyDescent="0.25">
      <c r="A139" s="27">
        <v>333</v>
      </c>
      <c r="B139" s="2" t="s">
        <v>22</v>
      </c>
      <c r="C139" s="2" t="s">
        <v>23</v>
      </c>
      <c r="D139" s="2" t="s">
        <v>85</v>
      </c>
      <c r="E139" s="2" t="s">
        <v>84</v>
      </c>
      <c r="F139" s="2" t="s">
        <v>151</v>
      </c>
      <c r="G139" s="2" t="s">
        <v>150</v>
      </c>
      <c r="H139" s="2" t="s">
        <v>1665</v>
      </c>
      <c r="I139" s="2" t="s">
        <v>1666</v>
      </c>
      <c r="J139" s="2" t="s">
        <v>2672</v>
      </c>
      <c r="K139" s="2" t="s">
        <v>2673</v>
      </c>
      <c r="L139" s="2" t="s">
        <v>2080</v>
      </c>
      <c r="M139" s="2">
        <v>0</v>
      </c>
      <c r="N139" s="2" t="s">
        <v>1660</v>
      </c>
      <c r="O139" s="2">
        <v>0</v>
      </c>
      <c r="P139" s="2">
        <v>0</v>
      </c>
      <c r="Q139" s="2" t="s">
        <v>32</v>
      </c>
      <c r="R139" s="2">
        <v>0</v>
      </c>
      <c r="S139" s="2" t="s">
        <v>32</v>
      </c>
      <c r="T139" s="2">
        <v>0</v>
      </c>
      <c r="U139" s="2" t="s">
        <v>32</v>
      </c>
      <c r="V139" s="2" t="s">
        <v>32</v>
      </c>
      <c r="W139" s="2" t="s">
        <v>32</v>
      </c>
      <c r="X139" s="2">
        <v>0</v>
      </c>
      <c r="Y139" s="2" t="s">
        <v>32</v>
      </c>
      <c r="Z139" s="2" t="s">
        <v>32</v>
      </c>
      <c r="AA139" s="2" t="s">
        <v>32</v>
      </c>
      <c r="AB139" s="2">
        <v>0</v>
      </c>
      <c r="AC139" s="2" t="s">
        <v>32</v>
      </c>
      <c r="AD139" s="2">
        <v>0</v>
      </c>
      <c r="AE139" s="2" t="s">
        <v>1660</v>
      </c>
      <c r="AF139" s="2">
        <v>0</v>
      </c>
      <c r="AG139" s="2">
        <v>0</v>
      </c>
      <c r="AH139" s="2" t="s">
        <v>32</v>
      </c>
      <c r="AI139" s="2" t="s">
        <v>32</v>
      </c>
      <c r="AJ139" s="2" t="s">
        <v>32</v>
      </c>
      <c r="AK139" s="2" t="s">
        <v>32</v>
      </c>
      <c r="AL139" s="2" t="s">
        <v>32</v>
      </c>
      <c r="AM139" s="2">
        <v>0</v>
      </c>
      <c r="AN139" s="2" t="s">
        <v>32</v>
      </c>
      <c r="AO139" s="2">
        <v>0</v>
      </c>
      <c r="AP139" s="2" t="s">
        <v>32</v>
      </c>
      <c r="AQ139" s="2" t="s">
        <v>32</v>
      </c>
      <c r="AR139" s="2" t="s">
        <v>32</v>
      </c>
      <c r="AS139" s="2">
        <v>0</v>
      </c>
      <c r="AT139" s="2" t="s">
        <v>32</v>
      </c>
      <c r="AU139" s="2" t="s">
        <v>32</v>
      </c>
      <c r="AV139" s="2" t="s">
        <v>32</v>
      </c>
      <c r="AW139" s="2">
        <v>0</v>
      </c>
      <c r="AX139" s="2" t="s">
        <v>32</v>
      </c>
      <c r="AY139" s="2">
        <v>0</v>
      </c>
      <c r="AZ139" s="2" t="s">
        <v>1660</v>
      </c>
      <c r="BA139" s="2">
        <v>0</v>
      </c>
      <c r="BB139" s="2">
        <v>0</v>
      </c>
      <c r="BC139" s="2" t="s">
        <v>32</v>
      </c>
      <c r="BD139" s="2">
        <v>0</v>
      </c>
      <c r="BE139" s="2" t="s">
        <v>32</v>
      </c>
      <c r="BF139" s="2">
        <v>0</v>
      </c>
      <c r="BG139" s="2" t="s">
        <v>32</v>
      </c>
      <c r="BH139" s="2">
        <v>0</v>
      </c>
      <c r="BI139" s="2" t="s">
        <v>32</v>
      </c>
      <c r="BJ139" s="2" t="s">
        <v>32</v>
      </c>
      <c r="BK139" s="2" t="s">
        <v>32</v>
      </c>
      <c r="BL139" s="2">
        <v>0</v>
      </c>
      <c r="BM139" s="2" t="s">
        <v>32</v>
      </c>
      <c r="BN139" s="2" t="s">
        <v>32</v>
      </c>
      <c r="BO139" s="2" t="s">
        <v>32</v>
      </c>
      <c r="BP139" s="2">
        <v>0</v>
      </c>
      <c r="BQ139" s="2" t="s">
        <v>32</v>
      </c>
      <c r="BR139" s="2">
        <v>0</v>
      </c>
      <c r="BS139" s="2" t="s">
        <v>1660</v>
      </c>
      <c r="BT139" s="2">
        <v>0</v>
      </c>
      <c r="BU139" s="2">
        <v>0</v>
      </c>
      <c r="BV139" s="2" t="s">
        <v>1660</v>
      </c>
      <c r="BW139" s="2"/>
      <c r="BX139" s="2"/>
      <c r="BY139" s="2" t="s">
        <v>1807</v>
      </c>
      <c r="BZ139" s="2" t="b">
        <f>OR( (Dashboard[[#This Row],[ref_as_hh]]&gt;=1),(Dashboard[[#This Row],[ret_as_hh]] &gt;=1), (Dashboard[[#This Row],[idp_as_hh]]&gt;=1))</f>
        <v>0</v>
      </c>
      <c r="CA139" s="2">
        <f>Dashboard[[#This Row],[ret_hi_hh]]</f>
        <v>0</v>
      </c>
      <c r="CB139" s="2">
        <f>Dashboard[[#This Row],[idp_fa_hh]]+Dashboard[[#This Row],[ref_fa_hh]]+Dashboard[[#This Row],[ret_fa_hh]]</f>
        <v>0</v>
      </c>
      <c r="CC139" s="2">
        <f>Dashboard[[#This Row],[idp_loc_hh]]+Dashboard[[#This Row],[ref_loc_hh]]+Dashboard[[#This Row],[ret_loc_hh]]</f>
        <v>0</v>
      </c>
      <c r="CD139" s="2">
        <f>Dashboard[[#This Row],[idp_cc_hh]]+Dashboard[[#This Row],[ref_cc_hh]]+Dashboard[[#This Row],[ret_cc_hh]]</f>
        <v>0</v>
      </c>
      <c r="CE139" s="2">
        <f>Dashboard[[#This Row],[idp_as_hh]]+Dashboard[[#This Row],[ref_as_hh]]+Dashboard[[#This Row],[ret_as_hh]]</f>
        <v>0</v>
      </c>
      <c r="CF139" s="2">
        <f>Dashboard[[#This Row],[idp_al_hh]]+Dashboard[[#This Row],[ref_al_hh]]+Dashboard[[#This Row],[ret_al_hh]]</f>
        <v>0</v>
      </c>
    </row>
    <row r="140" spans="1:84" x14ac:dyDescent="0.25">
      <c r="A140" s="27">
        <v>589</v>
      </c>
      <c r="B140" s="2" t="s">
        <v>22</v>
      </c>
      <c r="C140" s="2" t="s">
        <v>23</v>
      </c>
      <c r="D140" s="2" t="s">
        <v>85</v>
      </c>
      <c r="E140" s="2" t="s">
        <v>84</v>
      </c>
      <c r="F140" s="2" t="s">
        <v>151</v>
      </c>
      <c r="G140" s="2" t="s">
        <v>150</v>
      </c>
      <c r="H140" s="2" t="s">
        <v>1059</v>
      </c>
      <c r="I140" s="2" t="s">
        <v>1058</v>
      </c>
      <c r="J140" s="2" t="s">
        <v>2636</v>
      </c>
      <c r="K140" s="2" t="s">
        <v>2637</v>
      </c>
      <c r="L140" s="2" t="s">
        <v>2074</v>
      </c>
      <c r="M140" s="2">
        <v>250</v>
      </c>
      <c r="N140" s="2" t="s">
        <v>1658</v>
      </c>
      <c r="O140" s="2">
        <v>30</v>
      </c>
      <c r="P140" s="2">
        <v>150</v>
      </c>
      <c r="Q140" s="2" t="s">
        <v>1658</v>
      </c>
      <c r="R140" s="2">
        <v>10</v>
      </c>
      <c r="S140" s="2" t="s">
        <v>1660</v>
      </c>
      <c r="T140" s="2">
        <v>0</v>
      </c>
      <c r="U140" s="2" t="s">
        <v>32</v>
      </c>
      <c r="V140" s="2" t="s">
        <v>32</v>
      </c>
      <c r="W140" s="2" t="s">
        <v>1660</v>
      </c>
      <c r="X140" s="2">
        <v>0</v>
      </c>
      <c r="Y140" s="2" t="s">
        <v>32</v>
      </c>
      <c r="Z140" s="2" t="s">
        <v>32</v>
      </c>
      <c r="AA140" s="2" t="s">
        <v>1658</v>
      </c>
      <c r="AB140" s="2">
        <v>20</v>
      </c>
      <c r="AC140" s="2" t="s">
        <v>1660</v>
      </c>
      <c r="AD140" s="2">
        <v>0</v>
      </c>
      <c r="AE140" s="2" t="s">
        <v>1660</v>
      </c>
      <c r="AF140" s="2">
        <v>0</v>
      </c>
      <c r="AG140" s="2">
        <v>0</v>
      </c>
      <c r="AH140" s="2" t="s">
        <v>32</v>
      </c>
      <c r="AI140" s="2" t="s">
        <v>32</v>
      </c>
      <c r="AJ140" s="2" t="s">
        <v>32</v>
      </c>
      <c r="AK140" s="2" t="s">
        <v>32</v>
      </c>
      <c r="AL140" s="2" t="s">
        <v>32</v>
      </c>
      <c r="AM140" s="2">
        <v>0</v>
      </c>
      <c r="AN140" s="2" t="s">
        <v>32</v>
      </c>
      <c r="AO140" s="2">
        <v>0</v>
      </c>
      <c r="AP140" s="2" t="s">
        <v>32</v>
      </c>
      <c r="AQ140" s="2" t="s">
        <v>32</v>
      </c>
      <c r="AR140" s="2" t="s">
        <v>32</v>
      </c>
      <c r="AS140" s="2">
        <v>0</v>
      </c>
      <c r="AT140" s="2" t="s">
        <v>32</v>
      </c>
      <c r="AU140" s="2" t="s">
        <v>32</v>
      </c>
      <c r="AV140" s="2" t="s">
        <v>32</v>
      </c>
      <c r="AW140" s="2">
        <v>0</v>
      </c>
      <c r="AX140" s="2" t="s">
        <v>32</v>
      </c>
      <c r="AY140" s="2">
        <v>0</v>
      </c>
      <c r="AZ140" s="2" t="s">
        <v>1660</v>
      </c>
      <c r="BA140" s="2">
        <v>0</v>
      </c>
      <c r="BB140" s="2">
        <v>0</v>
      </c>
      <c r="BC140" s="2" t="s">
        <v>32</v>
      </c>
      <c r="BD140" s="2">
        <v>0</v>
      </c>
      <c r="BE140" s="2" t="s">
        <v>32</v>
      </c>
      <c r="BF140" s="2">
        <v>0</v>
      </c>
      <c r="BG140" s="2" t="s">
        <v>32</v>
      </c>
      <c r="BH140" s="2">
        <v>0</v>
      </c>
      <c r="BI140" s="2" t="s">
        <v>32</v>
      </c>
      <c r="BJ140" s="2" t="s">
        <v>32</v>
      </c>
      <c r="BK140" s="2" t="s">
        <v>32</v>
      </c>
      <c r="BL140" s="2">
        <v>0</v>
      </c>
      <c r="BM140" s="2" t="s">
        <v>32</v>
      </c>
      <c r="BN140" s="2" t="s">
        <v>32</v>
      </c>
      <c r="BO140" s="2" t="s">
        <v>32</v>
      </c>
      <c r="BP140" s="2">
        <v>0</v>
      </c>
      <c r="BQ140" s="2" t="s">
        <v>32</v>
      </c>
      <c r="BR140" s="2">
        <v>0</v>
      </c>
      <c r="BS140" s="2" t="s">
        <v>1660</v>
      </c>
      <c r="BT140" s="2">
        <v>0</v>
      </c>
      <c r="BU140" s="2">
        <v>0</v>
      </c>
      <c r="BV140" s="2" t="s">
        <v>1660</v>
      </c>
      <c r="BW140" s="2"/>
      <c r="BX140" s="2"/>
      <c r="BY140" s="2" t="s">
        <v>1807</v>
      </c>
      <c r="BZ140" s="2" t="b">
        <f>OR( (Dashboard[[#This Row],[ref_as_hh]]&gt;=1),(Dashboard[[#This Row],[ret_as_hh]] &gt;=1), (Dashboard[[#This Row],[idp_as_hh]]&gt;=1))</f>
        <v>1</v>
      </c>
      <c r="CA140" s="2">
        <f>Dashboard[[#This Row],[ret_hi_hh]]</f>
        <v>0</v>
      </c>
      <c r="CB140" s="2">
        <f>Dashboard[[#This Row],[idp_fa_hh]]+Dashboard[[#This Row],[ref_fa_hh]]+Dashboard[[#This Row],[ret_fa_hh]]</f>
        <v>10</v>
      </c>
      <c r="CC140" s="2">
        <f>Dashboard[[#This Row],[idp_loc_hh]]+Dashboard[[#This Row],[ref_loc_hh]]+Dashboard[[#This Row],[ret_loc_hh]]</f>
        <v>0</v>
      </c>
      <c r="CD140" s="2">
        <f>Dashboard[[#This Row],[idp_cc_hh]]+Dashboard[[#This Row],[ref_cc_hh]]+Dashboard[[#This Row],[ret_cc_hh]]</f>
        <v>0</v>
      </c>
      <c r="CE140" s="2">
        <f>Dashboard[[#This Row],[idp_as_hh]]+Dashboard[[#This Row],[ref_as_hh]]+Dashboard[[#This Row],[ret_as_hh]]</f>
        <v>20</v>
      </c>
      <c r="CF140" s="2">
        <f>Dashboard[[#This Row],[idp_al_hh]]+Dashboard[[#This Row],[ref_al_hh]]+Dashboard[[#This Row],[ret_al_hh]]</f>
        <v>0</v>
      </c>
    </row>
    <row r="141" spans="1:84" x14ac:dyDescent="0.25">
      <c r="A141" s="27">
        <v>334</v>
      </c>
      <c r="B141" s="2" t="s">
        <v>22</v>
      </c>
      <c r="C141" s="2" t="s">
        <v>23</v>
      </c>
      <c r="D141" s="2" t="s">
        <v>85</v>
      </c>
      <c r="E141" s="2" t="s">
        <v>84</v>
      </c>
      <c r="F141" s="2" t="s">
        <v>151</v>
      </c>
      <c r="G141" s="2" t="s">
        <v>150</v>
      </c>
      <c r="H141" s="2" t="s">
        <v>1068</v>
      </c>
      <c r="I141" s="2" t="s">
        <v>780</v>
      </c>
      <c r="J141" s="2" t="s">
        <v>2650</v>
      </c>
      <c r="K141" s="2" t="s">
        <v>2651</v>
      </c>
      <c r="L141" s="2" t="s">
        <v>2074</v>
      </c>
      <c r="M141" s="2">
        <v>298</v>
      </c>
      <c r="N141" s="2" t="s">
        <v>1658</v>
      </c>
      <c r="O141" s="2">
        <v>70</v>
      </c>
      <c r="P141" s="2">
        <v>298</v>
      </c>
      <c r="Q141" s="2" t="s">
        <v>32</v>
      </c>
      <c r="R141" s="2">
        <v>0</v>
      </c>
      <c r="S141" s="2" t="s">
        <v>1660</v>
      </c>
      <c r="T141" s="2">
        <v>0</v>
      </c>
      <c r="U141" s="2" t="s">
        <v>32</v>
      </c>
      <c r="V141" s="2" t="s">
        <v>32</v>
      </c>
      <c r="W141" s="2" t="s">
        <v>1660</v>
      </c>
      <c r="X141" s="2">
        <v>0</v>
      </c>
      <c r="Y141" s="2" t="s">
        <v>32</v>
      </c>
      <c r="Z141" s="2" t="s">
        <v>32</v>
      </c>
      <c r="AA141" s="2" t="s">
        <v>1658</v>
      </c>
      <c r="AB141" s="2">
        <v>70</v>
      </c>
      <c r="AC141" s="2" t="s">
        <v>1660</v>
      </c>
      <c r="AD141" s="2">
        <v>0</v>
      </c>
      <c r="AE141" s="2" t="s">
        <v>1660</v>
      </c>
      <c r="AF141" s="2">
        <v>0</v>
      </c>
      <c r="AG141" s="2">
        <v>0</v>
      </c>
      <c r="AH141" s="2" t="s">
        <v>32</v>
      </c>
      <c r="AI141" s="2" t="s">
        <v>32</v>
      </c>
      <c r="AJ141" s="2" t="s">
        <v>32</v>
      </c>
      <c r="AK141" s="2" t="s">
        <v>32</v>
      </c>
      <c r="AL141" s="2" t="s">
        <v>32</v>
      </c>
      <c r="AM141" s="2">
        <v>0</v>
      </c>
      <c r="AN141" s="2" t="s">
        <v>32</v>
      </c>
      <c r="AO141" s="2">
        <v>0</v>
      </c>
      <c r="AP141" s="2" t="s">
        <v>32</v>
      </c>
      <c r="AQ141" s="2" t="s">
        <v>32</v>
      </c>
      <c r="AR141" s="2" t="s">
        <v>32</v>
      </c>
      <c r="AS141" s="2">
        <v>0</v>
      </c>
      <c r="AT141" s="2" t="s">
        <v>32</v>
      </c>
      <c r="AU141" s="2" t="s">
        <v>32</v>
      </c>
      <c r="AV141" s="2" t="s">
        <v>32</v>
      </c>
      <c r="AW141" s="2">
        <v>0</v>
      </c>
      <c r="AX141" s="2" t="s">
        <v>32</v>
      </c>
      <c r="AY141" s="2">
        <v>0</v>
      </c>
      <c r="AZ141" s="2" t="s">
        <v>1660</v>
      </c>
      <c r="BA141" s="2">
        <v>0</v>
      </c>
      <c r="BB141" s="2">
        <v>0</v>
      </c>
      <c r="BC141" s="2" t="s">
        <v>32</v>
      </c>
      <c r="BD141" s="2">
        <v>0</v>
      </c>
      <c r="BE141" s="2" t="s">
        <v>32</v>
      </c>
      <c r="BF141" s="2">
        <v>0</v>
      </c>
      <c r="BG141" s="2" t="s">
        <v>32</v>
      </c>
      <c r="BH141" s="2">
        <v>0</v>
      </c>
      <c r="BI141" s="2" t="s">
        <v>32</v>
      </c>
      <c r="BJ141" s="2" t="s">
        <v>32</v>
      </c>
      <c r="BK141" s="2" t="s">
        <v>32</v>
      </c>
      <c r="BL141" s="2">
        <v>0</v>
      </c>
      <c r="BM141" s="2" t="s">
        <v>32</v>
      </c>
      <c r="BN141" s="2" t="s">
        <v>32</v>
      </c>
      <c r="BO141" s="2" t="s">
        <v>32</v>
      </c>
      <c r="BP141" s="2">
        <v>0</v>
      </c>
      <c r="BQ141" s="2" t="s">
        <v>32</v>
      </c>
      <c r="BR141" s="2">
        <v>0</v>
      </c>
      <c r="BS141" s="2" t="s">
        <v>1660</v>
      </c>
      <c r="BT141" s="2">
        <v>0</v>
      </c>
      <c r="BU141" s="2">
        <v>0</v>
      </c>
      <c r="BV141" s="2" t="s">
        <v>1660</v>
      </c>
      <c r="BW141" s="2"/>
      <c r="BX141" s="2"/>
      <c r="BY141" s="2" t="s">
        <v>1807</v>
      </c>
      <c r="BZ141" s="2" t="b">
        <f>OR( (Dashboard[[#This Row],[ref_as_hh]]&gt;=1),(Dashboard[[#This Row],[ret_as_hh]] &gt;=1), (Dashboard[[#This Row],[idp_as_hh]]&gt;=1))</f>
        <v>1</v>
      </c>
      <c r="CA141" s="2">
        <f>Dashboard[[#This Row],[ret_hi_hh]]</f>
        <v>0</v>
      </c>
      <c r="CB141" s="2">
        <f>Dashboard[[#This Row],[idp_fa_hh]]+Dashboard[[#This Row],[ref_fa_hh]]+Dashboard[[#This Row],[ret_fa_hh]]</f>
        <v>0</v>
      </c>
      <c r="CC141" s="2">
        <f>Dashboard[[#This Row],[idp_loc_hh]]+Dashboard[[#This Row],[ref_loc_hh]]+Dashboard[[#This Row],[ret_loc_hh]]</f>
        <v>0</v>
      </c>
      <c r="CD141" s="2">
        <f>Dashboard[[#This Row],[idp_cc_hh]]+Dashboard[[#This Row],[ref_cc_hh]]+Dashboard[[#This Row],[ret_cc_hh]]</f>
        <v>0</v>
      </c>
      <c r="CE141" s="2">
        <f>Dashboard[[#This Row],[idp_as_hh]]+Dashboard[[#This Row],[ref_as_hh]]+Dashboard[[#This Row],[ret_as_hh]]</f>
        <v>70</v>
      </c>
      <c r="CF141" s="2">
        <f>Dashboard[[#This Row],[idp_al_hh]]+Dashboard[[#This Row],[ref_al_hh]]+Dashboard[[#This Row],[ret_al_hh]]</f>
        <v>0</v>
      </c>
    </row>
    <row r="142" spans="1:84" x14ac:dyDescent="0.25">
      <c r="A142" s="27">
        <v>335</v>
      </c>
      <c r="B142" s="2" t="s">
        <v>22</v>
      </c>
      <c r="C142" s="2" t="s">
        <v>23</v>
      </c>
      <c r="D142" s="2" t="s">
        <v>85</v>
      </c>
      <c r="E142" s="2" t="s">
        <v>84</v>
      </c>
      <c r="F142" s="2" t="s">
        <v>151</v>
      </c>
      <c r="G142" s="2" t="s">
        <v>150</v>
      </c>
      <c r="H142" s="2" t="s">
        <v>1080</v>
      </c>
      <c r="I142" s="2" t="s">
        <v>367</v>
      </c>
      <c r="J142" s="2" t="s">
        <v>2664</v>
      </c>
      <c r="K142" s="2" t="s">
        <v>2665</v>
      </c>
      <c r="L142" s="2" t="s">
        <v>2074</v>
      </c>
      <c r="M142" s="2">
        <v>3431</v>
      </c>
      <c r="N142" s="2" t="s">
        <v>1658</v>
      </c>
      <c r="O142" s="2">
        <v>173</v>
      </c>
      <c r="P142" s="2">
        <v>1123</v>
      </c>
      <c r="Q142" s="2" t="s">
        <v>1660</v>
      </c>
      <c r="R142" s="2">
        <v>0</v>
      </c>
      <c r="S142" s="2" t="s">
        <v>1660</v>
      </c>
      <c r="T142" s="2">
        <v>0</v>
      </c>
      <c r="U142" s="2" t="s">
        <v>32</v>
      </c>
      <c r="V142" s="2" t="s">
        <v>32</v>
      </c>
      <c r="W142" s="2" t="s">
        <v>1660</v>
      </c>
      <c r="X142" s="2">
        <v>0</v>
      </c>
      <c r="Y142" s="2" t="s">
        <v>32</v>
      </c>
      <c r="Z142" s="2" t="s">
        <v>32</v>
      </c>
      <c r="AA142" s="2" t="s">
        <v>1658</v>
      </c>
      <c r="AB142" s="2">
        <v>173</v>
      </c>
      <c r="AC142" s="2" t="s">
        <v>1660</v>
      </c>
      <c r="AD142" s="2">
        <v>0</v>
      </c>
      <c r="AE142" s="2" t="s">
        <v>1660</v>
      </c>
      <c r="AF142" s="2">
        <v>0</v>
      </c>
      <c r="AG142" s="2">
        <v>0</v>
      </c>
      <c r="AH142" s="2" t="s">
        <v>32</v>
      </c>
      <c r="AI142" s="2" t="s">
        <v>32</v>
      </c>
      <c r="AJ142" s="2" t="s">
        <v>32</v>
      </c>
      <c r="AK142" s="2" t="s">
        <v>32</v>
      </c>
      <c r="AL142" s="2" t="s">
        <v>32</v>
      </c>
      <c r="AM142" s="2">
        <v>0</v>
      </c>
      <c r="AN142" s="2" t="s">
        <v>32</v>
      </c>
      <c r="AO142" s="2">
        <v>0</v>
      </c>
      <c r="AP142" s="2" t="s">
        <v>32</v>
      </c>
      <c r="AQ142" s="2" t="s">
        <v>32</v>
      </c>
      <c r="AR142" s="2" t="s">
        <v>32</v>
      </c>
      <c r="AS142" s="2">
        <v>0</v>
      </c>
      <c r="AT142" s="2" t="s">
        <v>32</v>
      </c>
      <c r="AU142" s="2" t="s">
        <v>32</v>
      </c>
      <c r="AV142" s="2" t="s">
        <v>32</v>
      </c>
      <c r="AW142" s="2">
        <v>0</v>
      </c>
      <c r="AX142" s="2" t="s">
        <v>32</v>
      </c>
      <c r="AY142" s="2">
        <v>0</v>
      </c>
      <c r="AZ142" s="2" t="s">
        <v>1660</v>
      </c>
      <c r="BA142" s="2">
        <v>0</v>
      </c>
      <c r="BB142" s="2">
        <v>0</v>
      </c>
      <c r="BC142" s="2" t="s">
        <v>32</v>
      </c>
      <c r="BD142" s="2">
        <v>0</v>
      </c>
      <c r="BE142" s="2" t="s">
        <v>32</v>
      </c>
      <c r="BF142" s="2">
        <v>0</v>
      </c>
      <c r="BG142" s="2" t="s">
        <v>32</v>
      </c>
      <c r="BH142" s="2">
        <v>0</v>
      </c>
      <c r="BI142" s="2" t="s">
        <v>32</v>
      </c>
      <c r="BJ142" s="2" t="s">
        <v>32</v>
      </c>
      <c r="BK142" s="2" t="s">
        <v>32</v>
      </c>
      <c r="BL142" s="2">
        <v>0</v>
      </c>
      <c r="BM142" s="2" t="s">
        <v>32</v>
      </c>
      <c r="BN142" s="2" t="s">
        <v>32</v>
      </c>
      <c r="BO142" s="2" t="s">
        <v>32</v>
      </c>
      <c r="BP142" s="2">
        <v>0</v>
      </c>
      <c r="BQ142" s="2" t="s">
        <v>32</v>
      </c>
      <c r="BR142" s="2">
        <v>0</v>
      </c>
      <c r="BS142" s="2" t="s">
        <v>1660</v>
      </c>
      <c r="BT142" s="2">
        <v>0</v>
      </c>
      <c r="BU142" s="2">
        <v>0</v>
      </c>
      <c r="BV142" s="2" t="s">
        <v>1660</v>
      </c>
      <c r="BW142" s="2"/>
      <c r="BX142" s="2"/>
      <c r="BY142" s="2" t="s">
        <v>1807</v>
      </c>
      <c r="BZ142" s="2" t="b">
        <f>OR( (Dashboard[[#This Row],[ref_as_hh]]&gt;=1),(Dashboard[[#This Row],[ret_as_hh]] &gt;=1), (Dashboard[[#This Row],[idp_as_hh]]&gt;=1))</f>
        <v>1</v>
      </c>
      <c r="CA142" s="2">
        <f>Dashboard[[#This Row],[ret_hi_hh]]</f>
        <v>0</v>
      </c>
      <c r="CB142" s="2">
        <f>Dashboard[[#This Row],[idp_fa_hh]]+Dashboard[[#This Row],[ref_fa_hh]]+Dashboard[[#This Row],[ret_fa_hh]]</f>
        <v>0</v>
      </c>
      <c r="CC142" s="2">
        <f>Dashboard[[#This Row],[idp_loc_hh]]+Dashboard[[#This Row],[ref_loc_hh]]+Dashboard[[#This Row],[ret_loc_hh]]</f>
        <v>0</v>
      </c>
      <c r="CD142" s="2">
        <f>Dashboard[[#This Row],[idp_cc_hh]]+Dashboard[[#This Row],[ref_cc_hh]]+Dashboard[[#This Row],[ret_cc_hh]]</f>
        <v>0</v>
      </c>
      <c r="CE142" s="2">
        <f>Dashboard[[#This Row],[idp_as_hh]]+Dashboard[[#This Row],[ref_as_hh]]+Dashboard[[#This Row],[ret_as_hh]]</f>
        <v>173</v>
      </c>
      <c r="CF142" s="2">
        <f>Dashboard[[#This Row],[idp_al_hh]]+Dashboard[[#This Row],[ref_al_hh]]+Dashboard[[#This Row],[ret_al_hh]]</f>
        <v>0</v>
      </c>
    </row>
    <row r="143" spans="1:84" x14ac:dyDescent="0.25">
      <c r="A143" s="27">
        <v>92</v>
      </c>
      <c r="B143" s="2" t="s">
        <v>22</v>
      </c>
      <c r="C143" s="2" t="s">
        <v>23</v>
      </c>
      <c r="D143" s="2" t="s">
        <v>85</v>
      </c>
      <c r="E143" s="2" t="s">
        <v>84</v>
      </c>
      <c r="F143" s="2" t="s">
        <v>151</v>
      </c>
      <c r="G143" s="2" t="s">
        <v>150</v>
      </c>
      <c r="H143" s="2" t="s">
        <v>1081</v>
      </c>
      <c r="I143" s="2" t="s">
        <v>368</v>
      </c>
      <c r="J143" s="2" t="s">
        <v>2666</v>
      </c>
      <c r="K143" s="2" t="s">
        <v>2667</v>
      </c>
      <c r="L143" s="2" t="s">
        <v>2075</v>
      </c>
      <c r="M143" s="2">
        <v>2350</v>
      </c>
      <c r="N143" s="2" t="s">
        <v>1658</v>
      </c>
      <c r="O143" s="2">
        <v>191</v>
      </c>
      <c r="P143" s="2">
        <v>950</v>
      </c>
      <c r="Q143" s="2" t="s">
        <v>1660</v>
      </c>
      <c r="R143" s="2">
        <v>0</v>
      </c>
      <c r="S143" s="2" t="s">
        <v>1660</v>
      </c>
      <c r="T143" s="2">
        <v>0</v>
      </c>
      <c r="U143" s="2" t="s">
        <v>32</v>
      </c>
      <c r="V143" s="2" t="s">
        <v>32</v>
      </c>
      <c r="W143" s="2" t="s">
        <v>1660</v>
      </c>
      <c r="X143" s="2">
        <v>0</v>
      </c>
      <c r="Y143" s="2" t="s">
        <v>32</v>
      </c>
      <c r="Z143" s="2" t="s">
        <v>32</v>
      </c>
      <c r="AA143" s="2" t="s">
        <v>1658</v>
      </c>
      <c r="AB143" s="2">
        <v>191</v>
      </c>
      <c r="AC143" s="2" t="s">
        <v>1660</v>
      </c>
      <c r="AD143" s="2">
        <v>0</v>
      </c>
      <c r="AE143" s="2" t="s">
        <v>1660</v>
      </c>
      <c r="AF143" s="2">
        <v>0</v>
      </c>
      <c r="AG143" s="2">
        <v>0</v>
      </c>
      <c r="AH143" s="2" t="s">
        <v>32</v>
      </c>
      <c r="AI143" s="2" t="s">
        <v>32</v>
      </c>
      <c r="AJ143" s="2" t="s">
        <v>32</v>
      </c>
      <c r="AK143" s="2" t="s">
        <v>32</v>
      </c>
      <c r="AL143" s="2" t="s">
        <v>32</v>
      </c>
      <c r="AM143" s="2">
        <v>0</v>
      </c>
      <c r="AN143" s="2" t="s">
        <v>32</v>
      </c>
      <c r="AO143" s="2">
        <v>0</v>
      </c>
      <c r="AP143" s="2" t="s">
        <v>32</v>
      </c>
      <c r="AQ143" s="2" t="s">
        <v>32</v>
      </c>
      <c r="AR143" s="2" t="s">
        <v>32</v>
      </c>
      <c r="AS143" s="2">
        <v>0</v>
      </c>
      <c r="AT143" s="2" t="s">
        <v>32</v>
      </c>
      <c r="AU143" s="2" t="s">
        <v>32</v>
      </c>
      <c r="AV143" s="2" t="s">
        <v>32</v>
      </c>
      <c r="AW143" s="2">
        <v>0</v>
      </c>
      <c r="AX143" s="2" t="s">
        <v>32</v>
      </c>
      <c r="AY143" s="2">
        <v>0</v>
      </c>
      <c r="AZ143" s="2" t="s">
        <v>1660</v>
      </c>
      <c r="BA143" s="2">
        <v>0</v>
      </c>
      <c r="BB143" s="2">
        <v>0</v>
      </c>
      <c r="BC143" s="2" t="s">
        <v>32</v>
      </c>
      <c r="BD143" s="2">
        <v>0</v>
      </c>
      <c r="BE143" s="2" t="s">
        <v>32</v>
      </c>
      <c r="BF143" s="2">
        <v>0</v>
      </c>
      <c r="BG143" s="2" t="s">
        <v>32</v>
      </c>
      <c r="BH143" s="2">
        <v>0</v>
      </c>
      <c r="BI143" s="2" t="s">
        <v>32</v>
      </c>
      <c r="BJ143" s="2" t="s">
        <v>32</v>
      </c>
      <c r="BK143" s="2" t="s">
        <v>32</v>
      </c>
      <c r="BL143" s="2">
        <v>0</v>
      </c>
      <c r="BM143" s="2" t="s">
        <v>32</v>
      </c>
      <c r="BN143" s="2" t="s">
        <v>32</v>
      </c>
      <c r="BO143" s="2" t="s">
        <v>32</v>
      </c>
      <c r="BP143" s="2">
        <v>0</v>
      </c>
      <c r="BQ143" s="2" t="s">
        <v>32</v>
      </c>
      <c r="BR143" s="2">
        <v>0</v>
      </c>
      <c r="BS143" s="2" t="s">
        <v>1660</v>
      </c>
      <c r="BT143" s="2">
        <v>0</v>
      </c>
      <c r="BU143" s="2">
        <v>0</v>
      </c>
      <c r="BV143" s="2" t="s">
        <v>1660</v>
      </c>
      <c r="BW143" s="2"/>
      <c r="BX143" s="2"/>
      <c r="BY143" s="2" t="s">
        <v>1807</v>
      </c>
      <c r="BZ143" s="2" t="b">
        <f>OR( (Dashboard[[#This Row],[ref_as_hh]]&gt;=1),(Dashboard[[#This Row],[ret_as_hh]] &gt;=1), (Dashboard[[#This Row],[idp_as_hh]]&gt;=1))</f>
        <v>1</v>
      </c>
      <c r="CA143" s="2">
        <f>Dashboard[[#This Row],[ret_hi_hh]]</f>
        <v>0</v>
      </c>
      <c r="CB143" s="2">
        <f>Dashboard[[#This Row],[idp_fa_hh]]+Dashboard[[#This Row],[ref_fa_hh]]+Dashboard[[#This Row],[ret_fa_hh]]</f>
        <v>0</v>
      </c>
      <c r="CC143" s="2">
        <f>Dashboard[[#This Row],[idp_loc_hh]]+Dashboard[[#This Row],[ref_loc_hh]]+Dashboard[[#This Row],[ret_loc_hh]]</f>
        <v>0</v>
      </c>
      <c r="CD143" s="2">
        <f>Dashboard[[#This Row],[idp_cc_hh]]+Dashboard[[#This Row],[ref_cc_hh]]+Dashboard[[#This Row],[ret_cc_hh]]</f>
        <v>0</v>
      </c>
      <c r="CE143" s="2">
        <f>Dashboard[[#This Row],[idp_as_hh]]+Dashboard[[#This Row],[ref_as_hh]]+Dashboard[[#This Row],[ret_as_hh]]</f>
        <v>191</v>
      </c>
      <c r="CF143" s="2">
        <f>Dashboard[[#This Row],[idp_al_hh]]+Dashboard[[#This Row],[ref_al_hh]]+Dashboard[[#This Row],[ret_al_hh]]</f>
        <v>0</v>
      </c>
    </row>
    <row r="144" spans="1:84" x14ac:dyDescent="0.25">
      <c r="A144" s="27">
        <v>93</v>
      </c>
      <c r="B144" s="2" t="s">
        <v>22</v>
      </c>
      <c r="C144" s="2" t="s">
        <v>23</v>
      </c>
      <c r="D144" s="2" t="s">
        <v>85</v>
      </c>
      <c r="E144" s="2" t="s">
        <v>84</v>
      </c>
      <c r="F144" s="2" t="s">
        <v>151</v>
      </c>
      <c r="G144" s="2" t="s">
        <v>150</v>
      </c>
      <c r="H144" s="2" t="s">
        <v>1061</v>
      </c>
      <c r="I144" s="2" t="s">
        <v>774</v>
      </c>
      <c r="J144" s="2" t="s">
        <v>2640</v>
      </c>
      <c r="K144" s="2" t="s">
        <v>2641</v>
      </c>
      <c r="L144" s="2" t="s">
        <v>3698</v>
      </c>
      <c r="M144" s="2">
        <v>142</v>
      </c>
      <c r="N144" s="2" t="s">
        <v>1658</v>
      </c>
      <c r="O144" s="2">
        <v>35</v>
      </c>
      <c r="P144" s="2">
        <v>142</v>
      </c>
      <c r="Q144" s="2" t="s">
        <v>32</v>
      </c>
      <c r="R144" s="2">
        <v>0</v>
      </c>
      <c r="S144" s="2" t="s">
        <v>1660</v>
      </c>
      <c r="T144" s="2">
        <v>0</v>
      </c>
      <c r="U144" s="2" t="s">
        <v>32</v>
      </c>
      <c r="V144" s="2" t="s">
        <v>32</v>
      </c>
      <c r="W144" s="2" t="s">
        <v>1660</v>
      </c>
      <c r="X144" s="2">
        <v>0</v>
      </c>
      <c r="Y144" s="2" t="s">
        <v>32</v>
      </c>
      <c r="Z144" s="2" t="s">
        <v>32</v>
      </c>
      <c r="AA144" s="2" t="s">
        <v>1658</v>
      </c>
      <c r="AB144" s="2">
        <v>35</v>
      </c>
      <c r="AC144" s="2" t="s">
        <v>1660</v>
      </c>
      <c r="AD144" s="2">
        <v>0</v>
      </c>
      <c r="AE144" s="2" t="s">
        <v>1660</v>
      </c>
      <c r="AF144" s="2">
        <v>0</v>
      </c>
      <c r="AG144" s="2">
        <v>0</v>
      </c>
      <c r="AH144" s="2" t="s">
        <v>32</v>
      </c>
      <c r="AI144" s="2" t="s">
        <v>32</v>
      </c>
      <c r="AJ144" s="2" t="s">
        <v>32</v>
      </c>
      <c r="AK144" s="2" t="s">
        <v>32</v>
      </c>
      <c r="AL144" s="2" t="s">
        <v>32</v>
      </c>
      <c r="AM144" s="2">
        <v>0</v>
      </c>
      <c r="AN144" s="2" t="s">
        <v>32</v>
      </c>
      <c r="AO144" s="2">
        <v>0</v>
      </c>
      <c r="AP144" s="2" t="s">
        <v>32</v>
      </c>
      <c r="AQ144" s="2" t="s">
        <v>32</v>
      </c>
      <c r="AR144" s="2" t="s">
        <v>32</v>
      </c>
      <c r="AS144" s="2">
        <v>0</v>
      </c>
      <c r="AT144" s="2" t="s">
        <v>32</v>
      </c>
      <c r="AU144" s="2" t="s">
        <v>32</v>
      </c>
      <c r="AV144" s="2" t="s">
        <v>32</v>
      </c>
      <c r="AW144" s="2">
        <v>0</v>
      </c>
      <c r="AX144" s="2" t="s">
        <v>32</v>
      </c>
      <c r="AY144" s="2">
        <v>0</v>
      </c>
      <c r="AZ144" s="2" t="s">
        <v>1660</v>
      </c>
      <c r="BA144" s="2">
        <v>0</v>
      </c>
      <c r="BB144" s="2">
        <v>0</v>
      </c>
      <c r="BC144" s="2" t="s">
        <v>32</v>
      </c>
      <c r="BD144" s="2">
        <v>0</v>
      </c>
      <c r="BE144" s="2" t="s">
        <v>32</v>
      </c>
      <c r="BF144" s="2">
        <v>0</v>
      </c>
      <c r="BG144" s="2" t="s">
        <v>32</v>
      </c>
      <c r="BH144" s="2">
        <v>0</v>
      </c>
      <c r="BI144" s="2" t="s">
        <v>32</v>
      </c>
      <c r="BJ144" s="2" t="s">
        <v>32</v>
      </c>
      <c r="BK144" s="2" t="s">
        <v>32</v>
      </c>
      <c r="BL144" s="2">
        <v>0</v>
      </c>
      <c r="BM144" s="2" t="s">
        <v>32</v>
      </c>
      <c r="BN144" s="2" t="s">
        <v>32</v>
      </c>
      <c r="BO144" s="2" t="s">
        <v>32</v>
      </c>
      <c r="BP144" s="2">
        <v>0</v>
      </c>
      <c r="BQ144" s="2" t="s">
        <v>32</v>
      </c>
      <c r="BR144" s="2">
        <v>0</v>
      </c>
      <c r="BS144" s="2" t="s">
        <v>1660</v>
      </c>
      <c r="BT144" s="2">
        <v>0</v>
      </c>
      <c r="BU144" s="2">
        <v>0</v>
      </c>
      <c r="BV144" s="2" t="s">
        <v>1660</v>
      </c>
      <c r="BW144" s="2"/>
      <c r="BX144" s="2"/>
      <c r="BY144" s="2" t="s">
        <v>1807</v>
      </c>
      <c r="BZ144" s="2" t="b">
        <f>OR( (Dashboard[[#This Row],[ref_as_hh]]&gt;=1),(Dashboard[[#This Row],[ret_as_hh]] &gt;=1), (Dashboard[[#This Row],[idp_as_hh]]&gt;=1))</f>
        <v>1</v>
      </c>
      <c r="CA144" s="2">
        <f>Dashboard[[#This Row],[ret_hi_hh]]</f>
        <v>0</v>
      </c>
      <c r="CB144" s="2">
        <f>Dashboard[[#This Row],[idp_fa_hh]]+Dashboard[[#This Row],[ref_fa_hh]]+Dashboard[[#This Row],[ret_fa_hh]]</f>
        <v>0</v>
      </c>
      <c r="CC144" s="2">
        <f>Dashboard[[#This Row],[idp_loc_hh]]+Dashboard[[#This Row],[ref_loc_hh]]+Dashboard[[#This Row],[ret_loc_hh]]</f>
        <v>0</v>
      </c>
      <c r="CD144" s="2">
        <f>Dashboard[[#This Row],[idp_cc_hh]]+Dashboard[[#This Row],[ref_cc_hh]]+Dashboard[[#This Row],[ret_cc_hh]]</f>
        <v>0</v>
      </c>
      <c r="CE144" s="2">
        <f>Dashboard[[#This Row],[idp_as_hh]]+Dashboard[[#This Row],[ref_as_hh]]+Dashboard[[#This Row],[ret_as_hh]]</f>
        <v>35</v>
      </c>
      <c r="CF144" s="2">
        <f>Dashboard[[#This Row],[idp_al_hh]]+Dashboard[[#This Row],[ref_al_hh]]+Dashboard[[#This Row],[ret_al_hh]]</f>
        <v>0</v>
      </c>
    </row>
    <row r="145" spans="1:84" hidden="1" x14ac:dyDescent="0.25">
      <c r="A145" s="27">
        <v>98</v>
      </c>
      <c r="B145" s="2" t="s">
        <v>22</v>
      </c>
      <c r="C145" s="2" t="s">
        <v>23</v>
      </c>
      <c r="D145" s="2" t="s">
        <v>85</v>
      </c>
      <c r="E145" s="2" t="s">
        <v>84</v>
      </c>
      <c r="F145" s="2" t="s">
        <v>151</v>
      </c>
      <c r="G145" s="2" t="s">
        <v>150</v>
      </c>
      <c r="H145" s="2" t="s">
        <v>1075</v>
      </c>
      <c r="I145" s="2" t="s">
        <v>1074</v>
      </c>
      <c r="J145" s="2" t="s">
        <v>2658</v>
      </c>
      <c r="K145" s="2" t="s">
        <v>2659</v>
      </c>
      <c r="L145" s="2" t="s">
        <v>2074</v>
      </c>
      <c r="M145" s="2">
        <v>800</v>
      </c>
      <c r="N145" s="2" t="s">
        <v>1658</v>
      </c>
      <c r="O145" s="2">
        <v>18</v>
      </c>
      <c r="P145" s="2">
        <v>130</v>
      </c>
      <c r="Q145" s="2" t="s">
        <v>1658</v>
      </c>
      <c r="R145" s="2">
        <v>18</v>
      </c>
      <c r="S145" s="2" t="s">
        <v>1660</v>
      </c>
      <c r="T145" s="2">
        <v>0</v>
      </c>
      <c r="U145" s="2" t="s">
        <v>32</v>
      </c>
      <c r="V145" s="2" t="s">
        <v>32</v>
      </c>
      <c r="W145" s="2" t="s">
        <v>1660</v>
      </c>
      <c r="X145" s="2">
        <v>0</v>
      </c>
      <c r="Y145" s="2" t="s">
        <v>32</v>
      </c>
      <c r="Z145" s="2" t="s">
        <v>32</v>
      </c>
      <c r="AA145" s="2" t="s">
        <v>1660</v>
      </c>
      <c r="AB145" s="2">
        <v>0</v>
      </c>
      <c r="AC145" s="2" t="s">
        <v>1660</v>
      </c>
      <c r="AD145" s="2">
        <v>0</v>
      </c>
      <c r="AE145" s="2" t="s">
        <v>1660</v>
      </c>
      <c r="AF145" s="2">
        <v>0</v>
      </c>
      <c r="AG145" s="2">
        <v>0</v>
      </c>
      <c r="AH145" s="2" t="s">
        <v>32</v>
      </c>
      <c r="AI145" s="2" t="s">
        <v>32</v>
      </c>
      <c r="AJ145" s="2" t="s">
        <v>32</v>
      </c>
      <c r="AK145" s="2" t="s">
        <v>32</v>
      </c>
      <c r="AL145" s="2" t="s">
        <v>32</v>
      </c>
      <c r="AM145" s="2">
        <v>0</v>
      </c>
      <c r="AN145" s="2" t="s">
        <v>32</v>
      </c>
      <c r="AO145" s="2">
        <v>0</v>
      </c>
      <c r="AP145" s="2" t="s">
        <v>32</v>
      </c>
      <c r="AQ145" s="2" t="s">
        <v>32</v>
      </c>
      <c r="AR145" s="2" t="s">
        <v>32</v>
      </c>
      <c r="AS145" s="2">
        <v>0</v>
      </c>
      <c r="AT145" s="2" t="s">
        <v>32</v>
      </c>
      <c r="AU145" s="2" t="s">
        <v>32</v>
      </c>
      <c r="AV145" s="2" t="s">
        <v>32</v>
      </c>
      <c r="AW145" s="2">
        <v>0</v>
      </c>
      <c r="AX145" s="2" t="s">
        <v>32</v>
      </c>
      <c r="AY145" s="2">
        <v>0</v>
      </c>
      <c r="AZ145" s="2" t="s">
        <v>1660</v>
      </c>
      <c r="BA145" s="2">
        <v>0</v>
      </c>
      <c r="BB145" s="2">
        <v>0</v>
      </c>
      <c r="BC145" s="2" t="s">
        <v>32</v>
      </c>
      <c r="BD145" s="2">
        <v>0</v>
      </c>
      <c r="BE145" s="2" t="s">
        <v>32</v>
      </c>
      <c r="BF145" s="2">
        <v>0</v>
      </c>
      <c r="BG145" s="2" t="s">
        <v>32</v>
      </c>
      <c r="BH145" s="2">
        <v>0</v>
      </c>
      <c r="BI145" s="2" t="s">
        <v>32</v>
      </c>
      <c r="BJ145" s="2" t="s">
        <v>32</v>
      </c>
      <c r="BK145" s="2" t="s">
        <v>32</v>
      </c>
      <c r="BL145" s="2">
        <v>0</v>
      </c>
      <c r="BM145" s="2" t="s">
        <v>32</v>
      </c>
      <c r="BN145" s="2" t="s">
        <v>32</v>
      </c>
      <c r="BO145" s="2" t="s">
        <v>32</v>
      </c>
      <c r="BP145" s="2">
        <v>0</v>
      </c>
      <c r="BQ145" s="2" t="s">
        <v>32</v>
      </c>
      <c r="BR145" s="2">
        <v>0</v>
      </c>
      <c r="BS145" s="2" t="s">
        <v>1660</v>
      </c>
      <c r="BT145" s="2">
        <v>0</v>
      </c>
      <c r="BU145" s="2">
        <v>0</v>
      </c>
      <c r="BV145" s="2" t="s">
        <v>1660</v>
      </c>
      <c r="BW145" s="2"/>
      <c r="BX145" s="2"/>
      <c r="BY145" s="2" t="s">
        <v>1807</v>
      </c>
      <c r="BZ145" s="2" t="b">
        <f>OR( (Dashboard[[#This Row],[ref_as_hh]]&gt;=1),(Dashboard[[#This Row],[ret_as_hh]] &gt;=1), (Dashboard[[#This Row],[idp_as_hh]]&gt;=1))</f>
        <v>0</v>
      </c>
      <c r="CA145" s="2">
        <f>Dashboard[[#This Row],[ret_hi_hh]]</f>
        <v>0</v>
      </c>
      <c r="CB145" s="2">
        <f>Dashboard[[#This Row],[idp_fa_hh]]+Dashboard[[#This Row],[ref_fa_hh]]+Dashboard[[#This Row],[ret_fa_hh]]</f>
        <v>18</v>
      </c>
      <c r="CC145" s="2">
        <f>Dashboard[[#This Row],[idp_loc_hh]]+Dashboard[[#This Row],[ref_loc_hh]]+Dashboard[[#This Row],[ret_loc_hh]]</f>
        <v>0</v>
      </c>
      <c r="CD145" s="2">
        <f>Dashboard[[#This Row],[idp_cc_hh]]+Dashboard[[#This Row],[ref_cc_hh]]+Dashboard[[#This Row],[ret_cc_hh]]</f>
        <v>0</v>
      </c>
      <c r="CE145" s="2">
        <f>Dashboard[[#This Row],[idp_as_hh]]+Dashboard[[#This Row],[ref_as_hh]]+Dashboard[[#This Row],[ret_as_hh]]</f>
        <v>0</v>
      </c>
      <c r="CF145" s="2">
        <f>Dashboard[[#This Row],[idp_al_hh]]+Dashboard[[#This Row],[ref_al_hh]]+Dashboard[[#This Row],[ret_al_hh]]</f>
        <v>0</v>
      </c>
    </row>
    <row r="146" spans="1:84" hidden="1" x14ac:dyDescent="0.25">
      <c r="A146" s="27">
        <v>616</v>
      </c>
      <c r="B146" s="2" t="s">
        <v>22</v>
      </c>
      <c r="C146" s="2" t="s">
        <v>23</v>
      </c>
      <c r="D146" s="2" t="s">
        <v>85</v>
      </c>
      <c r="E146" s="2" t="s">
        <v>84</v>
      </c>
      <c r="F146" s="2" t="s">
        <v>151</v>
      </c>
      <c r="G146" s="2" t="s">
        <v>150</v>
      </c>
      <c r="H146" s="2" t="s">
        <v>1082</v>
      </c>
      <c r="I146" s="2" t="s">
        <v>852</v>
      </c>
      <c r="J146" s="2" t="s">
        <v>2668</v>
      </c>
      <c r="K146" s="2" t="s">
        <v>2669</v>
      </c>
      <c r="L146" s="2" t="s">
        <v>2074</v>
      </c>
      <c r="M146" s="2">
        <v>325</v>
      </c>
      <c r="N146" s="2" t="s">
        <v>1658</v>
      </c>
      <c r="O146" s="2">
        <v>18</v>
      </c>
      <c r="P146" s="2">
        <v>87</v>
      </c>
      <c r="Q146" s="2" t="s">
        <v>1658</v>
      </c>
      <c r="R146" s="2">
        <v>18</v>
      </c>
      <c r="S146" s="2" t="s">
        <v>1660</v>
      </c>
      <c r="T146" s="2">
        <v>0</v>
      </c>
      <c r="U146" s="2" t="s">
        <v>32</v>
      </c>
      <c r="V146" s="2" t="s">
        <v>32</v>
      </c>
      <c r="W146" s="2" t="s">
        <v>1660</v>
      </c>
      <c r="X146" s="2">
        <v>0</v>
      </c>
      <c r="Y146" s="2" t="s">
        <v>32</v>
      </c>
      <c r="Z146" s="2" t="s">
        <v>32</v>
      </c>
      <c r="AA146" s="2" t="s">
        <v>1660</v>
      </c>
      <c r="AB146" s="2">
        <v>0</v>
      </c>
      <c r="AC146" s="2" t="s">
        <v>1660</v>
      </c>
      <c r="AD146" s="2">
        <v>0</v>
      </c>
      <c r="AE146" s="2" t="s">
        <v>1660</v>
      </c>
      <c r="AF146" s="2">
        <v>0</v>
      </c>
      <c r="AG146" s="2">
        <v>0</v>
      </c>
      <c r="AH146" s="2" t="s">
        <v>32</v>
      </c>
      <c r="AI146" s="2" t="s">
        <v>32</v>
      </c>
      <c r="AJ146" s="2" t="s">
        <v>32</v>
      </c>
      <c r="AK146" s="2" t="s">
        <v>32</v>
      </c>
      <c r="AL146" s="2" t="s">
        <v>32</v>
      </c>
      <c r="AM146" s="2">
        <v>0</v>
      </c>
      <c r="AN146" s="2" t="s">
        <v>32</v>
      </c>
      <c r="AO146" s="2">
        <v>0</v>
      </c>
      <c r="AP146" s="2" t="s">
        <v>32</v>
      </c>
      <c r="AQ146" s="2" t="s">
        <v>32</v>
      </c>
      <c r="AR146" s="2" t="s">
        <v>32</v>
      </c>
      <c r="AS146" s="2">
        <v>0</v>
      </c>
      <c r="AT146" s="2" t="s">
        <v>32</v>
      </c>
      <c r="AU146" s="2" t="s">
        <v>32</v>
      </c>
      <c r="AV146" s="2" t="s">
        <v>32</v>
      </c>
      <c r="AW146" s="2">
        <v>0</v>
      </c>
      <c r="AX146" s="2" t="s">
        <v>32</v>
      </c>
      <c r="AY146" s="2">
        <v>0</v>
      </c>
      <c r="AZ146" s="2" t="s">
        <v>1660</v>
      </c>
      <c r="BA146" s="2">
        <v>0</v>
      </c>
      <c r="BB146" s="2">
        <v>0</v>
      </c>
      <c r="BC146" s="2" t="s">
        <v>32</v>
      </c>
      <c r="BD146" s="2">
        <v>0</v>
      </c>
      <c r="BE146" s="2" t="s">
        <v>32</v>
      </c>
      <c r="BF146" s="2">
        <v>0</v>
      </c>
      <c r="BG146" s="2" t="s">
        <v>32</v>
      </c>
      <c r="BH146" s="2">
        <v>0</v>
      </c>
      <c r="BI146" s="2" t="s">
        <v>32</v>
      </c>
      <c r="BJ146" s="2" t="s">
        <v>32</v>
      </c>
      <c r="BK146" s="2" t="s">
        <v>32</v>
      </c>
      <c r="BL146" s="2">
        <v>0</v>
      </c>
      <c r="BM146" s="2" t="s">
        <v>32</v>
      </c>
      <c r="BN146" s="2" t="s">
        <v>32</v>
      </c>
      <c r="BO146" s="2" t="s">
        <v>32</v>
      </c>
      <c r="BP146" s="2">
        <v>0</v>
      </c>
      <c r="BQ146" s="2" t="s">
        <v>32</v>
      </c>
      <c r="BR146" s="2">
        <v>0</v>
      </c>
      <c r="BS146" s="2" t="s">
        <v>1660</v>
      </c>
      <c r="BT146" s="2">
        <v>0</v>
      </c>
      <c r="BU146" s="2">
        <v>0</v>
      </c>
      <c r="BV146" s="2" t="s">
        <v>1660</v>
      </c>
      <c r="BW146" s="2"/>
      <c r="BX146" s="2"/>
      <c r="BY146" s="2" t="s">
        <v>1807</v>
      </c>
      <c r="BZ146" s="2" t="b">
        <f>OR( (Dashboard[[#This Row],[ref_as_hh]]&gt;=1),(Dashboard[[#This Row],[ret_as_hh]] &gt;=1), (Dashboard[[#This Row],[idp_as_hh]]&gt;=1))</f>
        <v>0</v>
      </c>
      <c r="CA146" s="2">
        <f>Dashboard[[#This Row],[ret_hi_hh]]</f>
        <v>0</v>
      </c>
      <c r="CB146" s="2">
        <f>Dashboard[[#This Row],[idp_fa_hh]]+Dashboard[[#This Row],[ref_fa_hh]]+Dashboard[[#This Row],[ret_fa_hh]]</f>
        <v>18</v>
      </c>
      <c r="CC146" s="2">
        <f>Dashboard[[#This Row],[idp_loc_hh]]+Dashboard[[#This Row],[ref_loc_hh]]+Dashboard[[#This Row],[ret_loc_hh]]</f>
        <v>0</v>
      </c>
      <c r="CD146" s="2">
        <f>Dashboard[[#This Row],[idp_cc_hh]]+Dashboard[[#This Row],[ref_cc_hh]]+Dashboard[[#This Row],[ret_cc_hh]]</f>
        <v>0</v>
      </c>
      <c r="CE146" s="2">
        <f>Dashboard[[#This Row],[idp_as_hh]]+Dashboard[[#This Row],[ref_as_hh]]+Dashboard[[#This Row],[ret_as_hh]]</f>
        <v>0</v>
      </c>
      <c r="CF146" s="2">
        <f>Dashboard[[#This Row],[idp_al_hh]]+Dashboard[[#This Row],[ref_al_hh]]+Dashboard[[#This Row],[ret_al_hh]]</f>
        <v>0</v>
      </c>
    </row>
    <row r="147" spans="1:84" x14ac:dyDescent="0.25">
      <c r="A147" s="27">
        <v>623</v>
      </c>
      <c r="B147" s="2" t="s">
        <v>22</v>
      </c>
      <c r="C147" s="2" t="s">
        <v>23</v>
      </c>
      <c r="D147" s="2" t="s">
        <v>85</v>
      </c>
      <c r="E147" s="2" t="s">
        <v>84</v>
      </c>
      <c r="F147" s="2" t="s">
        <v>151</v>
      </c>
      <c r="G147" s="2" t="s">
        <v>150</v>
      </c>
      <c r="H147" s="2" t="s">
        <v>1103</v>
      </c>
      <c r="I147" s="2" t="s">
        <v>789</v>
      </c>
      <c r="J147" s="2" t="s">
        <v>2706</v>
      </c>
      <c r="K147" s="2" t="s">
        <v>2707</v>
      </c>
      <c r="L147" s="2" t="s">
        <v>3699</v>
      </c>
      <c r="M147" s="2">
        <v>455</v>
      </c>
      <c r="N147" s="2" t="s">
        <v>1658</v>
      </c>
      <c r="O147" s="2">
        <v>84</v>
      </c>
      <c r="P147" s="2">
        <v>432</v>
      </c>
      <c r="Q147" s="2" t="s">
        <v>1660</v>
      </c>
      <c r="R147" s="2">
        <v>0</v>
      </c>
      <c r="S147" s="2" t="s">
        <v>1660</v>
      </c>
      <c r="T147" s="2">
        <v>0</v>
      </c>
      <c r="U147" s="2" t="s">
        <v>32</v>
      </c>
      <c r="V147" s="2" t="s">
        <v>32</v>
      </c>
      <c r="W147" s="2" t="s">
        <v>1660</v>
      </c>
      <c r="X147" s="2">
        <v>0</v>
      </c>
      <c r="Y147" s="2" t="s">
        <v>32</v>
      </c>
      <c r="Z147" s="2" t="s">
        <v>32</v>
      </c>
      <c r="AA147" s="2" t="s">
        <v>1658</v>
      </c>
      <c r="AB147" s="2">
        <v>84</v>
      </c>
      <c r="AC147" s="2" t="s">
        <v>1660</v>
      </c>
      <c r="AD147" s="2">
        <v>0</v>
      </c>
      <c r="AE147" s="2" t="s">
        <v>1658</v>
      </c>
      <c r="AF147" s="2">
        <v>50</v>
      </c>
      <c r="AG147" s="2">
        <v>152</v>
      </c>
      <c r="AH147" s="2" t="s">
        <v>1660</v>
      </c>
      <c r="AI147" s="2" t="s">
        <v>32</v>
      </c>
      <c r="AJ147" s="2" t="s">
        <v>32</v>
      </c>
      <c r="AK147" s="2" t="s">
        <v>32</v>
      </c>
      <c r="AL147" s="2" t="s">
        <v>1660</v>
      </c>
      <c r="AM147" s="2">
        <v>0</v>
      </c>
      <c r="AN147" s="2" t="s">
        <v>1660</v>
      </c>
      <c r="AO147" s="2">
        <v>0</v>
      </c>
      <c r="AP147" s="2" t="s">
        <v>32</v>
      </c>
      <c r="AQ147" s="2" t="s">
        <v>32</v>
      </c>
      <c r="AR147" s="2" t="s">
        <v>1660</v>
      </c>
      <c r="AS147" s="2">
        <v>0</v>
      </c>
      <c r="AT147" s="2" t="s">
        <v>32</v>
      </c>
      <c r="AU147" s="2" t="s">
        <v>32</v>
      </c>
      <c r="AV147" s="2" t="s">
        <v>1658</v>
      </c>
      <c r="AW147" s="2">
        <v>50</v>
      </c>
      <c r="AX147" s="2" t="s">
        <v>1660</v>
      </c>
      <c r="AY147" s="2">
        <v>0</v>
      </c>
      <c r="AZ147" s="2" t="s">
        <v>1660</v>
      </c>
      <c r="BA147" s="2">
        <v>0</v>
      </c>
      <c r="BB147" s="2">
        <v>0</v>
      </c>
      <c r="BC147" s="2" t="s">
        <v>32</v>
      </c>
      <c r="BD147" s="2">
        <v>0</v>
      </c>
      <c r="BE147" s="2" t="s">
        <v>32</v>
      </c>
      <c r="BF147" s="2">
        <v>0</v>
      </c>
      <c r="BG147" s="2" t="s">
        <v>32</v>
      </c>
      <c r="BH147" s="2">
        <v>0</v>
      </c>
      <c r="BI147" s="2" t="s">
        <v>32</v>
      </c>
      <c r="BJ147" s="2" t="s">
        <v>32</v>
      </c>
      <c r="BK147" s="2" t="s">
        <v>32</v>
      </c>
      <c r="BL147" s="2">
        <v>0</v>
      </c>
      <c r="BM147" s="2" t="s">
        <v>32</v>
      </c>
      <c r="BN147" s="2" t="s">
        <v>32</v>
      </c>
      <c r="BO147" s="2" t="s">
        <v>32</v>
      </c>
      <c r="BP147" s="2">
        <v>0</v>
      </c>
      <c r="BQ147" s="2" t="s">
        <v>32</v>
      </c>
      <c r="BR147" s="2">
        <v>0</v>
      </c>
      <c r="BS147" s="2" t="s">
        <v>1660</v>
      </c>
      <c r="BT147" s="2">
        <v>0</v>
      </c>
      <c r="BU147" s="2">
        <v>0</v>
      </c>
      <c r="BV147" s="2" t="s">
        <v>1660</v>
      </c>
      <c r="BW147" s="2"/>
      <c r="BX147" s="2"/>
      <c r="BY147" s="2" t="s">
        <v>1807</v>
      </c>
      <c r="BZ147" s="2" t="b">
        <f>OR( (Dashboard[[#This Row],[ref_as_hh]]&gt;=1),(Dashboard[[#This Row],[ret_as_hh]] &gt;=1), (Dashboard[[#This Row],[idp_as_hh]]&gt;=1))</f>
        <v>1</v>
      </c>
      <c r="CA147" s="2">
        <f>Dashboard[[#This Row],[ret_hi_hh]]</f>
        <v>0</v>
      </c>
      <c r="CB147" s="2">
        <f>Dashboard[[#This Row],[idp_fa_hh]]+Dashboard[[#This Row],[ref_fa_hh]]+Dashboard[[#This Row],[ret_fa_hh]]</f>
        <v>0</v>
      </c>
      <c r="CC147" s="2">
        <f>Dashboard[[#This Row],[idp_loc_hh]]+Dashboard[[#This Row],[ref_loc_hh]]+Dashboard[[#This Row],[ret_loc_hh]]</f>
        <v>0</v>
      </c>
      <c r="CD147" s="2">
        <f>Dashboard[[#This Row],[idp_cc_hh]]+Dashboard[[#This Row],[ref_cc_hh]]+Dashboard[[#This Row],[ret_cc_hh]]</f>
        <v>0</v>
      </c>
      <c r="CE147" s="2">
        <f>Dashboard[[#This Row],[idp_as_hh]]+Dashboard[[#This Row],[ref_as_hh]]+Dashboard[[#This Row],[ret_as_hh]]</f>
        <v>134</v>
      </c>
      <c r="CF147" s="2">
        <f>Dashboard[[#This Row],[idp_al_hh]]+Dashboard[[#This Row],[ref_al_hh]]+Dashboard[[#This Row],[ret_al_hh]]</f>
        <v>0</v>
      </c>
    </row>
    <row r="148" spans="1:84" x14ac:dyDescent="0.25">
      <c r="A148" s="27">
        <v>630</v>
      </c>
      <c r="B148" s="2" t="s">
        <v>22</v>
      </c>
      <c r="C148" s="2" t="s">
        <v>23</v>
      </c>
      <c r="D148" s="2" t="s">
        <v>85</v>
      </c>
      <c r="E148" s="2" t="s">
        <v>84</v>
      </c>
      <c r="F148" s="2" t="s">
        <v>151</v>
      </c>
      <c r="G148" s="2" t="s">
        <v>150</v>
      </c>
      <c r="H148" s="2" t="s">
        <v>1084</v>
      </c>
      <c r="I148" s="2" t="s">
        <v>152</v>
      </c>
      <c r="J148" s="2" t="s">
        <v>2676</v>
      </c>
      <c r="K148" s="2" t="s">
        <v>2677</v>
      </c>
      <c r="L148" s="2" t="s">
        <v>2074</v>
      </c>
      <c r="M148" s="2">
        <v>8350</v>
      </c>
      <c r="N148" s="2" t="s">
        <v>1658</v>
      </c>
      <c r="O148" s="2">
        <v>137</v>
      </c>
      <c r="P148" s="2">
        <v>814</v>
      </c>
      <c r="Q148" s="2" t="s">
        <v>1658</v>
      </c>
      <c r="R148" s="2">
        <v>53</v>
      </c>
      <c r="S148" s="2" t="s">
        <v>1660</v>
      </c>
      <c r="T148" s="2">
        <v>0</v>
      </c>
      <c r="U148" s="2" t="s">
        <v>32</v>
      </c>
      <c r="V148" s="2" t="s">
        <v>32</v>
      </c>
      <c r="W148" s="2" t="s">
        <v>1660</v>
      </c>
      <c r="X148" s="2">
        <v>0</v>
      </c>
      <c r="Y148" s="2" t="s">
        <v>32</v>
      </c>
      <c r="Z148" s="2" t="s">
        <v>32</v>
      </c>
      <c r="AA148" s="2" t="s">
        <v>1658</v>
      </c>
      <c r="AB148" s="2">
        <v>84</v>
      </c>
      <c r="AC148" s="2" t="s">
        <v>1660</v>
      </c>
      <c r="AD148" s="2">
        <v>0</v>
      </c>
      <c r="AE148" s="2" t="s">
        <v>1660</v>
      </c>
      <c r="AF148" s="2">
        <v>0</v>
      </c>
      <c r="AG148" s="2">
        <v>0</v>
      </c>
      <c r="AH148" s="2" t="s">
        <v>32</v>
      </c>
      <c r="AI148" s="2" t="s">
        <v>32</v>
      </c>
      <c r="AJ148" s="2" t="s">
        <v>32</v>
      </c>
      <c r="AK148" s="2" t="s">
        <v>32</v>
      </c>
      <c r="AL148" s="2" t="s">
        <v>32</v>
      </c>
      <c r="AM148" s="2">
        <v>0</v>
      </c>
      <c r="AN148" s="2" t="s">
        <v>32</v>
      </c>
      <c r="AO148" s="2">
        <v>0</v>
      </c>
      <c r="AP148" s="2" t="s">
        <v>32</v>
      </c>
      <c r="AQ148" s="2" t="s">
        <v>32</v>
      </c>
      <c r="AR148" s="2" t="s">
        <v>32</v>
      </c>
      <c r="AS148" s="2">
        <v>0</v>
      </c>
      <c r="AT148" s="2" t="s">
        <v>32</v>
      </c>
      <c r="AU148" s="2" t="s">
        <v>32</v>
      </c>
      <c r="AV148" s="2" t="s">
        <v>32</v>
      </c>
      <c r="AW148" s="2">
        <v>0</v>
      </c>
      <c r="AX148" s="2" t="s">
        <v>32</v>
      </c>
      <c r="AY148" s="2">
        <v>0</v>
      </c>
      <c r="AZ148" s="2" t="s">
        <v>1658</v>
      </c>
      <c r="BA148" s="2">
        <v>14</v>
      </c>
      <c r="BB148" s="2">
        <v>70</v>
      </c>
      <c r="BC148" s="2" t="s">
        <v>1658</v>
      </c>
      <c r="BD148" s="2">
        <v>14</v>
      </c>
      <c r="BE148" s="2" t="s">
        <v>1660</v>
      </c>
      <c r="BF148" s="2">
        <v>0</v>
      </c>
      <c r="BG148" s="2" t="s">
        <v>1660</v>
      </c>
      <c r="BH148" s="2">
        <v>0</v>
      </c>
      <c r="BI148" s="2" t="s">
        <v>32</v>
      </c>
      <c r="BJ148" s="2" t="s">
        <v>32</v>
      </c>
      <c r="BK148" s="2" t="s">
        <v>1660</v>
      </c>
      <c r="BL148" s="2">
        <v>0</v>
      </c>
      <c r="BM148" s="2" t="s">
        <v>32</v>
      </c>
      <c r="BN148" s="2" t="s">
        <v>32</v>
      </c>
      <c r="BO148" s="2" t="s">
        <v>1658</v>
      </c>
      <c r="BP148" s="2">
        <v>0</v>
      </c>
      <c r="BQ148" s="2" t="s">
        <v>1660</v>
      </c>
      <c r="BR148" s="2">
        <v>0</v>
      </c>
      <c r="BS148" s="2" t="s">
        <v>1658</v>
      </c>
      <c r="BT148" s="2">
        <v>70</v>
      </c>
      <c r="BU148" s="2">
        <v>449</v>
      </c>
      <c r="BV148" s="2" t="s">
        <v>1660</v>
      </c>
      <c r="BW148" s="2"/>
      <c r="BX148" s="2"/>
      <c r="BY148" s="2" t="s">
        <v>1807</v>
      </c>
      <c r="BZ148" s="2" t="b">
        <f>OR( (Dashboard[[#This Row],[ref_as_hh]]&gt;=1),(Dashboard[[#This Row],[ret_as_hh]] &gt;=1), (Dashboard[[#This Row],[idp_as_hh]]&gt;=1))</f>
        <v>1</v>
      </c>
      <c r="CA148" s="2">
        <f>Dashboard[[#This Row],[ret_hi_hh]]</f>
        <v>14</v>
      </c>
      <c r="CB148" s="2">
        <f>Dashboard[[#This Row],[idp_fa_hh]]+Dashboard[[#This Row],[ref_fa_hh]]+Dashboard[[#This Row],[ret_fa_hh]]</f>
        <v>53</v>
      </c>
      <c r="CC148" s="2">
        <f>Dashboard[[#This Row],[idp_loc_hh]]+Dashboard[[#This Row],[ref_loc_hh]]+Dashboard[[#This Row],[ret_loc_hh]]</f>
        <v>0</v>
      </c>
      <c r="CD148" s="2">
        <f>Dashboard[[#This Row],[idp_cc_hh]]+Dashboard[[#This Row],[ref_cc_hh]]+Dashboard[[#This Row],[ret_cc_hh]]</f>
        <v>0</v>
      </c>
      <c r="CE148" s="2">
        <f>Dashboard[[#This Row],[idp_as_hh]]+Dashboard[[#This Row],[ref_as_hh]]+Dashboard[[#This Row],[ret_as_hh]]</f>
        <v>84</v>
      </c>
      <c r="CF148" s="2">
        <f>Dashboard[[#This Row],[idp_al_hh]]+Dashboard[[#This Row],[ref_al_hh]]+Dashboard[[#This Row],[ret_al_hh]]</f>
        <v>0</v>
      </c>
    </row>
    <row r="149" spans="1:84" hidden="1" x14ac:dyDescent="0.25">
      <c r="A149" s="27">
        <v>631</v>
      </c>
      <c r="B149" s="2" t="s">
        <v>22</v>
      </c>
      <c r="C149" s="2" t="s">
        <v>23</v>
      </c>
      <c r="D149" s="2" t="s">
        <v>85</v>
      </c>
      <c r="E149" s="2" t="s">
        <v>84</v>
      </c>
      <c r="F149" s="2" t="s">
        <v>151</v>
      </c>
      <c r="G149" s="2" t="s">
        <v>150</v>
      </c>
      <c r="H149" s="2" t="s">
        <v>1055</v>
      </c>
      <c r="I149" s="2" t="s">
        <v>1054</v>
      </c>
      <c r="J149" s="2" t="s">
        <v>2632</v>
      </c>
      <c r="K149" s="2" t="s">
        <v>2633</v>
      </c>
      <c r="L149" s="2" t="s">
        <v>2074</v>
      </c>
      <c r="M149" s="2">
        <v>260</v>
      </c>
      <c r="N149" s="2" t="s">
        <v>1658</v>
      </c>
      <c r="O149" s="2">
        <v>34</v>
      </c>
      <c r="P149" s="2">
        <v>98</v>
      </c>
      <c r="Q149" s="2" t="s">
        <v>1658</v>
      </c>
      <c r="R149" s="2">
        <v>34</v>
      </c>
      <c r="S149" s="2" t="s">
        <v>1660</v>
      </c>
      <c r="T149" s="2">
        <v>0</v>
      </c>
      <c r="U149" s="2" t="s">
        <v>32</v>
      </c>
      <c r="V149" s="2" t="s">
        <v>32</v>
      </c>
      <c r="W149" s="2" t="s">
        <v>1660</v>
      </c>
      <c r="X149" s="2">
        <v>0</v>
      </c>
      <c r="Y149" s="2" t="s">
        <v>32</v>
      </c>
      <c r="Z149" s="2" t="s">
        <v>32</v>
      </c>
      <c r="AA149" s="2" t="s">
        <v>1660</v>
      </c>
      <c r="AB149" s="2">
        <v>0</v>
      </c>
      <c r="AC149" s="2" t="s">
        <v>1660</v>
      </c>
      <c r="AD149" s="2">
        <v>0</v>
      </c>
      <c r="AE149" s="2" t="s">
        <v>1660</v>
      </c>
      <c r="AF149" s="2">
        <v>0</v>
      </c>
      <c r="AG149" s="2">
        <v>0</v>
      </c>
      <c r="AH149" s="2" t="s">
        <v>32</v>
      </c>
      <c r="AI149" s="2" t="s">
        <v>32</v>
      </c>
      <c r="AJ149" s="2" t="s">
        <v>32</v>
      </c>
      <c r="AK149" s="2" t="s">
        <v>32</v>
      </c>
      <c r="AL149" s="2" t="s">
        <v>32</v>
      </c>
      <c r="AM149" s="2">
        <v>0</v>
      </c>
      <c r="AN149" s="2" t="s">
        <v>32</v>
      </c>
      <c r="AO149" s="2">
        <v>0</v>
      </c>
      <c r="AP149" s="2" t="s">
        <v>32</v>
      </c>
      <c r="AQ149" s="2" t="s">
        <v>32</v>
      </c>
      <c r="AR149" s="2" t="s">
        <v>32</v>
      </c>
      <c r="AS149" s="2">
        <v>0</v>
      </c>
      <c r="AT149" s="2" t="s">
        <v>32</v>
      </c>
      <c r="AU149" s="2" t="s">
        <v>32</v>
      </c>
      <c r="AV149" s="2" t="s">
        <v>32</v>
      </c>
      <c r="AW149" s="2">
        <v>0</v>
      </c>
      <c r="AX149" s="2" t="s">
        <v>32</v>
      </c>
      <c r="AY149" s="2">
        <v>0</v>
      </c>
      <c r="AZ149" s="2" t="s">
        <v>1660</v>
      </c>
      <c r="BA149" s="2">
        <v>0</v>
      </c>
      <c r="BB149" s="2">
        <v>0</v>
      </c>
      <c r="BC149" s="2" t="s">
        <v>32</v>
      </c>
      <c r="BD149" s="2">
        <v>0</v>
      </c>
      <c r="BE149" s="2" t="s">
        <v>32</v>
      </c>
      <c r="BF149" s="2">
        <v>0</v>
      </c>
      <c r="BG149" s="2" t="s">
        <v>32</v>
      </c>
      <c r="BH149" s="2">
        <v>0</v>
      </c>
      <c r="BI149" s="2" t="s">
        <v>32</v>
      </c>
      <c r="BJ149" s="2" t="s">
        <v>32</v>
      </c>
      <c r="BK149" s="2" t="s">
        <v>32</v>
      </c>
      <c r="BL149" s="2">
        <v>0</v>
      </c>
      <c r="BM149" s="2" t="s">
        <v>32</v>
      </c>
      <c r="BN149" s="2" t="s">
        <v>32</v>
      </c>
      <c r="BO149" s="2" t="s">
        <v>32</v>
      </c>
      <c r="BP149" s="2">
        <v>0</v>
      </c>
      <c r="BQ149" s="2" t="s">
        <v>32</v>
      </c>
      <c r="BR149" s="2">
        <v>0</v>
      </c>
      <c r="BS149" s="2" t="s">
        <v>1660</v>
      </c>
      <c r="BT149" s="2">
        <v>0</v>
      </c>
      <c r="BU149" s="2">
        <v>0</v>
      </c>
      <c r="BV149" s="2" t="s">
        <v>1660</v>
      </c>
      <c r="BW149" s="2"/>
      <c r="BX149" s="2"/>
      <c r="BY149" s="2" t="s">
        <v>1807</v>
      </c>
      <c r="BZ149" s="2" t="b">
        <f>OR( (Dashboard[[#This Row],[ref_as_hh]]&gt;=1),(Dashboard[[#This Row],[ret_as_hh]] &gt;=1), (Dashboard[[#This Row],[idp_as_hh]]&gt;=1))</f>
        <v>0</v>
      </c>
      <c r="CA149" s="2">
        <f>Dashboard[[#This Row],[ret_hi_hh]]</f>
        <v>0</v>
      </c>
      <c r="CB149" s="2">
        <f>Dashboard[[#This Row],[idp_fa_hh]]+Dashboard[[#This Row],[ref_fa_hh]]+Dashboard[[#This Row],[ret_fa_hh]]</f>
        <v>34</v>
      </c>
      <c r="CC149" s="2">
        <f>Dashboard[[#This Row],[idp_loc_hh]]+Dashboard[[#This Row],[ref_loc_hh]]+Dashboard[[#This Row],[ret_loc_hh]]</f>
        <v>0</v>
      </c>
      <c r="CD149" s="2">
        <f>Dashboard[[#This Row],[idp_cc_hh]]+Dashboard[[#This Row],[ref_cc_hh]]+Dashboard[[#This Row],[ret_cc_hh]]</f>
        <v>0</v>
      </c>
      <c r="CE149" s="2">
        <f>Dashboard[[#This Row],[idp_as_hh]]+Dashboard[[#This Row],[ref_as_hh]]+Dashboard[[#This Row],[ret_as_hh]]</f>
        <v>0</v>
      </c>
      <c r="CF149" s="2">
        <f>Dashboard[[#This Row],[idp_al_hh]]+Dashboard[[#This Row],[ref_al_hh]]+Dashboard[[#This Row],[ret_al_hh]]</f>
        <v>0</v>
      </c>
    </row>
    <row r="150" spans="1:84" hidden="1" x14ac:dyDescent="0.25">
      <c r="A150" s="27">
        <v>668</v>
      </c>
      <c r="B150" s="2" t="s">
        <v>22</v>
      </c>
      <c r="C150" s="2" t="s">
        <v>23</v>
      </c>
      <c r="D150" s="2" t="s">
        <v>85</v>
      </c>
      <c r="E150" s="2" t="s">
        <v>84</v>
      </c>
      <c r="F150" s="2" t="s">
        <v>151</v>
      </c>
      <c r="G150" s="2" t="s">
        <v>150</v>
      </c>
      <c r="H150" s="2" t="s">
        <v>1083</v>
      </c>
      <c r="I150" s="2" t="s">
        <v>697</v>
      </c>
      <c r="J150" s="2" t="s">
        <v>2674</v>
      </c>
      <c r="K150" s="2" t="s">
        <v>2675</v>
      </c>
      <c r="L150" s="2" t="s">
        <v>3700</v>
      </c>
      <c r="M150" s="2">
        <v>900</v>
      </c>
      <c r="N150" s="2" t="s">
        <v>1658</v>
      </c>
      <c r="O150" s="2">
        <v>35</v>
      </c>
      <c r="P150" s="2">
        <v>350</v>
      </c>
      <c r="Q150" s="2" t="s">
        <v>1658</v>
      </c>
      <c r="R150" s="2">
        <v>35</v>
      </c>
      <c r="S150" s="2" t="s">
        <v>1660</v>
      </c>
      <c r="T150" s="2">
        <v>0</v>
      </c>
      <c r="U150" s="2" t="s">
        <v>32</v>
      </c>
      <c r="V150" s="2" t="s">
        <v>32</v>
      </c>
      <c r="W150" s="2" t="s">
        <v>1660</v>
      </c>
      <c r="X150" s="2">
        <v>0</v>
      </c>
      <c r="Y150" s="2" t="s">
        <v>32</v>
      </c>
      <c r="Z150" s="2" t="s">
        <v>32</v>
      </c>
      <c r="AA150" s="2" t="s">
        <v>1660</v>
      </c>
      <c r="AB150" s="2">
        <v>0</v>
      </c>
      <c r="AC150" s="2" t="s">
        <v>1660</v>
      </c>
      <c r="AD150" s="2">
        <v>0</v>
      </c>
      <c r="AE150" s="2" t="s">
        <v>1660</v>
      </c>
      <c r="AF150" s="2">
        <v>0</v>
      </c>
      <c r="AG150" s="2">
        <v>0</v>
      </c>
      <c r="AH150" s="2" t="s">
        <v>32</v>
      </c>
      <c r="AI150" s="2" t="s">
        <v>32</v>
      </c>
      <c r="AJ150" s="2" t="s">
        <v>32</v>
      </c>
      <c r="AK150" s="2" t="s">
        <v>32</v>
      </c>
      <c r="AL150" s="2" t="s">
        <v>32</v>
      </c>
      <c r="AM150" s="2">
        <v>0</v>
      </c>
      <c r="AN150" s="2" t="s">
        <v>32</v>
      </c>
      <c r="AO150" s="2">
        <v>0</v>
      </c>
      <c r="AP150" s="2" t="s">
        <v>32</v>
      </c>
      <c r="AQ150" s="2" t="s">
        <v>32</v>
      </c>
      <c r="AR150" s="2" t="s">
        <v>32</v>
      </c>
      <c r="AS150" s="2">
        <v>0</v>
      </c>
      <c r="AT150" s="2" t="s">
        <v>32</v>
      </c>
      <c r="AU150" s="2" t="s">
        <v>32</v>
      </c>
      <c r="AV150" s="2" t="s">
        <v>32</v>
      </c>
      <c r="AW150" s="2">
        <v>0</v>
      </c>
      <c r="AX150" s="2" t="s">
        <v>32</v>
      </c>
      <c r="AY150" s="2">
        <v>0</v>
      </c>
      <c r="AZ150" s="2" t="s">
        <v>1660</v>
      </c>
      <c r="BA150" s="2">
        <v>0</v>
      </c>
      <c r="BB150" s="2">
        <v>0</v>
      </c>
      <c r="BC150" s="2" t="s">
        <v>32</v>
      </c>
      <c r="BD150" s="2">
        <v>0</v>
      </c>
      <c r="BE150" s="2" t="s">
        <v>32</v>
      </c>
      <c r="BF150" s="2">
        <v>0</v>
      </c>
      <c r="BG150" s="2" t="s">
        <v>32</v>
      </c>
      <c r="BH150" s="2">
        <v>0</v>
      </c>
      <c r="BI150" s="2" t="s">
        <v>32</v>
      </c>
      <c r="BJ150" s="2" t="s">
        <v>32</v>
      </c>
      <c r="BK150" s="2" t="s">
        <v>32</v>
      </c>
      <c r="BL150" s="2">
        <v>0</v>
      </c>
      <c r="BM150" s="2" t="s">
        <v>32</v>
      </c>
      <c r="BN150" s="2" t="s">
        <v>32</v>
      </c>
      <c r="BO150" s="2" t="s">
        <v>32</v>
      </c>
      <c r="BP150" s="2">
        <v>0</v>
      </c>
      <c r="BQ150" s="2" t="s">
        <v>32</v>
      </c>
      <c r="BR150" s="2">
        <v>0</v>
      </c>
      <c r="BS150" s="2" t="s">
        <v>1660</v>
      </c>
      <c r="BT150" s="2">
        <v>0</v>
      </c>
      <c r="BU150" s="2">
        <v>0</v>
      </c>
      <c r="BV150" s="2" t="s">
        <v>1658</v>
      </c>
      <c r="BW150" s="2">
        <v>9</v>
      </c>
      <c r="BX150" s="2">
        <v>70</v>
      </c>
      <c r="BY150" s="2" t="s">
        <v>1807</v>
      </c>
      <c r="BZ150" s="2" t="b">
        <f>OR( (Dashboard[[#This Row],[ref_as_hh]]&gt;=1),(Dashboard[[#This Row],[ret_as_hh]] &gt;=1), (Dashboard[[#This Row],[idp_as_hh]]&gt;=1))</f>
        <v>0</v>
      </c>
      <c r="CA150" s="2">
        <f>Dashboard[[#This Row],[ret_hi_hh]]</f>
        <v>0</v>
      </c>
      <c r="CB150" s="2">
        <f>Dashboard[[#This Row],[idp_fa_hh]]+Dashboard[[#This Row],[ref_fa_hh]]+Dashboard[[#This Row],[ret_fa_hh]]</f>
        <v>35</v>
      </c>
      <c r="CC150" s="2">
        <f>Dashboard[[#This Row],[idp_loc_hh]]+Dashboard[[#This Row],[ref_loc_hh]]+Dashboard[[#This Row],[ret_loc_hh]]</f>
        <v>0</v>
      </c>
      <c r="CD150" s="2">
        <f>Dashboard[[#This Row],[idp_cc_hh]]+Dashboard[[#This Row],[ref_cc_hh]]+Dashboard[[#This Row],[ret_cc_hh]]</f>
        <v>0</v>
      </c>
      <c r="CE150" s="2">
        <f>Dashboard[[#This Row],[idp_as_hh]]+Dashboard[[#This Row],[ref_as_hh]]+Dashboard[[#This Row],[ret_as_hh]]</f>
        <v>0</v>
      </c>
      <c r="CF150" s="2">
        <f>Dashboard[[#This Row],[idp_al_hh]]+Dashboard[[#This Row],[ref_al_hh]]+Dashboard[[#This Row],[ret_al_hh]]</f>
        <v>0</v>
      </c>
    </row>
    <row r="151" spans="1:84" hidden="1" x14ac:dyDescent="0.25">
      <c r="A151" s="27">
        <v>669</v>
      </c>
      <c r="B151" s="2" t="s">
        <v>22</v>
      </c>
      <c r="C151" s="2" t="s">
        <v>23</v>
      </c>
      <c r="D151" s="2" t="s">
        <v>85</v>
      </c>
      <c r="E151" s="2" t="s">
        <v>84</v>
      </c>
      <c r="F151" s="2" t="s">
        <v>151</v>
      </c>
      <c r="G151" s="2" t="s">
        <v>150</v>
      </c>
      <c r="H151" s="2" t="s">
        <v>1062</v>
      </c>
      <c r="I151" s="2" t="s">
        <v>366</v>
      </c>
      <c r="J151" s="2" t="s">
        <v>2642</v>
      </c>
      <c r="K151" s="2" t="s">
        <v>2643</v>
      </c>
      <c r="L151" s="2" t="s">
        <v>3701</v>
      </c>
      <c r="M151" s="2">
        <v>1776</v>
      </c>
      <c r="N151" s="2" t="s">
        <v>1658</v>
      </c>
      <c r="O151" s="2">
        <v>96</v>
      </c>
      <c r="P151" s="2">
        <v>759</v>
      </c>
      <c r="Q151" s="2" t="s">
        <v>1658</v>
      </c>
      <c r="R151" s="2">
        <v>96</v>
      </c>
      <c r="S151" s="2" t="s">
        <v>1660</v>
      </c>
      <c r="T151" s="2">
        <v>0</v>
      </c>
      <c r="U151" s="2" t="s">
        <v>32</v>
      </c>
      <c r="V151" s="2" t="s">
        <v>32</v>
      </c>
      <c r="W151" s="2" t="s">
        <v>1660</v>
      </c>
      <c r="X151" s="2">
        <v>0</v>
      </c>
      <c r="Y151" s="2" t="s">
        <v>32</v>
      </c>
      <c r="Z151" s="2" t="s">
        <v>32</v>
      </c>
      <c r="AA151" s="2" t="s">
        <v>1660</v>
      </c>
      <c r="AB151" s="2">
        <v>0</v>
      </c>
      <c r="AC151" s="2" t="s">
        <v>1660</v>
      </c>
      <c r="AD151" s="2">
        <v>0</v>
      </c>
      <c r="AE151" s="2" t="s">
        <v>1660</v>
      </c>
      <c r="AF151" s="2">
        <v>0</v>
      </c>
      <c r="AG151" s="2">
        <v>0</v>
      </c>
      <c r="AH151" s="2" t="s">
        <v>32</v>
      </c>
      <c r="AI151" s="2" t="s">
        <v>32</v>
      </c>
      <c r="AJ151" s="2" t="s">
        <v>32</v>
      </c>
      <c r="AK151" s="2" t="s">
        <v>32</v>
      </c>
      <c r="AL151" s="2" t="s">
        <v>32</v>
      </c>
      <c r="AM151" s="2">
        <v>0</v>
      </c>
      <c r="AN151" s="2" t="s">
        <v>32</v>
      </c>
      <c r="AO151" s="2">
        <v>0</v>
      </c>
      <c r="AP151" s="2" t="s">
        <v>32</v>
      </c>
      <c r="AQ151" s="2" t="s">
        <v>32</v>
      </c>
      <c r="AR151" s="2" t="s">
        <v>32</v>
      </c>
      <c r="AS151" s="2">
        <v>0</v>
      </c>
      <c r="AT151" s="2" t="s">
        <v>32</v>
      </c>
      <c r="AU151" s="2" t="s">
        <v>32</v>
      </c>
      <c r="AV151" s="2" t="s">
        <v>32</v>
      </c>
      <c r="AW151" s="2">
        <v>0</v>
      </c>
      <c r="AX151" s="2" t="s">
        <v>32</v>
      </c>
      <c r="AY151" s="2">
        <v>0</v>
      </c>
      <c r="AZ151" s="2" t="s">
        <v>1660</v>
      </c>
      <c r="BA151" s="2">
        <v>0</v>
      </c>
      <c r="BB151" s="2">
        <v>0</v>
      </c>
      <c r="BC151" s="2" t="s">
        <v>32</v>
      </c>
      <c r="BD151" s="2">
        <v>0</v>
      </c>
      <c r="BE151" s="2" t="s">
        <v>32</v>
      </c>
      <c r="BF151" s="2">
        <v>0</v>
      </c>
      <c r="BG151" s="2" t="s">
        <v>32</v>
      </c>
      <c r="BH151" s="2">
        <v>0</v>
      </c>
      <c r="BI151" s="2" t="s">
        <v>32</v>
      </c>
      <c r="BJ151" s="2" t="s">
        <v>32</v>
      </c>
      <c r="BK151" s="2" t="s">
        <v>32</v>
      </c>
      <c r="BL151" s="2">
        <v>0</v>
      </c>
      <c r="BM151" s="2" t="s">
        <v>32</v>
      </c>
      <c r="BN151" s="2" t="s">
        <v>32</v>
      </c>
      <c r="BO151" s="2" t="s">
        <v>32</v>
      </c>
      <c r="BP151" s="2">
        <v>0</v>
      </c>
      <c r="BQ151" s="2" t="s">
        <v>32</v>
      </c>
      <c r="BR151" s="2">
        <v>0</v>
      </c>
      <c r="BS151" s="2" t="s">
        <v>1660</v>
      </c>
      <c r="BT151" s="2">
        <v>0</v>
      </c>
      <c r="BU151" s="2">
        <v>0</v>
      </c>
      <c r="BV151" s="2" t="s">
        <v>1660</v>
      </c>
      <c r="BW151" s="2"/>
      <c r="BX151" s="2"/>
      <c r="BY151" s="2" t="s">
        <v>1807</v>
      </c>
      <c r="BZ151" s="2" t="b">
        <f>OR( (Dashboard[[#This Row],[ref_as_hh]]&gt;=1),(Dashboard[[#This Row],[ret_as_hh]] &gt;=1), (Dashboard[[#This Row],[idp_as_hh]]&gt;=1))</f>
        <v>0</v>
      </c>
      <c r="CA151" s="2">
        <f>Dashboard[[#This Row],[ret_hi_hh]]</f>
        <v>0</v>
      </c>
      <c r="CB151" s="2">
        <f>Dashboard[[#This Row],[idp_fa_hh]]+Dashboard[[#This Row],[ref_fa_hh]]+Dashboard[[#This Row],[ret_fa_hh]]</f>
        <v>96</v>
      </c>
      <c r="CC151" s="2">
        <f>Dashboard[[#This Row],[idp_loc_hh]]+Dashboard[[#This Row],[ref_loc_hh]]+Dashboard[[#This Row],[ret_loc_hh]]</f>
        <v>0</v>
      </c>
      <c r="CD151" s="2">
        <f>Dashboard[[#This Row],[idp_cc_hh]]+Dashboard[[#This Row],[ref_cc_hh]]+Dashboard[[#This Row],[ret_cc_hh]]</f>
        <v>0</v>
      </c>
      <c r="CE151" s="2">
        <f>Dashboard[[#This Row],[idp_as_hh]]+Dashboard[[#This Row],[ref_as_hh]]+Dashboard[[#This Row],[ret_as_hh]]</f>
        <v>0</v>
      </c>
      <c r="CF151" s="2">
        <f>Dashboard[[#This Row],[idp_al_hh]]+Dashboard[[#This Row],[ref_al_hh]]+Dashboard[[#This Row],[ret_al_hh]]</f>
        <v>0</v>
      </c>
    </row>
    <row r="152" spans="1:84" hidden="1" x14ac:dyDescent="0.25">
      <c r="A152" s="27">
        <v>459</v>
      </c>
      <c r="B152" s="2" t="s">
        <v>22</v>
      </c>
      <c r="C152" s="2" t="s">
        <v>23</v>
      </c>
      <c r="D152" s="2" t="s">
        <v>85</v>
      </c>
      <c r="E152" s="2" t="s">
        <v>84</v>
      </c>
      <c r="F152" s="2" t="s">
        <v>151</v>
      </c>
      <c r="G152" s="2" t="s">
        <v>150</v>
      </c>
      <c r="H152" s="2" t="s">
        <v>1066</v>
      </c>
      <c r="I152" s="2" t="s">
        <v>1065</v>
      </c>
      <c r="J152" s="2" t="s">
        <v>2646</v>
      </c>
      <c r="K152" s="2" t="s">
        <v>2647</v>
      </c>
      <c r="L152" s="2" t="s">
        <v>2074</v>
      </c>
      <c r="M152" s="2">
        <v>400</v>
      </c>
      <c r="N152" s="2" t="s">
        <v>1658</v>
      </c>
      <c r="O152" s="2">
        <v>22</v>
      </c>
      <c r="P152" s="2">
        <v>100</v>
      </c>
      <c r="Q152" s="2" t="s">
        <v>1658</v>
      </c>
      <c r="R152" s="2">
        <v>22</v>
      </c>
      <c r="S152" s="2" t="s">
        <v>1660</v>
      </c>
      <c r="T152" s="2">
        <v>0</v>
      </c>
      <c r="U152" s="2" t="s">
        <v>32</v>
      </c>
      <c r="V152" s="2" t="s">
        <v>32</v>
      </c>
      <c r="W152" s="2" t="s">
        <v>1660</v>
      </c>
      <c r="X152" s="2">
        <v>0</v>
      </c>
      <c r="Y152" s="2" t="s">
        <v>32</v>
      </c>
      <c r="Z152" s="2" t="s">
        <v>32</v>
      </c>
      <c r="AA152" s="2" t="s">
        <v>1660</v>
      </c>
      <c r="AB152" s="2">
        <v>0</v>
      </c>
      <c r="AC152" s="2" t="s">
        <v>1660</v>
      </c>
      <c r="AD152" s="2">
        <v>0</v>
      </c>
      <c r="AE152" s="2" t="s">
        <v>1660</v>
      </c>
      <c r="AF152" s="2">
        <v>0</v>
      </c>
      <c r="AG152" s="2">
        <v>0</v>
      </c>
      <c r="AH152" s="2" t="s">
        <v>32</v>
      </c>
      <c r="AI152" s="2" t="s">
        <v>32</v>
      </c>
      <c r="AJ152" s="2" t="s">
        <v>32</v>
      </c>
      <c r="AK152" s="2" t="s">
        <v>32</v>
      </c>
      <c r="AL152" s="2" t="s">
        <v>32</v>
      </c>
      <c r="AM152" s="2">
        <v>0</v>
      </c>
      <c r="AN152" s="2" t="s">
        <v>32</v>
      </c>
      <c r="AO152" s="2">
        <v>0</v>
      </c>
      <c r="AP152" s="2" t="s">
        <v>32</v>
      </c>
      <c r="AQ152" s="2" t="s">
        <v>32</v>
      </c>
      <c r="AR152" s="2" t="s">
        <v>32</v>
      </c>
      <c r="AS152" s="2">
        <v>0</v>
      </c>
      <c r="AT152" s="2" t="s">
        <v>32</v>
      </c>
      <c r="AU152" s="2" t="s">
        <v>32</v>
      </c>
      <c r="AV152" s="2" t="s">
        <v>32</v>
      </c>
      <c r="AW152" s="2">
        <v>0</v>
      </c>
      <c r="AX152" s="2" t="s">
        <v>32</v>
      </c>
      <c r="AY152" s="2">
        <v>0</v>
      </c>
      <c r="AZ152" s="2" t="s">
        <v>1660</v>
      </c>
      <c r="BA152" s="2">
        <v>0</v>
      </c>
      <c r="BB152" s="2">
        <v>0</v>
      </c>
      <c r="BC152" s="2" t="s">
        <v>32</v>
      </c>
      <c r="BD152" s="2">
        <v>0</v>
      </c>
      <c r="BE152" s="2" t="s">
        <v>32</v>
      </c>
      <c r="BF152" s="2">
        <v>0</v>
      </c>
      <c r="BG152" s="2" t="s">
        <v>32</v>
      </c>
      <c r="BH152" s="2">
        <v>0</v>
      </c>
      <c r="BI152" s="2" t="s">
        <v>32</v>
      </c>
      <c r="BJ152" s="2" t="s">
        <v>32</v>
      </c>
      <c r="BK152" s="2" t="s">
        <v>32</v>
      </c>
      <c r="BL152" s="2">
        <v>0</v>
      </c>
      <c r="BM152" s="2" t="s">
        <v>32</v>
      </c>
      <c r="BN152" s="2" t="s">
        <v>32</v>
      </c>
      <c r="BO152" s="2" t="s">
        <v>32</v>
      </c>
      <c r="BP152" s="2">
        <v>0</v>
      </c>
      <c r="BQ152" s="2" t="s">
        <v>32</v>
      </c>
      <c r="BR152" s="2">
        <v>0</v>
      </c>
      <c r="BS152" s="2" t="s">
        <v>1660</v>
      </c>
      <c r="BT152" s="2">
        <v>0</v>
      </c>
      <c r="BU152" s="2">
        <v>0</v>
      </c>
      <c r="BV152" s="2" t="s">
        <v>1660</v>
      </c>
      <c r="BW152" s="2"/>
      <c r="BX152" s="2"/>
      <c r="BY152" s="2" t="s">
        <v>1807</v>
      </c>
      <c r="BZ152" s="2" t="b">
        <f>OR( (Dashboard[[#This Row],[ref_as_hh]]&gt;=1),(Dashboard[[#This Row],[ret_as_hh]] &gt;=1), (Dashboard[[#This Row],[idp_as_hh]]&gt;=1))</f>
        <v>0</v>
      </c>
      <c r="CA152" s="2">
        <f>Dashboard[[#This Row],[ret_hi_hh]]</f>
        <v>0</v>
      </c>
      <c r="CB152" s="2">
        <f>Dashboard[[#This Row],[idp_fa_hh]]+Dashboard[[#This Row],[ref_fa_hh]]+Dashboard[[#This Row],[ret_fa_hh]]</f>
        <v>22</v>
      </c>
      <c r="CC152" s="2">
        <f>Dashboard[[#This Row],[idp_loc_hh]]+Dashboard[[#This Row],[ref_loc_hh]]+Dashboard[[#This Row],[ret_loc_hh]]</f>
        <v>0</v>
      </c>
      <c r="CD152" s="2">
        <f>Dashboard[[#This Row],[idp_cc_hh]]+Dashboard[[#This Row],[ref_cc_hh]]+Dashboard[[#This Row],[ret_cc_hh]]</f>
        <v>0</v>
      </c>
      <c r="CE152" s="2">
        <f>Dashboard[[#This Row],[idp_as_hh]]+Dashboard[[#This Row],[ref_as_hh]]+Dashboard[[#This Row],[ret_as_hh]]</f>
        <v>0</v>
      </c>
      <c r="CF152" s="2">
        <f>Dashboard[[#This Row],[idp_al_hh]]+Dashboard[[#This Row],[ref_al_hh]]+Dashboard[[#This Row],[ret_al_hh]]</f>
        <v>0</v>
      </c>
    </row>
    <row r="153" spans="1:84" hidden="1" x14ac:dyDescent="0.25">
      <c r="A153" s="27">
        <v>460</v>
      </c>
      <c r="B153" s="2" t="s">
        <v>22</v>
      </c>
      <c r="C153" s="2" t="s">
        <v>23</v>
      </c>
      <c r="D153" s="2" t="s">
        <v>85</v>
      </c>
      <c r="E153" s="2" t="s">
        <v>84</v>
      </c>
      <c r="F153" s="2" t="s">
        <v>151</v>
      </c>
      <c r="G153" s="2" t="s">
        <v>150</v>
      </c>
      <c r="H153" s="2" t="s">
        <v>1077</v>
      </c>
      <c r="I153" s="2" t="s">
        <v>1076</v>
      </c>
      <c r="J153" s="2" t="s">
        <v>2660</v>
      </c>
      <c r="K153" s="2" t="s">
        <v>2661</v>
      </c>
      <c r="L153" s="2" t="s">
        <v>2074</v>
      </c>
      <c r="M153" s="2">
        <v>800</v>
      </c>
      <c r="N153" s="2" t="s">
        <v>1658</v>
      </c>
      <c r="O153" s="2">
        <v>22</v>
      </c>
      <c r="P153" s="2">
        <v>100</v>
      </c>
      <c r="Q153" s="2" t="s">
        <v>1658</v>
      </c>
      <c r="R153" s="2">
        <v>22</v>
      </c>
      <c r="S153" s="2" t="s">
        <v>1660</v>
      </c>
      <c r="T153" s="2">
        <v>0</v>
      </c>
      <c r="U153" s="2" t="s">
        <v>32</v>
      </c>
      <c r="V153" s="2" t="s">
        <v>32</v>
      </c>
      <c r="W153" s="2" t="s">
        <v>1660</v>
      </c>
      <c r="X153" s="2">
        <v>0</v>
      </c>
      <c r="Y153" s="2" t="s">
        <v>32</v>
      </c>
      <c r="Z153" s="2" t="s">
        <v>32</v>
      </c>
      <c r="AA153" s="2" t="s">
        <v>1660</v>
      </c>
      <c r="AB153" s="2">
        <v>0</v>
      </c>
      <c r="AC153" s="2" t="s">
        <v>1660</v>
      </c>
      <c r="AD153" s="2">
        <v>0</v>
      </c>
      <c r="AE153" s="2" t="s">
        <v>1660</v>
      </c>
      <c r="AF153" s="2">
        <v>0</v>
      </c>
      <c r="AG153" s="2">
        <v>0</v>
      </c>
      <c r="AH153" s="2" t="s">
        <v>32</v>
      </c>
      <c r="AI153" s="2" t="s">
        <v>32</v>
      </c>
      <c r="AJ153" s="2" t="s">
        <v>32</v>
      </c>
      <c r="AK153" s="2" t="s">
        <v>32</v>
      </c>
      <c r="AL153" s="2" t="s">
        <v>32</v>
      </c>
      <c r="AM153" s="2">
        <v>0</v>
      </c>
      <c r="AN153" s="2" t="s">
        <v>32</v>
      </c>
      <c r="AO153" s="2">
        <v>0</v>
      </c>
      <c r="AP153" s="2" t="s">
        <v>32</v>
      </c>
      <c r="AQ153" s="2" t="s">
        <v>32</v>
      </c>
      <c r="AR153" s="2" t="s">
        <v>32</v>
      </c>
      <c r="AS153" s="2">
        <v>0</v>
      </c>
      <c r="AT153" s="2" t="s">
        <v>32</v>
      </c>
      <c r="AU153" s="2" t="s">
        <v>32</v>
      </c>
      <c r="AV153" s="2" t="s">
        <v>32</v>
      </c>
      <c r="AW153" s="2">
        <v>0</v>
      </c>
      <c r="AX153" s="2" t="s">
        <v>32</v>
      </c>
      <c r="AY153" s="2">
        <v>0</v>
      </c>
      <c r="AZ153" s="2" t="s">
        <v>1660</v>
      </c>
      <c r="BA153" s="2">
        <v>0</v>
      </c>
      <c r="BB153" s="2">
        <v>0</v>
      </c>
      <c r="BC153" s="2" t="s">
        <v>32</v>
      </c>
      <c r="BD153" s="2">
        <v>0</v>
      </c>
      <c r="BE153" s="2" t="s">
        <v>32</v>
      </c>
      <c r="BF153" s="2">
        <v>0</v>
      </c>
      <c r="BG153" s="2" t="s">
        <v>32</v>
      </c>
      <c r="BH153" s="2">
        <v>0</v>
      </c>
      <c r="BI153" s="2" t="s">
        <v>32</v>
      </c>
      <c r="BJ153" s="2" t="s">
        <v>32</v>
      </c>
      <c r="BK153" s="2" t="s">
        <v>32</v>
      </c>
      <c r="BL153" s="2">
        <v>0</v>
      </c>
      <c r="BM153" s="2" t="s">
        <v>32</v>
      </c>
      <c r="BN153" s="2" t="s">
        <v>32</v>
      </c>
      <c r="BO153" s="2" t="s">
        <v>32</v>
      </c>
      <c r="BP153" s="2">
        <v>0</v>
      </c>
      <c r="BQ153" s="2" t="s">
        <v>32</v>
      </c>
      <c r="BR153" s="2">
        <v>0</v>
      </c>
      <c r="BS153" s="2" t="s">
        <v>1660</v>
      </c>
      <c r="BT153" s="2">
        <v>0</v>
      </c>
      <c r="BU153" s="2">
        <v>0</v>
      </c>
      <c r="BV153" s="2" t="s">
        <v>1660</v>
      </c>
      <c r="BW153" s="2"/>
      <c r="BX153" s="2"/>
      <c r="BY153" s="2" t="s">
        <v>1807</v>
      </c>
      <c r="BZ153" s="2" t="b">
        <f>OR( (Dashboard[[#This Row],[ref_as_hh]]&gt;=1),(Dashboard[[#This Row],[ret_as_hh]] &gt;=1), (Dashboard[[#This Row],[idp_as_hh]]&gt;=1))</f>
        <v>0</v>
      </c>
      <c r="CA153" s="2">
        <f>Dashboard[[#This Row],[ret_hi_hh]]</f>
        <v>0</v>
      </c>
      <c r="CB153" s="2">
        <f>Dashboard[[#This Row],[idp_fa_hh]]+Dashboard[[#This Row],[ref_fa_hh]]+Dashboard[[#This Row],[ret_fa_hh]]</f>
        <v>22</v>
      </c>
      <c r="CC153" s="2">
        <f>Dashboard[[#This Row],[idp_loc_hh]]+Dashboard[[#This Row],[ref_loc_hh]]+Dashboard[[#This Row],[ret_loc_hh]]</f>
        <v>0</v>
      </c>
      <c r="CD153" s="2">
        <f>Dashboard[[#This Row],[idp_cc_hh]]+Dashboard[[#This Row],[ref_cc_hh]]+Dashboard[[#This Row],[ret_cc_hh]]</f>
        <v>0</v>
      </c>
      <c r="CE153" s="2">
        <f>Dashboard[[#This Row],[idp_as_hh]]+Dashboard[[#This Row],[ref_as_hh]]+Dashboard[[#This Row],[ret_as_hh]]</f>
        <v>0</v>
      </c>
      <c r="CF153" s="2">
        <f>Dashboard[[#This Row],[idp_al_hh]]+Dashboard[[#This Row],[ref_al_hh]]+Dashboard[[#This Row],[ret_al_hh]]</f>
        <v>0</v>
      </c>
    </row>
    <row r="154" spans="1:84" hidden="1" x14ac:dyDescent="0.25">
      <c r="A154" s="27">
        <v>461</v>
      </c>
      <c r="B154" s="2" t="s">
        <v>22</v>
      </c>
      <c r="C154" s="2" t="s">
        <v>23</v>
      </c>
      <c r="D154" s="2" t="s">
        <v>85</v>
      </c>
      <c r="E154" s="2" t="s">
        <v>84</v>
      </c>
      <c r="F154" s="2" t="s">
        <v>151</v>
      </c>
      <c r="G154" s="2" t="s">
        <v>150</v>
      </c>
      <c r="H154" s="2" t="s">
        <v>1073</v>
      </c>
      <c r="I154" s="2" t="s">
        <v>1072</v>
      </c>
      <c r="J154" s="2" t="s">
        <v>2656</v>
      </c>
      <c r="K154" s="2" t="s">
        <v>2657</v>
      </c>
      <c r="L154" s="2" t="s">
        <v>2074</v>
      </c>
      <c r="M154" s="2">
        <v>600</v>
      </c>
      <c r="N154" s="2" t="s">
        <v>1658</v>
      </c>
      <c r="O154" s="2">
        <v>17</v>
      </c>
      <c r="P154" s="2">
        <v>130</v>
      </c>
      <c r="Q154" s="2" t="s">
        <v>1658</v>
      </c>
      <c r="R154" s="2">
        <v>17</v>
      </c>
      <c r="S154" s="2" t="s">
        <v>1660</v>
      </c>
      <c r="T154" s="2">
        <v>0</v>
      </c>
      <c r="U154" s="2" t="s">
        <v>32</v>
      </c>
      <c r="V154" s="2" t="s">
        <v>32</v>
      </c>
      <c r="W154" s="2" t="s">
        <v>1660</v>
      </c>
      <c r="X154" s="2">
        <v>0</v>
      </c>
      <c r="Y154" s="2" t="s">
        <v>32</v>
      </c>
      <c r="Z154" s="2" t="s">
        <v>32</v>
      </c>
      <c r="AA154" s="2" t="s">
        <v>1660</v>
      </c>
      <c r="AB154" s="2">
        <v>0</v>
      </c>
      <c r="AC154" s="2" t="s">
        <v>1660</v>
      </c>
      <c r="AD154" s="2">
        <v>0</v>
      </c>
      <c r="AE154" s="2" t="s">
        <v>1660</v>
      </c>
      <c r="AF154" s="2">
        <v>0</v>
      </c>
      <c r="AG154" s="2">
        <v>0</v>
      </c>
      <c r="AH154" s="2" t="s">
        <v>32</v>
      </c>
      <c r="AI154" s="2" t="s">
        <v>32</v>
      </c>
      <c r="AJ154" s="2" t="s">
        <v>32</v>
      </c>
      <c r="AK154" s="2" t="s">
        <v>32</v>
      </c>
      <c r="AL154" s="2" t="s">
        <v>32</v>
      </c>
      <c r="AM154" s="2">
        <v>0</v>
      </c>
      <c r="AN154" s="2" t="s">
        <v>32</v>
      </c>
      <c r="AO154" s="2">
        <v>0</v>
      </c>
      <c r="AP154" s="2" t="s">
        <v>32</v>
      </c>
      <c r="AQ154" s="2" t="s">
        <v>32</v>
      </c>
      <c r="AR154" s="2" t="s">
        <v>32</v>
      </c>
      <c r="AS154" s="2">
        <v>0</v>
      </c>
      <c r="AT154" s="2" t="s">
        <v>32</v>
      </c>
      <c r="AU154" s="2" t="s">
        <v>32</v>
      </c>
      <c r="AV154" s="2" t="s">
        <v>32</v>
      </c>
      <c r="AW154" s="2">
        <v>0</v>
      </c>
      <c r="AX154" s="2" t="s">
        <v>32</v>
      </c>
      <c r="AY154" s="2">
        <v>0</v>
      </c>
      <c r="AZ154" s="2" t="s">
        <v>1660</v>
      </c>
      <c r="BA154" s="2">
        <v>0</v>
      </c>
      <c r="BB154" s="2">
        <v>0</v>
      </c>
      <c r="BC154" s="2" t="s">
        <v>32</v>
      </c>
      <c r="BD154" s="2">
        <v>0</v>
      </c>
      <c r="BE154" s="2" t="s">
        <v>32</v>
      </c>
      <c r="BF154" s="2">
        <v>0</v>
      </c>
      <c r="BG154" s="2" t="s">
        <v>32</v>
      </c>
      <c r="BH154" s="2">
        <v>0</v>
      </c>
      <c r="BI154" s="2" t="s">
        <v>32</v>
      </c>
      <c r="BJ154" s="2" t="s">
        <v>32</v>
      </c>
      <c r="BK154" s="2" t="s">
        <v>32</v>
      </c>
      <c r="BL154" s="2">
        <v>0</v>
      </c>
      <c r="BM154" s="2" t="s">
        <v>32</v>
      </c>
      <c r="BN154" s="2" t="s">
        <v>32</v>
      </c>
      <c r="BO154" s="2" t="s">
        <v>32</v>
      </c>
      <c r="BP154" s="2">
        <v>0</v>
      </c>
      <c r="BQ154" s="2" t="s">
        <v>32</v>
      </c>
      <c r="BR154" s="2">
        <v>0</v>
      </c>
      <c r="BS154" s="2" t="s">
        <v>1660</v>
      </c>
      <c r="BT154" s="2">
        <v>0</v>
      </c>
      <c r="BU154" s="2">
        <v>0</v>
      </c>
      <c r="BV154" s="2" t="s">
        <v>1660</v>
      </c>
      <c r="BW154" s="2"/>
      <c r="BX154" s="2"/>
      <c r="BY154" s="2" t="s">
        <v>1807</v>
      </c>
      <c r="BZ154" s="2" t="b">
        <f>OR( (Dashboard[[#This Row],[ref_as_hh]]&gt;=1),(Dashboard[[#This Row],[ret_as_hh]] &gt;=1), (Dashboard[[#This Row],[idp_as_hh]]&gt;=1))</f>
        <v>0</v>
      </c>
      <c r="CA154" s="2">
        <f>Dashboard[[#This Row],[ret_hi_hh]]</f>
        <v>0</v>
      </c>
      <c r="CB154" s="2">
        <f>Dashboard[[#This Row],[idp_fa_hh]]+Dashboard[[#This Row],[ref_fa_hh]]+Dashboard[[#This Row],[ret_fa_hh]]</f>
        <v>17</v>
      </c>
      <c r="CC154" s="2">
        <f>Dashboard[[#This Row],[idp_loc_hh]]+Dashboard[[#This Row],[ref_loc_hh]]+Dashboard[[#This Row],[ret_loc_hh]]</f>
        <v>0</v>
      </c>
      <c r="CD154" s="2">
        <f>Dashboard[[#This Row],[idp_cc_hh]]+Dashboard[[#This Row],[ref_cc_hh]]+Dashboard[[#This Row],[ret_cc_hh]]</f>
        <v>0</v>
      </c>
      <c r="CE154" s="2">
        <f>Dashboard[[#This Row],[idp_as_hh]]+Dashboard[[#This Row],[ref_as_hh]]+Dashboard[[#This Row],[ret_as_hh]]</f>
        <v>0</v>
      </c>
      <c r="CF154" s="2">
        <f>Dashboard[[#This Row],[idp_al_hh]]+Dashboard[[#This Row],[ref_al_hh]]+Dashboard[[#This Row],[ret_al_hh]]</f>
        <v>0</v>
      </c>
    </row>
    <row r="155" spans="1:84" hidden="1" x14ac:dyDescent="0.25">
      <c r="A155" s="27">
        <v>462</v>
      </c>
      <c r="B155" s="2" t="s">
        <v>22</v>
      </c>
      <c r="C155" s="2" t="s">
        <v>23</v>
      </c>
      <c r="D155" s="2" t="s">
        <v>85</v>
      </c>
      <c r="E155" s="2" t="s">
        <v>84</v>
      </c>
      <c r="F155" s="2" t="s">
        <v>151</v>
      </c>
      <c r="G155" s="2" t="s">
        <v>150</v>
      </c>
      <c r="H155" s="2" t="s">
        <v>1090</v>
      </c>
      <c r="I155" s="2" t="s">
        <v>1089</v>
      </c>
      <c r="J155" s="2" t="s">
        <v>2682</v>
      </c>
      <c r="K155" s="2" t="s">
        <v>2683</v>
      </c>
      <c r="L155" s="2" t="s">
        <v>2074</v>
      </c>
      <c r="M155" s="2">
        <v>400</v>
      </c>
      <c r="N155" s="2" t="s">
        <v>1658</v>
      </c>
      <c r="O155" s="2">
        <v>22</v>
      </c>
      <c r="P155" s="2">
        <v>140</v>
      </c>
      <c r="Q155" s="2" t="s">
        <v>1658</v>
      </c>
      <c r="R155" s="2">
        <v>22</v>
      </c>
      <c r="S155" s="2" t="s">
        <v>1660</v>
      </c>
      <c r="T155" s="2">
        <v>0</v>
      </c>
      <c r="U155" s="2" t="s">
        <v>32</v>
      </c>
      <c r="V155" s="2" t="s">
        <v>32</v>
      </c>
      <c r="W155" s="2" t="s">
        <v>1660</v>
      </c>
      <c r="X155" s="2">
        <v>0</v>
      </c>
      <c r="Y155" s="2" t="s">
        <v>32</v>
      </c>
      <c r="Z155" s="2" t="s">
        <v>32</v>
      </c>
      <c r="AA155" s="2" t="s">
        <v>1660</v>
      </c>
      <c r="AB155" s="2">
        <v>0</v>
      </c>
      <c r="AC155" s="2" t="s">
        <v>1660</v>
      </c>
      <c r="AD155" s="2">
        <v>0</v>
      </c>
      <c r="AE155" s="2" t="s">
        <v>1660</v>
      </c>
      <c r="AF155" s="2">
        <v>0</v>
      </c>
      <c r="AG155" s="2">
        <v>0</v>
      </c>
      <c r="AH155" s="2" t="s">
        <v>32</v>
      </c>
      <c r="AI155" s="2" t="s">
        <v>32</v>
      </c>
      <c r="AJ155" s="2" t="s">
        <v>32</v>
      </c>
      <c r="AK155" s="2" t="s">
        <v>32</v>
      </c>
      <c r="AL155" s="2" t="s">
        <v>32</v>
      </c>
      <c r="AM155" s="2">
        <v>0</v>
      </c>
      <c r="AN155" s="2" t="s">
        <v>32</v>
      </c>
      <c r="AO155" s="2">
        <v>0</v>
      </c>
      <c r="AP155" s="2" t="s">
        <v>32</v>
      </c>
      <c r="AQ155" s="2" t="s">
        <v>32</v>
      </c>
      <c r="AR155" s="2" t="s">
        <v>32</v>
      </c>
      <c r="AS155" s="2">
        <v>0</v>
      </c>
      <c r="AT155" s="2" t="s">
        <v>32</v>
      </c>
      <c r="AU155" s="2" t="s">
        <v>32</v>
      </c>
      <c r="AV155" s="2" t="s">
        <v>32</v>
      </c>
      <c r="AW155" s="2">
        <v>0</v>
      </c>
      <c r="AX155" s="2" t="s">
        <v>32</v>
      </c>
      <c r="AY155" s="2">
        <v>0</v>
      </c>
      <c r="AZ155" s="2" t="s">
        <v>1660</v>
      </c>
      <c r="BA155" s="2">
        <v>0</v>
      </c>
      <c r="BB155" s="2">
        <v>0</v>
      </c>
      <c r="BC155" s="2" t="s">
        <v>32</v>
      </c>
      <c r="BD155" s="2">
        <v>0</v>
      </c>
      <c r="BE155" s="2" t="s">
        <v>32</v>
      </c>
      <c r="BF155" s="2">
        <v>0</v>
      </c>
      <c r="BG155" s="2" t="s">
        <v>32</v>
      </c>
      <c r="BH155" s="2">
        <v>0</v>
      </c>
      <c r="BI155" s="2" t="s">
        <v>32</v>
      </c>
      <c r="BJ155" s="2" t="s">
        <v>32</v>
      </c>
      <c r="BK155" s="2" t="s">
        <v>32</v>
      </c>
      <c r="BL155" s="2">
        <v>0</v>
      </c>
      <c r="BM155" s="2" t="s">
        <v>32</v>
      </c>
      <c r="BN155" s="2" t="s">
        <v>32</v>
      </c>
      <c r="BO155" s="2" t="s">
        <v>32</v>
      </c>
      <c r="BP155" s="2">
        <v>0</v>
      </c>
      <c r="BQ155" s="2" t="s">
        <v>32</v>
      </c>
      <c r="BR155" s="2">
        <v>0</v>
      </c>
      <c r="BS155" s="2" t="s">
        <v>1660</v>
      </c>
      <c r="BT155" s="2">
        <v>0</v>
      </c>
      <c r="BU155" s="2">
        <v>0</v>
      </c>
      <c r="BV155" s="2" t="s">
        <v>1660</v>
      </c>
      <c r="BW155" s="2"/>
      <c r="BX155" s="2"/>
      <c r="BY155" s="2" t="s">
        <v>1807</v>
      </c>
      <c r="BZ155" s="2" t="b">
        <f>OR( (Dashboard[[#This Row],[ref_as_hh]]&gt;=1),(Dashboard[[#This Row],[ret_as_hh]] &gt;=1), (Dashboard[[#This Row],[idp_as_hh]]&gt;=1))</f>
        <v>0</v>
      </c>
      <c r="CA155" s="2">
        <f>Dashboard[[#This Row],[ret_hi_hh]]</f>
        <v>0</v>
      </c>
      <c r="CB155" s="2">
        <f>Dashboard[[#This Row],[idp_fa_hh]]+Dashboard[[#This Row],[ref_fa_hh]]+Dashboard[[#This Row],[ret_fa_hh]]</f>
        <v>22</v>
      </c>
      <c r="CC155" s="2">
        <f>Dashboard[[#This Row],[idp_loc_hh]]+Dashboard[[#This Row],[ref_loc_hh]]+Dashboard[[#This Row],[ret_loc_hh]]</f>
        <v>0</v>
      </c>
      <c r="CD155" s="2">
        <f>Dashboard[[#This Row],[idp_cc_hh]]+Dashboard[[#This Row],[ref_cc_hh]]+Dashboard[[#This Row],[ret_cc_hh]]</f>
        <v>0</v>
      </c>
      <c r="CE155" s="2">
        <f>Dashboard[[#This Row],[idp_as_hh]]+Dashboard[[#This Row],[ref_as_hh]]+Dashboard[[#This Row],[ret_as_hh]]</f>
        <v>0</v>
      </c>
      <c r="CF155" s="2">
        <f>Dashboard[[#This Row],[idp_al_hh]]+Dashboard[[#This Row],[ref_al_hh]]+Dashboard[[#This Row],[ret_al_hh]]</f>
        <v>0</v>
      </c>
    </row>
    <row r="156" spans="1:84" hidden="1" x14ac:dyDescent="0.25">
      <c r="A156" s="27">
        <v>463</v>
      </c>
      <c r="B156" s="2" t="s">
        <v>22</v>
      </c>
      <c r="C156" s="2" t="s">
        <v>23</v>
      </c>
      <c r="D156" s="2" t="s">
        <v>85</v>
      </c>
      <c r="E156" s="2" t="s">
        <v>84</v>
      </c>
      <c r="F156" s="2" t="s">
        <v>151</v>
      </c>
      <c r="G156" s="2" t="s">
        <v>150</v>
      </c>
      <c r="H156" s="2" t="s">
        <v>1502</v>
      </c>
      <c r="I156" s="2" t="s">
        <v>82</v>
      </c>
      <c r="J156" s="2" t="s">
        <v>2694</v>
      </c>
      <c r="K156" s="2" t="s">
        <v>2695</v>
      </c>
      <c r="L156" s="2" t="s">
        <v>2074</v>
      </c>
      <c r="M156" s="2">
        <v>500</v>
      </c>
      <c r="N156" s="2" t="s">
        <v>1660</v>
      </c>
      <c r="O156" s="2">
        <v>0</v>
      </c>
      <c r="P156" s="2">
        <v>0</v>
      </c>
      <c r="Q156" s="2" t="s">
        <v>32</v>
      </c>
      <c r="R156" s="2">
        <v>0</v>
      </c>
      <c r="S156" s="2" t="s">
        <v>32</v>
      </c>
      <c r="T156" s="2">
        <v>0</v>
      </c>
      <c r="U156" s="2" t="s">
        <v>32</v>
      </c>
      <c r="V156" s="2" t="s">
        <v>32</v>
      </c>
      <c r="W156" s="2" t="s">
        <v>32</v>
      </c>
      <c r="X156" s="2">
        <v>0</v>
      </c>
      <c r="Y156" s="2" t="s">
        <v>32</v>
      </c>
      <c r="Z156" s="2" t="s">
        <v>32</v>
      </c>
      <c r="AA156" s="2" t="s">
        <v>32</v>
      </c>
      <c r="AB156" s="2">
        <v>0</v>
      </c>
      <c r="AC156" s="2" t="s">
        <v>32</v>
      </c>
      <c r="AD156" s="2">
        <v>0</v>
      </c>
      <c r="AE156" s="2" t="s">
        <v>1658</v>
      </c>
      <c r="AF156" s="2">
        <v>17</v>
      </c>
      <c r="AG156" s="2">
        <v>100</v>
      </c>
      <c r="AH156" s="2" t="s">
        <v>1660</v>
      </c>
      <c r="AI156" s="2" t="s">
        <v>32</v>
      </c>
      <c r="AJ156" s="2" t="s">
        <v>32</v>
      </c>
      <c r="AK156" s="2" t="s">
        <v>32</v>
      </c>
      <c r="AL156" s="2" t="s">
        <v>1658</v>
      </c>
      <c r="AM156" s="2">
        <v>17</v>
      </c>
      <c r="AN156" s="2" t="s">
        <v>1660</v>
      </c>
      <c r="AO156" s="2">
        <v>0</v>
      </c>
      <c r="AP156" s="2" t="s">
        <v>32</v>
      </c>
      <c r="AQ156" s="2" t="s">
        <v>32</v>
      </c>
      <c r="AR156" s="2" t="s">
        <v>1660</v>
      </c>
      <c r="AS156" s="2">
        <v>0</v>
      </c>
      <c r="AT156" s="2" t="s">
        <v>32</v>
      </c>
      <c r="AU156" s="2" t="s">
        <v>32</v>
      </c>
      <c r="AV156" s="2" t="s">
        <v>1660</v>
      </c>
      <c r="AW156" s="2">
        <v>0</v>
      </c>
      <c r="AX156" s="2" t="s">
        <v>1660</v>
      </c>
      <c r="AY156" s="2">
        <v>0</v>
      </c>
      <c r="AZ156" s="2" t="s">
        <v>1660</v>
      </c>
      <c r="BA156" s="2">
        <v>0</v>
      </c>
      <c r="BB156" s="2">
        <v>0</v>
      </c>
      <c r="BC156" s="2" t="s">
        <v>32</v>
      </c>
      <c r="BD156" s="2">
        <v>0</v>
      </c>
      <c r="BE156" s="2" t="s">
        <v>32</v>
      </c>
      <c r="BF156" s="2">
        <v>0</v>
      </c>
      <c r="BG156" s="2" t="s">
        <v>32</v>
      </c>
      <c r="BH156" s="2">
        <v>0</v>
      </c>
      <c r="BI156" s="2" t="s">
        <v>32</v>
      </c>
      <c r="BJ156" s="2" t="s">
        <v>32</v>
      </c>
      <c r="BK156" s="2" t="s">
        <v>32</v>
      </c>
      <c r="BL156" s="2">
        <v>0</v>
      </c>
      <c r="BM156" s="2" t="s">
        <v>32</v>
      </c>
      <c r="BN156" s="2" t="s">
        <v>32</v>
      </c>
      <c r="BO156" s="2" t="s">
        <v>32</v>
      </c>
      <c r="BP156" s="2">
        <v>0</v>
      </c>
      <c r="BQ156" s="2" t="s">
        <v>32</v>
      </c>
      <c r="BR156" s="2">
        <v>0</v>
      </c>
      <c r="BS156" s="2" t="s">
        <v>1660</v>
      </c>
      <c r="BT156" s="2">
        <v>0</v>
      </c>
      <c r="BU156" s="2">
        <v>0</v>
      </c>
      <c r="BV156" s="2" t="s">
        <v>1660</v>
      </c>
      <c r="BW156" s="2"/>
      <c r="BX156" s="2"/>
      <c r="BY156" s="2" t="s">
        <v>1807</v>
      </c>
      <c r="BZ156" s="2" t="b">
        <f>OR( (Dashboard[[#This Row],[ref_as_hh]]&gt;=1),(Dashboard[[#This Row],[ret_as_hh]] &gt;=1), (Dashboard[[#This Row],[idp_as_hh]]&gt;=1))</f>
        <v>0</v>
      </c>
      <c r="CA156" s="2">
        <f>Dashboard[[#This Row],[ret_hi_hh]]</f>
        <v>0</v>
      </c>
      <c r="CB156" s="2">
        <f>Dashboard[[#This Row],[idp_fa_hh]]+Dashboard[[#This Row],[ref_fa_hh]]+Dashboard[[#This Row],[ret_fa_hh]]</f>
        <v>17</v>
      </c>
      <c r="CC156" s="2">
        <f>Dashboard[[#This Row],[idp_loc_hh]]+Dashboard[[#This Row],[ref_loc_hh]]+Dashboard[[#This Row],[ret_loc_hh]]</f>
        <v>0</v>
      </c>
      <c r="CD156" s="2">
        <f>Dashboard[[#This Row],[idp_cc_hh]]+Dashboard[[#This Row],[ref_cc_hh]]+Dashboard[[#This Row],[ret_cc_hh]]</f>
        <v>0</v>
      </c>
      <c r="CE156" s="2">
        <f>Dashboard[[#This Row],[idp_as_hh]]+Dashboard[[#This Row],[ref_as_hh]]+Dashboard[[#This Row],[ret_as_hh]]</f>
        <v>0</v>
      </c>
      <c r="CF156" s="2">
        <f>Dashboard[[#This Row],[idp_al_hh]]+Dashboard[[#This Row],[ref_al_hh]]+Dashboard[[#This Row],[ret_al_hh]]</f>
        <v>0</v>
      </c>
    </row>
    <row r="157" spans="1:84" x14ac:dyDescent="0.25">
      <c r="A157" s="27">
        <v>209</v>
      </c>
      <c r="B157" s="2" t="s">
        <v>22</v>
      </c>
      <c r="C157" s="2" t="s">
        <v>23</v>
      </c>
      <c r="D157" s="2" t="s">
        <v>85</v>
      </c>
      <c r="E157" s="2" t="s">
        <v>84</v>
      </c>
      <c r="F157" s="2" t="s">
        <v>151</v>
      </c>
      <c r="G157" s="2" t="s">
        <v>150</v>
      </c>
      <c r="H157" s="2" t="s">
        <v>1097</v>
      </c>
      <c r="I157" s="2" t="s">
        <v>1096</v>
      </c>
      <c r="J157" s="2" t="s">
        <v>2696</v>
      </c>
      <c r="K157" s="2" t="s">
        <v>2697</v>
      </c>
      <c r="L157" s="2" t="s">
        <v>3699</v>
      </c>
      <c r="M157" s="2">
        <v>500</v>
      </c>
      <c r="N157" s="2" t="s">
        <v>1658</v>
      </c>
      <c r="O157" s="2">
        <v>6</v>
      </c>
      <c r="P157" s="2">
        <v>54</v>
      </c>
      <c r="Q157" s="2" t="s">
        <v>1660</v>
      </c>
      <c r="R157" s="2">
        <v>0</v>
      </c>
      <c r="S157" s="2" t="s">
        <v>1660</v>
      </c>
      <c r="T157" s="2">
        <v>0</v>
      </c>
      <c r="U157" s="2" t="s">
        <v>32</v>
      </c>
      <c r="V157" s="2" t="s">
        <v>32</v>
      </c>
      <c r="W157" s="2" t="s">
        <v>1660</v>
      </c>
      <c r="X157" s="2">
        <v>0</v>
      </c>
      <c r="Y157" s="2" t="s">
        <v>32</v>
      </c>
      <c r="Z157" s="2" t="s">
        <v>32</v>
      </c>
      <c r="AA157" s="2" t="s">
        <v>1660</v>
      </c>
      <c r="AB157" s="2">
        <v>0</v>
      </c>
      <c r="AC157" s="2" t="s">
        <v>1658</v>
      </c>
      <c r="AD157" s="2">
        <v>6</v>
      </c>
      <c r="AE157" s="2" t="s">
        <v>1658</v>
      </c>
      <c r="AF157" s="2">
        <v>22</v>
      </c>
      <c r="AG157" s="2">
        <v>168</v>
      </c>
      <c r="AH157" s="2" t="s">
        <v>1660</v>
      </c>
      <c r="AI157" s="2" t="s">
        <v>32</v>
      </c>
      <c r="AJ157" s="2" t="s">
        <v>32</v>
      </c>
      <c r="AK157" s="2" t="s">
        <v>32</v>
      </c>
      <c r="AL157" s="2" t="s">
        <v>1660</v>
      </c>
      <c r="AM157" s="2">
        <v>0</v>
      </c>
      <c r="AN157" s="2" t="s">
        <v>1660</v>
      </c>
      <c r="AO157" s="2">
        <v>0</v>
      </c>
      <c r="AP157" s="2" t="s">
        <v>32</v>
      </c>
      <c r="AQ157" s="2" t="s">
        <v>32</v>
      </c>
      <c r="AR157" s="2" t="s">
        <v>1660</v>
      </c>
      <c r="AS157" s="2">
        <v>0</v>
      </c>
      <c r="AT157" s="2" t="s">
        <v>32</v>
      </c>
      <c r="AU157" s="2" t="s">
        <v>32</v>
      </c>
      <c r="AV157" s="2" t="s">
        <v>1658</v>
      </c>
      <c r="AW157" s="2">
        <v>22</v>
      </c>
      <c r="AX157" s="2" t="s">
        <v>1660</v>
      </c>
      <c r="AY157" s="2">
        <v>0</v>
      </c>
      <c r="AZ157" s="2" t="s">
        <v>1660</v>
      </c>
      <c r="BA157" s="2">
        <v>0</v>
      </c>
      <c r="BB157" s="2">
        <v>0</v>
      </c>
      <c r="BC157" s="2" t="s">
        <v>32</v>
      </c>
      <c r="BD157" s="2">
        <v>0</v>
      </c>
      <c r="BE157" s="2" t="s">
        <v>32</v>
      </c>
      <c r="BF157" s="2">
        <v>0</v>
      </c>
      <c r="BG157" s="2" t="s">
        <v>32</v>
      </c>
      <c r="BH157" s="2">
        <v>0</v>
      </c>
      <c r="BI157" s="2" t="s">
        <v>32</v>
      </c>
      <c r="BJ157" s="2" t="s">
        <v>32</v>
      </c>
      <c r="BK157" s="2" t="s">
        <v>32</v>
      </c>
      <c r="BL157" s="2">
        <v>0</v>
      </c>
      <c r="BM157" s="2" t="s">
        <v>32</v>
      </c>
      <c r="BN157" s="2" t="s">
        <v>32</v>
      </c>
      <c r="BO157" s="2" t="s">
        <v>32</v>
      </c>
      <c r="BP157" s="2">
        <v>0</v>
      </c>
      <c r="BQ157" s="2" t="s">
        <v>32</v>
      </c>
      <c r="BR157" s="2">
        <v>0</v>
      </c>
      <c r="BS157" s="2" t="s">
        <v>1660</v>
      </c>
      <c r="BT157" s="2">
        <v>0</v>
      </c>
      <c r="BU157" s="2">
        <v>0</v>
      </c>
      <c r="BV157" s="2" t="s">
        <v>1660</v>
      </c>
      <c r="BW157" s="2"/>
      <c r="BX157" s="2"/>
      <c r="BY157" s="2" t="s">
        <v>1807</v>
      </c>
      <c r="BZ157" s="2" t="b">
        <f>OR( (Dashboard[[#This Row],[ref_as_hh]]&gt;=1),(Dashboard[[#This Row],[ret_as_hh]] &gt;=1), (Dashboard[[#This Row],[idp_as_hh]]&gt;=1))</f>
        <v>1</v>
      </c>
      <c r="CA157" s="2">
        <f>Dashboard[[#This Row],[ret_hi_hh]]</f>
        <v>0</v>
      </c>
      <c r="CB157" s="2">
        <f>Dashboard[[#This Row],[idp_fa_hh]]+Dashboard[[#This Row],[ref_fa_hh]]+Dashboard[[#This Row],[ret_fa_hh]]</f>
        <v>0</v>
      </c>
      <c r="CC157" s="2">
        <f>Dashboard[[#This Row],[idp_loc_hh]]+Dashboard[[#This Row],[ref_loc_hh]]+Dashboard[[#This Row],[ret_loc_hh]]</f>
        <v>0</v>
      </c>
      <c r="CD157" s="2">
        <f>Dashboard[[#This Row],[idp_cc_hh]]+Dashboard[[#This Row],[ref_cc_hh]]+Dashboard[[#This Row],[ret_cc_hh]]</f>
        <v>0</v>
      </c>
      <c r="CE157" s="2">
        <f>Dashboard[[#This Row],[idp_as_hh]]+Dashboard[[#This Row],[ref_as_hh]]+Dashboard[[#This Row],[ret_as_hh]]</f>
        <v>22</v>
      </c>
      <c r="CF157" s="2">
        <f>Dashboard[[#This Row],[idp_al_hh]]+Dashboard[[#This Row],[ref_al_hh]]+Dashboard[[#This Row],[ret_al_hh]]</f>
        <v>6</v>
      </c>
    </row>
    <row r="158" spans="1:84" x14ac:dyDescent="0.25">
      <c r="A158" s="27">
        <v>213</v>
      </c>
      <c r="B158" s="2" t="s">
        <v>22</v>
      </c>
      <c r="C158" s="2" t="s">
        <v>23</v>
      </c>
      <c r="D158" s="2" t="s">
        <v>85</v>
      </c>
      <c r="E158" s="2" t="s">
        <v>84</v>
      </c>
      <c r="F158" s="2" t="s">
        <v>151</v>
      </c>
      <c r="G158" s="2" t="s">
        <v>150</v>
      </c>
      <c r="H158" s="2" t="s">
        <v>1093</v>
      </c>
      <c r="I158" s="2" t="s">
        <v>784</v>
      </c>
      <c r="J158" s="2" t="s">
        <v>2688</v>
      </c>
      <c r="K158" s="2" t="s">
        <v>2689</v>
      </c>
      <c r="L158" s="2" t="s">
        <v>3702</v>
      </c>
      <c r="M158" s="2">
        <v>166</v>
      </c>
      <c r="N158" s="2" t="s">
        <v>1658</v>
      </c>
      <c r="O158" s="2">
        <v>29</v>
      </c>
      <c r="P158" s="2">
        <v>166</v>
      </c>
      <c r="Q158" s="2" t="s">
        <v>32</v>
      </c>
      <c r="R158" s="2">
        <v>0</v>
      </c>
      <c r="S158" s="2" t="s">
        <v>1660</v>
      </c>
      <c r="T158" s="2">
        <v>0</v>
      </c>
      <c r="U158" s="2" t="s">
        <v>32</v>
      </c>
      <c r="V158" s="2" t="s">
        <v>32</v>
      </c>
      <c r="W158" s="2" t="s">
        <v>1660</v>
      </c>
      <c r="X158" s="2">
        <v>0</v>
      </c>
      <c r="Y158" s="2" t="s">
        <v>32</v>
      </c>
      <c r="Z158" s="2" t="s">
        <v>32</v>
      </c>
      <c r="AA158" s="2" t="s">
        <v>1658</v>
      </c>
      <c r="AB158" s="2">
        <v>29</v>
      </c>
      <c r="AC158" s="2" t="s">
        <v>1660</v>
      </c>
      <c r="AD158" s="2">
        <v>0</v>
      </c>
      <c r="AE158" s="2" t="s">
        <v>1660</v>
      </c>
      <c r="AF158" s="2">
        <v>0</v>
      </c>
      <c r="AG158" s="2">
        <v>0</v>
      </c>
      <c r="AH158" s="2" t="s">
        <v>32</v>
      </c>
      <c r="AI158" s="2" t="s">
        <v>32</v>
      </c>
      <c r="AJ158" s="2" t="s">
        <v>32</v>
      </c>
      <c r="AK158" s="2" t="s">
        <v>32</v>
      </c>
      <c r="AL158" s="2" t="s">
        <v>32</v>
      </c>
      <c r="AM158" s="2">
        <v>0</v>
      </c>
      <c r="AN158" s="2" t="s">
        <v>32</v>
      </c>
      <c r="AO158" s="2">
        <v>0</v>
      </c>
      <c r="AP158" s="2" t="s">
        <v>32</v>
      </c>
      <c r="AQ158" s="2" t="s">
        <v>32</v>
      </c>
      <c r="AR158" s="2" t="s">
        <v>32</v>
      </c>
      <c r="AS158" s="2">
        <v>0</v>
      </c>
      <c r="AT158" s="2" t="s">
        <v>32</v>
      </c>
      <c r="AU158" s="2" t="s">
        <v>32</v>
      </c>
      <c r="AV158" s="2" t="s">
        <v>32</v>
      </c>
      <c r="AW158" s="2">
        <v>0</v>
      </c>
      <c r="AX158" s="2" t="s">
        <v>32</v>
      </c>
      <c r="AY158" s="2">
        <v>0</v>
      </c>
      <c r="AZ158" s="2" t="s">
        <v>1660</v>
      </c>
      <c r="BA158" s="2">
        <v>0</v>
      </c>
      <c r="BB158" s="2">
        <v>0</v>
      </c>
      <c r="BC158" s="2" t="s">
        <v>32</v>
      </c>
      <c r="BD158" s="2">
        <v>0</v>
      </c>
      <c r="BE158" s="2" t="s">
        <v>32</v>
      </c>
      <c r="BF158" s="2">
        <v>0</v>
      </c>
      <c r="BG158" s="2" t="s">
        <v>32</v>
      </c>
      <c r="BH158" s="2">
        <v>0</v>
      </c>
      <c r="BI158" s="2" t="s">
        <v>32</v>
      </c>
      <c r="BJ158" s="2" t="s">
        <v>32</v>
      </c>
      <c r="BK158" s="2" t="s">
        <v>32</v>
      </c>
      <c r="BL158" s="2">
        <v>0</v>
      </c>
      <c r="BM158" s="2" t="s">
        <v>32</v>
      </c>
      <c r="BN158" s="2" t="s">
        <v>32</v>
      </c>
      <c r="BO158" s="2" t="s">
        <v>32</v>
      </c>
      <c r="BP158" s="2">
        <v>0</v>
      </c>
      <c r="BQ158" s="2" t="s">
        <v>32</v>
      </c>
      <c r="BR158" s="2">
        <v>0</v>
      </c>
      <c r="BS158" s="2" t="s">
        <v>1660</v>
      </c>
      <c r="BT158" s="2">
        <v>0</v>
      </c>
      <c r="BU158" s="2">
        <v>0</v>
      </c>
      <c r="BV158" s="2" t="s">
        <v>1660</v>
      </c>
      <c r="BW158" s="2"/>
      <c r="BX158" s="2"/>
      <c r="BY158" s="2" t="s">
        <v>1807</v>
      </c>
      <c r="BZ158" s="2" t="b">
        <f>OR( (Dashboard[[#This Row],[ref_as_hh]]&gt;=1),(Dashboard[[#This Row],[ret_as_hh]] &gt;=1), (Dashboard[[#This Row],[idp_as_hh]]&gt;=1))</f>
        <v>1</v>
      </c>
      <c r="CA158" s="2">
        <f>Dashboard[[#This Row],[ret_hi_hh]]</f>
        <v>0</v>
      </c>
      <c r="CB158" s="2">
        <f>Dashboard[[#This Row],[idp_fa_hh]]+Dashboard[[#This Row],[ref_fa_hh]]+Dashboard[[#This Row],[ret_fa_hh]]</f>
        <v>0</v>
      </c>
      <c r="CC158" s="2">
        <f>Dashboard[[#This Row],[idp_loc_hh]]+Dashboard[[#This Row],[ref_loc_hh]]+Dashboard[[#This Row],[ret_loc_hh]]</f>
        <v>0</v>
      </c>
      <c r="CD158" s="2">
        <f>Dashboard[[#This Row],[idp_cc_hh]]+Dashboard[[#This Row],[ref_cc_hh]]+Dashboard[[#This Row],[ret_cc_hh]]</f>
        <v>0</v>
      </c>
      <c r="CE158" s="2">
        <f>Dashboard[[#This Row],[idp_as_hh]]+Dashboard[[#This Row],[ref_as_hh]]+Dashboard[[#This Row],[ret_as_hh]]</f>
        <v>29</v>
      </c>
      <c r="CF158" s="2">
        <f>Dashboard[[#This Row],[idp_al_hh]]+Dashboard[[#This Row],[ref_al_hh]]+Dashboard[[#This Row],[ret_al_hh]]</f>
        <v>0</v>
      </c>
    </row>
    <row r="159" spans="1:84" x14ac:dyDescent="0.25">
      <c r="A159" s="27">
        <v>216</v>
      </c>
      <c r="B159" s="2" t="s">
        <v>22</v>
      </c>
      <c r="C159" s="2" t="s">
        <v>23</v>
      </c>
      <c r="D159" s="2" t="s">
        <v>85</v>
      </c>
      <c r="E159" s="2" t="s">
        <v>84</v>
      </c>
      <c r="F159" s="2" t="s">
        <v>151</v>
      </c>
      <c r="G159" s="2" t="s">
        <v>150</v>
      </c>
      <c r="H159" s="2" t="s">
        <v>1067</v>
      </c>
      <c r="I159" s="2" t="s">
        <v>778</v>
      </c>
      <c r="J159" s="2" t="s">
        <v>2648</v>
      </c>
      <c r="K159" s="2" t="s">
        <v>2649</v>
      </c>
      <c r="L159" s="2" t="s">
        <v>3692</v>
      </c>
      <c r="M159" s="2">
        <v>123</v>
      </c>
      <c r="N159" s="2" t="s">
        <v>1658</v>
      </c>
      <c r="O159" s="2">
        <v>19</v>
      </c>
      <c r="P159" s="2">
        <v>100</v>
      </c>
      <c r="Q159" s="2" t="s">
        <v>32</v>
      </c>
      <c r="R159" s="2">
        <v>0</v>
      </c>
      <c r="S159" s="2" t="s">
        <v>1660</v>
      </c>
      <c r="T159" s="2">
        <v>0</v>
      </c>
      <c r="U159" s="2" t="s">
        <v>32</v>
      </c>
      <c r="V159" s="2" t="s">
        <v>32</v>
      </c>
      <c r="W159" s="2" t="s">
        <v>1660</v>
      </c>
      <c r="X159" s="2">
        <v>0</v>
      </c>
      <c r="Y159" s="2" t="s">
        <v>32</v>
      </c>
      <c r="Z159" s="2" t="s">
        <v>32</v>
      </c>
      <c r="AA159" s="2" t="s">
        <v>1658</v>
      </c>
      <c r="AB159" s="2">
        <v>19</v>
      </c>
      <c r="AC159" s="2" t="s">
        <v>1660</v>
      </c>
      <c r="AD159" s="2">
        <v>0</v>
      </c>
      <c r="AE159" s="2" t="s">
        <v>1658</v>
      </c>
      <c r="AF159" s="2">
        <v>3</v>
      </c>
      <c r="AG159" s="2">
        <v>23</v>
      </c>
      <c r="AH159" s="2" t="s">
        <v>1660</v>
      </c>
      <c r="AI159" s="2" t="s">
        <v>32</v>
      </c>
      <c r="AJ159" s="2" t="s">
        <v>32</v>
      </c>
      <c r="AK159" s="2" t="s">
        <v>32</v>
      </c>
      <c r="AL159" s="2" t="s">
        <v>32</v>
      </c>
      <c r="AM159" s="2">
        <v>0</v>
      </c>
      <c r="AN159" s="2" t="s">
        <v>1660</v>
      </c>
      <c r="AO159" s="2">
        <v>0</v>
      </c>
      <c r="AP159" s="2" t="s">
        <v>32</v>
      </c>
      <c r="AQ159" s="2" t="s">
        <v>32</v>
      </c>
      <c r="AR159" s="2" t="s">
        <v>1660</v>
      </c>
      <c r="AS159" s="2">
        <v>0</v>
      </c>
      <c r="AT159" s="2" t="s">
        <v>32</v>
      </c>
      <c r="AU159" s="2" t="s">
        <v>32</v>
      </c>
      <c r="AV159" s="2" t="s">
        <v>1658</v>
      </c>
      <c r="AW159" s="2">
        <v>3</v>
      </c>
      <c r="AX159" s="2" t="s">
        <v>1660</v>
      </c>
      <c r="AY159" s="2">
        <v>0</v>
      </c>
      <c r="AZ159" s="2" t="s">
        <v>1660</v>
      </c>
      <c r="BA159" s="2">
        <v>0</v>
      </c>
      <c r="BB159" s="2">
        <v>0</v>
      </c>
      <c r="BC159" s="2" t="s">
        <v>32</v>
      </c>
      <c r="BD159" s="2">
        <v>0</v>
      </c>
      <c r="BE159" s="2" t="s">
        <v>32</v>
      </c>
      <c r="BF159" s="2">
        <v>0</v>
      </c>
      <c r="BG159" s="2" t="s">
        <v>32</v>
      </c>
      <c r="BH159" s="2">
        <v>0</v>
      </c>
      <c r="BI159" s="2" t="s">
        <v>32</v>
      </c>
      <c r="BJ159" s="2" t="s">
        <v>32</v>
      </c>
      <c r="BK159" s="2" t="s">
        <v>32</v>
      </c>
      <c r="BL159" s="2">
        <v>0</v>
      </c>
      <c r="BM159" s="2" t="s">
        <v>32</v>
      </c>
      <c r="BN159" s="2" t="s">
        <v>32</v>
      </c>
      <c r="BO159" s="2" t="s">
        <v>32</v>
      </c>
      <c r="BP159" s="2">
        <v>0</v>
      </c>
      <c r="BQ159" s="2" t="s">
        <v>32</v>
      </c>
      <c r="BR159" s="2">
        <v>0</v>
      </c>
      <c r="BS159" s="2" t="s">
        <v>1660</v>
      </c>
      <c r="BT159" s="2">
        <v>0</v>
      </c>
      <c r="BU159" s="2">
        <v>0</v>
      </c>
      <c r="BV159" s="2" t="s">
        <v>1660</v>
      </c>
      <c r="BW159" s="2"/>
      <c r="BX159" s="2"/>
      <c r="BY159" s="2" t="s">
        <v>1807</v>
      </c>
      <c r="BZ159" s="2" t="b">
        <f>OR( (Dashboard[[#This Row],[ref_as_hh]]&gt;=1),(Dashboard[[#This Row],[ret_as_hh]] &gt;=1), (Dashboard[[#This Row],[idp_as_hh]]&gt;=1))</f>
        <v>1</v>
      </c>
      <c r="CA159" s="2">
        <f>Dashboard[[#This Row],[ret_hi_hh]]</f>
        <v>0</v>
      </c>
      <c r="CB159" s="2">
        <f>Dashboard[[#This Row],[idp_fa_hh]]+Dashboard[[#This Row],[ref_fa_hh]]+Dashboard[[#This Row],[ret_fa_hh]]</f>
        <v>0</v>
      </c>
      <c r="CC159" s="2">
        <f>Dashboard[[#This Row],[idp_loc_hh]]+Dashboard[[#This Row],[ref_loc_hh]]+Dashboard[[#This Row],[ret_loc_hh]]</f>
        <v>0</v>
      </c>
      <c r="CD159" s="2">
        <f>Dashboard[[#This Row],[idp_cc_hh]]+Dashboard[[#This Row],[ref_cc_hh]]+Dashboard[[#This Row],[ret_cc_hh]]</f>
        <v>0</v>
      </c>
      <c r="CE159" s="2">
        <f>Dashboard[[#This Row],[idp_as_hh]]+Dashboard[[#This Row],[ref_as_hh]]+Dashboard[[#This Row],[ret_as_hh]]</f>
        <v>22</v>
      </c>
      <c r="CF159" s="2">
        <f>Dashboard[[#This Row],[idp_al_hh]]+Dashboard[[#This Row],[ref_al_hh]]+Dashboard[[#This Row],[ret_al_hh]]</f>
        <v>0</v>
      </c>
    </row>
    <row r="160" spans="1:84" x14ac:dyDescent="0.25">
      <c r="A160" s="27">
        <v>236</v>
      </c>
      <c r="B160" s="2" t="s">
        <v>22</v>
      </c>
      <c r="C160" s="2" t="s">
        <v>23</v>
      </c>
      <c r="D160" s="2" t="s">
        <v>85</v>
      </c>
      <c r="E160" s="2" t="s">
        <v>84</v>
      </c>
      <c r="F160" s="2" t="s">
        <v>151</v>
      </c>
      <c r="G160" s="2" t="s">
        <v>150</v>
      </c>
      <c r="H160" s="2" t="s">
        <v>1095</v>
      </c>
      <c r="I160" s="2" t="s">
        <v>786</v>
      </c>
      <c r="J160" s="2" t="s">
        <v>2692</v>
      </c>
      <c r="K160" s="2" t="s">
        <v>2693</v>
      </c>
      <c r="L160" s="2" t="s">
        <v>2076</v>
      </c>
      <c r="M160" s="2">
        <v>562</v>
      </c>
      <c r="N160" s="2" t="s">
        <v>1658</v>
      </c>
      <c r="O160" s="2">
        <v>7</v>
      </c>
      <c r="P160" s="2">
        <v>49</v>
      </c>
      <c r="Q160" s="2" t="s">
        <v>1660</v>
      </c>
      <c r="R160" s="2">
        <v>0</v>
      </c>
      <c r="S160" s="2" t="s">
        <v>1660</v>
      </c>
      <c r="T160" s="2">
        <v>0</v>
      </c>
      <c r="U160" s="2" t="s">
        <v>32</v>
      </c>
      <c r="V160" s="2" t="s">
        <v>32</v>
      </c>
      <c r="W160" s="2" t="s">
        <v>1660</v>
      </c>
      <c r="X160" s="2">
        <v>0</v>
      </c>
      <c r="Y160" s="2" t="s">
        <v>32</v>
      </c>
      <c r="Z160" s="2" t="s">
        <v>32</v>
      </c>
      <c r="AA160" s="2" t="s">
        <v>1658</v>
      </c>
      <c r="AB160" s="2">
        <v>7</v>
      </c>
      <c r="AC160" s="2" t="s">
        <v>1660</v>
      </c>
      <c r="AD160" s="2">
        <v>0</v>
      </c>
      <c r="AE160" s="2" t="s">
        <v>1658</v>
      </c>
      <c r="AF160" s="2">
        <v>44</v>
      </c>
      <c r="AG160" s="2">
        <v>204</v>
      </c>
      <c r="AH160" s="2" t="s">
        <v>1660</v>
      </c>
      <c r="AI160" s="2" t="s">
        <v>32</v>
      </c>
      <c r="AJ160" s="2" t="s">
        <v>32</v>
      </c>
      <c r="AK160" s="2" t="s">
        <v>32</v>
      </c>
      <c r="AL160" s="2" t="s">
        <v>1660</v>
      </c>
      <c r="AM160" s="2">
        <v>0</v>
      </c>
      <c r="AN160" s="2" t="s">
        <v>1660</v>
      </c>
      <c r="AO160" s="2">
        <v>0</v>
      </c>
      <c r="AP160" s="2" t="s">
        <v>32</v>
      </c>
      <c r="AQ160" s="2" t="s">
        <v>32</v>
      </c>
      <c r="AR160" s="2" t="s">
        <v>1660</v>
      </c>
      <c r="AS160" s="2">
        <v>0</v>
      </c>
      <c r="AT160" s="2" t="s">
        <v>32</v>
      </c>
      <c r="AU160" s="2" t="s">
        <v>32</v>
      </c>
      <c r="AV160" s="2" t="s">
        <v>1658</v>
      </c>
      <c r="AW160" s="2">
        <v>44</v>
      </c>
      <c r="AX160" s="2" t="s">
        <v>1660</v>
      </c>
      <c r="AY160" s="2">
        <v>0</v>
      </c>
      <c r="AZ160" s="2" t="s">
        <v>1660</v>
      </c>
      <c r="BA160" s="2">
        <v>0</v>
      </c>
      <c r="BB160" s="2">
        <v>0</v>
      </c>
      <c r="BC160" s="2" t="s">
        <v>32</v>
      </c>
      <c r="BD160" s="2">
        <v>0</v>
      </c>
      <c r="BE160" s="2" t="s">
        <v>32</v>
      </c>
      <c r="BF160" s="2">
        <v>0</v>
      </c>
      <c r="BG160" s="2" t="s">
        <v>32</v>
      </c>
      <c r="BH160" s="2">
        <v>0</v>
      </c>
      <c r="BI160" s="2" t="s">
        <v>32</v>
      </c>
      <c r="BJ160" s="2" t="s">
        <v>32</v>
      </c>
      <c r="BK160" s="2" t="s">
        <v>32</v>
      </c>
      <c r="BL160" s="2">
        <v>0</v>
      </c>
      <c r="BM160" s="2" t="s">
        <v>32</v>
      </c>
      <c r="BN160" s="2" t="s">
        <v>32</v>
      </c>
      <c r="BO160" s="2" t="s">
        <v>32</v>
      </c>
      <c r="BP160" s="2">
        <v>0</v>
      </c>
      <c r="BQ160" s="2" t="s">
        <v>32</v>
      </c>
      <c r="BR160" s="2">
        <v>0</v>
      </c>
      <c r="BS160" s="2" t="s">
        <v>1660</v>
      </c>
      <c r="BT160" s="2">
        <v>0</v>
      </c>
      <c r="BU160" s="2">
        <v>0</v>
      </c>
      <c r="BV160" s="2" t="s">
        <v>1660</v>
      </c>
      <c r="BW160" s="2"/>
      <c r="BX160" s="2"/>
      <c r="BY160" s="2" t="s">
        <v>1807</v>
      </c>
      <c r="BZ160" s="2" t="b">
        <f>OR( (Dashboard[[#This Row],[ref_as_hh]]&gt;=1),(Dashboard[[#This Row],[ret_as_hh]] &gt;=1), (Dashboard[[#This Row],[idp_as_hh]]&gt;=1))</f>
        <v>1</v>
      </c>
      <c r="CA160" s="2">
        <f>Dashboard[[#This Row],[ret_hi_hh]]</f>
        <v>0</v>
      </c>
      <c r="CB160" s="2">
        <f>Dashboard[[#This Row],[idp_fa_hh]]+Dashboard[[#This Row],[ref_fa_hh]]+Dashboard[[#This Row],[ret_fa_hh]]</f>
        <v>0</v>
      </c>
      <c r="CC160" s="2">
        <f>Dashboard[[#This Row],[idp_loc_hh]]+Dashboard[[#This Row],[ref_loc_hh]]+Dashboard[[#This Row],[ret_loc_hh]]</f>
        <v>0</v>
      </c>
      <c r="CD160" s="2">
        <f>Dashboard[[#This Row],[idp_cc_hh]]+Dashboard[[#This Row],[ref_cc_hh]]+Dashboard[[#This Row],[ret_cc_hh]]</f>
        <v>0</v>
      </c>
      <c r="CE160" s="2">
        <f>Dashboard[[#This Row],[idp_as_hh]]+Dashboard[[#This Row],[ref_as_hh]]+Dashboard[[#This Row],[ret_as_hh]]</f>
        <v>51</v>
      </c>
      <c r="CF160" s="2">
        <f>Dashboard[[#This Row],[idp_al_hh]]+Dashboard[[#This Row],[ref_al_hh]]+Dashboard[[#This Row],[ret_al_hh]]</f>
        <v>0</v>
      </c>
    </row>
    <row r="161" spans="1:84" x14ac:dyDescent="0.25">
      <c r="A161" s="27">
        <v>237</v>
      </c>
      <c r="B161" s="2" t="s">
        <v>22</v>
      </c>
      <c r="C161" s="2" t="s">
        <v>23</v>
      </c>
      <c r="D161" s="2" t="s">
        <v>85</v>
      </c>
      <c r="E161" s="2" t="s">
        <v>84</v>
      </c>
      <c r="F161" s="2" t="s">
        <v>151</v>
      </c>
      <c r="G161" s="2" t="s">
        <v>150</v>
      </c>
      <c r="H161" s="2" t="s">
        <v>1107</v>
      </c>
      <c r="I161" s="2" t="s">
        <v>790</v>
      </c>
      <c r="J161" s="2" t="s">
        <v>2712</v>
      </c>
      <c r="K161" s="2" t="s">
        <v>2713</v>
      </c>
      <c r="L161" s="2" t="s">
        <v>2080</v>
      </c>
      <c r="M161" s="2">
        <v>214</v>
      </c>
      <c r="N161" s="2" t="s">
        <v>1658</v>
      </c>
      <c r="O161" s="2">
        <v>17</v>
      </c>
      <c r="P161" s="2">
        <v>128</v>
      </c>
      <c r="Q161" s="2" t="s">
        <v>1660</v>
      </c>
      <c r="R161" s="2">
        <v>0</v>
      </c>
      <c r="S161" s="2" t="s">
        <v>1660</v>
      </c>
      <c r="T161" s="2">
        <v>0</v>
      </c>
      <c r="U161" s="2" t="s">
        <v>32</v>
      </c>
      <c r="V161" s="2" t="s">
        <v>32</v>
      </c>
      <c r="W161" s="2" t="s">
        <v>1660</v>
      </c>
      <c r="X161" s="2">
        <v>0</v>
      </c>
      <c r="Y161" s="2" t="s">
        <v>32</v>
      </c>
      <c r="Z161" s="2" t="s">
        <v>32</v>
      </c>
      <c r="AA161" s="2" t="s">
        <v>1658</v>
      </c>
      <c r="AB161" s="2">
        <v>17</v>
      </c>
      <c r="AC161" s="2" t="s">
        <v>1660</v>
      </c>
      <c r="AD161" s="2">
        <v>0</v>
      </c>
      <c r="AE161" s="2" t="s">
        <v>1658</v>
      </c>
      <c r="AF161" s="2">
        <v>5</v>
      </c>
      <c r="AG161" s="2">
        <v>28</v>
      </c>
      <c r="AH161" s="2" t="s">
        <v>1660</v>
      </c>
      <c r="AI161" s="2" t="s">
        <v>32</v>
      </c>
      <c r="AJ161" s="2" t="s">
        <v>32</v>
      </c>
      <c r="AK161" s="2" t="s">
        <v>32</v>
      </c>
      <c r="AL161" s="2" t="s">
        <v>1660</v>
      </c>
      <c r="AM161" s="2">
        <v>0</v>
      </c>
      <c r="AN161" s="2" t="s">
        <v>1660</v>
      </c>
      <c r="AO161" s="2">
        <v>0</v>
      </c>
      <c r="AP161" s="2" t="s">
        <v>32</v>
      </c>
      <c r="AQ161" s="2" t="s">
        <v>32</v>
      </c>
      <c r="AR161" s="2" t="s">
        <v>1660</v>
      </c>
      <c r="AS161" s="2">
        <v>0</v>
      </c>
      <c r="AT161" s="2" t="s">
        <v>32</v>
      </c>
      <c r="AU161" s="2" t="s">
        <v>32</v>
      </c>
      <c r="AV161" s="2" t="s">
        <v>1658</v>
      </c>
      <c r="AW161" s="2">
        <v>5</v>
      </c>
      <c r="AX161" s="2" t="s">
        <v>1660</v>
      </c>
      <c r="AY161" s="2">
        <v>0</v>
      </c>
      <c r="AZ161" s="2" t="s">
        <v>1660</v>
      </c>
      <c r="BA161" s="2">
        <v>0</v>
      </c>
      <c r="BB161" s="2">
        <v>0</v>
      </c>
      <c r="BC161" s="2" t="s">
        <v>32</v>
      </c>
      <c r="BD161" s="2">
        <v>0</v>
      </c>
      <c r="BE161" s="2" t="s">
        <v>32</v>
      </c>
      <c r="BF161" s="2">
        <v>0</v>
      </c>
      <c r="BG161" s="2" t="s">
        <v>32</v>
      </c>
      <c r="BH161" s="2">
        <v>0</v>
      </c>
      <c r="BI161" s="2" t="s">
        <v>32</v>
      </c>
      <c r="BJ161" s="2" t="s">
        <v>32</v>
      </c>
      <c r="BK161" s="2" t="s">
        <v>32</v>
      </c>
      <c r="BL161" s="2">
        <v>0</v>
      </c>
      <c r="BM161" s="2" t="s">
        <v>32</v>
      </c>
      <c r="BN161" s="2" t="s">
        <v>32</v>
      </c>
      <c r="BO161" s="2" t="s">
        <v>32</v>
      </c>
      <c r="BP161" s="2">
        <v>0</v>
      </c>
      <c r="BQ161" s="2" t="s">
        <v>32</v>
      </c>
      <c r="BR161" s="2">
        <v>0</v>
      </c>
      <c r="BS161" s="2" t="s">
        <v>1660</v>
      </c>
      <c r="BT161" s="2">
        <v>0</v>
      </c>
      <c r="BU161" s="2">
        <v>0</v>
      </c>
      <c r="BV161" s="2" t="s">
        <v>1660</v>
      </c>
      <c r="BW161" s="2"/>
      <c r="BX161" s="2"/>
      <c r="BY161" s="2" t="s">
        <v>1807</v>
      </c>
      <c r="BZ161" s="2" t="b">
        <f>OR( (Dashboard[[#This Row],[ref_as_hh]]&gt;=1),(Dashboard[[#This Row],[ret_as_hh]] &gt;=1), (Dashboard[[#This Row],[idp_as_hh]]&gt;=1))</f>
        <v>1</v>
      </c>
      <c r="CA161" s="2">
        <f>Dashboard[[#This Row],[ret_hi_hh]]</f>
        <v>0</v>
      </c>
      <c r="CB161" s="2">
        <f>Dashboard[[#This Row],[idp_fa_hh]]+Dashboard[[#This Row],[ref_fa_hh]]+Dashboard[[#This Row],[ret_fa_hh]]</f>
        <v>0</v>
      </c>
      <c r="CC161" s="2">
        <f>Dashboard[[#This Row],[idp_loc_hh]]+Dashboard[[#This Row],[ref_loc_hh]]+Dashboard[[#This Row],[ret_loc_hh]]</f>
        <v>0</v>
      </c>
      <c r="CD161" s="2">
        <f>Dashboard[[#This Row],[idp_cc_hh]]+Dashboard[[#This Row],[ref_cc_hh]]+Dashboard[[#This Row],[ret_cc_hh]]</f>
        <v>0</v>
      </c>
      <c r="CE161" s="2">
        <f>Dashboard[[#This Row],[idp_as_hh]]+Dashboard[[#This Row],[ref_as_hh]]+Dashboard[[#This Row],[ret_as_hh]]</f>
        <v>22</v>
      </c>
      <c r="CF161" s="2">
        <f>Dashboard[[#This Row],[idp_al_hh]]+Dashboard[[#This Row],[ref_al_hh]]+Dashboard[[#This Row],[ret_al_hh]]</f>
        <v>0</v>
      </c>
    </row>
    <row r="162" spans="1:84" x14ac:dyDescent="0.25">
      <c r="A162" s="27">
        <v>508</v>
      </c>
      <c r="B162" s="2" t="s">
        <v>22</v>
      </c>
      <c r="C162" s="2" t="s">
        <v>23</v>
      </c>
      <c r="D162" s="2" t="s">
        <v>85</v>
      </c>
      <c r="E162" s="2" t="s">
        <v>84</v>
      </c>
      <c r="F162" s="2" t="s">
        <v>151</v>
      </c>
      <c r="G162" s="2" t="s">
        <v>150</v>
      </c>
      <c r="H162" s="2" t="s">
        <v>1094</v>
      </c>
      <c r="I162" s="2" t="s">
        <v>785</v>
      </c>
      <c r="J162" s="2" t="s">
        <v>2690</v>
      </c>
      <c r="K162" s="2" t="s">
        <v>2691</v>
      </c>
      <c r="L162" s="2" t="s">
        <v>3703</v>
      </c>
      <c r="M162" s="2">
        <v>210</v>
      </c>
      <c r="N162" s="2" t="s">
        <v>1658</v>
      </c>
      <c r="O162" s="2">
        <v>6</v>
      </c>
      <c r="P162" s="2">
        <v>56</v>
      </c>
      <c r="Q162" s="2" t="s">
        <v>1660</v>
      </c>
      <c r="R162" s="2">
        <v>0</v>
      </c>
      <c r="S162" s="2" t="s">
        <v>1660</v>
      </c>
      <c r="T162" s="2">
        <v>0</v>
      </c>
      <c r="U162" s="2" t="s">
        <v>32</v>
      </c>
      <c r="V162" s="2" t="s">
        <v>32</v>
      </c>
      <c r="W162" s="2" t="s">
        <v>1660</v>
      </c>
      <c r="X162" s="2">
        <v>0</v>
      </c>
      <c r="Y162" s="2" t="s">
        <v>32</v>
      </c>
      <c r="Z162" s="2" t="s">
        <v>32</v>
      </c>
      <c r="AA162" s="2" t="s">
        <v>1658</v>
      </c>
      <c r="AB162" s="2">
        <v>6</v>
      </c>
      <c r="AC162" s="2" t="s">
        <v>1660</v>
      </c>
      <c r="AD162" s="2">
        <v>0</v>
      </c>
      <c r="AE162" s="2" t="s">
        <v>1660</v>
      </c>
      <c r="AF162" s="2">
        <v>0</v>
      </c>
      <c r="AG162" s="2">
        <v>0</v>
      </c>
      <c r="AH162" s="2" t="s">
        <v>32</v>
      </c>
      <c r="AI162" s="2" t="s">
        <v>32</v>
      </c>
      <c r="AJ162" s="2" t="s">
        <v>32</v>
      </c>
      <c r="AK162" s="2" t="s">
        <v>32</v>
      </c>
      <c r="AL162" s="2" t="s">
        <v>32</v>
      </c>
      <c r="AM162" s="2">
        <v>0</v>
      </c>
      <c r="AN162" s="2" t="s">
        <v>32</v>
      </c>
      <c r="AO162" s="2">
        <v>0</v>
      </c>
      <c r="AP162" s="2" t="s">
        <v>32</v>
      </c>
      <c r="AQ162" s="2" t="s">
        <v>32</v>
      </c>
      <c r="AR162" s="2" t="s">
        <v>32</v>
      </c>
      <c r="AS162" s="2">
        <v>0</v>
      </c>
      <c r="AT162" s="2" t="s">
        <v>32</v>
      </c>
      <c r="AU162" s="2" t="s">
        <v>32</v>
      </c>
      <c r="AV162" s="2" t="s">
        <v>32</v>
      </c>
      <c r="AW162" s="2">
        <v>0</v>
      </c>
      <c r="AX162" s="2" t="s">
        <v>32</v>
      </c>
      <c r="AY162" s="2">
        <v>0</v>
      </c>
      <c r="AZ162" s="2" t="s">
        <v>1660</v>
      </c>
      <c r="BA162" s="2">
        <v>0</v>
      </c>
      <c r="BB162" s="2">
        <v>0</v>
      </c>
      <c r="BC162" s="2" t="s">
        <v>32</v>
      </c>
      <c r="BD162" s="2">
        <v>0</v>
      </c>
      <c r="BE162" s="2" t="s">
        <v>32</v>
      </c>
      <c r="BF162" s="2">
        <v>0</v>
      </c>
      <c r="BG162" s="2" t="s">
        <v>32</v>
      </c>
      <c r="BH162" s="2">
        <v>0</v>
      </c>
      <c r="BI162" s="2" t="s">
        <v>32</v>
      </c>
      <c r="BJ162" s="2" t="s">
        <v>32</v>
      </c>
      <c r="BK162" s="2" t="s">
        <v>32</v>
      </c>
      <c r="BL162" s="2">
        <v>0</v>
      </c>
      <c r="BM162" s="2" t="s">
        <v>32</v>
      </c>
      <c r="BN162" s="2" t="s">
        <v>32</v>
      </c>
      <c r="BO162" s="2" t="s">
        <v>32</v>
      </c>
      <c r="BP162" s="2">
        <v>0</v>
      </c>
      <c r="BQ162" s="2" t="s">
        <v>32</v>
      </c>
      <c r="BR162" s="2">
        <v>0</v>
      </c>
      <c r="BS162" s="2" t="s">
        <v>1660</v>
      </c>
      <c r="BT162" s="2">
        <v>0</v>
      </c>
      <c r="BU162" s="2">
        <v>0</v>
      </c>
      <c r="BV162" s="2" t="s">
        <v>1660</v>
      </c>
      <c r="BW162" s="2"/>
      <c r="BX162" s="2"/>
      <c r="BY162" s="2" t="s">
        <v>1807</v>
      </c>
      <c r="BZ162" s="2" t="b">
        <f>OR( (Dashboard[[#This Row],[ref_as_hh]]&gt;=1),(Dashboard[[#This Row],[ret_as_hh]] &gt;=1), (Dashboard[[#This Row],[idp_as_hh]]&gt;=1))</f>
        <v>1</v>
      </c>
      <c r="CA162" s="2">
        <f>Dashboard[[#This Row],[ret_hi_hh]]</f>
        <v>0</v>
      </c>
      <c r="CB162" s="2">
        <f>Dashboard[[#This Row],[idp_fa_hh]]+Dashboard[[#This Row],[ref_fa_hh]]+Dashboard[[#This Row],[ret_fa_hh]]</f>
        <v>0</v>
      </c>
      <c r="CC162" s="2">
        <f>Dashboard[[#This Row],[idp_loc_hh]]+Dashboard[[#This Row],[ref_loc_hh]]+Dashboard[[#This Row],[ret_loc_hh]]</f>
        <v>0</v>
      </c>
      <c r="CD162" s="2">
        <f>Dashboard[[#This Row],[idp_cc_hh]]+Dashboard[[#This Row],[ref_cc_hh]]+Dashboard[[#This Row],[ret_cc_hh]]</f>
        <v>0</v>
      </c>
      <c r="CE162" s="2">
        <f>Dashboard[[#This Row],[idp_as_hh]]+Dashboard[[#This Row],[ref_as_hh]]+Dashboard[[#This Row],[ret_as_hh]]</f>
        <v>6</v>
      </c>
      <c r="CF162" s="2">
        <f>Dashboard[[#This Row],[idp_al_hh]]+Dashboard[[#This Row],[ref_al_hh]]+Dashboard[[#This Row],[ret_al_hh]]</f>
        <v>0</v>
      </c>
    </row>
    <row r="163" spans="1:84" x14ac:dyDescent="0.25">
      <c r="A163" s="27">
        <v>509</v>
      </c>
      <c r="B163" s="2" t="s">
        <v>22</v>
      </c>
      <c r="C163" s="2" t="s">
        <v>23</v>
      </c>
      <c r="D163" s="2" t="s">
        <v>85</v>
      </c>
      <c r="E163" s="2" t="s">
        <v>84</v>
      </c>
      <c r="F163" s="2" t="s">
        <v>151</v>
      </c>
      <c r="G163" s="2" t="s">
        <v>150</v>
      </c>
      <c r="H163" s="2" t="s">
        <v>1664</v>
      </c>
      <c r="I163" s="2" t="s">
        <v>777</v>
      </c>
      <c r="J163" s="2" t="s">
        <v>2670</v>
      </c>
      <c r="K163" s="2" t="s">
        <v>2671</v>
      </c>
      <c r="L163" s="2" t="s">
        <v>2077</v>
      </c>
      <c r="M163" s="2">
        <v>128</v>
      </c>
      <c r="N163" s="2" t="s">
        <v>1658</v>
      </c>
      <c r="O163" s="2">
        <v>32</v>
      </c>
      <c r="P163" s="2">
        <v>128</v>
      </c>
      <c r="Q163" s="2" t="s">
        <v>1660</v>
      </c>
      <c r="R163" s="2">
        <v>0</v>
      </c>
      <c r="S163" s="2" t="s">
        <v>1660</v>
      </c>
      <c r="T163" s="2">
        <v>0</v>
      </c>
      <c r="U163" s="2" t="s">
        <v>32</v>
      </c>
      <c r="V163" s="2" t="s">
        <v>32</v>
      </c>
      <c r="W163" s="2" t="s">
        <v>1660</v>
      </c>
      <c r="X163" s="2">
        <v>0</v>
      </c>
      <c r="Y163" s="2" t="s">
        <v>32</v>
      </c>
      <c r="Z163" s="2" t="s">
        <v>32</v>
      </c>
      <c r="AA163" s="2" t="s">
        <v>1658</v>
      </c>
      <c r="AB163" s="2">
        <v>32</v>
      </c>
      <c r="AC163" s="2" t="s">
        <v>1660</v>
      </c>
      <c r="AD163" s="2">
        <v>0</v>
      </c>
      <c r="AE163" s="2" t="s">
        <v>1660</v>
      </c>
      <c r="AF163" s="2">
        <v>0</v>
      </c>
      <c r="AG163" s="2">
        <v>0</v>
      </c>
      <c r="AH163" s="2" t="s">
        <v>32</v>
      </c>
      <c r="AI163" s="2" t="s">
        <v>32</v>
      </c>
      <c r="AJ163" s="2" t="s">
        <v>32</v>
      </c>
      <c r="AK163" s="2" t="s">
        <v>32</v>
      </c>
      <c r="AL163" s="2" t="s">
        <v>32</v>
      </c>
      <c r="AM163" s="2">
        <v>0</v>
      </c>
      <c r="AN163" s="2" t="s">
        <v>32</v>
      </c>
      <c r="AO163" s="2">
        <v>0</v>
      </c>
      <c r="AP163" s="2" t="s">
        <v>32</v>
      </c>
      <c r="AQ163" s="2" t="s">
        <v>32</v>
      </c>
      <c r="AR163" s="2" t="s">
        <v>32</v>
      </c>
      <c r="AS163" s="2">
        <v>0</v>
      </c>
      <c r="AT163" s="2" t="s">
        <v>32</v>
      </c>
      <c r="AU163" s="2" t="s">
        <v>32</v>
      </c>
      <c r="AV163" s="2" t="s">
        <v>32</v>
      </c>
      <c r="AW163" s="2">
        <v>0</v>
      </c>
      <c r="AX163" s="2" t="s">
        <v>32</v>
      </c>
      <c r="AY163" s="2">
        <v>0</v>
      </c>
      <c r="AZ163" s="2" t="s">
        <v>1660</v>
      </c>
      <c r="BA163" s="2">
        <v>0</v>
      </c>
      <c r="BB163" s="2">
        <v>0</v>
      </c>
      <c r="BC163" s="2" t="s">
        <v>32</v>
      </c>
      <c r="BD163" s="2">
        <v>0</v>
      </c>
      <c r="BE163" s="2" t="s">
        <v>32</v>
      </c>
      <c r="BF163" s="2">
        <v>0</v>
      </c>
      <c r="BG163" s="2" t="s">
        <v>32</v>
      </c>
      <c r="BH163" s="2">
        <v>0</v>
      </c>
      <c r="BI163" s="2" t="s">
        <v>32</v>
      </c>
      <c r="BJ163" s="2" t="s">
        <v>32</v>
      </c>
      <c r="BK163" s="2" t="s">
        <v>32</v>
      </c>
      <c r="BL163" s="2">
        <v>0</v>
      </c>
      <c r="BM163" s="2" t="s">
        <v>32</v>
      </c>
      <c r="BN163" s="2" t="s">
        <v>32</v>
      </c>
      <c r="BO163" s="2" t="s">
        <v>32</v>
      </c>
      <c r="BP163" s="2">
        <v>0</v>
      </c>
      <c r="BQ163" s="2" t="s">
        <v>32</v>
      </c>
      <c r="BR163" s="2">
        <v>0</v>
      </c>
      <c r="BS163" s="2" t="s">
        <v>1660</v>
      </c>
      <c r="BT163" s="2">
        <v>0</v>
      </c>
      <c r="BU163" s="2">
        <v>0</v>
      </c>
      <c r="BV163" s="2" t="s">
        <v>1660</v>
      </c>
      <c r="BW163" s="2"/>
      <c r="BX163" s="2"/>
      <c r="BY163" s="2" t="s">
        <v>1807</v>
      </c>
      <c r="BZ163" s="2" t="b">
        <f>OR( (Dashboard[[#This Row],[ref_as_hh]]&gt;=1),(Dashboard[[#This Row],[ret_as_hh]] &gt;=1), (Dashboard[[#This Row],[idp_as_hh]]&gt;=1))</f>
        <v>1</v>
      </c>
      <c r="CA163" s="2">
        <f>Dashboard[[#This Row],[ret_hi_hh]]</f>
        <v>0</v>
      </c>
      <c r="CB163" s="2">
        <f>Dashboard[[#This Row],[idp_fa_hh]]+Dashboard[[#This Row],[ref_fa_hh]]+Dashboard[[#This Row],[ret_fa_hh]]</f>
        <v>0</v>
      </c>
      <c r="CC163" s="2">
        <f>Dashboard[[#This Row],[idp_loc_hh]]+Dashboard[[#This Row],[ref_loc_hh]]+Dashboard[[#This Row],[ret_loc_hh]]</f>
        <v>0</v>
      </c>
      <c r="CD163" s="2">
        <f>Dashboard[[#This Row],[idp_cc_hh]]+Dashboard[[#This Row],[ref_cc_hh]]+Dashboard[[#This Row],[ret_cc_hh]]</f>
        <v>0</v>
      </c>
      <c r="CE163" s="2">
        <f>Dashboard[[#This Row],[idp_as_hh]]+Dashboard[[#This Row],[ref_as_hh]]+Dashboard[[#This Row],[ret_as_hh]]</f>
        <v>32</v>
      </c>
      <c r="CF163" s="2">
        <f>Dashboard[[#This Row],[idp_al_hh]]+Dashboard[[#This Row],[ref_al_hh]]+Dashboard[[#This Row],[ret_al_hh]]</f>
        <v>0</v>
      </c>
    </row>
    <row r="164" spans="1:84" hidden="1" x14ac:dyDescent="0.25">
      <c r="A164" s="27">
        <v>8</v>
      </c>
      <c r="B164" s="2" t="s">
        <v>22</v>
      </c>
      <c r="C164" s="2" t="s">
        <v>23</v>
      </c>
      <c r="D164" s="2" t="s">
        <v>85</v>
      </c>
      <c r="E164" s="2" t="s">
        <v>84</v>
      </c>
      <c r="F164" s="2" t="s">
        <v>181</v>
      </c>
      <c r="G164" s="2" t="s">
        <v>180</v>
      </c>
      <c r="H164" s="2" t="s">
        <v>1322</v>
      </c>
      <c r="I164" s="2" t="s">
        <v>194</v>
      </c>
      <c r="J164" s="2" t="s">
        <v>3202</v>
      </c>
      <c r="K164" s="2" t="s">
        <v>3203</v>
      </c>
      <c r="L164" s="2" t="s">
        <v>2074</v>
      </c>
      <c r="M164" s="2">
        <v>1236</v>
      </c>
      <c r="N164" s="2" t="s">
        <v>1658</v>
      </c>
      <c r="O164" s="2">
        <v>72</v>
      </c>
      <c r="P164" s="2">
        <v>389</v>
      </c>
      <c r="Q164" s="2" t="s">
        <v>1658</v>
      </c>
      <c r="R164" s="2">
        <v>72</v>
      </c>
      <c r="S164" s="2" t="s">
        <v>1660</v>
      </c>
      <c r="T164" s="2">
        <v>0</v>
      </c>
      <c r="U164" s="2" t="s">
        <v>32</v>
      </c>
      <c r="V164" s="2" t="s">
        <v>32</v>
      </c>
      <c r="W164" s="2" t="s">
        <v>1660</v>
      </c>
      <c r="X164" s="2">
        <v>0</v>
      </c>
      <c r="Y164" s="2" t="s">
        <v>32</v>
      </c>
      <c r="Z164" s="2" t="s">
        <v>32</v>
      </c>
      <c r="AA164" s="2" t="s">
        <v>1660</v>
      </c>
      <c r="AB164" s="2">
        <v>0</v>
      </c>
      <c r="AC164" s="2" t="s">
        <v>1660</v>
      </c>
      <c r="AD164" s="2">
        <v>0</v>
      </c>
      <c r="AE164" s="2" t="s">
        <v>1660</v>
      </c>
      <c r="AF164" s="2">
        <v>0</v>
      </c>
      <c r="AG164" s="2">
        <v>0</v>
      </c>
      <c r="AH164" s="2" t="s">
        <v>32</v>
      </c>
      <c r="AI164" s="2" t="s">
        <v>32</v>
      </c>
      <c r="AJ164" s="2" t="s">
        <v>32</v>
      </c>
      <c r="AK164" s="2" t="s">
        <v>32</v>
      </c>
      <c r="AL164" s="2" t="s">
        <v>32</v>
      </c>
      <c r="AM164" s="2">
        <v>0</v>
      </c>
      <c r="AN164" s="2" t="s">
        <v>32</v>
      </c>
      <c r="AO164" s="2">
        <v>0</v>
      </c>
      <c r="AP164" s="2" t="s">
        <v>32</v>
      </c>
      <c r="AQ164" s="2" t="s">
        <v>32</v>
      </c>
      <c r="AR164" s="2" t="s">
        <v>32</v>
      </c>
      <c r="AS164" s="2">
        <v>0</v>
      </c>
      <c r="AT164" s="2" t="s">
        <v>32</v>
      </c>
      <c r="AU164" s="2" t="s">
        <v>32</v>
      </c>
      <c r="AV164" s="2" t="s">
        <v>32</v>
      </c>
      <c r="AW164" s="2">
        <v>0</v>
      </c>
      <c r="AX164" s="2" t="s">
        <v>32</v>
      </c>
      <c r="AY164" s="2">
        <v>0</v>
      </c>
      <c r="AZ164" s="2" t="s">
        <v>1658</v>
      </c>
      <c r="BA164" s="2">
        <v>68</v>
      </c>
      <c r="BB164" s="2">
        <v>350</v>
      </c>
      <c r="BC164" s="2" t="s">
        <v>1658</v>
      </c>
      <c r="BD164" s="2">
        <v>68</v>
      </c>
      <c r="BE164" s="2" t="s">
        <v>1660</v>
      </c>
      <c r="BF164" s="2">
        <v>0</v>
      </c>
      <c r="BG164" s="2" t="s">
        <v>1660</v>
      </c>
      <c r="BH164" s="2">
        <v>0</v>
      </c>
      <c r="BI164" s="2" t="s">
        <v>32</v>
      </c>
      <c r="BJ164" s="2" t="s">
        <v>32</v>
      </c>
      <c r="BK164" s="2" t="s">
        <v>1660</v>
      </c>
      <c r="BL164" s="2">
        <v>0</v>
      </c>
      <c r="BM164" s="2" t="s">
        <v>32</v>
      </c>
      <c r="BN164" s="2" t="s">
        <v>32</v>
      </c>
      <c r="BO164" s="2" t="s">
        <v>1660</v>
      </c>
      <c r="BP164" s="2">
        <v>0</v>
      </c>
      <c r="BQ164" s="2" t="s">
        <v>1660</v>
      </c>
      <c r="BR164" s="2">
        <v>0</v>
      </c>
      <c r="BS164" s="2" t="s">
        <v>1658</v>
      </c>
      <c r="BT164" s="2">
        <v>9</v>
      </c>
      <c r="BU164" s="2">
        <v>57</v>
      </c>
      <c r="BV164" s="2" t="s">
        <v>1660</v>
      </c>
      <c r="BW164" s="2"/>
      <c r="BX164" s="2"/>
      <c r="BY164" s="2" t="s">
        <v>1807</v>
      </c>
      <c r="BZ164" s="2" t="b">
        <f>OR( (Dashboard[[#This Row],[ref_as_hh]]&gt;=1),(Dashboard[[#This Row],[ret_as_hh]] &gt;=1), (Dashboard[[#This Row],[idp_as_hh]]&gt;=1))</f>
        <v>0</v>
      </c>
      <c r="CA164" s="2">
        <f>Dashboard[[#This Row],[ret_hi_hh]]</f>
        <v>68</v>
      </c>
      <c r="CB164" s="2">
        <f>Dashboard[[#This Row],[idp_fa_hh]]+Dashboard[[#This Row],[ref_fa_hh]]+Dashboard[[#This Row],[ret_fa_hh]]</f>
        <v>72</v>
      </c>
      <c r="CC164" s="2">
        <f>Dashboard[[#This Row],[idp_loc_hh]]+Dashboard[[#This Row],[ref_loc_hh]]+Dashboard[[#This Row],[ret_loc_hh]]</f>
        <v>0</v>
      </c>
      <c r="CD164" s="2">
        <f>Dashboard[[#This Row],[idp_cc_hh]]+Dashboard[[#This Row],[ref_cc_hh]]+Dashboard[[#This Row],[ret_cc_hh]]</f>
        <v>0</v>
      </c>
      <c r="CE164" s="2">
        <f>Dashboard[[#This Row],[idp_as_hh]]+Dashboard[[#This Row],[ref_as_hh]]+Dashboard[[#This Row],[ret_as_hh]]</f>
        <v>0</v>
      </c>
      <c r="CF164" s="2">
        <f>Dashboard[[#This Row],[idp_al_hh]]+Dashboard[[#This Row],[ref_al_hh]]+Dashboard[[#This Row],[ret_al_hh]]</f>
        <v>0</v>
      </c>
    </row>
    <row r="165" spans="1:84" hidden="1" x14ac:dyDescent="0.25">
      <c r="A165" s="27">
        <v>9</v>
      </c>
      <c r="B165" s="2" t="s">
        <v>22</v>
      </c>
      <c r="C165" s="2" t="s">
        <v>23</v>
      </c>
      <c r="D165" s="2" t="s">
        <v>85</v>
      </c>
      <c r="E165" s="2" t="s">
        <v>84</v>
      </c>
      <c r="F165" s="2" t="s">
        <v>181</v>
      </c>
      <c r="G165" s="2" t="s">
        <v>180</v>
      </c>
      <c r="H165" s="2" t="s">
        <v>1315</v>
      </c>
      <c r="I165" s="2" t="s">
        <v>186</v>
      </c>
      <c r="J165" s="2" t="s">
        <v>3184</v>
      </c>
      <c r="K165" s="2" t="s">
        <v>3185</v>
      </c>
      <c r="L165" s="2" t="s">
        <v>2074</v>
      </c>
      <c r="M165" s="2">
        <v>725</v>
      </c>
      <c r="N165" s="2" t="s">
        <v>1658</v>
      </c>
      <c r="O165" s="2">
        <v>41</v>
      </c>
      <c r="P165" s="2">
        <v>208</v>
      </c>
      <c r="Q165" s="2" t="s">
        <v>1658</v>
      </c>
      <c r="R165" s="2">
        <v>41</v>
      </c>
      <c r="S165" s="2" t="s">
        <v>1660</v>
      </c>
      <c r="T165" s="2">
        <v>0</v>
      </c>
      <c r="U165" s="2" t="s">
        <v>32</v>
      </c>
      <c r="V165" s="2" t="s">
        <v>32</v>
      </c>
      <c r="W165" s="2" t="s">
        <v>1660</v>
      </c>
      <c r="X165" s="2">
        <v>0</v>
      </c>
      <c r="Y165" s="2" t="s">
        <v>32</v>
      </c>
      <c r="Z165" s="2" t="s">
        <v>32</v>
      </c>
      <c r="AA165" s="2" t="s">
        <v>1660</v>
      </c>
      <c r="AB165" s="2">
        <v>0</v>
      </c>
      <c r="AC165" s="2" t="s">
        <v>1660</v>
      </c>
      <c r="AD165" s="2">
        <v>0</v>
      </c>
      <c r="AE165" s="2" t="s">
        <v>1660</v>
      </c>
      <c r="AF165" s="2">
        <v>0</v>
      </c>
      <c r="AG165" s="2">
        <v>0</v>
      </c>
      <c r="AH165" s="2" t="s">
        <v>32</v>
      </c>
      <c r="AI165" s="2" t="s">
        <v>32</v>
      </c>
      <c r="AJ165" s="2" t="s">
        <v>32</v>
      </c>
      <c r="AK165" s="2" t="s">
        <v>32</v>
      </c>
      <c r="AL165" s="2" t="s">
        <v>32</v>
      </c>
      <c r="AM165" s="2">
        <v>0</v>
      </c>
      <c r="AN165" s="2" t="s">
        <v>32</v>
      </c>
      <c r="AO165" s="2">
        <v>0</v>
      </c>
      <c r="AP165" s="2" t="s">
        <v>32</v>
      </c>
      <c r="AQ165" s="2" t="s">
        <v>32</v>
      </c>
      <c r="AR165" s="2" t="s">
        <v>32</v>
      </c>
      <c r="AS165" s="2">
        <v>0</v>
      </c>
      <c r="AT165" s="2" t="s">
        <v>32</v>
      </c>
      <c r="AU165" s="2" t="s">
        <v>32</v>
      </c>
      <c r="AV165" s="2" t="s">
        <v>32</v>
      </c>
      <c r="AW165" s="2">
        <v>0</v>
      </c>
      <c r="AX165" s="2" t="s">
        <v>32</v>
      </c>
      <c r="AY165" s="2">
        <v>0</v>
      </c>
      <c r="AZ165" s="2" t="s">
        <v>1658</v>
      </c>
      <c r="BA165" s="2">
        <v>53</v>
      </c>
      <c r="BB165" s="2">
        <v>275</v>
      </c>
      <c r="BC165" s="2" t="s">
        <v>1658</v>
      </c>
      <c r="BD165" s="2">
        <v>53</v>
      </c>
      <c r="BE165" s="2" t="s">
        <v>1660</v>
      </c>
      <c r="BF165" s="2">
        <v>0</v>
      </c>
      <c r="BG165" s="2" t="s">
        <v>1660</v>
      </c>
      <c r="BH165" s="2">
        <v>0</v>
      </c>
      <c r="BI165" s="2" t="s">
        <v>32</v>
      </c>
      <c r="BJ165" s="2" t="s">
        <v>32</v>
      </c>
      <c r="BK165" s="2" t="s">
        <v>1660</v>
      </c>
      <c r="BL165" s="2">
        <v>0</v>
      </c>
      <c r="BM165" s="2" t="s">
        <v>32</v>
      </c>
      <c r="BN165" s="2" t="s">
        <v>32</v>
      </c>
      <c r="BO165" s="2" t="s">
        <v>1660</v>
      </c>
      <c r="BP165" s="2">
        <v>0</v>
      </c>
      <c r="BQ165" s="2" t="s">
        <v>1660</v>
      </c>
      <c r="BR165" s="2">
        <v>0</v>
      </c>
      <c r="BS165" s="2" t="s">
        <v>1658</v>
      </c>
      <c r="BT165" s="2">
        <v>10</v>
      </c>
      <c r="BU165" s="2">
        <v>58</v>
      </c>
      <c r="BV165" s="2" t="s">
        <v>1660</v>
      </c>
      <c r="BW165" s="2"/>
      <c r="BX165" s="2"/>
      <c r="BY165" s="2" t="s">
        <v>1807</v>
      </c>
      <c r="BZ165" s="2" t="b">
        <f>OR( (Dashboard[[#This Row],[ref_as_hh]]&gt;=1),(Dashboard[[#This Row],[ret_as_hh]] &gt;=1), (Dashboard[[#This Row],[idp_as_hh]]&gt;=1))</f>
        <v>0</v>
      </c>
      <c r="CA165" s="2">
        <f>Dashboard[[#This Row],[ret_hi_hh]]</f>
        <v>53</v>
      </c>
      <c r="CB165" s="2">
        <f>Dashboard[[#This Row],[idp_fa_hh]]+Dashboard[[#This Row],[ref_fa_hh]]+Dashboard[[#This Row],[ret_fa_hh]]</f>
        <v>41</v>
      </c>
      <c r="CC165" s="2">
        <f>Dashboard[[#This Row],[idp_loc_hh]]+Dashboard[[#This Row],[ref_loc_hh]]+Dashboard[[#This Row],[ret_loc_hh]]</f>
        <v>0</v>
      </c>
      <c r="CD165" s="2">
        <f>Dashboard[[#This Row],[idp_cc_hh]]+Dashboard[[#This Row],[ref_cc_hh]]+Dashboard[[#This Row],[ret_cc_hh]]</f>
        <v>0</v>
      </c>
      <c r="CE165" s="2">
        <f>Dashboard[[#This Row],[idp_as_hh]]+Dashboard[[#This Row],[ref_as_hh]]+Dashboard[[#This Row],[ret_as_hh]]</f>
        <v>0</v>
      </c>
      <c r="CF165" s="2">
        <f>Dashboard[[#This Row],[idp_al_hh]]+Dashboard[[#This Row],[ref_al_hh]]+Dashboard[[#This Row],[ret_al_hh]]</f>
        <v>0</v>
      </c>
    </row>
    <row r="166" spans="1:84" hidden="1" x14ac:dyDescent="0.25">
      <c r="A166" s="27">
        <v>11</v>
      </c>
      <c r="B166" s="2" t="s">
        <v>22</v>
      </c>
      <c r="C166" s="2" t="s">
        <v>23</v>
      </c>
      <c r="D166" s="2" t="s">
        <v>85</v>
      </c>
      <c r="E166" s="2" t="s">
        <v>84</v>
      </c>
      <c r="F166" s="2" t="s">
        <v>181</v>
      </c>
      <c r="G166" s="2" t="s">
        <v>180</v>
      </c>
      <c r="H166" s="2" t="s">
        <v>1320</v>
      </c>
      <c r="I166" s="2" t="s">
        <v>191</v>
      </c>
      <c r="J166" s="2" t="s">
        <v>3196</v>
      </c>
      <c r="K166" s="2" t="s">
        <v>3197</v>
      </c>
      <c r="L166" s="2" t="s">
        <v>2074</v>
      </c>
      <c r="M166" s="2">
        <v>1995</v>
      </c>
      <c r="N166" s="2" t="s">
        <v>1658</v>
      </c>
      <c r="O166" s="2">
        <v>99</v>
      </c>
      <c r="P166" s="2">
        <v>505</v>
      </c>
      <c r="Q166" s="2" t="s">
        <v>1658</v>
      </c>
      <c r="R166" s="2">
        <v>99</v>
      </c>
      <c r="S166" s="2" t="s">
        <v>1660</v>
      </c>
      <c r="T166" s="2">
        <v>0</v>
      </c>
      <c r="U166" s="2" t="s">
        <v>32</v>
      </c>
      <c r="V166" s="2" t="s">
        <v>32</v>
      </c>
      <c r="W166" s="2" t="s">
        <v>1660</v>
      </c>
      <c r="X166" s="2">
        <v>0</v>
      </c>
      <c r="Y166" s="2" t="s">
        <v>32</v>
      </c>
      <c r="Z166" s="2" t="s">
        <v>32</v>
      </c>
      <c r="AA166" s="2" t="s">
        <v>1660</v>
      </c>
      <c r="AB166" s="2">
        <v>0</v>
      </c>
      <c r="AC166" s="2" t="s">
        <v>1660</v>
      </c>
      <c r="AD166" s="2">
        <v>0</v>
      </c>
      <c r="AE166" s="2" t="s">
        <v>1660</v>
      </c>
      <c r="AF166" s="2">
        <v>0</v>
      </c>
      <c r="AG166" s="2">
        <v>0</v>
      </c>
      <c r="AH166" s="2" t="s">
        <v>32</v>
      </c>
      <c r="AI166" s="2" t="s">
        <v>32</v>
      </c>
      <c r="AJ166" s="2" t="s">
        <v>32</v>
      </c>
      <c r="AK166" s="2" t="s">
        <v>32</v>
      </c>
      <c r="AL166" s="2" t="s">
        <v>32</v>
      </c>
      <c r="AM166" s="2">
        <v>0</v>
      </c>
      <c r="AN166" s="2" t="s">
        <v>32</v>
      </c>
      <c r="AO166" s="2">
        <v>0</v>
      </c>
      <c r="AP166" s="2" t="s">
        <v>32</v>
      </c>
      <c r="AQ166" s="2" t="s">
        <v>32</v>
      </c>
      <c r="AR166" s="2" t="s">
        <v>32</v>
      </c>
      <c r="AS166" s="2">
        <v>0</v>
      </c>
      <c r="AT166" s="2" t="s">
        <v>32</v>
      </c>
      <c r="AU166" s="2" t="s">
        <v>32</v>
      </c>
      <c r="AV166" s="2" t="s">
        <v>32</v>
      </c>
      <c r="AW166" s="2">
        <v>0</v>
      </c>
      <c r="AX166" s="2" t="s">
        <v>32</v>
      </c>
      <c r="AY166" s="2">
        <v>0</v>
      </c>
      <c r="AZ166" s="2" t="s">
        <v>1658</v>
      </c>
      <c r="BA166" s="2">
        <v>95</v>
      </c>
      <c r="BB166" s="2">
        <v>495</v>
      </c>
      <c r="BC166" s="2" t="s">
        <v>1658</v>
      </c>
      <c r="BD166" s="2">
        <v>95</v>
      </c>
      <c r="BE166" s="2" t="s">
        <v>1660</v>
      </c>
      <c r="BF166" s="2">
        <v>0</v>
      </c>
      <c r="BG166" s="2" t="s">
        <v>1660</v>
      </c>
      <c r="BH166" s="2">
        <v>0</v>
      </c>
      <c r="BI166" s="2" t="s">
        <v>32</v>
      </c>
      <c r="BJ166" s="2" t="s">
        <v>32</v>
      </c>
      <c r="BK166" s="2" t="s">
        <v>1660</v>
      </c>
      <c r="BL166" s="2">
        <v>0</v>
      </c>
      <c r="BM166" s="2" t="s">
        <v>32</v>
      </c>
      <c r="BN166" s="2" t="s">
        <v>32</v>
      </c>
      <c r="BO166" s="2" t="s">
        <v>1660</v>
      </c>
      <c r="BP166" s="2">
        <v>0</v>
      </c>
      <c r="BQ166" s="2" t="s">
        <v>1660</v>
      </c>
      <c r="BR166" s="2">
        <v>0</v>
      </c>
      <c r="BS166" s="2" t="s">
        <v>1658</v>
      </c>
      <c r="BT166" s="2">
        <v>26</v>
      </c>
      <c r="BU166" s="2">
        <v>117</v>
      </c>
      <c r="BV166" s="2" t="s">
        <v>1660</v>
      </c>
      <c r="BW166" s="2"/>
      <c r="BX166" s="2"/>
      <c r="BY166" s="2" t="s">
        <v>1807</v>
      </c>
      <c r="BZ166" s="2" t="b">
        <f>OR( (Dashboard[[#This Row],[ref_as_hh]]&gt;=1),(Dashboard[[#This Row],[ret_as_hh]] &gt;=1), (Dashboard[[#This Row],[idp_as_hh]]&gt;=1))</f>
        <v>0</v>
      </c>
      <c r="CA166" s="2">
        <f>Dashboard[[#This Row],[ret_hi_hh]]</f>
        <v>95</v>
      </c>
      <c r="CB166" s="2">
        <f>Dashboard[[#This Row],[idp_fa_hh]]+Dashboard[[#This Row],[ref_fa_hh]]+Dashboard[[#This Row],[ret_fa_hh]]</f>
        <v>99</v>
      </c>
      <c r="CC166" s="2">
        <f>Dashboard[[#This Row],[idp_loc_hh]]+Dashboard[[#This Row],[ref_loc_hh]]+Dashboard[[#This Row],[ret_loc_hh]]</f>
        <v>0</v>
      </c>
      <c r="CD166" s="2">
        <f>Dashboard[[#This Row],[idp_cc_hh]]+Dashboard[[#This Row],[ref_cc_hh]]+Dashboard[[#This Row],[ret_cc_hh]]</f>
        <v>0</v>
      </c>
      <c r="CE166" s="2">
        <f>Dashboard[[#This Row],[idp_as_hh]]+Dashboard[[#This Row],[ref_as_hh]]+Dashboard[[#This Row],[ret_as_hh]]</f>
        <v>0</v>
      </c>
      <c r="CF166" s="2">
        <f>Dashboard[[#This Row],[idp_al_hh]]+Dashboard[[#This Row],[ref_al_hh]]+Dashboard[[#This Row],[ret_al_hh]]</f>
        <v>0</v>
      </c>
    </row>
    <row r="167" spans="1:84" x14ac:dyDescent="0.25">
      <c r="A167" s="27">
        <v>301</v>
      </c>
      <c r="B167" s="2" t="s">
        <v>22</v>
      </c>
      <c r="C167" s="2" t="s">
        <v>23</v>
      </c>
      <c r="D167" s="2" t="s">
        <v>85</v>
      </c>
      <c r="E167" s="2" t="s">
        <v>84</v>
      </c>
      <c r="F167" s="2" t="s">
        <v>181</v>
      </c>
      <c r="G167" s="2" t="s">
        <v>180</v>
      </c>
      <c r="H167" s="2" t="s">
        <v>1313</v>
      </c>
      <c r="I167" s="2" t="s">
        <v>182</v>
      </c>
      <c r="J167" s="2" t="s">
        <v>3180</v>
      </c>
      <c r="K167" s="2" t="s">
        <v>3181</v>
      </c>
      <c r="L167" s="2" t="s">
        <v>3693</v>
      </c>
      <c r="M167" s="2">
        <v>682</v>
      </c>
      <c r="N167" s="2" t="s">
        <v>1658</v>
      </c>
      <c r="O167" s="2">
        <v>33</v>
      </c>
      <c r="P167" s="2">
        <v>171</v>
      </c>
      <c r="Q167" s="2" t="s">
        <v>1658</v>
      </c>
      <c r="R167" s="2">
        <v>33</v>
      </c>
      <c r="S167" s="2" t="s">
        <v>1660</v>
      </c>
      <c r="T167" s="2">
        <v>0</v>
      </c>
      <c r="U167" s="2" t="s">
        <v>32</v>
      </c>
      <c r="V167" s="2" t="s">
        <v>32</v>
      </c>
      <c r="W167" s="2" t="s">
        <v>1660</v>
      </c>
      <c r="X167" s="2">
        <v>0</v>
      </c>
      <c r="Y167" s="2" t="s">
        <v>32</v>
      </c>
      <c r="Z167" s="2" t="s">
        <v>32</v>
      </c>
      <c r="AA167" s="2" t="s">
        <v>1660</v>
      </c>
      <c r="AB167" s="2">
        <v>0</v>
      </c>
      <c r="AC167" s="2" t="s">
        <v>1660</v>
      </c>
      <c r="AD167" s="2">
        <v>0</v>
      </c>
      <c r="AE167" s="2" t="s">
        <v>1660</v>
      </c>
      <c r="AF167" s="2">
        <v>0</v>
      </c>
      <c r="AG167" s="2">
        <v>0</v>
      </c>
      <c r="AH167" s="2" t="s">
        <v>32</v>
      </c>
      <c r="AI167" s="2" t="s">
        <v>32</v>
      </c>
      <c r="AJ167" s="2" t="s">
        <v>32</v>
      </c>
      <c r="AK167" s="2" t="s">
        <v>32</v>
      </c>
      <c r="AL167" s="2" t="s">
        <v>32</v>
      </c>
      <c r="AM167" s="2">
        <v>0</v>
      </c>
      <c r="AN167" s="2" t="s">
        <v>32</v>
      </c>
      <c r="AO167" s="2">
        <v>0</v>
      </c>
      <c r="AP167" s="2" t="s">
        <v>32</v>
      </c>
      <c r="AQ167" s="2" t="s">
        <v>32</v>
      </c>
      <c r="AR167" s="2" t="s">
        <v>32</v>
      </c>
      <c r="AS167" s="2">
        <v>0</v>
      </c>
      <c r="AT167" s="2" t="s">
        <v>32</v>
      </c>
      <c r="AU167" s="2" t="s">
        <v>32</v>
      </c>
      <c r="AV167" s="2" t="s">
        <v>32</v>
      </c>
      <c r="AW167" s="2">
        <v>0</v>
      </c>
      <c r="AX167" s="2" t="s">
        <v>32</v>
      </c>
      <c r="AY167" s="2">
        <v>0</v>
      </c>
      <c r="AZ167" s="2" t="s">
        <v>1658</v>
      </c>
      <c r="BA167" s="2">
        <v>79</v>
      </c>
      <c r="BB167" s="2">
        <v>583</v>
      </c>
      <c r="BC167" s="2" t="s">
        <v>1658</v>
      </c>
      <c r="BD167" s="2">
        <v>15</v>
      </c>
      <c r="BE167" s="2" t="s">
        <v>1660</v>
      </c>
      <c r="BF167" s="2">
        <v>0</v>
      </c>
      <c r="BG167" s="2" t="s">
        <v>1660</v>
      </c>
      <c r="BH167" s="2">
        <v>0</v>
      </c>
      <c r="BI167" s="2" t="s">
        <v>32</v>
      </c>
      <c r="BJ167" s="2" t="s">
        <v>32</v>
      </c>
      <c r="BK167" s="2" t="s">
        <v>1660</v>
      </c>
      <c r="BL167" s="2">
        <v>0</v>
      </c>
      <c r="BM167" s="2" t="s">
        <v>32</v>
      </c>
      <c r="BN167" s="2" t="s">
        <v>32</v>
      </c>
      <c r="BO167" s="2" t="s">
        <v>1660</v>
      </c>
      <c r="BP167" s="2">
        <v>64</v>
      </c>
      <c r="BQ167" s="2" t="s">
        <v>1660</v>
      </c>
      <c r="BR167" s="2">
        <v>0</v>
      </c>
      <c r="BS167" s="2" t="s">
        <v>1658</v>
      </c>
      <c r="BT167" s="2">
        <v>73</v>
      </c>
      <c r="BU167" s="2">
        <v>372</v>
      </c>
      <c r="BV167" s="2" t="s">
        <v>1660</v>
      </c>
      <c r="BW167" s="2"/>
      <c r="BX167" s="2"/>
      <c r="BY167" s="2" t="s">
        <v>1807</v>
      </c>
      <c r="BZ167" s="2" t="b">
        <f>OR( (Dashboard[[#This Row],[ref_as_hh]]&gt;=1),(Dashboard[[#This Row],[ret_as_hh]] &gt;=1), (Dashboard[[#This Row],[idp_as_hh]]&gt;=1))</f>
        <v>1</v>
      </c>
      <c r="CA167" s="2">
        <f>Dashboard[[#This Row],[ret_hi_hh]]</f>
        <v>15</v>
      </c>
      <c r="CB167" s="2">
        <f>Dashboard[[#This Row],[idp_fa_hh]]+Dashboard[[#This Row],[ref_fa_hh]]+Dashboard[[#This Row],[ret_fa_hh]]</f>
        <v>33</v>
      </c>
      <c r="CC167" s="2">
        <f>Dashboard[[#This Row],[idp_loc_hh]]+Dashboard[[#This Row],[ref_loc_hh]]+Dashboard[[#This Row],[ret_loc_hh]]</f>
        <v>0</v>
      </c>
      <c r="CD167" s="2">
        <f>Dashboard[[#This Row],[idp_cc_hh]]+Dashboard[[#This Row],[ref_cc_hh]]+Dashboard[[#This Row],[ret_cc_hh]]</f>
        <v>0</v>
      </c>
      <c r="CE167" s="2">
        <f>Dashboard[[#This Row],[idp_as_hh]]+Dashboard[[#This Row],[ref_as_hh]]+Dashboard[[#This Row],[ret_as_hh]]</f>
        <v>64</v>
      </c>
      <c r="CF167" s="2">
        <f>Dashboard[[#This Row],[idp_al_hh]]+Dashboard[[#This Row],[ref_al_hh]]+Dashboard[[#This Row],[ret_al_hh]]</f>
        <v>0</v>
      </c>
    </row>
    <row r="168" spans="1:84" hidden="1" x14ac:dyDescent="0.25">
      <c r="A168" s="27">
        <v>354</v>
      </c>
      <c r="B168" s="2" t="s">
        <v>22</v>
      </c>
      <c r="C168" s="2" t="s">
        <v>23</v>
      </c>
      <c r="D168" s="2" t="s">
        <v>85</v>
      </c>
      <c r="E168" s="2" t="s">
        <v>84</v>
      </c>
      <c r="F168" s="2" t="s">
        <v>181</v>
      </c>
      <c r="G168" s="2" t="s">
        <v>180</v>
      </c>
      <c r="H168" s="2" t="s">
        <v>1318</v>
      </c>
      <c r="I168" s="2" t="s">
        <v>189</v>
      </c>
      <c r="J168" s="2" t="s">
        <v>3190</v>
      </c>
      <c r="K168" s="2" t="s">
        <v>3191</v>
      </c>
      <c r="L168" s="2" t="s">
        <v>2074</v>
      </c>
      <c r="M168" s="2">
        <v>1292</v>
      </c>
      <c r="N168" s="2" t="s">
        <v>1658</v>
      </c>
      <c r="O168" s="2">
        <v>89</v>
      </c>
      <c r="P168" s="2">
        <v>455</v>
      </c>
      <c r="Q168" s="2" t="s">
        <v>1658</v>
      </c>
      <c r="R168" s="2">
        <v>89</v>
      </c>
      <c r="S168" s="2" t="s">
        <v>1660</v>
      </c>
      <c r="T168" s="2">
        <v>0</v>
      </c>
      <c r="U168" s="2" t="s">
        <v>32</v>
      </c>
      <c r="V168" s="2" t="s">
        <v>32</v>
      </c>
      <c r="W168" s="2" t="s">
        <v>1660</v>
      </c>
      <c r="X168" s="2">
        <v>0</v>
      </c>
      <c r="Y168" s="2" t="s">
        <v>32</v>
      </c>
      <c r="Z168" s="2" t="s">
        <v>32</v>
      </c>
      <c r="AA168" s="2" t="s">
        <v>1660</v>
      </c>
      <c r="AB168" s="2">
        <v>0</v>
      </c>
      <c r="AC168" s="2" t="s">
        <v>1660</v>
      </c>
      <c r="AD168" s="2">
        <v>0</v>
      </c>
      <c r="AE168" s="2" t="s">
        <v>1660</v>
      </c>
      <c r="AF168" s="2">
        <v>0</v>
      </c>
      <c r="AG168" s="2">
        <v>0</v>
      </c>
      <c r="AH168" s="2" t="s">
        <v>32</v>
      </c>
      <c r="AI168" s="2" t="s">
        <v>32</v>
      </c>
      <c r="AJ168" s="2" t="s">
        <v>32</v>
      </c>
      <c r="AK168" s="2" t="s">
        <v>32</v>
      </c>
      <c r="AL168" s="2" t="s">
        <v>32</v>
      </c>
      <c r="AM168" s="2">
        <v>0</v>
      </c>
      <c r="AN168" s="2" t="s">
        <v>32</v>
      </c>
      <c r="AO168" s="2">
        <v>0</v>
      </c>
      <c r="AP168" s="2" t="s">
        <v>32</v>
      </c>
      <c r="AQ168" s="2" t="s">
        <v>32</v>
      </c>
      <c r="AR168" s="2" t="s">
        <v>32</v>
      </c>
      <c r="AS168" s="2">
        <v>0</v>
      </c>
      <c r="AT168" s="2" t="s">
        <v>32</v>
      </c>
      <c r="AU168" s="2" t="s">
        <v>32</v>
      </c>
      <c r="AV168" s="2" t="s">
        <v>32</v>
      </c>
      <c r="AW168" s="2">
        <v>0</v>
      </c>
      <c r="AX168" s="2" t="s">
        <v>32</v>
      </c>
      <c r="AY168" s="2">
        <v>0</v>
      </c>
      <c r="AZ168" s="2" t="s">
        <v>1658</v>
      </c>
      <c r="BA168" s="2">
        <v>97</v>
      </c>
      <c r="BB168" s="2">
        <v>495</v>
      </c>
      <c r="BC168" s="2" t="s">
        <v>1658</v>
      </c>
      <c r="BD168" s="2">
        <v>97</v>
      </c>
      <c r="BE168" s="2" t="s">
        <v>1660</v>
      </c>
      <c r="BF168" s="2">
        <v>0</v>
      </c>
      <c r="BG168" s="2" t="s">
        <v>1660</v>
      </c>
      <c r="BH168" s="2">
        <v>0</v>
      </c>
      <c r="BI168" s="2" t="s">
        <v>32</v>
      </c>
      <c r="BJ168" s="2" t="s">
        <v>32</v>
      </c>
      <c r="BK168" s="2" t="s">
        <v>1660</v>
      </c>
      <c r="BL168" s="2">
        <v>0</v>
      </c>
      <c r="BM168" s="2" t="s">
        <v>32</v>
      </c>
      <c r="BN168" s="2" t="s">
        <v>32</v>
      </c>
      <c r="BO168" s="2" t="s">
        <v>1660</v>
      </c>
      <c r="BP168" s="2">
        <v>0</v>
      </c>
      <c r="BQ168" s="2" t="s">
        <v>1660</v>
      </c>
      <c r="BR168" s="2">
        <v>0</v>
      </c>
      <c r="BS168" s="2" t="s">
        <v>1658</v>
      </c>
      <c r="BT168" s="2">
        <v>15</v>
      </c>
      <c r="BU168" s="2">
        <v>85</v>
      </c>
      <c r="BV168" s="2" t="s">
        <v>1660</v>
      </c>
      <c r="BW168" s="2"/>
      <c r="BX168" s="2"/>
      <c r="BY168" s="2" t="s">
        <v>1807</v>
      </c>
      <c r="BZ168" s="2" t="b">
        <f>OR( (Dashboard[[#This Row],[ref_as_hh]]&gt;=1),(Dashboard[[#This Row],[ret_as_hh]] &gt;=1), (Dashboard[[#This Row],[idp_as_hh]]&gt;=1))</f>
        <v>0</v>
      </c>
      <c r="CA168" s="2">
        <f>Dashboard[[#This Row],[ret_hi_hh]]</f>
        <v>97</v>
      </c>
      <c r="CB168" s="2">
        <f>Dashboard[[#This Row],[idp_fa_hh]]+Dashboard[[#This Row],[ref_fa_hh]]+Dashboard[[#This Row],[ret_fa_hh]]</f>
        <v>89</v>
      </c>
      <c r="CC168" s="2">
        <f>Dashboard[[#This Row],[idp_loc_hh]]+Dashboard[[#This Row],[ref_loc_hh]]+Dashboard[[#This Row],[ret_loc_hh]]</f>
        <v>0</v>
      </c>
      <c r="CD168" s="2">
        <f>Dashboard[[#This Row],[idp_cc_hh]]+Dashboard[[#This Row],[ref_cc_hh]]+Dashboard[[#This Row],[ret_cc_hh]]</f>
        <v>0</v>
      </c>
      <c r="CE168" s="2">
        <f>Dashboard[[#This Row],[idp_as_hh]]+Dashboard[[#This Row],[ref_as_hh]]+Dashboard[[#This Row],[ret_as_hh]]</f>
        <v>0</v>
      </c>
      <c r="CF168" s="2">
        <f>Dashboard[[#This Row],[idp_al_hh]]+Dashboard[[#This Row],[ref_al_hh]]+Dashboard[[#This Row],[ret_al_hh]]</f>
        <v>0</v>
      </c>
    </row>
    <row r="169" spans="1:84" hidden="1" x14ac:dyDescent="0.25">
      <c r="A169" s="27">
        <v>355</v>
      </c>
      <c r="B169" s="2" t="s">
        <v>22</v>
      </c>
      <c r="C169" s="2" t="s">
        <v>23</v>
      </c>
      <c r="D169" s="2" t="s">
        <v>85</v>
      </c>
      <c r="E169" s="2" t="s">
        <v>84</v>
      </c>
      <c r="F169" s="2" t="s">
        <v>181</v>
      </c>
      <c r="G169" s="2" t="s">
        <v>180</v>
      </c>
      <c r="H169" s="2" t="s">
        <v>1314</v>
      </c>
      <c r="I169" s="2" t="s">
        <v>185</v>
      </c>
      <c r="J169" s="2" t="s">
        <v>3182</v>
      </c>
      <c r="K169" s="2" t="s">
        <v>3183</v>
      </c>
      <c r="L169" s="2" t="s">
        <v>2074</v>
      </c>
      <c r="M169" s="2">
        <v>1333</v>
      </c>
      <c r="N169" s="2" t="s">
        <v>1658</v>
      </c>
      <c r="O169" s="2">
        <v>103</v>
      </c>
      <c r="P169" s="2">
        <v>595</v>
      </c>
      <c r="Q169" s="2" t="s">
        <v>1658</v>
      </c>
      <c r="R169" s="2">
        <v>103</v>
      </c>
      <c r="S169" s="2" t="s">
        <v>1660</v>
      </c>
      <c r="T169" s="2">
        <v>0</v>
      </c>
      <c r="U169" s="2" t="s">
        <v>32</v>
      </c>
      <c r="V169" s="2" t="s">
        <v>32</v>
      </c>
      <c r="W169" s="2" t="s">
        <v>1660</v>
      </c>
      <c r="X169" s="2">
        <v>0</v>
      </c>
      <c r="Y169" s="2" t="s">
        <v>32</v>
      </c>
      <c r="Z169" s="2" t="s">
        <v>32</v>
      </c>
      <c r="AA169" s="2" t="s">
        <v>1660</v>
      </c>
      <c r="AB169" s="2">
        <v>0</v>
      </c>
      <c r="AC169" s="2" t="s">
        <v>1660</v>
      </c>
      <c r="AD169" s="2">
        <v>0</v>
      </c>
      <c r="AE169" s="2" t="s">
        <v>1660</v>
      </c>
      <c r="AF169" s="2">
        <v>0</v>
      </c>
      <c r="AG169" s="2">
        <v>0</v>
      </c>
      <c r="AH169" s="2" t="s">
        <v>32</v>
      </c>
      <c r="AI169" s="2" t="s">
        <v>32</v>
      </c>
      <c r="AJ169" s="2" t="s">
        <v>32</v>
      </c>
      <c r="AK169" s="2" t="s">
        <v>32</v>
      </c>
      <c r="AL169" s="2" t="s">
        <v>32</v>
      </c>
      <c r="AM169" s="2">
        <v>0</v>
      </c>
      <c r="AN169" s="2" t="s">
        <v>32</v>
      </c>
      <c r="AO169" s="2">
        <v>0</v>
      </c>
      <c r="AP169" s="2" t="s">
        <v>32</v>
      </c>
      <c r="AQ169" s="2" t="s">
        <v>32</v>
      </c>
      <c r="AR169" s="2" t="s">
        <v>32</v>
      </c>
      <c r="AS169" s="2">
        <v>0</v>
      </c>
      <c r="AT169" s="2" t="s">
        <v>32</v>
      </c>
      <c r="AU169" s="2" t="s">
        <v>32</v>
      </c>
      <c r="AV169" s="2" t="s">
        <v>32</v>
      </c>
      <c r="AW169" s="2">
        <v>0</v>
      </c>
      <c r="AX169" s="2" t="s">
        <v>32</v>
      </c>
      <c r="AY169" s="2">
        <v>0</v>
      </c>
      <c r="AZ169" s="2" t="s">
        <v>1658</v>
      </c>
      <c r="BA169" s="2">
        <v>47</v>
      </c>
      <c r="BB169" s="2">
        <v>238</v>
      </c>
      <c r="BC169" s="2" t="s">
        <v>1658</v>
      </c>
      <c r="BD169" s="2">
        <v>47</v>
      </c>
      <c r="BE169" s="2" t="s">
        <v>1660</v>
      </c>
      <c r="BF169" s="2">
        <v>0</v>
      </c>
      <c r="BG169" s="2" t="s">
        <v>1660</v>
      </c>
      <c r="BH169" s="2">
        <v>0</v>
      </c>
      <c r="BI169" s="2" t="s">
        <v>32</v>
      </c>
      <c r="BJ169" s="2" t="s">
        <v>32</v>
      </c>
      <c r="BK169" s="2" t="s">
        <v>1660</v>
      </c>
      <c r="BL169" s="2">
        <v>0</v>
      </c>
      <c r="BM169" s="2" t="s">
        <v>32</v>
      </c>
      <c r="BN169" s="2" t="s">
        <v>32</v>
      </c>
      <c r="BO169" s="2" t="s">
        <v>1660</v>
      </c>
      <c r="BP169" s="2">
        <v>0</v>
      </c>
      <c r="BQ169" s="2" t="s">
        <v>1660</v>
      </c>
      <c r="BR169" s="2">
        <v>0</v>
      </c>
      <c r="BS169" s="2" t="s">
        <v>1658</v>
      </c>
      <c r="BT169" s="2">
        <v>26</v>
      </c>
      <c r="BU169" s="2">
        <v>137</v>
      </c>
      <c r="BV169" s="2" t="s">
        <v>1660</v>
      </c>
      <c r="BW169" s="2"/>
      <c r="BX169" s="2"/>
      <c r="BY169" s="2" t="s">
        <v>1807</v>
      </c>
      <c r="BZ169" s="2" t="b">
        <f>OR( (Dashboard[[#This Row],[ref_as_hh]]&gt;=1),(Dashboard[[#This Row],[ret_as_hh]] &gt;=1), (Dashboard[[#This Row],[idp_as_hh]]&gt;=1))</f>
        <v>0</v>
      </c>
      <c r="CA169" s="2">
        <f>Dashboard[[#This Row],[ret_hi_hh]]</f>
        <v>47</v>
      </c>
      <c r="CB169" s="2">
        <f>Dashboard[[#This Row],[idp_fa_hh]]+Dashboard[[#This Row],[ref_fa_hh]]+Dashboard[[#This Row],[ret_fa_hh]]</f>
        <v>103</v>
      </c>
      <c r="CC169" s="2">
        <f>Dashboard[[#This Row],[idp_loc_hh]]+Dashboard[[#This Row],[ref_loc_hh]]+Dashboard[[#This Row],[ret_loc_hh]]</f>
        <v>0</v>
      </c>
      <c r="CD169" s="2">
        <f>Dashboard[[#This Row],[idp_cc_hh]]+Dashboard[[#This Row],[ref_cc_hh]]+Dashboard[[#This Row],[ret_cc_hh]]</f>
        <v>0</v>
      </c>
      <c r="CE169" s="2">
        <f>Dashboard[[#This Row],[idp_as_hh]]+Dashboard[[#This Row],[ref_as_hh]]+Dashboard[[#This Row],[ret_as_hh]]</f>
        <v>0</v>
      </c>
      <c r="CF169" s="2">
        <f>Dashboard[[#This Row],[idp_al_hh]]+Dashboard[[#This Row],[ref_al_hh]]+Dashboard[[#This Row],[ret_al_hh]]</f>
        <v>0</v>
      </c>
    </row>
    <row r="170" spans="1:84" hidden="1" x14ac:dyDescent="0.25">
      <c r="A170" s="27">
        <v>129</v>
      </c>
      <c r="B170" s="2" t="s">
        <v>22</v>
      </c>
      <c r="C170" s="2" t="s">
        <v>23</v>
      </c>
      <c r="D170" s="2" t="s">
        <v>85</v>
      </c>
      <c r="E170" s="2" t="s">
        <v>84</v>
      </c>
      <c r="F170" s="2" t="s">
        <v>181</v>
      </c>
      <c r="G170" s="2" t="s">
        <v>180</v>
      </c>
      <c r="H170" s="2" t="s">
        <v>1563</v>
      </c>
      <c r="I170" s="2" t="s">
        <v>193</v>
      </c>
      <c r="J170" s="2" t="s">
        <v>3200</v>
      </c>
      <c r="K170" s="2" t="s">
        <v>3201</v>
      </c>
      <c r="L170" s="2" t="s">
        <v>2074</v>
      </c>
      <c r="M170" s="2">
        <v>985</v>
      </c>
      <c r="N170" s="2" t="s">
        <v>1660</v>
      </c>
      <c r="O170" s="2">
        <v>0</v>
      </c>
      <c r="P170" s="2">
        <v>0</v>
      </c>
      <c r="Q170" s="2" t="s">
        <v>32</v>
      </c>
      <c r="R170" s="2">
        <v>0</v>
      </c>
      <c r="S170" s="2" t="s">
        <v>32</v>
      </c>
      <c r="T170" s="2">
        <v>0</v>
      </c>
      <c r="U170" s="2" t="s">
        <v>32</v>
      </c>
      <c r="V170" s="2" t="s">
        <v>32</v>
      </c>
      <c r="W170" s="2" t="s">
        <v>32</v>
      </c>
      <c r="X170" s="2">
        <v>0</v>
      </c>
      <c r="Y170" s="2" t="s">
        <v>32</v>
      </c>
      <c r="Z170" s="2" t="s">
        <v>32</v>
      </c>
      <c r="AA170" s="2" t="s">
        <v>32</v>
      </c>
      <c r="AB170" s="2">
        <v>0</v>
      </c>
      <c r="AC170" s="2" t="s">
        <v>32</v>
      </c>
      <c r="AD170" s="2">
        <v>0</v>
      </c>
      <c r="AE170" s="2" t="s">
        <v>1660</v>
      </c>
      <c r="AF170" s="2">
        <v>0</v>
      </c>
      <c r="AG170" s="2">
        <v>0</v>
      </c>
      <c r="AH170" s="2" t="s">
        <v>32</v>
      </c>
      <c r="AI170" s="2" t="s">
        <v>32</v>
      </c>
      <c r="AJ170" s="2" t="s">
        <v>32</v>
      </c>
      <c r="AK170" s="2" t="s">
        <v>32</v>
      </c>
      <c r="AL170" s="2" t="s">
        <v>32</v>
      </c>
      <c r="AM170" s="2">
        <v>0</v>
      </c>
      <c r="AN170" s="2" t="s">
        <v>32</v>
      </c>
      <c r="AO170" s="2">
        <v>0</v>
      </c>
      <c r="AP170" s="2" t="s">
        <v>32</v>
      </c>
      <c r="AQ170" s="2" t="s">
        <v>32</v>
      </c>
      <c r="AR170" s="2" t="s">
        <v>32</v>
      </c>
      <c r="AS170" s="2">
        <v>0</v>
      </c>
      <c r="AT170" s="2" t="s">
        <v>32</v>
      </c>
      <c r="AU170" s="2" t="s">
        <v>32</v>
      </c>
      <c r="AV170" s="2" t="s">
        <v>32</v>
      </c>
      <c r="AW170" s="2">
        <v>0</v>
      </c>
      <c r="AX170" s="2" t="s">
        <v>32</v>
      </c>
      <c r="AY170" s="2">
        <v>0</v>
      </c>
      <c r="AZ170" s="2" t="s">
        <v>1658</v>
      </c>
      <c r="BA170" s="2">
        <v>96</v>
      </c>
      <c r="BB170" s="2">
        <v>526</v>
      </c>
      <c r="BC170" s="2" t="s">
        <v>1658</v>
      </c>
      <c r="BD170" s="2">
        <v>96</v>
      </c>
      <c r="BE170" s="2" t="s">
        <v>1660</v>
      </c>
      <c r="BF170" s="2">
        <v>0</v>
      </c>
      <c r="BG170" s="2" t="s">
        <v>1660</v>
      </c>
      <c r="BH170" s="2">
        <v>0</v>
      </c>
      <c r="BI170" s="2" t="s">
        <v>32</v>
      </c>
      <c r="BJ170" s="2" t="s">
        <v>32</v>
      </c>
      <c r="BK170" s="2" t="s">
        <v>1660</v>
      </c>
      <c r="BL170" s="2">
        <v>0</v>
      </c>
      <c r="BM170" s="2" t="s">
        <v>32</v>
      </c>
      <c r="BN170" s="2" t="s">
        <v>32</v>
      </c>
      <c r="BO170" s="2" t="s">
        <v>1660</v>
      </c>
      <c r="BP170" s="2">
        <v>0</v>
      </c>
      <c r="BQ170" s="2" t="s">
        <v>1660</v>
      </c>
      <c r="BR170" s="2">
        <v>0</v>
      </c>
      <c r="BS170" s="2" t="s">
        <v>1658</v>
      </c>
      <c r="BT170" s="2">
        <v>25</v>
      </c>
      <c r="BU170" s="2">
        <v>150</v>
      </c>
      <c r="BV170" s="2" t="s">
        <v>1660</v>
      </c>
      <c r="BW170" s="2"/>
      <c r="BX170" s="2"/>
      <c r="BY170" s="2" t="s">
        <v>1807</v>
      </c>
      <c r="BZ170" s="2" t="b">
        <f>OR( (Dashboard[[#This Row],[ref_as_hh]]&gt;=1),(Dashboard[[#This Row],[ret_as_hh]] &gt;=1), (Dashboard[[#This Row],[idp_as_hh]]&gt;=1))</f>
        <v>0</v>
      </c>
      <c r="CA170" s="2">
        <f>Dashboard[[#This Row],[ret_hi_hh]]</f>
        <v>96</v>
      </c>
      <c r="CB170" s="2">
        <f>Dashboard[[#This Row],[idp_fa_hh]]+Dashboard[[#This Row],[ref_fa_hh]]+Dashboard[[#This Row],[ret_fa_hh]]</f>
        <v>0</v>
      </c>
      <c r="CC170" s="2">
        <f>Dashboard[[#This Row],[idp_loc_hh]]+Dashboard[[#This Row],[ref_loc_hh]]+Dashboard[[#This Row],[ret_loc_hh]]</f>
        <v>0</v>
      </c>
      <c r="CD170" s="2">
        <f>Dashboard[[#This Row],[idp_cc_hh]]+Dashboard[[#This Row],[ref_cc_hh]]+Dashboard[[#This Row],[ret_cc_hh]]</f>
        <v>0</v>
      </c>
      <c r="CE170" s="2">
        <f>Dashboard[[#This Row],[idp_as_hh]]+Dashboard[[#This Row],[ref_as_hh]]+Dashboard[[#This Row],[ret_as_hh]]</f>
        <v>0</v>
      </c>
      <c r="CF170" s="2">
        <f>Dashboard[[#This Row],[idp_al_hh]]+Dashboard[[#This Row],[ref_al_hh]]+Dashboard[[#This Row],[ret_al_hh]]</f>
        <v>0</v>
      </c>
    </row>
    <row r="171" spans="1:84" hidden="1" x14ac:dyDescent="0.25">
      <c r="A171" s="27">
        <v>130</v>
      </c>
      <c r="B171" s="2" t="s">
        <v>22</v>
      </c>
      <c r="C171" s="2" t="s">
        <v>23</v>
      </c>
      <c r="D171" s="2" t="s">
        <v>85</v>
      </c>
      <c r="E171" s="2" t="s">
        <v>84</v>
      </c>
      <c r="F171" s="2" t="s">
        <v>181</v>
      </c>
      <c r="G171" s="2" t="s">
        <v>180</v>
      </c>
      <c r="H171" s="2" t="s">
        <v>1319</v>
      </c>
      <c r="I171" s="2" t="s">
        <v>190</v>
      </c>
      <c r="J171" s="2" t="s">
        <v>3192</v>
      </c>
      <c r="K171" s="2" t="s">
        <v>3193</v>
      </c>
      <c r="L171" s="2" t="s">
        <v>3693</v>
      </c>
      <c r="M171" s="2">
        <v>1045</v>
      </c>
      <c r="N171" s="2" t="s">
        <v>1658</v>
      </c>
      <c r="O171" s="2">
        <v>90</v>
      </c>
      <c r="P171" s="2">
        <v>460</v>
      </c>
      <c r="Q171" s="2" t="s">
        <v>1658</v>
      </c>
      <c r="R171" s="2">
        <v>90</v>
      </c>
      <c r="S171" s="2" t="s">
        <v>1660</v>
      </c>
      <c r="T171" s="2">
        <v>0</v>
      </c>
      <c r="U171" s="2" t="s">
        <v>32</v>
      </c>
      <c r="V171" s="2" t="s">
        <v>32</v>
      </c>
      <c r="W171" s="2" t="s">
        <v>1660</v>
      </c>
      <c r="X171" s="2">
        <v>0</v>
      </c>
      <c r="Y171" s="2" t="s">
        <v>32</v>
      </c>
      <c r="Z171" s="2" t="s">
        <v>32</v>
      </c>
      <c r="AA171" s="2" t="s">
        <v>1660</v>
      </c>
      <c r="AB171" s="2">
        <v>0</v>
      </c>
      <c r="AC171" s="2" t="s">
        <v>1660</v>
      </c>
      <c r="AD171" s="2">
        <v>0</v>
      </c>
      <c r="AE171" s="2" t="s">
        <v>1660</v>
      </c>
      <c r="AF171" s="2">
        <v>0</v>
      </c>
      <c r="AG171" s="2">
        <v>0</v>
      </c>
      <c r="AH171" s="2" t="s">
        <v>32</v>
      </c>
      <c r="AI171" s="2" t="s">
        <v>32</v>
      </c>
      <c r="AJ171" s="2" t="s">
        <v>32</v>
      </c>
      <c r="AK171" s="2" t="s">
        <v>32</v>
      </c>
      <c r="AL171" s="2" t="s">
        <v>32</v>
      </c>
      <c r="AM171" s="2">
        <v>0</v>
      </c>
      <c r="AN171" s="2" t="s">
        <v>32</v>
      </c>
      <c r="AO171" s="2">
        <v>0</v>
      </c>
      <c r="AP171" s="2" t="s">
        <v>32</v>
      </c>
      <c r="AQ171" s="2" t="s">
        <v>32</v>
      </c>
      <c r="AR171" s="2" t="s">
        <v>32</v>
      </c>
      <c r="AS171" s="2">
        <v>0</v>
      </c>
      <c r="AT171" s="2" t="s">
        <v>32</v>
      </c>
      <c r="AU171" s="2" t="s">
        <v>32</v>
      </c>
      <c r="AV171" s="2" t="s">
        <v>32</v>
      </c>
      <c r="AW171" s="2">
        <v>0</v>
      </c>
      <c r="AX171" s="2" t="s">
        <v>32</v>
      </c>
      <c r="AY171" s="2">
        <v>0</v>
      </c>
      <c r="AZ171" s="2" t="s">
        <v>1658</v>
      </c>
      <c r="BA171" s="2">
        <v>70</v>
      </c>
      <c r="BB171" s="2">
        <v>360</v>
      </c>
      <c r="BC171" s="2" t="s">
        <v>1658</v>
      </c>
      <c r="BD171" s="2">
        <v>70</v>
      </c>
      <c r="BE171" s="2" t="s">
        <v>1660</v>
      </c>
      <c r="BF171" s="2">
        <v>0</v>
      </c>
      <c r="BG171" s="2" t="s">
        <v>1660</v>
      </c>
      <c r="BH171" s="2">
        <v>0</v>
      </c>
      <c r="BI171" s="2" t="s">
        <v>32</v>
      </c>
      <c r="BJ171" s="2" t="s">
        <v>32</v>
      </c>
      <c r="BK171" s="2" t="s">
        <v>1660</v>
      </c>
      <c r="BL171" s="2">
        <v>0</v>
      </c>
      <c r="BM171" s="2" t="s">
        <v>32</v>
      </c>
      <c r="BN171" s="2" t="s">
        <v>32</v>
      </c>
      <c r="BO171" s="2" t="s">
        <v>1660</v>
      </c>
      <c r="BP171" s="2">
        <v>0</v>
      </c>
      <c r="BQ171" s="2" t="s">
        <v>1660</v>
      </c>
      <c r="BR171" s="2">
        <v>0</v>
      </c>
      <c r="BS171" s="2" t="s">
        <v>1658</v>
      </c>
      <c r="BT171" s="2">
        <v>20</v>
      </c>
      <c r="BU171" s="2">
        <v>120</v>
      </c>
      <c r="BV171" s="2" t="s">
        <v>1660</v>
      </c>
      <c r="BW171" s="2"/>
      <c r="BX171" s="2"/>
      <c r="BY171" s="2" t="s">
        <v>1807</v>
      </c>
      <c r="BZ171" s="2" t="b">
        <f>OR( (Dashboard[[#This Row],[ref_as_hh]]&gt;=1),(Dashboard[[#This Row],[ret_as_hh]] &gt;=1), (Dashboard[[#This Row],[idp_as_hh]]&gt;=1))</f>
        <v>0</v>
      </c>
      <c r="CA171" s="2">
        <f>Dashboard[[#This Row],[ret_hi_hh]]</f>
        <v>70</v>
      </c>
      <c r="CB171" s="2">
        <f>Dashboard[[#This Row],[idp_fa_hh]]+Dashboard[[#This Row],[ref_fa_hh]]+Dashboard[[#This Row],[ret_fa_hh]]</f>
        <v>90</v>
      </c>
      <c r="CC171" s="2">
        <f>Dashboard[[#This Row],[idp_loc_hh]]+Dashboard[[#This Row],[ref_loc_hh]]+Dashboard[[#This Row],[ret_loc_hh]]</f>
        <v>0</v>
      </c>
      <c r="CD171" s="2">
        <f>Dashboard[[#This Row],[idp_cc_hh]]+Dashboard[[#This Row],[ref_cc_hh]]+Dashboard[[#This Row],[ret_cc_hh]]</f>
        <v>0</v>
      </c>
      <c r="CE171" s="2">
        <f>Dashboard[[#This Row],[idp_as_hh]]+Dashboard[[#This Row],[ref_as_hh]]+Dashboard[[#This Row],[ret_as_hh]]</f>
        <v>0</v>
      </c>
      <c r="CF171" s="2">
        <f>Dashboard[[#This Row],[idp_al_hh]]+Dashboard[[#This Row],[ref_al_hh]]+Dashboard[[#This Row],[ret_al_hh]]</f>
        <v>0</v>
      </c>
    </row>
    <row r="172" spans="1:84" hidden="1" x14ac:dyDescent="0.25">
      <c r="A172" s="27">
        <v>218</v>
      </c>
      <c r="B172" s="2" t="s">
        <v>22</v>
      </c>
      <c r="C172" s="2" t="s">
        <v>23</v>
      </c>
      <c r="D172" s="2" t="s">
        <v>85</v>
      </c>
      <c r="E172" s="2" t="s">
        <v>84</v>
      </c>
      <c r="F172" s="2" t="s">
        <v>181</v>
      </c>
      <c r="G172" s="2" t="s">
        <v>180</v>
      </c>
      <c r="H172" s="2" t="s">
        <v>1667</v>
      </c>
      <c r="I172" s="2" t="s">
        <v>692</v>
      </c>
      <c r="J172" s="2" t="s">
        <v>3194</v>
      </c>
      <c r="K172" s="2" t="s">
        <v>3195</v>
      </c>
      <c r="L172" s="2" t="s">
        <v>2074</v>
      </c>
      <c r="M172" s="2">
        <v>990</v>
      </c>
      <c r="N172" s="2" t="s">
        <v>1660</v>
      </c>
      <c r="O172" s="2">
        <v>0</v>
      </c>
      <c r="P172" s="2">
        <v>0</v>
      </c>
      <c r="Q172" s="2" t="s">
        <v>32</v>
      </c>
      <c r="R172" s="2">
        <v>0</v>
      </c>
      <c r="S172" s="2" t="s">
        <v>32</v>
      </c>
      <c r="T172" s="2">
        <v>0</v>
      </c>
      <c r="U172" s="2" t="s">
        <v>32</v>
      </c>
      <c r="V172" s="2" t="s">
        <v>32</v>
      </c>
      <c r="W172" s="2" t="s">
        <v>32</v>
      </c>
      <c r="X172" s="2">
        <v>0</v>
      </c>
      <c r="Y172" s="2" t="s">
        <v>32</v>
      </c>
      <c r="Z172" s="2" t="s">
        <v>32</v>
      </c>
      <c r="AA172" s="2" t="s">
        <v>32</v>
      </c>
      <c r="AB172" s="2">
        <v>0</v>
      </c>
      <c r="AC172" s="2" t="s">
        <v>32</v>
      </c>
      <c r="AD172" s="2">
        <v>0</v>
      </c>
      <c r="AE172" s="2" t="s">
        <v>1660</v>
      </c>
      <c r="AF172" s="2">
        <v>0</v>
      </c>
      <c r="AG172" s="2">
        <v>0</v>
      </c>
      <c r="AH172" s="2" t="s">
        <v>32</v>
      </c>
      <c r="AI172" s="2" t="s">
        <v>32</v>
      </c>
      <c r="AJ172" s="2" t="s">
        <v>32</v>
      </c>
      <c r="AK172" s="2" t="s">
        <v>32</v>
      </c>
      <c r="AL172" s="2" t="s">
        <v>32</v>
      </c>
      <c r="AM172" s="2">
        <v>0</v>
      </c>
      <c r="AN172" s="2" t="s">
        <v>32</v>
      </c>
      <c r="AO172" s="2">
        <v>0</v>
      </c>
      <c r="AP172" s="2" t="s">
        <v>32</v>
      </c>
      <c r="AQ172" s="2" t="s">
        <v>32</v>
      </c>
      <c r="AR172" s="2" t="s">
        <v>32</v>
      </c>
      <c r="AS172" s="2">
        <v>0</v>
      </c>
      <c r="AT172" s="2" t="s">
        <v>32</v>
      </c>
      <c r="AU172" s="2" t="s">
        <v>32</v>
      </c>
      <c r="AV172" s="2" t="s">
        <v>32</v>
      </c>
      <c r="AW172" s="2">
        <v>0</v>
      </c>
      <c r="AX172" s="2" t="s">
        <v>32</v>
      </c>
      <c r="AY172" s="2">
        <v>0</v>
      </c>
      <c r="AZ172" s="2" t="s">
        <v>1660</v>
      </c>
      <c r="BA172" s="2">
        <v>0</v>
      </c>
      <c r="BB172" s="2">
        <v>0</v>
      </c>
      <c r="BC172" s="2" t="s">
        <v>32</v>
      </c>
      <c r="BD172" s="2">
        <v>0</v>
      </c>
      <c r="BE172" s="2" t="s">
        <v>32</v>
      </c>
      <c r="BF172" s="2">
        <v>0</v>
      </c>
      <c r="BG172" s="2" t="s">
        <v>32</v>
      </c>
      <c r="BH172" s="2">
        <v>0</v>
      </c>
      <c r="BI172" s="2" t="s">
        <v>32</v>
      </c>
      <c r="BJ172" s="2" t="s">
        <v>32</v>
      </c>
      <c r="BK172" s="2" t="s">
        <v>32</v>
      </c>
      <c r="BL172" s="2">
        <v>0</v>
      </c>
      <c r="BM172" s="2" t="s">
        <v>32</v>
      </c>
      <c r="BN172" s="2" t="s">
        <v>32</v>
      </c>
      <c r="BO172" s="2" t="s">
        <v>32</v>
      </c>
      <c r="BP172" s="2">
        <v>0</v>
      </c>
      <c r="BQ172" s="2" t="s">
        <v>32</v>
      </c>
      <c r="BR172" s="2">
        <v>0</v>
      </c>
      <c r="BS172" s="2" t="s">
        <v>1660</v>
      </c>
      <c r="BT172" s="2">
        <v>0</v>
      </c>
      <c r="BU172" s="2">
        <v>0</v>
      </c>
      <c r="BV172" s="2" t="s">
        <v>1660</v>
      </c>
      <c r="BW172" s="2"/>
      <c r="BX172" s="2"/>
      <c r="BY172" s="2" t="s">
        <v>1807</v>
      </c>
      <c r="BZ172" s="2" t="b">
        <f>OR( (Dashboard[[#This Row],[ref_as_hh]]&gt;=1),(Dashboard[[#This Row],[ret_as_hh]] &gt;=1), (Dashboard[[#This Row],[idp_as_hh]]&gt;=1))</f>
        <v>0</v>
      </c>
      <c r="CA172" s="2">
        <f>Dashboard[[#This Row],[ret_hi_hh]]</f>
        <v>0</v>
      </c>
      <c r="CB172" s="2">
        <f>Dashboard[[#This Row],[idp_fa_hh]]+Dashboard[[#This Row],[ref_fa_hh]]+Dashboard[[#This Row],[ret_fa_hh]]</f>
        <v>0</v>
      </c>
      <c r="CC172" s="2">
        <f>Dashboard[[#This Row],[idp_loc_hh]]+Dashboard[[#This Row],[ref_loc_hh]]+Dashboard[[#This Row],[ret_loc_hh]]</f>
        <v>0</v>
      </c>
      <c r="CD172" s="2">
        <f>Dashboard[[#This Row],[idp_cc_hh]]+Dashboard[[#This Row],[ref_cc_hh]]+Dashboard[[#This Row],[ret_cc_hh]]</f>
        <v>0</v>
      </c>
      <c r="CE172" s="2">
        <f>Dashboard[[#This Row],[idp_as_hh]]+Dashboard[[#This Row],[ref_as_hh]]+Dashboard[[#This Row],[ret_as_hh]]</f>
        <v>0</v>
      </c>
      <c r="CF172" s="2">
        <f>Dashboard[[#This Row],[idp_al_hh]]+Dashboard[[#This Row],[ref_al_hh]]+Dashboard[[#This Row],[ret_al_hh]]</f>
        <v>0</v>
      </c>
    </row>
    <row r="173" spans="1:84" hidden="1" x14ac:dyDescent="0.25">
      <c r="A173" s="27">
        <v>219</v>
      </c>
      <c r="B173" s="2" t="s">
        <v>22</v>
      </c>
      <c r="C173" s="2" t="s">
        <v>23</v>
      </c>
      <c r="D173" s="2" t="s">
        <v>85</v>
      </c>
      <c r="E173" s="2" t="s">
        <v>84</v>
      </c>
      <c r="F173" s="2" t="s">
        <v>181</v>
      </c>
      <c r="G173" s="2" t="s">
        <v>180</v>
      </c>
      <c r="H173" s="2" t="s">
        <v>1317</v>
      </c>
      <c r="I173" s="2" t="s">
        <v>188</v>
      </c>
      <c r="J173" s="2" t="s">
        <v>3188</v>
      </c>
      <c r="K173" s="2" t="s">
        <v>3189</v>
      </c>
      <c r="L173" s="2" t="s">
        <v>2074</v>
      </c>
      <c r="M173" s="2">
        <v>1254</v>
      </c>
      <c r="N173" s="2" t="s">
        <v>1658</v>
      </c>
      <c r="O173" s="2">
        <v>102</v>
      </c>
      <c r="P173" s="2">
        <v>520</v>
      </c>
      <c r="Q173" s="2" t="s">
        <v>1658</v>
      </c>
      <c r="R173" s="2">
        <v>102</v>
      </c>
      <c r="S173" s="2" t="s">
        <v>1660</v>
      </c>
      <c r="T173" s="2">
        <v>0</v>
      </c>
      <c r="U173" s="2" t="s">
        <v>32</v>
      </c>
      <c r="V173" s="2" t="s">
        <v>32</v>
      </c>
      <c r="W173" s="2" t="s">
        <v>1660</v>
      </c>
      <c r="X173" s="2">
        <v>0</v>
      </c>
      <c r="Y173" s="2" t="s">
        <v>32</v>
      </c>
      <c r="Z173" s="2" t="s">
        <v>32</v>
      </c>
      <c r="AA173" s="2" t="s">
        <v>1660</v>
      </c>
      <c r="AB173" s="2">
        <v>0</v>
      </c>
      <c r="AC173" s="2" t="s">
        <v>1660</v>
      </c>
      <c r="AD173" s="2">
        <v>0</v>
      </c>
      <c r="AE173" s="2" t="s">
        <v>1660</v>
      </c>
      <c r="AF173" s="2">
        <v>0</v>
      </c>
      <c r="AG173" s="2">
        <v>0</v>
      </c>
      <c r="AH173" s="2" t="s">
        <v>32</v>
      </c>
      <c r="AI173" s="2" t="s">
        <v>32</v>
      </c>
      <c r="AJ173" s="2" t="s">
        <v>32</v>
      </c>
      <c r="AK173" s="2" t="s">
        <v>32</v>
      </c>
      <c r="AL173" s="2" t="s">
        <v>32</v>
      </c>
      <c r="AM173" s="2">
        <v>0</v>
      </c>
      <c r="AN173" s="2" t="s">
        <v>32</v>
      </c>
      <c r="AO173" s="2">
        <v>0</v>
      </c>
      <c r="AP173" s="2" t="s">
        <v>32</v>
      </c>
      <c r="AQ173" s="2" t="s">
        <v>32</v>
      </c>
      <c r="AR173" s="2" t="s">
        <v>32</v>
      </c>
      <c r="AS173" s="2">
        <v>0</v>
      </c>
      <c r="AT173" s="2" t="s">
        <v>32</v>
      </c>
      <c r="AU173" s="2" t="s">
        <v>32</v>
      </c>
      <c r="AV173" s="2" t="s">
        <v>32</v>
      </c>
      <c r="AW173" s="2">
        <v>0</v>
      </c>
      <c r="AX173" s="2" t="s">
        <v>32</v>
      </c>
      <c r="AY173" s="2">
        <v>0</v>
      </c>
      <c r="AZ173" s="2" t="s">
        <v>1658</v>
      </c>
      <c r="BA173" s="2">
        <v>53</v>
      </c>
      <c r="BB173" s="2">
        <v>270</v>
      </c>
      <c r="BC173" s="2" t="s">
        <v>1658</v>
      </c>
      <c r="BD173" s="2">
        <v>53</v>
      </c>
      <c r="BE173" s="2" t="s">
        <v>1660</v>
      </c>
      <c r="BF173" s="2">
        <v>0</v>
      </c>
      <c r="BG173" s="2" t="s">
        <v>1660</v>
      </c>
      <c r="BH173" s="2">
        <v>0</v>
      </c>
      <c r="BI173" s="2" t="s">
        <v>32</v>
      </c>
      <c r="BJ173" s="2" t="s">
        <v>32</v>
      </c>
      <c r="BK173" s="2" t="s">
        <v>1660</v>
      </c>
      <c r="BL173" s="2">
        <v>0</v>
      </c>
      <c r="BM173" s="2" t="s">
        <v>32</v>
      </c>
      <c r="BN173" s="2" t="s">
        <v>32</v>
      </c>
      <c r="BO173" s="2" t="s">
        <v>1660</v>
      </c>
      <c r="BP173" s="2">
        <v>0</v>
      </c>
      <c r="BQ173" s="2" t="s">
        <v>1660</v>
      </c>
      <c r="BR173" s="2">
        <v>0</v>
      </c>
      <c r="BS173" s="2" t="s">
        <v>1658</v>
      </c>
      <c r="BT173" s="2">
        <v>3</v>
      </c>
      <c r="BU173" s="2">
        <v>21</v>
      </c>
      <c r="BV173" s="2" t="s">
        <v>1660</v>
      </c>
      <c r="BW173" s="2"/>
      <c r="BX173" s="2"/>
      <c r="BY173" s="2" t="s">
        <v>1807</v>
      </c>
      <c r="BZ173" s="2" t="b">
        <f>OR( (Dashboard[[#This Row],[ref_as_hh]]&gt;=1),(Dashboard[[#This Row],[ret_as_hh]] &gt;=1), (Dashboard[[#This Row],[idp_as_hh]]&gt;=1))</f>
        <v>0</v>
      </c>
      <c r="CA173" s="2">
        <f>Dashboard[[#This Row],[ret_hi_hh]]</f>
        <v>53</v>
      </c>
      <c r="CB173" s="2">
        <f>Dashboard[[#This Row],[idp_fa_hh]]+Dashboard[[#This Row],[ref_fa_hh]]+Dashboard[[#This Row],[ret_fa_hh]]</f>
        <v>102</v>
      </c>
      <c r="CC173" s="2">
        <f>Dashboard[[#This Row],[idp_loc_hh]]+Dashboard[[#This Row],[ref_loc_hh]]+Dashboard[[#This Row],[ret_loc_hh]]</f>
        <v>0</v>
      </c>
      <c r="CD173" s="2">
        <f>Dashboard[[#This Row],[idp_cc_hh]]+Dashboard[[#This Row],[ref_cc_hh]]+Dashboard[[#This Row],[ret_cc_hh]]</f>
        <v>0</v>
      </c>
      <c r="CE173" s="2">
        <f>Dashboard[[#This Row],[idp_as_hh]]+Dashboard[[#This Row],[ref_as_hh]]+Dashboard[[#This Row],[ret_as_hh]]</f>
        <v>0</v>
      </c>
      <c r="CF173" s="2">
        <f>Dashboard[[#This Row],[idp_al_hh]]+Dashboard[[#This Row],[ref_al_hh]]+Dashboard[[#This Row],[ret_al_hh]]</f>
        <v>0</v>
      </c>
    </row>
    <row r="174" spans="1:84" hidden="1" x14ac:dyDescent="0.25">
      <c r="A174" s="27">
        <v>488</v>
      </c>
      <c r="B174" s="2" t="s">
        <v>22</v>
      </c>
      <c r="C174" s="2" t="s">
        <v>23</v>
      </c>
      <c r="D174" s="2" t="s">
        <v>85</v>
      </c>
      <c r="E174" s="2" t="s">
        <v>84</v>
      </c>
      <c r="F174" s="2" t="s">
        <v>181</v>
      </c>
      <c r="G174" s="2" t="s">
        <v>180</v>
      </c>
      <c r="H174" s="2" t="s">
        <v>1316</v>
      </c>
      <c r="I174" s="2" t="s">
        <v>187</v>
      </c>
      <c r="J174" s="2" t="s">
        <v>3186</v>
      </c>
      <c r="K174" s="2" t="s">
        <v>3187</v>
      </c>
      <c r="L174" s="2" t="s">
        <v>2074</v>
      </c>
      <c r="M174" s="2">
        <v>1475</v>
      </c>
      <c r="N174" s="2" t="s">
        <v>1658</v>
      </c>
      <c r="O174" s="2">
        <v>91</v>
      </c>
      <c r="P174" s="2">
        <v>459</v>
      </c>
      <c r="Q174" s="2" t="s">
        <v>1658</v>
      </c>
      <c r="R174" s="2">
        <v>91</v>
      </c>
      <c r="S174" s="2" t="s">
        <v>1660</v>
      </c>
      <c r="T174" s="2">
        <v>0</v>
      </c>
      <c r="U174" s="2" t="s">
        <v>32</v>
      </c>
      <c r="V174" s="2" t="s">
        <v>32</v>
      </c>
      <c r="W174" s="2" t="s">
        <v>1660</v>
      </c>
      <c r="X174" s="2">
        <v>0</v>
      </c>
      <c r="Y174" s="2" t="s">
        <v>32</v>
      </c>
      <c r="Z174" s="2" t="s">
        <v>32</v>
      </c>
      <c r="AA174" s="2" t="s">
        <v>1660</v>
      </c>
      <c r="AB174" s="2">
        <v>0</v>
      </c>
      <c r="AC174" s="2" t="s">
        <v>1660</v>
      </c>
      <c r="AD174" s="2">
        <v>0</v>
      </c>
      <c r="AE174" s="2" t="s">
        <v>1660</v>
      </c>
      <c r="AF174" s="2">
        <v>0</v>
      </c>
      <c r="AG174" s="2">
        <v>0</v>
      </c>
      <c r="AH174" s="2" t="s">
        <v>32</v>
      </c>
      <c r="AI174" s="2" t="s">
        <v>32</v>
      </c>
      <c r="AJ174" s="2" t="s">
        <v>32</v>
      </c>
      <c r="AK174" s="2" t="s">
        <v>32</v>
      </c>
      <c r="AL174" s="2" t="s">
        <v>32</v>
      </c>
      <c r="AM174" s="2">
        <v>0</v>
      </c>
      <c r="AN174" s="2" t="s">
        <v>32</v>
      </c>
      <c r="AO174" s="2">
        <v>0</v>
      </c>
      <c r="AP174" s="2" t="s">
        <v>32</v>
      </c>
      <c r="AQ174" s="2" t="s">
        <v>32</v>
      </c>
      <c r="AR174" s="2" t="s">
        <v>32</v>
      </c>
      <c r="AS174" s="2">
        <v>0</v>
      </c>
      <c r="AT174" s="2" t="s">
        <v>32</v>
      </c>
      <c r="AU174" s="2" t="s">
        <v>32</v>
      </c>
      <c r="AV174" s="2" t="s">
        <v>32</v>
      </c>
      <c r="AW174" s="2">
        <v>0</v>
      </c>
      <c r="AX174" s="2" t="s">
        <v>32</v>
      </c>
      <c r="AY174" s="2">
        <v>0</v>
      </c>
      <c r="AZ174" s="2" t="s">
        <v>1658</v>
      </c>
      <c r="BA174" s="2">
        <v>59</v>
      </c>
      <c r="BB174" s="2">
        <v>294</v>
      </c>
      <c r="BC174" s="2" t="s">
        <v>1658</v>
      </c>
      <c r="BD174" s="2">
        <v>59</v>
      </c>
      <c r="BE174" s="2" t="s">
        <v>1660</v>
      </c>
      <c r="BF174" s="2">
        <v>0</v>
      </c>
      <c r="BG174" s="2" t="s">
        <v>1660</v>
      </c>
      <c r="BH174" s="2">
        <v>0</v>
      </c>
      <c r="BI174" s="2" t="s">
        <v>32</v>
      </c>
      <c r="BJ174" s="2" t="s">
        <v>32</v>
      </c>
      <c r="BK174" s="2" t="s">
        <v>1660</v>
      </c>
      <c r="BL174" s="2">
        <v>0</v>
      </c>
      <c r="BM174" s="2" t="s">
        <v>32</v>
      </c>
      <c r="BN174" s="2" t="s">
        <v>32</v>
      </c>
      <c r="BO174" s="2" t="s">
        <v>1660</v>
      </c>
      <c r="BP174" s="2">
        <v>0</v>
      </c>
      <c r="BQ174" s="2" t="s">
        <v>1660</v>
      </c>
      <c r="BR174" s="2">
        <v>0</v>
      </c>
      <c r="BS174" s="2" t="s">
        <v>1658</v>
      </c>
      <c r="BT174" s="2">
        <v>16</v>
      </c>
      <c r="BU174" s="2">
        <v>87</v>
      </c>
      <c r="BV174" s="2" t="s">
        <v>1660</v>
      </c>
      <c r="BW174" s="2"/>
      <c r="BX174" s="2"/>
      <c r="BY174" s="2" t="s">
        <v>1807</v>
      </c>
      <c r="BZ174" s="2" t="b">
        <f>OR( (Dashboard[[#This Row],[ref_as_hh]]&gt;=1),(Dashboard[[#This Row],[ret_as_hh]] &gt;=1), (Dashboard[[#This Row],[idp_as_hh]]&gt;=1))</f>
        <v>0</v>
      </c>
      <c r="CA174" s="2">
        <f>Dashboard[[#This Row],[ret_hi_hh]]</f>
        <v>59</v>
      </c>
      <c r="CB174" s="2">
        <f>Dashboard[[#This Row],[idp_fa_hh]]+Dashboard[[#This Row],[ref_fa_hh]]+Dashboard[[#This Row],[ret_fa_hh]]</f>
        <v>91</v>
      </c>
      <c r="CC174" s="2">
        <f>Dashboard[[#This Row],[idp_loc_hh]]+Dashboard[[#This Row],[ref_loc_hh]]+Dashboard[[#This Row],[ret_loc_hh]]</f>
        <v>0</v>
      </c>
      <c r="CD174" s="2">
        <f>Dashboard[[#This Row],[idp_cc_hh]]+Dashboard[[#This Row],[ref_cc_hh]]+Dashboard[[#This Row],[ret_cc_hh]]</f>
        <v>0</v>
      </c>
      <c r="CE174" s="2">
        <f>Dashboard[[#This Row],[idp_as_hh]]+Dashboard[[#This Row],[ref_as_hh]]+Dashboard[[#This Row],[ret_as_hh]]</f>
        <v>0</v>
      </c>
      <c r="CF174" s="2">
        <f>Dashboard[[#This Row],[idp_al_hh]]+Dashboard[[#This Row],[ref_al_hh]]+Dashboard[[#This Row],[ret_al_hh]]</f>
        <v>0</v>
      </c>
    </row>
    <row r="175" spans="1:84" hidden="1" x14ac:dyDescent="0.25">
      <c r="A175" s="27">
        <v>489</v>
      </c>
      <c r="B175" s="2" t="s">
        <v>22</v>
      </c>
      <c r="C175" s="2" t="s">
        <v>23</v>
      </c>
      <c r="D175" s="2" t="s">
        <v>85</v>
      </c>
      <c r="E175" s="2" t="s">
        <v>84</v>
      </c>
      <c r="F175" s="2" t="s">
        <v>181</v>
      </c>
      <c r="G175" s="2" t="s">
        <v>180</v>
      </c>
      <c r="H175" s="2" t="s">
        <v>1321</v>
      </c>
      <c r="I175" s="2" t="s">
        <v>192</v>
      </c>
      <c r="J175" s="2" t="s">
        <v>3198</v>
      </c>
      <c r="K175" s="2" t="s">
        <v>3199</v>
      </c>
      <c r="L175" s="2" t="s">
        <v>2074</v>
      </c>
      <c r="M175" s="2">
        <v>1316</v>
      </c>
      <c r="N175" s="2" t="s">
        <v>1658</v>
      </c>
      <c r="O175" s="2">
        <v>95</v>
      </c>
      <c r="P175" s="2">
        <v>480</v>
      </c>
      <c r="Q175" s="2" t="s">
        <v>1658</v>
      </c>
      <c r="R175" s="2">
        <v>95</v>
      </c>
      <c r="S175" s="2" t="s">
        <v>1660</v>
      </c>
      <c r="T175" s="2">
        <v>0</v>
      </c>
      <c r="U175" s="2" t="s">
        <v>32</v>
      </c>
      <c r="V175" s="2" t="s">
        <v>32</v>
      </c>
      <c r="W175" s="2" t="s">
        <v>1660</v>
      </c>
      <c r="X175" s="2">
        <v>0</v>
      </c>
      <c r="Y175" s="2" t="s">
        <v>32</v>
      </c>
      <c r="Z175" s="2" t="s">
        <v>32</v>
      </c>
      <c r="AA175" s="2" t="s">
        <v>1660</v>
      </c>
      <c r="AB175" s="2">
        <v>0</v>
      </c>
      <c r="AC175" s="2" t="s">
        <v>1660</v>
      </c>
      <c r="AD175" s="2">
        <v>0</v>
      </c>
      <c r="AE175" s="2" t="s">
        <v>1660</v>
      </c>
      <c r="AF175" s="2">
        <v>0</v>
      </c>
      <c r="AG175" s="2">
        <v>0</v>
      </c>
      <c r="AH175" s="2" t="s">
        <v>32</v>
      </c>
      <c r="AI175" s="2" t="s">
        <v>32</v>
      </c>
      <c r="AJ175" s="2" t="s">
        <v>32</v>
      </c>
      <c r="AK175" s="2" t="s">
        <v>32</v>
      </c>
      <c r="AL175" s="2" t="s">
        <v>32</v>
      </c>
      <c r="AM175" s="2">
        <v>0</v>
      </c>
      <c r="AN175" s="2" t="s">
        <v>32</v>
      </c>
      <c r="AO175" s="2">
        <v>0</v>
      </c>
      <c r="AP175" s="2" t="s">
        <v>32</v>
      </c>
      <c r="AQ175" s="2" t="s">
        <v>32</v>
      </c>
      <c r="AR175" s="2" t="s">
        <v>32</v>
      </c>
      <c r="AS175" s="2">
        <v>0</v>
      </c>
      <c r="AT175" s="2" t="s">
        <v>32</v>
      </c>
      <c r="AU175" s="2" t="s">
        <v>32</v>
      </c>
      <c r="AV175" s="2" t="s">
        <v>32</v>
      </c>
      <c r="AW175" s="2">
        <v>0</v>
      </c>
      <c r="AX175" s="2" t="s">
        <v>32</v>
      </c>
      <c r="AY175" s="2">
        <v>0</v>
      </c>
      <c r="AZ175" s="2" t="s">
        <v>1658</v>
      </c>
      <c r="BA175" s="2">
        <v>92</v>
      </c>
      <c r="BB175" s="2">
        <v>460</v>
      </c>
      <c r="BC175" s="2" t="s">
        <v>1658</v>
      </c>
      <c r="BD175" s="2">
        <v>92</v>
      </c>
      <c r="BE175" s="2" t="s">
        <v>1660</v>
      </c>
      <c r="BF175" s="2">
        <v>0</v>
      </c>
      <c r="BG175" s="2" t="s">
        <v>1660</v>
      </c>
      <c r="BH175" s="2">
        <v>0</v>
      </c>
      <c r="BI175" s="2" t="s">
        <v>32</v>
      </c>
      <c r="BJ175" s="2" t="s">
        <v>32</v>
      </c>
      <c r="BK175" s="2" t="s">
        <v>1660</v>
      </c>
      <c r="BL175" s="2">
        <v>0</v>
      </c>
      <c r="BM175" s="2" t="s">
        <v>32</v>
      </c>
      <c r="BN175" s="2" t="s">
        <v>32</v>
      </c>
      <c r="BO175" s="2" t="s">
        <v>1660</v>
      </c>
      <c r="BP175" s="2">
        <v>0</v>
      </c>
      <c r="BQ175" s="2" t="s">
        <v>1660</v>
      </c>
      <c r="BR175" s="2">
        <v>0</v>
      </c>
      <c r="BS175" s="2" t="s">
        <v>1658</v>
      </c>
      <c r="BT175" s="2">
        <v>19</v>
      </c>
      <c r="BU175" s="2">
        <v>99</v>
      </c>
      <c r="BV175" s="2" t="s">
        <v>1660</v>
      </c>
      <c r="BW175" s="2"/>
      <c r="BX175" s="2"/>
      <c r="BY175" s="2" t="s">
        <v>1807</v>
      </c>
      <c r="BZ175" s="2" t="b">
        <f>OR( (Dashboard[[#This Row],[ref_as_hh]]&gt;=1),(Dashboard[[#This Row],[ret_as_hh]] &gt;=1), (Dashboard[[#This Row],[idp_as_hh]]&gt;=1))</f>
        <v>0</v>
      </c>
      <c r="CA175" s="2">
        <f>Dashboard[[#This Row],[ret_hi_hh]]</f>
        <v>92</v>
      </c>
      <c r="CB175" s="2">
        <f>Dashboard[[#This Row],[idp_fa_hh]]+Dashboard[[#This Row],[ref_fa_hh]]+Dashboard[[#This Row],[ret_fa_hh]]</f>
        <v>95</v>
      </c>
      <c r="CC175" s="2">
        <f>Dashboard[[#This Row],[idp_loc_hh]]+Dashboard[[#This Row],[ref_loc_hh]]+Dashboard[[#This Row],[ret_loc_hh]]</f>
        <v>0</v>
      </c>
      <c r="CD175" s="2">
        <f>Dashboard[[#This Row],[idp_cc_hh]]+Dashboard[[#This Row],[ref_cc_hh]]+Dashboard[[#This Row],[ret_cc_hh]]</f>
        <v>0</v>
      </c>
      <c r="CE175" s="2">
        <f>Dashboard[[#This Row],[idp_as_hh]]+Dashboard[[#This Row],[ref_as_hh]]+Dashboard[[#This Row],[ret_as_hh]]</f>
        <v>0</v>
      </c>
      <c r="CF175" s="2">
        <f>Dashboard[[#This Row],[idp_al_hh]]+Dashboard[[#This Row],[ref_al_hh]]+Dashboard[[#This Row],[ret_al_hh]]</f>
        <v>0</v>
      </c>
    </row>
    <row r="176" spans="1:84" hidden="1" x14ac:dyDescent="0.25">
      <c r="A176" s="27">
        <v>3</v>
      </c>
      <c r="B176" s="2" t="s">
        <v>22</v>
      </c>
      <c r="C176" s="2" t="s">
        <v>23</v>
      </c>
      <c r="D176" s="2" t="s">
        <v>85</v>
      </c>
      <c r="E176" s="2" t="s">
        <v>84</v>
      </c>
      <c r="F176" s="2" t="s">
        <v>157</v>
      </c>
      <c r="G176" s="2" t="s">
        <v>156</v>
      </c>
      <c r="H176" s="2" t="s">
        <v>1044</v>
      </c>
      <c r="I176" s="2" t="s">
        <v>357</v>
      </c>
      <c r="J176" s="2" t="s">
        <v>2612</v>
      </c>
      <c r="K176" s="2" t="s">
        <v>2613</v>
      </c>
      <c r="L176" s="2" t="s">
        <v>2074</v>
      </c>
      <c r="M176" s="2">
        <v>100</v>
      </c>
      <c r="N176" s="2" t="s">
        <v>1658</v>
      </c>
      <c r="O176" s="2">
        <v>8</v>
      </c>
      <c r="P176" s="2">
        <v>42</v>
      </c>
      <c r="Q176" s="2" t="s">
        <v>1658</v>
      </c>
      <c r="R176" s="2">
        <v>8</v>
      </c>
      <c r="S176" s="2" t="s">
        <v>1660</v>
      </c>
      <c r="T176" s="2">
        <v>0</v>
      </c>
      <c r="U176" s="2" t="s">
        <v>32</v>
      </c>
      <c r="V176" s="2" t="s">
        <v>32</v>
      </c>
      <c r="W176" s="2" t="s">
        <v>1660</v>
      </c>
      <c r="X176" s="2">
        <v>0</v>
      </c>
      <c r="Y176" s="2" t="s">
        <v>32</v>
      </c>
      <c r="Z176" s="2" t="s">
        <v>32</v>
      </c>
      <c r="AA176" s="2" t="s">
        <v>1660</v>
      </c>
      <c r="AB176" s="2">
        <v>0</v>
      </c>
      <c r="AC176" s="2" t="s">
        <v>1660</v>
      </c>
      <c r="AD176" s="2">
        <v>0</v>
      </c>
      <c r="AE176" s="2" t="s">
        <v>1658</v>
      </c>
      <c r="AF176" s="2">
        <v>1</v>
      </c>
      <c r="AG176" s="2">
        <v>10</v>
      </c>
      <c r="AH176" s="2" t="s">
        <v>1660</v>
      </c>
      <c r="AI176" s="2" t="s">
        <v>32</v>
      </c>
      <c r="AJ176" s="2" t="s">
        <v>32</v>
      </c>
      <c r="AK176" s="2" t="s">
        <v>32</v>
      </c>
      <c r="AL176" s="2" t="s">
        <v>1658</v>
      </c>
      <c r="AM176" s="2">
        <v>1</v>
      </c>
      <c r="AN176" s="2" t="s">
        <v>1660</v>
      </c>
      <c r="AO176" s="2">
        <v>0</v>
      </c>
      <c r="AP176" s="2" t="s">
        <v>32</v>
      </c>
      <c r="AQ176" s="2" t="s">
        <v>32</v>
      </c>
      <c r="AR176" s="2" t="s">
        <v>1660</v>
      </c>
      <c r="AS176" s="2">
        <v>0</v>
      </c>
      <c r="AT176" s="2" t="s">
        <v>32</v>
      </c>
      <c r="AU176" s="2" t="s">
        <v>32</v>
      </c>
      <c r="AV176" s="2" t="s">
        <v>1660</v>
      </c>
      <c r="AW176" s="2">
        <v>0</v>
      </c>
      <c r="AX176" s="2" t="s">
        <v>1660</v>
      </c>
      <c r="AY176" s="2">
        <v>0</v>
      </c>
      <c r="AZ176" s="2" t="s">
        <v>1660</v>
      </c>
      <c r="BA176" s="2">
        <v>0</v>
      </c>
      <c r="BB176" s="2">
        <v>0</v>
      </c>
      <c r="BC176" s="2" t="s">
        <v>32</v>
      </c>
      <c r="BD176" s="2">
        <v>0</v>
      </c>
      <c r="BE176" s="2" t="s">
        <v>32</v>
      </c>
      <c r="BF176" s="2">
        <v>0</v>
      </c>
      <c r="BG176" s="2" t="s">
        <v>32</v>
      </c>
      <c r="BH176" s="2">
        <v>0</v>
      </c>
      <c r="BI176" s="2" t="s">
        <v>32</v>
      </c>
      <c r="BJ176" s="2" t="s">
        <v>32</v>
      </c>
      <c r="BK176" s="2" t="s">
        <v>32</v>
      </c>
      <c r="BL176" s="2">
        <v>0</v>
      </c>
      <c r="BM176" s="2" t="s">
        <v>32</v>
      </c>
      <c r="BN176" s="2" t="s">
        <v>32</v>
      </c>
      <c r="BO176" s="2" t="s">
        <v>32</v>
      </c>
      <c r="BP176" s="2">
        <v>0</v>
      </c>
      <c r="BQ176" s="2" t="s">
        <v>32</v>
      </c>
      <c r="BR176" s="2">
        <v>0</v>
      </c>
      <c r="BS176" s="2" t="s">
        <v>1660</v>
      </c>
      <c r="BT176" s="2">
        <v>0</v>
      </c>
      <c r="BU176" s="2">
        <v>0</v>
      </c>
      <c r="BV176" s="2" t="s">
        <v>1660</v>
      </c>
      <c r="BW176" s="2"/>
      <c r="BX176" s="2"/>
      <c r="BY176" s="2" t="s">
        <v>1807</v>
      </c>
      <c r="BZ176" s="2" t="b">
        <f>OR( (Dashboard[[#This Row],[ref_as_hh]]&gt;=1),(Dashboard[[#This Row],[ret_as_hh]] &gt;=1), (Dashboard[[#This Row],[idp_as_hh]]&gt;=1))</f>
        <v>0</v>
      </c>
      <c r="CA176" s="2">
        <f>Dashboard[[#This Row],[ret_hi_hh]]</f>
        <v>0</v>
      </c>
      <c r="CB176" s="2">
        <f>Dashboard[[#This Row],[idp_fa_hh]]+Dashboard[[#This Row],[ref_fa_hh]]+Dashboard[[#This Row],[ret_fa_hh]]</f>
        <v>9</v>
      </c>
      <c r="CC176" s="2">
        <f>Dashboard[[#This Row],[idp_loc_hh]]+Dashboard[[#This Row],[ref_loc_hh]]+Dashboard[[#This Row],[ret_loc_hh]]</f>
        <v>0</v>
      </c>
      <c r="CD176" s="2">
        <f>Dashboard[[#This Row],[idp_cc_hh]]+Dashboard[[#This Row],[ref_cc_hh]]+Dashboard[[#This Row],[ret_cc_hh]]</f>
        <v>0</v>
      </c>
      <c r="CE176" s="2">
        <f>Dashboard[[#This Row],[idp_as_hh]]+Dashboard[[#This Row],[ref_as_hh]]+Dashboard[[#This Row],[ret_as_hh]]</f>
        <v>0</v>
      </c>
      <c r="CF176" s="2">
        <f>Dashboard[[#This Row],[idp_al_hh]]+Dashboard[[#This Row],[ref_al_hh]]+Dashboard[[#This Row],[ret_al_hh]]</f>
        <v>0</v>
      </c>
    </row>
    <row r="177" spans="1:84" hidden="1" x14ac:dyDescent="0.25">
      <c r="A177" s="27">
        <v>4</v>
      </c>
      <c r="B177" s="2" t="s">
        <v>22</v>
      </c>
      <c r="C177" s="2" t="s">
        <v>23</v>
      </c>
      <c r="D177" s="2" t="s">
        <v>85</v>
      </c>
      <c r="E177" s="2" t="s">
        <v>84</v>
      </c>
      <c r="F177" s="2" t="s">
        <v>157</v>
      </c>
      <c r="G177" s="2" t="s">
        <v>156</v>
      </c>
      <c r="H177" s="2" t="s">
        <v>1040</v>
      </c>
      <c r="I177" s="2" t="s">
        <v>353</v>
      </c>
      <c r="J177" s="2" t="s">
        <v>2604</v>
      </c>
      <c r="K177" s="2" t="s">
        <v>2605</v>
      </c>
      <c r="L177" s="2" t="s">
        <v>2074</v>
      </c>
      <c r="M177" s="2">
        <v>997</v>
      </c>
      <c r="N177" s="2" t="s">
        <v>1658</v>
      </c>
      <c r="O177" s="2">
        <v>19</v>
      </c>
      <c r="P177" s="2">
        <v>120</v>
      </c>
      <c r="Q177" s="2" t="s">
        <v>1658</v>
      </c>
      <c r="R177" s="2">
        <v>19</v>
      </c>
      <c r="S177" s="2" t="s">
        <v>1660</v>
      </c>
      <c r="T177" s="2">
        <v>0</v>
      </c>
      <c r="U177" s="2" t="s">
        <v>32</v>
      </c>
      <c r="V177" s="2" t="s">
        <v>32</v>
      </c>
      <c r="W177" s="2" t="s">
        <v>1660</v>
      </c>
      <c r="X177" s="2">
        <v>0</v>
      </c>
      <c r="Y177" s="2" t="s">
        <v>32</v>
      </c>
      <c r="Z177" s="2" t="s">
        <v>32</v>
      </c>
      <c r="AA177" s="2" t="s">
        <v>1660</v>
      </c>
      <c r="AB177" s="2">
        <v>0</v>
      </c>
      <c r="AC177" s="2" t="s">
        <v>1660</v>
      </c>
      <c r="AD177" s="2">
        <v>0</v>
      </c>
      <c r="AE177" s="2" t="s">
        <v>1660</v>
      </c>
      <c r="AF177" s="2">
        <v>0</v>
      </c>
      <c r="AG177" s="2">
        <v>0</v>
      </c>
      <c r="AH177" s="2" t="s">
        <v>32</v>
      </c>
      <c r="AI177" s="2" t="s">
        <v>32</v>
      </c>
      <c r="AJ177" s="2" t="s">
        <v>32</v>
      </c>
      <c r="AK177" s="2" t="s">
        <v>32</v>
      </c>
      <c r="AL177" s="2" t="s">
        <v>32</v>
      </c>
      <c r="AM177" s="2">
        <v>0</v>
      </c>
      <c r="AN177" s="2" t="s">
        <v>32</v>
      </c>
      <c r="AO177" s="2">
        <v>0</v>
      </c>
      <c r="AP177" s="2" t="s">
        <v>32</v>
      </c>
      <c r="AQ177" s="2" t="s">
        <v>32</v>
      </c>
      <c r="AR177" s="2" t="s">
        <v>32</v>
      </c>
      <c r="AS177" s="2">
        <v>0</v>
      </c>
      <c r="AT177" s="2" t="s">
        <v>32</v>
      </c>
      <c r="AU177" s="2" t="s">
        <v>32</v>
      </c>
      <c r="AV177" s="2" t="s">
        <v>32</v>
      </c>
      <c r="AW177" s="2">
        <v>0</v>
      </c>
      <c r="AX177" s="2" t="s">
        <v>32</v>
      </c>
      <c r="AY177" s="2">
        <v>0</v>
      </c>
      <c r="AZ177" s="2" t="s">
        <v>1660</v>
      </c>
      <c r="BA177" s="2">
        <v>0</v>
      </c>
      <c r="BB177" s="2">
        <v>0</v>
      </c>
      <c r="BC177" s="2" t="s">
        <v>32</v>
      </c>
      <c r="BD177" s="2">
        <v>0</v>
      </c>
      <c r="BE177" s="2" t="s">
        <v>32</v>
      </c>
      <c r="BF177" s="2">
        <v>0</v>
      </c>
      <c r="BG177" s="2" t="s">
        <v>32</v>
      </c>
      <c r="BH177" s="2">
        <v>0</v>
      </c>
      <c r="BI177" s="2" t="s">
        <v>32</v>
      </c>
      <c r="BJ177" s="2" t="s">
        <v>32</v>
      </c>
      <c r="BK177" s="2" t="s">
        <v>32</v>
      </c>
      <c r="BL177" s="2">
        <v>0</v>
      </c>
      <c r="BM177" s="2" t="s">
        <v>32</v>
      </c>
      <c r="BN177" s="2" t="s">
        <v>32</v>
      </c>
      <c r="BO177" s="2" t="s">
        <v>32</v>
      </c>
      <c r="BP177" s="2">
        <v>0</v>
      </c>
      <c r="BQ177" s="2" t="s">
        <v>32</v>
      </c>
      <c r="BR177" s="2">
        <v>0</v>
      </c>
      <c r="BS177" s="2" t="s">
        <v>1660</v>
      </c>
      <c r="BT177" s="2">
        <v>0</v>
      </c>
      <c r="BU177" s="2">
        <v>0</v>
      </c>
      <c r="BV177" s="2" t="s">
        <v>1660</v>
      </c>
      <c r="BW177" s="2"/>
      <c r="BX177" s="2"/>
      <c r="BY177" s="2" t="s">
        <v>1807</v>
      </c>
      <c r="BZ177" s="2" t="b">
        <f>OR( (Dashboard[[#This Row],[ref_as_hh]]&gt;=1),(Dashboard[[#This Row],[ret_as_hh]] &gt;=1), (Dashboard[[#This Row],[idp_as_hh]]&gt;=1))</f>
        <v>0</v>
      </c>
      <c r="CA177" s="2">
        <f>Dashboard[[#This Row],[ret_hi_hh]]</f>
        <v>0</v>
      </c>
      <c r="CB177" s="2">
        <f>Dashboard[[#This Row],[idp_fa_hh]]+Dashboard[[#This Row],[ref_fa_hh]]+Dashboard[[#This Row],[ret_fa_hh]]</f>
        <v>19</v>
      </c>
      <c r="CC177" s="2">
        <f>Dashboard[[#This Row],[idp_loc_hh]]+Dashboard[[#This Row],[ref_loc_hh]]+Dashboard[[#This Row],[ret_loc_hh]]</f>
        <v>0</v>
      </c>
      <c r="CD177" s="2">
        <f>Dashboard[[#This Row],[idp_cc_hh]]+Dashboard[[#This Row],[ref_cc_hh]]+Dashboard[[#This Row],[ret_cc_hh]]</f>
        <v>0</v>
      </c>
      <c r="CE177" s="2">
        <f>Dashboard[[#This Row],[idp_as_hh]]+Dashboard[[#This Row],[ref_as_hh]]+Dashboard[[#This Row],[ret_as_hh]]</f>
        <v>0</v>
      </c>
      <c r="CF177" s="2">
        <f>Dashboard[[#This Row],[idp_al_hh]]+Dashboard[[#This Row],[ref_al_hh]]+Dashboard[[#This Row],[ret_al_hh]]</f>
        <v>0</v>
      </c>
    </row>
    <row r="178" spans="1:84" hidden="1" x14ac:dyDescent="0.25">
      <c r="A178" s="27">
        <v>262</v>
      </c>
      <c r="B178" s="2" t="s">
        <v>22</v>
      </c>
      <c r="C178" s="2" t="s">
        <v>23</v>
      </c>
      <c r="D178" s="2" t="s">
        <v>85</v>
      </c>
      <c r="E178" s="2" t="s">
        <v>84</v>
      </c>
      <c r="F178" s="2" t="s">
        <v>157</v>
      </c>
      <c r="G178" s="2" t="s">
        <v>156</v>
      </c>
      <c r="H178" s="2" t="s">
        <v>1032</v>
      </c>
      <c r="I178" s="2" t="s">
        <v>345</v>
      </c>
      <c r="J178" s="2" t="s">
        <v>2588</v>
      </c>
      <c r="K178" s="2" t="s">
        <v>2589</v>
      </c>
      <c r="L178" s="2" t="s">
        <v>2074</v>
      </c>
      <c r="M178" s="2">
        <v>5460</v>
      </c>
      <c r="N178" s="2" t="s">
        <v>1658</v>
      </c>
      <c r="O178" s="2">
        <v>504</v>
      </c>
      <c r="P178" s="2">
        <v>2579</v>
      </c>
      <c r="Q178" s="2" t="s">
        <v>1658</v>
      </c>
      <c r="R178" s="2">
        <v>109</v>
      </c>
      <c r="S178" s="2" t="s">
        <v>1658</v>
      </c>
      <c r="T178" s="2">
        <v>395</v>
      </c>
      <c r="U178" s="2" t="s">
        <v>1661</v>
      </c>
      <c r="V178" s="2" t="s">
        <v>32</v>
      </c>
      <c r="W178" s="2" t="s">
        <v>1660</v>
      </c>
      <c r="X178" s="2">
        <v>0</v>
      </c>
      <c r="Y178" s="2" t="s">
        <v>32</v>
      </c>
      <c r="Z178" s="2" t="s">
        <v>32</v>
      </c>
      <c r="AA178" s="2" t="s">
        <v>1660</v>
      </c>
      <c r="AB178" s="2">
        <v>0</v>
      </c>
      <c r="AC178" s="2" t="s">
        <v>1660</v>
      </c>
      <c r="AD178" s="2">
        <v>0</v>
      </c>
      <c r="AE178" s="2" t="s">
        <v>1660</v>
      </c>
      <c r="AF178" s="2">
        <v>0</v>
      </c>
      <c r="AG178" s="2">
        <v>0</v>
      </c>
      <c r="AH178" s="2" t="s">
        <v>32</v>
      </c>
      <c r="AI178" s="2" t="s">
        <v>32</v>
      </c>
      <c r="AJ178" s="2" t="s">
        <v>32</v>
      </c>
      <c r="AK178" s="2" t="s">
        <v>32</v>
      </c>
      <c r="AL178" s="2" t="s">
        <v>32</v>
      </c>
      <c r="AM178" s="2">
        <v>0</v>
      </c>
      <c r="AN178" s="2" t="s">
        <v>32</v>
      </c>
      <c r="AO178" s="2">
        <v>0</v>
      </c>
      <c r="AP178" s="2" t="s">
        <v>32</v>
      </c>
      <c r="AQ178" s="2" t="s">
        <v>32</v>
      </c>
      <c r="AR178" s="2" t="s">
        <v>32</v>
      </c>
      <c r="AS178" s="2">
        <v>0</v>
      </c>
      <c r="AT178" s="2" t="s">
        <v>32</v>
      </c>
      <c r="AU178" s="2" t="s">
        <v>32</v>
      </c>
      <c r="AV178" s="2" t="s">
        <v>32</v>
      </c>
      <c r="AW178" s="2">
        <v>0</v>
      </c>
      <c r="AX178" s="2" t="s">
        <v>32</v>
      </c>
      <c r="AY178" s="2">
        <v>0</v>
      </c>
      <c r="AZ178" s="2" t="s">
        <v>1658</v>
      </c>
      <c r="BA178" s="2">
        <v>1</v>
      </c>
      <c r="BB178" s="2">
        <v>13</v>
      </c>
      <c r="BC178" s="2" t="s">
        <v>1658</v>
      </c>
      <c r="BD178" s="2">
        <v>1</v>
      </c>
      <c r="BE178" s="2" t="s">
        <v>1660</v>
      </c>
      <c r="BF178" s="2">
        <v>0</v>
      </c>
      <c r="BG178" s="2" t="s">
        <v>1660</v>
      </c>
      <c r="BH178" s="2">
        <v>0</v>
      </c>
      <c r="BI178" s="2" t="s">
        <v>32</v>
      </c>
      <c r="BJ178" s="2" t="s">
        <v>32</v>
      </c>
      <c r="BK178" s="2" t="s">
        <v>1660</v>
      </c>
      <c r="BL178" s="2">
        <v>0</v>
      </c>
      <c r="BM178" s="2" t="s">
        <v>32</v>
      </c>
      <c r="BN178" s="2" t="s">
        <v>32</v>
      </c>
      <c r="BO178" s="2" t="s">
        <v>1660</v>
      </c>
      <c r="BP178" s="2">
        <v>0</v>
      </c>
      <c r="BQ178" s="2" t="s">
        <v>1660</v>
      </c>
      <c r="BR178" s="2">
        <v>0</v>
      </c>
      <c r="BS178" s="2" t="s">
        <v>1660</v>
      </c>
      <c r="BT178" s="2">
        <v>0</v>
      </c>
      <c r="BU178" s="2">
        <v>0</v>
      </c>
      <c r="BV178" s="2" t="s">
        <v>1660</v>
      </c>
      <c r="BW178" s="2"/>
      <c r="BX178" s="2"/>
      <c r="BY178" s="2" t="s">
        <v>1807</v>
      </c>
      <c r="BZ178" s="2" t="b">
        <f>OR( (Dashboard[[#This Row],[ref_as_hh]]&gt;=1),(Dashboard[[#This Row],[ret_as_hh]] &gt;=1), (Dashboard[[#This Row],[idp_as_hh]]&gt;=1))</f>
        <v>0</v>
      </c>
      <c r="CA178" s="2">
        <f>Dashboard[[#This Row],[ret_hi_hh]]</f>
        <v>1</v>
      </c>
      <c r="CB178" s="2">
        <f>Dashboard[[#This Row],[idp_fa_hh]]+Dashboard[[#This Row],[ref_fa_hh]]+Dashboard[[#This Row],[ret_fa_hh]]</f>
        <v>109</v>
      </c>
      <c r="CC178" s="2">
        <f>Dashboard[[#This Row],[idp_loc_hh]]+Dashboard[[#This Row],[ref_loc_hh]]+Dashboard[[#This Row],[ret_loc_hh]]</f>
        <v>395</v>
      </c>
      <c r="CD178" s="2">
        <f>Dashboard[[#This Row],[idp_cc_hh]]+Dashboard[[#This Row],[ref_cc_hh]]+Dashboard[[#This Row],[ret_cc_hh]]</f>
        <v>0</v>
      </c>
      <c r="CE178" s="2">
        <f>Dashboard[[#This Row],[idp_as_hh]]+Dashboard[[#This Row],[ref_as_hh]]+Dashboard[[#This Row],[ret_as_hh]]</f>
        <v>0</v>
      </c>
      <c r="CF178" s="2">
        <f>Dashboard[[#This Row],[idp_al_hh]]+Dashboard[[#This Row],[ref_al_hh]]+Dashboard[[#This Row],[ret_al_hh]]</f>
        <v>0</v>
      </c>
    </row>
    <row r="179" spans="1:84" hidden="1" x14ac:dyDescent="0.25">
      <c r="A179" s="27">
        <v>263</v>
      </c>
      <c r="B179" s="2" t="s">
        <v>22</v>
      </c>
      <c r="C179" s="2" t="s">
        <v>23</v>
      </c>
      <c r="D179" s="2" t="s">
        <v>85</v>
      </c>
      <c r="E179" s="2" t="s">
        <v>84</v>
      </c>
      <c r="F179" s="2" t="s">
        <v>157</v>
      </c>
      <c r="G179" s="2" t="s">
        <v>156</v>
      </c>
      <c r="H179" s="2" t="s">
        <v>1041</v>
      </c>
      <c r="I179" s="2" t="s">
        <v>354</v>
      </c>
      <c r="J179" s="2" t="s">
        <v>2606</v>
      </c>
      <c r="K179" s="2" t="s">
        <v>2607</v>
      </c>
      <c r="L179" s="2" t="s">
        <v>2074</v>
      </c>
      <c r="M179" s="2">
        <v>1127</v>
      </c>
      <c r="N179" s="2" t="s">
        <v>1658</v>
      </c>
      <c r="O179" s="2">
        <v>19</v>
      </c>
      <c r="P179" s="2">
        <v>127</v>
      </c>
      <c r="Q179" s="2" t="s">
        <v>1658</v>
      </c>
      <c r="R179" s="2">
        <v>19</v>
      </c>
      <c r="S179" s="2" t="s">
        <v>1660</v>
      </c>
      <c r="T179" s="2">
        <v>0</v>
      </c>
      <c r="U179" s="2" t="s">
        <v>32</v>
      </c>
      <c r="V179" s="2" t="s">
        <v>32</v>
      </c>
      <c r="W179" s="2" t="s">
        <v>1660</v>
      </c>
      <c r="X179" s="2">
        <v>0</v>
      </c>
      <c r="Y179" s="2" t="s">
        <v>32</v>
      </c>
      <c r="Z179" s="2" t="s">
        <v>32</v>
      </c>
      <c r="AA179" s="2" t="s">
        <v>1660</v>
      </c>
      <c r="AB179" s="2">
        <v>0</v>
      </c>
      <c r="AC179" s="2" t="s">
        <v>1660</v>
      </c>
      <c r="AD179" s="2">
        <v>0</v>
      </c>
      <c r="AE179" s="2" t="s">
        <v>1660</v>
      </c>
      <c r="AF179" s="2">
        <v>0</v>
      </c>
      <c r="AG179" s="2">
        <v>0</v>
      </c>
      <c r="AH179" s="2" t="s">
        <v>32</v>
      </c>
      <c r="AI179" s="2" t="s">
        <v>32</v>
      </c>
      <c r="AJ179" s="2" t="s">
        <v>32</v>
      </c>
      <c r="AK179" s="2" t="s">
        <v>32</v>
      </c>
      <c r="AL179" s="2" t="s">
        <v>32</v>
      </c>
      <c r="AM179" s="2">
        <v>0</v>
      </c>
      <c r="AN179" s="2" t="s">
        <v>32</v>
      </c>
      <c r="AO179" s="2">
        <v>0</v>
      </c>
      <c r="AP179" s="2" t="s">
        <v>32</v>
      </c>
      <c r="AQ179" s="2" t="s">
        <v>32</v>
      </c>
      <c r="AR179" s="2" t="s">
        <v>32</v>
      </c>
      <c r="AS179" s="2">
        <v>0</v>
      </c>
      <c r="AT179" s="2" t="s">
        <v>32</v>
      </c>
      <c r="AU179" s="2" t="s">
        <v>32</v>
      </c>
      <c r="AV179" s="2" t="s">
        <v>32</v>
      </c>
      <c r="AW179" s="2">
        <v>0</v>
      </c>
      <c r="AX179" s="2" t="s">
        <v>32</v>
      </c>
      <c r="AY179" s="2">
        <v>0</v>
      </c>
      <c r="AZ179" s="2" t="s">
        <v>1660</v>
      </c>
      <c r="BA179" s="2">
        <v>0</v>
      </c>
      <c r="BB179" s="2">
        <v>0</v>
      </c>
      <c r="BC179" s="2" t="s">
        <v>32</v>
      </c>
      <c r="BD179" s="2">
        <v>0</v>
      </c>
      <c r="BE179" s="2" t="s">
        <v>32</v>
      </c>
      <c r="BF179" s="2">
        <v>0</v>
      </c>
      <c r="BG179" s="2" t="s">
        <v>32</v>
      </c>
      <c r="BH179" s="2">
        <v>0</v>
      </c>
      <c r="BI179" s="2" t="s">
        <v>32</v>
      </c>
      <c r="BJ179" s="2" t="s">
        <v>32</v>
      </c>
      <c r="BK179" s="2" t="s">
        <v>32</v>
      </c>
      <c r="BL179" s="2">
        <v>0</v>
      </c>
      <c r="BM179" s="2" t="s">
        <v>32</v>
      </c>
      <c r="BN179" s="2" t="s">
        <v>32</v>
      </c>
      <c r="BO179" s="2" t="s">
        <v>32</v>
      </c>
      <c r="BP179" s="2">
        <v>0</v>
      </c>
      <c r="BQ179" s="2" t="s">
        <v>32</v>
      </c>
      <c r="BR179" s="2">
        <v>0</v>
      </c>
      <c r="BS179" s="2" t="s">
        <v>1660</v>
      </c>
      <c r="BT179" s="2">
        <v>0</v>
      </c>
      <c r="BU179" s="2">
        <v>0</v>
      </c>
      <c r="BV179" s="2" t="s">
        <v>1660</v>
      </c>
      <c r="BW179" s="2"/>
      <c r="BX179" s="2"/>
      <c r="BY179" s="2" t="s">
        <v>1807</v>
      </c>
      <c r="BZ179" s="2" t="b">
        <f>OR( (Dashboard[[#This Row],[ref_as_hh]]&gt;=1),(Dashboard[[#This Row],[ret_as_hh]] &gt;=1), (Dashboard[[#This Row],[idp_as_hh]]&gt;=1))</f>
        <v>0</v>
      </c>
      <c r="CA179" s="2">
        <f>Dashboard[[#This Row],[ret_hi_hh]]</f>
        <v>0</v>
      </c>
      <c r="CB179" s="2">
        <f>Dashboard[[#This Row],[idp_fa_hh]]+Dashboard[[#This Row],[ref_fa_hh]]+Dashboard[[#This Row],[ret_fa_hh]]</f>
        <v>19</v>
      </c>
      <c r="CC179" s="2">
        <f>Dashboard[[#This Row],[idp_loc_hh]]+Dashboard[[#This Row],[ref_loc_hh]]+Dashboard[[#This Row],[ret_loc_hh]]</f>
        <v>0</v>
      </c>
      <c r="CD179" s="2">
        <f>Dashboard[[#This Row],[idp_cc_hh]]+Dashboard[[#This Row],[ref_cc_hh]]+Dashboard[[#This Row],[ret_cc_hh]]</f>
        <v>0</v>
      </c>
      <c r="CE179" s="2">
        <f>Dashboard[[#This Row],[idp_as_hh]]+Dashboard[[#This Row],[ref_as_hh]]+Dashboard[[#This Row],[ret_as_hh]]</f>
        <v>0</v>
      </c>
      <c r="CF179" s="2">
        <f>Dashboard[[#This Row],[idp_al_hh]]+Dashboard[[#This Row],[ref_al_hh]]+Dashboard[[#This Row],[ret_al_hh]]</f>
        <v>0</v>
      </c>
    </row>
    <row r="180" spans="1:84" hidden="1" x14ac:dyDescent="0.25">
      <c r="A180" s="27">
        <v>264</v>
      </c>
      <c r="B180" s="2" t="s">
        <v>22</v>
      </c>
      <c r="C180" s="2" t="s">
        <v>23</v>
      </c>
      <c r="D180" s="2" t="s">
        <v>85</v>
      </c>
      <c r="E180" s="2" t="s">
        <v>84</v>
      </c>
      <c r="F180" s="2" t="s">
        <v>157</v>
      </c>
      <c r="G180" s="2" t="s">
        <v>156</v>
      </c>
      <c r="H180" s="2" t="s">
        <v>1014</v>
      </c>
      <c r="I180" s="2" t="s">
        <v>327</v>
      </c>
      <c r="J180" s="2" t="s">
        <v>2552</v>
      </c>
      <c r="K180" s="2" t="s">
        <v>2553</v>
      </c>
      <c r="L180" s="2" t="s">
        <v>2074</v>
      </c>
      <c r="M180" s="2">
        <v>7581</v>
      </c>
      <c r="N180" s="2" t="s">
        <v>1658</v>
      </c>
      <c r="O180" s="2">
        <v>69</v>
      </c>
      <c r="P180" s="2">
        <v>331</v>
      </c>
      <c r="Q180" s="2" t="s">
        <v>1658</v>
      </c>
      <c r="R180" s="2">
        <v>34</v>
      </c>
      <c r="S180" s="2" t="s">
        <v>1658</v>
      </c>
      <c r="T180" s="2">
        <v>35</v>
      </c>
      <c r="U180" s="2" t="s">
        <v>1659</v>
      </c>
      <c r="V180" s="2" t="s">
        <v>32</v>
      </c>
      <c r="W180" s="2" t="s">
        <v>1660</v>
      </c>
      <c r="X180" s="2">
        <v>0</v>
      </c>
      <c r="Y180" s="2" t="s">
        <v>32</v>
      </c>
      <c r="Z180" s="2" t="s">
        <v>32</v>
      </c>
      <c r="AA180" s="2" t="s">
        <v>1660</v>
      </c>
      <c r="AB180" s="2">
        <v>0</v>
      </c>
      <c r="AC180" s="2" t="s">
        <v>1660</v>
      </c>
      <c r="AD180" s="2">
        <v>0</v>
      </c>
      <c r="AE180" s="2" t="s">
        <v>1660</v>
      </c>
      <c r="AF180" s="2">
        <v>0</v>
      </c>
      <c r="AG180" s="2">
        <v>0</v>
      </c>
      <c r="AH180" s="2" t="s">
        <v>32</v>
      </c>
      <c r="AI180" s="2" t="s">
        <v>32</v>
      </c>
      <c r="AJ180" s="2" t="s">
        <v>32</v>
      </c>
      <c r="AK180" s="2" t="s">
        <v>32</v>
      </c>
      <c r="AL180" s="2" t="s">
        <v>32</v>
      </c>
      <c r="AM180" s="2">
        <v>0</v>
      </c>
      <c r="AN180" s="2" t="s">
        <v>32</v>
      </c>
      <c r="AO180" s="2">
        <v>0</v>
      </c>
      <c r="AP180" s="2" t="s">
        <v>32</v>
      </c>
      <c r="AQ180" s="2" t="s">
        <v>32</v>
      </c>
      <c r="AR180" s="2" t="s">
        <v>32</v>
      </c>
      <c r="AS180" s="2">
        <v>0</v>
      </c>
      <c r="AT180" s="2" t="s">
        <v>32</v>
      </c>
      <c r="AU180" s="2" t="s">
        <v>32</v>
      </c>
      <c r="AV180" s="2" t="s">
        <v>32</v>
      </c>
      <c r="AW180" s="2">
        <v>0</v>
      </c>
      <c r="AX180" s="2" t="s">
        <v>32</v>
      </c>
      <c r="AY180" s="2">
        <v>0</v>
      </c>
      <c r="AZ180" s="2" t="s">
        <v>1660</v>
      </c>
      <c r="BA180" s="2">
        <v>0</v>
      </c>
      <c r="BB180" s="2">
        <v>0</v>
      </c>
      <c r="BC180" s="2" t="s">
        <v>32</v>
      </c>
      <c r="BD180" s="2">
        <v>0</v>
      </c>
      <c r="BE180" s="2" t="s">
        <v>32</v>
      </c>
      <c r="BF180" s="2">
        <v>0</v>
      </c>
      <c r="BG180" s="2" t="s">
        <v>32</v>
      </c>
      <c r="BH180" s="2">
        <v>0</v>
      </c>
      <c r="BI180" s="2" t="s">
        <v>32</v>
      </c>
      <c r="BJ180" s="2" t="s">
        <v>32</v>
      </c>
      <c r="BK180" s="2" t="s">
        <v>32</v>
      </c>
      <c r="BL180" s="2">
        <v>0</v>
      </c>
      <c r="BM180" s="2" t="s">
        <v>32</v>
      </c>
      <c r="BN180" s="2" t="s">
        <v>32</v>
      </c>
      <c r="BO180" s="2" t="s">
        <v>32</v>
      </c>
      <c r="BP180" s="2">
        <v>0</v>
      </c>
      <c r="BQ180" s="2" t="s">
        <v>32</v>
      </c>
      <c r="BR180" s="2">
        <v>0</v>
      </c>
      <c r="BS180" s="2" t="s">
        <v>1660</v>
      </c>
      <c r="BT180" s="2">
        <v>0</v>
      </c>
      <c r="BU180" s="2">
        <v>0</v>
      </c>
      <c r="BV180" s="2" t="s">
        <v>1660</v>
      </c>
      <c r="BW180" s="2"/>
      <c r="BX180" s="2"/>
      <c r="BY180" s="2" t="s">
        <v>1807</v>
      </c>
      <c r="BZ180" s="2" t="b">
        <f>OR( (Dashboard[[#This Row],[ref_as_hh]]&gt;=1),(Dashboard[[#This Row],[ret_as_hh]] &gt;=1), (Dashboard[[#This Row],[idp_as_hh]]&gt;=1))</f>
        <v>0</v>
      </c>
      <c r="CA180" s="2">
        <f>Dashboard[[#This Row],[ret_hi_hh]]</f>
        <v>0</v>
      </c>
      <c r="CB180" s="2">
        <f>Dashboard[[#This Row],[idp_fa_hh]]+Dashboard[[#This Row],[ref_fa_hh]]+Dashboard[[#This Row],[ret_fa_hh]]</f>
        <v>34</v>
      </c>
      <c r="CC180" s="2">
        <f>Dashboard[[#This Row],[idp_loc_hh]]+Dashboard[[#This Row],[ref_loc_hh]]+Dashboard[[#This Row],[ret_loc_hh]]</f>
        <v>35</v>
      </c>
      <c r="CD180" s="2">
        <f>Dashboard[[#This Row],[idp_cc_hh]]+Dashboard[[#This Row],[ref_cc_hh]]+Dashboard[[#This Row],[ret_cc_hh]]</f>
        <v>0</v>
      </c>
      <c r="CE180" s="2">
        <f>Dashboard[[#This Row],[idp_as_hh]]+Dashboard[[#This Row],[ref_as_hh]]+Dashboard[[#This Row],[ret_as_hh]]</f>
        <v>0</v>
      </c>
      <c r="CF180" s="2">
        <f>Dashboard[[#This Row],[idp_al_hh]]+Dashboard[[#This Row],[ref_al_hh]]+Dashboard[[#This Row],[ret_al_hh]]</f>
        <v>0</v>
      </c>
    </row>
    <row r="181" spans="1:84" hidden="1" x14ac:dyDescent="0.25">
      <c r="A181" s="27">
        <v>266</v>
      </c>
      <c r="B181" s="2" t="s">
        <v>22</v>
      </c>
      <c r="C181" s="2" t="s">
        <v>23</v>
      </c>
      <c r="D181" s="2" t="s">
        <v>85</v>
      </c>
      <c r="E181" s="2" t="s">
        <v>84</v>
      </c>
      <c r="F181" s="2" t="s">
        <v>157</v>
      </c>
      <c r="G181" s="2" t="s">
        <v>156</v>
      </c>
      <c r="H181" s="2" t="s">
        <v>1016</v>
      </c>
      <c r="I181" s="2" t="s">
        <v>329</v>
      </c>
      <c r="J181" s="2" t="s">
        <v>2556</v>
      </c>
      <c r="K181" s="2" t="s">
        <v>2557</v>
      </c>
      <c r="L181" s="2" t="s">
        <v>2074</v>
      </c>
      <c r="M181" s="2">
        <v>1230</v>
      </c>
      <c r="N181" s="2" t="s">
        <v>1658</v>
      </c>
      <c r="O181" s="2">
        <v>2</v>
      </c>
      <c r="P181" s="2">
        <v>10</v>
      </c>
      <c r="Q181" s="2" t="s">
        <v>1658</v>
      </c>
      <c r="R181" s="2">
        <v>2</v>
      </c>
      <c r="S181" s="2" t="s">
        <v>1660</v>
      </c>
      <c r="T181" s="2">
        <v>0</v>
      </c>
      <c r="U181" s="2" t="s">
        <v>32</v>
      </c>
      <c r="V181" s="2" t="s">
        <v>32</v>
      </c>
      <c r="W181" s="2" t="s">
        <v>1660</v>
      </c>
      <c r="X181" s="2">
        <v>0</v>
      </c>
      <c r="Y181" s="2" t="s">
        <v>32</v>
      </c>
      <c r="Z181" s="2" t="s">
        <v>32</v>
      </c>
      <c r="AA181" s="2" t="s">
        <v>1660</v>
      </c>
      <c r="AB181" s="2">
        <v>0</v>
      </c>
      <c r="AC181" s="2" t="s">
        <v>1660</v>
      </c>
      <c r="AD181" s="2">
        <v>0</v>
      </c>
      <c r="AE181" s="2" t="s">
        <v>1660</v>
      </c>
      <c r="AF181" s="2">
        <v>0</v>
      </c>
      <c r="AG181" s="2">
        <v>0</v>
      </c>
      <c r="AH181" s="2" t="s">
        <v>32</v>
      </c>
      <c r="AI181" s="2" t="s">
        <v>32</v>
      </c>
      <c r="AJ181" s="2" t="s">
        <v>32</v>
      </c>
      <c r="AK181" s="2" t="s">
        <v>32</v>
      </c>
      <c r="AL181" s="2" t="s">
        <v>32</v>
      </c>
      <c r="AM181" s="2">
        <v>0</v>
      </c>
      <c r="AN181" s="2" t="s">
        <v>32</v>
      </c>
      <c r="AO181" s="2">
        <v>0</v>
      </c>
      <c r="AP181" s="2" t="s">
        <v>32</v>
      </c>
      <c r="AQ181" s="2" t="s">
        <v>32</v>
      </c>
      <c r="AR181" s="2" t="s">
        <v>32</v>
      </c>
      <c r="AS181" s="2">
        <v>0</v>
      </c>
      <c r="AT181" s="2" t="s">
        <v>32</v>
      </c>
      <c r="AU181" s="2" t="s">
        <v>32</v>
      </c>
      <c r="AV181" s="2" t="s">
        <v>32</v>
      </c>
      <c r="AW181" s="2">
        <v>0</v>
      </c>
      <c r="AX181" s="2" t="s">
        <v>32</v>
      </c>
      <c r="AY181" s="2">
        <v>0</v>
      </c>
      <c r="AZ181" s="2" t="s">
        <v>1660</v>
      </c>
      <c r="BA181" s="2">
        <v>0</v>
      </c>
      <c r="BB181" s="2">
        <v>0</v>
      </c>
      <c r="BC181" s="2" t="s">
        <v>32</v>
      </c>
      <c r="BD181" s="2">
        <v>0</v>
      </c>
      <c r="BE181" s="2" t="s">
        <v>32</v>
      </c>
      <c r="BF181" s="2">
        <v>0</v>
      </c>
      <c r="BG181" s="2" t="s">
        <v>32</v>
      </c>
      <c r="BH181" s="2">
        <v>0</v>
      </c>
      <c r="BI181" s="2" t="s">
        <v>32</v>
      </c>
      <c r="BJ181" s="2" t="s">
        <v>32</v>
      </c>
      <c r="BK181" s="2" t="s">
        <v>32</v>
      </c>
      <c r="BL181" s="2">
        <v>0</v>
      </c>
      <c r="BM181" s="2" t="s">
        <v>32</v>
      </c>
      <c r="BN181" s="2" t="s">
        <v>32</v>
      </c>
      <c r="BO181" s="2" t="s">
        <v>32</v>
      </c>
      <c r="BP181" s="2">
        <v>0</v>
      </c>
      <c r="BQ181" s="2" t="s">
        <v>32</v>
      </c>
      <c r="BR181" s="2">
        <v>0</v>
      </c>
      <c r="BS181" s="2" t="s">
        <v>1660</v>
      </c>
      <c r="BT181" s="2">
        <v>0</v>
      </c>
      <c r="BU181" s="2">
        <v>0</v>
      </c>
      <c r="BV181" s="2" t="s">
        <v>1660</v>
      </c>
      <c r="BW181" s="2"/>
      <c r="BX181" s="2"/>
      <c r="BY181" s="2" t="s">
        <v>1807</v>
      </c>
      <c r="BZ181" s="2" t="b">
        <f>OR( (Dashboard[[#This Row],[ref_as_hh]]&gt;=1),(Dashboard[[#This Row],[ret_as_hh]] &gt;=1), (Dashboard[[#This Row],[idp_as_hh]]&gt;=1))</f>
        <v>0</v>
      </c>
      <c r="CA181" s="2">
        <f>Dashboard[[#This Row],[ret_hi_hh]]</f>
        <v>0</v>
      </c>
      <c r="CB181" s="2">
        <f>Dashboard[[#This Row],[idp_fa_hh]]+Dashboard[[#This Row],[ref_fa_hh]]+Dashboard[[#This Row],[ret_fa_hh]]</f>
        <v>2</v>
      </c>
      <c r="CC181" s="2">
        <f>Dashboard[[#This Row],[idp_loc_hh]]+Dashboard[[#This Row],[ref_loc_hh]]+Dashboard[[#This Row],[ret_loc_hh]]</f>
        <v>0</v>
      </c>
      <c r="CD181" s="2">
        <f>Dashboard[[#This Row],[idp_cc_hh]]+Dashboard[[#This Row],[ref_cc_hh]]+Dashboard[[#This Row],[ret_cc_hh]]</f>
        <v>0</v>
      </c>
      <c r="CE181" s="2">
        <f>Dashboard[[#This Row],[idp_as_hh]]+Dashboard[[#This Row],[ref_as_hh]]+Dashboard[[#This Row],[ret_as_hh]]</f>
        <v>0</v>
      </c>
      <c r="CF181" s="2">
        <f>Dashboard[[#This Row],[idp_al_hh]]+Dashboard[[#This Row],[ref_al_hh]]+Dashboard[[#This Row],[ret_al_hh]]</f>
        <v>0</v>
      </c>
    </row>
    <row r="182" spans="1:84" hidden="1" x14ac:dyDescent="0.25">
      <c r="A182" s="27">
        <v>268</v>
      </c>
      <c r="B182" s="2" t="s">
        <v>22</v>
      </c>
      <c r="C182" s="2" t="s">
        <v>23</v>
      </c>
      <c r="D182" s="2" t="s">
        <v>85</v>
      </c>
      <c r="E182" s="2" t="s">
        <v>84</v>
      </c>
      <c r="F182" s="2" t="s">
        <v>157</v>
      </c>
      <c r="G182" s="2" t="s">
        <v>156</v>
      </c>
      <c r="H182" s="2" t="s">
        <v>1052</v>
      </c>
      <c r="I182" s="2" t="s">
        <v>364</v>
      </c>
      <c r="J182" s="2" t="s">
        <v>2628</v>
      </c>
      <c r="K182" s="2" t="s">
        <v>2629</v>
      </c>
      <c r="L182" s="2" t="s">
        <v>3692</v>
      </c>
      <c r="M182" s="2">
        <v>3426</v>
      </c>
      <c r="N182" s="2" t="s">
        <v>1658</v>
      </c>
      <c r="O182" s="2">
        <v>47</v>
      </c>
      <c r="P182" s="2">
        <v>278</v>
      </c>
      <c r="Q182" s="2" t="s">
        <v>1658</v>
      </c>
      <c r="R182" s="2">
        <v>11</v>
      </c>
      <c r="S182" s="2" t="s">
        <v>1658</v>
      </c>
      <c r="T182" s="2">
        <v>36</v>
      </c>
      <c r="U182" s="2" t="s">
        <v>1659</v>
      </c>
      <c r="V182" s="2" t="s">
        <v>32</v>
      </c>
      <c r="W182" s="2" t="s">
        <v>1660</v>
      </c>
      <c r="X182" s="2">
        <v>0</v>
      </c>
      <c r="Y182" s="2" t="s">
        <v>32</v>
      </c>
      <c r="Z182" s="2" t="s">
        <v>32</v>
      </c>
      <c r="AA182" s="2" t="s">
        <v>1660</v>
      </c>
      <c r="AB182" s="2">
        <v>0</v>
      </c>
      <c r="AC182" s="2" t="s">
        <v>1660</v>
      </c>
      <c r="AD182" s="2">
        <v>0</v>
      </c>
      <c r="AE182" s="2" t="s">
        <v>1660</v>
      </c>
      <c r="AF182" s="2">
        <v>0</v>
      </c>
      <c r="AG182" s="2">
        <v>0</v>
      </c>
      <c r="AH182" s="2" t="s">
        <v>32</v>
      </c>
      <c r="AI182" s="2" t="s">
        <v>32</v>
      </c>
      <c r="AJ182" s="2" t="s">
        <v>32</v>
      </c>
      <c r="AK182" s="2" t="s">
        <v>32</v>
      </c>
      <c r="AL182" s="2" t="s">
        <v>32</v>
      </c>
      <c r="AM182" s="2">
        <v>0</v>
      </c>
      <c r="AN182" s="2" t="s">
        <v>32</v>
      </c>
      <c r="AO182" s="2">
        <v>0</v>
      </c>
      <c r="AP182" s="2" t="s">
        <v>32</v>
      </c>
      <c r="AQ182" s="2" t="s">
        <v>32</v>
      </c>
      <c r="AR182" s="2" t="s">
        <v>32</v>
      </c>
      <c r="AS182" s="2">
        <v>0</v>
      </c>
      <c r="AT182" s="2" t="s">
        <v>32</v>
      </c>
      <c r="AU182" s="2" t="s">
        <v>32</v>
      </c>
      <c r="AV182" s="2" t="s">
        <v>32</v>
      </c>
      <c r="AW182" s="2">
        <v>0</v>
      </c>
      <c r="AX182" s="2" t="s">
        <v>32</v>
      </c>
      <c r="AY182" s="2">
        <v>0</v>
      </c>
      <c r="AZ182" s="2" t="s">
        <v>1660</v>
      </c>
      <c r="BA182" s="2">
        <v>0</v>
      </c>
      <c r="BB182" s="2">
        <v>0</v>
      </c>
      <c r="BC182" s="2" t="s">
        <v>32</v>
      </c>
      <c r="BD182" s="2">
        <v>0</v>
      </c>
      <c r="BE182" s="2" t="s">
        <v>32</v>
      </c>
      <c r="BF182" s="2">
        <v>0</v>
      </c>
      <c r="BG182" s="2" t="s">
        <v>32</v>
      </c>
      <c r="BH182" s="2">
        <v>0</v>
      </c>
      <c r="BI182" s="2" t="s">
        <v>32</v>
      </c>
      <c r="BJ182" s="2" t="s">
        <v>32</v>
      </c>
      <c r="BK182" s="2" t="s">
        <v>32</v>
      </c>
      <c r="BL182" s="2">
        <v>0</v>
      </c>
      <c r="BM182" s="2" t="s">
        <v>32</v>
      </c>
      <c r="BN182" s="2" t="s">
        <v>32</v>
      </c>
      <c r="BO182" s="2" t="s">
        <v>32</v>
      </c>
      <c r="BP182" s="2">
        <v>0</v>
      </c>
      <c r="BQ182" s="2" t="s">
        <v>32</v>
      </c>
      <c r="BR182" s="2">
        <v>0</v>
      </c>
      <c r="BS182" s="2" t="s">
        <v>1660</v>
      </c>
      <c r="BT182" s="2">
        <v>0</v>
      </c>
      <c r="BU182" s="2">
        <v>0</v>
      </c>
      <c r="BV182" s="2" t="s">
        <v>1660</v>
      </c>
      <c r="BW182" s="2"/>
      <c r="BX182" s="2"/>
      <c r="BY182" s="2" t="s">
        <v>1807</v>
      </c>
      <c r="BZ182" s="2" t="b">
        <f>OR( (Dashboard[[#This Row],[ref_as_hh]]&gt;=1),(Dashboard[[#This Row],[ret_as_hh]] &gt;=1), (Dashboard[[#This Row],[idp_as_hh]]&gt;=1))</f>
        <v>0</v>
      </c>
      <c r="CA182" s="2">
        <f>Dashboard[[#This Row],[ret_hi_hh]]</f>
        <v>0</v>
      </c>
      <c r="CB182" s="2">
        <f>Dashboard[[#This Row],[idp_fa_hh]]+Dashboard[[#This Row],[ref_fa_hh]]+Dashboard[[#This Row],[ret_fa_hh]]</f>
        <v>11</v>
      </c>
      <c r="CC182" s="2">
        <f>Dashboard[[#This Row],[idp_loc_hh]]+Dashboard[[#This Row],[ref_loc_hh]]+Dashboard[[#This Row],[ret_loc_hh]]</f>
        <v>36</v>
      </c>
      <c r="CD182" s="2">
        <f>Dashboard[[#This Row],[idp_cc_hh]]+Dashboard[[#This Row],[ref_cc_hh]]+Dashboard[[#This Row],[ret_cc_hh]]</f>
        <v>0</v>
      </c>
      <c r="CE182" s="2">
        <f>Dashboard[[#This Row],[idp_as_hh]]+Dashboard[[#This Row],[ref_as_hh]]+Dashboard[[#This Row],[ret_as_hh]]</f>
        <v>0</v>
      </c>
      <c r="CF182" s="2">
        <f>Dashboard[[#This Row],[idp_al_hh]]+Dashboard[[#This Row],[ref_al_hh]]+Dashboard[[#This Row],[ret_al_hh]]</f>
        <v>0</v>
      </c>
    </row>
    <row r="183" spans="1:84" hidden="1" x14ac:dyDescent="0.25">
      <c r="A183" s="27">
        <v>16</v>
      </c>
      <c r="B183" s="2" t="s">
        <v>22</v>
      </c>
      <c r="C183" s="2" t="s">
        <v>23</v>
      </c>
      <c r="D183" s="2" t="s">
        <v>85</v>
      </c>
      <c r="E183" s="2" t="s">
        <v>84</v>
      </c>
      <c r="F183" s="2" t="s">
        <v>157</v>
      </c>
      <c r="G183" s="2" t="s">
        <v>156</v>
      </c>
      <c r="H183" s="2" t="s">
        <v>1018</v>
      </c>
      <c r="I183" s="2" t="s">
        <v>331</v>
      </c>
      <c r="J183" s="2" t="s">
        <v>2560</v>
      </c>
      <c r="K183" s="2" t="s">
        <v>2561</v>
      </c>
      <c r="L183" s="2" t="s">
        <v>2074</v>
      </c>
      <c r="M183" s="2">
        <v>419</v>
      </c>
      <c r="N183" s="2" t="s">
        <v>1658</v>
      </c>
      <c r="O183" s="2">
        <v>9</v>
      </c>
      <c r="P183" s="2">
        <v>54</v>
      </c>
      <c r="Q183" s="2" t="s">
        <v>1658</v>
      </c>
      <c r="R183" s="2">
        <v>9</v>
      </c>
      <c r="S183" s="2" t="s">
        <v>1660</v>
      </c>
      <c r="T183" s="2">
        <v>0</v>
      </c>
      <c r="U183" s="2" t="s">
        <v>32</v>
      </c>
      <c r="V183" s="2" t="s">
        <v>32</v>
      </c>
      <c r="W183" s="2" t="s">
        <v>1660</v>
      </c>
      <c r="X183" s="2">
        <v>0</v>
      </c>
      <c r="Y183" s="2" t="s">
        <v>32</v>
      </c>
      <c r="Z183" s="2" t="s">
        <v>32</v>
      </c>
      <c r="AA183" s="2" t="s">
        <v>1660</v>
      </c>
      <c r="AB183" s="2">
        <v>0</v>
      </c>
      <c r="AC183" s="2" t="s">
        <v>1660</v>
      </c>
      <c r="AD183" s="2">
        <v>0</v>
      </c>
      <c r="AE183" s="2" t="s">
        <v>1660</v>
      </c>
      <c r="AF183" s="2">
        <v>0</v>
      </c>
      <c r="AG183" s="2">
        <v>0</v>
      </c>
      <c r="AH183" s="2" t="s">
        <v>32</v>
      </c>
      <c r="AI183" s="2" t="s">
        <v>32</v>
      </c>
      <c r="AJ183" s="2" t="s">
        <v>32</v>
      </c>
      <c r="AK183" s="2" t="s">
        <v>32</v>
      </c>
      <c r="AL183" s="2" t="s">
        <v>32</v>
      </c>
      <c r="AM183" s="2">
        <v>0</v>
      </c>
      <c r="AN183" s="2" t="s">
        <v>32</v>
      </c>
      <c r="AO183" s="2">
        <v>0</v>
      </c>
      <c r="AP183" s="2" t="s">
        <v>32</v>
      </c>
      <c r="AQ183" s="2" t="s">
        <v>32</v>
      </c>
      <c r="AR183" s="2" t="s">
        <v>32</v>
      </c>
      <c r="AS183" s="2">
        <v>0</v>
      </c>
      <c r="AT183" s="2" t="s">
        <v>32</v>
      </c>
      <c r="AU183" s="2" t="s">
        <v>32</v>
      </c>
      <c r="AV183" s="2" t="s">
        <v>32</v>
      </c>
      <c r="AW183" s="2">
        <v>0</v>
      </c>
      <c r="AX183" s="2" t="s">
        <v>32</v>
      </c>
      <c r="AY183" s="2">
        <v>0</v>
      </c>
      <c r="AZ183" s="2" t="s">
        <v>1660</v>
      </c>
      <c r="BA183" s="2">
        <v>0</v>
      </c>
      <c r="BB183" s="2">
        <v>0</v>
      </c>
      <c r="BC183" s="2" t="s">
        <v>32</v>
      </c>
      <c r="BD183" s="2">
        <v>0</v>
      </c>
      <c r="BE183" s="2" t="s">
        <v>32</v>
      </c>
      <c r="BF183" s="2">
        <v>0</v>
      </c>
      <c r="BG183" s="2" t="s">
        <v>32</v>
      </c>
      <c r="BH183" s="2">
        <v>0</v>
      </c>
      <c r="BI183" s="2" t="s">
        <v>32</v>
      </c>
      <c r="BJ183" s="2" t="s">
        <v>32</v>
      </c>
      <c r="BK183" s="2" t="s">
        <v>32</v>
      </c>
      <c r="BL183" s="2">
        <v>0</v>
      </c>
      <c r="BM183" s="2" t="s">
        <v>32</v>
      </c>
      <c r="BN183" s="2" t="s">
        <v>32</v>
      </c>
      <c r="BO183" s="2" t="s">
        <v>32</v>
      </c>
      <c r="BP183" s="2">
        <v>0</v>
      </c>
      <c r="BQ183" s="2" t="s">
        <v>32</v>
      </c>
      <c r="BR183" s="2">
        <v>0</v>
      </c>
      <c r="BS183" s="2" t="s">
        <v>1660</v>
      </c>
      <c r="BT183" s="2">
        <v>0</v>
      </c>
      <c r="BU183" s="2">
        <v>0</v>
      </c>
      <c r="BV183" s="2" t="s">
        <v>1660</v>
      </c>
      <c r="BW183" s="2"/>
      <c r="BX183" s="2"/>
      <c r="BY183" s="2" t="s">
        <v>1807</v>
      </c>
      <c r="BZ183" s="2" t="b">
        <f>OR( (Dashboard[[#This Row],[ref_as_hh]]&gt;=1),(Dashboard[[#This Row],[ret_as_hh]] &gt;=1), (Dashboard[[#This Row],[idp_as_hh]]&gt;=1))</f>
        <v>0</v>
      </c>
      <c r="CA183" s="2">
        <f>Dashboard[[#This Row],[ret_hi_hh]]</f>
        <v>0</v>
      </c>
      <c r="CB183" s="2">
        <f>Dashboard[[#This Row],[idp_fa_hh]]+Dashboard[[#This Row],[ref_fa_hh]]+Dashboard[[#This Row],[ret_fa_hh]]</f>
        <v>9</v>
      </c>
      <c r="CC183" s="2">
        <f>Dashboard[[#This Row],[idp_loc_hh]]+Dashboard[[#This Row],[ref_loc_hh]]+Dashboard[[#This Row],[ret_loc_hh]]</f>
        <v>0</v>
      </c>
      <c r="CD183" s="2">
        <f>Dashboard[[#This Row],[idp_cc_hh]]+Dashboard[[#This Row],[ref_cc_hh]]+Dashboard[[#This Row],[ret_cc_hh]]</f>
        <v>0</v>
      </c>
      <c r="CE183" s="2">
        <f>Dashboard[[#This Row],[idp_as_hh]]+Dashboard[[#This Row],[ref_as_hh]]+Dashboard[[#This Row],[ret_as_hh]]</f>
        <v>0</v>
      </c>
      <c r="CF183" s="2">
        <f>Dashboard[[#This Row],[idp_al_hh]]+Dashboard[[#This Row],[ref_al_hh]]+Dashboard[[#This Row],[ret_al_hh]]</f>
        <v>0</v>
      </c>
    </row>
    <row r="184" spans="1:84" hidden="1" x14ac:dyDescent="0.25">
      <c r="A184" s="27">
        <v>18</v>
      </c>
      <c r="B184" s="2" t="s">
        <v>22</v>
      </c>
      <c r="C184" s="2" t="s">
        <v>23</v>
      </c>
      <c r="D184" s="2" t="s">
        <v>85</v>
      </c>
      <c r="E184" s="2" t="s">
        <v>84</v>
      </c>
      <c r="F184" s="2" t="s">
        <v>157</v>
      </c>
      <c r="G184" s="2" t="s">
        <v>156</v>
      </c>
      <c r="H184" s="2" t="s">
        <v>1039</v>
      </c>
      <c r="I184" s="2" t="s">
        <v>352</v>
      </c>
      <c r="J184" s="2" t="s">
        <v>2602</v>
      </c>
      <c r="K184" s="2" t="s">
        <v>2603</v>
      </c>
      <c r="L184" s="2" t="s">
        <v>3693</v>
      </c>
      <c r="M184" s="2">
        <v>1109</v>
      </c>
      <c r="N184" s="2" t="s">
        <v>1658</v>
      </c>
      <c r="O184" s="2">
        <v>25</v>
      </c>
      <c r="P184" s="2">
        <v>141</v>
      </c>
      <c r="Q184" s="2" t="s">
        <v>1658</v>
      </c>
      <c r="R184" s="2">
        <v>25</v>
      </c>
      <c r="S184" s="2" t="s">
        <v>1660</v>
      </c>
      <c r="T184" s="2">
        <v>0</v>
      </c>
      <c r="U184" s="2" t="s">
        <v>32</v>
      </c>
      <c r="V184" s="2" t="s">
        <v>32</v>
      </c>
      <c r="W184" s="2" t="s">
        <v>1660</v>
      </c>
      <c r="X184" s="2">
        <v>0</v>
      </c>
      <c r="Y184" s="2" t="s">
        <v>32</v>
      </c>
      <c r="Z184" s="2" t="s">
        <v>32</v>
      </c>
      <c r="AA184" s="2" t="s">
        <v>1660</v>
      </c>
      <c r="AB184" s="2">
        <v>0</v>
      </c>
      <c r="AC184" s="2" t="s">
        <v>1660</v>
      </c>
      <c r="AD184" s="2">
        <v>0</v>
      </c>
      <c r="AE184" s="2" t="s">
        <v>1660</v>
      </c>
      <c r="AF184" s="2">
        <v>0</v>
      </c>
      <c r="AG184" s="2">
        <v>0</v>
      </c>
      <c r="AH184" s="2" t="s">
        <v>32</v>
      </c>
      <c r="AI184" s="2" t="s">
        <v>32</v>
      </c>
      <c r="AJ184" s="2" t="s">
        <v>32</v>
      </c>
      <c r="AK184" s="2" t="s">
        <v>32</v>
      </c>
      <c r="AL184" s="2" t="s">
        <v>32</v>
      </c>
      <c r="AM184" s="2">
        <v>0</v>
      </c>
      <c r="AN184" s="2" t="s">
        <v>32</v>
      </c>
      <c r="AO184" s="2">
        <v>0</v>
      </c>
      <c r="AP184" s="2" t="s">
        <v>32</v>
      </c>
      <c r="AQ184" s="2" t="s">
        <v>32</v>
      </c>
      <c r="AR184" s="2" t="s">
        <v>32</v>
      </c>
      <c r="AS184" s="2">
        <v>0</v>
      </c>
      <c r="AT184" s="2" t="s">
        <v>32</v>
      </c>
      <c r="AU184" s="2" t="s">
        <v>32</v>
      </c>
      <c r="AV184" s="2" t="s">
        <v>32</v>
      </c>
      <c r="AW184" s="2">
        <v>0</v>
      </c>
      <c r="AX184" s="2" t="s">
        <v>32</v>
      </c>
      <c r="AY184" s="2">
        <v>0</v>
      </c>
      <c r="AZ184" s="2" t="s">
        <v>1660</v>
      </c>
      <c r="BA184" s="2">
        <v>0</v>
      </c>
      <c r="BB184" s="2">
        <v>0</v>
      </c>
      <c r="BC184" s="2" t="s">
        <v>32</v>
      </c>
      <c r="BD184" s="2">
        <v>0</v>
      </c>
      <c r="BE184" s="2" t="s">
        <v>32</v>
      </c>
      <c r="BF184" s="2">
        <v>0</v>
      </c>
      <c r="BG184" s="2" t="s">
        <v>32</v>
      </c>
      <c r="BH184" s="2">
        <v>0</v>
      </c>
      <c r="BI184" s="2" t="s">
        <v>32</v>
      </c>
      <c r="BJ184" s="2" t="s">
        <v>32</v>
      </c>
      <c r="BK184" s="2" t="s">
        <v>32</v>
      </c>
      <c r="BL184" s="2">
        <v>0</v>
      </c>
      <c r="BM184" s="2" t="s">
        <v>32</v>
      </c>
      <c r="BN184" s="2" t="s">
        <v>32</v>
      </c>
      <c r="BO184" s="2" t="s">
        <v>32</v>
      </c>
      <c r="BP184" s="2">
        <v>0</v>
      </c>
      <c r="BQ184" s="2" t="s">
        <v>32</v>
      </c>
      <c r="BR184" s="2">
        <v>0</v>
      </c>
      <c r="BS184" s="2" t="s">
        <v>1660</v>
      </c>
      <c r="BT184" s="2">
        <v>0</v>
      </c>
      <c r="BU184" s="2">
        <v>0</v>
      </c>
      <c r="BV184" s="2" t="s">
        <v>1660</v>
      </c>
      <c r="BW184" s="2"/>
      <c r="BX184" s="2"/>
      <c r="BY184" s="2" t="s">
        <v>1807</v>
      </c>
      <c r="BZ184" s="2" t="b">
        <f>OR( (Dashboard[[#This Row],[ref_as_hh]]&gt;=1),(Dashboard[[#This Row],[ret_as_hh]] &gt;=1), (Dashboard[[#This Row],[idp_as_hh]]&gt;=1))</f>
        <v>0</v>
      </c>
      <c r="CA184" s="2">
        <f>Dashboard[[#This Row],[ret_hi_hh]]</f>
        <v>0</v>
      </c>
      <c r="CB184" s="2">
        <f>Dashboard[[#This Row],[idp_fa_hh]]+Dashboard[[#This Row],[ref_fa_hh]]+Dashboard[[#This Row],[ret_fa_hh]]</f>
        <v>25</v>
      </c>
      <c r="CC184" s="2">
        <f>Dashboard[[#This Row],[idp_loc_hh]]+Dashboard[[#This Row],[ref_loc_hh]]+Dashboard[[#This Row],[ret_loc_hh]]</f>
        <v>0</v>
      </c>
      <c r="CD184" s="2">
        <f>Dashboard[[#This Row],[idp_cc_hh]]+Dashboard[[#This Row],[ref_cc_hh]]+Dashboard[[#This Row],[ret_cc_hh]]</f>
        <v>0</v>
      </c>
      <c r="CE184" s="2">
        <f>Dashboard[[#This Row],[idp_as_hh]]+Dashboard[[#This Row],[ref_as_hh]]+Dashboard[[#This Row],[ret_as_hh]]</f>
        <v>0</v>
      </c>
      <c r="CF184" s="2">
        <f>Dashboard[[#This Row],[idp_al_hh]]+Dashboard[[#This Row],[ref_al_hh]]+Dashboard[[#This Row],[ret_al_hh]]</f>
        <v>0</v>
      </c>
    </row>
    <row r="185" spans="1:84" hidden="1" x14ac:dyDescent="0.25">
      <c r="A185" s="27">
        <v>21</v>
      </c>
      <c r="B185" s="2" t="s">
        <v>22</v>
      </c>
      <c r="C185" s="2" t="s">
        <v>23</v>
      </c>
      <c r="D185" s="2" t="s">
        <v>85</v>
      </c>
      <c r="E185" s="2" t="s">
        <v>84</v>
      </c>
      <c r="F185" s="2" t="s">
        <v>157</v>
      </c>
      <c r="G185" s="2" t="s">
        <v>156</v>
      </c>
      <c r="H185" s="2" t="s">
        <v>1049</v>
      </c>
      <c r="I185" s="2" t="s">
        <v>361</v>
      </c>
      <c r="J185" s="2" t="s">
        <v>2622</v>
      </c>
      <c r="K185" s="2" t="s">
        <v>2623</v>
      </c>
      <c r="L185" s="2" t="s">
        <v>2074</v>
      </c>
      <c r="M185" s="2">
        <v>4900</v>
      </c>
      <c r="N185" s="2" t="s">
        <v>1658</v>
      </c>
      <c r="O185" s="2">
        <v>10</v>
      </c>
      <c r="P185" s="2">
        <v>60</v>
      </c>
      <c r="Q185" s="2" t="s">
        <v>1658</v>
      </c>
      <c r="R185" s="2">
        <v>3</v>
      </c>
      <c r="S185" s="2" t="s">
        <v>1658</v>
      </c>
      <c r="T185" s="2">
        <v>7</v>
      </c>
      <c r="U185" s="2" t="s">
        <v>1659</v>
      </c>
      <c r="V185" s="2" t="s">
        <v>32</v>
      </c>
      <c r="W185" s="2" t="s">
        <v>1660</v>
      </c>
      <c r="X185" s="2">
        <v>0</v>
      </c>
      <c r="Y185" s="2" t="s">
        <v>32</v>
      </c>
      <c r="Z185" s="2" t="s">
        <v>32</v>
      </c>
      <c r="AA185" s="2" t="s">
        <v>1660</v>
      </c>
      <c r="AB185" s="2">
        <v>0</v>
      </c>
      <c r="AC185" s="2" t="s">
        <v>1660</v>
      </c>
      <c r="AD185" s="2">
        <v>0</v>
      </c>
      <c r="AE185" s="2" t="s">
        <v>1660</v>
      </c>
      <c r="AF185" s="2">
        <v>0</v>
      </c>
      <c r="AG185" s="2">
        <v>0</v>
      </c>
      <c r="AH185" s="2" t="s">
        <v>32</v>
      </c>
      <c r="AI185" s="2" t="s">
        <v>32</v>
      </c>
      <c r="AJ185" s="2" t="s">
        <v>32</v>
      </c>
      <c r="AK185" s="2" t="s">
        <v>32</v>
      </c>
      <c r="AL185" s="2" t="s">
        <v>32</v>
      </c>
      <c r="AM185" s="2">
        <v>0</v>
      </c>
      <c r="AN185" s="2" t="s">
        <v>32</v>
      </c>
      <c r="AO185" s="2">
        <v>0</v>
      </c>
      <c r="AP185" s="2" t="s">
        <v>32</v>
      </c>
      <c r="AQ185" s="2" t="s">
        <v>32</v>
      </c>
      <c r="AR185" s="2" t="s">
        <v>32</v>
      </c>
      <c r="AS185" s="2">
        <v>0</v>
      </c>
      <c r="AT185" s="2" t="s">
        <v>32</v>
      </c>
      <c r="AU185" s="2" t="s">
        <v>32</v>
      </c>
      <c r="AV185" s="2" t="s">
        <v>32</v>
      </c>
      <c r="AW185" s="2">
        <v>0</v>
      </c>
      <c r="AX185" s="2" t="s">
        <v>32</v>
      </c>
      <c r="AY185" s="2">
        <v>0</v>
      </c>
      <c r="AZ185" s="2" t="s">
        <v>1660</v>
      </c>
      <c r="BA185" s="2">
        <v>0</v>
      </c>
      <c r="BB185" s="2">
        <v>0</v>
      </c>
      <c r="BC185" s="2" t="s">
        <v>32</v>
      </c>
      <c r="BD185" s="2">
        <v>0</v>
      </c>
      <c r="BE185" s="2" t="s">
        <v>32</v>
      </c>
      <c r="BF185" s="2">
        <v>0</v>
      </c>
      <c r="BG185" s="2" t="s">
        <v>32</v>
      </c>
      <c r="BH185" s="2">
        <v>0</v>
      </c>
      <c r="BI185" s="2" t="s">
        <v>32</v>
      </c>
      <c r="BJ185" s="2" t="s">
        <v>32</v>
      </c>
      <c r="BK185" s="2" t="s">
        <v>32</v>
      </c>
      <c r="BL185" s="2">
        <v>0</v>
      </c>
      <c r="BM185" s="2" t="s">
        <v>32</v>
      </c>
      <c r="BN185" s="2" t="s">
        <v>32</v>
      </c>
      <c r="BO185" s="2" t="s">
        <v>32</v>
      </c>
      <c r="BP185" s="2">
        <v>0</v>
      </c>
      <c r="BQ185" s="2" t="s">
        <v>32</v>
      </c>
      <c r="BR185" s="2">
        <v>0</v>
      </c>
      <c r="BS185" s="2" t="s">
        <v>1660</v>
      </c>
      <c r="BT185" s="2">
        <v>0</v>
      </c>
      <c r="BU185" s="2">
        <v>0</v>
      </c>
      <c r="BV185" s="2" t="s">
        <v>1660</v>
      </c>
      <c r="BW185" s="2"/>
      <c r="BX185" s="2"/>
      <c r="BY185" s="2" t="s">
        <v>1807</v>
      </c>
      <c r="BZ185" s="2" t="b">
        <f>OR( (Dashboard[[#This Row],[ref_as_hh]]&gt;=1),(Dashboard[[#This Row],[ret_as_hh]] &gt;=1), (Dashboard[[#This Row],[idp_as_hh]]&gt;=1))</f>
        <v>0</v>
      </c>
      <c r="CA185" s="2">
        <f>Dashboard[[#This Row],[ret_hi_hh]]</f>
        <v>0</v>
      </c>
      <c r="CB185" s="2">
        <f>Dashboard[[#This Row],[idp_fa_hh]]+Dashboard[[#This Row],[ref_fa_hh]]+Dashboard[[#This Row],[ret_fa_hh]]</f>
        <v>3</v>
      </c>
      <c r="CC185" s="2">
        <f>Dashboard[[#This Row],[idp_loc_hh]]+Dashboard[[#This Row],[ref_loc_hh]]+Dashboard[[#This Row],[ret_loc_hh]]</f>
        <v>7</v>
      </c>
      <c r="CD185" s="2">
        <f>Dashboard[[#This Row],[idp_cc_hh]]+Dashboard[[#This Row],[ref_cc_hh]]+Dashboard[[#This Row],[ret_cc_hh]]</f>
        <v>0</v>
      </c>
      <c r="CE185" s="2">
        <f>Dashboard[[#This Row],[idp_as_hh]]+Dashboard[[#This Row],[ref_as_hh]]+Dashboard[[#This Row],[ret_as_hh]]</f>
        <v>0</v>
      </c>
      <c r="CF185" s="2">
        <f>Dashboard[[#This Row],[idp_al_hh]]+Dashboard[[#This Row],[ref_al_hh]]+Dashboard[[#This Row],[ret_al_hh]]</f>
        <v>0</v>
      </c>
    </row>
    <row r="186" spans="1:84" hidden="1" x14ac:dyDescent="0.25">
      <c r="A186" s="27">
        <v>281</v>
      </c>
      <c r="B186" s="2" t="s">
        <v>22</v>
      </c>
      <c r="C186" s="2" t="s">
        <v>23</v>
      </c>
      <c r="D186" s="2" t="s">
        <v>85</v>
      </c>
      <c r="E186" s="2" t="s">
        <v>84</v>
      </c>
      <c r="F186" s="2" t="s">
        <v>157</v>
      </c>
      <c r="G186" s="2" t="s">
        <v>156</v>
      </c>
      <c r="H186" s="2" t="s">
        <v>1019</v>
      </c>
      <c r="I186" s="2" t="s">
        <v>332</v>
      </c>
      <c r="J186" s="2" t="s">
        <v>2562</v>
      </c>
      <c r="K186" s="2" t="s">
        <v>2563</v>
      </c>
      <c r="L186" s="2" t="s">
        <v>2074</v>
      </c>
      <c r="M186" s="2">
        <v>8118</v>
      </c>
      <c r="N186" s="2" t="s">
        <v>1658</v>
      </c>
      <c r="O186" s="2">
        <v>264</v>
      </c>
      <c r="P186" s="2">
        <v>1339</v>
      </c>
      <c r="Q186" s="2" t="s">
        <v>1658</v>
      </c>
      <c r="R186" s="2">
        <v>52</v>
      </c>
      <c r="S186" s="2" t="s">
        <v>1658</v>
      </c>
      <c r="T186" s="2">
        <v>212</v>
      </c>
      <c r="U186" s="2" t="s">
        <v>1659</v>
      </c>
      <c r="V186" s="2" t="s">
        <v>32</v>
      </c>
      <c r="W186" s="2" t="s">
        <v>1660</v>
      </c>
      <c r="X186" s="2">
        <v>0</v>
      </c>
      <c r="Y186" s="2" t="s">
        <v>32</v>
      </c>
      <c r="Z186" s="2" t="s">
        <v>32</v>
      </c>
      <c r="AA186" s="2" t="s">
        <v>1660</v>
      </c>
      <c r="AB186" s="2">
        <v>0</v>
      </c>
      <c r="AC186" s="2" t="s">
        <v>1660</v>
      </c>
      <c r="AD186" s="2">
        <v>0</v>
      </c>
      <c r="AE186" s="2" t="s">
        <v>1660</v>
      </c>
      <c r="AF186" s="2">
        <v>0</v>
      </c>
      <c r="AG186" s="2">
        <v>0</v>
      </c>
      <c r="AH186" s="2" t="s">
        <v>32</v>
      </c>
      <c r="AI186" s="2" t="s">
        <v>32</v>
      </c>
      <c r="AJ186" s="2" t="s">
        <v>32</v>
      </c>
      <c r="AK186" s="2" t="s">
        <v>32</v>
      </c>
      <c r="AL186" s="2" t="s">
        <v>32</v>
      </c>
      <c r="AM186" s="2">
        <v>0</v>
      </c>
      <c r="AN186" s="2" t="s">
        <v>32</v>
      </c>
      <c r="AO186" s="2">
        <v>0</v>
      </c>
      <c r="AP186" s="2" t="s">
        <v>32</v>
      </c>
      <c r="AQ186" s="2" t="s">
        <v>32</v>
      </c>
      <c r="AR186" s="2" t="s">
        <v>32</v>
      </c>
      <c r="AS186" s="2">
        <v>0</v>
      </c>
      <c r="AT186" s="2" t="s">
        <v>32</v>
      </c>
      <c r="AU186" s="2" t="s">
        <v>32</v>
      </c>
      <c r="AV186" s="2" t="s">
        <v>32</v>
      </c>
      <c r="AW186" s="2">
        <v>0</v>
      </c>
      <c r="AX186" s="2" t="s">
        <v>32</v>
      </c>
      <c r="AY186" s="2">
        <v>0</v>
      </c>
      <c r="AZ186" s="2" t="s">
        <v>1660</v>
      </c>
      <c r="BA186" s="2">
        <v>0</v>
      </c>
      <c r="BB186" s="2">
        <v>0</v>
      </c>
      <c r="BC186" s="2" t="s">
        <v>32</v>
      </c>
      <c r="BD186" s="2">
        <v>0</v>
      </c>
      <c r="BE186" s="2" t="s">
        <v>32</v>
      </c>
      <c r="BF186" s="2">
        <v>0</v>
      </c>
      <c r="BG186" s="2" t="s">
        <v>32</v>
      </c>
      <c r="BH186" s="2">
        <v>0</v>
      </c>
      <c r="BI186" s="2" t="s">
        <v>32</v>
      </c>
      <c r="BJ186" s="2" t="s">
        <v>32</v>
      </c>
      <c r="BK186" s="2" t="s">
        <v>32</v>
      </c>
      <c r="BL186" s="2">
        <v>0</v>
      </c>
      <c r="BM186" s="2" t="s">
        <v>32</v>
      </c>
      <c r="BN186" s="2" t="s">
        <v>32</v>
      </c>
      <c r="BO186" s="2" t="s">
        <v>32</v>
      </c>
      <c r="BP186" s="2">
        <v>0</v>
      </c>
      <c r="BQ186" s="2" t="s">
        <v>32</v>
      </c>
      <c r="BR186" s="2">
        <v>0</v>
      </c>
      <c r="BS186" s="2" t="s">
        <v>1660</v>
      </c>
      <c r="BT186" s="2">
        <v>0</v>
      </c>
      <c r="BU186" s="2">
        <v>0</v>
      </c>
      <c r="BV186" s="2" t="s">
        <v>1660</v>
      </c>
      <c r="BW186" s="2"/>
      <c r="BX186" s="2"/>
      <c r="BY186" s="2" t="s">
        <v>1807</v>
      </c>
      <c r="BZ186" s="2" t="b">
        <f>OR( (Dashboard[[#This Row],[ref_as_hh]]&gt;=1),(Dashboard[[#This Row],[ret_as_hh]] &gt;=1), (Dashboard[[#This Row],[idp_as_hh]]&gt;=1))</f>
        <v>0</v>
      </c>
      <c r="CA186" s="2">
        <f>Dashboard[[#This Row],[ret_hi_hh]]</f>
        <v>0</v>
      </c>
      <c r="CB186" s="2">
        <f>Dashboard[[#This Row],[idp_fa_hh]]+Dashboard[[#This Row],[ref_fa_hh]]+Dashboard[[#This Row],[ret_fa_hh]]</f>
        <v>52</v>
      </c>
      <c r="CC186" s="2">
        <f>Dashboard[[#This Row],[idp_loc_hh]]+Dashboard[[#This Row],[ref_loc_hh]]+Dashboard[[#This Row],[ret_loc_hh]]</f>
        <v>212</v>
      </c>
      <c r="CD186" s="2">
        <f>Dashboard[[#This Row],[idp_cc_hh]]+Dashboard[[#This Row],[ref_cc_hh]]+Dashboard[[#This Row],[ret_cc_hh]]</f>
        <v>0</v>
      </c>
      <c r="CE186" s="2">
        <f>Dashboard[[#This Row],[idp_as_hh]]+Dashboard[[#This Row],[ref_as_hh]]+Dashboard[[#This Row],[ret_as_hh]]</f>
        <v>0</v>
      </c>
      <c r="CF186" s="2">
        <f>Dashboard[[#This Row],[idp_al_hh]]+Dashboard[[#This Row],[ref_al_hh]]+Dashboard[[#This Row],[ret_al_hh]]</f>
        <v>0</v>
      </c>
    </row>
    <row r="187" spans="1:84" hidden="1" x14ac:dyDescent="0.25">
      <c r="A187" s="27">
        <v>286</v>
      </c>
      <c r="B187" s="2" t="s">
        <v>22</v>
      </c>
      <c r="C187" s="2" t="s">
        <v>23</v>
      </c>
      <c r="D187" s="2" t="s">
        <v>85</v>
      </c>
      <c r="E187" s="2" t="s">
        <v>84</v>
      </c>
      <c r="F187" s="2" t="s">
        <v>157</v>
      </c>
      <c r="G187" s="2" t="s">
        <v>156</v>
      </c>
      <c r="H187" s="2" t="s">
        <v>1048</v>
      </c>
      <c r="I187" s="2" t="s">
        <v>360</v>
      </c>
      <c r="J187" s="2" t="s">
        <v>2620</v>
      </c>
      <c r="K187" s="2" t="s">
        <v>2621</v>
      </c>
      <c r="L187" s="2" t="s">
        <v>2074</v>
      </c>
      <c r="M187" s="2">
        <v>2455</v>
      </c>
      <c r="N187" s="2" t="s">
        <v>1658</v>
      </c>
      <c r="O187" s="2">
        <v>53</v>
      </c>
      <c r="P187" s="2">
        <v>262</v>
      </c>
      <c r="Q187" s="2" t="s">
        <v>1658</v>
      </c>
      <c r="R187" s="2">
        <v>10</v>
      </c>
      <c r="S187" s="2" t="s">
        <v>1658</v>
      </c>
      <c r="T187" s="2">
        <v>43</v>
      </c>
      <c r="U187" s="2" t="s">
        <v>1659</v>
      </c>
      <c r="V187" s="2" t="s">
        <v>32</v>
      </c>
      <c r="W187" s="2" t="s">
        <v>1660</v>
      </c>
      <c r="X187" s="2">
        <v>0</v>
      </c>
      <c r="Y187" s="2" t="s">
        <v>32</v>
      </c>
      <c r="Z187" s="2" t="s">
        <v>32</v>
      </c>
      <c r="AA187" s="2" t="s">
        <v>1660</v>
      </c>
      <c r="AB187" s="2">
        <v>0</v>
      </c>
      <c r="AC187" s="2" t="s">
        <v>1660</v>
      </c>
      <c r="AD187" s="2">
        <v>0</v>
      </c>
      <c r="AE187" s="2" t="s">
        <v>1660</v>
      </c>
      <c r="AF187" s="2">
        <v>0</v>
      </c>
      <c r="AG187" s="2">
        <v>0</v>
      </c>
      <c r="AH187" s="2" t="s">
        <v>32</v>
      </c>
      <c r="AI187" s="2" t="s">
        <v>32</v>
      </c>
      <c r="AJ187" s="2" t="s">
        <v>32</v>
      </c>
      <c r="AK187" s="2" t="s">
        <v>32</v>
      </c>
      <c r="AL187" s="2" t="s">
        <v>32</v>
      </c>
      <c r="AM187" s="2">
        <v>0</v>
      </c>
      <c r="AN187" s="2" t="s">
        <v>32</v>
      </c>
      <c r="AO187" s="2">
        <v>0</v>
      </c>
      <c r="AP187" s="2" t="s">
        <v>32</v>
      </c>
      <c r="AQ187" s="2" t="s">
        <v>32</v>
      </c>
      <c r="AR187" s="2" t="s">
        <v>32</v>
      </c>
      <c r="AS187" s="2">
        <v>0</v>
      </c>
      <c r="AT187" s="2" t="s">
        <v>32</v>
      </c>
      <c r="AU187" s="2" t="s">
        <v>32</v>
      </c>
      <c r="AV187" s="2" t="s">
        <v>32</v>
      </c>
      <c r="AW187" s="2">
        <v>0</v>
      </c>
      <c r="AX187" s="2" t="s">
        <v>32</v>
      </c>
      <c r="AY187" s="2">
        <v>0</v>
      </c>
      <c r="AZ187" s="2" t="s">
        <v>1660</v>
      </c>
      <c r="BA187" s="2">
        <v>0</v>
      </c>
      <c r="BB187" s="2">
        <v>0</v>
      </c>
      <c r="BC187" s="2" t="s">
        <v>32</v>
      </c>
      <c r="BD187" s="2">
        <v>0</v>
      </c>
      <c r="BE187" s="2" t="s">
        <v>32</v>
      </c>
      <c r="BF187" s="2">
        <v>0</v>
      </c>
      <c r="BG187" s="2" t="s">
        <v>32</v>
      </c>
      <c r="BH187" s="2">
        <v>0</v>
      </c>
      <c r="BI187" s="2" t="s">
        <v>32</v>
      </c>
      <c r="BJ187" s="2" t="s">
        <v>32</v>
      </c>
      <c r="BK187" s="2" t="s">
        <v>32</v>
      </c>
      <c r="BL187" s="2">
        <v>0</v>
      </c>
      <c r="BM187" s="2" t="s">
        <v>32</v>
      </c>
      <c r="BN187" s="2" t="s">
        <v>32</v>
      </c>
      <c r="BO187" s="2" t="s">
        <v>32</v>
      </c>
      <c r="BP187" s="2">
        <v>0</v>
      </c>
      <c r="BQ187" s="2" t="s">
        <v>32</v>
      </c>
      <c r="BR187" s="2">
        <v>0</v>
      </c>
      <c r="BS187" s="2" t="s">
        <v>1660</v>
      </c>
      <c r="BT187" s="2">
        <v>0</v>
      </c>
      <c r="BU187" s="2">
        <v>0</v>
      </c>
      <c r="BV187" s="2" t="s">
        <v>1660</v>
      </c>
      <c r="BW187" s="2"/>
      <c r="BX187" s="2"/>
      <c r="BY187" s="2" t="s">
        <v>1807</v>
      </c>
      <c r="BZ187" s="2" t="b">
        <f>OR( (Dashboard[[#This Row],[ref_as_hh]]&gt;=1),(Dashboard[[#This Row],[ret_as_hh]] &gt;=1), (Dashboard[[#This Row],[idp_as_hh]]&gt;=1))</f>
        <v>0</v>
      </c>
      <c r="CA187" s="2">
        <f>Dashboard[[#This Row],[ret_hi_hh]]</f>
        <v>0</v>
      </c>
      <c r="CB187" s="2">
        <f>Dashboard[[#This Row],[idp_fa_hh]]+Dashboard[[#This Row],[ref_fa_hh]]+Dashboard[[#This Row],[ret_fa_hh]]</f>
        <v>10</v>
      </c>
      <c r="CC187" s="2">
        <f>Dashboard[[#This Row],[idp_loc_hh]]+Dashboard[[#This Row],[ref_loc_hh]]+Dashboard[[#This Row],[ret_loc_hh]]</f>
        <v>43</v>
      </c>
      <c r="CD187" s="2">
        <f>Dashboard[[#This Row],[idp_cc_hh]]+Dashboard[[#This Row],[ref_cc_hh]]+Dashboard[[#This Row],[ret_cc_hh]]</f>
        <v>0</v>
      </c>
      <c r="CE187" s="2">
        <f>Dashboard[[#This Row],[idp_as_hh]]+Dashboard[[#This Row],[ref_as_hh]]+Dashboard[[#This Row],[ret_as_hh]]</f>
        <v>0</v>
      </c>
      <c r="CF187" s="2">
        <f>Dashboard[[#This Row],[idp_al_hh]]+Dashboard[[#This Row],[ref_al_hh]]+Dashboard[[#This Row],[ret_al_hh]]</f>
        <v>0</v>
      </c>
    </row>
    <row r="188" spans="1:84" hidden="1" x14ac:dyDescent="0.25">
      <c r="A188" s="27">
        <v>287</v>
      </c>
      <c r="B188" s="2" t="s">
        <v>22</v>
      </c>
      <c r="C188" s="2" t="s">
        <v>23</v>
      </c>
      <c r="D188" s="2" t="s">
        <v>85</v>
      </c>
      <c r="E188" s="2" t="s">
        <v>84</v>
      </c>
      <c r="F188" s="2" t="s">
        <v>157</v>
      </c>
      <c r="G188" s="2" t="s">
        <v>156</v>
      </c>
      <c r="H188" s="2" t="s">
        <v>1045</v>
      </c>
      <c r="I188" s="2" t="s">
        <v>82</v>
      </c>
      <c r="J188" s="2" t="s">
        <v>2614</v>
      </c>
      <c r="K188" s="2" t="s">
        <v>2615</v>
      </c>
      <c r="L188" s="2" t="s">
        <v>2074</v>
      </c>
      <c r="M188" s="2">
        <v>5195</v>
      </c>
      <c r="N188" s="2" t="s">
        <v>1658</v>
      </c>
      <c r="O188" s="2">
        <v>75</v>
      </c>
      <c r="P188" s="2">
        <v>375</v>
      </c>
      <c r="Q188" s="2" t="s">
        <v>1658</v>
      </c>
      <c r="R188" s="2">
        <v>18</v>
      </c>
      <c r="S188" s="2" t="s">
        <v>1658</v>
      </c>
      <c r="T188" s="2">
        <v>57</v>
      </c>
      <c r="U188" s="2" t="s">
        <v>1659</v>
      </c>
      <c r="V188" s="2" t="s">
        <v>32</v>
      </c>
      <c r="W188" s="2" t="s">
        <v>1660</v>
      </c>
      <c r="X188" s="2">
        <v>0</v>
      </c>
      <c r="Y188" s="2" t="s">
        <v>32</v>
      </c>
      <c r="Z188" s="2" t="s">
        <v>32</v>
      </c>
      <c r="AA188" s="2" t="s">
        <v>1660</v>
      </c>
      <c r="AB188" s="2">
        <v>0</v>
      </c>
      <c r="AC188" s="2" t="s">
        <v>1660</v>
      </c>
      <c r="AD188" s="2">
        <v>0</v>
      </c>
      <c r="AE188" s="2" t="s">
        <v>1660</v>
      </c>
      <c r="AF188" s="2">
        <v>0</v>
      </c>
      <c r="AG188" s="2">
        <v>0</v>
      </c>
      <c r="AH188" s="2" t="s">
        <v>32</v>
      </c>
      <c r="AI188" s="2" t="s">
        <v>32</v>
      </c>
      <c r="AJ188" s="2" t="s">
        <v>32</v>
      </c>
      <c r="AK188" s="2" t="s">
        <v>32</v>
      </c>
      <c r="AL188" s="2" t="s">
        <v>32</v>
      </c>
      <c r="AM188" s="2">
        <v>0</v>
      </c>
      <c r="AN188" s="2" t="s">
        <v>32</v>
      </c>
      <c r="AO188" s="2">
        <v>0</v>
      </c>
      <c r="AP188" s="2" t="s">
        <v>32</v>
      </c>
      <c r="AQ188" s="2" t="s">
        <v>32</v>
      </c>
      <c r="AR188" s="2" t="s">
        <v>32</v>
      </c>
      <c r="AS188" s="2">
        <v>0</v>
      </c>
      <c r="AT188" s="2" t="s">
        <v>32</v>
      </c>
      <c r="AU188" s="2" t="s">
        <v>32</v>
      </c>
      <c r="AV188" s="2" t="s">
        <v>32</v>
      </c>
      <c r="AW188" s="2">
        <v>0</v>
      </c>
      <c r="AX188" s="2" t="s">
        <v>32</v>
      </c>
      <c r="AY188" s="2">
        <v>0</v>
      </c>
      <c r="AZ188" s="2" t="s">
        <v>1660</v>
      </c>
      <c r="BA188" s="2">
        <v>0</v>
      </c>
      <c r="BB188" s="2">
        <v>0</v>
      </c>
      <c r="BC188" s="2" t="s">
        <v>32</v>
      </c>
      <c r="BD188" s="2">
        <v>0</v>
      </c>
      <c r="BE188" s="2" t="s">
        <v>32</v>
      </c>
      <c r="BF188" s="2">
        <v>0</v>
      </c>
      <c r="BG188" s="2" t="s">
        <v>32</v>
      </c>
      <c r="BH188" s="2">
        <v>0</v>
      </c>
      <c r="BI188" s="2" t="s">
        <v>32</v>
      </c>
      <c r="BJ188" s="2" t="s">
        <v>32</v>
      </c>
      <c r="BK188" s="2" t="s">
        <v>32</v>
      </c>
      <c r="BL188" s="2">
        <v>0</v>
      </c>
      <c r="BM188" s="2" t="s">
        <v>32</v>
      </c>
      <c r="BN188" s="2" t="s">
        <v>32</v>
      </c>
      <c r="BO188" s="2" t="s">
        <v>32</v>
      </c>
      <c r="BP188" s="2">
        <v>0</v>
      </c>
      <c r="BQ188" s="2" t="s">
        <v>32</v>
      </c>
      <c r="BR188" s="2">
        <v>0</v>
      </c>
      <c r="BS188" s="2" t="s">
        <v>1660</v>
      </c>
      <c r="BT188" s="2">
        <v>0</v>
      </c>
      <c r="BU188" s="2">
        <v>0</v>
      </c>
      <c r="BV188" s="2" t="s">
        <v>1660</v>
      </c>
      <c r="BW188" s="2"/>
      <c r="BX188" s="2"/>
      <c r="BY188" s="2" t="s">
        <v>1807</v>
      </c>
      <c r="BZ188" s="2" t="b">
        <f>OR( (Dashboard[[#This Row],[ref_as_hh]]&gt;=1),(Dashboard[[#This Row],[ret_as_hh]] &gt;=1), (Dashboard[[#This Row],[idp_as_hh]]&gt;=1))</f>
        <v>0</v>
      </c>
      <c r="CA188" s="2">
        <f>Dashboard[[#This Row],[ret_hi_hh]]</f>
        <v>0</v>
      </c>
      <c r="CB188" s="2">
        <f>Dashboard[[#This Row],[idp_fa_hh]]+Dashboard[[#This Row],[ref_fa_hh]]+Dashboard[[#This Row],[ret_fa_hh]]</f>
        <v>18</v>
      </c>
      <c r="CC188" s="2">
        <f>Dashboard[[#This Row],[idp_loc_hh]]+Dashboard[[#This Row],[ref_loc_hh]]+Dashboard[[#This Row],[ret_loc_hh]]</f>
        <v>57</v>
      </c>
      <c r="CD188" s="2">
        <f>Dashboard[[#This Row],[idp_cc_hh]]+Dashboard[[#This Row],[ref_cc_hh]]+Dashboard[[#This Row],[ret_cc_hh]]</f>
        <v>0</v>
      </c>
      <c r="CE188" s="2">
        <f>Dashboard[[#This Row],[idp_as_hh]]+Dashboard[[#This Row],[ref_as_hh]]+Dashboard[[#This Row],[ret_as_hh]]</f>
        <v>0</v>
      </c>
      <c r="CF188" s="2">
        <f>Dashboard[[#This Row],[idp_al_hh]]+Dashboard[[#This Row],[ref_al_hh]]+Dashboard[[#This Row],[ret_al_hh]]</f>
        <v>0</v>
      </c>
    </row>
    <row r="189" spans="1:84" hidden="1" x14ac:dyDescent="0.25">
      <c r="A189" s="27">
        <v>293</v>
      </c>
      <c r="B189" s="2" t="s">
        <v>22</v>
      </c>
      <c r="C189" s="2" t="s">
        <v>23</v>
      </c>
      <c r="D189" s="2" t="s">
        <v>85</v>
      </c>
      <c r="E189" s="2" t="s">
        <v>84</v>
      </c>
      <c r="F189" s="2" t="s">
        <v>157</v>
      </c>
      <c r="G189" s="2" t="s">
        <v>156</v>
      </c>
      <c r="H189" s="2" t="s">
        <v>1047</v>
      </c>
      <c r="I189" s="2" t="s">
        <v>359</v>
      </c>
      <c r="J189" s="2" t="s">
        <v>2618</v>
      </c>
      <c r="K189" s="2" t="s">
        <v>2619</v>
      </c>
      <c r="L189" s="2" t="s">
        <v>2074</v>
      </c>
      <c r="M189" s="2">
        <v>3092</v>
      </c>
      <c r="N189" s="2" t="s">
        <v>1658</v>
      </c>
      <c r="O189" s="2">
        <v>99</v>
      </c>
      <c r="P189" s="2">
        <v>492</v>
      </c>
      <c r="Q189" s="2" t="s">
        <v>1658</v>
      </c>
      <c r="R189" s="2">
        <v>25</v>
      </c>
      <c r="S189" s="2" t="s">
        <v>1658</v>
      </c>
      <c r="T189" s="2">
        <v>74</v>
      </c>
      <c r="U189" s="2" t="s">
        <v>1659</v>
      </c>
      <c r="V189" s="2" t="s">
        <v>32</v>
      </c>
      <c r="W189" s="2" t="s">
        <v>1660</v>
      </c>
      <c r="X189" s="2">
        <v>0</v>
      </c>
      <c r="Y189" s="2" t="s">
        <v>32</v>
      </c>
      <c r="Z189" s="2" t="s">
        <v>32</v>
      </c>
      <c r="AA189" s="2" t="s">
        <v>1660</v>
      </c>
      <c r="AB189" s="2">
        <v>0</v>
      </c>
      <c r="AC189" s="2" t="s">
        <v>1660</v>
      </c>
      <c r="AD189" s="2">
        <v>0</v>
      </c>
      <c r="AE189" s="2" t="s">
        <v>1660</v>
      </c>
      <c r="AF189" s="2">
        <v>0</v>
      </c>
      <c r="AG189" s="2">
        <v>0</v>
      </c>
      <c r="AH189" s="2" t="s">
        <v>32</v>
      </c>
      <c r="AI189" s="2" t="s">
        <v>32</v>
      </c>
      <c r="AJ189" s="2" t="s">
        <v>32</v>
      </c>
      <c r="AK189" s="2" t="s">
        <v>32</v>
      </c>
      <c r="AL189" s="2" t="s">
        <v>32</v>
      </c>
      <c r="AM189" s="2">
        <v>0</v>
      </c>
      <c r="AN189" s="2" t="s">
        <v>32</v>
      </c>
      <c r="AO189" s="2">
        <v>0</v>
      </c>
      <c r="AP189" s="2" t="s">
        <v>32</v>
      </c>
      <c r="AQ189" s="2" t="s">
        <v>32</v>
      </c>
      <c r="AR189" s="2" t="s">
        <v>32</v>
      </c>
      <c r="AS189" s="2">
        <v>0</v>
      </c>
      <c r="AT189" s="2" t="s">
        <v>32</v>
      </c>
      <c r="AU189" s="2" t="s">
        <v>32</v>
      </c>
      <c r="AV189" s="2" t="s">
        <v>32</v>
      </c>
      <c r="AW189" s="2">
        <v>0</v>
      </c>
      <c r="AX189" s="2" t="s">
        <v>32</v>
      </c>
      <c r="AY189" s="2">
        <v>0</v>
      </c>
      <c r="AZ189" s="2" t="s">
        <v>1660</v>
      </c>
      <c r="BA189" s="2">
        <v>0</v>
      </c>
      <c r="BB189" s="2">
        <v>0</v>
      </c>
      <c r="BC189" s="2" t="s">
        <v>32</v>
      </c>
      <c r="BD189" s="2">
        <v>0</v>
      </c>
      <c r="BE189" s="2" t="s">
        <v>32</v>
      </c>
      <c r="BF189" s="2">
        <v>0</v>
      </c>
      <c r="BG189" s="2" t="s">
        <v>32</v>
      </c>
      <c r="BH189" s="2">
        <v>0</v>
      </c>
      <c r="BI189" s="2" t="s">
        <v>32</v>
      </c>
      <c r="BJ189" s="2" t="s">
        <v>32</v>
      </c>
      <c r="BK189" s="2" t="s">
        <v>32</v>
      </c>
      <c r="BL189" s="2">
        <v>0</v>
      </c>
      <c r="BM189" s="2" t="s">
        <v>32</v>
      </c>
      <c r="BN189" s="2" t="s">
        <v>32</v>
      </c>
      <c r="BO189" s="2" t="s">
        <v>32</v>
      </c>
      <c r="BP189" s="2">
        <v>0</v>
      </c>
      <c r="BQ189" s="2" t="s">
        <v>32</v>
      </c>
      <c r="BR189" s="2">
        <v>0</v>
      </c>
      <c r="BS189" s="2" t="s">
        <v>1660</v>
      </c>
      <c r="BT189" s="2">
        <v>0</v>
      </c>
      <c r="BU189" s="2">
        <v>0</v>
      </c>
      <c r="BV189" s="2" t="s">
        <v>1660</v>
      </c>
      <c r="BW189" s="2"/>
      <c r="BX189" s="2"/>
      <c r="BY189" s="2" t="s">
        <v>1807</v>
      </c>
      <c r="BZ189" s="2" t="b">
        <f>OR( (Dashboard[[#This Row],[ref_as_hh]]&gt;=1),(Dashboard[[#This Row],[ret_as_hh]] &gt;=1), (Dashboard[[#This Row],[idp_as_hh]]&gt;=1))</f>
        <v>0</v>
      </c>
      <c r="CA189" s="2">
        <f>Dashboard[[#This Row],[ret_hi_hh]]</f>
        <v>0</v>
      </c>
      <c r="CB189" s="2">
        <f>Dashboard[[#This Row],[idp_fa_hh]]+Dashboard[[#This Row],[ref_fa_hh]]+Dashboard[[#This Row],[ret_fa_hh]]</f>
        <v>25</v>
      </c>
      <c r="CC189" s="2">
        <f>Dashboard[[#This Row],[idp_loc_hh]]+Dashboard[[#This Row],[ref_loc_hh]]+Dashboard[[#This Row],[ret_loc_hh]]</f>
        <v>74</v>
      </c>
      <c r="CD189" s="2">
        <f>Dashboard[[#This Row],[idp_cc_hh]]+Dashboard[[#This Row],[ref_cc_hh]]+Dashboard[[#This Row],[ret_cc_hh]]</f>
        <v>0</v>
      </c>
      <c r="CE189" s="2">
        <f>Dashboard[[#This Row],[idp_as_hh]]+Dashboard[[#This Row],[ref_as_hh]]+Dashboard[[#This Row],[ret_as_hh]]</f>
        <v>0</v>
      </c>
      <c r="CF189" s="2">
        <f>Dashboard[[#This Row],[idp_al_hh]]+Dashboard[[#This Row],[ref_al_hh]]+Dashboard[[#This Row],[ret_al_hh]]</f>
        <v>0</v>
      </c>
    </row>
    <row r="190" spans="1:84" hidden="1" x14ac:dyDescent="0.25">
      <c r="A190" s="27">
        <v>552</v>
      </c>
      <c r="B190" s="2" t="s">
        <v>22</v>
      </c>
      <c r="C190" s="2" t="s">
        <v>23</v>
      </c>
      <c r="D190" s="2" t="s">
        <v>85</v>
      </c>
      <c r="E190" s="2" t="s">
        <v>84</v>
      </c>
      <c r="F190" s="2" t="s">
        <v>157</v>
      </c>
      <c r="G190" s="2" t="s">
        <v>156</v>
      </c>
      <c r="H190" s="2" t="s">
        <v>1029</v>
      </c>
      <c r="I190" s="2" t="s">
        <v>342</v>
      </c>
      <c r="J190" s="2" t="s">
        <v>2582</v>
      </c>
      <c r="K190" s="2" t="s">
        <v>2583</v>
      </c>
      <c r="L190" s="2" t="s">
        <v>3693</v>
      </c>
      <c r="M190" s="2">
        <v>6063</v>
      </c>
      <c r="N190" s="2" t="s">
        <v>1658</v>
      </c>
      <c r="O190" s="2">
        <v>99</v>
      </c>
      <c r="P190" s="2">
        <v>619</v>
      </c>
      <c r="Q190" s="2" t="s">
        <v>1658</v>
      </c>
      <c r="R190" s="2">
        <v>43</v>
      </c>
      <c r="S190" s="2" t="s">
        <v>1658</v>
      </c>
      <c r="T190" s="2">
        <v>56</v>
      </c>
      <c r="U190" s="2" t="s">
        <v>1659</v>
      </c>
      <c r="V190" s="2" t="s">
        <v>32</v>
      </c>
      <c r="W190" s="2" t="s">
        <v>1660</v>
      </c>
      <c r="X190" s="2">
        <v>0</v>
      </c>
      <c r="Y190" s="2" t="s">
        <v>32</v>
      </c>
      <c r="Z190" s="2" t="s">
        <v>32</v>
      </c>
      <c r="AA190" s="2" t="s">
        <v>1660</v>
      </c>
      <c r="AB190" s="2">
        <v>0</v>
      </c>
      <c r="AC190" s="2" t="s">
        <v>1660</v>
      </c>
      <c r="AD190" s="2">
        <v>0</v>
      </c>
      <c r="AE190" s="2" t="s">
        <v>1660</v>
      </c>
      <c r="AF190" s="2">
        <v>0</v>
      </c>
      <c r="AG190" s="2">
        <v>0</v>
      </c>
      <c r="AH190" s="2" t="s">
        <v>32</v>
      </c>
      <c r="AI190" s="2" t="s">
        <v>32</v>
      </c>
      <c r="AJ190" s="2" t="s">
        <v>32</v>
      </c>
      <c r="AK190" s="2" t="s">
        <v>32</v>
      </c>
      <c r="AL190" s="2" t="s">
        <v>32</v>
      </c>
      <c r="AM190" s="2">
        <v>0</v>
      </c>
      <c r="AN190" s="2" t="s">
        <v>32</v>
      </c>
      <c r="AO190" s="2">
        <v>0</v>
      </c>
      <c r="AP190" s="2" t="s">
        <v>32</v>
      </c>
      <c r="AQ190" s="2" t="s">
        <v>32</v>
      </c>
      <c r="AR190" s="2" t="s">
        <v>32</v>
      </c>
      <c r="AS190" s="2">
        <v>0</v>
      </c>
      <c r="AT190" s="2" t="s">
        <v>32</v>
      </c>
      <c r="AU190" s="2" t="s">
        <v>32</v>
      </c>
      <c r="AV190" s="2" t="s">
        <v>32</v>
      </c>
      <c r="AW190" s="2">
        <v>0</v>
      </c>
      <c r="AX190" s="2" t="s">
        <v>32</v>
      </c>
      <c r="AY190" s="2">
        <v>0</v>
      </c>
      <c r="AZ190" s="2" t="s">
        <v>1660</v>
      </c>
      <c r="BA190" s="2">
        <v>0</v>
      </c>
      <c r="BB190" s="2">
        <v>0</v>
      </c>
      <c r="BC190" s="2" t="s">
        <v>32</v>
      </c>
      <c r="BD190" s="2">
        <v>0</v>
      </c>
      <c r="BE190" s="2" t="s">
        <v>32</v>
      </c>
      <c r="BF190" s="2">
        <v>0</v>
      </c>
      <c r="BG190" s="2" t="s">
        <v>32</v>
      </c>
      <c r="BH190" s="2">
        <v>0</v>
      </c>
      <c r="BI190" s="2" t="s">
        <v>32</v>
      </c>
      <c r="BJ190" s="2" t="s">
        <v>32</v>
      </c>
      <c r="BK190" s="2" t="s">
        <v>32</v>
      </c>
      <c r="BL190" s="2">
        <v>0</v>
      </c>
      <c r="BM190" s="2" t="s">
        <v>32</v>
      </c>
      <c r="BN190" s="2" t="s">
        <v>32</v>
      </c>
      <c r="BO190" s="2" t="s">
        <v>32</v>
      </c>
      <c r="BP190" s="2">
        <v>0</v>
      </c>
      <c r="BQ190" s="2" t="s">
        <v>32</v>
      </c>
      <c r="BR190" s="2">
        <v>0</v>
      </c>
      <c r="BS190" s="2" t="s">
        <v>1660</v>
      </c>
      <c r="BT190" s="2">
        <v>0</v>
      </c>
      <c r="BU190" s="2">
        <v>0</v>
      </c>
      <c r="BV190" s="2" t="s">
        <v>1660</v>
      </c>
      <c r="BW190" s="2"/>
      <c r="BX190" s="2"/>
      <c r="BY190" s="2" t="s">
        <v>1807</v>
      </c>
      <c r="BZ190" s="2" t="b">
        <f>OR( (Dashboard[[#This Row],[ref_as_hh]]&gt;=1),(Dashboard[[#This Row],[ret_as_hh]] &gt;=1), (Dashboard[[#This Row],[idp_as_hh]]&gt;=1))</f>
        <v>0</v>
      </c>
      <c r="CA190" s="2">
        <f>Dashboard[[#This Row],[ret_hi_hh]]</f>
        <v>0</v>
      </c>
      <c r="CB190" s="2">
        <f>Dashboard[[#This Row],[idp_fa_hh]]+Dashboard[[#This Row],[ref_fa_hh]]+Dashboard[[#This Row],[ret_fa_hh]]</f>
        <v>43</v>
      </c>
      <c r="CC190" s="2">
        <f>Dashboard[[#This Row],[idp_loc_hh]]+Dashboard[[#This Row],[ref_loc_hh]]+Dashboard[[#This Row],[ret_loc_hh]]</f>
        <v>56</v>
      </c>
      <c r="CD190" s="2">
        <f>Dashboard[[#This Row],[idp_cc_hh]]+Dashboard[[#This Row],[ref_cc_hh]]+Dashboard[[#This Row],[ret_cc_hh]]</f>
        <v>0</v>
      </c>
      <c r="CE190" s="2">
        <f>Dashboard[[#This Row],[idp_as_hh]]+Dashboard[[#This Row],[ref_as_hh]]+Dashboard[[#This Row],[ret_as_hh]]</f>
        <v>0</v>
      </c>
      <c r="CF190" s="2">
        <f>Dashboard[[#This Row],[idp_al_hh]]+Dashboard[[#This Row],[ref_al_hh]]+Dashboard[[#This Row],[ret_al_hh]]</f>
        <v>0</v>
      </c>
    </row>
    <row r="191" spans="1:84" hidden="1" x14ac:dyDescent="0.25">
      <c r="A191" s="27">
        <v>553</v>
      </c>
      <c r="B191" s="2" t="s">
        <v>22</v>
      </c>
      <c r="C191" s="2" t="s">
        <v>23</v>
      </c>
      <c r="D191" s="2" t="s">
        <v>85</v>
      </c>
      <c r="E191" s="2" t="s">
        <v>84</v>
      </c>
      <c r="F191" s="2" t="s">
        <v>157</v>
      </c>
      <c r="G191" s="2" t="s">
        <v>156</v>
      </c>
      <c r="H191" s="2" t="s">
        <v>1033</v>
      </c>
      <c r="I191" s="2" t="s">
        <v>346</v>
      </c>
      <c r="J191" s="2" t="s">
        <v>2590</v>
      </c>
      <c r="K191" s="2" t="s">
        <v>2591</v>
      </c>
      <c r="L191" s="2" t="s">
        <v>2074</v>
      </c>
      <c r="M191" s="2">
        <v>6894</v>
      </c>
      <c r="N191" s="2" t="s">
        <v>1658</v>
      </c>
      <c r="O191" s="2">
        <v>54</v>
      </c>
      <c r="P191" s="2">
        <v>354</v>
      </c>
      <c r="Q191" s="2" t="s">
        <v>1658</v>
      </c>
      <c r="R191" s="2">
        <v>25</v>
      </c>
      <c r="S191" s="2" t="s">
        <v>1658</v>
      </c>
      <c r="T191" s="2">
        <v>29</v>
      </c>
      <c r="U191" s="2" t="s">
        <v>1659</v>
      </c>
      <c r="V191" s="2" t="s">
        <v>32</v>
      </c>
      <c r="W191" s="2" t="s">
        <v>1660</v>
      </c>
      <c r="X191" s="2">
        <v>0</v>
      </c>
      <c r="Y191" s="2" t="s">
        <v>32</v>
      </c>
      <c r="Z191" s="2" t="s">
        <v>32</v>
      </c>
      <c r="AA191" s="2" t="s">
        <v>1660</v>
      </c>
      <c r="AB191" s="2">
        <v>0</v>
      </c>
      <c r="AC191" s="2" t="s">
        <v>1660</v>
      </c>
      <c r="AD191" s="2">
        <v>0</v>
      </c>
      <c r="AE191" s="2" t="s">
        <v>1660</v>
      </c>
      <c r="AF191" s="2">
        <v>0</v>
      </c>
      <c r="AG191" s="2">
        <v>0</v>
      </c>
      <c r="AH191" s="2" t="s">
        <v>32</v>
      </c>
      <c r="AI191" s="2" t="s">
        <v>32</v>
      </c>
      <c r="AJ191" s="2" t="s">
        <v>32</v>
      </c>
      <c r="AK191" s="2" t="s">
        <v>32</v>
      </c>
      <c r="AL191" s="2" t="s">
        <v>32</v>
      </c>
      <c r="AM191" s="2">
        <v>0</v>
      </c>
      <c r="AN191" s="2" t="s">
        <v>32</v>
      </c>
      <c r="AO191" s="2">
        <v>0</v>
      </c>
      <c r="AP191" s="2" t="s">
        <v>32</v>
      </c>
      <c r="AQ191" s="2" t="s">
        <v>32</v>
      </c>
      <c r="AR191" s="2" t="s">
        <v>32</v>
      </c>
      <c r="AS191" s="2">
        <v>0</v>
      </c>
      <c r="AT191" s="2" t="s">
        <v>32</v>
      </c>
      <c r="AU191" s="2" t="s">
        <v>32</v>
      </c>
      <c r="AV191" s="2" t="s">
        <v>32</v>
      </c>
      <c r="AW191" s="2">
        <v>0</v>
      </c>
      <c r="AX191" s="2" t="s">
        <v>32</v>
      </c>
      <c r="AY191" s="2">
        <v>0</v>
      </c>
      <c r="AZ191" s="2" t="s">
        <v>1660</v>
      </c>
      <c r="BA191" s="2">
        <v>0</v>
      </c>
      <c r="BB191" s="2">
        <v>0</v>
      </c>
      <c r="BC191" s="2" t="s">
        <v>32</v>
      </c>
      <c r="BD191" s="2">
        <v>0</v>
      </c>
      <c r="BE191" s="2" t="s">
        <v>32</v>
      </c>
      <c r="BF191" s="2">
        <v>0</v>
      </c>
      <c r="BG191" s="2" t="s">
        <v>32</v>
      </c>
      <c r="BH191" s="2">
        <v>0</v>
      </c>
      <c r="BI191" s="2" t="s">
        <v>32</v>
      </c>
      <c r="BJ191" s="2" t="s">
        <v>32</v>
      </c>
      <c r="BK191" s="2" t="s">
        <v>32</v>
      </c>
      <c r="BL191" s="2">
        <v>0</v>
      </c>
      <c r="BM191" s="2" t="s">
        <v>32</v>
      </c>
      <c r="BN191" s="2" t="s">
        <v>32</v>
      </c>
      <c r="BO191" s="2" t="s">
        <v>32</v>
      </c>
      <c r="BP191" s="2">
        <v>0</v>
      </c>
      <c r="BQ191" s="2" t="s">
        <v>32</v>
      </c>
      <c r="BR191" s="2">
        <v>0</v>
      </c>
      <c r="BS191" s="2" t="s">
        <v>1660</v>
      </c>
      <c r="BT191" s="2">
        <v>0</v>
      </c>
      <c r="BU191" s="2">
        <v>0</v>
      </c>
      <c r="BV191" s="2" t="s">
        <v>1660</v>
      </c>
      <c r="BW191" s="2"/>
      <c r="BX191" s="2"/>
      <c r="BY191" s="2" t="s">
        <v>1807</v>
      </c>
      <c r="BZ191" s="2" t="b">
        <f>OR( (Dashboard[[#This Row],[ref_as_hh]]&gt;=1),(Dashboard[[#This Row],[ret_as_hh]] &gt;=1), (Dashboard[[#This Row],[idp_as_hh]]&gt;=1))</f>
        <v>0</v>
      </c>
      <c r="CA191" s="2">
        <f>Dashboard[[#This Row],[ret_hi_hh]]</f>
        <v>0</v>
      </c>
      <c r="CB191" s="2">
        <f>Dashboard[[#This Row],[idp_fa_hh]]+Dashboard[[#This Row],[ref_fa_hh]]+Dashboard[[#This Row],[ret_fa_hh]]</f>
        <v>25</v>
      </c>
      <c r="CC191" s="2">
        <f>Dashboard[[#This Row],[idp_loc_hh]]+Dashboard[[#This Row],[ref_loc_hh]]+Dashboard[[#This Row],[ret_loc_hh]]</f>
        <v>29</v>
      </c>
      <c r="CD191" s="2">
        <f>Dashboard[[#This Row],[idp_cc_hh]]+Dashboard[[#This Row],[ref_cc_hh]]+Dashboard[[#This Row],[ret_cc_hh]]</f>
        <v>0</v>
      </c>
      <c r="CE191" s="2">
        <f>Dashboard[[#This Row],[idp_as_hh]]+Dashboard[[#This Row],[ref_as_hh]]+Dashboard[[#This Row],[ret_as_hh]]</f>
        <v>0</v>
      </c>
      <c r="CF191" s="2">
        <f>Dashboard[[#This Row],[idp_al_hh]]+Dashboard[[#This Row],[ref_al_hh]]+Dashboard[[#This Row],[ret_al_hh]]</f>
        <v>0</v>
      </c>
    </row>
    <row r="192" spans="1:84" hidden="1" x14ac:dyDescent="0.25">
      <c r="A192" s="27">
        <v>67</v>
      </c>
      <c r="B192" s="2" t="s">
        <v>22</v>
      </c>
      <c r="C192" s="2" t="s">
        <v>23</v>
      </c>
      <c r="D192" s="2" t="s">
        <v>85</v>
      </c>
      <c r="E192" s="2" t="s">
        <v>84</v>
      </c>
      <c r="F192" s="2" t="s">
        <v>157</v>
      </c>
      <c r="G192" s="2" t="s">
        <v>156</v>
      </c>
      <c r="H192" s="2" t="s">
        <v>1021</v>
      </c>
      <c r="I192" s="2" t="s">
        <v>334</v>
      </c>
      <c r="J192" s="2" t="s">
        <v>2566</v>
      </c>
      <c r="K192" s="2" t="s">
        <v>2567</v>
      </c>
      <c r="L192" s="2" t="s">
        <v>3704</v>
      </c>
      <c r="M192" s="2">
        <v>3524</v>
      </c>
      <c r="N192" s="2" t="s">
        <v>1658</v>
      </c>
      <c r="O192" s="2">
        <v>256</v>
      </c>
      <c r="P192" s="2">
        <v>1274</v>
      </c>
      <c r="Q192" s="2" t="s">
        <v>1658</v>
      </c>
      <c r="R192" s="2">
        <v>49</v>
      </c>
      <c r="S192" s="2" t="s">
        <v>1658</v>
      </c>
      <c r="T192" s="2">
        <v>207</v>
      </c>
      <c r="U192" s="2" t="s">
        <v>1659</v>
      </c>
      <c r="V192" s="2" t="s">
        <v>32</v>
      </c>
      <c r="W192" s="2" t="s">
        <v>1660</v>
      </c>
      <c r="X192" s="2">
        <v>0</v>
      </c>
      <c r="Y192" s="2" t="s">
        <v>32</v>
      </c>
      <c r="Z192" s="2" t="s">
        <v>32</v>
      </c>
      <c r="AA192" s="2" t="s">
        <v>1660</v>
      </c>
      <c r="AB192" s="2">
        <v>0</v>
      </c>
      <c r="AC192" s="2" t="s">
        <v>1660</v>
      </c>
      <c r="AD192" s="2">
        <v>0</v>
      </c>
      <c r="AE192" s="2" t="s">
        <v>1660</v>
      </c>
      <c r="AF192" s="2">
        <v>0</v>
      </c>
      <c r="AG192" s="2">
        <v>0</v>
      </c>
      <c r="AH192" s="2" t="s">
        <v>32</v>
      </c>
      <c r="AI192" s="2" t="s">
        <v>32</v>
      </c>
      <c r="AJ192" s="2" t="s">
        <v>32</v>
      </c>
      <c r="AK192" s="2" t="s">
        <v>32</v>
      </c>
      <c r="AL192" s="2" t="s">
        <v>32</v>
      </c>
      <c r="AM192" s="2">
        <v>0</v>
      </c>
      <c r="AN192" s="2" t="s">
        <v>32</v>
      </c>
      <c r="AO192" s="2">
        <v>0</v>
      </c>
      <c r="AP192" s="2" t="s">
        <v>32</v>
      </c>
      <c r="AQ192" s="2" t="s">
        <v>32</v>
      </c>
      <c r="AR192" s="2" t="s">
        <v>32</v>
      </c>
      <c r="AS192" s="2">
        <v>0</v>
      </c>
      <c r="AT192" s="2" t="s">
        <v>32</v>
      </c>
      <c r="AU192" s="2" t="s">
        <v>32</v>
      </c>
      <c r="AV192" s="2" t="s">
        <v>32</v>
      </c>
      <c r="AW192" s="2">
        <v>0</v>
      </c>
      <c r="AX192" s="2" t="s">
        <v>32</v>
      </c>
      <c r="AY192" s="2">
        <v>0</v>
      </c>
      <c r="AZ192" s="2" t="s">
        <v>1660</v>
      </c>
      <c r="BA192" s="2">
        <v>0</v>
      </c>
      <c r="BB192" s="2">
        <v>0</v>
      </c>
      <c r="BC192" s="2" t="s">
        <v>32</v>
      </c>
      <c r="BD192" s="2">
        <v>0</v>
      </c>
      <c r="BE192" s="2" t="s">
        <v>32</v>
      </c>
      <c r="BF192" s="2">
        <v>0</v>
      </c>
      <c r="BG192" s="2" t="s">
        <v>32</v>
      </c>
      <c r="BH192" s="2">
        <v>0</v>
      </c>
      <c r="BI192" s="2" t="s">
        <v>32</v>
      </c>
      <c r="BJ192" s="2" t="s">
        <v>32</v>
      </c>
      <c r="BK192" s="2" t="s">
        <v>32</v>
      </c>
      <c r="BL192" s="2">
        <v>0</v>
      </c>
      <c r="BM192" s="2" t="s">
        <v>32</v>
      </c>
      <c r="BN192" s="2" t="s">
        <v>32</v>
      </c>
      <c r="BO192" s="2" t="s">
        <v>32</v>
      </c>
      <c r="BP192" s="2">
        <v>0</v>
      </c>
      <c r="BQ192" s="2" t="s">
        <v>32</v>
      </c>
      <c r="BR192" s="2">
        <v>0</v>
      </c>
      <c r="BS192" s="2" t="s">
        <v>1660</v>
      </c>
      <c r="BT192" s="2">
        <v>0</v>
      </c>
      <c r="BU192" s="2">
        <v>0</v>
      </c>
      <c r="BV192" s="2" t="s">
        <v>1660</v>
      </c>
      <c r="BW192" s="2"/>
      <c r="BX192" s="2"/>
      <c r="BY192" s="2" t="s">
        <v>1807</v>
      </c>
      <c r="BZ192" s="2" t="b">
        <f>OR( (Dashboard[[#This Row],[ref_as_hh]]&gt;=1),(Dashboard[[#This Row],[ret_as_hh]] &gt;=1), (Dashboard[[#This Row],[idp_as_hh]]&gt;=1))</f>
        <v>0</v>
      </c>
      <c r="CA192" s="2">
        <f>Dashboard[[#This Row],[ret_hi_hh]]</f>
        <v>0</v>
      </c>
      <c r="CB192" s="2">
        <f>Dashboard[[#This Row],[idp_fa_hh]]+Dashboard[[#This Row],[ref_fa_hh]]+Dashboard[[#This Row],[ret_fa_hh]]</f>
        <v>49</v>
      </c>
      <c r="CC192" s="2">
        <f>Dashboard[[#This Row],[idp_loc_hh]]+Dashboard[[#This Row],[ref_loc_hh]]+Dashboard[[#This Row],[ret_loc_hh]]</f>
        <v>207</v>
      </c>
      <c r="CD192" s="2">
        <f>Dashboard[[#This Row],[idp_cc_hh]]+Dashboard[[#This Row],[ref_cc_hh]]+Dashboard[[#This Row],[ret_cc_hh]]</f>
        <v>0</v>
      </c>
      <c r="CE192" s="2">
        <f>Dashboard[[#This Row],[idp_as_hh]]+Dashboard[[#This Row],[ref_as_hh]]+Dashboard[[#This Row],[ret_as_hh]]</f>
        <v>0</v>
      </c>
      <c r="CF192" s="2">
        <f>Dashboard[[#This Row],[idp_al_hh]]+Dashboard[[#This Row],[ref_al_hh]]+Dashboard[[#This Row],[ret_al_hh]]</f>
        <v>0</v>
      </c>
    </row>
    <row r="193" spans="1:84" hidden="1" x14ac:dyDescent="0.25">
      <c r="A193" s="27">
        <v>68</v>
      </c>
      <c r="B193" s="2" t="s">
        <v>22</v>
      </c>
      <c r="C193" s="2" t="s">
        <v>23</v>
      </c>
      <c r="D193" s="2" t="s">
        <v>85</v>
      </c>
      <c r="E193" s="2" t="s">
        <v>84</v>
      </c>
      <c r="F193" s="2" t="s">
        <v>157</v>
      </c>
      <c r="G193" s="2" t="s">
        <v>156</v>
      </c>
      <c r="H193" s="2" t="s">
        <v>1046</v>
      </c>
      <c r="I193" s="2" t="s">
        <v>358</v>
      </c>
      <c r="J193" s="2" t="s">
        <v>2616</v>
      </c>
      <c r="K193" s="2" t="s">
        <v>2617</v>
      </c>
      <c r="L193" s="2" t="s">
        <v>3692</v>
      </c>
      <c r="M193" s="2">
        <v>3426</v>
      </c>
      <c r="N193" s="2" t="s">
        <v>1658</v>
      </c>
      <c r="O193" s="2">
        <v>66</v>
      </c>
      <c r="P193" s="2">
        <v>380</v>
      </c>
      <c r="Q193" s="2" t="s">
        <v>1658</v>
      </c>
      <c r="R193" s="2">
        <v>19</v>
      </c>
      <c r="S193" s="2" t="s">
        <v>1658</v>
      </c>
      <c r="T193" s="2">
        <v>47</v>
      </c>
      <c r="U193" s="2" t="s">
        <v>1659</v>
      </c>
      <c r="V193" s="2" t="s">
        <v>32</v>
      </c>
      <c r="W193" s="2" t="s">
        <v>1660</v>
      </c>
      <c r="X193" s="2">
        <v>0</v>
      </c>
      <c r="Y193" s="2" t="s">
        <v>32</v>
      </c>
      <c r="Z193" s="2" t="s">
        <v>32</v>
      </c>
      <c r="AA193" s="2" t="s">
        <v>1660</v>
      </c>
      <c r="AB193" s="2">
        <v>0</v>
      </c>
      <c r="AC193" s="2" t="s">
        <v>1660</v>
      </c>
      <c r="AD193" s="2">
        <v>0</v>
      </c>
      <c r="AE193" s="2" t="s">
        <v>1660</v>
      </c>
      <c r="AF193" s="2">
        <v>0</v>
      </c>
      <c r="AG193" s="2">
        <v>0</v>
      </c>
      <c r="AH193" s="2" t="s">
        <v>32</v>
      </c>
      <c r="AI193" s="2" t="s">
        <v>32</v>
      </c>
      <c r="AJ193" s="2" t="s">
        <v>32</v>
      </c>
      <c r="AK193" s="2" t="s">
        <v>32</v>
      </c>
      <c r="AL193" s="2" t="s">
        <v>32</v>
      </c>
      <c r="AM193" s="2">
        <v>0</v>
      </c>
      <c r="AN193" s="2" t="s">
        <v>32</v>
      </c>
      <c r="AO193" s="2">
        <v>0</v>
      </c>
      <c r="AP193" s="2" t="s">
        <v>32</v>
      </c>
      <c r="AQ193" s="2" t="s">
        <v>32</v>
      </c>
      <c r="AR193" s="2" t="s">
        <v>32</v>
      </c>
      <c r="AS193" s="2">
        <v>0</v>
      </c>
      <c r="AT193" s="2" t="s">
        <v>32</v>
      </c>
      <c r="AU193" s="2" t="s">
        <v>32</v>
      </c>
      <c r="AV193" s="2" t="s">
        <v>32</v>
      </c>
      <c r="AW193" s="2">
        <v>0</v>
      </c>
      <c r="AX193" s="2" t="s">
        <v>32</v>
      </c>
      <c r="AY193" s="2">
        <v>0</v>
      </c>
      <c r="AZ193" s="2" t="s">
        <v>1660</v>
      </c>
      <c r="BA193" s="2">
        <v>0</v>
      </c>
      <c r="BB193" s="2">
        <v>0</v>
      </c>
      <c r="BC193" s="2" t="s">
        <v>32</v>
      </c>
      <c r="BD193" s="2">
        <v>0</v>
      </c>
      <c r="BE193" s="2" t="s">
        <v>32</v>
      </c>
      <c r="BF193" s="2">
        <v>0</v>
      </c>
      <c r="BG193" s="2" t="s">
        <v>32</v>
      </c>
      <c r="BH193" s="2">
        <v>0</v>
      </c>
      <c r="BI193" s="2" t="s">
        <v>32</v>
      </c>
      <c r="BJ193" s="2" t="s">
        <v>32</v>
      </c>
      <c r="BK193" s="2" t="s">
        <v>32</v>
      </c>
      <c r="BL193" s="2">
        <v>0</v>
      </c>
      <c r="BM193" s="2" t="s">
        <v>32</v>
      </c>
      <c r="BN193" s="2" t="s">
        <v>32</v>
      </c>
      <c r="BO193" s="2" t="s">
        <v>32</v>
      </c>
      <c r="BP193" s="2">
        <v>0</v>
      </c>
      <c r="BQ193" s="2" t="s">
        <v>32</v>
      </c>
      <c r="BR193" s="2">
        <v>0</v>
      </c>
      <c r="BS193" s="2" t="s">
        <v>1660</v>
      </c>
      <c r="BT193" s="2">
        <v>0</v>
      </c>
      <c r="BU193" s="2">
        <v>0</v>
      </c>
      <c r="BV193" s="2" t="s">
        <v>1660</v>
      </c>
      <c r="BW193" s="2"/>
      <c r="BX193" s="2"/>
      <c r="BY193" s="2" t="s">
        <v>1807</v>
      </c>
      <c r="BZ193" s="2" t="b">
        <f>OR( (Dashboard[[#This Row],[ref_as_hh]]&gt;=1),(Dashboard[[#This Row],[ret_as_hh]] &gt;=1), (Dashboard[[#This Row],[idp_as_hh]]&gt;=1))</f>
        <v>0</v>
      </c>
      <c r="CA193" s="2">
        <f>Dashboard[[#This Row],[ret_hi_hh]]</f>
        <v>0</v>
      </c>
      <c r="CB193" s="2">
        <f>Dashboard[[#This Row],[idp_fa_hh]]+Dashboard[[#This Row],[ref_fa_hh]]+Dashboard[[#This Row],[ret_fa_hh]]</f>
        <v>19</v>
      </c>
      <c r="CC193" s="2">
        <f>Dashboard[[#This Row],[idp_loc_hh]]+Dashboard[[#This Row],[ref_loc_hh]]+Dashboard[[#This Row],[ret_loc_hh]]</f>
        <v>47</v>
      </c>
      <c r="CD193" s="2">
        <f>Dashboard[[#This Row],[idp_cc_hh]]+Dashboard[[#This Row],[ref_cc_hh]]+Dashboard[[#This Row],[ret_cc_hh]]</f>
        <v>0</v>
      </c>
      <c r="CE193" s="2">
        <f>Dashboard[[#This Row],[idp_as_hh]]+Dashboard[[#This Row],[ref_as_hh]]+Dashboard[[#This Row],[ret_as_hh]]</f>
        <v>0</v>
      </c>
      <c r="CF193" s="2">
        <f>Dashboard[[#This Row],[idp_al_hh]]+Dashboard[[#This Row],[ref_al_hh]]+Dashboard[[#This Row],[ret_al_hh]]</f>
        <v>0</v>
      </c>
    </row>
    <row r="194" spans="1:84" hidden="1" x14ac:dyDescent="0.25">
      <c r="A194" s="27">
        <v>104</v>
      </c>
      <c r="B194" s="2" t="s">
        <v>22</v>
      </c>
      <c r="C194" s="2" t="s">
        <v>23</v>
      </c>
      <c r="D194" s="2" t="s">
        <v>85</v>
      </c>
      <c r="E194" s="2" t="s">
        <v>84</v>
      </c>
      <c r="F194" s="2" t="s">
        <v>157</v>
      </c>
      <c r="G194" s="2" t="s">
        <v>156</v>
      </c>
      <c r="H194" s="2" t="s">
        <v>1042</v>
      </c>
      <c r="I194" s="2" t="s">
        <v>355</v>
      </c>
      <c r="J194" s="2" t="s">
        <v>2608</v>
      </c>
      <c r="K194" s="2" t="s">
        <v>2609</v>
      </c>
      <c r="L194" s="2" t="s">
        <v>2074</v>
      </c>
      <c r="M194" s="2">
        <v>1039</v>
      </c>
      <c r="N194" s="2" t="s">
        <v>1658</v>
      </c>
      <c r="O194" s="2">
        <v>6</v>
      </c>
      <c r="P194" s="2">
        <v>37</v>
      </c>
      <c r="Q194" s="2" t="s">
        <v>1658</v>
      </c>
      <c r="R194" s="2">
        <v>6</v>
      </c>
      <c r="S194" s="2" t="s">
        <v>1660</v>
      </c>
      <c r="T194" s="2">
        <v>0</v>
      </c>
      <c r="U194" s="2" t="s">
        <v>32</v>
      </c>
      <c r="V194" s="2" t="s">
        <v>32</v>
      </c>
      <c r="W194" s="2" t="s">
        <v>1660</v>
      </c>
      <c r="X194" s="2">
        <v>0</v>
      </c>
      <c r="Y194" s="2" t="s">
        <v>32</v>
      </c>
      <c r="Z194" s="2" t="s">
        <v>32</v>
      </c>
      <c r="AA194" s="2" t="s">
        <v>1660</v>
      </c>
      <c r="AB194" s="2">
        <v>0</v>
      </c>
      <c r="AC194" s="2" t="s">
        <v>1660</v>
      </c>
      <c r="AD194" s="2">
        <v>0</v>
      </c>
      <c r="AE194" s="2" t="s">
        <v>1660</v>
      </c>
      <c r="AF194" s="2">
        <v>0</v>
      </c>
      <c r="AG194" s="2">
        <v>0</v>
      </c>
      <c r="AH194" s="2" t="s">
        <v>32</v>
      </c>
      <c r="AI194" s="2" t="s">
        <v>32</v>
      </c>
      <c r="AJ194" s="2" t="s">
        <v>32</v>
      </c>
      <c r="AK194" s="2" t="s">
        <v>32</v>
      </c>
      <c r="AL194" s="2" t="s">
        <v>32</v>
      </c>
      <c r="AM194" s="2">
        <v>0</v>
      </c>
      <c r="AN194" s="2" t="s">
        <v>32</v>
      </c>
      <c r="AO194" s="2">
        <v>0</v>
      </c>
      <c r="AP194" s="2" t="s">
        <v>32</v>
      </c>
      <c r="AQ194" s="2" t="s">
        <v>32</v>
      </c>
      <c r="AR194" s="2" t="s">
        <v>32</v>
      </c>
      <c r="AS194" s="2">
        <v>0</v>
      </c>
      <c r="AT194" s="2" t="s">
        <v>32</v>
      </c>
      <c r="AU194" s="2" t="s">
        <v>32</v>
      </c>
      <c r="AV194" s="2" t="s">
        <v>32</v>
      </c>
      <c r="AW194" s="2">
        <v>0</v>
      </c>
      <c r="AX194" s="2" t="s">
        <v>32</v>
      </c>
      <c r="AY194" s="2">
        <v>0</v>
      </c>
      <c r="AZ194" s="2" t="s">
        <v>1660</v>
      </c>
      <c r="BA194" s="2">
        <v>0</v>
      </c>
      <c r="BB194" s="2">
        <v>0</v>
      </c>
      <c r="BC194" s="2" t="s">
        <v>32</v>
      </c>
      <c r="BD194" s="2">
        <v>0</v>
      </c>
      <c r="BE194" s="2" t="s">
        <v>32</v>
      </c>
      <c r="BF194" s="2">
        <v>0</v>
      </c>
      <c r="BG194" s="2" t="s">
        <v>32</v>
      </c>
      <c r="BH194" s="2">
        <v>0</v>
      </c>
      <c r="BI194" s="2" t="s">
        <v>32</v>
      </c>
      <c r="BJ194" s="2" t="s">
        <v>32</v>
      </c>
      <c r="BK194" s="2" t="s">
        <v>32</v>
      </c>
      <c r="BL194" s="2">
        <v>0</v>
      </c>
      <c r="BM194" s="2" t="s">
        <v>32</v>
      </c>
      <c r="BN194" s="2" t="s">
        <v>32</v>
      </c>
      <c r="BO194" s="2" t="s">
        <v>32</v>
      </c>
      <c r="BP194" s="2">
        <v>0</v>
      </c>
      <c r="BQ194" s="2" t="s">
        <v>32</v>
      </c>
      <c r="BR194" s="2">
        <v>0</v>
      </c>
      <c r="BS194" s="2" t="s">
        <v>1660</v>
      </c>
      <c r="BT194" s="2">
        <v>0</v>
      </c>
      <c r="BU194" s="2">
        <v>0</v>
      </c>
      <c r="BV194" s="2" t="s">
        <v>1660</v>
      </c>
      <c r="BW194" s="2"/>
      <c r="BX194" s="2"/>
      <c r="BY194" s="2" t="s">
        <v>1807</v>
      </c>
      <c r="BZ194" s="2" t="b">
        <f>OR( (Dashboard[[#This Row],[ref_as_hh]]&gt;=1),(Dashboard[[#This Row],[ret_as_hh]] &gt;=1), (Dashboard[[#This Row],[idp_as_hh]]&gt;=1))</f>
        <v>0</v>
      </c>
      <c r="CA194" s="2">
        <f>Dashboard[[#This Row],[ret_hi_hh]]</f>
        <v>0</v>
      </c>
      <c r="CB194" s="2">
        <f>Dashboard[[#This Row],[idp_fa_hh]]+Dashboard[[#This Row],[ref_fa_hh]]+Dashboard[[#This Row],[ret_fa_hh]]</f>
        <v>6</v>
      </c>
      <c r="CC194" s="2">
        <f>Dashboard[[#This Row],[idp_loc_hh]]+Dashboard[[#This Row],[ref_loc_hh]]+Dashboard[[#This Row],[ret_loc_hh]]</f>
        <v>0</v>
      </c>
      <c r="CD194" s="2">
        <f>Dashboard[[#This Row],[idp_cc_hh]]+Dashboard[[#This Row],[ref_cc_hh]]+Dashboard[[#This Row],[ret_cc_hh]]</f>
        <v>0</v>
      </c>
      <c r="CE194" s="2">
        <f>Dashboard[[#This Row],[idp_as_hh]]+Dashboard[[#This Row],[ref_as_hh]]+Dashboard[[#This Row],[ret_as_hh]]</f>
        <v>0</v>
      </c>
      <c r="CF194" s="2">
        <f>Dashboard[[#This Row],[idp_al_hh]]+Dashboard[[#This Row],[ref_al_hh]]+Dashboard[[#This Row],[ret_al_hh]]</f>
        <v>0</v>
      </c>
    </row>
    <row r="195" spans="1:84" hidden="1" x14ac:dyDescent="0.25">
      <c r="A195" s="27">
        <v>109</v>
      </c>
      <c r="B195" s="2" t="s">
        <v>22</v>
      </c>
      <c r="C195" s="2" t="s">
        <v>23</v>
      </c>
      <c r="D195" s="2" t="s">
        <v>85</v>
      </c>
      <c r="E195" s="2" t="s">
        <v>84</v>
      </c>
      <c r="F195" s="2" t="s">
        <v>157</v>
      </c>
      <c r="G195" s="2" t="s">
        <v>156</v>
      </c>
      <c r="H195" s="2" t="s">
        <v>1027</v>
      </c>
      <c r="I195" s="2" t="s">
        <v>340</v>
      </c>
      <c r="J195" s="2" t="s">
        <v>2578</v>
      </c>
      <c r="K195" s="2" t="s">
        <v>2579</v>
      </c>
      <c r="L195" s="2" t="s">
        <v>2074</v>
      </c>
      <c r="M195" s="2">
        <v>432</v>
      </c>
      <c r="N195" s="2" t="s">
        <v>1658</v>
      </c>
      <c r="O195" s="2">
        <v>12</v>
      </c>
      <c r="P195" s="2">
        <v>42</v>
      </c>
      <c r="Q195" s="2" t="s">
        <v>1658</v>
      </c>
      <c r="R195" s="2">
        <v>7</v>
      </c>
      <c r="S195" s="2" t="s">
        <v>1658</v>
      </c>
      <c r="T195" s="2">
        <v>5</v>
      </c>
      <c r="U195" s="2" t="s">
        <v>1659</v>
      </c>
      <c r="V195" s="2" t="s">
        <v>32</v>
      </c>
      <c r="W195" s="2" t="s">
        <v>1660</v>
      </c>
      <c r="X195" s="2">
        <v>0</v>
      </c>
      <c r="Y195" s="2" t="s">
        <v>32</v>
      </c>
      <c r="Z195" s="2" t="s">
        <v>32</v>
      </c>
      <c r="AA195" s="2" t="s">
        <v>1660</v>
      </c>
      <c r="AB195" s="2">
        <v>0</v>
      </c>
      <c r="AC195" s="2" t="s">
        <v>1660</v>
      </c>
      <c r="AD195" s="2">
        <v>0</v>
      </c>
      <c r="AE195" s="2" t="s">
        <v>1660</v>
      </c>
      <c r="AF195" s="2">
        <v>0</v>
      </c>
      <c r="AG195" s="2">
        <v>0</v>
      </c>
      <c r="AH195" s="2" t="s">
        <v>32</v>
      </c>
      <c r="AI195" s="2" t="s">
        <v>32</v>
      </c>
      <c r="AJ195" s="2" t="s">
        <v>32</v>
      </c>
      <c r="AK195" s="2" t="s">
        <v>32</v>
      </c>
      <c r="AL195" s="2" t="s">
        <v>32</v>
      </c>
      <c r="AM195" s="2">
        <v>0</v>
      </c>
      <c r="AN195" s="2" t="s">
        <v>32</v>
      </c>
      <c r="AO195" s="2">
        <v>0</v>
      </c>
      <c r="AP195" s="2" t="s">
        <v>32</v>
      </c>
      <c r="AQ195" s="2" t="s">
        <v>32</v>
      </c>
      <c r="AR195" s="2" t="s">
        <v>32</v>
      </c>
      <c r="AS195" s="2">
        <v>0</v>
      </c>
      <c r="AT195" s="2" t="s">
        <v>32</v>
      </c>
      <c r="AU195" s="2" t="s">
        <v>32</v>
      </c>
      <c r="AV195" s="2" t="s">
        <v>32</v>
      </c>
      <c r="AW195" s="2">
        <v>0</v>
      </c>
      <c r="AX195" s="2" t="s">
        <v>32</v>
      </c>
      <c r="AY195" s="2">
        <v>0</v>
      </c>
      <c r="AZ195" s="2" t="s">
        <v>1660</v>
      </c>
      <c r="BA195" s="2">
        <v>0</v>
      </c>
      <c r="BB195" s="2">
        <v>0</v>
      </c>
      <c r="BC195" s="2" t="s">
        <v>32</v>
      </c>
      <c r="BD195" s="2">
        <v>0</v>
      </c>
      <c r="BE195" s="2" t="s">
        <v>32</v>
      </c>
      <c r="BF195" s="2">
        <v>0</v>
      </c>
      <c r="BG195" s="2" t="s">
        <v>32</v>
      </c>
      <c r="BH195" s="2">
        <v>0</v>
      </c>
      <c r="BI195" s="2" t="s">
        <v>32</v>
      </c>
      <c r="BJ195" s="2" t="s">
        <v>32</v>
      </c>
      <c r="BK195" s="2" t="s">
        <v>32</v>
      </c>
      <c r="BL195" s="2">
        <v>0</v>
      </c>
      <c r="BM195" s="2" t="s">
        <v>32</v>
      </c>
      <c r="BN195" s="2" t="s">
        <v>32</v>
      </c>
      <c r="BO195" s="2" t="s">
        <v>32</v>
      </c>
      <c r="BP195" s="2">
        <v>0</v>
      </c>
      <c r="BQ195" s="2" t="s">
        <v>32</v>
      </c>
      <c r="BR195" s="2">
        <v>0</v>
      </c>
      <c r="BS195" s="2" t="s">
        <v>1660</v>
      </c>
      <c r="BT195" s="2">
        <v>0</v>
      </c>
      <c r="BU195" s="2">
        <v>0</v>
      </c>
      <c r="BV195" s="2" t="s">
        <v>1660</v>
      </c>
      <c r="BW195" s="2"/>
      <c r="BX195" s="2"/>
      <c r="BY195" s="2" t="s">
        <v>1807</v>
      </c>
      <c r="BZ195" s="2" t="b">
        <f>OR( (Dashboard[[#This Row],[ref_as_hh]]&gt;=1),(Dashboard[[#This Row],[ret_as_hh]] &gt;=1), (Dashboard[[#This Row],[idp_as_hh]]&gt;=1))</f>
        <v>0</v>
      </c>
      <c r="CA195" s="2">
        <f>Dashboard[[#This Row],[ret_hi_hh]]</f>
        <v>0</v>
      </c>
      <c r="CB195" s="2">
        <f>Dashboard[[#This Row],[idp_fa_hh]]+Dashboard[[#This Row],[ref_fa_hh]]+Dashboard[[#This Row],[ret_fa_hh]]</f>
        <v>7</v>
      </c>
      <c r="CC195" s="2">
        <f>Dashboard[[#This Row],[idp_loc_hh]]+Dashboard[[#This Row],[ref_loc_hh]]+Dashboard[[#This Row],[ret_loc_hh]]</f>
        <v>5</v>
      </c>
      <c r="CD195" s="2">
        <f>Dashboard[[#This Row],[idp_cc_hh]]+Dashboard[[#This Row],[ref_cc_hh]]+Dashboard[[#This Row],[ret_cc_hh]]</f>
        <v>0</v>
      </c>
      <c r="CE195" s="2">
        <f>Dashboard[[#This Row],[idp_as_hh]]+Dashboard[[#This Row],[ref_as_hh]]+Dashboard[[#This Row],[ret_as_hh]]</f>
        <v>0</v>
      </c>
      <c r="CF195" s="2">
        <f>Dashboard[[#This Row],[idp_al_hh]]+Dashboard[[#This Row],[ref_al_hh]]+Dashboard[[#This Row],[ret_al_hh]]</f>
        <v>0</v>
      </c>
    </row>
    <row r="196" spans="1:84" hidden="1" x14ac:dyDescent="0.25">
      <c r="A196" s="27">
        <v>111</v>
      </c>
      <c r="B196" s="2" t="s">
        <v>22</v>
      </c>
      <c r="C196" s="2" t="s">
        <v>23</v>
      </c>
      <c r="D196" s="2" t="s">
        <v>85</v>
      </c>
      <c r="E196" s="2" t="s">
        <v>84</v>
      </c>
      <c r="F196" s="2" t="s">
        <v>157</v>
      </c>
      <c r="G196" s="2" t="s">
        <v>156</v>
      </c>
      <c r="H196" s="2" t="s">
        <v>1026</v>
      </c>
      <c r="I196" s="2" t="s">
        <v>339</v>
      </c>
      <c r="J196" s="2" t="s">
        <v>2576</v>
      </c>
      <c r="K196" s="2" t="s">
        <v>2577</v>
      </c>
      <c r="L196" s="2" t="s">
        <v>2074</v>
      </c>
      <c r="M196" s="2">
        <v>1303</v>
      </c>
      <c r="N196" s="2" t="s">
        <v>1658</v>
      </c>
      <c r="O196" s="2">
        <v>16</v>
      </c>
      <c r="P196" s="2">
        <v>64</v>
      </c>
      <c r="Q196" s="2" t="s">
        <v>1658</v>
      </c>
      <c r="R196" s="2">
        <v>16</v>
      </c>
      <c r="S196" s="2" t="s">
        <v>1660</v>
      </c>
      <c r="T196" s="2">
        <v>0</v>
      </c>
      <c r="U196" s="2" t="s">
        <v>32</v>
      </c>
      <c r="V196" s="2" t="s">
        <v>32</v>
      </c>
      <c r="W196" s="2" t="s">
        <v>1660</v>
      </c>
      <c r="X196" s="2">
        <v>0</v>
      </c>
      <c r="Y196" s="2" t="s">
        <v>32</v>
      </c>
      <c r="Z196" s="2" t="s">
        <v>32</v>
      </c>
      <c r="AA196" s="2" t="s">
        <v>1660</v>
      </c>
      <c r="AB196" s="2">
        <v>0</v>
      </c>
      <c r="AC196" s="2" t="s">
        <v>1660</v>
      </c>
      <c r="AD196" s="2">
        <v>0</v>
      </c>
      <c r="AE196" s="2" t="s">
        <v>1658</v>
      </c>
      <c r="AF196" s="2">
        <v>5</v>
      </c>
      <c r="AG196" s="2">
        <v>21</v>
      </c>
      <c r="AH196" s="2" t="s">
        <v>1660</v>
      </c>
      <c r="AI196" s="2" t="s">
        <v>32</v>
      </c>
      <c r="AJ196" s="2" t="s">
        <v>32</v>
      </c>
      <c r="AK196" s="2" t="s">
        <v>32</v>
      </c>
      <c r="AL196" s="2" t="s">
        <v>1658</v>
      </c>
      <c r="AM196" s="2">
        <v>3</v>
      </c>
      <c r="AN196" s="2" t="s">
        <v>1658</v>
      </c>
      <c r="AO196" s="2">
        <v>2</v>
      </c>
      <c r="AP196" s="2" t="s">
        <v>1659</v>
      </c>
      <c r="AQ196" s="2" t="s">
        <v>32</v>
      </c>
      <c r="AR196" s="2" t="s">
        <v>1660</v>
      </c>
      <c r="AS196" s="2">
        <v>0</v>
      </c>
      <c r="AT196" s="2" t="s">
        <v>32</v>
      </c>
      <c r="AU196" s="2" t="s">
        <v>32</v>
      </c>
      <c r="AV196" s="2" t="s">
        <v>1660</v>
      </c>
      <c r="AW196" s="2">
        <v>0</v>
      </c>
      <c r="AX196" s="2" t="s">
        <v>1660</v>
      </c>
      <c r="AY196" s="2">
        <v>0</v>
      </c>
      <c r="AZ196" s="2" t="s">
        <v>1660</v>
      </c>
      <c r="BA196" s="2">
        <v>0</v>
      </c>
      <c r="BB196" s="2">
        <v>0</v>
      </c>
      <c r="BC196" s="2" t="s">
        <v>32</v>
      </c>
      <c r="BD196" s="2">
        <v>0</v>
      </c>
      <c r="BE196" s="2" t="s">
        <v>32</v>
      </c>
      <c r="BF196" s="2">
        <v>0</v>
      </c>
      <c r="BG196" s="2" t="s">
        <v>32</v>
      </c>
      <c r="BH196" s="2">
        <v>0</v>
      </c>
      <c r="BI196" s="2" t="s">
        <v>32</v>
      </c>
      <c r="BJ196" s="2" t="s">
        <v>32</v>
      </c>
      <c r="BK196" s="2" t="s">
        <v>32</v>
      </c>
      <c r="BL196" s="2">
        <v>0</v>
      </c>
      <c r="BM196" s="2" t="s">
        <v>32</v>
      </c>
      <c r="BN196" s="2" t="s">
        <v>32</v>
      </c>
      <c r="BO196" s="2" t="s">
        <v>32</v>
      </c>
      <c r="BP196" s="2">
        <v>0</v>
      </c>
      <c r="BQ196" s="2" t="s">
        <v>32</v>
      </c>
      <c r="BR196" s="2">
        <v>0</v>
      </c>
      <c r="BS196" s="2" t="s">
        <v>1660</v>
      </c>
      <c r="BT196" s="2">
        <v>0</v>
      </c>
      <c r="BU196" s="2">
        <v>0</v>
      </c>
      <c r="BV196" s="2" t="s">
        <v>1660</v>
      </c>
      <c r="BW196" s="2"/>
      <c r="BX196" s="2"/>
      <c r="BY196" s="2" t="s">
        <v>1807</v>
      </c>
      <c r="BZ196" s="2" t="b">
        <f>OR( (Dashboard[[#This Row],[ref_as_hh]]&gt;=1),(Dashboard[[#This Row],[ret_as_hh]] &gt;=1), (Dashboard[[#This Row],[idp_as_hh]]&gt;=1))</f>
        <v>0</v>
      </c>
      <c r="CA196" s="2">
        <f>Dashboard[[#This Row],[ret_hi_hh]]</f>
        <v>0</v>
      </c>
      <c r="CB196" s="2">
        <f>Dashboard[[#This Row],[idp_fa_hh]]+Dashboard[[#This Row],[ref_fa_hh]]+Dashboard[[#This Row],[ret_fa_hh]]</f>
        <v>19</v>
      </c>
      <c r="CC196" s="2">
        <f>Dashboard[[#This Row],[idp_loc_hh]]+Dashboard[[#This Row],[ref_loc_hh]]+Dashboard[[#This Row],[ret_loc_hh]]</f>
        <v>2</v>
      </c>
      <c r="CD196" s="2">
        <f>Dashboard[[#This Row],[idp_cc_hh]]+Dashboard[[#This Row],[ref_cc_hh]]+Dashboard[[#This Row],[ret_cc_hh]]</f>
        <v>0</v>
      </c>
      <c r="CE196" s="2">
        <f>Dashboard[[#This Row],[idp_as_hh]]+Dashboard[[#This Row],[ref_as_hh]]+Dashboard[[#This Row],[ret_as_hh]]</f>
        <v>0</v>
      </c>
      <c r="CF196" s="2">
        <f>Dashboard[[#This Row],[idp_al_hh]]+Dashboard[[#This Row],[ref_al_hh]]+Dashboard[[#This Row],[ret_al_hh]]</f>
        <v>0</v>
      </c>
    </row>
    <row r="197" spans="1:84" hidden="1" x14ac:dyDescent="0.25">
      <c r="A197" s="27">
        <v>113</v>
      </c>
      <c r="B197" s="2" t="s">
        <v>22</v>
      </c>
      <c r="C197" s="2" t="s">
        <v>23</v>
      </c>
      <c r="D197" s="2" t="s">
        <v>85</v>
      </c>
      <c r="E197" s="2" t="s">
        <v>84</v>
      </c>
      <c r="F197" s="2" t="s">
        <v>157</v>
      </c>
      <c r="G197" s="2" t="s">
        <v>156</v>
      </c>
      <c r="H197" s="2" t="s">
        <v>1051</v>
      </c>
      <c r="I197" s="2" t="s">
        <v>363</v>
      </c>
      <c r="J197" s="2" t="s">
        <v>2626</v>
      </c>
      <c r="K197" s="2" t="s">
        <v>2627</v>
      </c>
      <c r="L197" s="2" t="s">
        <v>2074</v>
      </c>
      <c r="M197" s="2">
        <v>801</v>
      </c>
      <c r="N197" s="2" t="s">
        <v>1658</v>
      </c>
      <c r="O197" s="2">
        <v>44</v>
      </c>
      <c r="P197" s="2">
        <v>236</v>
      </c>
      <c r="Q197" s="2" t="s">
        <v>1658</v>
      </c>
      <c r="R197" s="2">
        <v>31</v>
      </c>
      <c r="S197" s="2" t="s">
        <v>1658</v>
      </c>
      <c r="T197" s="2">
        <v>13</v>
      </c>
      <c r="U197" s="2" t="s">
        <v>1659</v>
      </c>
      <c r="V197" s="2" t="s">
        <v>32</v>
      </c>
      <c r="W197" s="2" t="s">
        <v>1660</v>
      </c>
      <c r="X197" s="2">
        <v>0</v>
      </c>
      <c r="Y197" s="2" t="s">
        <v>32</v>
      </c>
      <c r="Z197" s="2" t="s">
        <v>32</v>
      </c>
      <c r="AA197" s="2" t="s">
        <v>1660</v>
      </c>
      <c r="AB197" s="2">
        <v>0</v>
      </c>
      <c r="AC197" s="2" t="s">
        <v>1660</v>
      </c>
      <c r="AD197" s="2">
        <v>0</v>
      </c>
      <c r="AE197" s="2" t="s">
        <v>1660</v>
      </c>
      <c r="AF197" s="2">
        <v>0</v>
      </c>
      <c r="AG197" s="2">
        <v>0</v>
      </c>
      <c r="AH197" s="2" t="s">
        <v>32</v>
      </c>
      <c r="AI197" s="2" t="s">
        <v>32</v>
      </c>
      <c r="AJ197" s="2" t="s">
        <v>32</v>
      </c>
      <c r="AK197" s="2" t="s">
        <v>32</v>
      </c>
      <c r="AL197" s="2" t="s">
        <v>32</v>
      </c>
      <c r="AM197" s="2">
        <v>0</v>
      </c>
      <c r="AN197" s="2" t="s">
        <v>32</v>
      </c>
      <c r="AO197" s="2">
        <v>0</v>
      </c>
      <c r="AP197" s="2" t="s">
        <v>32</v>
      </c>
      <c r="AQ197" s="2" t="s">
        <v>32</v>
      </c>
      <c r="AR197" s="2" t="s">
        <v>32</v>
      </c>
      <c r="AS197" s="2">
        <v>0</v>
      </c>
      <c r="AT197" s="2" t="s">
        <v>32</v>
      </c>
      <c r="AU197" s="2" t="s">
        <v>32</v>
      </c>
      <c r="AV197" s="2" t="s">
        <v>32</v>
      </c>
      <c r="AW197" s="2">
        <v>0</v>
      </c>
      <c r="AX197" s="2" t="s">
        <v>32</v>
      </c>
      <c r="AY197" s="2">
        <v>0</v>
      </c>
      <c r="AZ197" s="2" t="s">
        <v>1660</v>
      </c>
      <c r="BA197" s="2">
        <v>0</v>
      </c>
      <c r="BB197" s="2">
        <v>0</v>
      </c>
      <c r="BC197" s="2" t="s">
        <v>32</v>
      </c>
      <c r="BD197" s="2">
        <v>0</v>
      </c>
      <c r="BE197" s="2" t="s">
        <v>32</v>
      </c>
      <c r="BF197" s="2">
        <v>0</v>
      </c>
      <c r="BG197" s="2" t="s">
        <v>32</v>
      </c>
      <c r="BH197" s="2">
        <v>0</v>
      </c>
      <c r="BI197" s="2" t="s">
        <v>32</v>
      </c>
      <c r="BJ197" s="2" t="s">
        <v>32</v>
      </c>
      <c r="BK197" s="2" t="s">
        <v>32</v>
      </c>
      <c r="BL197" s="2">
        <v>0</v>
      </c>
      <c r="BM197" s="2" t="s">
        <v>32</v>
      </c>
      <c r="BN197" s="2" t="s">
        <v>32</v>
      </c>
      <c r="BO197" s="2" t="s">
        <v>32</v>
      </c>
      <c r="BP197" s="2">
        <v>0</v>
      </c>
      <c r="BQ197" s="2" t="s">
        <v>32</v>
      </c>
      <c r="BR197" s="2">
        <v>0</v>
      </c>
      <c r="BS197" s="2" t="s">
        <v>1660</v>
      </c>
      <c r="BT197" s="2">
        <v>0</v>
      </c>
      <c r="BU197" s="2">
        <v>0</v>
      </c>
      <c r="BV197" s="2" t="s">
        <v>1660</v>
      </c>
      <c r="BW197" s="2"/>
      <c r="BX197" s="2"/>
      <c r="BY197" s="2" t="s">
        <v>1807</v>
      </c>
      <c r="BZ197" s="2" t="b">
        <f>OR( (Dashboard[[#This Row],[ref_as_hh]]&gt;=1),(Dashboard[[#This Row],[ret_as_hh]] &gt;=1), (Dashboard[[#This Row],[idp_as_hh]]&gt;=1))</f>
        <v>0</v>
      </c>
      <c r="CA197" s="2">
        <f>Dashboard[[#This Row],[ret_hi_hh]]</f>
        <v>0</v>
      </c>
      <c r="CB197" s="2">
        <f>Dashboard[[#This Row],[idp_fa_hh]]+Dashboard[[#This Row],[ref_fa_hh]]+Dashboard[[#This Row],[ret_fa_hh]]</f>
        <v>31</v>
      </c>
      <c r="CC197" s="2">
        <f>Dashboard[[#This Row],[idp_loc_hh]]+Dashboard[[#This Row],[ref_loc_hh]]+Dashboard[[#This Row],[ret_loc_hh]]</f>
        <v>13</v>
      </c>
      <c r="CD197" s="2">
        <f>Dashboard[[#This Row],[idp_cc_hh]]+Dashboard[[#This Row],[ref_cc_hh]]+Dashboard[[#This Row],[ret_cc_hh]]</f>
        <v>0</v>
      </c>
      <c r="CE197" s="2">
        <f>Dashboard[[#This Row],[idp_as_hh]]+Dashboard[[#This Row],[ref_as_hh]]+Dashboard[[#This Row],[ret_as_hh]]</f>
        <v>0</v>
      </c>
      <c r="CF197" s="2">
        <f>Dashboard[[#This Row],[idp_al_hh]]+Dashboard[[#This Row],[ref_al_hh]]+Dashboard[[#This Row],[ret_al_hh]]</f>
        <v>0</v>
      </c>
    </row>
    <row r="198" spans="1:84" hidden="1" x14ac:dyDescent="0.25">
      <c r="A198" s="27">
        <v>114</v>
      </c>
      <c r="B198" s="2" t="s">
        <v>22</v>
      </c>
      <c r="C198" s="2" t="s">
        <v>23</v>
      </c>
      <c r="D198" s="2" t="s">
        <v>85</v>
      </c>
      <c r="E198" s="2" t="s">
        <v>84</v>
      </c>
      <c r="F198" s="2" t="s">
        <v>157</v>
      </c>
      <c r="G198" s="2" t="s">
        <v>156</v>
      </c>
      <c r="H198" s="2" t="s">
        <v>1023</v>
      </c>
      <c r="I198" s="2" t="s">
        <v>336</v>
      </c>
      <c r="J198" s="2" t="s">
        <v>2570</v>
      </c>
      <c r="K198" s="2" t="s">
        <v>2571</v>
      </c>
      <c r="L198" s="2" t="s">
        <v>2074</v>
      </c>
      <c r="M198" s="2">
        <v>3010</v>
      </c>
      <c r="N198" s="2" t="s">
        <v>1658</v>
      </c>
      <c r="O198" s="2">
        <v>126</v>
      </c>
      <c r="P198" s="2">
        <v>641</v>
      </c>
      <c r="Q198" s="2" t="s">
        <v>1658</v>
      </c>
      <c r="R198" s="2">
        <v>22</v>
      </c>
      <c r="S198" s="2" t="s">
        <v>1658</v>
      </c>
      <c r="T198" s="2">
        <v>104</v>
      </c>
      <c r="U198" s="2" t="s">
        <v>1659</v>
      </c>
      <c r="V198" s="2" t="s">
        <v>32</v>
      </c>
      <c r="W198" s="2" t="s">
        <v>1660</v>
      </c>
      <c r="X198" s="2">
        <v>0</v>
      </c>
      <c r="Y198" s="2" t="s">
        <v>32</v>
      </c>
      <c r="Z198" s="2" t="s">
        <v>32</v>
      </c>
      <c r="AA198" s="2" t="s">
        <v>1660</v>
      </c>
      <c r="AB198" s="2">
        <v>0</v>
      </c>
      <c r="AC198" s="2" t="s">
        <v>1660</v>
      </c>
      <c r="AD198" s="2">
        <v>0</v>
      </c>
      <c r="AE198" s="2" t="s">
        <v>1660</v>
      </c>
      <c r="AF198" s="2">
        <v>0</v>
      </c>
      <c r="AG198" s="2">
        <v>0</v>
      </c>
      <c r="AH198" s="2" t="s">
        <v>32</v>
      </c>
      <c r="AI198" s="2" t="s">
        <v>32</v>
      </c>
      <c r="AJ198" s="2" t="s">
        <v>32</v>
      </c>
      <c r="AK198" s="2" t="s">
        <v>32</v>
      </c>
      <c r="AL198" s="2" t="s">
        <v>32</v>
      </c>
      <c r="AM198" s="2">
        <v>0</v>
      </c>
      <c r="AN198" s="2" t="s">
        <v>32</v>
      </c>
      <c r="AO198" s="2">
        <v>0</v>
      </c>
      <c r="AP198" s="2" t="s">
        <v>32</v>
      </c>
      <c r="AQ198" s="2" t="s">
        <v>32</v>
      </c>
      <c r="AR198" s="2" t="s">
        <v>32</v>
      </c>
      <c r="AS198" s="2">
        <v>0</v>
      </c>
      <c r="AT198" s="2" t="s">
        <v>32</v>
      </c>
      <c r="AU198" s="2" t="s">
        <v>32</v>
      </c>
      <c r="AV198" s="2" t="s">
        <v>32</v>
      </c>
      <c r="AW198" s="2">
        <v>0</v>
      </c>
      <c r="AX198" s="2" t="s">
        <v>32</v>
      </c>
      <c r="AY198" s="2">
        <v>0</v>
      </c>
      <c r="AZ198" s="2" t="s">
        <v>1660</v>
      </c>
      <c r="BA198" s="2">
        <v>0</v>
      </c>
      <c r="BB198" s="2">
        <v>0</v>
      </c>
      <c r="BC198" s="2" t="s">
        <v>32</v>
      </c>
      <c r="BD198" s="2">
        <v>0</v>
      </c>
      <c r="BE198" s="2" t="s">
        <v>32</v>
      </c>
      <c r="BF198" s="2">
        <v>0</v>
      </c>
      <c r="BG198" s="2" t="s">
        <v>32</v>
      </c>
      <c r="BH198" s="2">
        <v>0</v>
      </c>
      <c r="BI198" s="2" t="s">
        <v>32</v>
      </c>
      <c r="BJ198" s="2" t="s">
        <v>32</v>
      </c>
      <c r="BK198" s="2" t="s">
        <v>32</v>
      </c>
      <c r="BL198" s="2">
        <v>0</v>
      </c>
      <c r="BM198" s="2" t="s">
        <v>32</v>
      </c>
      <c r="BN198" s="2" t="s">
        <v>32</v>
      </c>
      <c r="BO198" s="2" t="s">
        <v>32</v>
      </c>
      <c r="BP198" s="2">
        <v>0</v>
      </c>
      <c r="BQ198" s="2" t="s">
        <v>32</v>
      </c>
      <c r="BR198" s="2">
        <v>0</v>
      </c>
      <c r="BS198" s="2" t="s">
        <v>1660</v>
      </c>
      <c r="BT198" s="2">
        <v>0</v>
      </c>
      <c r="BU198" s="2">
        <v>0</v>
      </c>
      <c r="BV198" s="2" t="s">
        <v>1660</v>
      </c>
      <c r="BW198" s="2"/>
      <c r="BX198" s="2"/>
      <c r="BY198" s="2" t="s">
        <v>1807</v>
      </c>
      <c r="BZ198" s="2" t="b">
        <f>OR( (Dashboard[[#This Row],[ref_as_hh]]&gt;=1),(Dashboard[[#This Row],[ret_as_hh]] &gt;=1), (Dashboard[[#This Row],[idp_as_hh]]&gt;=1))</f>
        <v>0</v>
      </c>
      <c r="CA198" s="2">
        <f>Dashboard[[#This Row],[ret_hi_hh]]</f>
        <v>0</v>
      </c>
      <c r="CB198" s="2">
        <f>Dashboard[[#This Row],[idp_fa_hh]]+Dashboard[[#This Row],[ref_fa_hh]]+Dashboard[[#This Row],[ret_fa_hh]]</f>
        <v>22</v>
      </c>
      <c r="CC198" s="2">
        <f>Dashboard[[#This Row],[idp_loc_hh]]+Dashboard[[#This Row],[ref_loc_hh]]+Dashboard[[#This Row],[ret_loc_hh]]</f>
        <v>104</v>
      </c>
      <c r="CD198" s="2">
        <f>Dashboard[[#This Row],[idp_cc_hh]]+Dashboard[[#This Row],[ref_cc_hh]]+Dashboard[[#This Row],[ret_cc_hh]]</f>
        <v>0</v>
      </c>
      <c r="CE198" s="2">
        <f>Dashboard[[#This Row],[idp_as_hh]]+Dashboard[[#This Row],[ref_as_hh]]+Dashboard[[#This Row],[ret_as_hh]]</f>
        <v>0</v>
      </c>
      <c r="CF198" s="2">
        <f>Dashboard[[#This Row],[idp_al_hh]]+Dashboard[[#This Row],[ref_al_hh]]+Dashboard[[#This Row],[ret_al_hh]]</f>
        <v>0</v>
      </c>
    </row>
    <row r="199" spans="1:84" hidden="1" x14ac:dyDescent="0.25">
      <c r="A199" s="27">
        <v>116</v>
      </c>
      <c r="B199" s="2" t="s">
        <v>22</v>
      </c>
      <c r="C199" s="2" t="s">
        <v>23</v>
      </c>
      <c r="D199" s="2" t="s">
        <v>85</v>
      </c>
      <c r="E199" s="2" t="s">
        <v>84</v>
      </c>
      <c r="F199" s="2" t="s">
        <v>157</v>
      </c>
      <c r="G199" s="2" t="s">
        <v>156</v>
      </c>
      <c r="H199" s="2" t="s">
        <v>1050</v>
      </c>
      <c r="I199" s="2" t="s">
        <v>362</v>
      </c>
      <c r="J199" s="2" t="s">
        <v>2624</v>
      </c>
      <c r="K199" s="2" t="s">
        <v>2625</v>
      </c>
      <c r="L199" s="2" t="s">
        <v>2074</v>
      </c>
      <c r="M199" s="2">
        <v>449</v>
      </c>
      <c r="N199" s="2" t="s">
        <v>1658</v>
      </c>
      <c r="O199" s="2">
        <v>4</v>
      </c>
      <c r="P199" s="2">
        <v>50</v>
      </c>
      <c r="Q199" s="2" t="s">
        <v>1658</v>
      </c>
      <c r="R199" s="2">
        <v>1</v>
      </c>
      <c r="S199" s="2" t="s">
        <v>1658</v>
      </c>
      <c r="T199" s="2">
        <v>3</v>
      </c>
      <c r="U199" s="2" t="s">
        <v>1659</v>
      </c>
      <c r="V199" s="2" t="s">
        <v>32</v>
      </c>
      <c r="W199" s="2" t="s">
        <v>1660</v>
      </c>
      <c r="X199" s="2">
        <v>0</v>
      </c>
      <c r="Y199" s="2" t="s">
        <v>32</v>
      </c>
      <c r="Z199" s="2" t="s">
        <v>32</v>
      </c>
      <c r="AA199" s="2" t="s">
        <v>1660</v>
      </c>
      <c r="AB199" s="2">
        <v>0</v>
      </c>
      <c r="AC199" s="2" t="s">
        <v>1660</v>
      </c>
      <c r="AD199" s="2">
        <v>0</v>
      </c>
      <c r="AE199" s="2" t="s">
        <v>1660</v>
      </c>
      <c r="AF199" s="2">
        <v>0</v>
      </c>
      <c r="AG199" s="2">
        <v>0</v>
      </c>
      <c r="AH199" s="2" t="s">
        <v>32</v>
      </c>
      <c r="AI199" s="2" t="s">
        <v>32</v>
      </c>
      <c r="AJ199" s="2" t="s">
        <v>32</v>
      </c>
      <c r="AK199" s="2" t="s">
        <v>32</v>
      </c>
      <c r="AL199" s="2" t="s">
        <v>32</v>
      </c>
      <c r="AM199" s="2">
        <v>0</v>
      </c>
      <c r="AN199" s="2" t="s">
        <v>32</v>
      </c>
      <c r="AO199" s="2">
        <v>0</v>
      </c>
      <c r="AP199" s="2" t="s">
        <v>32</v>
      </c>
      <c r="AQ199" s="2" t="s">
        <v>32</v>
      </c>
      <c r="AR199" s="2" t="s">
        <v>32</v>
      </c>
      <c r="AS199" s="2">
        <v>0</v>
      </c>
      <c r="AT199" s="2" t="s">
        <v>32</v>
      </c>
      <c r="AU199" s="2" t="s">
        <v>32</v>
      </c>
      <c r="AV199" s="2" t="s">
        <v>32</v>
      </c>
      <c r="AW199" s="2">
        <v>0</v>
      </c>
      <c r="AX199" s="2" t="s">
        <v>32</v>
      </c>
      <c r="AY199" s="2">
        <v>0</v>
      </c>
      <c r="AZ199" s="2" t="s">
        <v>1660</v>
      </c>
      <c r="BA199" s="2">
        <v>0</v>
      </c>
      <c r="BB199" s="2">
        <v>0</v>
      </c>
      <c r="BC199" s="2" t="s">
        <v>32</v>
      </c>
      <c r="BD199" s="2">
        <v>0</v>
      </c>
      <c r="BE199" s="2" t="s">
        <v>32</v>
      </c>
      <c r="BF199" s="2">
        <v>0</v>
      </c>
      <c r="BG199" s="2" t="s">
        <v>32</v>
      </c>
      <c r="BH199" s="2">
        <v>0</v>
      </c>
      <c r="BI199" s="2" t="s">
        <v>32</v>
      </c>
      <c r="BJ199" s="2" t="s">
        <v>32</v>
      </c>
      <c r="BK199" s="2" t="s">
        <v>32</v>
      </c>
      <c r="BL199" s="2">
        <v>0</v>
      </c>
      <c r="BM199" s="2" t="s">
        <v>32</v>
      </c>
      <c r="BN199" s="2" t="s">
        <v>32</v>
      </c>
      <c r="BO199" s="2" t="s">
        <v>32</v>
      </c>
      <c r="BP199" s="2">
        <v>0</v>
      </c>
      <c r="BQ199" s="2" t="s">
        <v>32</v>
      </c>
      <c r="BR199" s="2">
        <v>0</v>
      </c>
      <c r="BS199" s="2" t="s">
        <v>1660</v>
      </c>
      <c r="BT199" s="2">
        <v>0</v>
      </c>
      <c r="BU199" s="2">
        <v>0</v>
      </c>
      <c r="BV199" s="2" t="s">
        <v>1660</v>
      </c>
      <c r="BW199" s="2"/>
      <c r="BX199" s="2"/>
      <c r="BY199" s="2" t="s">
        <v>1807</v>
      </c>
      <c r="BZ199" s="2" t="b">
        <f>OR( (Dashboard[[#This Row],[ref_as_hh]]&gt;=1),(Dashboard[[#This Row],[ret_as_hh]] &gt;=1), (Dashboard[[#This Row],[idp_as_hh]]&gt;=1))</f>
        <v>0</v>
      </c>
      <c r="CA199" s="2">
        <f>Dashboard[[#This Row],[ret_hi_hh]]</f>
        <v>0</v>
      </c>
      <c r="CB199" s="2">
        <f>Dashboard[[#This Row],[idp_fa_hh]]+Dashboard[[#This Row],[ref_fa_hh]]+Dashboard[[#This Row],[ret_fa_hh]]</f>
        <v>1</v>
      </c>
      <c r="CC199" s="2">
        <f>Dashboard[[#This Row],[idp_loc_hh]]+Dashboard[[#This Row],[ref_loc_hh]]+Dashboard[[#This Row],[ret_loc_hh]]</f>
        <v>3</v>
      </c>
      <c r="CD199" s="2">
        <f>Dashboard[[#This Row],[idp_cc_hh]]+Dashboard[[#This Row],[ref_cc_hh]]+Dashboard[[#This Row],[ret_cc_hh]]</f>
        <v>0</v>
      </c>
      <c r="CE199" s="2">
        <f>Dashboard[[#This Row],[idp_as_hh]]+Dashboard[[#This Row],[ref_as_hh]]+Dashboard[[#This Row],[ret_as_hh]]</f>
        <v>0</v>
      </c>
      <c r="CF199" s="2">
        <f>Dashboard[[#This Row],[idp_al_hh]]+Dashboard[[#This Row],[ref_al_hh]]+Dashboard[[#This Row],[ret_al_hh]]</f>
        <v>0</v>
      </c>
    </row>
    <row r="200" spans="1:84" hidden="1" x14ac:dyDescent="0.25">
      <c r="A200" s="27">
        <v>387</v>
      </c>
      <c r="B200" s="2" t="s">
        <v>22</v>
      </c>
      <c r="C200" s="2" t="s">
        <v>23</v>
      </c>
      <c r="D200" s="2" t="s">
        <v>85</v>
      </c>
      <c r="E200" s="2" t="s">
        <v>84</v>
      </c>
      <c r="F200" s="2" t="s">
        <v>157</v>
      </c>
      <c r="G200" s="2" t="s">
        <v>156</v>
      </c>
      <c r="H200" s="2" t="s">
        <v>1043</v>
      </c>
      <c r="I200" s="2" t="s">
        <v>356</v>
      </c>
      <c r="J200" s="2" t="s">
        <v>2610</v>
      </c>
      <c r="K200" s="2" t="s">
        <v>2611</v>
      </c>
      <c r="L200" s="2" t="s">
        <v>2074</v>
      </c>
      <c r="M200" s="2">
        <v>9000</v>
      </c>
      <c r="N200" s="2" t="s">
        <v>1658</v>
      </c>
      <c r="O200" s="2">
        <v>76</v>
      </c>
      <c r="P200" s="2">
        <v>397</v>
      </c>
      <c r="Q200" s="2" t="s">
        <v>1658</v>
      </c>
      <c r="R200" s="2">
        <v>24</v>
      </c>
      <c r="S200" s="2" t="s">
        <v>1658</v>
      </c>
      <c r="T200" s="2">
        <v>52</v>
      </c>
      <c r="U200" s="2" t="s">
        <v>1659</v>
      </c>
      <c r="V200" s="2" t="s">
        <v>32</v>
      </c>
      <c r="W200" s="2" t="s">
        <v>1660</v>
      </c>
      <c r="X200" s="2">
        <v>0</v>
      </c>
      <c r="Y200" s="2" t="s">
        <v>32</v>
      </c>
      <c r="Z200" s="2" t="s">
        <v>32</v>
      </c>
      <c r="AA200" s="2" t="s">
        <v>1660</v>
      </c>
      <c r="AB200" s="2">
        <v>0</v>
      </c>
      <c r="AC200" s="2" t="s">
        <v>1660</v>
      </c>
      <c r="AD200" s="2">
        <v>0</v>
      </c>
      <c r="AE200" s="2" t="s">
        <v>1660</v>
      </c>
      <c r="AF200" s="2">
        <v>0</v>
      </c>
      <c r="AG200" s="2">
        <v>0</v>
      </c>
      <c r="AH200" s="2" t="s">
        <v>32</v>
      </c>
      <c r="AI200" s="2" t="s">
        <v>32</v>
      </c>
      <c r="AJ200" s="2" t="s">
        <v>32</v>
      </c>
      <c r="AK200" s="2" t="s">
        <v>32</v>
      </c>
      <c r="AL200" s="2" t="s">
        <v>32</v>
      </c>
      <c r="AM200" s="2">
        <v>0</v>
      </c>
      <c r="AN200" s="2" t="s">
        <v>32</v>
      </c>
      <c r="AO200" s="2">
        <v>0</v>
      </c>
      <c r="AP200" s="2" t="s">
        <v>32</v>
      </c>
      <c r="AQ200" s="2" t="s">
        <v>32</v>
      </c>
      <c r="AR200" s="2" t="s">
        <v>32</v>
      </c>
      <c r="AS200" s="2">
        <v>0</v>
      </c>
      <c r="AT200" s="2" t="s">
        <v>32</v>
      </c>
      <c r="AU200" s="2" t="s">
        <v>32</v>
      </c>
      <c r="AV200" s="2" t="s">
        <v>32</v>
      </c>
      <c r="AW200" s="2">
        <v>0</v>
      </c>
      <c r="AX200" s="2" t="s">
        <v>32</v>
      </c>
      <c r="AY200" s="2">
        <v>0</v>
      </c>
      <c r="AZ200" s="2" t="s">
        <v>1660</v>
      </c>
      <c r="BA200" s="2">
        <v>0</v>
      </c>
      <c r="BB200" s="2">
        <v>0</v>
      </c>
      <c r="BC200" s="2" t="s">
        <v>32</v>
      </c>
      <c r="BD200" s="2">
        <v>0</v>
      </c>
      <c r="BE200" s="2" t="s">
        <v>32</v>
      </c>
      <c r="BF200" s="2">
        <v>0</v>
      </c>
      <c r="BG200" s="2" t="s">
        <v>32</v>
      </c>
      <c r="BH200" s="2">
        <v>0</v>
      </c>
      <c r="BI200" s="2" t="s">
        <v>32</v>
      </c>
      <c r="BJ200" s="2" t="s">
        <v>32</v>
      </c>
      <c r="BK200" s="2" t="s">
        <v>32</v>
      </c>
      <c r="BL200" s="2">
        <v>0</v>
      </c>
      <c r="BM200" s="2" t="s">
        <v>32</v>
      </c>
      <c r="BN200" s="2" t="s">
        <v>32</v>
      </c>
      <c r="BO200" s="2" t="s">
        <v>32</v>
      </c>
      <c r="BP200" s="2">
        <v>0</v>
      </c>
      <c r="BQ200" s="2" t="s">
        <v>32</v>
      </c>
      <c r="BR200" s="2">
        <v>0</v>
      </c>
      <c r="BS200" s="2" t="s">
        <v>1660</v>
      </c>
      <c r="BT200" s="2">
        <v>0</v>
      </c>
      <c r="BU200" s="2">
        <v>0</v>
      </c>
      <c r="BV200" s="2" t="s">
        <v>1660</v>
      </c>
      <c r="BW200" s="2"/>
      <c r="BX200" s="2"/>
      <c r="BY200" s="2" t="s">
        <v>1807</v>
      </c>
      <c r="BZ200" s="2" t="b">
        <f>OR( (Dashboard[[#This Row],[ref_as_hh]]&gt;=1),(Dashboard[[#This Row],[ret_as_hh]] &gt;=1), (Dashboard[[#This Row],[idp_as_hh]]&gt;=1))</f>
        <v>0</v>
      </c>
      <c r="CA200" s="2">
        <f>Dashboard[[#This Row],[ret_hi_hh]]</f>
        <v>0</v>
      </c>
      <c r="CB200" s="2">
        <f>Dashboard[[#This Row],[idp_fa_hh]]+Dashboard[[#This Row],[ref_fa_hh]]+Dashboard[[#This Row],[ret_fa_hh]]</f>
        <v>24</v>
      </c>
      <c r="CC200" s="2">
        <f>Dashboard[[#This Row],[idp_loc_hh]]+Dashboard[[#This Row],[ref_loc_hh]]+Dashboard[[#This Row],[ret_loc_hh]]</f>
        <v>52</v>
      </c>
      <c r="CD200" s="2">
        <f>Dashboard[[#This Row],[idp_cc_hh]]+Dashboard[[#This Row],[ref_cc_hh]]+Dashboard[[#This Row],[ret_cc_hh]]</f>
        <v>0</v>
      </c>
      <c r="CE200" s="2">
        <f>Dashboard[[#This Row],[idp_as_hh]]+Dashboard[[#This Row],[ref_as_hh]]+Dashboard[[#This Row],[ret_as_hh]]</f>
        <v>0</v>
      </c>
      <c r="CF200" s="2">
        <f>Dashboard[[#This Row],[idp_al_hh]]+Dashboard[[#This Row],[ref_al_hh]]+Dashboard[[#This Row],[ret_al_hh]]</f>
        <v>0</v>
      </c>
    </row>
    <row r="201" spans="1:84" hidden="1" x14ac:dyDescent="0.25">
      <c r="A201" s="27">
        <v>392</v>
      </c>
      <c r="B201" s="2" t="s">
        <v>22</v>
      </c>
      <c r="C201" s="2" t="s">
        <v>23</v>
      </c>
      <c r="D201" s="2" t="s">
        <v>85</v>
      </c>
      <c r="E201" s="2" t="s">
        <v>84</v>
      </c>
      <c r="F201" s="2" t="s">
        <v>157</v>
      </c>
      <c r="G201" s="2" t="s">
        <v>156</v>
      </c>
      <c r="H201" s="2" t="s">
        <v>1036</v>
      </c>
      <c r="I201" s="2" t="s">
        <v>349</v>
      </c>
      <c r="J201" s="2" t="s">
        <v>2596</v>
      </c>
      <c r="K201" s="2" t="s">
        <v>2597</v>
      </c>
      <c r="L201" s="2" t="s">
        <v>2074</v>
      </c>
      <c r="M201" s="2">
        <v>2597</v>
      </c>
      <c r="N201" s="2" t="s">
        <v>1658</v>
      </c>
      <c r="O201" s="2">
        <v>21</v>
      </c>
      <c r="P201" s="2">
        <v>105</v>
      </c>
      <c r="Q201" s="2" t="s">
        <v>1658</v>
      </c>
      <c r="R201" s="2">
        <v>4</v>
      </c>
      <c r="S201" s="2" t="s">
        <v>1658</v>
      </c>
      <c r="T201" s="2">
        <v>17</v>
      </c>
      <c r="U201" s="2" t="s">
        <v>1659</v>
      </c>
      <c r="V201" s="2" t="s">
        <v>32</v>
      </c>
      <c r="W201" s="2" t="s">
        <v>1660</v>
      </c>
      <c r="X201" s="2">
        <v>0</v>
      </c>
      <c r="Y201" s="2" t="s">
        <v>32</v>
      </c>
      <c r="Z201" s="2" t="s">
        <v>32</v>
      </c>
      <c r="AA201" s="2" t="s">
        <v>1660</v>
      </c>
      <c r="AB201" s="2">
        <v>0</v>
      </c>
      <c r="AC201" s="2" t="s">
        <v>1660</v>
      </c>
      <c r="AD201" s="2">
        <v>0</v>
      </c>
      <c r="AE201" s="2" t="s">
        <v>1660</v>
      </c>
      <c r="AF201" s="2">
        <v>0</v>
      </c>
      <c r="AG201" s="2">
        <v>0</v>
      </c>
      <c r="AH201" s="2" t="s">
        <v>32</v>
      </c>
      <c r="AI201" s="2" t="s">
        <v>32</v>
      </c>
      <c r="AJ201" s="2" t="s">
        <v>32</v>
      </c>
      <c r="AK201" s="2" t="s">
        <v>32</v>
      </c>
      <c r="AL201" s="2" t="s">
        <v>32</v>
      </c>
      <c r="AM201" s="2">
        <v>0</v>
      </c>
      <c r="AN201" s="2" t="s">
        <v>32</v>
      </c>
      <c r="AO201" s="2">
        <v>0</v>
      </c>
      <c r="AP201" s="2" t="s">
        <v>32</v>
      </c>
      <c r="AQ201" s="2" t="s">
        <v>32</v>
      </c>
      <c r="AR201" s="2" t="s">
        <v>32</v>
      </c>
      <c r="AS201" s="2">
        <v>0</v>
      </c>
      <c r="AT201" s="2" t="s">
        <v>32</v>
      </c>
      <c r="AU201" s="2" t="s">
        <v>32</v>
      </c>
      <c r="AV201" s="2" t="s">
        <v>32</v>
      </c>
      <c r="AW201" s="2">
        <v>0</v>
      </c>
      <c r="AX201" s="2" t="s">
        <v>32</v>
      </c>
      <c r="AY201" s="2">
        <v>0</v>
      </c>
      <c r="AZ201" s="2" t="s">
        <v>1660</v>
      </c>
      <c r="BA201" s="2">
        <v>0</v>
      </c>
      <c r="BB201" s="2">
        <v>0</v>
      </c>
      <c r="BC201" s="2" t="s">
        <v>32</v>
      </c>
      <c r="BD201" s="2">
        <v>0</v>
      </c>
      <c r="BE201" s="2" t="s">
        <v>32</v>
      </c>
      <c r="BF201" s="2">
        <v>0</v>
      </c>
      <c r="BG201" s="2" t="s">
        <v>32</v>
      </c>
      <c r="BH201" s="2">
        <v>0</v>
      </c>
      <c r="BI201" s="2" t="s">
        <v>32</v>
      </c>
      <c r="BJ201" s="2" t="s">
        <v>32</v>
      </c>
      <c r="BK201" s="2" t="s">
        <v>32</v>
      </c>
      <c r="BL201" s="2">
        <v>0</v>
      </c>
      <c r="BM201" s="2" t="s">
        <v>32</v>
      </c>
      <c r="BN201" s="2" t="s">
        <v>32</v>
      </c>
      <c r="BO201" s="2" t="s">
        <v>32</v>
      </c>
      <c r="BP201" s="2">
        <v>0</v>
      </c>
      <c r="BQ201" s="2" t="s">
        <v>32</v>
      </c>
      <c r="BR201" s="2">
        <v>0</v>
      </c>
      <c r="BS201" s="2" t="s">
        <v>1660</v>
      </c>
      <c r="BT201" s="2">
        <v>0</v>
      </c>
      <c r="BU201" s="2">
        <v>0</v>
      </c>
      <c r="BV201" s="2" t="s">
        <v>1660</v>
      </c>
      <c r="BW201" s="2"/>
      <c r="BX201" s="2"/>
      <c r="BY201" s="2" t="s">
        <v>1807</v>
      </c>
      <c r="BZ201" s="2" t="b">
        <f>OR( (Dashboard[[#This Row],[ref_as_hh]]&gt;=1),(Dashboard[[#This Row],[ret_as_hh]] &gt;=1), (Dashboard[[#This Row],[idp_as_hh]]&gt;=1))</f>
        <v>0</v>
      </c>
      <c r="CA201" s="2">
        <f>Dashboard[[#This Row],[ret_hi_hh]]</f>
        <v>0</v>
      </c>
      <c r="CB201" s="2">
        <f>Dashboard[[#This Row],[idp_fa_hh]]+Dashboard[[#This Row],[ref_fa_hh]]+Dashboard[[#This Row],[ret_fa_hh]]</f>
        <v>4</v>
      </c>
      <c r="CC201" s="2">
        <f>Dashboard[[#This Row],[idp_loc_hh]]+Dashboard[[#This Row],[ref_loc_hh]]+Dashboard[[#This Row],[ret_loc_hh]]</f>
        <v>17</v>
      </c>
      <c r="CD201" s="2">
        <f>Dashboard[[#This Row],[idp_cc_hh]]+Dashboard[[#This Row],[ref_cc_hh]]+Dashboard[[#This Row],[ret_cc_hh]]</f>
        <v>0</v>
      </c>
      <c r="CE201" s="2">
        <f>Dashboard[[#This Row],[idp_as_hh]]+Dashboard[[#This Row],[ref_as_hh]]+Dashboard[[#This Row],[ret_as_hh]]</f>
        <v>0</v>
      </c>
      <c r="CF201" s="2">
        <f>Dashboard[[#This Row],[idp_al_hh]]+Dashboard[[#This Row],[ref_al_hh]]+Dashboard[[#This Row],[ret_al_hh]]</f>
        <v>0</v>
      </c>
    </row>
    <row r="202" spans="1:84" hidden="1" x14ac:dyDescent="0.25">
      <c r="A202" s="27">
        <v>393</v>
      </c>
      <c r="B202" s="2" t="s">
        <v>22</v>
      </c>
      <c r="C202" s="2" t="s">
        <v>23</v>
      </c>
      <c r="D202" s="2" t="s">
        <v>85</v>
      </c>
      <c r="E202" s="2" t="s">
        <v>84</v>
      </c>
      <c r="F202" s="2" t="s">
        <v>157</v>
      </c>
      <c r="G202" s="2" t="s">
        <v>156</v>
      </c>
      <c r="H202" s="2" t="s">
        <v>1037</v>
      </c>
      <c r="I202" s="2" t="s">
        <v>350</v>
      </c>
      <c r="J202" s="2" t="s">
        <v>2598</v>
      </c>
      <c r="K202" s="2" t="s">
        <v>2599</v>
      </c>
      <c r="L202" s="2" t="s">
        <v>2074</v>
      </c>
      <c r="M202" s="2">
        <v>880</v>
      </c>
      <c r="N202" s="2" t="s">
        <v>1658</v>
      </c>
      <c r="O202" s="2">
        <v>10</v>
      </c>
      <c r="P202" s="2">
        <v>35</v>
      </c>
      <c r="Q202" s="2" t="s">
        <v>1658</v>
      </c>
      <c r="R202" s="2">
        <v>4</v>
      </c>
      <c r="S202" s="2" t="s">
        <v>1658</v>
      </c>
      <c r="T202" s="2">
        <v>6</v>
      </c>
      <c r="U202" s="2" t="s">
        <v>1659</v>
      </c>
      <c r="V202" s="2" t="s">
        <v>32</v>
      </c>
      <c r="W202" s="2" t="s">
        <v>1660</v>
      </c>
      <c r="X202" s="2">
        <v>0</v>
      </c>
      <c r="Y202" s="2" t="s">
        <v>32</v>
      </c>
      <c r="Z202" s="2" t="s">
        <v>32</v>
      </c>
      <c r="AA202" s="2" t="s">
        <v>1660</v>
      </c>
      <c r="AB202" s="2">
        <v>0</v>
      </c>
      <c r="AC202" s="2" t="s">
        <v>1660</v>
      </c>
      <c r="AD202" s="2">
        <v>0</v>
      </c>
      <c r="AE202" s="2" t="s">
        <v>1660</v>
      </c>
      <c r="AF202" s="2">
        <v>0</v>
      </c>
      <c r="AG202" s="2">
        <v>0</v>
      </c>
      <c r="AH202" s="2" t="s">
        <v>32</v>
      </c>
      <c r="AI202" s="2" t="s">
        <v>32</v>
      </c>
      <c r="AJ202" s="2" t="s">
        <v>32</v>
      </c>
      <c r="AK202" s="2" t="s">
        <v>32</v>
      </c>
      <c r="AL202" s="2" t="s">
        <v>32</v>
      </c>
      <c r="AM202" s="2">
        <v>0</v>
      </c>
      <c r="AN202" s="2" t="s">
        <v>32</v>
      </c>
      <c r="AO202" s="2">
        <v>0</v>
      </c>
      <c r="AP202" s="2" t="s">
        <v>32</v>
      </c>
      <c r="AQ202" s="2" t="s">
        <v>32</v>
      </c>
      <c r="AR202" s="2" t="s">
        <v>32</v>
      </c>
      <c r="AS202" s="2">
        <v>0</v>
      </c>
      <c r="AT202" s="2" t="s">
        <v>32</v>
      </c>
      <c r="AU202" s="2" t="s">
        <v>32</v>
      </c>
      <c r="AV202" s="2" t="s">
        <v>32</v>
      </c>
      <c r="AW202" s="2">
        <v>0</v>
      </c>
      <c r="AX202" s="2" t="s">
        <v>32</v>
      </c>
      <c r="AY202" s="2">
        <v>0</v>
      </c>
      <c r="AZ202" s="2" t="s">
        <v>1660</v>
      </c>
      <c r="BA202" s="2">
        <v>0</v>
      </c>
      <c r="BB202" s="2">
        <v>0</v>
      </c>
      <c r="BC202" s="2" t="s">
        <v>32</v>
      </c>
      <c r="BD202" s="2">
        <v>0</v>
      </c>
      <c r="BE202" s="2" t="s">
        <v>32</v>
      </c>
      <c r="BF202" s="2">
        <v>0</v>
      </c>
      <c r="BG202" s="2" t="s">
        <v>32</v>
      </c>
      <c r="BH202" s="2">
        <v>0</v>
      </c>
      <c r="BI202" s="2" t="s">
        <v>32</v>
      </c>
      <c r="BJ202" s="2" t="s">
        <v>32</v>
      </c>
      <c r="BK202" s="2" t="s">
        <v>32</v>
      </c>
      <c r="BL202" s="2">
        <v>0</v>
      </c>
      <c r="BM202" s="2" t="s">
        <v>32</v>
      </c>
      <c r="BN202" s="2" t="s">
        <v>32</v>
      </c>
      <c r="BO202" s="2" t="s">
        <v>32</v>
      </c>
      <c r="BP202" s="2">
        <v>0</v>
      </c>
      <c r="BQ202" s="2" t="s">
        <v>32</v>
      </c>
      <c r="BR202" s="2">
        <v>0</v>
      </c>
      <c r="BS202" s="2" t="s">
        <v>1660</v>
      </c>
      <c r="BT202" s="2">
        <v>0</v>
      </c>
      <c r="BU202" s="2">
        <v>0</v>
      </c>
      <c r="BV202" s="2" t="s">
        <v>1660</v>
      </c>
      <c r="BW202" s="2"/>
      <c r="BX202" s="2"/>
      <c r="BY202" s="2" t="s">
        <v>1807</v>
      </c>
      <c r="BZ202" s="2" t="b">
        <f>OR( (Dashboard[[#This Row],[ref_as_hh]]&gt;=1),(Dashboard[[#This Row],[ret_as_hh]] &gt;=1), (Dashboard[[#This Row],[idp_as_hh]]&gt;=1))</f>
        <v>0</v>
      </c>
      <c r="CA202" s="2">
        <f>Dashboard[[#This Row],[ret_hi_hh]]</f>
        <v>0</v>
      </c>
      <c r="CB202" s="2">
        <f>Dashboard[[#This Row],[idp_fa_hh]]+Dashboard[[#This Row],[ref_fa_hh]]+Dashboard[[#This Row],[ret_fa_hh]]</f>
        <v>4</v>
      </c>
      <c r="CC202" s="2">
        <f>Dashboard[[#This Row],[idp_loc_hh]]+Dashboard[[#This Row],[ref_loc_hh]]+Dashboard[[#This Row],[ret_loc_hh]]</f>
        <v>6</v>
      </c>
      <c r="CD202" s="2">
        <f>Dashboard[[#This Row],[idp_cc_hh]]+Dashboard[[#This Row],[ref_cc_hh]]+Dashboard[[#This Row],[ret_cc_hh]]</f>
        <v>0</v>
      </c>
      <c r="CE202" s="2">
        <f>Dashboard[[#This Row],[idp_as_hh]]+Dashboard[[#This Row],[ref_as_hh]]+Dashboard[[#This Row],[ret_as_hh]]</f>
        <v>0</v>
      </c>
      <c r="CF202" s="2">
        <f>Dashboard[[#This Row],[idp_al_hh]]+Dashboard[[#This Row],[ref_al_hh]]+Dashboard[[#This Row],[ret_al_hh]]</f>
        <v>0</v>
      </c>
    </row>
    <row r="203" spans="1:84" hidden="1" x14ac:dyDescent="0.25">
      <c r="A203" s="27">
        <v>142</v>
      </c>
      <c r="B203" s="2" t="s">
        <v>22</v>
      </c>
      <c r="C203" s="2" t="s">
        <v>23</v>
      </c>
      <c r="D203" s="2" t="s">
        <v>85</v>
      </c>
      <c r="E203" s="2" t="s">
        <v>84</v>
      </c>
      <c r="F203" s="2" t="s">
        <v>157</v>
      </c>
      <c r="G203" s="2" t="s">
        <v>156</v>
      </c>
      <c r="H203" s="2" t="s">
        <v>1053</v>
      </c>
      <c r="I203" s="2" t="s">
        <v>365</v>
      </c>
      <c r="J203" s="2" t="s">
        <v>2630</v>
      </c>
      <c r="K203" s="2" t="s">
        <v>2631</v>
      </c>
      <c r="L203" s="2" t="s">
        <v>2074</v>
      </c>
      <c r="M203" s="2">
        <v>2359</v>
      </c>
      <c r="N203" s="2" t="s">
        <v>1658</v>
      </c>
      <c r="O203" s="2">
        <v>23</v>
      </c>
      <c r="P203" s="2">
        <v>157</v>
      </c>
      <c r="Q203" s="2" t="s">
        <v>1658</v>
      </c>
      <c r="R203" s="2">
        <v>5</v>
      </c>
      <c r="S203" s="2" t="s">
        <v>1658</v>
      </c>
      <c r="T203" s="2">
        <v>18</v>
      </c>
      <c r="U203" s="2" t="s">
        <v>1659</v>
      </c>
      <c r="V203" s="2" t="s">
        <v>32</v>
      </c>
      <c r="W203" s="2" t="s">
        <v>1660</v>
      </c>
      <c r="X203" s="2">
        <v>0</v>
      </c>
      <c r="Y203" s="2" t="s">
        <v>32</v>
      </c>
      <c r="Z203" s="2" t="s">
        <v>32</v>
      </c>
      <c r="AA203" s="2" t="s">
        <v>1660</v>
      </c>
      <c r="AB203" s="2">
        <v>0</v>
      </c>
      <c r="AC203" s="2" t="s">
        <v>1660</v>
      </c>
      <c r="AD203" s="2">
        <v>0</v>
      </c>
      <c r="AE203" s="2" t="s">
        <v>1660</v>
      </c>
      <c r="AF203" s="2">
        <v>0</v>
      </c>
      <c r="AG203" s="2">
        <v>0</v>
      </c>
      <c r="AH203" s="2" t="s">
        <v>32</v>
      </c>
      <c r="AI203" s="2" t="s">
        <v>32</v>
      </c>
      <c r="AJ203" s="2" t="s">
        <v>32</v>
      </c>
      <c r="AK203" s="2" t="s">
        <v>32</v>
      </c>
      <c r="AL203" s="2" t="s">
        <v>32</v>
      </c>
      <c r="AM203" s="2">
        <v>0</v>
      </c>
      <c r="AN203" s="2" t="s">
        <v>32</v>
      </c>
      <c r="AO203" s="2">
        <v>0</v>
      </c>
      <c r="AP203" s="2" t="s">
        <v>32</v>
      </c>
      <c r="AQ203" s="2" t="s">
        <v>32</v>
      </c>
      <c r="AR203" s="2" t="s">
        <v>32</v>
      </c>
      <c r="AS203" s="2">
        <v>0</v>
      </c>
      <c r="AT203" s="2" t="s">
        <v>32</v>
      </c>
      <c r="AU203" s="2" t="s">
        <v>32</v>
      </c>
      <c r="AV203" s="2" t="s">
        <v>32</v>
      </c>
      <c r="AW203" s="2">
        <v>0</v>
      </c>
      <c r="AX203" s="2" t="s">
        <v>32</v>
      </c>
      <c r="AY203" s="2">
        <v>0</v>
      </c>
      <c r="AZ203" s="2" t="s">
        <v>1660</v>
      </c>
      <c r="BA203" s="2">
        <v>0</v>
      </c>
      <c r="BB203" s="2">
        <v>0</v>
      </c>
      <c r="BC203" s="2" t="s">
        <v>32</v>
      </c>
      <c r="BD203" s="2">
        <v>0</v>
      </c>
      <c r="BE203" s="2" t="s">
        <v>32</v>
      </c>
      <c r="BF203" s="2">
        <v>0</v>
      </c>
      <c r="BG203" s="2" t="s">
        <v>32</v>
      </c>
      <c r="BH203" s="2">
        <v>0</v>
      </c>
      <c r="BI203" s="2" t="s">
        <v>32</v>
      </c>
      <c r="BJ203" s="2" t="s">
        <v>32</v>
      </c>
      <c r="BK203" s="2" t="s">
        <v>32</v>
      </c>
      <c r="BL203" s="2">
        <v>0</v>
      </c>
      <c r="BM203" s="2" t="s">
        <v>32</v>
      </c>
      <c r="BN203" s="2" t="s">
        <v>32</v>
      </c>
      <c r="BO203" s="2" t="s">
        <v>32</v>
      </c>
      <c r="BP203" s="2">
        <v>0</v>
      </c>
      <c r="BQ203" s="2" t="s">
        <v>32</v>
      </c>
      <c r="BR203" s="2">
        <v>0</v>
      </c>
      <c r="BS203" s="2" t="s">
        <v>1660</v>
      </c>
      <c r="BT203" s="2">
        <v>0</v>
      </c>
      <c r="BU203" s="2">
        <v>0</v>
      </c>
      <c r="BV203" s="2" t="s">
        <v>1660</v>
      </c>
      <c r="BW203" s="2"/>
      <c r="BX203" s="2"/>
      <c r="BY203" s="2" t="s">
        <v>1807</v>
      </c>
      <c r="BZ203" s="2" t="b">
        <f>OR( (Dashboard[[#This Row],[ref_as_hh]]&gt;=1),(Dashboard[[#This Row],[ret_as_hh]] &gt;=1), (Dashboard[[#This Row],[idp_as_hh]]&gt;=1))</f>
        <v>0</v>
      </c>
      <c r="CA203" s="2">
        <f>Dashboard[[#This Row],[ret_hi_hh]]</f>
        <v>0</v>
      </c>
      <c r="CB203" s="2">
        <f>Dashboard[[#This Row],[idp_fa_hh]]+Dashboard[[#This Row],[ref_fa_hh]]+Dashboard[[#This Row],[ret_fa_hh]]</f>
        <v>5</v>
      </c>
      <c r="CC203" s="2">
        <f>Dashboard[[#This Row],[idp_loc_hh]]+Dashboard[[#This Row],[ref_loc_hh]]+Dashboard[[#This Row],[ret_loc_hh]]</f>
        <v>18</v>
      </c>
      <c r="CD203" s="2">
        <f>Dashboard[[#This Row],[idp_cc_hh]]+Dashboard[[#This Row],[ref_cc_hh]]+Dashboard[[#This Row],[ret_cc_hh]]</f>
        <v>0</v>
      </c>
      <c r="CE203" s="2">
        <f>Dashboard[[#This Row],[idp_as_hh]]+Dashboard[[#This Row],[ref_as_hh]]+Dashboard[[#This Row],[ret_as_hh]]</f>
        <v>0</v>
      </c>
      <c r="CF203" s="2">
        <f>Dashboard[[#This Row],[idp_al_hh]]+Dashboard[[#This Row],[ref_al_hh]]+Dashboard[[#This Row],[ret_al_hh]]</f>
        <v>0</v>
      </c>
    </row>
    <row r="204" spans="1:84" hidden="1" x14ac:dyDescent="0.25">
      <c r="A204" s="27">
        <v>144</v>
      </c>
      <c r="B204" s="2" t="s">
        <v>22</v>
      </c>
      <c r="C204" s="2" t="s">
        <v>23</v>
      </c>
      <c r="D204" s="2" t="s">
        <v>85</v>
      </c>
      <c r="E204" s="2" t="s">
        <v>84</v>
      </c>
      <c r="F204" s="2" t="s">
        <v>157</v>
      </c>
      <c r="G204" s="2" t="s">
        <v>156</v>
      </c>
      <c r="H204" s="2" t="s">
        <v>1020</v>
      </c>
      <c r="I204" s="2" t="s">
        <v>333</v>
      </c>
      <c r="J204" s="2" t="s">
        <v>2564</v>
      </c>
      <c r="K204" s="2" t="s">
        <v>2565</v>
      </c>
      <c r="L204" s="2" t="s">
        <v>2074</v>
      </c>
      <c r="M204" s="2">
        <v>2442</v>
      </c>
      <c r="N204" s="2" t="s">
        <v>1658</v>
      </c>
      <c r="O204" s="2">
        <v>96</v>
      </c>
      <c r="P204" s="2">
        <v>492</v>
      </c>
      <c r="Q204" s="2" t="s">
        <v>1658</v>
      </c>
      <c r="R204" s="2">
        <v>25</v>
      </c>
      <c r="S204" s="2" t="s">
        <v>1658</v>
      </c>
      <c r="T204" s="2">
        <v>71</v>
      </c>
      <c r="U204" s="2" t="s">
        <v>1659</v>
      </c>
      <c r="V204" s="2" t="s">
        <v>32</v>
      </c>
      <c r="W204" s="2" t="s">
        <v>1660</v>
      </c>
      <c r="X204" s="2">
        <v>0</v>
      </c>
      <c r="Y204" s="2" t="s">
        <v>32</v>
      </c>
      <c r="Z204" s="2" t="s">
        <v>32</v>
      </c>
      <c r="AA204" s="2" t="s">
        <v>1660</v>
      </c>
      <c r="AB204" s="2">
        <v>0</v>
      </c>
      <c r="AC204" s="2" t="s">
        <v>1660</v>
      </c>
      <c r="AD204" s="2">
        <v>0</v>
      </c>
      <c r="AE204" s="2" t="s">
        <v>1660</v>
      </c>
      <c r="AF204" s="2">
        <v>0</v>
      </c>
      <c r="AG204" s="2">
        <v>0</v>
      </c>
      <c r="AH204" s="2" t="s">
        <v>32</v>
      </c>
      <c r="AI204" s="2" t="s">
        <v>32</v>
      </c>
      <c r="AJ204" s="2" t="s">
        <v>32</v>
      </c>
      <c r="AK204" s="2" t="s">
        <v>32</v>
      </c>
      <c r="AL204" s="2" t="s">
        <v>32</v>
      </c>
      <c r="AM204" s="2">
        <v>0</v>
      </c>
      <c r="AN204" s="2" t="s">
        <v>32</v>
      </c>
      <c r="AO204" s="2">
        <v>0</v>
      </c>
      <c r="AP204" s="2" t="s">
        <v>32</v>
      </c>
      <c r="AQ204" s="2" t="s">
        <v>32</v>
      </c>
      <c r="AR204" s="2" t="s">
        <v>32</v>
      </c>
      <c r="AS204" s="2">
        <v>0</v>
      </c>
      <c r="AT204" s="2" t="s">
        <v>32</v>
      </c>
      <c r="AU204" s="2" t="s">
        <v>32</v>
      </c>
      <c r="AV204" s="2" t="s">
        <v>32</v>
      </c>
      <c r="AW204" s="2">
        <v>0</v>
      </c>
      <c r="AX204" s="2" t="s">
        <v>32</v>
      </c>
      <c r="AY204" s="2">
        <v>0</v>
      </c>
      <c r="AZ204" s="2" t="s">
        <v>1660</v>
      </c>
      <c r="BA204" s="2">
        <v>0</v>
      </c>
      <c r="BB204" s="2">
        <v>0</v>
      </c>
      <c r="BC204" s="2" t="s">
        <v>32</v>
      </c>
      <c r="BD204" s="2">
        <v>0</v>
      </c>
      <c r="BE204" s="2" t="s">
        <v>32</v>
      </c>
      <c r="BF204" s="2">
        <v>0</v>
      </c>
      <c r="BG204" s="2" t="s">
        <v>32</v>
      </c>
      <c r="BH204" s="2">
        <v>0</v>
      </c>
      <c r="BI204" s="2" t="s">
        <v>32</v>
      </c>
      <c r="BJ204" s="2" t="s">
        <v>32</v>
      </c>
      <c r="BK204" s="2" t="s">
        <v>32</v>
      </c>
      <c r="BL204" s="2">
        <v>0</v>
      </c>
      <c r="BM204" s="2" t="s">
        <v>32</v>
      </c>
      <c r="BN204" s="2" t="s">
        <v>32</v>
      </c>
      <c r="BO204" s="2" t="s">
        <v>32</v>
      </c>
      <c r="BP204" s="2">
        <v>0</v>
      </c>
      <c r="BQ204" s="2" t="s">
        <v>32</v>
      </c>
      <c r="BR204" s="2">
        <v>0</v>
      </c>
      <c r="BS204" s="2" t="s">
        <v>1660</v>
      </c>
      <c r="BT204" s="2">
        <v>0</v>
      </c>
      <c r="BU204" s="2">
        <v>0</v>
      </c>
      <c r="BV204" s="2" t="s">
        <v>1660</v>
      </c>
      <c r="BW204" s="2"/>
      <c r="BX204" s="2"/>
      <c r="BY204" s="2" t="s">
        <v>1807</v>
      </c>
      <c r="BZ204" s="2" t="b">
        <f>OR( (Dashboard[[#This Row],[ref_as_hh]]&gt;=1),(Dashboard[[#This Row],[ret_as_hh]] &gt;=1), (Dashboard[[#This Row],[idp_as_hh]]&gt;=1))</f>
        <v>0</v>
      </c>
      <c r="CA204" s="2">
        <f>Dashboard[[#This Row],[ret_hi_hh]]</f>
        <v>0</v>
      </c>
      <c r="CB204" s="2">
        <f>Dashboard[[#This Row],[idp_fa_hh]]+Dashboard[[#This Row],[ref_fa_hh]]+Dashboard[[#This Row],[ret_fa_hh]]</f>
        <v>25</v>
      </c>
      <c r="CC204" s="2">
        <f>Dashboard[[#This Row],[idp_loc_hh]]+Dashboard[[#This Row],[ref_loc_hh]]+Dashboard[[#This Row],[ret_loc_hh]]</f>
        <v>71</v>
      </c>
      <c r="CD204" s="2">
        <f>Dashboard[[#This Row],[idp_cc_hh]]+Dashboard[[#This Row],[ref_cc_hh]]+Dashboard[[#This Row],[ret_cc_hh]]</f>
        <v>0</v>
      </c>
      <c r="CE204" s="2">
        <f>Dashboard[[#This Row],[idp_as_hh]]+Dashboard[[#This Row],[ref_as_hh]]+Dashboard[[#This Row],[ret_as_hh]]</f>
        <v>0</v>
      </c>
      <c r="CF204" s="2">
        <f>Dashboard[[#This Row],[idp_al_hh]]+Dashboard[[#This Row],[ref_al_hh]]+Dashboard[[#This Row],[ret_al_hh]]</f>
        <v>0</v>
      </c>
    </row>
    <row r="205" spans="1:84" hidden="1" x14ac:dyDescent="0.25">
      <c r="A205" s="27">
        <v>145</v>
      </c>
      <c r="B205" s="2" t="s">
        <v>22</v>
      </c>
      <c r="C205" s="2" t="s">
        <v>23</v>
      </c>
      <c r="D205" s="2" t="s">
        <v>85</v>
      </c>
      <c r="E205" s="2" t="s">
        <v>84</v>
      </c>
      <c r="F205" s="2" t="s">
        <v>157</v>
      </c>
      <c r="G205" s="2" t="s">
        <v>156</v>
      </c>
      <c r="H205" s="2" t="s">
        <v>1030</v>
      </c>
      <c r="I205" s="2" t="s">
        <v>343</v>
      </c>
      <c r="J205" s="2" t="s">
        <v>2584</v>
      </c>
      <c r="K205" s="2" t="s">
        <v>2585</v>
      </c>
      <c r="L205" s="2" t="s">
        <v>3705</v>
      </c>
      <c r="M205" s="2">
        <v>627</v>
      </c>
      <c r="N205" s="2" t="s">
        <v>1658</v>
      </c>
      <c r="O205" s="2">
        <v>7</v>
      </c>
      <c r="P205" s="2">
        <v>67</v>
      </c>
      <c r="Q205" s="2" t="s">
        <v>1658</v>
      </c>
      <c r="R205" s="2">
        <v>5</v>
      </c>
      <c r="S205" s="2" t="s">
        <v>1658</v>
      </c>
      <c r="T205" s="2">
        <v>2</v>
      </c>
      <c r="U205" s="2" t="s">
        <v>1661</v>
      </c>
      <c r="V205" s="2" t="s">
        <v>32</v>
      </c>
      <c r="W205" s="2" t="s">
        <v>1660</v>
      </c>
      <c r="X205" s="2">
        <v>0</v>
      </c>
      <c r="Y205" s="2" t="s">
        <v>32</v>
      </c>
      <c r="Z205" s="2" t="s">
        <v>32</v>
      </c>
      <c r="AA205" s="2" t="s">
        <v>1660</v>
      </c>
      <c r="AB205" s="2">
        <v>0</v>
      </c>
      <c r="AC205" s="2" t="s">
        <v>1660</v>
      </c>
      <c r="AD205" s="2">
        <v>0</v>
      </c>
      <c r="AE205" s="2" t="s">
        <v>1660</v>
      </c>
      <c r="AF205" s="2">
        <v>0</v>
      </c>
      <c r="AG205" s="2">
        <v>0</v>
      </c>
      <c r="AH205" s="2" t="s">
        <v>32</v>
      </c>
      <c r="AI205" s="2" t="s">
        <v>32</v>
      </c>
      <c r="AJ205" s="2" t="s">
        <v>32</v>
      </c>
      <c r="AK205" s="2" t="s">
        <v>32</v>
      </c>
      <c r="AL205" s="2" t="s">
        <v>32</v>
      </c>
      <c r="AM205" s="2">
        <v>0</v>
      </c>
      <c r="AN205" s="2" t="s">
        <v>32</v>
      </c>
      <c r="AO205" s="2">
        <v>0</v>
      </c>
      <c r="AP205" s="2" t="s">
        <v>32</v>
      </c>
      <c r="AQ205" s="2" t="s">
        <v>32</v>
      </c>
      <c r="AR205" s="2" t="s">
        <v>32</v>
      </c>
      <c r="AS205" s="2">
        <v>0</v>
      </c>
      <c r="AT205" s="2" t="s">
        <v>32</v>
      </c>
      <c r="AU205" s="2" t="s">
        <v>32</v>
      </c>
      <c r="AV205" s="2" t="s">
        <v>32</v>
      </c>
      <c r="AW205" s="2">
        <v>0</v>
      </c>
      <c r="AX205" s="2" t="s">
        <v>32</v>
      </c>
      <c r="AY205" s="2">
        <v>0</v>
      </c>
      <c r="AZ205" s="2" t="s">
        <v>1660</v>
      </c>
      <c r="BA205" s="2">
        <v>0</v>
      </c>
      <c r="BB205" s="2">
        <v>0</v>
      </c>
      <c r="BC205" s="2" t="s">
        <v>32</v>
      </c>
      <c r="BD205" s="2">
        <v>0</v>
      </c>
      <c r="BE205" s="2" t="s">
        <v>32</v>
      </c>
      <c r="BF205" s="2">
        <v>0</v>
      </c>
      <c r="BG205" s="2" t="s">
        <v>32</v>
      </c>
      <c r="BH205" s="2">
        <v>0</v>
      </c>
      <c r="BI205" s="2" t="s">
        <v>32</v>
      </c>
      <c r="BJ205" s="2" t="s">
        <v>32</v>
      </c>
      <c r="BK205" s="2" t="s">
        <v>32</v>
      </c>
      <c r="BL205" s="2">
        <v>0</v>
      </c>
      <c r="BM205" s="2" t="s">
        <v>32</v>
      </c>
      <c r="BN205" s="2" t="s">
        <v>32</v>
      </c>
      <c r="BO205" s="2" t="s">
        <v>32</v>
      </c>
      <c r="BP205" s="2">
        <v>0</v>
      </c>
      <c r="BQ205" s="2" t="s">
        <v>32</v>
      </c>
      <c r="BR205" s="2">
        <v>0</v>
      </c>
      <c r="BS205" s="2" t="s">
        <v>1660</v>
      </c>
      <c r="BT205" s="2">
        <v>0</v>
      </c>
      <c r="BU205" s="2">
        <v>0</v>
      </c>
      <c r="BV205" s="2" t="s">
        <v>1660</v>
      </c>
      <c r="BW205" s="2"/>
      <c r="BX205" s="2"/>
      <c r="BY205" s="2" t="s">
        <v>1807</v>
      </c>
      <c r="BZ205" s="2" t="b">
        <f>OR( (Dashboard[[#This Row],[ref_as_hh]]&gt;=1),(Dashboard[[#This Row],[ret_as_hh]] &gt;=1), (Dashboard[[#This Row],[idp_as_hh]]&gt;=1))</f>
        <v>0</v>
      </c>
      <c r="CA205" s="2">
        <f>Dashboard[[#This Row],[ret_hi_hh]]</f>
        <v>0</v>
      </c>
      <c r="CB205" s="2">
        <f>Dashboard[[#This Row],[idp_fa_hh]]+Dashboard[[#This Row],[ref_fa_hh]]+Dashboard[[#This Row],[ret_fa_hh]]</f>
        <v>5</v>
      </c>
      <c r="CC205" s="2">
        <f>Dashboard[[#This Row],[idp_loc_hh]]+Dashboard[[#This Row],[ref_loc_hh]]+Dashboard[[#This Row],[ret_loc_hh]]</f>
        <v>2</v>
      </c>
      <c r="CD205" s="2">
        <f>Dashboard[[#This Row],[idp_cc_hh]]+Dashboard[[#This Row],[ref_cc_hh]]+Dashboard[[#This Row],[ret_cc_hh]]</f>
        <v>0</v>
      </c>
      <c r="CE205" s="2">
        <f>Dashboard[[#This Row],[idp_as_hh]]+Dashboard[[#This Row],[ref_as_hh]]+Dashboard[[#This Row],[ret_as_hh]]</f>
        <v>0</v>
      </c>
      <c r="CF205" s="2">
        <f>Dashboard[[#This Row],[idp_al_hh]]+Dashboard[[#This Row],[ref_al_hh]]+Dashboard[[#This Row],[ret_al_hh]]</f>
        <v>0</v>
      </c>
    </row>
    <row r="206" spans="1:84" hidden="1" x14ac:dyDescent="0.25">
      <c r="A206" s="27">
        <v>146</v>
      </c>
      <c r="B206" s="2" t="s">
        <v>22</v>
      </c>
      <c r="C206" s="2" t="s">
        <v>23</v>
      </c>
      <c r="D206" s="2" t="s">
        <v>85</v>
      </c>
      <c r="E206" s="2" t="s">
        <v>84</v>
      </c>
      <c r="F206" s="2" t="s">
        <v>157</v>
      </c>
      <c r="G206" s="2" t="s">
        <v>156</v>
      </c>
      <c r="H206" s="2" t="s">
        <v>1017</v>
      </c>
      <c r="I206" s="2" t="s">
        <v>330</v>
      </c>
      <c r="J206" s="2" t="s">
        <v>2558</v>
      </c>
      <c r="K206" s="2" t="s">
        <v>2559</v>
      </c>
      <c r="L206" s="2" t="s">
        <v>3706</v>
      </c>
      <c r="M206" s="2">
        <v>2066</v>
      </c>
      <c r="N206" s="2" t="s">
        <v>1658</v>
      </c>
      <c r="O206" s="2">
        <v>45</v>
      </c>
      <c r="P206" s="2">
        <v>366</v>
      </c>
      <c r="Q206" s="2" t="s">
        <v>1658</v>
      </c>
      <c r="R206" s="2">
        <v>21</v>
      </c>
      <c r="S206" s="2" t="s">
        <v>1658</v>
      </c>
      <c r="T206" s="2">
        <v>24</v>
      </c>
      <c r="U206" s="2" t="s">
        <v>1659</v>
      </c>
      <c r="V206" s="2" t="s">
        <v>32</v>
      </c>
      <c r="W206" s="2" t="s">
        <v>1660</v>
      </c>
      <c r="X206" s="2">
        <v>0</v>
      </c>
      <c r="Y206" s="2" t="s">
        <v>32</v>
      </c>
      <c r="Z206" s="2" t="s">
        <v>32</v>
      </c>
      <c r="AA206" s="2" t="s">
        <v>1660</v>
      </c>
      <c r="AB206" s="2">
        <v>0</v>
      </c>
      <c r="AC206" s="2" t="s">
        <v>1660</v>
      </c>
      <c r="AD206" s="2">
        <v>0</v>
      </c>
      <c r="AE206" s="2" t="s">
        <v>1660</v>
      </c>
      <c r="AF206" s="2">
        <v>0</v>
      </c>
      <c r="AG206" s="2">
        <v>0</v>
      </c>
      <c r="AH206" s="2" t="s">
        <v>32</v>
      </c>
      <c r="AI206" s="2" t="s">
        <v>32</v>
      </c>
      <c r="AJ206" s="2" t="s">
        <v>32</v>
      </c>
      <c r="AK206" s="2" t="s">
        <v>32</v>
      </c>
      <c r="AL206" s="2" t="s">
        <v>32</v>
      </c>
      <c r="AM206" s="2">
        <v>0</v>
      </c>
      <c r="AN206" s="2" t="s">
        <v>32</v>
      </c>
      <c r="AO206" s="2">
        <v>0</v>
      </c>
      <c r="AP206" s="2" t="s">
        <v>32</v>
      </c>
      <c r="AQ206" s="2" t="s">
        <v>32</v>
      </c>
      <c r="AR206" s="2" t="s">
        <v>32</v>
      </c>
      <c r="AS206" s="2">
        <v>0</v>
      </c>
      <c r="AT206" s="2" t="s">
        <v>32</v>
      </c>
      <c r="AU206" s="2" t="s">
        <v>32</v>
      </c>
      <c r="AV206" s="2" t="s">
        <v>32</v>
      </c>
      <c r="AW206" s="2">
        <v>0</v>
      </c>
      <c r="AX206" s="2" t="s">
        <v>32</v>
      </c>
      <c r="AY206" s="2">
        <v>0</v>
      </c>
      <c r="AZ206" s="2" t="s">
        <v>1660</v>
      </c>
      <c r="BA206" s="2">
        <v>0</v>
      </c>
      <c r="BB206" s="2">
        <v>0</v>
      </c>
      <c r="BC206" s="2" t="s">
        <v>32</v>
      </c>
      <c r="BD206" s="2">
        <v>0</v>
      </c>
      <c r="BE206" s="2" t="s">
        <v>32</v>
      </c>
      <c r="BF206" s="2">
        <v>0</v>
      </c>
      <c r="BG206" s="2" t="s">
        <v>32</v>
      </c>
      <c r="BH206" s="2">
        <v>0</v>
      </c>
      <c r="BI206" s="2" t="s">
        <v>32</v>
      </c>
      <c r="BJ206" s="2" t="s">
        <v>32</v>
      </c>
      <c r="BK206" s="2" t="s">
        <v>32</v>
      </c>
      <c r="BL206" s="2">
        <v>0</v>
      </c>
      <c r="BM206" s="2" t="s">
        <v>32</v>
      </c>
      <c r="BN206" s="2" t="s">
        <v>32</v>
      </c>
      <c r="BO206" s="2" t="s">
        <v>32</v>
      </c>
      <c r="BP206" s="2">
        <v>0</v>
      </c>
      <c r="BQ206" s="2" t="s">
        <v>32</v>
      </c>
      <c r="BR206" s="2">
        <v>0</v>
      </c>
      <c r="BS206" s="2" t="s">
        <v>1660</v>
      </c>
      <c r="BT206" s="2">
        <v>0</v>
      </c>
      <c r="BU206" s="2">
        <v>0</v>
      </c>
      <c r="BV206" s="2" t="s">
        <v>1660</v>
      </c>
      <c r="BW206" s="2"/>
      <c r="BX206" s="2"/>
      <c r="BY206" s="2" t="s">
        <v>1807</v>
      </c>
      <c r="BZ206" s="2" t="b">
        <f>OR( (Dashboard[[#This Row],[ref_as_hh]]&gt;=1),(Dashboard[[#This Row],[ret_as_hh]] &gt;=1), (Dashboard[[#This Row],[idp_as_hh]]&gt;=1))</f>
        <v>0</v>
      </c>
      <c r="CA206" s="2">
        <f>Dashboard[[#This Row],[ret_hi_hh]]</f>
        <v>0</v>
      </c>
      <c r="CB206" s="2">
        <f>Dashboard[[#This Row],[idp_fa_hh]]+Dashboard[[#This Row],[ref_fa_hh]]+Dashboard[[#This Row],[ret_fa_hh]]</f>
        <v>21</v>
      </c>
      <c r="CC206" s="2">
        <f>Dashboard[[#This Row],[idp_loc_hh]]+Dashboard[[#This Row],[ref_loc_hh]]+Dashboard[[#This Row],[ret_loc_hh]]</f>
        <v>24</v>
      </c>
      <c r="CD206" s="2">
        <f>Dashboard[[#This Row],[idp_cc_hh]]+Dashboard[[#This Row],[ref_cc_hh]]+Dashboard[[#This Row],[ret_cc_hh]]</f>
        <v>0</v>
      </c>
      <c r="CE206" s="2">
        <f>Dashboard[[#This Row],[idp_as_hh]]+Dashboard[[#This Row],[ref_as_hh]]+Dashboard[[#This Row],[ret_as_hh]]</f>
        <v>0</v>
      </c>
      <c r="CF206" s="2">
        <f>Dashboard[[#This Row],[idp_al_hh]]+Dashboard[[#This Row],[ref_al_hh]]+Dashboard[[#This Row],[ret_al_hh]]</f>
        <v>0</v>
      </c>
    </row>
    <row r="207" spans="1:84" hidden="1" x14ac:dyDescent="0.25">
      <c r="A207" s="27">
        <v>147</v>
      </c>
      <c r="B207" s="2" t="s">
        <v>22</v>
      </c>
      <c r="C207" s="2" t="s">
        <v>23</v>
      </c>
      <c r="D207" s="2" t="s">
        <v>85</v>
      </c>
      <c r="E207" s="2" t="s">
        <v>84</v>
      </c>
      <c r="F207" s="2" t="s">
        <v>157</v>
      </c>
      <c r="G207" s="2" t="s">
        <v>156</v>
      </c>
      <c r="H207" s="2" t="s">
        <v>1035</v>
      </c>
      <c r="I207" s="2" t="s">
        <v>348</v>
      </c>
      <c r="J207" s="2" t="s">
        <v>2594</v>
      </c>
      <c r="K207" s="2" t="s">
        <v>2595</v>
      </c>
      <c r="L207" s="2" t="s">
        <v>2074</v>
      </c>
      <c r="M207" s="2">
        <v>4638</v>
      </c>
      <c r="N207" s="2" t="s">
        <v>1658</v>
      </c>
      <c r="O207" s="2">
        <v>316</v>
      </c>
      <c r="P207" s="2">
        <v>1638</v>
      </c>
      <c r="Q207" s="2" t="s">
        <v>1658</v>
      </c>
      <c r="R207" s="2">
        <v>51</v>
      </c>
      <c r="S207" s="2" t="s">
        <v>1658</v>
      </c>
      <c r="T207" s="2">
        <v>265</v>
      </c>
      <c r="U207" s="2" t="s">
        <v>1659</v>
      </c>
      <c r="V207" s="2" t="s">
        <v>32</v>
      </c>
      <c r="W207" s="2" t="s">
        <v>1660</v>
      </c>
      <c r="X207" s="2">
        <v>0</v>
      </c>
      <c r="Y207" s="2" t="s">
        <v>32</v>
      </c>
      <c r="Z207" s="2" t="s">
        <v>32</v>
      </c>
      <c r="AA207" s="2" t="s">
        <v>1660</v>
      </c>
      <c r="AB207" s="2">
        <v>0</v>
      </c>
      <c r="AC207" s="2" t="s">
        <v>1660</v>
      </c>
      <c r="AD207" s="2">
        <v>0</v>
      </c>
      <c r="AE207" s="2" t="s">
        <v>1660</v>
      </c>
      <c r="AF207" s="2">
        <v>0</v>
      </c>
      <c r="AG207" s="2">
        <v>0</v>
      </c>
      <c r="AH207" s="2" t="s">
        <v>32</v>
      </c>
      <c r="AI207" s="2" t="s">
        <v>32</v>
      </c>
      <c r="AJ207" s="2" t="s">
        <v>32</v>
      </c>
      <c r="AK207" s="2" t="s">
        <v>32</v>
      </c>
      <c r="AL207" s="2" t="s">
        <v>32</v>
      </c>
      <c r="AM207" s="2">
        <v>0</v>
      </c>
      <c r="AN207" s="2" t="s">
        <v>32</v>
      </c>
      <c r="AO207" s="2">
        <v>0</v>
      </c>
      <c r="AP207" s="2" t="s">
        <v>32</v>
      </c>
      <c r="AQ207" s="2" t="s">
        <v>32</v>
      </c>
      <c r="AR207" s="2" t="s">
        <v>32</v>
      </c>
      <c r="AS207" s="2">
        <v>0</v>
      </c>
      <c r="AT207" s="2" t="s">
        <v>32</v>
      </c>
      <c r="AU207" s="2" t="s">
        <v>32</v>
      </c>
      <c r="AV207" s="2" t="s">
        <v>32</v>
      </c>
      <c r="AW207" s="2">
        <v>0</v>
      </c>
      <c r="AX207" s="2" t="s">
        <v>32</v>
      </c>
      <c r="AY207" s="2">
        <v>0</v>
      </c>
      <c r="AZ207" s="2" t="s">
        <v>1660</v>
      </c>
      <c r="BA207" s="2">
        <v>0</v>
      </c>
      <c r="BB207" s="2">
        <v>0</v>
      </c>
      <c r="BC207" s="2" t="s">
        <v>32</v>
      </c>
      <c r="BD207" s="2">
        <v>0</v>
      </c>
      <c r="BE207" s="2" t="s">
        <v>32</v>
      </c>
      <c r="BF207" s="2">
        <v>0</v>
      </c>
      <c r="BG207" s="2" t="s">
        <v>32</v>
      </c>
      <c r="BH207" s="2">
        <v>0</v>
      </c>
      <c r="BI207" s="2" t="s">
        <v>32</v>
      </c>
      <c r="BJ207" s="2" t="s">
        <v>32</v>
      </c>
      <c r="BK207" s="2" t="s">
        <v>32</v>
      </c>
      <c r="BL207" s="2">
        <v>0</v>
      </c>
      <c r="BM207" s="2" t="s">
        <v>32</v>
      </c>
      <c r="BN207" s="2" t="s">
        <v>32</v>
      </c>
      <c r="BO207" s="2" t="s">
        <v>32</v>
      </c>
      <c r="BP207" s="2">
        <v>0</v>
      </c>
      <c r="BQ207" s="2" t="s">
        <v>32</v>
      </c>
      <c r="BR207" s="2">
        <v>0</v>
      </c>
      <c r="BS207" s="2" t="s">
        <v>1660</v>
      </c>
      <c r="BT207" s="2">
        <v>0</v>
      </c>
      <c r="BU207" s="2">
        <v>0</v>
      </c>
      <c r="BV207" s="2" t="s">
        <v>1660</v>
      </c>
      <c r="BW207" s="2"/>
      <c r="BX207" s="2"/>
      <c r="BY207" s="2" t="s">
        <v>1807</v>
      </c>
      <c r="BZ207" s="2" t="b">
        <f>OR( (Dashboard[[#This Row],[ref_as_hh]]&gt;=1),(Dashboard[[#This Row],[ret_as_hh]] &gt;=1), (Dashboard[[#This Row],[idp_as_hh]]&gt;=1))</f>
        <v>0</v>
      </c>
      <c r="CA207" s="2">
        <f>Dashboard[[#This Row],[ret_hi_hh]]</f>
        <v>0</v>
      </c>
      <c r="CB207" s="2">
        <f>Dashboard[[#This Row],[idp_fa_hh]]+Dashboard[[#This Row],[ref_fa_hh]]+Dashboard[[#This Row],[ret_fa_hh]]</f>
        <v>51</v>
      </c>
      <c r="CC207" s="2">
        <f>Dashboard[[#This Row],[idp_loc_hh]]+Dashboard[[#This Row],[ref_loc_hh]]+Dashboard[[#This Row],[ret_loc_hh]]</f>
        <v>265</v>
      </c>
      <c r="CD207" s="2">
        <f>Dashboard[[#This Row],[idp_cc_hh]]+Dashboard[[#This Row],[ref_cc_hh]]+Dashboard[[#This Row],[ret_cc_hh]]</f>
        <v>0</v>
      </c>
      <c r="CE207" s="2">
        <f>Dashboard[[#This Row],[idp_as_hh]]+Dashboard[[#This Row],[ref_as_hh]]+Dashboard[[#This Row],[ret_as_hh]]</f>
        <v>0</v>
      </c>
      <c r="CF207" s="2">
        <f>Dashboard[[#This Row],[idp_al_hh]]+Dashboard[[#This Row],[ref_al_hh]]+Dashboard[[#This Row],[ret_al_hh]]</f>
        <v>0</v>
      </c>
    </row>
    <row r="208" spans="1:84" hidden="1" x14ac:dyDescent="0.25">
      <c r="A208" s="27">
        <v>153</v>
      </c>
      <c r="B208" s="2" t="s">
        <v>22</v>
      </c>
      <c r="C208" s="2" t="s">
        <v>23</v>
      </c>
      <c r="D208" s="2" t="s">
        <v>85</v>
      </c>
      <c r="E208" s="2" t="s">
        <v>84</v>
      </c>
      <c r="F208" s="2" t="s">
        <v>157</v>
      </c>
      <c r="G208" s="2" t="s">
        <v>156</v>
      </c>
      <c r="H208" s="2" t="s">
        <v>1034</v>
      </c>
      <c r="I208" s="2" t="s">
        <v>347</v>
      </c>
      <c r="J208" s="2" t="s">
        <v>2592</v>
      </c>
      <c r="K208" s="2" t="s">
        <v>2593</v>
      </c>
      <c r="L208" s="2" t="s">
        <v>2074</v>
      </c>
      <c r="M208" s="2">
        <v>11500</v>
      </c>
      <c r="N208" s="2" t="s">
        <v>1658</v>
      </c>
      <c r="O208" s="2">
        <v>100</v>
      </c>
      <c r="P208" s="2">
        <v>500</v>
      </c>
      <c r="Q208" s="2" t="s">
        <v>1658</v>
      </c>
      <c r="R208" s="2">
        <v>35</v>
      </c>
      <c r="S208" s="2" t="s">
        <v>1658</v>
      </c>
      <c r="T208" s="2">
        <v>65</v>
      </c>
      <c r="U208" s="2" t="s">
        <v>1659</v>
      </c>
      <c r="V208" s="2" t="s">
        <v>32</v>
      </c>
      <c r="W208" s="2" t="s">
        <v>1660</v>
      </c>
      <c r="X208" s="2">
        <v>0</v>
      </c>
      <c r="Y208" s="2" t="s">
        <v>32</v>
      </c>
      <c r="Z208" s="2" t="s">
        <v>32</v>
      </c>
      <c r="AA208" s="2" t="s">
        <v>1660</v>
      </c>
      <c r="AB208" s="2">
        <v>0</v>
      </c>
      <c r="AC208" s="2" t="s">
        <v>1660</v>
      </c>
      <c r="AD208" s="2">
        <v>0</v>
      </c>
      <c r="AE208" s="2" t="s">
        <v>1660</v>
      </c>
      <c r="AF208" s="2">
        <v>0</v>
      </c>
      <c r="AG208" s="2">
        <v>0</v>
      </c>
      <c r="AH208" s="2" t="s">
        <v>32</v>
      </c>
      <c r="AI208" s="2" t="s">
        <v>32</v>
      </c>
      <c r="AJ208" s="2" t="s">
        <v>32</v>
      </c>
      <c r="AK208" s="2" t="s">
        <v>32</v>
      </c>
      <c r="AL208" s="2" t="s">
        <v>32</v>
      </c>
      <c r="AM208" s="2">
        <v>0</v>
      </c>
      <c r="AN208" s="2" t="s">
        <v>32</v>
      </c>
      <c r="AO208" s="2">
        <v>0</v>
      </c>
      <c r="AP208" s="2" t="s">
        <v>32</v>
      </c>
      <c r="AQ208" s="2" t="s">
        <v>32</v>
      </c>
      <c r="AR208" s="2" t="s">
        <v>32</v>
      </c>
      <c r="AS208" s="2">
        <v>0</v>
      </c>
      <c r="AT208" s="2" t="s">
        <v>32</v>
      </c>
      <c r="AU208" s="2" t="s">
        <v>32</v>
      </c>
      <c r="AV208" s="2" t="s">
        <v>32</v>
      </c>
      <c r="AW208" s="2">
        <v>0</v>
      </c>
      <c r="AX208" s="2" t="s">
        <v>32</v>
      </c>
      <c r="AY208" s="2">
        <v>0</v>
      </c>
      <c r="AZ208" s="2" t="s">
        <v>1660</v>
      </c>
      <c r="BA208" s="2">
        <v>0</v>
      </c>
      <c r="BB208" s="2">
        <v>0</v>
      </c>
      <c r="BC208" s="2" t="s">
        <v>32</v>
      </c>
      <c r="BD208" s="2">
        <v>0</v>
      </c>
      <c r="BE208" s="2" t="s">
        <v>32</v>
      </c>
      <c r="BF208" s="2">
        <v>0</v>
      </c>
      <c r="BG208" s="2" t="s">
        <v>32</v>
      </c>
      <c r="BH208" s="2">
        <v>0</v>
      </c>
      <c r="BI208" s="2" t="s">
        <v>32</v>
      </c>
      <c r="BJ208" s="2" t="s">
        <v>32</v>
      </c>
      <c r="BK208" s="2" t="s">
        <v>32</v>
      </c>
      <c r="BL208" s="2">
        <v>0</v>
      </c>
      <c r="BM208" s="2" t="s">
        <v>32</v>
      </c>
      <c r="BN208" s="2" t="s">
        <v>32</v>
      </c>
      <c r="BO208" s="2" t="s">
        <v>32</v>
      </c>
      <c r="BP208" s="2">
        <v>0</v>
      </c>
      <c r="BQ208" s="2" t="s">
        <v>32</v>
      </c>
      <c r="BR208" s="2">
        <v>0</v>
      </c>
      <c r="BS208" s="2" t="s">
        <v>1660</v>
      </c>
      <c r="BT208" s="2">
        <v>0</v>
      </c>
      <c r="BU208" s="2">
        <v>0</v>
      </c>
      <c r="BV208" s="2" t="s">
        <v>1660</v>
      </c>
      <c r="BW208" s="2"/>
      <c r="BX208" s="2"/>
      <c r="BY208" s="2" t="s">
        <v>1807</v>
      </c>
      <c r="BZ208" s="2" t="b">
        <f>OR( (Dashboard[[#This Row],[ref_as_hh]]&gt;=1),(Dashboard[[#This Row],[ret_as_hh]] &gt;=1), (Dashboard[[#This Row],[idp_as_hh]]&gt;=1))</f>
        <v>0</v>
      </c>
      <c r="CA208" s="2">
        <f>Dashboard[[#This Row],[ret_hi_hh]]</f>
        <v>0</v>
      </c>
      <c r="CB208" s="2">
        <f>Dashboard[[#This Row],[idp_fa_hh]]+Dashboard[[#This Row],[ref_fa_hh]]+Dashboard[[#This Row],[ret_fa_hh]]</f>
        <v>35</v>
      </c>
      <c r="CC208" s="2">
        <f>Dashboard[[#This Row],[idp_loc_hh]]+Dashboard[[#This Row],[ref_loc_hh]]+Dashboard[[#This Row],[ret_loc_hh]]</f>
        <v>65</v>
      </c>
      <c r="CD208" s="2">
        <f>Dashboard[[#This Row],[idp_cc_hh]]+Dashboard[[#This Row],[ref_cc_hh]]+Dashboard[[#This Row],[ret_cc_hh]]</f>
        <v>0</v>
      </c>
      <c r="CE208" s="2">
        <f>Dashboard[[#This Row],[idp_as_hh]]+Dashboard[[#This Row],[ref_as_hh]]+Dashboard[[#This Row],[ret_as_hh]]</f>
        <v>0</v>
      </c>
      <c r="CF208" s="2">
        <f>Dashboard[[#This Row],[idp_al_hh]]+Dashboard[[#This Row],[ref_al_hh]]+Dashboard[[#This Row],[ret_al_hh]]</f>
        <v>0</v>
      </c>
    </row>
    <row r="209" spans="1:84" hidden="1" x14ac:dyDescent="0.25">
      <c r="A209" s="27">
        <v>416</v>
      </c>
      <c r="B209" s="2" t="s">
        <v>22</v>
      </c>
      <c r="C209" s="2" t="s">
        <v>23</v>
      </c>
      <c r="D209" s="2" t="s">
        <v>85</v>
      </c>
      <c r="E209" s="2" t="s">
        <v>84</v>
      </c>
      <c r="F209" s="2" t="s">
        <v>157</v>
      </c>
      <c r="G209" s="2" t="s">
        <v>156</v>
      </c>
      <c r="H209" s="2" t="s">
        <v>1038</v>
      </c>
      <c r="I209" s="2" t="s">
        <v>351</v>
      </c>
      <c r="J209" s="2" t="s">
        <v>2600</v>
      </c>
      <c r="K209" s="2" t="s">
        <v>2601</v>
      </c>
      <c r="L209" s="2" t="s">
        <v>2074</v>
      </c>
      <c r="M209" s="2">
        <v>1732</v>
      </c>
      <c r="N209" s="2" t="s">
        <v>1658</v>
      </c>
      <c r="O209" s="2">
        <v>135</v>
      </c>
      <c r="P209" s="2">
        <v>708</v>
      </c>
      <c r="Q209" s="2" t="s">
        <v>1658</v>
      </c>
      <c r="R209" s="2">
        <v>55</v>
      </c>
      <c r="S209" s="2" t="s">
        <v>1658</v>
      </c>
      <c r="T209" s="2">
        <v>80</v>
      </c>
      <c r="U209" s="2" t="s">
        <v>1659</v>
      </c>
      <c r="V209" s="2" t="s">
        <v>32</v>
      </c>
      <c r="W209" s="2" t="s">
        <v>1660</v>
      </c>
      <c r="X209" s="2">
        <v>0</v>
      </c>
      <c r="Y209" s="2" t="s">
        <v>32</v>
      </c>
      <c r="Z209" s="2" t="s">
        <v>32</v>
      </c>
      <c r="AA209" s="2" t="s">
        <v>1660</v>
      </c>
      <c r="AB209" s="2">
        <v>0</v>
      </c>
      <c r="AC209" s="2" t="s">
        <v>1660</v>
      </c>
      <c r="AD209" s="2">
        <v>0</v>
      </c>
      <c r="AE209" s="2" t="s">
        <v>1660</v>
      </c>
      <c r="AF209" s="2">
        <v>0</v>
      </c>
      <c r="AG209" s="2">
        <v>0</v>
      </c>
      <c r="AH209" s="2" t="s">
        <v>32</v>
      </c>
      <c r="AI209" s="2" t="s">
        <v>32</v>
      </c>
      <c r="AJ209" s="2" t="s">
        <v>32</v>
      </c>
      <c r="AK209" s="2" t="s">
        <v>32</v>
      </c>
      <c r="AL209" s="2" t="s">
        <v>32</v>
      </c>
      <c r="AM209" s="2">
        <v>0</v>
      </c>
      <c r="AN209" s="2" t="s">
        <v>32</v>
      </c>
      <c r="AO209" s="2">
        <v>0</v>
      </c>
      <c r="AP209" s="2" t="s">
        <v>32</v>
      </c>
      <c r="AQ209" s="2" t="s">
        <v>32</v>
      </c>
      <c r="AR209" s="2" t="s">
        <v>32</v>
      </c>
      <c r="AS209" s="2">
        <v>0</v>
      </c>
      <c r="AT209" s="2" t="s">
        <v>32</v>
      </c>
      <c r="AU209" s="2" t="s">
        <v>32</v>
      </c>
      <c r="AV209" s="2" t="s">
        <v>32</v>
      </c>
      <c r="AW209" s="2">
        <v>0</v>
      </c>
      <c r="AX209" s="2" t="s">
        <v>32</v>
      </c>
      <c r="AY209" s="2">
        <v>0</v>
      </c>
      <c r="AZ209" s="2" t="s">
        <v>1660</v>
      </c>
      <c r="BA209" s="2">
        <v>0</v>
      </c>
      <c r="BB209" s="2">
        <v>0</v>
      </c>
      <c r="BC209" s="2" t="s">
        <v>32</v>
      </c>
      <c r="BD209" s="2">
        <v>0</v>
      </c>
      <c r="BE209" s="2" t="s">
        <v>32</v>
      </c>
      <c r="BF209" s="2">
        <v>0</v>
      </c>
      <c r="BG209" s="2" t="s">
        <v>32</v>
      </c>
      <c r="BH209" s="2">
        <v>0</v>
      </c>
      <c r="BI209" s="2" t="s">
        <v>32</v>
      </c>
      <c r="BJ209" s="2" t="s">
        <v>32</v>
      </c>
      <c r="BK209" s="2" t="s">
        <v>32</v>
      </c>
      <c r="BL209" s="2">
        <v>0</v>
      </c>
      <c r="BM209" s="2" t="s">
        <v>32</v>
      </c>
      <c r="BN209" s="2" t="s">
        <v>32</v>
      </c>
      <c r="BO209" s="2" t="s">
        <v>32</v>
      </c>
      <c r="BP209" s="2">
        <v>0</v>
      </c>
      <c r="BQ209" s="2" t="s">
        <v>32</v>
      </c>
      <c r="BR209" s="2">
        <v>0</v>
      </c>
      <c r="BS209" s="2" t="s">
        <v>1660</v>
      </c>
      <c r="BT209" s="2">
        <v>0</v>
      </c>
      <c r="BU209" s="2">
        <v>0</v>
      </c>
      <c r="BV209" s="2" t="s">
        <v>1660</v>
      </c>
      <c r="BW209" s="2"/>
      <c r="BX209" s="2"/>
      <c r="BY209" s="2" t="s">
        <v>1807</v>
      </c>
      <c r="BZ209" s="2" t="b">
        <f>OR( (Dashboard[[#This Row],[ref_as_hh]]&gt;=1),(Dashboard[[#This Row],[ret_as_hh]] &gt;=1), (Dashboard[[#This Row],[idp_as_hh]]&gt;=1))</f>
        <v>0</v>
      </c>
      <c r="CA209" s="2">
        <f>Dashboard[[#This Row],[ret_hi_hh]]</f>
        <v>0</v>
      </c>
      <c r="CB209" s="2">
        <f>Dashboard[[#This Row],[idp_fa_hh]]+Dashboard[[#This Row],[ref_fa_hh]]+Dashboard[[#This Row],[ret_fa_hh]]</f>
        <v>55</v>
      </c>
      <c r="CC209" s="2">
        <f>Dashboard[[#This Row],[idp_loc_hh]]+Dashboard[[#This Row],[ref_loc_hh]]+Dashboard[[#This Row],[ret_loc_hh]]</f>
        <v>80</v>
      </c>
      <c r="CD209" s="2">
        <f>Dashboard[[#This Row],[idp_cc_hh]]+Dashboard[[#This Row],[ref_cc_hh]]+Dashboard[[#This Row],[ret_cc_hh]]</f>
        <v>0</v>
      </c>
      <c r="CE209" s="2">
        <f>Dashboard[[#This Row],[idp_as_hh]]+Dashboard[[#This Row],[ref_as_hh]]+Dashboard[[#This Row],[ret_as_hh]]</f>
        <v>0</v>
      </c>
      <c r="CF209" s="2">
        <f>Dashboard[[#This Row],[idp_al_hh]]+Dashboard[[#This Row],[ref_al_hh]]+Dashboard[[#This Row],[ret_al_hh]]</f>
        <v>0</v>
      </c>
    </row>
    <row r="210" spans="1:84" hidden="1" x14ac:dyDescent="0.25">
      <c r="A210" s="27">
        <v>421</v>
      </c>
      <c r="B210" s="2" t="s">
        <v>22</v>
      </c>
      <c r="C210" s="2" t="s">
        <v>23</v>
      </c>
      <c r="D210" s="2" t="s">
        <v>85</v>
      </c>
      <c r="E210" s="2" t="s">
        <v>84</v>
      </c>
      <c r="F210" s="2" t="s">
        <v>157</v>
      </c>
      <c r="G210" s="2" t="s">
        <v>156</v>
      </c>
      <c r="H210" s="2" t="s">
        <v>1028</v>
      </c>
      <c r="I210" s="2" t="s">
        <v>341</v>
      </c>
      <c r="J210" s="2" t="s">
        <v>2580</v>
      </c>
      <c r="K210" s="2" t="s">
        <v>2581</v>
      </c>
      <c r="L210" s="2" t="s">
        <v>2074</v>
      </c>
      <c r="M210" s="2">
        <v>4578</v>
      </c>
      <c r="N210" s="2" t="s">
        <v>1658</v>
      </c>
      <c r="O210" s="2">
        <v>349</v>
      </c>
      <c r="P210" s="2">
        <v>1776</v>
      </c>
      <c r="Q210" s="2" t="s">
        <v>1658</v>
      </c>
      <c r="R210" s="2">
        <v>63</v>
      </c>
      <c r="S210" s="2" t="s">
        <v>1658</v>
      </c>
      <c r="T210" s="2">
        <v>286</v>
      </c>
      <c r="U210" s="2" t="s">
        <v>1659</v>
      </c>
      <c r="V210" s="2" t="s">
        <v>32</v>
      </c>
      <c r="W210" s="2" t="s">
        <v>1660</v>
      </c>
      <c r="X210" s="2">
        <v>0</v>
      </c>
      <c r="Y210" s="2" t="s">
        <v>32</v>
      </c>
      <c r="Z210" s="2" t="s">
        <v>32</v>
      </c>
      <c r="AA210" s="2" t="s">
        <v>1660</v>
      </c>
      <c r="AB210" s="2">
        <v>0</v>
      </c>
      <c r="AC210" s="2" t="s">
        <v>1660</v>
      </c>
      <c r="AD210" s="2">
        <v>0</v>
      </c>
      <c r="AE210" s="2" t="s">
        <v>1660</v>
      </c>
      <c r="AF210" s="2">
        <v>0</v>
      </c>
      <c r="AG210" s="2">
        <v>0</v>
      </c>
      <c r="AH210" s="2" t="s">
        <v>32</v>
      </c>
      <c r="AI210" s="2" t="s">
        <v>32</v>
      </c>
      <c r="AJ210" s="2" t="s">
        <v>32</v>
      </c>
      <c r="AK210" s="2" t="s">
        <v>32</v>
      </c>
      <c r="AL210" s="2" t="s">
        <v>32</v>
      </c>
      <c r="AM210" s="2">
        <v>0</v>
      </c>
      <c r="AN210" s="2" t="s">
        <v>32</v>
      </c>
      <c r="AO210" s="2">
        <v>0</v>
      </c>
      <c r="AP210" s="2" t="s">
        <v>32</v>
      </c>
      <c r="AQ210" s="2" t="s">
        <v>32</v>
      </c>
      <c r="AR210" s="2" t="s">
        <v>32</v>
      </c>
      <c r="AS210" s="2">
        <v>0</v>
      </c>
      <c r="AT210" s="2" t="s">
        <v>32</v>
      </c>
      <c r="AU210" s="2" t="s">
        <v>32</v>
      </c>
      <c r="AV210" s="2" t="s">
        <v>32</v>
      </c>
      <c r="AW210" s="2">
        <v>0</v>
      </c>
      <c r="AX210" s="2" t="s">
        <v>32</v>
      </c>
      <c r="AY210" s="2">
        <v>0</v>
      </c>
      <c r="AZ210" s="2" t="s">
        <v>1660</v>
      </c>
      <c r="BA210" s="2">
        <v>0</v>
      </c>
      <c r="BB210" s="2">
        <v>0</v>
      </c>
      <c r="BC210" s="2" t="s">
        <v>32</v>
      </c>
      <c r="BD210" s="2">
        <v>0</v>
      </c>
      <c r="BE210" s="2" t="s">
        <v>32</v>
      </c>
      <c r="BF210" s="2">
        <v>0</v>
      </c>
      <c r="BG210" s="2" t="s">
        <v>32</v>
      </c>
      <c r="BH210" s="2">
        <v>0</v>
      </c>
      <c r="BI210" s="2" t="s">
        <v>32</v>
      </c>
      <c r="BJ210" s="2" t="s">
        <v>32</v>
      </c>
      <c r="BK210" s="2" t="s">
        <v>32</v>
      </c>
      <c r="BL210" s="2">
        <v>0</v>
      </c>
      <c r="BM210" s="2" t="s">
        <v>32</v>
      </c>
      <c r="BN210" s="2" t="s">
        <v>32</v>
      </c>
      <c r="BO210" s="2" t="s">
        <v>32</v>
      </c>
      <c r="BP210" s="2">
        <v>0</v>
      </c>
      <c r="BQ210" s="2" t="s">
        <v>32</v>
      </c>
      <c r="BR210" s="2">
        <v>0</v>
      </c>
      <c r="BS210" s="2" t="s">
        <v>1660</v>
      </c>
      <c r="BT210" s="2">
        <v>0</v>
      </c>
      <c r="BU210" s="2">
        <v>0</v>
      </c>
      <c r="BV210" s="2" t="s">
        <v>1660</v>
      </c>
      <c r="BW210" s="2"/>
      <c r="BX210" s="2"/>
      <c r="BY210" s="2" t="s">
        <v>1807</v>
      </c>
      <c r="BZ210" s="2" t="b">
        <f>OR( (Dashboard[[#This Row],[ref_as_hh]]&gt;=1),(Dashboard[[#This Row],[ret_as_hh]] &gt;=1), (Dashboard[[#This Row],[idp_as_hh]]&gt;=1))</f>
        <v>0</v>
      </c>
      <c r="CA210" s="2">
        <f>Dashboard[[#This Row],[ret_hi_hh]]</f>
        <v>0</v>
      </c>
      <c r="CB210" s="2">
        <f>Dashboard[[#This Row],[idp_fa_hh]]+Dashboard[[#This Row],[ref_fa_hh]]+Dashboard[[#This Row],[ret_fa_hh]]</f>
        <v>63</v>
      </c>
      <c r="CC210" s="2">
        <f>Dashboard[[#This Row],[idp_loc_hh]]+Dashboard[[#This Row],[ref_loc_hh]]+Dashboard[[#This Row],[ret_loc_hh]]</f>
        <v>286</v>
      </c>
      <c r="CD210" s="2">
        <f>Dashboard[[#This Row],[idp_cc_hh]]+Dashboard[[#This Row],[ref_cc_hh]]+Dashboard[[#This Row],[ret_cc_hh]]</f>
        <v>0</v>
      </c>
      <c r="CE210" s="2">
        <f>Dashboard[[#This Row],[idp_as_hh]]+Dashboard[[#This Row],[ref_as_hh]]+Dashboard[[#This Row],[ret_as_hh]]</f>
        <v>0</v>
      </c>
      <c r="CF210" s="2">
        <f>Dashboard[[#This Row],[idp_al_hh]]+Dashboard[[#This Row],[ref_al_hh]]+Dashboard[[#This Row],[ret_al_hh]]</f>
        <v>0</v>
      </c>
    </row>
    <row r="211" spans="1:84" hidden="1" x14ac:dyDescent="0.25">
      <c r="A211" s="27">
        <v>211</v>
      </c>
      <c r="B211" s="2" t="s">
        <v>22</v>
      </c>
      <c r="C211" s="2" t="s">
        <v>23</v>
      </c>
      <c r="D211" s="2" t="s">
        <v>85</v>
      </c>
      <c r="E211" s="2" t="s">
        <v>84</v>
      </c>
      <c r="F211" s="2" t="s">
        <v>157</v>
      </c>
      <c r="G211" s="2" t="s">
        <v>156</v>
      </c>
      <c r="H211" s="2" t="s">
        <v>1025</v>
      </c>
      <c r="I211" s="2" t="s">
        <v>338</v>
      </c>
      <c r="J211" s="2" t="s">
        <v>2574</v>
      </c>
      <c r="K211" s="2" t="s">
        <v>2575</v>
      </c>
      <c r="L211" s="2" t="s">
        <v>2074</v>
      </c>
      <c r="M211" s="2">
        <v>7020</v>
      </c>
      <c r="N211" s="2" t="s">
        <v>1658</v>
      </c>
      <c r="O211" s="2">
        <v>67</v>
      </c>
      <c r="P211" s="2">
        <v>420</v>
      </c>
      <c r="Q211" s="2" t="s">
        <v>1658</v>
      </c>
      <c r="R211" s="2">
        <v>18</v>
      </c>
      <c r="S211" s="2" t="s">
        <v>1658</v>
      </c>
      <c r="T211" s="2">
        <v>49</v>
      </c>
      <c r="U211" s="2" t="s">
        <v>1659</v>
      </c>
      <c r="V211" s="2" t="s">
        <v>32</v>
      </c>
      <c r="W211" s="2" t="s">
        <v>1660</v>
      </c>
      <c r="X211" s="2">
        <v>0</v>
      </c>
      <c r="Y211" s="2" t="s">
        <v>32</v>
      </c>
      <c r="Z211" s="2" t="s">
        <v>32</v>
      </c>
      <c r="AA211" s="2" t="s">
        <v>1660</v>
      </c>
      <c r="AB211" s="2">
        <v>0</v>
      </c>
      <c r="AC211" s="2" t="s">
        <v>1660</v>
      </c>
      <c r="AD211" s="2">
        <v>0</v>
      </c>
      <c r="AE211" s="2" t="s">
        <v>1660</v>
      </c>
      <c r="AF211" s="2">
        <v>0</v>
      </c>
      <c r="AG211" s="2">
        <v>0</v>
      </c>
      <c r="AH211" s="2" t="s">
        <v>32</v>
      </c>
      <c r="AI211" s="2" t="s">
        <v>32</v>
      </c>
      <c r="AJ211" s="2" t="s">
        <v>32</v>
      </c>
      <c r="AK211" s="2" t="s">
        <v>32</v>
      </c>
      <c r="AL211" s="2" t="s">
        <v>32</v>
      </c>
      <c r="AM211" s="2">
        <v>0</v>
      </c>
      <c r="AN211" s="2" t="s">
        <v>32</v>
      </c>
      <c r="AO211" s="2">
        <v>0</v>
      </c>
      <c r="AP211" s="2" t="s">
        <v>32</v>
      </c>
      <c r="AQ211" s="2" t="s">
        <v>32</v>
      </c>
      <c r="AR211" s="2" t="s">
        <v>32</v>
      </c>
      <c r="AS211" s="2">
        <v>0</v>
      </c>
      <c r="AT211" s="2" t="s">
        <v>32</v>
      </c>
      <c r="AU211" s="2" t="s">
        <v>32</v>
      </c>
      <c r="AV211" s="2" t="s">
        <v>32</v>
      </c>
      <c r="AW211" s="2">
        <v>0</v>
      </c>
      <c r="AX211" s="2" t="s">
        <v>32</v>
      </c>
      <c r="AY211" s="2">
        <v>0</v>
      </c>
      <c r="AZ211" s="2" t="s">
        <v>1660</v>
      </c>
      <c r="BA211" s="2">
        <v>0</v>
      </c>
      <c r="BB211" s="2">
        <v>0</v>
      </c>
      <c r="BC211" s="2" t="s">
        <v>32</v>
      </c>
      <c r="BD211" s="2">
        <v>0</v>
      </c>
      <c r="BE211" s="2" t="s">
        <v>32</v>
      </c>
      <c r="BF211" s="2">
        <v>0</v>
      </c>
      <c r="BG211" s="2" t="s">
        <v>32</v>
      </c>
      <c r="BH211" s="2">
        <v>0</v>
      </c>
      <c r="BI211" s="2" t="s">
        <v>32</v>
      </c>
      <c r="BJ211" s="2" t="s">
        <v>32</v>
      </c>
      <c r="BK211" s="2" t="s">
        <v>32</v>
      </c>
      <c r="BL211" s="2">
        <v>0</v>
      </c>
      <c r="BM211" s="2" t="s">
        <v>32</v>
      </c>
      <c r="BN211" s="2" t="s">
        <v>32</v>
      </c>
      <c r="BO211" s="2" t="s">
        <v>32</v>
      </c>
      <c r="BP211" s="2">
        <v>0</v>
      </c>
      <c r="BQ211" s="2" t="s">
        <v>32</v>
      </c>
      <c r="BR211" s="2">
        <v>0</v>
      </c>
      <c r="BS211" s="2" t="s">
        <v>1660</v>
      </c>
      <c r="BT211" s="2">
        <v>0</v>
      </c>
      <c r="BU211" s="2">
        <v>0</v>
      </c>
      <c r="BV211" s="2" t="s">
        <v>1660</v>
      </c>
      <c r="BW211" s="2"/>
      <c r="BX211" s="2"/>
      <c r="BY211" s="2" t="s">
        <v>1807</v>
      </c>
      <c r="BZ211" s="2" t="b">
        <f>OR( (Dashboard[[#This Row],[ref_as_hh]]&gt;=1),(Dashboard[[#This Row],[ret_as_hh]] &gt;=1), (Dashboard[[#This Row],[idp_as_hh]]&gt;=1))</f>
        <v>0</v>
      </c>
      <c r="CA211" s="2">
        <f>Dashboard[[#This Row],[ret_hi_hh]]</f>
        <v>0</v>
      </c>
      <c r="CB211" s="2">
        <f>Dashboard[[#This Row],[idp_fa_hh]]+Dashboard[[#This Row],[ref_fa_hh]]+Dashboard[[#This Row],[ret_fa_hh]]</f>
        <v>18</v>
      </c>
      <c r="CC211" s="2">
        <f>Dashboard[[#This Row],[idp_loc_hh]]+Dashboard[[#This Row],[ref_loc_hh]]+Dashboard[[#This Row],[ret_loc_hh]]</f>
        <v>49</v>
      </c>
      <c r="CD211" s="2">
        <f>Dashboard[[#This Row],[idp_cc_hh]]+Dashboard[[#This Row],[ref_cc_hh]]+Dashboard[[#This Row],[ret_cc_hh]]</f>
        <v>0</v>
      </c>
      <c r="CE211" s="2">
        <f>Dashboard[[#This Row],[idp_as_hh]]+Dashboard[[#This Row],[ref_as_hh]]+Dashboard[[#This Row],[ret_as_hh]]</f>
        <v>0</v>
      </c>
      <c r="CF211" s="2">
        <f>Dashboard[[#This Row],[idp_al_hh]]+Dashboard[[#This Row],[ref_al_hh]]+Dashboard[[#This Row],[ret_al_hh]]</f>
        <v>0</v>
      </c>
    </row>
    <row r="212" spans="1:84" hidden="1" x14ac:dyDescent="0.25">
      <c r="A212" s="27">
        <v>212</v>
      </c>
      <c r="B212" s="2" t="s">
        <v>22</v>
      </c>
      <c r="C212" s="2" t="s">
        <v>23</v>
      </c>
      <c r="D212" s="2" t="s">
        <v>85</v>
      </c>
      <c r="E212" s="2" t="s">
        <v>84</v>
      </c>
      <c r="F212" s="2" t="s">
        <v>157</v>
      </c>
      <c r="G212" s="2" t="s">
        <v>156</v>
      </c>
      <c r="H212" s="2" t="s">
        <v>1015</v>
      </c>
      <c r="I212" s="2" t="s">
        <v>328</v>
      </c>
      <c r="J212" s="2" t="s">
        <v>2554</v>
      </c>
      <c r="K212" s="2" t="s">
        <v>2555</v>
      </c>
      <c r="L212" s="2" t="s">
        <v>2074</v>
      </c>
      <c r="M212" s="2">
        <v>15060</v>
      </c>
      <c r="N212" s="2" t="s">
        <v>1658</v>
      </c>
      <c r="O212" s="2">
        <v>102</v>
      </c>
      <c r="P212" s="2">
        <v>540</v>
      </c>
      <c r="Q212" s="2" t="s">
        <v>1658</v>
      </c>
      <c r="R212" s="2">
        <v>25</v>
      </c>
      <c r="S212" s="2" t="s">
        <v>1658</v>
      </c>
      <c r="T212" s="2">
        <v>77</v>
      </c>
      <c r="U212" s="2" t="s">
        <v>1659</v>
      </c>
      <c r="V212" s="2" t="s">
        <v>32</v>
      </c>
      <c r="W212" s="2" t="s">
        <v>1660</v>
      </c>
      <c r="X212" s="2">
        <v>0</v>
      </c>
      <c r="Y212" s="2" t="s">
        <v>32</v>
      </c>
      <c r="Z212" s="2" t="s">
        <v>32</v>
      </c>
      <c r="AA212" s="2" t="s">
        <v>1660</v>
      </c>
      <c r="AB212" s="2">
        <v>0</v>
      </c>
      <c r="AC212" s="2" t="s">
        <v>1660</v>
      </c>
      <c r="AD212" s="2">
        <v>0</v>
      </c>
      <c r="AE212" s="2" t="s">
        <v>1660</v>
      </c>
      <c r="AF212" s="2">
        <v>0</v>
      </c>
      <c r="AG212" s="2">
        <v>0</v>
      </c>
      <c r="AH212" s="2" t="s">
        <v>32</v>
      </c>
      <c r="AI212" s="2" t="s">
        <v>32</v>
      </c>
      <c r="AJ212" s="2" t="s">
        <v>32</v>
      </c>
      <c r="AK212" s="2" t="s">
        <v>32</v>
      </c>
      <c r="AL212" s="2" t="s">
        <v>32</v>
      </c>
      <c r="AM212" s="2">
        <v>0</v>
      </c>
      <c r="AN212" s="2" t="s">
        <v>32</v>
      </c>
      <c r="AO212" s="2">
        <v>0</v>
      </c>
      <c r="AP212" s="2" t="s">
        <v>32</v>
      </c>
      <c r="AQ212" s="2" t="s">
        <v>32</v>
      </c>
      <c r="AR212" s="2" t="s">
        <v>32</v>
      </c>
      <c r="AS212" s="2">
        <v>0</v>
      </c>
      <c r="AT212" s="2" t="s">
        <v>32</v>
      </c>
      <c r="AU212" s="2" t="s">
        <v>32</v>
      </c>
      <c r="AV212" s="2" t="s">
        <v>32</v>
      </c>
      <c r="AW212" s="2">
        <v>0</v>
      </c>
      <c r="AX212" s="2" t="s">
        <v>32</v>
      </c>
      <c r="AY212" s="2">
        <v>0</v>
      </c>
      <c r="AZ212" s="2" t="s">
        <v>1660</v>
      </c>
      <c r="BA212" s="2">
        <v>0</v>
      </c>
      <c r="BB212" s="2">
        <v>0</v>
      </c>
      <c r="BC212" s="2" t="s">
        <v>32</v>
      </c>
      <c r="BD212" s="2">
        <v>0</v>
      </c>
      <c r="BE212" s="2" t="s">
        <v>32</v>
      </c>
      <c r="BF212" s="2">
        <v>0</v>
      </c>
      <c r="BG212" s="2" t="s">
        <v>32</v>
      </c>
      <c r="BH212" s="2">
        <v>0</v>
      </c>
      <c r="BI212" s="2" t="s">
        <v>32</v>
      </c>
      <c r="BJ212" s="2" t="s">
        <v>32</v>
      </c>
      <c r="BK212" s="2" t="s">
        <v>32</v>
      </c>
      <c r="BL212" s="2">
        <v>0</v>
      </c>
      <c r="BM212" s="2" t="s">
        <v>32</v>
      </c>
      <c r="BN212" s="2" t="s">
        <v>32</v>
      </c>
      <c r="BO212" s="2" t="s">
        <v>32</v>
      </c>
      <c r="BP212" s="2">
        <v>0</v>
      </c>
      <c r="BQ212" s="2" t="s">
        <v>32</v>
      </c>
      <c r="BR212" s="2">
        <v>0</v>
      </c>
      <c r="BS212" s="2" t="s">
        <v>1660</v>
      </c>
      <c r="BT212" s="2">
        <v>0</v>
      </c>
      <c r="BU212" s="2">
        <v>0</v>
      </c>
      <c r="BV212" s="2" t="s">
        <v>1660</v>
      </c>
      <c r="BW212" s="2"/>
      <c r="BX212" s="2"/>
      <c r="BY212" s="2" t="s">
        <v>1807</v>
      </c>
      <c r="BZ212" s="2" t="b">
        <f>OR( (Dashboard[[#This Row],[ref_as_hh]]&gt;=1),(Dashboard[[#This Row],[ret_as_hh]] &gt;=1), (Dashboard[[#This Row],[idp_as_hh]]&gt;=1))</f>
        <v>0</v>
      </c>
      <c r="CA212" s="2">
        <f>Dashboard[[#This Row],[ret_hi_hh]]</f>
        <v>0</v>
      </c>
      <c r="CB212" s="2">
        <f>Dashboard[[#This Row],[idp_fa_hh]]+Dashboard[[#This Row],[ref_fa_hh]]+Dashboard[[#This Row],[ret_fa_hh]]</f>
        <v>25</v>
      </c>
      <c r="CC212" s="2">
        <f>Dashboard[[#This Row],[idp_loc_hh]]+Dashboard[[#This Row],[ref_loc_hh]]+Dashboard[[#This Row],[ret_loc_hh]]</f>
        <v>77</v>
      </c>
      <c r="CD212" s="2">
        <f>Dashboard[[#This Row],[idp_cc_hh]]+Dashboard[[#This Row],[ref_cc_hh]]+Dashboard[[#This Row],[ret_cc_hh]]</f>
        <v>0</v>
      </c>
      <c r="CE212" s="2">
        <f>Dashboard[[#This Row],[idp_as_hh]]+Dashboard[[#This Row],[ref_as_hh]]+Dashboard[[#This Row],[ret_as_hh]]</f>
        <v>0</v>
      </c>
      <c r="CF212" s="2">
        <f>Dashboard[[#This Row],[idp_al_hh]]+Dashboard[[#This Row],[ref_al_hh]]+Dashboard[[#This Row],[ret_al_hh]]</f>
        <v>0</v>
      </c>
    </row>
    <row r="213" spans="1:84" hidden="1" x14ac:dyDescent="0.25">
      <c r="A213" s="27">
        <v>472</v>
      </c>
      <c r="B213" s="2" t="s">
        <v>22</v>
      </c>
      <c r="C213" s="2" t="s">
        <v>23</v>
      </c>
      <c r="D213" s="2" t="s">
        <v>85</v>
      </c>
      <c r="E213" s="2" t="s">
        <v>84</v>
      </c>
      <c r="F213" s="2" t="s">
        <v>157</v>
      </c>
      <c r="G213" s="2" t="s">
        <v>156</v>
      </c>
      <c r="H213" s="2" t="s">
        <v>1022</v>
      </c>
      <c r="I213" s="2" t="s">
        <v>335</v>
      </c>
      <c r="J213" s="2" t="s">
        <v>2568</v>
      </c>
      <c r="K213" s="2" t="s">
        <v>2569</v>
      </c>
      <c r="L213" s="2" t="s">
        <v>3693</v>
      </c>
      <c r="M213" s="2">
        <v>20205</v>
      </c>
      <c r="N213" s="2" t="s">
        <v>1658</v>
      </c>
      <c r="O213" s="2">
        <v>483</v>
      </c>
      <c r="P213" s="2">
        <v>2400</v>
      </c>
      <c r="Q213" s="2" t="s">
        <v>1658</v>
      </c>
      <c r="R213" s="2">
        <v>139</v>
      </c>
      <c r="S213" s="2" t="s">
        <v>1658</v>
      </c>
      <c r="T213" s="2">
        <v>344</v>
      </c>
      <c r="U213" s="2" t="s">
        <v>1659</v>
      </c>
      <c r="V213" s="2" t="s">
        <v>32</v>
      </c>
      <c r="W213" s="2" t="s">
        <v>1660</v>
      </c>
      <c r="X213" s="2">
        <v>0</v>
      </c>
      <c r="Y213" s="2" t="s">
        <v>32</v>
      </c>
      <c r="Z213" s="2" t="s">
        <v>32</v>
      </c>
      <c r="AA213" s="2" t="s">
        <v>1660</v>
      </c>
      <c r="AB213" s="2">
        <v>0</v>
      </c>
      <c r="AC213" s="2" t="s">
        <v>1660</v>
      </c>
      <c r="AD213" s="2">
        <v>0</v>
      </c>
      <c r="AE213" s="2" t="s">
        <v>1660</v>
      </c>
      <c r="AF213" s="2">
        <v>0</v>
      </c>
      <c r="AG213" s="2">
        <v>0</v>
      </c>
      <c r="AH213" s="2" t="s">
        <v>32</v>
      </c>
      <c r="AI213" s="2" t="s">
        <v>32</v>
      </c>
      <c r="AJ213" s="2" t="s">
        <v>32</v>
      </c>
      <c r="AK213" s="2" t="s">
        <v>32</v>
      </c>
      <c r="AL213" s="2" t="s">
        <v>32</v>
      </c>
      <c r="AM213" s="2">
        <v>0</v>
      </c>
      <c r="AN213" s="2" t="s">
        <v>32</v>
      </c>
      <c r="AO213" s="2">
        <v>0</v>
      </c>
      <c r="AP213" s="2" t="s">
        <v>32</v>
      </c>
      <c r="AQ213" s="2" t="s">
        <v>32</v>
      </c>
      <c r="AR213" s="2" t="s">
        <v>32</v>
      </c>
      <c r="AS213" s="2">
        <v>0</v>
      </c>
      <c r="AT213" s="2" t="s">
        <v>32</v>
      </c>
      <c r="AU213" s="2" t="s">
        <v>32</v>
      </c>
      <c r="AV213" s="2" t="s">
        <v>32</v>
      </c>
      <c r="AW213" s="2">
        <v>0</v>
      </c>
      <c r="AX213" s="2" t="s">
        <v>32</v>
      </c>
      <c r="AY213" s="2">
        <v>0</v>
      </c>
      <c r="AZ213" s="2" t="s">
        <v>1660</v>
      </c>
      <c r="BA213" s="2">
        <v>0</v>
      </c>
      <c r="BB213" s="2">
        <v>0</v>
      </c>
      <c r="BC213" s="2" t="s">
        <v>32</v>
      </c>
      <c r="BD213" s="2">
        <v>0</v>
      </c>
      <c r="BE213" s="2" t="s">
        <v>32</v>
      </c>
      <c r="BF213" s="2">
        <v>0</v>
      </c>
      <c r="BG213" s="2" t="s">
        <v>32</v>
      </c>
      <c r="BH213" s="2">
        <v>0</v>
      </c>
      <c r="BI213" s="2" t="s">
        <v>32</v>
      </c>
      <c r="BJ213" s="2" t="s">
        <v>32</v>
      </c>
      <c r="BK213" s="2" t="s">
        <v>32</v>
      </c>
      <c r="BL213" s="2">
        <v>0</v>
      </c>
      <c r="BM213" s="2" t="s">
        <v>32</v>
      </c>
      <c r="BN213" s="2" t="s">
        <v>32</v>
      </c>
      <c r="BO213" s="2" t="s">
        <v>32</v>
      </c>
      <c r="BP213" s="2">
        <v>0</v>
      </c>
      <c r="BQ213" s="2" t="s">
        <v>32</v>
      </c>
      <c r="BR213" s="2">
        <v>0</v>
      </c>
      <c r="BS213" s="2" t="s">
        <v>1660</v>
      </c>
      <c r="BT213" s="2">
        <v>0</v>
      </c>
      <c r="BU213" s="2">
        <v>0</v>
      </c>
      <c r="BV213" s="2" t="s">
        <v>1660</v>
      </c>
      <c r="BW213" s="2"/>
      <c r="BX213" s="2"/>
      <c r="BY213" s="2" t="s">
        <v>1807</v>
      </c>
      <c r="BZ213" s="2" t="b">
        <f>OR( (Dashboard[[#This Row],[ref_as_hh]]&gt;=1),(Dashboard[[#This Row],[ret_as_hh]] &gt;=1), (Dashboard[[#This Row],[idp_as_hh]]&gt;=1))</f>
        <v>0</v>
      </c>
      <c r="CA213" s="2">
        <f>Dashboard[[#This Row],[ret_hi_hh]]</f>
        <v>0</v>
      </c>
      <c r="CB213" s="2">
        <f>Dashboard[[#This Row],[idp_fa_hh]]+Dashboard[[#This Row],[ref_fa_hh]]+Dashboard[[#This Row],[ret_fa_hh]]</f>
        <v>139</v>
      </c>
      <c r="CC213" s="2">
        <f>Dashboard[[#This Row],[idp_loc_hh]]+Dashboard[[#This Row],[ref_loc_hh]]+Dashboard[[#This Row],[ret_loc_hh]]</f>
        <v>344</v>
      </c>
      <c r="CD213" s="2">
        <f>Dashboard[[#This Row],[idp_cc_hh]]+Dashboard[[#This Row],[ref_cc_hh]]+Dashboard[[#This Row],[ret_cc_hh]]</f>
        <v>0</v>
      </c>
      <c r="CE213" s="2">
        <f>Dashboard[[#This Row],[idp_as_hh]]+Dashboard[[#This Row],[ref_as_hh]]+Dashboard[[#This Row],[ret_as_hh]]</f>
        <v>0</v>
      </c>
      <c r="CF213" s="2">
        <f>Dashboard[[#This Row],[idp_al_hh]]+Dashboard[[#This Row],[ref_al_hh]]+Dashboard[[#This Row],[ret_al_hh]]</f>
        <v>0</v>
      </c>
    </row>
    <row r="214" spans="1:84" hidden="1" x14ac:dyDescent="0.25">
      <c r="A214" s="27">
        <v>736</v>
      </c>
      <c r="B214" s="2" t="s">
        <v>22</v>
      </c>
      <c r="C214" s="2" t="s">
        <v>23</v>
      </c>
      <c r="D214" s="2" t="s">
        <v>85</v>
      </c>
      <c r="E214" s="2" t="s">
        <v>84</v>
      </c>
      <c r="F214" s="2" t="s">
        <v>157</v>
      </c>
      <c r="G214" s="2" t="s">
        <v>156</v>
      </c>
      <c r="H214" s="2" t="s">
        <v>1024</v>
      </c>
      <c r="I214" s="2" t="s">
        <v>337</v>
      </c>
      <c r="J214" s="2" t="s">
        <v>2572</v>
      </c>
      <c r="K214" s="2" t="s">
        <v>2573</v>
      </c>
      <c r="L214" s="2" t="s">
        <v>2074</v>
      </c>
      <c r="M214" s="2">
        <v>3600</v>
      </c>
      <c r="N214" s="2" t="s">
        <v>1658</v>
      </c>
      <c r="O214" s="2">
        <v>74</v>
      </c>
      <c r="P214" s="2">
        <v>384</v>
      </c>
      <c r="Q214" s="2" t="s">
        <v>1658</v>
      </c>
      <c r="R214" s="2">
        <v>15</v>
      </c>
      <c r="S214" s="2" t="s">
        <v>1658</v>
      </c>
      <c r="T214" s="2">
        <v>59</v>
      </c>
      <c r="U214" s="2" t="s">
        <v>1661</v>
      </c>
      <c r="V214" s="2" t="s">
        <v>32</v>
      </c>
      <c r="W214" s="2" t="s">
        <v>1660</v>
      </c>
      <c r="X214" s="2">
        <v>0</v>
      </c>
      <c r="Y214" s="2" t="s">
        <v>32</v>
      </c>
      <c r="Z214" s="2" t="s">
        <v>32</v>
      </c>
      <c r="AA214" s="2" t="s">
        <v>1660</v>
      </c>
      <c r="AB214" s="2">
        <v>0</v>
      </c>
      <c r="AC214" s="2" t="s">
        <v>1660</v>
      </c>
      <c r="AD214" s="2">
        <v>0</v>
      </c>
      <c r="AE214" s="2" t="s">
        <v>1660</v>
      </c>
      <c r="AF214" s="2">
        <v>0</v>
      </c>
      <c r="AG214" s="2">
        <v>0</v>
      </c>
      <c r="AH214" s="2" t="s">
        <v>32</v>
      </c>
      <c r="AI214" s="2" t="s">
        <v>32</v>
      </c>
      <c r="AJ214" s="2" t="s">
        <v>32</v>
      </c>
      <c r="AK214" s="2" t="s">
        <v>32</v>
      </c>
      <c r="AL214" s="2" t="s">
        <v>32</v>
      </c>
      <c r="AM214" s="2">
        <v>0</v>
      </c>
      <c r="AN214" s="2" t="s">
        <v>32</v>
      </c>
      <c r="AO214" s="2">
        <v>0</v>
      </c>
      <c r="AP214" s="2" t="s">
        <v>32</v>
      </c>
      <c r="AQ214" s="2" t="s">
        <v>32</v>
      </c>
      <c r="AR214" s="2" t="s">
        <v>32</v>
      </c>
      <c r="AS214" s="2">
        <v>0</v>
      </c>
      <c r="AT214" s="2" t="s">
        <v>32</v>
      </c>
      <c r="AU214" s="2" t="s">
        <v>32</v>
      </c>
      <c r="AV214" s="2" t="s">
        <v>32</v>
      </c>
      <c r="AW214" s="2">
        <v>0</v>
      </c>
      <c r="AX214" s="2" t="s">
        <v>32</v>
      </c>
      <c r="AY214" s="2">
        <v>0</v>
      </c>
      <c r="AZ214" s="2" t="s">
        <v>1660</v>
      </c>
      <c r="BA214" s="2">
        <v>0</v>
      </c>
      <c r="BB214" s="2">
        <v>0</v>
      </c>
      <c r="BC214" s="2" t="s">
        <v>32</v>
      </c>
      <c r="BD214" s="2">
        <v>0</v>
      </c>
      <c r="BE214" s="2" t="s">
        <v>32</v>
      </c>
      <c r="BF214" s="2">
        <v>0</v>
      </c>
      <c r="BG214" s="2" t="s">
        <v>32</v>
      </c>
      <c r="BH214" s="2">
        <v>0</v>
      </c>
      <c r="BI214" s="2" t="s">
        <v>32</v>
      </c>
      <c r="BJ214" s="2" t="s">
        <v>32</v>
      </c>
      <c r="BK214" s="2" t="s">
        <v>32</v>
      </c>
      <c r="BL214" s="2">
        <v>0</v>
      </c>
      <c r="BM214" s="2" t="s">
        <v>32</v>
      </c>
      <c r="BN214" s="2" t="s">
        <v>32</v>
      </c>
      <c r="BO214" s="2" t="s">
        <v>32</v>
      </c>
      <c r="BP214" s="2">
        <v>0</v>
      </c>
      <c r="BQ214" s="2" t="s">
        <v>32</v>
      </c>
      <c r="BR214" s="2">
        <v>0</v>
      </c>
      <c r="BS214" s="2" t="s">
        <v>1660</v>
      </c>
      <c r="BT214" s="2">
        <v>0</v>
      </c>
      <c r="BU214" s="2">
        <v>0</v>
      </c>
      <c r="BV214" s="2" t="s">
        <v>1660</v>
      </c>
      <c r="BW214" s="2"/>
      <c r="BX214" s="2"/>
      <c r="BY214" s="2" t="s">
        <v>1807</v>
      </c>
      <c r="BZ214" s="2" t="b">
        <f>OR( (Dashboard[[#This Row],[ref_as_hh]]&gt;=1),(Dashboard[[#This Row],[ret_as_hh]] &gt;=1), (Dashboard[[#This Row],[idp_as_hh]]&gt;=1))</f>
        <v>0</v>
      </c>
      <c r="CA214" s="2">
        <f>Dashboard[[#This Row],[ret_hi_hh]]</f>
        <v>0</v>
      </c>
      <c r="CB214" s="2">
        <f>Dashboard[[#This Row],[idp_fa_hh]]+Dashboard[[#This Row],[ref_fa_hh]]+Dashboard[[#This Row],[ret_fa_hh]]</f>
        <v>15</v>
      </c>
      <c r="CC214" s="2">
        <f>Dashboard[[#This Row],[idp_loc_hh]]+Dashboard[[#This Row],[ref_loc_hh]]+Dashboard[[#This Row],[ret_loc_hh]]</f>
        <v>59</v>
      </c>
      <c r="CD214" s="2">
        <f>Dashboard[[#This Row],[idp_cc_hh]]+Dashboard[[#This Row],[ref_cc_hh]]+Dashboard[[#This Row],[ret_cc_hh]]</f>
        <v>0</v>
      </c>
      <c r="CE214" s="2">
        <f>Dashboard[[#This Row],[idp_as_hh]]+Dashboard[[#This Row],[ref_as_hh]]+Dashboard[[#This Row],[ret_as_hh]]</f>
        <v>0</v>
      </c>
      <c r="CF214" s="2">
        <f>Dashboard[[#This Row],[idp_al_hh]]+Dashboard[[#This Row],[ref_al_hh]]+Dashboard[[#This Row],[ret_al_hh]]</f>
        <v>0</v>
      </c>
    </row>
    <row r="215" spans="1:84" hidden="1" x14ac:dyDescent="0.25">
      <c r="A215" s="27">
        <v>743</v>
      </c>
      <c r="B215" s="2" t="s">
        <v>22</v>
      </c>
      <c r="C215" s="2" t="s">
        <v>23</v>
      </c>
      <c r="D215" s="2" t="s">
        <v>85</v>
      </c>
      <c r="E215" s="2" t="s">
        <v>84</v>
      </c>
      <c r="F215" s="2" t="s">
        <v>157</v>
      </c>
      <c r="G215" s="2" t="s">
        <v>156</v>
      </c>
      <c r="H215" s="2" t="s">
        <v>1031</v>
      </c>
      <c r="I215" s="2" t="s">
        <v>344</v>
      </c>
      <c r="J215" s="2" t="s">
        <v>2586</v>
      </c>
      <c r="K215" s="2" t="s">
        <v>2587</v>
      </c>
      <c r="L215" s="2" t="s">
        <v>2074</v>
      </c>
      <c r="M215" s="2">
        <v>1083</v>
      </c>
      <c r="N215" s="2" t="s">
        <v>1658</v>
      </c>
      <c r="O215" s="2">
        <v>14</v>
      </c>
      <c r="P215" s="2">
        <v>83</v>
      </c>
      <c r="Q215" s="2" t="s">
        <v>1658</v>
      </c>
      <c r="R215" s="2">
        <v>5</v>
      </c>
      <c r="S215" s="2" t="s">
        <v>1658</v>
      </c>
      <c r="T215" s="2">
        <v>9</v>
      </c>
      <c r="U215" s="2" t="s">
        <v>1659</v>
      </c>
      <c r="V215" s="2" t="s">
        <v>32</v>
      </c>
      <c r="W215" s="2" t="s">
        <v>1660</v>
      </c>
      <c r="X215" s="2">
        <v>0</v>
      </c>
      <c r="Y215" s="2" t="s">
        <v>32</v>
      </c>
      <c r="Z215" s="2" t="s">
        <v>32</v>
      </c>
      <c r="AA215" s="2" t="s">
        <v>1660</v>
      </c>
      <c r="AB215" s="2">
        <v>0</v>
      </c>
      <c r="AC215" s="2" t="s">
        <v>1660</v>
      </c>
      <c r="AD215" s="2">
        <v>0</v>
      </c>
      <c r="AE215" s="2" t="s">
        <v>1660</v>
      </c>
      <c r="AF215" s="2">
        <v>0</v>
      </c>
      <c r="AG215" s="2">
        <v>0</v>
      </c>
      <c r="AH215" s="2" t="s">
        <v>32</v>
      </c>
      <c r="AI215" s="2" t="s">
        <v>32</v>
      </c>
      <c r="AJ215" s="2" t="s">
        <v>32</v>
      </c>
      <c r="AK215" s="2" t="s">
        <v>32</v>
      </c>
      <c r="AL215" s="2" t="s">
        <v>32</v>
      </c>
      <c r="AM215" s="2">
        <v>0</v>
      </c>
      <c r="AN215" s="2" t="s">
        <v>32</v>
      </c>
      <c r="AO215" s="2">
        <v>0</v>
      </c>
      <c r="AP215" s="2" t="s">
        <v>32</v>
      </c>
      <c r="AQ215" s="2" t="s">
        <v>32</v>
      </c>
      <c r="AR215" s="2" t="s">
        <v>32</v>
      </c>
      <c r="AS215" s="2">
        <v>0</v>
      </c>
      <c r="AT215" s="2" t="s">
        <v>32</v>
      </c>
      <c r="AU215" s="2" t="s">
        <v>32</v>
      </c>
      <c r="AV215" s="2" t="s">
        <v>32</v>
      </c>
      <c r="AW215" s="2">
        <v>0</v>
      </c>
      <c r="AX215" s="2" t="s">
        <v>32</v>
      </c>
      <c r="AY215" s="2">
        <v>0</v>
      </c>
      <c r="AZ215" s="2" t="s">
        <v>1660</v>
      </c>
      <c r="BA215" s="2">
        <v>0</v>
      </c>
      <c r="BB215" s="2">
        <v>0</v>
      </c>
      <c r="BC215" s="2" t="s">
        <v>32</v>
      </c>
      <c r="BD215" s="2">
        <v>0</v>
      </c>
      <c r="BE215" s="2" t="s">
        <v>32</v>
      </c>
      <c r="BF215" s="2">
        <v>0</v>
      </c>
      <c r="BG215" s="2" t="s">
        <v>32</v>
      </c>
      <c r="BH215" s="2">
        <v>0</v>
      </c>
      <c r="BI215" s="2" t="s">
        <v>32</v>
      </c>
      <c r="BJ215" s="2" t="s">
        <v>32</v>
      </c>
      <c r="BK215" s="2" t="s">
        <v>32</v>
      </c>
      <c r="BL215" s="2">
        <v>0</v>
      </c>
      <c r="BM215" s="2" t="s">
        <v>32</v>
      </c>
      <c r="BN215" s="2" t="s">
        <v>32</v>
      </c>
      <c r="BO215" s="2" t="s">
        <v>32</v>
      </c>
      <c r="BP215" s="2">
        <v>0</v>
      </c>
      <c r="BQ215" s="2" t="s">
        <v>32</v>
      </c>
      <c r="BR215" s="2">
        <v>0</v>
      </c>
      <c r="BS215" s="2" t="s">
        <v>1660</v>
      </c>
      <c r="BT215" s="2">
        <v>0</v>
      </c>
      <c r="BU215" s="2">
        <v>0</v>
      </c>
      <c r="BV215" s="2" t="s">
        <v>1660</v>
      </c>
      <c r="BW215" s="2"/>
      <c r="BX215" s="2"/>
      <c r="BY215" s="2" t="s">
        <v>1807</v>
      </c>
      <c r="BZ215" s="2" t="b">
        <f>OR( (Dashboard[[#This Row],[ref_as_hh]]&gt;=1),(Dashboard[[#This Row],[ret_as_hh]] &gt;=1), (Dashboard[[#This Row],[idp_as_hh]]&gt;=1))</f>
        <v>0</v>
      </c>
      <c r="CA215" s="2">
        <f>Dashboard[[#This Row],[ret_hi_hh]]</f>
        <v>0</v>
      </c>
      <c r="CB215" s="2">
        <f>Dashboard[[#This Row],[idp_fa_hh]]+Dashboard[[#This Row],[ref_fa_hh]]+Dashboard[[#This Row],[ret_fa_hh]]</f>
        <v>5</v>
      </c>
      <c r="CC215" s="2">
        <f>Dashboard[[#This Row],[idp_loc_hh]]+Dashboard[[#This Row],[ref_loc_hh]]+Dashboard[[#This Row],[ret_loc_hh]]</f>
        <v>9</v>
      </c>
      <c r="CD215" s="2">
        <f>Dashboard[[#This Row],[idp_cc_hh]]+Dashboard[[#This Row],[ref_cc_hh]]+Dashboard[[#This Row],[ret_cc_hh]]</f>
        <v>0</v>
      </c>
      <c r="CE215" s="2">
        <f>Dashboard[[#This Row],[idp_as_hh]]+Dashboard[[#This Row],[ref_as_hh]]+Dashboard[[#This Row],[ret_as_hh]]</f>
        <v>0</v>
      </c>
      <c r="CF215" s="2">
        <f>Dashboard[[#This Row],[idp_al_hh]]+Dashboard[[#This Row],[ref_al_hh]]+Dashboard[[#This Row],[ret_al_hh]]</f>
        <v>0</v>
      </c>
    </row>
    <row r="216" spans="1:84" hidden="1" x14ac:dyDescent="0.25">
      <c r="A216" s="27">
        <v>542</v>
      </c>
      <c r="B216" s="2" t="s">
        <v>22</v>
      </c>
      <c r="C216" s="2" t="s">
        <v>23</v>
      </c>
      <c r="D216" s="2" t="s">
        <v>85</v>
      </c>
      <c r="E216" s="2" t="s">
        <v>84</v>
      </c>
      <c r="F216" s="2" t="s">
        <v>95</v>
      </c>
      <c r="G216" s="2" t="s">
        <v>94</v>
      </c>
      <c r="H216" s="2" t="s">
        <v>920</v>
      </c>
      <c r="I216" s="2" t="s">
        <v>112</v>
      </c>
      <c r="J216" s="2" t="s">
        <v>2324</v>
      </c>
      <c r="K216" s="2" t="s">
        <v>2325</v>
      </c>
      <c r="L216" s="2" t="s">
        <v>2074</v>
      </c>
      <c r="M216" s="2">
        <v>454</v>
      </c>
      <c r="N216" s="2" t="s">
        <v>1658</v>
      </c>
      <c r="O216" s="2">
        <v>33</v>
      </c>
      <c r="P216" s="2">
        <v>192</v>
      </c>
      <c r="Q216" s="2" t="s">
        <v>1658</v>
      </c>
      <c r="R216" s="2">
        <v>33</v>
      </c>
      <c r="S216" s="2" t="s">
        <v>1660</v>
      </c>
      <c r="T216" s="2">
        <v>0</v>
      </c>
      <c r="U216" s="2" t="s">
        <v>32</v>
      </c>
      <c r="V216" s="2" t="s">
        <v>32</v>
      </c>
      <c r="W216" s="2" t="s">
        <v>1660</v>
      </c>
      <c r="X216" s="2">
        <v>0</v>
      </c>
      <c r="Y216" s="2" t="s">
        <v>32</v>
      </c>
      <c r="Z216" s="2" t="s">
        <v>32</v>
      </c>
      <c r="AA216" s="2" t="s">
        <v>1660</v>
      </c>
      <c r="AB216" s="2">
        <v>0</v>
      </c>
      <c r="AC216" s="2" t="s">
        <v>1660</v>
      </c>
      <c r="AD216" s="2">
        <v>0</v>
      </c>
      <c r="AE216" s="2" t="s">
        <v>1660</v>
      </c>
      <c r="AF216" s="2">
        <v>0</v>
      </c>
      <c r="AG216" s="2">
        <v>0</v>
      </c>
      <c r="AH216" s="2" t="s">
        <v>32</v>
      </c>
      <c r="AI216" s="2" t="s">
        <v>32</v>
      </c>
      <c r="AJ216" s="2" t="s">
        <v>32</v>
      </c>
      <c r="AK216" s="2" t="s">
        <v>32</v>
      </c>
      <c r="AL216" s="2" t="s">
        <v>32</v>
      </c>
      <c r="AM216" s="2">
        <v>0</v>
      </c>
      <c r="AN216" s="2" t="s">
        <v>32</v>
      </c>
      <c r="AO216" s="2">
        <v>0</v>
      </c>
      <c r="AP216" s="2" t="s">
        <v>32</v>
      </c>
      <c r="AQ216" s="2" t="s">
        <v>32</v>
      </c>
      <c r="AR216" s="2" t="s">
        <v>32</v>
      </c>
      <c r="AS216" s="2">
        <v>0</v>
      </c>
      <c r="AT216" s="2" t="s">
        <v>32</v>
      </c>
      <c r="AU216" s="2" t="s">
        <v>32</v>
      </c>
      <c r="AV216" s="2" t="s">
        <v>32</v>
      </c>
      <c r="AW216" s="2">
        <v>0</v>
      </c>
      <c r="AX216" s="2" t="s">
        <v>32</v>
      </c>
      <c r="AY216" s="2">
        <v>0</v>
      </c>
      <c r="AZ216" s="2" t="s">
        <v>1660</v>
      </c>
      <c r="BA216" s="2">
        <v>0</v>
      </c>
      <c r="BB216" s="2">
        <v>0</v>
      </c>
      <c r="BC216" s="2" t="s">
        <v>32</v>
      </c>
      <c r="BD216" s="2">
        <v>0</v>
      </c>
      <c r="BE216" s="2" t="s">
        <v>32</v>
      </c>
      <c r="BF216" s="2">
        <v>0</v>
      </c>
      <c r="BG216" s="2" t="s">
        <v>32</v>
      </c>
      <c r="BH216" s="2">
        <v>0</v>
      </c>
      <c r="BI216" s="2" t="s">
        <v>32</v>
      </c>
      <c r="BJ216" s="2" t="s">
        <v>32</v>
      </c>
      <c r="BK216" s="2" t="s">
        <v>32</v>
      </c>
      <c r="BL216" s="2">
        <v>0</v>
      </c>
      <c r="BM216" s="2" t="s">
        <v>32</v>
      </c>
      <c r="BN216" s="2" t="s">
        <v>32</v>
      </c>
      <c r="BO216" s="2" t="s">
        <v>32</v>
      </c>
      <c r="BP216" s="2">
        <v>0</v>
      </c>
      <c r="BQ216" s="2" t="s">
        <v>32</v>
      </c>
      <c r="BR216" s="2">
        <v>0</v>
      </c>
      <c r="BS216" s="2" t="s">
        <v>1660</v>
      </c>
      <c r="BT216" s="2">
        <v>0</v>
      </c>
      <c r="BU216" s="2">
        <v>0</v>
      </c>
      <c r="BV216" s="2" t="s">
        <v>1660</v>
      </c>
      <c r="BW216" s="2"/>
      <c r="BX216" s="2"/>
      <c r="BY216" s="2" t="s">
        <v>1807</v>
      </c>
      <c r="BZ216" s="2" t="b">
        <f>OR( (Dashboard[[#This Row],[ref_as_hh]]&gt;=1),(Dashboard[[#This Row],[ret_as_hh]] &gt;=1), (Dashboard[[#This Row],[idp_as_hh]]&gt;=1))</f>
        <v>0</v>
      </c>
      <c r="CA216" s="2">
        <f>Dashboard[[#This Row],[ret_hi_hh]]</f>
        <v>0</v>
      </c>
      <c r="CB216" s="2">
        <f>Dashboard[[#This Row],[idp_fa_hh]]+Dashboard[[#This Row],[ref_fa_hh]]+Dashboard[[#This Row],[ret_fa_hh]]</f>
        <v>33</v>
      </c>
      <c r="CC216" s="2">
        <f>Dashboard[[#This Row],[idp_loc_hh]]+Dashboard[[#This Row],[ref_loc_hh]]+Dashboard[[#This Row],[ret_loc_hh]]</f>
        <v>0</v>
      </c>
      <c r="CD216" s="2">
        <f>Dashboard[[#This Row],[idp_cc_hh]]+Dashboard[[#This Row],[ref_cc_hh]]+Dashboard[[#This Row],[ret_cc_hh]]</f>
        <v>0</v>
      </c>
      <c r="CE216" s="2">
        <f>Dashboard[[#This Row],[idp_as_hh]]+Dashboard[[#This Row],[ref_as_hh]]+Dashboard[[#This Row],[ret_as_hh]]</f>
        <v>0</v>
      </c>
      <c r="CF216" s="2">
        <f>Dashboard[[#This Row],[idp_al_hh]]+Dashboard[[#This Row],[ref_al_hh]]+Dashboard[[#This Row],[ret_al_hh]]</f>
        <v>0</v>
      </c>
    </row>
    <row r="217" spans="1:84" hidden="1" x14ac:dyDescent="0.25">
      <c r="A217" s="27">
        <v>547</v>
      </c>
      <c r="B217" s="2" t="s">
        <v>22</v>
      </c>
      <c r="C217" s="2" t="s">
        <v>23</v>
      </c>
      <c r="D217" s="2" t="s">
        <v>85</v>
      </c>
      <c r="E217" s="2" t="s">
        <v>84</v>
      </c>
      <c r="F217" s="2" t="s">
        <v>95</v>
      </c>
      <c r="G217" s="2" t="s">
        <v>94</v>
      </c>
      <c r="H217" s="2" t="s">
        <v>922</v>
      </c>
      <c r="I217" s="2" t="s">
        <v>114</v>
      </c>
      <c r="J217" s="2" t="s">
        <v>2328</v>
      </c>
      <c r="K217" s="2" t="s">
        <v>2329</v>
      </c>
      <c r="L217" s="2" t="s">
        <v>2074</v>
      </c>
      <c r="M217" s="2">
        <v>224</v>
      </c>
      <c r="N217" s="2" t="s">
        <v>1658</v>
      </c>
      <c r="O217" s="2">
        <v>16</v>
      </c>
      <c r="P217" s="2">
        <v>112</v>
      </c>
      <c r="Q217" s="2" t="s">
        <v>1658</v>
      </c>
      <c r="R217" s="2">
        <v>16</v>
      </c>
      <c r="S217" s="2" t="s">
        <v>1660</v>
      </c>
      <c r="T217" s="2">
        <v>0</v>
      </c>
      <c r="U217" s="2" t="s">
        <v>32</v>
      </c>
      <c r="V217" s="2" t="s">
        <v>32</v>
      </c>
      <c r="W217" s="2" t="s">
        <v>1660</v>
      </c>
      <c r="X217" s="2">
        <v>0</v>
      </c>
      <c r="Y217" s="2" t="s">
        <v>32</v>
      </c>
      <c r="Z217" s="2" t="s">
        <v>32</v>
      </c>
      <c r="AA217" s="2" t="s">
        <v>1660</v>
      </c>
      <c r="AB217" s="2">
        <v>0</v>
      </c>
      <c r="AC217" s="2" t="s">
        <v>1660</v>
      </c>
      <c r="AD217" s="2">
        <v>0</v>
      </c>
      <c r="AE217" s="2" t="s">
        <v>1658</v>
      </c>
      <c r="AF217" s="2">
        <v>11</v>
      </c>
      <c r="AG217" s="2">
        <v>66</v>
      </c>
      <c r="AH217" s="2" t="s">
        <v>1660</v>
      </c>
      <c r="AI217" s="2" t="s">
        <v>32</v>
      </c>
      <c r="AJ217" s="2" t="s">
        <v>32</v>
      </c>
      <c r="AK217" s="2" t="s">
        <v>32</v>
      </c>
      <c r="AL217" s="2" t="s">
        <v>1658</v>
      </c>
      <c r="AM217" s="2">
        <v>11</v>
      </c>
      <c r="AN217" s="2" t="s">
        <v>1660</v>
      </c>
      <c r="AO217" s="2">
        <v>0</v>
      </c>
      <c r="AP217" s="2" t="s">
        <v>32</v>
      </c>
      <c r="AQ217" s="2" t="s">
        <v>32</v>
      </c>
      <c r="AR217" s="2" t="s">
        <v>1660</v>
      </c>
      <c r="AS217" s="2">
        <v>0</v>
      </c>
      <c r="AT217" s="2" t="s">
        <v>32</v>
      </c>
      <c r="AU217" s="2" t="s">
        <v>32</v>
      </c>
      <c r="AV217" s="2" t="s">
        <v>1660</v>
      </c>
      <c r="AW217" s="2">
        <v>0</v>
      </c>
      <c r="AX217" s="2" t="s">
        <v>1660</v>
      </c>
      <c r="AY217" s="2">
        <v>0</v>
      </c>
      <c r="AZ217" s="2" t="s">
        <v>1660</v>
      </c>
      <c r="BA217" s="2">
        <v>0</v>
      </c>
      <c r="BB217" s="2">
        <v>0</v>
      </c>
      <c r="BC217" s="2" t="s">
        <v>32</v>
      </c>
      <c r="BD217" s="2">
        <v>0</v>
      </c>
      <c r="BE217" s="2" t="s">
        <v>32</v>
      </c>
      <c r="BF217" s="2">
        <v>0</v>
      </c>
      <c r="BG217" s="2" t="s">
        <v>32</v>
      </c>
      <c r="BH217" s="2">
        <v>0</v>
      </c>
      <c r="BI217" s="2" t="s">
        <v>32</v>
      </c>
      <c r="BJ217" s="2" t="s">
        <v>32</v>
      </c>
      <c r="BK217" s="2" t="s">
        <v>32</v>
      </c>
      <c r="BL217" s="2">
        <v>0</v>
      </c>
      <c r="BM217" s="2" t="s">
        <v>32</v>
      </c>
      <c r="BN217" s="2" t="s">
        <v>32</v>
      </c>
      <c r="BO217" s="2" t="s">
        <v>32</v>
      </c>
      <c r="BP217" s="2">
        <v>0</v>
      </c>
      <c r="BQ217" s="2" t="s">
        <v>32</v>
      </c>
      <c r="BR217" s="2">
        <v>0</v>
      </c>
      <c r="BS217" s="2" t="s">
        <v>1660</v>
      </c>
      <c r="BT217" s="2">
        <v>0</v>
      </c>
      <c r="BU217" s="2">
        <v>0</v>
      </c>
      <c r="BV217" s="2" t="s">
        <v>1660</v>
      </c>
      <c r="BW217" s="2"/>
      <c r="BX217" s="2"/>
      <c r="BY217" s="2" t="s">
        <v>1807</v>
      </c>
      <c r="BZ217" s="2" t="b">
        <f>OR( (Dashboard[[#This Row],[ref_as_hh]]&gt;=1),(Dashboard[[#This Row],[ret_as_hh]] &gt;=1), (Dashboard[[#This Row],[idp_as_hh]]&gt;=1))</f>
        <v>0</v>
      </c>
      <c r="CA217" s="2">
        <f>Dashboard[[#This Row],[ret_hi_hh]]</f>
        <v>0</v>
      </c>
      <c r="CB217" s="2">
        <f>Dashboard[[#This Row],[idp_fa_hh]]+Dashboard[[#This Row],[ref_fa_hh]]+Dashboard[[#This Row],[ret_fa_hh]]</f>
        <v>27</v>
      </c>
      <c r="CC217" s="2">
        <f>Dashboard[[#This Row],[idp_loc_hh]]+Dashboard[[#This Row],[ref_loc_hh]]+Dashboard[[#This Row],[ret_loc_hh]]</f>
        <v>0</v>
      </c>
      <c r="CD217" s="2">
        <f>Dashboard[[#This Row],[idp_cc_hh]]+Dashboard[[#This Row],[ref_cc_hh]]+Dashboard[[#This Row],[ret_cc_hh]]</f>
        <v>0</v>
      </c>
      <c r="CE217" s="2">
        <f>Dashboard[[#This Row],[idp_as_hh]]+Dashboard[[#This Row],[ref_as_hh]]+Dashboard[[#This Row],[ret_as_hh]]</f>
        <v>0</v>
      </c>
      <c r="CF217" s="2">
        <f>Dashboard[[#This Row],[idp_al_hh]]+Dashboard[[#This Row],[ref_al_hh]]+Dashboard[[#This Row],[ret_al_hh]]</f>
        <v>0</v>
      </c>
    </row>
    <row r="218" spans="1:84" hidden="1" x14ac:dyDescent="0.25">
      <c r="A218" s="27">
        <v>548</v>
      </c>
      <c r="B218" s="2" t="s">
        <v>22</v>
      </c>
      <c r="C218" s="2" t="s">
        <v>23</v>
      </c>
      <c r="D218" s="2" t="s">
        <v>85</v>
      </c>
      <c r="E218" s="2" t="s">
        <v>84</v>
      </c>
      <c r="F218" s="2" t="s">
        <v>95</v>
      </c>
      <c r="G218" s="2" t="s">
        <v>94</v>
      </c>
      <c r="H218" s="2" t="s">
        <v>924</v>
      </c>
      <c r="I218" s="2" t="s">
        <v>116</v>
      </c>
      <c r="J218" s="2" t="s">
        <v>2332</v>
      </c>
      <c r="K218" s="2" t="s">
        <v>2333</v>
      </c>
      <c r="L218" s="2" t="s">
        <v>2074</v>
      </c>
      <c r="M218" s="2">
        <v>107</v>
      </c>
      <c r="N218" s="2" t="s">
        <v>1658</v>
      </c>
      <c r="O218" s="2">
        <v>3</v>
      </c>
      <c r="P218" s="2">
        <v>21</v>
      </c>
      <c r="Q218" s="2" t="s">
        <v>1658</v>
      </c>
      <c r="R218" s="2">
        <v>3</v>
      </c>
      <c r="S218" s="2" t="s">
        <v>1660</v>
      </c>
      <c r="T218" s="2">
        <v>0</v>
      </c>
      <c r="U218" s="2" t="s">
        <v>32</v>
      </c>
      <c r="V218" s="2" t="s">
        <v>32</v>
      </c>
      <c r="W218" s="2" t="s">
        <v>1660</v>
      </c>
      <c r="X218" s="2">
        <v>0</v>
      </c>
      <c r="Y218" s="2" t="s">
        <v>32</v>
      </c>
      <c r="Z218" s="2" t="s">
        <v>32</v>
      </c>
      <c r="AA218" s="2" t="s">
        <v>1660</v>
      </c>
      <c r="AB218" s="2">
        <v>0</v>
      </c>
      <c r="AC218" s="2" t="s">
        <v>1660</v>
      </c>
      <c r="AD218" s="2">
        <v>0</v>
      </c>
      <c r="AE218" s="2" t="s">
        <v>1660</v>
      </c>
      <c r="AF218" s="2">
        <v>0</v>
      </c>
      <c r="AG218" s="2">
        <v>0</v>
      </c>
      <c r="AH218" s="2" t="s">
        <v>32</v>
      </c>
      <c r="AI218" s="2" t="s">
        <v>32</v>
      </c>
      <c r="AJ218" s="2" t="s">
        <v>32</v>
      </c>
      <c r="AK218" s="2" t="s">
        <v>32</v>
      </c>
      <c r="AL218" s="2" t="s">
        <v>32</v>
      </c>
      <c r="AM218" s="2">
        <v>0</v>
      </c>
      <c r="AN218" s="2" t="s">
        <v>32</v>
      </c>
      <c r="AO218" s="2">
        <v>0</v>
      </c>
      <c r="AP218" s="2" t="s">
        <v>32</v>
      </c>
      <c r="AQ218" s="2" t="s">
        <v>32</v>
      </c>
      <c r="AR218" s="2" t="s">
        <v>32</v>
      </c>
      <c r="AS218" s="2">
        <v>0</v>
      </c>
      <c r="AT218" s="2" t="s">
        <v>32</v>
      </c>
      <c r="AU218" s="2" t="s">
        <v>32</v>
      </c>
      <c r="AV218" s="2" t="s">
        <v>32</v>
      </c>
      <c r="AW218" s="2">
        <v>0</v>
      </c>
      <c r="AX218" s="2" t="s">
        <v>32</v>
      </c>
      <c r="AY218" s="2">
        <v>0</v>
      </c>
      <c r="AZ218" s="2" t="s">
        <v>1660</v>
      </c>
      <c r="BA218" s="2">
        <v>0</v>
      </c>
      <c r="BB218" s="2">
        <v>0</v>
      </c>
      <c r="BC218" s="2" t="s">
        <v>32</v>
      </c>
      <c r="BD218" s="2">
        <v>0</v>
      </c>
      <c r="BE218" s="2" t="s">
        <v>32</v>
      </c>
      <c r="BF218" s="2">
        <v>0</v>
      </c>
      <c r="BG218" s="2" t="s">
        <v>32</v>
      </c>
      <c r="BH218" s="2">
        <v>0</v>
      </c>
      <c r="BI218" s="2" t="s">
        <v>32</v>
      </c>
      <c r="BJ218" s="2" t="s">
        <v>32</v>
      </c>
      <c r="BK218" s="2" t="s">
        <v>32</v>
      </c>
      <c r="BL218" s="2">
        <v>0</v>
      </c>
      <c r="BM218" s="2" t="s">
        <v>32</v>
      </c>
      <c r="BN218" s="2" t="s">
        <v>32</v>
      </c>
      <c r="BO218" s="2" t="s">
        <v>32</v>
      </c>
      <c r="BP218" s="2">
        <v>0</v>
      </c>
      <c r="BQ218" s="2" t="s">
        <v>32</v>
      </c>
      <c r="BR218" s="2">
        <v>0</v>
      </c>
      <c r="BS218" s="2" t="s">
        <v>1660</v>
      </c>
      <c r="BT218" s="2">
        <v>0</v>
      </c>
      <c r="BU218" s="2">
        <v>0</v>
      </c>
      <c r="BV218" s="2" t="s">
        <v>1660</v>
      </c>
      <c r="BW218" s="2"/>
      <c r="BX218" s="2"/>
      <c r="BY218" s="2" t="s">
        <v>1807</v>
      </c>
      <c r="BZ218" s="2" t="b">
        <f>OR( (Dashboard[[#This Row],[ref_as_hh]]&gt;=1),(Dashboard[[#This Row],[ret_as_hh]] &gt;=1), (Dashboard[[#This Row],[idp_as_hh]]&gt;=1))</f>
        <v>0</v>
      </c>
      <c r="CA218" s="2">
        <f>Dashboard[[#This Row],[ret_hi_hh]]</f>
        <v>0</v>
      </c>
      <c r="CB218" s="2">
        <f>Dashboard[[#This Row],[idp_fa_hh]]+Dashboard[[#This Row],[ref_fa_hh]]+Dashboard[[#This Row],[ret_fa_hh]]</f>
        <v>3</v>
      </c>
      <c r="CC218" s="2">
        <f>Dashboard[[#This Row],[idp_loc_hh]]+Dashboard[[#This Row],[ref_loc_hh]]+Dashboard[[#This Row],[ret_loc_hh]]</f>
        <v>0</v>
      </c>
      <c r="CD218" s="2">
        <f>Dashboard[[#This Row],[idp_cc_hh]]+Dashboard[[#This Row],[ref_cc_hh]]+Dashboard[[#This Row],[ret_cc_hh]]</f>
        <v>0</v>
      </c>
      <c r="CE218" s="2">
        <f>Dashboard[[#This Row],[idp_as_hh]]+Dashboard[[#This Row],[ref_as_hh]]+Dashboard[[#This Row],[ret_as_hh]]</f>
        <v>0</v>
      </c>
      <c r="CF218" s="2">
        <f>Dashboard[[#This Row],[idp_al_hh]]+Dashboard[[#This Row],[ref_al_hh]]+Dashboard[[#This Row],[ret_al_hh]]</f>
        <v>0</v>
      </c>
    </row>
    <row r="219" spans="1:84" hidden="1" x14ac:dyDescent="0.25">
      <c r="A219" s="27">
        <v>549</v>
      </c>
      <c r="B219" s="2" t="s">
        <v>22</v>
      </c>
      <c r="C219" s="2" t="s">
        <v>23</v>
      </c>
      <c r="D219" s="2" t="s">
        <v>85</v>
      </c>
      <c r="E219" s="2" t="s">
        <v>84</v>
      </c>
      <c r="F219" s="2" t="s">
        <v>95</v>
      </c>
      <c r="G219" s="2" t="s">
        <v>94</v>
      </c>
      <c r="H219" s="2" t="s">
        <v>1499</v>
      </c>
      <c r="I219" s="2" t="s">
        <v>622</v>
      </c>
      <c r="J219" s="2" t="s">
        <v>2334</v>
      </c>
      <c r="K219" s="2" t="s">
        <v>2335</v>
      </c>
      <c r="L219" s="2" t="s">
        <v>2074</v>
      </c>
      <c r="M219" s="2">
        <v>350</v>
      </c>
      <c r="N219" s="2" t="s">
        <v>1660</v>
      </c>
      <c r="O219" s="2">
        <v>0</v>
      </c>
      <c r="P219" s="2">
        <v>0</v>
      </c>
      <c r="Q219" s="2" t="s">
        <v>32</v>
      </c>
      <c r="R219" s="2">
        <v>0</v>
      </c>
      <c r="S219" s="2" t="s">
        <v>32</v>
      </c>
      <c r="T219" s="2">
        <v>0</v>
      </c>
      <c r="U219" s="2" t="s">
        <v>32</v>
      </c>
      <c r="V219" s="2" t="s">
        <v>32</v>
      </c>
      <c r="W219" s="2" t="s">
        <v>32</v>
      </c>
      <c r="X219" s="2">
        <v>0</v>
      </c>
      <c r="Y219" s="2" t="s">
        <v>32</v>
      </c>
      <c r="Z219" s="2" t="s">
        <v>32</v>
      </c>
      <c r="AA219" s="2" t="s">
        <v>32</v>
      </c>
      <c r="AB219" s="2">
        <v>0</v>
      </c>
      <c r="AC219" s="2" t="s">
        <v>32</v>
      </c>
      <c r="AD219" s="2">
        <v>0</v>
      </c>
      <c r="AE219" s="2" t="s">
        <v>1660</v>
      </c>
      <c r="AF219" s="2">
        <v>0</v>
      </c>
      <c r="AG219" s="2">
        <v>0</v>
      </c>
      <c r="AH219" s="2" t="s">
        <v>32</v>
      </c>
      <c r="AI219" s="2" t="s">
        <v>32</v>
      </c>
      <c r="AJ219" s="2" t="s">
        <v>32</v>
      </c>
      <c r="AK219" s="2" t="s">
        <v>32</v>
      </c>
      <c r="AL219" s="2" t="s">
        <v>32</v>
      </c>
      <c r="AM219" s="2">
        <v>0</v>
      </c>
      <c r="AN219" s="2" t="s">
        <v>32</v>
      </c>
      <c r="AO219" s="2">
        <v>0</v>
      </c>
      <c r="AP219" s="2" t="s">
        <v>32</v>
      </c>
      <c r="AQ219" s="2" t="s">
        <v>32</v>
      </c>
      <c r="AR219" s="2" t="s">
        <v>32</v>
      </c>
      <c r="AS219" s="2">
        <v>0</v>
      </c>
      <c r="AT219" s="2" t="s">
        <v>32</v>
      </c>
      <c r="AU219" s="2" t="s">
        <v>32</v>
      </c>
      <c r="AV219" s="2" t="s">
        <v>32</v>
      </c>
      <c r="AW219" s="2">
        <v>0</v>
      </c>
      <c r="AX219" s="2" t="s">
        <v>32</v>
      </c>
      <c r="AY219" s="2">
        <v>0</v>
      </c>
      <c r="AZ219" s="2" t="s">
        <v>1660</v>
      </c>
      <c r="BA219" s="2">
        <v>0</v>
      </c>
      <c r="BB219" s="2">
        <v>0</v>
      </c>
      <c r="BC219" s="2" t="s">
        <v>32</v>
      </c>
      <c r="BD219" s="2">
        <v>0</v>
      </c>
      <c r="BE219" s="2" t="s">
        <v>32</v>
      </c>
      <c r="BF219" s="2">
        <v>0</v>
      </c>
      <c r="BG219" s="2" t="s">
        <v>32</v>
      </c>
      <c r="BH219" s="2">
        <v>0</v>
      </c>
      <c r="BI219" s="2" t="s">
        <v>32</v>
      </c>
      <c r="BJ219" s="2" t="s">
        <v>32</v>
      </c>
      <c r="BK219" s="2" t="s">
        <v>32</v>
      </c>
      <c r="BL219" s="2">
        <v>0</v>
      </c>
      <c r="BM219" s="2" t="s">
        <v>32</v>
      </c>
      <c r="BN219" s="2" t="s">
        <v>32</v>
      </c>
      <c r="BO219" s="2" t="s">
        <v>32</v>
      </c>
      <c r="BP219" s="2">
        <v>0</v>
      </c>
      <c r="BQ219" s="2" t="s">
        <v>32</v>
      </c>
      <c r="BR219" s="2">
        <v>0</v>
      </c>
      <c r="BS219" s="2" t="s">
        <v>1660</v>
      </c>
      <c r="BT219" s="2">
        <v>0</v>
      </c>
      <c r="BU219" s="2">
        <v>0</v>
      </c>
      <c r="BV219" s="2" t="s">
        <v>1660</v>
      </c>
      <c r="BW219" s="2"/>
      <c r="BX219" s="2"/>
      <c r="BY219" s="2" t="s">
        <v>1807</v>
      </c>
      <c r="BZ219" s="2" t="b">
        <f>OR( (Dashboard[[#This Row],[ref_as_hh]]&gt;=1),(Dashboard[[#This Row],[ret_as_hh]] &gt;=1), (Dashboard[[#This Row],[idp_as_hh]]&gt;=1))</f>
        <v>0</v>
      </c>
      <c r="CA219" s="2">
        <f>Dashboard[[#This Row],[ret_hi_hh]]</f>
        <v>0</v>
      </c>
      <c r="CB219" s="2">
        <f>Dashboard[[#This Row],[idp_fa_hh]]+Dashboard[[#This Row],[ref_fa_hh]]+Dashboard[[#This Row],[ret_fa_hh]]</f>
        <v>0</v>
      </c>
      <c r="CC219" s="2">
        <f>Dashboard[[#This Row],[idp_loc_hh]]+Dashboard[[#This Row],[ref_loc_hh]]+Dashboard[[#This Row],[ret_loc_hh]]</f>
        <v>0</v>
      </c>
      <c r="CD219" s="2">
        <f>Dashboard[[#This Row],[idp_cc_hh]]+Dashboard[[#This Row],[ref_cc_hh]]+Dashboard[[#This Row],[ret_cc_hh]]</f>
        <v>0</v>
      </c>
      <c r="CE219" s="2">
        <f>Dashboard[[#This Row],[idp_as_hh]]+Dashboard[[#This Row],[ref_as_hh]]+Dashboard[[#This Row],[ret_as_hh]]</f>
        <v>0</v>
      </c>
      <c r="CF219" s="2">
        <f>Dashboard[[#This Row],[idp_al_hh]]+Dashboard[[#This Row],[ref_al_hh]]+Dashboard[[#This Row],[ret_al_hh]]</f>
        <v>0</v>
      </c>
    </row>
    <row r="220" spans="1:84" hidden="1" x14ac:dyDescent="0.25">
      <c r="A220" s="27">
        <v>550</v>
      </c>
      <c r="B220" s="2" t="s">
        <v>22</v>
      </c>
      <c r="C220" s="2" t="s">
        <v>23</v>
      </c>
      <c r="D220" s="2" t="s">
        <v>85</v>
      </c>
      <c r="E220" s="2" t="s">
        <v>84</v>
      </c>
      <c r="F220" s="2" t="s">
        <v>95</v>
      </c>
      <c r="G220" s="2" t="s">
        <v>94</v>
      </c>
      <c r="H220" s="2" t="s">
        <v>1668</v>
      </c>
      <c r="I220" s="2" t="s">
        <v>670</v>
      </c>
      <c r="J220" s="2" t="s">
        <v>2336</v>
      </c>
      <c r="K220" s="2" t="s">
        <v>2337</v>
      </c>
      <c r="L220" s="2" t="s">
        <v>2074</v>
      </c>
      <c r="M220" s="2">
        <v>850</v>
      </c>
      <c r="N220" s="2" t="s">
        <v>1658</v>
      </c>
      <c r="O220" s="2">
        <v>7</v>
      </c>
      <c r="P220" s="2">
        <v>46</v>
      </c>
      <c r="Q220" s="2" t="s">
        <v>1658</v>
      </c>
      <c r="R220" s="2">
        <v>7</v>
      </c>
      <c r="S220" s="2" t="s">
        <v>1660</v>
      </c>
      <c r="T220" s="2">
        <v>0</v>
      </c>
      <c r="U220" s="2" t="s">
        <v>32</v>
      </c>
      <c r="V220" s="2" t="s">
        <v>32</v>
      </c>
      <c r="W220" s="2" t="s">
        <v>1660</v>
      </c>
      <c r="X220" s="2">
        <v>0</v>
      </c>
      <c r="Y220" s="2" t="s">
        <v>32</v>
      </c>
      <c r="Z220" s="2" t="s">
        <v>32</v>
      </c>
      <c r="AA220" s="2" t="s">
        <v>1660</v>
      </c>
      <c r="AB220" s="2">
        <v>0</v>
      </c>
      <c r="AC220" s="2" t="s">
        <v>1660</v>
      </c>
      <c r="AD220" s="2">
        <v>0</v>
      </c>
      <c r="AE220" s="2" t="s">
        <v>1658</v>
      </c>
      <c r="AF220" s="2">
        <v>6</v>
      </c>
      <c r="AG220" s="2">
        <v>30</v>
      </c>
      <c r="AH220" s="2" t="s">
        <v>1660</v>
      </c>
      <c r="AI220" s="2" t="s">
        <v>32</v>
      </c>
      <c r="AJ220" s="2" t="s">
        <v>32</v>
      </c>
      <c r="AK220" s="2" t="s">
        <v>32</v>
      </c>
      <c r="AL220" s="2" t="s">
        <v>1658</v>
      </c>
      <c r="AM220" s="2">
        <v>6</v>
      </c>
      <c r="AN220" s="2" t="s">
        <v>1660</v>
      </c>
      <c r="AO220" s="2">
        <v>0</v>
      </c>
      <c r="AP220" s="2" t="s">
        <v>32</v>
      </c>
      <c r="AQ220" s="2" t="s">
        <v>32</v>
      </c>
      <c r="AR220" s="2" t="s">
        <v>1660</v>
      </c>
      <c r="AS220" s="2">
        <v>0</v>
      </c>
      <c r="AT220" s="2" t="s">
        <v>32</v>
      </c>
      <c r="AU220" s="2" t="s">
        <v>32</v>
      </c>
      <c r="AV220" s="2" t="s">
        <v>1660</v>
      </c>
      <c r="AW220" s="2">
        <v>0</v>
      </c>
      <c r="AX220" s="2" t="s">
        <v>1660</v>
      </c>
      <c r="AY220" s="2">
        <v>0</v>
      </c>
      <c r="AZ220" s="2" t="s">
        <v>1660</v>
      </c>
      <c r="BA220" s="2">
        <v>0</v>
      </c>
      <c r="BB220" s="2">
        <v>0</v>
      </c>
      <c r="BC220" s="2" t="s">
        <v>32</v>
      </c>
      <c r="BD220" s="2">
        <v>0</v>
      </c>
      <c r="BE220" s="2" t="s">
        <v>32</v>
      </c>
      <c r="BF220" s="2">
        <v>0</v>
      </c>
      <c r="BG220" s="2" t="s">
        <v>32</v>
      </c>
      <c r="BH220" s="2">
        <v>0</v>
      </c>
      <c r="BI220" s="2" t="s">
        <v>32</v>
      </c>
      <c r="BJ220" s="2" t="s">
        <v>32</v>
      </c>
      <c r="BK220" s="2" t="s">
        <v>32</v>
      </c>
      <c r="BL220" s="2">
        <v>0</v>
      </c>
      <c r="BM220" s="2" t="s">
        <v>32</v>
      </c>
      <c r="BN220" s="2" t="s">
        <v>32</v>
      </c>
      <c r="BO220" s="2" t="s">
        <v>32</v>
      </c>
      <c r="BP220" s="2">
        <v>0</v>
      </c>
      <c r="BQ220" s="2" t="s">
        <v>32</v>
      </c>
      <c r="BR220" s="2">
        <v>0</v>
      </c>
      <c r="BS220" s="2" t="s">
        <v>1660</v>
      </c>
      <c r="BT220" s="2">
        <v>0</v>
      </c>
      <c r="BU220" s="2">
        <v>0</v>
      </c>
      <c r="BV220" s="2" t="s">
        <v>1660</v>
      </c>
      <c r="BW220" s="2"/>
      <c r="BX220" s="2"/>
      <c r="BY220" s="2" t="s">
        <v>1807</v>
      </c>
      <c r="BZ220" s="2" t="b">
        <f>OR( (Dashboard[[#This Row],[ref_as_hh]]&gt;=1),(Dashboard[[#This Row],[ret_as_hh]] &gt;=1), (Dashboard[[#This Row],[idp_as_hh]]&gt;=1))</f>
        <v>0</v>
      </c>
      <c r="CA220" s="2">
        <f>Dashboard[[#This Row],[ret_hi_hh]]</f>
        <v>0</v>
      </c>
      <c r="CB220" s="2">
        <f>Dashboard[[#This Row],[idp_fa_hh]]+Dashboard[[#This Row],[ref_fa_hh]]+Dashboard[[#This Row],[ret_fa_hh]]</f>
        <v>13</v>
      </c>
      <c r="CC220" s="2">
        <f>Dashboard[[#This Row],[idp_loc_hh]]+Dashboard[[#This Row],[ref_loc_hh]]+Dashboard[[#This Row],[ret_loc_hh]]</f>
        <v>0</v>
      </c>
      <c r="CD220" s="2">
        <f>Dashboard[[#This Row],[idp_cc_hh]]+Dashboard[[#This Row],[ref_cc_hh]]+Dashboard[[#This Row],[ret_cc_hh]]</f>
        <v>0</v>
      </c>
      <c r="CE220" s="2">
        <f>Dashboard[[#This Row],[idp_as_hh]]+Dashboard[[#This Row],[ref_as_hh]]+Dashboard[[#This Row],[ret_as_hh]]</f>
        <v>0</v>
      </c>
      <c r="CF220" s="2">
        <f>Dashboard[[#This Row],[idp_al_hh]]+Dashboard[[#This Row],[ref_al_hh]]+Dashboard[[#This Row],[ret_al_hh]]</f>
        <v>0</v>
      </c>
    </row>
    <row r="221" spans="1:84" hidden="1" x14ac:dyDescent="0.25">
      <c r="A221" s="27">
        <v>551</v>
      </c>
      <c r="B221" s="2" t="s">
        <v>22</v>
      </c>
      <c r="C221" s="2" t="s">
        <v>23</v>
      </c>
      <c r="D221" s="2" t="s">
        <v>85</v>
      </c>
      <c r="E221" s="2" t="s">
        <v>84</v>
      </c>
      <c r="F221" s="2" t="s">
        <v>95</v>
      </c>
      <c r="G221" s="2" t="s">
        <v>94</v>
      </c>
      <c r="H221" s="2" t="s">
        <v>928</v>
      </c>
      <c r="I221" s="2" t="s">
        <v>120</v>
      </c>
      <c r="J221" s="2" t="s">
        <v>2344</v>
      </c>
      <c r="K221" s="2" t="s">
        <v>2345</v>
      </c>
      <c r="L221" s="2" t="s">
        <v>2074</v>
      </c>
      <c r="M221" s="2">
        <v>130</v>
      </c>
      <c r="N221" s="2" t="s">
        <v>1658</v>
      </c>
      <c r="O221" s="2">
        <v>13</v>
      </c>
      <c r="P221" s="2">
        <v>65</v>
      </c>
      <c r="Q221" s="2" t="s">
        <v>1658</v>
      </c>
      <c r="R221" s="2">
        <v>13</v>
      </c>
      <c r="S221" s="2" t="s">
        <v>1660</v>
      </c>
      <c r="T221" s="2">
        <v>0</v>
      </c>
      <c r="U221" s="2" t="s">
        <v>32</v>
      </c>
      <c r="V221" s="2" t="s">
        <v>32</v>
      </c>
      <c r="W221" s="2" t="s">
        <v>1660</v>
      </c>
      <c r="X221" s="2">
        <v>0</v>
      </c>
      <c r="Y221" s="2" t="s">
        <v>32</v>
      </c>
      <c r="Z221" s="2" t="s">
        <v>32</v>
      </c>
      <c r="AA221" s="2" t="s">
        <v>1660</v>
      </c>
      <c r="AB221" s="2">
        <v>0</v>
      </c>
      <c r="AC221" s="2" t="s">
        <v>1660</v>
      </c>
      <c r="AD221" s="2">
        <v>0</v>
      </c>
      <c r="AE221" s="2" t="s">
        <v>1660</v>
      </c>
      <c r="AF221" s="2">
        <v>0</v>
      </c>
      <c r="AG221" s="2">
        <v>0</v>
      </c>
      <c r="AH221" s="2" t="s">
        <v>32</v>
      </c>
      <c r="AI221" s="2" t="s">
        <v>32</v>
      </c>
      <c r="AJ221" s="2" t="s">
        <v>32</v>
      </c>
      <c r="AK221" s="2" t="s">
        <v>32</v>
      </c>
      <c r="AL221" s="2" t="s">
        <v>32</v>
      </c>
      <c r="AM221" s="2">
        <v>0</v>
      </c>
      <c r="AN221" s="2" t="s">
        <v>32</v>
      </c>
      <c r="AO221" s="2">
        <v>0</v>
      </c>
      <c r="AP221" s="2" t="s">
        <v>32</v>
      </c>
      <c r="AQ221" s="2" t="s">
        <v>32</v>
      </c>
      <c r="AR221" s="2" t="s">
        <v>32</v>
      </c>
      <c r="AS221" s="2">
        <v>0</v>
      </c>
      <c r="AT221" s="2" t="s">
        <v>32</v>
      </c>
      <c r="AU221" s="2" t="s">
        <v>32</v>
      </c>
      <c r="AV221" s="2" t="s">
        <v>32</v>
      </c>
      <c r="AW221" s="2">
        <v>0</v>
      </c>
      <c r="AX221" s="2" t="s">
        <v>32</v>
      </c>
      <c r="AY221" s="2">
        <v>0</v>
      </c>
      <c r="AZ221" s="2" t="s">
        <v>1660</v>
      </c>
      <c r="BA221" s="2">
        <v>0</v>
      </c>
      <c r="BB221" s="2">
        <v>0</v>
      </c>
      <c r="BC221" s="2" t="s">
        <v>32</v>
      </c>
      <c r="BD221" s="2">
        <v>0</v>
      </c>
      <c r="BE221" s="2" t="s">
        <v>32</v>
      </c>
      <c r="BF221" s="2">
        <v>0</v>
      </c>
      <c r="BG221" s="2" t="s">
        <v>32</v>
      </c>
      <c r="BH221" s="2">
        <v>0</v>
      </c>
      <c r="BI221" s="2" t="s">
        <v>32</v>
      </c>
      <c r="BJ221" s="2" t="s">
        <v>32</v>
      </c>
      <c r="BK221" s="2" t="s">
        <v>32</v>
      </c>
      <c r="BL221" s="2">
        <v>0</v>
      </c>
      <c r="BM221" s="2" t="s">
        <v>32</v>
      </c>
      <c r="BN221" s="2" t="s">
        <v>32</v>
      </c>
      <c r="BO221" s="2" t="s">
        <v>32</v>
      </c>
      <c r="BP221" s="2">
        <v>0</v>
      </c>
      <c r="BQ221" s="2" t="s">
        <v>32</v>
      </c>
      <c r="BR221" s="2">
        <v>0</v>
      </c>
      <c r="BS221" s="2" t="s">
        <v>1660</v>
      </c>
      <c r="BT221" s="2">
        <v>0</v>
      </c>
      <c r="BU221" s="2">
        <v>0</v>
      </c>
      <c r="BV221" s="2" t="s">
        <v>1660</v>
      </c>
      <c r="BW221" s="2"/>
      <c r="BX221" s="2"/>
      <c r="BY221" s="2" t="s">
        <v>1807</v>
      </c>
      <c r="BZ221" s="2" t="b">
        <f>OR( (Dashboard[[#This Row],[ref_as_hh]]&gt;=1),(Dashboard[[#This Row],[ret_as_hh]] &gt;=1), (Dashboard[[#This Row],[idp_as_hh]]&gt;=1))</f>
        <v>0</v>
      </c>
      <c r="CA221" s="2">
        <f>Dashboard[[#This Row],[ret_hi_hh]]</f>
        <v>0</v>
      </c>
      <c r="CB221" s="2">
        <f>Dashboard[[#This Row],[idp_fa_hh]]+Dashboard[[#This Row],[ref_fa_hh]]+Dashboard[[#This Row],[ret_fa_hh]]</f>
        <v>13</v>
      </c>
      <c r="CC221" s="2">
        <f>Dashboard[[#This Row],[idp_loc_hh]]+Dashboard[[#This Row],[ref_loc_hh]]+Dashboard[[#This Row],[ret_loc_hh]]</f>
        <v>0</v>
      </c>
      <c r="CD221" s="2">
        <f>Dashboard[[#This Row],[idp_cc_hh]]+Dashboard[[#This Row],[ref_cc_hh]]+Dashboard[[#This Row],[ret_cc_hh]]</f>
        <v>0</v>
      </c>
      <c r="CE221" s="2">
        <f>Dashboard[[#This Row],[idp_as_hh]]+Dashboard[[#This Row],[ref_as_hh]]+Dashboard[[#This Row],[ret_as_hh]]</f>
        <v>0</v>
      </c>
      <c r="CF221" s="2">
        <f>Dashboard[[#This Row],[idp_al_hh]]+Dashboard[[#This Row],[ref_al_hh]]+Dashboard[[#This Row],[ret_al_hh]]</f>
        <v>0</v>
      </c>
    </row>
    <row r="222" spans="1:84" hidden="1" x14ac:dyDescent="0.25">
      <c r="A222" s="27">
        <v>554</v>
      </c>
      <c r="B222" s="2" t="s">
        <v>22</v>
      </c>
      <c r="C222" s="2" t="s">
        <v>23</v>
      </c>
      <c r="D222" s="2" t="s">
        <v>85</v>
      </c>
      <c r="E222" s="2" t="s">
        <v>84</v>
      </c>
      <c r="F222" s="2" t="s">
        <v>95</v>
      </c>
      <c r="G222" s="2" t="s">
        <v>94</v>
      </c>
      <c r="H222" s="2" t="s">
        <v>929</v>
      </c>
      <c r="I222" s="2" t="s">
        <v>121</v>
      </c>
      <c r="J222" s="2" t="s">
        <v>2346</v>
      </c>
      <c r="K222" s="2" t="s">
        <v>2347</v>
      </c>
      <c r="L222" s="2" t="s">
        <v>2074</v>
      </c>
      <c r="M222" s="2">
        <v>26</v>
      </c>
      <c r="N222" s="2" t="s">
        <v>1660</v>
      </c>
      <c r="O222" s="2">
        <v>0</v>
      </c>
      <c r="P222" s="2">
        <v>0</v>
      </c>
      <c r="Q222" s="2" t="s">
        <v>32</v>
      </c>
      <c r="R222" s="2">
        <v>0</v>
      </c>
      <c r="S222" s="2" t="s">
        <v>32</v>
      </c>
      <c r="T222" s="2">
        <v>0</v>
      </c>
      <c r="U222" s="2" t="s">
        <v>32</v>
      </c>
      <c r="V222" s="2" t="s">
        <v>32</v>
      </c>
      <c r="W222" s="2" t="s">
        <v>32</v>
      </c>
      <c r="X222" s="2">
        <v>0</v>
      </c>
      <c r="Y222" s="2" t="s">
        <v>32</v>
      </c>
      <c r="Z222" s="2" t="s">
        <v>32</v>
      </c>
      <c r="AA222" s="2" t="s">
        <v>32</v>
      </c>
      <c r="AB222" s="2">
        <v>0</v>
      </c>
      <c r="AC222" s="2" t="s">
        <v>32</v>
      </c>
      <c r="AD222" s="2">
        <v>0</v>
      </c>
      <c r="AE222" s="2" t="s">
        <v>1660</v>
      </c>
      <c r="AF222" s="2">
        <v>0</v>
      </c>
      <c r="AG222" s="2">
        <v>0</v>
      </c>
      <c r="AH222" s="2" t="s">
        <v>32</v>
      </c>
      <c r="AI222" s="2" t="s">
        <v>32</v>
      </c>
      <c r="AJ222" s="2" t="s">
        <v>32</v>
      </c>
      <c r="AK222" s="2" t="s">
        <v>32</v>
      </c>
      <c r="AL222" s="2" t="s">
        <v>32</v>
      </c>
      <c r="AM222" s="2">
        <v>0</v>
      </c>
      <c r="AN222" s="2" t="s">
        <v>32</v>
      </c>
      <c r="AO222" s="2">
        <v>0</v>
      </c>
      <c r="AP222" s="2" t="s">
        <v>32</v>
      </c>
      <c r="AQ222" s="2" t="s">
        <v>32</v>
      </c>
      <c r="AR222" s="2" t="s">
        <v>32</v>
      </c>
      <c r="AS222" s="2">
        <v>0</v>
      </c>
      <c r="AT222" s="2" t="s">
        <v>32</v>
      </c>
      <c r="AU222" s="2" t="s">
        <v>32</v>
      </c>
      <c r="AV222" s="2" t="s">
        <v>32</v>
      </c>
      <c r="AW222" s="2">
        <v>0</v>
      </c>
      <c r="AX222" s="2" t="s">
        <v>32</v>
      </c>
      <c r="AY222" s="2">
        <v>0</v>
      </c>
      <c r="AZ222" s="2" t="s">
        <v>1660</v>
      </c>
      <c r="BA222" s="2">
        <v>0</v>
      </c>
      <c r="BB222" s="2">
        <v>0</v>
      </c>
      <c r="BC222" s="2" t="s">
        <v>32</v>
      </c>
      <c r="BD222" s="2">
        <v>0</v>
      </c>
      <c r="BE222" s="2" t="s">
        <v>32</v>
      </c>
      <c r="BF222" s="2">
        <v>0</v>
      </c>
      <c r="BG222" s="2" t="s">
        <v>32</v>
      </c>
      <c r="BH222" s="2">
        <v>0</v>
      </c>
      <c r="BI222" s="2" t="s">
        <v>32</v>
      </c>
      <c r="BJ222" s="2" t="s">
        <v>32</v>
      </c>
      <c r="BK222" s="2" t="s">
        <v>32</v>
      </c>
      <c r="BL222" s="2">
        <v>0</v>
      </c>
      <c r="BM222" s="2" t="s">
        <v>32</v>
      </c>
      <c r="BN222" s="2" t="s">
        <v>32</v>
      </c>
      <c r="BO222" s="2" t="s">
        <v>32</v>
      </c>
      <c r="BP222" s="2">
        <v>0</v>
      </c>
      <c r="BQ222" s="2" t="s">
        <v>32</v>
      </c>
      <c r="BR222" s="2">
        <v>0</v>
      </c>
      <c r="BS222" s="2" t="s">
        <v>1660</v>
      </c>
      <c r="BT222" s="2">
        <v>0</v>
      </c>
      <c r="BU222" s="2">
        <v>0</v>
      </c>
      <c r="BV222" s="2" t="s">
        <v>1660</v>
      </c>
      <c r="BW222" s="2"/>
      <c r="BX222" s="2"/>
      <c r="BY222" s="2" t="s">
        <v>1807</v>
      </c>
      <c r="BZ222" s="2" t="b">
        <f>OR( (Dashboard[[#This Row],[ref_as_hh]]&gt;=1),(Dashboard[[#This Row],[ret_as_hh]] &gt;=1), (Dashboard[[#This Row],[idp_as_hh]]&gt;=1))</f>
        <v>0</v>
      </c>
      <c r="CA222" s="2">
        <f>Dashboard[[#This Row],[ret_hi_hh]]</f>
        <v>0</v>
      </c>
      <c r="CB222" s="2">
        <f>Dashboard[[#This Row],[idp_fa_hh]]+Dashboard[[#This Row],[ref_fa_hh]]+Dashboard[[#This Row],[ret_fa_hh]]</f>
        <v>0</v>
      </c>
      <c r="CC222" s="2">
        <f>Dashboard[[#This Row],[idp_loc_hh]]+Dashboard[[#This Row],[ref_loc_hh]]+Dashboard[[#This Row],[ret_loc_hh]]</f>
        <v>0</v>
      </c>
      <c r="CD222" s="2">
        <f>Dashboard[[#This Row],[idp_cc_hh]]+Dashboard[[#This Row],[ref_cc_hh]]+Dashboard[[#This Row],[ret_cc_hh]]</f>
        <v>0</v>
      </c>
      <c r="CE222" s="2">
        <f>Dashboard[[#This Row],[idp_as_hh]]+Dashboard[[#This Row],[ref_as_hh]]+Dashboard[[#This Row],[ret_as_hh]]</f>
        <v>0</v>
      </c>
      <c r="CF222" s="2">
        <f>Dashboard[[#This Row],[idp_al_hh]]+Dashboard[[#This Row],[ref_al_hh]]+Dashboard[[#This Row],[ret_al_hh]]</f>
        <v>0</v>
      </c>
    </row>
    <row r="223" spans="1:84" hidden="1" x14ac:dyDescent="0.25">
      <c r="A223" s="27">
        <v>555</v>
      </c>
      <c r="B223" s="2" t="s">
        <v>22</v>
      </c>
      <c r="C223" s="2" t="s">
        <v>23</v>
      </c>
      <c r="D223" s="2" t="s">
        <v>85</v>
      </c>
      <c r="E223" s="2" t="s">
        <v>84</v>
      </c>
      <c r="F223" s="2" t="s">
        <v>95</v>
      </c>
      <c r="G223" s="2" t="s">
        <v>94</v>
      </c>
      <c r="H223" s="2" t="s">
        <v>934</v>
      </c>
      <c r="I223" s="2" t="s">
        <v>267</v>
      </c>
      <c r="J223" s="2" t="s">
        <v>2356</v>
      </c>
      <c r="K223" s="2" t="s">
        <v>2357</v>
      </c>
      <c r="L223" s="2" t="s">
        <v>2074</v>
      </c>
      <c r="M223" s="2">
        <v>324</v>
      </c>
      <c r="N223" s="2" t="s">
        <v>1658</v>
      </c>
      <c r="O223" s="2">
        <v>4</v>
      </c>
      <c r="P223" s="2">
        <v>24</v>
      </c>
      <c r="Q223" s="2" t="s">
        <v>1658</v>
      </c>
      <c r="R223" s="2">
        <v>4</v>
      </c>
      <c r="S223" s="2" t="s">
        <v>1660</v>
      </c>
      <c r="T223" s="2">
        <v>0</v>
      </c>
      <c r="U223" s="2" t="s">
        <v>32</v>
      </c>
      <c r="V223" s="2" t="s">
        <v>32</v>
      </c>
      <c r="W223" s="2" t="s">
        <v>1660</v>
      </c>
      <c r="X223" s="2">
        <v>0</v>
      </c>
      <c r="Y223" s="2" t="s">
        <v>32</v>
      </c>
      <c r="Z223" s="2" t="s">
        <v>32</v>
      </c>
      <c r="AA223" s="2" t="s">
        <v>1660</v>
      </c>
      <c r="AB223" s="2">
        <v>0</v>
      </c>
      <c r="AC223" s="2" t="s">
        <v>1660</v>
      </c>
      <c r="AD223" s="2">
        <v>0</v>
      </c>
      <c r="AE223" s="2" t="s">
        <v>1660</v>
      </c>
      <c r="AF223" s="2">
        <v>0</v>
      </c>
      <c r="AG223" s="2">
        <v>0</v>
      </c>
      <c r="AH223" s="2" t="s">
        <v>32</v>
      </c>
      <c r="AI223" s="2" t="s">
        <v>32</v>
      </c>
      <c r="AJ223" s="2" t="s">
        <v>32</v>
      </c>
      <c r="AK223" s="2" t="s">
        <v>32</v>
      </c>
      <c r="AL223" s="2" t="s">
        <v>32</v>
      </c>
      <c r="AM223" s="2">
        <v>0</v>
      </c>
      <c r="AN223" s="2" t="s">
        <v>32</v>
      </c>
      <c r="AO223" s="2">
        <v>0</v>
      </c>
      <c r="AP223" s="2" t="s">
        <v>32</v>
      </c>
      <c r="AQ223" s="2" t="s">
        <v>32</v>
      </c>
      <c r="AR223" s="2" t="s">
        <v>32</v>
      </c>
      <c r="AS223" s="2">
        <v>0</v>
      </c>
      <c r="AT223" s="2" t="s">
        <v>32</v>
      </c>
      <c r="AU223" s="2" t="s">
        <v>32</v>
      </c>
      <c r="AV223" s="2" t="s">
        <v>32</v>
      </c>
      <c r="AW223" s="2">
        <v>0</v>
      </c>
      <c r="AX223" s="2" t="s">
        <v>32</v>
      </c>
      <c r="AY223" s="2">
        <v>0</v>
      </c>
      <c r="AZ223" s="2" t="s">
        <v>1660</v>
      </c>
      <c r="BA223" s="2">
        <v>0</v>
      </c>
      <c r="BB223" s="2">
        <v>0</v>
      </c>
      <c r="BC223" s="2" t="s">
        <v>32</v>
      </c>
      <c r="BD223" s="2">
        <v>0</v>
      </c>
      <c r="BE223" s="2" t="s">
        <v>32</v>
      </c>
      <c r="BF223" s="2">
        <v>0</v>
      </c>
      <c r="BG223" s="2" t="s">
        <v>32</v>
      </c>
      <c r="BH223" s="2">
        <v>0</v>
      </c>
      <c r="BI223" s="2" t="s">
        <v>32</v>
      </c>
      <c r="BJ223" s="2" t="s">
        <v>32</v>
      </c>
      <c r="BK223" s="2" t="s">
        <v>32</v>
      </c>
      <c r="BL223" s="2">
        <v>0</v>
      </c>
      <c r="BM223" s="2" t="s">
        <v>32</v>
      </c>
      <c r="BN223" s="2" t="s">
        <v>32</v>
      </c>
      <c r="BO223" s="2" t="s">
        <v>32</v>
      </c>
      <c r="BP223" s="2">
        <v>0</v>
      </c>
      <c r="BQ223" s="2" t="s">
        <v>32</v>
      </c>
      <c r="BR223" s="2">
        <v>0</v>
      </c>
      <c r="BS223" s="2" t="s">
        <v>1660</v>
      </c>
      <c r="BT223" s="2">
        <v>0</v>
      </c>
      <c r="BU223" s="2">
        <v>0</v>
      </c>
      <c r="BV223" s="2" t="s">
        <v>1660</v>
      </c>
      <c r="BW223" s="2"/>
      <c r="BX223" s="2"/>
      <c r="BY223" s="2" t="s">
        <v>1807</v>
      </c>
      <c r="BZ223" s="2" t="b">
        <f>OR( (Dashboard[[#This Row],[ref_as_hh]]&gt;=1),(Dashboard[[#This Row],[ret_as_hh]] &gt;=1), (Dashboard[[#This Row],[idp_as_hh]]&gt;=1))</f>
        <v>0</v>
      </c>
      <c r="CA223" s="2">
        <f>Dashboard[[#This Row],[ret_hi_hh]]</f>
        <v>0</v>
      </c>
      <c r="CB223" s="2">
        <f>Dashboard[[#This Row],[idp_fa_hh]]+Dashboard[[#This Row],[ref_fa_hh]]+Dashboard[[#This Row],[ret_fa_hh]]</f>
        <v>4</v>
      </c>
      <c r="CC223" s="2">
        <f>Dashboard[[#This Row],[idp_loc_hh]]+Dashboard[[#This Row],[ref_loc_hh]]+Dashboard[[#This Row],[ret_loc_hh]]</f>
        <v>0</v>
      </c>
      <c r="CD223" s="2">
        <f>Dashboard[[#This Row],[idp_cc_hh]]+Dashboard[[#This Row],[ref_cc_hh]]+Dashboard[[#This Row],[ret_cc_hh]]</f>
        <v>0</v>
      </c>
      <c r="CE223" s="2">
        <f>Dashboard[[#This Row],[idp_as_hh]]+Dashboard[[#This Row],[ref_as_hh]]+Dashboard[[#This Row],[ret_as_hh]]</f>
        <v>0</v>
      </c>
      <c r="CF223" s="2">
        <f>Dashboard[[#This Row],[idp_al_hh]]+Dashboard[[#This Row],[ref_al_hh]]+Dashboard[[#This Row],[ret_al_hh]]</f>
        <v>0</v>
      </c>
    </row>
    <row r="224" spans="1:84" x14ac:dyDescent="0.25">
      <c r="A224" s="27">
        <v>556</v>
      </c>
      <c r="B224" s="2" t="s">
        <v>22</v>
      </c>
      <c r="C224" s="2" t="s">
        <v>23</v>
      </c>
      <c r="D224" s="2" t="s">
        <v>85</v>
      </c>
      <c r="E224" s="2" t="s">
        <v>84</v>
      </c>
      <c r="F224" s="2" t="s">
        <v>95</v>
      </c>
      <c r="G224" s="2" t="s">
        <v>94</v>
      </c>
      <c r="H224" s="2" t="s">
        <v>933</v>
      </c>
      <c r="I224" s="2" t="s">
        <v>266</v>
      </c>
      <c r="J224" s="2" t="s">
        <v>2354</v>
      </c>
      <c r="K224" s="2" t="s">
        <v>2355</v>
      </c>
      <c r="L224" s="2" t="s">
        <v>2074</v>
      </c>
      <c r="M224" s="2">
        <v>480</v>
      </c>
      <c r="N224" s="2" t="s">
        <v>1658</v>
      </c>
      <c r="O224" s="2">
        <v>10</v>
      </c>
      <c r="P224" s="2">
        <v>50</v>
      </c>
      <c r="Q224" s="2" t="s">
        <v>1658</v>
      </c>
      <c r="R224" s="2">
        <v>10</v>
      </c>
      <c r="S224" s="2" t="s">
        <v>1660</v>
      </c>
      <c r="T224" s="2">
        <v>0</v>
      </c>
      <c r="U224" s="2" t="s">
        <v>32</v>
      </c>
      <c r="V224" s="2" t="s">
        <v>32</v>
      </c>
      <c r="W224" s="2" t="s">
        <v>1660</v>
      </c>
      <c r="X224" s="2">
        <v>0</v>
      </c>
      <c r="Y224" s="2" t="s">
        <v>32</v>
      </c>
      <c r="Z224" s="2" t="s">
        <v>32</v>
      </c>
      <c r="AA224" s="2" t="s">
        <v>1660</v>
      </c>
      <c r="AB224" s="2">
        <v>0</v>
      </c>
      <c r="AC224" s="2" t="s">
        <v>1660</v>
      </c>
      <c r="AD224" s="2">
        <v>0</v>
      </c>
      <c r="AE224" s="2" t="s">
        <v>1658</v>
      </c>
      <c r="AF224" s="2">
        <v>6</v>
      </c>
      <c r="AG224" s="2">
        <v>30</v>
      </c>
      <c r="AH224" s="2" t="s">
        <v>1660</v>
      </c>
      <c r="AI224" s="2" t="s">
        <v>32</v>
      </c>
      <c r="AJ224" s="2" t="s">
        <v>32</v>
      </c>
      <c r="AK224" s="2" t="s">
        <v>32</v>
      </c>
      <c r="AL224" s="2" t="s">
        <v>1658</v>
      </c>
      <c r="AM224" s="2">
        <v>4</v>
      </c>
      <c r="AN224" s="2" t="s">
        <v>1660</v>
      </c>
      <c r="AO224" s="2">
        <v>0</v>
      </c>
      <c r="AP224" s="2" t="s">
        <v>32</v>
      </c>
      <c r="AQ224" s="2" t="s">
        <v>32</v>
      </c>
      <c r="AR224" s="2" t="s">
        <v>1660</v>
      </c>
      <c r="AS224" s="2">
        <v>0</v>
      </c>
      <c r="AT224" s="2" t="s">
        <v>32</v>
      </c>
      <c r="AU224" s="2" t="s">
        <v>32</v>
      </c>
      <c r="AV224" s="2" t="s">
        <v>1658</v>
      </c>
      <c r="AW224" s="2">
        <v>2</v>
      </c>
      <c r="AX224" s="2" t="s">
        <v>1660</v>
      </c>
      <c r="AY224" s="2">
        <v>0</v>
      </c>
      <c r="AZ224" s="2" t="s">
        <v>1660</v>
      </c>
      <c r="BA224" s="2">
        <v>0</v>
      </c>
      <c r="BB224" s="2">
        <v>0</v>
      </c>
      <c r="BC224" s="2" t="s">
        <v>32</v>
      </c>
      <c r="BD224" s="2">
        <v>0</v>
      </c>
      <c r="BE224" s="2" t="s">
        <v>32</v>
      </c>
      <c r="BF224" s="2">
        <v>0</v>
      </c>
      <c r="BG224" s="2" t="s">
        <v>32</v>
      </c>
      <c r="BH224" s="2">
        <v>0</v>
      </c>
      <c r="BI224" s="2" t="s">
        <v>32</v>
      </c>
      <c r="BJ224" s="2" t="s">
        <v>32</v>
      </c>
      <c r="BK224" s="2" t="s">
        <v>32</v>
      </c>
      <c r="BL224" s="2">
        <v>0</v>
      </c>
      <c r="BM224" s="2" t="s">
        <v>32</v>
      </c>
      <c r="BN224" s="2" t="s">
        <v>32</v>
      </c>
      <c r="BO224" s="2" t="s">
        <v>32</v>
      </c>
      <c r="BP224" s="2">
        <v>0</v>
      </c>
      <c r="BQ224" s="2" t="s">
        <v>32</v>
      </c>
      <c r="BR224" s="2">
        <v>0</v>
      </c>
      <c r="BS224" s="2" t="s">
        <v>1660</v>
      </c>
      <c r="BT224" s="2">
        <v>0</v>
      </c>
      <c r="BU224" s="2">
        <v>0</v>
      </c>
      <c r="BV224" s="2" t="s">
        <v>1660</v>
      </c>
      <c r="BW224" s="2"/>
      <c r="BX224" s="2"/>
      <c r="BY224" s="2" t="s">
        <v>1807</v>
      </c>
      <c r="BZ224" s="2" t="b">
        <f>OR( (Dashboard[[#This Row],[ref_as_hh]]&gt;=1),(Dashboard[[#This Row],[ret_as_hh]] &gt;=1), (Dashboard[[#This Row],[idp_as_hh]]&gt;=1))</f>
        <v>1</v>
      </c>
      <c r="CA224" s="2">
        <f>Dashboard[[#This Row],[ret_hi_hh]]</f>
        <v>0</v>
      </c>
      <c r="CB224" s="2">
        <f>Dashboard[[#This Row],[idp_fa_hh]]+Dashboard[[#This Row],[ref_fa_hh]]+Dashboard[[#This Row],[ret_fa_hh]]</f>
        <v>14</v>
      </c>
      <c r="CC224" s="2">
        <f>Dashboard[[#This Row],[idp_loc_hh]]+Dashboard[[#This Row],[ref_loc_hh]]+Dashboard[[#This Row],[ret_loc_hh]]</f>
        <v>0</v>
      </c>
      <c r="CD224" s="2">
        <f>Dashboard[[#This Row],[idp_cc_hh]]+Dashboard[[#This Row],[ref_cc_hh]]+Dashboard[[#This Row],[ret_cc_hh]]</f>
        <v>0</v>
      </c>
      <c r="CE224" s="2">
        <f>Dashboard[[#This Row],[idp_as_hh]]+Dashboard[[#This Row],[ref_as_hh]]+Dashboard[[#This Row],[ret_as_hh]]</f>
        <v>2</v>
      </c>
      <c r="CF224" s="2">
        <f>Dashboard[[#This Row],[idp_al_hh]]+Dashboard[[#This Row],[ref_al_hh]]+Dashboard[[#This Row],[ret_al_hh]]</f>
        <v>0</v>
      </c>
    </row>
    <row r="225" spans="1:84" hidden="1" x14ac:dyDescent="0.25">
      <c r="A225" s="27">
        <v>557</v>
      </c>
      <c r="B225" s="2" t="s">
        <v>22</v>
      </c>
      <c r="C225" s="2" t="s">
        <v>23</v>
      </c>
      <c r="D225" s="2" t="s">
        <v>85</v>
      </c>
      <c r="E225" s="2" t="s">
        <v>84</v>
      </c>
      <c r="F225" s="2" t="s">
        <v>95</v>
      </c>
      <c r="G225" s="2" t="s">
        <v>94</v>
      </c>
      <c r="H225" s="2" t="s">
        <v>935</v>
      </c>
      <c r="I225" s="2" t="s">
        <v>268</v>
      </c>
      <c r="J225" s="2" t="s">
        <v>2358</v>
      </c>
      <c r="K225" s="2" t="s">
        <v>2359</v>
      </c>
      <c r="L225" s="2" t="s">
        <v>3693</v>
      </c>
      <c r="M225" s="2">
        <v>284</v>
      </c>
      <c r="N225" s="2" t="s">
        <v>1658</v>
      </c>
      <c r="O225" s="2">
        <v>5</v>
      </c>
      <c r="P225" s="2">
        <v>35</v>
      </c>
      <c r="Q225" s="2" t="s">
        <v>1658</v>
      </c>
      <c r="R225" s="2">
        <v>5</v>
      </c>
      <c r="S225" s="2" t="s">
        <v>1660</v>
      </c>
      <c r="T225" s="2">
        <v>0</v>
      </c>
      <c r="U225" s="2" t="s">
        <v>32</v>
      </c>
      <c r="V225" s="2" t="s">
        <v>32</v>
      </c>
      <c r="W225" s="2" t="s">
        <v>1660</v>
      </c>
      <c r="X225" s="2">
        <v>0</v>
      </c>
      <c r="Y225" s="2" t="s">
        <v>32</v>
      </c>
      <c r="Z225" s="2" t="s">
        <v>32</v>
      </c>
      <c r="AA225" s="2" t="s">
        <v>1660</v>
      </c>
      <c r="AB225" s="2">
        <v>0</v>
      </c>
      <c r="AC225" s="2" t="s">
        <v>1660</v>
      </c>
      <c r="AD225" s="2">
        <v>0</v>
      </c>
      <c r="AE225" s="2" t="s">
        <v>1658</v>
      </c>
      <c r="AF225" s="2">
        <v>4</v>
      </c>
      <c r="AG225" s="2">
        <v>24</v>
      </c>
      <c r="AH225" s="2" t="s">
        <v>1660</v>
      </c>
      <c r="AI225" s="2" t="s">
        <v>32</v>
      </c>
      <c r="AJ225" s="2" t="s">
        <v>32</v>
      </c>
      <c r="AK225" s="2" t="s">
        <v>32</v>
      </c>
      <c r="AL225" s="2" t="s">
        <v>1658</v>
      </c>
      <c r="AM225" s="2">
        <v>4</v>
      </c>
      <c r="AN225" s="2" t="s">
        <v>1660</v>
      </c>
      <c r="AO225" s="2">
        <v>0</v>
      </c>
      <c r="AP225" s="2" t="s">
        <v>32</v>
      </c>
      <c r="AQ225" s="2" t="s">
        <v>32</v>
      </c>
      <c r="AR225" s="2" t="s">
        <v>1660</v>
      </c>
      <c r="AS225" s="2">
        <v>0</v>
      </c>
      <c r="AT225" s="2" t="s">
        <v>32</v>
      </c>
      <c r="AU225" s="2" t="s">
        <v>32</v>
      </c>
      <c r="AV225" s="2" t="s">
        <v>1660</v>
      </c>
      <c r="AW225" s="2">
        <v>0</v>
      </c>
      <c r="AX225" s="2" t="s">
        <v>1660</v>
      </c>
      <c r="AY225" s="2">
        <v>0</v>
      </c>
      <c r="AZ225" s="2" t="s">
        <v>1660</v>
      </c>
      <c r="BA225" s="2">
        <v>0</v>
      </c>
      <c r="BB225" s="2">
        <v>0</v>
      </c>
      <c r="BC225" s="2" t="s">
        <v>32</v>
      </c>
      <c r="BD225" s="2">
        <v>0</v>
      </c>
      <c r="BE225" s="2" t="s">
        <v>32</v>
      </c>
      <c r="BF225" s="2">
        <v>0</v>
      </c>
      <c r="BG225" s="2" t="s">
        <v>32</v>
      </c>
      <c r="BH225" s="2">
        <v>0</v>
      </c>
      <c r="BI225" s="2" t="s">
        <v>32</v>
      </c>
      <c r="BJ225" s="2" t="s">
        <v>32</v>
      </c>
      <c r="BK225" s="2" t="s">
        <v>32</v>
      </c>
      <c r="BL225" s="2">
        <v>0</v>
      </c>
      <c r="BM225" s="2" t="s">
        <v>32</v>
      </c>
      <c r="BN225" s="2" t="s">
        <v>32</v>
      </c>
      <c r="BO225" s="2" t="s">
        <v>32</v>
      </c>
      <c r="BP225" s="2">
        <v>0</v>
      </c>
      <c r="BQ225" s="2" t="s">
        <v>32</v>
      </c>
      <c r="BR225" s="2">
        <v>0</v>
      </c>
      <c r="BS225" s="2" t="s">
        <v>1660</v>
      </c>
      <c r="BT225" s="2">
        <v>0</v>
      </c>
      <c r="BU225" s="2">
        <v>0</v>
      </c>
      <c r="BV225" s="2" t="s">
        <v>1660</v>
      </c>
      <c r="BW225" s="2"/>
      <c r="BX225" s="2"/>
      <c r="BY225" s="2" t="s">
        <v>1807</v>
      </c>
      <c r="BZ225" s="2" t="b">
        <f>OR( (Dashboard[[#This Row],[ref_as_hh]]&gt;=1),(Dashboard[[#This Row],[ret_as_hh]] &gt;=1), (Dashboard[[#This Row],[idp_as_hh]]&gt;=1))</f>
        <v>0</v>
      </c>
      <c r="CA225" s="2">
        <f>Dashboard[[#This Row],[ret_hi_hh]]</f>
        <v>0</v>
      </c>
      <c r="CB225" s="2">
        <f>Dashboard[[#This Row],[idp_fa_hh]]+Dashboard[[#This Row],[ref_fa_hh]]+Dashboard[[#This Row],[ret_fa_hh]]</f>
        <v>9</v>
      </c>
      <c r="CC225" s="2">
        <f>Dashboard[[#This Row],[idp_loc_hh]]+Dashboard[[#This Row],[ref_loc_hh]]+Dashboard[[#This Row],[ret_loc_hh]]</f>
        <v>0</v>
      </c>
      <c r="CD225" s="2">
        <f>Dashboard[[#This Row],[idp_cc_hh]]+Dashboard[[#This Row],[ref_cc_hh]]+Dashboard[[#This Row],[ret_cc_hh]]</f>
        <v>0</v>
      </c>
      <c r="CE225" s="2">
        <f>Dashboard[[#This Row],[idp_as_hh]]+Dashboard[[#This Row],[ref_as_hh]]+Dashboard[[#This Row],[ret_as_hh]]</f>
        <v>0</v>
      </c>
      <c r="CF225" s="2">
        <f>Dashboard[[#This Row],[idp_al_hh]]+Dashboard[[#This Row],[ref_al_hh]]+Dashboard[[#This Row],[ret_al_hh]]</f>
        <v>0</v>
      </c>
    </row>
    <row r="226" spans="1:84" hidden="1" x14ac:dyDescent="0.25">
      <c r="A226" s="27">
        <v>558</v>
      </c>
      <c r="B226" s="2" t="s">
        <v>22</v>
      </c>
      <c r="C226" s="2" t="s">
        <v>23</v>
      </c>
      <c r="D226" s="2" t="s">
        <v>85</v>
      </c>
      <c r="E226" s="2" t="s">
        <v>84</v>
      </c>
      <c r="F226" s="2" t="s">
        <v>95</v>
      </c>
      <c r="G226" s="2" t="s">
        <v>94</v>
      </c>
      <c r="H226" s="2" t="s">
        <v>936</v>
      </c>
      <c r="I226" s="2" t="s">
        <v>269</v>
      </c>
      <c r="J226" s="2" t="s">
        <v>2360</v>
      </c>
      <c r="K226" s="2" t="s">
        <v>2361</v>
      </c>
      <c r="L226" s="2" t="s">
        <v>2074</v>
      </c>
      <c r="M226" s="2">
        <v>1467</v>
      </c>
      <c r="N226" s="2" t="s">
        <v>1658</v>
      </c>
      <c r="O226" s="2">
        <v>12</v>
      </c>
      <c r="P226" s="2">
        <v>73</v>
      </c>
      <c r="Q226" s="2" t="s">
        <v>1658</v>
      </c>
      <c r="R226" s="2">
        <v>12</v>
      </c>
      <c r="S226" s="2" t="s">
        <v>1660</v>
      </c>
      <c r="T226" s="2">
        <v>0</v>
      </c>
      <c r="U226" s="2" t="s">
        <v>32</v>
      </c>
      <c r="V226" s="2" t="s">
        <v>32</v>
      </c>
      <c r="W226" s="2" t="s">
        <v>1660</v>
      </c>
      <c r="X226" s="2">
        <v>0</v>
      </c>
      <c r="Y226" s="2" t="s">
        <v>32</v>
      </c>
      <c r="Z226" s="2" t="s">
        <v>32</v>
      </c>
      <c r="AA226" s="2" t="s">
        <v>1660</v>
      </c>
      <c r="AB226" s="2">
        <v>0</v>
      </c>
      <c r="AC226" s="2" t="s">
        <v>1660</v>
      </c>
      <c r="AD226" s="2">
        <v>0</v>
      </c>
      <c r="AE226" s="2" t="s">
        <v>1658</v>
      </c>
      <c r="AF226" s="2">
        <v>3</v>
      </c>
      <c r="AG226" s="2">
        <v>18</v>
      </c>
      <c r="AH226" s="2" t="s">
        <v>1660</v>
      </c>
      <c r="AI226" s="2" t="s">
        <v>32</v>
      </c>
      <c r="AJ226" s="2" t="s">
        <v>32</v>
      </c>
      <c r="AK226" s="2" t="s">
        <v>32</v>
      </c>
      <c r="AL226" s="2" t="s">
        <v>1658</v>
      </c>
      <c r="AM226" s="2">
        <v>3</v>
      </c>
      <c r="AN226" s="2" t="s">
        <v>1660</v>
      </c>
      <c r="AO226" s="2">
        <v>0</v>
      </c>
      <c r="AP226" s="2" t="s">
        <v>32</v>
      </c>
      <c r="AQ226" s="2" t="s">
        <v>32</v>
      </c>
      <c r="AR226" s="2" t="s">
        <v>1660</v>
      </c>
      <c r="AS226" s="2">
        <v>0</v>
      </c>
      <c r="AT226" s="2" t="s">
        <v>32</v>
      </c>
      <c r="AU226" s="2" t="s">
        <v>32</v>
      </c>
      <c r="AV226" s="2" t="s">
        <v>1660</v>
      </c>
      <c r="AW226" s="2">
        <v>0</v>
      </c>
      <c r="AX226" s="2" t="s">
        <v>1660</v>
      </c>
      <c r="AY226" s="2">
        <v>0</v>
      </c>
      <c r="AZ226" s="2" t="s">
        <v>1660</v>
      </c>
      <c r="BA226" s="2">
        <v>0</v>
      </c>
      <c r="BB226" s="2">
        <v>0</v>
      </c>
      <c r="BC226" s="2" t="s">
        <v>32</v>
      </c>
      <c r="BD226" s="2">
        <v>0</v>
      </c>
      <c r="BE226" s="2" t="s">
        <v>32</v>
      </c>
      <c r="BF226" s="2">
        <v>0</v>
      </c>
      <c r="BG226" s="2" t="s">
        <v>32</v>
      </c>
      <c r="BH226" s="2">
        <v>0</v>
      </c>
      <c r="BI226" s="2" t="s">
        <v>32</v>
      </c>
      <c r="BJ226" s="2" t="s">
        <v>32</v>
      </c>
      <c r="BK226" s="2" t="s">
        <v>32</v>
      </c>
      <c r="BL226" s="2">
        <v>0</v>
      </c>
      <c r="BM226" s="2" t="s">
        <v>32</v>
      </c>
      <c r="BN226" s="2" t="s">
        <v>32</v>
      </c>
      <c r="BO226" s="2" t="s">
        <v>32</v>
      </c>
      <c r="BP226" s="2">
        <v>0</v>
      </c>
      <c r="BQ226" s="2" t="s">
        <v>32</v>
      </c>
      <c r="BR226" s="2">
        <v>0</v>
      </c>
      <c r="BS226" s="2" t="s">
        <v>1660</v>
      </c>
      <c r="BT226" s="2">
        <v>0</v>
      </c>
      <c r="BU226" s="2">
        <v>0</v>
      </c>
      <c r="BV226" s="2" t="s">
        <v>1660</v>
      </c>
      <c r="BW226" s="2"/>
      <c r="BX226" s="2"/>
      <c r="BY226" s="2" t="s">
        <v>1807</v>
      </c>
      <c r="BZ226" s="2" t="b">
        <f>OR( (Dashboard[[#This Row],[ref_as_hh]]&gt;=1),(Dashboard[[#This Row],[ret_as_hh]] &gt;=1), (Dashboard[[#This Row],[idp_as_hh]]&gt;=1))</f>
        <v>0</v>
      </c>
      <c r="CA226" s="2">
        <f>Dashboard[[#This Row],[ret_hi_hh]]</f>
        <v>0</v>
      </c>
      <c r="CB226" s="2">
        <f>Dashboard[[#This Row],[idp_fa_hh]]+Dashboard[[#This Row],[ref_fa_hh]]+Dashboard[[#This Row],[ret_fa_hh]]</f>
        <v>15</v>
      </c>
      <c r="CC226" s="2">
        <f>Dashboard[[#This Row],[idp_loc_hh]]+Dashboard[[#This Row],[ref_loc_hh]]+Dashboard[[#This Row],[ret_loc_hh]]</f>
        <v>0</v>
      </c>
      <c r="CD226" s="2">
        <f>Dashboard[[#This Row],[idp_cc_hh]]+Dashboard[[#This Row],[ref_cc_hh]]+Dashboard[[#This Row],[ret_cc_hh]]</f>
        <v>0</v>
      </c>
      <c r="CE226" s="2">
        <f>Dashboard[[#This Row],[idp_as_hh]]+Dashboard[[#This Row],[ref_as_hh]]+Dashboard[[#This Row],[ret_as_hh]]</f>
        <v>0</v>
      </c>
      <c r="CF226" s="2">
        <f>Dashboard[[#This Row],[idp_al_hh]]+Dashboard[[#This Row],[ref_al_hh]]+Dashboard[[#This Row],[ret_al_hh]]</f>
        <v>0</v>
      </c>
    </row>
    <row r="227" spans="1:84" hidden="1" x14ac:dyDescent="0.25">
      <c r="A227" s="27">
        <v>559</v>
      </c>
      <c r="B227" s="2" t="s">
        <v>22</v>
      </c>
      <c r="C227" s="2" t="s">
        <v>23</v>
      </c>
      <c r="D227" s="2" t="s">
        <v>85</v>
      </c>
      <c r="E227" s="2" t="s">
        <v>84</v>
      </c>
      <c r="F227" s="2" t="s">
        <v>95</v>
      </c>
      <c r="G227" s="2" t="s">
        <v>94</v>
      </c>
      <c r="H227" s="2" t="s">
        <v>938</v>
      </c>
      <c r="I227" s="2" t="s">
        <v>271</v>
      </c>
      <c r="J227" s="2" t="s">
        <v>2364</v>
      </c>
      <c r="K227" s="2" t="s">
        <v>2365</v>
      </c>
      <c r="L227" s="2" t="s">
        <v>2074</v>
      </c>
      <c r="M227" s="2">
        <v>250</v>
      </c>
      <c r="N227" s="2" t="s">
        <v>1658</v>
      </c>
      <c r="O227" s="2">
        <v>11</v>
      </c>
      <c r="P227" s="2">
        <v>79</v>
      </c>
      <c r="Q227" s="2" t="s">
        <v>1658</v>
      </c>
      <c r="R227" s="2">
        <v>11</v>
      </c>
      <c r="S227" s="2" t="s">
        <v>1660</v>
      </c>
      <c r="T227" s="2">
        <v>0</v>
      </c>
      <c r="U227" s="2" t="s">
        <v>32</v>
      </c>
      <c r="V227" s="2" t="s">
        <v>32</v>
      </c>
      <c r="W227" s="2" t="s">
        <v>1660</v>
      </c>
      <c r="X227" s="2">
        <v>0</v>
      </c>
      <c r="Y227" s="2" t="s">
        <v>32</v>
      </c>
      <c r="Z227" s="2" t="s">
        <v>32</v>
      </c>
      <c r="AA227" s="2" t="s">
        <v>1660</v>
      </c>
      <c r="AB227" s="2">
        <v>0</v>
      </c>
      <c r="AC227" s="2" t="s">
        <v>1660</v>
      </c>
      <c r="AD227" s="2">
        <v>0</v>
      </c>
      <c r="AE227" s="2" t="s">
        <v>1660</v>
      </c>
      <c r="AF227" s="2">
        <v>0</v>
      </c>
      <c r="AG227" s="2">
        <v>0</v>
      </c>
      <c r="AH227" s="2" t="s">
        <v>32</v>
      </c>
      <c r="AI227" s="2" t="s">
        <v>32</v>
      </c>
      <c r="AJ227" s="2" t="s">
        <v>32</v>
      </c>
      <c r="AK227" s="2" t="s">
        <v>32</v>
      </c>
      <c r="AL227" s="2" t="s">
        <v>32</v>
      </c>
      <c r="AM227" s="2">
        <v>0</v>
      </c>
      <c r="AN227" s="2" t="s">
        <v>32</v>
      </c>
      <c r="AO227" s="2">
        <v>0</v>
      </c>
      <c r="AP227" s="2" t="s">
        <v>32</v>
      </c>
      <c r="AQ227" s="2" t="s">
        <v>32</v>
      </c>
      <c r="AR227" s="2" t="s">
        <v>32</v>
      </c>
      <c r="AS227" s="2">
        <v>0</v>
      </c>
      <c r="AT227" s="2" t="s">
        <v>32</v>
      </c>
      <c r="AU227" s="2" t="s">
        <v>32</v>
      </c>
      <c r="AV227" s="2" t="s">
        <v>32</v>
      </c>
      <c r="AW227" s="2">
        <v>0</v>
      </c>
      <c r="AX227" s="2" t="s">
        <v>32</v>
      </c>
      <c r="AY227" s="2">
        <v>0</v>
      </c>
      <c r="AZ227" s="2" t="s">
        <v>1660</v>
      </c>
      <c r="BA227" s="2">
        <v>0</v>
      </c>
      <c r="BB227" s="2">
        <v>0</v>
      </c>
      <c r="BC227" s="2" t="s">
        <v>32</v>
      </c>
      <c r="BD227" s="2">
        <v>0</v>
      </c>
      <c r="BE227" s="2" t="s">
        <v>32</v>
      </c>
      <c r="BF227" s="2">
        <v>0</v>
      </c>
      <c r="BG227" s="2" t="s">
        <v>32</v>
      </c>
      <c r="BH227" s="2">
        <v>0</v>
      </c>
      <c r="BI227" s="2" t="s">
        <v>32</v>
      </c>
      <c r="BJ227" s="2" t="s">
        <v>32</v>
      </c>
      <c r="BK227" s="2" t="s">
        <v>32</v>
      </c>
      <c r="BL227" s="2">
        <v>0</v>
      </c>
      <c r="BM227" s="2" t="s">
        <v>32</v>
      </c>
      <c r="BN227" s="2" t="s">
        <v>32</v>
      </c>
      <c r="BO227" s="2" t="s">
        <v>32</v>
      </c>
      <c r="BP227" s="2">
        <v>0</v>
      </c>
      <c r="BQ227" s="2" t="s">
        <v>32</v>
      </c>
      <c r="BR227" s="2">
        <v>0</v>
      </c>
      <c r="BS227" s="2" t="s">
        <v>1660</v>
      </c>
      <c r="BT227" s="2">
        <v>0</v>
      </c>
      <c r="BU227" s="2">
        <v>0</v>
      </c>
      <c r="BV227" s="2" t="s">
        <v>1660</v>
      </c>
      <c r="BW227" s="2"/>
      <c r="BX227" s="2"/>
      <c r="BY227" s="2" t="s">
        <v>1807</v>
      </c>
      <c r="BZ227" s="2" t="b">
        <f>OR( (Dashboard[[#This Row],[ref_as_hh]]&gt;=1),(Dashboard[[#This Row],[ret_as_hh]] &gt;=1), (Dashboard[[#This Row],[idp_as_hh]]&gt;=1))</f>
        <v>0</v>
      </c>
      <c r="CA227" s="2">
        <f>Dashboard[[#This Row],[ret_hi_hh]]</f>
        <v>0</v>
      </c>
      <c r="CB227" s="2">
        <f>Dashboard[[#This Row],[idp_fa_hh]]+Dashboard[[#This Row],[ref_fa_hh]]+Dashboard[[#This Row],[ret_fa_hh]]</f>
        <v>11</v>
      </c>
      <c r="CC227" s="2">
        <f>Dashboard[[#This Row],[idp_loc_hh]]+Dashboard[[#This Row],[ref_loc_hh]]+Dashboard[[#This Row],[ret_loc_hh]]</f>
        <v>0</v>
      </c>
      <c r="CD227" s="2">
        <f>Dashboard[[#This Row],[idp_cc_hh]]+Dashboard[[#This Row],[ref_cc_hh]]+Dashboard[[#This Row],[ret_cc_hh]]</f>
        <v>0</v>
      </c>
      <c r="CE227" s="2">
        <f>Dashboard[[#This Row],[idp_as_hh]]+Dashboard[[#This Row],[ref_as_hh]]+Dashboard[[#This Row],[ret_as_hh]]</f>
        <v>0</v>
      </c>
      <c r="CF227" s="2">
        <f>Dashboard[[#This Row],[idp_al_hh]]+Dashboard[[#This Row],[ref_al_hh]]+Dashboard[[#This Row],[ret_al_hh]]</f>
        <v>0</v>
      </c>
    </row>
    <row r="228" spans="1:84" x14ac:dyDescent="0.25">
      <c r="A228" s="27">
        <v>563</v>
      </c>
      <c r="B228" s="2" t="s">
        <v>22</v>
      </c>
      <c r="C228" s="2" t="s">
        <v>23</v>
      </c>
      <c r="D228" s="2" t="s">
        <v>85</v>
      </c>
      <c r="E228" s="2" t="s">
        <v>84</v>
      </c>
      <c r="F228" s="2" t="s">
        <v>95</v>
      </c>
      <c r="G228" s="2" t="s">
        <v>94</v>
      </c>
      <c r="H228" s="2" t="s">
        <v>925</v>
      </c>
      <c r="I228" s="2" t="s">
        <v>117</v>
      </c>
      <c r="J228" s="2" t="s">
        <v>2338</v>
      </c>
      <c r="K228" s="2" t="s">
        <v>2339</v>
      </c>
      <c r="L228" s="2" t="s">
        <v>2074</v>
      </c>
      <c r="M228" s="2">
        <v>908</v>
      </c>
      <c r="N228" s="2" t="s">
        <v>1658</v>
      </c>
      <c r="O228" s="2">
        <v>27</v>
      </c>
      <c r="P228" s="2">
        <v>184</v>
      </c>
      <c r="Q228" s="2" t="s">
        <v>1658</v>
      </c>
      <c r="R228" s="2">
        <v>18</v>
      </c>
      <c r="S228" s="2" t="s">
        <v>1660</v>
      </c>
      <c r="T228" s="2">
        <v>0</v>
      </c>
      <c r="U228" s="2" t="s">
        <v>32</v>
      </c>
      <c r="V228" s="2" t="s">
        <v>32</v>
      </c>
      <c r="W228" s="2" t="s">
        <v>1660</v>
      </c>
      <c r="X228" s="2">
        <v>0</v>
      </c>
      <c r="Y228" s="2" t="s">
        <v>32</v>
      </c>
      <c r="Z228" s="2" t="s">
        <v>32</v>
      </c>
      <c r="AA228" s="2" t="s">
        <v>1658</v>
      </c>
      <c r="AB228" s="2">
        <v>9</v>
      </c>
      <c r="AC228" s="2" t="s">
        <v>1660</v>
      </c>
      <c r="AD228" s="2">
        <v>0</v>
      </c>
      <c r="AE228" s="2" t="s">
        <v>1658</v>
      </c>
      <c r="AF228" s="2">
        <v>18</v>
      </c>
      <c r="AG228" s="2">
        <v>138</v>
      </c>
      <c r="AH228" s="2" t="s">
        <v>1660</v>
      </c>
      <c r="AI228" s="2" t="s">
        <v>32</v>
      </c>
      <c r="AJ228" s="2" t="s">
        <v>32</v>
      </c>
      <c r="AK228" s="2" t="s">
        <v>32</v>
      </c>
      <c r="AL228" s="2" t="s">
        <v>1658</v>
      </c>
      <c r="AM228" s="2">
        <v>7</v>
      </c>
      <c r="AN228" s="2" t="s">
        <v>1658</v>
      </c>
      <c r="AO228" s="2">
        <v>9</v>
      </c>
      <c r="AP228" s="2" t="s">
        <v>1661</v>
      </c>
      <c r="AQ228" s="2" t="s">
        <v>32</v>
      </c>
      <c r="AR228" s="2" t="s">
        <v>1660</v>
      </c>
      <c r="AS228" s="2">
        <v>0</v>
      </c>
      <c r="AT228" s="2" t="s">
        <v>32</v>
      </c>
      <c r="AU228" s="2" t="s">
        <v>32</v>
      </c>
      <c r="AV228" s="2" t="s">
        <v>1658</v>
      </c>
      <c r="AW228" s="2">
        <v>2</v>
      </c>
      <c r="AX228" s="2" t="s">
        <v>1660</v>
      </c>
      <c r="AY228" s="2">
        <v>0</v>
      </c>
      <c r="AZ228" s="2" t="s">
        <v>1660</v>
      </c>
      <c r="BA228" s="2">
        <v>0</v>
      </c>
      <c r="BB228" s="2">
        <v>0</v>
      </c>
      <c r="BC228" s="2" t="s">
        <v>32</v>
      </c>
      <c r="BD228" s="2">
        <v>0</v>
      </c>
      <c r="BE228" s="2" t="s">
        <v>32</v>
      </c>
      <c r="BF228" s="2">
        <v>0</v>
      </c>
      <c r="BG228" s="2" t="s">
        <v>32</v>
      </c>
      <c r="BH228" s="2">
        <v>0</v>
      </c>
      <c r="BI228" s="2" t="s">
        <v>32</v>
      </c>
      <c r="BJ228" s="2" t="s">
        <v>32</v>
      </c>
      <c r="BK228" s="2" t="s">
        <v>32</v>
      </c>
      <c r="BL228" s="2">
        <v>0</v>
      </c>
      <c r="BM228" s="2" t="s">
        <v>32</v>
      </c>
      <c r="BN228" s="2" t="s">
        <v>32</v>
      </c>
      <c r="BO228" s="2" t="s">
        <v>32</v>
      </c>
      <c r="BP228" s="2">
        <v>0</v>
      </c>
      <c r="BQ228" s="2" t="s">
        <v>32</v>
      </c>
      <c r="BR228" s="2">
        <v>0</v>
      </c>
      <c r="BS228" s="2" t="s">
        <v>1660</v>
      </c>
      <c r="BT228" s="2">
        <v>0</v>
      </c>
      <c r="BU228" s="2">
        <v>0</v>
      </c>
      <c r="BV228" s="2" t="s">
        <v>1660</v>
      </c>
      <c r="BW228" s="2"/>
      <c r="BX228" s="2"/>
      <c r="BY228" s="2" t="s">
        <v>1807</v>
      </c>
      <c r="BZ228" s="2" t="b">
        <f>OR( (Dashboard[[#This Row],[ref_as_hh]]&gt;=1),(Dashboard[[#This Row],[ret_as_hh]] &gt;=1), (Dashboard[[#This Row],[idp_as_hh]]&gt;=1))</f>
        <v>1</v>
      </c>
      <c r="CA228" s="2">
        <f>Dashboard[[#This Row],[ret_hi_hh]]</f>
        <v>0</v>
      </c>
      <c r="CB228" s="2">
        <f>Dashboard[[#This Row],[idp_fa_hh]]+Dashboard[[#This Row],[ref_fa_hh]]+Dashboard[[#This Row],[ret_fa_hh]]</f>
        <v>25</v>
      </c>
      <c r="CC228" s="2">
        <f>Dashboard[[#This Row],[idp_loc_hh]]+Dashboard[[#This Row],[ref_loc_hh]]+Dashboard[[#This Row],[ret_loc_hh]]</f>
        <v>9</v>
      </c>
      <c r="CD228" s="2">
        <f>Dashboard[[#This Row],[idp_cc_hh]]+Dashboard[[#This Row],[ref_cc_hh]]+Dashboard[[#This Row],[ret_cc_hh]]</f>
        <v>0</v>
      </c>
      <c r="CE228" s="2">
        <f>Dashboard[[#This Row],[idp_as_hh]]+Dashboard[[#This Row],[ref_as_hh]]+Dashboard[[#This Row],[ret_as_hh]]</f>
        <v>11</v>
      </c>
      <c r="CF228" s="2">
        <f>Dashboard[[#This Row],[idp_al_hh]]+Dashboard[[#This Row],[ref_al_hh]]+Dashboard[[#This Row],[ret_al_hh]]</f>
        <v>0</v>
      </c>
    </row>
    <row r="229" spans="1:84" hidden="1" x14ac:dyDescent="0.25">
      <c r="A229" s="27">
        <v>564</v>
      </c>
      <c r="B229" s="2" t="s">
        <v>22</v>
      </c>
      <c r="C229" s="2" t="s">
        <v>23</v>
      </c>
      <c r="D229" s="2" t="s">
        <v>85</v>
      </c>
      <c r="E229" s="2" t="s">
        <v>84</v>
      </c>
      <c r="F229" s="2" t="s">
        <v>95</v>
      </c>
      <c r="G229" s="2" t="s">
        <v>94</v>
      </c>
      <c r="H229" s="2" t="s">
        <v>931</v>
      </c>
      <c r="I229" s="2" t="s">
        <v>264</v>
      </c>
      <c r="J229" s="2" t="s">
        <v>2350</v>
      </c>
      <c r="K229" s="2" t="s">
        <v>2351</v>
      </c>
      <c r="L229" s="2" t="s">
        <v>2074</v>
      </c>
      <c r="M229" s="2">
        <v>480</v>
      </c>
      <c r="N229" s="2" t="s">
        <v>1658</v>
      </c>
      <c r="O229" s="2">
        <v>23</v>
      </c>
      <c r="P229" s="2">
        <v>176</v>
      </c>
      <c r="Q229" s="2" t="s">
        <v>1658</v>
      </c>
      <c r="R229" s="2">
        <v>23</v>
      </c>
      <c r="S229" s="2" t="s">
        <v>1660</v>
      </c>
      <c r="T229" s="2">
        <v>0</v>
      </c>
      <c r="U229" s="2" t="s">
        <v>32</v>
      </c>
      <c r="V229" s="2" t="s">
        <v>32</v>
      </c>
      <c r="W229" s="2" t="s">
        <v>1660</v>
      </c>
      <c r="X229" s="2">
        <v>0</v>
      </c>
      <c r="Y229" s="2" t="s">
        <v>32</v>
      </c>
      <c r="Z229" s="2" t="s">
        <v>32</v>
      </c>
      <c r="AA229" s="2" t="s">
        <v>1660</v>
      </c>
      <c r="AB229" s="2">
        <v>0</v>
      </c>
      <c r="AC229" s="2" t="s">
        <v>1660</v>
      </c>
      <c r="AD229" s="2">
        <v>0</v>
      </c>
      <c r="AE229" s="2" t="s">
        <v>1658</v>
      </c>
      <c r="AF229" s="2">
        <v>2</v>
      </c>
      <c r="AG229" s="2">
        <v>15</v>
      </c>
      <c r="AH229" s="2" t="s">
        <v>1660</v>
      </c>
      <c r="AI229" s="2" t="s">
        <v>32</v>
      </c>
      <c r="AJ229" s="2" t="s">
        <v>32</v>
      </c>
      <c r="AK229" s="2" t="s">
        <v>32</v>
      </c>
      <c r="AL229" s="2" t="s">
        <v>1658</v>
      </c>
      <c r="AM229" s="2">
        <v>1</v>
      </c>
      <c r="AN229" s="2" t="s">
        <v>1658</v>
      </c>
      <c r="AO229" s="2">
        <v>1</v>
      </c>
      <c r="AP229" s="2" t="s">
        <v>1661</v>
      </c>
      <c r="AQ229" s="2" t="s">
        <v>32</v>
      </c>
      <c r="AR229" s="2" t="s">
        <v>1660</v>
      </c>
      <c r="AS229" s="2">
        <v>0</v>
      </c>
      <c r="AT229" s="2" t="s">
        <v>32</v>
      </c>
      <c r="AU229" s="2" t="s">
        <v>32</v>
      </c>
      <c r="AV229" s="2" t="s">
        <v>1660</v>
      </c>
      <c r="AW229" s="2">
        <v>0</v>
      </c>
      <c r="AX229" s="2" t="s">
        <v>1660</v>
      </c>
      <c r="AY229" s="2">
        <v>0</v>
      </c>
      <c r="AZ229" s="2" t="s">
        <v>1660</v>
      </c>
      <c r="BA229" s="2">
        <v>0</v>
      </c>
      <c r="BB229" s="2">
        <v>0</v>
      </c>
      <c r="BC229" s="2" t="s">
        <v>32</v>
      </c>
      <c r="BD229" s="2">
        <v>0</v>
      </c>
      <c r="BE229" s="2" t="s">
        <v>32</v>
      </c>
      <c r="BF229" s="2">
        <v>0</v>
      </c>
      <c r="BG229" s="2" t="s">
        <v>32</v>
      </c>
      <c r="BH229" s="2">
        <v>0</v>
      </c>
      <c r="BI229" s="2" t="s">
        <v>32</v>
      </c>
      <c r="BJ229" s="2" t="s">
        <v>32</v>
      </c>
      <c r="BK229" s="2" t="s">
        <v>32</v>
      </c>
      <c r="BL229" s="2">
        <v>0</v>
      </c>
      <c r="BM229" s="2" t="s">
        <v>32</v>
      </c>
      <c r="BN229" s="2" t="s">
        <v>32</v>
      </c>
      <c r="BO229" s="2" t="s">
        <v>32</v>
      </c>
      <c r="BP229" s="2">
        <v>0</v>
      </c>
      <c r="BQ229" s="2" t="s">
        <v>32</v>
      </c>
      <c r="BR229" s="2">
        <v>0</v>
      </c>
      <c r="BS229" s="2" t="s">
        <v>1660</v>
      </c>
      <c r="BT229" s="2">
        <v>0</v>
      </c>
      <c r="BU229" s="2">
        <v>0</v>
      </c>
      <c r="BV229" s="2" t="s">
        <v>1660</v>
      </c>
      <c r="BW229" s="2"/>
      <c r="BX229" s="2"/>
      <c r="BY229" s="2" t="s">
        <v>1807</v>
      </c>
      <c r="BZ229" s="2" t="b">
        <f>OR( (Dashboard[[#This Row],[ref_as_hh]]&gt;=1),(Dashboard[[#This Row],[ret_as_hh]] &gt;=1), (Dashboard[[#This Row],[idp_as_hh]]&gt;=1))</f>
        <v>0</v>
      </c>
      <c r="CA229" s="2">
        <f>Dashboard[[#This Row],[ret_hi_hh]]</f>
        <v>0</v>
      </c>
      <c r="CB229" s="2">
        <f>Dashboard[[#This Row],[idp_fa_hh]]+Dashboard[[#This Row],[ref_fa_hh]]+Dashboard[[#This Row],[ret_fa_hh]]</f>
        <v>24</v>
      </c>
      <c r="CC229" s="2">
        <f>Dashboard[[#This Row],[idp_loc_hh]]+Dashboard[[#This Row],[ref_loc_hh]]+Dashboard[[#This Row],[ret_loc_hh]]</f>
        <v>1</v>
      </c>
      <c r="CD229" s="2">
        <f>Dashboard[[#This Row],[idp_cc_hh]]+Dashboard[[#This Row],[ref_cc_hh]]+Dashboard[[#This Row],[ret_cc_hh]]</f>
        <v>0</v>
      </c>
      <c r="CE229" s="2">
        <f>Dashboard[[#This Row],[idp_as_hh]]+Dashboard[[#This Row],[ref_as_hh]]+Dashboard[[#This Row],[ret_as_hh]]</f>
        <v>0</v>
      </c>
      <c r="CF229" s="2">
        <f>Dashboard[[#This Row],[idp_al_hh]]+Dashboard[[#This Row],[ref_al_hh]]+Dashboard[[#This Row],[ret_al_hh]]</f>
        <v>0</v>
      </c>
    </row>
    <row r="230" spans="1:84" x14ac:dyDescent="0.25">
      <c r="A230" s="27">
        <v>607</v>
      </c>
      <c r="B230" s="2" t="s">
        <v>22</v>
      </c>
      <c r="C230" s="2" t="s">
        <v>23</v>
      </c>
      <c r="D230" s="2" t="s">
        <v>85</v>
      </c>
      <c r="E230" s="2" t="s">
        <v>84</v>
      </c>
      <c r="F230" s="2" t="s">
        <v>95</v>
      </c>
      <c r="G230" s="2" t="s">
        <v>94</v>
      </c>
      <c r="H230" s="2" t="s">
        <v>927</v>
      </c>
      <c r="I230" s="2" t="s">
        <v>119</v>
      </c>
      <c r="J230" s="2" t="s">
        <v>2342</v>
      </c>
      <c r="K230" s="2" t="s">
        <v>2343</v>
      </c>
      <c r="L230" s="2" t="s">
        <v>2074</v>
      </c>
      <c r="M230" s="2">
        <v>881</v>
      </c>
      <c r="N230" s="2" t="s">
        <v>1658</v>
      </c>
      <c r="O230" s="2">
        <v>25</v>
      </c>
      <c r="P230" s="2">
        <v>185</v>
      </c>
      <c r="Q230" s="2" t="s">
        <v>1658</v>
      </c>
      <c r="R230" s="2">
        <v>15</v>
      </c>
      <c r="S230" s="2" t="s">
        <v>1660</v>
      </c>
      <c r="T230" s="2">
        <v>0</v>
      </c>
      <c r="U230" s="2" t="s">
        <v>32</v>
      </c>
      <c r="V230" s="2" t="s">
        <v>32</v>
      </c>
      <c r="W230" s="2" t="s">
        <v>1660</v>
      </c>
      <c r="X230" s="2">
        <v>0</v>
      </c>
      <c r="Y230" s="2" t="s">
        <v>32</v>
      </c>
      <c r="Z230" s="2" t="s">
        <v>32</v>
      </c>
      <c r="AA230" s="2" t="s">
        <v>1658</v>
      </c>
      <c r="AB230" s="2">
        <v>10</v>
      </c>
      <c r="AC230" s="2" t="s">
        <v>1660</v>
      </c>
      <c r="AD230" s="2">
        <v>0</v>
      </c>
      <c r="AE230" s="2" t="s">
        <v>1658</v>
      </c>
      <c r="AF230" s="2">
        <v>11</v>
      </c>
      <c r="AG230" s="2">
        <v>77</v>
      </c>
      <c r="AH230" s="2" t="s">
        <v>1660</v>
      </c>
      <c r="AI230" s="2" t="s">
        <v>32</v>
      </c>
      <c r="AJ230" s="2" t="s">
        <v>32</v>
      </c>
      <c r="AK230" s="2" t="s">
        <v>32</v>
      </c>
      <c r="AL230" s="2" t="s">
        <v>1658</v>
      </c>
      <c r="AM230" s="2">
        <v>11</v>
      </c>
      <c r="AN230" s="2" t="s">
        <v>1660</v>
      </c>
      <c r="AO230" s="2">
        <v>0</v>
      </c>
      <c r="AP230" s="2" t="s">
        <v>32</v>
      </c>
      <c r="AQ230" s="2" t="s">
        <v>32</v>
      </c>
      <c r="AR230" s="2" t="s">
        <v>1660</v>
      </c>
      <c r="AS230" s="2">
        <v>0</v>
      </c>
      <c r="AT230" s="2" t="s">
        <v>32</v>
      </c>
      <c r="AU230" s="2" t="s">
        <v>32</v>
      </c>
      <c r="AV230" s="2" t="s">
        <v>1660</v>
      </c>
      <c r="AW230" s="2">
        <v>0</v>
      </c>
      <c r="AX230" s="2" t="s">
        <v>1660</v>
      </c>
      <c r="AY230" s="2">
        <v>0</v>
      </c>
      <c r="AZ230" s="2" t="s">
        <v>1660</v>
      </c>
      <c r="BA230" s="2">
        <v>0</v>
      </c>
      <c r="BB230" s="2">
        <v>0</v>
      </c>
      <c r="BC230" s="2" t="s">
        <v>32</v>
      </c>
      <c r="BD230" s="2">
        <v>0</v>
      </c>
      <c r="BE230" s="2" t="s">
        <v>32</v>
      </c>
      <c r="BF230" s="2">
        <v>0</v>
      </c>
      <c r="BG230" s="2" t="s">
        <v>32</v>
      </c>
      <c r="BH230" s="2">
        <v>0</v>
      </c>
      <c r="BI230" s="2" t="s">
        <v>32</v>
      </c>
      <c r="BJ230" s="2" t="s">
        <v>32</v>
      </c>
      <c r="BK230" s="2" t="s">
        <v>32</v>
      </c>
      <c r="BL230" s="2">
        <v>0</v>
      </c>
      <c r="BM230" s="2" t="s">
        <v>32</v>
      </c>
      <c r="BN230" s="2" t="s">
        <v>32</v>
      </c>
      <c r="BO230" s="2" t="s">
        <v>32</v>
      </c>
      <c r="BP230" s="2">
        <v>0</v>
      </c>
      <c r="BQ230" s="2" t="s">
        <v>32</v>
      </c>
      <c r="BR230" s="2">
        <v>0</v>
      </c>
      <c r="BS230" s="2" t="s">
        <v>1660</v>
      </c>
      <c r="BT230" s="2">
        <v>0</v>
      </c>
      <c r="BU230" s="2">
        <v>0</v>
      </c>
      <c r="BV230" s="2" t="s">
        <v>1660</v>
      </c>
      <c r="BW230" s="2"/>
      <c r="BX230" s="2"/>
      <c r="BY230" s="2" t="s">
        <v>1807</v>
      </c>
      <c r="BZ230" s="2" t="b">
        <f>OR( (Dashboard[[#This Row],[ref_as_hh]]&gt;=1),(Dashboard[[#This Row],[ret_as_hh]] &gt;=1), (Dashboard[[#This Row],[idp_as_hh]]&gt;=1))</f>
        <v>1</v>
      </c>
      <c r="CA230" s="2">
        <f>Dashboard[[#This Row],[ret_hi_hh]]</f>
        <v>0</v>
      </c>
      <c r="CB230" s="2">
        <f>Dashboard[[#This Row],[idp_fa_hh]]+Dashboard[[#This Row],[ref_fa_hh]]+Dashboard[[#This Row],[ret_fa_hh]]</f>
        <v>26</v>
      </c>
      <c r="CC230" s="2">
        <f>Dashboard[[#This Row],[idp_loc_hh]]+Dashboard[[#This Row],[ref_loc_hh]]+Dashboard[[#This Row],[ret_loc_hh]]</f>
        <v>0</v>
      </c>
      <c r="CD230" s="2">
        <f>Dashboard[[#This Row],[idp_cc_hh]]+Dashboard[[#This Row],[ref_cc_hh]]+Dashboard[[#This Row],[ret_cc_hh]]</f>
        <v>0</v>
      </c>
      <c r="CE230" s="2">
        <f>Dashboard[[#This Row],[idp_as_hh]]+Dashboard[[#This Row],[ref_as_hh]]+Dashboard[[#This Row],[ret_as_hh]]</f>
        <v>10</v>
      </c>
      <c r="CF230" s="2">
        <f>Dashboard[[#This Row],[idp_al_hh]]+Dashboard[[#This Row],[ref_al_hh]]+Dashboard[[#This Row],[ret_al_hh]]</f>
        <v>0</v>
      </c>
    </row>
    <row r="231" spans="1:84" hidden="1" x14ac:dyDescent="0.25">
      <c r="A231" s="27">
        <v>609</v>
      </c>
      <c r="B231" s="2" t="s">
        <v>22</v>
      </c>
      <c r="C231" s="2" t="s">
        <v>23</v>
      </c>
      <c r="D231" s="2" t="s">
        <v>85</v>
      </c>
      <c r="E231" s="2" t="s">
        <v>84</v>
      </c>
      <c r="F231" s="2" t="s">
        <v>95</v>
      </c>
      <c r="G231" s="2" t="s">
        <v>94</v>
      </c>
      <c r="H231" s="2" t="s">
        <v>939</v>
      </c>
      <c r="I231" s="2" t="s">
        <v>272</v>
      </c>
      <c r="J231" s="2" t="s">
        <v>2366</v>
      </c>
      <c r="K231" s="2" t="s">
        <v>2367</v>
      </c>
      <c r="L231" s="2" t="s">
        <v>2074</v>
      </c>
      <c r="M231" s="2">
        <v>160</v>
      </c>
      <c r="N231" s="2" t="s">
        <v>1658</v>
      </c>
      <c r="O231" s="2">
        <v>7</v>
      </c>
      <c r="P231" s="2">
        <v>34</v>
      </c>
      <c r="Q231" s="2" t="s">
        <v>1658</v>
      </c>
      <c r="R231" s="2">
        <v>7</v>
      </c>
      <c r="S231" s="2" t="s">
        <v>1660</v>
      </c>
      <c r="T231" s="2">
        <v>0</v>
      </c>
      <c r="U231" s="2" t="s">
        <v>32</v>
      </c>
      <c r="V231" s="2" t="s">
        <v>32</v>
      </c>
      <c r="W231" s="2" t="s">
        <v>1660</v>
      </c>
      <c r="X231" s="2">
        <v>0</v>
      </c>
      <c r="Y231" s="2" t="s">
        <v>32</v>
      </c>
      <c r="Z231" s="2" t="s">
        <v>32</v>
      </c>
      <c r="AA231" s="2" t="s">
        <v>1660</v>
      </c>
      <c r="AB231" s="2">
        <v>0</v>
      </c>
      <c r="AC231" s="2" t="s">
        <v>1660</v>
      </c>
      <c r="AD231" s="2">
        <v>0</v>
      </c>
      <c r="AE231" s="2" t="s">
        <v>1660</v>
      </c>
      <c r="AF231" s="2">
        <v>0</v>
      </c>
      <c r="AG231" s="2">
        <v>0</v>
      </c>
      <c r="AH231" s="2" t="s">
        <v>32</v>
      </c>
      <c r="AI231" s="2" t="s">
        <v>32</v>
      </c>
      <c r="AJ231" s="2" t="s">
        <v>32</v>
      </c>
      <c r="AK231" s="2" t="s">
        <v>32</v>
      </c>
      <c r="AL231" s="2" t="s">
        <v>32</v>
      </c>
      <c r="AM231" s="2">
        <v>0</v>
      </c>
      <c r="AN231" s="2" t="s">
        <v>32</v>
      </c>
      <c r="AO231" s="2">
        <v>0</v>
      </c>
      <c r="AP231" s="2" t="s">
        <v>32</v>
      </c>
      <c r="AQ231" s="2" t="s">
        <v>32</v>
      </c>
      <c r="AR231" s="2" t="s">
        <v>32</v>
      </c>
      <c r="AS231" s="2">
        <v>0</v>
      </c>
      <c r="AT231" s="2" t="s">
        <v>32</v>
      </c>
      <c r="AU231" s="2" t="s">
        <v>32</v>
      </c>
      <c r="AV231" s="2" t="s">
        <v>32</v>
      </c>
      <c r="AW231" s="2">
        <v>0</v>
      </c>
      <c r="AX231" s="2" t="s">
        <v>32</v>
      </c>
      <c r="AY231" s="2">
        <v>0</v>
      </c>
      <c r="AZ231" s="2" t="s">
        <v>1660</v>
      </c>
      <c r="BA231" s="2">
        <v>0</v>
      </c>
      <c r="BB231" s="2">
        <v>0</v>
      </c>
      <c r="BC231" s="2" t="s">
        <v>32</v>
      </c>
      <c r="BD231" s="2">
        <v>0</v>
      </c>
      <c r="BE231" s="2" t="s">
        <v>32</v>
      </c>
      <c r="BF231" s="2">
        <v>0</v>
      </c>
      <c r="BG231" s="2" t="s">
        <v>32</v>
      </c>
      <c r="BH231" s="2">
        <v>0</v>
      </c>
      <c r="BI231" s="2" t="s">
        <v>32</v>
      </c>
      <c r="BJ231" s="2" t="s">
        <v>32</v>
      </c>
      <c r="BK231" s="2" t="s">
        <v>32</v>
      </c>
      <c r="BL231" s="2">
        <v>0</v>
      </c>
      <c r="BM231" s="2" t="s">
        <v>32</v>
      </c>
      <c r="BN231" s="2" t="s">
        <v>32</v>
      </c>
      <c r="BO231" s="2" t="s">
        <v>32</v>
      </c>
      <c r="BP231" s="2">
        <v>0</v>
      </c>
      <c r="BQ231" s="2" t="s">
        <v>32</v>
      </c>
      <c r="BR231" s="2">
        <v>0</v>
      </c>
      <c r="BS231" s="2" t="s">
        <v>1660</v>
      </c>
      <c r="BT231" s="2">
        <v>0</v>
      </c>
      <c r="BU231" s="2">
        <v>0</v>
      </c>
      <c r="BV231" s="2" t="s">
        <v>1660</v>
      </c>
      <c r="BW231" s="2"/>
      <c r="BX231" s="2"/>
      <c r="BY231" s="2" t="s">
        <v>1807</v>
      </c>
      <c r="BZ231" s="2" t="b">
        <f>OR( (Dashboard[[#This Row],[ref_as_hh]]&gt;=1),(Dashboard[[#This Row],[ret_as_hh]] &gt;=1), (Dashboard[[#This Row],[idp_as_hh]]&gt;=1))</f>
        <v>0</v>
      </c>
      <c r="CA231" s="2">
        <f>Dashboard[[#This Row],[ret_hi_hh]]</f>
        <v>0</v>
      </c>
      <c r="CB231" s="2">
        <f>Dashboard[[#This Row],[idp_fa_hh]]+Dashboard[[#This Row],[ref_fa_hh]]+Dashboard[[#This Row],[ret_fa_hh]]</f>
        <v>7</v>
      </c>
      <c r="CC231" s="2">
        <f>Dashboard[[#This Row],[idp_loc_hh]]+Dashboard[[#This Row],[ref_loc_hh]]+Dashboard[[#This Row],[ret_loc_hh]]</f>
        <v>0</v>
      </c>
      <c r="CD231" s="2">
        <f>Dashboard[[#This Row],[idp_cc_hh]]+Dashboard[[#This Row],[ref_cc_hh]]+Dashboard[[#This Row],[ret_cc_hh]]</f>
        <v>0</v>
      </c>
      <c r="CE231" s="2">
        <f>Dashboard[[#This Row],[idp_as_hh]]+Dashboard[[#This Row],[ref_as_hh]]+Dashboard[[#This Row],[ret_as_hh]]</f>
        <v>0</v>
      </c>
      <c r="CF231" s="2">
        <f>Dashboard[[#This Row],[idp_al_hh]]+Dashboard[[#This Row],[ref_al_hh]]+Dashboard[[#This Row],[ret_al_hh]]</f>
        <v>0</v>
      </c>
    </row>
    <row r="232" spans="1:84" x14ac:dyDescent="0.25">
      <c r="A232" s="27">
        <v>611</v>
      </c>
      <c r="B232" s="2" t="s">
        <v>22</v>
      </c>
      <c r="C232" s="2" t="s">
        <v>23</v>
      </c>
      <c r="D232" s="2" t="s">
        <v>85</v>
      </c>
      <c r="E232" s="2" t="s">
        <v>84</v>
      </c>
      <c r="F232" s="2" t="s">
        <v>95</v>
      </c>
      <c r="G232" s="2" t="s">
        <v>94</v>
      </c>
      <c r="H232" s="2" t="s">
        <v>940</v>
      </c>
      <c r="I232" s="2" t="s">
        <v>273</v>
      </c>
      <c r="J232" s="2" t="s">
        <v>2368</v>
      </c>
      <c r="K232" s="2" t="s">
        <v>2369</v>
      </c>
      <c r="L232" s="2" t="s">
        <v>2074</v>
      </c>
      <c r="M232" s="2">
        <v>418</v>
      </c>
      <c r="N232" s="2" t="s">
        <v>1658</v>
      </c>
      <c r="O232" s="2">
        <v>22</v>
      </c>
      <c r="P232" s="2">
        <v>143</v>
      </c>
      <c r="Q232" s="2" t="s">
        <v>1658</v>
      </c>
      <c r="R232" s="2">
        <v>14</v>
      </c>
      <c r="S232" s="2" t="s">
        <v>1658</v>
      </c>
      <c r="T232" s="2">
        <v>3</v>
      </c>
      <c r="U232" s="2" t="s">
        <v>1661</v>
      </c>
      <c r="V232" s="2" t="s">
        <v>32</v>
      </c>
      <c r="W232" s="2" t="s">
        <v>1660</v>
      </c>
      <c r="X232" s="2">
        <v>0</v>
      </c>
      <c r="Y232" s="2" t="s">
        <v>32</v>
      </c>
      <c r="Z232" s="2" t="s">
        <v>32</v>
      </c>
      <c r="AA232" s="2" t="s">
        <v>1658</v>
      </c>
      <c r="AB232" s="2">
        <v>5</v>
      </c>
      <c r="AC232" s="2" t="s">
        <v>1660</v>
      </c>
      <c r="AD232" s="2">
        <v>0</v>
      </c>
      <c r="AE232" s="2" t="s">
        <v>1658</v>
      </c>
      <c r="AF232" s="2">
        <v>6</v>
      </c>
      <c r="AG232" s="2">
        <v>36</v>
      </c>
      <c r="AH232" s="2" t="s">
        <v>1660</v>
      </c>
      <c r="AI232" s="2" t="s">
        <v>32</v>
      </c>
      <c r="AJ232" s="2" t="s">
        <v>32</v>
      </c>
      <c r="AK232" s="2" t="s">
        <v>32</v>
      </c>
      <c r="AL232" s="2" t="s">
        <v>1658</v>
      </c>
      <c r="AM232" s="2">
        <v>4</v>
      </c>
      <c r="AN232" s="2" t="s">
        <v>1660</v>
      </c>
      <c r="AO232" s="2">
        <v>0</v>
      </c>
      <c r="AP232" s="2" t="s">
        <v>32</v>
      </c>
      <c r="AQ232" s="2" t="s">
        <v>32</v>
      </c>
      <c r="AR232" s="2" t="s">
        <v>1660</v>
      </c>
      <c r="AS232" s="2">
        <v>0</v>
      </c>
      <c r="AT232" s="2" t="s">
        <v>32</v>
      </c>
      <c r="AU232" s="2" t="s">
        <v>32</v>
      </c>
      <c r="AV232" s="2" t="s">
        <v>1658</v>
      </c>
      <c r="AW232" s="2">
        <v>2</v>
      </c>
      <c r="AX232" s="2" t="s">
        <v>1660</v>
      </c>
      <c r="AY232" s="2">
        <v>0</v>
      </c>
      <c r="AZ232" s="2" t="s">
        <v>1660</v>
      </c>
      <c r="BA232" s="2">
        <v>0</v>
      </c>
      <c r="BB232" s="2">
        <v>0</v>
      </c>
      <c r="BC232" s="2" t="s">
        <v>32</v>
      </c>
      <c r="BD232" s="2">
        <v>0</v>
      </c>
      <c r="BE232" s="2" t="s">
        <v>32</v>
      </c>
      <c r="BF232" s="2">
        <v>0</v>
      </c>
      <c r="BG232" s="2" t="s">
        <v>32</v>
      </c>
      <c r="BH232" s="2">
        <v>0</v>
      </c>
      <c r="BI232" s="2" t="s">
        <v>32</v>
      </c>
      <c r="BJ232" s="2" t="s">
        <v>32</v>
      </c>
      <c r="BK232" s="2" t="s">
        <v>32</v>
      </c>
      <c r="BL232" s="2">
        <v>0</v>
      </c>
      <c r="BM232" s="2" t="s">
        <v>32</v>
      </c>
      <c r="BN232" s="2" t="s">
        <v>32</v>
      </c>
      <c r="BO232" s="2" t="s">
        <v>32</v>
      </c>
      <c r="BP232" s="2">
        <v>0</v>
      </c>
      <c r="BQ232" s="2" t="s">
        <v>32</v>
      </c>
      <c r="BR232" s="2">
        <v>0</v>
      </c>
      <c r="BS232" s="2" t="s">
        <v>1660</v>
      </c>
      <c r="BT232" s="2">
        <v>0</v>
      </c>
      <c r="BU232" s="2">
        <v>0</v>
      </c>
      <c r="BV232" s="2" t="s">
        <v>1660</v>
      </c>
      <c r="BW232" s="2"/>
      <c r="BX232" s="2"/>
      <c r="BY232" s="2" t="s">
        <v>1807</v>
      </c>
      <c r="BZ232" s="2" t="b">
        <f>OR( (Dashboard[[#This Row],[ref_as_hh]]&gt;=1),(Dashboard[[#This Row],[ret_as_hh]] &gt;=1), (Dashboard[[#This Row],[idp_as_hh]]&gt;=1))</f>
        <v>1</v>
      </c>
      <c r="CA232" s="2">
        <f>Dashboard[[#This Row],[ret_hi_hh]]</f>
        <v>0</v>
      </c>
      <c r="CB232" s="2">
        <f>Dashboard[[#This Row],[idp_fa_hh]]+Dashboard[[#This Row],[ref_fa_hh]]+Dashboard[[#This Row],[ret_fa_hh]]</f>
        <v>18</v>
      </c>
      <c r="CC232" s="2">
        <f>Dashboard[[#This Row],[idp_loc_hh]]+Dashboard[[#This Row],[ref_loc_hh]]+Dashboard[[#This Row],[ret_loc_hh]]</f>
        <v>3</v>
      </c>
      <c r="CD232" s="2">
        <f>Dashboard[[#This Row],[idp_cc_hh]]+Dashboard[[#This Row],[ref_cc_hh]]+Dashboard[[#This Row],[ret_cc_hh]]</f>
        <v>0</v>
      </c>
      <c r="CE232" s="2">
        <f>Dashboard[[#This Row],[idp_as_hh]]+Dashboard[[#This Row],[ref_as_hh]]+Dashboard[[#This Row],[ret_as_hh]]</f>
        <v>7</v>
      </c>
      <c r="CF232" s="2">
        <f>Dashboard[[#This Row],[idp_al_hh]]+Dashboard[[#This Row],[ref_al_hh]]+Dashboard[[#This Row],[ret_al_hh]]</f>
        <v>0</v>
      </c>
    </row>
    <row r="233" spans="1:84" x14ac:dyDescent="0.25">
      <c r="A233" s="27">
        <v>632</v>
      </c>
      <c r="B233" s="2" t="s">
        <v>22</v>
      </c>
      <c r="C233" s="2" t="s">
        <v>23</v>
      </c>
      <c r="D233" s="2" t="s">
        <v>85</v>
      </c>
      <c r="E233" s="2" t="s">
        <v>84</v>
      </c>
      <c r="F233" s="2" t="s">
        <v>95</v>
      </c>
      <c r="G233" s="2" t="s">
        <v>94</v>
      </c>
      <c r="H233" s="2" t="s">
        <v>937</v>
      </c>
      <c r="I233" s="2" t="s">
        <v>270</v>
      </c>
      <c r="J233" s="2" t="s">
        <v>2362</v>
      </c>
      <c r="K233" s="2" t="s">
        <v>2363</v>
      </c>
      <c r="L233" s="2" t="s">
        <v>2074</v>
      </c>
      <c r="M233" s="2">
        <v>6500</v>
      </c>
      <c r="N233" s="2" t="s">
        <v>1658</v>
      </c>
      <c r="O233" s="2">
        <v>77</v>
      </c>
      <c r="P233" s="2">
        <v>608</v>
      </c>
      <c r="Q233" s="2" t="s">
        <v>1658</v>
      </c>
      <c r="R233" s="2">
        <v>60</v>
      </c>
      <c r="S233" s="2" t="s">
        <v>1658</v>
      </c>
      <c r="T233" s="2">
        <v>4</v>
      </c>
      <c r="U233" s="2" t="s">
        <v>1661</v>
      </c>
      <c r="V233" s="2" t="s">
        <v>32</v>
      </c>
      <c r="W233" s="2" t="s">
        <v>1660</v>
      </c>
      <c r="X233" s="2">
        <v>0</v>
      </c>
      <c r="Y233" s="2" t="s">
        <v>32</v>
      </c>
      <c r="Z233" s="2" t="s">
        <v>32</v>
      </c>
      <c r="AA233" s="2" t="s">
        <v>1658</v>
      </c>
      <c r="AB233" s="2">
        <v>13</v>
      </c>
      <c r="AC233" s="2" t="s">
        <v>1660</v>
      </c>
      <c r="AD233" s="2">
        <v>0</v>
      </c>
      <c r="AE233" s="2" t="s">
        <v>1660</v>
      </c>
      <c r="AF233" s="2">
        <v>0</v>
      </c>
      <c r="AG233" s="2">
        <v>0</v>
      </c>
      <c r="AH233" s="2" t="s">
        <v>32</v>
      </c>
      <c r="AI233" s="2" t="s">
        <v>32</v>
      </c>
      <c r="AJ233" s="2" t="s">
        <v>32</v>
      </c>
      <c r="AK233" s="2" t="s">
        <v>32</v>
      </c>
      <c r="AL233" s="2" t="s">
        <v>32</v>
      </c>
      <c r="AM233" s="2">
        <v>0</v>
      </c>
      <c r="AN233" s="2" t="s">
        <v>32</v>
      </c>
      <c r="AO233" s="2">
        <v>0</v>
      </c>
      <c r="AP233" s="2" t="s">
        <v>32</v>
      </c>
      <c r="AQ233" s="2" t="s">
        <v>32</v>
      </c>
      <c r="AR233" s="2" t="s">
        <v>32</v>
      </c>
      <c r="AS233" s="2">
        <v>0</v>
      </c>
      <c r="AT233" s="2" t="s">
        <v>32</v>
      </c>
      <c r="AU233" s="2" t="s">
        <v>32</v>
      </c>
      <c r="AV233" s="2" t="s">
        <v>32</v>
      </c>
      <c r="AW233" s="2">
        <v>0</v>
      </c>
      <c r="AX233" s="2" t="s">
        <v>32</v>
      </c>
      <c r="AY233" s="2">
        <v>0</v>
      </c>
      <c r="AZ233" s="2" t="s">
        <v>1658</v>
      </c>
      <c r="BA233" s="2">
        <v>22</v>
      </c>
      <c r="BB233" s="2">
        <v>155</v>
      </c>
      <c r="BC233" s="2" t="s">
        <v>1660</v>
      </c>
      <c r="BD233" s="2">
        <v>0</v>
      </c>
      <c r="BE233" s="2" t="s">
        <v>1658</v>
      </c>
      <c r="BF233" s="2">
        <v>19</v>
      </c>
      <c r="BG233" s="2" t="s">
        <v>1658</v>
      </c>
      <c r="BH233" s="2">
        <v>3</v>
      </c>
      <c r="BI233" s="2" t="s">
        <v>1661</v>
      </c>
      <c r="BJ233" s="2" t="s">
        <v>32</v>
      </c>
      <c r="BK233" s="2" t="s">
        <v>1660</v>
      </c>
      <c r="BL233" s="2">
        <v>0</v>
      </c>
      <c r="BM233" s="2" t="s">
        <v>32</v>
      </c>
      <c r="BN233" s="2" t="s">
        <v>32</v>
      </c>
      <c r="BO233" s="2" t="s">
        <v>1660</v>
      </c>
      <c r="BP233" s="2">
        <v>0</v>
      </c>
      <c r="BQ233" s="2" t="s">
        <v>1660</v>
      </c>
      <c r="BR233" s="2">
        <v>0</v>
      </c>
      <c r="BS233" s="2" t="s">
        <v>1660</v>
      </c>
      <c r="BT233" s="2">
        <v>0</v>
      </c>
      <c r="BU233" s="2">
        <v>0</v>
      </c>
      <c r="BV233" s="2" t="s">
        <v>1660</v>
      </c>
      <c r="BW233" s="2"/>
      <c r="BX233" s="2"/>
      <c r="BY233" s="2" t="s">
        <v>1807</v>
      </c>
      <c r="BZ233" s="2" t="b">
        <f>OR( (Dashboard[[#This Row],[ref_as_hh]]&gt;=1),(Dashboard[[#This Row],[ret_as_hh]] &gt;=1), (Dashboard[[#This Row],[idp_as_hh]]&gt;=1))</f>
        <v>1</v>
      </c>
      <c r="CA233" s="2">
        <f>Dashboard[[#This Row],[ret_hi_hh]]</f>
        <v>0</v>
      </c>
      <c r="CB233" s="2">
        <f>Dashboard[[#This Row],[idp_fa_hh]]+Dashboard[[#This Row],[ref_fa_hh]]+Dashboard[[#This Row],[ret_fa_hh]]</f>
        <v>79</v>
      </c>
      <c r="CC233" s="2">
        <f>Dashboard[[#This Row],[idp_loc_hh]]+Dashboard[[#This Row],[ref_loc_hh]]+Dashboard[[#This Row],[ret_loc_hh]]</f>
        <v>7</v>
      </c>
      <c r="CD233" s="2">
        <f>Dashboard[[#This Row],[idp_cc_hh]]+Dashboard[[#This Row],[ref_cc_hh]]+Dashboard[[#This Row],[ret_cc_hh]]</f>
        <v>0</v>
      </c>
      <c r="CE233" s="2">
        <f>Dashboard[[#This Row],[idp_as_hh]]+Dashboard[[#This Row],[ref_as_hh]]+Dashboard[[#This Row],[ret_as_hh]]</f>
        <v>13</v>
      </c>
      <c r="CF233" s="2">
        <f>Dashboard[[#This Row],[idp_al_hh]]+Dashboard[[#This Row],[ref_al_hh]]+Dashboard[[#This Row],[ret_al_hh]]</f>
        <v>0</v>
      </c>
    </row>
    <row r="234" spans="1:84" hidden="1" x14ac:dyDescent="0.25">
      <c r="A234" s="27">
        <v>202</v>
      </c>
      <c r="B234" s="2" t="s">
        <v>22</v>
      </c>
      <c r="C234" s="2" t="s">
        <v>23</v>
      </c>
      <c r="D234" s="2" t="s">
        <v>85</v>
      </c>
      <c r="E234" s="2" t="s">
        <v>84</v>
      </c>
      <c r="F234" s="2" t="s">
        <v>95</v>
      </c>
      <c r="G234" s="2" t="s">
        <v>94</v>
      </c>
      <c r="H234" s="2" t="s">
        <v>923</v>
      </c>
      <c r="I234" s="2" t="s">
        <v>115</v>
      </c>
      <c r="J234" s="2" t="s">
        <v>2330</v>
      </c>
      <c r="K234" s="2" t="s">
        <v>2331</v>
      </c>
      <c r="L234" s="2" t="s">
        <v>2074</v>
      </c>
      <c r="M234" s="2">
        <v>12103</v>
      </c>
      <c r="N234" s="2" t="s">
        <v>1658</v>
      </c>
      <c r="O234" s="2">
        <v>80</v>
      </c>
      <c r="P234" s="2">
        <v>509</v>
      </c>
      <c r="Q234" s="2" t="s">
        <v>1658</v>
      </c>
      <c r="R234" s="2">
        <v>23</v>
      </c>
      <c r="S234" s="2" t="s">
        <v>1658</v>
      </c>
      <c r="T234" s="2">
        <v>57</v>
      </c>
      <c r="U234" s="2" t="s">
        <v>1661</v>
      </c>
      <c r="V234" s="2" t="s">
        <v>32</v>
      </c>
      <c r="W234" s="2" t="s">
        <v>1660</v>
      </c>
      <c r="X234" s="2">
        <v>0</v>
      </c>
      <c r="Y234" s="2" t="s">
        <v>32</v>
      </c>
      <c r="Z234" s="2" t="s">
        <v>32</v>
      </c>
      <c r="AA234" s="2" t="s">
        <v>1660</v>
      </c>
      <c r="AB234" s="2">
        <v>0</v>
      </c>
      <c r="AC234" s="2" t="s">
        <v>1660</v>
      </c>
      <c r="AD234" s="2">
        <v>0</v>
      </c>
      <c r="AE234" s="2" t="s">
        <v>1660</v>
      </c>
      <c r="AF234" s="2">
        <v>0</v>
      </c>
      <c r="AG234" s="2">
        <v>0</v>
      </c>
      <c r="AH234" s="2" t="s">
        <v>32</v>
      </c>
      <c r="AI234" s="2" t="s">
        <v>32</v>
      </c>
      <c r="AJ234" s="2" t="s">
        <v>32</v>
      </c>
      <c r="AK234" s="2" t="s">
        <v>32</v>
      </c>
      <c r="AL234" s="2" t="s">
        <v>32</v>
      </c>
      <c r="AM234" s="2">
        <v>0</v>
      </c>
      <c r="AN234" s="2" t="s">
        <v>32</v>
      </c>
      <c r="AO234" s="2">
        <v>0</v>
      </c>
      <c r="AP234" s="2" t="s">
        <v>32</v>
      </c>
      <c r="AQ234" s="2" t="s">
        <v>32</v>
      </c>
      <c r="AR234" s="2" t="s">
        <v>32</v>
      </c>
      <c r="AS234" s="2">
        <v>0</v>
      </c>
      <c r="AT234" s="2" t="s">
        <v>32</v>
      </c>
      <c r="AU234" s="2" t="s">
        <v>32</v>
      </c>
      <c r="AV234" s="2" t="s">
        <v>32</v>
      </c>
      <c r="AW234" s="2">
        <v>0</v>
      </c>
      <c r="AX234" s="2" t="s">
        <v>32</v>
      </c>
      <c r="AY234" s="2">
        <v>0</v>
      </c>
      <c r="AZ234" s="2" t="s">
        <v>1658</v>
      </c>
      <c r="BA234" s="2">
        <v>25</v>
      </c>
      <c r="BB234" s="2">
        <v>212</v>
      </c>
      <c r="BC234" s="2" t="s">
        <v>1658</v>
      </c>
      <c r="BD234" s="2">
        <v>25</v>
      </c>
      <c r="BE234" s="2" t="s">
        <v>1660</v>
      </c>
      <c r="BF234" s="2">
        <v>0</v>
      </c>
      <c r="BG234" s="2" t="s">
        <v>1660</v>
      </c>
      <c r="BH234" s="2">
        <v>0</v>
      </c>
      <c r="BI234" s="2" t="s">
        <v>32</v>
      </c>
      <c r="BJ234" s="2" t="s">
        <v>32</v>
      </c>
      <c r="BK234" s="2" t="s">
        <v>1660</v>
      </c>
      <c r="BL234" s="2">
        <v>0</v>
      </c>
      <c r="BM234" s="2" t="s">
        <v>32</v>
      </c>
      <c r="BN234" s="2" t="s">
        <v>32</v>
      </c>
      <c r="BO234" s="2" t="s">
        <v>1660</v>
      </c>
      <c r="BP234" s="2">
        <v>0</v>
      </c>
      <c r="BQ234" s="2" t="s">
        <v>1660</v>
      </c>
      <c r="BR234" s="2">
        <v>0</v>
      </c>
      <c r="BS234" s="2" t="s">
        <v>1660</v>
      </c>
      <c r="BT234" s="2">
        <v>0</v>
      </c>
      <c r="BU234" s="2">
        <v>0</v>
      </c>
      <c r="BV234" s="2" t="s">
        <v>1660</v>
      </c>
      <c r="BW234" s="2"/>
      <c r="BX234" s="2"/>
      <c r="BY234" s="2" t="s">
        <v>1807</v>
      </c>
      <c r="BZ234" s="2" t="b">
        <f>OR( (Dashboard[[#This Row],[ref_as_hh]]&gt;=1),(Dashboard[[#This Row],[ret_as_hh]] &gt;=1), (Dashboard[[#This Row],[idp_as_hh]]&gt;=1))</f>
        <v>0</v>
      </c>
      <c r="CA234" s="2">
        <f>Dashboard[[#This Row],[ret_hi_hh]]</f>
        <v>25</v>
      </c>
      <c r="CB234" s="2">
        <f>Dashboard[[#This Row],[idp_fa_hh]]+Dashboard[[#This Row],[ref_fa_hh]]+Dashboard[[#This Row],[ret_fa_hh]]</f>
        <v>23</v>
      </c>
      <c r="CC234" s="2">
        <f>Dashboard[[#This Row],[idp_loc_hh]]+Dashboard[[#This Row],[ref_loc_hh]]+Dashboard[[#This Row],[ret_loc_hh]]</f>
        <v>57</v>
      </c>
      <c r="CD234" s="2">
        <f>Dashboard[[#This Row],[idp_cc_hh]]+Dashboard[[#This Row],[ref_cc_hh]]+Dashboard[[#This Row],[ret_cc_hh]]</f>
        <v>0</v>
      </c>
      <c r="CE234" s="2">
        <f>Dashboard[[#This Row],[idp_as_hh]]+Dashboard[[#This Row],[ref_as_hh]]+Dashboard[[#This Row],[ret_as_hh]]</f>
        <v>0</v>
      </c>
      <c r="CF234" s="2">
        <f>Dashboard[[#This Row],[idp_al_hh]]+Dashboard[[#This Row],[ref_al_hh]]+Dashboard[[#This Row],[ret_al_hh]]</f>
        <v>0</v>
      </c>
    </row>
    <row r="235" spans="1:84" x14ac:dyDescent="0.25">
      <c r="A235" s="27">
        <v>458</v>
      </c>
      <c r="B235" s="2" t="s">
        <v>22</v>
      </c>
      <c r="C235" s="2" t="s">
        <v>23</v>
      </c>
      <c r="D235" s="2" t="s">
        <v>85</v>
      </c>
      <c r="E235" s="2" t="s">
        <v>84</v>
      </c>
      <c r="F235" s="2" t="s">
        <v>95</v>
      </c>
      <c r="G235" s="2" t="s">
        <v>94</v>
      </c>
      <c r="H235" s="2" t="s">
        <v>926</v>
      </c>
      <c r="I235" s="2" t="s">
        <v>118</v>
      </c>
      <c r="J235" s="2" t="s">
        <v>2340</v>
      </c>
      <c r="K235" s="2" t="s">
        <v>2341</v>
      </c>
      <c r="L235" s="2" t="s">
        <v>2074</v>
      </c>
      <c r="M235" s="2">
        <v>500</v>
      </c>
      <c r="N235" s="2" t="s">
        <v>1658</v>
      </c>
      <c r="O235" s="2">
        <v>6</v>
      </c>
      <c r="P235" s="2">
        <v>46</v>
      </c>
      <c r="Q235" s="2" t="s">
        <v>1658</v>
      </c>
      <c r="R235" s="2">
        <v>3</v>
      </c>
      <c r="S235" s="2" t="s">
        <v>1660</v>
      </c>
      <c r="T235" s="2">
        <v>0</v>
      </c>
      <c r="U235" s="2" t="s">
        <v>32</v>
      </c>
      <c r="V235" s="2" t="s">
        <v>32</v>
      </c>
      <c r="W235" s="2" t="s">
        <v>1660</v>
      </c>
      <c r="X235" s="2">
        <v>0</v>
      </c>
      <c r="Y235" s="2" t="s">
        <v>32</v>
      </c>
      <c r="Z235" s="2" t="s">
        <v>32</v>
      </c>
      <c r="AA235" s="2" t="s">
        <v>1658</v>
      </c>
      <c r="AB235" s="2">
        <v>3</v>
      </c>
      <c r="AC235" s="2" t="s">
        <v>1660</v>
      </c>
      <c r="AD235" s="2">
        <v>0</v>
      </c>
      <c r="AE235" s="2" t="s">
        <v>1658</v>
      </c>
      <c r="AF235" s="2">
        <v>24</v>
      </c>
      <c r="AG235" s="2">
        <v>246</v>
      </c>
      <c r="AH235" s="2" t="s">
        <v>1660</v>
      </c>
      <c r="AI235" s="2" t="s">
        <v>32</v>
      </c>
      <c r="AJ235" s="2" t="s">
        <v>32</v>
      </c>
      <c r="AK235" s="2" t="s">
        <v>32</v>
      </c>
      <c r="AL235" s="2" t="s">
        <v>1658</v>
      </c>
      <c r="AM235" s="2">
        <v>24</v>
      </c>
      <c r="AN235" s="2" t="s">
        <v>1660</v>
      </c>
      <c r="AO235" s="2">
        <v>0</v>
      </c>
      <c r="AP235" s="2" t="s">
        <v>32</v>
      </c>
      <c r="AQ235" s="2" t="s">
        <v>32</v>
      </c>
      <c r="AR235" s="2" t="s">
        <v>1660</v>
      </c>
      <c r="AS235" s="2">
        <v>0</v>
      </c>
      <c r="AT235" s="2" t="s">
        <v>32</v>
      </c>
      <c r="AU235" s="2" t="s">
        <v>32</v>
      </c>
      <c r="AV235" s="2" t="s">
        <v>1660</v>
      </c>
      <c r="AW235" s="2">
        <v>0</v>
      </c>
      <c r="AX235" s="2" t="s">
        <v>1660</v>
      </c>
      <c r="AY235" s="2">
        <v>0</v>
      </c>
      <c r="AZ235" s="2" t="s">
        <v>1660</v>
      </c>
      <c r="BA235" s="2">
        <v>0</v>
      </c>
      <c r="BB235" s="2">
        <v>0</v>
      </c>
      <c r="BC235" s="2" t="s">
        <v>32</v>
      </c>
      <c r="BD235" s="2">
        <v>0</v>
      </c>
      <c r="BE235" s="2" t="s">
        <v>32</v>
      </c>
      <c r="BF235" s="2">
        <v>0</v>
      </c>
      <c r="BG235" s="2" t="s">
        <v>32</v>
      </c>
      <c r="BH235" s="2">
        <v>0</v>
      </c>
      <c r="BI235" s="2" t="s">
        <v>32</v>
      </c>
      <c r="BJ235" s="2" t="s">
        <v>32</v>
      </c>
      <c r="BK235" s="2" t="s">
        <v>32</v>
      </c>
      <c r="BL235" s="2">
        <v>0</v>
      </c>
      <c r="BM235" s="2" t="s">
        <v>32</v>
      </c>
      <c r="BN235" s="2" t="s">
        <v>32</v>
      </c>
      <c r="BO235" s="2" t="s">
        <v>32</v>
      </c>
      <c r="BP235" s="2">
        <v>0</v>
      </c>
      <c r="BQ235" s="2" t="s">
        <v>32</v>
      </c>
      <c r="BR235" s="2">
        <v>0</v>
      </c>
      <c r="BS235" s="2" t="s">
        <v>1660</v>
      </c>
      <c r="BT235" s="2">
        <v>0</v>
      </c>
      <c r="BU235" s="2">
        <v>0</v>
      </c>
      <c r="BV235" s="2" t="s">
        <v>1660</v>
      </c>
      <c r="BW235" s="2"/>
      <c r="BX235" s="2"/>
      <c r="BY235" s="2" t="s">
        <v>1807</v>
      </c>
      <c r="BZ235" s="2" t="b">
        <f>OR( (Dashboard[[#This Row],[ref_as_hh]]&gt;=1),(Dashboard[[#This Row],[ret_as_hh]] &gt;=1), (Dashboard[[#This Row],[idp_as_hh]]&gt;=1))</f>
        <v>1</v>
      </c>
      <c r="CA235" s="2">
        <f>Dashboard[[#This Row],[ret_hi_hh]]</f>
        <v>0</v>
      </c>
      <c r="CB235" s="2">
        <f>Dashboard[[#This Row],[idp_fa_hh]]+Dashboard[[#This Row],[ref_fa_hh]]+Dashboard[[#This Row],[ret_fa_hh]]</f>
        <v>27</v>
      </c>
      <c r="CC235" s="2">
        <f>Dashboard[[#This Row],[idp_loc_hh]]+Dashboard[[#This Row],[ref_loc_hh]]+Dashboard[[#This Row],[ret_loc_hh]]</f>
        <v>0</v>
      </c>
      <c r="CD235" s="2">
        <f>Dashboard[[#This Row],[idp_cc_hh]]+Dashboard[[#This Row],[ref_cc_hh]]+Dashboard[[#This Row],[ret_cc_hh]]</f>
        <v>0</v>
      </c>
      <c r="CE235" s="2">
        <f>Dashboard[[#This Row],[idp_as_hh]]+Dashboard[[#This Row],[ref_as_hh]]+Dashboard[[#This Row],[ret_as_hh]]</f>
        <v>3</v>
      </c>
      <c r="CF235" s="2">
        <f>Dashboard[[#This Row],[idp_al_hh]]+Dashboard[[#This Row],[ref_al_hh]]+Dashboard[[#This Row],[ret_al_hh]]</f>
        <v>0</v>
      </c>
    </row>
    <row r="236" spans="1:84" x14ac:dyDescent="0.25">
      <c r="A236" s="27">
        <v>466</v>
      </c>
      <c r="B236" s="2" t="s">
        <v>22</v>
      </c>
      <c r="C236" s="2" t="s">
        <v>23</v>
      </c>
      <c r="D236" s="2" t="s">
        <v>85</v>
      </c>
      <c r="E236" s="2" t="s">
        <v>84</v>
      </c>
      <c r="F236" s="2" t="s">
        <v>95</v>
      </c>
      <c r="G236" s="2" t="s">
        <v>94</v>
      </c>
      <c r="H236" s="2" t="s">
        <v>932</v>
      </c>
      <c r="I236" s="2" t="s">
        <v>265</v>
      </c>
      <c r="J236" s="2" t="s">
        <v>2352</v>
      </c>
      <c r="K236" s="2" t="s">
        <v>2353</v>
      </c>
      <c r="L236" s="2" t="s">
        <v>2074</v>
      </c>
      <c r="M236" s="2">
        <v>608</v>
      </c>
      <c r="N236" s="2" t="s">
        <v>1658</v>
      </c>
      <c r="O236" s="2">
        <v>64</v>
      </c>
      <c r="P236" s="2">
        <v>558</v>
      </c>
      <c r="Q236" s="2" t="s">
        <v>32</v>
      </c>
      <c r="R236" s="2">
        <v>0</v>
      </c>
      <c r="S236" s="2" t="s">
        <v>1660</v>
      </c>
      <c r="T236" s="2">
        <v>0</v>
      </c>
      <c r="U236" s="2" t="s">
        <v>32</v>
      </c>
      <c r="V236" s="2" t="s">
        <v>32</v>
      </c>
      <c r="W236" s="2" t="s">
        <v>1660</v>
      </c>
      <c r="X236" s="2">
        <v>0</v>
      </c>
      <c r="Y236" s="2" t="s">
        <v>32</v>
      </c>
      <c r="Z236" s="2" t="s">
        <v>32</v>
      </c>
      <c r="AA236" s="2" t="s">
        <v>1658</v>
      </c>
      <c r="AB236" s="2">
        <v>64</v>
      </c>
      <c r="AC236" s="2" t="s">
        <v>1660</v>
      </c>
      <c r="AD236" s="2">
        <v>0</v>
      </c>
      <c r="AE236" s="2" t="s">
        <v>1658</v>
      </c>
      <c r="AF236" s="2">
        <v>7</v>
      </c>
      <c r="AG236" s="2">
        <v>50</v>
      </c>
      <c r="AH236" s="2" t="s">
        <v>1660</v>
      </c>
      <c r="AI236" s="2" t="s">
        <v>32</v>
      </c>
      <c r="AJ236" s="2" t="s">
        <v>32</v>
      </c>
      <c r="AK236" s="2" t="s">
        <v>32</v>
      </c>
      <c r="AL236" s="2" t="s">
        <v>32</v>
      </c>
      <c r="AM236" s="2">
        <v>0</v>
      </c>
      <c r="AN236" s="2" t="s">
        <v>1660</v>
      </c>
      <c r="AO236" s="2">
        <v>0</v>
      </c>
      <c r="AP236" s="2" t="s">
        <v>32</v>
      </c>
      <c r="AQ236" s="2" t="s">
        <v>32</v>
      </c>
      <c r="AR236" s="2" t="s">
        <v>1660</v>
      </c>
      <c r="AS236" s="2">
        <v>0</v>
      </c>
      <c r="AT236" s="2" t="s">
        <v>32</v>
      </c>
      <c r="AU236" s="2" t="s">
        <v>32</v>
      </c>
      <c r="AV236" s="2" t="s">
        <v>1658</v>
      </c>
      <c r="AW236" s="2">
        <v>7</v>
      </c>
      <c r="AX236" s="2" t="s">
        <v>1660</v>
      </c>
      <c r="AY236" s="2">
        <v>0</v>
      </c>
      <c r="AZ236" s="2" t="s">
        <v>1660</v>
      </c>
      <c r="BA236" s="2">
        <v>0</v>
      </c>
      <c r="BB236" s="2">
        <v>0</v>
      </c>
      <c r="BC236" s="2" t="s">
        <v>32</v>
      </c>
      <c r="BD236" s="2">
        <v>0</v>
      </c>
      <c r="BE236" s="2" t="s">
        <v>32</v>
      </c>
      <c r="BF236" s="2">
        <v>0</v>
      </c>
      <c r="BG236" s="2" t="s">
        <v>32</v>
      </c>
      <c r="BH236" s="2">
        <v>0</v>
      </c>
      <c r="BI236" s="2" t="s">
        <v>32</v>
      </c>
      <c r="BJ236" s="2" t="s">
        <v>32</v>
      </c>
      <c r="BK236" s="2" t="s">
        <v>32</v>
      </c>
      <c r="BL236" s="2">
        <v>0</v>
      </c>
      <c r="BM236" s="2" t="s">
        <v>32</v>
      </c>
      <c r="BN236" s="2" t="s">
        <v>32</v>
      </c>
      <c r="BO236" s="2" t="s">
        <v>32</v>
      </c>
      <c r="BP236" s="2">
        <v>0</v>
      </c>
      <c r="BQ236" s="2" t="s">
        <v>32</v>
      </c>
      <c r="BR236" s="2">
        <v>0</v>
      </c>
      <c r="BS236" s="2" t="s">
        <v>1660</v>
      </c>
      <c r="BT236" s="2">
        <v>0</v>
      </c>
      <c r="BU236" s="2">
        <v>0</v>
      </c>
      <c r="BV236" s="2" t="s">
        <v>1660</v>
      </c>
      <c r="BW236" s="2"/>
      <c r="BX236" s="2"/>
      <c r="BY236" s="2" t="s">
        <v>1807</v>
      </c>
      <c r="BZ236" s="2" t="b">
        <f>OR( (Dashboard[[#This Row],[ref_as_hh]]&gt;=1),(Dashboard[[#This Row],[ret_as_hh]] &gt;=1), (Dashboard[[#This Row],[idp_as_hh]]&gt;=1))</f>
        <v>1</v>
      </c>
      <c r="CA236" s="2">
        <f>Dashboard[[#This Row],[ret_hi_hh]]</f>
        <v>0</v>
      </c>
      <c r="CB236" s="2">
        <f>Dashboard[[#This Row],[idp_fa_hh]]+Dashboard[[#This Row],[ref_fa_hh]]+Dashboard[[#This Row],[ret_fa_hh]]</f>
        <v>0</v>
      </c>
      <c r="CC236" s="2">
        <f>Dashboard[[#This Row],[idp_loc_hh]]+Dashboard[[#This Row],[ref_loc_hh]]+Dashboard[[#This Row],[ret_loc_hh]]</f>
        <v>0</v>
      </c>
      <c r="CD236" s="2">
        <f>Dashboard[[#This Row],[idp_cc_hh]]+Dashboard[[#This Row],[ref_cc_hh]]+Dashboard[[#This Row],[ret_cc_hh]]</f>
        <v>0</v>
      </c>
      <c r="CE236" s="2">
        <f>Dashboard[[#This Row],[idp_as_hh]]+Dashboard[[#This Row],[ref_as_hh]]+Dashboard[[#This Row],[ret_as_hh]]</f>
        <v>71</v>
      </c>
      <c r="CF236" s="2">
        <f>Dashboard[[#This Row],[idp_al_hh]]+Dashboard[[#This Row],[ref_al_hh]]+Dashboard[[#This Row],[ret_al_hh]]</f>
        <v>0</v>
      </c>
    </row>
    <row r="237" spans="1:84" hidden="1" x14ac:dyDescent="0.25">
      <c r="A237" s="27">
        <v>737</v>
      </c>
      <c r="B237" s="2" t="s">
        <v>22</v>
      </c>
      <c r="C237" s="2" t="s">
        <v>23</v>
      </c>
      <c r="D237" s="2" t="s">
        <v>85</v>
      </c>
      <c r="E237" s="2" t="s">
        <v>84</v>
      </c>
      <c r="F237" s="2" t="s">
        <v>95</v>
      </c>
      <c r="G237" s="2" t="s">
        <v>94</v>
      </c>
      <c r="H237" s="2" t="s">
        <v>930</v>
      </c>
      <c r="I237" s="2" t="s">
        <v>263</v>
      </c>
      <c r="J237" s="2" t="s">
        <v>2348</v>
      </c>
      <c r="K237" s="2" t="s">
        <v>2349</v>
      </c>
      <c r="L237" s="2" t="s">
        <v>2074</v>
      </c>
      <c r="M237" s="2">
        <v>3805</v>
      </c>
      <c r="N237" s="2" t="s">
        <v>1658</v>
      </c>
      <c r="O237" s="2">
        <v>51</v>
      </c>
      <c r="P237" s="2">
        <v>350</v>
      </c>
      <c r="Q237" s="2" t="s">
        <v>1658</v>
      </c>
      <c r="R237" s="2">
        <v>40</v>
      </c>
      <c r="S237" s="2" t="s">
        <v>1658</v>
      </c>
      <c r="T237" s="2">
        <v>11</v>
      </c>
      <c r="U237" s="2" t="s">
        <v>1659</v>
      </c>
      <c r="V237" s="2" t="s">
        <v>32</v>
      </c>
      <c r="W237" s="2" t="s">
        <v>1660</v>
      </c>
      <c r="X237" s="2">
        <v>0</v>
      </c>
      <c r="Y237" s="2" t="s">
        <v>32</v>
      </c>
      <c r="Z237" s="2" t="s">
        <v>32</v>
      </c>
      <c r="AA237" s="2" t="s">
        <v>1660</v>
      </c>
      <c r="AB237" s="2">
        <v>0</v>
      </c>
      <c r="AC237" s="2" t="s">
        <v>1660</v>
      </c>
      <c r="AD237" s="2">
        <v>0</v>
      </c>
      <c r="AE237" s="2" t="s">
        <v>1658</v>
      </c>
      <c r="AF237" s="2">
        <v>5</v>
      </c>
      <c r="AG237" s="2">
        <v>34</v>
      </c>
      <c r="AH237" s="2" t="s">
        <v>1660</v>
      </c>
      <c r="AI237" s="2" t="s">
        <v>32</v>
      </c>
      <c r="AJ237" s="2" t="s">
        <v>32</v>
      </c>
      <c r="AK237" s="2" t="s">
        <v>32</v>
      </c>
      <c r="AL237" s="2" t="s">
        <v>1660</v>
      </c>
      <c r="AM237" s="2">
        <v>0</v>
      </c>
      <c r="AN237" s="2" t="s">
        <v>1658</v>
      </c>
      <c r="AO237" s="2">
        <v>5</v>
      </c>
      <c r="AP237" s="2" t="s">
        <v>1659</v>
      </c>
      <c r="AQ237" s="2" t="s">
        <v>32</v>
      </c>
      <c r="AR237" s="2" t="s">
        <v>1660</v>
      </c>
      <c r="AS237" s="2">
        <v>0</v>
      </c>
      <c r="AT237" s="2" t="s">
        <v>32</v>
      </c>
      <c r="AU237" s="2" t="s">
        <v>32</v>
      </c>
      <c r="AV237" s="2" t="s">
        <v>1660</v>
      </c>
      <c r="AW237" s="2">
        <v>0</v>
      </c>
      <c r="AX237" s="2" t="s">
        <v>1660</v>
      </c>
      <c r="AY237" s="2">
        <v>0</v>
      </c>
      <c r="AZ237" s="2" t="s">
        <v>1658</v>
      </c>
      <c r="BA237" s="2">
        <v>8</v>
      </c>
      <c r="BB237" s="2">
        <v>62</v>
      </c>
      <c r="BC237" s="2" t="s">
        <v>1660</v>
      </c>
      <c r="BD237" s="2">
        <v>0</v>
      </c>
      <c r="BE237" s="2" t="s">
        <v>1660</v>
      </c>
      <c r="BF237" s="2">
        <v>0</v>
      </c>
      <c r="BG237" s="2" t="s">
        <v>1660</v>
      </c>
      <c r="BH237" s="2">
        <v>0</v>
      </c>
      <c r="BI237" s="2" t="s">
        <v>32</v>
      </c>
      <c r="BJ237" s="2" t="s">
        <v>32</v>
      </c>
      <c r="BK237" s="2" t="s">
        <v>1660</v>
      </c>
      <c r="BL237" s="2">
        <v>0</v>
      </c>
      <c r="BM237" s="2" t="s">
        <v>32</v>
      </c>
      <c r="BN237" s="2" t="s">
        <v>32</v>
      </c>
      <c r="BO237" s="2" t="s">
        <v>1660</v>
      </c>
      <c r="BP237" s="2">
        <v>0</v>
      </c>
      <c r="BQ237" s="2" t="s">
        <v>1658</v>
      </c>
      <c r="BR237" s="2">
        <v>8</v>
      </c>
      <c r="BS237" s="2" t="s">
        <v>1660</v>
      </c>
      <c r="BT237" s="2">
        <v>0</v>
      </c>
      <c r="BU237" s="2">
        <v>0</v>
      </c>
      <c r="BV237" s="2" t="s">
        <v>1660</v>
      </c>
      <c r="BW237" s="2"/>
      <c r="BX237" s="2"/>
      <c r="BY237" s="2" t="s">
        <v>1807</v>
      </c>
      <c r="BZ237" s="2" t="b">
        <f>OR( (Dashboard[[#This Row],[ref_as_hh]]&gt;=1),(Dashboard[[#This Row],[ret_as_hh]] &gt;=1), (Dashboard[[#This Row],[idp_as_hh]]&gt;=1))</f>
        <v>0</v>
      </c>
      <c r="CA237" s="2">
        <f>Dashboard[[#This Row],[ret_hi_hh]]</f>
        <v>0</v>
      </c>
      <c r="CB237" s="2">
        <f>Dashboard[[#This Row],[idp_fa_hh]]+Dashboard[[#This Row],[ref_fa_hh]]+Dashboard[[#This Row],[ret_fa_hh]]</f>
        <v>40</v>
      </c>
      <c r="CC237" s="2">
        <f>Dashboard[[#This Row],[idp_loc_hh]]+Dashboard[[#This Row],[ref_loc_hh]]+Dashboard[[#This Row],[ret_loc_hh]]</f>
        <v>16</v>
      </c>
      <c r="CD237" s="2">
        <f>Dashboard[[#This Row],[idp_cc_hh]]+Dashboard[[#This Row],[ref_cc_hh]]+Dashboard[[#This Row],[ret_cc_hh]]</f>
        <v>0</v>
      </c>
      <c r="CE237" s="2">
        <f>Dashboard[[#This Row],[idp_as_hh]]+Dashboard[[#This Row],[ref_as_hh]]+Dashboard[[#This Row],[ret_as_hh]]</f>
        <v>0</v>
      </c>
      <c r="CF237" s="2">
        <f>Dashboard[[#This Row],[idp_al_hh]]+Dashboard[[#This Row],[ref_al_hh]]+Dashboard[[#This Row],[ret_al_hh]]</f>
        <v>8</v>
      </c>
    </row>
    <row r="238" spans="1:84" x14ac:dyDescent="0.25">
      <c r="A238" s="27">
        <v>746</v>
      </c>
      <c r="B238" s="2" t="s">
        <v>22</v>
      </c>
      <c r="C238" s="2" t="s">
        <v>23</v>
      </c>
      <c r="D238" s="2" t="s">
        <v>85</v>
      </c>
      <c r="E238" s="2" t="s">
        <v>84</v>
      </c>
      <c r="F238" s="2" t="s">
        <v>95</v>
      </c>
      <c r="G238" s="2" t="s">
        <v>94</v>
      </c>
      <c r="H238" s="2" t="s">
        <v>921</v>
      </c>
      <c r="I238" s="2" t="s">
        <v>113</v>
      </c>
      <c r="J238" s="2" t="s">
        <v>2326</v>
      </c>
      <c r="K238" s="2" t="s">
        <v>2327</v>
      </c>
      <c r="L238" s="2" t="s">
        <v>2074</v>
      </c>
      <c r="M238" s="2">
        <v>790</v>
      </c>
      <c r="N238" s="2" t="s">
        <v>1658</v>
      </c>
      <c r="O238" s="2">
        <v>40</v>
      </c>
      <c r="P238" s="2">
        <v>247</v>
      </c>
      <c r="Q238" s="2" t="s">
        <v>1658</v>
      </c>
      <c r="R238" s="2">
        <v>19</v>
      </c>
      <c r="S238" s="2" t="s">
        <v>1660</v>
      </c>
      <c r="T238" s="2">
        <v>0</v>
      </c>
      <c r="U238" s="2" t="s">
        <v>32</v>
      </c>
      <c r="V238" s="2" t="s">
        <v>32</v>
      </c>
      <c r="W238" s="2" t="s">
        <v>1660</v>
      </c>
      <c r="X238" s="2">
        <v>0</v>
      </c>
      <c r="Y238" s="2" t="s">
        <v>32</v>
      </c>
      <c r="Z238" s="2" t="s">
        <v>32</v>
      </c>
      <c r="AA238" s="2" t="s">
        <v>1658</v>
      </c>
      <c r="AB238" s="2">
        <v>21</v>
      </c>
      <c r="AC238" s="2" t="s">
        <v>1660</v>
      </c>
      <c r="AD238" s="2">
        <v>0</v>
      </c>
      <c r="AE238" s="2" t="s">
        <v>1660</v>
      </c>
      <c r="AF238" s="2">
        <v>0</v>
      </c>
      <c r="AG238" s="2">
        <v>0</v>
      </c>
      <c r="AH238" s="2" t="s">
        <v>32</v>
      </c>
      <c r="AI238" s="2" t="s">
        <v>32</v>
      </c>
      <c r="AJ238" s="2" t="s">
        <v>32</v>
      </c>
      <c r="AK238" s="2" t="s">
        <v>32</v>
      </c>
      <c r="AL238" s="2" t="s">
        <v>32</v>
      </c>
      <c r="AM238" s="2">
        <v>0</v>
      </c>
      <c r="AN238" s="2" t="s">
        <v>32</v>
      </c>
      <c r="AO238" s="2">
        <v>0</v>
      </c>
      <c r="AP238" s="2" t="s">
        <v>32</v>
      </c>
      <c r="AQ238" s="2" t="s">
        <v>32</v>
      </c>
      <c r="AR238" s="2" t="s">
        <v>32</v>
      </c>
      <c r="AS238" s="2">
        <v>0</v>
      </c>
      <c r="AT238" s="2" t="s">
        <v>32</v>
      </c>
      <c r="AU238" s="2" t="s">
        <v>32</v>
      </c>
      <c r="AV238" s="2" t="s">
        <v>32</v>
      </c>
      <c r="AW238" s="2">
        <v>0</v>
      </c>
      <c r="AX238" s="2" t="s">
        <v>32</v>
      </c>
      <c r="AY238" s="2">
        <v>0</v>
      </c>
      <c r="AZ238" s="2" t="s">
        <v>1660</v>
      </c>
      <c r="BA238" s="2">
        <v>0</v>
      </c>
      <c r="BB238" s="2">
        <v>0</v>
      </c>
      <c r="BC238" s="2" t="s">
        <v>32</v>
      </c>
      <c r="BD238" s="2">
        <v>0</v>
      </c>
      <c r="BE238" s="2" t="s">
        <v>32</v>
      </c>
      <c r="BF238" s="2">
        <v>0</v>
      </c>
      <c r="BG238" s="2" t="s">
        <v>32</v>
      </c>
      <c r="BH238" s="2">
        <v>0</v>
      </c>
      <c r="BI238" s="2" t="s">
        <v>32</v>
      </c>
      <c r="BJ238" s="2" t="s">
        <v>32</v>
      </c>
      <c r="BK238" s="2" t="s">
        <v>32</v>
      </c>
      <c r="BL238" s="2">
        <v>0</v>
      </c>
      <c r="BM238" s="2" t="s">
        <v>32</v>
      </c>
      <c r="BN238" s="2" t="s">
        <v>32</v>
      </c>
      <c r="BO238" s="2" t="s">
        <v>32</v>
      </c>
      <c r="BP238" s="2">
        <v>0</v>
      </c>
      <c r="BQ238" s="2" t="s">
        <v>32</v>
      </c>
      <c r="BR238" s="2">
        <v>0</v>
      </c>
      <c r="BS238" s="2" t="s">
        <v>1660</v>
      </c>
      <c r="BT238" s="2">
        <v>0</v>
      </c>
      <c r="BU238" s="2">
        <v>0</v>
      </c>
      <c r="BV238" s="2" t="s">
        <v>1660</v>
      </c>
      <c r="BW238" s="2"/>
      <c r="BX238" s="2"/>
      <c r="BY238" s="2" t="s">
        <v>1807</v>
      </c>
      <c r="BZ238" s="2" t="b">
        <f>OR( (Dashboard[[#This Row],[ref_as_hh]]&gt;=1),(Dashboard[[#This Row],[ret_as_hh]] &gt;=1), (Dashboard[[#This Row],[idp_as_hh]]&gt;=1))</f>
        <v>1</v>
      </c>
      <c r="CA238" s="2">
        <f>Dashboard[[#This Row],[ret_hi_hh]]</f>
        <v>0</v>
      </c>
      <c r="CB238" s="2">
        <f>Dashboard[[#This Row],[idp_fa_hh]]+Dashboard[[#This Row],[ref_fa_hh]]+Dashboard[[#This Row],[ret_fa_hh]]</f>
        <v>19</v>
      </c>
      <c r="CC238" s="2">
        <f>Dashboard[[#This Row],[idp_loc_hh]]+Dashboard[[#This Row],[ref_loc_hh]]+Dashboard[[#This Row],[ret_loc_hh]]</f>
        <v>0</v>
      </c>
      <c r="CD238" s="2">
        <f>Dashboard[[#This Row],[idp_cc_hh]]+Dashboard[[#This Row],[ref_cc_hh]]+Dashboard[[#This Row],[ret_cc_hh]]</f>
        <v>0</v>
      </c>
      <c r="CE238" s="2">
        <f>Dashboard[[#This Row],[idp_as_hh]]+Dashboard[[#This Row],[ref_as_hh]]+Dashboard[[#This Row],[ret_as_hh]]</f>
        <v>21</v>
      </c>
      <c r="CF238" s="2">
        <f>Dashboard[[#This Row],[idp_al_hh]]+Dashboard[[#This Row],[ref_al_hh]]+Dashboard[[#This Row],[ret_al_hh]]</f>
        <v>0</v>
      </c>
    </row>
    <row r="239" spans="1:84" hidden="1" x14ac:dyDescent="0.25">
      <c r="A239" s="27">
        <v>535</v>
      </c>
      <c r="B239" s="2" t="s">
        <v>22</v>
      </c>
      <c r="C239" s="2" t="s">
        <v>23</v>
      </c>
      <c r="D239" s="2" t="s">
        <v>85</v>
      </c>
      <c r="E239" s="2" t="s">
        <v>84</v>
      </c>
      <c r="F239" s="2" t="s">
        <v>92</v>
      </c>
      <c r="G239" s="2" t="s">
        <v>91</v>
      </c>
      <c r="H239" s="2" t="s">
        <v>959</v>
      </c>
      <c r="I239" s="2" t="s">
        <v>285</v>
      </c>
      <c r="J239" s="2" t="s">
        <v>2414</v>
      </c>
      <c r="K239" s="2" t="s">
        <v>2415</v>
      </c>
      <c r="L239" s="2" t="s">
        <v>2074</v>
      </c>
      <c r="M239" s="2">
        <v>515</v>
      </c>
      <c r="N239" s="2" t="s">
        <v>1658</v>
      </c>
      <c r="O239" s="2">
        <v>21</v>
      </c>
      <c r="P239" s="2">
        <v>215</v>
      </c>
      <c r="Q239" s="2" t="s">
        <v>1658</v>
      </c>
      <c r="R239" s="2">
        <v>21</v>
      </c>
      <c r="S239" s="2" t="s">
        <v>1660</v>
      </c>
      <c r="T239" s="2">
        <v>0</v>
      </c>
      <c r="U239" s="2" t="s">
        <v>32</v>
      </c>
      <c r="V239" s="2" t="s">
        <v>32</v>
      </c>
      <c r="W239" s="2" t="s">
        <v>1660</v>
      </c>
      <c r="X239" s="2">
        <v>0</v>
      </c>
      <c r="Y239" s="2" t="s">
        <v>32</v>
      </c>
      <c r="Z239" s="2" t="s">
        <v>32</v>
      </c>
      <c r="AA239" s="2" t="s">
        <v>1660</v>
      </c>
      <c r="AB239" s="2">
        <v>0</v>
      </c>
      <c r="AC239" s="2" t="s">
        <v>1660</v>
      </c>
      <c r="AD239" s="2">
        <v>0</v>
      </c>
      <c r="AE239" s="2" t="s">
        <v>1660</v>
      </c>
      <c r="AF239" s="2">
        <v>0</v>
      </c>
      <c r="AG239" s="2">
        <v>0</v>
      </c>
      <c r="AH239" s="2" t="s">
        <v>32</v>
      </c>
      <c r="AI239" s="2" t="s">
        <v>32</v>
      </c>
      <c r="AJ239" s="2" t="s">
        <v>32</v>
      </c>
      <c r="AK239" s="2" t="s">
        <v>32</v>
      </c>
      <c r="AL239" s="2" t="s">
        <v>32</v>
      </c>
      <c r="AM239" s="2">
        <v>0</v>
      </c>
      <c r="AN239" s="2" t="s">
        <v>32</v>
      </c>
      <c r="AO239" s="2">
        <v>0</v>
      </c>
      <c r="AP239" s="2" t="s">
        <v>32</v>
      </c>
      <c r="AQ239" s="2" t="s">
        <v>32</v>
      </c>
      <c r="AR239" s="2" t="s">
        <v>32</v>
      </c>
      <c r="AS239" s="2">
        <v>0</v>
      </c>
      <c r="AT239" s="2" t="s">
        <v>32</v>
      </c>
      <c r="AU239" s="2" t="s">
        <v>32</v>
      </c>
      <c r="AV239" s="2" t="s">
        <v>32</v>
      </c>
      <c r="AW239" s="2">
        <v>0</v>
      </c>
      <c r="AX239" s="2" t="s">
        <v>32</v>
      </c>
      <c r="AY239" s="2">
        <v>0</v>
      </c>
      <c r="AZ239" s="2" t="s">
        <v>1660</v>
      </c>
      <c r="BA239" s="2">
        <v>0</v>
      </c>
      <c r="BB239" s="2">
        <v>0</v>
      </c>
      <c r="BC239" s="2" t="s">
        <v>32</v>
      </c>
      <c r="BD239" s="2">
        <v>0</v>
      </c>
      <c r="BE239" s="2" t="s">
        <v>32</v>
      </c>
      <c r="BF239" s="2">
        <v>0</v>
      </c>
      <c r="BG239" s="2" t="s">
        <v>32</v>
      </c>
      <c r="BH239" s="2">
        <v>0</v>
      </c>
      <c r="BI239" s="2" t="s">
        <v>32</v>
      </c>
      <c r="BJ239" s="2" t="s">
        <v>32</v>
      </c>
      <c r="BK239" s="2" t="s">
        <v>32</v>
      </c>
      <c r="BL239" s="2">
        <v>0</v>
      </c>
      <c r="BM239" s="2" t="s">
        <v>32</v>
      </c>
      <c r="BN239" s="2" t="s">
        <v>32</v>
      </c>
      <c r="BO239" s="2" t="s">
        <v>32</v>
      </c>
      <c r="BP239" s="2">
        <v>0</v>
      </c>
      <c r="BQ239" s="2" t="s">
        <v>32</v>
      </c>
      <c r="BR239" s="2">
        <v>0</v>
      </c>
      <c r="BS239" s="2" t="s">
        <v>1660</v>
      </c>
      <c r="BT239" s="2">
        <v>0</v>
      </c>
      <c r="BU239" s="2">
        <v>0</v>
      </c>
      <c r="BV239" s="2" t="s">
        <v>1660</v>
      </c>
      <c r="BW239" s="2"/>
      <c r="BX239" s="2"/>
      <c r="BY239" s="2" t="s">
        <v>1807</v>
      </c>
      <c r="BZ239" s="2" t="b">
        <f>OR( (Dashboard[[#This Row],[ref_as_hh]]&gt;=1),(Dashboard[[#This Row],[ret_as_hh]] &gt;=1), (Dashboard[[#This Row],[idp_as_hh]]&gt;=1))</f>
        <v>0</v>
      </c>
      <c r="CA239" s="2">
        <f>Dashboard[[#This Row],[ret_hi_hh]]</f>
        <v>0</v>
      </c>
      <c r="CB239" s="2">
        <f>Dashboard[[#This Row],[idp_fa_hh]]+Dashboard[[#This Row],[ref_fa_hh]]+Dashboard[[#This Row],[ret_fa_hh]]</f>
        <v>21</v>
      </c>
      <c r="CC239" s="2">
        <f>Dashboard[[#This Row],[idp_loc_hh]]+Dashboard[[#This Row],[ref_loc_hh]]+Dashboard[[#This Row],[ret_loc_hh]]</f>
        <v>0</v>
      </c>
      <c r="CD239" s="2">
        <f>Dashboard[[#This Row],[idp_cc_hh]]+Dashboard[[#This Row],[ref_cc_hh]]+Dashboard[[#This Row],[ret_cc_hh]]</f>
        <v>0</v>
      </c>
      <c r="CE239" s="2">
        <f>Dashboard[[#This Row],[idp_as_hh]]+Dashboard[[#This Row],[ref_as_hh]]+Dashboard[[#This Row],[ret_as_hh]]</f>
        <v>0</v>
      </c>
      <c r="CF239" s="2">
        <f>Dashboard[[#This Row],[idp_al_hh]]+Dashboard[[#This Row],[ref_al_hh]]+Dashboard[[#This Row],[ret_al_hh]]</f>
        <v>0</v>
      </c>
    </row>
    <row r="240" spans="1:84" hidden="1" x14ac:dyDescent="0.25">
      <c r="A240" s="27">
        <v>536</v>
      </c>
      <c r="B240" s="2" t="s">
        <v>22</v>
      </c>
      <c r="C240" s="2" t="s">
        <v>23</v>
      </c>
      <c r="D240" s="2" t="s">
        <v>85</v>
      </c>
      <c r="E240" s="2" t="s">
        <v>84</v>
      </c>
      <c r="F240" s="2" t="s">
        <v>92</v>
      </c>
      <c r="G240" s="2" t="s">
        <v>91</v>
      </c>
      <c r="H240" s="2" t="s">
        <v>2029</v>
      </c>
      <c r="I240" s="2" t="s">
        <v>2030</v>
      </c>
      <c r="J240" s="2" t="s">
        <v>2422</v>
      </c>
      <c r="K240" s="2" t="s">
        <v>2423</v>
      </c>
      <c r="L240" s="2" t="s">
        <v>2074</v>
      </c>
      <c r="M240" s="2">
        <v>831</v>
      </c>
      <c r="N240" s="2" t="s">
        <v>1660</v>
      </c>
      <c r="O240" s="2">
        <v>0</v>
      </c>
      <c r="P240" s="2">
        <v>0</v>
      </c>
      <c r="Q240" s="2" t="s">
        <v>32</v>
      </c>
      <c r="R240" s="2">
        <v>0</v>
      </c>
      <c r="S240" s="2" t="s">
        <v>32</v>
      </c>
      <c r="T240" s="2">
        <v>0</v>
      </c>
      <c r="U240" s="2" t="s">
        <v>32</v>
      </c>
      <c r="V240" s="2" t="s">
        <v>32</v>
      </c>
      <c r="W240" s="2" t="s">
        <v>32</v>
      </c>
      <c r="X240" s="2">
        <v>0</v>
      </c>
      <c r="Y240" s="2" t="s">
        <v>32</v>
      </c>
      <c r="Z240" s="2" t="s">
        <v>32</v>
      </c>
      <c r="AA240" s="2" t="s">
        <v>32</v>
      </c>
      <c r="AB240" s="2">
        <v>0</v>
      </c>
      <c r="AC240" s="2" t="s">
        <v>32</v>
      </c>
      <c r="AD240" s="2">
        <v>0</v>
      </c>
      <c r="AE240" s="2" t="s">
        <v>1660</v>
      </c>
      <c r="AF240" s="2">
        <v>0</v>
      </c>
      <c r="AG240" s="2">
        <v>0</v>
      </c>
      <c r="AH240" s="2" t="s">
        <v>32</v>
      </c>
      <c r="AI240" s="2" t="s">
        <v>32</v>
      </c>
      <c r="AJ240" s="2" t="s">
        <v>32</v>
      </c>
      <c r="AK240" s="2" t="s">
        <v>32</v>
      </c>
      <c r="AL240" s="2" t="s">
        <v>32</v>
      </c>
      <c r="AM240" s="2">
        <v>0</v>
      </c>
      <c r="AN240" s="2" t="s">
        <v>32</v>
      </c>
      <c r="AO240" s="2">
        <v>0</v>
      </c>
      <c r="AP240" s="2" t="s">
        <v>32</v>
      </c>
      <c r="AQ240" s="2" t="s">
        <v>32</v>
      </c>
      <c r="AR240" s="2" t="s">
        <v>32</v>
      </c>
      <c r="AS240" s="2">
        <v>0</v>
      </c>
      <c r="AT240" s="2" t="s">
        <v>32</v>
      </c>
      <c r="AU240" s="2" t="s">
        <v>32</v>
      </c>
      <c r="AV240" s="2" t="s">
        <v>32</v>
      </c>
      <c r="AW240" s="2">
        <v>0</v>
      </c>
      <c r="AX240" s="2" t="s">
        <v>32</v>
      </c>
      <c r="AY240" s="2">
        <v>0</v>
      </c>
      <c r="AZ240" s="2" t="s">
        <v>1658</v>
      </c>
      <c r="BA240" s="2">
        <v>1</v>
      </c>
      <c r="BB240" s="2">
        <v>8</v>
      </c>
      <c r="BC240" s="2" t="s">
        <v>1658</v>
      </c>
      <c r="BD240" s="2">
        <v>1</v>
      </c>
      <c r="BE240" s="2" t="s">
        <v>1660</v>
      </c>
      <c r="BF240" s="2">
        <v>0</v>
      </c>
      <c r="BG240" s="2" t="s">
        <v>1660</v>
      </c>
      <c r="BH240" s="2">
        <v>0</v>
      </c>
      <c r="BI240" s="2" t="s">
        <v>32</v>
      </c>
      <c r="BJ240" s="2" t="s">
        <v>32</v>
      </c>
      <c r="BK240" s="2" t="s">
        <v>1660</v>
      </c>
      <c r="BL240" s="2">
        <v>0</v>
      </c>
      <c r="BM240" s="2" t="s">
        <v>32</v>
      </c>
      <c r="BN240" s="2" t="s">
        <v>32</v>
      </c>
      <c r="BO240" s="2" t="s">
        <v>1660</v>
      </c>
      <c r="BP240" s="2">
        <v>0</v>
      </c>
      <c r="BQ240" s="2" t="s">
        <v>1660</v>
      </c>
      <c r="BR240" s="2">
        <v>0</v>
      </c>
      <c r="BS240" s="2" t="s">
        <v>1660</v>
      </c>
      <c r="BT240" s="2">
        <v>0</v>
      </c>
      <c r="BU240" s="2">
        <v>0</v>
      </c>
      <c r="BV240" s="2" t="s">
        <v>1660</v>
      </c>
      <c r="BW240" s="2"/>
      <c r="BX240" s="2"/>
      <c r="BY240" s="2" t="s">
        <v>1807</v>
      </c>
      <c r="BZ240" s="2" t="b">
        <f>OR( (Dashboard[[#This Row],[ref_as_hh]]&gt;=1),(Dashboard[[#This Row],[ret_as_hh]] &gt;=1), (Dashboard[[#This Row],[idp_as_hh]]&gt;=1))</f>
        <v>0</v>
      </c>
      <c r="CA240" s="2">
        <f>Dashboard[[#This Row],[ret_hi_hh]]</f>
        <v>1</v>
      </c>
      <c r="CB240" s="2">
        <f>Dashboard[[#This Row],[idp_fa_hh]]+Dashboard[[#This Row],[ref_fa_hh]]+Dashboard[[#This Row],[ret_fa_hh]]</f>
        <v>0</v>
      </c>
      <c r="CC240" s="2">
        <f>Dashboard[[#This Row],[idp_loc_hh]]+Dashboard[[#This Row],[ref_loc_hh]]+Dashboard[[#This Row],[ret_loc_hh]]</f>
        <v>0</v>
      </c>
      <c r="CD240" s="2">
        <f>Dashboard[[#This Row],[idp_cc_hh]]+Dashboard[[#This Row],[ref_cc_hh]]+Dashboard[[#This Row],[ret_cc_hh]]</f>
        <v>0</v>
      </c>
      <c r="CE240" s="2">
        <f>Dashboard[[#This Row],[idp_as_hh]]+Dashboard[[#This Row],[ref_as_hh]]+Dashboard[[#This Row],[ret_as_hh]]</f>
        <v>0</v>
      </c>
      <c r="CF240" s="2">
        <f>Dashboard[[#This Row],[idp_al_hh]]+Dashboard[[#This Row],[ref_al_hh]]+Dashboard[[#This Row],[ret_al_hh]]</f>
        <v>0</v>
      </c>
    </row>
    <row r="241" spans="1:84" hidden="1" x14ac:dyDescent="0.25">
      <c r="A241" s="27">
        <v>539</v>
      </c>
      <c r="B241" s="2" t="s">
        <v>22</v>
      </c>
      <c r="C241" s="2" t="s">
        <v>23</v>
      </c>
      <c r="D241" s="2" t="s">
        <v>85</v>
      </c>
      <c r="E241" s="2" t="s">
        <v>84</v>
      </c>
      <c r="F241" s="2" t="s">
        <v>92</v>
      </c>
      <c r="G241" s="2" t="s">
        <v>91</v>
      </c>
      <c r="H241" s="2" t="s">
        <v>1811</v>
      </c>
      <c r="I241" s="2" t="s">
        <v>1812</v>
      </c>
      <c r="J241" s="2" t="s">
        <v>2430</v>
      </c>
      <c r="K241" s="2" t="s">
        <v>2431</v>
      </c>
      <c r="L241" s="2" t="s">
        <v>2074</v>
      </c>
      <c r="M241" s="2">
        <v>970</v>
      </c>
      <c r="N241" s="2" t="s">
        <v>1658</v>
      </c>
      <c r="O241" s="2">
        <v>7</v>
      </c>
      <c r="P241" s="2">
        <v>50</v>
      </c>
      <c r="Q241" s="2" t="s">
        <v>1658</v>
      </c>
      <c r="R241" s="2">
        <v>7</v>
      </c>
      <c r="S241" s="2" t="s">
        <v>1660</v>
      </c>
      <c r="T241" s="2">
        <v>0</v>
      </c>
      <c r="U241" s="2" t="s">
        <v>32</v>
      </c>
      <c r="V241" s="2" t="s">
        <v>32</v>
      </c>
      <c r="W241" s="2" t="s">
        <v>1660</v>
      </c>
      <c r="X241" s="2">
        <v>0</v>
      </c>
      <c r="Y241" s="2" t="s">
        <v>32</v>
      </c>
      <c r="Z241" s="2" t="s">
        <v>32</v>
      </c>
      <c r="AA241" s="2" t="s">
        <v>1660</v>
      </c>
      <c r="AB241" s="2">
        <v>0</v>
      </c>
      <c r="AC241" s="2" t="s">
        <v>1660</v>
      </c>
      <c r="AD241" s="2">
        <v>0</v>
      </c>
      <c r="AE241" s="2" t="s">
        <v>1658</v>
      </c>
      <c r="AF241" s="2">
        <v>21</v>
      </c>
      <c r="AG241" s="2">
        <v>106</v>
      </c>
      <c r="AH241" s="2" t="s">
        <v>1660</v>
      </c>
      <c r="AI241" s="2" t="s">
        <v>32</v>
      </c>
      <c r="AJ241" s="2" t="s">
        <v>32</v>
      </c>
      <c r="AK241" s="2" t="s">
        <v>32</v>
      </c>
      <c r="AL241" s="2" t="s">
        <v>1658</v>
      </c>
      <c r="AM241" s="2">
        <v>21</v>
      </c>
      <c r="AN241" s="2" t="s">
        <v>1660</v>
      </c>
      <c r="AO241" s="2">
        <v>0</v>
      </c>
      <c r="AP241" s="2" t="s">
        <v>32</v>
      </c>
      <c r="AQ241" s="2" t="s">
        <v>32</v>
      </c>
      <c r="AR241" s="2" t="s">
        <v>1660</v>
      </c>
      <c r="AS241" s="2">
        <v>0</v>
      </c>
      <c r="AT241" s="2" t="s">
        <v>32</v>
      </c>
      <c r="AU241" s="2" t="s">
        <v>32</v>
      </c>
      <c r="AV241" s="2" t="s">
        <v>1660</v>
      </c>
      <c r="AW241" s="2">
        <v>0</v>
      </c>
      <c r="AX241" s="2" t="s">
        <v>1660</v>
      </c>
      <c r="AY241" s="2">
        <v>0</v>
      </c>
      <c r="AZ241" s="2" t="s">
        <v>1660</v>
      </c>
      <c r="BA241" s="2">
        <v>0</v>
      </c>
      <c r="BB241" s="2">
        <v>0</v>
      </c>
      <c r="BC241" s="2" t="s">
        <v>32</v>
      </c>
      <c r="BD241" s="2">
        <v>0</v>
      </c>
      <c r="BE241" s="2" t="s">
        <v>32</v>
      </c>
      <c r="BF241" s="2">
        <v>0</v>
      </c>
      <c r="BG241" s="2" t="s">
        <v>32</v>
      </c>
      <c r="BH241" s="2">
        <v>0</v>
      </c>
      <c r="BI241" s="2" t="s">
        <v>32</v>
      </c>
      <c r="BJ241" s="2" t="s">
        <v>32</v>
      </c>
      <c r="BK241" s="2" t="s">
        <v>32</v>
      </c>
      <c r="BL241" s="2">
        <v>0</v>
      </c>
      <c r="BM241" s="2" t="s">
        <v>32</v>
      </c>
      <c r="BN241" s="2" t="s">
        <v>32</v>
      </c>
      <c r="BO241" s="2" t="s">
        <v>32</v>
      </c>
      <c r="BP241" s="2">
        <v>0</v>
      </c>
      <c r="BQ241" s="2" t="s">
        <v>32</v>
      </c>
      <c r="BR241" s="2">
        <v>0</v>
      </c>
      <c r="BS241" s="2" t="s">
        <v>1660</v>
      </c>
      <c r="BT241" s="2">
        <v>0</v>
      </c>
      <c r="BU241" s="2">
        <v>0</v>
      </c>
      <c r="BV241" s="2" t="s">
        <v>1660</v>
      </c>
      <c r="BW241" s="2"/>
      <c r="BX241" s="2"/>
      <c r="BY241" s="2" t="s">
        <v>1807</v>
      </c>
      <c r="BZ241" s="2" t="b">
        <f>OR( (Dashboard[[#This Row],[ref_as_hh]]&gt;=1),(Dashboard[[#This Row],[ret_as_hh]] &gt;=1), (Dashboard[[#This Row],[idp_as_hh]]&gt;=1))</f>
        <v>0</v>
      </c>
      <c r="CA241" s="2">
        <f>Dashboard[[#This Row],[ret_hi_hh]]</f>
        <v>0</v>
      </c>
      <c r="CB241" s="2">
        <f>Dashboard[[#This Row],[idp_fa_hh]]+Dashboard[[#This Row],[ref_fa_hh]]+Dashboard[[#This Row],[ret_fa_hh]]</f>
        <v>28</v>
      </c>
      <c r="CC241" s="2">
        <f>Dashboard[[#This Row],[idp_loc_hh]]+Dashboard[[#This Row],[ref_loc_hh]]+Dashboard[[#This Row],[ret_loc_hh]]</f>
        <v>0</v>
      </c>
      <c r="CD241" s="2">
        <f>Dashboard[[#This Row],[idp_cc_hh]]+Dashboard[[#This Row],[ref_cc_hh]]+Dashboard[[#This Row],[ret_cc_hh]]</f>
        <v>0</v>
      </c>
      <c r="CE241" s="2">
        <f>Dashboard[[#This Row],[idp_as_hh]]+Dashboard[[#This Row],[ref_as_hh]]+Dashboard[[#This Row],[ret_as_hh]]</f>
        <v>0</v>
      </c>
      <c r="CF241" s="2">
        <f>Dashboard[[#This Row],[idp_al_hh]]+Dashboard[[#This Row],[ref_al_hh]]+Dashboard[[#This Row],[ret_al_hh]]</f>
        <v>0</v>
      </c>
    </row>
    <row r="242" spans="1:84" hidden="1" x14ac:dyDescent="0.25">
      <c r="A242" s="27">
        <v>540</v>
      </c>
      <c r="B242" s="2" t="s">
        <v>22</v>
      </c>
      <c r="C242" s="2" t="s">
        <v>23</v>
      </c>
      <c r="D242" s="2" t="s">
        <v>85</v>
      </c>
      <c r="E242" s="2" t="s">
        <v>84</v>
      </c>
      <c r="F242" s="2" t="s">
        <v>92</v>
      </c>
      <c r="G242" s="2" t="s">
        <v>91</v>
      </c>
      <c r="H242" s="2" t="s">
        <v>962</v>
      </c>
      <c r="I242" s="2" t="s">
        <v>286</v>
      </c>
      <c r="J242" s="2" t="s">
        <v>2420</v>
      </c>
      <c r="K242" s="2" t="s">
        <v>2421</v>
      </c>
      <c r="L242" s="2" t="s">
        <v>2074</v>
      </c>
      <c r="M242" s="2">
        <v>770</v>
      </c>
      <c r="N242" s="2" t="s">
        <v>1658</v>
      </c>
      <c r="O242" s="2">
        <v>74</v>
      </c>
      <c r="P242" s="2">
        <v>340</v>
      </c>
      <c r="Q242" s="2" t="s">
        <v>1658</v>
      </c>
      <c r="R242" s="2">
        <v>74</v>
      </c>
      <c r="S242" s="2" t="s">
        <v>1660</v>
      </c>
      <c r="T242" s="2">
        <v>0</v>
      </c>
      <c r="U242" s="2" t="s">
        <v>32</v>
      </c>
      <c r="V242" s="2" t="s">
        <v>32</v>
      </c>
      <c r="W242" s="2" t="s">
        <v>1660</v>
      </c>
      <c r="X242" s="2">
        <v>0</v>
      </c>
      <c r="Y242" s="2" t="s">
        <v>32</v>
      </c>
      <c r="Z242" s="2" t="s">
        <v>32</v>
      </c>
      <c r="AA242" s="2" t="s">
        <v>1660</v>
      </c>
      <c r="AB242" s="2">
        <v>0</v>
      </c>
      <c r="AC242" s="2" t="s">
        <v>1660</v>
      </c>
      <c r="AD242" s="2">
        <v>0</v>
      </c>
      <c r="AE242" s="2" t="s">
        <v>1660</v>
      </c>
      <c r="AF242" s="2">
        <v>0</v>
      </c>
      <c r="AG242" s="2">
        <v>0</v>
      </c>
      <c r="AH242" s="2" t="s">
        <v>32</v>
      </c>
      <c r="AI242" s="2" t="s">
        <v>32</v>
      </c>
      <c r="AJ242" s="2" t="s">
        <v>32</v>
      </c>
      <c r="AK242" s="2" t="s">
        <v>32</v>
      </c>
      <c r="AL242" s="2" t="s">
        <v>32</v>
      </c>
      <c r="AM242" s="2">
        <v>0</v>
      </c>
      <c r="AN242" s="2" t="s">
        <v>32</v>
      </c>
      <c r="AO242" s="2">
        <v>0</v>
      </c>
      <c r="AP242" s="2" t="s">
        <v>32</v>
      </c>
      <c r="AQ242" s="2" t="s">
        <v>32</v>
      </c>
      <c r="AR242" s="2" t="s">
        <v>32</v>
      </c>
      <c r="AS242" s="2">
        <v>0</v>
      </c>
      <c r="AT242" s="2" t="s">
        <v>32</v>
      </c>
      <c r="AU242" s="2" t="s">
        <v>32</v>
      </c>
      <c r="AV242" s="2" t="s">
        <v>32</v>
      </c>
      <c r="AW242" s="2">
        <v>0</v>
      </c>
      <c r="AX242" s="2" t="s">
        <v>32</v>
      </c>
      <c r="AY242" s="2">
        <v>0</v>
      </c>
      <c r="AZ242" s="2" t="s">
        <v>1660</v>
      </c>
      <c r="BA242" s="2">
        <v>0</v>
      </c>
      <c r="BB242" s="2">
        <v>0</v>
      </c>
      <c r="BC242" s="2" t="s">
        <v>32</v>
      </c>
      <c r="BD242" s="2">
        <v>0</v>
      </c>
      <c r="BE242" s="2" t="s">
        <v>32</v>
      </c>
      <c r="BF242" s="2">
        <v>0</v>
      </c>
      <c r="BG242" s="2" t="s">
        <v>32</v>
      </c>
      <c r="BH242" s="2">
        <v>0</v>
      </c>
      <c r="BI242" s="2" t="s">
        <v>32</v>
      </c>
      <c r="BJ242" s="2" t="s">
        <v>32</v>
      </c>
      <c r="BK242" s="2" t="s">
        <v>32</v>
      </c>
      <c r="BL242" s="2">
        <v>0</v>
      </c>
      <c r="BM242" s="2" t="s">
        <v>32</v>
      </c>
      <c r="BN242" s="2" t="s">
        <v>32</v>
      </c>
      <c r="BO242" s="2" t="s">
        <v>32</v>
      </c>
      <c r="BP242" s="2">
        <v>0</v>
      </c>
      <c r="BQ242" s="2" t="s">
        <v>32</v>
      </c>
      <c r="BR242" s="2">
        <v>0</v>
      </c>
      <c r="BS242" s="2" t="s">
        <v>1660</v>
      </c>
      <c r="BT242" s="2">
        <v>0</v>
      </c>
      <c r="BU242" s="2">
        <v>0</v>
      </c>
      <c r="BV242" s="2" t="s">
        <v>1660</v>
      </c>
      <c r="BW242" s="2"/>
      <c r="BX242" s="2"/>
      <c r="BY242" s="2" t="s">
        <v>1807</v>
      </c>
      <c r="BZ242" s="2" t="b">
        <f>OR( (Dashboard[[#This Row],[ref_as_hh]]&gt;=1),(Dashboard[[#This Row],[ret_as_hh]] &gt;=1), (Dashboard[[#This Row],[idp_as_hh]]&gt;=1))</f>
        <v>0</v>
      </c>
      <c r="CA242" s="2">
        <f>Dashboard[[#This Row],[ret_hi_hh]]</f>
        <v>0</v>
      </c>
      <c r="CB242" s="2">
        <f>Dashboard[[#This Row],[idp_fa_hh]]+Dashboard[[#This Row],[ref_fa_hh]]+Dashboard[[#This Row],[ret_fa_hh]]</f>
        <v>74</v>
      </c>
      <c r="CC242" s="2">
        <f>Dashboard[[#This Row],[idp_loc_hh]]+Dashboard[[#This Row],[ref_loc_hh]]+Dashboard[[#This Row],[ret_loc_hh]]</f>
        <v>0</v>
      </c>
      <c r="CD242" s="2">
        <f>Dashboard[[#This Row],[idp_cc_hh]]+Dashboard[[#This Row],[ref_cc_hh]]+Dashboard[[#This Row],[ret_cc_hh]]</f>
        <v>0</v>
      </c>
      <c r="CE242" s="2">
        <f>Dashboard[[#This Row],[idp_as_hh]]+Dashboard[[#This Row],[ref_as_hh]]+Dashboard[[#This Row],[ret_as_hh]]</f>
        <v>0</v>
      </c>
      <c r="CF242" s="2">
        <f>Dashboard[[#This Row],[idp_al_hh]]+Dashboard[[#This Row],[ref_al_hh]]+Dashboard[[#This Row],[ret_al_hh]]</f>
        <v>0</v>
      </c>
    </row>
    <row r="243" spans="1:84" x14ac:dyDescent="0.25">
      <c r="A243" s="27">
        <v>575</v>
      </c>
      <c r="B243" s="2" t="s">
        <v>22</v>
      </c>
      <c r="C243" s="2" t="s">
        <v>23</v>
      </c>
      <c r="D243" s="2" t="s">
        <v>85</v>
      </c>
      <c r="E243" s="2" t="s">
        <v>84</v>
      </c>
      <c r="F243" s="2" t="s">
        <v>92</v>
      </c>
      <c r="G243" s="2" t="s">
        <v>91</v>
      </c>
      <c r="H243" s="2" t="s">
        <v>948</v>
      </c>
      <c r="I243" s="2" t="s">
        <v>280</v>
      </c>
      <c r="J243" s="2" t="s">
        <v>2390</v>
      </c>
      <c r="K243" s="2" t="s">
        <v>2391</v>
      </c>
      <c r="L243" s="2" t="s">
        <v>2074</v>
      </c>
      <c r="M243" s="2">
        <v>31930</v>
      </c>
      <c r="N243" s="2" t="s">
        <v>1658</v>
      </c>
      <c r="O243" s="2">
        <v>2341</v>
      </c>
      <c r="P243" s="2">
        <v>12862</v>
      </c>
      <c r="Q243" s="2" t="s">
        <v>1658</v>
      </c>
      <c r="R243" s="2">
        <v>2256</v>
      </c>
      <c r="S243" s="2" t="s">
        <v>1660</v>
      </c>
      <c r="T243" s="2">
        <v>0</v>
      </c>
      <c r="U243" s="2" t="s">
        <v>32</v>
      </c>
      <c r="V243" s="2" t="s">
        <v>32</v>
      </c>
      <c r="W243" s="2" t="s">
        <v>1660</v>
      </c>
      <c r="X243" s="2">
        <v>0</v>
      </c>
      <c r="Y243" s="2" t="s">
        <v>32</v>
      </c>
      <c r="Z243" s="2" t="s">
        <v>32</v>
      </c>
      <c r="AA243" s="2" t="s">
        <v>1658</v>
      </c>
      <c r="AB243" s="2">
        <v>85</v>
      </c>
      <c r="AC243" s="2" t="s">
        <v>1660</v>
      </c>
      <c r="AD243" s="2">
        <v>0</v>
      </c>
      <c r="AE243" s="2" t="s">
        <v>1658</v>
      </c>
      <c r="AF243" s="2">
        <v>583</v>
      </c>
      <c r="AG243" s="2">
        <v>3266</v>
      </c>
      <c r="AH243" s="2" t="s">
        <v>1660</v>
      </c>
      <c r="AI243" s="2" t="s">
        <v>32</v>
      </c>
      <c r="AJ243" s="2" t="s">
        <v>32</v>
      </c>
      <c r="AK243" s="2" t="s">
        <v>32</v>
      </c>
      <c r="AL243" s="2" t="s">
        <v>1658</v>
      </c>
      <c r="AM243" s="2">
        <v>583</v>
      </c>
      <c r="AN243" s="2" t="s">
        <v>1660</v>
      </c>
      <c r="AO243" s="2">
        <v>0</v>
      </c>
      <c r="AP243" s="2" t="s">
        <v>32</v>
      </c>
      <c r="AQ243" s="2" t="s">
        <v>32</v>
      </c>
      <c r="AR243" s="2" t="s">
        <v>1660</v>
      </c>
      <c r="AS243" s="2">
        <v>0</v>
      </c>
      <c r="AT243" s="2" t="s">
        <v>32</v>
      </c>
      <c r="AU243" s="2" t="s">
        <v>32</v>
      </c>
      <c r="AV243" s="2" t="s">
        <v>1660</v>
      </c>
      <c r="AW243" s="2">
        <v>0</v>
      </c>
      <c r="AX243" s="2" t="s">
        <v>1660</v>
      </c>
      <c r="AY243" s="2">
        <v>0</v>
      </c>
      <c r="AZ243" s="2" t="s">
        <v>1658</v>
      </c>
      <c r="BA243" s="2">
        <v>981</v>
      </c>
      <c r="BB243" s="2">
        <v>7763</v>
      </c>
      <c r="BC243" s="2" t="s">
        <v>1658</v>
      </c>
      <c r="BD243" s="2">
        <v>981</v>
      </c>
      <c r="BE243" s="2" t="s">
        <v>1660</v>
      </c>
      <c r="BF243" s="2">
        <v>0</v>
      </c>
      <c r="BG243" s="2" t="s">
        <v>1660</v>
      </c>
      <c r="BH243" s="2">
        <v>0</v>
      </c>
      <c r="BI243" s="2" t="s">
        <v>32</v>
      </c>
      <c r="BJ243" s="2" t="s">
        <v>32</v>
      </c>
      <c r="BK243" s="2" t="s">
        <v>1660</v>
      </c>
      <c r="BL243" s="2">
        <v>0</v>
      </c>
      <c r="BM243" s="2" t="s">
        <v>32</v>
      </c>
      <c r="BN243" s="2" t="s">
        <v>32</v>
      </c>
      <c r="BO243" s="2" t="s">
        <v>1660</v>
      </c>
      <c r="BP243" s="2">
        <v>0</v>
      </c>
      <c r="BQ243" s="2" t="s">
        <v>1660</v>
      </c>
      <c r="BR243" s="2">
        <v>0</v>
      </c>
      <c r="BS243" s="2" t="s">
        <v>1660</v>
      </c>
      <c r="BT243" s="2">
        <v>0</v>
      </c>
      <c r="BU243" s="2">
        <v>0</v>
      </c>
      <c r="BV243" s="2" t="s">
        <v>1660</v>
      </c>
      <c r="BW243" s="2"/>
      <c r="BX243" s="2"/>
      <c r="BY243" s="2" t="s">
        <v>1807</v>
      </c>
      <c r="BZ243" s="2" t="b">
        <f>OR( (Dashboard[[#This Row],[ref_as_hh]]&gt;=1),(Dashboard[[#This Row],[ret_as_hh]] &gt;=1), (Dashboard[[#This Row],[idp_as_hh]]&gt;=1))</f>
        <v>1</v>
      </c>
      <c r="CA243" s="2">
        <f>Dashboard[[#This Row],[ret_hi_hh]]</f>
        <v>981</v>
      </c>
      <c r="CB243" s="2">
        <f>Dashboard[[#This Row],[idp_fa_hh]]+Dashboard[[#This Row],[ref_fa_hh]]+Dashboard[[#This Row],[ret_fa_hh]]</f>
        <v>2839</v>
      </c>
      <c r="CC243" s="2">
        <f>Dashboard[[#This Row],[idp_loc_hh]]+Dashboard[[#This Row],[ref_loc_hh]]+Dashboard[[#This Row],[ret_loc_hh]]</f>
        <v>0</v>
      </c>
      <c r="CD243" s="2">
        <f>Dashboard[[#This Row],[idp_cc_hh]]+Dashboard[[#This Row],[ref_cc_hh]]+Dashboard[[#This Row],[ret_cc_hh]]</f>
        <v>0</v>
      </c>
      <c r="CE243" s="2">
        <f>Dashboard[[#This Row],[idp_as_hh]]+Dashboard[[#This Row],[ref_as_hh]]+Dashboard[[#This Row],[ret_as_hh]]</f>
        <v>85</v>
      </c>
      <c r="CF243" s="2">
        <f>Dashboard[[#This Row],[idp_al_hh]]+Dashboard[[#This Row],[ref_al_hh]]+Dashboard[[#This Row],[ret_al_hh]]</f>
        <v>0</v>
      </c>
    </row>
    <row r="244" spans="1:84" hidden="1" x14ac:dyDescent="0.25">
      <c r="A244" s="27">
        <v>325</v>
      </c>
      <c r="B244" s="2" t="s">
        <v>22</v>
      </c>
      <c r="C244" s="2" t="s">
        <v>23</v>
      </c>
      <c r="D244" s="2" t="s">
        <v>85</v>
      </c>
      <c r="E244" s="2" t="s">
        <v>84</v>
      </c>
      <c r="F244" s="2" t="s">
        <v>92</v>
      </c>
      <c r="G244" s="2" t="s">
        <v>91</v>
      </c>
      <c r="H244" s="2" t="s">
        <v>961</v>
      </c>
      <c r="I244" s="2" t="s">
        <v>960</v>
      </c>
      <c r="J244" s="2" t="s">
        <v>2418</v>
      </c>
      <c r="K244" s="2" t="s">
        <v>2419</v>
      </c>
      <c r="L244" s="2" t="s">
        <v>2074</v>
      </c>
      <c r="M244" s="2">
        <v>791</v>
      </c>
      <c r="N244" s="2" t="s">
        <v>1658</v>
      </c>
      <c r="O244" s="2">
        <v>18</v>
      </c>
      <c r="P244" s="2">
        <v>144</v>
      </c>
      <c r="Q244" s="2" t="s">
        <v>1658</v>
      </c>
      <c r="R244" s="2">
        <v>18</v>
      </c>
      <c r="S244" s="2" t="s">
        <v>1660</v>
      </c>
      <c r="T244" s="2">
        <v>0</v>
      </c>
      <c r="U244" s="2" t="s">
        <v>32</v>
      </c>
      <c r="V244" s="2" t="s">
        <v>32</v>
      </c>
      <c r="W244" s="2" t="s">
        <v>1660</v>
      </c>
      <c r="X244" s="2">
        <v>0</v>
      </c>
      <c r="Y244" s="2" t="s">
        <v>32</v>
      </c>
      <c r="Z244" s="2" t="s">
        <v>32</v>
      </c>
      <c r="AA244" s="2" t="s">
        <v>1660</v>
      </c>
      <c r="AB244" s="2">
        <v>0</v>
      </c>
      <c r="AC244" s="2" t="s">
        <v>1660</v>
      </c>
      <c r="AD244" s="2">
        <v>0</v>
      </c>
      <c r="AE244" s="2" t="s">
        <v>1658</v>
      </c>
      <c r="AF244" s="2">
        <v>12</v>
      </c>
      <c r="AG244" s="2">
        <v>96</v>
      </c>
      <c r="AH244" s="2" t="s">
        <v>1660</v>
      </c>
      <c r="AI244" s="2" t="s">
        <v>32</v>
      </c>
      <c r="AJ244" s="2" t="s">
        <v>32</v>
      </c>
      <c r="AK244" s="2" t="s">
        <v>32</v>
      </c>
      <c r="AL244" s="2" t="s">
        <v>1658</v>
      </c>
      <c r="AM244" s="2">
        <v>12</v>
      </c>
      <c r="AN244" s="2" t="s">
        <v>1660</v>
      </c>
      <c r="AO244" s="2">
        <v>0</v>
      </c>
      <c r="AP244" s="2" t="s">
        <v>32</v>
      </c>
      <c r="AQ244" s="2" t="s">
        <v>32</v>
      </c>
      <c r="AR244" s="2" t="s">
        <v>1660</v>
      </c>
      <c r="AS244" s="2">
        <v>0</v>
      </c>
      <c r="AT244" s="2" t="s">
        <v>32</v>
      </c>
      <c r="AU244" s="2" t="s">
        <v>32</v>
      </c>
      <c r="AV244" s="2" t="s">
        <v>1660</v>
      </c>
      <c r="AW244" s="2">
        <v>0</v>
      </c>
      <c r="AX244" s="2" t="s">
        <v>1660</v>
      </c>
      <c r="AY244" s="2">
        <v>0</v>
      </c>
      <c r="AZ244" s="2" t="s">
        <v>1660</v>
      </c>
      <c r="BA244" s="2">
        <v>0</v>
      </c>
      <c r="BB244" s="2">
        <v>0</v>
      </c>
      <c r="BC244" s="2" t="s">
        <v>32</v>
      </c>
      <c r="BD244" s="2">
        <v>0</v>
      </c>
      <c r="BE244" s="2" t="s">
        <v>32</v>
      </c>
      <c r="BF244" s="2">
        <v>0</v>
      </c>
      <c r="BG244" s="2" t="s">
        <v>32</v>
      </c>
      <c r="BH244" s="2">
        <v>0</v>
      </c>
      <c r="BI244" s="2" t="s">
        <v>32</v>
      </c>
      <c r="BJ244" s="2" t="s">
        <v>32</v>
      </c>
      <c r="BK244" s="2" t="s">
        <v>32</v>
      </c>
      <c r="BL244" s="2">
        <v>0</v>
      </c>
      <c r="BM244" s="2" t="s">
        <v>32</v>
      </c>
      <c r="BN244" s="2" t="s">
        <v>32</v>
      </c>
      <c r="BO244" s="2" t="s">
        <v>32</v>
      </c>
      <c r="BP244" s="2">
        <v>0</v>
      </c>
      <c r="BQ244" s="2" t="s">
        <v>32</v>
      </c>
      <c r="BR244" s="2">
        <v>0</v>
      </c>
      <c r="BS244" s="2" t="s">
        <v>1660</v>
      </c>
      <c r="BT244" s="2">
        <v>0</v>
      </c>
      <c r="BU244" s="2">
        <v>0</v>
      </c>
      <c r="BV244" s="2" t="s">
        <v>1660</v>
      </c>
      <c r="BW244" s="2"/>
      <c r="BX244" s="2"/>
      <c r="BY244" s="2" t="s">
        <v>1807</v>
      </c>
      <c r="BZ244" s="2" t="b">
        <f>OR( (Dashboard[[#This Row],[ref_as_hh]]&gt;=1),(Dashboard[[#This Row],[ret_as_hh]] &gt;=1), (Dashboard[[#This Row],[idp_as_hh]]&gt;=1))</f>
        <v>0</v>
      </c>
      <c r="CA244" s="2">
        <f>Dashboard[[#This Row],[ret_hi_hh]]</f>
        <v>0</v>
      </c>
      <c r="CB244" s="2">
        <f>Dashboard[[#This Row],[idp_fa_hh]]+Dashboard[[#This Row],[ref_fa_hh]]+Dashboard[[#This Row],[ret_fa_hh]]</f>
        <v>30</v>
      </c>
      <c r="CC244" s="2">
        <f>Dashboard[[#This Row],[idp_loc_hh]]+Dashboard[[#This Row],[ref_loc_hh]]+Dashboard[[#This Row],[ret_loc_hh]]</f>
        <v>0</v>
      </c>
      <c r="CD244" s="2">
        <f>Dashboard[[#This Row],[idp_cc_hh]]+Dashboard[[#This Row],[ref_cc_hh]]+Dashboard[[#This Row],[ret_cc_hh]]</f>
        <v>0</v>
      </c>
      <c r="CE244" s="2">
        <f>Dashboard[[#This Row],[idp_as_hh]]+Dashboard[[#This Row],[ref_as_hh]]+Dashboard[[#This Row],[ret_as_hh]]</f>
        <v>0</v>
      </c>
      <c r="CF244" s="2">
        <f>Dashboard[[#This Row],[idp_al_hh]]+Dashboard[[#This Row],[ref_al_hh]]+Dashboard[[#This Row],[ret_al_hh]]</f>
        <v>0</v>
      </c>
    </row>
    <row r="245" spans="1:84" x14ac:dyDescent="0.25">
      <c r="A245" s="27">
        <v>344</v>
      </c>
      <c r="B245" s="2" t="s">
        <v>22</v>
      </c>
      <c r="C245" s="2" t="s">
        <v>23</v>
      </c>
      <c r="D245" s="2" t="s">
        <v>85</v>
      </c>
      <c r="E245" s="2" t="s">
        <v>84</v>
      </c>
      <c r="F245" s="2" t="s">
        <v>92</v>
      </c>
      <c r="G245" s="2" t="s">
        <v>91</v>
      </c>
      <c r="H245" s="2" t="s">
        <v>970</v>
      </c>
      <c r="I245" s="2" t="s">
        <v>292</v>
      </c>
      <c r="J245" s="2" t="s">
        <v>2442</v>
      </c>
      <c r="K245" s="2" t="s">
        <v>2443</v>
      </c>
      <c r="L245" s="2" t="s">
        <v>2074</v>
      </c>
      <c r="M245" s="2">
        <v>959</v>
      </c>
      <c r="N245" s="2" t="s">
        <v>1658</v>
      </c>
      <c r="O245" s="2">
        <v>9</v>
      </c>
      <c r="P245" s="2">
        <v>72</v>
      </c>
      <c r="Q245" s="2" t="s">
        <v>32</v>
      </c>
      <c r="R245" s="2">
        <v>0</v>
      </c>
      <c r="S245" s="2" t="s">
        <v>1660</v>
      </c>
      <c r="T245" s="2">
        <v>0</v>
      </c>
      <c r="U245" s="2" t="s">
        <v>32</v>
      </c>
      <c r="V245" s="2" t="s">
        <v>32</v>
      </c>
      <c r="W245" s="2" t="s">
        <v>1660</v>
      </c>
      <c r="X245" s="2">
        <v>0</v>
      </c>
      <c r="Y245" s="2" t="s">
        <v>32</v>
      </c>
      <c r="Z245" s="2" t="s">
        <v>32</v>
      </c>
      <c r="AA245" s="2" t="s">
        <v>1658</v>
      </c>
      <c r="AB245" s="2">
        <v>9</v>
      </c>
      <c r="AC245" s="2" t="s">
        <v>1660</v>
      </c>
      <c r="AD245" s="2">
        <v>0</v>
      </c>
      <c r="AE245" s="2" t="s">
        <v>1658</v>
      </c>
      <c r="AF245" s="2">
        <v>106</v>
      </c>
      <c r="AG245" s="2">
        <v>340</v>
      </c>
      <c r="AH245" s="2" t="s">
        <v>1660</v>
      </c>
      <c r="AI245" s="2" t="s">
        <v>32</v>
      </c>
      <c r="AJ245" s="2" t="s">
        <v>32</v>
      </c>
      <c r="AK245" s="2" t="s">
        <v>32</v>
      </c>
      <c r="AL245" s="2" t="s">
        <v>32</v>
      </c>
      <c r="AM245" s="2">
        <v>0</v>
      </c>
      <c r="AN245" s="2" t="s">
        <v>1660</v>
      </c>
      <c r="AO245" s="2">
        <v>0</v>
      </c>
      <c r="AP245" s="2" t="s">
        <v>32</v>
      </c>
      <c r="AQ245" s="2" t="s">
        <v>32</v>
      </c>
      <c r="AR245" s="2" t="s">
        <v>1660</v>
      </c>
      <c r="AS245" s="2">
        <v>0</v>
      </c>
      <c r="AT245" s="2" t="s">
        <v>32</v>
      </c>
      <c r="AU245" s="2" t="s">
        <v>32</v>
      </c>
      <c r="AV245" s="2" t="s">
        <v>1658</v>
      </c>
      <c r="AW245" s="2">
        <v>106</v>
      </c>
      <c r="AX245" s="2" t="s">
        <v>1660</v>
      </c>
      <c r="AY245" s="2">
        <v>0</v>
      </c>
      <c r="AZ245" s="2" t="s">
        <v>1660</v>
      </c>
      <c r="BA245" s="2">
        <v>0</v>
      </c>
      <c r="BB245" s="2">
        <v>0</v>
      </c>
      <c r="BC245" s="2" t="s">
        <v>32</v>
      </c>
      <c r="BD245" s="2">
        <v>0</v>
      </c>
      <c r="BE245" s="2" t="s">
        <v>32</v>
      </c>
      <c r="BF245" s="2">
        <v>0</v>
      </c>
      <c r="BG245" s="2" t="s">
        <v>32</v>
      </c>
      <c r="BH245" s="2">
        <v>0</v>
      </c>
      <c r="BI245" s="2" t="s">
        <v>32</v>
      </c>
      <c r="BJ245" s="2" t="s">
        <v>32</v>
      </c>
      <c r="BK245" s="2" t="s">
        <v>32</v>
      </c>
      <c r="BL245" s="2">
        <v>0</v>
      </c>
      <c r="BM245" s="2" t="s">
        <v>32</v>
      </c>
      <c r="BN245" s="2" t="s">
        <v>32</v>
      </c>
      <c r="BO245" s="2" t="s">
        <v>32</v>
      </c>
      <c r="BP245" s="2">
        <v>0</v>
      </c>
      <c r="BQ245" s="2" t="s">
        <v>32</v>
      </c>
      <c r="BR245" s="2">
        <v>0</v>
      </c>
      <c r="BS245" s="2" t="s">
        <v>1660</v>
      </c>
      <c r="BT245" s="2">
        <v>0</v>
      </c>
      <c r="BU245" s="2">
        <v>0</v>
      </c>
      <c r="BV245" s="2" t="s">
        <v>1660</v>
      </c>
      <c r="BW245" s="2"/>
      <c r="BX245" s="2"/>
      <c r="BY245" s="2" t="s">
        <v>1807</v>
      </c>
      <c r="BZ245" s="2" t="b">
        <f>OR( (Dashboard[[#This Row],[ref_as_hh]]&gt;=1),(Dashboard[[#This Row],[ret_as_hh]] &gt;=1), (Dashboard[[#This Row],[idp_as_hh]]&gt;=1))</f>
        <v>1</v>
      </c>
      <c r="CA245" s="2">
        <f>Dashboard[[#This Row],[ret_hi_hh]]</f>
        <v>0</v>
      </c>
      <c r="CB245" s="2">
        <f>Dashboard[[#This Row],[idp_fa_hh]]+Dashboard[[#This Row],[ref_fa_hh]]+Dashboard[[#This Row],[ret_fa_hh]]</f>
        <v>0</v>
      </c>
      <c r="CC245" s="2">
        <f>Dashboard[[#This Row],[idp_loc_hh]]+Dashboard[[#This Row],[ref_loc_hh]]+Dashboard[[#This Row],[ret_loc_hh]]</f>
        <v>0</v>
      </c>
      <c r="CD245" s="2">
        <f>Dashboard[[#This Row],[idp_cc_hh]]+Dashboard[[#This Row],[ref_cc_hh]]+Dashboard[[#This Row],[ret_cc_hh]]</f>
        <v>0</v>
      </c>
      <c r="CE245" s="2">
        <f>Dashboard[[#This Row],[idp_as_hh]]+Dashboard[[#This Row],[ref_as_hh]]+Dashboard[[#This Row],[ret_as_hh]]</f>
        <v>115</v>
      </c>
      <c r="CF245" s="2">
        <f>Dashboard[[#This Row],[idp_al_hh]]+Dashboard[[#This Row],[ref_al_hh]]+Dashboard[[#This Row],[ret_al_hh]]</f>
        <v>0</v>
      </c>
    </row>
    <row r="246" spans="1:84" hidden="1" x14ac:dyDescent="0.25">
      <c r="A246" s="27">
        <v>345</v>
      </c>
      <c r="B246" s="2" t="s">
        <v>22</v>
      </c>
      <c r="C246" s="2" t="s">
        <v>23</v>
      </c>
      <c r="D246" s="2" t="s">
        <v>85</v>
      </c>
      <c r="E246" s="2" t="s">
        <v>84</v>
      </c>
      <c r="F246" s="2" t="s">
        <v>92</v>
      </c>
      <c r="G246" s="2" t="s">
        <v>91</v>
      </c>
      <c r="H246" s="2" t="s">
        <v>1672</v>
      </c>
      <c r="I246" s="2" t="s">
        <v>1673</v>
      </c>
      <c r="J246" s="2" t="s">
        <v>2424</v>
      </c>
      <c r="K246" s="2" t="s">
        <v>2425</v>
      </c>
      <c r="L246" s="2" t="s">
        <v>2074</v>
      </c>
      <c r="M246" s="2">
        <v>0</v>
      </c>
      <c r="N246" s="2" t="s">
        <v>1660</v>
      </c>
      <c r="O246" s="2">
        <v>0</v>
      </c>
      <c r="P246" s="2">
        <v>0</v>
      </c>
      <c r="Q246" s="2" t="s">
        <v>32</v>
      </c>
      <c r="R246" s="2">
        <v>0</v>
      </c>
      <c r="S246" s="2" t="s">
        <v>32</v>
      </c>
      <c r="T246" s="2">
        <v>0</v>
      </c>
      <c r="U246" s="2" t="s">
        <v>32</v>
      </c>
      <c r="V246" s="2" t="s">
        <v>32</v>
      </c>
      <c r="W246" s="2" t="s">
        <v>32</v>
      </c>
      <c r="X246" s="2">
        <v>0</v>
      </c>
      <c r="Y246" s="2" t="s">
        <v>32</v>
      </c>
      <c r="Z246" s="2" t="s">
        <v>32</v>
      </c>
      <c r="AA246" s="2" t="s">
        <v>32</v>
      </c>
      <c r="AB246" s="2">
        <v>0</v>
      </c>
      <c r="AC246" s="2" t="s">
        <v>32</v>
      </c>
      <c r="AD246" s="2">
        <v>0</v>
      </c>
      <c r="AE246" s="2" t="s">
        <v>1660</v>
      </c>
      <c r="AF246" s="2">
        <v>0</v>
      </c>
      <c r="AG246" s="2">
        <v>0</v>
      </c>
      <c r="AH246" s="2" t="s">
        <v>32</v>
      </c>
      <c r="AI246" s="2" t="s">
        <v>32</v>
      </c>
      <c r="AJ246" s="2" t="s">
        <v>32</v>
      </c>
      <c r="AK246" s="2" t="s">
        <v>32</v>
      </c>
      <c r="AL246" s="2" t="s">
        <v>32</v>
      </c>
      <c r="AM246" s="2">
        <v>0</v>
      </c>
      <c r="AN246" s="2" t="s">
        <v>32</v>
      </c>
      <c r="AO246" s="2">
        <v>0</v>
      </c>
      <c r="AP246" s="2" t="s">
        <v>32</v>
      </c>
      <c r="AQ246" s="2" t="s">
        <v>32</v>
      </c>
      <c r="AR246" s="2" t="s">
        <v>32</v>
      </c>
      <c r="AS246" s="2">
        <v>0</v>
      </c>
      <c r="AT246" s="2" t="s">
        <v>32</v>
      </c>
      <c r="AU246" s="2" t="s">
        <v>32</v>
      </c>
      <c r="AV246" s="2" t="s">
        <v>32</v>
      </c>
      <c r="AW246" s="2">
        <v>0</v>
      </c>
      <c r="AX246" s="2" t="s">
        <v>32</v>
      </c>
      <c r="AY246" s="2">
        <v>0</v>
      </c>
      <c r="AZ246" s="2" t="s">
        <v>1660</v>
      </c>
      <c r="BA246" s="2">
        <v>0</v>
      </c>
      <c r="BB246" s="2">
        <v>0</v>
      </c>
      <c r="BC246" s="2" t="s">
        <v>32</v>
      </c>
      <c r="BD246" s="2">
        <v>0</v>
      </c>
      <c r="BE246" s="2" t="s">
        <v>32</v>
      </c>
      <c r="BF246" s="2">
        <v>0</v>
      </c>
      <c r="BG246" s="2" t="s">
        <v>32</v>
      </c>
      <c r="BH246" s="2">
        <v>0</v>
      </c>
      <c r="BI246" s="2" t="s">
        <v>32</v>
      </c>
      <c r="BJ246" s="2" t="s">
        <v>32</v>
      </c>
      <c r="BK246" s="2" t="s">
        <v>32</v>
      </c>
      <c r="BL246" s="2">
        <v>0</v>
      </c>
      <c r="BM246" s="2" t="s">
        <v>32</v>
      </c>
      <c r="BN246" s="2" t="s">
        <v>32</v>
      </c>
      <c r="BO246" s="2" t="s">
        <v>32</v>
      </c>
      <c r="BP246" s="2">
        <v>0</v>
      </c>
      <c r="BQ246" s="2" t="s">
        <v>32</v>
      </c>
      <c r="BR246" s="2">
        <v>0</v>
      </c>
      <c r="BS246" s="2" t="s">
        <v>1660</v>
      </c>
      <c r="BT246" s="2">
        <v>0</v>
      </c>
      <c r="BU246" s="2">
        <v>0</v>
      </c>
      <c r="BV246" s="2" t="s">
        <v>1660</v>
      </c>
      <c r="BW246" s="2"/>
      <c r="BX246" s="2"/>
      <c r="BY246" s="2" t="s">
        <v>1807</v>
      </c>
      <c r="BZ246" s="2" t="b">
        <f>OR( (Dashboard[[#This Row],[ref_as_hh]]&gt;=1),(Dashboard[[#This Row],[ret_as_hh]] &gt;=1), (Dashboard[[#This Row],[idp_as_hh]]&gt;=1))</f>
        <v>0</v>
      </c>
      <c r="CA246" s="2">
        <f>Dashboard[[#This Row],[ret_hi_hh]]</f>
        <v>0</v>
      </c>
      <c r="CB246" s="2">
        <f>Dashboard[[#This Row],[idp_fa_hh]]+Dashboard[[#This Row],[ref_fa_hh]]+Dashboard[[#This Row],[ret_fa_hh]]</f>
        <v>0</v>
      </c>
      <c r="CC246" s="2">
        <f>Dashboard[[#This Row],[idp_loc_hh]]+Dashboard[[#This Row],[ref_loc_hh]]+Dashboard[[#This Row],[ret_loc_hh]]</f>
        <v>0</v>
      </c>
      <c r="CD246" s="2">
        <f>Dashboard[[#This Row],[idp_cc_hh]]+Dashboard[[#This Row],[ref_cc_hh]]+Dashboard[[#This Row],[ret_cc_hh]]</f>
        <v>0</v>
      </c>
      <c r="CE246" s="2">
        <f>Dashboard[[#This Row],[idp_as_hh]]+Dashboard[[#This Row],[ref_as_hh]]+Dashboard[[#This Row],[ret_as_hh]]</f>
        <v>0</v>
      </c>
      <c r="CF246" s="2">
        <f>Dashboard[[#This Row],[idp_al_hh]]+Dashboard[[#This Row],[ref_al_hh]]+Dashboard[[#This Row],[ret_al_hh]]</f>
        <v>0</v>
      </c>
    </row>
    <row r="247" spans="1:84" hidden="1" x14ac:dyDescent="0.25">
      <c r="A247" s="27">
        <v>346</v>
      </c>
      <c r="B247" s="2" t="s">
        <v>22</v>
      </c>
      <c r="C247" s="2" t="s">
        <v>23</v>
      </c>
      <c r="D247" s="2" t="s">
        <v>85</v>
      </c>
      <c r="E247" s="2" t="s">
        <v>84</v>
      </c>
      <c r="F247" s="2" t="s">
        <v>92</v>
      </c>
      <c r="G247" s="2" t="s">
        <v>91</v>
      </c>
      <c r="H247" s="2" t="s">
        <v>951</v>
      </c>
      <c r="I247" s="2" t="s">
        <v>950</v>
      </c>
      <c r="J247" s="2" t="s">
        <v>2396</v>
      </c>
      <c r="K247" s="2" t="s">
        <v>2397</v>
      </c>
      <c r="L247" s="2" t="s">
        <v>2074</v>
      </c>
      <c r="M247" s="2">
        <v>560</v>
      </c>
      <c r="N247" s="2" t="s">
        <v>1658</v>
      </c>
      <c r="O247" s="2">
        <v>10</v>
      </c>
      <c r="P247" s="2">
        <v>97</v>
      </c>
      <c r="Q247" s="2" t="s">
        <v>1658</v>
      </c>
      <c r="R247" s="2">
        <v>10</v>
      </c>
      <c r="S247" s="2" t="s">
        <v>1660</v>
      </c>
      <c r="T247" s="2">
        <v>0</v>
      </c>
      <c r="U247" s="2" t="s">
        <v>32</v>
      </c>
      <c r="V247" s="2" t="s">
        <v>32</v>
      </c>
      <c r="W247" s="2" t="s">
        <v>1660</v>
      </c>
      <c r="X247" s="2">
        <v>0</v>
      </c>
      <c r="Y247" s="2" t="s">
        <v>32</v>
      </c>
      <c r="Z247" s="2" t="s">
        <v>32</v>
      </c>
      <c r="AA247" s="2" t="s">
        <v>1660</v>
      </c>
      <c r="AB247" s="2">
        <v>0</v>
      </c>
      <c r="AC247" s="2" t="s">
        <v>1660</v>
      </c>
      <c r="AD247" s="2">
        <v>0</v>
      </c>
      <c r="AE247" s="2" t="s">
        <v>1658</v>
      </c>
      <c r="AF247" s="2">
        <v>5</v>
      </c>
      <c r="AG247" s="2">
        <v>38</v>
      </c>
      <c r="AH247" s="2" t="s">
        <v>1660</v>
      </c>
      <c r="AI247" s="2" t="s">
        <v>32</v>
      </c>
      <c r="AJ247" s="2" t="s">
        <v>32</v>
      </c>
      <c r="AK247" s="2" t="s">
        <v>32</v>
      </c>
      <c r="AL247" s="2" t="s">
        <v>1658</v>
      </c>
      <c r="AM247" s="2">
        <v>5</v>
      </c>
      <c r="AN247" s="2" t="s">
        <v>1660</v>
      </c>
      <c r="AO247" s="2">
        <v>0</v>
      </c>
      <c r="AP247" s="2" t="s">
        <v>32</v>
      </c>
      <c r="AQ247" s="2" t="s">
        <v>32</v>
      </c>
      <c r="AR247" s="2" t="s">
        <v>1660</v>
      </c>
      <c r="AS247" s="2">
        <v>0</v>
      </c>
      <c r="AT247" s="2" t="s">
        <v>32</v>
      </c>
      <c r="AU247" s="2" t="s">
        <v>32</v>
      </c>
      <c r="AV247" s="2" t="s">
        <v>1660</v>
      </c>
      <c r="AW247" s="2">
        <v>0</v>
      </c>
      <c r="AX247" s="2" t="s">
        <v>1660</v>
      </c>
      <c r="AY247" s="2">
        <v>0</v>
      </c>
      <c r="AZ247" s="2" t="s">
        <v>1660</v>
      </c>
      <c r="BA247" s="2">
        <v>0</v>
      </c>
      <c r="BB247" s="2">
        <v>0</v>
      </c>
      <c r="BC247" s="2" t="s">
        <v>32</v>
      </c>
      <c r="BD247" s="2">
        <v>0</v>
      </c>
      <c r="BE247" s="2" t="s">
        <v>32</v>
      </c>
      <c r="BF247" s="2">
        <v>0</v>
      </c>
      <c r="BG247" s="2" t="s">
        <v>32</v>
      </c>
      <c r="BH247" s="2">
        <v>0</v>
      </c>
      <c r="BI247" s="2" t="s">
        <v>32</v>
      </c>
      <c r="BJ247" s="2" t="s">
        <v>32</v>
      </c>
      <c r="BK247" s="2" t="s">
        <v>32</v>
      </c>
      <c r="BL247" s="2">
        <v>0</v>
      </c>
      <c r="BM247" s="2" t="s">
        <v>32</v>
      </c>
      <c r="BN247" s="2" t="s">
        <v>32</v>
      </c>
      <c r="BO247" s="2" t="s">
        <v>32</v>
      </c>
      <c r="BP247" s="2">
        <v>0</v>
      </c>
      <c r="BQ247" s="2" t="s">
        <v>32</v>
      </c>
      <c r="BR247" s="2">
        <v>0</v>
      </c>
      <c r="BS247" s="2" t="s">
        <v>1660</v>
      </c>
      <c r="BT247" s="2">
        <v>0</v>
      </c>
      <c r="BU247" s="2">
        <v>0</v>
      </c>
      <c r="BV247" s="2" t="s">
        <v>1660</v>
      </c>
      <c r="BW247" s="2"/>
      <c r="BX247" s="2"/>
      <c r="BY247" s="2" t="s">
        <v>1807</v>
      </c>
      <c r="BZ247" s="2" t="b">
        <f>OR( (Dashboard[[#This Row],[ref_as_hh]]&gt;=1),(Dashboard[[#This Row],[ret_as_hh]] &gt;=1), (Dashboard[[#This Row],[idp_as_hh]]&gt;=1))</f>
        <v>0</v>
      </c>
      <c r="CA247" s="2">
        <f>Dashboard[[#This Row],[ret_hi_hh]]</f>
        <v>0</v>
      </c>
      <c r="CB247" s="2">
        <f>Dashboard[[#This Row],[idp_fa_hh]]+Dashboard[[#This Row],[ref_fa_hh]]+Dashboard[[#This Row],[ret_fa_hh]]</f>
        <v>15</v>
      </c>
      <c r="CC247" s="2">
        <f>Dashboard[[#This Row],[idp_loc_hh]]+Dashboard[[#This Row],[ref_loc_hh]]+Dashboard[[#This Row],[ret_loc_hh]]</f>
        <v>0</v>
      </c>
      <c r="CD247" s="2">
        <f>Dashboard[[#This Row],[idp_cc_hh]]+Dashboard[[#This Row],[ref_cc_hh]]+Dashboard[[#This Row],[ret_cc_hh]]</f>
        <v>0</v>
      </c>
      <c r="CE247" s="2">
        <f>Dashboard[[#This Row],[idp_as_hh]]+Dashboard[[#This Row],[ref_as_hh]]+Dashboard[[#This Row],[ret_as_hh]]</f>
        <v>0</v>
      </c>
      <c r="CF247" s="2">
        <f>Dashboard[[#This Row],[idp_al_hh]]+Dashboard[[#This Row],[ref_al_hh]]+Dashboard[[#This Row],[ret_al_hh]]</f>
        <v>0</v>
      </c>
    </row>
    <row r="248" spans="1:84" hidden="1" x14ac:dyDescent="0.25">
      <c r="A248" s="27">
        <v>348</v>
      </c>
      <c r="B248" s="2" t="s">
        <v>22</v>
      </c>
      <c r="C248" s="2" t="s">
        <v>23</v>
      </c>
      <c r="D248" s="2" t="s">
        <v>85</v>
      </c>
      <c r="E248" s="2" t="s">
        <v>84</v>
      </c>
      <c r="F248" s="2" t="s">
        <v>92</v>
      </c>
      <c r="G248" s="2" t="s">
        <v>91</v>
      </c>
      <c r="H248" s="2" t="s">
        <v>944</v>
      </c>
      <c r="I248" s="2" t="s">
        <v>275</v>
      </c>
      <c r="J248" s="2" t="s">
        <v>2378</v>
      </c>
      <c r="K248" s="2" t="s">
        <v>2379</v>
      </c>
      <c r="L248" s="2" t="s">
        <v>3693</v>
      </c>
      <c r="M248" s="2">
        <v>1753</v>
      </c>
      <c r="N248" s="2" t="s">
        <v>1658</v>
      </c>
      <c r="O248" s="2">
        <v>72</v>
      </c>
      <c r="P248" s="2">
        <v>402</v>
      </c>
      <c r="Q248" s="2" t="s">
        <v>1658</v>
      </c>
      <c r="R248" s="2">
        <v>72</v>
      </c>
      <c r="S248" s="2" t="s">
        <v>1660</v>
      </c>
      <c r="T248" s="2">
        <v>0</v>
      </c>
      <c r="U248" s="2" t="s">
        <v>32</v>
      </c>
      <c r="V248" s="2" t="s">
        <v>32</v>
      </c>
      <c r="W248" s="2" t="s">
        <v>1660</v>
      </c>
      <c r="X248" s="2">
        <v>0</v>
      </c>
      <c r="Y248" s="2" t="s">
        <v>32</v>
      </c>
      <c r="Z248" s="2" t="s">
        <v>32</v>
      </c>
      <c r="AA248" s="2" t="s">
        <v>1660</v>
      </c>
      <c r="AB248" s="2">
        <v>0</v>
      </c>
      <c r="AC248" s="2" t="s">
        <v>1660</v>
      </c>
      <c r="AD248" s="2">
        <v>0</v>
      </c>
      <c r="AE248" s="2" t="s">
        <v>1660</v>
      </c>
      <c r="AF248" s="2">
        <v>0</v>
      </c>
      <c r="AG248" s="2">
        <v>0</v>
      </c>
      <c r="AH248" s="2" t="s">
        <v>32</v>
      </c>
      <c r="AI248" s="2" t="s">
        <v>32</v>
      </c>
      <c r="AJ248" s="2" t="s">
        <v>32</v>
      </c>
      <c r="AK248" s="2" t="s">
        <v>32</v>
      </c>
      <c r="AL248" s="2" t="s">
        <v>32</v>
      </c>
      <c r="AM248" s="2">
        <v>0</v>
      </c>
      <c r="AN248" s="2" t="s">
        <v>32</v>
      </c>
      <c r="AO248" s="2">
        <v>0</v>
      </c>
      <c r="AP248" s="2" t="s">
        <v>32</v>
      </c>
      <c r="AQ248" s="2" t="s">
        <v>32</v>
      </c>
      <c r="AR248" s="2" t="s">
        <v>32</v>
      </c>
      <c r="AS248" s="2">
        <v>0</v>
      </c>
      <c r="AT248" s="2" t="s">
        <v>32</v>
      </c>
      <c r="AU248" s="2" t="s">
        <v>32</v>
      </c>
      <c r="AV248" s="2" t="s">
        <v>32</v>
      </c>
      <c r="AW248" s="2">
        <v>0</v>
      </c>
      <c r="AX248" s="2" t="s">
        <v>32</v>
      </c>
      <c r="AY248" s="2">
        <v>0</v>
      </c>
      <c r="AZ248" s="2" t="s">
        <v>1660</v>
      </c>
      <c r="BA248" s="2">
        <v>0</v>
      </c>
      <c r="BB248" s="2">
        <v>0</v>
      </c>
      <c r="BC248" s="2" t="s">
        <v>32</v>
      </c>
      <c r="BD248" s="2">
        <v>0</v>
      </c>
      <c r="BE248" s="2" t="s">
        <v>32</v>
      </c>
      <c r="BF248" s="2">
        <v>0</v>
      </c>
      <c r="BG248" s="2" t="s">
        <v>32</v>
      </c>
      <c r="BH248" s="2">
        <v>0</v>
      </c>
      <c r="BI248" s="2" t="s">
        <v>32</v>
      </c>
      <c r="BJ248" s="2" t="s">
        <v>32</v>
      </c>
      <c r="BK248" s="2" t="s">
        <v>32</v>
      </c>
      <c r="BL248" s="2">
        <v>0</v>
      </c>
      <c r="BM248" s="2" t="s">
        <v>32</v>
      </c>
      <c r="BN248" s="2" t="s">
        <v>32</v>
      </c>
      <c r="BO248" s="2" t="s">
        <v>32</v>
      </c>
      <c r="BP248" s="2">
        <v>0</v>
      </c>
      <c r="BQ248" s="2" t="s">
        <v>32</v>
      </c>
      <c r="BR248" s="2">
        <v>0</v>
      </c>
      <c r="BS248" s="2" t="s">
        <v>1660</v>
      </c>
      <c r="BT248" s="2">
        <v>0</v>
      </c>
      <c r="BU248" s="2">
        <v>0</v>
      </c>
      <c r="BV248" s="2" t="s">
        <v>1660</v>
      </c>
      <c r="BW248" s="2"/>
      <c r="BX248" s="2"/>
      <c r="BY248" s="2" t="s">
        <v>1807</v>
      </c>
      <c r="BZ248" s="2" t="b">
        <f>OR( (Dashboard[[#This Row],[ref_as_hh]]&gt;=1),(Dashboard[[#This Row],[ret_as_hh]] &gt;=1), (Dashboard[[#This Row],[idp_as_hh]]&gt;=1))</f>
        <v>0</v>
      </c>
      <c r="CA248" s="2">
        <f>Dashboard[[#This Row],[ret_hi_hh]]</f>
        <v>0</v>
      </c>
      <c r="CB248" s="2">
        <f>Dashboard[[#This Row],[idp_fa_hh]]+Dashboard[[#This Row],[ref_fa_hh]]+Dashboard[[#This Row],[ret_fa_hh]]</f>
        <v>72</v>
      </c>
      <c r="CC248" s="2">
        <f>Dashboard[[#This Row],[idp_loc_hh]]+Dashboard[[#This Row],[ref_loc_hh]]+Dashboard[[#This Row],[ret_loc_hh]]</f>
        <v>0</v>
      </c>
      <c r="CD248" s="2">
        <f>Dashboard[[#This Row],[idp_cc_hh]]+Dashboard[[#This Row],[ref_cc_hh]]+Dashboard[[#This Row],[ret_cc_hh]]</f>
        <v>0</v>
      </c>
      <c r="CE248" s="2">
        <f>Dashboard[[#This Row],[idp_as_hh]]+Dashboard[[#This Row],[ref_as_hh]]+Dashboard[[#This Row],[ret_as_hh]]</f>
        <v>0</v>
      </c>
      <c r="CF248" s="2">
        <f>Dashboard[[#This Row],[idp_al_hh]]+Dashboard[[#This Row],[ref_al_hh]]+Dashboard[[#This Row],[ret_al_hh]]</f>
        <v>0</v>
      </c>
    </row>
    <row r="249" spans="1:84" hidden="1" x14ac:dyDescent="0.25">
      <c r="A249" s="27">
        <v>351</v>
      </c>
      <c r="B249" s="2" t="s">
        <v>22</v>
      </c>
      <c r="C249" s="2" t="s">
        <v>23</v>
      </c>
      <c r="D249" s="2" t="s">
        <v>85</v>
      </c>
      <c r="E249" s="2" t="s">
        <v>84</v>
      </c>
      <c r="F249" s="2" t="s">
        <v>92</v>
      </c>
      <c r="G249" s="2" t="s">
        <v>91</v>
      </c>
      <c r="H249" s="2" t="s">
        <v>942</v>
      </c>
      <c r="I249" s="2" t="s">
        <v>769</v>
      </c>
      <c r="J249" s="2" t="s">
        <v>2374</v>
      </c>
      <c r="K249" s="2" t="s">
        <v>2375</v>
      </c>
      <c r="L249" s="2" t="s">
        <v>2074</v>
      </c>
      <c r="M249" s="2">
        <v>770</v>
      </c>
      <c r="N249" s="2" t="s">
        <v>1658</v>
      </c>
      <c r="O249" s="2">
        <v>48</v>
      </c>
      <c r="P249" s="2">
        <v>340</v>
      </c>
      <c r="Q249" s="2" t="s">
        <v>1658</v>
      </c>
      <c r="R249" s="2">
        <v>48</v>
      </c>
      <c r="S249" s="2" t="s">
        <v>1660</v>
      </c>
      <c r="T249" s="2">
        <v>0</v>
      </c>
      <c r="U249" s="2" t="s">
        <v>32</v>
      </c>
      <c r="V249" s="2" t="s">
        <v>32</v>
      </c>
      <c r="W249" s="2" t="s">
        <v>1660</v>
      </c>
      <c r="X249" s="2">
        <v>0</v>
      </c>
      <c r="Y249" s="2" t="s">
        <v>32</v>
      </c>
      <c r="Z249" s="2" t="s">
        <v>32</v>
      </c>
      <c r="AA249" s="2" t="s">
        <v>1660</v>
      </c>
      <c r="AB249" s="2">
        <v>0</v>
      </c>
      <c r="AC249" s="2" t="s">
        <v>1660</v>
      </c>
      <c r="AD249" s="2">
        <v>0</v>
      </c>
      <c r="AE249" s="2" t="s">
        <v>1660</v>
      </c>
      <c r="AF249" s="2">
        <v>0</v>
      </c>
      <c r="AG249" s="2">
        <v>0</v>
      </c>
      <c r="AH249" s="2" t="s">
        <v>32</v>
      </c>
      <c r="AI249" s="2" t="s">
        <v>32</v>
      </c>
      <c r="AJ249" s="2" t="s">
        <v>32</v>
      </c>
      <c r="AK249" s="2" t="s">
        <v>32</v>
      </c>
      <c r="AL249" s="2" t="s">
        <v>32</v>
      </c>
      <c r="AM249" s="2">
        <v>0</v>
      </c>
      <c r="AN249" s="2" t="s">
        <v>32</v>
      </c>
      <c r="AO249" s="2">
        <v>0</v>
      </c>
      <c r="AP249" s="2" t="s">
        <v>32</v>
      </c>
      <c r="AQ249" s="2" t="s">
        <v>32</v>
      </c>
      <c r="AR249" s="2" t="s">
        <v>32</v>
      </c>
      <c r="AS249" s="2">
        <v>0</v>
      </c>
      <c r="AT249" s="2" t="s">
        <v>32</v>
      </c>
      <c r="AU249" s="2" t="s">
        <v>32</v>
      </c>
      <c r="AV249" s="2" t="s">
        <v>32</v>
      </c>
      <c r="AW249" s="2">
        <v>0</v>
      </c>
      <c r="AX249" s="2" t="s">
        <v>32</v>
      </c>
      <c r="AY249" s="2">
        <v>0</v>
      </c>
      <c r="AZ249" s="2" t="s">
        <v>1660</v>
      </c>
      <c r="BA249" s="2">
        <v>0</v>
      </c>
      <c r="BB249" s="2">
        <v>0</v>
      </c>
      <c r="BC249" s="2" t="s">
        <v>32</v>
      </c>
      <c r="BD249" s="2">
        <v>0</v>
      </c>
      <c r="BE249" s="2" t="s">
        <v>32</v>
      </c>
      <c r="BF249" s="2">
        <v>0</v>
      </c>
      <c r="BG249" s="2" t="s">
        <v>32</v>
      </c>
      <c r="BH249" s="2">
        <v>0</v>
      </c>
      <c r="BI249" s="2" t="s">
        <v>32</v>
      </c>
      <c r="BJ249" s="2" t="s">
        <v>32</v>
      </c>
      <c r="BK249" s="2" t="s">
        <v>32</v>
      </c>
      <c r="BL249" s="2">
        <v>0</v>
      </c>
      <c r="BM249" s="2" t="s">
        <v>32</v>
      </c>
      <c r="BN249" s="2" t="s">
        <v>32</v>
      </c>
      <c r="BO249" s="2" t="s">
        <v>32</v>
      </c>
      <c r="BP249" s="2">
        <v>0</v>
      </c>
      <c r="BQ249" s="2" t="s">
        <v>32</v>
      </c>
      <c r="BR249" s="2">
        <v>0</v>
      </c>
      <c r="BS249" s="2" t="s">
        <v>1660</v>
      </c>
      <c r="BT249" s="2">
        <v>0</v>
      </c>
      <c r="BU249" s="2">
        <v>0</v>
      </c>
      <c r="BV249" s="2" t="s">
        <v>1660</v>
      </c>
      <c r="BW249" s="2"/>
      <c r="BX249" s="2"/>
      <c r="BY249" s="2" t="s">
        <v>1807</v>
      </c>
      <c r="BZ249" s="2" t="b">
        <f>OR( (Dashboard[[#This Row],[ref_as_hh]]&gt;=1),(Dashboard[[#This Row],[ret_as_hh]] &gt;=1), (Dashboard[[#This Row],[idp_as_hh]]&gt;=1))</f>
        <v>0</v>
      </c>
      <c r="CA249" s="2">
        <f>Dashboard[[#This Row],[ret_hi_hh]]</f>
        <v>0</v>
      </c>
      <c r="CB249" s="2">
        <f>Dashboard[[#This Row],[idp_fa_hh]]+Dashboard[[#This Row],[ref_fa_hh]]+Dashboard[[#This Row],[ret_fa_hh]]</f>
        <v>48</v>
      </c>
      <c r="CC249" s="2">
        <f>Dashboard[[#This Row],[idp_loc_hh]]+Dashboard[[#This Row],[ref_loc_hh]]+Dashboard[[#This Row],[ret_loc_hh]]</f>
        <v>0</v>
      </c>
      <c r="CD249" s="2">
        <f>Dashboard[[#This Row],[idp_cc_hh]]+Dashboard[[#This Row],[ref_cc_hh]]+Dashboard[[#This Row],[ret_cc_hh]]</f>
        <v>0</v>
      </c>
      <c r="CE249" s="2">
        <f>Dashboard[[#This Row],[idp_as_hh]]+Dashboard[[#This Row],[ref_as_hh]]+Dashboard[[#This Row],[ret_as_hh]]</f>
        <v>0</v>
      </c>
      <c r="CF249" s="2">
        <f>Dashboard[[#This Row],[idp_al_hh]]+Dashboard[[#This Row],[ref_al_hh]]+Dashboard[[#This Row],[ret_al_hh]]</f>
        <v>0</v>
      </c>
    </row>
    <row r="250" spans="1:84" hidden="1" x14ac:dyDescent="0.25">
      <c r="A250" s="27">
        <v>352</v>
      </c>
      <c r="B250" s="2" t="s">
        <v>22</v>
      </c>
      <c r="C250" s="2" t="s">
        <v>23</v>
      </c>
      <c r="D250" s="2" t="s">
        <v>85</v>
      </c>
      <c r="E250" s="2" t="s">
        <v>84</v>
      </c>
      <c r="F250" s="2" t="s">
        <v>92</v>
      </c>
      <c r="G250" s="2" t="s">
        <v>91</v>
      </c>
      <c r="H250" s="2" t="s">
        <v>956</v>
      </c>
      <c r="I250" s="2" t="s">
        <v>281</v>
      </c>
      <c r="J250" s="2" t="s">
        <v>2404</v>
      </c>
      <c r="K250" s="2" t="s">
        <v>2405</v>
      </c>
      <c r="L250" s="2" t="s">
        <v>3693</v>
      </c>
      <c r="M250" s="2">
        <v>263</v>
      </c>
      <c r="N250" s="2" t="s">
        <v>1658</v>
      </c>
      <c r="O250" s="2">
        <v>10</v>
      </c>
      <c r="P250" s="2">
        <v>53</v>
      </c>
      <c r="Q250" s="2" t="s">
        <v>1658</v>
      </c>
      <c r="R250" s="2">
        <v>10</v>
      </c>
      <c r="S250" s="2" t="s">
        <v>1660</v>
      </c>
      <c r="T250" s="2">
        <v>0</v>
      </c>
      <c r="U250" s="2" t="s">
        <v>32</v>
      </c>
      <c r="V250" s="2" t="s">
        <v>32</v>
      </c>
      <c r="W250" s="2" t="s">
        <v>1660</v>
      </c>
      <c r="X250" s="2">
        <v>0</v>
      </c>
      <c r="Y250" s="2" t="s">
        <v>32</v>
      </c>
      <c r="Z250" s="2" t="s">
        <v>32</v>
      </c>
      <c r="AA250" s="2" t="s">
        <v>1660</v>
      </c>
      <c r="AB250" s="2">
        <v>0</v>
      </c>
      <c r="AC250" s="2" t="s">
        <v>1660</v>
      </c>
      <c r="AD250" s="2">
        <v>0</v>
      </c>
      <c r="AE250" s="2" t="s">
        <v>1660</v>
      </c>
      <c r="AF250" s="2">
        <v>0</v>
      </c>
      <c r="AG250" s="2">
        <v>0</v>
      </c>
      <c r="AH250" s="2" t="s">
        <v>32</v>
      </c>
      <c r="AI250" s="2" t="s">
        <v>32</v>
      </c>
      <c r="AJ250" s="2" t="s">
        <v>32</v>
      </c>
      <c r="AK250" s="2" t="s">
        <v>32</v>
      </c>
      <c r="AL250" s="2" t="s">
        <v>32</v>
      </c>
      <c r="AM250" s="2">
        <v>0</v>
      </c>
      <c r="AN250" s="2" t="s">
        <v>32</v>
      </c>
      <c r="AO250" s="2">
        <v>0</v>
      </c>
      <c r="AP250" s="2" t="s">
        <v>32</v>
      </c>
      <c r="AQ250" s="2" t="s">
        <v>32</v>
      </c>
      <c r="AR250" s="2" t="s">
        <v>32</v>
      </c>
      <c r="AS250" s="2">
        <v>0</v>
      </c>
      <c r="AT250" s="2" t="s">
        <v>32</v>
      </c>
      <c r="AU250" s="2" t="s">
        <v>32</v>
      </c>
      <c r="AV250" s="2" t="s">
        <v>32</v>
      </c>
      <c r="AW250" s="2">
        <v>0</v>
      </c>
      <c r="AX250" s="2" t="s">
        <v>32</v>
      </c>
      <c r="AY250" s="2">
        <v>0</v>
      </c>
      <c r="AZ250" s="2" t="s">
        <v>1660</v>
      </c>
      <c r="BA250" s="2">
        <v>0</v>
      </c>
      <c r="BB250" s="2">
        <v>0</v>
      </c>
      <c r="BC250" s="2" t="s">
        <v>32</v>
      </c>
      <c r="BD250" s="2">
        <v>0</v>
      </c>
      <c r="BE250" s="2" t="s">
        <v>32</v>
      </c>
      <c r="BF250" s="2">
        <v>0</v>
      </c>
      <c r="BG250" s="2" t="s">
        <v>32</v>
      </c>
      <c r="BH250" s="2">
        <v>0</v>
      </c>
      <c r="BI250" s="2" t="s">
        <v>32</v>
      </c>
      <c r="BJ250" s="2" t="s">
        <v>32</v>
      </c>
      <c r="BK250" s="2" t="s">
        <v>32</v>
      </c>
      <c r="BL250" s="2">
        <v>0</v>
      </c>
      <c r="BM250" s="2" t="s">
        <v>32</v>
      </c>
      <c r="BN250" s="2" t="s">
        <v>32</v>
      </c>
      <c r="BO250" s="2" t="s">
        <v>32</v>
      </c>
      <c r="BP250" s="2">
        <v>0</v>
      </c>
      <c r="BQ250" s="2" t="s">
        <v>32</v>
      </c>
      <c r="BR250" s="2">
        <v>0</v>
      </c>
      <c r="BS250" s="2" t="s">
        <v>1660</v>
      </c>
      <c r="BT250" s="2">
        <v>0</v>
      </c>
      <c r="BU250" s="2">
        <v>0</v>
      </c>
      <c r="BV250" s="2" t="s">
        <v>1660</v>
      </c>
      <c r="BW250" s="2"/>
      <c r="BX250" s="2"/>
      <c r="BY250" s="2" t="s">
        <v>1807</v>
      </c>
      <c r="BZ250" s="2" t="b">
        <f>OR( (Dashboard[[#This Row],[ref_as_hh]]&gt;=1),(Dashboard[[#This Row],[ret_as_hh]] &gt;=1), (Dashboard[[#This Row],[idp_as_hh]]&gt;=1))</f>
        <v>0</v>
      </c>
      <c r="CA250" s="2">
        <f>Dashboard[[#This Row],[ret_hi_hh]]</f>
        <v>0</v>
      </c>
      <c r="CB250" s="2">
        <f>Dashboard[[#This Row],[idp_fa_hh]]+Dashboard[[#This Row],[ref_fa_hh]]+Dashboard[[#This Row],[ret_fa_hh]]</f>
        <v>10</v>
      </c>
      <c r="CC250" s="2">
        <f>Dashboard[[#This Row],[idp_loc_hh]]+Dashboard[[#This Row],[ref_loc_hh]]+Dashboard[[#This Row],[ret_loc_hh]]</f>
        <v>0</v>
      </c>
      <c r="CD250" s="2">
        <f>Dashboard[[#This Row],[idp_cc_hh]]+Dashboard[[#This Row],[ref_cc_hh]]+Dashboard[[#This Row],[ret_cc_hh]]</f>
        <v>0</v>
      </c>
      <c r="CE250" s="2">
        <f>Dashboard[[#This Row],[idp_as_hh]]+Dashboard[[#This Row],[ref_as_hh]]+Dashboard[[#This Row],[ret_as_hh]]</f>
        <v>0</v>
      </c>
      <c r="CF250" s="2">
        <f>Dashboard[[#This Row],[idp_al_hh]]+Dashboard[[#This Row],[ref_al_hh]]+Dashboard[[#This Row],[ret_al_hh]]</f>
        <v>0</v>
      </c>
    </row>
    <row r="251" spans="1:84" hidden="1" x14ac:dyDescent="0.25">
      <c r="A251" s="27">
        <v>353</v>
      </c>
      <c r="B251" s="2" t="s">
        <v>22</v>
      </c>
      <c r="C251" s="2" t="s">
        <v>23</v>
      </c>
      <c r="D251" s="2" t="s">
        <v>85</v>
      </c>
      <c r="E251" s="2" t="s">
        <v>84</v>
      </c>
      <c r="F251" s="2" t="s">
        <v>92</v>
      </c>
      <c r="G251" s="2" t="s">
        <v>91</v>
      </c>
      <c r="H251" s="2" t="s">
        <v>971</v>
      </c>
      <c r="I251" s="2" t="s">
        <v>770</v>
      </c>
      <c r="J251" s="2" t="s">
        <v>2444</v>
      </c>
      <c r="K251" s="2" t="s">
        <v>2445</v>
      </c>
      <c r="L251" s="2" t="s">
        <v>2074</v>
      </c>
      <c r="M251" s="2">
        <v>455</v>
      </c>
      <c r="N251" s="2" t="s">
        <v>1658</v>
      </c>
      <c r="O251" s="2">
        <v>5</v>
      </c>
      <c r="P251" s="2">
        <v>46</v>
      </c>
      <c r="Q251" s="2" t="s">
        <v>1658</v>
      </c>
      <c r="R251" s="2">
        <v>5</v>
      </c>
      <c r="S251" s="2" t="s">
        <v>1660</v>
      </c>
      <c r="T251" s="2">
        <v>0</v>
      </c>
      <c r="U251" s="2" t="s">
        <v>32</v>
      </c>
      <c r="V251" s="2" t="s">
        <v>32</v>
      </c>
      <c r="W251" s="2" t="s">
        <v>1660</v>
      </c>
      <c r="X251" s="2">
        <v>0</v>
      </c>
      <c r="Y251" s="2" t="s">
        <v>32</v>
      </c>
      <c r="Z251" s="2" t="s">
        <v>32</v>
      </c>
      <c r="AA251" s="2" t="s">
        <v>1660</v>
      </c>
      <c r="AB251" s="2">
        <v>0</v>
      </c>
      <c r="AC251" s="2" t="s">
        <v>1660</v>
      </c>
      <c r="AD251" s="2">
        <v>0</v>
      </c>
      <c r="AE251" s="2" t="s">
        <v>1660</v>
      </c>
      <c r="AF251" s="2">
        <v>0</v>
      </c>
      <c r="AG251" s="2">
        <v>0</v>
      </c>
      <c r="AH251" s="2" t="s">
        <v>32</v>
      </c>
      <c r="AI251" s="2" t="s">
        <v>32</v>
      </c>
      <c r="AJ251" s="2" t="s">
        <v>32</v>
      </c>
      <c r="AK251" s="2" t="s">
        <v>32</v>
      </c>
      <c r="AL251" s="2" t="s">
        <v>32</v>
      </c>
      <c r="AM251" s="2">
        <v>0</v>
      </c>
      <c r="AN251" s="2" t="s">
        <v>32</v>
      </c>
      <c r="AO251" s="2">
        <v>0</v>
      </c>
      <c r="AP251" s="2" t="s">
        <v>32</v>
      </c>
      <c r="AQ251" s="2" t="s">
        <v>32</v>
      </c>
      <c r="AR251" s="2" t="s">
        <v>32</v>
      </c>
      <c r="AS251" s="2">
        <v>0</v>
      </c>
      <c r="AT251" s="2" t="s">
        <v>32</v>
      </c>
      <c r="AU251" s="2" t="s">
        <v>32</v>
      </c>
      <c r="AV251" s="2" t="s">
        <v>32</v>
      </c>
      <c r="AW251" s="2">
        <v>0</v>
      </c>
      <c r="AX251" s="2" t="s">
        <v>32</v>
      </c>
      <c r="AY251" s="2">
        <v>0</v>
      </c>
      <c r="AZ251" s="2" t="s">
        <v>1660</v>
      </c>
      <c r="BA251" s="2">
        <v>0</v>
      </c>
      <c r="BB251" s="2">
        <v>0</v>
      </c>
      <c r="BC251" s="2" t="s">
        <v>32</v>
      </c>
      <c r="BD251" s="2">
        <v>0</v>
      </c>
      <c r="BE251" s="2" t="s">
        <v>32</v>
      </c>
      <c r="BF251" s="2">
        <v>0</v>
      </c>
      <c r="BG251" s="2" t="s">
        <v>32</v>
      </c>
      <c r="BH251" s="2">
        <v>0</v>
      </c>
      <c r="BI251" s="2" t="s">
        <v>32</v>
      </c>
      <c r="BJ251" s="2" t="s">
        <v>32</v>
      </c>
      <c r="BK251" s="2" t="s">
        <v>32</v>
      </c>
      <c r="BL251" s="2">
        <v>0</v>
      </c>
      <c r="BM251" s="2" t="s">
        <v>32</v>
      </c>
      <c r="BN251" s="2" t="s">
        <v>32</v>
      </c>
      <c r="BO251" s="2" t="s">
        <v>32</v>
      </c>
      <c r="BP251" s="2">
        <v>0</v>
      </c>
      <c r="BQ251" s="2" t="s">
        <v>32</v>
      </c>
      <c r="BR251" s="2">
        <v>0</v>
      </c>
      <c r="BS251" s="2" t="s">
        <v>1660</v>
      </c>
      <c r="BT251" s="2">
        <v>0</v>
      </c>
      <c r="BU251" s="2">
        <v>0</v>
      </c>
      <c r="BV251" s="2" t="s">
        <v>1660</v>
      </c>
      <c r="BW251" s="2"/>
      <c r="BX251" s="2"/>
      <c r="BY251" s="2" t="s">
        <v>1807</v>
      </c>
      <c r="BZ251" s="2" t="b">
        <f>OR( (Dashboard[[#This Row],[ref_as_hh]]&gt;=1),(Dashboard[[#This Row],[ret_as_hh]] &gt;=1), (Dashboard[[#This Row],[idp_as_hh]]&gt;=1))</f>
        <v>0</v>
      </c>
      <c r="CA251" s="2">
        <f>Dashboard[[#This Row],[ret_hi_hh]]</f>
        <v>0</v>
      </c>
      <c r="CB251" s="2">
        <f>Dashboard[[#This Row],[idp_fa_hh]]+Dashboard[[#This Row],[ref_fa_hh]]+Dashboard[[#This Row],[ret_fa_hh]]</f>
        <v>5</v>
      </c>
      <c r="CC251" s="2">
        <f>Dashboard[[#This Row],[idp_loc_hh]]+Dashboard[[#This Row],[ref_loc_hh]]+Dashboard[[#This Row],[ret_loc_hh]]</f>
        <v>0</v>
      </c>
      <c r="CD251" s="2">
        <f>Dashboard[[#This Row],[idp_cc_hh]]+Dashboard[[#This Row],[ref_cc_hh]]+Dashboard[[#This Row],[ret_cc_hh]]</f>
        <v>0</v>
      </c>
      <c r="CE251" s="2">
        <f>Dashboard[[#This Row],[idp_as_hh]]+Dashboard[[#This Row],[ref_as_hh]]+Dashboard[[#This Row],[ret_as_hh]]</f>
        <v>0</v>
      </c>
      <c r="CF251" s="2">
        <f>Dashboard[[#This Row],[idp_al_hh]]+Dashboard[[#This Row],[ref_al_hh]]+Dashboard[[#This Row],[ret_al_hh]]</f>
        <v>0</v>
      </c>
    </row>
    <row r="252" spans="1:84" hidden="1" x14ac:dyDescent="0.25">
      <c r="A252" s="27">
        <v>357</v>
      </c>
      <c r="B252" s="2" t="s">
        <v>22</v>
      </c>
      <c r="C252" s="2" t="s">
        <v>23</v>
      </c>
      <c r="D252" s="2" t="s">
        <v>85</v>
      </c>
      <c r="E252" s="2" t="s">
        <v>84</v>
      </c>
      <c r="F252" s="2" t="s">
        <v>92</v>
      </c>
      <c r="G252" s="2" t="s">
        <v>91</v>
      </c>
      <c r="H252" s="2" t="s">
        <v>2027</v>
      </c>
      <c r="I252" s="2" t="s">
        <v>2028</v>
      </c>
      <c r="J252" s="2" t="s">
        <v>2412</v>
      </c>
      <c r="K252" s="2" t="s">
        <v>2413</v>
      </c>
      <c r="L252" s="2" t="s">
        <v>3693</v>
      </c>
      <c r="M252" s="2">
        <v>330</v>
      </c>
      <c r="N252" s="2" t="s">
        <v>1660</v>
      </c>
      <c r="O252" s="2">
        <v>0</v>
      </c>
      <c r="P252" s="2">
        <v>0</v>
      </c>
      <c r="Q252" s="2" t="s">
        <v>32</v>
      </c>
      <c r="R252" s="2">
        <v>0</v>
      </c>
      <c r="S252" s="2" t="s">
        <v>32</v>
      </c>
      <c r="T252" s="2">
        <v>0</v>
      </c>
      <c r="U252" s="2" t="s">
        <v>32</v>
      </c>
      <c r="V252" s="2" t="s">
        <v>32</v>
      </c>
      <c r="W252" s="2" t="s">
        <v>32</v>
      </c>
      <c r="X252" s="2">
        <v>0</v>
      </c>
      <c r="Y252" s="2" t="s">
        <v>32</v>
      </c>
      <c r="Z252" s="2" t="s">
        <v>32</v>
      </c>
      <c r="AA252" s="2" t="s">
        <v>32</v>
      </c>
      <c r="AB252" s="2">
        <v>0</v>
      </c>
      <c r="AC252" s="2" t="s">
        <v>32</v>
      </c>
      <c r="AD252" s="2">
        <v>0</v>
      </c>
      <c r="AE252" s="2" t="s">
        <v>1660</v>
      </c>
      <c r="AF252" s="2">
        <v>0</v>
      </c>
      <c r="AG252" s="2">
        <v>0</v>
      </c>
      <c r="AH252" s="2" t="s">
        <v>32</v>
      </c>
      <c r="AI252" s="2" t="s">
        <v>32</v>
      </c>
      <c r="AJ252" s="2" t="s">
        <v>32</v>
      </c>
      <c r="AK252" s="2" t="s">
        <v>32</v>
      </c>
      <c r="AL252" s="2" t="s">
        <v>32</v>
      </c>
      <c r="AM252" s="2">
        <v>0</v>
      </c>
      <c r="AN252" s="2" t="s">
        <v>32</v>
      </c>
      <c r="AO252" s="2">
        <v>0</v>
      </c>
      <c r="AP252" s="2" t="s">
        <v>32</v>
      </c>
      <c r="AQ252" s="2" t="s">
        <v>32</v>
      </c>
      <c r="AR252" s="2" t="s">
        <v>32</v>
      </c>
      <c r="AS252" s="2">
        <v>0</v>
      </c>
      <c r="AT252" s="2" t="s">
        <v>32</v>
      </c>
      <c r="AU252" s="2" t="s">
        <v>32</v>
      </c>
      <c r="AV252" s="2" t="s">
        <v>32</v>
      </c>
      <c r="AW252" s="2">
        <v>0</v>
      </c>
      <c r="AX252" s="2" t="s">
        <v>32</v>
      </c>
      <c r="AY252" s="2">
        <v>0</v>
      </c>
      <c r="AZ252" s="2" t="s">
        <v>1660</v>
      </c>
      <c r="BA252" s="2">
        <v>0</v>
      </c>
      <c r="BB252" s="2">
        <v>0</v>
      </c>
      <c r="BC252" s="2" t="s">
        <v>32</v>
      </c>
      <c r="BD252" s="2">
        <v>0</v>
      </c>
      <c r="BE252" s="2" t="s">
        <v>32</v>
      </c>
      <c r="BF252" s="2">
        <v>0</v>
      </c>
      <c r="BG252" s="2" t="s">
        <v>32</v>
      </c>
      <c r="BH252" s="2">
        <v>0</v>
      </c>
      <c r="BI252" s="2" t="s">
        <v>32</v>
      </c>
      <c r="BJ252" s="2" t="s">
        <v>32</v>
      </c>
      <c r="BK252" s="2" t="s">
        <v>32</v>
      </c>
      <c r="BL252" s="2">
        <v>0</v>
      </c>
      <c r="BM252" s="2" t="s">
        <v>32</v>
      </c>
      <c r="BN252" s="2" t="s">
        <v>32</v>
      </c>
      <c r="BO252" s="2" t="s">
        <v>32</v>
      </c>
      <c r="BP252" s="2">
        <v>0</v>
      </c>
      <c r="BQ252" s="2" t="s">
        <v>32</v>
      </c>
      <c r="BR252" s="2">
        <v>0</v>
      </c>
      <c r="BS252" s="2" t="s">
        <v>1660</v>
      </c>
      <c r="BT252" s="2">
        <v>0</v>
      </c>
      <c r="BU252" s="2">
        <v>0</v>
      </c>
      <c r="BV252" s="2" t="s">
        <v>1660</v>
      </c>
      <c r="BW252" s="2"/>
      <c r="BX252" s="2"/>
      <c r="BY252" s="2" t="s">
        <v>1807</v>
      </c>
      <c r="BZ252" s="2" t="b">
        <f>OR( (Dashboard[[#This Row],[ref_as_hh]]&gt;=1),(Dashboard[[#This Row],[ret_as_hh]] &gt;=1), (Dashboard[[#This Row],[idp_as_hh]]&gt;=1))</f>
        <v>0</v>
      </c>
      <c r="CA252" s="2">
        <f>Dashboard[[#This Row],[ret_hi_hh]]</f>
        <v>0</v>
      </c>
      <c r="CB252" s="2">
        <f>Dashboard[[#This Row],[idp_fa_hh]]+Dashboard[[#This Row],[ref_fa_hh]]+Dashboard[[#This Row],[ret_fa_hh]]</f>
        <v>0</v>
      </c>
      <c r="CC252" s="2">
        <f>Dashboard[[#This Row],[idp_loc_hh]]+Dashboard[[#This Row],[ref_loc_hh]]+Dashboard[[#This Row],[ret_loc_hh]]</f>
        <v>0</v>
      </c>
      <c r="CD252" s="2">
        <f>Dashboard[[#This Row],[idp_cc_hh]]+Dashboard[[#This Row],[ref_cc_hh]]+Dashboard[[#This Row],[ret_cc_hh]]</f>
        <v>0</v>
      </c>
      <c r="CE252" s="2">
        <f>Dashboard[[#This Row],[idp_as_hh]]+Dashboard[[#This Row],[ref_as_hh]]+Dashboard[[#This Row],[ret_as_hh]]</f>
        <v>0</v>
      </c>
      <c r="CF252" s="2">
        <f>Dashboard[[#This Row],[idp_al_hh]]+Dashboard[[#This Row],[ref_al_hh]]+Dashboard[[#This Row],[ret_al_hh]]</f>
        <v>0</v>
      </c>
    </row>
    <row r="253" spans="1:84" x14ac:dyDescent="0.25">
      <c r="A253" s="27">
        <v>358</v>
      </c>
      <c r="B253" s="2" t="s">
        <v>22</v>
      </c>
      <c r="C253" s="2" t="s">
        <v>23</v>
      </c>
      <c r="D253" s="2" t="s">
        <v>85</v>
      </c>
      <c r="E253" s="2" t="s">
        <v>84</v>
      </c>
      <c r="F253" s="2" t="s">
        <v>92</v>
      </c>
      <c r="G253" s="2" t="s">
        <v>91</v>
      </c>
      <c r="H253" s="2" t="s">
        <v>943</v>
      </c>
      <c r="I253" s="2" t="s">
        <v>385</v>
      </c>
      <c r="J253" s="2" t="s">
        <v>2376</v>
      </c>
      <c r="K253" s="2" t="s">
        <v>2377</v>
      </c>
      <c r="L253" s="2" t="s">
        <v>2074</v>
      </c>
      <c r="M253" s="2">
        <v>200</v>
      </c>
      <c r="N253" s="2" t="s">
        <v>1658</v>
      </c>
      <c r="O253" s="2">
        <v>30</v>
      </c>
      <c r="P253" s="2">
        <v>70</v>
      </c>
      <c r="Q253" s="2" t="s">
        <v>32</v>
      </c>
      <c r="R253" s="2">
        <v>0</v>
      </c>
      <c r="S253" s="2" t="s">
        <v>1660</v>
      </c>
      <c r="T253" s="2">
        <v>0</v>
      </c>
      <c r="U253" s="2" t="s">
        <v>32</v>
      </c>
      <c r="V253" s="2" t="s">
        <v>32</v>
      </c>
      <c r="W253" s="2" t="s">
        <v>1660</v>
      </c>
      <c r="X253" s="2">
        <v>0</v>
      </c>
      <c r="Y253" s="2" t="s">
        <v>32</v>
      </c>
      <c r="Z253" s="2" t="s">
        <v>32</v>
      </c>
      <c r="AA253" s="2" t="s">
        <v>1658</v>
      </c>
      <c r="AB253" s="2">
        <v>30</v>
      </c>
      <c r="AC253" s="2" t="s">
        <v>1660</v>
      </c>
      <c r="AD253" s="2">
        <v>0</v>
      </c>
      <c r="AE253" s="2" t="s">
        <v>1660</v>
      </c>
      <c r="AF253" s="2">
        <v>0</v>
      </c>
      <c r="AG253" s="2">
        <v>0</v>
      </c>
      <c r="AH253" s="2" t="s">
        <v>32</v>
      </c>
      <c r="AI253" s="2" t="s">
        <v>32</v>
      </c>
      <c r="AJ253" s="2" t="s">
        <v>32</v>
      </c>
      <c r="AK253" s="2" t="s">
        <v>32</v>
      </c>
      <c r="AL253" s="2" t="s">
        <v>32</v>
      </c>
      <c r="AM253" s="2">
        <v>0</v>
      </c>
      <c r="AN253" s="2" t="s">
        <v>32</v>
      </c>
      <c r="AO253" s="2">
        <v>0</v>
      </c>
      <c r="AP253" s="2" t="s">
        <v>32</v>
      </c>
      <c r="AQ253" s="2" t="s">
        <v>32</v>
      </c>
      <c r="AR253" s="2" t="s">
        <v>32</v>
      </c>
      <c r="AS253" s="2">
        <v>0</v>
      </c>
      <c r="AT253" s="2" t="s">
        <v>32</v>
      </c>
      <c r="AU253" s="2" t="s">
        <v>32</v>
      </c>
      <c r="AV253" s="2" t="s">
        <v>32</v>
      </c>
      <c r="AW253" s="2">
        <v>0</v>
      </c>
      <c r="AX253" s="2" t="s">
        <v>32</v>
      </c>
      <c r="AY253" s="2">
        <v>0</v>
      </c>
      <c r="AZ253" s="2" t="s">
        <v>1660</v>
      </c>
      <c r="BA253" s="2">
        <v>0</v>
      </c>
      <c r="BB253" s="2">
        <v>0</v>
      </c>
      <c r="BC253" s="2" t="s">
        <v>32</v>
      </c>
      <c r="BD253" s="2">
        <v>0</v>
      </c>
      <c r="BE253" s="2" t="s">
        <v>32</v>
      </c>
      <c r="BF253" s="2">
        <v>0</v>
      </c>
      <c r="BG253" s="2" t="s">
        <v>32</v>
      </c>
      <c r="BH253" s="2">
        <v>0</v>
      </c>
      <c r="BI253" s="2" t="s">
        <v>32</v>
      </c>
      <c r="BJ253" s="2" t="s">
        <v>32</v>
      </c>
      <c r="BK253" s="2" t="s">
        <v>32</v>
      </c>
      <c r="BL253" s="2">
        <v>0</v>
      </c>
      <c r="BM253" s="2" t="s">
        <v>32</v>
      </c>
      <c r="BN253" s="2" t="s">
        <v>32</v>
      </c>
      <c r="BO253" s="2" t="s">
        <v>32</v>
      </c>
      <c r="BP253" s="2">
        <v>0</v>
      </c>
      <c r="BQ253" s="2" t="s">
        <v>32</v>
      </c>
      <c r="BR253" s="2">
        <v>0</v>
      </c>
      <c r="BS253" s="2" t="s">
        <v>1660</v>
      </c>
      <c r="BT253" s="2">
        <v>0</v>
      </c>
      <c r="BU253" s="2">
        <v>0</v>
      </c>
      <c r="BV253" s="2" t="s">
        <v>1660</v>
      </c>
      <c r="BW253" s="2"/>
      <c r="BX253" s="2"/>
      <c r="BY253" s="2" t="s">
        <v>1807</v>
      </c>
      <c r="BZ253" s="2" t="b">
        <f>OR( (Dashboard[[#This Row],[ref_as_hh]]&gt;=1),(Dashboard[[#This Row],[ret_as_hh]] &gt;=1), (Dashboard[[#This Row],[idp_as_hh]]&gt;=1))</f>
        <v>1</v>
      </c>
      <c r="CA253" s="2">
        <f>Dashboard[[#This Row],[ret_hi_hh]]</f>
        <v>0</v>
      </c>
      <c r="CB253" s="2">
        <f>Dashboard[[#This Row],[idp_fa_hh]]+Dashboard[[#This Row],[ref_fa_hh]]+Dashboard[[#This Row],[ret_fa_hh]]</f>
        <v>0</v>
      </c>
      <c r="CC253" s="2">
        <f>Dashboard[[#This Row],[idp_loc_hh]]+Dashboard[[#This Row],[ref_loc_hh]]+Dashboard[[#This Row],[ret_loc_hh]]</f>
        <v>0</v>
      </c>
      <c r="CD253" s="2">
        <f>Dashboard[[#This Row],[idp_cc_hh]]+Dashboard[[#This Row],[ref_cc_hh]]+Dashboard[[#This Row],[ret_cc_hh]]</f>
        <v>0</v>
      </c>
      <c r="CE253" s="2">
        <f>Dashboard[[#This Row],[idp_as_hh]]+Dashboard[[#This Row],[ref_as_hh]]+Dashboard[[#This Row],[ret_as_hh]]</f>
        <v>30</v>
      </c>
      <c r="CF253" s="2">
        <f>Dashboard[[#This Row],[idp_al_hh]]+Dashboard[[#This Row],[ref_al_hh]]+Dashboard[[#This Row],[ret_al_hh]]</f>
        <v>0</v>
      </c>
    </row>
    <row r="254" spans="1:84" hidden="1" x14ac:dyDescent="0.25">
      <c r="A254" s="27">
        <v>359</v>
      </c>
      <c r="B254" s="2" t="s">
        <v>22</v>
      </c>
      <c r="C254" s="2" t="s">
        <v>23</v>
      </c>
      <c r="D254" s="2" t="s">
        <v>85</v>
      </c>
      <c r="E254" s="2" t="s">
        <v>84</v>
      </c>
      <c r="F254" s="2" t="s">
        <v>92</v>
      </c>
      <c r="G254" s="2" t="s">
        <v>91</v>
      </c>
      <c r="H254" s="2" t="s">
        <v>1671</v>
      </c>
      <c r="I254" s="2" t="s">
        <v>295</v>
      </c>
      <c r="J254" s="2" t="s">
        <v>2372</v>
      </c>
      <c r="K254" s="2" t="s">
        <v>2373</v>
      </c>
      <c r="L254" s="2" t="s">
        <v>2074</v>
      </c>
      <c r="M254" s="2">
        <v>0</v>
      </c>
      <c r="N254" s="2" t="s">
        <v>1660</v>
      </c>
      <c r="O254" s="2">
        <v>0</v>
      </c>
      <c r="P254" s="2">
        <v>0</v>
      </c>
      <c r="Q254" s="2" t="s">
        <v>32</v>
      </c>
      <c r="R254" s="2">
        <v>0</v>
      </c>
      <c r="S254" s="2" t="s">
        <v>32</v>
      </c>
      <c r="T254" s="2">
        <v>0</v>
      </c>
      <c r="U254" s="2" t="s">
        <v>32</v>
      </c>
      <c r="V254" s="2" t="s">
        <v>32</v>
      </c>
      <c r="W254" s="2" t="s">
        <v>32</v>
      </c>
      <c r="X254" s="2">
        <v>0</v>
      </c>
      <c r="Y254" s="2" t="s">
        <v>32</v>
      </c>
      <c r="Z254" s="2" t="s">
        <v>32</v>
      </c>
      <c r="AA254" s="2" t="s">
        <v>32</v>
      </c>
      <c r="AB254" s="2">
        <v>0</v>
      </c>
      <c r="AC254" s="2" t="s">
        <v>32</v>
      </c>
      <c r="AD254" s="2">
        <v>0</v>
      </c>
      <c r="AE254" s="2" t="s">
        <v>1660</v>
      </c>
      <c r="AF254" s="2">
        <v>0</v>
      </c>
      <c r="AG254" s="2">
        <v>0</v>
      </c>
      <c r="AH254" s="2" t="s">
        <v>32</v>
      </c>
      <c r="AI254" s="2" t="s">
        <v>32</v>
      </c>
      <c r="AJ254" s="2" t="s">
        <v>32</v>
      </c>
      <c r="AK254" s="2" t="s">
        <v>32</v>
      </c>
      <c r="AL254" s="2" t="s">
        <v>32</v>
      </c>
      <c r="AM254" s="2">
        <v>0</v>
      </c>
      <c r="AN254" s="2" t="s">
        <v>32</v>
      </c>
      <c r="AO254" s="2">
        <v>0</v>
      </c>
      <c r="AP254" s="2" t="s">
        <v>32</v>
      </c>
      <c r="AQ254" s="2" t="s">
        <v>32</v>
      </c>
      <c r="AR254" s="2" t="s">
        <v>32</v>
      </c>
      <c r="AS254" s="2">
        <v>0</v>
      </c>
      <c r="AT254" s="2" t="s">
        <v>32</v>
      </c>
      <c r="AU254" s="2" t="s">
        <v>32</v>
      </c>
      <c r="AV254" s="2" t="s">
        <v>32</v>
      </c>
      <c r="AW254" s="2">
        <v>0</v>
      </c>
      <c r="AX254" s="2" t="s">
        <v>32</v>
      </c>
      <c r="AY254" s="2">
        <v>0</v>
      </c>
      <c r="AZ254" s="2" t="s">
        <v>1660</v>
      </c>
      <c r="BA254" s="2">
        <v>0</v>
      </c>
      <c r="BB254" s="2">
        <v>0</v>
      </c>
      <c r="BC254" s="2" t="s">
        <v>32</v>
      </c>
      <c r="BD254" s="2">
        <v>0</v>
      </c>
      <c r="BE254" s="2" t="s">
        <v>32</v>
      </c>
      <c r="BF254" s="2">
        <v>0</v>
      </c>
      <c r="BG254" s="2" t="s">
        <v>32</v>
      </c>
      <c r="BH254" s="2">
        <v>0</v>
      </c>
      <c r="BI254" s="2" t="s">
        <v>32</v>
      </c>
      <c r="BJ254" s="2" t="s">
        <v>32</v>
      </c>
      <c r="BK254" s="2" t="s">
        <v>32</v>
      </c>
      <c r="BL254" s="2">
        <v>0</v>
      </c>
      <c r="BM254" s="2" t="s">
        <v>32</v>
      </c>
      <c r="BN254" s="2" t="s">
        <v>32</v>
      </c>
      <c r="BO254" s="2" t="s">
        <v>32</v>
      </c>
      <c r="BP254" s="2">
        <v>0</v>
      </c>
      <c r="BQ254" s="2" t="s">
        <v>32</v>
      </c>
      <c r="BR254" s="2">
        <v>0</v>
      </c>
      <c r="BS254" s="2" t="s">
        <v>1660</v>
      </c>
      <c r="BT254" s="2">
        <v>0</v>
      </c>
      <c r="BU254" s="2">
        <v>0</v>
      </c>
      <c r="BV254" s="2" t="s">
        <v>1660</v>
      </c>
      <c r="BW254" s="2"/>
      <c r="BX254" s="2"/>
      <c r="BY254" s="2" t="s">
        <v>1807</v>
      </c>
      <c r="BZ254" s="2" t="b">
        <f>OR( (Dashboard[[#This Row],[ref_as_hh]]&gt;=1),(Dashboard[[#This Row],[ret_as_hh]] &gt;=1), (Dashboard[[#This Row],[idp_as_hh]]&gt;=1))</f>
        <v>0</v>
      </c>
      <c r="CA254" s="2">
        <f>Dashboard[[#This Row],[ret_hi_hh]]</f>
        <v>0</v>
      </c>
      <c r="CB254" s="2">
        <f>Dashboard[[#This Row],[idp_fa_hh]]+Dashboard[[#This Row],[ref_fa_hh]]+Dashboard[[#This Row],[ret_fa_hh]]</f>
        <v>0</v>
      </c>
      <c r="CC254" s="2">
        <f>Dashboard[[#This Row],[idp_loc_hh]]+Dashboard[[#This Row],[ref_loc_hh]]+Dashboard[[#This Row],[ret_loc_hh]]</f>
        <v>0</v>
      </c>
      <c r="CD254" s="2">
        <f>Dashboard[[#This Row],[idp_cc_hh]]+Dashboard[[#This Row],[ref_cc_hh]]+Dashboard[[#This Row],[ret_cc_hh]]</f>
        <v>0</v>
      </c>
      <c r="CE254" s="2">
        <f>Dashboard[[#This Row],[idp_as_hh]]+Dashboard[[#This Row],[ref_as_hh]]+Dashboard[[#This Row],[ret_as_hh]]</f>
        <v>0</v>
      </c>
      <c r="CF254" s="2">
        <f>Dashboard[[#This Row],[idp_al_hh]]+Dashboard[[#This Row],[ref_al_hh]]+Dashboard[[#This Row],[ret_al_hh]]</f>
        <v>0</v>
      </c>
    </row>
    <row r="255" spans="1:84" hidden="1" x14ac:dyDescent="0.25">
      <c r="A255" s="27">
        <v>361</v>
      </c>
      <c r="B255" s="2" t="s">
        <v>22</v>
      </c>
      <c r="C255" s="2" t="s">
        <v>23</v>
      </c>
      <c r="D255" s="2" t="s">
        <v>85</v>
      </c>
      <c r="E255" s="2" t="s">
        <v>84</v>
      </c>
      <c r="F255" s="2" t="s">
        <v>92</v>
      </c>
      <c r="G255" s="2" t="s">
        <v>91</v>
      </c>
      <c r="H255" s="2" t="s">
        <v>945</v>
      </c>
      <c r="I255" s="2" t="s">
        <v>276</v>
      </c>
      <c r="J255" s="2" t="s">
        <v>2380</v>
      </c>
      <c r="K255" s="2" t="s">
        <v>2381</v>
      </c>
      <c r="L255" s="2" t="s">
        <v>2074</v>
      </c>
      <c r="M255" s="2">
        <v>950</v>
      </c>
      <c r="N255" s="2" t="s">
        <v>1658</v>
      </c>
      <c r="O255" s="2">
        <v>10</v>
      </c>
      <c r="P255" s="2">
        <v>70</v>
      </c>
      <c r="Q255" s="2" t="s">
        <v>1658</v>
      </c>
      <c r="R255" s="2">
        <v>10</v>
      </c>
      <c r="S255" s="2" t="s">
        <v>1660</v>
      </c>
      <c r="T255" s="2">
        <v>0</v>
      </c>
      <c r="U255" s="2" t="s">
        <v>32</v>
      </c>
      <c r="V255" s="2" t="s">
        <v>32</v>
      </c>
      <c r="W255" s="2" t="s">
        <v>1660</v>
      </c>
      <c r="X255" s="2">
        <v>0</v>
      </c>
      <c r="Y255" s="2" t="s">
        <v>32</v>
      </c>
      <c r="Z255" s="2" t="s">
        <v>32</v>
      </c>
      <c r="AA255" s="2" t="s">
        <v>1660</v>
      </c>
      <c r="AB255" s="2">
        <v>0</v>
      </c>
      <c r="AC255" s="2" t="s">
        <v>1660</v>
      </c>
      <c r="AD255" s="2">
        <v>0</v>
      </c>
      <c r="AE255" s="2" t="s">
        <v>1658</v>
      </c>
      <c r="AF255" s="2">
        <v>15</v>
      </c>
      <c r="AG255" s="2">
        <v>137</v>
      </c>
      <c r="AH255" s="2" t="s">
        <v>1660</v>
      </c>
      <c r="AI255" s="2" t="s">
        <v>32</v>
      </c>
      <c r="AJ255" s="2" t="s">
        <v>32</v>
      </c>
      <c r="AK255" s="2" t="s">
        <v>32</v>
      </c>
      <c r="AL255" s="2" t="s">
        <v>1658</v>
      </c>
      <c r="AM255" s="2">
        <v>15</v>
      </c>
      <c r="AN255" s="2" t="s">
        <v>1660</v>
      </c>
      <c r="AO255" s="2">
        <v>0</v>
      </c>
      <c r="AP255" s="2" t="s">
        <v>32</v>
      </c>
      <c r="AQ255" s="2" t="s">
        <v>32</v>
      </c>
      <c r="AR255" s="2" t="s">
        <v>1660</v>
      </c>
      <c r="AS255" s="2">
        <v>0</v>
      </c>
      <c r="AT255" s="2" t="s">
        <v>32</v>
      </c>
      <c r="AU255" s="2" t="s">
        <v>32</v>
      </c>
      <c r="AV255" s="2" t="s">
        <v>1660</v>
      </c>
      <c r="AW255" s="2">
        <v>0</v>
      </c>
      <c r="AX255" s="2" t="s">
        <v>1660</v>
      </c>
      <c r="AY255" s="2">
        <v>0</v>
      </c>
      <c r="AZ255" s="2" t="s">
        <v>1660</v>
      </c>
      <c r="BA255" s="2">
        <v>0</v>
      </c>
      <c r="BB255" s="2">
        <v>0</v>
      </c>
      <c r="BC255" s="2" t="s">
        <v>32</v>
      </c>
      <c r="BD255" s="2">
        <v>0</v>
      </c>
      <c r="BE255" s="2" t="s">
        <v>32</v>
      </c>
      <c r="BF255" s="2">
        <v>0</v>
      </c>
      <c r="BG255" s="2" t="s">
        <v>32</v>
      </c>
      <c r="BH255" s="2">
        <v>0</v>
      </c>
      <c r="BI255" s="2" t="s">
        <v>32</v>
      </c>
      <c r="BJ255" s="2" t="s">
        <v>32</v>
      </c>
      <c r="BK255" s="2" t="s">
        <v>32</v>
      </c>
      <c r="BL255" s="2">
        <v>0</v>
      </c>
      <c r="BM255" s="2" t="s">
        <v>32</v>
      </c>
      <c r="BN255" s="2" t="s">
        <v>32</v>
      </c>
      <c r="BO255" s="2" t="s">
        <v>32</v>
      </c>
      <c r="BP255" s="2">
        <v>0</v>
      </c>
      <c r="BQ255" s="2" t="s">
        <v>32</v>
      </c>
      <c r="BR255" s="2">
        <v>0</v>
      </c>
      <c r="BS255" s="2" t="s">
        <v>1660</v>
      </c>
      <c r="BT255" s="2">
        <v>0</v>
      </c>
      <c r="BU255" s="2">
        <v>0</v>
      </c>
      <c r="BV255" s="2" t="s">
        <v>1660</v>
      </c>
      <c r="BW255" s="2"/>
      <c r="BX255" s="2"/>
      <c r="BY255" s="2" t="s">
        <v>1807</v>
      </c>
      <c r="BZ255" s="2" t="b">
        <f>OR( (Dashboard[[#This Row],[ref_as_hh]]&gt;=1),(Dashboard[[#This Row],[ret_as_hh]] &gt;=1), (Dashboard[[#This Row],[idp_as_hh]]&gt;=1))</f>
        <v>0</v>
      </c>
      <c r="CA255" s="2">
        <f>Dashboard[[#This Row],[ret_hi_hh]]</f>
        <v>0</v>
      </c>
      <c r="CB255" s="2">
        <f>Dashboard[[#This Row],[idp_fa_hh]]+Dashboard[[#This Row],[ref_fa_hh]]+Dashboard[[#This Row],[ret_fa_hh]]</f>
        <v>25</v>
      </c>
      <c r="CC255" s="2">
        <f>Dashboard[[#This Row],[idp_loc_hh]]+Dashboard[[#This Row],[ref_loc_hh]]+Dashboard[[#This Row],[ret_loc_hh]]</f>
        <v>0</v>
      </c>
      <c r="CD255" s="2">
        <f>Dashboard[[#This Row],[idp_cc_hh]]+Dashboard[[#This Row],[ref_cc_hh]]+Dashboard[[#This Row],[ret_cc_hh]]</f>
        <v>0</v>
      </c>
      <c r="CE255" s="2">
        <f>Dashboard[[#This Row],[idp_as_hh]]+Dashboard[[#This Row],[ref_as_hh]]+Dashboard[[#This Row],[ret_as_hh]]</f>
        <v>0</v>
      </c>
      <c r="CF255" s="2">
        <f>Dashboard[[#This Row],[idp_al_hh]]+Dashboard[[#This Row],[ref_al_hh]]+Dashboard[[#This Row],[ret_al_hh]]</f>
        <v>0</v>
      </c>
    </row>
    <row r="256" spans="1:84" hidden="1" x14ac:dyDescent="0.25">
      <c r="A256" s="27">
        <v>364</v>
      </c>
      <c r="B256" s="2" t="s">
        <v>22</v>
      </c>
      <c r="C256" s="2" t="s">
        <v>23</v>
      </c>
      <c r="D256" s="2" t="s">
        <v>85</v>
      </c>
      <c r="E256" s="2" t="s">
        <v>84</v>
      </c>
      <c r="F256" s="2" t="s">
        <v>92</v>
      </c>
      <c r="G256" s="2" t="s">
        <v>91</v>
      </c>
      <c r="H256" s="2" t="s">
        <v>963</v>
      </c>
      <c r="I256" s="2" t="s">
        <v>287</v>
      </c>
      <c r="J256" s="2" t="s">
        <v>2426</v>
      </c>
      <c r="K256" s="2" t="s">
        <v>2427</v>
      </c>
      <c r="L256" s="2" t="s">
        <v>3693</v>
      </c>
      <c r="M256" s="2">
        <v>721</v>
      </c>
      <c r="N256" s="2" t="s">
        <v>1658</v>
      </c>
      <c r="O256" s="2">
        <v>86</v>
      </c>
      <c r="P256" s="2">
        <v>421</v>
      </c>
      <c r="Q256" s="2" t="s">
        <v>1658</v>
      </c>
      <c r="R256" s="2">
        <v>86</v>
      </c>
      <c r="S256" s="2" t="s">
        <v>1660</v>
      </c>
      <c r="T256" s="2">
        <v>0</v>
      </c>
      <c r="U256" s="2" t="s">
        <v>32</v>
      </c>
      <c r="V256" s="2" t="s">
        <v>32</v>
      </c>
      <c r="W256" s="2" t="s">
        <v>1660</v>
      </c>
      <c r="X256" s="2">
        <v>0</v>
      </c>
      <c r="Y256" s="2" t="s">
        <v>32</v>
      </c>
      <c r="Z256" s="2" t="s">
        <v>32</v>
      </c>
      <c r="AA256" s="2" t="s">
        <v>1660</v>
      </c>
      <c r="AB256" s="2">
        <v>0</v>
      </c>
      <c r="AC256" s="2" t="s">
        <v>1660</v>
      </c>
      <c r="AD256" s="2">
        <v>0</v>
      </c>
      <c r="AE256" s="2" t="s">
        <v>1660</v>
      </c>
      <c r="AF256" s="2">
        <v>0</v>
      </c>
      <c r="AG256" s="2">
        <v>0</v>
      </c>
      <c r="AH256" s="2" t="s">
        <v>32</v>
      </c>
      <c r="AI256" s="2" t="s">
        <v>32</v>
      </c>
      <c r="AJ256" s="2" t="s">
        <v>32</v>
      </c>
      <c r="AK256" s="2" t="s">
        <v>32</v>
      </c>
      <c r="AL256" s="2" t="s">
        <v>32</v>
      </c>
      <c r="AM256" s="2">
        <v>0</v>
      </c>
      <c r="AN256" s="2" t="s">
        <v>32</v>
      </c>
      <c r="AO256" s="2">
        <v>0</v>
      </c>
      <c r="AP256" s="2" t="s">
        <v>32</v>
      </c>
      <c r="AQ256" s="2" t="s">
        <v>32</v>
      </c>
      <c r="AR256" s="2" t="s">
        <v>32</v>
      </c>
      <c r="AS256" s="2">
        <v>0</v>
      </c>
      <c r="AT256" s="2" t="s">
        <v>32</v>
      </c>
      <c r="AU256" s="2" t="s">
        <v>32</v>
      </c>
      <c r="AV256" s="2" t="s">
        <v>32</v>
      </c>
      <c r="AW256" s="2">
        <v>0</v>
      </c>
      <c r="AX256" s="2" t="s">
        <v>32</v>
      </c>
      <c r="AY256" s="2">
        <v>0</v>
      </c>
      <c r="AZ256" s="2" t="s">
        <v>1660</v>
      </c>
      <c r="BA256" s="2">
        <v>0</v>
      </c>
      <c r="BB256" s="2">
        <v>0</v>
      </c>
      <c r="BC256" s="2" t="s">
        <v>32</v>
      </c>
      <c r="BD256" s="2">
        <v>0</v>
      </c>
      <c r="BE256" s="2" t="s">
        <v>32</v>
      </c>
      <c r="BF256" s="2">
        <v>0</v>
      </c>
      <c r="BG256" s="2" t="s">
        <v>32</v>
      </c>
      <c r="BH256" s="2">
        <v>0</v>
      </c>
      <c r="BI256" s="2" t="s">
        <v>32</v>
      </c>
      <c r="BJ256" s="2" t="s">
        <v>32</v>
      </c>
      <c r="BK256" s="2" t="s">
        <v>32</v>
      </c>
      <c r="BL256" s="2">
        <v>0</v>
      </c>
      <c r="BM256" s="2" t="s">
        <v>32</v>
      </c>
      <c r="BN256" s="2" t="s">
        <v>32</v>
      </c>
      <c r="BO256" s="2" t="s">
        <v>32</v>
      </c>
      <c r="BP256" s="2">
        <v>0</v>
      </c>
      <c r="BQ256" s="2" t="s">
        <v>32</v>
      </c>
      <c r="BR256" s="2">
        <v>0</v>
      </c>
      <c r="BS256" s="2" t="s">
        <v>1660</v>
      </c>
      <c r="BT256" s="2">
        <v>0</v>
      </c>
      <c r="BU256" s="2">
        <v>0</v>
      </c>
      <c r="BV256" s="2" t="s">
        <v>1660</v>
      </c>
      <c r="BW256" s="2"/>
      <c r="BX256" s="2"/>
      <c r="BY256" s="2" t="s">
        <v>1807</v>
      </c>
      <c r="BZ256" s="2" t="b">
        <f>OR( (Dashboard[[#This Row],[ref_as_hh]]&gt;=1),(Dashboard[[#This Row],[ret_as_hh]] &gt;=1), (Dashboard[[#This Row],[idp_as_hh]]&gt;=1))</f>
        <v>0</v>
      </c>
      <c r="CA256" s="2">
        <f>Dashboard[[#This Row],[ret_hi_hh]]</f>
        <v>0</v>
      </c>
      <c r="CB256" s="2">
        <f>Dashboard[[#This Row],[idp_fa_hh]]+Dashboard[[#This Row],[ref_fa_hh]]+Dashboard[[#This Row],[ret_fa_hh]]</f>
        <v>86</v>
      </c>
      <c r="CC256" s="2">
        <f>Dashboard[[#This Row],[idp_loc_hh]]+Dashboard[[#This Row],[ref_loc_hh]]+Dashboard[[#This Row],[ret_loc_hh]]</f>
        <v>0</v>
      </c>
      <c r="CD256" s="2">
        <f>Dashboard[[#This Row],[idp_cc_hh]]+Dashboard[[#This Row],[ref_cc_hh]]+Dashboard[[#This Row],[ret_cc_hh]]</f>
        <v>0</v>
      </c>
      <c r="CE256" s="2">
        <f>Dashboard[[#This Row],[idp_as_hh]]+Dashboard[[#This Row],[ref_as_hh]]+Dashboard[[#This Row],[ret_as_hh]]</f>
        <v>0</v>
      </c>
      <c r="CF256" s="2">
        <f>Dashboard[[#This Row],[idp_al_hh]]+Dashboard[[#This Row],[ref_al_hh]]+Dashboard[[#This Row],[ret_al_hh]]</f>
        <v>0</v>
      </c>
    </row>
    <row r="257" spans="1:84" x14ac:dyDescent="0.25">
      <c r="A257" s="27">
        <v>366</v>
      </c>
      <c r="B257" s="2" t="s">
        <v>22</v>
      </c>
      <c r="C257" s="2" t="s">
        <v>23</v>
      </c>
      <c r="D257" s="2" t="s">
        <v>85</v>
      </c>
      <c r="E257" s="2" t="s">
        <v>84</v>
      </c>
      <c r="F257" s="2" t="s">
        <v>92</v>
      </c>
      <c r="G257" s="2" t="s">
        <v>91</v>
      </c>
      <c r="H257" s="2" t="s">
        <v>1817</v>
      </c>
      <c r="I257" s="2" t="s">
        <v>1818</v>
      </c>
      <c r="J257" s="2" t="s">
        <v>2440</v>
      </c>
      <c r="K257" s="2" t="s">
        <v>2441</v>
      </c>
      <c r="L257" s="2" t="s">
        <v>2074</v>
      </c>
      <c r="M257" s="2">
        <v>1007</v>
      </c>
      <c r="N257" s="2" t="s">
        <v>1658</v>
      </c>
      <c r="O257" s="2">
        <v>49</v>
      </c>
      <c r="P257" s="2">
        <v>225</v>
      </c>
      <c r="Q257" s="2" t="s">
        <v>1658</v>
      </c>
      <c r="R257" s="2">
        <v>49</v>
      </c>
      <c r="S257" s="2" t="s">
        <v>1660</v>
      </c>
      <c r="T257" s="2">
        <v>0</v>
      </c>
      <c r="U257" s="2" t="s">
        <v>32</v>
      </c>
      <c r="V257" s="2" t="s">
        <v>32</v>
      </c>
      <c r="W257" s="2" t="s">
        <v>1660</v>
      </c>
      <c r="X257" s="2">
        <v>0</v>
      </c>
      <c r="Y257" s="2" t="s">
        <v>32</v>
      </c>
      <c r="Z257" s="2" t="s">
        <v>32</v>
      </c>
      <c r="AA257" s="2" t="s">
        <v>1660</v>
      </c>
      <c r="AB257" s="2">
        <v>0</v>
      </c>
      <c r="AC257" s="2" t="s">
        <v>1660</v>
      </c>
      <c r="AD257" s="2">
        <v>0</v>
      </c>
      <c r="AE257" s="2" t="s">
        <v>1658</v>
      </c>
      <c r="AF257" s="2">
        <v>45</v>
      </c>
      <c r="AG257" s="2">
        <v>175</v>
      </c>
      <c r="AH257" s="2" t="s">
        <v>1660</v>
      </c>
      <c r="AI257" s="2" t="s">
        <v>32</v>
      </c>
      <c r="AJ257" s="2" t="s">
        <v>32</v>
      </c>
      <c r="AK257" s="2" t="s">
        <v>32</v>
      </c>
      <c r="AL257" s="2" t="s">
        <v>1660</v>
      </c>
      <c r="AM257" s="2">
        <v>0</v>
      </c>
      <c r="AN257" s="2" t="s">
        <v>1660</v>
      </c>
      <c r="AO257" s="2">
        <v>0</v>
      </c>
      <c r="AP257" s="2" t="s">
        <v>32</v>
      </c>
      <c r="AQ257" s="2" t="s">
        <v>32</v>
      </c>
      <c r="AR257" s="2" t="s">
        <v>1660</v>
      </c>
      <c r="AS257" s="2">
        <v>0</v>
      </c>
      <c r="AT257" s="2" t="s">
        <v>32</v>
      </c>
      <c r="AU257" s="2" t="s">
        <v>32</v>
      </c>
      <c r="AV257" s="2" t="s">
        <v>1658</v>
      </c>
      <c r="AW257" s="2">
        <v>45</v>
      </c>
      <c r="AX257" s="2" t="s">
        <v>1660</v>
      </c>
      <c r="AY257" s="2">
        <v>0</v>
      </c>
      <c r="AZ257" s="2" t="s">
        <v>1660</v>
      </c>
      <c r="BA257" s="2">
        <v>0</v>
      </c>
      <c r="BB257" s="2">
        <v>0</v>
      </c>
      <c r="BC257" s="2" t="s">
        <v>32</v>
      </c>
      <c r="BD257" s="2">
        <v>0</v>
      </c>
      <c r="BE257" s="2" t="s">
        <v>32</v>
      </c>
      <c r="BF257" s="2">
        <v>0</v>
      </c>
      <c r="BG257" s="2" t="s">
        <v>32</v>
      </c>
      <c r="BH257" s="2">
        <v>0</v>
      </c>
      <c r="BI257" s="2" t="s">
        <v>32</v>
      </c>
      <c r="BJ257" s="2" t="s">
        <v>32</v>
      </c>
      <c r="BK257" s="2" t="s">
        <v>32</v>
      </c>
      <c r="BL257" s="2">
        <v>0</v>
      </c>
      <c r="BM257" s="2" t="s">
        <v>32</v>
      </c>
      <c r="BN257" s="2" t="s">
        <v>32</v>
      </c>
      <c r="BO257" s="2" t="s">
        <v>32</v>
      </c>
      <c r="BP257" s="2">
        <v>0</v>
      </c>
      <c r="BQ257" s="2" t="s">
        <v>32</v>
      </c>
      <c r="BR257" s="2">
        <v>0</v>
      </c>
      <c r="BS257" s="2" t="s">
        <v>1660</v>
      </c>
      <c r="BT257" s="2">
        <v>0</v>
      </c>
      <c r="BU257" s="2">
        <v>0</v>
      </c>
      <c r="BV257" s="2" t="s">
        <v>1660</v>
      </c>
      <c r="BW257" s="2"/>
      <c r="BX257" s="2"/>
      <c r="BY257" s="2" t="s">
        <v>1807</v>
      </c>
      <c r="BZ257" s="2" t="b">
        <f>OR( (Dashboard[[#This Row],[ref_as_hh]]&gt;=1),(Dashboard[[#This Row],[ret_as_hh]] &gt;=1), (Dashboard[[#This Row],[idp_as_hh]]&gt;=1))</f>
        <v>1</v>
      </c>
      <c r="CA257" s="2">
        <f>Dashboard[[#This Row],[ret_hi_hh]]</f>
        <v>0</v>
      </c>
      <c r="CB257" s="2">
        <f>Dashboard[[#This Row],[idp_fa_hh]]+Dashboard[[#This Row],[ref_fa_hh]]+Dashboard[[#This Row],[ret_fa_hh]]</f>
        <v>49</v>
      </c>
      <c r="CC257" s="2">
        <f>Dashboard[[#This Row],[idp_loc_hh]]+Dashboard[[#This Row],[ref_loc_hh]]+Dashboard[[#This Row],[ret_loc_hh]]</f>
        <v>0</v>
      </c>
      <c r="CD257" s="2">
        <f>Dashboard[[#This Row],[idp_cc_hh]]+Dashboard[[#This Row],[ref_cc_hh]]+Dashboard[[#This Row],[ret_cc_hh]]</f>
        <v>0</v>
      </c>
      <c r="CE257" s="2">
        <f>Dashboard[[#This Row],[idp_as_hh]]+Dashboard[[#This Row],[ref_as_hh]]+Dashboard[[#This Row],[ret_as_hh]]</f>
        <v>45</v>
      </c>
      <c r="CF257" s="2">
        <f>Dashboard[[#This Row],[idp_al_hh]]+Dashboard[[#This Row],[ref_al_hh]]+Dashboard[[#This Row],[ret_al_hh]]</f>
        <v>0</v>
      </c>
    </row>
    <row r="258" spans="1:84" hidden="1" x14ac:dyDescent="0.25">
      <c r="A258" s="27">
        <v>369</v>
      </c>
      <c r="B258" s="2" t="s">
        <v>22</v>
      </c>
      <c r="C258" s="2" t="s">
        <v>23</v>
      </c>
      <c r="D258" s="2" t="s">
        <v>85</v>
      </c>
      <c r="E258" s="2" t="s">
        <v>84</v>
      </c>
      <c r="F258" s="2" t="s">
        <v>92</v>
      </c>
      <c r="G258" s="2" t="s">
        <v>91</v>
      </c>
      <c r="H258" s="2" t="s">
        <v>965</v>
      </c>
      <c r="I258" s="2" t="s">
        <v>289</v>
      </c>
      <c r="J258" s="2" t="s">
        <v>2432</v>
      </c>
      <c r="K258" s="2" t="s">
        <v>2433</v>
      </c>
      <c r="L258" s="2" t="s">
        <v>2074</v>
      </c>
      <c r="M258" s="2">
        <v>57</v>
      </c>
      <c r="N258" s="2" t="s">
        <v>1658</v>
      </c>
      <c r="O258" s="2">
        <v>57</v>
      </c>
      <c r="P258" s="2">
        <v>253</v>
      </c>
      <c r="Q258" s="2" t="s">
        <v>1658</v>
      </c>
      <c r="R258" s="2">
        <v>57</v>
      </c>
      <c r="S258" s="2" t="s">
        <v>1660</v>
      </c>
      <c r="T258" s="2">
        <v>0</v>
      </c>
      <c r="U258" s="2" t="s">
        <v>32</v>
      </c>
      <c r="V258" s="2" t="s">
        <v>32</v>
      </c>
      <c r="W258" s="2" t="s">
        <v>1660</v>
      </c>
      <c r="X258" s="2">
        <v>0</v>
      </c>
      <c r="Y258" s="2" t="s">
        <v>32</v>
      </c>
      <c r="Z258" s="2" t="s">
        <v>32</v>
      </c>
      <c r="AA258" s="2" t="s">
        <v>1660</v>
      </c>
      <c r="AB258" s="2">
        <v>0</v>
      </c>
      <c r="AC258" s="2" t="s">
        <v>1660</v>
      </c>
      <c r="AD258" s="2">
        <v>0</v>
      </c>
      <c r="AE258" s="2" t="s">
        <v>1660</v>
      </c>
      <c r="AF258" s="2">
        <v>0</v>
      </c>
      <c r="AG258" s="2">
        <v>0</v>
      </c>
      <c r="AH258" s="2" t="s">
        <v>32</v>
      </c>
      <c r="AI258" s="2" t="s">
        <v>32</v>
      </c>
      <c r="AJ258" s="2" t="s">
        <v>32</v>
      </c>
      <c r="AK258" s="2" t="s">
        <v>32</v>
      </c>
      <c r="AL258" s="2" t="s">
        <v>32</v>
      </c>
      <c r="AM258" s="2">
        <v>0</v>
      </c>
      <c r="AN258" s="2" t="s">
        <v>32</v>
      </c>
      <c r="AO258" s="2">
        <v>0</v>
      </c>
      <c r="AP258" s="2" t="s">
        <v>32</v>
      </c>
      <c r="AQ258" s="2" t="s">
        <v>32</v>
      </c>
      <c r="AR258" s="2" t="s">
        <v>32</v>
      </c>
      <c r="AS258" s="2">
        <v>0</v>
      </c>
      <c r="AT258" s="2" t="s">
        <v>32</v>
      </c>
      <c r="AU258" s="2" t="s">
        <v>32</v>
      </c>
      <c r="AV258" s="2" t="s">
        <v>32</v>
      </c>
      <c r="AW258" s="2">
        <v>0</v>
      </c>
      <c r="AX258" s="2" t="s">
        <v>32</v>
      </c>
      <c r="AY258" s="2">
        <v>0</v>
      </c>
      <c r="AZ258" s="2" t="s">
        <v>1660</v>
      </c>
      <c r="BA258" s="2">
        <v>0</v>
      </c>
      <c r="BB258" s="2">
        <v>0</v>
      </c>
      <c r="BC258" s="2" t="s">
        <v>32</v>
      </c>
      <c r="BD258" s="2">
        <v>0</v>
      </c>
      <c r="BE258" s="2" t="s">
        <v>32</v>
      </c>
      <c r="BF258" s="2">
        <v>0</v>
      </c>
      <c r="BG258" s="2" t="s">
        <v>32</v>
      </c>
      <c r="BH258" s="2">
        <v>0</v>
      </c>
      <c r="BI258" s="2" t="s">
        <v>32</v>
      </c>
      <c r="BJ258" s="2" t="s">
        <v>32</v>
      </c>
      <c r="BK258" s="2" t="s">
        <v>32</v>
      </c>
      <c r="BL258" s="2">
        <v>0</v>
      </c>
      <c r="BM258" s="2" t="s">
        <v>32</v>
      </c>
      <c r="BN258" s="2" t="s">
        <v>32</v>
      </c>
      <c r="BO258" s="2" t="s">
        <v>32</v>
      </c>
      <c r="BP258" s="2">
        <v>0</v>
      </c>
      <c r="BQ258" s="2" t="s">
        <v>32</v>
      </c>
      <c r="BR258" s="2">
        <v>0</v>
      </c>
      <c r="BS258" s="2" t="s">
        <v>1660</v>
      </c>
      <c r="BT258" s="2">
        <v>0</v>
      </c>
      <c r="BU258" s="2">
        <v>0</v>
      </c>
      <c r="BV258" s="2" t="s">
        <v>1660</v>
      </c>
      <c r="BW258" s="2"/>
      <c r="BX258" s="2"/>
      <c r="BY258" s="2" t="s">
        <v>1807</v>
      </c>
      <c r="BZ258" s="2" t="b">
        <f>OR( (Dashboard[[#This Row],[ref_as_hh]]&gt;=1),(Dashboard[[#This Row],[ret_as_hh]] &gt;=1), (Dashboard[[#This Row],[idp_as_hh]]&gt;=1))</f>
        <v>0</v>
      </c>
      <c r="CA258" s="2">
        <f>Dashboard[[#This Row],[ret_hi_hh]]</f>
        <v>0</v>
      </c>
      <c r="CB258" s="2">
        <f>Dashboard[[#This Row],[idp_fa_hh]]+Dashboard[[#This Row],[ref_fa_hh]]+Dashboard[[#This Row],[ret_fa_hh]]</f>
        <v>57</v>
      </c>
      <c r="CC258" s="2">
        <f>Dashboard[[#This Row],[idp_loc_hh]]+Dashboard[[#This Row],[ref_loc_hh]]+Dashboard[[#This Row],[ret_loc_hh]]</f>
        <v>0</v>
      </c>
      <c r="CD258" s="2">
        <f>Dashboard[[#This Row],[idp_cc_hh]]+Dashboard[[#This Row],[ref_cc_hh]]+Dashboard[[#This Row],[ret_cc_hh]]</f>
        <v>0</v>
      </c>
      <c r="CE258" s="2">
        <f>Dashboard[[#This Row],[idp_as_hh]]+Dashboard[[#This Row],[ref_as_hh]]+Dashboard[[#This Row],[ret_as_hh]]</f>
        <v>0</v>
      </c>
      <c r="CF258" s="2">
        <f>Dashboard[[#This Row],[idp_al_hh]]+Dashboard[[#This Row],[ref_al_hh]]+Dashboard[[#This Row],[ret_al_hh]]</f>
        <v>0</v>
      </c>
    </row>
    <row r="259" spans="1:84" x14ac:dyDescent="0.25">
      <c r="A259" s="27">
        <v>398</v>
      </c>
      <c r="B259" s="2" t="s">
        <v>22</v>
      </c>
      <c r="C259" s="2" t="s">
        <v>23</v>
      </c>
      <c r="D259" s="2" t="s">
        <v>85</v>
      </c>
      <c r="E259" s="2" t="s">
        <v>84</v>
      </c>
      <c r="F259" s="2" t="s">
        <v>92</v>
      </c>
      <c r="G259" s="2" t="s">
        <v>91</v>
      </c>
      <c r="H259" s="2" t="s">
        <v>967</v>
      </c>
      <c r="I259" s="2" t="s">
        <v>966</v>
      </c>
      <c r="J259" s="2" t="s">
        <v>2434</v>
      </c>
      <c r="K259" s="2" t="s">
        <v>2435</v>
      </c>
      <c r="L259" s="2" t="s">
        <v>2074</v>
      </c>
      <c r="M259" s="2">
        <v>635</v>
      </c>
      <c r="N259" s="2" t="s">
        <v>1658</v>
      </c>
      <c r="O259" s="2">
        <v>36</v>
      </c>
      <c r="P259" s="2">
        <v>150</v>
      </c>
      <c r="Q259" s="2" t="s">
        <v>32</v>
      </c>
      <c r="R259" s="2">
        <v>0</v>
      </c>
      <c r="S259" s="2" t="s">
        <v>1660</v>
      </c>
      <c r="T259" s="2">
        <v>0</v>
      </c>
      <c r="U259" s="2" t="s">
        <v>32</v>
      </c>
      <c r="V259" s="2" t="s">
        <v>32</v>
      </c>
      <c r="W259" s="2" t="s">
        <v>1660</v>
      </c>
      <c r="X259" s="2">
        <v>0</v>
      </c>
      <c r="Y259" s="2" t="s">
        <v>32</v>
      </c>
      <c r="Z259" s="2" t="s">
        <v>32</v>
      </c>
      <c r="AA259" s="2" t="s">
        <v>1658</v>
      </c>
      <c r="AB259" s="2">
        <v>36</v>
      </c>
      <c r="AC259" s="2" t="s">
        <v>1660</v>
      </c>
      <c r="AD259" s="2">
        <v>0</v>
      </c>
      <c r="AE259" s="2" t="s">
        <v>1658</v>
      </c>
      <c r="AF259" s="2">
        <v>62</v>
      </c>
      <c r="AG259" s="2">
        <v>310</v>
      </c>
      <c r="AH259" s="2" t="s">
        <v>1660</v>
      </c>
      <c r="AI259" s="2" t="s">
        <v>32</v>
      </c>
      <c r="AJ259" s="2" t="s">
        <v>32</v>
      </c>
      <c r="AK259" s="2" t="s">
        <v>32</v>
      </c>
      <c r="AL259" s="2" t="s">
        <v>32</v>
      </c>
      <c r="AM259" s="2">
        <v>0</v>
      </c>
      <c r="AN259" s="2" t="s">
        <v>1660</v>
      </c>
      <c r="AO259" s="2">
        <v>0</v>
      </c>
      <c r="AP259" s="2" t="s">
        <v>32</v>
      </c>
      <c r="AQ259" s="2" t="s">
        <v>32</v>
      </c>
      <c r="AR259" s="2" t="s">
        <v>1660</v>
      </c>
      <c r="AS259" s="2">
        <v>0</v>
      </c>
      <c r="AT259" s="2" t="s">
        <v>32</v>
      </c>
      <c r="AU259" s="2" t="s">
        <v>32</v>
      </c>
      <c r="AV259" s="2" t="s">
        <v>1658</v>
      </c>
      <c r="AW259" s="2">
        <v>62</v>
      </c>
      <c r="AX259" s="2" t="s">
        <v>1660</v>
      </c>
      <c r="AY259" s="2">
        <v>0</v>
      </c>
      <c r="AZ259" s="2" t="s">
        <v>1660</v>
      </c>
      <c r="BA259" s="2">
        <v>0</v>
      </c>
      <c r="BB259" s="2">
        <v>0</v>
      </c>
      <c r="BC259" s="2" t="s">
        <v>32</v>
      </c>
      <c r="BD259" s="2">
        <v>0</v>
      </c>
      <c r="BE259" s="2" t="s">
        <v>32</v>
      </c>
      <c r="BF259" s="2">
        <v>0</v>
      </c>
      <c r="BG259" s="2" t="s">
        <v>32</v>
      </c>
      <c r="BH259" s="2">
        <v>0</v>
      </c>
      <c r="BI259" s="2" t="s">
        <v>32</v>
      </c>
      <c r="BJ259" s="2" t="s">
        <v>32</v>
      </c>
      <c r="BK259" s="2" t="s">
        <v>32</v>
      </c>
      <c r="BL259" s="2">
        <v>0</v>
      </c>
      <c r="BM259" s="2" t="s">
        <v>32</v>
      </c>
      <c r="BN259" s="2" t="s">
        <v>32</v>
      </c>
      <c r="BO259" s="2" t="s">
        <v>32</v>
      </c>
      <c r="BP259" s="2">
        <v>0</v>
      </c>
      <c r="BQ259" s="2" t="s">
        <v>32</v>
      </c>
      <c r="BR259" s="2">
        <v>0</v>
      </c>
      <c r="BS259" s="2" t="s">
        <v>1660</v>
      </c>
      <c r="BT259" s="2">
        <v>0</v>
      </c>
      <c r="BU259" s="2">
        <v>0</v>
      </c>
      <c r="BV259" s="2" t="s">
        <v>1660</v>
      </c>
      <c r="BW259" s="2"/>
      <c r="BX259" s="2"/>
      <c r="BY259" s="2" t="s">
        <v>1807</v>
      </c>
      <c r="BZ259" s="2" t="b">
        <f>OR( (Dashboard[[#This Row],[ref_as_hh]]&gt;=1),(Dashboard[[#This Row],[ret_as_hh]] &gt;=1), (Dashboard[[#This Row],[idp_as_hh]]&gt;=1))</f>
        <v>1</v>
      </c>
      <c r="CA259" s="2">
        <f>Dashboard[[#This Row],[ret_hi_hh]]</f>
        <v>0</v>
      </c>
      <c r="CB259" s="2">
        <f>Dashboard[[#This Row],[idp_fa_hh]]+Dashboard[[#This Row],[ref_fa_hh]]+Dashboard[[#This Row],[ret_fa_hh]]</f>
        <v>0</v>
      </c>
      <c r="CC259" s="2">
        <f>Dashboard[[#This Row],[idp_loc_hh]]+Dashboard[[#This Row],[ref_loc_hh]]+Dashboard[[#This Row],[ret_loc_hh]]</f>
        <v>0</v>
      </c>
      <c r="CD259" s="2">
        <f>Dashboard[[#This Row],[idp_cc_hh]]+Dashboard[[#This Row],[ref_cc_hh]]+Dashboard[[#This Row],[ret_cc_hh]]</f>
        <v>0</v>
      </c>
      <c r="CE259" s="2">
        <f>Dashboard[[#This Row],[idp_as_hh]]+Dashboard[[#This Row],[ref_as_hh]]+Dashboard[[#This Row],[ret_as_hh]]</f>
        <v>98</v>
      </c>
      <c r="CF259" s="2">
        <f>Dashboard[[#This Row],[idp_al_hh]]+Dashboard[[#This Row],[ref_al_hh]]+Dashboard[[#This Row],[ret_al_hh]]</f>
        <v>0</v>
      </c>
    </row>
    <row r="260" spans="1:84" hidden="1" x14ac:dyDescent="0.25">
      <c r="A260" s="27">
        <v>399</v>
      </c>
      <c r="B260" s="2" t="s">
        <v>22</v>
      </c>
      <c r="C260" s="2" t="s">
        <v>23</v>
      </c>
      <c r="D260" s="2" t="s">
        <v>85</v>
      </c>
      <c r="E260" s="2" t="s">
        <v>84</v>
      </c>
      <c r="F260" s="2" t="s">
        <v>92</v>
      </c>
      <c r="G260" s="2" t="s">
        <v>91</v>
      </c>
      <c r="H260" s="2" t="s">
        <v>955</v>
      </c>
      <c r="I260" s="2" t="s">
        <v>954</v>
      </c>
      <c r="J260" s="2" t="s">
        <v>2402</v>
      </c>
      <c r="K260" s="2" t="s">
        <v>2403</v>
      </c>
      <c r="L260" s="2" t="s">
        <v>2074</v>
      </c>
      <c r="M260" s="2">
        <v>1450</v>
      </c>
      <c r="N260" s="2" t="s">
        <v>1658</v>
      </c>
      <c r="O260" s="2">
        <v>55</v>
      </c>
      <c r="P260" s="2">
        <v>440</v>
      </c>
      <c r="Q260" s="2" t="s">
        <v>1658</v>
      </c>
      <c r="R260" s="2">
        <v>55</v>
      </c>
      <c r="S260" s="2" t="s">
        <v>1660</v>
      </c>
      <c r="T260" s="2">
        <v>0</v>
      </c>
      <c r="U260" s="2" t="s">
        <v>32</v>
      </c>
      <c r="V260" s="2" t="s">
        <v>32</v>
      </c>
      <c r="W260" s="2" t="s">
        <v>1660</v>
      </c>
      <c r="X260" s="2">
        <v>0</v>
      </c>
      <c r="Y260" s="2" t="s">
        <v>32</v>
      </c>
      <c r="Z260" s="2" t="s">
        <v>32</v>
      </c>
      <c r="AA260" s="2" t="s">
        <v>1660</v>
      </c>
      <c r="AB260" s="2">
        <v>0</v>
      </c>
      <c r="AC260" s="2" t="s">
        <v>1660</v>
      </c>
      <c r="AD260" s="2">
        <v>0</v>
      </c>
      <c r="AE260" s="2" t="s">
        <v>1660</v>
      </c>
      <c r="AF260" s="2">
        <v>0</v>
      </c>
      <c r="AG260" s="2">
        <v>0</v>
      </c>
      <c r="AH260" s="2" t="s">
        <v>32</v>
      </c>
      <c r="AI260" s="2" t="s">
        <v>32</v>
      </c>
      <c r="AJ260" s="2" t="s">
        <v>32</v>
      </c>
      <c r="AK260" s="2" t="s">
        <v>32</v>
      </c>
      <c r="AL260" s="2" t="s">
        <v>32</v>
      </c>
      <c r="AM260" s="2">
        <v>0</v>
      </c>
      <c r="AN260" s="2" t="s">
        <v>32</v>
      </c>
      <c r="AO260" s="2">
        <v>0</v>
      </c>
      <c r="AP260" s="2" t="s">
        <v>32</v>
      </c>
      <c r="AQ260" s="2" t="s">
        <v>32</v>
      </c>
      <c r="AR260" s="2" t="s">
        <v>32</v>
      </c>
      <c r="AS260" s="2">
        <v>0</v>
      </c>
      <c r="AT260" s="2" t="s">
        <v>32</v>
      </c>
      <c r="AU260" s="2" t="s">
        <v>32</v>
      </c>
      <c r="AV260" s="2" t="s">
        <v>32</v>
      </c>
      <c r="AW260" s="2">
        <v>0</v>
      </c>
      <c r="AX260" s="2" t="s">
        <v>32</v>
      </c>
      <c r="AY260" s="2">
        <v>0</v>
      </c>
      <c r="AZ260" s="2" t="s">
        <v>1660</v>
      </c>
      <c r="BA260" s="2">
        <v>0</v>
      </c>
      <c r="BB260" s="2">
        <v>0</v>
      </c>
      <c r="BC260" s="2" t="s">
        <v>32</v>
      </c>
      <c r="BD260" s="2">
        <v>0</v>
      </c>
      <c r="BE260" s="2" t="s">
        <v>32</v>
      </c>
      <c r="BF260" s="2">
        <v>0</v>
      </c>
      <c r="BG260" s="2" t="s">
        <v>32</v>
      </c>
      <c r="BH260" s="2">
        <v>0</v>
      </c>
      <c r="BI260" s="2" t="s">
        <v>32</v>
      </c>
      <c r="BJ260" s="2" t="s">
        <v>32</v>
      </c>
      <c r="BK260" s="2" t="s">
        <v>32</v>
      </c>
      <c r="BL260" s="2">
        <v>0</v>
      </c>
      <c r="BM260" s="2" t="s">
        <v>32</v>
      </c>
      <c r="BN260" s="2" t="s">
        <v>32</v>
      </c>
      <c r="BO260" s="2" t="s">
        <v>32</v>
      </c>
      <c r="BP260" s="2">
        <v>0</v>
      </c>
      <c r="BQ260" s="2" t="s">
        <v>32</v>
      </c>
      <c r="BR260" s="2">
        <v>0</v>
      </c>
      <c r="BS260" s="2" t="s">
        <v>1660</v>
      </c>
      <c r="BT260" s="2">
        <v>0</v>
      </c>
      <c r="BU260" s="2">
        <v>0</v>
      </c>
      <c r="BV260" s="2" t="s">
        <v>1660</v>
      </c>
      <c r="BW260" s="2"/>
      <c r="BX260" s="2"/>
      <c r="BY260" s="2" t="s">
        <v>1807</v>
      </c>
      <c r="BZ260" s="2" t="b">
        <f>OR( (Dashboard[[#This Row],[ref_as_hh]]&gt;=1),(Dashboard[[#This Row],[ret_as_hh]] &gt;=1), (Dashboard[[#This Row],[idp_as_hh]]&gt;=1))</f>
        <v>0</v>
      </c>
      <c r="CA260" s="2">
        <f>Dashboard[[#This Row],[ret_hi_hh]]</f>
        <v>0</v>
      </c>
      <c r="CB260" s="2">
        <f>Dashboard[[#This Row],[idp_fa_hh]]+Dashboard[[#This Row],[ref_fa_hh]]+Dashboard[[#This Row],[ret_fa_hh]]</f>
        <v>55</v>
      </c>
      <c r="CC260" s="2">
        <f>Dashboard[[#This Row],[idp_loc_hh]]+Dashboard[[#This Row],[ref_loc_hh]]+Dashboard[[#This Row],[ret_loc_hh]]</f>
        <v>0</v>
      </c>
      <c r="CD260" s="2">
        <f>Dashboard[[#This Row],[idp_cc_hh]]+Dashboard[[#This Row],[ref_cc_hh]]+Dashboard[[#This Row],[ret_cc_hh]]</f>
        <v>0</v>
      </c>
      <c r="CE260" s="2">
        <f>Dashboard[[#This Row],[idp_as_hh]]+Dashboard[[#This Row],[ref_as_hh]]+Dashboard[[#This Row],[ret_as_hh]]</f>
        <v>0</v>
      </c>
      <c r="CF260" s="2">
        <f>Dashboard[[#This Row],[idp_al_hh]]+Dashboard[[#This Row],[ref_al_hh]]+Dashboard[[#This Row],[ret_al_hh]]</f>
        <v>0</v>
      </c>
    </row>
    <row r="261" spans="1:84" hidden="1" x14ac:dyDescent="0.25">
      <c r="A261" s="27">
        <v>400</v>
      </c>
      <c r="B261" s="2" t="s">
        <v>22</v>
      </c>
      <c r="C261" s="2" t="s">
        <v>23</v>
      </c>
      <c r="D261" s="2" t="s">
        <v>85</v>
      </c>
      <c r="E261" s="2" t="s">
        <v>84</v>
      </c>
      <c r="F261" s="2" t="s">
        <v>92</v>
      </c>
      <c r="G261" s="2" t="s">
        <v>91</v>
      </c>
      <c r="H261" s="2" t="s">
        <v>946</v>
      </c>
      <c r="I261" s="2" t="s">
        <v>277</v>
      </c>
      <c r="J261" s="2" t="s">
        <v>2382</v>
      </c>
      <c r="K261" s="2" t="s">
        <v>2383</v>
      </c>
      <c r="L261" s="2" t="s">
        <v>2074</v>
      </c>
      <c r="M261" s="2">
        <v>0</v>
      </c>
      <c r="N261" s="2" t="s">
        <v>1660</v>
      </c>
      <c r="O261" s="2">
        <v>0</v>
      </c>
      <c r="P261" s="2">
        <v>0</v>
      </c>
      <c r="Q261" s="2" t="s">
        <v>32</v>
      </c>
      <c r="R261" s="2">
        <v>0</v>
      </c>
      <c r="S261" s="2" t="s">
        <v>32</v>
      </c>
      <c r="T261" s="2">
        <v>0</v>
      </c>
      <c r="U261" s="2" t="s">
        <v>32</v>
      </c>
      <c r="V261" s="2" t="s">
        <v>32</v>
      </c>
      <c r="W261" s="2" t="s">
        <v>32</v>
      </c>
      <c r="X261" s="2">
        <v>0</v>
      </c>
      <c r="Y261" s="2" t="s">
        <v>32</v>
      </c>
      <c r="Z261" s="2" t="s">
        <v>32</v>
      </c>
      <c r="AA261" s="2" t="s">
        <v>32</v>
      </c>
      <c r="AB261" s="2">
        <v>0</v>
      </c>
      <c r="AC261" s="2" t="s">
        <v>32</v>
      </c>
      <c r="AD261" s="2">
        <v>0</v>
      </c>
      <c r="AE261" s="2" t="s">
        <v>1660</v>
      </c>
      <c r="AF261" s="2">
        <v>0</v>
      </c>
      <c r="AG261" s="2">
        <v>0</v>
      </c>
      <c r="AH261" s="2" t="s">
        <v>32</v>
      </c>
      <c r="AI261" s="2" t="s">
        <v>32</v>
      </c>
      <c r="AJ261" s="2" t="s">
        <v>32</v>
      </c>
      <c r="AK261" s="2" t="s">
        <v>32</v>
      </c>
      <c r="AL261" s="2" t="s">
        <v>32</v>
      </c>
      <c r="AM261" s="2">
        <v>0</v>
      </c>
      <c r="AN261" s="2" t="s">
        <v>32</v>
      </c>
      <c r="AO261" s="2">
        <v>0</v>
      </c>
      <c r="AP261" s="2" t="s">
        <v>32</v>
      </c>
      <c r="AQ261" s="2" t="s">
        <v>32</v>
      </c>
      <c r="AR261" s="2" t="s">
        <v>32</v>
      </c>
      <c r="AS261" s="2">
        <v>0</v>
      </c>
      <c r="AT261" s="2" t="s">
        <v>32</v>
      </c>
      <c r="AU261" s="2" t="s">
        <v>32</v>
      </c>
      <c r="AV261" s="2" t="s">
        <v>32</v>
      </c>
      <c r="AW261" s="2">
        <v>0</v>
      </c>
      <c r="AX261" s="2" t="s">
        <v>32</v>
      </c>
      <c r="AY261" s="2">
        <v>0</v>
      </c>
      <c r="AZ261" s="2" t="s">
        <v>1660</v>
      </c>
      <c r="BA261" s="2">
        <v>0</v>
      </c>
      <c r="BB261" s="2">
        <v>0</v>
      </c>
      <c r="BC261" s="2" t="s">
        <v>32</v>
      </c>
      <c r="BD261" s="2">
        <v>0</v>
      </c>
      <c r="BE261" s="2" t="s">
        <v>32</v>
      </c>
      <c r="BF261" s="2">
        <v>0</v>
      </c>
      <c r="BG261" s="2" t="s">
        <v>32</v>
      </c>
      <c r="BH261" s="2">
        <v>0</v>
      </c>
      <c r="BI261" s="2" t="s">
        <v>32</v>
      </c>
      <c r="BJ261" s="2" t="s">
        <v>32</v>
      </c>
      <c r="BK261" s="2" t="s">
        <v>32</v>
      </c>
      <c r="BL261" s="2">
        <v>0</v>
      </c>
      <c r="BM261" s="2" t="s">
        <v>32</v>
      </c>
      <c r="BN261" s="2" t="s">
        <v>32</v>
      </c>
      <c r="BO261" s="2" t="s">
        <v>32</v>
      </c>
      <c r="BP261" s="2">
        <v>0</v>
      </c>
      <c r="BQ261" s="2" t="s">
        <v>32</v>
      </c>
      <c r="BR261" s="2">
        <v>0</v>
      </c>
      <c r="BS261" s="2" t="s">
        <v>1660</v>
      </c>
      <c r="BT261" s="2">
        <v>0</v>
      </c>
      <c r="BU261" s="2">
        <v>0</v>
      </c>
      <c r="BV261" s="2" t="s">
        <v>1660</v>
      </c>
      <c r="BW261" s="2"/>
      <c r="BX261" s="2"/>
      <c r="BY261" s="2" t="s">
        <v>1807</v>
      </c>
      <c r="BZ261" s="2" t="b">
        <f>OR( (Dashboard[[#This Row],[ref_as_hh]]&gt;=1),(Dashboard[[#This Row],[ret_as_hh]] &gt;=1), (Dashboard[[#This Row],[idp_as_hh]]&gt;=1))</f>
        <v>0</v>
      </c>
      <c r="CA261" s="2">
        <f>Dashboard[[#This Row],[ret_hi_hh]]</f>
        <v>0</v>
      </c>
      <c r="CB261" s="2">
        <f>Dashboard[[#This Row],[idp_fa_hh]]+Dashboard[[#This Row],[ref_fa_hh]]+Dashboard[[#This Row],[ret_fa_hh]]</f>
        <v>0</v>
      </c>
      <c r="CC261" s="2">
        <f>Dashboard[[#This Row],[idp_loc_hh]]+Dashboard[[#This Row],[ref_loc_hh]]+Dashboard[[#This Row],[ret_loc_hh]]</f>
        <v>0</v>
      </c>
      <c r="CD261" s="2">
        <f>Dashboard[[#This Row],[idp_cc_hh]]+Dashboard[[#This Row],[ref_cc_hh]]+Dashboard[[#This Row],[ret_cc_hh]]</f>
        <v>0</v>
      </c>
      <c r="CE261" s="2">
        <f>Dashboard[[#This Row],[idp_as_hh]]+Dashboard[[#This Row],[ref_as_hh]]+Dashboard[[#This Row],[ret_as_hh]]</f>
        <v>0</v>
      </c>
      <c r="CF261" s="2">
        <f>Dashboard[[#This Row],[idp_al_hh]]+Dashboard[[#This Row],[ref_al_hh]]+Dashboard[[#This Row],[ret_al_hh]]</f>
        <v>0</v>
      </c>
    </row>
    <row r="262" spans="1:84" hidden="1" x14ac:dyDescent="0.25">
      <c r="A262" s="27">
        <v>401</v>
      </c>
      <c r="B262" s="2" t="s">
        <v>22</v>
      </c>
      <c r="C262" s="2" t="s">
        <v>23</v>
      </c>
      <c r="D262" s="2" t="s">
        <v>85</v>
      </c>
      <c r="E262" s="2" t="s">
        <v>84</v>
      </c>
      <c r="F262" s="2" t="s">
        <v>92</v>
      </c>
      <c r="G262" s="2" t="s">
        <v>91</v>
      </c>
      <c r="H262" s="2" t="s">
        <v>1669</v>
      </c>
      <c r="I262" s="2" t="s">
        <v>693</v>
      </c>
      <c r="J262" s="2" t="s">
        <v>2384</v>
      </c>
      <c r="K262" s="2" t="s">
        <v>2385</v>
      </c>
      <c r="L262" s="2" t="s">
        <v>2074</v>
      </c>
      <c r="M262" s="2">
        <v>0</v>
      </c>
      <c r="N262" s="2" t="s">
        <v>1660</v>
      </c>
      <c r="O262" s="2">
        <v>0</v>
      </c>
      <c r="P262" s="2">
        <v>0</v>
      </c>
      <c r="Q262" s="2" t="s">
        <v>32</v>
      </c>
      <c r="R262" s="2">
        <v>0</v>
      </c>
      <c r="S262" s="2" t="s">
        <v>32</v>
      </c>
      <c r="T262" s="2">
        <v>0</v>
      </c>
      <c r="U262" s="2" t="s">
        <v>32</v>
      </c>
      <c r="V262" s="2" t="s">
        <v>32</v>
      </c>
      <c r="W262" s="2" t="s">
        <v>32</v>
      </c>
      <c r="X262" s="2">
        <v>0</v>
      </c>
      <c r="Y262" s="2" t="s">
        <v>32</v>
      </c>
      <c r="Z262" s="2" t="s">
        <v>32</v>
      </c>
      <c r="AA262" s="2" t="s">
        <v>32</v>
      </c>
      <c r="AB262" s="2">
        <v>0</v>
      </c>
      <c r="AC262" s="2" t="s">
        <v>32</v>
      </c>
      <c r="AD262" s="2">
        <v>0</v>
      </c>
      <c r="AE262" s="2" t="s">
        <v>1660</v>
      </c>
      <c r="AF262" s="2">
        <v>0</v>
      </c>
      <c r="AG262" s="2">
        <v>0</v>
      </c>
      <c r="AH262" s="2" t="s">
        <v>32</v>
      </c>
      <c r="AI262" s="2" t="s">
        <v>32</v>
      </c>
      <c r="AJ262" s="2" t="s">
        <v>32</v>
      </c>
      <c r="AK262" s="2" t="s">
        <v>32</v>
      </c>
      <c r="AL262" s="2" t="s">
        <v>32</v>
      </c>
      <c r="AM262" s="2">
        <v>0</v>
      </c>
      <c r="AN262" s="2" t="s">
        <v>32</v>
      </c>
      <c r="AO262" s="2">
        <v>0</v>
      </c>
      <c r="AP262" s="2" t="s">
        <v>32</v>
      </c>
      <c r="AQ262" s="2" t="s">
        <v>32</v>
      </c>
      <c r="AR262" s="2" t="s">
        <v>32</v>
      </c>
      <c r="AS262" s="2">
        <v>0</v>
      </c>
      <c r="AT262" s="2" t="s">
        <v>32</v>
      </c>
      <c r="AU262" s="2" t="s">
        <v>32</v>
      </c>
      <c r="AV262" s="2" t="s">
        <v>32</v>
      </c>
      <c r="AW262" s="2">
        <v>0</v>
      </c>
      <c r="AX262" s="2" t="s">
        <v>32</v>
      </c>
      <c r="AY262" s="2">
        <v>0</v>
      </c>
      <c r="AZ262" s="2" t="s">
        <v>1660</v>
      </c>
      <c r="BA262" s="2">
        <v>0</v>
      </c>
      <c r="BB262" s="2">
        <v>0</v>
      </c>
      <c r="BC262" s="2" t="s">
        <v>32</v>
      </c>
      <c r="BD262" s="2">
        <v>0</v>
      </c>
      <c r="BE262" s="2" t="s">
        <v>32</v>
      </c>
      <c r="BF262" s="2">
        <v>0</v>
      </c>
      <c r="BG262" s="2" t="s">
        <v>32</v>
      </c>
      <c r="BH262" s="2">
        <v>0</v>
      </c>
      <c r="BI262" s="2" t="s">
        <v>32</v>
      </c>
      <c r="BJ262" s="2" t="s">
        <v>32</v>
      </c>
      <c r="BK262" s="2" t="s">
        <v>32</v>
      </c>
      <c r="BL262" s="2">
        <v>0</v>
      </c>
      <c r="BM262" s="2" t="s">
        <v>32</v>
      </c>
      <c r="BN262" s="2" t="s">
        <v>32</v>
      </c>
      <c r="BO262" s="2" t="s">
        <v>32</v>
      </c>
      <c r="BP262" s="2">
        <v>0</v>
      </c>
      <c r="BQ262" s="2" t="s">
        <v>32</v>
      </c>
      <c r="BR262" s="2">
        <v>0</v>
      </c>
      <c r="BS262" s="2" t="s">
        <v>1660</v>
      </c>
      <c r="BT262" s="2">
        <v>0</v>
      </c>
      <c r="BU262" s="2">
        <v>0</v>
      </c>
      <c r="BV262" s="2" t="s">
        <v>1660</v>
      </c>
      <c r="BW262" s="2"/>
      <c r="BX262" s="2"/>
      <c r="BY262" s="2" t="s">
        <v>1807</v>
      </c>
      <c r="BZ262" s="2" t="b">
        <f>OR( (Dashboard[[#This Row],[ref_as_hh]]&gt;=1),(Dashboard[[#This Row],[ret_as_hh]] &gt;=1), (Dashboard[[#This Row],[idp_as_hh]]&gt;=1))</f>
        <v>0</v>
      </c>
      <c r="CA262" s="2">
        <f>Dashboard[[#This Row],[ret_hi_hh]]</f>
        <v>0</v>
      </c>
      <c r="CB262" s="2">
        <f>Dashboard[[#This Row],[idp_fa_hh]]+Dashboard[[#This Row],[ref_fa_hh]]+Dashboard[[#This Row],[ret_fa_hh]]</f>
        <v>0</v>
      </c>
      <c r="CC262" s="2">
        <f>Dashboard[[#This Row],[idp_loc_hh]]+Dashboard[[#This Row],[ref_loc_hh]]+Dashboard[[#This Row],[ret_loc_hh]]</f>
        <v>0</v>
      </c>
      <c r="CD262" s="2">
        <f>Dashboard[[#This Row],[idp_cc_hh]]+Dashboard[[#This Row],[ref_cc_hh]]+Dashboard[[#This Row],[ret_cc_hh]]</f>
        <v>0</v>
      </c>
      <c r="CE262" s="2">
        <f>Dashboard[[#This Row],[idp_as_hh]]+Dashboard[[#This Row],[ref_as_hh]]+Dashboard[[#This Row],[ret_as_hh]]</f>
        <v>0</v>
      </c>
      <c r="CF262" s="2">
        <f>Dashboard[[#This Row],[idp_al_hh]]+Dashboard[[#This Row],[ref_al_hh]]+Dashboard[[#This Row],[ret_al_hh]]</f>
        <v>0</v>
      </c>
    </row>
    <row r="263" spans="1:84" hidden="1" x14ac:dyDescent="0.25">
      <c r="A263" s="27">
        <v>402</v>
      </c>
      <c r="B263" s="2" t="s">
        <v>22</v>
      </c>
      <c r="C263" s="2" t="s">
        <v>23</v>
      </c>
      <c r="D263" s="2" t="s">
        <v>85</v>
      </c>
      <c r="E263" s="2" t="s">
        <v>84</v>
      </c>
      <c r="F263" s="2" t="s">
        <v>92</v>
      </c>
      <c r="G263" s="2" t="s">
        <v>91</v>
      </c>
      <c r="H263" s="2" t="s">
        <v>947</v>
      </c>
      <c r="I263" s="2" t="s">
        <v>278</v>
      </c>
      <c r="J263" s="2" t="s">
        <v>2386</v>
      </c>
      <c r="K263" s="2" t="s">
        <v>2387</v>
      </c>
      <c r="L263" s="2" t="s">
        <v>2074</v>
      </c>
      <c r="M263" s="2">
        <v>0</v>
      </c>
      <c r="N263" s="2" t="s">
        <v>1660</v>
      </c>
      <c r="O263" s="2">
        <v>0</v>
      </c>
      <c r="P263" s="2">
        <v>0</v>
      </c>
      <c r="Q263" s="2" t="s">
        <v>32</v>
      </c>
      <c r="R263" s="2">
        <v>0</v>
      </c>
      <c r="S263" s="2" t="s">
        <v>32</v>
      </c>
      <c r="T263" s="2">
        <v>0</v>
      </c>
      <c r="U263" s="2" t="s">
        <v>32</v>
      </c>
      <c r="V263" s="2" t="s">
        <v>32</v>
      </c>
      <c r="W263" s="2" t="s">
        <v>32</v>
      </c>
      <c r="X263" s="2">
        <v>0</v>
      </c>
      <c r="Y263" s="2" t="s">
        <v>32</v>
      </c>
      <c r="Z263" s="2" t="s">
        <v>32</v>
      </c>
      <c r="AA263" s="2" t="s">
        <v>32</v>
      </c>
      <c r="AB263" s="2">
        <v>0</v>
      </c>
      <c r="AC263" s="2" t="s">
        <v>32</v>
      </c>
      <c r="AD263" s="2">
        <v>0</v>
      </c>
      <c r="AE263" s="2" t="s">
        <v>1660</v>
      </c>
      <c r="AF263" s="2">
        <v>0</v>
      </c>
      <c r="AG263" s="2">
        <v>0</v>
      </c>
      <c r="AH263" s="2" t="s">
        <v>32</v>
      </c>
      <c r="AI263" s="2" t="s">
        <v>32</v>
      </c>
      <c r="AJ263" s="2" t="s">
        <v>32</v>
      </c>
      <c r="AK263" s="2" t="s">
        <v>32</v>
      </c>
      <c r="AL263" s="2" t="s">
        <v>32</v>
      </c>
      <c r="AM263" s="2">
        <v>0</v>
      </c>
      <c r="AN263" s="2" t="s">
        <v>32</v>
      </c>
      <c r="AO263" s="2">
        <v>0</v>
      </c>
      <c r="AP263" s="2" t="s">
        <v>32</v>
      </c>
      <c r="AQ263" s="2" t="s">
        <v>32</v>
      </c>
      <c r="AR263" s="2" t="s">
        <v>32</v>
      </c>
      <c r="AS263" s="2">
        <v>0</v>
      </c>
      <c r="AT263" s="2" t="s">
        <v>32</v>
      </c>
      <c r="AU263" s="2" t="s">
        <v>32</v>
      </c>
      <c r="AV263" s="2" t="s">
        <v>32</v>
      </c>
      <c r="AW263" s="2">
        <v>0</v>
      </c>
      <c r="AX263" s="2" t="s">
        <v>32</v>
      </c>
      <c r="AY263" s="2">
        <v>0</v>
      </c>
      <c r="AZ263" s="2" t="s">
        <v>1660</v>
      </c>
      <c r="BA263" s="2">
        <v>0</v>
      </c>
      <c r="BB263" s="2">
        <v>0</v>
      </c>
      <c r="BC263" s="2" t="s">
        <v>32</v>
      </c>
      <c r="BD263" s="2">
        <v>0</v>
      </c>
      <c r="BE263" s="2" t="s">
        <v>32</v>
      </c>
      <c r="BF263" s="2">
        <v>0</v>
      </c>
      <c r="BG263" s="2" t="s">
        <v>32</v>
      </c>
      <c r="BH263" s="2">
        <v>0</v>
      </c>
      <c r="BI263" s="2" t="s">
        <v>32</v>
      </c>
      <c r="BJ263" s="2" t="s">
        <v>32</v>
      </c>
      <c r="BK263" s="2" t="s">
        <v>32</v>
      </c>
      <c r="BL263" s="2">
        <v>0</v>
      </c>
      <c r="BM263" s="2" t="s">
        <v>32</v>
      </c>
      <c r="BN263" s="2" t="s">
        <v>32</v>
      </c>
      <c r="BO263" s="2" t="s">
        <v>32</v>
      </c>
      <c r="BP263" s="2">
        <v>0</v>
      </c>
      <c r="BQ263" s="2" t="s">
        <v>32</v>
      </c>
      <c r="BR263" s="2">
        <v>0</v>
      </c>
      <c r="BS263" s="2" t="s">
        <v>1660</v>
      </c>
      <c r="BT263" s="2">
        <v>0</v>
      </c>
      <c r="BU263" s="2">
        <v>0</v>
      </c>
      <c r="BV263" s="2" t="s">
        <v>1660</v>
      </c>
      <c r="BW263" s="2"/>
      <c r="BX263" s="2"/>
      <c r="BY263" s="2" t="s">
        <v>1807</v>
      </c>
      <c r="BZ263" s="2" t="b">
        <f>OR( (Dashboard[[#This Row],[ref_as_hh]]&gt;=1),(Dashboard[[#This Row],[ret_as_hh]] &gt;=1), (Dashboard[[#This Row],[idp_as_hh]]&gt;=1))</f>
        <v>0</v>
      </c>
      <c r="CA263" s="2">
        <f>Dashboard[[#This Row],[ret_hi_hh]]</f>
        <v>0</v>
      </c>
      <c r="CB263" s="2">
        <f>Dashboard[[#This Row],[idp_fa_hh]]+Dashboard[[#This Row],[ref_fa_hh]]+Dashboard[[#This Row],[ret_fa_hh]]</f>
        <v>0</v>
      </c>
      <c r="CC263" s="2">
        <f>Dashboard[[#This Row],[idp_loc_hh]]+Dashboard[[#This Row],[ref_loc_hh]]+Dashboard[[#This Row],[ret_loc_hh]]</f>
        <v>0</v>
      </c>
      <c r="CD263" s="2">
        <f>Dashboard[[#This Row],[idp_cc_hh]]+Dashboard[[#This Row],[ref_cc_hh]]+Dashboard[[#This Row],[ret_cc_hh]]</f>
        <v>0</v>
      </c>
      <c r="CE263" s="2">
        <f>Dashboard[[#This Row],[idp_as_hh]]+Dashboard[[#This Row],[ref_as_hh]]+Dashboard[[#This Row],[ret_as_hh]]</f>
        <v>0</v>
      </c>
      <c r="CF263" s="2">
        <f>Dashboard[[#This Row],[idp_al_hh]]+Dashboard[[#This Row],[ref_al_hh]]+Dashboard[[#This Row],[ret_al_hh]]</f>
        <v>0</v>
      </c>
    </row>
    <row r="264" spans="1:84" hidden="1" x14ac:dyDescent="0.25">
      <c r="A264" s="27">
        <v>403</v>
      </c>
      <c r="B264" s="2" t="s">
        <v>22</v>
      </c>
      <c r="C264" s="2" t="s">
        <v>23</v>
      </c>
      <c r="D264" s="2" t="s">
        <v>85</v>
      </c>
      <c r="E264" s="2" t="s">
        <v>84</v>
      </c>
      <c r="F264" s="2" t="s">
        <v>92</v>
      </c>
      <c r="G264" s="2" t="s">
        <v>91</v>
      </c>
      <c r="H264" s="2" t="s">
        <v>1674</v>
      </c>
      <c r="I264" s="2" t="s">
        <v>279</v>
      </c>
      <c r="J264" s="2" t="s">
        <v>2388</v>
      </c>
      <c r="K264" s="2" t="s">
        <v>2389</v>
      </c>
      <c r="L264" s="2" t="s">
        <v>2074</v>
      </c>
      <c r="M264" s="2">
        <v>0</v>
      </c>
      <c r="N264" s="2" t="s">
        <v>1660</v>
      </c>
      <c r="O264" s="2">
        <v>0</v>
      </c>
      <c r="P264" s="2">
        <v>0</v>
      </c>
      <c r="Q264" s="2" t="s">
        <v>32</v>
      </c>
      <c r="R264" s="2">
        <v>0</v>
      </c>
      <c r="S264" s="2" t="s">
        <v>32</v>
      </c>
      <c r="T264" s="2">
        <v>0</v>
      </c>
      <c r="U264" s="2" t="s">
        <v>32</v>
      </c>
      <c r="V264" s="2" t="s">
        <v>32</v>
      </c>
      <c r="W264" s="2" t="s">
        <v>32</v>
      </c>
      <c r="X264" s="2">
        <v>0</v>
      </c>
      <c r="Y264" s="2" t="s">
        <v>32</v>
      </c>
      <c r="Z264" s="2" t="s">
        <v>32</v>
      </c>
      <c r="AA264" s="2" t="s">
        <v>32</v>
      </c>
      <c r="AB264" s="2">
        <v>0</v>
      </c>
      <c r="AC264" s="2" t="s">
        <v>32</v>
      </c>
      <c r="AD264" s="2">
        <v>0</v>
      </c>
      <c r="AE264" s="2" t="s">
        <v>1660</v>
      </c>
      <c r="AF264" s="2">
        <v>0</v>
      </c>
      <c r="AG264" s="2">
        <v>0</v>
      </c>
      <c r="AH264" s="2" t="s">
        <v>32</v>
      </c>
      <c r="AI264" s="2" t="s">
        <v>32</v>
      </c>
      <c r="AJ264" s="2" t="s">
        <v>32</v>
      </c>
      <c r="AK264" s="2" t="s">
        <v>32</v>
      </c>
      <c r="AL264" s="2" t="s">
        <v>32</v>
      </c>
      <c r="AM264" s="2">
        <v>0</v>
      </c>
      <c r="AN264" s="2" t="s">
        <v>32</v>
      </c>
      <c r="AO264" s="2">
        <v>0</v>
      </c>
      <c r="AP264" s="2" t="s">
        <v>32</v>
      </c>
      <c r="AQ264" s="2" t="s">
        <v>32</v>
      </c>
      <c r="AR264" s="2" t="s">
        <v>32</v>
      </c>
      <c r="AS264" s="2">
        <v>0</v>
      </c>
      <c r="AT264" s="2" t="s">
        <v>32</v>
      </c>
      <c r="AU264" s="2" t="s">
        <v>32</v>
      </c>
      <c r="AV264" s="2" t="s">
        <v>32</v>
      </c>
      <c r="AW264" s="2">
        <v>0</v>
      </c>
      <c r="AX264" s="2" t="s">
        <v>32</v>
      </c>
      <c r="AY264" s="2">
        <v>0</v>
      </c>
      <c r="AZ264" s="2" t="s">
        <v>1660</v>
      </c>
      <c r="BA264" s="2">
        <v>0</v>
      </c>
      <c r="BB264" s="2">
        <v>0</v>
      </c>
      <c r="BC264" s="2" t="s">
        <v>32</v>
      </c>
      <c r="BD264" s="2">
        <v>0</v>
      </c>
      <c r="BE264" s="2" t="s">
        <v>32</v>
      </c>
      <c r="BF264" s="2">
        <v>0</v>
      </c>
      <c r="BG264" s="2" t="s">
        <v>32</v>
      </c>
      <c r="BH264" s="2">
        <v>0</v>
      </c>
      <c r="BI264" s="2" t="s">
        <v>32</v>
      </c>
      <c r="BJ264" s="2" t="s">
        <v>32</v>
      </c>
      <c r="BK264" s="2" t="s">
        <v>32</v>
      </c>
      <c r="BL264" s="2">
        <v>0</v>
      </c>
      <c r="BM264" s="2" t="s">
        <v>32</v>
      </c>
      <c r="BN264" s="2" t="s">
        <v>32</v>
      </c>
      <c r="BO264" s="2" t="s">
        <v>32</v>
      </c>
      <c r="BP264" s="2">
        <v>0</v>
      </c>
      <c r="BQ264" s="2" t="s">
        <v>32</v>
      </c>
      <c r="BR264" s="2">
        <v>0</v>
      </c>
      <c r="BS264" s="2" t="s">
        <v>1660</v>
      </c>
      <c r="BT264" s="2">
        <v>0</v>
      </c>
      <c r="BU264" s="2">
        <v>0</v>
      </c>
      <c r="BV264" s="2" t="s">
        <v>1660</v>
      </c>
      <c r="BW264" s="2"/>
      <c r="BX264" s="2"/>
      <c r="BY264" s="2" t="s">
        <v>1807</v>
      </c>
      <c r="BZ264" s="2" t="b">
        <f>OR( (Dashboard[[#This Row],[ref_as_hh]]&gt;=1),(Dashboard[[#This Row],[ret_as_hh]] &gt;=1), (Dashboard[[#This Row],[idp_as_hh]]&gt;=1))</f>
        <v>0</v>
      </c>
      <c r="CA264" s="2">
        <f>Dashboard[[#This Row],[ret_hi_hh]]</f>
        <v>0</v>
      </c>
      <c r="CB264" s="2">
        <f>Dashboard[[#This Row],[idp_fa_hh]]+Dashboard[[#This Row],[ref_fa_hh]]+Dashboard[[#This Row],[ret_fa_hh]]</f>
        <v>0</v>
      </c>
      <c r="CC264" s="2">
        <f>Dashboard[[#This Row],[idp_loc_hh]]+Dashboard[[#This Row],[ref_loc_hh]]+Dashboard[[#This Row],[ret_loc_hh]]</f>
        <v>0</v>
      </c>
      <c r="CD264" s="2">
        <f>Dashboard[[#This Row],[idp_cc_hh]]+Dashboard[[#This Row],[ref_cc_hh]]+Dashboard[[#This Row],[ret_cc_hh]]</f>
        <v>0</v>
      </c>
      <c r="CE264" s="2">
        <f>Dashboard[[#This Row],[idp_as_hh]]+Dashboard[[#This Row],[ref_as_hh]]+Dashboard[[#This Row],[ret_as_hh]]</f>
        <v>0</v>
      </c>
      <c r="CF264" s="2">
        <f>Dashboard[[#This Row],[idp_al_hh]]+Dashboard[[#This Row],[ref_al_hh]]+Dashboard[[#This Row],[ret_al_hh]]</f>
        <v>0</v>
      </c>
    </row>
    <row r="265" spans="1:84" hidden="1" x14ac:dyDescent="0.25">
      <c r="A265" s="27">
        <v>404</v>
      </c>
      <c r="B265" s="2" t="s">
        <v>22</v>
      </c>
      <c r="C265" s="2" t="s">
        <v>23</v>
      </c>
      <c r="D265" s="2" t="s">
        <v>85</v>
      </c>
      <c r="E265" s="2" t="s">
        <v>84</v>
      </c>
      <c r="F265" s="2" t="s">
        <v>92</v>
      </c>
      <c r="G265" s="2" t="s">
        <v>91</v>
      </c>
      <c r="H265" s="2" t="s">
        <v>1670</v>
      </c>
      <c r="I265" s="2" t="s">
        <v>282</v>
      </c>
      <c r="J265" s="2" t="s">
        <v>2406</v>
      </c>
      <c r="K265" s="2" t="s">
        <v>2407</v>
      </c>
      <c r="L265" s="2" t="s">
        <v>2074</v>
      </c>
      <c r="M265" s="2">
        <v>0</v>
      </c>
      <c r="N265" s="2" t="s">
        <v>1660</v>
      </c>
      <c r="O265" s="2">
        <v>0</v>
      </c>
      <c r="P265" s="2">
        <v>0</v>
      </c>
      <c r="Q265" s="2" t="s">
        <v>32</v>
      </c>
      <c r="R265" s="2">
        <v>0</v>
      </c>
      <c r="S265" s="2" t="s">
        <v>32</v>
      </c>
      <c r="T265" s="2">
        <v>0</v>
      </c>
      <c r="U265" s="2" t="s">
        <v>32</v>
      </c>
      <c r="V265" s="2" t="s">
        <v>32</v>
      </c>
      <c r="W265" s="2" t="s">
        <v>32</v>
      </c>
      <c r="X265" s="2">
        <v>0</v>
      </c>
      <c r="Y265" s="2" t="s">
        <v>32</v>
      </c>
      <c r="Z265" s="2" t="s">
        <v>32</v>
      </c>
      <c r="AA265" s="2" t="s">
        <v>32</v>
      </c>
      <c r="AB265" s="2">
        <v>0</v>
      </c>
      <c r="AC265" s="2" t="s">
        <v>32</v>
      </c>
      <c r="AD265" s="2">
        <v>0</v>
      </c>
      <c r="AE265" s="2" t="s">
        <v>1660</v>
      </c>
      <c r="AF265" s="2">
        <v>0</v>
      </c>
      <c r="AG265" s="2">
        <v>0</v>
      </c>
      <c r="AH265" s="2" t="s">
        <v>32</v>
      </c>
      <c r="AI265" s="2" t="s">
        <v>32</v>
      </c>
      <c r="AJ265" s="2" t="s">
        <v>32</v>
      </c>
      <c r="AK265" s="2" t="s">
        <v>32</v>
      </c>
      <c r="AL265" s="2" t="s">
        <v>32</v>
      </c>
      <c r="AM265" s="2">
        <v>0</v>
      </c>
      <c r="AN265" s="2" t="s">
        <v>32</v>
      </c>
      <c r="AO265" s="2">
        <v>0</v>
      </c>
      <c r="AP265" s="2" t="s">
        <v>32</v>
      </c>
      <c r="AQ265" s="2" t="s">
        <v>32</v>
      </c>
      <c r="AR265" s="2" t="s">
        <v>32</v>
      </c>
      <c r="AS265" s="2">
        <v>0</v>
      </c>
      <c r="AT265" s="2" t="s">
        <v>32</v>
      </c>
      <c r="AU265" s="2" t="s">
        <v>32</v>
      </c>
      <c r="AV265" s="2" t="s">
        <v>32</v>
      </c>
      <c r="AW265" s="2">
        <v>0</v>
      </c>
      <c r="AX265" s="2" t="s">
        <v>32</v>
      </c>
      <c r="AY265" s="2">
        <v>0</v>
      </c>
      <c r="AZ265" s="2" t="s">
        <v>1660</v>
      </c>
      <c r="BA265" s="2">
        <v>0</v>
      </c>
      <c r="BB265" s="2">
        <v>0</v>
      </c>
      <c r="BC265" s="2" t="s">
        <v>32</v>
      </c>
      <c r="BD265" s="2">
        <v>0</v>
      </c>
      <c r="BE265" s="2" t="s">
        <v>32</v>
      </c>
      <c r="BF265" s="2">
        <v>0</v>
      </c>
      <c r="BG265" s="2" t="s">
        <v>32</v>
      </c>
      <c r="BH265" s="2">
        <v>0</v>
      </c>
      <c r="BI265" s="2" t="s">
        <v>32</v>
      </c>
      <c r="BJ265" s="2" t="s">
        <v>32</v>
      </c>
      <c r="BK265" s="2" t="s">
        <v>32</v>
      </c>
      <c r="BL265" s="2">
        <v>0</v>
      </c>
      <c r="BM265" s="2" t="s">
        <v>32</v>
      </c>
      <c r="BN265" s="2" t="s">
        <v>32</v>
      </c>
      <c r="BO265" s="2" t="s">
        <v>32</v>
      </c>
      <c r="BP265" s="2">
        <v>0</v>
      </c>
      <c r="BQ265" s="2" t="s">
        <v>32</v>
      </c>
      <c r="BR265" s="2">
        <v>0</v>
      </c>
      <c r="BS265" s="2" t="s">
        <v>1660</v>
      </c>
      <c r="BT265" s="2">
        <v>0</v>
      </c>
      <c r="BU265" s="2">
        <v>0</v>
      </c>
      <c r="BV265" s="2" t="s">
        <v>1660</v>
      </c>
      <c r="BW265" s="2"/>
      <c r="BX265" s="2"/>
      <c r="BY265" s="2" t="s">
        <v>1807</v>
      </c>
      <c r="BZ265" s="2" t="b">
        <f>OR( (Dashboard[[#This Row],[ref_as_hh]]&gt;=1),(Dashboard[[#This Row],[ret_as_hh]] &gt;=1), (Dashboard[[#This Row],[idp_as_hh]]&gt;=1))</f>
        <v>0</v>
      </c>
      <c r="CA265" s="2">
        <f>Dashboard[[#This Row],[ret_hi_hh]]</f>
        <v>0</v>
      </c>
      <c r="CB265" s="2">
        <f>Dashboard[[#This Row],[idp_fa_hh]]+Dashboard[[#This Row],[ref_fa_hh]]+Dashboard[[#This Row],[ret_fa_hh]]</f>
        <v>0</v>
      </c>
      <c r="CC265" s="2">
        <f>Dashboard[[#This Row],[idp_loc_hh]]+Dashboard[[#This Row],[ref_loc_hh]]+Dashboard[[#This Row],[ret_loc_hh]]</f>
        <v>0</v>
      </c>
      <c r="CD265" s="2">
        <f>Dashboard[[#This Row],[idp_cc_hh]]+Dashboard[[#This Row],[ref_cc_hh]]+Dashboard[[#This Row],[ret_cc_hh]]</f>
        <v>0</v>
      </c>
      <c r="CE265" s="2">
        <f>Dashboard[[#This Row],[idp_as_hh]]+Dashboard[[#This Row],[ref_as_hh]]+Dashboard[[#This Row],[ret_as_hh]]</f>
        <v>0</v>
      </c>
      <c r="CF265" s="2">
        <f>Dashboard[[#This Row],[idp_al_hh]]+Dashboard[[#This Row],[ref_al_hh]]+Dashboard[[#This Row],[ret_al_hh]]</f>
        <v>0</v>
      </c>
    </row>
    <row r="266" spans="1:84" hidden="1" x14ac:dyDescent="0.25">
      <c r="A266" s="27">
        <v>405</v>
      </c>
      <c r="B266" s="2" t="s">
        <v>22</v>
      </c>
      <c r="C266" s="2" t="s">
        <v>23</v>
      </c>
      <c r="D266" s="2" t="s">
        <v>85</v>
      </c>
      <c r="E266" s="2" t="s">
        <v>84</v>
      </c>
      <c r="F266" s="2" t="s">
        <v>92</v>
      </c>
      <c r="G266" s="2" t="s">
        <v>91</v>
      </c>
      <c r="H266" s="2" t="s">
        <v>957</v>
      </c>
      <c r="I266" s="2" t="s">
        <v>283</v>
      </c>
      <c r="J266" s="2" t="s">
        <v>2408</v>
      </c>
      <c r="K266" s="2" t="s">
        <v>2409</v>
      </c>
      <c r="L266" s="2" t="s">
        <v>2074</v>
      </c>
      <c r="M266" s="2">
        <v>0</v>
      </c>
      <c r="N266" s="2" t="s">
        <v>1660</v>
      </c>
      <c r="O266" s="2">
        <v>0</v>
      </c>
      <c r="P266" s="2">
        <v>0</v>
      </c>
      <c r="Q266" s="2" t="s">
        <v>32</v>
      </c>
      <c r="R266" s="2">
        <v>0</v>
      </c>
      <c r="S266" s="2" t="s">
        <v>32</v>
      </c>
      <c r="T266" s="2">
        <v>0</v>
      </c>
      <c r="U266" s="2" t="s">
        <v>32</v>
      </c>
      <c r="V266" s="2" t="s">
        <v>32</v>
      </c>
      <c r="W266" s="2" t="s">
        <v>32</v>
      </c>
      <c r="X266" s="2">
        <v>0</v>
      </c>
      <c r="Y266" s="2" t="s">
        <v>32</v>
      </c>
      <c r="Z266" s="2" t="s">
        <v>32</v>
      </c>
      <c r="AA266" s="2" t="s">
        <v>32</v>
      </c>
      <c r="AB266" s="2">
        <v>0</v>
      </c>
      <c r="AC266" s="2" t="s">
        <v>32</v>
      </c>
      <c r="AD266" s="2">
        <v>0</v>
      </c>
      <c r="AE266" s="2" t="s">
        <v>1660</v>
      </c>
      <c r="AF266" s="2">
        <v>0</v>
      </c>
      <c r="AG266" s="2">
        <v>0</v>
      </c>
      <c r="AH266" s="2" t="s">
        <v>32</v>
      </c>
      <c r="AI266" s="2" t="s">
        <v>32</v>
      </c>
      <c r="AJ266" s="2" t="s">
        <v>32</v>
      </c>
      <c r="AK266" s="2" t="s">
        <v>32</v>
      </c>
      <c r="AL266" s="2" t="s">
        <v>32</v>
      </c>
      <c r="AM266" s="2">
        <v>0</v>
      </c>
      <c r="AN266" s="2" t="s">
        <v>32</v>
      </c>
      <c r="AO266" s="2">
        <v>0</v>
      </c>
      <c r="AP266" s="2" t="s">
        <v>32</v>
      </c>
      <c r="AQ266" s="2" t="s">
        <v>32</v>
      </c>
      <c r="AR266" s="2" t="s">
        <v>32</v>
      </c>
      <c r="AS266" s="2">
        <v>0</v>
      </c>
      <c r="AT266" s="2" t="s">
        <v>32</v>
      </c>
      <c r="AU266" s="2" t="s">
        <v>32</v>
      </c>
      <c r="AV266" s="2" t="s">
        <v>32</v>
      </c>
      <c r="AW266" s="2">
        <v>0</v>
      </c>
      <c r="AX266" s="2" t="s">
        <v>32</v>
      </c>
      <c r="AY266" s="2">
        <v>0</v>
      </c>
      <c r="AZ266" s="2" t="s">
        <v>1660</v>
      </c>
      <c r="BA266" s="2">
        <v>0</v>
      </c>
      <c r="BB266" s="2">
        <v>0</v>
      </c>
      <c r="BC266" s="2" t="s">
        <v>32</v>
      </c>
      <c r="BD266" s="2">
        <v>0</v>
      </c>
      <c r="BE266" s="2" t="s">
        <v>32</v>
      </c>
      <c r="BF266" s="2">
        <v>0</v>
      </c>
      <c r="BG266" s="2" t="s">
        <v>32</v>
      </c>
      <c r="BH266" s="2">
        <v>0</v>
      </c>
      <c r="BI266" s="2" t="s">
        <v>32</v>
      </c>
      <c r="BJ266" s="2" t="s">
        <v>32</v>
      </c>
      <c r="BK266" s="2" t="s">
        <v>32</v>
      </c>
      <c r="BL266" s="2">
        <v>0</v>
      </c>
      <c r="BM266" s="2" t="s">
        <v>32</v>
      </c>
      <c r="BN266" s="2" t="s">
        <v>32</v>
      </c>
      <c r="BO266" s="2" t="s">
        <v>32</v>
      </c>
      <c r="BP266" s="2">
        <v>0</v>
      </c>
      <c r="BQ266" s="2" t="s">
        <v>32</v>
      </c>
      <c r="BR266" s="2">
        <v>0</v>
      </c>
      <c r="BS266" s="2" t="s">
        <v>1660</v>
      </c>
      <c r="BT266" s="2">
        <v>0</v>
      </c>
      <c r="BU266" s="2">
        <v>0</v>
      </c>
      <c r="BV266" s="2" t="s">
        <v>1660</v>
      </c>
      <c r="BW266" s="2"/>
      <c r="BX266" s="2"/>
      <c r="BY266" s="2" t="s">
        <v>1807</v>
      </c>
      <c r="BZ266" s="2" t="b">
        <f>OR( (Dashboard[[#This Row],[ref_as_hh]]&gt;=1),(Dashboard[[#This Row],[ret_as_hh]] &gt;=1), (Dashboard[[#This Row],[idp_as_hh]]&gt;=1))</f>
        <v>0</v>
      </c>
      <c r="CA266" s="2">
        <f>Dashboard[[#This Row],[ret_hi_hh]]</f>
        <v>0</v>
      </c>
      <c r="CB266" s="2">
        <f>Dashboard[[#This Row],[idp_fa_hh]]+Dashboard[[#This Row],[ref_fa_hh]]+Dashboard[[#This Row],[ret_fa_hh]]</f>
        <v>0</v>
      </c>
      <c r="CC266" s="2">
        <f>Dashboard[[#This Row],[idp_loc_hh]]+Dashboard[[#This Row],[ref_loc_hh]]+Dashboard[[#This Row],[ret_loc_hh]]</f>
        <v>0</v>
      </c>
      <c r="CD266" s="2">
        <f>Dashboard[[#This Row],[idp_cc_hh]]+Dashboard[[#This Row],[ref_cc_hh]]+Dashboard[[#This Row],[ret_cc_hh]]</f>
        <v>0</v>
      </c>
      <c r="CE266" s="2">
        <f>Dashboard[[#This Row],[idp_as_hh]]+Dashboard[[#This Row],[ref_as_hh]]+Dashboard[[#This Row],[ret_as_hh]]</f>
        <v>0</v>
      </c>
      <c r="CF266" s="2">
        <f>Dashboard[[#This Row],[idp_al_hh]]+Dashboard[[#This Row],[ref_al_hh]]+Dashboard[[#This Row],[ret_al_hh]]</f>
        <v>0</v>
      </c>
    </row>
    <row r="267" spans="1:84" hidden="1" x14ac:dyDescent="0.25">
      <c r="A267" s="27">
        <v>406</v>
      </c>
      <c r="B267" s="2" t="s">
        <v>22</v>
      </c>
      <c r="C267" s="2" t="s">
        <v>23</v>
      </c>
      <c r="D267" s="2" t="s">
        <v>85</v>
      </c>
      <c r="E267" s="2" t="s">
        <v>84</v>
      </c>
      <c r="F267" s="2" t="s">
        <v>92</v>
      </c>
      <c r="G267" s="2" t="s">
        <v>91</v>
      </c>
      <c r="H267" s="2" t="s">
        <v>958</v>
      </c>
      <c r="I267" s="2" t="s">
        <v>284</v>
      </c>
      <c r="J267" s="2" t="s">
        <v>2410</v>
      </c>
      <c r="K267" s="2" t="s">
        <v>2411</v>
      </c>
      <c r="L267" s="2" t="s">
        <v>2074</v>
      </c>
      <c r="M267" s="2">
        <v>0</v>
      </c>
      <c r="N267" s="2" t="s">
        <v>1660</v>
      </c>
      <c r="O267" s="2">
        <v>0</v>
      </c>
      <c r="P267" s="2">
        <v>0</v>
      </c>
      <c r="Q267" s="2" t="s">
        <v>32</v>
      </c>
      <c r="R267" s="2">
        <v>0</v>
      </c>
      <c r="S267" s="2" t="s">
        <v>32</v>
      </c>
      <c r="T267" s="2">
        <v>0</v>
      </c>
      <c r="U267" s="2" t="s">
        <v>32</v>
      </c>
      <c r="V267" s="2" t="s">
        <v>32</v>
      </c>
      <c r="W267" s="2" t="s">
        <v>32</v>
      </c>
      <c r="X267" s="2">
        <v>0</v>
      </c>
      <c r="Y267" s="2" t="s">
        <v>32</v>
      </c>
      <c r="Z267" s="2" t="s">
        <v>32</v>
      </c>
      <c r="AA267" s="2" t="s">
        <v>32</v>
      </c>
      <c r="AB267" s="2">
        <v>0</v>
      </c>
      <c r="AC267" s="2" t="s">
        <v>32</v>
      </c>
      <c r="AD267" s="2">
        <v>0</v>
      </c>
      <c r="AE267" s="2" t="s">
        <v>1660</v>
      </c>
      <c r="AF267" s="2">
        <v>0</v>
      </c>
      <c r="AG267" s="2">
        <v>0</v>
      </c>
      <c r="AH267" s="2" t="s">
        <v>32</v>
      </c>
      <c r="AI267" s="2" t="s">
        <v>32</v>
      </c>
      <c r="AJ267" s="2" t="s">
        <v>32</v>
      </c>
      <c r="AK267" s="2" t="s">
        <v>32</v>
      </c>
      <c r="AL267" s="2" t="s">
        <v>32</v>
      </c>
      <c r="AM267" s="2">
        <v>0</v>
      </c>
      <c r="AN267" s="2" t="s">
        <v>32</v>
      </c>
      <c r="AO267" s="2">
        <v>0</v>
      </c>
      <c r="AP267" s="2" t="s">
        <v>32</v>
      </c>
      <c r="AQ267" s="2" t="s">
        <v>32</v>
      </c>
      <c r="AR267" s="2" t="s">
        <v>32</v>
      </c>
      <c r="AS267" s="2">
        <v>0</v>
      </c>
      <c r="AT267" s="2" t="s">
        <v>32</v>
      </c>
      <c r="AU267" s="2" t="s">
        <v>32</v>
      </c>
      <c r="AV267" s="2" t="s">
        <v>32</v>
      </c>
      <c r="AW267" s="2">
        <v>0</v>
      </c>
      <c r="AX267" s="2" t="s">
        <v>32</v>
      </c>
      <c r="AY267" s="2">
        <v>0</v>
      </c>
      <c r="AZ267" s="2" t="s">
        <v>1660</v>
      </c>
      <c r="BA267" s="2">
        <v>0</v>
      </c>
      <c r="BB267" s="2">
        <v>0</v>
      </c>
      <c r="BC267" s="2" t="s">
        <v>32</v>
      </c>
      <c r="BD267" s="2">
        <v>0</v>
      </c>
      <c r="BE267" s="2" t="s">
        <v>32</v>
      </c>
      <c r="BF267" s="2">
        <v>0</v>
      </c>
      <c r="BG267" s="2" t="s">
        <v>32</v>
      </c>
      <c r="BH267" s="2">
        <v>0</v>
      </c>
      <c r="BI267" s="2" t="s">
        <v>32</v>
      </c>
      <c r="BJ267" s="2" t="s">
        <v>32</v>
      </c>
      <c r="BK267" s="2" t="s">
        <v>32</v>
      </c>
      <c r="BL267" s="2">
        <v>0</v>
      </c>
      <c r="BM267" s="2" t="s">
        <v>32</v>
      </c>
      <c r="BN267" s="2" t="s">
        <v>32</v>
      </c>
      <c r="BO267" s="2" t="s">
        <v>32</v>
      </c>
      <c r="BP267" s="2">
        <v>0</v>
      </c>
      <c r="BQ267" s="2" t="s">
        <v>32</v>
      </c>
      <c r="BR267" s="2">
        <v>0</v>
      </c>
      <c r="BS267" s="2" t="s">
        <v>1660</v>
      </c>
      <c r="BT267" s="2">
        <v>0</v>
      </c>
      <c r="BU267" s="2">
        <v>0</v>
      </c>
      <c r="BV267" s="2" t="s">
        <v>1660</v>
      </c>
      <c r="BW267" s="2"/>
      <c r="BX267" s="2"/>
      <c r="BY267" s="2" t="s">
        <v>1807</v>
      </c>
      <c r="BZ267" s="2" t="b">
        <f>OR( (Dashboard[[#This Row],[ref_as_hh]]&gt;=1),(Dashboard[[#This Row],[ret_as_hh]] &gt;=1), (Dashboard[[#This Row],[idp_as_hh]]&gt;=1))</f>
        <v>0</v>
      </c>
      <c r="CA267" s="2">
        <f>Dashboard[[#This Row],[ret_hi_hh]]</f>
        <v>0</v>
      </c>
      <c r="CB267" s="2">
        <f>Dashboard[[#This Row],[idp_fa_hh]]+Dashboard[[#This Row],[ref_fa_hh]]+Dashboard[[#This Row],[ret_fa_hh]]</f>
        <v>0</v>
      </c>
      <c r="CC267" s="2">
        <f>Dashboard[[#This Row],[idp_loc_hh]]+Dashboard[[#This Row],[ref_loc_hh]]+Dashboard[[#This Row],[ret_loc_hh]]</f>
        <v>0</v>
      </c>
      <c r="CD267" s="2">
        <f>Dashboard[[#This Row],[idp_cc_hh]]+Dashboard[[#This Row],[ref_cc_hh]]+Dashboard[[#This Row],[ret_cc_hh]]</f>
        <v>0</v>
      </c>
      <c r="CE267" s="2">
        <f>Dashboard[[#This Row],[idp_as_hh]]+Dashboard[[#This Row],[ref_as_hh]]+Dashboard[[#This Row],[ret_as_hh]]</f>
        <v>0</v>
      </c>
      <c r="CF267" s="2">
        <f>Dashboard[[#This Row],[idp_al_hh]]+Dashboard[[#This Row],[ref_al_hh]]+Dashboard[[#This Row],[ret_al_hh]]</f>
        <v>0</v>
      </c>
    </row>
    <row r="268" spans="1:84" hidden="1" x14ac:dyDescent="0.25">
      <c r="A268" s="27">
        <v>407</v>
      </c>
      <c r="B268" s="2" t="s">
        <v>22</v>
      </c>
      <c r="C268" s="2" t="s">
        <v>23</v>
      </c>
      <c r="D268" s="2" t="s">
        <v>85</v>
      </c>
      <c r="E268" s="2" t="s">
        <v>84</v>
      </c>
      <c r="F268" s="2" t="s">
        <v>92</v>
      </c>
      <c r="G268" s="2" t="s">
        <v>91</v>
      </c>
      <c r="H268" s="2" t="s">
        <v>969</v>
      </c>
      <c r="I268" s="2" t="s">
        <v>291</v>
      </c>
      <c r="J268" s="2" t="s">
        <v>2438</v>
      </c>
      <c r="K268" s="2" t="s">
        <v>2439</v>
      </c>
      <c r="L268" s="2" t="s">
        <v>2074</v>
      </c>
      <c r="M268" s="2">
        <v>0</v>
      </c>
      <c r="N268" s="2" t="s">
        <v>1660</v>
      </c>
      <c r="O268" s="2">
        <v>0</v>
      </c>
      <c r="P268" s="2">
        <v>0</v>
      </c>
      <c r="Q268" s="2" t="s">
        <v>32</v>
      </c>
      <c r="R268" s="2">
        <v>0</v>
      </c>
      <c r="S268" s="2" t="s">
        <v>32</v>
      </c>
      <c r="T268" s="2">
        <v>0</v>
      </c>
      <c r="U268" s="2" t="s">
        <v>32</v>
      </c>
      <c r="V268" s="2" t="s">
        <v>32</v>
      </c>
      <c r="W268" s="2" t="s">
        <v>32</v>
      </c>
      <c r="X268" s="2">
        <v>0</v>
      </c>
      <c r="Y268" s="2" t="s">
        <v>32</v>
      </c>
      <c r="Z268" s="2" t="s">
        <v>32</v>
      </c>
      <c r="AA268" s="2" t="s">
        <v>32</v>
      </c>
      <c r="AB268" s="2">
        <v>0</v>
      </c>
      <c r="AC268" s="2" t="s">
        <v>32</v>
      </c>
      <c r="AD268" s="2">
        <v>0</v>
      </c>
      <c r="AE268" s="2" t="s">
        <v>1660</v>
      </c>
      <c r="AF268" s="2">
        <v>0</v>
      </c>
      <c r="AG268" s="2">
        <v>0</v>
      </c>
      <c r="AH268" s="2" t="s">
        <v>32</v>
      </c>
      <c r="AI268" s="2" t="s">
        <v>32</v>
      </c>
      <c r="AJ268" s="2" t="s">
        <v>32</v>
      </c>
      <c r="AK268" s="2" t="s">
        <v>32</v>
      </c>
      <c r="AL268" s="2" t="s">
        <v>32</v>
      </c>
      <c r="AM268" s="2">
        <v>0</v>
      </c>
      <c r="AN268" s="2" t="s">
        <v>32</v>
      </c>
      <c r="AO268" s="2">
        <v>0</v>
      </c>
      <c r="AP268" s="2" t="s">
        <v>32</v>
      </c>
      <c r="AQ268" s="2" t="s">
        <v>32</v>
      </c>
      <c r="AR268" s="2" t="s">
        <v>32</v>
      </c>
      <c r="AS268" s="2">
        <v>0</v>
      </c>
      <c r="AT268" s="2" t="s">
        <v>32</v>
      </c>
      <c r="AU268" s="2" t="s">
        <v>32</v>
      </c>
      <c r="AV268" s="2" t="s">
        <v>32</v>
      </c>
      <c r="AW268" s="2">
        <v>0</v>
      </c>
      <c r="AX268" s="2" t="s">
        <v>32</v>
      </c>
      <c r="AY268" s="2">
        <v>0</v>
      </c>
      <c r="AZ268" s="2" t="s">
        <v>1660</v>
      </c>
      <c r="BA268" s="2">
        <v>0</v>
      </c>
      <c r="BB268" s="2">
        <v>0</v>
      </c>
      <c r="BC268" s="2" t="s">
        <v>32</v>
      </c>
      <c r="BD268" s="2">
        <v>0</v>
      </c>
      <c r="BE268" s="2" t="s">
        <v>32</v>
      </c>
      <c r="BF268" s="2">
        <v>0</v>
      </c>
      <c r="BG268" s="2" t="s">
        <v>32</v>
      </c>
      <c r="BH268" s="2">
        <v>0</v>
      </c>
      <c r="BI268" s="2" t="s">
        <v>32</v>
      </c>
      <c r="BJ268" s="2" t="s">
        <v>32</v>
      </c>
      <c r="BK268" s="2" t="s">
        <v>32</v>
      </c>
      <c r="BL268" s="2">
        <v>0</v>
      </c>
      <c r="BM268" s="2" t="s">
        <v>32</v>
      </c>
      <c r="BN268" s="2" t="s">
        <v>32</v>
      </c>
      <c r="BO268" s="2" t="s">
        <v>32</v>
      </c>
      <c r="BP268" s="2">
        <v>0</v>
      </c>
      <c r="BQ268" s="2" t="s">
        <v>32</v>
      </c>
      <c r="BR268" s="2">
        <v>0</v>
      </c>
      <c r="BS268" s="2" t="s">
        <v>1660</v>
      </c>
      <c r="BT268" s="2">
        <v>0</v>
      </c>
      <c r="BU268" s="2">
        <v>0</v>
      </c>
      <c r="BV268" s="2" t="s">
        <v>1660</v>
      </c>
      <c r="BW268" s="2"/>
      <c r="BX268" s="2"/>
      <c r="BY268" s="2" t="s">
        <v>1807</v>
      </c>
      <c r="BZ268" s="2" t="b">
        <f>OR( (Dashboard[[#This Row],[ref_as_hh]]&gt;=1),(Dashboard[[#This Row],[ret_as_hh]] &gt;=1), (Dashboard[[#This Row],[idp_as_hh]]&gt;=1))</f>
        <v>0</v>
      </c>
      <c r="CA268" s="2">
        <f>Dashboard[[#This Row],[ret_hi_hh]]</f>
        <v>0</v>
      </c>
      <c r="CB268" s="2">
        <f>Dashboard[[#This Row],[idp_fa_hh]]+Dashboard[[#This Row],[ref_fa_hh]]+Dashboard[[#This Row],[ret_fa_hh]]</f>
        <v>0</v>
      </c>
      <c r="CC268" s="2">
        <f>Dashboard[[#This Row],[idp_loc_hh]]+Dashboard[[#This Row],[ref_loc_hh]]+Dashboard[[#This Row],[ret_loc_hh]]</f>
        <v>0</v>
      </c>
      <c r="CD268" s="2">
        <f>Dashboard[[#This Row],[idp_cc_hh]]+Dashboard[[#This Row],[ref_cc_hh]]+Dashboard[[#This Row],[ret_cc_hh]]</f>
        <v>0</v>
      </c>
      <c r="CE268" s="2">
        <f>Dashboard[[#This Row],[idp_as_hh]]+Dashboard[[#This Row],[ref_as_hh]]+Dashboard[[#This Row],[ret_as_hh]]</f>
        <v>0</v>
      </c>
      <c r="CF268" s="2">
        <f>Dashboard[[#This Row],[idp_al_hh]]+Dashboard[[#This Row],[ref_al_hh]]+Dashboard[[#This Row],[ret_al_hh]]</f>
        <v>0</v>
      </c>
    </row>
    <row r="269" spans="1:84" hidden="1" x14ac:dyDescent="0.25">
      <c r="A269" s="27">
        <v>409</v>
      </c>
      <c r="B269" s="2" t="s">
        <v>22</v>
      </c>
      <c r="C269" s="2" t="s">
        <v>23</v>
      </c>
      <c r="D269" s="2" t="s">
        <v>85</v>
      </c>
      <c r="E269" s="2" t="s">
        <v>84</v>
      </c>
      <c r="F269" s="2" t="s">
        <v>92</v>
      </c>
      <c r="G269" s="2" t="s">
        <v>91</v>
      </c>
      <c r="H269" s="2" t="s">
        <v>1501</v>
      </c>
      <c r="I269" s="2" t="s">
        <v>1500</v>
      </c>
      <c r="J269" s="2" t="s">
        <v>2416</v>
      </c>
      <c r="K269" s="2" t="s">
        <v>2417</v>
      </c>
      <c r="L269" s="2" t="s">
        <v>2074</v>
      </c>
      <c r="M269" s="2">
        <v>750</v>
      </c>
      <c r="N269" s="2" t="s">
        <v>1660</v>
      </c>
      <c r="O269" s="2">
        <v>0</v>
      </c>
      <c r="P269" s="2">
        <v>0</v>
      </c>
      <c r="Q269" s="2" t="s">
        <v>32</v>
      </c>
      <c r="R269" s="2">
        <v>0</v>
      </c>
      <c r="S269" s="2" t="s">
        <v>32</v>
      </c>
      <c r="T269" s="2">
        <v>0</v>
      </c>
      <c r="U269" s="2" t="s">
        <v>32</v>
      </c>
      <c r="V269" s="2" t="s">
        <v>32</v>
      </c>
      <c r="W269" s="2" t="s">
        <v>32</v>
      </c>
      <c r="X269" s="2">
        <v>0</v>
      </c>
      <c r="Y269" s="2" t="s">
        <v>32</v>
      </c>
      <c r="Z269" s="2" t="s">
        <v>32</v>
      </c>
      <c r="AA269" s="2" t="s">
        <v>32</v>
      </c>
      <c r="AB269" s="2">
        <v>0</v>
      </c>
      <c r="AC269" s="2" t="s">
        <v>32</v>
      </c>
      <c r="AD269" s="2">
        <v>0</v>
      </c>
      <c r="AE269" s="2" t="s">
        <v>1658</v>
      </c>
      <c r="AF269" s="2">
        <v>39</v>
      </c>
      <c r="AG269" s="2">
        <v>315</v>
      </c>
      <c r="AH269" s="2" t="s">
        <v>1660</v>
      </c>
      <c r="AI269" s="2" t="s">
        <v>32</v>
      </c>
      <c r="AJ269" s="2" t="s">
        <v>32</v>
      </c>
      <c r="AK269" s="2" t="s">
        <v>32</v>
      </c>
      <c r="AL269" s="2" t="s">
        <v>1658</v>
      </c>
      <c r="AM269" s="2">
        <v>39</v>
      </c>
      <c r="AN269" s="2" t="s">
        <v>1660</v>
      </c>
      <c r="AO269" s="2">
        <v>0</v>
      </c>
      <c r="AP269" s="2" t="s">
        <v>32</v>
      </c>
      <c r="AQ269" s="2" t="s">
        <v>32</v>
      </c>
      <c r="AR269" s="2" t="s">
        <v>1660</v>
      </c>
      <c r="AS269" s="2">
        <v>0</v>
      </c>
      <c r="AT269" s="2" t="s">
        <v>32</v>
      </c>
      <c r="AU269" s="2" t="s">
        <v>32</v>
      </c>
      <c r="AV269" s="2" t="s">
        <v>1660</v>
      </c>
      <c r="AW269" s="2">
        <v>0</v>
      </c>
      <c r="AX269" s="2" t="s">
        <v>1660</v>
      </c>
      <c r="AY269" s="2">
        <v>0</v>
      </c>
      <c r="AZ269" s="2" t="s">
        <v>1660</v>
      </c>
      <c r="BA269" s="2">
        <v>0</v>
      </c>
      <c r="BB269" s="2">
        <v>0</v>
      </c>
      <c r="BC269" s="2" t="s">
        <v>32</v>
      </c>
      <c r="BD269" s="2">
        <v>0</v>
      </c>
      <c r="BE269" s="2" t="s">
        <v>32</v>
      </c>
      <c r="BF269" s="2">
        <v>0</v>
      </c>
      <c r="BG269" s="2" t="s">
        <v>32</v>
      </c>
      <c r="BH269" s="2">
        <v>0</v>
      </c>
      <c r="BI269" s="2" t="s">
        <v>32</v>
      </c>
      <c r="BJ269" s="2" t="s">
        <v>32</v>
      </c>
      <c r="BK269" s="2" t="s">
        <v>32</v>
      </c>
      <c r="BL269" s="2">
        <v>0</v>
      </c>
      <c r="BM269" s="2" t="s">
        <v>32</v>
      </c>
      <c r="BN269" s="2" t="s">
        <v>32</v>
      </c>
      <c r="BO269" s="2" t="s">
        <v>32</v>
      </c>
      <c r="BP269" s="2">
        <v>0</v>
      </c>
      <c r="BQ269" s="2" t="s">
        <v>32</v>
      </c>
      <c r="BR269" s="2">
        <v>0</v>
      </c>
      <c r="BS269" s="2" t="s">
        <v>1660</v>
      </c>
      <c r="BT269" s="2">
        <v>0</v>
      </c>
      <c r="BU269" s="2">
        <v>0</v>
      </c>
      <c r="BV269" s="2" t="s">
        <v>1660</v>
      </c>
      <c r="BW269" s="2"/>
      <c r="BX269" s="2"/>
      <c r="BY269" s="2" t="s">
        <v>1807</v>
      </c>
      <c r="BZ269" s="2" t="b">
        <f>OR( (Dashboard[[#This Row],[ref_as_hh]]&gt;=1),(Dashboard[[#This Row],[ret_as_hh]] &gt;=1), (Dashboard[[#This Row],[idp_as_hh]]&gt;=1))</f>
        <v>0</v>
      </c>
      <c r="CA269" s="2">
        <f>Dashboard[[#This Row],[ret_hi_hh]]</f>
        <v>0</v>
      </c>
      <c r="CB269" s="2">
        <f>Dashboard[[#This Row],[idp_fa_hh]]+Dashboard[[#This Row],[ref_fa_hh]]+Dashboard[[#This Row],[ret_fa_hh]]</f>
        <v>39</v>
      </c>
      <c r="CC269" s="2">
        <f>Dashboard[[#This Row],[idp_loc_hh]]+Dashboard[[#This Row],[ref_loc_hh]]+Dashboard[[#This Row],[ret_loc_hh]]</f>
        <v>0</v>
      </c>
      <c r="CD269" s="2">
        <f>Dashboard[[#This Row],[idp_cc_hh]]+Dashboard[[#This Row],[ref_cc_hh]]+Dashboard[[#This Row],[ret_cc_hh]]</f>
        <v>0</v>
      </c>
      <c r="CE269" s="2">
        <f>Dashboard[[#This Row],[idp_as_hh]]+Dashboard[[#This Row],[ref_as_hh]]+Dashboard[[#This Row],[ret_as_hh]]</f>
        <v>0</v>
      </c>
      <c r="CF269" s="2">
        <f>Dashboard[[#This Row],[idp_al_hh]]+Dashboard[[#This Row],[ref_al_hh]]+Dashboard[[#This Row],[ret_al_hh]]</f>
        <v>0</v>
      </c>
    </row>
    <row r="270" spans="1:84" x14ac:dyDescent="0.25">
      <c r="A270" s="27">
        <v>419</v>
      </c>
      <c r="B270" s="2" t="s">
        <v>22</v>
      </c>
      <c r="C270" s="2" t="s">
        <v>23</v>
      </c>
      <c r="D270" s="2" t="s">
        <v>85</v>
      </c>
      <c r="E270" s="2" t="s">
        <v>84</v>
      </c>
      <c r="F270" s="2" t="s">
        <v>92</v>
      </c>
      <c r="G270" s="2" t="s">
        <v>91</v>
      </c>
      <c r="H270" s="2" t="s">
        <v>1815</v>
      </c>
      <c r="I270" s="2" t="s">
        <v>1816</v>
      </c>
      <c r="J270" s="2" t="s">
        <v>2392</v>
      </c>
      <c r="K270" s="2" t="s">
        <v>2393</v>
      </c>
      <c r="L270" s="2" t="s">
        <v>2074</v>
      </c>
      <c r="M270" s="2">
        <v>970</v>
      </c>
      <c r="N270" s="2" t="s">
        <v>1658</v>
      </c>
      <c r="O270" s="2">
        <v>45</v>
      </c>
      <c r="P270" s="2">
        <v>200</v>
      </c>
      <c r="Q270" s="2" t="s">
        <v>32</v>
      </c>
      <c r="R270" s="2">
        <v>0</v>
      </c>
      <c r="S270" s="2" t="s">
        <v>1660</v>
      </c>
      <c r="T270" s="2">
        <v>0</v>
      </c>
      <c r="U270" s="2" t="s">
        <v>32</v>
      </c>
      <c r="V270" s="2" t="s">
        <v>32</v>
      </c>
      <c r="W270" s="2" t="s">
        <v>1660</v>
      </c>
      <c r="X270" s="2">
        <v>0</v>
      </c>
      <c r="Y270" s="2" t="s">
        <v>32</v>
      </c>
      <c r="Z270" s="2" t="s">
        <v>32</v>
      </c>
      <c r="AA270" s="2" t="s">
        <v>1658</v>
      </c>
      <c r="AB270" s="2">
        <v>45</v>
      </c>
      <c r="AC270" s="2" t="s">
        <v>1660</v>
      </c>
      <c r="AD270" s="2">
        <v>0</v>
      </c>
      <c r="AE270" s="2" t="s">
        <v>1658</v>
      </c>
      <c r="AF270" s="2">
        <v>24</v>
      </c>
      <c r="AG270" s="2">
        <v>70</v>
      </c>
      <c r="AH270" s="2" t="s">
        <v>1660</v>
      </c>
      <c r="AI270" s="2" t="s">
        <v>32</v>
      </c>
      <c r="AJ270" s="2" t="s">
        <v>32</v>
      </c>
      <c r="AK270" s="2" t="s">
        <v>32</v>
      </c>
      <c r="AL270" s="2" t="s">
        <v>32</v>
      </c>
      <c r="AM270" s="2">
        <v>0</v>
      </c>
      <c r="AN270" s="2" t="s">
        <v>1660</v>
      </c>
      <c r="AO270" s="2">
        <v>0</v>
      </c>
      <c r="AP270" s="2" t="s">
        <v>32</v>
      </c>
      <c r="AQ270" s="2" t="s">
        <v>32</v>
      </c>
      <c r="AR270" s="2" t="s">
        <v>1660</v>
      </c>
      <c r="AS270" s="2">
        <v>0</v>
      </c>
      <c r="AT270" s="2" t="s">
        <v>32</v>
      </c>
      <c r="AU270" s="2" t="s">
        <v>32</v>
      </c>
      <c r="AV270" s="2" t="s">
        <v>1658</v>
      </c>
      <c r="AW270" s="2">
        <v>24</v>
      </c>
      <c r="AX270" s="2" t="s">
        <v>1660</v>
      </c>
      <c r="AY270" s="2">
        <v>0</v>
      </c>
      <c r="AZ270" s="2" t="s">
        <v>1660</v>
      </c>
      <c r="BA270" s="2">
        <v>0</v>
      </c>
      <c r="BB270" s="2">
        <v>0</v>
      </c>
      <c r="BC270" s="2" t="s">
        <v>32</v>
      </c>
      <c r="BD270" s="2">
        <v>0</v>
      </c>
      <c r="BE270" s="2" t="s">
        <v>32</v>
      </c>
      <c r="BF270" s="2">
        <v>0</v>
      </c>
      <c r="BG270" s="2" t="s">
        <v>32</v>
      </c>
      <c r="BH270" s="2">
        <v>0</v>
      </c>
      <c r="BI270" s="2" t="s">
        <v>32</v>
      </c>
      <c r="BJ270" s="2" t="s">
        <v>32</v>
      </c>
      <c r="BK270" s="2" t="s">
        <v>32</v>
      </c>
      <c r="BL270" s="2">
        <v>0</v>
      </c>
      <c r="BM270" s="2" t="s">
        <v>32</v>
      </c>
      <c r="BN270" s="2" t="s">
        <v>32</v>
      </c>
      <c r="BO270" s="2" t="s">
        <v>32</v>
      </c>
      <c r="BP270" s="2">
        <v>0</v>
      </c>
      <c r="BQ270" s="2" t="s">
        <v>32</v>
      </c>
      <c r="BR270" s="2">
        <v>0</v>
      </c>
      <c r="BS270" s="2" t="s">
        <v>1660</v>
      </c>
      <c r="BT270" s="2">
        <v>0</v>
      </c>
      <c r="BU270" s="2">
        <v>0</v>
      </c>
      <c r="BV270" s="2" t="s">
        <v>1660</v>
      </c>
      <c r="BW270" s="2"/>
      <c r="BX270" s="2"/>
      <c r="BY270" s="2" t="s">
        <v>1807</v>
      </c>
      <c r="BZ270" s="2" t="b">
        <f>OR( (Dashboard[[#This Row],[ref_as_hh]]&gt;=1),(Dashboard[[#This Row],[ret_as_hh]] &gt;=1), (Dashboard[[#This Row],[idp_as_hh]]&gt;=1))</f>
        <v>1</v>
      </c>
      <c r="CA270" s="2">
        <f>Dashboard[[#This Row],[ret_hi_hh]]</f>
        <v>0</v>
      </c>
      <c r="CB270" s="2">
        <f>Dashboard[[#This Row],[idp_fa_hh]]+Dashboard[[#This Row],[ref_fa_hh]]+Dashboard[[#This Row],[ret_fa_hh]]</f>
        <v>0</v>
      </c>
      <c r="CC270" s="2">
        <f>Dashboard[[#This Row],[idp_loc_hh]]+Dashboard[[#This Row],[ref_loc_hh]]+Dashboard[[#This Row],[ret_loc_hh]]</f>
        <v>0</v>
      </c>
      <c r="CD270" s="2">
        <f>Dashboard[[#This Row],[idp_cc_hh]]+Dashboard[[#This Row],[ref_cc_hh]]+Dashboard[[#This Row],[ret_cc_hh]]</f>
        <v>0</v>
      </c>
      <c r="CE270" s="2">
        <f>Dashboard[[#This Row],[idp_as_hh]]+Dashboard[[#This Row],[ref_as_hh]]+Dashboard[[#This Row],[ret_as_hh]]</f>
        <v>69</v>
      </c>
      <c r="CF270" s="2">
        <f>Dashboard[[#This Row],[idp_al_hh]]+Dashboard[[#This Row],[ref_al_hh]]+Dashboard[[#This Row],[ret_al_hh]]</f>
        <v>0</v>
      </c>
    </row>
    <row r="271" spans="1:84" x14ac:dyDescent="0.25">
      <c r="A271" s="27">
        <v>423</v>
      </c>
      <c r="B271" s="2" t="s">
        <v>22</v>
      </c>
      <c r="C271" s="2" t="s">
        <v>23</v>
      </c>
      <c r="D271" s="2" t="s">
        <v>85</v>
      </c>
      <c r="E271" s="2" t="s">
        <v>84</v>
      </c>
      <c r="F271" s="2" t="s">
        <v>92</v>
      </c>
      <c r="G271" s="2" t="s">
        <v>91</v>
      </c>
      <c r="H271" s="2" t="s">
        <v>1813</v>
      </c>
      <c r="I271" s="2" t="s">
        <v>1814</v>
      </c>
      <c r="J271" s="2" t="s">
        <v>2400</v>
      </c>
      <c r="K271" s="2" t="s">
        <v>2401</v>
      </c>
      <c r="L271" s="2" t="s">
        <v>2074</v>
      </c>
      <c r="M271" s="2">
        <v>997</v>
      </c>
      <c r="N271" s="2" t="s">
        <v>1658</v>
      </c>
      <c r="O271" s="2">
        <v>12</v>
      </c>
      <c r="P271" s="2">
        <v>90</v>
      </c>
      <c r="Q271" s="2" t="s">
        <v>1658</v>
      </c>
      <c r="R271" s="2">
        <v>12</v>
      </c>
      <c r="S271" s="2" t="s">
        <v>1660</v>
      </c>
      <c r="T271" s="2">
        <v>0</v>
      </c>
      <c r="U271" s="2" t="s">
        <v>32</v>
      </c>
      <c r="V271" s="2" t="s">
        <v>32</v>
      </c>
      <c r="W271" s="2" t="s">
        <v>1660</v>
      </c>
      <c r="X271" s="2">
        <v>0</v>
      </c>
      <c r="Y271" s="2" t="s">
        <v>32</v>
      </c>
      <c r="Z271" s="2" t="s">
        <v>32</v>
      </c>
      <c r="AA271" s="2" t="s">
        <v>1660</v>
      </c>
      <c r="AB271" s="2">
        <v>0</v>
      </c>
      <c r="AC271" s="2" t="s">
        <v>1660</v>
      </c>
      <c r="AD271" s="2">
        <v>0</v>
      </c>
      <c r="AE271" s="2" t="s">
        <v>1658</v>
      </c>
      <c r="AF271" s="2">
        <v>27</v>
      </c>
      <c r="AG271" s="2">
        <v>107</v>
      </c>
      <c r="AH271" s="2" t="s">
        <v>1660</v>
      </c>
      <c r="AI271" s="2" t="s">
        <v>32</v>
      </c>
      <c r="AJ271" s="2" t="s">
        <v>32</v>
      </c>
      <c r="AK271" s="2" t="s">
        <v>32</v>
      </c>
      <c r="AL271" s="2" t="s">
        <v>1660</v>
      </c>
      <c r="AM271" s="2">
        <v>0</v>
      </c>
      <c r="AN271" s="2" t="s">
        <v>1660</v>
      </c>
      <c r="AO271" s="2">
        <v>0</v>
      </c>
      <c r="AP271" s="2" t="s">
        <v>32</v>
      </c>
      <c r="AQ271" s="2" t="s">
        <v>32</v>
      </c>
      <c r="AR271" s="2" t="s">
        <v>1660</v>
      </c>
      <c r="AS271" s="2">
        <v>0</v>
      </c>
      <c r="AT271" s="2" t="s">
        <v>32</v>
      </c>
      <c r="AU271" s="2" t="s">
        <v>32</v>
      </c>
      <c r="AV271" s="2" t="s">
        <v>1658</v>
      </c>
      <c r="AW271" s="2">
        <v>27</v>
      </c>
      <c r="AX271" s="2" t="s">
        <v>1660</v>
      </c>
      <c r="AY271" s="2">
        <v>0</v>
      </c>
      <c r="AZ271" s="2" t="s">
        <v>1660</v>
      </c>
      <c r="BA271" s="2">
        <v>0</v>
      </c>
      <c r="BB271" s="2">
        <v>0</v>
      </c>
      <c r="BC271" s="2" t="s">
        <v>32</v>
      </c>
      <c r="BD271" s="2">
        <v>0</v>
      </c>
      <c r="BE271" s="2" t="s">
        <v>32</v>
      </c>
      <c r="BF271" s="2">
        <v>0</v>
      </c>
      <c r="BG271" s="2" t="s">
        <v>32</v>
      </c>
      <c r="BH271" s="2">
        <v>0</v>
      </c>
      <c r="BI271" s="2" t="s">
        <v>32</v>
      </c>
      <c r="BJ271" s="2" t="s">
        <v>32</v>
      </c>
      <c r="BK271" s="2" t="s">
        <v>32</v>
      </c>
      <c r="BL271" s="2">
        <v>0</v>
      </c>
      <c r="BM271" s="2" t="s">
        <v>32</v>
      </c>
      <c r="BN271" s="2" t="s">
        <v>32</v>
      </c>
      <c r="BO271" s="2" t="s">
        <v>32</v>
      </c>
      <c r="BP271" s="2">
        <v>0</v>
      </c>
      <c r="BQ271" s="2" t="s">
        <v>32</v>
      </c>
      <c r="BR271" s="2">
        <v>0</v>
      </c>
      <c r="BS271" s="2" t="s">
        <v>1660</v>
      </c>
      <c r="BT271" s="2">
        <v>0</v>
      </c>
      <c r="BU271" s="2">
        <v>0</v>
      </c>
      <c r="BV271" s="2" t="s">
        <v>1660</v>
      </c>
      <c r="BW271" s="2"/>
      <c r="BX271" s="2"/>
      <c r="BY271" s="2" t="s">
        <v>1807</v>
      </c>
      <c r="BZ271" s="2" t="b">
        <f>OR( (Dashboard[[#This Row],[ref_as_hh]]&gt;=1),(Dashboard[[#This Row],[ret_as_hh]] &gt;=1), (Dashboard[[#This Row],[idp_as_hh]]&gt;=1))</f>
        <v>1</v>
      </c>
      <c r="CA271" s="2">
        <f>Dashboard[[#This Row],[ret_hi_hh]]</f>
        <v>0</v>
      </c>
      <c r="CB271" s="2">
        <f>Dashboard[[#This Row],[idp_fa_hh]]+Dashboard[[#This Row],[ref_fa_hh]]+Dashboard[[#This Row],[ret_fa_hh]]</f>
        <v>12</v>
      </c>
      <c r="CC271" s="2">
        <f>Dashboard[[#This Row],[idp_loc_hh]]+Dashboard[[#This Row],[ref_loc_hh]]+Dashboard[[#This Row],[ret_loc_hh]]</f>
        <v>0</v>
      </c>
      <c r="CD271" s="2">
        <f>Dashboard[[#This Row],[idp_cc_hh]]+Dashboard[[#This Row],[ref_cc_hh]]+Dashboard[[#This Row],[ret_cc_hh]]</f>
        <v>0</v>
      </c>
      <c r="CE271" s="2">
        <f>Dashboard[[#This Row],[idp_as_hh]]+Dashboard[[#This Row],[ref_as_hh]]+Dashboard[[#This Row],[ret_as_hh]]</f>
        <v>27</v>
      </c>
      <c r="CF271" s="2">
        <f>Dashboard[[#This Row],[idp_al_hh]]+Dashboard[[#This Row],[ref_al_hh]]+Dashboard[[#This Row],[ret_al_hh]]</f>
        <v>0</v>
      </c>
    </row>
    <row r="272" spans="1:84" hidden="1" x14ac:dyDescent="0.25">
      <c r="A272" s="27">
        <v>425</v>
      </c>
      <c r="B272" s="2" t="s">
        <v>22</v>
      </c>
      <c r="C272" s="2" t="s">
        <v>23</v>
      </c>
      <c r="D272" s="2" t="s">
        <v>85</v>
      </c>
      <c r="E272" s="2" t="s">
        <v>84</v>
      </c>
      <c r="F272" s="2" t="s">
        <v>92</v>
      </c>
      <c r="G272" s="2" t="s">
        <v>91</v>
      </c>
      <c r="H272" s="2" t="s">
        <v>941</v>
      </c>
      <c r="I272" s="2" t="s">
        <v>274</v>
      </c>
      <c r="J272" s="2" t="s">
        <v>2370</v>
      </c>
      <c r="K272" s="2" t="s">
        <v>2371</v>
      </c>
      <c r="L272" s="2" t="s">
        <v>2074</v>
      </c>
      <c r="M272" s="2">
        <v>700</v>
      </c>
      <c r="N272" s="2" t="s">
        <v>1658</v>
      </c>
      <c r="O272" s="2">
        <v>6</v>
      </c>
      <c r="P272" s="2">
        <v>40</v>
      </c>
      <c r="Q272" s="2" t="s">
        <v>1658</v>
      </c>
      <c r="R272" s="2">
        <v>6</v>
      </c>
      <c r="S272" s="2" t="s">
        <v>1660</v>
      </c>
      <c r="T272" s="2">
        <v>0</v>
      </c>
      <c r="U272" s="2" t="s">
        <v>32</v>
      </c>
      <c r="V272" s="2" t="s">
        <v>32</v>
      </c>
      <c r="W272" s="2" t="s">
        <v>1660</v>
      </c>
      <c r="X272" s="2">
        <v>0</v>
      </c>
      <c r="Y272" s="2" t="s">
        <v>32</v>
      </c>
      <c r="Z272" s="2" t="s">
        <v>32</v>
      </c>
      <c r="AA272" s="2" t="s">
        <v>1660</v>
      </c>
      <c r="AB272" s="2">
        <v>0</v>
      </c>
      <c r="AC272" s="2" t="s">
        <v>1660</v>
      </c>
      <c r="AD272" s="2">
        <v>0</v>
      </c>
      <c r="AE272" s="2" t="s">
        <v>1660</v>
      </c>
      <c r="AF272" s="2">
        <v>0</v>
      </c>
      <c r="AG272" s="2">
        <v>0</v>
      </c>
      <c r="AH272" s="2" t="s">
        <v>32</v>
      </c>
      <c r="AI272" s="2" t="s">
        <v>32</v>
      </c>
      <c r="AJ272" s="2" t="s">
        <v>32</v>
      </c>
      <c r="AK272" s="2" t="s">
        <v>32</v>
      </c>
      <c r="AL272" s="2" t="s">
        <v>32</v>
      </c>
      <c r="AM272" s="2">
        <v>0</v>
      </c>
      <c r="AN272" s="2" t="s">
        <v>32</v>
      </c>
      <c r="AO272" s="2">
        <v>0</v>
      </c>
      <c r="AP272" s="2" t="s">
        <v>32</v>
      </c>
      <c r="AQ272" s="2" t="s">
        <v>32</v>
      </c>
      <c r="AR272" s="2" t="s">
        <v>32</v>
      </c>
      <c r="AS272" s="2">
        <v>0</v>
      </c>
      <c r="AT272" s="2" t="s">
        <v>32</v>
      </c>
      <c r="AU272" s="2" t="s">
        <v>32</v>
      </c>
      <c r="AV272" s="2" t="s">
        <v>32</v>
      </c>
      <c r="AW272" s="2">
        <v>0</v>
      </c>
      <c r="AX272" s="2" t="s">
        <v>32</v>
      </c>
      <c r="AY272" s="2">
        <v>0</v>
      </c>
      <c r="AZ272" s="2" t="s">
        <v>1658</v>
      </c>
      <c r="BA272" s="2">
        <v>11</v>
      </c>
      <c r="BB272" s="2">
        <v>97</v>
      </c>
      <c r="BC272" s="2" t="s">
        <v>1658</v>
      </c>
      <c r="BD272" s="2">
        <v>11</v>
      </c>
      <c r="BE272" s="2" t="s">
        <v>1660</v>
      </c>
      <c r="BF272" s="2">
        <v>0</v>
      </c>
      <c r="BG272" s="2" t="s">
        <v>1660</v>
      </c>
      <c r="BH272" s="2">
        <v>0</v>
      </c>
      <c r="BI272" s="2" t="s">
        <v>32</v>
      </c>
      <c r="BJ272" s="2" t="s">
        <v>32</v>
      </c>
      <c r="BK272" s="2" t="s">
        <v>1660</v>
      </c>
      <c r="BL272" s="2">
        <v>0</v>
      </c>
      <c r="BM272" s="2" t="s">
        <v>32</v>
      </c>
      <c r="BN272" s="2" t="s">
        <v>32</v>
      </c>
      <c r="BO272" s="2" t="s">
        <v>1660</v>
      </c>
      <c r="BP272" s="2">
        <v>0</v>
      </c>
      <c r="BQ272" s="2" t="s">
        <v>1660</v>
      </c>
      <c r="BR272" s="2">
        <v>0</v>
      </c>
      <c r="BS272" s="2" t="s">
        <v>1660</v>
      </c>
      <c r="BT272" s="2">
        <v>0</v>
      </c>
      <c r="BU272" s="2">
        <v>0</v>
      </c>
      <c r="BV272" s="2" t="s">
        <v>1660</v>
      </c>
      <c r="BW272" s="2"/>
      <c r="BX272" s="2"/>
      <c r="BY272" s="2" t="s">
        <v>1807</v>
      </c>
      <c r="BZ272" s="2" t="b">
        <f>OR( (Dashboard[[#This Row],[ref_as_hh]]&gt;=1),(Dashboard[[#This Row],[ret_as_hh]] &gt;=1), (Dashboard[[#This Row],[idp_as_hh]]&gt;=1))</f>
        <v>0</v>
      </c>
      <c r="CA272" s="2">
        <f>Dashboard[[#This Row],[ret_hi_hh]]</f>
        <v>11</v>
      </c>
      <c r="CB272" s="2">
        <f>Dashboard[[#This Row],[idp_fa_hh]]+Dashboard[[#This Row],[ref_fa_hh]]+Dashboard[[#This Row],[ret_fa_hh]]</f>
        <v>6</v>
      </c>
      <c r="CC272" s="2">
        <f>Dashboard[[#This Row],[idp_loc_hh]]+Dashboard[[#This Row],[ref_loc_hh]]+Dashboard[[#This Row],[ret_loc_hh]]</f>
        <v>0</v>
      </c>
      <c r="CD272" s="2">
        <f>Dashboard[[#This Row],[idp_cc_hh]]+Dashboard[[#This Row],[ref_cc_hh]]+Dashboard[[#This Row],[ret_cc_hh]]</f>
        <v>0</v>
      </c>
      <c r="CE272" s="2">
        <f>Dashboard[[#This Row],[idp_as_hh]]+Dashboard[[#This Row],[ref_as_hh]]+Dashboard[[#This Row],[ret_as_hh]]</f>
        <v>0</v>
      </c>
      <c r="CF272" s="2">
        <f>Dashboard[[#This Row],[idp_al_hh]]+Dashboard[[#This Row],[ref_al_hh]]+Dashboard[[#This Row],[ret_al_hh]]</f>
        <v>0</v>
      </c>
    </row>
    <row r="273" spans="1:84" hidden="1" x14ac:dyDescent="0.25">
      <c r="A273" s="27">
        <v>434</v>
      </c>
      <c r="B273" s="2" t="s">
        <v>22</v>
      </c>
      <c r="C273" s="2" t="s">
        <v>23</v>
      </c>
      <c r="D273" s="2" t="s">
        <v>85</v>
      </c>
      <c r="E273" s="2" t="s">
        <v>84</v>
      </c>
      <c r="F273" s="2" t="s">
        <v>92</v>
      </c>
      <c r="G273" s="2" t="s">
        <v>91</v>
      </c>
      <c r="H273" s="2" t="s">
        <v>968</v>
      </c>
      <c r="I273" s="2" t="s">
        <v>290</v>
      </c>
      <c r="J273" s="2" t="s">
        <v>2436</v>
      </c>
      <c r="K273" s="2" t="s">
        <v>2437</v>
      </c>
      <c r="L273" s="2" t="s">
        <v>2074</v>
      </c>
      <c r="M273" s="2">
        <v>3146</v>
      </c>
      <c r="N273" s="2" t="s">
        <v>1658</v>
      </c>
      <c r="O273" s="2">
        <v>8</v>
      </c>
      <c r="P273" s="2">
        <v>37</v>
      </c>
      <c r="Q273" s="2" t="s">
        <v>1658</v>
      </c>
      <c r="R273" s="2">
        <v>8</v>
      </c>
      <c r="S273" s="2" t="s">
        <v>1660</v>
      </c>
      <c r="T273" s="2">
        <v>0</v>
      </c>
      <c r="U273" s="2" t="s">
        <v>32</v>
      </c>
      <c r="V273" s="2" t="s">
        <v>32</v>
      </c>
      <c r="W273" s="2" t="s">
        <v>1660</v>
      </c>
      <c r="X273" s="2">
        <v>0</v>
      </c>
      <c r="Y273" s="2" t="s">
        <v>32</v>
      </c>
      <c r="Z273" s="2" t="s">
        <v>32</v>
      </c>
      <c r="AA273" s="2" t="s">
        <v>1660</v>
      </c>
      <c r="AB273" s="2">
        <v>0</v>
      </c>
      <c r="AC273" s="2" t="s">
        <v>1660</v>
      </c>
      <c r="AD273" s="2">
        <v>0</v>
      </c>
      <c r="AE273" s="2" t="s">
        <v>1658</v>
      </c>
      <c r="AF273" s="2">
        <v>57</v>
      </c>
      <c r="AG273" s="2">
        <v>237</v>
      </c>
      <c r="AH273" s="2" t="s">
        <v>1660</v>
      </c>
      <c r="AI273" s="2" t="s">
        <v>32</v>
      </c>
      <c r="AJ273" s="2" t="s">
        <v>32</v>
      </c>
      <c r="AK273" s="2" t="s">
        <v>32</v>
      </c>
      <c r="AL273" s="2" t="s">
        <v>1658</v>
      </c>
      <c r="AM273" s="2">
        <v>57</v>
      </c>
      <c r="AN273" s="2" t="s">
        <v>1660</v>
      </c>
      <c r="AO273" s="2">
        <v>0</v>
      </c>
      <c r="AP273" s="2" t="s">
        <v>32</v>
      </c>
      <c r="AQ273" s="2" t="s">
        <v>32</v>
      </c>
      <c r="AR273" s="2" t="s">
        <v>1660</v>
      </c>
      <c r="AS273" s="2">
        <v>0</v>
      </c>
      <c r="AT273" s="2" t="s">
        <v>32</v>
      </c>
      <c r="AU273" s="2" t="s">
        <v>32</v>
      </c>
      <c r="AV273" s="2" t="s">
        <v>1660</v>
      </c>
      <c r="AW273" s="2">
        <v>0</v>
      </c>
      <c r="AX273" s="2" t="s">
        <v>1660</v>
      </c>
      <c r="AY273" s="2">
        <v>0</v>
      </c>
      <c r="AZ273" s="2" t="s">
        <v>1658</v>
      </c>
      <c r="BA273" s="2">
        <v>196</v>
      </c>
      <c r="BB273" s="2">
        <v>1420</v>
      </c>
      <c r="BC273" s="2" t="s">
        <v>1658</v>
      </c>
      <c r="BD273" s="2">
        <v>196</v>
      </c>
      <c r="BE273" s="2" t="s">
        <v>1660</v>
      </c>
      <c r="BF273" s="2">
        <v>0</v>
      </c>
      <c r="BG273" s="2" t="s">
        <v>1660</v>
      </c>
      <c r="BH273" s="2">
        <v>0</v>
      </c>
      <c r="BI273" s="2" t="s">
        <v>32</v>
      </c>
      <c r="BJ273" s="2" t="s">
        <v>32</v>
      </c>
      <c r="BK273" s="2" t="s">
        <v>1660</v>
      </c>
      <c r="BL273" s="2">
        <v>0</v>
      </c>
      <c r="BM273" s="2" t="s">
        <v>32</v>
      </c>
      <c r="BN273" s="2" t="s">
        <v>32</v>
      </c>
      <c r="BO273" s="2" t="s">
        <v>1660</v>
      </c>
      <c r="BP273" s="2">
        <v>0</v>
      </c>
      <c r="BQ273" s="2" t="s">
        <v>1660</v>
      </c>
      <c r="BR273" s="2">
        <v>0</v>
      </c>
      <c r="BS273" s="2" t="s">
        <v>1660</v>
      </c>
      <c r="BT273" s="2">
        <v>0</v>
      </c>
      <c r="BU273" s="2">
        <v>0</v>
      </c>
      <c r="BV273" s="2" t="s">
        <v>1660</v>
      </c>
      <c r="BW273" s="2"/>
      <c r="BX273" s="2"/>
      <c r="BY273" s="2" t="s">
        <v>1807</v>
      </c>
      <c r="BZ273" s="2" t="b">
        <f>OR( (Dashboard[[#This Row],[ref_as_hh]]&gt;=1),(Dashboard[[#This Row],[ret_as_hh]] &gt;=1), (Dashboard[[#This Row],[idp_as_hh]]&gt;=1))</f>
        <v>0</v>
      </c>
      <c r="CA273" s="2">
        <f>Dashboard[[#This Row],[ret_hi_hh]]</f>
        <v>196</v>
      </c>
      <c r="CB273" s="2">
        <f>Dashboard[[#This Row],[idp_fa_hh]]+Dashboard[[#This Row],[ref_fa_hh]]+Dashboard[[#This Row],[ret_fa_hh]]</f>
        <v>65</v>
      </c>
      <c r="CC273" s="2">
        <f>Dashboard[[#This Row],[idp_loc_hh]]+Dashboard[[#This Row],[ref_loc_hh]]+Dashboard[[#This Row],[ret_loc_hh]]</f>
        <v>0</v>
      </c>
      <c r="CD273" s="2">
        <f>Dashboard[[#This Row],[idp_cc_hh]]+Dashboard[[#This Row],[ref_cc_hh]]+Dashboard[[#This Row],[ret_cc_hh]]</f>
        <v>0</v>
      </c>
      <c r="CE273" s="2">
        <f>Dashboard[[#This Row],[idp_as_hh]]+Dashboard[[#This Row],[ref_as_hh]]+Dashboard[[#This Row],[ret_as_hh]]</f>
        <v>0</v>
      </c>
      <c r="CF273" s="2">
        <f>Dashboard[[#This Row],[idp_al_hh]]+Dashboard[[#This Row],[ref_al_hh]]+Dashboard[[#This Row],[ret_al_hh]]</f>
        <v>0</v>
      </c>
    </row>
    <row r="274" spans="1:84" hidden="1" x14ac:dyDescent="0.25">
      <c r="A274" s="27">
        <v>208</v>
      </c>
      <c r="B274" s="2" t="s">
        <v>22</v>
      </c>
      <c r="C274" s="2" t="s">
        <v>23</v>
      </c>
      <c r="D274" s="2" t="s">
        <v>85</v>
      </c>
      <c r="E274" s="2" t="s">
        <v>84</v>
      </c>
      <c r="F274" s="2" t="s">
        <v>92</v>
      </c>
      <c r="G274" s="2" t="s">
        <v>91</v>
      </c>
      <c r="H274" s="2" t="s">
        <v>953</v>
      </c>
      <c r="I274" s="2" t="s">
        <v>952</v>
      </c>
      <c r="J274" s="2" t="s">
        <v>2398</v>
      </c>
      <c r="K274" s="2" t="s">
        <v>2399</v>
      </c>
      <c r="L274" s="2" t="s">
        <v>2074</v>
      </c>
      <c r="M274" s="2">
        <v>2400</v>
      </c>
      <c r="N274" s="2" t="s">
        <v>1658</v>
      </c>
      <c r="O274" s="2">
        <v>15</v>
      </c>
      <c r="P274" s="2">
        <v>35</v>
      </c>
      <c r="Q274" s="2" t="s">
        <v>1658</v>
      </c>
      <c r="R274" s="2">
        <v>15</v>
      </c>
      <c r="S274" s="2" t="s">
        <v>1660</v>
      </c>
      <c r="T274" s="2">
        <v>0</v>
      </c>
      <c r="U274" s="2" t="s">
        <v>32</v>
      </c>
      <c r="V274" s="2" t="s">
        <v>32</v>
      </c>
      <c r="W274" s="2" t="s">
        <v>1660</v>
      </c>
      <c r="X274" s="2">
        <v>0</v>
      </c>
      <c r="Y274" s="2" t="s">
        <v>32</v>
      </c>
      <c r="Z274" s="2" t="s">
        <v>32</v>
      </c>
      <c r="AA274" s="2" t="s">
        <v>1660</v>
      </c>
      <c r="AB274" s="2">
        <v>0</v>
      </c>
      <c r="AC274" s="2" t="s">
        <v>1660</v>
      </c>
      <c r="AD274" s="2">
        <v>0</v>
      </c>
      <c r="AE274" s="2" t="s">
        <v>1658</v>
      </c>
      <c r="AF274" s="2">
        <v>25</v>
      </c>
      <c r="AG274" s="2">
        <v>80</v>
      </c>
      <c r="AH274" s="2" t="s">
        <v>1660</v>
      </c>
      <c r="AI274" s="2" t="s">
        <v>32</v>
      </c>
      <c r="AJ274" s="2" t="s">
        <v>32</v>
      </c>
      <c r="AK274" s="2" t="s">
        <v>32</v>
      </c>
      <c r="AL274" s="2" t="s">
        <v>1658</v>
      </c>
      <c r="AM274" s="2">
        <v>25</v>
      </c>
      <c r="AN274" s="2" t="s">
        <v>1660</v>
      </c>
      <c r="AO274" s="2">
        <v>0</v>
      </c>
      <c r="AP274" s="2" t="s">
        <v>32</v>
      </c>
      <c r="AQ274" s="2" t="s">
        <v>32</v>
      </c>
      <c r="AR274" s="2" t="s">
        <v>1660</v>
      </c>
      <c r="AS274" s="2">
        <v>0</v>
      </c>
      <c r="AT274" s="2" t="s">
        <v>32</v>
      </c>
      <c r="AU274" s="2" t="s">
        <v>32</v>
      </c>
      <c r="AV274" s="2" t="s">
        <v>1660</v>
      </c>
      <c r="AW274" s="2">
        <v>0</v>
      </c>
      <c r="AX274" s="2" t="s">
        <v>1660</v>
      </c>
      <c r="AY274" s="2">
        <v>0</v>
      </c>
      <c r="AZ274" s="2" t="s">
        <v>1660</v>
      </c>
      <c r="BA274" s="2">
        <v>0</v>
      </c>
      <c r="BB274" s="2">
        <v>0</v>
      </c>
      <c r="BC274" s="2" t="s">
        <v>32</v>
      </c>
      <c r="BD274" s="2">
        <v>0</v>
      </c>
      <c r="BE274" s="2" t="s">
        <v>32</v>
      </c>
      <c r="BF274" s="2">
        <v>0</v>
      </c>
      <c r="BG274" s="2" t="s">
        <v>32</v>
      </c>
      <c r="BH274" s="2">
        <v>0</v>
      </c>
      <c r="BI274" s="2" t="s">
        <v>32</v>
      </c>
      <c r="BJ274" s="2" t="s">
        <v>32</v>
      </c>
      <c r="BK274" s="2" t="s">
        <v>32</v>
      </c>
      <c r="BL274" s="2">
        <v>0</v>
      </c>
      <c r="BM274" s="2" t="s">
        <v>32</v>
      </c>
      <c r="BN274" s="2" t="s">
        <v>32</v>
      </c>
      <c r="BO274" s="2" t="s">
        <v>32</v>
      </c>
      <c r="BP274" s="2">
        <v>0</v>
      </c>
      <c r="BQ274" s="2" t="s">
        <v>32</v>
      </c>
      <c r="BR274" s="2">
        <v>0</v>
      </c>
      <c r="BS274" s="2" t="s">
        <v>1660</v>
      </c>
      <c r="BT274" s="2">
        <v>0</v>
      </c>
      <c r="BU274" s="2">
        <v>0</v>
      </c>
      <c r="BV274" s="2" t="s">
        <v>1660</v>
      </c>
      <c r="BW274" s="2"/>
      <c r="BX274" s="2"/>
      <c r="BY274" s="2" t="s">
        <v>1807</v>
      </c>
      <c r="BZ274" s="2" t="b">
        <f>OR( (Dashboard[[#This Row],[ref_as_hh]]&gt;=1),(Dashboard[[#This Row],[ret_as_hh]] &gt;=1), (Dashboard[[#This Row],[idp_as_hh]]&gt;=1))</f>
        <v>0</v>
      </c>
      <c r="CA274" s="2">
        <f>Dashboard[[#This Row],[ret_hi_hh]]</f>
        <v>0</v>
      </c>
      <c r="CB274" s="2">
        <f>Dashboard[[#This Row],[idp_fa_hh]]+Dashboard[[#This Row],[ref_fa_hh]]+Dashboard[[#This Row],[ret_fa_hh]]</f>
        <v>40</v>
      </c>
      <c r="CC274" s="2">
        <f>Dashboard[[#This Row],[idp_loc_hh]]+Dashboard[[#This Row],[ref_loc_hh]]+Dashboard[[#This Row],[ret_loc_hh]]</f>
        <v>0</v>
      </c>
      <c r="CD274" s="2">
        <f>Dashboard[[#This Row],[idp_cc_hh]]+Dashboard[[#This Row],[ref_cc_hh]]+Dashboard[[#This Row],[ret_cc_hh]]</f>
        <v>0</v>
      </c>
      <c r="CE274" s="2">
        <f>Dashboard[[#This Row],[idp_as_hh]]+Dashboard[[#This Row],[ref_as_hh]]+Dashboard[[#This Row],[ret_as_hh]]</f>
        <v>0</v>
      </c>
      <c r="CF274" s="2">
        <f>Dashboard[[#This Row],[idp_al_hh]]+Dashboard[[#This Row],[ref_al_hh]]+Dashboard[[#This Row],[ret_al_hh]]</f>
        <v>0</v>
      </c>
    </row>
    <row r="275" spans="1:84" hidden="1" x14ac:dyDescent="0.25">
      <c r="A275" s="27">
        <v>726</v>
      </c>
      <c r="B275" s="2" t="s">
        <v>22</v>
      </c>
      <c r="C275" s="2" t="s">
        <v>23</v>
      </c>
      <c r="D275" s="2" t="s">
        <v>85</v>
      </c>
      <c r="E275" s="2" t="s">
        <v>84</v>
      </c>
      <c r="F275" s="2" t="s">
        <v>92</v>
      </c>
      <c r="G275" s="2" t="s">
        <v>91</v>
      </c>
      <c r="H275" s="2" t="s">
        <v>949</v>
      </c>
      <c r="I275" s="2" t="s">
        <v>768</v>
      </c>
      <c r="J275" s="2" t="s">
        <v>2394</v>
      </c>
      <c r="K275" s="2" t="s">
        <v>2395</v>
      </c>
      <c r="L275" s="2" t="s">
        <v>2074</v>
      </c>
      <c r="M275" s="2">
        <v>3831</v>
      </c>
      <c r="N275" s="2" t="s">
        <v>1658</v>
      </c>
      <c r="O275" s="2">
        <v>47</v>
      </c>
      <c r="P275" s="2">
        <v>205</v>
      </c>
      <c r="Q275" s="2" t="s">
        <v>1658</v>
      </c>
      <c r="R275" s="2">
        <v>47</v>
      </c>
      <c r="S275" s="2" t="s">
        <v>1660</v>
      </c>
      <c r="T275" s="2">
        <v>0</v>
      </c>
      <c r="U275" s="2" t="s">
        <v>32</v>
      </c>
      <c r="V275" s="2" t="s">
        <v>32</v>
      </c>
      <c r="W275" s="2" t="s">
        <v>1660</v>
      </c>
      <c r="X275" s="2">
        <v>0</v>
      </c>
      <c r="Y275" s="2" t="s">
        <v>32</v>
      </c>
      <c r="Z275" s="2" t="s">
        <v>32</v>
      </c>
      <c r="AA275" s="2" t="s">
        <v>1660</v>
      </c>
      <c r="AB275" s="2">
        <v>0</v>
      </c>
      <c r="AC275" s="2" t="s">
        <v>1660</v>
      </c>
      <c r="AD275" s="2">
        <v>0</v>
      </c>
      <c r="AE275" s="2" t="s">
        <v>1658</v>
      </c>
      <c r="AF275" s="2">
        <v>53</v>
      </c>
      <c r="AG275" s="2">
        <v>265</v>
      </c>
      <c r="AH275" s="2" t="s">
        <v>1660</v>
      </c>
      <c r="AI275" s="2" t="s">
        <v>32</v>
      </c>
      <c r="AJ275" s="2" t="s">
        <v>32</v>
      </c>
      <c r="AK275" s="2" t="s">
        <v>32</v>
      </c>
      <c r="AL275" s="2" t="s">
        <v>1658</v>
      </c>
      <c r="AM275" s="2">
        <v>53</v>
      </c>
      <c r="AN275" s="2" t="s">
        <v>1660</v>
      </c>
      <c r="AO275" s="2">
        <v>0</v>
      </c>
      <c r="AP275" s="2" t="s">
        <v>32</v>
      </c>
      <c r="AQ275" s="2" t="s">
        <v>32</v>
      </c>
      <c r="AR275" s="2" t="s">
        <v>1660</v>
      </c>
      <c r="AS275" s="2">
        <v>0</v>
      </c>
      <c r="AT275" s="2" t="s">
        <v>32</v>
      </c>
      <c r="AU275" s="2" t="s">
        <v>32</v>
      </c>
      <c r="AV275" s="2" t="s">
        <v>1660</v>
      </c>
      <c r="AW275" s="2">
        <v>0</v>
      </c>
      <c r="AX275" s="2" t="s">
        <v>1660</v>
      </c>
      <c r="AY275" s="2">
        <v>0</v>
      </c>
      <c r="AZ275" s="2" t="s">
        <v>1660</v>
      </c>
      <c r="BA275" s="2">
        <v>0</v>
      </c>
      <c r="BB275" s="2">
        <v>0</v>
      </c>
      <c r="BC275" s="2" t="s">
        <v>32</v>
      </c>
      <c r="BD275" s="2">
        <v>0</v>
      </c>
      <c r="BE275" s="2" t="s">
        <v>32</v>
      </c>
      <c r="BF275" s="2">
        <v>0</v>
      </c>
      <c r="BG275" s="2" t="s">
        <v>32</v>
      </c>
      <c r="BH275" s="2">
        <v>0</v>
      </c>
      <c r="BI275" s="2" t="s">
        <v>32</v>
      </c>
      <c r="BJ275" s="2" t="s">
        <v>32</v>
      </c>
      <c r="BK275" s="2" t="s">
        <v>32</v>
      </c>
      <c r="BL275" s="2">
        <v>0</v>
      </c>
      <c r="BM275" s="2" t="s">
        <v>32</v>
      </c>
      <c r="BN275" s="2" t="s">
        <v>32</v>
      </c>
      <c r="BO275" s="2" t="s">
        <v>32</v>
      </c>
      <c r="BP275" s="2">
        <v>0</v>
      </c>
      <c r="BQ275" s="2" t="s">
        <v>32</v>
      </c>
      <c r="BR275" s="2">
        <v>0</v>
      </c>
      <c r="BS275" s="2" t="s">
        <v>1660</v>
      </c>
      <c r="BT275" s="2">
        <v>0</v>
      </c>
      <c r="BU275" s="2">
        <v>0</v>
      </c>
      <c r="BV275" s="2" t="s">
        <v>1660</v>
      </c>
      <c r="BW275" s="2"/>
      <c r="BX275" s="2"/>
      <c r="BY275" s="2" t="s">
        <v>1807</v>
      </c>
      <c r="BZ275" s="2" t="b">
        <f>OR( (Dashboard[[#This Row],[ref_as_hh]]&gt;=1),(Dashboard[[#This Row],[ret_as_hh]] &gt;=1), (Dashboard[[#This Row],[idp_as_hh]]&gt;=1))</f>
        <v>0</v>
      </c>
      <c r="CA275" s="2">
        <f>Dashboard[[#This Row],[ret_hi_hh]]</f>
        <v>0</v>
      </c>
      <c r="CB275" s="2">
        <f>Dashboard[[#This Row],[idp_fa_hh]]+Dashboard[[#This Row],[ref_fa_hh]]+Dashboard[[#This Row],[ret_fa_hh]]</f>
        <v>100</v>
      </c>
      <c r="CC275" s="2">
        <f>Dashboard[[#This Row],[idp_loc_hh]]+Dashboard[[#This Row],[ref_loc_hh]]+Dashboard[[#This Row],[ret_loc_hh]]</f>
        <v>0</v>
      </c>
      <c r="CD275" s="2">
        <f>Dashboard[[#This Row],[idp_cc_hh]]+Dashboard[[#This Row],[ref_cc_hh]]+Dashboard[[#This Row],[ret_cc_hh]]</f>
        <v>0</v>
      </c>
      <c r="CE275" s="2">
        <f>Dashboard[[#This Row],[idp_as_hh]]+Dashboard[[#This Row],[ref_as_hh]]+Dashboard[[#This Row],[ret_as_hh]]</f>
        <v>0</v>
      </c>
      <c r="CF275" s="2">
        <f>Dashboard[[#This Row],[idp_al_hh]]+Dashboard[[#This Row],[ref_al_hh]]+Dashboard[[#This Row],[ret_al_hh]]</f>
        <v>0</v>
      </c>
    </row>
    <row r="276" spans="1:84" hidden="1" x14ac:dyDescent="0.25">
      <c r="A276" s="27">
        <v>727</v>
      </c>
      <c r="B276" s="2" t="s">
        <v>22</v>
      </c>
      <c r="C276" s="2" t="s">
        <v>23</v>
      </c>
      <c r="D276" s="2" t="s">
        <v>85</v>
      </c>
      <c r="E276" s="2" t="s">
        <v>84</v>
      </c>
      <c r="F276" s="2" t="s">
        <v>92</v>
      </c>
      <c r="G276" s="2" t="s">
        <v>91</v>
      </c>
      <c r="H276" s="2" t="s">
        <v>964</v>
      </c>
      <c r="I276" s="2" t="s">
        <v>288</v>
      </c>
      <c r="J276" s="2" t="s">
        <v>2428</v>
      </c>
      <c r="K276" s="2" t="s">
        <v>2429</v>
      </c>
      <c r="L276" s="2" t="s">
        <v>3693</v>
      </c>
      <c r="M276" s="2">
        <v>0</v>
      </c>
      <c r="N276" s="2" t="s">
        <v>1660</v>
      </c>
      <c r="O276" s="2">
        <v>0</v>
      </c>
      <c r="P276" s="2">
        <v>0</v>
      </c>
      <c r="Q276" s="2" t="s">
        <v>32</v>
      </c>
      <c r="R276" s="2">
        <v>0</v>
      </c>
      <c r="S276" s="2" t="s">
        <v>32</v>
      </c>
      <c r="T276" s="2">
        <v>0</v>
      </c>
      <c r="U276" s="2" t="s">
        <v>32</v>
      </c>
      <c r="V276" s="2" t="s">
        <v>32</v>
      </c>
      <c r="W276" s="2" t="s">
        <v>32</v>
      </c>
      <c r="X276" s="2">
        <v>0</v>
      </c>
      <c r="Y276" s="2" t="s">
        <v>32</v>
      </c>
      <c r="Z276" s="2" t="s">
        <v>32</v>
      </c>
      <c r="AA276" s="2" t="s">
        <v>32</v>
      </c>
      <c r="AB276" s="2">
        <v>0</v>
      </c>
      <c r="AC276" s="2" t="s">
        <v>32</v>
      </c>
      <c r="AD276" s="2">
        <v>0</v>
      </c>
      <c r="AE276" s="2" t="s">
        <v>1660</v>
      </c>
      <c r="AF276" s="2">
        <v>0</v>
      </c>
      <c r="AG276" s="2">
        <v>0</v>
      </c>
      <c r="AH276" s="2" t="s">
        <v>32</v>
      </c>
      <c r="AI276" s="2" t="s">
        <v>32</v>
      </c>
      <c r="AJ276" s="2" t="s">
        <v>32</v>
      </c>
      <c r="AK276" s="2" t="s">
        <v>32</v>
      </c>
      <c r="AL276" s="2" t="s">
        <v>32</v>
      </c>
      <c r="AM276" s="2">
        <v>0</v>
      </c>
      <c r="AN276" s="2" t="s">
        <v>32</v>
      </c>
      <c r="AO276" s="2">
        <v>0</v>
      </c>
      <c r="AP276" s="2" t="s">
        <v>32</v>
      </c>
      <c r="AQ276" s="2" t="s">
        <v>32</v>
      </c>
      <c r="AR276" s="2" t="s">
        <v>32</v>
      </c>
      <c r="AS276" s="2">
        <v>0</v>
      </c>
      <c r="AT276" s="2" t="s">
        <v>32</v>
      </c>
      <c r="AU276" s="2" t="s">
        <v>32</v>
      </c>
      <c r="AV276" s="2" t="s">
        <v>32</v>
      </c>
      <c r="AW276" s="2">
        <v>0</v>
      </c>
      <c r="AX276" s="2" t="s">
        <v>32</v>
      </c>
      <c r="AY276" s="2">
        <v>0</v>
      </c>
      <c r="AZ276" s="2" t="s">
        <v>1660</v>
      </c>
      <c r="BA276" s="2">
        <v>0</v>
      </c>
      <c r="BB276" s="2">
        <v>0</v>
      </c>
      <c r="BC276" s="2" t="s">
        <v>32</v>
      </c>
      <c r="BD276" s="2">
        <v>0</v>
      </c>
      <c r="BE276" s="2" t="s">
        <v>32</v>
      </c>
      <c r="BF276" s="2">
        <v>0</v>
      </c>
      <c r="BG276" s="2" t="s">
        <v>32</v>
      </c>
      <c r="BH276" s="2">
        <v>0</v>
      </c>
      <c r="BI276" s="2" t="s">
        <v>32</v>
      </c>
      <c r="BJ276" s="2" t="s">
        <v>32</v>
      </c>
      <c r="BK276" s="2" t="s">
        <v>32</v>
      </c>
      <c r="BL276" s="2">
        <v>0</v>
      </c>
      <c r="BM276" s="2" t="s">
        <v>32</v>
      </c>
      <c r="BN276" s="2" t="s">
        <v>32</v>
      </c>
      <c r="BO276" s="2" t="s">
        <v>32</v>
      </c>
      <c r="BP276" s="2">
        <v>0</v>
      </c>
      <c r="BQ276" s="2" t="s">
        <v>32</v>
      </c>
      <c r="BR276" s="2">
        <v>0</v>
      </c>
      <c r="BS276" s="2" t="s">
        <v>1660</v>
      </c>
      <c r="BT276" s="2">
        <v>0</v>
      </c>
      <c r="BU276" s="2">
        <v>0</v>
      </c>
      <c r="BV276" s="2" t="s">
        <v>1660</v>
      </c>
      <c r="BW276" s="2"/>
      <c r="BX276" s="2"/>
      <c r="BY276" s="2" t="s">
        <v>1807</v>
      </c>
      <c r="BZ276" s="2" t="b">
        <f>OR( (Dashboard[[#This Row],[ref_as_hh]]&gt;=1),(Dashboard[[#This Row],[ret_as_hh]] &gt;=1), (Dashboard[[#This Row],[idp_as_hh]]&gt;=1))</f>
        <v>0</v>
      </c>
      <c r="CA276" s="2">
        <f>Dashboard[[#This Row],[ret_hi_hh]]</f>
        <v>0</v>
      </c>
      <c r="CB276" s="2">
        <f>Dashboard[[#This Row],[idp_fa_hh]]+Dashboard[[#This Row],[ref_fa_hh]]+Dashboard[[#This Row],[ret_fa_hh]]</f>
        <v>0</v>
      </c>
      <c r="CC276" s="2">
        <f>Dashboard[[#This Row],[idp_loc_hh]]+Dashboard[[#This Row],[ref_loc_hh]]+Dashboard[[#This Row],[ret_loc_hh]]</f>
        <v>0</v>
      </c>
      <c r="CD276" s="2">
        <f>Dashboard[[#This Row],[idp_cc_hh]]+Dashboard[[#This Row],[ref_cc_hh]]+Dashboard[[#This Row],[ret_cc_hh]]</f>
        <v>0</v>
      </c>
      <c r="CE276" s="2">
        <f>Dashboard[[#This Row],[idp_as_hh]]+Dashboard[[#This Row],[ref_as_hh]]+Dashboard[[#This Row],[ret_as_hh]]</f>
        <v>0</v>
      </c>
      <c r="CF276" s="2">
        <f>Dashboard[[#This Row],[idp_al_hh]]+Dashboard[[#This Row],[ref_al_hh]]+Dashboard[[#This Row],[ret_al_hh]]</f>
        <v>0</v>
      </c>
    </row>
    <row r="277" spans="1:84" hidden="1" x14ac:dyDescent="0.25">
      <c r="A277" s="27">
        <v>728</v>
      </c>
      <c r="B277" s="2" t="s">
        <v>22</v>
      </c>
      <c r="C277" s="2" t="s">
        <v>23</v>
      </c>
      <c r="D277" s="2" t="s">
        <v>85</v>
      </c>
      <c r="E277" s="2" t="s">
        <v>84</v>
      </c>
      <c r="F277" s="2" t="s">
        <v>92</v>
      </c>
      <c r="G277" s="2" t="s">
        <v>91</v>
      </c>
      <c r="H277" s="2" t="s">
        <v>2013</v>
      </c>
      <c r="I277" s="2" t="s">
        <v>2012</v>
      </c>
      <c r="J277" s="2" t="s">
        <v>2446</v>
      </c>
      <c r="K277" s="2" t="s">
        <v>2447</v>
      </c>
      <c r="L277" s="2" t="s">
        <v>2074</v>
      </c>
      <c r="M277" s="2">
        <v>0</v>
      </c>
      <c r="N277" s="2" t="s">
        <v>1660</v>
      </c>
      <c r="O277" s="2">
        <v>0</v>
      </c>
      <c r="P277" s="2">
        <v>0</v>
      </c>
      <c r="Q277" s="2" t="s">
        <v>32</v>
      </c>
      <c r="R277" s="2">
        <v>0</v>
      </c>
      <c r="S277" s="2" t="s">
        <v>32</v>
      </c>
      <c r="T277" s="2">
        <v>0</v>
      </c>
      <c r="U277" s="2" t="s">
        <v>32</v>
      </c>
      <c r="V277" s="2" t="s">
        <v>32</v>
      </c>
      <c r="W277" s="2" t="s">
        <v>32</v>
      </c>
      <c r="X277" s="2">
        <v>0</v>
      </c>
      <c r="Y277" s="2" t="s">
        <v>32</v>
      </c>
      <c r="Z277" s="2" t="s">
        <v>32</v>
      </c>
      <c r="AA277" s="2" t="s">
        <v>32</v>
      </c>
      <c r="AB277" s="2">
        <v>0</v>
      </c>
      <c r="AC277" s="2" t="s">
        <v>32</v>
      </c>
      <c r="AD277" s="2">
        <v>0</v>
      </c>
      <c r="AE277" s="2" t="s">
        <v>1660</v>
      </c>
      <c r="AF277" s="2">
        <v>0</v>
      </c>
      <c r="AG277" s="2">
        <v>0</v>
      </c>
      <c r="AH277" s="2" t="s">
        <v>32</v>
      </c>
      <c r="AI277" s="2" t="s">
        <v>32</v>
      </c>
      <c r="AJ277" s="2" t="s">
        <v>32</v>
      </c>
      <c r="AK277" s="2" t="s">
        <v>32</v>
      </c>
      <c r="AL277" s="2" t="s">
        <v>32</v>
      </c>
      <c r="AM277" s="2">
        <v>0</v>
      </c>
      <c r="AN277" s="2" t="s">
        <v>32</v>
      </c>
      <c r="AO277" s="2">
        <v>0</v>
      </c>
      <c r="AP277" s="2" t="s">
        <v>32</v>
      </c>
      <c r="AQ277" s="2" t="s">
        <v>32</v>
      </c>
      <c r="AR277" s="2" t="s">
        <v>32</v>
      </c>
      <c r="AS277" s="2">
        <v>0</v>
      </c>
      <c r="AT277" s="2" t="s">
        <v>32</v>
      </c>
      <c r="AU277" s="2" t="s">
        <v>32</v>
      </c>
      <c r="AV277" s="2" t="s">
        <v>32</v>
      </c>
      <c r="AW277" s="2">
        <v>0</v>
      </c>
      <c r="AX277" s="2" t="s">
        <v>32</v>
      </c>
      <c r="AY277" s="2">
        <v>0</v>
      </c>
      <c r="AZ277" s="2" t="s">
        <v>1660</v>
      </c>
      <c r="BA277" s="2">
        <v>0</v>
      </c>
      <c r="BB277" s="2">
        <v>0</v>
      </c>
      <c r="BC277" s="2" t="s">
        <v>32</v>
      </c>
      <c r="BD277" s="2">
        <v>0</v>
      </c>
      <c r="BE277" s="2" t="s">
        <v>32</v>
      </c>
      <c r="BF277" s="2">
        <v>0</v>
      </c>
      <c r="BG277" s="2" t="s">
        <v>32</v>
      </c>
      <c r="BH277" s="2">
        <v>0</v>
      </c>
      <c r="BI277" s="2" t="s">
        <v>32</v>
      </c>
      <c r="BJ277" s="2" t="s">
        <v>32</v>
      </c>
      <c r="BK277" s="2" t="s">
        <v>32</v>
      </c>
      <c r="BL277" s="2">
        <v>0</v>
      </c>
      <c r="BM277" s="2" t="s">
        <v>32</v>
      </c>
      <c r="BN277" s="2" t="s">
        <v>32</v>
      </c>
      <c r="BO277" s="2" t="s">
        <v>32</v>
      </c>
      <c r="BP277" s="2">
        <v>0</v>
      </c>
      <c r="BQ277" s="2" t="s">
        <v>32</v>
      </c>
      <c r="BR277" s="2">
        <v>0</v>
      </c>
      <c r="BS277" s="2" t="s">
        <v>1660</v>
      </c>
      <c r="BT277" s="2">
        <v>0</v>
      </c>
      <c r="BU277" s="2">
        <v>0</v>
      </c>
      <c r="BV277" s="2" t="s">
        <v>1660</v>
      </c>
      <c r="BW277" s="2"/>
      <c r="BX277" s="2"/>
      <c r="BY277" s="2" t="s">
        <v>1807</v>
      </c>
      <c r="BZ277" s="2" t="b">
        <f>OR( (Dashboard[[#This Row],[ref_as_hh]]&gt;=1),(Dashboard[[#This Row],[ret_as_hh]] &gt;=1), (Dashboard[[#This Row],[idp_as_hh]]&gt;=1))</f>
        <v>0</v>
      </c>
      <c r="CA277" s="2">
        <f>Dashboard[[#This Row],[ret_hi_hh]]</f>
        <v>0</v>
      </c>
      <c r="CB277" s="2">
        <f>Dashboard[[#This Row],[idp_fa_hh]]+Dashboard[[#This Row],[ref_fa_hh]]+Dashboard[[#This Row],[ret_fa_hh]]</f>
        <v>0</v>
      </c>
      <c r="CC277" s="2">
        <f>Dashboard[[#This Row],[idp_loc_hh]]+Dashboard[[#This Row],[ref_loc_hh]]+Dashboard[[#This Row],[ret_loc_hh]]</f>
        <v>0</v>
      </c>
      <c r="CD277" s="2">
        <f>Dashboard[[#This Row],[idp_cc_hh]]+Dashboard[[#This Row],[ref_cc_hh]]+Dashboard[[#This Row],[ret_cc_hh]]</f>
        <v>0</v>
      </c>
      <c r="CE277" s="2">
        <f>Dashboard[[#This Row],[idp_as_hh]]+Dashboard[[#This Row],[ref_as_hh]]+Dashboard[[#This Row],[ret_as_hh]]</f>
        <v>0</v>
      </c>
      <c r="CF277" s="2">
        <f>Dashboard[[#This Row],[idp_al_hh]]+Dashboard[[#This Row],[ref_al_hh]]+Dashboard[[#This Row],[ret_al_hh]]</f>
        <v>0</v>
      </c>
    </row>
    <row r="278" spans="1:84" hidden="1" x14ac:dyDescent="0.25">
      <c r="A278" s="27">
        <v>256</v>
      </c>
      <c r="B278" s="2" t="s">
        <v>22</v>
      </c>
      <c r="C278" s="2" t="s">
        <v>23</v>
      </c>
      <c r="D278" s="2" t="s">
        <v>85</v>
      </c>
      <c r="E278" s="2" t="s">
        <v>84</v>
      </c>
      <c r="F278" s="2" t="s">
        <v>98</v>
      </c>
      <c r="G278" s="2" t="s">
        <v>97</v>
      </c>
      <c r="H278" s="2" t="s">
        <v>1191</v>
      </c>
      <c r="I278" s="2" t="s">
        <v>404</v>
      </c>
      <c r="J278" s="2" t="s">
        <v>2886</v>
      </c>
      <c r="K278" s="2" t="s">
        <v>2887</v>
      </c>
      <c r="L278" s="2" t="s">
        <v>2074</v>
      </c>
      <c r="M278" s="2">
        <v>478</v>
      </c>
      <c r="N278" s="2" t="s">
        <v>1658</v>
      </c>
      <c r="O278" s="2">
        <v>1</v>
      </c>
      <c r="P278" s="2">
        <v>7</v>
      </c>
      <c r="Q278" s="2" t="s">
        <v>1658</v>
      </c>
      <c r="R278" s="2">
        <v>1</v>
      </c>
      <c r="S278" s="2" t="s">
        <v>1660</v>
      </c>
      <c r="T278" s="2">
        <v>0</v>
      </c>
      <c r="U278" s="2" t="s">
        <v>32</v>
      </c>
      <c r="V278" s="2" t="s">
        <v>32</v>
      </c>
      <c r="W278" s="2" t="s">
        <v>1660</v>
      </c>
      <c r="X278" s="2">
        <v>0</v>
      </c>
      <c r="Y278" s="2" t="s">
        <v>32</v>
      </c>
      <c r="Z278" s="2" t="s">
        <v>32</v>
      </c>
      <c r="AA278" s="2" t="s">
        <v>1660</v>
      </c>
      <c r="AB278" s="2">
        <v>0</v>
      </c>
      <c r="AC278" s="2" t="s">
        <v>1660</v>
      </c>
      <c r="AD278" s="2">
        <v>0</v>
      </c>
      <c r="AE278" s="2" t="s">
        <v>1658</v>
      </c>
      <c r="AF278" s="2">
        <v>9</v>
      </c>
      <c r="AG278" s="2">
        <v>75</v>
      </c>
      <c r="AH278" s="2" t="s">
        <v>1660</v>
      </c>
      <c r="AI278" s="2" t="s">
        <v>32</v>
      </c>
      <c r="AJ278" s="2" t="s">
        <v>32</v>
      </c>
      <c r="AK278" s="2" t="s">
        <v>32</v>
      </c>
      <c r="AL278" s="2" t="s">
        <v>1658</v>
      </c>
      <c r="AM278" s="2">
        <v>9</v>
      </c>
      <c r="AN278" s="2" t="s">
        <v>1660</v>
      </c>
      <c r="AO278" s="2">
        <v>0</v>
      </c>
      <c r="AP278" s="2" t="s">
        <v>32</v>
      </c>
      <c r="AQ278" s="2" t="s">
        <v>32</v>
      </c>
      <c r="AR278" s="2" t="s">
        <v>1660</v>
      </c>
      <c r="AS278" s="2">
        <v>0</v>
      </c>
      <c r="AT278" s="2" t="s">
        <v>32</v>
      </c>
      <c r="AU278" s="2" t="s">
        <v>32</v>
      </c>
      <c r="AV278" s="2" t="s">
        <v>1660</v>
      </c>
      <c r="AW278" s="2">
        <v>0</v>
      </c>
      <c r="AX278" s="2" t="s">
        <v>1660</v>
      </c>
      <c r="AY278" s="2">
        <v>0</v>
      </c>
      <c r="AZ278" s="2" t="s">
        <v>1660</v>
      </c>
      <c r="BA278" s="2">
        <v>0</v>
      </c>
      <c r="BB278" s="2">
        <v>0</v>
      </c>
      <c r="BC278" s="2" t="s">
        <v>32</v>
      </c>
      <c r="BD278" s="2">
        <v>0</v>
      </c>
      <c r="BE278" s="2" t="s">
        <v>32</v>
      </c>
      <c r="BF278" s="2">
        <v>0</v>
      </c>
      <c r="BG278" s="2" t="s">
        <v>32</v>
      </c>
      <c r="BH278" s="2">
        <v>0</v>
      </c>
      <c r="BI278" s="2" t="s">
        <v>32</v>
      </c>
      <c r="BJ278" s="2" t="s">
        <v>32</v>
      </c>
      <c r="BK278" s="2" t="s">
        <v>32</v>
      </c>
      <c r="BL278" s="2">
        <v>0</v>
      </c>
      <c r="BM278" s="2" t="s">
        <v>32</v>
      </c>
      <c r="BN278" s="2" t="s">
        <v>32</v>
      </c>
      <c r="BO278" s="2" t="s">
        <v>32</v>
      </c>
      <c r="BP278" s="2">
        <v>0</v>
      </c>
      <c r="BQ278" s="2" t="s">
        <v>32</v>
      </c>
      <c r="BR278" s="2">
        <v>0</v>
      </c>
      <c r="BS278" s="2" t="s">
        <v>1660</v>
      </c>
      <c r="BT278" s="2">
        <v>0</v>
      </c>
      <c r="BU278" s="2">
        <v>0</v>
      </c>
      <c r="BV278" s="2" t="s">
        <v>1660</v>
      </c>
      <c r="BW278" s="2"/>
      <c r="BX278" s="2"/>
      <c r="BY278" s="2" t="s">
        <v>1807</v>
      </c>
      <c r="BZ278" s="2" t="b">
        <f>OR( (Dashboard[[#This Row],[ref_as_hh]]&gt;=1),(Dashboard[[#This Row],[ret_as_hh]] &gt;=1), (Dashboard[[#This Row],[idp_as_hh]]&gt;=1))</f>
        <v>0</v>
      </c>
      <c r="CA278" s="2">
        <f>Dashboard[[#This Row],[ret_hi_hh]]</f>
        <v>0</v>
      </c>
      <c r="CB278" s="2">
        <f>Dashboard[[#This Row],[idp_fa_hh]]+Dashboard[[#This Row],[ref_fa_hh]]+Dashboard[[#This Row],[ret_fa_hh]]</f>
        <v>10</v>
      </c>
      <c r="CC278" s="2">
        <f>Dashboard[[#This Row],[idp_loc_hh]]+Dashboard[[#This Row],[ref_loc_hh]]+Dashboard[[#This Row],[ret_loc_hh]]</f>
        <v>0</v>
      </c>
      <c r="CD278" s="2">
        <f>Dashboard[[#This Row],[idp_cc_hh]]+Dashboard[[#This Row],[ref_cc_hh]]+Dashboard[[#This Row],[ret_cc_hh]]</f>
        <v>0</v>
      </c>
      <c r="CE278" s="2">
        <f>Dashboard[[#This Row],[idp_as_hh]]+Dashboard[[#This Row],[ref_as_hh]]+Dashboard[[#This Row],[ret_as_hh]]</f>
        <v>0</v>
      </c>
      <c r="CF278" s="2">
        <f>Dashboard[[#This Row],[idp_al_hh]]+Dashboard[[#This Row],[ref_al_hh]]+Dashboard[[#This Row],[ret_al_hh]]</f>
        <v>0</v>
      </c>
    </row>
    <row r="279" spans="1:84" hidden="1" x14ac:dyDescent="0.25">
      <c r="A279" s="27">
        <v>257</v>
      </c>
      <c r="B279" s="2" t="s">
        <v>22</v>
      </c>
      <c r="C279" s="2" t="s">
        <v>23</v>
      </c>
      <c r="D279" s="2" t="s">
        <v>85</v>
      </c>
      <c r="E279" s="2" t="s">
        <v>84</v>
      </c>
      <c r="F279" s="2" t="s">
        <v>98</v>
      </c>
      <c r="G279" s="2" t="s">
        <v>97</v>
      </c>
      <c r="H279" s="2" t="s">
        <v>1174</v>
      </c>
      <c r="I279" s="2" t="s">
        <v>395</v>
      </c>
      <c r="J279" s="2" t="s">
        <v>2850</v>
      </c>
      <c r="K279" s="2" t="s">
        <v>2851</v>
      </c>
      <c r="L279" s="2" t="s">
        <v>2074</v>
      </c>
      <c r="M279" s="2">
        <v>1709</v>
      </c>
      <c r="N279" s="2" t="s">
        <v>1658</v>
      </c>
      <c r="O279" s="2">
        <v>5</v>
      </c>
      <c r="P279" s="2">
        <v>45</v>
      </c>
      <c r="Q279" s="2" t="s">
        <v>1658</v>
      </c>
      <c r="R279" s="2">
        <v>5</v>
      </c>
      <c r="S279" s="2" t="s">
        <v>1660</v>
      </c>
      <c r="T279" s="2">
        <v>0</v>
      </c>
      <c r="U279" s="2" t="s">
        <v>32</v>
      </c>
      <c r="V279" s="2" t="s">
        <v>32</v>
      </c>
      <c r="W279" s="2" t="s">
        <v>1660</v>
      </c>
      <c r="X279" s="2">
        <v>0</v>
      </c>
      <c r="Y279" s="2" t="s">
        <v>32</v>
      </c>
      <c r="Z279" s="2" t="s">
        <v>32</v>
      </c>
      <c r="AA279" s="2" t="s">
        <v>1660</v>
      </c>
      <c r="AB279" s="2">
        <v>0</v>
      </c>
      <c r="AC279" s="2" t="s">
        <v>1660</v>
      </c>
      <c r="AD279" s="2">
        <v>0</v>
      </c>
      <c r="AE279" s="2" t="s">
        <v>1658</v>
      </c>
      <c r="AF279" s="2">
        <v>20</v>
      </c>
      <c r="AG279" s="2">
        <v>75</v>
      </c>
      <c r="AH279" s="2" t="s">
        <v>1660</v>
      </c>
      <c r="AI279" s="2" t="s">
        <v>32</v>
      </c>
      <c r="AJ279" s="2" t="s">
        <v>32</v>
      </c>
      <c r="AK279" s="2" t="s">
        <v>32</v>
      </c>
      <c r="AL279" s="2" t="s">
        <v>1658</v>
      </c>
      <c r="AM279" s="2">
        <v>20</v>
      </c>
      <c r="AN279" s="2" t="s">
        <v>1660</v>
      </c>
      <c r="AO279" s="2">
        <v>0</v>
      </c>
      <c r="AP279" s="2" t="s">
        <v>32</v>
      </c>
      <c r="AQ279" s="2" t="s">
        <v>32</v>
      </c>
      <c r="AR279" s="2" t="s">
        <v>1660</v>
      </c>
      <c r="AS279" s="2">
        <v>0</v>
      </c>
      <c r="AT279" s="2" t="s">
        <v>32</v>
      </c>
      <c r="AU279" s="2" t="s">
        <v>32</v>
      </c>
      <c r="AV279" s="2" t="s">
        <v>1660</v>
      </c>
      <c r="AW279" s="2">
        <v>0</v>
      </c>
      <c r="AX279" s="2" t="s">
        <v>1660</v>
      </c>
      <c r="AY279" s="2">
        <v>0</v>
      </c>
      <c r="AZ279" s="2" t="s">
        <v>1660</v>
      </c>
      <c r="BA279" s="2">
        <v>0</v>
      </c>
      <c r="BB279" s="2">
        <v>0</v>
      </c>
      <c r="BC279" s="2" t="s">
        <v>32</v>
      </c>
      <c r="BD279" s="2">
        <v>0</v>
      </c>
      <c r="BE279" s="2" t="s">
        <v>32</v>
      </c>
      <c r="BF279" s="2">
        <v>0</v>
      </c>
      <c r="BG279" s="2" t="s">
        <v>32</v>
      </c>
      <c r="BH279" s="2">
        <v>0</v>
      </c>
      <c r="BI279" s="2" t="s">
        <v>32</v>
      </c>
      <c r="BJ279" s="2" t="s">
        <v>32</v>
      </c>
      <c r="BK279" s="2" t="s">
        <v>32</v>
      </c>
      <c r="BL279" s="2">
        <v>0</v>
      </c>
      <c r="BM279" s="2" t="s">
        <v>32</v>
      </c>
      <c r="BN279" s="2" t="s">
        <v>32</v>
      </c>
      <c r="BO279" s="2" t="s">
        <v>32</v>
      </c>
      <c r="BP279" s="2">
        <v>0</v>
      </c>
      <c r="BQ279" s="2" t="s">
        <v>32</v>
      </c>
      <c r="BR279" s="2">
        <v>0</v>
      </c>
      <c r="BS279" s="2" t="s">
        <v>1660</v>
      </c>
      <c r="BT279" s="2">
        <v>0</v>
      </c>
      <c r="BU279" s="2">
        <v>0</v>
      </c>
      <c r="BV279" s="2" t="s">
        <v>1660</v>
      </c>
      <c r="BW279" s="2"/>
      <c r="BX279" s="2"/>
      <c r="BY279" s="2" t="s">
        <v>1807</v>
      </c>
      <c r="BZ279" s="2" t="b">
        <f>OR( (Dashboard[[#This Row],[ref_as_hh]]&gt;=1),(Dashboard[[#This Row],[ret_as_hh]] &gt;=1), (Dashboard[[#This Row],[idp_as_hh]]&gt;=1))</f>
        <v>0</v>
      </c>
      <c r="CA279" s="2">
        <f>Dashboard[[#This Row],[ret_hi_hh]]</f>
        <v>0</v>
      </c>
      <c r="CB279" s="2">
        <f>Dashboard[[#This Row],[idp_fa_hh]]+Dashboard[[#This Row],[ref_fa_hh]]+Dashboard[[#This Row],[ret_fa_hh]]</f>
        <v>25</v>
      </c>
      <c r="CC279" s="2">
        <f>Dashboard[[#This Row],[idp_loc_hh]]+Dashboard[[#This Row],[ref_loc_hh]]+Dashboard[[#This Row],[ret_loc_hh]]</f>
        <v>0</v>
      </c>
      <c r="CD279" s="2">
        <f>Dashboard[[#This Row],[idp_cc_hh]]+Dashboard[[#This Row],[ref_cc_hh]]+Dashboard[[#This Row],[ret_cc_hh]]</f>
        <v>0</v>
      </c>
      <c r="CE279" s="2">
        <f>Dashboard[[#This Row],[idp_as_hh]]+Dashboard[[#This Row],[ref_as_hh]]+Dashboard[[#This Row],[ret_as_hh]]</f>
        <v>0</v>
      </c>
      <c r="CF279" s="2">
        <f>Dashboard[[#This Row],[idp_al_hh]]+Dashboard[[#This Row],[ref_al_hh]]+Dashboard[[#This Row],[ret_al_hh]]</f>
        <v>0</v>
      </c>
    </row>
    <row r="280" spans="1:84" hidden="1" x14ac:dyDescent="0.25">
      <c r="A280" s="27">
        <v>258</v>
      </c>
      <c r="B280" s="2" t="s">
        <v>22</v>
      </c>
      <c r="C280" s="2" t="s">
        <v>23</v>
      </c>
      <c r="D280" s="2" t="s">
        <v>85</v>
      </c>
      <c r="E280" s="2" t="s">
        <v>84</v>
      </c>
      <c r="F280" s="2" t="s">
        <v>98</v>
      </c>
      <c r="G280" s="2" t="s">
        <v>97</v>
      </c>
      <c r="H280" s="2" t="s">
        <v>1513</v>
      </c>
      <c r="I280" s="2" t="s">
        <v>827</v>
      </c>
      <c r="J280" s="2" t="s">
        <v>2926</v>
      </c>
      <c r="K280" s="2" t="s">
        <v>2927</v>
      </c>
      <c r="L280" s="2" t="s">
        <v>2074</v>
      </c>
      <c r="M280" s="2">
        <v>86</v>
      </c>
      <c r="N280" s="2" t="s">
        <v>1660</v>
      </c>
      <c r="O280" s="2">
        <v>0</v>
      </c>
      <c r="P280" s="2">
        <v>0</v>
      </c>
      <c r="Q280" s="2" t="s">
        <v>32</v>
      </c>
      <c r="R280" s="2">
        <v>0</v>
      </c>
      <c r="S280" s="2" t="s">
        <v>32</v>
      </c>
      <c r="T280" s="2">
        <v>0</v>
      </c>
      <c r="U280" s="2" t="s">
        <v>32</v>
      </c>
      <c r="V280" s="2" t="s">
        <v>32</v>
      </c>
      <c r="W280" s="2" t="s">
        <v>32</v>
      </c>
      <c r="X280" s="2">
        <v>0</v>
      </c>
      <c r="Y280" s="2" t="s">
        <v>32</v>
      </c>
      <c r="Z280" s="2" t="s">
        <v>32</v>
      </c>
      <c r="AA280" s="2" t="s">
        <v>32</v>
      </c>
      <c r="AB280" s="2">
        <v>0</v>
      </c>
      <c r="AC280" s="2" t="s">
        <v>32</v>
      </c>
      <c r="AD280" s="2">
        <v>0</v>
      </c>
      <c r="AE280" s="2" t="s">
        <v>1660</v>
      </c>
      <c r="AF280" s="2">
        <v>0</v>
      </c>
      <c r="AG280" s="2">
        <v>0</v>
      </c>
      <c r="AH280" s="2" t="s">
        <v>32</v>
      </c>
      <c r="AI280" s="2" t="s">
        <v>32</v>
      </c>
      <c r="AJ280" s="2" t="s">
        <v>32</v>
      </c>
      <c r="AK280" s="2" t="s">
        <v>32</v>
      </c>
      <c r="AL280" s="2" t="s">
        <v>32</v>
      </c>
      <c r="AM280" s="2">
        <v>0</v>
      </c>
      <c r="AN280" s="2" t="s">
        <v>32</v>
      </c>
      <c r="AO280" s="2">
        <v>0</v>
      </c>
      <c r="AP280" s="2" t="s">
        <v>32</v>
      </c>
      <c r="AQ280" s="2" t="s">
        <v>32</v>
      </c>
      <c r="AR280" s="2" t="s">
        <v>32</v>
      </c>
      <c r="AS280" s="2">
        <v>0</v>
      </c>
      <c r="AT280" s="2" t="s">
        <v>32</v>
      </c>
      <c r="AU280" s="2" t="s">
        <v>32</v>
      </c>
      <c r="AV280" s="2" t="s">
        <v>32</v>
      </c>
      <c r="AW280" s="2">
        <v>0</v>
      </c>
      <c r="AX280" s="2" t="s">
        <v>32</v>
      </c>
      <c r="AY280" s="2">
        <v>0</v>
      </c>
      <c r="AZ280" s="2" t="s">
        <v>1660</v>
      </c>
      <c r="BA280" s="2">
        <v>0</v>
      </c>
      <c r="BB280" s="2">
        <v>0</v>
      </c>
      <c r="BC280" s="2" t="s">
        <v>32</v>
      </c>
      <c r="BD280" s="2">
        <v>0</v>
      </c>
      <c r="BE280" s="2" t="s">
        <v>32</v>
      </c>
      <c r="BF280" s="2">
        <v>0</v>
      </c>
      <c r="BG280" s="2" t="s">
        <v>32</v>
      </c>
      <c r="BH280" s="2">
        <v>0</v>
      </c>
      <c r="BI280" s="2" t="s">
        <v>32</v>
      </c>
      <c r="BJ280" s="2" t="s">
        <v>32</v>
      </c>
      <c r="BK280" s="2" t="s">
        <v>32</v>
      </c>
      <c r="BL280" s="2">
        <v>0</v>
      </c>
      <c r="BM280" s="2" t="s">
        <v>32</v>
      </c>
      <c r="BN280" s="2" t="s">
        <v>32</v>
      </c>
      <c r="BO280" s="2" t="s">
        <v>32</v>
      </c>
      <c r="BP280" s="2">
        <v>0</v>
      </c>
      <c r="BQ280" s="2" t="s">
        <v>32</v>
      </c>
      <c r="BR280" s="2">
        <v>0</v>
      </c>
      <c r="BS280" s="2" t="s">
        <v>1660</v>
      </c>
      <c r="BT280" s="2">
        <v>0</v>
      </c>
      <c r="BU280" s="2">
        <v>0</v>
      </c>
      <c r="BV280" s="2" t="s">
        <v>1660</v>
      </c>
      <c r="BW280" s="2"/>
      <c r="BX280" s="2"/>
      <c r="BY280" s="2" t="s">
        <v>1807</v>
      </c>
      <c r="BZ280" s="2" t="b">
        <f>OR( (Dashboard[[#This Row],[ref_as_hh]]&gt;=1),(Dashboard[[#This Row],[ret_as_hh]] &gt;=1), (Dashboard[[#This Row],[idp_as_hh]]&gt;=1))</f>
        <v>0</v>
      </c>
      <c r="CA280" s="2">
        <f>Dashboard[[#This Row],[ret_hi_hh]]</f>
        <v>0</v>
      </c>
      <c r="CB280" s="2">
        <f>Dashboard[[#This Row],[idp_fa_hh]]+Dashboard[[#This Row],[ref_fa_hh]]+Dashboard[[#This Row],[ret_fa_hh]]</f>
        <v>0</v>
      </c>
      <c r="CC280" s="2">
        <f>Dashboard[[#This Row],[idp_loc_hh]]+Dashboard[[#This Row],[ref_loc_hh]]+Dashboard[[#This Row],[ret_loc_hh]]</f>
        <v>0</v>
      </c>
      <c r="CD280" s="2">
        <f>Dashboard[[#This Row],[idp_cc_hh]]+Dashboard[[#This Row],[ref_cc_hh]]+Dashboard[[#This Row],[ret_cc_hh]]</f>
        <v>0</v>
      </c>
      <c r="CE280" s="2">
        <f>Dashboard[[#This Row],[idp_as_hh]]+Dashboard[[#This Row],[ref_as_hh]]+Dashboard[[#This Row],[ret_as_hh]]</f>
        <v>0</v>
      </c>
      <c r="CF280" s="2">
        <f>Dashboard[[#This Row],[idp_al_hh]]+Dashboard[[#This Row],[ref_al_hh]]+Dashboard[[#This Row],[ret_al_hh]]</f>
        <v>0</v>
      </c>
    </row>
    <row r="281" spans="1:84" hidden="1" x14ac:dyDescent="0.25">
      <c r="A281" s="27">
        <v>515</v>
      </c>
      <c r="B281" s="2" t="s">
        <v>22</v>
      </c>
      <c r="C281" s="2" t="s">
        <v>23</v>
      </c>
      <c r="D281" s="2" t="s">
        <v>85</v>
      </c>
      <c r="E281" s="2" t="s">
        <v>84</v>
      </c>
      <c r="F281" s="2" t="s">
        <v>98</v>
      </c>
      <c r="G281" s="2" t="s">
        <v>97</v>
      </c>
      <c r="H281" s="2" t="s">
        <v>1117</v>
      </c>
      <c r="I281" s="2" t="s">
        <v>153</v>
      </c>
      <c r="J281" s="2" t="s">
        <v>2732</v>
      </c>
      <c r="K281" s="2" t="s">
        <v>2733</v>
      </c>
      <c r="L281" s="2" t="s">
        <v>2074</v>
      </c>
      <c r="M281" s="2">
        <v>28507</v>
      </c>
      <c r="N281" s="2" t="s">
        <v>1658</v>
      </c>
      <c r="O281" s="2">
        <v>978</v>
      </c>
      <c r="P281" s="2">
        <v>8314</v>
      </c>
      <c r="Q281" s="2" t="s">
        <v>1658</v>
      </c>
      <c r="R281" s="2">
        <v>978</v>
      </c>
      <c r="S281" s="2" t="s">
        <v>1660</v>
      </c>
      <c r="T281" s="2">
        <v>0</v>
      </c>
      <c r="U281" s="2" t="s">
        <v>32</v>
      </c>
      <c r="V281" s="2" t="s">
        <v>32</v>
      </c>
      <c r="W281" s="2" t="s">
        <v>1660</v>
      </c>
      <c r="X281" s="2">
        <v>0</v>
      </c>
      <c r="Y281" s="2" t="s">
        <v>32</v>
      </c>
      <c r="Z281" s="2" t="s">
        <v>32</v>
      </c>
      <c r="AA281" s="2" t="s">
        <v>1660</v>
      </c>
      <c r="AB281" s="2">
        <v>0</v>
      </c>
      <c r="AC281" s="2" t="s">
        <v>1660</v>
      </c>
      <c r="AD281" s="2">
        <v>0</v>
      </c>
      <c r="AE281" s="2" t="s">
        <v>1658</v>
      </c>
      <c r="AF281" s="2">
        <v>52</v>
      </c>
      <c r="AG281" s="2">
        <v>442</v>
      </c>
      <c r="AH281" s="2" t="s">
        <v>1658</v>
      </c>
      <c r="AI281" s="2" t="s">
        <v>85</v>
      </c>
      <c r="AJ281" s="2" t="s">
        <v>98</v>
      </c>
      <c r="AK281" s="2" t="s">
        <v>630</v>
      </c>
      <c r="AL281" s="2" t="s">
        <v>1658</v>
      </c>
      <c r="AM281" s="2">
        <v>52</v>
      </c>
      <c r="AN281" s="2" t="s">
        <v>1660</v>
      </c>
      <c r="AO281" s="2">
        <v>0</v>
      </c>
      <c r="AP281" s="2" t="s">
        <v>32</v>
      </c>
      <c r="AQ281" s="2" t="s">
        <v>32</v>
      </c>
      <c r="AR281" s="2" t="s">
        <v>1660</v>
      </c>
      <c r="AS281" s="2">
        <v>0</v>
      </c>
      <c r="AT281" s="2" t="s">
        <v>32</v>
      </c>
      <c r="AU281" s="2" t="s">
        <v>32</v>
      </c>
      <c r="AV281" s="2" t="s">
        <v>1660</v>
      </c>
      <c r="AW281" s="2">
        <v>0</v>
      </c>
      <c r="AX281" s="2" t="s">
        <v>1660</v>
      </c>
      <c r="AY281" s="2">
        <v>0</v>
      </c>
      <c r="AZ281" s="2" t="s">
        <v>1658</v>
      </c>
      <c r="BA281" s="2">
        <v>749</v>
      </c>
      <c r="BB281" s="2">
        <v>6367</v>
      </c>
      <c r="BC281" s="2" t="s">
        <v>1658</v>
      </c>
      <c r="BD281" s="2">
        <v>749</v>
      </c>
      <c r="BE281" s="2" t="s">
        <v>1660</v>
      </c>
      <c r="BF281" s="2">
        <v>0</v>
      </c>
      <c r="BG281" s="2" t="s">
        <v>1660</v>
      </c>
      <c r="BH281" s="2">
        <v>0</v>
      </c>
      <c r="BI281" s="2" t="s">
        <v>32</v>
      </c>
      <c r="BJ281" s="2" t="s">
        <v>32</v>
      </c>
      <c r="BK281" s="2" t="s">
        <v>1660</v>
      </c>
      <c r="BL281" s="2">
        <v>0</v>
      </c>
      <c r="BM281" s="2" t="s">
        <v>32</v>
      </c>
      <c r="BN281" s="2" t="s">
        <v>32</v>
      </c>
      <c r="BO281" s="2" t="s">
        <v>1660</v>
      </c>
      <c r="BP281" s="2">
        <v>0</v>
      </c>
      <c r="BQ281" s="2" t="s">
        <v>1660</v>
      </c>
      <c r="BR281" s="2">
        <v>0</v>
      </c>
      <c r="BS281" s="2" t="s">
        <v>1658</v>
      </c>
      <c r="BT281" s="2">
        <v>64</v>
      </c>
      <c r="BU281" s="2">
        <v>544</v>
      </c>
      <c r="BV281" s="2" t="s">
        <v>1658</v>
      </c>
      <c r="BW281" s="2">
        <v>23</v>
      </c>
      <c r="BX281" s="2">
        <v>196</v>
      </c>
      <c r="BY281" s="2" t="s">
        <v>1807</v>
      </c>
      <c r="BZ281" s="2" t="b">
        <f>OR( (Dashboard[[#This Row],[ref_as_hh]]&gt;=1),(Dashboard[[#This Row],[ret_as_hh]] &gt;=1), (Dashboard[[#This Row],[idp_as_hh]]&gt;=1))</f>
        <v>0</v>
      </c>
      <c r="CA281" s="2">
        <f>Dashboard[[#This Row],[ret_hi_hh]]</f>
        <v>749</v>
      </c>
      <c r="CB281" s="2">
        <f>Dashboard[[#This Row],[idp_fa_hh]]+Dashboard[[#This Row],[ref_fa_hh]]+Dashboard[[#This Row],[ret_fa_hh]]</f>
        <v>1030</v>
      </c>
      <c r="CC281" s="2">
        <f>Dashboard[[#This Row],[idp_loc_hh]]+Dashboard[[#This Row],[ref_loc_hh]]+Dashboard[[#This Row],[ret_loc_hh]]</f>
        <v>0</v>
      </c>
      <c r="CD281" s="2">
        <f>Dashboard[[#This Row],[idp_cc_hh]]+Dashboard[[#This Row],[ref_cc_hh]]+Dashboard[[#This Row],[ret_cc_hh]]</f>
        <v>0</v>
      </c>
      <c r="CE281" s="2">
        <f>Dashboard[[#This Row],[idp_as_hh]]+Dashboard[[#This Row],[ref_as_hh]]+Dashboard[[#This Row],[ret_as_hh]]</f>
        <v>0</v>
      </c>
      <c r="CF281" s="2">
        <f>Dashboard[[#This Row],[idp_al_hh]]+Dashboard[[#This Row],[ref_al_hh]]+Dashboard[[#This Row],[ret_al_hh]]</f>
        <v>0</v>
      </c>
    </row>
    <row r="282" spans="1:84" hidden="1" x14ac:dyDescent="0.25">
      <c r="A282" s="27">
        <v>260</v>
      </c>
      <c r="B282" s="2" t="s">
        <v>22</v>
      </c>
      <c r="C282" s="2" t="s">
        <v>23</v>
      </c>
      <c r="D282" s="2" t="s">
        <v>85</v>
      </c>
      <c r="E282" s="2" t="s">
        <v>84</v>
      </c>
      <c r="F282" s="2" t="s">
        <v>98</v>
      </c>
      <c r="G282" s="2" t="s">
        <v>97</v>
      </c>
      <c r="H282" s="2" t="s">
        <v>1511</v>
      </c>
      <c r="I282" s="2" t="s">
        <v>798</v>
      </c>
      <c r="J282" s="2" t="s">
        <v>2862</v>
      </c>
      <c r="K282" s="2" t="s">
        <v>2863</v>
      </c>
      <c r="L282" s="2" t="s">
        <v>2074</v>
      </c>
      <c r="M282" s="2">
        <v>349</v>
      </c>
      <c r="N282" s="2" t="s">
        <v>1658</v>
      </c>
      <c r="O282" s="2">
        <v>2</v>
      </c>
      <c r="P282" s="2">
        <v>17</v>
      </c>
      <c r="Q282" s="2" t="s">
        <v>1658</v>
      </c>
      <c r="R282" s="2">
        <v>2</v>
      </c>
      <c r="S282" s="2" t="s">
        <v>1660</v>
      </c>
      <c r="T282" s="2">
        <v>0</v>
      </c>
      <c r="U282" s="2" t="s">
        <v>32</v>
      </c>
      <c r="V282" s="2" t="s">
        <v>32</v>
      </c>
      <c r="W282" s="2" t="s">
        <v>1660</v>
      </c>
      <c r="X282" s="2">
        <v>0</v>
      </c>
      <c r="Y282" s="2" t="s">
        <v>32</v>
      </c>
      <c r="Z282" s="2" t="s">
        <v>32</v>
      </c>
      <c r="AA282" s="2" t="s">
        <v>1660</v>
      </c>
      <c r="AB282" s="2">
        <v>0</v>
      </c>
      <c r="AC282" s="2" t="s">
        <v>1660</v>
      </c>
      <c r="AD282" s="2">
        <v>0</v>
      </c>
      <c r="AE282" s="2" t="s">
        <v>1658</v>
      </c>
      <c r="AF282" s="2">
        <v>4</v>
      </c>
      <c r="AG282" s="2">
        <v>34</v>
      </c>
      <c r="AH282" s="2" t="s">
        <v>1660</v>
      </c>
      <c r="AI282" s="2" t="s">
        <v>32</v>
      </c>
      <c r="AJ282" s="2" t="s">
        <v>32</v>
      </c>
      <c r="AK282" s="2" t="s">
        <v>32</v>
      </c>
      <c r="AL282" s="2" t="s">
        <v>1658</v>
      </c>
      <c r="AM282" s="2">
        <v>4</v>
      </c>
      <c r="AN282" s="2" t="s">
        <v>1660</v>
      </c>
      <c r="AO282" s="2">
        <v>0</v>
      </c>
      <c r="AP282" s="2" t="s">
        <v>32</v>
      </c>
      <c r="AQ282" s="2" t="s">
        <v>32</v>
      </c>
      <c r="AR282" s="2" t="s">
        <v>1660</v>
      </c>
      <c r="AS282" s="2">
        <v>0</v>
      </c>
      <c r="AT282" s="2" t="s">
        <v>32</v>
      </c>
      <c r="AU282" s="2" t="s">
        <v>32</v>
      </c>
      <c r="AV282" s="2" t="s">
        <v>1660</v>
      </c>
      <c r="AW282" s="2">
        <v>0</v>
      </c>
      <c r="AX282" s="2" t="s">
        <v>1660</v>
      </c>
      <c r="AY282" s="2">
        <v>0</v>
      </c>
      <c r="AZ282" s="2" t="s">
        <v>1660</v>
      </c>
      <c r="BA282" s="2">
        <v>0</v>
      </c>
      <c r="BB282" s="2">
        <v>0</v>
      </c>
      <c r="BC282" s="2" t="s">
        <v>32</v>
      </c>
      <c r="BD282" s="2">
        <v>0</v>
      </c>
      <c r="BE282" s="2" t="s">
        <v>32</v>
      </c>
      <c r="BF282" s="2">
        <v>0</v>
      </c>
      <c r="BG282" s="2" t="s">
        <v>32</v>
      </c>
      <c r="BH282" s="2">
        <v>0</v>
      </c>
      <c r="BI282" s="2" t="s">
        <v>32</v>
      </c>
      <c r="BJ282" s="2" t="s">
        <v>32</v>
      </c>
      <c r="BK282" s="2" t="s">
        <v>32</v>
      </c>
      <c r="BL282" s="2">
        <v>0</v>
      </c>
      <c r="BM282" s="2" t="s">
        <v>32</v>
      </c>
      <c r="BN282" s="2" t="s">
        <v>32</v>
      </c>
      <c r="BO282" s="2" t="s">
        <v>32</v>
      </c>
      <c r="BP282" s="2">
        <v>0</v>
      </c>
      <c r="BQ282" s="2" t="s">
        <v>32</v>
      </c>
      <c r="BR282" s="2">
        <v>0</v>
      </c>
      <c r="BS282" s="2" t="s">
        <v>1660</v>
      </c>
      <c r="BT282" s="2">
        <v>0</v>
      </c>
      <c r="BU282" s="2">
        <v>0</v>
      </c>
      <c r="BV282" s="2" t="s">
        <v>1660</v>
      </c>
      <c r="BW282" s="2"/>
      <c r="BX282" s="2"/>
      <c r="BY282" s="2" t="s">
        <v>1807</v>
      </c>
      <c r="BZ282" s="2" t="b">
        <f>OR( (Dashboard[[#This Row],[ref_as_hh]]&gt;=1),(Dashboard[[#This Row],[ret_as_hh]] &gt;=1), (Dashboard[[#This Row],[idp_as_hh]]&gt;=1))</f>
        <v>0</v>
      </c>
      <c r="CA282" s="2">
        <f>Dashboard[[#This Row],[ret_hi_hh]]</f>
        <v>0</v>
      </c>
      <c r="CB282" s="2">
        <f>Dashboard[[#This Row],[idp_fa_hh]]+Dashboard[[#This Row],[ref_fa_hh]]+Dashboard[[#This Row],[ret_fa_hh]]</f>
        <v>6</v>
      </c>
      <c r="CC282" s="2">
        <f>Dashboard[[#This Row],[idp_loc_hh]]+Dashboard[[#This Row],[ref_loc_hh]]+Dashboard[[#This Row],[ret_loc_hh]]</f>
        <v>0</v>
      </c>
      <c r="CD282" s="2">
        <f>Dashboard[[#This Row],[idp_cc_hh]]+Dashboard[[#This Row],[ref_cc_hh]]+Dashboard[[#This Row],[ret_cc_hh]]</f>
        <v>0</v>
      </c>
      <c r="CE282" s="2">
        <f>Dashboard[[#This Row],[idp_as_hh]]+Dashboard[[#This Row],[ref_as_hh]]+Dashboard[[#This Row],[ret_as_hh]]</f>
        <v>0</v>
      </c>
      <c r="CF282" s="2">
        <f>Dashboard[[#This Row],[idp_al_hh]]+Dashboard[[#This Row],[ref_al_hh]]+Dashboard[[#This Row],[ret_al_hh]]</f>
        <v>0</v>
      </c>
    </row>
    <row r="283" spans="1:84" hidden="1" x14ac:dyDescent="0.25">
      <c r="A283" s="27">
        <v>5</v>
      </c>
      <c r="B283" s="2" t="s">
        <v>22</v>
      </c>
      <c r="C283" s="2" t="s">
        <v>23</v>
      </c>
      <c r="D283" s="2" t="s">
        <v>85</v>
      </c>
      <c r="E283" s="2" t="s">
        <v>84</v>
      </c>
      <c r="F283" s="2" t="s">
        <v>98</v>
      </c>
      <c r="G283" s="2" t="s">
        <v>97</v>
      </c>
      <c r="H283" s="2" t="s">
        <v>1228</v>
      </c>
      <c r="I283" s="2" t="s">
        <v>427</v>
      </c>
      <c r="J283" s="2" t="s">
        <v>2982</v>
      </c>
      <c r="K283" s="2" t="s">
        <v>2983</v>
      </c>
      <c r="L283" s="2" t="s">
        <v>2074</v>
      </c>
      <c r="M283" s="2">
        <v>2533</v>
      </c>
      <c r="N283" s="2" t="s">
        <v>1658</v>
      </c>
      <c r="O283" s="2">
        <v>27</v>
      </c>
      <c r="P283" s="2">
        <v>193</v>
      </c>
      <c r="Q283" s="2" t="s">
        <v>1658</v>
      </c>
      <c r="R283" s="2">
        <v>27</v>
      </c>
      <c r="S283" s="2" t="s">
        <v>1660</v>
      </c>
      <c r="T283" s="2">
        <v>0</v>
      </c>
      <c r="U283" s="2" t="s">
        <v>32</v>
      </c>
      <c r="V283" s="2" t="s">
        <v>32</v>
      </c>
      <c r="W283" s="2" t="s">
        <v>1660</v>
      </c>
      <c r="X283" s="2">
        <v>0</v>
      </c>
      <c r="Y283" s="2" t="s">
        <v>32</v>
      </c>
      <c r="Z283" s="2" t="s">
        <v>32</v>
      </c>
      <c r="AA283" s="2" t="s">
        <v>1660</v>
      </c>
      <c r="AB283" s="2">
        <v>0</v>
      </c>
      <c r="AC283" s="2" t="s">
        <v>1660</v>
      </c>
      <c r="AD283" s="2">
        <v>0</v>
      </c>
      <c r="AE283" s="2" t="s">
        <v>1660</v>
      </c>
      <c r="AF283" s="2">
        <v>0</v>
      </c>
      <c r="AG283" s="2">
        <v>0</v>
      </c>
      <c r="AH283" s="2" t="s">
        <v>32</v>
      </c>
      <c r="AI283" s="2" t="s">
        <v>32</v>
      </c>
      <c r="AJ283" s="2" t="s">
        <v>32</v>
      </c>
      <c r="AK283" s="2" t="s">
        <v>32</v>
      </c>
      <c r="AL283" s="2" t="s">
        <v>32</v>
      </c>
      <c r="AM283" s="2">
        <v>0</v>
      </c>
      <c r="AN283" s="2" t="s">
        <v>32</v>
      </c>
      <c r="AO283" s="2">
        <v>0</v>
      </c>
      <c r="AP283" s="2" t="s">
        <v>32</v>
      </c>
      <c r="AQ283" s="2" t="s">
        <v>32</v>
      </c>
      <c r="AR283" s="2" t="s">
        <v>32</v>
      </c>
      <c r="AS283" s="2">
        <v>0</v>
      </c>
      <c r="AT283" s="2" t="s">
        <v>32</v>
      </c>
      <c r="AU283" s="2" t="s">
        <v>32</v>
      </c>
      <c r="AV283" s="2" t="s">
        <v>32</v>
      </c>
      <c r="AW283" s="2">
        <v>0</v>
      </c>
      <c r="AX283" s="2" t="s">
        <v>32</v>
      </c>
      <c r="AY283" s="2">
        <v>0</v>
      </c>
      <c r="AZ283" s="2" t="s">
        <v>1660</v>
      </c>
      <c r="BA283" s="2">
        <v>0</v>
      </c>
      <c r="BB283" s="2">
        <v>0</v>
      </c>
      <c r="BC283" s="2" t="s">
        <v>32</v>
      </c>
      <c r="BD283" s="2">
        <v>0</v>
      </c>
      <c r="BE283" s="2" t="s">
        <v>32</v>
      </c>
      <c r="BF283" s="2">
        <v>0</v>
      </c>
      <c r="BG283" s="2" t="s">
        <v>32</v>
      </c>
      <c r="BH283" s="2">
        <v>0</v>
      </c>
      <c r="BI283" s="2" t="s">
        <v>32</v>
      </c>
      <c r="BJ283" s="2" t="s">
        <v>32</v>
      </c>
      <c r="BK283" s="2" t="s">
        <v>32</v>
      </c>
      <c r="BL283" s="2">
        <v>0</v>
      </c>
      <c r="BM283" s="2" t="s">
        <v>32</v>
      </c>
      <c r="BN283" s="2" t="s">
        <v>32</v>
      </c>
      <c r="BO283" s="2" t="s">
        <v>32</v>
      </c>
      <c r="BP283" s="2">
        <v>0</v>
      </c>
      <c r="BQ283" s="2" t="s">
        <v>32</v>
      </c>
      <c r="BR283" s="2">
        <v>0</v>
      </c>
      <c r="BS283" s="2" t="s">
        <v>1660</v>
      </c>
      <c r="BT283" s="2">
        <v>0</v>
      </c>
      <c r="BU283" s="2">
        <v>0</v>
      </c>
      <c r="BV283" s="2" t="s">
        <v>1660</v>
      </c>
      <c r="BW283" s="2"/>
      <c r="BX283" s="2"/>
      <c r="BY283" s="2" t="s">
        <v>1807</v>
      </c>
      <c r="BZ283" s="2" t="b">
        <f>OR( (Dashboard[[#This Row],[ref_as_hh]]&gt;=1),(Dashboard[[#This Row],[ret_as_hh]] &gt;=1), (Dashboard[[#This Row],[idp_as_hh]]&gt;=1))</f>
        <v>0</v>
      </c>
      <c r="CA283" s="2">
        <f>Dashboard[[#This Row],[ret_hi_hh]]</f>
        <v>0</v>
      </c>
      <c r="CB283" s="2">
        <f>Dashboard[[#This Row],[idp_fa_hh]]+Dashboard[[#This Row],[ref_fa_hh]]+Dashboard[[#This Row],[ret_fa_hh]]</f>
        <v>27</v>
      </c>
      <c r="CC283" s="2">
        <f>Dashboard[[#This Row],[idp_loc_hh]]+Dashboard[[#This Row],[ref_loc_hh]]+Dashboard[[#This Row],[ret_loc_hh]]</f>
        <v>0</v>
      </c>
      <c r="CD283" s="2">
        <f>Dashboard[[#This Row],[idp_cc_hh]]+Dashboard[[#This Row],[ref_cc_hh]]+Dashboard[[#This Row],[ret_cc_hh]]</f>
        <v>0</v>
      </c>
      <c r="CE283" s="2">
        <f>Dashboard[[#This Row],[idp_as_hh]]+Dashboard[[#This Row],[ref_as_hh]]+Dashboard[[#This Row],[ret_as_hh]]</f>
        <v>0</v>
      </c>
      <c r="CF283" s="2">
        <f>Dashboard[[#This Row],[idp_al_hh]]+Dashboard[[#This Row],[ref_al_hh]]+Dashboard[[#This Row],[ret_al_hh]]</f>
        <v>0</v>
      </c>
    </row>
    <row r="284" spans="1:84" hidden="1" x14ac:dyDescent="0.25">
      <c r="A284" s="27">
        <v>261</v>
      </c>
      <c r="B284" s="2" t="s">
        <v>22</v>
      </c>
      <c r="C284" s="2" t="s">
        <v>23</v>
      </c>
      <c r="D284" s="2" t="s">
        <v>85</v>
      </c>
      <c r="E284" s="2" t="s">
        <v>84</v>
      </c>
      <c r="F284" s="2" t="s">
        <v>98</v>
      </c>
      <c r="G284" s="2" t="s">
        <v>97</v>
      </c>
      <c r="H284" s="2" t="s">
        <v>1684</v>
      </c>
      <c r="I284" s="2" t="s">
        <v>405</v>
      </c>
      <c r="J284" s="2" t="s">
        <v>2892</v>
      </c>
      <c r="K284" s="2" t="s">
        <v>2893</v>
      </c>
      <c r="L284" s="2" t="s">
        <v>2074</v>
      </c>
      <c r="M284" s="2">
        <v>525</v>
      </c>
      <c r="N284" s="2" t="s">
        <v>1658</v>
      </c>
      <c r="O284" s="2">
        <v>13</v>
      </c>
      <c r="P284" s="2">
        <v>72</v>
      </c>
      <c r="Q284" s="2" t="s">
        <v>1658</v>
      </c>
      <c r="R284" s="2">
        <v>13</v>
      </c>
      <c r="S284" s="2" t="s">
        <v>1660</v>
      </c>
      <c r="T284" s="2">
        <v>0</v>
      </c>
      <c r="U284" s="2" t="s">
        <v>32</v>
      </c>
      <c r="V284" s="2" t="s">
        <v>32</v>
      </c>
      <c r="W284" s="2" t="s">
        <v>1660</v>
      </c>
      <c r="X284" s="2">
        <v>0</v>
      </c>
      <c r="Y284" s="2" t="s">
        <v>32</v>
      </c>
      <c r="Z284" s="2" t="s">
        <v>32</v>
      </c>
      <c r="AA284" s="2" t="s">
        <v>1660</v>
      </c>
      <c r="AB284" s="2">
        <v>0</v>
      </c>
      <c r="AC284" s="2" t="s">
        <v>1660</v>
      </c>
      <c r="AD284" s="2">
        <v>0</v>
      </c>
      <c r="AE284" s="2" t="s">
        <v>1660</v>
      </c>
      <c r="AF284" s="2">
        <v>0</v>
      </c>
      <c r="AG284" s="2">
        <v>0</v>
      </c>
      <c r="AH284" s="2" t="s">
        <v>32</v>
      </c>
      <c r="AI284" s="2" t="s">
        <v>32</v>
      </c>
      <c r="AJ284" s="2" t="s">
        <v>32</v>
      </c>
      <c r="AK284" s="2" t="s">
        <v>32</v>
      </c>
      <c r="AL284" s="2" t="s">
        <v>32</v>
      </c>
      <c r="AM284" s="2">
        <v>0</v>
      </c>
      <c r="AN284" s="2" t="s">
        <v>32</v>
      </c>
      <c r="AO284" s="2">
        <v>0</v>
      </c>
      <c r="AP284" s="2" t="s">
        <v>32</v>
      </c>
      <c r="AQ284" s="2" t="s">
        <v>32</v>
      </c>
      <c r="AR284" s="2" t="s">
        <v>32</v>
      </c>
      <c r="AS284" s="2">
        <v>0</v>
      </c>
      <c r="AT284" s="2" t="s">
        <v>32</v>
      </c>
      <c r="AU284" s="2" t="s">
        <v>32</v>
      </c>
      <c r="AV284" s="2" t="s">
        <v>32</v>
      </c>
      <c r="AW284" s="2">
        <v>0</v>
      </c>
      <c r="AX284" s="2" t="s">
        <v>32</v>
      </c>
      <c r="AY284" s="2">
        <v>0</v>
      </c>
      <c r="AZ284" s="2" t="s">
        <v>1660</v>
      </c>
      <c r="BA284" s="2">
        <v>0</v>
      </c>
      <c r="BB284" s="2">
        <v>0</v>
      </c>
      <c r="BC284" s="2" t="s">
        <v>32</v>
      </c>
      <c r="BD284" s="2">
        <v>0</v>
      </c>
      <c r="BE284" s="2" t="s">
        <v>32</v>
      </c>
      <c r="BF284" s="2">
        <v>0</v>
      </c>
      <c r="BG284" s="2" t="s">
        <v>32</v>
      </c>
      <c r="BH284" s="2">
        <v>0</v>
      </c>
      <c r="BI284" s="2" t="s">
        <v>32</v>
      </c>
      <c r="BJ284" s="2" t="s">
        <v>32</v>
      </c>
      <c r="BK284" s="2" t="s">
        <v>32</v>
      </c>
      <c r="BL284" s="2">
        <v>0</v>
      </c>
      <c r="BM284" s="2" t="s">
        <v>32</v>
      </c>
      <c r="BN284" s="2" t="s">
        <v>32</v>
      </c>
      <c r="BO284" s="2" t="s">
        <v>32</v>
      </c>
      <c r="BP284" s="2">
        <v>0</v>
      </c>
      <c r="BQ284" s="2" t="s">
        <v>32</v>
      </c>
      <c r="BR284" s="2">
        <v>0</v>
      </c>
      <c r="BS284" s="2" t="s">
        <v>1660</v>
      </c>
      <c r="BT284" s="2">
        <v>0</v>
      </c>
      <c r="BU284" s="2">
        <v>0</v>
      </c>
      <c r="BV284" s="2" t="s">
        <v>1660</v>
      </c>
      <c r="BW284" s="2"/>
      <c r="BX284" s="2"/>
      <c r="BY284" s="2" t="s">
        <v>1807</v>
      </c>
      <c r="BZ284" s="2" t="b">
        <f>OR( (Dashboard[[#This Row],[ref_as_hh]]&gt;=1),(Dashboard[[#This Row],[ret_as_hh]] &gt;=1), (Dashboard[[#This Row],[idp_as_hh]]&gt;=1))</f>
        <v>0</v>
      </c>
      <c r="CA284" s="2">
        <f>Dashboard[[#This Row],[ret_hi_hh]]</f>
        <v>0</v>
      </c>
      <c r="CB284" s="2">
        <f>Dashboard[[#This Row],[idp_fa_hh]]+Dashboard[[#This Row],[ref_fa_hh]]+Dashboard[[#This Row],[ret_fa_hh]]</f>
        <v>13</v>
      </c>
      <c r="CC284" s="2">
        <f>Dashboard[[#This Row],[idp_loc_hh]]+Dashboard[[#This Row],[ref_loc_hh]]+Dashboard[[#This Row],[ret_loc_hh]]</f>
        <v>0</v>
      </c>
      <c r="CD284" s="2">
        <f>Dashboard[[#This Row],[idp_cc_hh]]+Dashboard[[#This Row],[ref_cc_hh]]+Dashboard[[#This Row],[ret_cc_hh]]</f>
        <v>0</v>
      </c>
      <c r="CE284" s="2">
        <f>Dashboard[[#This Row],[idp_as_hh]]+Dashboard[[#This Row],[ref_as_hh]]+Dashboard[[#This Row],[ret_as_hh]]</f>
        <v>0</v>
      </c>
      <c r="CF284" s="2">
        <f>Dashboard[[#This Row],[idp_al_hh]]+Dashboard[[#This Row],[ref_al_hh]]+Dashboard[[#This Row],[ret_al_hh]]</f>
        <v>0</v>
      </c>
    </row>
    <row r="285" spans="1:84" hidden="1" x14ac:dyDescent="0.25">
      <c r="A285" s="27">
        <v>269</v>
      </c>
      <c r="B285" s="2" t="s">
        <v>22</v>
      </c>
      <c r="C285" s="2" t="s">
        <v>23</v>
      </c>
      <c r="D285" s="2" t="s">
        <v>85</v>
      </c>
      <c r="E285" s="2" t="s">
        <v>84</v>
      </c>
      <c r="F285" s="2" t="s">
        <v>98</v>
      </c>
      <c r="G285" s="2" t="s">
        <v>97</v>
      </c>
      <c r="H285" s="2" t="s">
        <v>1168</v>
      </c>
      <c r="I285" s="2" t="s">
        <v>802</v>
      </c>
      <c r="J285" s="2" t="s">
        <v>2838</v>
      </c>
      <c r="K285" s="2" t="s">
        <v>2839</v>
      </c>
      <c r="L285" s="2" t="s">
        <v>2074</v>
      </c>
      <c r="M285" s="2">
        <v>215</v>
      </c>
      <c r="N285" s="2" t="s">
        <v>1658</v>
      </c>
      <c r="O285" s="2">
        <v>8</v>
      </c>
      <c r="P285" s="2">
        <v>47</v>
      </c>
      <c r="Q285" s="2" t="s">
        <v>1658</v>
      </c>
      <c r="R285" s="2">
        <v>8</v>
      </c>
      <c r="S285" s="2" t="s">
        <v>1660</v>
      </c>
      <c r="T285" s="2">
        <v>0</v>
      </c>
      <c r="U285" s="2" t="s">
        <v>32</v>
      </c>
      <c r="V285" s="2" t="s">
        <v>32</v>
      </c>
      <c r="W285" s="2" t="s">
        <v>1660</v>
      </c>
      <c r="X285" s="2">
        <v>0</v>
      </c>
      <c r="Y285" s="2" t="s">
        <v>32</v>
      </c>
      <c r="Z285" s="2" t="s">
        <v>32</v>
      </c>
      <c r="AA285" s="2" t="s">
        <v>1660</v>
      </c>
      <c r="AB285" s="2">
        <v>0</v>
      </c>
      <c r="AC285" s="2" t="s">
        <v>1660</v>
      </c>
      <c r="AD285" s="2">
        <v>0</v>
      </c>
      <c r="AE285" s="2" t="s">
        <v>1660</v>
      </c>
      <c r="AF285" s="2">
        <v>0</v>
      </c>
      <c r="AG285" s="2">
        <v>0</v>
      </c>
      <c r="AH285" s="2" t="s">
        <v>32</v>
      </c>
      <c r="AI285" s="2" t="s">
        <v>32</v>
      </c>
      <c r="AJ285" s="2" t="s">
        <v>32</v>
      </c>
      <c r="AK285" s="2" t="s">
        <v>32</v>
      </c>
      <c r="AL285" s="2" t="s">
        <v>32</v>
      </c>
      <c r="AM285" s="2">
        <v>0</v>
      </c>
      <c r="AN285" s="2" t="s">
        <v>32</v>
      </c>
      <c r="AO285" s="2">
        <v>0</v>
      </c>
      <c r="AP285" s="2" t="s">
        <v>32</v>
      </c>
      <c r="AQ285" s="2" t="s">
        <v>32</v>
      </c>
      <c r="AR285" s="2" t="s">
        <v>32</v>
      </c>
      <c r="AS285" s="2">
        <v>0</v>
      </c>
      <c r="AT285" s="2" t="s">
        <v>32</v>
      </c>
      <c r="AU285" s="2" t="s">
        <v>32</v>
      </c>
      <c r="AV285" s="2" t="s">
        <v>32</v>
      </c>
      <c r="AW285" s="2">
        <v>0</v>
      </c>
      <c r="AX285" s="2" t="s">
        <v>32</v>
      </c>
      <c r="AY285" s="2">
        <v>0</v>
      </c>
      <c r="AZ285" s="2" t="s">
        <v>1660</v>
      </c>
      <c r="BA285" s="2">
        <v>0</v>
      </c>
      <c r="BB285" s="2">
        <v>0</v>
      </c>
      <c r="BC285" s="2" t="s">
        <v>32</v>
      </c>
      <c r="BD285" s="2">
        <v>0</v>
      </c>
      <c r="BE285" s="2" t="s">
        <v>32</v>
      </c>
      <c r="BF285" s="2">
        <v>0</v>
      </c>
      <c r="BG285" s="2" t="s">
        <v>32</v>
      </c>
      <c r="BH285" s="2">
        <v>0</v>
      </c>
      <c r="BI285" s="2" t="s">
        <v>32</v>
      </c>
      <c r="BJ285" s="2" t="s">
        <v>32</v>
      </c>
      <c r="BK285" s="2" t="s">
        <v>32</v>
      </c>
      <c r="BL285" s="2">
        <v>0</v>
      </c>
      <c r="BM285" s="2" t="s">
        <v>32</v>
      </c>
      <c r="BN285" s="2" t="s">
        <v>32</v>
      </c>
      <c r="BO285" s="2" t="s">
        <v>32</v>
      </c>
      <c r="BP285" s="2">
        <v>0</v>
      </c>
      <c r="BQ285" s="2" t="s">
        <v>32</v>
      </c>
      <c r="BR285" s="2">
        <v>0</v>
      </c>
      <c r="BS285" s="2" t="s">
        <v>1660</v>
      </c>
      <c r="BT285" s="2">
        <v>0</v>
      </c>
      <c r="BU285" s="2">
        <v>0</v>
      </c>
      <c r="BV285" s="2" t="s">
        <v>1660</v>
      </c>
      <c r="BW285" s="2"/>
      <c r="BX285" s="2"/>
      <c r="BY285" s="2" t="s">
        <v>1807</v>
      </c>
      <c r="BZ285" s="2" t="b">
        <f>OR( (Dashboard[[#This Row],[ref_as_hh]]&gt;=1),(Dashboard[[#This Row],[ret_as_hh]] &gt;=1), (Dashboard[[#This Row],[idp_as_hh]]&gt;=1))</f>
        <v>0</v>
      </c>
      <c r="CA285" s="2">
        <f>Dashboard[[#This Row],[ret_hi_hh]]</f>
        <v>0</v>
      </c>
      <c r="CB285" s="2">
        <f>Dashboard[[#This Row],[idp_fa_hh]]+Dashboard[[#This Row],[ref_fa_hh]]+Dashboard[[#This Row],[ret_fa_hh]]</f>
        <v>8</v>
      </c>
      <c r="CC285" s="2">
        <f>Dashboard[[#This Row],[idp_loc_hh]]+Dashboard[[#This Row],[ref_loc_hh]]+Dashboard[[#This Row],[ret_loc_hh]]</f>
        <v>0</v>
      </c>
      <c r="CD285" s="2">
        <f>Dashboard[[#This Row],[idp_cc_hh]]+Dashboard[[#This Row],[ref_cc_hh]]+Dashboard[[#This Row],[ret_cc_hh]]</f>
        <v>0</v>
      </c>
      <c r="CE285" s="2">
        <f>Dashboard[[#This Row],[idp_as_hh]]+Dashboard[[#This Row],[ref_as_hh]]+Dashboard[[#This Row],[ret_as_hh]]</f>
        <v>0</v>
      </c>
      <c r="CF285" s="2">
        <f>Dashboard[[#This Row],[idp_al_hh]]+Dashboard[[#This Row],[ref_al_hh]]+Dashboard[[#This Row],[ret_al_hh]]</f>
        <v>0</v>
      </c>
    </row>
    <row r="286" spans="1:84" hidden="1" x14ac:dyDescent="0.25">
      <c r="A286" s="27">
        <v>270</v>
      </c>
      <c r="B286" s="2" t="s">
        <v>22</v>
      </c>
      <c r="C286" s="2" t="s">
        <v>23</v>
      </c>
      <c r="D286" s="2" t="s">
        <v>85</v>
      </c>
      <c r="E286" s="2" t="s">
        <v>84</v>
      </c>
      <c r="F286" s="2" t="s">
        <v>98</v>
      </c>
      <c r="G286" s="2" t="s">
        <v>97</v>
      </c>
      <c r="H286" s="2" t="s">
        <v>1300</v>
      </c>
      <c r="I286" s="2" t="s">
        <v>462</v>
      </c>
      <c r="J286" s="2" t="s">
        <v>3126</v>
      </c>
      <c r="K286" s="2" t="s">
        <v>3127</v>
      </c>
      <c r="L286" s="2" t="s">
        <v>2074</v>
      </c>
      <c r="M286" s="2">
        <v>1094</v>
      </c>
      <c r="N286" s="2" t="s">
        <v>1658</v>
      </c>
      <c r="O286" s="2">
        <v>12</v>
      </c>
      <c r="P286" s="2">
        <v>48</v>
      </c>
      <c r="Q286" s="2" t="s">
        <v>1658</v>
      </c>
      <c r="R286" s="2">
        <v>12</v>
      </c>
      <c r="S286" s="2" t="s">
        <v>1660</v>
      </c>
      <c r="T286" s="2">
        <v>0</v>
      </c>
      <c r="U286" s="2" t="s">
        <v>32</v>
      </c>
      <c r="V286" s="2" t="s">
        <v>32</v>
      </c>
      <c r="W286" s="2" t="s">
        <v>1660</v>
      </c>
      <c r="X286" s="2">
        <v>0</v>
      </c>
      <c r="Y286" s="2" t="s">
        <v>32</v>
      </c>
      <c r="Z286" s="2" t="s">
        <v>32</v>
      </c>
      <c r="AA286" s="2" t="s">
        <v>1660</v>
      </c>
      <c r="AB286" s="2">
        <v>0</v>
      </c>
      <c r="AC286" s="2" t="s">
        <v>1660</v>
      </c>
      <c r="AD286" s="2">
        <v>0</v>
      </c>
      <c r="AE286" s="2" t="s">
        <v>1660</v>
      </c>
      <c r="AF286" s="2">
        <v>0</v>
      </c>
      <c r="AG286" s="2">
        <v>0</v>
      </c>
      <c r="AH286" s="2" t="s">
        <v>32</v>
      </c>
      <c r="AI286" s="2" t="s">
        <v>32</v>
      </c>
      <c r="AJ286" s="2" t="s">
        <v>32</v>
      </c>
      <c r="AK286" s="2" t="s">
        <v>32</v>
      </c>
      <c r="AL286" s="2" t="s">
        <v>32</v>
      </c>
      <c r="AM286" s="2">
        <v>0</v>
      </c>
      <c r="AN286" s="2" t="s">
        <v>32</v>
      </c>
      <c r="AO286" s="2">
        <v>0</v>
      </c>
      <c r="AP286" s="2" t="s">
        <v>32</v>
      </c>
      <c r="AQ286" s="2" t="s">
        <v>32</v>
      </c>
      <c r="AR286" s="2" t="s">
        <v>32</v>
      </c>
      <c r="AS286" s="2">
        <v>0</v>
      </c>
      <c r="AT286" s="2" t="s">
        <v>32</v>
      </c>
      <c r="AU286" s="2" t="s">
        <v>32</v>
      </c>
      <c r="AV286" s="2" t="s">
        <v>32</v>
      </c>
      <c r="AW286" s="2">
        <v>0</v>
      </c>
      <c r="AX286" s="2" t="s">
        <v>32</v>
      </c>
      <c r="AY286" s="2">
        <v>0</v>
      </c>
      <c r="AZ286" s="2" t="s">
        <v>1658</v>
      </c>
      <c r="BA286" s="2">
        <v>3</v>
      </c>
      <c r="BB286" s="2">
        <v>10</v>
      </c>
      <c r="BC286" s="2" t="s">
        <v>1658</v>
      </c>
      <c r="BD286" s="2">
        <v>1</v>
      </c>
      <c r="BE286" s="2" t="s">
        <v>1658</v>
      </c>
      <c r="BF286" s="2">
        <v>2</v>
      </c>
      <c r="BG286" s="2" t="s">
        <v>1660</v>
      </c>
      <c r="BH286" s="2">
        <v>0</v>
      </c>
      <c r="BI286" s="2" t="s">
        <v>32</v>
      </c>
      <c r="BJ286" s="2" t="s">
        <v>32</v>
      </c>
      <c r="BK286" s="2" t="s">
        <v>1660</v>
      </c>
      <c r="BL286" s="2">
        <v>0</v>
      </c>
      <c r="BM286" s="2" t="s">
        <v>32</v>
      </c>
      <c r="BN286" s="2" t="s">
        <v>32</v>
      </c>
      <c r="BO286" s="2" t="s">
        <v>1660</v>
      </c>
      <c r="BP286" s="2">
        <v>0</v>
      </c>
      <c r="BQ286" s="2" t="s">
        <v>1660</v>
      </c>
      <c r="BR286" s="2">
        <v>0</v>
      </c>
      <c r="BS286" s="2" t="s">
        <v>1660</v>
      </c>
      <c r="BT286" s="2">
        <v>0</v>
      </c>
      <c r="BU286" s="2">
        <v>0</v>
      </c>
      <c r="BV286" s="2" t="s">
        <v>1660</v>
      </c>
      <c r="BW286" s="2"/>
      <c r="BX286" s="2"/>
      <c r="BY286" s="2" t="s">
        <v>1807</v>
      </c>
      <c r="BZ286" s="2" t="b">
        <f>OR( (Dashboard[[#This Row],[ref_as_hh]]&gt;=1),(Dashboard[[#This Row],[ret_as_hh]] &gt;=1), (Dashboard[[#This Row],[idp_as_hh]]&gt;=1))</f>
        <v>0</v>
      </c>
      <c r="CA286" s="2">
        <f>Dashboard[[#This Row],[ret_hi_hh]]</f>
        <v>1</v>
      </c>
      <c r="CB286" s="2">
        <f>Dashboard[[#This Row],[idp_fa_hh]]+Dashboard[[#This Row],[ref_fa_hh]]+Dashboard[[#This Row],[ret_fa_hh]]</f>
        <v>14</v>
      </c>
      <c r="CC286" s="2">
        <f>Dashboard[[#This Row],[idp_loc_hh]]+Dashboard[[#This Row],[ref_loc_hh]]+Dashboard[[#This Row],[ret_loc_hh]]</f>
        <v>0</v>
      </c>
      <c r="CD286" s="2">
        <f>Dashboard[[#This Row],[idp_cc_hh]]+Dashboard[[#This Row],[ref_cc_hh]]+Dashboard[[#This Row],[ret_cc_hh]]</f>
        <v>0</v>
      </c>
      <c r="CE286" s="2">
        <f>Dashboard[[#This Row],[idp_as_hh]]+Dashboard[[#This Row],[ref_as_hh]]+Dashboard[[#This Row],[ret_as_hh]]</f>
        <v>0</v>
      </c>
      <c r="CF286" s="2">
        <f>Dashboard[[#This Row],[idp_al_hh]]+Dashboard[[#This Row],[ref_al_hh]]+Dashboard[[#This Row],[ret_al_hh]]</f>
        <v>0</v>
      </c>
    </row>
    <row r="287" spans="1:84" hidden="1" x14ac:dyDescent="0.25">
      <c r="A287" s="27">
        <v>271</v>
      </c>
      <c r="B287" s="2" t="s">
        <v>22</v>
      </c>
      <c r="C287" s="2" t="s">
        <v>23</v>
      </c>
      <c r="D287" s="2" t="s">
        <v>85</v>
      </c>
      <c r="E287" s="2" t="s">
        <v>84</v>
      </c>
      <c r="F287" s="2" t="s">
        <v>98</v>
      </c>
      <c r="G287" s="2" t="s">
        <v>97</v>
      </c>
      <c r="H287" s="2" t="s">
        <v>1109</v>
      </c>
      <c r="I287" s="2" t="s">
        <v>371</v>
      </c>
      <c r="J287" s="2" t="s">
        <v>2718</v>
      </c>
      <c r="K287" s="2" t="s">
        <v>2719</v>
      </c>
      <c r="L287" s="2" t="s">
        <v>2074</v>
      </c>
      <c r="M287" s="2">
        <v>690</v>
      </c>
      <c r="N287" s="2" t="s">
        <v>1658</v>
      </c>
      <c r="O287" s="2">
        <v>17</v>
      </c>
      <c r="P287" s="2">
        <v>86</v>
      </c>
      <c r="Q287" s="2" t="s">
        <v>1658</v>
      </c>
      <c r="R287" s="2">
        <v>17</v>
      </c>
      <c r="S287" s="2" t="s">
        <v>1660</v>
      </c>
      <c r="T287" s="2">
        <v>0</v>
      </c>
      <c r="U287" s="2" t="s">
        <v>32</v>
      </c>
      <c r="V287" s="2" t="s">
        <v>32</v>
      </c>
      <c r="W287" s="2" t="s">
        <v>1660</v>
      </c>
      <c r="X287" s="2">
        <v>0</v>
      </c>
      <c r="Y287" s="2" t="s">
        <v>32</v>
      </c>
      <c r="Z287" s="2" t="s">
        <v>32</v>
      </c>
      <c r="AA287" s="2" t="s">
        <v>1660</v>
      </c>
      <c r="AB287" s="2">
        <v>0</v>
      </c>
      <c r="AC287" s="2" t="s">
        <v>1660</v>
      </c>
      <c r="AD287" s="2">
        <v>0</v>
      </c>
      <c r="AE287" s="2" t="s">
        <v>1660</v>
      </c>
      <c r="AF287" s="2">
        <v>0</v>
      </c>
      <c r="AG287" s="2">
        <v>0</v>
      </c>
      <c r="AH287" s="2" t="s">
        <v>32</v>
      </c>
      <c r="AI287" s="2" t="s">
        <v>32</v>
      </c>
      <c r="AJ287" s="2" t="s">
        <v>32</v>
      </c>
      <c r="AK287" s="2" t="s">
        <v>32</v>
      </c>
      <c r="AL287" s="2" t="s">
        <v>32</v>
      </c>
      <c r="AM287" s="2">
        <v>0</v>
      </c>
      <c r="AN287" s="2" t="s">
        <v>32</v>
      </c>
      <c r="AO287" s="2">
        <v>0</v>
      </c>
      <c r="AP287" s="2" t="s">
        <v>32</v>
      </c>
      <c r="AQ287" s="2" t="s">
        <v>32</v>
      </c>
      <c r="AR287" s="2" t="s">
        <v>32</v>
      </c>
      <c r="AS287" s="2">
        <v>0</v>
      </c>
      <c r="AT287" s="2" t="s">
        <v>32</v>
      </c>
      <c r="AU287" s="2" t="s">
        <v>32</v>
      </c>
      <c r="AV287" s="2" t="s">
        <v>32</v>
      </c>
      <c r="AW287" s="2">
        <v>0</v>
      </c>
      <c r="AX287" s="2" t="s">
        <v>32</v>
      </c>
      <c r="AY287" s="2">
        <v>0</v>
      </c>
      <c r="AZ287" s="2" t="s">
        <v>1660</v>
      </c>
      <c r="BA287" s="2">
        <v>0</v>
      </c>
      <c r="BB287" s="2">
        <v>0</v>
      </c>
      <c r="BC287" s="2" t="s">
        <v>32</v>
      </c>
      <c r="BD287" s="2">
        <v>0</v>
      </c>
      <c r="BE287" s="2" t="s">
        <v>32</v>
      </c>
      <c r="BF287" s="2">
        <v>0</v>
      </c>
      <c r="BG287" s="2" t="s">
        <v>32</v>
      </c>
      <c r="BH287" s="2">
        <v>0</v>
      </c>
      <c r="BI287" s="2" t="s">
        <v>32</v>
      </c>
      <c r="BJ287" s="2" t="s">
        <v>32</v>
      </c>
      <c r="BK287" s="2" t="s">
        <v>32</v>
      </c>
      <c r="BL287" s="2">
        <v>0</v>
      </c>
      <c r="BM287" s="2" t="s">
        <v>32</v>
      </c>
      <c r="BN287" s="2" t="s">
        <v>32</v>
      </c>
      <c r="BO287" s="2" t="s">
        <v>32</v>
      </c>
      <c r="BP287" s="2">
        <v>0</v>
      </c>
      <c r="BQ287" s="2" t="s">
        <v>32</v>
      </c>
      <c r="BR287" s="2">
        <v>0</v>
      </c>
      <c r="BS287" s="2" t="s">
        <v>1660</v>
      </c>
      <c r="BT287" s="2">
        <v>0</v>
      </c>
      <c r="BU287" s="2">
        <v>0</v>
      </c>
      <c r="BV287" s="2" t="s">
        <v>1660</v>
      </c>
      <c r="BW287" s="2"/>
      <c r="BX287" s="2"/>
      <c r="BY287" s="2" t="s">
        <v>1807</v>
      </c>
      <c r="BZ287" s="2" t="b">
        <f>OR( (Dashboard[[#This Row],[ref_as_hh]]&gt;=1),(Dashboard[[#This Row],[ret_as_hh]] &gt;=1), (Dashboard[[#This Row],[idp_as_hh]]&gt;=1))</f>
        <v>0</v>
      </c>
      <c r="CA287" s="2">
        <f>Dashboard[[#This Row],[ret_hi_hh]]</f>
        <v>0</v>
      </c>
      <c r="CB287" s="2">
        <f>Dashboard[[#This Row],[idp_fa_hh]]+Dashboard[[#This Row],[ref_fa_hh]]+Dashboard[[#This Row],[ret_fa_hh]]</f>
        <v>17</v>
      </c>
      <c r="CC287" s="2">
        <f>Dashboard[[#This Row],[idp_loc_hh]]+Dashboard[[#This Row],[ref_loc_hh]]+Dashboard[[#This Row],[ret_loc_hh]]</f>
        <v>0</v>
      </c>
      <c r="CD287" s="2">
        <f>Dashboard[[#This Row],[idp_cc_hh]]+Dashboard[[#This Row],[ref_cc_hh]]+Dashboard[[#This Row],[ret_cc_hh]]</f>
        <v>0</v>
      </c>
      <c r="CE287" s="2">
        <f>Dashboard[[#This Row],[idp_as_hh]]+Dashboard[[#This Row],[ref_as_hh]]+Dashboard[[#This Row],[ret_as_hh]]</f>
        <v>0</v>
      </c>
      <c r="CF287" s="2">
        <f>Dashboard[[#This Row],[idp_al_hh]]+Dashboard[[#This Row],[ref_al_hh]]+Dashboard[[#This Row],[ret_al_hh]]</f>
        <v>0</v>
      </c>
    </row>
    <row r="288" spans="1:84" hidden="1" x14ac:dyDescent="0.25">
      <c r="A288" s="27">
        <v>272</v>
      </c>
      <c r="B288" s="2" t="s">
        <v>22</v>
      </c>
      <c r="C288" s="2" t="s">
        <v>23</v>
      </c>
      <c r="D288" s="2" t="s">
        <v>85</v>
      </c>
      <c r="E288" s="2" t="s">
        <v>84</v>
      </c>
      <c r="F288" s="2" t="s">
        <v>98</v>
      </c>
      <c r="G288" s="2" t="s">
        <v>97</v>
      </c>
      <c r="H288" s="2" t="s">
        <v>1206</v>
      </c>
      <c r="I288" s="2" t="s">
        <v>410</v>
      </c>
      <c r="J288" s="2" t="s">
        <v>2928</v>
      </c>
      <c r="K288" s="2" t="s">
        <v>2929</v>
      </c>
      <c r="L288" s="2" t="s">
        <v>2074</v>
      </c>
      <c r="M288" s="2">
        <v>678</v>
      </c>
      <c r="N288" s="2" t="s">
        <v>1658</v>
      </c>
      <c r="O288" s="2">
        <v>10</v>
      </c>
      <c r="P288" s="2">
        <v>37</v>
      </c>
      <c r="Q288" s="2" t="s">
        <v>1658</v>
      </c>
      <c r="R288" s="2">
        <v>10</v>
      </c>
      <c r="S288" s="2" t="s">
        <v>1660</v>
      </c>
      <c r="T288" s="2">
        <v>0</v>
      </c>
      <c r="U288" s="2" t="s">
        <v>32</v>
      </c>
      <c r="V288" s="2" t="s">
        <v>32</v>
      </c>
      <c r="W288" s="2" t="s">
        <v>1660</v>
      </c>
      <c r="X288" s="2">
        <v>0</v>
      </c>
      <c r="Y288" s="2" t="s">
        <v>32</v>
      </c>
      <c r="Z288" s="2" t="s">
        <v>32</v>
      </c>
      <c r="AA288" s="2" t="s">
        <v>1660</v>
      </c>
      <c r="AB288" s="2">
        <v>0</v>
      </c>
      <c r="AC288" s="2" t="s">
        <v>1660</v>
      </c>
      <c r="AD288" s="2">
        <v>0</v>
      </c>
      <c r="AE288" s="2" t="s">
        <v>1660</v>
      </c>
      <c r="AF288" s="2">
        <v>0</v>
      </c>
      <c r="AG288" s="2">
        <v>0</v>
      </c>
      <c r="AH288" s="2" t="s">
        <v>32</v>
      </c>
      <c r="AI288" s="2" t="s">
        <v>32</v>
      </c>
      <c r="AJ288" s="2" t="s">
        <v>32</v>
      </c>
      <c r="AK288" s="2" t="s">
        <v>32</v>
      </c>
      <c r="AL288" s="2" t="s">
        <v>32</v>
      </c>
      <c r="AM288" s="2">
        <v>0</v>
      </c>
      <c r="AN288" s="2" t="s">
        <v>32</v>
      </c>
      <c r="AO288" s="2">
        <v>0</v>
      </c>
      <c r="AP288" s="2" t="s">
        <v>32</v>
      </c>
      <c r="AQ288" s="2" t="s">
        <v>32</v>
      </c>
      <c r="AR288" s="2" t="s">
        <v>32</v>
      </c>
      <c r="AS288" s="2">
        <v>0</v>
      </c>
      <c r="AT288" s="2" t="s">
        <v>32</v>
      </c>
      <c r="AU288" s="2" t="s">
        <v>32</v>
      </c>
      <c r="AV288" s="2" t="s">
        <v>32</v>
      </c>
      <c r="AW288" s="2">
        <v>0</v>
      </c>
      <c r="AX288" s="2" t="s">
        <v>32</v>
      </c>
      <c r="AY288" s="2">
        <v>0</v>
      </c>
      <c r="AZ288" s="2" t="s">
        <v>1660</v>
      </c>
      <c r="BA288" s="2">
        <v>0</v>
      </c>
      <c r="BB288" s="2">
        <v>0</v>
      </c>
      <c r="BC288" s="2" t="s">
        <v>32</v>
      </c>
      <c r="BD288" s="2">
        <v>0</v>
      </c>
      <c r="BE288" s="2" t="s">
        <v>32</v>
      </c>
      <c r="BF288" s="2">
        <v>0</v>
      </c>
      <c r="BG288" s="2" t="s">
        <v>32</v>
      </c>
      <c r="BH288" s="2">
        <v>0</v>
      </c>
      <c r="BI288" s="2" t="s">
        <v>32</v>
      </c>
      <c r="BJ288" s="2" t="s">
        <v>32</v>
      </c>
      <c r="BK288" s="2" t="s">
        <v>32</v>
      </c>
      <c r="BL288" s="2">
        <v>0</v>
      </c>
      <c r="BM288" s="2" t="s">
        <v>32</v>
      </c>
      <c r="BN288" s="2" t="s">
        <v>32</v>
      </c>
      <c r="BO288" s="2" t="s">
        <v>32</v>
      </c>
      <c r="BP288" s="2">
        <v>0</v>
      </c>
      <c r="BQ288" s="2" t="s">
        <v>32</v>
      </c>
      <c r="BR288" s="2">
        <v>0</v>
      </c>
      <c r="BS288" s="2" t="s">
        <v>1660</v>
      </c>
      <c r="BT288" s="2">
        <v>0</v>
      </c>
      <c r="BU288" s="2">
        <v>0</v>
      </c>
      <c r="BV288" s="2" t="s">
        <v>1660</v>
      </c>
      <c r="BW288" s="2"/>
      <c r="BX288" s="2"/>
      <c r="BY288" s="2" t="s">
        <v>1807</v>
      </c>
      <c r="BZ288" s="2" t="b">
        <f>OR( (Dashboard[[#This Row],[ref_as_hh]]&gt;=1),(Dashboard[[#This Row],[ret_as_hh]] &gt;=1), (Dashboard[[#This Row],[idp_as_hh]]&gt;=1))</f>
        <v>0</v>
      </c>
      <c r="CA288" s="2">
        <f>Dashboard[[#This Row],[ret_hi_hh]]</f>
        <v>0</v>
      </c>
      <c r="CB288" s="2">
        <f>Dashboard[[#This Row],[idp_fa_hh]]+Dashboard[[#This Row],[ref_fa_hh]]+Dashboard[[#This Row],[ret_fa_hh]]</f>
        <v>10</v>
      </c>
      <c r="CC288" s="2">
        <f>Dashboard[[#This Row],[idp_loc_hh]]+Dashboard[[#This Row],[ref_loc_hh]]+Dashboard[[#This Row],[ret_loc_hh]]</f>
        <v>0</v>
      </c>
      <c r="CD288" s="2">
        <f>Dashboard[[#This Row],[idp_cc_hh]]+Dashboard[[#This Row],[ref_cc_hh]]+Dashboard[[#This Row],[ret_cc_hh]]</f>
        <v>0</v>
      </c>
      <c r="CE288" s="2">
        <f>Dashboard[[#This Row],[idp_as_hh]]+Dashboard[[#This Row],[ref_as_hh]]+Dashboard[[#This Row],[ret_as_hh]]</f>
        <v>0</v>
      </c>
      <c r="CF288" s="2">
        <f>Dashboard[[#This Row],[idp_al_hh]]+Dashboard[[#This Row],[ref_al_hh]]+Dashboard[[#This Row],[ret_al_hh]]</f>
        <v>0</v>
      </c>
    </row>
    <row r="289" spans="1:84" hidden="1" x14ac:dyDescent="0.25">
      <c r="A289" s="27">
        <v>17</v>
      </c>
      <c r="B289" s="2" t="s">
        <v>22</v>
      </c>
      <c r="C289" s="2" t="s">
        <v>23</v>
      </c>
      <c r="D289" s="2" t="s">
        <v>85</v>
      </c>
      <c r="E289" s="2" t="s">
        <v>84</v>
      </c>
      <c r="F289" s="2" t="s">
        <v>98</v>
      </c>
      <c r="G289" s="2" t="s">
        <v>97</v>
      </c>
      <c r="H289" s="2" t="s">
        <v>1155</v>
      </c>
      <c r="I289" s="2" t="s">
        <v>387</v>
      </c>
      <c r="J289" s="2" t="s">
        <v>2810</v>
      </c>
      <c r="K289" s="2" t="s">
        <v>2811</v>
      </c>
      <c r="L289" s="2" t="s">
        <v>3693</v>
      </c>
      <c r="M289" s="2">
        <v>835</v>
      </c>
      <c r="N289" s="2" t="s">
        <v>1658</v>
      </c>
      <c r="O289" s="2">
        <v>9</v>
      </c>
      <c r="P289" s="2">
        <v>35</v>
      </c>
      <c r="Q289" s="2" t="s">
        <v>1658</v>
      </c>
      <c r="R289" s="2">
        <v>9</v>
      </c>
      <c r="S289" s="2" t="s">
        <v>1660</v>
      </c>
      <c r="T289" s="2">
        <v>0</v>
      </c>
      <c r="U289" s="2" t="s">
        <v>32</v>
      </c>
      <c r="V289" s="2" t="s">
        <v>32</v>
      </c>
      <c r="W289" s="2" t="s">
        <v>1660</v>
      </c>
      <c r="X289" s="2">
        <v>0</v>
      </c>
      <c r="Y289" s="2" t="s">
        <v>32</v>
      </c>
      <c r="Z289" s="2" t="s">
        <v>32</v>
      </c>
      <c r="AA289" s="2" t="s">
        <v>1660</v>
      </c>
      <c r="AB289" s="2">
        <v>0</v>
      </c>
      <c r="AC289" s="2" t="s">
        <v>1660</v>
      </c>
      <c r="AD289" s="2">
        <v>0</v>
      </c>
      <c r="AE289" s="2" t="s">
        <v>1660</v>
      </c>
      <c r="AF289" s="2">
        <v>0</v>
      </c>
      <c r="AG289" s="2">
        <v>0</v>
      </c>
      <c r="AH289" s="2" t="s">
        <v>32</v>
      </c>
      <c r="AI289" s="2" t="s">
        <v>32</v>
      </c>
      <c r="AJ289" s="2" t="s">
        <v>32</v>
      </c>
      <c r="AK289" s="2" t="s">
        <v>32</v>
      </c>
      <c r="AL289" s="2" t="s">
        <v>32</v>
      </c>
      <c r="AM289" s="2">
        <v>0</v>
      </c>
      <c r="AN289" s="2" t="s">
        <v>32</v>
      </c>
      <c r="AO289" s="2">
        <v>0</v>
      </c>
      <c r="AP289" s="2" t="s">
        <v>32</v>
      </c>
      <c r="AQ289" s="2" t="s">
        <v>32</v>
      </c>
      <c r="AR289" s="2" t="s">
        <v>32</v>
      </c>
      <c r="AS289" s="2">
        <v>0</v>
      </c>
      <c r="AT289" s="2" t="s">
        <v>32</v>
      </c>
      <c r="AU289" s="2" t="s">
        <v>32</v>
      </c>
      <c r="AV289" s="2" t="s">
        <v>32</v>
      </c>
      <c r="AW289" s="2">
        <v>0</v>
      </c>
      <c r="AX289" s="2" t="s">
        <v>32</v>
      </c>
      <c r="AY289" s="2">
        <v>0</v>
      </c>
      <c r="AZ289" s="2" t="s">
        <v>1660</v>
      </c>
      <c r="BA289" s="2">
        <v>0</v>
      </c>
      <c r="BB289" s="2">
        <v>0</v>
      </c>
      <c r="BC289" s="2" t="s">
        <v>32</v>
      </c>
      <c r="BD289" s="2">
        <v>0</v>
      </c>
      <c r="BE289" s="2" t="s">
        <v>32</v>
      </c>
      <c r="BF289" s="2">
        <v>0</v>
      </c>
      <c r="BG289" s="2" t="s">
        <v>32</v>
      </c>
      <c r="BH289" s="2">
        <v>0</v>
      </c>
      <c r="BI289" s="2" t="s">
        <v>32</v>
      </c>
      <c r="BJ289" s="2" t="s">
        <v>32</v>
      </c>
      <c r="BK289" s="2" t="s">
        <v>32</v>
      </c>
      <c r="BL289" s="2">
        <v>0</v>
      </c>
      <c r="BM289" s="2" t="s">
        <v>32</v>
      </c>
      <c r="BN289" s="2" t="s">
        <v>32</v>
      </c>
      <c r="BO289" s="2" t="s">
        <v>32</v>
      </c>
      <c r="BP289" s="2">
        <v>0</v>
      </c>
      <c r="BQ289" s="2" t="s">
        <v>32</v>
      </c>
      <c r="BR289" s="2">
        <v>0</v>
      </c>
      <c r="BS289" s="2" t="s">
        <v>1660</v>
      </c>
      <c r="BT289" s="2">
        <v>0</v>
      </c>
      <c r="BU289" s="2">
        <v>0</v>
      </c>
      <c r="BV289" s="2" t="s">
        <v>1660</v>
      </c>
      <c r="BW289" s="2"/>
      <c r="BX289" s="2"/>
      <c r="BY289" s="2" t="s">
        <v>1807</v>
      </c>
      <c r="BZ289" s="2" t="b">
        <f>OR( (Dashboard[[#This Row],[ref_as_hh]]&gt;=1),(Dashboard[[#This Row],[ret_as_hh]] &gt;=1), (Dashboard[[#This Row],[idp_as_hh]]&gt;=1))</f>
        <v>0</v>
      </c>
      <c r="CA289" s="2">
        <f>Dashboard[[#This Row],[ret_hi_hh]]</f>
        <v>0</v>
      </c>
      <c r="CB289" s="2">
        <f>Dashboard[[#This Row],[idp_fa_hh]]+Dashboard[[#This Row],[ref_fa_hh]]+Dashboard[[#This Row],[ret_fa_hh]]</f>
        <v>9</v>
      </c>
      <c r="CC289" s="2">
        <f>Dashboard[[#This Row],[idp_loc_hh]]+Dashboard[[#This Row],[ref_loc_hh]]+Dashboard[[#This Row],[ret_loc_hh]]</f>
        <v>0</v>
      </c>
      <c r="CD289" s="2">
        <f>Dashboard[[#This Row],[idp_cc_hh]]+Dashboard[[#This Row],[ref_cc_hh]]+Dashboard[[#This Row],[ret_cc_hh]]</f>
        <v>0</v>
      </c>
      <c r="CE289" s="2">
        <f>Dashboard[[#This Row],[idp_as_hh]]+Dashboard[[#This Row],[ref_as_hh]]+Dashboard[[#This Row],[ret_as_hh]]</f>
        <v>0</v>
      </c>
      <c r="CF289" s="2">
        <f>Dashboard[[#This Row],[idp_al_hh]]+Dashboard[[#This Row],[ref_al_hh]]+Dashboard[[#This Row],[ret_al_hh]]</f>
        <v>0</v>
      </c>
    </row>
    <row r="290" spans="1:84" hidden="1" x14ac:dyDescent="0.25">
      <c r="A290" s="27">
        <v>19</v>
      </c>
      <c r="B290" s="2" t="s">
        <v>22</v>
      </c>
      <c r="C290" s="2" t="s">
        <v>23</v>
      </c>
      <c r="D290" s="2" t="s">
        <v>85</v>
      </c>
      <c r="E290" s="2" t="s">
        <v>84</v>
      </c>
      <c r="F290" s="2" t="s">
        <v>98</v>
      </c>
      <c r="G290" s="2" t="s">
        <v>97</v>
      </c>
      <c r="H290" s="2" t="s">
        <v>1255</v>
      </c>
      <c r="I290" s="2" t="s">
        <v>439</v>
      </c>
      <c r="J290" s="2" t="s">
        <v>3034</v>
      </c>
      <c r="K290" s="2" t="s">
        <v>3035</v>
      </c>
      <c r="L290" s="2" t="s">
        <v>2078</v>
      </c>
      <c r="M290" s="2">
        <v>857</v>
      </c>
      <c r="N290" s="2" t="s">
        <v>1658</v>
      </c>
      <c r="O290" s="2">
        <v>20</v>
      </c>
      <c r="P290" s="2">
        <v>95</v>
      </c>
      <c r="Q290" s="2" t="s">
        <v>1658</v>
      </c>
      <c r="R290" s="2">
        <v>20</v>
      </c>
      <c r="S290" s="2" t="s">
        <v>1660</v>
      </c>
      <c r="T290" s="2">
        <v>0</v>
      </c>
      <c r="U290" s="2" t="s">
        <v>32</v>
      </c>
      <c r="V290" s="2" t="s">
        <v>32</v>
      </c>
      <c r="W290" s="2" t="s">
        <v>1660</v>
      </c>
      <c r="X290" s="2">
        <v>0</v>
      </c>
      <c r="Y290" s="2" t="s">
        <v>32</v>
      </c>
      <c r="Z290" s="2" t="s">
        <v>32</v>
      </c>
      <c r="AA290" s="2" t="s">
        <v>1660</v>
      </c>
      <c r="AB290" s="2">
        <v>0</v>
      </c>
      <c r="AC290" s="2" t="s">
        <v>1660</v>
      </c>
      <c r="AD290" s="2">
        <v>0</v>
      </c>
      <c r="AE290" s="2" t="s">
        <v>1660</v>
      </c>
      <c r="AF290" s="2">
        <v>0</v>
      </c>
      <c r="AG290" s="2">
        <v>0</v>
      </c>
      <c r="AH290" s="2" t="s">
        <v>32</v>
      </c>
      <c r="AI290" s="2" t="s">
        <v>32</v>
      </c>
      <c r="AJ290" s="2" t="s">
        <v>32</v>
      </c>
      <c r="AK290" s="2" t="s">
        <v>32</v>
      </c>
      <c r="AL290" s="2" t="s">
        <v>32</v>
      </c>
      <c r="AM290" s="2">
        <v>0</v>
      </c>
      <c r="AN290" s="2" t="s">
        <v>32</v>
      </c>
      <c r="AO290" s="2">
        <v>0</v>
      </c>
      <c r="AP290" s="2" t="s">
        <v>32</v>
      </c>
      <c r="AQ290" s="2" t="s">
        <v>32</v>
      </c>
      <c r="AR290" s="2" t="s">
        <v>32</v>
      </c>
      <c r="AS290" s="2">
        <v>0</v>
      </c>
      <c r="AT290" s="2" t="s">
        <v>32</v>
      </c>
      <c r="AU290" s="2" t="s">
        <v>32</v>
      </c>
      <c r="AV290" s="2" t="s">
        <v>32</v>
      </c>
      <c r="AW290" s="2">
        <v>0</v>
      </c>
      <c r="AX290" s="2" t="s">
        <v>32</v>
      </c>
      <c r="AY290" s="2">
        <v>0</v>
      </c>
      <c r="AZ290" s="2" t="s">
        <v>1660</v>
      </c>
      <c r="BA290" s="2">
        <v>0</v>
      </c>
      <c r="BB290" s="2">
        <v>0</v>
      </c>
      <c r="BC290" s="2" t="s">
        <v>32</v>
      </c>
      <c r="BD290" s="2">
        <v>0</v>
      </c>
      <c r="BE290" s="2" t="s">
        <v>32</v>
      </c>
      <c r="BF290" s="2">
        <v>0</v>
      </c>
      <c r="BG290" s="2" t="s">
        <v>32</v>
      </c>
      <c r="BH290" s="2">
        <v>0</v>
      </c>
      <c r="BI290" s="2" t="s">
        <v>32</v>
      </c>
      <c r="BJ290" s="2" t="s">
        <v>32</v>
      </c>
      <c r="BK290" s="2" t="s">
        <v>32</v>
      </c>
      <c r="BL290" s="2">
        <v>0</v>
      </c>
      <c r="BM290" s="2" t="s">
        <v>32</v>
      </c>
      <c r="BN290" s="2" t="s">
        <v>32</v>
      </c>
      <c r="BO290" s="2" t="s">
        <v>32</v>
      </c>
      <c r="BP290" s="2">
        <v>0</v>
      </c>
      <c r="BQ290" s="2" t="s">
        <v>32</v>
      </c>
      <c r="BR290" s="2">
        <v>0</v>
      </c>
      <c r="BS290" s="2" t="s">
        <v>1660</v>
      </c>
      <c r="BT290" s="2">
        <v>0</v>
      </c>
      <c r="BU290" s="2">
        <v>0</v>
      </c>
      <c r="BV290" s="2" t="s">
        <v>1660</v>
      </c>
      <c r="BW290" s="2"/>
      <c r="BX290" s="2"/>
      <c r="BY290" s="2" t="s">
        <v>1807</v>
      </c>
      <c r="BZ290" s="2" t="b">
        <f>OR( (Dashboard[[#This Row],[ref_as_hh]]&gt;=1),(Dashboard[[#This Row],[ret_as_hh]] &gt;=1), (Dashboard[[#This Row],[idp_as_hh]]&gt;=1))</f>
        <v>0</v>
      </c>
      <c r="CA290" s="2">
        <f>Dashboard[[#This Row],[ret_hi_hh]]</f>
        <v>0</v>
      </c>
      <c r="CB290" s="2">
        <f>Dashboard[[#This Row],[idp_fa_hh]]+Dashboard[[#This Row],[ref_fa_hh]]+Dashboard[[#This Row],[ret_fa_hh]]</f>
        <v>20</v>
      </c>
      <c r="CC290" s="2">
        <f>Dashboard[[#This Row],[idp_loc_hh]]+Dashboard[[#This Row],[ref_loc_hh]]+Dashboard[[#This Row],[ret_loc_hh]]</f>
        <v>0</v>
      </c>
      <c r="CD290" s="2">
        <f>Dashboard[[#This Row],[idp_cc_hh]]+Dashboard[[#This Row],[ref_cc_hh]]+Dashboard[[#This Row],[ret_cc_hh]]</f>
        <v>0</v>
      </c>
      <c r="CE290" s="2">
        <f>Dashboard[[#This Row],[idp_as_hh]]+Dashboard[[#This Row],[ref_as_hh]]+Dashboard[[#This Row],[ret_as_hh]]</f>
        <v>0</v>
      </c>
      <c r="CF290" s="2">
        <f>Dashboard[[#This Row],[idp_al_hh]]+Dashboard[[#This Row],[ref_al_hh]]+Dashboard[[#This Row],[ret_al_hh]]</f>
        <v>0</v>
      </c>
    </row>
    <row r="291" spans="1:84" hidden="1" x14ac:dyDescent="0.25">
      <c r="A291" s="27">
        <v>24</v>
      </c>
      <c r="B291" s="2" t="s">
        <v>22</v>
      </c>
      <c r="C291" s="2" t="s">
        <v>23</v>
      </c>
      <c r="D291" s="2" t="s">
        <v>85</v>
      </c>
      <c r="E291" s="2" t="s">
        <v>84</v>
      </c>
      <c r="F291" s="2" t="s">
        <v>98</v>
      </c>
      <c r="G291" s="2" t="s">
        <v>97</v>
      </c>
      <c r="H291" s="2" t="s">
        <v>1505</v>
      </c>
      <c r="I291" s="2" t="s">
        <v>799</v>
      </c>
      <c r="J291" s="2" t="s">
        <v>2738</v>
      </c>
      <c r="K291" s="2" t="s">
        <v>2739</v>
      </c>
      <c r="L291" s="2" t="s">
        <v>2074</v>
      </c>
      <c r="M291" s="2">
        <v>860</v>
      </c>
      <c r="N291" s="2" t="s">
        <v>1660</v>
      </c>
      <c r="O291" s="2">
        <v>0</v>
      </c>
      <c r="P291" s="2">
        <v>0</v>
      </c>
      <c r="Q291" s="2" t="s">
        <v>32</v>
      </c>
      <c r="R291" s="2">
        <v>0</v>
      </c>
      <c r="S291" s="2" t="s">
        <v>32</v>
      </c>
      <c r="T291" s="2">
        <v>0</v>
      </c>
      <c r="U291" s="2" t="s">
        <v>32</v>
      </c>
      <c r="V291" s="2" t="s">
        <v>32</v>
      </c>
      <c r="W291" s="2" t="s">
        <v>32</v>
      </c>
      <c r="X291" s="2">
        <v>0</v>
      </c>
      <c r="Y291" s="2" t="s">
        <v>32</v>
      </c>
      <c r="Z291" s="2" t="s">
        <v>32</v>
      </c>
      <c r="AA291" s="2" t="s">
        <v>32</v>
      </c>
      <c r="AB291" s="2">
        <v>0</v>
      </c>
      <c r="AC291" s="2" t="s">
        <v>32</v>
      </c>
      <c r="AD291" s="2">
        <v>0</v>
      </c>
      <c r="AE291" s="2" t="s">
        <v>1658</v>
      </c>
      <c r="AF291" s="2">
        <v>13</v>
      </c>
      <c r="AG291" s="2">
        <v>70</v>
      </c>
      <c r="AH291" s="2" t="s">
        <v>1660</v>
      </c>
      <c r="AI291" s="2" t="s">
        <v>32</v>
      </c>
      <c r="AJ291" s="2" t="s">
        <v>32</v>
      </c>
      <c r="AK291" s="2" t="s">
        <v>32</v>
      </c>
      <c r="AL291" s="2" t="s">
        <v>1658</v>
      </c>
      <c r="AM291" s="2">
        <v>13</v>
      </c>
      <c r="AN291" s="2" t="s">
        <v>1660</v>
      </c>
      <c r="AO291" s="2">
        <v>0</v>
      </c>
      <c r="AP291" s="2" t="s">
        <v>32</v>
      </c>
      <c r="AQ291" s="2" t="s">
        <v>32</v>
      </c>
      <c r="AR291" s="2" t="s">
        <v>1660</v>
      </c>
      <c r="AS291" s="2">
        <v>0</v>
      </c>
      <c r="AT291" s="2" t="s">
        <v>32</v>
      </c>
      <c r="AU291" s="2" t="s">
        <v>32</v>
      </c>
      <c r="AV291" s="2" t="s">
        <v>1660</v>
      </c>
      <c r="AW291" s="2">
        <v>0</v>
      </c>
      <c r="AX291" s="2" t="s">
        <v>1660</v>
      </c>
      <c r="AY291" s="2">
        <v>0</v>
      </c>
      <c r="AZ291" s="2" t="s">
        <v>1660</v>
      </c>
      <c r="BA291" s="2">
        <v>0</v>
      </c>
      <c r="BB291" s="2">
        <v>0</v>
      </c>
      <c r="BC291" s="2" t="s">
        <v>32</v>
      </c>
      <c r="BD291" s="2">
        <v>0</v>
      </c>
      <c r="BE291" s="2" t="s">
        <v>32</v>
      </c>
      <c r="BF291" s="2">
        <v>0</v>
      </c>
      <c r="BG291" s="2" t="s">
        <v>32</v>
      </c>
      <c r="BH291" s="2">
        <v>0</v>
      </c>
      <c r="BI291" s="2" t="s">
        <v>32</v>
      </c>
      <c r="BJ291" s="2" t="s">
        <v>32</v>
      </c>
      <c r="BK291" s="2" t="s">
        <v>32</v>
      </c>
      <c r="BL291" s="2">
        <v>0</v>
      </c>
      <c r="BM291" s="2" t="s">
        <v>32</v>
      </c>
      <c r="BN291" s="2" t="s">
        <v>32</v>
      </c>
      <c r="BO291" s="2" t="s">
        <v>32</v>
      </c>
      <c r="BP291" s="2">
        <v>0</v>
      </c>
      <c r="BQ291" s="2" t="s">
        <v>32</v>
      </c>
      <c r="BR291" s="2">
        <v>0</v>
      </c>
      <c r="BS291" s="2" t="s">
        <v>1660</v>
      </c>
      <c r="BT291" s="2">
        <v>0</v>
      </c>
      <c r="BU291" s="2">
        <v>0</v>
      </c>
      <c r="BV291" s="2" t="s">
        <v>1660</v>
      </c>
      <c r="BW291" s="2"/>
      <c r="BX291" s="2"/>
      <c r="BY291" s="2" t="s">
        <v>1807</v>
      </c>
      <c r="BZ291" s="2" t="b">
        <f>OR( (Dashboard[[#This Row],[ref_as_hh]]&gt;=1),(Dashboard[[#This Row],[ret_as_hh]] &gt;=1), (Dashboard[[#This Row],[idp_as_hh]]&gt;=1))</f>
        <v>0</v>
      </c>
      <c r="CA291" s="2">
        <f>Dashboard[[#This Row],[ret_hi_hh]]</f>
        <v>0</v>
      </c>
      <c r="CB291" s="2">
        <f>Dashboard[[#This Row],[idp_fa_hh]]+Dashboard[[#This Row],[ref_fa_hh]]+Dashboard[[#This Row],[ret_fa_hh]]</f>
        <v>13</v>
      </c>
      <c r="CC291" s="2">
        <f>Dashboard[[#This Row],[idp_loc_hh]]+Dashboard[[#This Row],[ref_loc_hh]]+Dashboard[[#This Row],[ret_loc_hh]]</f>
        <v>0</v>
      </c>
      <c r="CD291" s="2">
        <f>Dashboard[[#This Row],[idp_cc_hh]]+Dashboard[[#This Row],[ref_cc_hh]]+Dashboard[[#This Row],[ret_cc_hh]]</f>
        <v>0</v>
      </c>
      <c r="CE291" s="2">
        <f>Dashboard[[#This Row],[idp_as_hh]]+Dashboard[[#This Row],[ref_as_hh]]+Dashboard[[#This Row],[ret_as_hh]]</f>
        <v>0</v>
      </c>
      <c r="CF291" s="2">
        <f>Dashboard[[#This Row],[idp_al_hh]]+Dashboard[[#This Row],[ref_al_hh]]+Dashboard[[#This Row],[ret_al_hh]]</f>
        <v>0</v>
      </c>
    </row>
    <row r="292" spans="1:84" hidden="1" x14ac:dyDescent="0.25">
      <c r="A292" s="27">
        <v>538</v>
      </c>
      <c r="B292" s="2" t="s">
        <v>22</v>
      </c>
      <c r="C292" s="2" t="s">
        <v>23</v>
      </c>
      <c r="D292" s="2" t="s">
        <v>85</v>
      </c>
      <c r="E292" s="2" t="s">
        <v>84</v>
      </c>
      <c r="F292" s="2" t="s">
        <v>98</v>
      </c>
      <c r="G292" s="2" t="s">
        <v>97</v>
      </c>
      <c r="H292" s="2" t="s">
        <v>1685</v>
      </c>
      <c r="I292" s="2" t="s">
        <v>431</v>
      </c>
      <c r="J292" s="2" t="s">
        <v>2998</v>
      </c>
      <c r="K292" s="2" t="s">
        <v>2999</v>
      </c>
      <c r="L292" s="2" t="s">
        <v>2074</v>
      </c>
      <c r="M292" s="2">
        <v>1150</v>
      </c>
      <c r="N292" s="2" t="s">
        <v>1660</v>
      </c>
      <c r="O292" s="2">
        <v>0</v>
      </c>
      <c r="P292" s="2">
        <v>0</v>
      </c>
      <c r="Q292" s="2" t="s">
        <v>32</v>
      </c>
      <c r="R292" s="2">
        <v>0</v>
      </c>
      <c r="S292" s="2" t="s">
        <v>32</v>
      </c>
      <c r="T292" s="2">
        <v>0</v>
      </c>
      <c r="U292" s="2" t="s">
        <v>32</v>
      </c>
      <c r="V292" s="2" t="s">
        <v>32</v>
      </c>
      <c r="W292" s="2" t="s">
        <v>32</v>
      </c>
      <c r="X292" s="2">
        <v>0</v>
      </c>
      <c r="Y292" s="2" t="s">
        <v>32</v>
      </c>
      <c r="Z292" s="2" t="s">
        <v>32</v>
      </c>
      <c r="AA292" s="2" t="s">
        <v>32</v>
      </c>
      <c r="AB292" s="2">
        <v>0</v>
      </c>
      <c r="AC292" s="2" t="s">
        <v>32</v>
      </c>
      <c r="AD292" s="2">
        <v>0</v>
      </c>
      <c r="AE292" s="2" t="s">
        <v>1660</v>
      </c>
      <c r="AF292" s="2">
        <v>0</v>
      </c>
      <c r="AG292" s="2">
        <v>0</v>
      </c>
      <c r="AH292" s="2" t="s">
        <v>32</v>
      </c>
      <c r="AI292" s="2" t="s">
        <v>32</v>
      </c>
      <c r="AJ292" s="2" t="s">
        <v>32</v>
      </c>
      <c r="AK292" s="2" t="s">
        <v>32</v>
      </c>
      <c r="AL292" s="2" t="s">
        <v>32</v>
      </c>
      <c r="AM292" s="2">
        <v>0</v>
      </c>
      <c r="AN292" s="2" t="s">
        <v>32</v>
      </c>
      <c r="AO292" s="2">
        <v>0</v>
      </c>
      <c r="AP292" s="2" t="s">
        <v>32</v>
      </c>
      <c r="AQ292" s="2" t="s">
        <v>32</v>
      </c>
      <c r="AR292" s="2" t="s">
        <v>32</v>
      </c>
      <c r="AS292" s="2">
        <v>0</v>
      </c>
      <c r="AT292" s="2" t="s">
        <v>32</v>
      </c>
      <c r="AU292" s="2" t="s">
        <v>32</v>
      </c>
      <c r="AV292" s="2" t="s">
        <v>32</v>
      </c>
      <c r="AW292" s="2">
        <v>0</v>
      </c>
      <c r="AX292" s="2" t="s">
        <v>32</v>
      </c>
      <c r="AY292" s="2">
        <v>0</v>
      </c>
      <c r="AZ292" s="2" t="s">
        <v>1658</v>
      </c>
      <c r="BA292" s="2">
        <v>148</v>
      </c>
      <c r="BB292" s="2">
        <v>1157</v>
      </c>
      <c r="BC292" s="2" t="s">
        <v>1658</v>
      </c>
      <c r="BD292" s="2">
        <v>148</v>
      </c>
      <c r="BE292" s="2" t="s">
        <v>1660</v>
      </c>
      <c r="BF292" s="2">
        <v>0</v>
      </c>
      <c r="BG292" s="2" t="s">
        <v>1660</v>
      </c>
      <c r="BH292" s="2">
        <v>0</v>
      </c>
      <c r="BI292" s="2" t="s">
        <v>32</v>
      </c>
      <c r="BJ292" s="2" t="s">
        <v>32</v>
      </c>
      <c r="BK292" s="2" t="s">
        <v>1660</v>
      </c>
      <c r="BL292" s="2">
        <v>0</v>
      </c>
      <c r="BM292" s="2" t="s">
        <v>32</v>
      </c>
      <c r="BN292" s="2" t="s">
        <v>32</v>
      </c>
      <c r="BO292" s="2" t="s">
        <v>1660</v>
      </c>
      <c r="BP292" s="2">
        <v>0</v>
      </c>
      <c r="BQ292" s="2" t="s">
        <v>1660</v>
      </c>
      <c r="BR292" s="2">
        <v>0</v>
      </c>
      <c r="BS292" s="2" t="s">
        <v>1658</v>
      </c>
      <c r="BT292" s="2">
        <v>48</v>
      </c>
      <c r="BU292" s="2">
        <v>259</v>
      </c>
      <c r="BV292" s="2" t="s">
        <v>1660</v>
      </c>
      <c r="BW292" s="2"/>
      <c r="BX292" s="2"/>
      <c r="BY292" s="2" t="s">
        <v>1807</v>
      </c>
      <c r="BZ292" s="2" t="b">
        <f>OR( (Dashboard[[#This Row],[ref_as_hh]]&gt;=1),(Dashboard[[#This Row],[ret_as_hh]] &gt;=1), (Dashboard[[#This Row],[idp_as_hh]]&gt;=1))</f>
        <v>0</v>
      </c>
      <c r="CA292" s="2">
        <f>Dashboard[[#This Row],[ret_hi_hh]]</f>
        <v>148</v>
      </c>
      <c r="CB292" s="2">
        <f>Dashboard[[#This Row],[idp_fa_hh]]+Dashboard[[#This Row],[ref_fa_hh]]+Dashboard[[#This Row],[ret_fa_hh]]</f>
        <v>0</v>
      </c>
      <c r="CC292" s="2">
        <f>Dashboard[[#This Row],[idp_loc_hh]]+Dashboard[[#This Row],[ref_loc_hh]]+Dashboard[[#This Row],[ret_loc_hh]]</f>
        <v>0</v>
      </c>
      <c r="CD292" s="2">
        <f>Dashboard[[#This Row],[idp_cc_hh]]+Dashboard[[#This Row],[ref_cc_hh]]+Dashboard[[#This Row],[ret_cc_hh]]</f>
        <v>0</v>
      </c>
      <c r="CE292" s="2">
        <f>Dashboard[[#This Row],[idp_as_hh]]+Dashboard[[#This Row],[ref_as_hh]]+Dashboard[[#This Row],[ret_as_hh]]</f>
        <v>0</v>
      </c>
      <c r="CF292" s="2">
        <f>Dashboard[[#This Row],[idp_al_hh]]+Dashboard[[#This Row],[ref_al_hh]]+Dashboard[[#This Row],[ret_al_hh]]</f>
        <v>0</v>
      </c>
    </row>
    <row r="293" spans="1:84" hidden="1" x14ac:dyDescent="0.25">
      <c r="A293" s="27">
        <v>284</v>
      </c>
      <c r="B293" s="2" t="s">
        <v>22</v>
      </c>
      <c r="C293" s="2" t="s">
        <v>23</v>
      </c>
      <c r="D293" s="2" t="s">
        <v>85</v>
      </c>
      <c r="E293" s="2" t="s">
        <v>84</v>
      </c>
      <c r="F293" s="2" t="s">
        <v>98</v>
      </c>
      <c r="G293" s="2" t="s">
        <v>97</v>
      </c>
      <c r="H293" s="2" t="s">
        <v>1205</v>
      </c>
      <c r="I293" s="2" t="s">
        <v>409</v>
      </c>
      <c r="J293" s="2" t="s">
        <v>2920</v>
      </c>
      <c r="K293" s="2" t="s">
        <v>2921</v>
      </c>
      <c r="L293" s="2" t="s">
        <v>3693</v>
      </c>
      <c r="M293" s="2">
        <v>1139</v>
      </c>
      <c r="N293" s="2" t="s">
        <v>1658</v>
      </c>
      <c r="O293" s="2">
        <v>19</v>
      </c>
      <c r="P293" s="2">
        <v>168</v>
      </c>
      <c r="Q293" s="2" t="s">
        <v>1658</v>
      </c>
      <c r="R293" s="2">
        <v>19</v>
      </c>
      <c r="S293" s="2" t="s">
        <v>1660</v>
      </c>
      <c r="T293" s="2">
        <v>0</v>
      </c>
      <c r="U293" s="2" t="s">
        <v>32</v>
      </c>
      <c r="V293" s="2" t="s">
        <v>32</v>
      </c>
      <c r="W293" s="2" t="s">
        <v>1660</v>
      </c>
      <c r="X293" s="2">
        <v>0</v>
      </c>
      <c r="Y293" s="2" t="s">
        <v>32</v>
      </c>
      <c r="Z293" s="2" t="s">
        <v>32</v>
      </c>
      <c r="AA293" s="2" t="s">
        <v>1660</v>
      </c>
      <c r="AB293" s="2">
        <v>0</v>
      </c>
      <c r="AC293" s="2" t="s">
        <v>1660</v>
      </c>
      <c r="AD293" s="2">
        <v>0</v>
      </c>
      <c r="AE293" s="2" t="s">
        <v>1660</v>
      </c>
      <c r="AF293" s="2">
        <v>0</v>
      </c>
      <c r="AG293" s="2">
        <v>0</v>
      </c>
      <c r="AH293" s="2" t="s">
        <v>32</v>
      </c>
      <c r="AI293" s="2" t="s">
        <v>32</v>
      </c>
      <c r="AJ293" s="2" t="s">
        <v>32</v>
      </c>
      <c r="AK293" s="2" t="s">
        <v>32</v>
      </c>
      <c r="AL293" s="2" t="s">
        <v>32</v>
      </c>
      <c r="AM293" s="2">
        <v>0</v>
      </c>
      <c r="AN293" s="2" t="s">
        <v>32</v>
      </c>
      <c r="AO293" s="2">
        <v>0</v>
      </c>
      <c r="AP293" s="2" t="s">
        <v>32</v>
      </c>
      <c r="AQ293" s="2" t="s">
        <v>32</v>
      </c>
      <c r="AR293" s="2" t="s">
        <v>32</v>
      </c>
      <c r="AS293" s="2">
        <v>0</v>
      </c>
      <c r="AT293" s="2" t="s">
        <v>32</v>
      </c>
      <c r="AU293" s="2" t="s">
        <v>32</v>
      </c>
      <c r="AV293" s="2" t="s">
        <v>32</v>
      </c>
      <c r="AW293" s="2">
        <v>0</v>
      </c>
      <c r="AX293" s="2" t="s">
        <v>32</v>
      </c>
      <c r="AY293" s="2">
        <v>0</v>
      </c>
      <c r="AZ293" s="2" t="s">
        <v>1660</v>
      </c>
      <c r="BA293" s="2">
        <v>0</v>
      </c>
      <c r="BB293" s="2">
        <v>0</v>
      </c>
      <c r="BC293" s="2" t="s">
        <v>32</v>
      </c>
      <c r="BD293" s="2">
        <v>0</v>
      </c>
      <c r="BE293" s="2" t="s">
        <v>32</v>
      </c>
      <c r="BF293" s="2">
        <v>0</v>
      </c>
      <c r="BG293" s="2" t="s">
        <v>32</v>
      </c>
      <c r="BH293" s="2">
        <v>0</v>
      </c>
      <c r="BI293" s="2" t="s">
        <v>32</v>
      </c>
      <c r="BJ293" s="2" t="s">
        <v>32</v>
      </c>
      <c r="BK293" s="2" t="s">
        <v>32</v>
      </c>
      <c r="BL293" s="2">
        <v>0</v>
      </c>
      <c r="BM293" s="2" t="s">
        <v>32</v>
      </c>
      <c r="BN293" s="2" t="s">
        <v>32</v>
      </c>
      <c r="BO293" s="2" t="s">
        <v>32</v>
      </c>
      <c r="BP293" s="2">
        <v>0</v>
      </c>
      <c r="BQ293" s="2" t="s">
        <v>32</v>
      </c>
      <c r="BR293" s="2">
        <v>0</v>
      </c>
      <c r="BS293" s="2" t="s">
        <v>1660</v>
      </c>
      <c r="BT293" s="2">
        <v>0</v>
      </c>
      <c r="BU293" s="2">
        <v>0</v>
      </c>
      <c r="BV293" s="2" t="s">
        <v>1660</v>
      </c>
      <c r="BW293" s="2"/>
      <c r="BX293" s="2"/>
      <c r="BY293" s="2" t="s">
        <v>1807</v>
      </c>
      <c r="BZ293" s="2" t="b">
        <f>OR( (Dashboard[[#This Row],[ref_as_hh]]&gt;=1),(Dashboard[[#This Row],[ret_as_hh]] &gt;=1), (Dashboard[[#This Row],[idp_as_hh]]&gt;=1))</f>
        <v>0</v>
      </c>
      <c r="CA293" s="2">
        <f>Dashboard[[#This Row],[ret_hi_hh]]</f>
        <v>0</v>
      </c>
      <c r="CB293" s="2">
        <f>Dashboard[[#This Row],[idp_fa_hh]]+Dashboard[[#This Row],[ref_fa_hh]]+Dashboard[[#This Row],[ret_fa_hh]]</f>
        <v>19</v>
      </c>
      <c r="CC293" s="2">
        <f>Dashboard[[#This Row],[idp_loc_hh]]+Dashboard[[#This Row],[ref_loc_hh]]+Dashboard[[#This Row],[ret_loc_hh]]</f>
        <v>0</v>
      </c>
      <c r="CD293" s="2">
        <f>Dashboard[[#This Row],[idp_cc_hh]]+Dashboard[[#This Row],[ref_cc_hh]]+Dashboard[[#This Row],[ret_cc_hh]]</f>
        <v>0</v>
      </c>
      <c r="CE293" s="2">
        <f>Dashboard[[#This Row],[idp_as_hh]]+Dashboard[[#This Row],[ref_as_hh]]+Dashboard[[#This Row],[ret_as_hh]]</f>
        <v>0</v>
      </c>
      <c r="CF293" s="2">
        <f>Dashboard[[#This Row],[idp_al_hh]]+Dashboard[[#This Row],[ref_al_hh]]+Dashboard[[#This Row],[ret_al_hh]]</f>
        <v>0</v>
      </c>
    </row>
    <row r="294" spans="1:84" hidden="1" x14ac:dyDescent="0.25">
      <c r="A294" s="27">
        <v>285</v>
      </c>
      <c r="B294" s="2" t="s">
        <v>22</v>
      </c>
      <c r="C294" s="2" t="s">
        <v>23</v>
      </c>
      <c r="D294" s="2" t="s">
        <v>85</v>
      </c>
      <c r="E294" s="2" t="s">
        <v>84</v>
      </c>
      <c r="F294" s="2" t="s">
        <v>98</v>
      </c>
      <c r="G294" s="2" t="s">
        <v>97</v>
      </c>
      <c r="H294" s="2" t="s">
        <v>1179</v>
      </c>
      <c r="I294" s="2" t="s">
        <v>797</v>
      </c>
      <c r="J294" s="2" t="s">
        <v>2860</v>
      </c>
      <c r="K294" s="2" t="s">
        <v>2861</v>
      </c>
      <c r="L294" s="2" t="s">
        <v>2074</v>
      </c>
      <c r="M294" s="2">
        <v>223</v>
      </c>
      <c r="N294" s="2" t="s">
        <v>1658</v>
      </c>
      <c r="O294" s="2">
        <v>7</v>
      </c>
      <c r="P294" s="2">
        <v>63</v>
      </c>
      <c r="Q294" s="2" t="s">
        <v>1658</v>
      </c>
      <c r="R294" s="2">
        <v>7</v>
      </c>
      <c r="S294" s="2" t="s">
        <v>1660</v>
      </c>
      <c r="T294" s="2">
        <v>0</v>
      </c>
      <c r="U294" s="2" t="s">
        <v>32</v>
      </c>
      <c r="V294" s="2" t="s">
        <v>32</v>
      </c>
      <c r="W294" s="2" t="s">
        <v>1660</v>
      </c>
      <c r="X294" s="2">
        <v>0</v>
      </c>
      <c r="Y294" s="2" t="s">
        <v>32</v>
      </c>
      <c r="Z294" s="2" t="s">
        <v>32</v>
      </c>
      <c r="AA294" s="2" t="s">
        <v>1660</v>
      </c>
      <c r="AB294" s="2">
        <v>0</v>
      </c>
      <c r="AC294" s="2" t="s">
        <v>1660</v>
      </c>
      <c r="AD294" s="2">
        <v>0</v>
      </c>
      <c r="AE294" s="2" t="s">
        <v>1660</v>
      </c>
      <c r="AF294" s="2">
        <v>0</v>
      </c>
      <c r="AG294" s="2">
        <v>0</v>
      </c>
      <c r="AH294" s="2" t="s">
        <v>32</v>
      </c>
      <c r="AI294" s="2" t="s">
        <v>32</v>
      </c>
      <c r="AJ294" s="2" t="s">
        <v>32</v>
      </c>
      <c r="AK294" s="2" t="s">
        <v>32</v>
      </c>
      <c r="AL294" s="2" t="s">
        <v>32</v>
      </c>
      <c r="AM294" s="2">
        <v>0</v>
      </c>
      <c r="AN294" s="2" t="s">
        <v>32</v>
      </c>
      <c r="AO294" s="2">
        <v>0</v>
      </c>
      <c r="AP294" s="2" t="s">
        <v>32</v>
      </c>
      <c r="AQ294" s="2" t="s">
        <v>32</v>
      </c>
      <c r="AR294" s="2" t="s">
        <v>32</v>
      </c>
      <c r="AS294" s="2">
        <v>0</v>
      </c>
      <c r="AT294" s="2" t="s">
        <v>32</v>
      </c>
      <c r="AU294" s="2" t="s">
        <v>32</v>
      </c>
      <c r="AV294" s="2" t="s">
        <v>32</v>
      </c>
      <c r="AW294" s="2">
        <v>0</v>
      </c>
      <c r="AX294" s="2" t="s">
        <v>32</v>
      </c>
      <c r="AY294" s="2">
        <v>0</v>
      </c>
      <c r="AZ294" s="2" t="s">
        <v>1660</v>
      </c>
      <c r="BA294" s="2">
        <v>0</v>
      </c>
      <c r="BB294" s="2">
        <v>0</v>
      </c>
      <c r="BC294" s="2" t="s">
        <v>32</v>
      </c>
      <c r="BD294" s="2">
        <v>0</v>
      </c>
      <c r="BE294" s="2" t="s">
        <v>32</v>
      </c>
      <c r="BF294" s="2">
        <v>0</v>
      </c>
      <c r="BG294" s="2" t="s">
        <v>32</v>
      </c>
      <c r="BH294" s="2">
        <v>0</v>
      </c>
      <c r="BI294" s="2" t="s">
        <v>32</v>
      </c>
      <c r="BJ294" s="2" t="s">
        <v>32</v>
      </c>
      <c r="BK294" s="2" t="s">
        <v>32</v>
      </c>
      <c r="BL294" s="2">
        <v>0</v>
      </c>
      <c r="BM294" s="2" t="s">
        <v>32</v>
      </c>
      <c r="BN294" s="2" t="s">
        <v>32</v>
      </c>
      <c r="BO294" s="2" t="s">
        <v>32</v>
      </c>
      <c r="BP294" s="2">
        <v>0</v>
      </c>
      <c r="BQ294" s="2" t="s">
        <v>32</v>
      </c>
      <c r="BR294" s="2">
        <v>0</v>
      </c>
      <c r="BS294" s="2" t="s">
        <v>1660</v>
      </c>
      <c r="BT294" s="2">
        <v>0</v>
      </c>
      <c r="BU294" s="2">
        <v>0</v>
      </c>
      <c r="BV294" s="2" t="s">
        <v>1660</v>
      </c>
      <c r="BW294" s="2"/>
      <c r="BX294" s="2"/>
      <c r="BY294" s="2" t="s">
        <v>1807</v>
      </c>
      <c r="BZ294" s="2" t="b">
        <f>OR( (Dashboard[[#This Row],[ref_as_hh]]&gt;=1),(Dashboard[[#This Row],[ret_as_hh]] &gt;=1), (Dashboard[[#This Row],[idp_as_hh]]&gt;=1))</f>
        <v>0</v>
      </c>
      <c r="CA294" s="2">
        <f>Dashboard[[#This Row],[ret_hi_hh]]</f>
        <v>0</v>
      </c>
      <c r="CB294" s="2">
        <f>Dashboard[[#This Row],[idp_fa_hh]]+Dashboard[[#This Row],[ref_fa_hh]]+Dashboard[[#This Row],[ret_fa_hh]]</f>
        <v>7</v>
      </c>
      <c r="CC294" s="2">
        <f>Dashboard[[#This Row],[idp_loc_hh]]+Dashboard[[#This Row],[ref_loc_hh]]+Dashboard[[#This Row],[ret_loc_hh]]</f>
        <v>0</v>
      </c>
      <c r="CD294" s="2">
        <f>Dashboard[[#This Row],[idp_cc_hh]]+Dashboard[[#This Row],[ref_cc_hh]]+Dashboard[[#This Row],[ret_cc_hh]]</f>
        <v>0</v>
      </c>
      <c r="CE294" s="2">
        <f>Dashboard[[#This Row],[idp_as_hh]]+Dashboard[[#This Row],[ref_as_hh]]+Dashboard[[#This Row],[ret_as_hh]]</f>
        <v>0</v>
      </c>
      <c r="CF294" s="2">
        <f>Dashboard[[#This Row],[idp_al_hh]]+Dashboard[[#This Row],[ref_al_hh]]+Dashboard[[#This Row],[ret_al_hh]]</f>
        <v>0</v>
      </c>
    </row>
    <row r="295" spans="1:84" hidden="1" x14ac:dyDescent="0.25">
      <c r="A295" s="27">
        <v>32</v>
      </c>
      <c r="B295" s="2" t="s">
        <v>22</v>
      </c>
      <c r="C295" s="2" t="s">
        <v>23</v>
      </c>
      <c r="D295" s="2" t="s">
        <v>85</v>
      </c>
      <c r="E295" s="2" t="s">
        <v>84</v>
      </c>
      <c r="F295" s="2" t="s">
        <v>98</v>
      </c>
      <c r="G295" s="2" t="s">
        <v>97</v>
      </c>
      <c r="H295" s="2" t="s">
        <v>1504</v>
      </c>
      <c r="I295" s="2" t="s">
        <v>803</v>
      </c>
      <c r="J295" s="2" t="s">
        <v>2736</v>
      </c>
      <c r="K295" s="2" t="s">
        <v>2737</v>
      </c>
      <c r="L295" s="2" t="s">
        <v>2074</v>
      </c>
      <c r="M295" s="2">
        <v>816</v>
      </c>
      <c r="N295" s="2" t="s">
        <v>1660</v>
      </c>
      <c r="O295" s="2">
        <v>0</v>
      </c>
      <c r="P295" s="2">
        <v>0</v>
      </c>
      <c r="Q295" s="2" t="s">
        <v>32</v>
      </c>
      <c r="R295" s="2">
        <v>0</v>
      </c>
      <c r="S295" s="2" t="s">
        <v>32</v>
      </c>
      <c r="T295" s="2">
        <v>0</v>
      </c>
      <c r="U295" s="2" t="s">
        <v>32</v>
      </c>
      <c r="V295" s="2" t="s">
        <v>32</v>
      </c>
      <c r="W295" s="2" t="s">
        <v>32</v>
      </c>
      <c r="X295" s="2">
        <v>0</v>
      </c>
      <c r="Y295" s="2" t="s">
        <v>32</v>
      </c>
      <c r="Z295" s="2" t="s">
        <v>32</v>
      </c>
      <c r="AA295" s="2" t="s">
        <v>32</v>
      </c>
      <c r="AB295" s="2">
        <v>0</v>
      </c>
      <c r="AC295" s="2" t="s">
        <v>32</v>
      </c>
      <c r="AD295" s="2">
        <v>0</v>
      </c>
      <c r="AE295" s="2" t="s">
        <v>1658</v>
      </c>
      <c r="AF295" s="2">
        <v>20</v>
      </c>
      <c r="AG295" s="2">
        <v>118</v>
      </c>
      <c r="AH295" s="2" t="s">
        <v>1660</v>
      </c>
      <c r="AI295" s="2" t="s">
        <v>32</v>
      </c>
      <c r="AJ295" s="2" t="s">
        <v>32</v>
      </c>
      <c r="AK295" s="2" t="s">
        <v>32</v>
      </c>
      <c r="AL295" s="2" t="s">
        <v>1658</v>
      </c>
      <c r="AM295" s="2">
        <v>20</v>
      </c>
      <c r="AN295" s="2" t="s">
        <v>1660</v>
      </c>
      <c r="AO295" s="2">
        <v>0</v>
      </c>
      <c r="AP295" s="2" t="s">
        <v>32</v>
      </c>
      <c r="AQ295" s="2" t="s">
        <v>32</v>
      </c>
      <c r="AR295" s="2" t="s">
        <v>1660</v>
      </c>
      <c r="AS295" s="2">
        <v>0</v>
      </c>
      <c r="AT295" s="2" t="s">
        <v>32</v>
      </c>
      <c r="AU295" s="2" t="s">
        <v>32</v>
      </c>
      <c r="AV295" s="2" t="s">
        <v>1660</v>
      </c>
      <c r="AW295" s="2">
        <v>0</v>
      </c>
      <c r="AX295" s="2" t="s">
        <v>1660</v>
      </c>
      <c r="AY295" s="2">
        <v>0</v>
      </c>
      <c r="AZ295" s="2" t="s">
        <v>1660</v>
      </c>
      <c r="BA295" s="2">
        <v>0</v>
      </c>
      <c r="BB295" s="2">
        <v>0</v>
      </c>
      <c r="BC295" s="2" t="s">
        <v>32</v>
      </c>
      <c r="BD295" s="2">
        <v>0</v>
      </c>
      <c r="BE295" s="2" t="s">
        <v>32</v>
      </c>
      <c r="BF295" s="2">
        <v>0</v>
      </c>
      <c r="BG295" s="2" t="s">
        <v>32</v>
      </c>
      <c r="BH295" s="2">
        <v>0</v>
      </c>
      <c r="BI295" s="2" t="s">
        <v>32</v>
      </c>
      <c r="BJ295" s="2" t="s">
        <v>32</v>
      </c>
      <c r="BK295" s="2" t="s">
        <v>32</v>
      </c>
      <c r="BL295" s="2">
        <v>0</v>
      </c>
      <c r="BM295" s="2" t="s">
        <v>32</v>
      </c>
      <c r="BN295" s="2" t="s">
        <v>32</v>
      </c>
      <c r="BO295" s="2" t="s">
        <v>32</v>
      </c>
      <c r="BP295" s="2">
        <v>0</v>
      </c>
      <c r="BQ295" s="2" t="s">
        <v>32</v>
      </c>
      <c r="BR295" s="2">
        <v>0</v>
      </c>
      <c r="BS295" s="2" t="s">
        <v>1660</v>
      </c>
      <c r="BT295" s="2">
        <v>0</v>
      </c>
      <c r="BU295" s="2">
        <v>0</v>
      </c>
      <c r="BV295" s="2" t="s">
        <v>1660</v>
      </c>
      <c r="BW295" s="2"/>
      <c r="BX295" s="2"/>
      <c r="BY295" s="2" t="s">
        <v>1807</v>
      </c>
      <c r="BZ295" s="2" t="b">
        <f>OR( (Dashboard[[#This Row],[ref_as_hh]]&gt;=1),(Dashboard[[#This Row],[ret_as_hh]] &gt;=1), (Dashboard[[#This Row],[idp_as_hh]]&gt;=1))</f>
        <v>0</v>
      </c>
      <c r="CA295" s="2">
        <f>Dashboard[[#This Row],[ret_hi_hh]]</f>
        <v>0</v>
      </c>
      <c r="CB295" s="2">
        <f>Dashboard[[#This Row],[idp_fa_hh]]+Dashboard[[#This Row],[ref_fa_hh]]+Dashboard[[#This Row],[ret_fa_hh]]</f>
        <v>20</v>
      </c>
      <c r="CC295" s="2">
        <f>Dashboard[[#This Row],[idp_loc_hh]]+Dashboard[[#This Row],[ref_loc_hh]]+Dashboard[[#This Row],[ret_loc_hh]]</f>
        <v>0</v>
      </c>
      <c r="CD295" s="2">
        <f>Dashboard[[#This Row],[idp_cc_hh]]+Dashboard[[#This Row],[ref_cc_hh]]+Dashboard[[#This Row],[ret_cc_hh]]</f>
        <v>0</v>
      </c>
      <c r="CE295" s="2">
        <f>Dashboard[[#This Row],[idp_as_hh]]+Dashboard[[#This Row],[ref_as_hh]]+Dashboard[[#This Row],[ret_as_hh]]</f>
        <v>0</v>
      </c>
      <c r="CF295" s="2">
        <f>Dashboard[[#This Row],[idp_al_hh]]+Dashboard[[#This Row],[ref_al_hh]]+Dashboard[[#This Row],[ret_al_hh]]</f>
        <v>0</v>
      </c>
    </row>
    <row r="296" spans="1:84" hidden="1" x14ac:dyDescent="0.25">
      <c r="A296" s="27">
        <v>288</v>
      </c>
      <c r="B296" s="2" t="s">
        <v>22</v>
      </c>
      <c r="C296" s="2" t="s">
        <v>23</v>
      </c>
      <c r="D296" s="2" t="s">
        <v>85</v>
      </c>
      <c r="E296" s="2" t="s">
        <v>84</v>
      </c>
      <c r="F296" s="2" t="s">
        <v>98</v>
      </c>
      <c r="G296" s="2" t="s">
        <v>97</v>
      </c>
      <c r="H296" s="2" t="s">
        <v>1185</v>
      </c>
      <c r="I296" s="2" t="s">
        <v>164</v>
      </c>
      <c r="J296" s="2" t="s">
        <v>2874</v>
      </c>
      <c r="K296" s="2" t="s">
        <v>2875</v>
      </c>
      <c r="L296" s="2" t="s">
        <v>2074</v>
      </c>
      <c r="M296" s="2">
        <v>449</v>
      </c>
      <c r="N296" s="2" t="s">
        <v>1658</v>
      </c>
      <c r="O296" s="2">
        <v>7</v>
      </c>
      <c r="P296" s="2">
        <v>26</v>
      </c>
      <c r="Q296" s="2" t="s">
        <v>1658</v>
      </c>
      <c r="R296" s="2">
        <v>7</v>
      </c>
      <c r="S296" s="2" t="s">
        <v>1660</v>
      </c>
      <c r="T296" s="2">
        <v>0</v>
      </c>
      <c r="U296" s="2" t="s">
        <v>32</v>
      </c>
      <c r="V296" s="2" t="s">
        <v>32</v>
      </c>
      <c r="W296" s="2" t="s">
        <v>1660</v>
      </c>
      <c r="X296" s="2">
        <v>0</v>
      </c>
      <c r="Y296" s="2" t="s">
        <v>32</v>
      </c>
      <c r="Z296" s="2" t="s">
        <v>32</v>
      </c>
      <c r="AA296" s="2" t="s">
        <v>1660</v>
      </c>
      <c r="AB296" s="2">
        <v>0</v>
      </c>
      <c r="AC296" s="2" t="s">
        <v>1660</v>
      </c>
      <c r="AD296" s="2">
        <v>0</v>
      </c>
      <c r="AE296" s="2" t="s">
        <v>1658</v>
      </c>
      <c r="AF296" s="2">
        <v>13</v>
      </c>
      <c r="AG296" s="2">
        <v>64</v>
      </c>
      <c r="AH296" s="2" t="s">
        <v>1660</v>
      </c>
      <c r="AI296" s="2" t="s">
        <v>32</v>
      </c>
      <c r="AJ296" s="2" t="s">
        <v>32</v>
      </c>
      <c r="AK296" s="2" t="s">
        <v>32</v>
      </c>
      <c r="AL296" s="2" t="s">
        <v>1658</v>
      </c>
      <c r="AM296" s="2">
        <v>13</v>
      </c>
      <c r="AN296" s="2" t="s">
        <v>1660</v>
      </c>
      <c r="AO296" s="2">
        <v>0</v>
      </c>
      <c r="AP296" s="2" t="s">
        <v>32</v>
      </c>
      <c r="AQ296" s="2" t="s">
        <v>32</v>
      </c>
      <c r="AR296" s="2" t="s">
        <v>1660</v>
      </c>
      <c r="AS296" s="2">
        <v>0</v>
      </c>
      <c r="AT296" s="2" t="s">
        <v>32</v>
      </c>
      <c r="AU296" s="2" t="s">
        <v>32</v>
      </c>
      <c r="AV296" s="2" t="s">
        <v>1660</v>
      </c>
      <c r="AW296" s="2">
        <v>0</v>
      </c>
      <c r="AX296" s="2" t="s">
        <v>1660</v>
      </c>
      <c r="AY296" s="2">
        <v>0</v>
      </c>
      <c r="AZ296" s="2" t="s">
        <v>1658</v>
      </c>
      <c r="BA296" s="2">
        <v>7</v>
      </c>
      <c r="BB296" s="2">
        <v>26</v>
      </c>
      <c r="BC296" s="2" t="s">
        <v>1658</v>
      </c>
      <c r="BD296" s="2">
        <v>7</v>
      </c>
      <c r="BE296" s="2" t="s">
        <v>1660</v>
      </c>
      <c r="BF296" s="2">
        <v>0</v>
      </c>
      <c r="BG296" s="2" t="s">
        <v>1660</v>
      </c>
      <c r="BH296" s="2">
        <v>0</v>
      </c>
      <c r="BI296" s="2" t="s">
        <v>32</v>
      </c>
      <c r="BJ296" s="2" t="s">
        <v>32</v>
      </c>
      <c r="BK296" s="2" t="s">
        <v>1660</v>
      </c>
      <c r="BL296" s="2">
        <v>0</v>
      </c>
      <c r="BM296" s="2" t="s">
        <v>32</v>
      </c>
      <c r="BN296" s="2" t="s">
        <v>32</v>
      </c>
      <c r="BO296" s="2" t="s">
        <v>1660</v>
      </c>
      <c r="BP296" s="2">
        <v>0</v>
      </c>
      <c r="BQ296" s="2" t="s">
        <v>1660</v>
      </c>
      <c r="BR296" s="2">
        <v>0</v>
      </c>
      <c r="BS296" s="2" t="s">
        <v>1660</v>
      </c>
      <c r="BT296" s="2">
        <v>0</v>
      </c>
      <c r="BU296" s="2">
        <v>0</v>
      </c>
      <c r="BV296" s="2" t="s">
        <v>1660</v>
      </c>
      <c r="BW296" s="2"/>
      <c r="BX296" s="2"/>
      <c r="BY296" s="2" t="s">
        <v>1807</v>
      </c>
      <c r="BZ296" s="2" t="b">
        <f>OR( (Dashboard[[#This Row],[ref_as_hh]]&gt;=1),(Dashboard[[#This Row],[ret_as_hh]] &gt;=1), (Dashboard[[#This Row],[idp_as_hh]]&gt;=1))</f>
        <v>0</v>
      </c>
      <c r="CA296" s="2">
        <f>Dashboard[[#This Row],[ret_hi_hh]]</f>
        <v>7</v>
      </c>
      <c r="CB296" s="2">
        <f>Dashboard[[#This Row],[idp_fa_hh]]+Dashboard[[#This Row],[ref_fa_hh]]+Dashboard[[#This Row],[ret_fa_hh]]</f>
        <v>20</v>
      </c>
      <c r="CC296" s="2">
        <f>Dashboard[[#This Row],[idp_loc_hh]]+Dashboard[[#This Row],[ref_loc_hh]]+Dashboard[[#This Row],[ret_loc_hh]]</f>
        <v>0</v>
      </c>
      <c r="CD296" s="2">
        <f>Dashboard[[#This Row],[idp_cc_hh]]+Dashboard[[#This Row],[ref_cc_hh]]+Dashboard[[#This Row],[ret_cc_hh]]</f>
        <v>0</v>
      </c>
      <c r="CE296" s="2">
        <f>Dashboard[[#This Row],[idp_as_hh]]+Dashboard[[#This Row],[ref_as_hh]]+Dashboard[[#This Row],[ret_as_hh]]</f>
        <v>0</v>
      </c>
      <c r="CF296" s="2">
        <f>Dashboard[[#This Row],[idp_al_hh]]+Dashboard[[#This Row],[ref_al_hh]]+Dashboard[[#This Row],[ret_al_hh]]</f>
        <v>0</v>
      </c>
    </row>
    <row r="297" spans="1:84" hidden="1" x14ac:dyDescent="0.25">
      <c r="A297" s="27">
        <v>33</v>
      </c>
      <c r="B297" s="2" t="s">
        <v>22</v>
      </c>
      <c r="C297" s="2" t="s">
        <v>23</v>
      </c>
      <c r="D297" s="2" t="s">
        <v>85</v>
      </c>
      <c r="E297" s="2" t="s">
        <v>84</v>
      </c>
      <c r="F297" s="2" t="s">
        <v>98</v>
      </c>
      <c r="G297" s="2" t="s">
        <v>97</v>
      </c>
      <c r="H297" s="2" t="s">
        <v>1687</v>
      </c>
      <c r="I297" s="2" t="s">
        <v>805</v>
      </c>
      <c r="J297" s="2" t="s">
        <v>2898</v>
      </c>
      <c r="K297" s="2" t="s">
        <v>2899</v>
      </c>
      <c r="L297" s="2" t="s">
        <v>2078</v>
      </c>
      <c r="M297" s="2">
        <v>825</v>
      </c>
      <c r="N297" s="2" t="s">
        <v>1660</v>
      </c>
      <c r="O297" s="2">
        <v>0</v>
      </c>
      <c r="P297" s="2">
        <v>0</v>
      </c>
      <c r="Q297" s="2" t="s">
        <v>32</v>
      </c>
      <c r="R297" s="2">
        <v>0</v>
      </c>
      <c r="S297" s="2" t="s">
        <v>32</v>
      </c>
      <c r="T297" s="2">
        <v>0</v>
      </c>
      <c r="U297" s="2" t="s">
        <v>32</v>
      </c>
      <c r="V297" s="2" t="s">
        <v>32</v>
      </c>
      <c r="W297" s="2" t="s">
        <v>32</v>
      </c>
      <c r="X297" s="2">
        <v>0</v>
      </c>
      <c r="Y297" s="2" t="s">
        <v>32</v>
      </c>
      <c r="Z297" s="2" t="s">
        <v>32</v>
      </c>
      <c r="AA297" s="2" t="s">
        <v>32</v>
      </c>
      <c r="AB297" s="2">
        <v>0</v>
      </c>
      <c r="AC297" s="2" t="s">
        <v>32</v>
      </c>
      <c r="AD297" s="2">
        <v>0</v>
      </c>
      <c r="AE297" s="2" t="s">
        <v>1660</v>
      </c>
      <c r="AF297" s="2">
        <v>0</v>
      </c>
      <c r="AG297" s="2">
        <v>0</v>
      </c>
      <c r="AH297" s="2" t="s">
        <v>32</v>
      </c>
      <c r="AI297" s="2" t="s">
        <v>32</v>
      </c>
      <c r="AJ297" s="2" t="s">
        <v>32</v>
      </c>
      <c r="AK297" s="2" t="s">
        <v>32</v>
      </c>
      <c r="AL297" s="2" t="s">
        <v>32</v>
      </c>
      <c r="AM297" s="2">
        <v>0</v>
      </c>
      <c r="AN297" s="2" t="s">
        <v>32</v>
      </c>
      <c r="AO297" s="2">
        <v>0</v>
      </c>
      <c r="AP297" s="2" t="s">
        <v>32</v>
      </c>
      <c r="AQ297" s="2" t="s">
        <v>32</v>
      </c>
      <c r="AR297" s="2" t="s">
        <v>32</v>
      </c>
      <c r="AS297" s="2">
        <v>0</v>
      </c>
      <c r="AT297" s="2" t="s">
        <v>32</v>
      </c>
      <c r="AU297" s="2" t="s">
        <v>32</v>
      </c>
      <c r="AV297" s="2" t="s">
        <v>32</v>
      </c>
      <c r="AW297" s="2">
        <v>0</v>
      </c>
      <c r="AX297" s="2" t="s">
        <v>32</v>
      </c>
      <c r="AY297" s="2">
        <v>0</v>
      </c>
      <c r="AZ297" s="2" t="s">
        <v>1660</v>
      </c>
      <c r="BA297" s="2">
        <v>0</v>
      </c>
      <c r="BB297" s="2">
        <v>0</v>
      </c>
      <c r="BC297" s="2" t="s">
        <v>32</v>
      </c>
      <c r="BD297" s="2">
        <v>0</v>
      </c>
      <c r="BE297" s="2" t="s">
        <v>32</v>
      </c>
      <c r="BF297" s="2">
        <v>0</v>
      </c>
      <c r="BG297" s="2" t="s">
        <v>32</v>
      </c>
      <c r="BH297" s="2">
        <v>0</v>
      </c>
      <c r="BI297" s="2" t="s">
        <v>32</v>
      </c>
      <c r="BJ297" s="2" t="s">
        <v>32</v>
      </c>
      <c r="BK297" s="2" t="s">
        <v>32</v>
      </c>
      <c r="BL297" s="2">
        <v>0</v>
      </c>
      <c r="BM297" s="2" t="s">
        <v>32</v>
      </c>
      <c r="BN297" s="2" t="s">
        <v>32</v>
      </c>
      <c r="BO297" s="2" t="s">
        <v>32</v>
      </c>
      <c r="BP297" s="2">
        <v>0</v>
      </c>
      <c r="BQ297" s="2" t="s">
        <v>32</v>
      </c>
      <c r="BR297" s="2">
        <v>0</v>
      </c>
      <c r="BS297" s="2" t="s">
        <v>1660</v>
      </c>
      <c r="BT297" s="2">
        <v>0</v>
      </c>
      <c r="BU297" s="2">
        <v>0</v>
      </c>
      <c r="BV297" s="2" t="s">
        <v>1660</v>
      </c>
      <c r="BW297" s="2"/>
      <c r="BX297" s="2"/>
      <c r="BY297" s="2" t="s">
        <v>1807</v>
      </c>
      <c r="BZ297" s="2" t="b">
        <f>OR( (Dashboard[[#This Row],[ref_as_hh]]&gt;=1),(Dashboard[[#This Row],[ret_as_hh]] &gt;=1), (Dashboard[[#This Row],[idp_as_hh]]&gt;=1))</f>
        <v>0</v>
      </c>
      <c r="CA297" s="2">
        <f>Dashboard[[#This Row],[ret_hi_hh]]</f>
        <v>0</v>
      </c>
      <c r="CB297" s="2">
        <f>Dashboard[[#This Row],[idp_fa_hh]]+Dashboard[[#This Row],[ref_fa_hh]]+Dashboard[[#This Row],[ret_fa_hh]]</f>
        <v>0</v>
      </c>
      <c r="CC297" s="2">
        <f>Dashboard[[#This Row],[idp_loc_hh]]+Dashboard[[#This Row],[ref_loc_hh]]+Dashboard[[#This Row],[ret_loc_hh]]</f>
        <v>0</v>
      </c>
      <c r="CD297" s="2">
        <f>Dashboard[[#This Row],[idp_cc_hh]]+Dashboard[[#This Row],[ref_cc_hh]]+Dashboard[[#This Row],[ret_cc_hh]]</f>
        <v>0</v>
      </c>
      <c r="CE297" s="2">
        <f>Dashboard[[#This Row],[idp_as_hh]]+Dashboard[[#This Row],[ref_as_hh]]+Dashboard[[#This Row],[ret_as_hh]]</f>
        <v>0</v>
      </c>
      <c r="CF297" s="2">
        <f>Dashboard[[#This Row],[idp_al_hh]]+Dashboard[[#This Row],[ref_al_hh]]+Dashboard[[#This Row],[ret_al_hh]]</f>
        <v>0</v>
      </c>
    </row>
    <row r="298" spans="1:84" hidden="1" x14ac:dyDescent="0.25">
      <c r="A298" s="27">
        <v>34</v>
      </c>
      <c r="B298" s="2" t="s">
        <v>22</v>
      </c>
      <c r="C298" s="2" t="s">
        <v>23</v>
      </c>
      <c r="D298" s="2" t="s">
        <v>85</v>
      </c>
      <c r="E298" s="2" t="s">
        <v>84</v>
      </c>
      <c r="F298" s="2" t="s">
        <v>98</v>
      </c>
      <c r="G298" s="2" t="s">
        <v>97</v>
      </c>
      <c r="H298" s="2" t="s">
        <v>1265</v>
      </c>
      <c r="I298" s="2" t="s">
        <v>831</v>
      </c>
      <c r="J298" s="2" t="s">
        <v>3056</v>
      </c>
      <c r="K298" s="2" t="s">
        <v>3057</v>
      </c>
      <c r="L298" s="2" t="s">
        <v>2074</v>
      </c>
      <c r="M298" s="2">
        <v>300</v>
      </c>
      <c r="N298" s="2" t="s">
        <v>1658</v>
      </c>
      <c r="O298" s="2">
        <v>6</v>
      </c>
      <c r="P298" s="2">
        <v>32</v>
      </c>
      <c r="Q298" s="2" t="s">
        <v>1658</v>
      </c>
      <c r="R298" s="2">
        <v>6</v>
      </c>
      <c r="S298" s="2" t="s">
        <v>1660</v>
      </c>
      <c r="T298" s="2">
        <v>0</v>
      </c>
      <c r="U298" s="2" t="s">
        <v>32</v>
      </c>
      <c r="V298" s="2" t="s">
        <v>32</v>
      </c>
      <c r="W298" s="2" t="s">
        <v>1660</v>
      </c>
      <c r="X298" s="2">
        <v>0</v>
      </c>
      <c r="Y298" s="2" t="s">
        <v>32</v>
      </c>
      <c r="Z298" s="2" t="s">
        <v>32</v>
      </c>
      <c r="AA298" s="2" t="s">
        <v>1660</v>
      </c>
      <c r="AB298" s="2">
        <v>0</v>
      </c>
      <c r="AC298" s="2" t="s">
        <v>1660</v>
      </c>
      <c r="AD298" s="2">
        <v>0</v>
      </c>
      <c r="AE298" s="2" t="s">
        <v>1660</v>
      </c>
      <c r="AF298" s="2">
        <v>0</v>
      </c>
      <c r="AG298" s="2">
        <v>0</v>
      </c>
      <c r="AH298" s="2" t="s">
        <v>32</v>
      </c>
      <c r="AI298" s="2" t="s">
        <v>32</v>
      </c>
      <c r="AJ298" s="2" t="s">
        <v>32</v>
      </c>
      <c r="AK298" s="2" t="s">
        <v>32</v>
      </c>
      <c r="AL298" s="2" t="s">
        <v>32</v>
      </c>
      <c r="AM298" s="2">
        <v>0</v>
      </c>
      <c r="AN298" s="2" t="s">
        <v>32</v>
      </c>
      <c r="AO298" s="2">
        <v>0</v>
      </c>
      <c r="AP298" s="2" t="s">
        <v>32</v>
      </c>
      <c r="AQ298" s="2" t="s">
        <v>32</v>
      </c>
      <c r="AR298" s="2" t="s">
        <v>32</v>
      </c>
      <c r="AS298" s="2">
        <v>0</v>
      </c>
      <c r="AT298" s="2" t="s">
        <v>32</v>
      </c>
      <c r="AU298" s="2" t="s">
        <v>32</v>
      </c>
      <c r="AV298" s="2" t="s">
        <v>32</v>
      </c>
      <c r="AW298" s="2">
        <v>0</v>
      </c>
      <c r="AX298" s="2" t="s">
        <v>32</v>
      </c>
      <c r="AY298" s="2">
        <v>0</v>
      </c>
      <c r="AZ298" s="2" t="s">
        <v>1660</v>
      </c>
      <c r="BA298" s="2">
        <v>0</v>
      </c>
      <c r="BB298" s="2">
        <v>0</v>
      </c>
      <c r="BC298" s="2" t="s">
        <v>32</v>
      </c>
      <c r="BD298" s="2">
        <v>0</v>
      </c>
      <c r="BE298" s="2" t="s">
        <v>32</v>
      </c>
      <c r="BF298" s="2">
        <v>0</v>
      </c>
      <c r="BG298" s="2" t="s">
        <v>32</v>
      </c>
      <c r="BH298" s="2">
        <v>0</v>
      </c>
      <c r="BI298" s="2" t="s">
        <v>32</v>
      </c>
      <c r="BJ298" s="2" t="s">
        <v>32</v>
      </c>
      <c r="BK298" s="2" t="s">
        <v>32</v>
      </c>
      <c r="BL298" s="2">
        <v>0</v>
      </c>
      <c r="BM298" s="2" t="s">
        <v>32</v>
      </c>
      <c r="BN298" s="2" t="s">
        <v>32</v>
      </c>
      <c r="BO298" s="2" t="s">
        <v>32</v>
      </c>
      <c r="BP298" s="2">
        <v>0</v>
      </c>
      <c r="BQ298" s="2" t="s">
        <v>32</v>
      </c>
      <c r="BR298" s="2">
        <v>0</v>
      </c>
      <c r="BS298" s="2" t="s">
        <v>1660</v>
      </c>
      <c r="BT298" s="2">
        <v>0</v>
      </c>
      <c r="BU298" s="2">
        <v>0</v>
      </c>
      <c r="BV298" s="2" t="s">
        <v>1660</v>
      </c>
      <c r="BW298" s="2"/>
      <c r="BX298" s="2"/>
      <c r="BY298" s="2" t="s">
        <v>1807</v>
      </c>
      <c r="BZ298" s="2" t="b">
        <f>OR( (Dashboard[[#This Row],[ref_as_hh]]&gt;=1),(Dashboard[[#This Row],[ret_as_hh]] &gt;=1), (Dashboard[[#This Row],[idp_as_hh]]&gt;=1))</f>
        <v>0</v>
      </c>
      <c r="CA298" s="2">
        <f>Dashboard[[#This Row],[ret_hi_hh]]</f>
        <v>0</v>
      </c>
      <c r="CB298" s="2">
        <f>Dashboard[[#This Row],[idp_fa_hh]]+Dashboard[[#This Row],[ref_fa_hh]]+Dashboard[[#This Row],[ret_fa_hh]]</f>
        <v>6</v>
      </c>
      <c r="CC298" s="2">
        <f>Dashboard[[#This Row],[idp_loc_hh]]+Dashboard[[#This Row],[ref_loc_hh]]+Dashboard[[#This Row],[ret_loc_hh]]</f>
        <v>0</v>
      </c>
      <c r="CD298" s="2">
        <f>Dashboard[[#This Row],[idp_cc_hh]]+Dashboard[[#This Row],[ref_cc_hh]]+Dashboard[[#This Row],[ret_cc_hh]]</f>
        <v>0</v>
      </c>
      <c r="CE298" s="2">
        <f>Dashboard[[#This Row],[idp_as_hh]]+Dashboard[[#This Row],[ref_as_hh]]+Dashboard[[#This Row],[ret_as_hh]]</f>
        <v>0</v>
      </c>
      <c r="CF298" s="2">
        <f>Dashboard[[#This Row],[idp_al_hh]]+Dashboard[[#This Row],[ref_al_hh]]+Dashboard[[#This Row],[ret_al_hh]]</f>
        <v>0</v>
      </c>
    </row>
    <row r="299" spans="1:84" hidden="1" x14ac:dyDescent="0.25">
      <c r="A299" s="27">
        <v>35</v>
      </c>
      <c r="B299" s="2" t="s">
        <v>22</v>
      </c>
      <c r="C299" s="2" t="s">
        <v>23</v>
      </c>
      <c r="D299" s="2" t="s">
        <v>85</v>
      </c>
      <c r="E299" s="2" t="s">
        <v>84</v>
      </c>
      <c r="F299" s="2" t="s">
        <v>98</v>
      </c>
      <c r="G299" s="2" t="s">
        <v>97</v>
      </c>
      <c r="H299" s="2" t="s">
        <v>1252</v>
      </c>
      <c r="I299" s="2" t="s">
        <v>1251</v>
      </c>
      <c r="J299" s="2" t="s">
        <v>3028</v>
      </c>
      <c r="K299" s="2" t="s">
        <v>3029</v>
      </c>
      <c r="L299" s="2" t="s">
        <v>3700</v>
      </c>
      <c r="M299" s="2">
        <v>1000</v>
      </c>
      <c r="N299" s="2" t="s">
        <v>1658</v>
      </c>
      <c r="O299" s="2">
        <v>7</v>
      </c>
      <c r="P299" s="2">
        <v>55</v>
      </c>
      <c r="Q299" s="2" t="s">
        <v>1658</v>
      </c>
      <c r="R299" s="2">
        <v>7</v>
      </c>
      <c r="S299" s="2" t="s">
        <v>1660</v>
      </c>
      <c r="T299" s="2">
        <v>0</v>
      </c>
      <c r="U299" s="2" t="s">
        <v>32</v>
      </c>
      <c r="V299" s="2" t="s">
        <v>32</v>
      </c>
      <c r="W299" s="2" t="s">
        <v>1660</v>
      </c>
      <c r="X299" s="2">
        <v>0</v>
      </c>
      <c r="Y299" s="2" t="s">
        <v>32</v>
      </c>
      <c r="Z299" s="2" t="s">
        <v>32</v>
      </c>
      <c r="AA299" s="2" t="s">
        <v>1660</v>
      </c>
      <c r="AB299" s="2">
        <v>0</v>
      </c>
      <c r="AC299" s="2" t="s">
        <v>1660</v>
      </c>
      <c r="AD299" s="2">
        <v>0</v>
      </c>
      <c r="AE299" s="2" t="s">
        <v>1660</v>
      </c>
      <c r="AF299" s="2">
        <v>0</v>
      </c>
      <c r="AG299" s="2">
        <v>0</v>
      </c>
      <c r="AH299" s="2" t="s">
        <v>32</v>
      </c>
      <c r="AI299" s="2" t="s">
        <v>32</v>
      </c>
      <c r="AJ299" s="2" t="s">
        <v>32</v>
      </c>
      <c r="AK299" s="2" t="s">
        <v>32</v>
      </c>
      <c r="AL299" s="2" t="s">
        <v>32</v>
      </c>
      <c r="AM299" s="2">
        <v>0</v>
      </c>
      <c r="AN299" s="2" t="s">
        <v>32</v>
      </c>
      <c r="AO299" s="2">
        <v>0</v>
      </c>
      <c r="AP299" s="2" t="s">
        <v>32</v>
      </c>
      <c r="AQ299" s="2" t="s">
        <v>32</v>
      </c>
      <c r="AR299" s="2" t="s">
        <v>32</v>
      </c>
      <c r="AS299" s="2">
        <v>0</v>
      </c>
      <c r="AT299" s="2" t="s">
        <v>32</v>
      </c>
      <c r="AU299" s="2" t="s">
        <v>32</v>
      </c>
      <c r="AV299" s="2" t="s">
        <v>32</v>
      </c>
      <c r="AW299" s="2">
        <v>0</v>
      </c>
      <c r="AX299" s="2" t="s">
        <v>32</v>
      </c>
      <c r="AY299" s="2">
        <v>0</v>
      </c>
      <c r="AZ299" s="2" t="s">
        <v>1660</v>
      </c>
      <c r="BA299" s="2">
        <v>0</v>
      </c>
      <c r="BB299" s="2">
        <v>0</v>
      </c>
      <c r="BC299" s="2" t="s">
        <v>32</v>
      </c>
      <c r="BD299" s="2">
        <v>0</v>
      </c>
      <c r="BE299" s="2" t="s">
        <v>32</v>
      </c>
      <c r="BF299" s="2">
        <v>0</v>
      </c>
      <c r="BG299" s="2" t="s">
        <v>32</v>
      </c>
      <c r="BH299" s="2">
        <v>0</v>
      </c>
      <c r="BI299" s="2" t="s">
        <v>32</v>
      </c>
      <c r="BJ299" s="2" t="s">
        <v>32</v>
      </c>
      <c r="BK299" s="2" t="s">
        <v>32</v>
      </c>
      <c r="BL299" s="2">
        <v>0</v>
      </c>
      <c r="BM299" s="2" t="s">
        <v>32</v>
      </c>
      <c r="BN299" s="2" t="s">
        <v>32</v>
      </c>
      <c r="BO299" s="2" t="s">
        <v>32</v>
      </c>
      <c r="BP299" s="2">
        <v>0</v>
      </c>
      <c r="BQ299" s="2" t="s">
        <v>32</v>
      </c>
      <c r="BR299" s="2">
        <v>0</v>
      </c>
      <c r="BS299" s="2" t="s">
        <v>1660</v>
      </c>
      <c r="BT299" s="2">
        <v>0</v>
      </c>
      <c r="BU299" s="2">
        <v>0</v>
      </c>
      <c r="BV299" s="2" t="s">
        <v>1660</v>
      </c>
      <c r="BW299" s="2"/>
      <c r="BX299" s="2"/>
      <c r="BY299" s="2" t="s">
        <v>1807</v>
      </c>
      <c r="BZ299" s="2" t="b">
        <f>OR( (Dashboard[[#This Row],[ref_as_hh]]&gt;=1),(Dashboard[[#This Row],[ret_as_hh]] &gt;=1), (Dashboard[[#This Row],[idp_as_hh]]&gt;=1))</f>
        <v>0</v>
      </c>
      <c r="CA299" s="2">
        <f>Dashboard[[#This Row],[ret_hi_hh]]</f>
        <v>0</v>
      </c>
      <c r="CB299" s="2">
        <f>Dashboard[[#This Row],[idp_fa_hh]]+Dashboard[[#This Row],[ref_fa_hh]]+Dashboard[[#This Row],[ret_fa_hh]]</f>
        <v>7</v>
      </c>
      <c r="CC299" s="2">
        <f>Dashboard[[#This Row],[idp_loc_hh]]+Dashboard[[#This Row],[ref_loc_hh]]+Dashboard[[#This Row],[ret_loc_hh]]</f>
        <v>0</v>
      </c>
      <c r="CD299" s="2">
        <f>Dashboard[[#This Row],[idp_cc_hh]]+Dashboard[[#This Row],[ref_cc_hh]]+Dashboard[[#This Row],[ret_cc_hh]]</f>
        <v>0</v>
      </c>
      <c r="CE299" s="2">
        <f>Dashboard[[#This Row],[idp_as_hh]]+Dashboard[[#This Row],[ref_as_hh]]+Dashboard[[#This Row],[ret_as_hh]]</f>
        <v>0</v>
      </c>
      <c r="CF299" s="2">
        <f>Dashboard[[#This Row],[idp_al_hh]]+Dashboard[[#This Row],[ref_al_hh]]+Dashboard[[#This Row],[ret_al_hh]]</f>
        <v>0</v>
      </c>
    </row>
    <row r="300" spans="1:84" hidden="1" x14ac:dyDescent="0.25">
      <c r="A300" s="27">
        <v>291</v>
      </c>
      <c r="B300" s="2" t="s">
        <v>22</v>
      </c>
      <c r="C300" s="2" t="s">
        <v>23</v>
      </c>
      <c r="D300" s="2" t="s">
        <v>85</v>
      </c>
      <c r="E300" s="2" t="s">
        <v>84</v>
      </c>
      <c r="F300" s="2" t="s">
        <v>98</v>
      </c>
      <c r="G300" s="2" t="s">
        <v>97</v>
      </c>
      <c r="H300" s="2" t="s">
        <v>1217</v>
      </c>
      <c r="I300" s="2" t="s">
        <v>417</v>
      </c>
      <c r="J300" s="2" t="s">
        <v>2954</v>
      </c>
      <c r="K300" s="2" t="s">
        <v>2955</v>
      </c>
      <c r="L300" s="2" t="s">
        <v>2074</v>
      </c>
      <c r="M300" s="2">
        <v>226</v>
      </c>
      <c r="N300" s="2" t="s">
        <v>1658</v>
      </c>
      <c r="O300" s="2">
        <v>5</v>
      </c>
      <c r="P300" s="2">
        <v>22</v>
      </c>
      <c r="Q300" s="2" t="s">
        <v>1658</v>
      </c>
      <c r="R300" s="2">
        <v>5</v>
      </c>
      <c r="S300" s="2" t="s">
        <v>1660</v>
      </c>
      <c r="T300" s="2">
        <v>0</v>
      </c>
      <c r="U300" s="2" t="s">
        <v>32</v>
      </c>
      <c r="V300" s="2" t="s">
        <v>32</v>
      </c>
      <c r="W300" s="2" t="s">
        <v>1660</v>
      </c>
      <c r="X300" s="2">
        <v>0</v>
      </c>
      <c r="Y300" s="2" t="s">
        <v>32</v>
      </c>
      <c r="Z300" s="2" t="s">
        <v>32</v>
      </c>
      <c r="AA300" s="2" t="s">
        <v>1660</v>
      </c>
      <c r="AB300" s="2">
        <v>0</v>
      </c>
      <c r="AC300" s="2" t="s">
        <v>1660</v>
      </c>
      <c r="AD300" s="2">
        <v>0</v>
      </c>
      <c r="AE300" s="2" t="s">
        <v>1658</v>
      </c>
      <c r="AF300" s="2">
        <v>14</v>
      </c>
      <c r="AG300" s="2">
        <v>77</v>
      </c>
      <c r="AH300" s="2" t="s">
        <v>1660</v>
      </c>
      <c r="AI300" s="2" t="s">
        <v>32</v>
      </c>
      <c r="AJ300" s="2" t="s">
        <v>32</v>
      </c>
      <c r="AK300" s="2" t="s">
        <v>32</v>
      </c>
      <c r="AL300" s="2" t="s">
        <v>1658</v>
      </c>
      <c r="AM300" s="2">
        <v>14</v>
      </c>
      <c r="AN300" s="2" t="s">
        <v>1660</v>
      </c>
      <c r="AO300" s="2">
        <v>0</v>
      </c>
      <c r="AP300" s="2" t="s">
        <v>32</v>
      </c>
      <c r="AQ300" s="2" t="s">
        <v>32</v>
      </c>
      <c r="AR300" s="2" t="s">
        <v>1660</v>
      </c>
      <c r="AS300" s="2">
        <v>0</v>
      </c>
      <c r="AT300" s="2" t="s">
        <v>32</v>
      </c>
      <c r="AU300" s="2" t="s">
        <v>32</v>
      </c>
      <c r="AV300" s="2" t="s">
        <v>1660</v>
      </c>
      <c r="AW300" s="2">
        <v>0</v>
      </c>
      <c r="AX300" s="2" t="s">
        <v>1660</v>
      </c>
      <c r="AY300" s="2">
        <v>0</v>
      </c>
      <c r="AZ300" s="2" t="s">
        <v>1660</v>
      </c>
      <c r="BA300" s="2">
        <v>0</v>
      </c>
      <c r="BB300" s="2">
        <v>0</v>
      </c>
      <c r="BC300" s="2" t="s">
        <v>32</v>
      </c>
      <c r="BD300" s="2">
        <v>0</v>
      </c>
      <c r="BE300" s="2" t="s">
        <v>32</v>
      </c>
      <c r="BF300" s="2">
        <v>0</v>
      </c>
      <c r="BG300" s="2" t="s">
        <v>32</v>
      </c>
      <c r="BH300" s="2">
        <v>0</v>
      </c>
      <c r="BI300" s="2" t="s">
        <v>32</v>
      </c>
      <c r="BJ300" s="2" t="s">
        <v>32</v>
      </c>
      <c r="BK300" s="2" t="s">
        <v>32</v>
      </c>
      <c r="BL300" s="2">
        <v>0</v>
      </c>
      <c r="BM300" s="2" t="s">
        <v>32</v>
      </c>
      <c r="BN300" s="2" t="s">
        <v>32</v>
      </c>
      <c r="BO300" s="2" t="s">
        <v>32</v>
      </c>
      <c r="BP300" s="2">
        <v>0</v>
      </c>
      <c r="BQ300" s="2" t="s">
        <v>32</v>
      </c>
      <c r="BR300" s="2">
        <v>0</v>
      </c>
      <c r="BS300" s="2" t="s">
        <v>1660</v>
      </c>
      <c r="BT300" s="2">
        <v>0</v>
      </c>
      <c r="BU300" s="2">
        <v>0</v>
      </c>
      <c r="BV300" s="2" t="s">
        <v>1660</v>
      </c>
      <c r="BW300" s="2"/>
      <c r="BX300" s="2"/>
      <c r="BY300" s="2" t="s">
        <v>1807</v>
      </c>
      <c r="BZ300" s="2" t="b">
        <f>OR( (Dashboard[[#This Row],[ref_as_hh]]&gt;=1),(Dashboard[[#This Row],[ret_as_hh]] &gt;=1), (Dashboard[[#This Row],[idp_as_hh]]&gt;=1))</f>
        <v>0</v>
      </c>
      <c r="CA300" s="2">
        <f>Dashboard[[#This Row],[ret_hi_hh]]</f>
        <v>0</v>
      </c>
      <c r="CB300" s="2">
        <f>Dashboard[[#This Row],[idp_fa_hh]]+Dashboard[[#This Row],[ref_fa_hh]]+Dashboard[[#This Row],[ret_fa_hh]]</f>
        <v>19</v>
      </c>
      <c r="CC300" s="2">
        <f>Dashboard[[#This Row],[idp_loc_hh]]+Dashboard[[#This Row],[ref_loc_hh]]+Dashboard[[#This Row],[ret_loc_hh]]</f>
        <v>0</v>
      </c>
      <c r="CD300" s="2">
        <f>Dashboard[[#This Row],[idp_cc_hh]]+Dashboard[[#This Row],[ref_cc_hh]]+Dashboard[[#This Row],[ret_cc_hh]]</f>
        <v>0</v>
      </c>
      <c r="CE300" s="2">
        <f>Dashboard[[#This Row],[idp_as_hh]]+Dashboard[[#This Row],[ref_as_hh]]+Dashboard[[#This Row],[ret_as_hh]]</f>
        <v>0</v>
      </c>
      <c r="CF300" s="2">
        <f>Dashboard[[#This Row],[idp_al_hh]]+Dashboard[[#This Row],[ref_al_hh]]+Dashboard[[#This Row],[ret_al_hh]]</f>
        <v>0</v>
      </c>
    </row>
    <row r="301" spans="1:84" hidden="1" x14ac:dyDescent="0.25">
      <c r="A301" s="27">
        <v>36</v>
      </c>
      <c r="B301" s="2" t="s">
        <v>22</v>
      </c>
      <c r="C301" s="2" t="s">
        <v>23</v>
      </c>
      <c r="D301" s="2" t="s">
        <v>85</v>
      </c>
      <c r="E301" s="2" t="s">
        <v>84</v>
      </c>
      <c r="F301" s="2" t="s">
        <v>98</v>
      </c>
      <c r="G301" s="2" t="s">
        <v>97</v>
      </c>
      <c r="H301" s="2" t="s">
        <v>1146</v>
      </c>
      <c r="I301" s="2" t="s">
        <v>1145</v>
      </c>
      <c r="J301" s="2" t="s">
        <v>2788</v>
      </c>
      <c r="K301" s="2" t="s">
        <v>2789</v>
      </c>
      <c r="L301" s="2" t="s">
        <v>2074</v>
      </c>
      <c r="M301" s="2">
        <v>1300</v>
      </c>
      <c r="N301" s="2" t="s">
        <v>1658</v>
      </c>
      <c r="O301" s="2">
        <v>7</v>
      </c>
      <c r="P301" s="2">
        <v>55</v>
      </c>
      <c r="Q301" s="2" t="s">
        <v>1658</v>
      </c>
      <c r="R301" s="2">
        <v>7</v>
      </c>
      <c r="S301" s="2" t="s">
        <v>1660</v>
      </c>
      <c r="T301" s="2">
        <v>0</v>
      </c>
      <c r="U301" s="2" t="s">
        <v>32</v>
      </c>
      <c r="V301" s="2" t="s">
        <v>32</v>
      </c>
      <c r="W301" s="2" t="s">
        <v>1660</v>
      </c>
      <c r="X301" s="2">
        <v>0</v>
      </c>
      <c r="Y301" s="2" t="s">
        <v>32</v>
      </c>
      <c r="Z301" s="2" t="s">
        <v>32</v>
      </c>
      <c r="AA301" s="2" t="s">
        <v>1660</v>
      </c>
      <c r="AB301" s="2">
        <v>0</v>
      </c>
      <c r="AC301" s="2" t="s">
        <v>1660</v>
      </c>
      <c r="AD301" s="2">
        <v>0</v>
      </c>
      <c r="AE301" s="2" t="s">
        <v>1660</v>
      </c>
      <c r="AF301" s="2">
        <v>0</v>
      </c>
      <c r="AG301" s="2">
        <v>0</v>
      </c>
      <c r="AH301" s="2" t="s">
        <v>32</v>
      </c>
      <c r="AI301" s="2" t="s">
        <v>32</v>
      </c>
      <c r="AJ301" s="2" t="s">
        <v>32</v>
      </c>
      <c r="AK301" s="2" t="s">
        <v>32</v>
      </c>
      <c r="AL301" s="2" t="s">
        <v>32</v>
      </c>
      <c r="AM301" s="2">
        <v>0</v>
      </c>
      <c r="AN301" s="2" t="s">
        <v>32</v>
      </c>
      <c r="AO301" s="2">
        <v>0</v>
      </c>
      <c r="AP301" s="2" t="s">
        <v>32</v>
      </c>
      <c r="AQ301" s="2" t="s">
        <v>32</v>
      </c>
      <c r="AR301" s="2" t="s">
        <v>32</v>
      </c>
      <c r="AS301" s="2">
        <v>0</v>
      </c>
      <c r="AT301" s="2" t="s">
        <v>32</v>
      </c>
      <c r="AU301" s="2" t="s">
        <v>32</v>
      </c>
      <c r="AV301" s="2" t="s">
        <v>32</v>
      </c>
      <c r="AW301" s="2">
        <v>0</v>
      </c>
      <c r="AX301" s="2" t="s">
        <v>32</v>
      </c>
      <c r="AY301" s="2">
        <v>0</v>
      </c>
      <c r="AZ301" s="2" t="s">
        <v>1660</v>
      </c>
      <c r="BA301" s="2">
        <v>0</v>
      </c>
      <c r="BB301" s="2">
        <v>0</v>
      </c>
      <c r="BC301" s="2" t="s">
        <v>32</v>
      </c>
      <c r="BD301" s="2">
        <v>0</v>
      </c>
      <c r="BE301" s="2" t="s">
        <v>32</v>
      </c>
      <c r="BF301" s="2">
        <v>0</v>
      </c>
      <c r="BG301" s="2" t="s">
        <v>32</v>
      </c>
      <c r="BH301" s="2">
        <v>0</v>
      </c>
      <c r="BI301" s="2" t="s">
        <v>32</v>
      </c>
      <c r="BJ301" s="2" t="s">
        <v>32</v>
      </c>
      <c r="BK301" s="2" t="s">
        <v>32</v>
      </c>
      <c r="BL301" s="2">
        <v>0</v>
      </c>
      <c r="BM301" s="2" t="s">
        <v>32</v>
      </c>
      <c r="BN301" s="2" t="s">
        <v>32</v>
      </c>
      <c r="BO301" s="2" t="s">
        <v>32</v>
      </c>
      <c r="BP301" s="2">
        <v>0</v>
      </c>
      <c r="BQ301" s="2" t="s">
        <v>32</v>
      </c>
      <c r="BR301" s="2">
        <v>0</v>
      </c>
      <c r="BS301" s="2" t="s">
        <v>1660</v>
      </c>
      <c r="BT301" s="2">
        <v>0</v>
      </c>
      <c r="BU301" s="2">
        <v>0</v>
      </c>
      <c r="BV301" s="2" t="s">
        <v>1660</v>
      </c>
      <c r="BW301" s="2"/>
      <c r="BX301" s="2"/>
      <c r="BY301" s="2" t="s">
        <v>1807</v>
      </c>
      <c r="BZ301" s="2" t="b">
        <f>OR( (Dashboard[[#This Row],[ref_as_hh]]&gt;=1),(Dashboard[[#This Row],[ret_as_hh]] &gt;=1), (Dashboard[[#This Row],[idp_as_hh]]&gt;=1))</f>
        <v>0</v>
      </c>
      <c r="CA301" s="2">
        <f>Dashboard[[#This Row],[ret_hi_hh]]</f>
        <v>0</v>
      </c>
      <c r="CB301" s="2">
        <f>Dashboard[[#This Row],[idp_fa_hh]]+Dashboard[[#This Row],[ref_fa_hh]]+Dashboard[[#This Row],[ret_fa_hh]]</f>
        <v>7</v>
      </c>
      <c r="CC301" s="2">
        <f>Dashboard[[#This Row],[idp_loc_hh]]+Dashboard[[#This Row],[ref_loc_hh]]+Dashboard[[#This Row],[ret_loc_hh]]</f>
        <v>0</v>
      </c>
      <c r="CD301" s="2">
        <f>Dashboard[[#This Row],[idp_cc_hh]]+Dashboard[[#This Row],[ref_cc_hh]]+Dashboard[[#This Row],[ret_cc_hh]]</f>
        <v>0</v>
      </c>
      <c r="CE301" s="2">
        <f>Dashboard[[#This Row],[idp_as_hh]]+Dashboard[[#This Row],[ref_as_hh]]+Dashboard[[#This Row],[ret_as_hh]]</f>
        <v>0</v>
      </c>
      <c r="CF301" s="2">
        <f>Dashboard[[#This Row],[idp_al_hh]]+Dashboard[[#This Row],[ref_al_hh]]+Dashboard[[#This Row],[ret_al_hh]]</f>
        <v>0</v>
      </c>
    </row>
    <row r="302" spans="1:84" hidden="1" x14ac:dyDescent="0.25">
      <c r="A302" s="27">
        <v>292</v>
      </c>
      <c r="B302" s="2" t="s">
        <v>22</v>
      </c>
      <c r="C302" s="2" t="s">
        <v>23</v>
      </c>
      <c r="D302" s="2" t="s">
        <v>85</v>
      </c>
      <c r="E302" s="2" t="s">
        <v>84</v>
      </c>
      <c r="F302" s="2" t="s">
        <v>98</v>
      </c>
      <c r="G302" s="2" t="s">
        <v>97</v>
      </c>
      <c r="H302" s="2" t="s">
        <v>1184</v>
      </c>
      <c r="I302" s="2" t="s">
        <v>401</v>
      </c>
      <c r="J302" s="2" t="s">
        <v>2872</v>
      </c>
      <c r="K302" s="2" t="s">
        <v>2873</v>
      </c>
      <c r="L302" s="2" t="s">
        <v>2074</v>
      </c>
      <c r="M302" s="2">
        <v>515</v>
      </c>
      <c r="N302" s="2" t="s">
        <v>1658</v>
      </c>
      <c r="O302" s="2">
        <v>6</v>
      </c>
      <c r="P302" s="2">
        <v>32</v>
      </c>
      <c r="Q302" s="2" t="s">
        <v>1658</v>
      </c>
      <c r="R302" s="2">
        <v>6</v>
      </c>
      <c r="S302" s="2" t="s">
        <v>1660</v>
      </c>
      <c r="T302" s="2">
        <v>0</v>
      </c>
      <c r="U302" s="2" t="s">
        <v>32</v>
      </c>
      <c r="V302" s="2" t="s">
        <v>32</v>
      </c>
      <c r="W302" s="2" t="s">
        <v>1660</v>
      </c>
      <c r="X302" s="2">
        <v>0</v>
      </c>
      <c r="Y302" s="2" t="s">
        <v>32</v>
      </c>
      <c r="Z302" s="2" t="s">
        <v>32</v>
      </c>
      <c r="AA302" s="2" t="s">
        <v>1660</v>
      </c>
      <c r="AB302" s="2">
        <v>0</v>
      </c>
      <c r="AC302" s="2" t="s">
        <v>1660</v>
      </c>
      <c r="AD302" s="2">
        <v>0</v>
      </c>
      <c r="AE302" s="2" t="s">
        <v>1658</v>
      </c>
      <c r="AF302" s="2">
        <v>12</v>
      </c>
      <c r="AG302" s="2">
        <v>53</v>
      </c>
      <c r="AH302" s="2" t="s">
        <v>1660</v>
      </c>
      <c r="AI302" s="2" t="s">
        <v>32</v>
      </c>
      <c r="AJ302" s="2" t="s">
        <v>32</v>
      </c>
      <c r="AK302" s="2" t="s">
        <v>32</v>
      </c>
      <c r="AL302" s="2" t="s">
        <v>1658</v>
      </c>
      <c r="AM302" s="2">
        <v>12</v>
      </c>
      <c r="AN302" s="2" t="s">
        <v>1660</v>
      </c>
      <c r="AO302" s="2">
        <v>0</v>
      </c>
      <c r="AP302" s="2" t="s">
        <v>32</v>
      </c>
      <c r="AQ302" s="2" t="s">
        <v>32</v>
      </c>
      <c r="AR302" s="2" t="s">
        <v>1660</v>
      </c>
      <c r="AS302" s="2">
        <v>0</v>
      </c>
      <c r="AT302" s="2" t="s">
        <v>32</v>
      </c>
      <c r="AU302" s="2" t="s">
        <v>32</v>
      </c>
      <c r="AV302" s="2" t="s">
        <v>1660</v>
      </c>
      <c r="AW302" s="2">
        <v>0</v>
      </c>
      <c r="AX302" s="2" t="s">
        <v>1660</v>
      </c>
      <c r="AY302" s="2">
        <v>0</v>
      </c>
      <c r="AZ302" s="2" t="s">
        <v>1660</v>
      </c>
      <c r="BA302" s="2">
        <v>0</v>
      </c>
      <c r="BB302" s="2">
        <v>0</v>
      </c>
      <c r="BC302" s="2" t="s">
        <v>32</v>
      </c>
      <c r="BD302" s="2">
        <v>0</v>
      </c>
      <c r="BE302" s="2" t="s">
        <v>32</v>
      </c>
      <c r="BF302" s="2">
        <v>0</v>
      </c>
      <c r="BG302" s="2" t="s">
        <v>32</v>
      </c>
      <c r="BH302" s="2">
        <v>0</v>
      </c>
      <c r="BI302" s="2" t="s">
        <v>32</v>
      </c>
      <c r="BJ302" s="2" t="s">
        <v>32</v>
      </c>
      <c r="BK302" s="2" t="s">
        <v>32</v>
      </c>
      <c r="BL302" s="2">
        <v>0</v>
      </c>
      <c r="BM302" s="2" t="s">
        <v>32</v>
      </c>
      <c r="BN302" s="2" t="s">
        <v>32</v>
      </c>
      <c r="BO302" s="2" t="s">
        <v>32</v>
      </c>
      <c r="BP302" s="2">
        <v>0</v>
      </c>
      <c r="BQ302" s="2" t="s">
        <v>32</v>
      </c>
      <c r="BR302" s="2">
        <v>0</v>
      </c>
      <c r="BS302" s="2" t="s">
        <v>1660</v>
      </c>
      <c r="BT302" s="2">
        <v>0</v>
      </c>
      <c r="BU302" s="2">
        <v>0</v>
      </c>
      <c r="BV302" s="2" t="s">
        <v>1660</v>
      </c>
      <c r="BW302" s="2"/>
      <c r="BX302" s="2"/>
      <c r="BY302" s="2" t="s">
        <v>1807</v>
      </c>
      <c r="BZ302" s="2" t="b">
        <f>OR( (Dashboard[[#This Row],[ref_as_hh]]&gt;=1),(Dashboard[[#This Row],[ret_as_hh]] &gt;=1), (Dashboard[[#This Row],[idp_as_hh]]&gt;=1))</f>
        <v>0</v>
      </c>
      <c r="CA302" s="2">
        <f>Dashboard[[#This Row],[ret_hi_hh]]</f>
        <v>0</v>
      </c>
      <c r="CB302" s="2">
        <f>Dashboard[[#This Row],[idp_fa_hh]]+Dashboard[[#This Row],[ref_fa_hh]]+Dashboard[[#This Row],[ret_fa_hh]]</f>
        <v>18</v>
      </c>
      <c r="CC302" s="2">
        <f>Dashboard[[#This Row],[idp_loc_hh]]+Dashboard[[#This Row],[ref_loc_hh]]+Dashboard[[#This Row],[ret_loc_hh]]</f>
        <v>0</v>
      </c>
      <c r="CD302" s="2">
        <f>Dashboard[[#This Row],[idp_cc_hh]]+Dashboard[[#This Row],[ref_cc_hh]]+Dashboard[[#This Row],[ret_cc_hh]]</f>
        <v>0</v>
      </c>
      <c r="CE302" s="2">
        <f>Dashboard[[#This Row],[idp_as_hh]]+Dashboard[[#This Row],[ref_as_hh]]+Dashboard[[#This Row],[ret_as_hh]]</f>
        <v>0</v>
      </c>
      <c r="CF302" s="2">
        <f>Dashboard[[#This Row],[idp_al_hh]]+Dashboard[[#This Row],[ref_al_hh]]+Dashboard[[#This Row],[ret_al_hh]]</f>
        <v>0</v>
      </c>
    </row>
    <row r="303" spans="1:84" hidden="1" x14ac:dyDescent="0.25">
      <c r="A303" s="27">
        <v>294</v>
      </c>
      <c r="B303" s="2" t="s">
        <v>22</v>
      </c>
      <c r="C303" s="2" t="s">
        <v>23</v>
      </c>
      <c r="D303" s="2" t="s">
        <v>85</v>
      </c>
      <c r="E303" s="2" t="s">
        <v>84</v>
      </c>
      <c r="F303" s="2" t="s">
        <v>98</v>
      </c>
      <c r="G303" s="2" t="s">
        <v>97</v>
      </c>
      <c r="H303" s="2" t="s">
        <v>1122</v>
      </c>
      <c r="I303" s="2" t="s">
        <v>375</v>
      </c>
      <c r="J303" s="2" t="s">
        <v>2746</v>
      </c>
      <c r="K303" s="2" t="s">
        <v>2747</v>
      </c>
      <c r="L303" s="2" t="s">
        <v>2074</v>
      </c>
      <c r="M303" s="2">
        <v>231</v>
      </c>
      <c r="N303" s="2" t="s">
        <v>1658</v>
      </c>
      <c r="O303" s="2">
        <v>8</v>
      </c>
      <c r="P303" s="2">
        <v>36</v>
      </c>
      <c r="Q303" s="2" t="s">
        <v>1658</v>
      </c>
      <c r="R303" s="2">
        <v>8</v>
      </c>
      <c r="S303" s="2" t="s">
        <v>1658</v>
      </c>
      <c r="T303" s="2">
        <v>0</v>
      </c>
      <c r="U303" s="2" t="s">
        <v>1661</v>
      </c>
      <c r="V303" s="2" t="s">
        <v>32</v>
      </c>
      <c r="W303" s="2" t="s">
        <v>1660</v>
      </c>
      <c r="X303" s="2">
        <v>0</v>
      </c>
      <c r="Y303" s="2" t="s">
        <v>32</v>
      </c>
      <c r="Z303" s="2" t="s">
        <v>32</v>
      </c>
      <c r="AA303" s="2" t="s">
        <v>1660</v>
      </c>
      <c r="AB303" s="2">
        <v>0</v>
      </c>
      <c r="AC303" s="2" t="s">
        <v>1660</v>
      </c>
      <c r="AD303" s="2">
        <v>0</v>
      </c>
      <c r="AE303" s="2" t="s">
        <v>1660</v>
      </c>
      <c r="AF303" s="2">
        <v>0</v>
      </c>
      <c r="AG303" s="2">
        <v>0</v>
      </c>
      <c r="AH303" s="2" t="s">
        <v>32</v>
      </c>
      <c r="AI303" s="2" t="s">
        <v>32</v>
      </c>
      <c r="AJ303" s="2" t="s">
        <v>32</v>
      </c>
      <c r="AK303" s="2" t="s">
        <v>32</v>
      </c>
      <c r="AL303" s="2" t="s">
        <v>32</v>
      </c>
      <c r="AM303" s="2">
        <v>0</v>
      </c>
      <c r="AN303" s="2" t="s">
        <v>32</v>
      </c>
      <c r="AO303" s="2">
        <v>0</v>
      </c>
      <c r="AP303" s="2" t="s">
        <v>32</v>
      </c>
      <c r="AQ303" s="2" t="s">
        <v>32</v>
      </c>
      <c r="AR303" s="2" t="s">
        <v>32</v>
      </c>
      <c r="AS303" s="2">
        <v>0</v>
      </c>
      <c r="AT303" s="2" t="s">
        <v>32</v>
      </c>
      <c r="AU303" s="2" t="s">
        <v>32</v>
      </c>
      <c r="AV303" s="2" t="s">
        <v>32</v>
      </c>
      <c r="AW303" s="2">
        <v>0</v>
      </c>
      <c r="AX303" s="2" t="s">
        <v>32</v>
      </c>
      <c r="AY303" s="2">
        <v>0</v>
      </c>
      <c r="AZ303" s="2" t="s">
        <v>1660</v>
      </c>
      <c r="BA303" s="2">
        <v>0</v>
      </c>
      <c r="BB303" s="2">
        <v>0</v>
      </c>
      <c r="BC303" s="2" t="s">
        <v>32</v>
      </c>
      <c r="BD303" s="2">
        <v>0</v>
      </c>
      <c r="BE303" s="2" t="s">
        <v>32</v>
      </c>
      <c r="BF303" s="2">
        <v>0</v>
      </c>
      <c r="BG303" s="2" t="s">
        <v>32</v>
      </c>
      <c r="BH303" s="2">
        <v>0</v>
      </c>
      <c r="BI303" s="2" t="s">
        <v>32</v>
      </c>
      <c r="BJ303" s="2" t="s">
        <v>32</v>
      </c>
      <c r="BK303" s="2" t="s">
        <v>32</v>
      </c>
      <c r="BL303" s="2">
        <v>0</v>
      </c>
      <c r="BM303" s="2" t="s">
        <v>32</v>
      </c>
      <c r="BN303" s="2" t="s">
        <v>32</v>
      </c>
      <c r="BO303" s="2" t="s">
        <v>32</v>
      </c>
      <c r="BP303" s="2">
        <v>0</v>
      </c>
      <c r="BQ303" s="2" t="s">
        <v>32</v>
      </c>
      <c r="BR303" s="2">
        <v>0</v>
      </c>
      <c r="BS303" s="2" t="s">
        <v>1660</v>
      </c>
      <c r="BT303" s="2">
        <v>0</v>
      </c>
      <c r="BU303" s="2">
        <v>0</v>
      </c>
      <c r="BV303" s="2" t="s">
        <v>1660</v>
      </c>
      <c r="BW303" s="2"/>
      <c r="BX303" s="2"/>
      <c r="BY303" s="2" t="s">
        <v>1807</v>
      </c>
      <c r="BZ303" s="2" t="b">
        <f>OR( (Dashboard[[#This Row],[ref_as_hh]]&gt;=1),(Dashboard[[#This Row],[ret_as_hh]] &gt;=1), (Dashboard[[#This Row],[idp_as_hh]]&gt;=1))</f>
        <v>0</v>
      </c>
      <c r="CA303" s="2">
        <f>Dashboard[[#This Row],[ret_hi_hh]]</f>
        <v>0</v>
      </c>
      <c r="CB303" s="2">
        <f>Dashboard[[#This Row],[idp_fa_hh]]+Dashboard[[#This Row],[ref_fa_hh]]+Dashboard[[#This Row],[ret_fa_hh]]</f>
        <v>8</v>
      </c>
      <c r="CC303" s="2">
        <f>Dashboard[[#This Row],[idp_loc_hh]]+Dashboard[[#This Row],[ref_loc_hh]]+Dashboard[[#This Row],[ret_loc_hh]]</f>
        <v>0</v>
      </c>
      <c r="CD303" s="2">
        <f>Dashboard[[#This Row],[idp_cc_hh]]+Dashboard[[#This Row],[ref_cc_hh]]+Dashboard[[#This Row],[ret_cc_hh]]</f>
        <v>0</v>
      </c>
      <c r="CE303" s="2">
        <f>Dashboard[[#This Row],[idp_as_hh]]+Dashboard[[#This Row],[ref_as_hh]]+Dashboard[[#This Row],[ret_as_hh]]</f>
        <v>0</v>
      </c>
      <c r="CF303" s="2">
        <f>Dashboard[[#This Row],[idp_al_hh]]+Dashboard[[#This Row],[ref_al_hh]]+Dashboard[[#This Row],[ret_al_hh]]</f>
        <v>0</v>
      </c>
    </row>
    <row r="304" spans="1:84" hidden="1" x14ac:dyDescent="0.25">
      <c r="A304" s="27">
        <v>39</v>
      </c>
      <c r="B304" s="2" t="s">
        <v>22</v>
      </c>
      <c r="C304" s="2" t="s">
        <v>23</v>
      </c>
      <c r="D304" s="2" t="s">
        <v>85</v>
      </c>
      <c r="E304" s="2" t="s">
        <v>84</v>
      </c>
      <c r="F304" s="2" t="s">
        <v>98</v>
      </c>
      <c r="G304" s="2" t="s">
        <v>97</v>
      </c>
      <c r="H304" s="2" t="s">
        <v>1520</v>
      </c>
      <c r="I304" s="2" t="s">
        <v>702</v>
      </c>
      <c r="J304" s="2" t="s">
        <v>3012</v>
      </c>
      <c r="K304" s="2" t="s">
        <v>3013</v>
      </c>
      <c r="L304" s="2" t="s">
        <v>2074</v>
      </c>
      <c r="M304" s="2">
        <v>500</v>
      </c>
      <c r="N304" s="2" t="s">
        <v>1658</v>
      </c>
      <c r="O304" s="2">
        <v>3</v>
      </c>
      <c r="P304" s="2">
        <v>17</v>
      </c>
      <c r="Q304" s="2" t="s">
        <v>1658</v>
      </c>
      <c r="R304" s="2">
        <v>3</v>
      </c>
      <c r="S304" s="2" t="s">
        <v>1660</v>
      </c>
      <c r="T304" s="2">
        <v>0</v>
      </c>
      <c r="U304" s="2" t="s">
        <v>32</v>
      </c>
      <c r="V304" s="2" t="s">
        <v>32</v>
      </c>
      <c r="W304" s="2" t="s">
        <v>1660</v>
      </c>
      <c r="X304" s="2">
        <v>0</v>
      </c>
      <c r="Y304" s="2" t="s">
        <v>32</v>
      </c>
      <c r="Z304" s="2" t="s">
        <v>32</v>
      </c>
      <c r="AA304" s="2" t="s">
        <v>1660</v>
      </c>
      <c r="AB304" s="2">
        <v>0</v>
      </c>
      <c r="AC304" s="2" t="s">
        <v>1660</v>
      </c>
      <c r="AD304" s="2">
        <v>0</v>
      </c>
      <c r="AE304" s="2" t="s">
        <v>1658</v>
      </c>
      <c r="AF304" s="2">
        <v>3</v>
      </c>
      <c r="AG304" s="2">
        <v>26</v>
      </c>
      <c r="AH304" s="2" t="s">
        <v>1660</v>
      </c>
      <c r="AI304" s="2" t="s">
        <v>32</v>
      </c>
      <c r="AJ304" s="2" t="s">
        <v>32</v>
      </c>
      <c r="AK304" s="2" t="s">
        <v>32</v>
      </c>
      <c r="AL304" s="2" t="s">
        <v>1658</v>
      </c>
      <c r="AM304" s="2">
        <v>3</v>
      </c>
      <c r="AN304" s="2" t="s">
        <v>1660</v>
      </c>
      <c r="AO304" s="2">
        <v>0</v>
      </c>
      <c r="AP304" s="2" t="s">
        <v>32</v>
      </c>
      <c r="AQ304" s="2" t="s">
        <v>32</v>
      </c>
      <c r="AR304" s="2" t="s">
        <v>1660</v>
      </c>
      <c r="AS304" s="2">
        <v>0</v>
      </c>
      <c r="AT304" s="2" t="s">
        <v>32</v>
      </c>
      <c r="AU304" s="2" t="s">
        <v>32</v>
      </c>
      <c r="AV304" s="2" t="s">
        <v>1660</v>
      </c>
      <c r="AW304" s="2">
        <v>0</v>
      </c>
      <c r="AX304" s="2" t="s">
        <v>1660</v>
      </c>
      <c r="AY304" s="2">
        <v>0</v>
      </c>
      <c r="AZ304" s="2" t="s">
        <v>1660</v>
      </c>
      <c r="BA304" s="2">
        <v>0</v>
      </c>
      <c r="BB304" s="2">
        <v>0</v>
      </c>
      <c r="BC304" s="2" t="s">
        <v>32</v>
      </c>
      <c r="BD304" s="2">
        <v>0</v>
      </c>
      <c r="BE304" s="2" t="s">
        <v>32</v>
      </c>
      <c r="BF304" s="2">
        <v>0</v>
      </c>
      <c r="BG304" s="2" t="s">
        <v>32</v>
      </c>
      <c r="BH304" s="2">
        <v>0</v>
      </c>
      <c r="BI304" s="2" t="s">
        <v>32</v>
      </c>
      <c r="BJ304" s="2" t="s">
        <v>32</v>
      </c>
      <c r="BK304" s="2" t="s">
        <v>32</v>
      </c>
      <c r="BL304" s="2">
        <v>0</v>
      </c>
      <c r="BM304" s="2" t="s">
        <v>32</v>
      </c>
      <c r="BN304" s="2" t="s">
        <v>32</v>
      </c>
      <c r="BO304" s="2" t="s">
        <v>32</v>
      </c>
      <c r="BP304" s="2">
        <v>0</v>
      </c>
      <c r="BQ304" s="2" t="s">
        <v>32</v>
      </c>
      <c r="BR304" s="2">
        <v>0</v>
      </c>
      <c r="BS304" s="2" t="s">
        <v>1660</v>
      </c>
      <c r="BT304" s="2">
        <v>0</v>
      </c>
      <c r="BU304" s="2">
        <v>0</v>
      </c>
      <c r="BV304" s="2" t="s">
        <v>1660</v>
      </c>
      <c r="BW304" s="2"/>
      <c r="BX304" s="2"/>
      <c r="BY304" s="2" t="s">
        <v>1807</v>
      </c>
      <c r="BZ304" s="2" t="b">
        <f>OR( (Dashboard[[#This Row],[ref_as_hh]]&gt;=1),(Dashboard[[#This Row],[ret_as_hh]] &gt;=1), (Dashboard[[#This Row],[idp_as_hh]]&gt;=1))</f>
        <v>0</v>
      </c>
      <c r="CA304" s="2">
        <f>Dashboard[[#This Row],[ret_hi_hh]]</f>
        <v>0</v>
      </c>
      <c r="CB304" s="2">
        <f>Dashboard[[#This Row],[idp_fa_hh]]+Dashboard[[#This Row],[ref_fa_hh]]+Dashboard[[#This Row],[ret_fa_hh]]</f>
        <v>6</v>
      </c>
      <c r="CC304" s="2">
        <f>Dashboard[[#This Row],[idp_loc_hh]]+Dashboard[[#This Row],[ref_loc_hh]]+Dashboard[[#This Row],[ret_loc_hh]]</f>
        <v>0</v>
      </c>
      <c r="CD304" s="2">
        <f>Dashboard[[#This Row],[idp_cc_hh]]+Dashboard[[#This Row],[ref_cc_hh]]+Dashboard[[#This Row],[ret_cc_hh]]</f>
        <v>0</v>
      </c>
      <c r="CE304" s="2">
        <f>Dashboard[[#This Row],[idp_as_hh]]+Dashboard[[#This Row],[ref_as_hh]]+Dashboard[[#This Row],[ret_as_hh]]</f>
        <v>0</v>
      </c>
      <c r="CF304" s="2">
        <f>Dashboard[[#This Row],[idp_al_hh]]+Dashboard[[#This Row],[ref_al_hh]]+Dashboard[[#This Row],[ret_al_hh]]</f>
        <v>0</v>
      </c>
    </row>
    <row r="305" spans="1:84" hidden="1" x14ac:dyDescent="0.25">
      <c r="A305" s="27">
        <v>295</v>
      </c>
      <c r="B305" s="2" t="s">
        <v>22</v>
      </c>
      <c r="C305" s="2" t="s">
        <v>23</v>
      </c>
      <c r="D305" s="2" t="s">
        <v>85</v>
      </c>
      <c r="E305" s="2" t="s">
        <v>84</v>
      </c>
      <c r="F305" s="2" t="s">
        <v>98</v>
      </c>
      <c r="G305" s="2" t="s">
        <v>97</v>
      </c>
      <c r="H305" s="2" t="s">
        <v>1213</v>
      </c>
      <c r="I305" s="2" t="s">
        <v>415</v>
      </c>
      <c r="J305" s="2" t="s">
        <v>2946</v>
      </c>
      <c r="K305" s="2" t="s">
        <v>2947</v>
      </c>
      <c r="L305" s="2" t="s">
        <v>2074</v>
      </c>
      <c r="M305" s="2">
        <v>352</v>
      </c>
      <c r="N305" s="2" t="s">
        <v>1658</v>
      </c>
      <c r="O305" s="2">
        <v>19</v>
      </c>
      <c r="P305" s="2">
        <v>99</v>
      </c>
      <c r="Q305" s="2" t="s">
        <v>1658</v>
      </c>
      <c r="R305" s="2">
        <v>19</v>
      </c>
      <c r="S305" s="2" t="s">
        <v>1660</v>
      </c>
      <c r="T305" s="2">
        <v>0</v>
      </c>
      <c r="U305" s="2" t="s">
        <v>32</v>
      </c>
      <c r="V305" s="2" t="s">
        <v>32</v>
      </c>
      <c r="W305" s="2" t="s">
        <v>1660</v>
      </c>
      <c r="X305" s="2">
        <v>0</v>
      </c>
      <c r="Y305" s="2" t="s">
        <v>32</v>
      </c>
      <c r="Z305" s="2" t="s">
        <v>32</v>
      </c>
      <c r="AA305" s="2" t="s">
        <v>1660</v>
      </c>
      <c r="AB305" s="2">
        <v>0</v>
      </c>
      <c r="AC305" s="2" t="s">
        <v>1660</v>
      </c>
      <c r="AD305" s="2">
        <v>0</v>
      </c>
      <c r="AE305" s="2" t="s">
        <v>1660</v>
      </c>
      <c r="AF305" s="2">
        <v>0</v>
      </c>
      <c r="AG305" s="2">
        <v>0</v>
      </c>
      <c r="AH305" s="2" t="s">
        <v>32</v>
      </c>
      <c r="AI305" s="2" t="s">
        <v>32</v>
      </c>
      <c r="AJ305" s="2" t="s">
        <v>32</v>
      </c>
      <c r="AK305" s="2" t="s">
        <v>32</v>
      </c>
      <c r="AL305" s="2" t="s">
        <v>32</v>
      </c>
      <c r="AM305" s="2">
        <v>0</v>
      </c>
      <c r="AN305" s="2" t="s">
        <v>32</v>
      </c>
      <c r="AO305" s="2">
        <v>0</v>
      </c>
      <c r="AP305" s="2" t="s">
        <v>32</v>
      </c>
      <c r="AQ305" s="2" t="s">
        <v>32</v>
      </c>
      <c r="AR305" s="2" t="s">
        <v>32</v>
      </c>
      <c r="AS305" s="2">
        <v>0</v>
      </c>
      <c r="AT305" s="2" t="s">
        <v>32</v>
      </c>
      <c r="AU305" s="2" t="s">
        <v>32</v>
      </c>
      <c r="AV305" s="2" t="s">
        <v>32</v>
      </c>
      <c r="AW305" s="2">
        <v>0</v>
      </c>
      <c r="AX305" s="2" t="s">
        <v>32</v>
      </c>
      <c r="AY305" s="2">
        <v>0</v>
      </c>
      <c r="AZ305" s="2" t="s">
        <v>1660</v>
      </c>
      <c r="BA305" s="2">
        <v>0</v>
      </c>
      <c r="BB305" s="2">
        <v>0</v>
      </c>
      <c r="BC305" s="2" t="s">
        <v>32</v>
      </c>
      <c r="BD305" s="2">
        <v>0</v>
      </c>
      <c r="BE305" s="2" t="s">
        <v>32</v>
      </c>
      <c r="BF305" s="2">
        <v>0</v>
      </c>
      <c r="BG305" s="2" t="s">
        <v>32</v>
      </c>
      <c r="BH305" s="2">
        <v>0</v>
      </c>
      <c r="BI305" s="2" t="s">
        <v>32</v>
      </c>
      <c r="BJ305" s="2" t="s">
        <v>32</v>
      </c>
      <c r="BK305" s="2" t="s">
        <v>32</v>
      </c>
      <c r="BL305" s="2">
        <v>0</v>
      </c>
      <c r="BM305" s="2" t="s">
        <v>32</v>
      </c>
      <c r="BN305" s="2" t="s">
        <v>32</v>
      </c>
      <c r="BO305" s="2" t="s">
        <v>32</v>
      </c>
      <c r="BP305" s="2">
        <v>0</v>
      </c>
      <c r="BQ305" s="2" t="s">
        <v>32</v>
      </c>
      <c r="BR305" s="2">
        <v>0</v>
      </c>
      <c r="BS305" s="2" t="s">
        <v>1660</v>
      </c>
      <c r="BT305" s="2">
        <v>0</v>
      </c>
      <c r="BU305" s="2">
        <v>0</v>
      </c>
      <c r="BV305" s="2" t="s">
        <v>1660</v>
      </c>
      <c r="BW305" s="2"/>
      <c r="BX305" s="2"/>
      <c r="BY305" s="2" t="s">
        <v>1807</v>
      </c>
      <c r="BZ305" s="2" t="b">
        <f>OR( (Dashboard[[#This Row],[ref_as_hh]]&gt;=1),(Dashboard[[#This Row],[ret_as_hh]] &gt;=1), (Dashboard[[#This Row],[idp_as_hh]]&gt;=1))</f>
        <v>0</v>
      </c>
      <c r="CA305" s="2">
        <f>Dashboard[[#This Row],[ret_hi_hh]]</f>
        <v>0</v>
      </c>
      <c r="CB305" s="2">
        <f>Dashboard[[#This Row],[idp_fa_hh]]+Dashboard[[#This Row],[ref_fa_hh]]+Dashboard[[#This Row],[ret_fa_hh]]</f>
        <v>19</v>
      </c>
      <c r="CC305" s="2">
        <f>Dashboard[[#This Row],[idp_loc_hh]]+Dashboard[[#This Row],[ref_loc_hh]]+Dashboard[[#This Row],[ret_loc_hh]]</f>
        <v>0</v>
      </c>
      <c r="CD305" s="2">
        <f>Dashboard[[#This Row],[idp_cc_hh]]+Dashboard[[#This Row],[ref_cc_hh]]+Dashboard[[#This Row],[ret_cc_hh]]</f>
        <v>0</v>
      </c>
      <c r="CE305" s="2">
        <f>Dashboard[[#This Row],[idp_as_hh]]+Dashboard[[#This Row],[ref_as_hh]]+Dashboard[[#This Row],[ret_as_hh]]</f>
        <v>0</v>
      </c>
      <c r="CF305" s="2">
        <f>Dashboard[[#This Row],[idp_al_hh]]+Dashboard[[#This Row],[ref_al_hh]]+Dashboard[[#This Row],[ret_al_hh]]</f>
        <v>0</v>
      </c>
    </row>
    <row r="306" spans="1:84" hidden="1" x14ac:dyDescent="0.25">
      <c r="A306" s="27">
        <v>40</v>
      </c>
      <c r="B306" s="2" t="s">
        <v>22</v>
      </c>
      <c r="C306" s="2" t="s">
        <v>23</v>
      </c>
      <c r="D306" s="2" t="s">
        <v>85</v>
      </c>
      <c r="E306" s="2" t="s">
        <v>84</v>
      </c>
      <c r="F306" s="2" t="s">
        <v>98</v>
      </c>
      <c r="G306" s="2" t="s">
        <v>97</v>
      </c>
      <c r="H306" s="2" t="s">
        <v>1218</v>
      </c>
      <c r="I306" s="2" t="s">
        <v>418</v>
      </c>
      <c r="J306" s="2" t="s">
        <v>2956</v>
      </c>
      <c r="K306" s="2" t="s">
        <v>2957</v>
      </c>
      <c r="L306" s="2" t="s">
        <v>2074</v>
      </c>
      <c r="M306" s="2">
        <v>395</v>
      </c>
      <c r="N306" s="2" t="s">
        <v>1658</v>
      </c>
      <c r="O306" s="2">
        <v>15</v>
      </c>
      <c r="P306" s="2">
        <v>92</v>
      </c>
      <c r="Q306" s="2" t="s">
        <v>1658</v>
      </c>
      <c r="R306" s="2">
        <v>15</v>
      </c>
      <c r="S306" s="2" t="s">
        <v>1660</v>
      </c>
      <c r="T306" s="2">
        <v>0</v>
      </c>
      <c r="U306" s="2" t="s">
        <v>32</v>
      </c>
      <c r="V306" s="2" t="s">
        <v>32</v>
      </c>
      <c r="W306" s="2" t="s">
        <v>1660</v>
      </c>
      <c r="X306" s="2">
        <v>0</v>
      </c>
      <c r="Y306" s="2" t="s">
        <v>32</v>
      </c>
      <c r="Z306" s="2" t="s">
        <v>32</v>
      </c>
      <c r="AA306" s="2" t="s">
        <v>1660</v>
      </c>
      <c r="AB306" s="2">
        <v>0</v>
      </c>
      <c r="AC306" s="2" t="s">
        <v>1660</v>
      </c>
      <c r="AD306" s="2">
        <v>0</v>
      </c>
      <c r="AE306" s="2" t="s">
        <v>1660</v>
      </c>
      <c r="AF306" s="2">
        <v>0</v>
      </c>
      <c r="AG306" s="2">
        <v>0</v>
      </c>
      <c r="AH306" s="2" t="s">
        <v>32</v>
      </c>
      <c r="AI306" s="2" t="s">
        <v>32</v>
      </c>
      <c r="AJ306" s="2" t="s">
        <v>32</v>
      </c>
      <c r="AK306" s="2" t="s">
        <v>32</v>
      </c>
      <c r="AL306" s="2" t="s">
        <v>32</v>
      </c>
      <c r="AM306" s="2">
        <v>0</v>
      </c>
      <c r="AN306" s="2" t="s">
        <v>32</v>
      </c>
      <c r="AO306" s="2">
        <v>0</v>
      </c>
      <c r="AP306" s="2" t="s">
        <v>32</v>
      </c>
      <c r="AQ306" s="2" t="s">
        <v>32</v>
      </c>
      <c r="AR306" s="2" t="s">
        <v>32</v>
      </c>
      <c r="AS306" s="2">
        <v>0</v>
      </c>
      <c r="AT306" s="2" t="s">
        <v>32</v>
      </c>
      <c r="AU306" s="2" t="s">
        <v>32</v>
      </c>
      <c r="AV306" s="2" t="s">
        <v>32</v>
      </c>
      <c r="AW306" s="2">
        <v>0</v>
      </c>
      <c r="AX306" s="2" t="s">
        <v>32</v>
      </c>
      <c r="AY306" s="2">
        <v>0</v>
      </c>
      <c r="AZ306" s="2" t="s">
        <v>1660</v>
      </c>
      <c r="BA306" s="2">
        <v>0</v>
      </c>
      <c r="BB306" s="2">
        <v>0</v>
      </c>
      <c r="BC306" s="2" t="s">
        <v>32</v>
      </c>
      <c r="BD306" s="2">
        <v>0</v>
      </c>
      <c r="BE306" s="2" t="s">
        <v>32</v>
      </c>
      <c r="BF306" s="2">
        <v>0</v>
      </c>
      <c r="BG306" s="2" t="s">
        <v>32</v>
      </c>
      <c r="BH306" s="2">
        <v>0</v>
      </c>
      <c r="BI306" s="2" t="s">
        <v>32</v>
      </c>
      <c r="BJ306" s="2" t="s">
        <v>32</v>
      </c>
      <c r="BK306" s="2" t="s">
        <v>32</v>
      </c>
      <c r="BL306" s="2">
        <v>0</v>
      </c>
      <c r="BM306" s="2" t="s">
        <v>32</v>
      </c>
      <c r="BN306" s="2" t="s">
        <v>32</v>
      </c>
      <c r="BO306" s="2" t="s">
        <v>32</v>
      </c>
      <c r="BP306" s="2">
        <v>0</v>
      </c>
      <c r="BQ306" s="2" t="s">
        <v>32</v>
      </c>
      <c r="BR306" s="2">
        <v>0</v>
      </c>
      <c r="BS306" s="2" t="s">
        <v>1660</v>
      </c>
      <c r="BT306" s="2">
        <v>0</v>
      </c>
      <c r="BU306" s="2">
        <v>0</v>
      </c>
      <c r="BV306" s="2" t="s">
        <v>1660</v>
      </c>
      <c r="BW306" s="2"/>
      <c r="BX306" s="2"/>
      <c r="BY306" s="2" t="s">
        <v>1807</v>
      </c>
      <c r="BZ306" s="2" t="b">
        <f>OR( (Dashboard[[#This Row],[ref_as_hh]]&gt;=1),(Dashboard[[#This Row],[ret_as_hh]] &gt;=1), (Dashboard[[#This Row],[idp_as_hh]]&gt;=1))</f>
        <v>0</v>
      </c>
      <c r="CA306" s="2">
        <f>Dashboard[[#This Row],[ret_hi_hh]]</f>
        <v>0</v>
      </c>
      <c r="CB306" s="2">
        <f>Dashboard[[#This Row],[idp_fa_hh]]+Dashboard[[#This Row],[ref_fa_hh]]+Dashboard[[#This Row],[ret_fa_hh]]</f>
        <v>15</v>
      </c>
      <c r="CC306" s="2">
        <f>Dashboard[[#This Row],[idp_loc_hh]]+Dashboard[[#This Row],[ref_loc_hh]]+Dashboard[[#This Row],[ret_loc_hh]]</f>
        <v>0</v>
      </c>
      <c r="CD306" s="2">
        <f>Dashboard[[#This Row],[idp_cc_hh]]+Dashboard[[#This Row],[ref_cc_hh]]+Dashboard[[#This Row],[ret_cc_hh]]</f>
        <v>0</v>
      </c>
      <c r="CE306" s="2">
        <f>Dashboard[[#This Row],[idp_as_hh]]+Dashboard[[#This Row],[ref_as_hh]]+Dashboard[[#This Row],[ret_as_hh]]</f>
        <v>0</v>
      </c>
      <c r="CF306" s="2">
        <f>Dashboard[[#This Row],[idp_al_hh]]+Dashboard[[#This Row],[ref_al_hh]]+Dashboard[[#This Row],[ret_al_hh]]</f>
        <v>0</v>
      </c>
    </row>
    <row r="307" spans="1:84" hidden="1" x14ac:dyDescent="0.25">
      <c r="A307" s="27">
        <v>296</v>
      </c>
      <c r="B307" s="2" t="s">
        <v>22</v>
      </c>
      <c r="C307" s="2" t="s">
        <v>23</v>
      </c>
      <c r="D307" s="2" t="s">
        <v>85</v>
      </c>
      <c r="E307" s="2" t="s">
        <v>84</v>
      </c>
      <c r="F307" s="2" t="s">
        <v>98</v>
      </c>
      <c r="G307" s="2" t="s">
        <v>97</v>
      </c>
      <c r="H307" s="2" t="s">
        <v>1139</v>
      </c>
      <c r="I307" s="2" t="s">
        <v>381</v>
      </c>
      <c r="J307" s="2" t="s">
        <v>2774</v>
      </c>
      <c r="K307" s="2" t="s">
        <v>2775</v>
      </c>
      <c r="L307" s="2" t="s">
        <v>2074</v>
      </c>
      <c r="M307" s="2">
        <v>203</v>
      </c>
      <c r="N307" s="2" t="s">
        <v>1658</v>
      </c>
      <c r="O307" s="2">
        <v>7</v>
      </c>
      <c r="P307" s="2">
        <v>52</v>
      </c>
      <c r="Q307" s="2" t="s">
        <v>1658</v>
      </c>
      <c r="R307" s="2">
        <v>7</v>
      </c>
      <c r="S307" s="2" t="s">
        <v>1660</v>
      </c>
      <c r="T307" s="2">
        <v>0</v>
      </c>
      <c r="U307" s="2" t="s">
        <v>32</v>
      </c>
      <c r="V307" s="2" t="s">
        <v>32</v>
      </c>
      <c r="W307" s="2" t="s">
        <v>1660</v>
      </c>
      <c r="X307" s="2">
        <v>0</v>
      </c>
      <c r="Y307" s="2" t="s">
        <v>32</v>
      </c>
      <c r="Z307" s="2" t="s">
        <v>32</v>
      </c>
      <c r="AA307" s="2" t="s">
        <v>1660</v>
      </c>
      <c r="AB307" s="2">
        <v>0</v>
      </c>
      <c r="AC307" s="2" t="s">
        <v>1660</v>
      </c>
      <c r="AD307" s="2">
        <v>0</v>
      </c>
      <c r="AE307" s="2" t="s">
        <v>1660</v>
      </c>
      <c r="AF307" s="2">
        <v>0</v>
      </c>
      <c r="AG307" s="2">
        <v>0</v>
      </c>
      <c r="AH307" s="2" t="s">
        <v>32</v>
      </c>
      <c r="AI307" s="2" t="s">
        <v>32</v>
      </c>
      <c r="AJ307" s="2" t="s">
        <v>32</v>
      </c>
      <c r="AK307" s="2" t="s">
        <v>32</v>
      </c>
      <c r="AL307" s="2" t="s">
        <v>32</v>
      </c>
      <c r="AM307" s="2">
        <v>0</v>
      </c>
      <c r="AN307" s="2" t="s">
        <v>32</v>
      </c>
      <c r="AO307" s="2">
        <v>0</v>
      </c>
      <c r="AP307" s="2" t="s">
        <v>32</v>
      </c>
      <c r="AQ307" s="2" t="s">
        <v>32</v>
      </c>
      <c r="AR307" s="2" t="s">
        <v>32</v>
      </c>
      <c r="AS307" s="2">
        <v>0</v>
      </c>
      <c r="AT307" s="2" t="s">
        <v>32</v>
      </c>
      <c r="AU307" s="2" t="s">
        <v>32</v>
      </c>
      <c r="AV307" s="2" t="s">
        <v>32</v>
      </c>
      <c r="AW307" s="2">
        <v>0</v>
      </c>
      <c r="AX307" s="2" t="s">
        <v>32</v>
      </c>
      <c r="AY307" s="2">
        <v>0</v>
      </c>
      <c r="AZ307" s="2" t="s">
        <v>1660</v>
      </c>
      <c r="BA307" s="2">
        <v>0</v>
      </c>
      <c r="BB307" s="2">
        <v>0</v>
      </c>
      <c r="BC307" s="2" t="s">
        <v>32</v>
      </c>
      <c r="BD307" s="2">
        <v>0</v>
      </c>
      <c r="BE307" s="2" t="s">
        <v>32</v>
      </c>
      <c r="BF307" s="2">
        <v>0</v>
      </c>
      <c r="BG307" s="2" t="s">
        <v>32</v>
      </c>
      <c r="BH307" s="2">
        <v>0</v>
      </c>
      <c r="BI307" s="2" t="s">
        <v>32</v>
      </c>
      <c r="BJ307" s="2" t="s">
        <v>32</v>
      </c>
      <c r="BK307" s="2" t="s">
        <v>32</v>
      </c>
      <c r="BL307" s="2">
        <v>0</v>
      </c>
      <c r="BM307" s="2" t="s">
        <v>32</v>
      </c>
      <c r="BN307" s="2" t="s">
        <v>32</v>
      </c>
      <c r="BO307" s="2" t="s">
        <v>32</v>
      </c>
      <c r="BP307" s="2">
        <v>0</v>
      </c>
      <c r="BQ307" s="2" t="s">
        <v>32</v>
      </c>
      <c r="BR307" s="2">
        <v>0</v>
      </c>
      <c r="BS307" s="2" t="s">
        <v>1660</v>
      </c>
      <c r="BT307" s="2">
        <v>0</v>
      </c>
      <c r="BU307" s="2">
        <v>0</v>
      </c>
      <c r="BV307" s="2" t="s">
        <v>1660</v>
      </c>
      <c r="BW307" s="2"/>
      <c r="BX307" s="2"/>
      <c r="BY307" s="2" t="s">
        <v>1807</v>
      </c>
      <c r="BZ307" s="2" t="b">
        <f>OR( (Dashboard[[#This Row],[ref_as_hh]]&gt;=1),(Dashboard[[#This Row],[ret_as_hh]] &gt;=1), (Dashboard[[#This Row],[idp_as_hh]]&gt;=1))</f>
        <v>0</v>
      </c>
      <c r="CA307" s="2">
        <f>Dashboard[[#This Row],[ret_hi_hh]]</f>
        <v>0</v>
      </c>
      <c r="CB307" s="2">
        <f>Dashboard[[#This Row],[idp_fa_hh]]+Dashboard[[#This Row],[ref_fa_hh]]+Dashboard[[#This Row],[ret_fa_hh]]</f>
        <v>7</v>
      </c>
      <c r="CC307" s="2">
        <f>Dashboard[[#This Row],[idp_loc_hh]]+Dashboard[[#This Row],[ref_loc_hh]]+Dashboard[[#This Row],[ret_loc_hh]]</f>
        <v>0</v>
      </c>
      <c r="CD307" s="2">
        <f>Dashboard[[#This Row],[idp_cc_hh]]+Dashboard[[#This Row],[ref_cc_hh]]+Dashboard[[#This Row],[ret_cc_hh]]</f>
        <v>0</v>
      </c>
      <c r="CE307" s="2">
        <f>Dashboard[[#This Row],[idp_as_hh]]+Dashboard[[#This Row],[ref_as_hh]]+Dashboard[[#This Row],[ret_as_hh]]</f>
        <v>0</v>
      </c>
      <c r="CF307" s="2">
        <f>Dashboard[[#This Row],[idp_al_hh]]+Dashboard[[#This Row],[ref_al_hh]]+Dashboard[[#This Row],[ret_al_hh]]</f>
        <v>0</v>
      </c>
    </row>
    <row r="308" spans="1:84" hidden="1" x14ac:dyDescent="0.25">
      <c r="A308" s="27">
        <v>42</v>
      </c>
      <c r="B308" s="2" t="s">
        <v>22</v>
      </c>
      <c r="C308" s="2" t="s">
        <v>23</v>
      </c>
      <c r="D308" s="2" t="s">
        <v>85</v>
      </c>
      <c r="E308" s="2" t="s">
        <v>84</v>
      </c>
      <c r="F308" s="2" t="s">
        <v>98</v>
      </c>
      <c r="G308" s="2" t="s">
        <v>97</v>
      </c>
      <c r="H308" s="2" t="s">
        <v>1147</v>
      </c>
      <c r="I308" s="2" t="s">
        <v>385</v>
      </c>
      <c r="J308" s="2" t="s">
        <v>2790</v>
      </c>
      <c r="K308" s="2" t="s">
        <v>2791</v>
      </c>
      <c r="L308" s="2" t="s">
        <v>2074</v>
      </c>
      <c r="M308" s="2">
        <v>491</v>
      </c>
      <c r="N308" s="2" t="s">
        <v>1658</v>
      </c>
      <c r="O308" s="2">
        <v>16</v>
      </c>
      <c r="P308" s="2">
        <v>103</v>
      </c>
      <c r="Q308" s="2" t="s">
        <v>1658</v>
      </c>
      <c r="R308" s="2">
        <v>16</v>
      </c>
      <c r="S308" s="2" t="s">
        <v>1660</v>
      </c>
      <c r="T308" s="2">
        <v>0</v>
      </c>
      <c r="U308" s="2" t="s">
        <v>32</v>
      </c>
      <c r="V308" s="2" t="s">
        <v>32</v>
      </c>
      <c r="W308" s="2" t="s">
        <v>1660</v>
      </c>
      <c r="X308" s="2">
        <v>0</v>
      </c>
      <c r="Y308" s="2" t="s">
        <v>32</v>
      </c>
      <c r="Z308" s="2" t="s">
        <v>32</v>
      </c>
      <c r="AA308" s="2" t="s">
        <v>1660</v>
      </c>
      <c r="AB308" s="2">
        <v>0</v>
      </c>
      <c r="AC308" s="2" t="s">
        <v>1660</v>
      </c>
      <c r="AD308" s="2">
        <v>0</v>
      </c>
      <c r="AE308" s="2" t="s">
        <v>1660</v>
      </c>
      <c r="AF308" s="2">
        <v>0</v>
      </c>
      <c r="AG308" s="2">
        <v>0</v>
      </c>
      <c r="AH308" s="2" t="s">
        <v>32</v>
      </c>
      <c r="AI308" s="2" t="s">
        <v>32</v>
      </c>
      <c r="AJ308" s="2" t="s">
        <v>32</v>
      </c>
      <c r="AK308" s="2" t="s">
        <v>32</v>
      </c>
      <c r="AL308" s="2" t="s">
        <v>32</v>
      </c>
      <c r="AM308" s="2">
        <v>0</v>
      </c>
      <c r="AN308" s="2" t="s">
        <v>32</v>
      </c>
      <c r="AO308" s="2">
        <v>0</v>
      </c>
      <c r="AP308" s="2" t="s">
        <v>32</v>
      </c>
      <c r="AQ308" s="2" t="s">
        <v>32</v>
      </c>
      <c r="AR308" s="2" t="s">
        <v>32</v>
      </c>
      <c r="AS308" s="2">
        <v>0</v>
      </c>
      <c r="AT308" s="2" t="s">
        <v>32</v>
      </c>
      <c r="AU308" s="2" t="s">
        <v>32</v>
      </c>
      <c r="AV308" s="2" t="s">
        <v>32</v>
      </c>
      <c r="AW308" s="2">
        <v>0</v>
      </c>
      <c r="AX308" s="2" t="s">
        <v>32</v>
      </c>
      <c r="AY308" s="2">
        <v>0</v>
      </c>
      <c r="AZ308" s="2" t="s">
        <v>1660</v>
      </c>
      <c r="BA308" s="2">
        <v>0</v>
      </c>
      <c r="BB308" s="2">
        <v>0</v>
      </c>
      <c r="BC308" s="2" t="s">
        <v>32</v>
      </c>
      <c r="BD308" s="2">
        <v>0</v>
      </c>
      <c r="BE308" s="2" t="s">
        <v>32</v>
      </c>
      <c r="BF308" s="2">
        <v>0</v>
      </c>
      <c r="BG308" s="2" t="s">
        <v>32</v>
      </c>
      <c r="BH308" s="2">
        <v>0</v>
      </c>
      <c r="BI308" s="2" t="s">
        <v>32</v>
      </c>
      <c r="BJ308" s="2" t="s">
        <v>32</v>
      </c>
      <c r="BK308" s="2" t="s">
        <v>32</v>
      </c>
      <c r="BL308" s="2">
        <v>0</v>
      </c>
      <c r="BM308" s="2" t="s">
        <v>32</v>
      </c>
      <c r="BN308" s="2" t="s">
        <v>32</v>
      </c>
      <c r="BO308" s="2" t="s">
        <v>32</v>
      </c>
      <c r="BP308" s="2">
        <v>0</v>
      </c>
      <c r="BQ308" s="2" t="s">
        <v>32</v>
      </c>
      <c r="BR308" s="2">
        <v>0</v>
      </c>
      <c r="BS308" s="2" t="s">
        <v>1660</v>
      </c>
      <c r="BT308" s="2">
        <v>0</v>
      </c>
      <c r="BU308" s="2">
        <v>0</v>
      </c>
      <c r="BV308" s="2" t="s">
        <v>1660</v>
      </c>
      <c r="BW308" s="2"/>
      <c r="BX308" s="2"/>
      <c r="BY308" s="2" t="s">
        <v>1807</v>
      </c>
      <c r="BZ308" s="2" t="b">
        <f>OR( (Dashboard[[#This Row],[ref_as_hh]]&gt;=1),(Dashboard[[#This Row],[ret_as_hh]] &gt;=1), (Dashboard[[#This Row],[idp_as_hh]]&gt;=1))</f>
        <v>0</v>
      </c>
      <c r="CA308" s="2">
        <f>Dashboard[[#This Row],[ret_hi_hh]]</f>
        <v>0</v>
      </c>
      <c r="CB308" s="2">
        <f>Dashboard[[#This Row],[idp_fa_hh]]+Dashboard[[#This Row],[ref_fa_hh]]+Dashboard[[#This Row],[ret_fa_hh]]</f>
        <v>16</v>
      </c>
      <c r="CC308" s="2">
        <f>Dashboard[[#This Row],[idp_loc_hh]]+Dashboard[[#This Row],[ref_loc_hh]]+Dashboard[[#This Row],[ret_loc_hh]]</f>
        <v>0</v>
      </c>
      <c r="CD308" s="2">
        <f>Dashboard[[#This Row],[idp_cc_hh]]+Dashboard[[#This Row],[ref_cc_hh]]+Dashboard[[#This Row],[ret_cc_hh]]</f>
        <v>0</v>
      </c>
      <c r="CE308" s="2">
        <f>Dashboard[[#This Row],[idp_as_hh]]+Dashboard[[#This Row],[ref_as_hh]]+Dashboard[[#This Row],[ret_as_hh]]</f>
        <v>0</v>
      </c>
      <c r="CF308" s="2">
        <f>Dashboard[[#This Row],[idp_al_hh]]+Dashboard[[#This Row],[ref_al_hh]]+Dashboard[[#This Row],[ret_al_hh]]</f>
        <v>0</v>
      </c>
    </row>
    <row r="309" spans="1:84" hidden="1" x14ac:dyDescent="0.25">
      <c r="A309" s="27">
        <v>43</v>
      </c>
      <c r="B309" s="2" t="s">
        <v>22</v>
      </c>
      <c r="C309" s="2" t="s">
        <v>23</v>
      </c>
      <c r="D309" s="2" t="s">
        <v>85</v>
      </c>
      <c r="E309" s="2" t="s">
        <v>84</v>
      </c>
      <c r="F309" s="2" t="s">
        <v>98</v>
      </c>
      <c r="G309" s="2" t="s">
        <v>97</v>
      </c>
      <c r="H309" s="2" t="s">
        <v>1267</v>
      </c>
      <c r="I309" s="2" t="s">
        <v>447</v>
      </c>
      <c r="J309" s="2" t="s">
        <v>3060</v>
      </c>
      <c r="K309" s="2" t="s">
        <v>3061</v>
      </c>
      <c r="L309" s="2" t="s">
        <v>2074</v>
      </c>
      <c r="M309" s="2">
        <v>1500</v>
      </c>
      <c r="N309" s="2" t="s">
        <v>1658</v>
      </c>
      <c r="O309" s="2">
        <v>7</v>
      </c>
      <c r="P309" s="2">
        <v>38</v>
      </c>
      <c r="Q309" s="2" t="s">
        <v>1658</v>
      </c>
      <c r="R309" s="2">
        <v>7</v>
      </c>
      <c r="S309" s="2" t="s">
        <v>1660</v>
      </c>
      <c r="T309" s="2">
        <v>0</v>
      </c>
      <c r="U309" s="2" t="s">
        <v>32</v>
      </c>
      <c r="V309" s="2" t="s">
        <v>32</v>
      </c>
      <c r="W309" s="2" t="s">
        <v>1660</v>
      </c>
      <c r="X309" s="2">
        <v>0</v>
      </c>
      <c r="Y309" s="2" t="s">
        <v>32</v>
      </c>
      <c r="Z309" s="2" t="s">
        <v>32</v>
      </c>
      <c r="AA309" s="2" t="s">
        <v>1660</v>
      </c>
      <c r="AB309" s="2">
        <v>0</v>
      </c>
      <c r="AC309" s="2" t="s">
        <v>1660</v>
      </c>
      <c r="AD309" s="2">
        <v>0</v>
      </c>
      <c r="AE309" s="2" t="s">
        <v>1658</v>
      </c>
      <c r="AF309" s="2">
        <v>41</v>
      </c>
      <c r="AG309" s="2">
        <v>204</v>
      </c>
      <c r="AH309" s="2" t="s">
        <v>1660</v>
      </c>
      <c r="AI309" s="2" t="s">
        <v>32</v>
      </c>
      <c r="AJ309" s="2" t="s">
        <v>32</v>
      </c>
      <c r="AK309" s="2" t="s">
        <v>32</v>
      </c>
      <c r="AL309" s="2" t="s">
        <v>1658</v>
      </c>
      <c r="AM309" s="2">
        <v>41</v>
      </c>
      <c r="AN309" s="2" t="s">
        <v>1660</v>
      </c>
      <c r="AO309" s="2">
        <v>0</v>
      </c>
      <c r="AP309" s="2" t="s">
        <v>32</v>
      </c>
      <c r="AQ309" s="2" t="s">
        <v>32</v>
      </c>
      <c r="AR309" s="2" t="s">
        <v>1660</v>
      </c>
      <c r="AS309" s="2">
        <v>0</v>
      </c>
      <c r="AT309" s="2" t="s">
        <v>32</v>
      </c>
      <c r="AU309" s="2" t="s">
        <v>32</v>
      </c>
      <c r="AV309" s="2" t="s">
        <v>1660</v>
      </c>
      <c r="AW309" s="2">
        <v>0</v>
      </c>
      <c r="AX309" s="2" t="s">
        <v>1660</v>
      </c>
      <c r="AY309" s="2">
        <v>0</v>
      </c>
      <c r="AZ309" s="2" t="s">
        <v>1660</v>
      </c>
      <c r="BA309" s="2">
        <v>0</v>
      </c>
      <c r="BB309" s="2">
        <v>0</v>
      </c>
      <c r="BC309" s="2" t="s">
        <v>32</v>
      </c>
      <c r="BD309" s="2">
        <v>0</v>
      </c>
      <c r="BE309" s="2" t="s">
        <v>32</v>
      </c>
      <c r="BF309" s="2">
        <v>0</v>
      </c>
      <c r="BG309" s="2" t="s">
        <v>32</v>
      </c>
      <c r="BH309" s="2">
        <v>0</v>
      </c>
      <c r="BI309" s="2" t="s">
        <v>32</v>
      </c>
      <c r="BJ309" s="2" t="s">
        <v>32</v>
      </c>
      <c r="BK309" s="2" t="s">
        <v>32</v>
      </c>
      <c r="BL309" s="2">
        <v>0</v>
      </c>
      <c r="BM309" s="2" t="s">
        <v>32</v>
      </c>
      <c r="BN309" s="2" t="s">
        <v>32</v>
      </c>
      <c r="BO309" s="2" t="s">
        <v>32</v>
      </c>
      <c r="BP309" s="2">
        <v>0</v>
      </c>
      <c r="BQ309" s="2" t="s">
        <v>32</v>
      </c>
      <c r="BR309" s="2">
        <v>0</v>
      </c>
      <c r="BS309" s="2" t="s">
        <v>1660</v>
      </c>
      <c r="BT309" s="2">
        <v>0</v>
      </c>
      <c r="BU309" s="2">
        <v>0</v>
      </c>
      <c r="BV309" s="2" t="s">
        <v>1660</v>
      </c>
      <c r="BW309" s="2"/>
      <c r="BX309" s="2"/>
      <c r="BY309" s="2" t="s">
        <v>1807</v>
      </c>
      <c r="BZ309" s="2" t="b">
        <f>OR( (Dashboard[[#This Row],[ref_as_hh]]&gt;=1),(Dashboard[[#This Row],[ret_as_hh]] &gt;=1), (Dashboard[[#This Row],[idp_as_hh]]&gt;=1))</f>
        <v>0</v>
      </c>
      <c r="CA309" s="2">
        <f>Dashboard[[#This Row],[ret_hi_hh]]</f>
        <v>0</v>
      </c>
      <c r="CB309" s="2">
        <f>Dashboard[[#This Row],[idp_fa_hh]]+Dashboard[[#This Row],[ref_fa_hh]]+Dashboard[[#This Row],[ret_fa_hh]]</f>
        <v>48</v>
      </c>
      <c r="CC309" s="2">
        <f>Dashboard[[#This Row],[idp_loc_hh]]+Dashboard[[#This Row],[ref_loc_hh]]+Dashboard[[#This Row],[ret_loc_hh]]</f>
        <v>0</v>
      </c>
      <c r="CD309" s="2">
        <f>Dashboard[[#This Row],[idp_cc_hh]]+Dashboard[[#This Row],[ref_cc_hh]]+Dashboard[[#This Row],[ret_cc_hh]]</f>
        <v>0</v>
      </c>
      <c r="CE309" s="2">
        <f>Dashboard[[#This Row],[idp_as_hh]]+Dashboard[[#This Row],[ref_as_hh]]+Dashboard[[#This Row],[ret_as_hh]]</f>
        <v>0</v>
      </c>
      <c r="CF309" s="2">
        <f>Dashboard[[#This Row],[idp_al_hh]]+Dashboard[[#This Row],[ref_al_hh]]+Dashboard[[#This Row],[ret_al_hh]]</f>
        <v>0</v>
      </c>
    </row>
    <row r="310" spans="1:84" hidden="1" x14ac:dyDescent="0.25">
      <c r="A310" s="27">
        <v>44</v>
      </c>
      <c r="B310" s="2" t="s">
        <v>22</v>
      </c>
      <c r="C310" s="2" t="s">
        <v>23</v>
      </c>
      <c r="D310" s="2" t="s">
        <v>85</v>
      </c>
      <c r="E310" s="2" t="s">
        <v>84</v>
      </c>
      <c r="F310" s="2" t="s">
        <v>98</v>
      </c>
      <c r="G310" s="2" t="s">
        <v>97</v>
      </c>
      <c r="H310" s="2" t="s">
        <v>1219</v>
      </c>
      <c r="I310" s="2" t="s">
        <v>419</v>
      </c>
      <c r="J310" s="2" t="s">
        <v>2960</v>
      </c>
      <c r="K310" s="2" t="s">
        <v>2961</v>
      </c>
      <c r="L310" s="2" t="s">
        <v>2074</v>
      </c>
      <c r="M310" s="2">
        <v>771</v>
      </c>
      <c r="N310" s="2" t="s">
        <v>1658</v>
      </c>
      <c r="O310" s="2">
        <v>12</v>
      </c>
      <c r="P310" s="2">
        <v>71</v>
      </c>
      <c r="Q310" s="2" t="s">
        <v>1658</v>
      </c>
      <c r="R310" s="2">
        <v>12</v>
      </c>
      <c r="S310" s="2" t="s">
        <v>1660</v>
      </c>
      <c r="T310" s="2">
        <v>0</v>
      </c>
      <c r="U310" s="2" t="s">
        <v>32</v>
      </c>
      <c r="V310" s="2" t="s">
        <v>32</v>
      </c>
      <c r="W310" s="2" t="s">
        <v>1660</v>
      </c>
      <c r="X310" s="2">
        <v>0</v>
      </c>
      <c r="Y310" s="2" t="s">
        <v>32</v>
      </c>
      <c r="Z310" s="2" t="s">
        <v>32</v>
      </c>
      <c r="AA310" s="2" t="s">
        <v>1660</v>
      </c>
      <c r="AB310" s="2">
        <v>0</v>
      </c>
      <c r="AC310" s="2" t="s">
        <v>1660</v>
      </c>
      <c r="AD310" s="2">
        <v>0</v>
      </c>
      <c r="AE310" s="2" t="s">
        <v>1660</v>
      </c>
      <c r="AF310" s="2">
        <v>0</v>
      </c>
      <c r="AG310" s="2">
        <v>0</v>
      </c>
      <c r="AH310" s="2" t="s">
        <v>32</v>
      </c>
      <c r="AI310" s="2" t="s">
        <v>32</v>
      </c>
      <c r="AJ310" s="2" t="s">
        <v>32</v>
      </c>
      <c r="AK310" s="2" t="s">
        <v>32</v>
      </c>
      <c r="AL310" s="2" t="s">
        <v>32</v>
      </c>
      <c r="AM310" s="2">
        <v>0</v>
      </c>
      <c r="AN310" s="2" t="s">
        <v>32</v>
      </c>
      <c r="AO310" s="2">
        <v>0</v>
      </c>
      <c r="AP310" s="2" t="s">
        <v>32</v>
      </c>
      <c r="AQ310" s="2" t="s">
        <v>32</v>
      </c>
      <c r="AR310" s="2" t="s">
        <v>32</v>
      </c>
      <c r="AS310" s="2">
        <v>0</v>
      </c>
      <c r="AT310" s="2" t="s">
        <v>32</v>
      </c>
      <c r="AU310" s="2" t="s">
        <v>32</v>
      </c>
      <c r="AV310" s="2" t="s">
        <v>32</v>
      </c>
      <c r="AW310" s="2">
        <v>0</v>
      </c>
      <c r="AX310" s="2" t="s">
        <v>32</v>
      </c>
      <c r="AY310" s="2">
        <v>0</v>
      </c>
      <c r="AZ310" s="2" t="s">
        <v>1660</v>
      </c>
      <c r="BA310" s="2">
        <v>0</v>
      </c>
      <c r="BB310" s="2">
        <v>0</v>
      </c>
      <c r="BC310" s="2" t="s">
        <v>32</v>
      </c>
      <c r="BD310" s="2">
        <v>0</v>
      </c>
      <c r="BE310" s="2" t="s">
        <v>32</v>
      </c>
      <c r="BF310" s="2">
        <v>0</v>
      </c>
      <c r="BG310" s="2" t="s">
        <v>32</v>
      </c>
      <c r="BH310" s="2">
        <v>0</v>
      </c>
      <c r="BI310" s="2" t="s">
        <v>32</v>
      </c>
      <c r="BJ310" s="2" t="s">
        <v>32</v>
      </c>
      <c r="BK310" s="2" t="s">
        <v>32</v>
      </c>
      <c r="BL310" s="2">
        <v>0</v>
      </c>
      <c r="BM310" s="2" t="s">
        <v>32</v>
      </c>
      <c r="BN310" s="2" t="s">
        <v>32</v>
      </c>
      <c r="BO310" s="2" t="s">
        <v>32</v>
      </c>
      <c r="BP310" s="2">
        <v>0</v>
      </c>
      <c r="BQ310" s="2" t="s">
        <v>32</v>
      </c>
      <c r="BR310" s="2">
        <v>0</v>
      </c>
      <c r="BS310" s="2" t="s">
        <v>1660</v>
      </c>
      <c r="BT310" s="2">
        <v>0</v>
      </c>
      <c r="BU310" s="2">
        <v>0</v>
      </c>
      <c r="BV310" s="2" t="s">
        <v>1660</v>
      </c>
      <c r="BW310" s="2"/>
      <c r="BX310" s="2"/>
      <c r="BY310" s="2" t="s">
        <v>1807</v>
      </c>
      <c r="BZ310" s="2" t="b">
        <f>OR( (Dashboard[[#This Row],[ref_as_hh]]&gt;=1),(Dashboard[[#This Row],[ret_as_hh]] &gt;=1), (Dashboard[[#This Row],[idp_as_hh]]&gt;=1))</f>
        <v>0</v>
      </c>
      <c r="CA310" s="2">
        <f>Dashboard[[#This Row],[ret_hi_hh]]</f>
        <v>0</v>
      </c>
      <c r="CB310" s="2">
        <f>Dashboard[[#This Row],[idp_fa_hh]]+Dashboard[[#This Row],[ref_fa_hh]]+Dashboard[[#This Row],[ret_fa_hh]]</f>
        <v>12</v>
      </c>
      <c r="CC310" s="2">
        <f>Dashboard[[#This Row],[idp_loc_hh]]+Dashboard[[#This Row],[ref_loc_hh]]+Dashboard[[#This Row],[ret_loc_hh]]</f>
        <v>0</v>
      </c>
      <c r="CD310" s="2">
        <f>Dashboard[[#This Row],[idp_cc_hh]]+Dashboard[[#This Row],[ref_cc_hh]]+Dashboard[[#This Row],[ret_cc_hh]]</f>
        <v>0</v>
      </c>
      <c r="CE310" s="2">
        <f>Dashboard[[#This Row],[idp_as_hh]]+Dashboard[[#This Row],[ref_as_hh]]+Dashboard[[#This Row],[ret_as_hh]]</f>
        <v>0</v>
      </c>
      <c r="CF310" s="2">
        <f>Dashboard[[#This Row],[idp_al_hh]]+Dashboard[[#This Row],[ref_al_hh]]+Dashboard[[#This Row],[ret_al_hh]]</f>
        <v>0</v>
      </c>
    </row>
    <row r="311" spans="1:84" hidden="1" x14ac:dyDescent="0.25">
      <c r="A311" s="27">
        <v>45</v>
      </c>
      <c r="B311" s="2" t="s">
        <v>22</v>
      </c>
      <c r="C311" s="2" t="s">
        <v>23</v>
      </c>
      <c r="D311" s="2" t="s">
        <v>85</v>
      </c>
      <c r="E311" s="2" t="s">
        <v>84</v>
      </c>
      <c r="F311" s="2" t="s">
        <v>98</v>
      </c>
      <c r="G311" s="2" t="s">
        <v>97</v>
      </c>
      <c r="H311" s="2" t="s">
        <v>1260</v>
      </c>
      <c r="I311" s="2" t="s">
        <v>443</v>
      </c>
      <c r="J311" s="2" t="s">
        <v>3044</v>
      </c>
      <c r="K311" s="2" t="s">
        <v>3045</v>
      </c>
      <c r="L311" s="2" t="s">
        <v>2074</v>
      </c>
      <c r="M311" s="2">
        <v>981</v>
      </c>
      <c r="N311" s="2" t="s">
        <v>1658</v>
      </c>
      <c r="O311" s="2">
        <v>23</v>
      </c>
      <c r="P311" s="2">
        <v>152</v>
      </c>
      <c r="Q311" s="2" t="s">
        <v>1658</v>
      </c>
      <c r="R311" s="2">
        <v>23</v>
      </c>
      <c r="S311" s="2" t="s">
        <v>1660</v>
      </c>
      <c r="T311" s="2">
        <v>0</v>
      </c>
      <c r="U311" s="2" t="s">
        <v>32</v>
      </c>
      <c r="V311" s="2" t="s">
        <v>32</v>
      </c>
      <c r="W311" s="2" t="s">
        <v>1660</v>
      </c>
      <c r="X311" s="2">
        <v>0</v>
      </c>
      <c r="Y311" s="2" t="s">
        <v>32</v>
      </c>
      <c r="Z311" s="2" t="s">
        <v>32</v>
      </c>
      <c r="AA311" s="2" t="s">
        <v>1660</v>
      </c>
      <c r="AB311" s="2">
        <v>0</v>
      </c>
      <c r="AC311" s="2" t="s">
        <v>1660</v>
      </c>
      <c r="AD311" s="2">
        <v>0</v>
      </c>
      <c r="AE311" s="2" t="s">
        <v>1660</v>
      </c>
      <c r="AF311" s="2">
        <v>0</v>
      </c>
      <c r="AG311" s="2">
        <v>0</v>
      </c>
      <c r="AH311" s="2" t="s">
        <v>32</v>
      </c>
      <c r="AI311" s="2" t="s">
        <v>32</v>
      </c>
      <c r="AJ311" s="2" t="s">
        <v>32</v>
      </c>
      <c r="AK311" s="2" t="s">
        <v>32</v>
      </c>
      <c r="AL311" s="2" t="s">
        <v>32</v>
      </c>
      <c r="AM311" s="2">
        <v>0</v>
      </c>
      <c r="AN311" s="2" t="s">
        <v>32</v>
      </c>
      <c r="AO311" s="2">
        <v>0</v>
      </c>
      <c r="AP311" s="2" t="s">
        <v>32</v>
      </c>
      <c r="AQ311" s="2" t="s">
        <v>32</v>
      </c>
      <c r="AR311" s="2" t="s">
        <v>32</v>
      </c>
      <c r="AS311" s="2">
        <v>0</v>
      </c>
      <c r="AT311" s="2" t="s">
        <v>32</v>
      </c>
      <c r="AU311" s="2" t="s">
        <v>32</v>
      </c>
      <c r="AV311" s="2" t="s">
        <v>32</v>
      </c>
      <c r="AW311" s="2">
        <v>0</v>
      </c>
      <c r="AX311" s="2" t="s">
        <v>32</v>
      </c>
      <c r="AY311" s="2">
        <v>0</v>
      </c>
      <c r="AZ311" s="2" t="s">
        <v>1660</v>
      </c>
      <c r="BA311" s="2">
        <v>0</v>
      </c>
      <c r="BB311" s="2">
        <v>0</v>
      </c>
      <c r="BC311" s="2" t="s">
        <v>32</v>
      </c>
      <c r="BD311" s="2">
        <v>0</v>
      </c>
      <c r="BE311" s="2" t="s">
        <v>32</v>
      </c>
      <c r="BF311" s="2">
        <v>0</v>
      </c>
      <c r="BG311" s="2" t="s">
        <v>32</v>
      </c>
      <c r="BH311" s="2">
        <v>0</v>
      </c>
      <c r="BI311" s="2" t="s">
        <v>32</v>
      </c>
      <c r="BJ311" s="2" t="s">
        <v>32</v>
      </c>
      <c r="BK311" s="2" t="s">
        <v>32</v>
      </c>
      <c r="BL311" s="2">
        <v>0</v>
      </c>
      <c r="BM311" s="2" t="s">
        <v>32</v>
      </c>
      <c r="BN311" s="2" t="s">
        <v>32</v>
      </c>
      <c r="BO311" s="2" t="s">
        <v>32</v>
      </c>
      <c r="BP311" s="2">
        <v>0</v>
      </c>
      <c r="BQ311" s="2" t="s">
        <v>32</v>
      </c>
      <c r="BR311" s="2">
        <v>0</v>
      </c>
      <c r="BS311" s="2" t="s">
        <v>1660</v>
      </c>
      <c r="BT311" s="2">
        <v>0</v>
      </c>
      <c r="BU311" s="2">
        <v>0</v>
      </c>
      <c r="BV311" s="2" t="s">
        <v>1660</v>
      </c>
      <c r="BW311" s="2"/>
      <c r="BX311" s="2"/>
      <c r="BY311" s="2" t="s">
        <v>1807</v>
      </c>
      <c r="BZ311" s="2" t="b">
        <f>OR( (Dashboard[[#This Row],[ref_as_hh]]&gt;=1),(Dashboard[[#This Row],[ret_as_hh]] &gt;=1), (Dashboard[[#This Row],[idp_as_hh]]&gt;=1))</f>
        <v>0</v>
      </c>
      <c r="CA311" s="2">
        <f>Dashboard[[#This Row],[ret_hi_hh]]</f>
        <v>0</v>
      </c>
      <c r="CB311" s="2">
        <f>Dashboard[[#This Row],[idp_fa_hh]]+Dashboard[[#This Row],[ref_fa_hh]]+Dashboard[[#This Row],[ret_fa_hh]]</f>
        <v>23</v>
      </c>
      <c r="CC311" s="2">
        <f>Dashboard[[#This Row],[idp_loc_hh]]+Dashboard[[#This Row],[ref_loc_hh]]+Dashboard[[#This Row],[ret_loc_hh]]</f>
        <v>0</v>
      </c>
      <c r="CD311" s="2">
        <f>Dashboard[[#This Row],[idp_cc_hh]]+Dashboard[[#This Row],[ref_cc_hh]]+Dashboard[[#This Row],[ret_cc_hh]]</f>
        <v>0</v>
      </c>
      <c r="CE311" s="2">
        <f>Dashboard[[#This Row],[idp_as_hh]]+Dashboard[[#This Row],[ref_as_hh]]+Dashboard[[#This Row],[ret_as_hh]]</f>
        <v>0</v>
      </c>
      <c r="CF311" s="2">
        <f>Dashboard[[#This Row],[idp_al_hh]]+Dashboard[[#This Row],[ref_al_hh]]+Dashboard[[#This Row],[ret_al_hh]]</f>
        <v>0</v>
      </c>
    </row>
    <row r="312" spans="1:84" hidden="1" x14ac:dyDescent="0.25">
      <c r="A312" s="27">
        <v>46</v>
      </c>
      <c r="B312" s="2" t="s">
        <v>22</v>
      </c>
      <c r="C312" s="2" t="s">
        <v>23</v>
      </c>
      <c r="D312" s="2" t="s">
        <v>85</v>
      </c>
      <c r="E312" s="2" t="s">
        <v>84</v>
      </c>
      <c r="F312" s="2" t="s">
        <v>98</v>
      </c>
      <c r="G312" s="2" t="s">
        <v>97</v>
      </c>
      <c r="H312" s="2" t="s">
        <v>1256</v>
      </c>
      <c r="I312" s="2" t="s">
        <v>821</v>
      </c>
      <c r="J312" s="2" t="s">
        <v>3036</v>
      </c>
      <c r="K312" s="2" t="s">
        <v>3037</v>
      </c>
      <c r="L312" s="2" t="s">
        <v>2074</v>
      </c>
      <c r="M312" s="2">
        <v>141</v>
      </c>
      <c r="N312" s="2" t="s">
        <v>1658</v>
      </c>
      <c r="O312" s="2">
        <v>8</v>
      </c>
      <c r="P312" s="2">
        <v>68</v>
      </c>
      <c r="Q312" s="2" t="s">
        <v>1658</v>
      </c>
      <c r="R312" s="2">
        <v>8</v>
      </c>
      <c r="S312" s="2" t="s">
        <v>1660</v>
      </c>
      <c r="T312" s="2">
        <v>0</v>
      </c>
      <c r="U312" s="2" t="s">
        <v>32</v>
      </c>
      <c r="V312" s="2" t="s">
        <v>32</v>
      </c>
      <c r="W312" s="2" t="s">
        <v>1660</v>
      </c>
      <c r="X312" s="2">
        <v>0</v>
      </c>
      <c r="Y312" s="2" t="s">
        <v>32</v>
      </c>
      <c r="Z312" s="2" t="s">
        <v>32</v>
      </c>
      <c r="AA312" s="2" t="s">
        <v>1660</v>
      </c>
      <c r="AB312" s="2">
        <v>0</v>
      </c>
      <c r="AC312" s="2" t="s">
        <v>1660</v>
      </c>
      <c r="AD312" s="2">
        <v>0</v>
      </c>
      <c r="AE312" s="2" t="s">
        <v>1660</v>
      </c>
      <c r="AF312" s="2">
        <v>0</v>
      </c>
      <c r="AG312" s="2">
        <v>0</v>
      </c>
      <c r="AH312" s="2" t="s">
        <v>32</v>
      </c>
      <c r="AI312" s="2" t="s">
        <v>32</v>
      </c>
      <c r="AJ312" s="2" t="s">
        <v>32</v>
      </c>
      <c r="AK312" s="2" t="s">
        <v>32</v>
      </c>
      <c r="AL312" s="2" t="s">
        <v>32</v>
      </c>
      <c r="AM312" s="2">
        <v>0</v>
      </c>
      <c r="AN312" s="2" t="s">
        <v>32</v>
      </c>
      <c r="AO312" s="2">
        <v>0</v>
      </c>
      <c r="AP312" s="2" t="s">
        <v>32</v>
      </c>
      <c r="AQ312" s="2" t="s">
        <v>32</v>
      </c>
      <c r="AR312" s="2" t="s">
        <v>32</v>
      </c>
      <c r="AS312" s="2">
        <v>0</v>
      </c>
      <c r="AT312" s="2" t="s">
        <v>32</v>
      </c>
      <c r="AU312" s="2" t="s">
        <v>32</v>
      </c>
      <c r="AV312" s="2" t="s">
        <v>32</v>
      </c>
      <c r="AW312" s="2">
        <v>0</v>
      </c>
      <c r="AX312" s="2" t="s">
        <v>32</v>
      </c>
      <c r="AY312" s="2">
        <v>0</v>
      </c>
      <c r="AZ312" s="2" t="s">
        <v>1660</v>
      </c>
      <c r="BA312" s="2">
        <v>0</v>
      </c>
      <c r="BB312" s="2">
        <v>0</v>
      </c>
      <c r="BC312" s="2" t="s">
        <v>32</v>
      </c>
      <c r="BD312" s="2">
        <v>0</v>
      </c>
      <c r="BE312" s="2" t="s">
        <v>32</v>
      </c>
      <c r="BF312" s="2">
        <v>0</v>
      </c>
      <c r="BG312" s="2" t="s">
        <v>32</v>
      </c>
      <c r="BH312" s="2">
        <v>0</v>
      </c>
      <c r="BI312" s="2" t="s">
        <v>32</v>
      </c>
      <c r="BJ312" s="2" t="s">
        <v>32</v>
      </c>
      <c r="BK312" s="2" t="s">
        <v>32</v>
      </c>
      <c r="BL312" s="2">
        <v>0</v>
      </c>
      <c r="BM312" s="2" t="s">
        <v>32</v>
      </c>
      <c r="BN312" s="2" t="s">
        <v>32</v>
      </c>
      <c r="BO312" s="2" t="s">
        <v>32</v>
      </c>
      <c r="BP312" s="2">
        <v>0</v>
      </c>
      <c r="BQ312" s="2" t="s">
        <v>32</v>
      </c>
      <c r="BR312" s="2">
        <v>0</v>
      </c>
      <c r="BS312" s="2" t="s">
        <v>1660</v>
      </c>
      <c r="BT312" s="2">
        <v>0</v>
      </c>
      <c r="BU312" s="2">
        <v>0</v>
      </c>
      <c r="BV312" s="2" t="s">
        <v>1660</v>
      </c>
      <c r="BW312" s="2"/>
      <c r="BX312" s="2"/>
      <c r="BY312" s="2" t="s">
        <v>1807</v>
      </c>
      <c r="BZ312" s="2" t="b">
        <f>OR( (Dashboard[[#This Row],[ref_as_hh]]&gt;=1),(Dashboard[[#This Row],[ret_as_hh]] &gt;=1), (Dashboard[[#This Row],[idp_as_hh]]&gt;=1))</f>
        <v>0</v>
      </c>
      <c r="CA312" s="2">
        <f>Dashboard[[#This Row],[ret_hi_hh]]</f>
        <v>0</v>
      </c>
      <c r="CB312" s="2">
        <f>Dashboard[[#This Row],[idp_fa_hh]]+Dashboard[[#This Row],[ref_fa_hh]]+Dashboard[[#This Row],[ret_fa_hh]]</f>
        <v>8</v>
      </c>
      <c r="CC312" s="2">
        <f>Dashboard[[#This Row],[idp_loc_hh]]+Dashboard[[#This Row],[ref_loc_hh]]+Dashboard[[#This Row],[ret_loc_hh]]</f>
        <v>0</v>
      </c>
      <c r="CD312" s="2">
        <f>Dashboard[[#This Row],[idp_cc_hh]]+Dashboard[[#This Row],[ref_cc_hh]]+Dashboard[[#This Row],[ret_cc_hh]]</f>
        <v>0</v>
      </c>
      <c r="CE312" s="2">
        <f>Dashboard[[#This Row],[idp_as_hh]]+Dashboard[[#This Row],[ref_as_hh]]+Dashboard[[#This Row],[ret_as_hh]]</f>
        <v>0</v>
      </c>
      <c r="CF312" s="2">
        <f>Dashboard[[#This Row],[idp_al_hh]]+Dashboard[[#This Row],[ref_al_hh]]+Dashboard[[#This Row],[ret_al_hh]]</f>
        <v>0</v>
      </c>
    </row>
    <row r="313" spans="1:84" hidden="1" x14ac:dyDescent="0.25">
      <c r="A313" s="27">
        <v>47</v>
      </c>
      <c r="B313" s="2" t="s">
        <v>22</v>
      </c>
      <c r="C313" s="2" t="s">
        <v>23</v>
      </c>
      <c r="D313" s="2" t="s">
        <v>85</v>
      </c>
      <c r="E313" s="2" t="s">
        <v>84</v>
      </c>
      <c r="F313" s="2" t="s">
        <v>98</v>
      </c>
      <c r="G313" s="2" t="s">
        <v>97</v>
      </c>
      <c r="H313" s="2" t="s">
        <v>1159</v>
      </c>
      <c r="I313" s="2" t="s">
        <v>807</v>
      </c>
      <c r="J313" s="2" t="s">
        <v>2816</v>
      </c>
      <c r="K313" s="2" t="s">
        <v>2817</v>
      </c>
      <c r="L313" s="2" t="s">
        <v>2074</v>
      </c>
      <c r="M313" s="2">
        <v>347</v>
      </c>
      <c r="N313" s="2" t="s">
        <v>1658</v>
      </c>
      <c r="O313" s="2">
        <v>13</v>
      </c>
      <c r="P313" s="2">
        <v>42</v>
      </c>
      <c r="Q313" s="2" t="s">
        <v>1658</v>
      </c>
      <c r="R313" s="2">
        <v>13</v>
      </c>
      <c r="S313" s="2" t="s">
        <v>1660</v>
      </c>
      <c r="T313" s="2">
        <v>0</v>
      </c>
      <c r="U313" s="2" t="s">
        <v>32</v>
      </c>
      <c r="V313" s="2" t="s">
        <v>32</v>
      </c>
      <c r="W313" s="2" t="s">
        <v>1660</v>
      </c>
      <c r="X313" s="2">
        <v>0</v>
      </c>
      <c r="Y313" s="2" t="s">
        <v>32</v>
      </c>
      <c r="Z313" s="2" t="s">
        <v>32</v>
      </c>
      <c r="AA313" s="2" t="s">
        <v>1660</v>
      </c>
      <c r="AB313" s="2">
        <v>0</v>
      </c>
      <c r="AC313" s="2" t="s">
        <v>1660</v>
      </c>
      <c r="AD313" s="2">
        <v>0</v>
      </c>
      <c r="AE313" s="2" t="s">
        <v>1660</v>
      </c>
      <c r="AF313" s="2">
        <v>0</v>
      </c>
      <c r="AG313" s="2">
        <v>0</v>
      </c>
      <c r="AH313" s="2" t="s">
        <v>32</v>
      </c>
      <c r="AI313" s="2" t="s">
        <v>32</v>
      </c>
      <c r="AJ313" s="2" t="s">
        <v>32</v>
      </c>
      <c r="AK313" s="2" t="s">
        <v>32</v>
      </c>
      <c r="AL313" s="2" t="s">
        <v>32</v>
      </c>
      <c r="AM313" s="2">
        <v>0</v>
      </c>
      <c r="AN313" s="2" t="s">
        <v>32</v>
      </c>
      <c r="AO313" s="2">
        <v>0</v>
      </c>
      <c r="AP313" s="2" t="s">
        <v>32</v>
      </c>
      <c r="AQ313" s="2" t="s">
        <v>32</v>
      </c>
      <c r="AR313" s="2" t="s">
        <v>32</v>
      </c>
      <c r="AS313" s="2">
        <v>0</v>
      </c>
      <c r="AT313" s="2" t="s">
        <v>32</v>
      </c>
      <c r="AU313" s="2" t="s">
        <v>32</v>
      </c>
      <c r="AV313" s="2" t="s">
        <v>32</v>
      </c>
      <c r="AW313" s="2">
        <v>0</v>
      </c>
      <c r="AX313" s="2" t="s">
        <v>32</v>
      </c>
      <c r="AY313" s="2">
        <v>0</v>
      </c>
      <c r="AZ313" s="2" t="s">
        <v>1660</v>
      </c>
      <c r="BA313" s="2">
        <v>0</v>
      </c>
      <c r="BB313" s="2">
        <v>0</v>
      </c>
      <c r="BC313" s="2" t="s">
        <v>32</v>
      </c>
      <c r="BD313" s="2">
        <v>0</v>
      </c>
      <c r="BE313" s="2" t="s">
        <v>32</v>
      </c>
      <c r="BF313" s="2">
        <v>0</v>
      </c>
      <c r="BG313" s="2" t="s">
        <v>32</v>
      </c>
      <c r="BH313" s="2">
        <v>0</v>
      </c>
      <c r="BI313" s="2" t="s">
        <v>32</v>
      </c>
      <c r="BJ313" s="2" t="s">
        <v>32</v>
      </c>
      <c r="BK313" s="2" t="s">
        <v>32</v>
      </c>
      <c r="BL313" s="2">
        <v>0</v>
      </c>
      <c r="BM313" s="2" t="s">
        <v>32</v>
      </c>
      <c r="BN313" s="2" t="s">
        <v>32</v>
      </c>
      <c r="BO313" s="2" t="s">
        <v>32</v>
      </c>
      <c r="BP313" s="2">
        <v>0</v>
      </c>
      <c r="BQ313" s="2" t="s">
        <v>32</v>
      </c>
      <c r="BR313" s="2">
        <v>0</v>
      </c>
      <c r="BS313" s="2" t="s">
        <v>1660</v>
      </c>
      <c r="BT313" s="2">
        <v>0</v>
      </c>
      <c r="BU313" s="2">
        <v>0</v>
      </c>
      <c r="BV313" s="2" t="s">
        <v>1660</v>
      </c>
      <c r="BW313" s="2"/>
      <c r="BX313" s="2"/>
      <c r="BY313" s="2" t="s">
        <v>1807</v>
      </c>
      <c r="BZ313" s="2" t="b">
        <f>OR( (Dashboard[[#This Row],[ref_as_hh]]&gt;=1),(Dashboard[[#This Row],[ret_as_hh]] &gt;=1), (Dashboard[[#This Row],[idp_as_hh]]&gt;=1))</f>
        <v>0</v>
      </c>
      <c r="CA313" s="2">
        <f>Dashboard[[#This Row],[ret_hi_hh]]</f>
        <v>0</v>
      </c>
      <c r="CB313" s="2">
        <f>Dashboard[[#This Row],[idp_fa_hh]]+Dashboard[[#This Row],[ref_fa_hh]]+Dashboard[[#This Row],[ret_fa_hh]]</f>
        <v>13</v>
      </c>
      <c r="CC313" s="2">
        <f>Dashboard[[#This Row],[idp_loc_hh]]+Dashboard[[#This Row],[ref_loc_hh]]+Dashboard[[#This Row],[ret_loc_hh]]</f>
        <v>0</v>
      </c>
      <c r="CD313" s="2">
        <f>Dashboard[[#This Row],[idp_cc_hh]]+Dashboard[[#This Row],[ref_cc_hh]]+Dashboard[[#This Row],[ret_cc_hh]]</f>
        <v>0</v>
      </c>
      <c r="CE313" s="2">
        <f>Dashboard[[#This Row],[idp_as_hh]]+Dashboard[[#This Row],[ref_as_hh]]+Dashboard[[#This Row],[ret_as_hh]]</f>
        <v>0</v>
      </c>
      <c r="CF313" s="2">
        <f>Dashboard[[#This Row],[idp_al_hh]]+Dashboard[[#This Row],[ref_al_hh]]+Dashboard[[#This Row],[ret_al_hh]]</f>
        <v>0</v>
      </c>
    </row>
    <row r="314" spans="1:84" hidden="1" x14ac:dyDescent="0.25">
      <c r="A314" s="27">
        <v>48</v>
      </c>
      <c r="B314" s="2" t="s">
        <v>22</v>
      </c>
      <c r="C314" s="2" t="s">
        <v>23</v>
      </c>
      <c r="D314" s="2" t="s">
        <v>85</v>
      </c>
      <c r="E314" s="2" t="s">
        <v>84</v>
      </c>
      <c r="F314" s="2" t="s">
        <v>98</v>
      </c>
      <c r="G314" s="2" t="s">
        <v>97</v>
      </c>
      <c r="H314" s="2" t="s">
        <v>1229</v>
      </c>
      <c r="I314" s="2" t="s">
        <v>428</v>
      </c>
      <c r="J314" s="2" t="s">
        <v>2984</v>
      </c>
      <c r="K314" s="2" t="s">
        <v>2985</v>
      </c>
      <c r="L314" s="2" t="s">
        <v>2074</v>
      </c>
      <c r="M314" s="2">
        <v>146</v>
      </c>
      <c r="N314" s="2" t="s">
        <v>1658</v>
      </c>
      <c r="O314" s="2">
        <v>10</v>
      </c>
      <c r="P314" s="2">
        <v>72</v>
      </c>
      <c r="Q314" s="2" t="s">
        <v>1658</v>
      </c>
      <c r="R314" s="2">
        <v>10</v>
      </c>
      <c r="S314" s="2" t="s">
        <v>1660</v>
      </c>
      <c r="T314" s="2">
        <v>0</v>
      </c>
      <c r="U314" s="2" t="s">
        <v>32</v>
      </c>
      <c r="V314" s="2" t="s">
        <v>32</v>
      </c>
      <c r="W314" s="2" t="s">
        <v>1660</v>
      </c>
      <c r="X314" s="2">
        <v>0</v>
      </c>
      <c r="Y314" s="2" t="s">
        <v>32</v>
      </c>
      <c r="Z314" s="2" t="s">
        <v>32</v>
      </c>
      <c r="AA314" s="2" t="s">
        <v>1660</v>
      </c>
      <c r="AB314" s="2">
        <v>0</v>
      </c>
      <c r="AC314" s="2" t="s">
        <v>1660</v>
      </c>
      <c r="AD314" s="2">
        <v>0</v>
      </c>
      <c r="AE314" s="2" t="s">
        <v>1660</v>
      </c>
      <c r="AF314" s="2">
        <v>0</v>
      </c>
      <c r="AG314" s="2">
        <v>0</v>
      </c>
      <c r="AH314" s="2" t="s">
        <v>32</v>
      </c>
      <c r="AI314" s="2" t="s">
        <v>32</v>
      </c>
      <c r="AJ314" s="2" t="s">
        <v>32</v>
      </c>
      <c r="AK314" s="2" t="s">
        <v>32</v>
      </c>
      <c r="AL314" s="2" t="s">
        <v>32</v>
      </c>
      <c r="AM314" s="2">
        <v>0</v>
      </c>
      <c r="AN314" s="2" t="s">
        <v>32</v>
      </c>
      <c r="AO314" s="2">
        <v>0</v>
      </c>
      <c r="AP314" s="2" t="s">
        <v>32</v>
      </c>
      <c r="AQ314" s="2" t="s">
        <v>32</v>
      </c>
      <c r="AR314" s="2" t="s">
        <v>32</v>
      </c>
      <c r="AS314" s="2">
        <v>0</v>
      </c>
      <c r="AT314" s="2" t="s">
        <v>32</v>
      </c>
      <c r="AU314" s="2" t="s">
        <v>32</v>
      </c>
      <c r="AV314" s="2" t="s">
        <v>32</v>
      </c>
      <c r="AW314" s="2">
        <v>0</v>
      </c>
      <c r="AX314" s="2" t="s">
        <v>32</v>
      </c>
      <c r="AY314" s="2">
        <v>0</v>
      </c>
      <c r="AZ314" s="2" t="s">
        <v>1660</v>
      </c>
      <c r="BA314" s="2">
        <v>0</v>
      </c>
      <c r="BB314" s="2">
        <v>0</v>
      </c>
      <c r="BC314" s="2" t="s">
        <v>32</v>
      </c>
      <c r="BD314" s="2">
        <v>0</v>
      </c>
      <c r="BE314" s="2" t="s">
        <v>32</v>
      </c>
      <c r="BF314" s="2">
        <v>0</v>
      </c>
      <c r="BG314" s="2" t="s">
        <v>32</v>
      </c>
      <c r="BH314" s="2">
        <v>0</v>
      </c>
      <c r="BI314" s="2" t="s">
        <v>32</v>
      </c>
      <c r="BJ314" s="2" t="s">
        <v>32</v>
      </c>
      <c r="BK314" s="2" t="s">
        <v>32</v>
      </c>
      <c r="BL314" s="2">
        <v>0</v>
      </c>
      <c r="BM314" s="2" t="s">
        <v>32</v>
      </c>
      <c r="BN314" s="2" t="s">
        <v>32</v>
      </c>
      <c r="BO314" s="2" t="s">
        <v>32</v>
      </c>
      <c r="BP314" s="2">
        <v>0</v>
      </c>
      <c r="BQ314" s="2" t="s">
        <v>32</v>
      </c>
      <c r="BR314" s="2">
        <v>0</v>
      </c>
      <c r="BS314" s="2" t="s">
        <v>1660</v>
      </c>
      <c r="BT314" s="2">
        <v>0</v>
      </c>
      <c r="BU314" s="2">
        <v>0</v>
      </c>
      <c r="BV314" s="2" t="s">
        <v>1660</v>
      </c>
      <c r="BW314" s="2"/>
      <c r="BX314" s="2"/>
      <c r="BY314" s="2" t="s">
        <v>1807</v>
      </c>
      <c r="BZ314" s="2" t="b">
        <f>OR( (Dashboard[[#This Row],[ref_as_hh]]&gt;=1),(Dashboard[[#This Row],[ret_as_hh]] &gt;=1), (Dashboard[[#This Row],[idp_as_hh]]&gt;=1))</f>
        <v>0</v>
      </c>
      <c r="CA314" s="2">
        <f>Dashboard[[#This Row],[ret_hi_hh]]</f>
        <v>0</v>
      </c>
      <c r="CB314" s="2">
        <f>Dashboard[[#This Row],[idp_fa_hh]]+Dashboard[[#This Row],[ref_fa_hh]]+Dashboard[[#This Row],[ret_fa_hh]]</f>
        <v>10</v>
      </c>
      <c r="CC314" s="2">
        <f>Dashboard[[#This Row],[idp_loc_hh]]+Dashboard[[#This Row],[ref_loc_hh]]+Dashboard[[#This Row],[ret_loc_hh]]</f>
        <v>0</v>
      </c>
      <c r="CD314" s="2">
        <f>Dashboard[[#This Row],[idp_cc_hh]]+Dashboard[[#This Row],[ref_cc_hh]]+Dashboard[[#This Row],[ret_cc_hh]]</f>
        <v>0</v>
      </c>
      <c r="CE314" s="2">
        <f>Dashboard[[#This Row],[idp_as_hh]]+Dashboard[[#This Row],[ref_as_hh]]+Dashboard[[#This Row],[ret_as_hh]]</f>
        <v>0</v>
      </c>
      <c r="CF314" s="2">
        <f>Dashboard[[#This Row],[idp_al_hh]]+Dashboard[[#This Row],[ref_al_hh]]+Dashboard[[#This Row],[ret_al_hh]]</f>
        <v>0</v>
      </c>
    </row>
    <row r="315" spans="1:84" hidden="1" x14ac:dyDescent="0.25">
      <c r="A315" s="27">
        <v>561</v>
      </c>
      <c r="B315" s="2" t="s">
        <v>22</v>
      </c>
      <c r="C315" s="2" t="s">
        <v>23</v>
      </c>
      <c r="D315" s="2" t="s">
        <v>85</v>
      </c>
      <c r="E315" s="2" t="s">
        <v>84</v>
      </c>
      <c r="F315" s="2" t="s">
        <v>98</v>
      </c>
      <c r="G315" s="2" t="s">
        <v>97</v>
      </c>
      <c r="H315" s="2" t="s">
        <v>1151</v>
      </c>
      <c r="I315" s="2" t="s">
        <v>161</v>
      </c>
      <c r="J315" s="2" t="s">
        <v>2804</v>
      </c>
      <c r="K315" s="2" t="s">
        <v>2805</v>
      </c>
      <c r="L315" s="2" t="s">
        <v>2074</v>
      </c>
      <c r="M315" s="2">
        <v>11430</v>
      </c>
      <c r="N315" s="2" t="s">
        <v>1658</v>
      </c>
      <c r="O315" s="2">
        <v>27</v>
      </c>
      <c r="P315" s="2">
        <v>208</v>
      </c>
      <c r="Q315" s="2" t="s">
        <v>1658</v>
      </c>
      <c r="R315" s="2">
        <v>27</v>
      </c>
      <c r="S315" s="2" t="s">
        <v>1660</v>
      </c>
      <c r="T315" s="2">
        <v>0</v>
      </c>
      <c r="U315" s="2" t="s">
        <v>32</v>
      </c>
      <c r="V315" s="2" t="s">
        <v>32</v>
      </c>
      <c r="W315" s="2" t="s">
        <v>1660</v>
      </c>
      <c r="X315" s="2">
        <v>0</v>
      </c>
      <c r="Y315" s="2" t="s">
        <v>32</v>
      </c>
      <c r="Z315" s="2" t="s">
        <v>32</v>
      </c>
      <c r="AA315" s="2" t="s">
        <v>1660</v>
      </c>
      <c r="AB315" s="2">
        <v>0</v>
      </c>
      <c r="AC315" s="2" t="s">
        <v>1660</v>
      </c>
      <c r="AD315" s="2">
        <v>0</v>
      </c>
      <c r="AE315" s="2" t="s">
        <v>1658</v>
      </c>
      <c r="AF315" s="2">
        <v>115</v>
      </c>
      <c r="AG315" s="2">
        <v>726</v>
      </c>
      <c r="AH315" s="2" t="s">
        <v>1660</v>
      </c>
      <c r="AI315" s="2" t="s">
        <v>32</v>
      </c>
      <c r="AJ315" s="2" t="s">
        <v>32</v>
      </c>
      <c r="AK315" s="2" t="s">
        <v>32</v>
      </c>
      <c r="AL315" s="2" t="s">
        <v>1658</v>
      </c>
      <c r="AM315" s="2">
        <v>115</v>
      </c>
      <c r="AN315" s="2" t="s">
        <v>1660</v>
      </c>
      <c r="AO315" s="2">
        <v>0</v>
      </c>
      <c r="AP315" s="2" t="s">
        <v>32</v>
      </c>
      <c r="AQ315" s="2" t="s">
        <v>32</v>
      </c>
      <c r="AR315" s="2" t="s">
        <v>1660</v>
      </c>
      <c r="AS315" s="2">
        <v>0</v>
      </c>
      <c r="AT315" s="2" t="s">
        <v>32</v>
      </c>
      <c r="AU315" s="2" t="s">
        <v>32</v>
      </c>
      <c r="AV315" s="2" t="s">
        <v>1660</v>
      </c>
      <c r="AW315" s="2">
        <v>0</v>
      </c>
      <c r="AX315" s="2" t="s">
        <v>1660</v>
      </c>
      <c r="AY315" s="2">
        <v>0</v>
      </c>
      <c r="AZ315" s="2" t="s">
        <v>1658</v>
      </c>
      <c r="BA315" s="2">
        <v>10</v>
      </c>
      <c r="BB315" s="2">
        <v>50</v>
      </c>
      <c r="BC315" s="2" t="s">
        <v>1658</v>
      </c>
      <c r="BD315" s="2">
        <v>10</v>
      </c>
      <c r="BE315" s="2" t="s">
        <v>1660</v>
      </c>
      <c r="BF315" s="2">
        <v>0</v>
      </c>
      <c r="BG315" s="2" t="s">
        <v>1660</v>
      </c>
      <c r="BH315" s="2">
        <v>0</v>
      </c>
      <c r="BI315" s="2" t="s">
        <v>32</v>
      </c>
      <c r="BJ315" s="2" t="s">
        <v>32</v>
      </c>
      <c r="BK315" s="2" t="s">
        <v>1660</v>
      </c>
      <c r="BL315" s="2">
        <v>0</v>
      </c>
      <c r="BM315" s="2" t="s">
        <v>32</v>
      </c>
      <c r="BN315" s="2" t="s">
        <v>32</v>
      </c>
      <c r="BO315" s="2" t="s">
        <v>1660</v>
      </c>
      <c r="BP315" s="2">
        <v>0</v>
      </c>
      <c r="BQ315" s="2" t="s">
        <v>1660</v>
      </c>
      <c r="BR315" s="2">
        <v>0</v>
      </c>
      <c r="BS315" s="2" t="s">
        <v>1658</v>
      </c>
      <c r="BT315" s="2">
        <v>7</v>
      </c>
      <c r="BU315" s="2">
        <v>50</v>
      </c>
      <c r="BV315" s="2" t="s">
        <v>1660</v>
      </c>
      <c r="BW315" s="2"/>
      <c r="BX315" s="2"/>
      <c r="BY315" s="2" t="s">
        <v>1807</v>
      </c>
      <c r="BZ315" s="2" t="b">
        <f>OR( (Dashboard[[#This Row],[ref_as_hh]]&gt;=1),(Dashboard[[#This Row],[ret_as_hh]] &gt;=1), (Dashboard[[#This Row],[idp_as_hh]]&gt;=1))</f>
        <v>0</v>
      </c>
      <c r="CA315" s="2">
        <f>Dashboard[[#This Row],[ret_hi_hh]]</f>
        <v>10</v>
      </c>
      <c r="CB315" s="2">
        <f>Dashboard[[#This Row],[idp_fa_hh]]+Dashboard[[#This Row],[ref_fa_hh]]+Dashboard[[#This Row],[ret_fa_hh]]</f>
        <v>142</v>
      </c>
      <c r="CC315" s="2">
        <f>Dashboard[[#This Row],[idp_loc_hh]]+Dashboard[[#This Row],[ref_loc_hh]]+Dashboard[[#This Row],[ret_loc_hh]]</f>
        <v>0</v>
      </c>
      <c r="CD315" s="2">
        <f>Dashboard[[#This Row],[idp_cc_hh]]+Dashboard[[#This Row],[ref_cc_hh]]+Dashboard[[#This Row],[ret_cc_hh]]</f>
        <v>0</v>
      </c>
      <c r="CE315" s="2">
        <f>Dashboard[[#This Row],[idp_as_hh]]+Dashboard[[#This Row],[ref_as_hh]]+Dashboard[[#This Row],[ret_as_hh]]</f>
        <v>0</v>
      </c>
      <c r="CF315" s="2">
        <f>Dashboard[[#This Row],[idp_al_hh]]+Dashboard[[#This Row],[ref_al_hh]]+Dashboard[[#This Row],[ret_al_hh]]</f>
        <v>0</v>
      </c>
    </row>
    <row r="316" spans="1:84" hidden="1" x14ac:dyDescent="0.25">
      <c r="A316" s="27">
        <v>565</v>
      </c>
      <c r="B316" s="2" t="s">
        <v>22</v>
      </c>
      <c r="C316" s="2" t="s">
        <v>23</v>
      </c>
      <c r="D316" s="2" t="s">
        <v>85</v>
      </c>
      <c r="E316" s="2" t="s">
        <v>84</v>
      </c>
      <c r="F316" s="2" t="s">
        <v>98</v>
      </c>
      <c r="G316" s="2" t="s">
        <v>97</v>
      </c>
      <c r="H316" s="2" t="s">
        <v>1289</v>
      </c>
      <c r="I316" s="2" t="s">
        <v>457</v>
      </c>
      <c r="J316" s="2" t="s">
        <v>3104</v>
      </c>
      <c r="K316" s="2" t="s">
        <v>3105</v>
      </c>
      <c r="L316" s="2" t="s">
        <v>2074</v>
      </c>
      <c r="M316" s="2">
        <v>1661</v>
      </c>
      <c r="N316" s="2" t="s">
        <v>1658</v>
      </c>
      <c r="O316" s="2">
        <v>61</v>
      </c>
      <c r="P316" s="2">
        <v>465</v>
      </c>
      <c r="Q316" s="2" t="s">
        <v>1658</v>
      </c>
      <c r="R316" s="2">
        <v>61</v>
      </c>
      <c r="S316" s="2" t="s">
        <v>1660</v>
      </c>
      <c r="T316" s="2">
        <v>0</v>
      </c>
      <c r="U316" s="2" t="s">
        <v>32</v>
      </c>
      <c r="V316" s="2" t="s">
        <v>32</v>
      </c>
      <c r="W316" s="2" t="s">
        <v>1660</v>
      </c>
      <c r="X316" s="2">
        <v>0</v>
      </c>
      <c r="Y316" s="2" t="s">
        <v>32</v>
      </c>
      <c r="Z316" s="2" t="s">
        <v>32</v>
      </c>
      <c r="AA316" s="2" t="s">
        <v>1660</v>
      </c>
      <c r="AB316" s="2">
        <v>0</v>
      </c>
      <c r="AC316" s="2" t="s">
        <v>1660</v>
      </c>
      <c r="AD316" s="2">
        <v>0</v>
      </c>
      <c r="AE316" s="2" t="s">
        <v>1660</v>
      </c>
      <c r="AF316" s="2">
        <v>0</v>
      </c>
      <c r="AG316" s="2">
        <v>0</v>
      </c>
      <c r="AH316" s="2" t="s">
        <v>32</v>
      </c>
      <c r="AI316" s="2" t="s">
        <v>32</v>
      </c>
      <c r="AJ316" s="2" t="s">
        <v>32</v>
      </c>
      <c r="AK316" s="2" t="s">
        <v>32</v>
      </c>
      <c r="AL316" s="2" t="s">
        <v>32</v>
      </c>
      <c r="AM316" s="2">
        <v>0</v>
      </c>
      <c r="AN316" s="2" t="s">
        <v>32</v>
      </c>
      <c r="AO316" s="2">
        <v>0</v>
      </c>
      <c r="AP316" s="2" t="s">
        <v>32</v>
      </c>
      <c r="AQ316" s="2" t="s">
        <v>32</v>
      </c>
      <c r="AR316" s="2" t="s">
        <v>32</v>
      </c>
      <c r="AS316" s="2">
        <v>0</v>
      </c>
      <c r="AT316" s="2" t="s">
        <v>32</v>
      </c>
      <c r="AU316" s="2" t="s">
        <v>32</v>
      </c>
      <c r="AV316" s="2" t="s">
        <v>32</v>
      </c>
      <c r="AW316" s="2">
        <v>0</v>
      </c>
      <c r="AX316" s="2" t="s">
        <v>32</v>
      </c>
      <c r="AY316" s="2">
        <v>0</v>
      </c>
      <c r="AZ316" s="2" t="s">
        <v>1660</v>
      </c>
      <c r="BA316" s="2">
        <v>0</v>
      </c>
      <c r="BB316" s="2">
        <v>0</v>
      </c>
      <c r="BC316" s="2" t="s">
        <v>32</v>
      </c>
      <c r="BD316" s="2">
        <v>0</v>
      </c>
      <c r="BE316" s="2" t="s">
        <v>32</v>
      </c>
      <c r="BF316" s="2">
        <v>0</v>
      </c>
      <c r="BG316" s="2" t="s">
        <v>32</v>
      </c>
      <c r="BH316" s="2">
        <v>0</v>
      </c>
      <c r="BI316" s="2" t="s">
        <v>32</v>
      </c>
      <c r="BJ316" s="2" t="s">
        <v>32</v>
      </c>
      <c r="BK316" s="2" t="s">
        <v>32</v>
      </c>
      <c r="BL316" s="2">
        <v>0</v>
      </c>
      <c r="BM316" s="2" t="s">
        <v>32</v>
      </c>
      <c r="BN316" s="2" t="s">
        <v>32</v>
      </c>
      <c r="BO316" s="2" t="s">
        <v>32</v>
      </c>
      <c r="BP316" s="2">
        <v>0</v>
      </c>
      <c r="BQ316" s="2" t="s">
        <v>32</v>
      </c>
      <c r="BR316" s="2">
        <v>0</v>
      </c>
      <c r="BS316" s="2" t="s">
        <v>1660</v>
      </c>
      <c r="BT316" s="2">
        <v>0</v>
      </c>
      <c r="BU316" s="2">
        <v>0</v>
      </c>
      <c r="BV316" s="2" t="s">
        <v>1660</v>
      </c>
      <c r="BW316" s="2"/>
      <c r="BX316" s="2"/>
      <c r="BY316" s="2" t="s">
        <v>1807</v>
      </c>
      <c r="BZ316" s="2" t="b">
        <f>OR( (Dashboard[[#This Row],[ref_as_hh]]&gt;=1),(Dashboard[[#This Row],[ret_as_hh]] &gt;=1), (Dashboard[[#This Row],[idp_as_hh]]&gt;=1))</f>
        <v>0</v>
      </c>
      <c r="CA316" s="2">
        <f>Dashboard[[#This Row],[ret_hi_hh]]</f>
        <v>0</v>
      </c>
      <c r="CB316" s="2">
        <f>Dashboard[[#This Row],[idp_fa_hh]]+Dashboard[[#This Row],[ref_fa_hh]]+Dashboard[[#This Row],[ret_fa_hh]]</f>
        <v>61</v>
      </c>
      <c r="CC316" s="2">
        <f>Dashboard[[#This Row],[idp_loc_hh]]+Dashboard[[#This Row],[ref_loc_hh]]+Dashboard[[#This Row],[ret_loc_hh]]</f>
        <v>0</v>
      </c>
      <c r="CD316" s="2">
        <f>Dashboard[[#This Row],[idp_cc_hh]]+Dashboard[[#This Row],[ref_cc_hh]]+Dashboard[[#This Row],[ret_cc_hh]]</f>
        <v>0</v>
      </c>
      <c r="CE316" s="2">
        <f>Dashboard[[#This Row],[idp_as_hh]]+Dashboard[[#This Row],[ref_as_hh]]+Dashboard[[#This Row],[ret_as_hh]]</f>
        <v>0</v>
      </c>
      <c r="CF316" s="2">
        <f>Dashboard[[#This Row],[idp_al_hh]]+Dashboard[[#This Row],[ref_al_hh]]+Dashboard[[#This Row],[ret_al_hh]]</f>
        <v>0</v>
      </c>
    </row>
    <row r="317" spans="1:84" hidden="1" x14ac:dyDescent="0.25">
      <c r="A317" s="27">
        <v>566</v>
      </c>
      <c r="B317" s="2" t="s">
        <v>22</v>
      </c>
      <c r="C317" s="2" t="s">
        <v>23</v>
      </c>
      <c r="D317" s="2" t="s">
        <v>85</v>
      </c>
      <c r="E317" s="2" t="s">
        <v>84</v>
      </c>
      <c r="F317" s="2" t="s">
        <v>98</v>
      </c>
      <c r="G317" s="2" t="s">
        <v>97</v>
      </c>
      <c r="H317" s="2" t="s">
        <v>1290</v>
      </c>
      <c r="I317" s="2" t="s">
        <v>458</v>
      </c>
      <c r="J317" s="2" t="s">
        <v>3106</v>
      </c>
      <c r="K317" s="2" t="s">
        <v>3107</v>
      </c>
      <c r="L317" s="2" t="s">
        <v>2074</v>
      </c>
      <c r="M317" s="2">
        <v>260</v>
      </c>
      <c r="N317" s="2" t="s">
        <v>1658</v>
      </c>
      <c r="O317" s="2">
        <v>59</v>
      </c>
      <c r="P317" s="2">
        <v>502</v>
      </c>
      <c r="Q317" s="2" t="s">
        <v>1658</v>
      </c>
      <c r="R317" s="2">
        <v>59</v>
      </c>
      <c r="S317" s="2" t="s">
        <v>1660</v>
      </c>
      <c r="T317" s="2">
        <v>0</v>
      </c>
      <c r="U317" s="2" t="s">
        <v>32</v>
      </c>
      <c r="V317" s="2" t="s">
        <v>32</v>
      </c>
      <c r="W317" s="2" t="s">
        <v>1660</v>
      </c>
      <c r="X317" s="2">
        <v>0</v>
      </c>
      <c r="Y317" s="2" t="s">
        <v>32</v>
      </c>
      <c r="Z317" s="2" t="s">
        <v>32</v>
      </c>
      <c r="AA317" s="2" t="s">
        <v>1660</v>
      </c>
      <c r="AB317" s="2">
        <v>0</v>
      </c>
      <c r="AC317" s="2" t="s">
        <v>1660</v>
      </c>
      <c r="AD317" s="2">
        <v>0</v>
      </c>
      <c r="AE317" s="2" t="s">
        <v>1660</v>
      </c>
      <c r="AF317" s="2">
        <v>0</v>
      </c>
      <c r="AG317" s="2">
        <v>0</v>
      </c>
      <c r="AH317" s="2" t="s">
        <v>32</v>
      </c>
      <c r="AI317" s="2" t="s">
        <v>32</v>
      </c>
      <c r="AJ317" s="2" t="s">
        <v>32</v>
      </c>
      <c r="AK317" s="2" t="s">
        <v>32</v>
      </c>
      <c r="AL317" s="2" t="s">
        <v>32</v>
      </c>
      <c r="AM317" s="2">
        <v>0</v>
      </c>
      <c r="AN317" s="2" t="s">
        <v>32</v>
      </c>
      <c r="AO317" s="2">
        <v>0</v>
      </c>
      <c r="AP317" s="2" t="s">
        <v>32</v>
      </c>
      <c r="AQ317" s="2" t="s">
        <v>32</v>
      </c>
      <c r="AR317" s="2" t="s">
        <v>32</v>
      </c>
      <c r="AS317" s="2">
        <v>0</v>
      </c>
      <c r="AT317" s="2" t="s">
        <v>32</v>
      </c>
      <c r="AU317" s="2" t="s">
        <v>32</v>
      </c>
      <c r="AV317" s="2" t="s">
        <v>32</v>
      </c>
      <c r="AW317" s="2">
        <v>0</v>
      </c>
      <c r="AX317" s="2" t="s">
        <v>32</v>
      </c>
      <c r="AY317" s="2">
        <v>0</v>
      </c>
      <c r="AZ317" s="2" t="s">
        <v>1660</v>
      </c>
      <c r="BA317" s="2">
        <v>0</v>
      </c>
      <c r="BB317" s="2">
        <v>0</v>
      </c>
      <c r="BC317" s="2" t="s">
        <v>32</v>
      </c>
      <c r="BD317" s="2">
        <v>0</v>
      </c>
      <c r="BE317" s="2" t="s">
        <v>32</v>
      </c>
      <c r="BF317" s="2">
        <v>0</v>
      </c>
      <c r="BG317" s="2" t="s">
        <v>32</v>
      </c>
      <c r="BH317" s="2">
        <v>0</v>
      </c>
      <c r="BI317" s="2" t="s">
        <v>32</v>
      </c>
      <c r="BJ317" s="2" t="s">
        <v>32</v>
      </c>
      <c r="BK317" s="2" t="s">
        <v>32</v>
      </c>
      <c r="BL317" s="2">
        <v>0</v>
      </c>
      <c r="BM317" s="2" t="s">
        <v>32</v>
      </c>
      <c r="BN317" s="2" t="s">
        <v>32</v>
      </c>
      <c r="BO317" s="2" t="s">
        <v>32</v>
      </c>
      <c r="BP317" s="2">
        <v>0</v>
      </c>
      <c r="BQ317" s="2" t="s">
        <v>32</v>
      </c>
      <c r="BR317" s="2">
        <v>0</v>
      </c>
      <c r="BS317" s="2" t="s">
        <v>1660</v>
      </c>
      <c r="BT317" s="2">
        <v>0</v>
      </c>
      <c r="BU317" s="2">
        <v>0</v>
      </c>
      <c r="BV317" s="2" t="s">
        <v>1660</v>
      </c>
      <c r="BW317" s="2"/>
      <c r="BX317" s="2"/>
      <c r="BY317" s="2" t="s">
        <v>1807</v>
      </c>
      <c r="BZ317" s="2" t="b">
        <f>OR( (Dashboard[[#This Row],[ref_as_hh]]&gt;=1),(Dashboard[[#This Row],[ret_as_hh]] &gt;=1), (Dashboard[[#This Row],[idp_as_hh]]&gt;=1))</f>
        <v>0</v>
      </c>
      <c r="CA317" s="2">
        <f>Dashboard[[#This Row],[ret_hi_hh]]</f>
        <v>0</v>
      </c>
      <c r="CB317" s="2">
        <f>Dashboard[[#This Row],[idp_fa_hh]]+Dashboard[[#This Row],[ref_fa_hh]]+Dashboard[[#This Row],[ret_fa_hh]]</f>
        <v>59</v>
      </c>
      <c r="CC317" s="2">
        <f>Dashboard[[#This Row],[idp_loc_hh]]+Dashboard[[#This Row],[ref_loc_hh]]+Dashboard[[#This Row],[ret_loc_hh]]</f>
        <v>0</v>
      </c>
      <c r="CD317" s="2">
        <f>Dashboard[[#This Row],[idp_cc_hh]]+Dashboard[[#This Row],[ref_cc_hh]]+Dashboard[[#This Row],[ret_cc_hh]]</f>
        <v>0</v>
      </c>
      <c r="CE317" s="2">
        <f>Dashboard[[#This Row],[idp_as_hh]]+Dashboard[[#This Row],[ref_as_hh]]+Dashboard[[#This Row],[ret_as_hh]]</f>
        <v>0</v>
      </c>
      <c r="CF317" s="2">
        <f>Dashboard[[#This Row],[idp_al_hh]]+Dashboard[[#This Row],[ref_al_hh]]+Dashboard[[#This Row],[ret_al_hh]]</f>
        <v>0</v>
      </c>
    </row>
    <row r="318" spans="1:84" hidden="1" x14ac:dyDescent="0.25">
      <c r="A318" s="27">
        <v>312</v>
      </c>
      <c r="B318" s="2" t="s">
        <v>22</v>
      </c>
      <c r="C318" s="2" t="s">
        <v>23</v>
      </c>
      <c r="D318" s="2" t="s">
        <v>85</v>
      </c>
      <c r="E318" s="2" t="s">
        <v>84</v>
      </c>
      <c r="F318" s="2" t="s">
        <v>98</v>
      </c>
      <c r="G318" s="2" t="s">
        <v>97</v>
      </c>
      <c r="H318" s="2" t="s">
        <v>1503</v>
      </c>
      <c r="I318" s="2" t="s">
        <v>623</v>
      </c>
      <c r="J318" s="2" t="s">
        <v>2730</v>
      </c>
      <c r="K318" s="2" t="s">
        <v>2731</v>
      </c>
      <c r="L318" s="2" t="s">
        <v>2074</v>
      </c>
      <c r="M318" s="2">
        <v>0</v>
      </c>
      <c r="N318" s="2" t="s">
        <v>1660</v>
      </c>
      <c r="O318" s="2">
        <v>0</v>
      </c>
      <c r="P318" s="2">
        <v>0</v>
      </c>
      <c r="Q318" s="2" t="s">
        <v>32</v>
      </c>
      <c r="R318" s="2">
        <v>0</v>
      </c>
      <c r="S318" s="2" t="s">
        <v>32</v>
      </c>
      <c r="T318" s="2">
        <v>0</v>
      </c>
      <c r="U318" s="2" t="s">
        <v>32</v>
      </c>
      <c r="V318" s="2" t="s">
        <v>32</v>
      </c>
      <c r="W318" s="2" t="s">
        <v>32</v>
      </c>
      <c r="X318" s="2">
        <v>0</v>
      </c>
      <c r="Y318" s="2" t="s">
        <v>32</v>
      </c>
      <c r="Z318" s="2" t="s">
        <v>32</v>
      </c>
      <c r="AA318" s="2" t="s">
        <v>32</v>
      </c>
      <c r="AB318" s="2">
        <v>0</v>
      </c>
      <c r="AC318" s="2" t="s">
        <v>32</v>
      </c>
      <c r="AD318" s="2">
        <v>0</v>
      </c>
      <c r="AE318" s="2" t="s">
        <v>1658</v>
      </c>
      <c r="AF318" s="2">
        <v>0</v>
      </c>
      <c r="AG318" s="2">
        <v>0</v>
      </c>
      <c r="AH318" s="2" t="s">
        <v>1660</v>
      </c>
      <c r="AI318" s="2" t="s">
        <v>32</v>
      </c>
      <c r="AJ318" s="2" t="s">
        <v>32</v>
      </c>
      <c r="AK318" s="2" t="s">
        <v>32</v>
      </c>
      <c r="AL318" s="2" t="s">
        <v>32</v>
      </c>
      <c r="AM318" s="2">
        <v>0</v>
      </c>
      <c r="AN318" s="2" t="s">
        <v>1660</v>
      </c>
      <c r="AO318" s="2">
        <v>0</v>
      </c>
      <c r="AP318" s="2" t="s">
        <v>32</v>
      </c>
      <c r="AQ318" s="2" t="s">
        <v>32</v>
      </c>
      <c r="AR318" s="2" t="s">
        <v>1660</v>
      </c>
      <c r="AS318" s="2">
        <v>0</v>
      </c>
      <c r="AT318" s="2" t="s">
        <v>32</v>
      </c>
      <c r="AU318" s="2" t="s">
        <v>32</v>
      </c>
      <c r="AV318" s="2" t="s">
        <v>1660</v>
      </c>
      <c r="AW318" s="2">
        <v>0</v>
      </c>
      <c r="AX318" s="2" t="s">
        <v>1660</v>
      </c>
      <c r="AY318" s="2">
        <v>0</v>
      </c>
      <c r="AZ318" s="2" t="s">
        <v>1660</v>
      </c>
      <c r="BA318" s="2">
        <v>0</v>
      </c>
      <c r="BB318" s="2">
        <v>0</v>
      </c>
      <c r="BC318" s="2" t="s">
        <v>32</v>
      </c>
      <c r="BD318" s="2">
        <v>0</v>
      </c>
      <c r="BE318" s="2" t="s">
        <v>32</v>
      </c>
      <c r="BF318" s="2">
        <v>0</v>
      </c>
      <c r="BG318" s="2" t="s">
        <v>32</v>
      </c>
      <c r="BH318" s="2">
        <v>0</v>
      </c>
      <c r="BI318" s="2" t="s">
        <v>32</v>
      </c>
      <c r="BJ318" s="2" t="s">
        <v>32</v>
      </c>
      <c r="BK318" s="2" t="s">
        <v>32</v>
      </c>
      <c r="BL318" s="2">
        <v>0</v>
      </c>
      <c r="BM318" s="2" t="s">
        <v>32</v>
      </c>
      <c r="BN318" s="2" t="s">
        <v>32</v>
      </c>
      <c r="BO318" s="2" t="s">
        <v>32</v>
      </c>
      <c r="BP318" s="2">
        <v>0</v>
      </c>
      <c r="BQ318" s="2" t="s">
        <v>32</v>
      </c>
      <c r="BR318" s="2">
        <v>0</v>
      </c>
      <c r="BS318" s="2" t="s">
        <v>1660</v>
      </c>
      <c r="BT318" s="2">
        <v>0</v>
      </c>
      <c r="BU318" s="2">
        <v>0</v>
      </c>
      <c r="BV318" s="2" t="s">
        <v>1660</v>
      </c>
      <c r="BW318" s="2"/>
      <c r="BX318" s="2"/>
      <c r="BY318" s="2" t="s">
        <v>1807</v>
      </c>
      <c r="BZ318" s="2" t="b">
        <f>OR( (Dashboard[[#This Row],[ref_as_hh]]&gt;=1),(Dashboard[[#This Row],[ret_as_hh]] &gt;=1), (Dashboard[[#This Row],[idp_as_hh]]&gt;=1))</f>
        <v>0</v>
      </c>
      <c r="CA318" s="2">
        <f>Dashboard[[#This Row],[ret_hi_hh]]</f>
        <v>0</v>
      </c>
      <c r="CB318" s="2">
        <f>Dashboard[[#This Row],[idp_fa_hh]]+Dashboard[[#This Row],[ref_fa_hh]]+Dashboard[[#This Row],[ret_fa_hh]]</f>
        <v>0</v>
      </c>
      <c r="CC318" s="2">
        <f>Dashboard[[#This Row],[idp_loc_hh]]+Dashboard[[#This Row],[ref_loc_hh]]+Dashboard[[#This Row],[ret_loc_hh]]</f>
        <v>0</v>
      </c>
      <c r="CD318" s="2">
        <f>Dashboard[[#This Row],[idp_cc_hh]]+Dashboard[[#This Row],[ref_cc_hh]]+Dashboard[[#This Row],[ret_cc_hh]]</f>
        <v>0</v>
      </c>
      <c r="CE318" s="2">
        <f>Dashboard[[#This Row],[idp_as_hh]]+Dashboard[[#This Row],[ref_as_hh]]+Dashboard[[#This Row],[ret_as_hh]]</f>
        <v>0</v>
      </c>
      <c r="CF318" s="2">
        <f>Dashboard[[#This Row],[idp_al_hh]]+Dashboard[[#This Row],[ref_al_hh]]+Dashboard[[#This Row],[ret_al_hh]]</f>
        <v>0</v>
      </c>
    </row>
    <row r="319" spans="1:84" x14ac:dyDescent="0.25">
      <c r="A319" s="27">
        <v>568</v>
      </c>
      <c r="B319" s="2" t="s">
        <v>22</v>
      </c>
      <c r="C319" s="2" t="s">
        <v>23</v>
      </c>
      <c r="D319" s="2" t="s">
        <v>85</v>
      </c>
      <c r="E319" s="2" t="s">
        <v>84</v>
      </c>
      <c r="F319" s="2" t="s">
        <v>98</v>
      </c>
      <c r="G319" s="2" t="s">
        <v>97</v>
      </c>
      <c r="H319" s="2" t="s">
        <v>1288</v>
      </c>
      <c r="I319" s="2" t="s">
        <v>456</v>
      </c>
      <c r="J319" s="2" t="s">
        <v>3102</v>
      </c>
      <c r="K319" s="2" t="s">
        <v>3103</v>
      </c>
      <c r="L319" s="2" t="s">
        <v>2074</v>
      </c>
      <c r="M319" s="2">
        <v>452</v>
      </c>
      <c r="N319" s="2" t="s">
        <v>1658</v>
      </c>
      <c r="O319" s="2">
        <v>95</v>
      </c>
      <c r="P319" s="2">
        <v>468</v>
      </c>
      <c r="Q319" s="2" t="s">
        <v>1660</v>
      </c>
      <c r="R319" s="2">
        <v>0</v>
      </c>
      <c r="S319" s="2" t="s">
        <v>1660</v>
      </c>
      <c r="T319" s="2">
        <v>0</v>
      </c>
      <c r="U319" s="2" t="s">
        <v>32</v>
      </c>
      <c r="V319" s="2" t="s">
        <v>32</v>
      </c>
      <c r="W319" s="2" t="s">
        <v>1660</v>
      </c>
      <c r="X319" s="2">
        <v>0</v>
      </c>
      <c r="Y319" s="2" t="s">
        <v>32</v>
      </c>
      <c r="Z319" s="2" t="s">
        <v>32</v>
      </c>
      <c r="AA319" s="2" t="s">
        <v>1658</v>
      </c>
      <c r="AB319" s="2">
        <v>95</v>
      </c>
      <c r="AC319" s="2" t="s">
        <v>1660</v>
      </c>
      <c r="AD319" s="2">
        <v>0</v>
      </c>
      <c r="AE319" s="2" t="s">
        <v>1660</v>
      </c>
      <c r="AF319" s="2">
        <v>0</v>
      </c>
      <c r="AG319" s="2">
        <v>0</v>
      </c>
      <c r="AH319" s="2" t="s">
        <v>32</v>
      </c>
      <c r="AI319" s="2" t="s">
        <v>32</v>
      </c>
      <c r="AJ319" s="2" t="s">
        <v>32</v>
      </c>
      <c r="AK319" s="2" t="s">
        <v>32</v>
      </c>
      <c r="AL319" s="2" t="s">
        <v>32</v>
      </c>
      <c r="AM319" s="2">
        <v>0</v>
      </c>
      <c r="AN319" s="2" t="s">
        <v>32</v>
      </c>
      <c r="AO319" s="2">
        <v>0</v>
      </c>
      <c r="AP319" s="2" t="s">
        <v>32</v>
      </c>
      <c r="AQ319" s="2" t="s">
        <v>32</v>
      </c>
      <c r="AR319" s="2" t="s">
        <v>32</v>
      </c>
      <c r="AS319" s="2">
        <v>0</v>
      </c>
      <c r="AT319" s="2" t="s">
        <v>32</v>
      </c>
      <c r="AU319" s="2" t="s">
        <v>32</v>
      </c>
      <c r="AV319" s="2" t="s">
        <v>32</v>
      </c>
      <c r="AW319" s="2">
        <v>0</v>
      </c>
      <c r="AX319" s="2" t="s">
        <v>32</v>
      </c>
      <c r="AY319" s="2">
        <v>0</v>
      </c>
      <c r="AZ319" s="2" t="s">
        <v>1660</v>
      </c>
      <c r="BA319" s="2">
        <v>0</v>
      </c>
      <c r="BB319" s="2">
        <v>0</v>
      </c>
      <c r="BC319" s="2" t="s">
        <v>32</v>
      </c>
      <c r="BD319" s="2">
        <v>0</v>
      </c>
      <c r="BE319" s="2" t="s">
        <v>32</v>
      </c>
      <c r="BF319" s="2">
        <v>0</v>
      </c>
      <c r="BG319" s="2" t="s">
        <v>32</v>
      </c>
      <c r="BH319" s="2">
        <v>0</v>
      </c>
      <c r="BI319" s="2" t="s">
        <v>32</v>
      </c>
      <c r="BJ319" s="2" t="s">
        <v>32</v>
      </c>
      <c r="BK319" s="2" t="s">
        <v>32</v>
      </c>
      <c r="BL319" s="2">
        <v>0</v>
      </c>
      <c r="BM319" s="2" t="s">
        <v>32</v>
      </c>
      <c r="BN319" s="2" t="s">
        <v>32</v>
      </c>
      <c r="BO319" s="2" t="s">
        <v>32</v>
      </c>
      <c r="BP319" s="2">
        <v>0</v>
      </c>
      <c r="BQ319" s="2" t="s">
        <v>32</v>
      </c>
      <c r="BR319" s="2">
        <v>0</v>
      </c>
      <c r="BS319" s="2" t="s">
        <v>1660</v>
      </c>
      <c r="BT319" s="2">
        <v>0</v>
      </c>
      <c r="BU319" s="2">
        <v>0</v>
      </c>
      <c r="BV319" s="2" t="s">
        <v>1660</v>
      </c>
      <c r="BW319" s="2"/>
      <c r="BX319" s="2"/>
      <c r="BY319" s="2" t="s">
        <v>1807</v>
      </c>
      <c r="BZ319" s="2" t="b">
        <f>OR( (Dashboard[[#This Row],[ref_as_hh]]&gt;=1),(Dashboard[[#This Row],[ret_as_hh]] &gt;=1), (Dashboard[[#This Row],[idp_as_hh]]&gt;=1))</f>
        <v>1</v>
      </c>
      <c r="CA319" s="2">
        <f>Dashboard[[#This Row],[ret_hi_hh]]</f>
        <v>0</v>
      </c>
      <c r="CB319" s="2">
        <f>Dashboard[[#This Row],[idp_fa_hh]]+Dashboard[[#This Row],[ref_fa_hh]]+Dashboard[[#This Row],[ret_fa_hh]]</f>
        <v>0</v>
      </c>
      <c r="CC319" s="2">
        <f>Dashboard[[#This Row],[idp_loc_hh]]+Dashboard[[#This Row],[ref_loc_hh]]+Dashboard[[#This Row],[ret_loc_hh]]</f>
        <v>0</v>
      </c>
      <c r="CD319" s="2">
        <f>Dashboard[[#This Row],[idp_cc_hh]]+Dashboard[[#This Row],[ref_cc_hh]]+Dashboard[[#This Row],[ret_cc_hh]]</f>
        <v>0</v>
      </c>
      <c r="CE319" s="2">
        <f>Dashboard[[#This Row],[idp_as_hh]]+Dashboard[[#This Row],[ref_as_hh]]+Dashboard[[#This Row],[ret_as_hh]]</f>
        <v>95</v>
      </c>
      <c r="CF319" s="2">
        <f>Dashboard[[#This Row],[idp_al_hh]]+Dashboard[[#This Row],[ref_al_hh]]+Dashboard[[#This Row],[ret_al_hh]]</f>
        <v>0</v>
      </c>
    </row>
    <row r="320" spans="1:84" hidden="1" x14ac:dyDescent="0.25">
      <c r="A320" s="27">
        <v>313</v>
      </c>
      <c r="B320" s="2" t="s">
        <v>22</v>
      </c>
      <c r="C320" s="2" t="s">
        <v>23</v>
      </c>
      <c r="D320" s="2" t="s">
        <v>85</v>
      </c>
      <c r="E320" s="2" t="s">
        <v>84</v>
      </c>
      <c r="F320" s="2" t="s">
        <v>98</v>
      </c>
      <c r="G320" s="2" t="s">
        <v>97</v>
      </c>
      <c r="H320" s="2" t="s">
        <v>1516</v>
      </c>
      <c r="I320" s="2" t="s">
        <v>629</v>
      </c>
      <c r="J320" s="2" t="s">
        <v>2980</v>
      </c>
      <c r="K320" s="2" t="s">
        <v>2981</v>
      </c>
      <c r="L320" s="2" t="s">
        <v>2074</v>
      </c>
      <c r="M320" s="2">
        <v>0</v>
      </c>
      <c r="N320" s="2" t="s">
        <v>1660</v>
      </c>
      <c r="O320" s="2">
        <v>0</v>
      </c>
      <c r="P320" s="2">
        <v>0</v>
      </c>
      <c r="Q320" s="2" t="s">
        <v>32</v>
      </c>
      <c r="R320" s="2">
        <v>0</v>
      </c>
      <c r="S320" s="2" t="s">
        <v>32</v>
      </c>
      <c r="T320" s="2">
        <v>0</v>
      </c>
      <c r="U320" s="2" t="s">
        <v>32</v>
      </c>
      <c r="V320" s="2" t="s">
        <v>32</v>
      </c>
      <c r="W320" s="2" t="s">
        <v>32</v>
      </c>
      <c r="X320" s="2">
        <v>0</v>
      </c>
      <c r="Y320" s="2" t="s">
        <v>32</v>
      </c>
      <c r="Z320" s="2" t="s">
        <v>32</v>
      </c>
      <c r="AA320" s="2" t="s">
        <v>32</v>
      </c>
      <c r="AB320" s="2">
        <v>0</v>
      </c>
      <c r="AC320" s="2" t="s">
        <v>32</v>
      </c>
      <c r="AD320" s="2">
        <v>0</v>
      </c>
      <c r="AE320" s="2" t="s">
        <v>1658</v>
      </c>
      <c r="AF320" s="2">
        <v>0</v>
      </c>
      <c r="AG320" s="2">
        <v>0</v>
      </c>
      <c r="AH320" s="2" t="s">
        <v>1660</v>
      </c>
      <c r="AI320" s="2" t="s">
        <v>32</v>
      </c>
      <c r="AJ320" s="2" t="s">
        <v>32</v>
      </c>
      <c r="AK320" s="2" t="s">
        <v>32</v>
      </c>
      <c r="AL320" s="2" t="s">
        <v>32</v>
      </c>
      <c r="AM320" s="2">
        <v>0</v>
      </c>
      <c r="AN320" s="2" t="s">
        <v>1660</v>
      </c>
      <c r="AO320" s="2">
        <v>0</v>
      </c>
      <c r="AP320" s="2" t="s">
        <v>32</v>
      </c>
      <c r="AQ320" s="2" t="s">
        <v>32</v>
      </c>
      <c r="AR320" s="2" t="s">
        <v>1660</v>
      </c>
      <c r="AS320" s="2">
        <v>0</v>
      </c>
      <c r="AT320" s="2" t="s">
        <v>32</v>
      </c>
      <c r="AU320" s="2" t="s">
        <v>32</v>
      </c>
      <c r="AV320" s="2" t="s">
        <v>1660</v>
      </c>
      <c r="AW320" s="2">
        <v>0</v>
      </c>
      <c r="AX320" s="2" t="s">
        <v>1660</v>
      </c>
      <c r="AY320" s="2">
        <v>0</v>
      </c>
      <c r="AZ320" s="2" t="s">
        <v>1660</v>
      </c>
      <c r="BA320" s="2">
        <v>0</v>
      </c>
      <c r="BB320" s="2">
        <v>0</v>
      </c>
      <c r="BC320" s="2" t="s">
        <v>32</v>
      </c>
      <c r="BD320" s="2">
        <v>0</v>
      </c>
      <c r="BE320" s="2" t="s">
        <v>32</v>
      </c>
      <c r="BF320" s="2">
        <v>0</v>
      </c>
      <c r="BG320" s="2" t="s">
        <v>32</v>
      </c>
      <c r="BH320" s="2">
        <v>0</v>
      </c>
      <c r="BI320" s="2" t="s">
        <v>32</v>
      </c>
      <c r="BJ320" s="2" t="s">
        <v>32</v>
      </c>
      <c r="BK320" s="2" t="s">
        <v>32</v>
      </c>
      <c r="BL320" s="2">
        <v>0</v>
      </c>
      <c r="BM320" s="2" t="s">
        <v>32</v>
      </c>
      <c r="BN320" s="2" t="s">
        <v>32</v>
      </c>
      <c r="BO320" s="2" t="s">
        <v>32</v>
      </c>
      <c r="BP320" s="2">
        <v>0</v>
      </c>
      <c r="BQ320" s="2" t="s">
        <v>32</v>
      </c>
      <c r="BR320" s="2">
        <v>0</v>
      </c>
      <c r="BS320" s="2" t="s">
        <v>1660</v>
      </c>
      <c r="BT320" s="2">
        <v>0</v>
      </c>
      <c r="BU320" s="2">
        <v>0</v>
      </c>
      <c r="BV320" s="2" t="s">
        <v>1660</v>
      </c>
      <c r="BW320" s="2"/>
      <c r="BX320" s="2"/>
      <c r="BY320" s="2" t="s">
        <v>1807</v>
      </c>
      <c r="BZ320" s="2" t="b">
        <f>OR( (Dashboard[[#This Row],[ref_as_hh]]&gt;=1),(Dashboard[[#This Row],[ret_as_hh]] &gt;=1), (Dashboard[[#This Row],[idp_as_hh]]&gt;=1))</f>
        <v>0</v>
      </c>
      <c r="CA320" s="2">
        <f>Dashboard[[#This Row],[ret_hi_hh]]</f>
        <v>0</v>
      </c>
      <c r="CB320" s="2">
        <f>Dashboard[[#This Row],[idp_fa_hh]]+Dashboard[[#This Row],[ref_fa_hh]]+Dashboard[[#This Row],[ret_fa_hh]]</f>
        <v>0</v>
      </c>
      <c r="CC320" s="2">
        <f>Dashboard[[#This Row],[idp_loc_hh]]+Dashboard[[#This Row],[ref_loc_hh]]+Dashboard[[#This Row],[ret_loc_hh]]</f>
        <v>0</v>
      </c>
      <c r="CD320" s="2">
        <f>Dashboard[[#This Row],[idp_cc_hh]]+Dashboard[[#This Row],[ref_cc_hh]]+Dashboard[[#This Row],[ret_cc_hh]]</f>
        <v>0</v>
      </c>
      <c r="CE320" s="2">
        <f>Dashboard[[#This Row],[idp_as_hh]]+Dashboard[[#This Row],[ref_as_hh]]+Dashboard[[#This Row],[ret_as_hh]]</f>
        <v>0</v>
      </c>
      <c r="CF320" s="2">
        <f>Dashboard[[#This Row],[idp_al_hh]]+Dashboard[[#This Row],[ref_al_hh]]+Dashboard[[#This Row],[ret_al_hh]]</f>
        <v>0</v>
      </c>
    </row>
    <row r="321" spans="1:84" hidden="1" x14ac:dyDescent="0.25">
      <c r="A321" s="27">
        <v>569</v>
      </c>
      <c r="B321" s="2" t="s">
        <v>22</v>
      </c>
      <c r="C321" s="2" t="s">
        <v>23</v>
      </c>
      <c r="D321" s="2" t="s">
        <v>85</v>
      </c>
      <c r="E321" s="2" t="s">
        <v>84</v>
      </c>
      <c r="F321" s="2" t="s">
        <v>98</v>
      </c>
      <c r="G321" s="2" t="s">
        <v>97</v>
      </c>
      <c r="H321" s="2" t="s">
        <v>1509</v>
      </c>
      <c r="I321" s="2" t="s">
        <v>796</v>
      </c>
      <c r="J321" s="2" t="s">
        <v>2822</v>
      </c>
      <c r="K321" s="2" t="s">
        <v>2823</v>
      </c>
      <c r="L321" s="2" t="s">
        <v>3693</v>
      </c>
      <c r="M321" s="2">
        <v>550</v>
      </c>
      <c r="N321" s="2" t="s">
        <v>1660</v>
      </c>
      <c r="O321" s="2">
        <v>0</v>
      </c>
      <c r="P321" s="2">
        <v>0</v>
      </c>
      <c r="Q321" s="2" t="s">
        <v>32</v>
      </c>
      <c r="R321" s="2">
        <v>0</v>
      </c>
      <c r="S321" s="2" t="s">
        <v>32</v>
      </c>
      <c r="T321" s="2">
        <v>0</v>
      </c>
      <c r="U321" s="2" t="s">
        <v>32</v>
      </c>
      <c r="V321" s="2" t="s">
        <v>32</v>
      </c>
      <c r="W321" s="2" t="s">
        <v>32</v>
      </c>
      <c r="X321" s="2">
        <v>0</v>
      </c>
      <c r="Y321" s="2" t="s">
        <v>32</v>
      </c>
      <c r="Z321" s="2" t="s">
        <v>32</v>
      </c>
      <c r="AA321" s="2" t="s">
        <v>32</v>
      </c>
      <c r="AB321" s="2">
        <v>0</v>
      </c>
      <c r="AC321" s="2" t="s">
        <v>32</v>
      </c>
      <c r="AD321" s="2">
        <v>0</v>
      </c>
      <c r="AE321" s="2" t="s">
        <v>1658</v>
      </c>
      <c r="AF321" s="2">
        <v>11</v>
      </c>
      <c r="AG321" s="2">
        <v>62</v>
      </c>
      <c r="AH321" s="2" t="s">
        <v>1660</v>
      </c>
      <c r="AI321" s="2" t="s">
        <v>32</v>
      </c>
      <c r="AJ321" s="2" t="s">
        <v>32</v>
      </c>
      <c r="AK321" s="2" t="s">
        <v>32</v>
      </c>
      <c r="AL321" s="2" t="s">
        <v>1658</v>
      </c>
      <c r="AM321" s="2">
        <v>11</v>
      </c>
      <c r="AN321" s="2" t="s">
        <v>1660</v>
      </c>
      <c r="AO321" s="2">
        <v>0</v>
      </c>
      <c r="AP321" s="2" t="s">
        <v>32</v>
      </c>
      <c r="AQ321" s="2" t="s">
        <v>32</v>
      </c>
      <c r="AR321" s="2" t="s">
        <v>1660</v>
      </c>
      <c r="AS321" s="2">
        <v>0</v>
      </c>
      <c r="AT321" s="2" t="s">
        <v>32</v>
      </c>
      <c r="AU321" s="2" t="s">
        <v>32</v>
      </c>
      <c r="AV321" s="2" t="s">
        <v>1660</v>
      </c>
      <c r="AW321" s="2">
        <v>0</v>
      </c>
      <c r="AX321" s="2" t="s">
        <v>1660</v>
      </c>
      <c r="AY321" s="2">
        <v>0</v>
      </c>
      <c r="AZ321" s="2" t="s">
        <v>1660</v>
      </c>
      <c r="BA321" s="2">
        <v>0</v>
      </c>
      <c r="BB321" s="2">
        <v>0</v>
      </c>
      <c r="BC321" s="2" t="s">
        <v>32</v>
      </c>
      <c r="BD321" s="2">
        <v>0</v>
      </c>
      <c r="BE321" s="2" t="s">
        <v>32</v>
      </c>
      <c r="BF321" s="2">
        <v>0</v>
      </c>
      <c r="BG321" s="2" t="s">
        <v>32</v>
      </c>
      <c r="BH321" s="2">
        <v>0</v>
      </c>
      <c r="BI321" s="2" t="s">
        <v>32</v>
      </c>
      <c r="BJ321" s="2" t="s">
        <v>32</v>
      </c>
      <c r="BK321" s="2" t="s">
        <v>32</v>
      </c>
      <c r="BL321" s="2">
        <v>0</v>
      </c>
      <c r="BM321" s="2" t="s">
        <v>32</v>
      </c>
      <c r="BN321" s="2" t="s">
        <v>32</v>
      </c>
      <c r="BO321" s="2" t="s">
        <v>32</v>
      </c>
      <c r="BP321" s="2">
        <v>0</v>
      </c>
      <c r="BQ321" s="2" t="s">
        <v>32</v>
      </c>
      <c r="BR321" s="2">
        <v>0</v>
      </c>
      <c r="BS321" s="2" t="s">
        <v>1660</v>
      </c>
      <c r="BT321" s="2">
        <v>0</v>
      </c>
      <c r="BU321" s="2">
        <v>0</v>
      </c>
      <c r="BV321" s="2" t="s">
        <v>1660</v>
      </c>
      <c r="BW321" s="2"/>
      <c r="BX321" s="2"/>
      <c r="BY321" s="2" t="s">
        <v>1807</v>
      </c>
      <c r="BZ321" s="2" t="b">
        <f>OR( (Dashboard[[#This Row],[ref_as_hh]]&gt;=1),(Dashboard[[#This Row],[ret_as_hh]] &gt;=1), (Dashboard[[#This Row],[idp_as_hh]]&gt;=1))</f>
        <v>0</v>
      </c>
      <c r="CA321" s="2">
        <f>Dashboard[[#This Row],[ret_hi_hh]]</f>
        <v>0</v>
      </c>
      <c r="CB321" s="2">
        <f>Dashboard[[#This Row],[idp_fa_hh]]+Dashboard[[#This Row],[ref_fa_hh]]+Dashboard[[#This Row],[ret_fa_hh]]</f>
        <v>11</v>
      </c>
      <c r="CC321" s="2">
        <f>Dashboard[[#This Row],[idp_loc_hh]]+Dashboard[[#This Row],[ref_loc_hh]]+Dashboard[[#This Row],[ret_loc_hh]]</f>
        <v>0</v>
      </c>
      <c r="CD321" s="2">
        <f>Dashboard[[#This Row],[idp_cc_hh]]+Dashboard[[#This Row],[ref_cc_hh]]+Dashboard[[#This Row],[ret_cc_hh]]</f>
        <v>0</v>
      </c>
      <c r="CE321" s="2">
        <f>Dashboard[[#This Row],[idp_as_hh]]+Dashboard[[#This Row],[ref_as_hh]]+Dashboard[[#This Row],[ret_as_hh]]</f>
        <v>0</v>
      </c>
      <c r="CF321" s="2">
        <f>Dashboard[[#This Row],[idp_al_hh]]+Dashboard[[#This Row],[ref_al_hh]]+Dashboard[[#This Row],[ret_al_hh]]</f>
        <v>0</v>
      </c>
    </row>
    <row r="322" spans="1:84" hidden="1" x14ac:dyDescent="0.25">
      <c r="A322" s="27">
        <v>314</v>
      </c>
      <c r="B322" s="2" t="s">
        <v>22</v>
      </c>
      <c r="C322" s="2" t="s">
        <v>23</v>
      </c>
      <c r="D322" s="2" t="s">
        <v>85</v>
      </c>
      <c r="E322" s="2" t="s">
        <v>84</v>
      </c>
      <c r="F322" s="2" t="s">
        <v>98</v>
      </c>
      <c r="G322" s="2" t="s">
        <v>97</v>
      </c>
      <c r="H322" s="2" t="s">
        <v>1510</v>
      </c>
      <c r="I322" s="2" t="s">
        <v>625</v>
      </c>
      <c r="J322" s="2" t="s">
        <v>2826</v>
      </c>
      <c r="K322" s="2" t="s">
        <v>2827</v>
      </c>
      <c r="L322" s="2" t="s">
        <v>2074</v>
      </c>
      <c r="M322" s="2">
        <v>0</v>
      </c>
      <c r="N322" s="2" t="s">
        <v>1660</v>
      </c>
      <c r="O322" s="2">
        <v>0</v>
      </c>
      <c r="P322" s="2">
        <v>0</v>
      </c>
      <c r="Q322" s="2" t="s">
        <v>32</v>
      </c>
      <c r="R322" s="2">
        <v>0</v>
      </c>
      <c r="S322" s="2" t="s">
        <v>32</v>
      </c>
      <c r="T322" s="2">
        <v>0</v>
      </c>
      <c r="U322" s="2" t="s">
        <v>32</v>
      </c>
      <c r="V322" s="2" t="s">
        <v>32</v>
      </c>
      <c r="W322" s="2" t="s">
        <v>32</v>
      </c>
      <c r="X322" s="2">
        <v>0</v>
      </c>
      <c r="Y322" s="2" t="s">
        <v>32</v>
      </c>
      <c r="Z322" s="2" t="s">
        <v>32</v>
      </c>
      <c r="AA322" s="2" t="s">
        <v>32</v>
      </c>
      <c r="AB322" s="2">
        <v>0</v>
      </c>
      <c r="AC322" s="2" t="s">
        <v>32</v>
      </c>
      <c r="AD322" s="2">
        <v>0</v>
      </c>
      <c r="AE322" s="2" t="s">
        <v>1658</v>
      </c>
      <c r="AF322" s="2">
        <v>0</v>
      </c>
      <c r="AG322" s="2">
        <v>0</v>
      </c>
      <c r="AH322" s="2" t="s">
        <v>1660</v>
      </c>
      <c r="AI322" s="2" t="s">
        <v>32</v>
      </c>
      <c r="AJ322" s="2" t="s">
        <v>32</v>
      </c>
      <c r="AK322" s="2" t="s">
        <v>32</v>
      </c>
      <c r="AL322" s="2" t="s">
        <v>32</v>
      </c>
      <c r="AM322" s="2">
        <v>0</v>
      </c>
      <c r="AN322" s="2" t="s">
        <v>1660</v>
      </c>
      <c r="AO322" s="2">
        <v>0</v>
      </c>
      <c r="AP322" s="2" t="s">
        <v>32</v>
      </c>
      <c r="AQ322" s="2" t="s">
        <v>32</v>
      </c>
      <c r="AR322" s="2" t="s">
        <v>1660</v>
      </c>
      <c r="AS322" s="2">
        <v>0</v>
      </c>
      <c r="AT322" s="2" t="s">
        <v>32</v>
      </c>
      <c r="AU322" s="2" t="s">
        <v>32</v>
      </c>
      <c r="AV322" s="2" t="s">
        <v>1660</v>
      </c>
      <c r="AW322" s="2">
        <v>0</v>
      </c>
      <c r="AX322" s="2" t="s">
        <v>1660</v>
      </c>
      <c r="AY322" s="2">
        <v>0</v>
      </c>
      <c r="AZ322" s="2" t="s">
        <v>1660</v>
      </c>
      <c r="BA322" s="2">
        <v>0</v>
      </c>
      <c r="BB322" s="2">
        <v>0</v>
      </c>
      <c r="BC322" s="2" t="s">
        <v>32</v>
      </c>
      <c r="BD322" s="2">
        <v>0</v>
      </c>
      <c r="BE322" s="2" t="s">
        <v>32</v>
      </c>
      <c r="BF322" s="2">
        <v>0</v>
      </c>
      <c r="BG322" s="2" t="s">
        <v>32</v>
      </c>
      <c r="BH322" s="2">
        <v>0</v>
      </c>
      <c r="BI322" s="2" t="s">
        <v>32</v>
      </c>
      <c r="BJ322" s="2" t="s">
        <v>32</v>
      </c>
      <c r="BK322" s="2" t="s">
        <v>32</v>
      </c>
      <c r="BL322" s="2">
        <v>0</v>
      </c>
      <c r="BM322" s="2" t="s">
        <v>32</v>
      </c>
      <c r="BN322" s="2" t="s">
        <v>32</v>
      </c>
      <c r="BO322" s="2" t="s">
        <v>32</v>
      </c>
      <c r="BP322" s="2">
        <v>0</v>
      </c>
      <c r="BQ322" s="2" t="s">
        <v>32</v>
      </c>
      <c r="BR322" s="2">
        <v>0</v>
      </c>
      <c r="BS322" s="2" t="s">
        <v>1660</v>
      </c>
      <c r="BT322" s="2">
        <v>0</v>
      </c>
      <c r="BU322" s="2">
        <v>0</v>
      </c>
      <c r="BV322" s="2" t="s">
        <v>1660</v>
      </c>
      <c r="BW322" s="2"/>
      <c r="BX322" s="2"/>
      <c r="BY322" s="2" t="s">
        <v>1807</v>
      </c>
      <c r="BZ322" s="2" t="b">
        <f>OR( (Dashboard[[#This Row],[ref_as_hh]]&gt;=1),(Dashboard[[#This Row],[ret_as_hh]] &gt;=1), (Dashboard[[#This Row],[idp_as_hh]]&gt;=1))</f>
        <v>0</v>
      </c>
      <c r="CA322" s="2">
        <f>Dashboard[[#This Row],[ret_hi_hh]]</f>
        <v>0</v>
      </c>
      <c r="CB322" s="2">
        <f>Dashboard[[#This Row],[idp_fa_hh]]+Dashboard[[#This Row],[ref_fa_hh]]+Dashboard[[#This Row],[ret_fa_hh]]</f>
        <v>0</v>
      </c>
      <c r="CC322" s="2">
        <f>Dashboard[[#This Row],[idp_loc_hh]]+Dashboard[[#This Row],[ref_loc_hh]]+Dashboard[[#This Row],[ret_loc_hh]]</f>
        <v>0</v>
      </c>
      <c r="CD322" s="2">
        <f>Dashboard[[#This Row],[idp_cc_hh]]+Dashboard[[#This Row],[ref_cc_hh]]+Dashboard[[#This Row],[ret_cc_hh]]</f>
        <v>0</v>
      </c>
      <c r="CE322" s="2">
        <f>Dashboard[[#This Row],[idp_as_hh]]+Dashboard[[#This Row],[ref_as_hh]]+Dashboard[[#This Row],[ret_as_hh]]</f>
        <v>0</v>
      </c>
      <c r="CF322" s="2">
        <f>Dashboard[[#This Row],[idp_al_hh]]+Dashboard[[#This Row],[ref_al_hh]]+Dashboard[[#This Row],[ret_al_hh]]</f>
        <v>0</v>
      </c>
    </row>
    <row r="323" spans="1:84" hidden="1" x14ac:dyDescent="0.25">
      <c r="A323" s="27">
        <v>570</v>
      </c>
      <c r="B323" s="2" t="s">
        <v>22</v>
      </c>
      <c r="C323" s="2" t="s">
        <v>23</v>
      </c>
      <c r="D323" s="2" t="s">
        <v>85</v>
      </c>
      <c r="E323" s="2" t="s">
        <v>84</v>
      </c>
      <c r="F323" s="2" t="s">
        <v>98</v>
      </c>
      <c r="G323" s="2" t="s">
        <v>97</v>
      </c>
      <c r="H323" s="2" t="s">
        <v>1164</v>
      </c>
      <c r="I323" s="2" t="s">
        <v>791</v>
      </c>
      <c r="J323" s="2" t="s">
        <v>2830</v>
      </c>
      <c r="K323" s="2" t="s">
        <v>2831</v>
      </c>
      <c r="L323" s="2" t="s">
        <v>2074</v>
      </c>
      <c r="M323" s="2">
        <v>350</v>
      </c>
      <c r="N323" s="2" t="s">
        <v>1658</v>
      </c>
      <c r="O323" s="2">
        <v>22</v>
      </c>
      <c r="P323" s="2">
        <v>102</v>
      </c>
      <c r="Q323" s="2" t="s">
        <v>1658</v>
      </c>
      <c r="R323" s="2">
        <v>22</v>
      </c>
      <c r="S323" s="2" t="s">
        <v>1660</v>
      </c>
      <c r="T323" s="2">
        <v>0</v>
      </c>
      <c r="U323" s="2" t="s">
        <v>32</v>
      </c>
      <c r="V323" s="2" t="s">
        <v>32</v>
      </c>
      <c r="W323" s="2" t="s">
        <v>1660</v>
      </c>
      <c r="X323" s="2">
        <v>0</v>
      </c>
      <c r="Y323" s="2" t="s">
        <v>32</v>
      </c>
      <c r="Z323" s="2" t="s">
        <v>32</v>
      </c>
      <c r="AA323" s="2" t="s">
        <v>1660</v>
      </c>
      <c r="AB323" s="2">
        <v>0</v>
      </c>
      <c r="AC323" s="2" t="s">
        <v>1660</v>
      </c>
      <c r="AD323" s="2">
        <v>0</v>
      </c>
      <c r="AE323" s="2" t="s">
        <v>1658</v>
      </c>
      <c r="AF323" s="2">
        <v>22</v>
      </c>
      <c r="AG323" s="2">
        <v>102</v>
      </c>
      <c r="AH323" s="2" t="s">
        <v>1660</v>
      </c>
      <c r="AI323" s="2" t="s">
        <v>32</v>
      </c>
      <c r="AJ323" s="2" t="s">
        <v>32</v>
      </c>
      <c r="AK323" s="2" t="s">
        <v>32</v>
      </c>
      <c r="AL323" s="2" t="s">
        <v>1658</v>
      </c>
      <c r="AM323" s="2">
        <v>22</v>
      </c>
      <c r="AN323" s="2" t="s">
        <v>1660</v>
      </c>
      <c r="AO323" s="2">
        <v>0</v>
      </c>
      <c r="AP323" s="2" t="s">
        <v>32</v>
      </c>
      <c r="AQ323" s="2" t="s">
        <v>32</v>
      </c>
      <c r="AR323" s="2" t="s">
        <v>1660</v>
      </c>
      <c r="AS323" s="2">
        <v>0</v>
      </c>
      <c r="AT323" s="2" t="s">
        <v>32</v>
      </c>
      <c r="AU323" s="2" t="s">
        <v>32</v>
      </c>
      <c r="AV323" s="2" t="s">
        <v>1660</v>
      </c>
      <c r="AW323" s="2">
        <v>0</v>
      </c>
      <c r="AX323" s="2" t="s">
        <v>1660</v>
      </c>
      <c r="AY323" s="2">
        <v>0</v>
      </c>
      <c r="AZ323" s="2" t="s">
        <v>1660</v>
      </c>
      <c r="BA323" s="2">
        <v>0</v>
      </c>
      <c r="BB323" s="2">
        <v>0</v>
      </c>
      <c r="BC323" s="2" t="s">
        <v>32</v>
      </c>
      <c r="BD323" s="2">
        <v>0</v>
      </c>
      <c r="BE323" s="2" t="s">
        <v>32</v>
      </c>
      <c r="BF323" s="2">
        <v>0</v>
      </c>
      <c r="BG323" s="2" t="s">
        <v>32</v>
      </c>
      <c r="BH323" s="2">
        <v>0</v>
      </c>
      <c r="BI323" s="2" t="s">
        <v>32</v>
      </c>
      <c r="BJ323" s="2" t="s">
        <v>32</v>
      </c>
      <c r="BK323" s="2" t="s">
        <v>32</v>
      </c>
      <c r="BL323" s="2">
        <v>0</v>
      </c>
      <c r="BM323" s="2" t="s">
        <v>32</v>
      </c>
      <c r="BN323" s="2" t="s">
        <v>32</v>
      </c>
      <c r="BO323" s="2" t="s">
        <v>32</v>
      </c>
      <c r="BP323" s="2">
        <v>0</v>
      </c>
      <c r="BQ323" s="2" t="s">
        <v>32</v>
      </c>
      <c r="BR323" s="2">
        <v>0</v>
      </c>
      <c r="BS323" s="2" t="s">
        <v>1660</v>
      </c>
      <c r="BT323" s="2">
        <v>0</v>
      </c>
      <c r="BU323" s="2">
        <v>0</v>
      </c>
      <c r="BV323" s="2" t="s">
        <v>1660</v>
      </c>
      <c r="BW323" s="2"/>
      <c r="BX323" s="2"/>
      <c r="BY323" s="2" t="s">
        <v>1807</v>
      </c>
      <c r="BZ323" s="2" t="b">
        <f>OR( (Dashboard[[#This Row],[ref_as_hh]]&gt;=1),(Dashboard[[#This Row],[ret_as_hh]] &gt;=1), (Dashboard[[#This Row],[idp_as_hh]]&gt;=1))</f>
        <v>0</v>
      </c>
      <c r="CA323" s="2">
        <f>Dashboard[[#This Row],[ret_hi_hh]]</f>
        <v>0</v>
      </c>
      <c r="CB323" s="2">
        <f>Dashboard[[#This Row],[idp_fa_hh]]+Dashboard[[#This Row],[ref_fa_hh]]+Dashboard[[#This Row],[ret_fa_hh]]</f>
        <v>44</v>
      </c>
      <c r="CC323" s="2">
        <f>Dashboard[[#This Row],[idp_loc_hh]]+Dashboard[[#This Row],[ref_loc_hh]]+Dashboard[[#This Row],[ret_loc_hh]]</f>
        <v>0</v>
      </c>
      <c r="CD323" s="2">
        <f>Dashboard[[#This Row],[idp_cc_hh]]+Dashboard[[#This Row],[ref_cc_hh]]+Dashboard[[#This Row],[ret_cc_hh]]</f>
        <v>0</v>
      </c>
      <c r="CE323" s="2">
        <f>Dashboard[[#This Row],[idp_as_hh]]+Dashboard[[#This Row],[ref_as_hh]]+Dashboard[[#This Row],[ret_as_hh]]</f>
        <v>0</v>
      </c>
      <c r="CF323" s="2">
        <f>Dashboard[[#This Row],[idp_al_hh]]+Dashboard[[#This Row],[ref_al_hh]]+Dashboard[[#This Row],[ret_al_hh]]</f>
        <v>0</v>
      </c>
    </row>
    <row r="324" spans="1:84" hidden="1" x14ac:dyDescent="0.25">
      <c r="A324" s="27">
        <v>315</v>
      </c>
      <c r="B324" s="2" t="s">
        <v>22</v>
      </c>
      <c r="C324" s="2" t="s">
        <v>23</v>
      </c>
      <c r="D324" s="2" t="s">
        <v>85</v>
      </c>
      <c r="E324" s="2" t="s">
        <v>84</v>
      </c>
      <c r="F324" s="2" t="s">
        <v>98</v>
      </c>
      <c r="G324" s="2" t="s">
        <v>97</v>
      </c>
      <c r="H324" s="2" t="s">
        <v>1523</v>
      </c>
      <c r="I324" s="2" t="s">
        <v>698</v>
      </c>
      <c r="J324" s="2" t="s">
        <v>3092</v>
      </c>
      <c r="K324" s="2" t="s">
        <v>3093</v>
      </c>
      <c r="L324" s="2" t="s">
        <v>2074</v>
      </c>
      <c r="M324" s="2">
        <v>0</v>
      </c>
      <c r="N324" s="2" t="s">
        <v>1660</v>
      </c>
      <c r="O324" s="2">
        <v>0</v>
      </c>
      <c r="P324" s="2">
        <v>0</v>
      </c>
      <c r="Q324" s="2" t="s">
        <v>32</v>
      </c>
      <c r="R324" s="2">
        <v>0</v>
      </c>
      <c r="S324" s="2" t="s">
        <v>32</v>
      </c>
      <c r="T324" s="2">
        <v>0</v>
      </c>
      <c r="U324" s="2" t="s">
        <v>32</v>
      </c>
      <c r="V324" s="2" t="s">
        <v>32</v>
      </c>
      <c r="W324" s="2" t="s">
        <v>32</v>
      </c>
      <c r="X324" s="2">
        <v>0</v>
      </c>
      <c r="Y324" s="2" t="s">
        <v>32</v>
      </c>
      <c r="Z324" s="2" t="s">
        <v>32</v>
      </c>
      <c r="AA324" s="2" t="s">
        <v>32</v>
      </c>
      <c r="AB324" s="2">
        <v>0</v>
      </c>
      <c r="AC324" s="2" t="s">
        <v>32</v>
      </c>
      <c r="AD324" s="2">
        <v>0</v>
      </c>
      <c r="AE324" s="2" t="s">
        <v>1658</v>
      </c>
      <c r="AF324" s="2">
        <v>0</v>
      </c>
      <c r="AG324" s="2">
        <v>0</v>
      </c>
      <c r="AH324" s="2" t="s">
        <v>1660</v>
      </c>
      <c r="AI324" s="2" t="s">
        <v>32</v>
      </c>
      <c r="AJ324" s="2" t="s">
        <v>32</v>
      </c>
      <c r="AK324" s="2" t="s">
        <v>32</v>
      </c>
      <c r="AL324" s="2" t="s">
        <v>32</v>
      </c>
      <c r="AM324" s="2">
        <v>0</v>
      </c>
      <c r="AN324" s="2" t="s">
        <v>1660</v>
      </c>
      <c r="AO324" s="2">
        <v>0</v>
      </c>
      <c r="AP324" s="2" t="s">
        <v>32</v>
      </c>
      <c r="AQ324" s="2" t="s">
        <v>32</v>
      </c>
      <c r="AR324" s="2" t="s">
        <v>1660</v>
      </c>
      <c r="AS324" s="2">
        <v>0</v>
      </c>
      <c r="AT324" s="2" t="s">
        <v>32</v>
      </c>
      <c r="AU324" s="2" t="s">
        <v>32</v>
      </c>
      <c r="AV324" s="2" t="s">
        <v>1660</v>
      </c>
      <c r="AW324" s="2">
        <v>0</v>
      </c>
      <c r="AX324" s="2" t="s">
        <v>1660</v>
      </c>
      <c r="AY324" s="2">
        <v>0</v>
      </c>
      <c r="AZ324" s="2" t="s">
        <v>1660</v>
      </c>
      <c r="BA324" s="2">
        <v>0</v>
      </c>
      <c r="BB324" s="2">
        <v>0</v>
      </c>
      <c r="BC324" s="2" t="s">
        <v>32</v>
      </c>
      <c r="BD324" s="2">
        <v>0</v>
      </c>
      <c r="BE324" s="2" t="s">
        <v>32</v>
      </c>
      <c r="BF324" s="2">
        <v>0</v>
      </c>
      <c r="BG324" s="2" t="s">
        <v>32</v>
      </c>
      <c r="BH324" s="2">
        <v>0</v>
      </c>
      <c r="BI324" s="2" t="s">
        <v>32</v>
      </c>
      <c r="BJ324" s="2" t="s">
        <v>32</v>
      </c>
      <c r="BK324" s="2" t="s">
        <v>32</v>
      </c>
      <c r="BL324" s="2">
        <v>0</v>
      </c>
      <c r="BM324" s="2" t="s">
        <v>32</v>
      </c>
      <c r="BN324" s="2" t="s">
        <v>32</v>
      </c>
      <c r="BO324" s="2" t="s">
        <v>32</v>
      </c>
      <c r="BP324" s="2">
        <v>0</v>
      </c>
      <c r="BQ324" s="2" t="s">
        <v>32</v>
      </c>
      <c r="BR324" s="2">
        <v>0</v>
      </c>
      <c r="BS324" s="2" t="s">
        <v>1660</v>
      </c>
      <c r="BT324" s="2">
        <v>0</v>
      </c>
      <c r="BU324" s="2">
        <v>0</v>
      </c>
      <c r="BV324" s="2" t="s">
        <v>1660</v>
      </c>
      <c r="BW324" s="2"/>
      <c r="BX324" s="2"/>
      <c r="BY324" s="2" t="s">
        <v>1807</v>
      </c>
      <c r="BZ324" s="2" t="b">
        <f>OR( (Dashboard[[#This Row],[ref_as_hh]]&gt;=1),(Dashboard[[#This Row],[ret_as_hh]] &gt;=1), (Dashboard[[#This Row],[idp_as_hh]]&gt;=1))</f>
        <v>0</v>
      </c>
      <c r="CA324" s="2">
        <f>Dashboard[[#This Row],[ret_hi_hh]]</f>
        <v>0</v>
      </c>
      <c r="CB324" s="2">
        <f>Dashboard[[#This Row],[idp_fa_hh]]+Dashboard[[#This Row],[ref_fa_hh]]+Dashboard[[#This Row],[ret_fa_hh]]</f>
        <v>0</v>
      </c>
      <c r="CC324" s="2">
        <f>Dashboard[[#This Row],[idp_loc_hh]]+Dashboard[[#This Row],[ref_loc_hh]]+Dashboard[[#This Row],[ret_loc_hh]]</f>
        <v>0</v>
      </c>
      <c r="CD324" s="2">
        <f>Dashboard[[#This Row],[idp_cc_hh]]+Dashboard[[#This Row],[ref_cc_hh]]+Dashboard[[#This Row],[ret_cc_hh]]</f>
        <v>0</v>
      </c>
      <c r="CE324" s="2">
        <f>Dashboard[[#This Row],[idp_as_hh]]+Dashboard[[#This Row],[ref_as_hh]]+Dashboard[[#This Row],[ret_as_hh]]</f>
        <v>0</v>
      </c>
      <c r="CF324" s="2">
        <f>Dashboard[[#This Row],[idp_al_hh]]+Dashboard[[#This Row],[ref_al_hh]]+Dashboard[[#This Row],[ret_al_hh]]</f>
        <v>0</v>
      </c>
    </row>
    <row r="325" spans="1:84" hidden="1" x14ac:dyDescent="0.25">
      <c r="A325" s="27">
        <v>571</v>
      </c>
      <c r="B325" s="2" t="s">
        <v>22</v>
      </c>
      <c r="C325" s="2" t="s">
        <v>23</v>
      </c>
      <c r="D325" s="2" t="s">
        <v>85</v>
      </c>
      <c r="E325" s="2" t="s">
        <v>84</v>
      </c>
      <c r="F325" s="2" t="s">
        <v>98</v>
      </c>
      <c r="G325" s="2" t="s">
        <v>97</v>
      </c>
      <c r="H325" s="2" t="s">
        <v>1224</v>
      </c>
      <c r="I325" s="2" t="s">
        <v>423</v>
      </c>
      <c r="J325" s="2" t="s">
        <v>2972</v>
      </c>
      <c r="K325" s="2" t="s">
        <v>2973</v>
      </c>
      <c r="L325" s="2" t="s">
        <v>2074</v>
      </c>
      <c r="M325" s="2">
        <v>60023</v>
      </c>
      <c r="N325" s="2" t="s">
        <v>1658</v>
      </c>
      <c r="O325" s="2">
        <v>2066</v>
      </c>
      <c r="P325" s="2">
        <v>10227</v>
      </c>
      <c r="Q325" s="2" t="s">
        <v>1658</v>
      </c>
      <c r="R325" s="2">
        <v>1778</v>
      </c>
      <c r="S325" s="2" t="s">
        <v>1658</v>
      </c>
      <c r="T325" s="2">
        <v>288</v>
      </c>
      <c r="U325" s="2" t="s">
        <v>1661</v>
      </c>
      <c r="V325" s="2" t="s">
        <v>32</v>
      </c>
      <c r="W325" s="2" t="s">
        <v>1660</v>
      </c>
      <c r="X325" s="2">
        <v>0</v>
      </c>
      <c r="Y325" s="2" t="s">
        <v>32</v>
      </c>
      <c r="Z325" s="2" t="s">
        <v>32</v>
      </c>
      <c r="AA325" s="2" t="s">
        <v>1660</v>
      </c>
      <c r="AB325" s="2">
        <v>0</v>
      </c>
      <c r="AC325" s="2" t="s">
        <v>1660</v>
      </c>
      <c r="AD325" s="2">
        <v>0</v>
      </c>
      <c r="AE325" s="2" t="s">
        <v>1660</v>
      </c>
      <c r="AF325" s="2">
        <v>0</v>
      </c>
      <c r="AG325" s="2">
        <v>0</v>
      </c>
      <c r="AH325" s="2" t="s">
        <v>32</v>
      </c>
      <c r="AI325" s="2" t="s">
        <v>32</v>
      </c>
      <c r="AJ325" s="2" t="s">
        <v>32</v>
      </c>
      <c r="AK325" s="2" t="s">
        <v>32</v>
      </c>
      <c r="AL325" s="2" t="s">
        <v>32</v>
      </c>
      <c r="AM325" s="2">
        <v>0</v>
      </c>
      <c r="AN325" s="2" t="s">
        <v>32</v>
      </c>
      <c r="AO325" s="2">
        <v>0</v>
      </c>
      <c r="AP325" s="2" t="s">
        <v>32</v>
      </c>
      <c r="AQ325" s="2" t="s">
        <v>32</v>
      </c>
      <c r="AR325" s="2" t="s">
        <v>32</v>
      </c>
      <c r="AS325" s="2">
        <v>0</v>
      </c>
      <c r="AT325" s="2" t="s">
        <v>32</v>
      </c>
      <c r="AU325" s="2" t="s">
        <v>32</v>
      </c>
      <c r="AV325" s="2" t="s">
        <v>32</v>
      </c>
      <c r="AW325" s="2">
        <v>0</v>
      </c>
      <c r="AX325" s="2" t="s">
        <v>32</v>
      </c>
      <c r="AY325" s="2">
        <v>0</v>
      </c>
      <c r="AZ325" s="2" t="s">
        <v>1660</v>
      </c>
      <c r="BA325" s="2">
        <v>0</v>
      </c>
      <c r="BB325" s="2">
        <v>0</v>
      </c>
      <c r="BC325" s="2" t="s">
        <v>32</v>
      </c>
      <c r="BD325" s="2">
        <v>0</v>
      </c>
      <c r="BE325" s="2" t="s">
        <v>32</v>
      </c>
      <c r="BF325" s="2">
        <v>0</v>
      </c>
      <c r="BG325" s="2" t="s">
        <v>32</v>
      </c>
      <c r="BH325" s="2">
        <v>0</v>
      </c>
      <c r="BI325" s="2" t="s">
        <v>32</v>
      </c>
      <c r="BJ325" s="2" t="s">
        <v>32</v>
      </c>
      <c r="BK325" s="2" t="s">
        <v>32</v>
      </c>
      <c r="BL325" s="2">
        <v>0</v>
      </c>
      <c r="BM325" s="2" t="s">
        <v>32</v>
      </c>
      <c r="BN325" s="2" t="s">
        <v>32</v>
      </c>
      <c r="BO325" s="2" t="s">
        <v>32</v>
      </c>
      <c r="BP325" s="2">
        <v>0</v>
      </c>
      <c r="BQ325" s="2" t="s">
        <v>32</v>
      </c>
      <c r="BR325" s="2">
        <v>0</v>
      </c>
      <c r="BS325" s="2" t="s">
        <v>1660</v>
      </c>
      <c r="BT325" s="2">
        <v>0</v>
      </c>
      <c r="BU325" s="2">
        <v>0</v>
      </c>
      <c r="BV325" s="2" t="s">
        <v>1660</v>
      </c>
      <c r="BW325" s="2"/>
      <c r="BX325" s="2"/>
      <c r="BY325" s="2" t="s">
        <v>1807</v>
      </c>
      <c r="BZ325" s="2" t="b">
        <f>OR( (Dashboard[[#This Row],[ref_as_hh]]&gt;=1),(Dashboard[[#This Row],[ret_as_hh]] &gt;=1), (Dashboard[[#This Row],[idp_as_hh]]&gt;=1))</f>
        <v>0</v>
      </c>
      <c r="CA325" s="2">
        <f>Dashboard[[#This Row],[ret_hi_hh]]</f>
        <v>0</v>
      </c>
      <c r="CB325" s="2">
        <f>Dashboard[[#This Row],[idp_fa_hh]]+Dashboard[[#This Row],[ref_fa_hh]]+Dashboard[[#This Row],[ret_fa_hh]]</f>
        <v>1778</v>
      </c>
      <c r="CC325" s="2">
        <f>Dashboard[[#This Row],[idp_loc_hh]]+Dashboard[[#This Row],[ref_loc_hh]]+Dashboard[[#This Row],[ret_loc_hh]]</f>
        <v>288</v>
      </c>
      <c r="CD325" s="2">
        <f>Dashboard[[#This Row],[idp_cc_hh]]+Dashboard[[#This Row],[ref_cc_hh]]+Dashboard[[#This Row],[ret_cc_hh]]</f>
        <v>0</v>
      </c>
      <c r="CE325" s="2">
        <f>Dashboard[[#This Row],[idp_as_hh]]+Dashboard[[#This Row],[ref_as_hh]]+Dashboard[[#This Row],[ret_as_hh]]</f>
        <v>0</v>
      </c>
      <c r="CF325" s="2">
        <f>Dashboard[[#This Row],[idp_al_hh]]+Dashboard[[#This Row],[ref_al_hh]]+Dashboard[[#This Row],[ret_al_hh]]</f>
        <v>0</v>
      </c>
    </row>
    <row r="326" spans="1:84" hidden="1" x14ac:dyDescent="0.25">
      <c r="A326" s="27">
        <v>60</v>
      </c>
      <c r="B326" s="2" t="s">
        <v>22</v>
      </c>
      <c r="C326" s="2" t="s">
        <v>23</v>
      </c>
      <c r="D326" s="2" t="s">
        <v>85</v>
      </c>
      <c r="E326" s="2" t="s">
        <v>84</v>
      </c>
      <c r="F326" s="2" t="s">
        <v>98</v>
      </c>
      <c r="G326" s="2" t="s">
        <v>97</v>
      </c>
      <c r="H326" s="2" t="s">
        <v>1176</v>
      </c>
      <c r="I326" s="2" t="s">
        <v>397</v>
      </c>
      <c r="J326" s="2" t="s">
        <v>2854</v>
      </c>
      <c r="K326" s="2" t="s">
        <v>2855</v>
      </c>
      <c r="L326" s="2" t="s">
        <v>2074</v>
      </c>
      <c r="M326" s="2">
        <v>890</v>
      </c>
      <c r="N326" s="2" t="s">
        <v>1658</v>
      </c>
      <c r="O326" s="2">
        <v>17</v>
      </c>
      <c r="P326" s="2">
        <v>90</v>
      </c>
      <c r="Q326" s="2" t="s">
        <v>1658</v>
      </c>
      <c r="R326" s="2">
        <v>17</v>
      </c>
      <c r="S326" s="2" t="s">
        <v>1660</v>
      </c>
      <c r="T326" s="2">
        <v>0</v>
      </c>
      <c r="U326" s="2" t="s">
        <v>32</v>
      </c>
      <c r="V326" s="2" t="s">
        <v>32</v>
      </c>
      <c r="W326" s="2" t="s">
        <v>1660</v>
      </c>
      <c r="X326" s="2">
        <v>0</v>
      </c>
      <c r="Y326" s="2" t="s">
        <v>32</v>
      </c>
      <c r="Z326" s="2" t="s">
        <v>32</v>
      </c>
      <c r="AA326" s="2" t="s">
        <v>1660</v>
      </c>
      <c r="AB326" s="2">
        <v>0</v>
      </c>
      <c r="AC326" s="2" t="s">
        <v>1660</v>
      </c>
      <c r="AD326" s="2">
        <v>0</v>
      </c>
      <c r="AE326" s="2" t="s">
        <v>1660</v>
      </c>
      <c r="AF326" s="2">
        <v>0</v>
      </c>
      <c r="AG326" s="2">
        <v>0</v>
      </c>
      <c r="AH326" s="2" t="s">
        <v>32</v>
      </c>
      <c r="AI326" s="2" t="s">
        <v>32</v>
      </c>
      <c r="AJ326" s="2" t="s">
        <v>32</v>
      </c>
      <c r="AK326" s="2" t="s">
        <v>32</v>
      </c>
      <c r="AL326" s="2" t="s">
        <v>32</v>
      </c>
      <c r="AM326" s="2">
        <v>0</v>
      </c>
      <c r="AN326" s="2" t="s">
        <v>32</v>
      </c>
      <c r="AO326" s="2">
        <v>0</v>
      </c>
      <c r="AP326" s="2" t="s">
        <v>32</v>
      </c>
      <c r="AQ326" s="2" t="s">
        <v>32</v>
      </c>
      <c r="AR326" s="2" t="s">
        <v>32</v>
      </c>
      <c r="AS326" s="2">
        <v>0</v>
      </c>
      <c r="AT326" s="2" t="s">
        <v>32</v>
      </c>
      <c r="AU326" s="2" t="s">
        <v>32</v>
      </c>
      <c r="AV326" s="2" t="s">
        <v>32</v>
      </c>
      <c r="AW326" s="2">
        <v>0</v>
      </c>
      <c r="AX326" s="2" t="s">
        <v>32</v>
      </c>
      <c r="AY326" s="2">
        <v>0</v>
      </c>
      <c r="AZ326" s="2" t="s">
        <v>1660</v>
      </c>
      <c r="BA326" s="2">
        <v>0</v>
      </c>
      <c r="BB326" s="2">
        <v>0</v>
      </c>
      <c r="BC326" s="2" t="s">
        <v>32</v>
      </c>
      <c r="BD326" s="2">
        <v>0</v>
      </c>
      <c r="BE326" s="2" t="s">
        <v>32</v>
      </c>
      <c r="BF326" s="2">
        <v>0</v>
      </c>
      <c r="BG326" s="2" t="s">
        <v>32</v>
      </c>
      <c r="BH326" s="2">
        <v>0</v>
      </c>
      <c r="BI326" s="2" t="s">
        <v>32</v>
      </c>
      <c r="BJ326" s="2" t="s">
        <v>32</v>
      </c>
      <c r="BK326" s="2" t="s">
        <v>32</v>
      </c>
      <c r="BL326" s="2">
        <v>0</v>
      </c>
      <c r="BM326" s="2" t="s">
        <v>32</v>
      </c>
      <c r="BN326" s="2" t="s">
        <v>32</v>
      </c>
      <c r="BO326" s="2" t="s">
        <v>32</v>
      </c>
      <c r="BP326" s="2">
        <v>0</v>
      </c>
      <c r="BQ326" s="2" t="s">
        <v>32</v>
      </c>
      <c r="BR326" s="2">
        <v>0</v>
      </c>
      <c r="BS326" s="2" t="s">
        <v>1660</v>
      </c>
      <c r="BT326" s="2">
        <v>0</v>
      </c>
      <c r="BU326" s="2">
        <v>0</v>
      </c>
      <c r="BV326" s="2" t="s">
        <v>1660</v>
      </c>
      <c r="BW326" s="2"/>
      <c r="BX326" s="2"/>
      <c r="BY326" s="2" t="s">
        <v>1807</v>
      </c>
      <c r="BZ326" s="2" t="b">
        <f>OR( (Dashboard[[#This Row],[ref_as_hh]]&gt;=1),(Dashboard[[#This Row],[ret_as_hh]] &gt;=1), (Dashboard[[#This Row],[idp_as_hh]]&gt;=1))</f>
        <v>0</v>
      </c>
      <c r="CA326" s="2">
        <f>Dashboard[[#This Row],[ret_hi_hh]]</f>
        <v>0</v>
      </c>
      <c r="CB326" s="2">
        <f>Dashboard[[#This Row],[idp_fa_hh]]+Dashboard[[#This Row],[ref_fa_hh]]+Dashboard[[#This Row],[ret_fa_hh]]</f>
        <v>17</v>
      </c>
      <c r="CC326" s="2">
        <f>Dashboard[[#This Row],[idp_loc_hh]]+Dashboard[[#This Row],[ref_loc_hh]]+Dashboard[[#This Row],[ret_loc_hh]]</f>
        <v>0</v>
      </c>
      <c r="CD326" s="2">
        <f>Dashboard[[#This Row],[idp_cc_hh]]+Dashboard[[#This Row],[ref_cc_hh]]+Dashboard[[#This Row],[ret_cc_hh]]</f>
        <v>0</v>
      </c>
      <c r="CE326" s="2">
        <f>Dashboard[[#This Row],[idp_as_hh]]+Dashboard[[#This Row],[ref_as_hh]]+Dashboard[[#This Row],[ret_as_hh]]</f>
        <v>0</v>
      </c>
      <c r="CF326" s="2">
        <f>Dashboard[[#This Row],[idp_al_hh]]+Dashboard[[#This Row],[ref_al_hh]]+Dashboard[[#This Row],[ret_al_hh]]</f>
        <v>0</v>
      </c>
    </row>
    <row r="327" spans="1:84" hidden="1" x14ac:dyDescent="0.25">
      <c r="A327" s="27">
        <v>316</v>
      </c>
      <c r="B327" s="2" t="s">
        <v>22</v>
      </c>
      <c r="C327" s="2" t="s">
        <v>23</v>
      </c>
      <c r="D327" s="2" t="s">
        <v>85</v>
      </c>
      <c r="E327" s="2" t="s">
        <v>84</v>
      </c>
      <c r="F327" s="2" t="s">
        <v>98</v>
      </c>
      <c r="G327" s="2" t="s">
        <v>97</v>
      </c>
      <c r="H327" s="2" t="s">
        <v>1514</v>
      </c>
      <c r="I327" s="2" t="s">
        <v>627</v>
      </c>
      <c r="J327" s="2" t="s">
        <v>2930</v>
      </c>
      <c r="K327" s="2" t="s">
        <v>2931</v>
      </c>
      <c r="L327" s="2" t="s">
        <v>3693</v>
      </c>
      <c r="M327" s="2">
        <v>0</v>
      </c>
      <c r="N327" s="2" t="s">
        <v>1660</v>
      </c>
      <c r="O327" s="2">
        <v>0</v>
      </c>
      <c r="P327" s="2">
        <v>0</v>
      </c>
      <c r="Q327" s="2" t="s">
        <v>32</v>
      </c>
      <c r="R327" s="2">
        <v>0</v>
      </c>
      <c r="S327" s="2" t="s">
        <v>32</v>
      </c>
      <c r="T327" s="2">
        <v>0</v>
      </c>
      <c r="U327" s="2" t="s">
        <v>32</v>
      </c>
      <c r="V327" s="2" t="s">
        <v>32</v>
      </c>
      <c r="W327" s="2" t="s">
        <v>32</v>
      </c>
      <c r="X327" s="2">
        <v>0</v>
      </c>
      <c r="Y327" s="2" t="s">
        <v>32</v>
      </c>
      <c r="Z327" s="2" t="s">
        <v>32</v>
      </c>
      <c r="AA327" s="2" t="s">
        <v>32</v>
      </c>
      <c r="AB327" s="2">
        <v>0</v>
      </c>
      <c r="AC327" s="2" t="s">
        <v>32</v>
      </c>
      <c r="AD327" s="2">
        <v>0</v>
      </c>
      <c r="AE327" s="2" t="s">
        <v>1658</v>
      </c>
      <c r="AF327" s="2">
        <v>0</v>
      </c>
      <c r="AG327" s="2">
        <v>0</v>
      </c>
      <c r="AH327" s="2" t="s">
        <v>1660</v>
      </c>
      <c r="AI327" s="2" t="s">
        <v>32</v>
      </c>
      <c r="AJ327" s="2" t="s">
        <v>32</v>
      </c>
      <c r="AK327" s="2" t="s">
        <v>32</v>
      </c>
      <c r="AL327" s="2" t="s">
        <v>1660</v>
      </c>
      <c r="AM327" s="2">
        <v>0</v>
      </c>
      <c r="AN327" s="2" t="s">
        <v>1660</v>
      </c>
      <c r="AO327" s="2">
        <v>0</v>
      </c>
      <c r="AP327" s="2" t="s">
        <v>32</v>
      </c>
      <c r="AQ327" s="2" t="s">
        <v>32</v>
      </c>
      <c r="AR327" s="2" t="s">
        <v>1660</v>
      </c>
      <c r="AS327" s="2">
        <v>0</v>
      </c>
      <c r="AT327" s="2" t="s">
        <v>32</v>
      </c>
      <c r="AU327" s="2" t="s">
        <v>32</v>
      </c>
      <c r="AV327" s="2" t="s">
        <v>1660</v>
      </c>
      <c r="AW327" s="2">
        <v>0</v>
      </c>
      <c r="AX327" s="2" t="s">
        <v>1660</v>
      </c>
      <c r="AY327" s="2">
        <v>0</v>
      </c>
      <c r="AZ327" s="2" t="s">
        <v>1660</v>
      </c>
      <c r="BA327" s="2">
        <v>0</v>
      </c>
      <c r="BB327" s="2">
        <v>0</v>
      </c>
      <c r="BC327" s="2" t="s">
        <v>32</v>
      </c>
      <c r="BD327" s="2">
        <v>0</v>
      </c>
      <c r="BE327" s="2" t="s">
        <v>32</v>
      </c>
      <c r="BF327" s="2">
        <v>0</v>
      </c>
      <c r="BG327" s="2" t="s">
        <v>32</v>
      </c>
      <c r="BH327" s="2">
        <v>0</v>
      </c>
      <c r="BI327" s="2" t="s">
        <v>32</v>
      </c>
      <c r="BJ327" s="2" t="s">
        <v>32</v>
      </c>
      <c r="BK327" s="2" t="s">
        <v>32</v>
      </c>
      <c r="BL327" s="2">
        <v>0</v>
      </c>
      <c r="BM327" s="2" t="s">
        <v>32</v>
      </c>
      <c r="BN327" s="2" t="s">
        <v>32</v>
      </c>
      <c r="BO327" s="2" t="s">
        <v>32</v>
      </c>
      <c r="BP327" s="2">
        <v>0</v>
      </c>
      <c r="BQ327" s="2" t="s">
        <v>32</v>
      </c>
      <c r="BR327" s="2">
        <v>0</v>
      </c>
      <c r="BS327" s="2" t="s">
        <v>1660</v>
      </c>
      <c r="BT327" s="2">
        <v>0</v>
      </c>
      <c r="BU327" s="2">
        <v>0</v>
      </c>
      <c r="BV327" s="2" t="s">
        <v>1660</v>
      </c>
      <c r="BW327" s="2"/>
      <c r="BX327" s="2"/>
      <c r="BY327" s="2" t="s">
        <v>1807</v>
      </c>
      <c r="BZ327" s="2" t="b">
        <f>OR( (Dashboard[[#This Row],[ref_as_hh]]&gt;=1),(Dashboard[[#This Row],[ret_as_hh]] &gt;=1), (Dashboard[[#This Row],[idp_as_hh]]&gt;=1))</f>
        <v>0</v>
      </c>
      <c r="CA327" s="2">
        <f>Dashboard[[#This Row],[ret_hi_hh]]</f>
        <v>0</v>
      </c>
      <c r="CB327" s="2">
        <f>Dashboard[[#This Row],[idp_fa_hh]]+Dashboard[[#This Row],[ref_fa_hh]]+Dashboard[[#This Row],[ret_fa_hh]]</f>
        <v>0</v>
      </c>
      <c r="CC327" s="2">
        <f>Dashboard[[#This Row],[idp_loc_hh]]+Dashboard[[#This Row],[ref_loc_hh]]+Dashboard[[#This Row],[ret_loc_hh]]</f>
        <v>0</v>
      </c>
      <c r="CD327" s="2">
        <f>Dashboard[[#This Row],[idp_cc_hh]]+Dashboard[[#This Row],[ref_cc_hh]]+Dashboard[[#This Row],[ret_cc_hh]]</f>
        <v>0</v>
      </c>
      <c r="CE327" s="2">
        <f>Dashboard[[#This Row],[idp_as_hh]]+Dashboard[[#This Row],[ref_as_hh]]+Dashboard[[#This Row],[ret_as_hh]]</f>
        <v>0</v>
      </c>
      <c r="CF327" s="2">
        <f>Dashboard[[#This Row],[idp_al_hh]]+Dashboard[[#This Row],[ref_al_hh]]+Dashboard[[#This Row],[ret_al_hh]]</f>
        <v>0</v>
      </c>
    </row>
    <row r="328" spans="1:84" hidden="1" x14ac:dyDescent="0.25">
      <c r="A328" s="27">
        <v>61</v>
      </c>
      <c r="B328" s="2" t="s">
        <v>22</v>
      </c>
      <c r="C328" s="2" t="s">
        <v>23</v>
      </c>
      <c r="D328" s="2" t="s">
        <v>85</v>
      </c>
      <c r="E328" s="2" t="s">
        <v>84</v>
      </c>
      <c r="F328" s="2" t="s">
        <v>98</v>
      </c>
      <c r="G328" s="2" t="s">
        <v>97</v>
      </c>
      <c r="H328" s="2" t="s">
        <v>1154</v>
      </c>
      <c r="I328" s="2" t="s">
        <v>386</v>
      </c>
      <c r="J328" s="2" t="s">
        <v>2808</v>
      </c>
      <c r="K328" s="2" t="s">
        <v>2809</v>
      </c>
      <c r="L328" s="2" t="s">
        <v>2074</v>
      </c>
      <c r="M328" s="2">
        <v>740</v>
      </c>
      <c r="N328" s="2" t="s">
        <v>1658</v>
      </c>
      <c r="O328" s="2">
        <v>13</v>
      </c>
      <c r="P328" s="2">
        <v>49</v>
      </c>
      <c r="Q328" s="2" t="s">
        <v>1658</v>
      </c>
      <c r="R328" s="2">
        <v>13</v>
      </c>
      <c r="S328" s="2" t="s">
        <v>1660</v>
      </c>
      <c r="T328" s="2">
        <v>0</v>
      </c>
      <c r="U328" s="2" t="s">
        <v>32</v>
      </c>
      <c r="V328" s="2" t="s">
        <v>32</v>
      </c>
      <c r="W328" s="2" t="s">
        <v>1660</v>
      </c>
      <c r="X328" s="2">
        <v>0</v>
      </c>
      <c r="Y328" s="2" t="s">
        <v>32</v>
      </c>
      <c r="Z328" s="2" t="s">
        <v>32</v>
      </c>
      <c r="AA328" s="2" t="s">
        <v>1660</v>
      </c>
      <c r="AB328" s="2">
        <v>0</v>
      </c>
      <c r="AC328" s="2" t="s">
        <v>1660</v>
      </c>
      <c r="AD328" s="2">
        <v>0</v>
      </c>
      <c r="AE328" s="2" t="s">
        <v>1660</v>
      </c>
      <c r="AF328" s="2">
        <v>0</v>
      </c>
      <c r="AG328" s="2">
        <v>0</v>
      </c>
      <c r="AH328" s="2" t="s">
        <v>32</v>
      </c>
      <c r="AI328" s="2" t="s">
        <v>32</v>
      </c>
      <c r="AJ328" s="2" t="s">
        <v>32</v>
      </c>
      <c r="AK328" s="2" t="s">
        <v>32</v>
      </c>
      <c r="AL328" s="2" t="s">
        <v>32</v>
      </c>
      <c r="AM328" s="2">
        <v>0</v>
      </c>
      <c r="AN328" s="2" t="s">
        <v>32</v>
      </c>
      <c r="AO328" s="2">
        <v>0</v>
      </c>
      <c r="AP328" s="2" t="s">
        <v>32</v>
      </c>
      <c r="AQ328" s="2" t="s">
        <v>32</v>
      </c>
      <c r="AR328" s="2" t="s">
        <v>32</v>
      </c>
      <c r="AS328" s="2">
        <v>0</v>
      </c>
      <c r="AT328" s="2" t="s">
        <v>32</v>
      </c>
      <c r="AU328" s="2" t="s">
        <v>32</v>
      </c>
      <c r="AV328" s="2" t="s">
        <v>32</v>
      </c>
      <c r="AW328" s="2">
        <v>0</v>
      </c>
      <c r="AX328" s="2" t="s">
        <v>32</v>
      </c>
      <c r="AY328" s="2">
        <v>0</v>
      </c>
      <c r="AZ328" s="2" t="s">
        <v>1658</v>
      </c>
      <c r="BA328" s="2">
        <v>1</v>
      </c>
      <c r="BB328" s="2">
        <v>13</v>
      </c>
      <c r="BC328" s="2" t="s">
        <v>1660</v>
      </c>
      <c r="BD328" s="2">
        <v>0</v>
      </c>
      <c r="BE328" s="2" t="s">
        <v>1658</v>
      </c>
      <c r="BF328" s="2">
        <v>1</v>
      </c>
      <c r="BG328" s="2" t="s">
        <v>1660</v>
      </c>
      <c r="BH328" s="2">
        <v>0</v>
      </c>
      <c r="BI328" s="2" t="s">
        <v>32</v>
      </c>
      <c r="BJ328" s="2" t="s">
        <v>32</v>
      </c>
      <c r="BK328" s="2" t="s">
        <v>1660</v>
      </c>
      <c r="BL328" s="2">
        <v>0</v>
      </c>
      <c r="BM328" s="2" t="s">
        <v>32</v>
      </c>
      <c r="BN328" s="2" t="s">
        <v>32</v>
      </c>
      <c r="BO328" s="2" t="s">
        <v>1660</v>
      </c>
      <c r="BP328" s="2">
        <v>0</v>
      </c>
      <c r="BQ328" s="2" t="s">
        <v>1660</v>
      </c>
      <c r="BR328" s="2">
        <v>0</v>
      </c>
      <c r="BS328" s="2" t="s">
        <v>1660</v>
      </c>
      <c r="BT328" s="2">
        <v>0</v>
      </c>
      <c r="BU328" s="2">
        <v>0</v>
      </c>
      <c r="BV328" s="2" t="s">
        <v>1660</v>
      </c>
      <c r="BW328" s="2"/>
      <c r="BX328" s="2"/>
      <c r="BY328" s="2" t="s">
        <v>1807</v>
      </c>
      <c r="BZ328" s="2" t="b">
        <f>OR( (Dashboard[[#This Row],[ref_as_hh]]&gt;=1),(Dashboard[[#This Row],[ret_as_hh]] &gt;=1), (Dashboard[[#This Row],[idp_as_hh]]&gt;=1))</f>
        <v>0</v>
      </c>
      <c r="CA328" s="2">
        <f>Dashboard[[#This Row],[ret_hi_hh]]</f>
        <v>0</v>
      </c>
      <c r="CB328" s="2">
        <f>Dashboard[[#This Row],[idp_fa_hh]]+Dashboard[[#This Row],[ref_fa_hh]]+Dashboard[[#This Row],[ret_fa_hh]]</f>
        <v>14</v>
      </c>
      <c r="CC328" s="2">
        <f>Dashboard[[#This Row],[idp_loc_hh]]+Dashboard[[#This Row],[ref_loc_hh]]+Dashboard[[#This Row],[ret_loc_hh]]</f>
        <v>0</v>
      </c>
      <c r="CD328" s="2">
        <f>Dashboard[[#This Row],[idp_cc_hh]]+Dashboard[[#This Row],[ref_cc_hh]]+Dashboard[[#This Row],[ret_cc_hh]]</f>
        <v>0</v>
      </c>
      <c r="CE328" s="2">
        <f>Dashboard[[#This Row],[idp_as_hh]]+Dashboard[[#This Row],[ref_as_hh]]+Dashboard[[#This Row],[ret_as_hh]]</f>
        <v>0</v>
      </c>
      <c r="CF328" s="2">
        <f>Dashboard[[#This Row],[idp_al_hh]]+Dashboard[[#This Row],[ref_al_hh]]+Dashboard[[#This Row],[ret_al_hh]]</f>
        <v>0</v>
      </c>
    </row>
    <row r="329" spans="1:84" hidden="1" x14ac:dyDescent="0.25">
      <c r="A329" s="27">
        <v>317</v>
      </c>
      <c r="B329" s="2" t="s">
        <v>22</v>
      </c>
      <c r="C329" s="2" t="s">
        <v>23</v>
      </c>
      <c r="D329" s="2" t="s">
        <v>85</v>
      </c>
      <c r="E329" s="2" t="s">
        <v>84</v>
      </c>
      <c r="F329" s="2" t="s">
        <v>98</v>
      </c>
      <c r="G329" s="2" t="s">
        <v>97</v>
      </c>
      <c r="H329" s="2" t="s">
        <v>1512</v>
      </c>
      <c r="I329" s="2" t="s">
        <v>626</v>
      </c>
      <c r="J329" s="2" t="s">
        <v>2924</v>
      </c>
      <c r="K329" s="2" t="s">
        <v>2925</v>
      </c>
      <c r="L329" s="2" t="s">
        <v>2074</v>
      </c>
      <c r="M329" s="2">
        <v>0</v>
      </c>
      <c r="N329" s="2" t="s">
        <v>1660</v>
      </c>
      <c r="O329" s="2">
        <v>0</v>
      </c>
      <c r="P329" s="2">
        <v>0</v>
      </c>
      <c r="Q329" s="2" t="s">
        <v>32</v>
      </c>
      <c r="R329" s="2">
        <v>0</v>
      </c>
      <c r="S329" s="2" t="s">
        <v>32</v>
      </c>
      <c r="T329" s="2">
        <v>0</v>
      </c>
      <c r="U329" s="2" t="s">
        <v>32</v>
      </c>
      <c r="V329" s="2" t="s">
        <v>32</v>
      </c>
      <c r="W329" s="2" t="s">
        <v>32</v>
      </c>
      <c r="X329" s="2">
        <v>0</v>
      </c>
      <c r="Y329" s="2" t="s">
        <v>32</v>
      </c>
      <c r="Z329" s="2" t="s">
        <v>32</v>
      </c>
      <c r="AA329" s="2" t="s">
        <v>32</v>
      </c>
      <c r="AB329" s="2">
        <v>0</v>
      </c>
      <c r="AC329" s="2" t="s">
        <v>32</v>
      </c>
      <c r="AD329" s="2">
        <v>0</v>
      </c>
      <c r="AE329" s="2" t="s">
        <v>1658</v>
      </c>
      <c r="AF329" s="2">
        <v>0</v>
      </c>
      <c r="AG329" s="2">
        <v>0</v>
      </c>
      <c r="AH329" s="2" t="s">
        <v>1660</v>
      </c>
      <c r="AI329" s="2" t="s">
        <v>32</v>
      </c>
      <c r="AJ329" s="2" t="s">
        <v>32</v>
      </c>
      <c r="AK329" s="2" t="s">
        <v>32</v>
      </c>
      <c r="AL329" s="2" t="s">
        <v>32</v>
      </c>
      <c r="AM329" s="2">
        <v>0</v>
      </c>
      <c r="AN329" s="2" t="s">
        <v>1660</v>
      </c>
      <c r="AO329" s="2">
        <v>0</v>
      </c>
      <c r="AP329" s="2" t="s">
        <v>32</v>
      </c>
      <c r="AQ329" s="2" t="s">
        <v>32</v>
      </c>
      <c r="AR329" s="2" t="s">
        <v>1660</v>
      </c>
      <c r="AS329" s="2">
        <v>0</v>
      </c>
      <c r="AT329" s="2" t="s">
        <v>32</v>
      </c>
      <c r="AU329" s="2" t="s">
        <v>32</v>
      </c>
      <c r="AV329" s="2" t="s">
        <v>1660</v>
      </c>
      <c r="AW329" s="2">
        <v>0</v>
      </c>
      <c r="AX329" s="2" t="s">
        <v>1660</v>
      </c>
      <c r="AY329" s="2">
        <v>0</v>
      </c>
      <c r="AZ329" s="2" t="s">
        <v>1660</v>
      </c>
      <c r="BA329" s="2">
        <v>0</v>
      </c>
      <c r="BB329" s="2">
        <v>0</v>
      </c>
      <c r="BC329" s="2" t="s">
        <v>32</v>
      </c>
      <c r="BD329" s="2">
        <v>0</v>
      </c>
      <c r="BE329" s="2" t="s">
        <v>32</v>
      </c>
      <c r="BF329" s="2">
        <v>0</v>
      </c>
      <c r="BG329" s="2" t="s">
        <v>32</v>
      </c>
      <c r="BH329" s="2">
        <v>0</v>
      </c>
      <c r="BI329" s="2" t="s">
        <v>32</v>
      </c>
      <c r="BJ329" s="2" t="s">
        <v>32</v>
      </c>
      <c r="BK329" s="2" t="s">
        <v>32</v>
      </c>
      <c r="BL329" s="2">
        <v>0</v>
      </c>
      <c r="BM329" s="2" t="s">
        <v>32</v>
      </c>
      <c r="BN329" s="2" t="s">
        <v>32</v>
      </c>
      <c r="BO329" s="2" t="s">
        <v>32</v>
      </c>
      <c r="BP329" s="2">
        <v>0</v>
      </c>
      <c r="BQ329" s="2" t="s">
        <v>32</v>
      </c>
      <c r="BR329" s="2">
        <v>0</v>
      </c>
      <c r="BS329" s="2" t="s">
        <v>1660</v>
      </c>
      <c r="BT329" s="2">
        <v>0</v>
      </c>
      <c r="BU329" s="2">
        <v>0</v>
      </c>
      <c r="BV329" s="2" t="s">
        <v>1660</v>
      </c>
      <c r="BW329" s="2"/>
      <c r="BX329" s="2"/>
      <c r="BY329" s="2" t="s">
        <v>1807</v>
      </c>
      <c r="BZ329" s="2" t="b">
        <f>OR( (Dashboard[[#This Row],[ref_as_hh]]&gt;=1),(Dashboard[[#This Row],[ret_as_hh]] &gt;=1), (Dashboard[[#This Row],[idp_as_hh]]&gt;=1))</f>
        <v>0</v>
      </c>
      <c r="CA329" s="2">
        <f>Dashboard[[#This Row],[ret_hi_hh]]</f>
        <v>0</v>
      </c>
      <c r="CB329" s="2">
        <f>Dashboard[[#This Row],[idp_fa_hh]]+Dashboard[[#This Row],[ref_fa_hh]]+Dashboard[[#This Row],[ret_fa_hh]]</f>
        <v>0</v>
      </c>
      <c r="CC329" s="2">
        <f>Dashboard[[#This Row],[idp_loc_hh]]+Dashboard[[#This Row],[ref_loc_hh]]+Dashboard[[#This Row],[ret_loc_hh]]</f>
        <v>0</v>
      </c>
      <c r="CD329" s="2">
        <f>Dashboard[[#This Row],[idp_cc_hh]]+Dashboard[[#This Row],[ref_cc_hh]]+Dashboard[[#This Row],[ret_cc_hh]]</f>
        <v>0</v>
      </c>
      <c r="CE329" s="2">
        <f>Dashboard[[#This Row],[idp_as_hh]]+Dashboard[[#This Row],[ref_as_hh]]+Dashboard[[#This Row],[ret_as_hh]]</f>
        <v>0</v>
      </c>
      <c r="CF329" s="2">
        <f>Dashboard[[#This Row],[idp_al_hh]]+Dashboard[[#This Row],[ref_al_hh]]+Dashboard[[#This Row],[ret_al_hh]]</f>
        <v>0</v>
      </c>
    </row>
    <row r="330" spans="1:84" hidden="1" x14ac:dyDescent="0.25">
      <c r="A330" s="27">
        <v>573</v>
      </c>
      <c r="B330" s="2" t="s">
        <v>22</v>
      </c>
      <c r="C330" s="2" t="s">
        <v>23</v>
      </c>
      <c r="D330" s="2" t="s">
        <v>85</v>
      </c>
      <c r="E330" s="2" t="s">
        <v>84</v>
      </c>
      <c r="F330" s="2" t="s">
        <v>98</v>
      </c>
      <c r="G330" s="2" t="s">
        <v>97</v>
      </c>
      <c r="H330" s="2" t="s">
        <v>1165</v>
      </c>
      <c r="I330" s="2" t="s">
        <v>809</v>
      </c>
      <c r="J330" s="2" t="s">
        <v>2832</v>
      </c>
      <c r="K330" s="2" t="s">
        <v>2833</v>
      </c>
      <c r="L330" s="2" t="s">
        <v>2074</v>
      </c>
      <c r="M330" s="2">
        <v>500</v>
      </c>
      <c r="N330" s="2" t="s">
        <v>1658</v>
      </c>
      <c r="O330" s="2">
        <v>22</v>
      </c>
      <c r="P330" s="2">
        <v>106</v>
      </c>
      <c r="Q330" s="2" t="s">
        <v>1658</v>
      </c>
      <c r="R330" s="2">
        <v>22</v>
      </c>
      <c r="S330" s="2" t="s">
        <v>1660</v>
      </c>
      <c r="T330" s="2">
        <v>0</v>
      </c>
      <c r="U330" s="2" t="s">
        <v>32</v>
      </c>
      <c r="V330" s="2" t="s">
        <v>32</v>
      </c>
      <c r="W330" s="2" t="s">
        <v>1660</v>
      </c>
      <c r="X330" s="2">
        <v>0</v>
      </c>
      <c r="Y330" s="2" t="s">
        <v>32</v>
      </c>
      <c r="Z330" s="2" t="s">
        <v>32</v>
      </c>
      <c r="AA330" s="2" t="s">
        <v>1660</v>
      </c>
      <c r="AB330" s="2">
        <v>0</v>
      </c>
      <c r="AC330" s="2" t="s">
        <v>1660</v>
      </c>
      <c r="AD330" s="2">
        <v>0</v>
      </c>
      <c r="AE330" s="2" t="s">
        <v>1658</v>
      </c>
      <c r="AF330" s="2">
        <v>11</v>
      </c>
      <c r="AG330" s="2">
        <v>49</v>
      </c>
      <c r="AH330" s="2" t="s">
        <v>1660</v>
      </c>
      <c r="AI330" s="2" t="s">
        <v>32</v>
      </c>
      <c r="AJ330" s="2" t="s">
        <v>32</v>
      </c>
      <c r="AK330" s="2" t="s">
        <v>32</v>
      </c>
      <c r="AL330" s="2" t="s">
        <v>1658</v>
      </c>
      <c r="AM330" s="2">
        <v>11</v>
      </c>
      <c r="AN330" s="2" t="s">
        <v>1660</v>
      </c>
      <c r="AO330" s="2">
        <v>0</v>
      </c>
      <c r="AP330" s="2" t="s">
        <v>32</v>
      </c>
      <c r="AQ330" s="2" t="s">
        <v>32</v>
      </c>
      <c r="AR330" s="2" t="s">
        <v>1660</v>
      </c>
      <c r="AS330" s="2">
        <v>0</v>
      </c>
      <c r="AT330" s="2" t="s">
        <v>32</v>
      </c>
      <c r="AU330" s="2" t="s">
        <v>32</v>
      </c>
      <c r="AV330" s="2" t="s">
        <v>1660</v>
      </c>
      <c r="AW330" s="2">
        <v>0</v>
      </c>
      <c r="AX330" s="2" t="s">
        <v>1660</v>
      </c>
      <c r="AY330" s="2">
        <v>0</v>
      </c>
      <c r="AZ330" s="2" t="s">
        <v>1660</v>
      </c>
      <c r="BA330" s="2">
        <v>0</v>
      </c>
      <c r="BB330" s="2">
        <v>0</v>
      </c>
      <c r="BC330" s="2" t="s">
        <v>32</v>
      </c>
      <c r="BD330" s="2">
        <v>0</v>
      </c>
      <c r="BE330" s="2" t="s">
        <v>32</v>
      </c>
      <c r="BF330" s="2">
        <v>0</v>
      </c>
      <c r="BG330" s="2" t="s">
        <v>32</v>
      </c>
      <c r="BH330" s="2">
        <v>0</v>
      </c>
      <c r="BI330" s="2" t="s">
        <v>32</v>
      </c>
      <c r="BJ330" s="2" t="s">
        <v>32</v>
      </c>
      <c r="BK330" s="2" t="s">
        <v>32</v>
      </c>
      <c r="BL330" s="2">
        <v>0</v>
      </c>
      <c r="BM330" s="2" t="s">
        <v>32</v>
      </c>
      <c r="BN330" s="2" t="s">
        <v>32</v>
      </c>
      <c r="BO330" s="2" t="s">
        <v>32</v>
      </c>
      <c r="BP330" s="2">
        <v>0</v>
      </c>
      <c r="BQ330" s="2" t="s">
        <v>32</v>
      </c>
      <c r="BR330" s="2">
        <v>0</v>
      </c>
      <c r="BS330" s="2" t="s">
        <v>1660</v>
      </c>
      <c r="BT330" s="2">
        <v>0</v>
      </c>
      <c r="BU330" s="2">
        <v>0</v>
      </c>
      <c r="BV330" s="2" t="s">
        <v>1660</v>
      </c>
      <c r="BW330" s="2"/>
      <c r="BX330" s="2"/>
      <c r="BY330" s="2" t="s">
        <v>1807</v>
      </c>
      <c r="BZ330" s="2" t="b">
        <f>OR( (Dashboard[[#This Row],[ref_as_hh]]&gt;=1),(Dashboard[[#This Row],[ret_as_hh]] &gt;=1), (Dashboard[[#This Row],[idp_as_hh]]&gt;=1))</f>
        <v>0</v>
      </c>
      <c r="CA330" s="2">
        <f>Dashboard[[#This Row],[ret_hi_hh]]</f>
        <v>0</v>
      </c>
      <c r="CB330" s="2">
        <f>Dashboard[[#This Row],[idp_fa_hh]]+Dashboard[[#This Row],[ref_fa_hh]]+Dashboard[[#This Row],[ret_fa_hh]]</f>
        <v>33</v>
      </c>
      <c r="CC330" s="2">
        <f>Dashboard[[#This Row],[idp_loc_hh]]+Dashboard[[#This Row],[ref_loc_hh]]+Dashboard[[#This Row],[ret_loc_hh]]</f>
        <v>0</v>
      </c>
      <c r="CD330" s="2">
        <f>Dashboard[[#This Row],[idp_cc_hh]]+Dashboard[[#This Row],[ref_cc_hh]]+Dashboard[[#This Row],[ret_cc_hh]]</f>
        <v>0</v>
      </c>
      <c r="CE330" s="2">
        <f>Dashboard[[#This Row],[idp_as_hh]]+Dashboard[[#This Row],[ref_as_hh]]+Dashboard[[#This Row],[ret_as_hh]]</f>
        <v>0</v>
      </c>
      <c r="CF330" s="2">
        <f>Dashboard[[#This Row],[idp_al_hh]]+Dashboard[[#This Row],[ref_al_hh]]+Dashboard[[#This Row],[ret_al_hh]]</f>
        <v>0</v>
      </c>
    </row>
    <row r="331" spans="1:84" x14ac:dyDescent="0.25">
      <c r="A331" s="27">
        <v>62</v>
      </c>
      <c r="B331" s="2" t="s">
        <v>22</v>
      </c>
      <c r="C331" s="2" t="s">
        <v>23</v>
      </c>
      <c r="D331" s="2" t="s">
        <v>85</v>
      </c>
      <c r="E331" s="2" t="s">
        <v>84</v>
      </c>
      <c r="F331" s="2" t="s">
        <v>98</v>
      </c>
      <c r="G331" s="2" t="s">
        <v>97</v>
      </c>
      <c r="H331" s="2" t="s">
        <v>1148</v>
      </c>
      <c r="I331" s="2" t="s">
        <v>158</v>
      </c>
      <c r="J331" s="2" t="s">
        <v>2794</v>
      </c>
      <c r="K331" s="2" t="s">
        <v>2795</v>
      </c>
      <c r="L331" s="2" t="s">
        <v>2074</v>
      </c>
      <c r="M331" s="2">
        <v>1957</v>
      </c>
      <c r="N331" s="2" t="s">
        <v>1658</v>
      </c>
      <c r="O331" s="2">
        <v>207</v>
      </c>
      <c r="P331" s="2">
        <v>1736</v>
      </c>
      <c r="Q331" s="2" t="s">
        <v>1658</v>
      </c>
      <c r="R331" s="2">
        <v>7</v>
      </c>
      <c r="S331" s="2" t="s">
        <v>1660</v>
      </c>
      <c r="T331" s="2">
        <v>0</v>
      </c>
      <c r="U331" s="2" t="s">
        <v>32</v>
      </c>
      <c r="V331" s="2" t="s">
        <v>32</v>
      </c>
      <c r="W331" s="2" t="s">
        <v>1660</v>
      </c>
      <c r="X331" s="2">
        <v>0</v>
      </c>
      <c r="Y331" s="2" t="s">
        <v>32</v>
      </c>
      <c r="Z331" s="2" t="s">
        <v>32</v>
      </c>
      <c r="AA331" s="2" t="s">
        <v>1658</v>
      </c>
      <c r="AB331" s="2">
        <v>200</v>
      </c>
      <c r="AC331" s="2" t="s">
        <v>1660</v>
      </c>
      <c r="AD331" s="2">
        <v>0</v>
      </c>
      <c r="AE331" s="2" t="s">
        <v>1658</v>
      </c>
      <c r="AF331" s="2">
        <v>9</v>
      </c>
      <c r="AG331" s="2">
        <v>50</v>
      </c>
      <c r="AH331" s="2" t="s">
        <v>1660</v>
      </c>
      <c r="AI331" s="2" t="s">
        <v>32</v>
      </c>
      <c r="AJ331" s="2" t="s">
        <v>32</v>
      </c>
      <c r="AK331" s="2" t="s">
        <v>32</v>
      </c>
      <c r="AL331" s="2" t="s">
        <v>1658</v>
      </c>
      <c r="AM331" s="2">
        <v>9</v>
      </c>
      <c r="AN331" s="2" t="s">
        <v>1660</v>
      </c>
      <c r="AO331" s="2">
        <v>0</v>
      </c>
      <c r="AP331" s="2" t="s">
        <v>32</v>
      </c>
      <c r="AQ331" s="2" t="s">
        <v>32</v>
      </c>
      <c r="AR331" s="2" t="s">
        <v>1660</v>
      </c>
      <c r="AS331" s="2">
        <v>0</v>
      </c>
      <c r="AT331" s="2" t="s">
        <v>32</v>
      </c>
      <c r="AU331" s="2" t="s">
        <v>32</v>
      </c>
      <c r="AV331" s="2" t="s">
        <v>1660</v>
      </c>
      <c r="AW331" s="2">
        <v>0</v>
      </c>
      <c r="AX331" s="2" t="s">
        <v>1660</v>
      </c>
      <c r="AY331" s="2">
        <v>0</v>
      </c>
      <c r="AZ331" s="2" t="s">
        <v>1660</v>
      </c>
      <c r="BA331" s="2">
        <v>0</v>
      </c>
      <c r="BB331" s="2">
        <v>0</v>
      </c>
      <c r="BC331" s="2" t="s">
        <v>32</v>
      </c>
      <c r="BD331" s="2">
        <v>0</v>
      </c>
      <c r="BE331" s="2" t="s">
        <v>32</v>
      </c>
      <c r="BF331" s="2">
        <v>0</v>
      </c>
      <c r="BG331" s="2" t="s">
        <v>32</v>
      </c>
      <c r="BH331" s="2">
        <v>0</v>
      </c>
      <c r="BI331" s="2" t="s">
        <v>32</v>
      </c>
      <c r="BJ331" s="2" t="s">
        <v>32</v>
      </c>
      <c r="BK331" s="2" t="s">
        <v>32</v>
      </c>
      <c r="BL331" s="2">
        <v>0</v>
      </c>
      <c r="BM331" s="2" t="s">
        <v>32</v>
      </c>
      <c r="BN331" s="2" t="s">
        <v>32</v>
      </c>
      <c r="BO331" s="2" t="s">
        <v>32</v>
      </c>
      <c r="BP331" s="2">
        <v>0</v>
      </c>
      <c r="BQ331" s="2" t="s">
        <v>32</v>
      </c>
      <c r="BR331" s="2">
        <v>0</v>
      </c>
      <c r="BS331" s="2" t="s">
        <v>1658</v>
      </c>
      <c r="BT331" s="2">
        <v>5</v>
      </c>
      <c r="BU331" s="2">
        <v>25</v>
      </c>
      <c r="BV331" s="2" t="s">
        <v>1660</v>
      </c>
      <c r="BW331" s="2"/>
      <c r="BX331" s="2"/>
      <c r="BY331" s="2" t="s">
        <v>1807</v>
      </c>
      <c r="BZ331" s="2" t="b">
        <f>OR( (Dashboard[[#This Row],[ref_as_hh]]&gt;=1),(Dashboard[[#This Row],[ret_as_hh]] &gt;=1), (Dashboard[[#This Row],[idp_as_hh]]&gt;=1))</f>
        <v>1</v>
      </c>
      <c r="CA331" s="2">
        <f>Dashboard[[#This Row],[ret_hi_hh]]</f>
        <v>0</v>
      </c>
      <c r="CB331" s="2">
        <f>Dashboard[[#This Row],[idp_fa_hh]]+Dashboard[[#This Row],[ref_fa_hh]]+Dashboard[[#This Row],[ret_fa_hh]]</f>
        <v>16</v>
      </c>
      <c r="CC331" s="2">
        <f>Dashboard[[#This Row],[idp_loc_hh]]+Dashboard[[#This Row],[ref_loc_hh]]+Dashboard[[#This Row],[ret_loc_hh]]</f>
        <v>0</v>
      </c>
      <c r="CD331" s="2">
        <f>Dashboard[[#This Row],[idp_cc_hh]]+Dashboard[[#This Row],[ref_cc_hh]]+Dashboard[[#This Row],[ret_cc_hh]]</f>
        <v>0</v>
      </c>
      <c r="CE331" s="2">
        <f>Dashboard[[#This Row],[idp_as_hh]]+Dashboard[[#This Row],[ref_as_hh]]+Dashboard[[#This Row],[ret_as_hh]]</f>
        <v>200</v>
      </c>
      <c r="CF331" s="2">
        <f>Dashboard[[#This Row],[idp_al_hh]]+Dashboard[[#This Row],[ref_al_hh]]+Dashboard[[#This Row],[ret_al_hh]]</f>
        <v>0</v>
      </c>
    </row>
    <row r="332" spans="1:84" hidden="1" x14ac:dyDescent="0.25">
      <c r="A332" s="27">
        <v>318</v>
      </c>
      <c r="B332" s="2" t="s">
        <v>22</v>
      </c>
      <c r="C332" s="2" t="s">
        <v>23</v>
      </c>
      <c r="D332" s="2" t="s">
        <v>85</v>
      </c>
      <c r="E332" s="2" t="s">
        <v>84</v>
      </c>
      <c r="F332" s="2" t="s">
        <v>98</v>
      </c>
      <c r="G332" s="2" t="s">
        <v>97</v>
      </c>
      <c r="H332" s="2" t="s">
        <v>1522</v>
      </c>
      <c r="I332" s="2" t="s">
        <v>633</v>
      </c>
      <c r="J332" s="2" t="s">
        <v>3088</v>
      </c>
      <c r="K332" s="2" t="s">
        <v>3089</v>
      </c>
      <c r="L332" s="2" t="s">
        <v>2074</v>
      </c>
      <c r="M332" s="2">
        <v>0</v>
      </c>
      <c r="N332" s="2" t="s">
        <v>1660</v>
      </c>
      <c r="O332" s="2">
        <v>0</v>
      </c>
      <c r="P332" s="2">
        <v>0</v>
      </c>
      <c r="Q332" s="2" t="s">
        <v>32</v>
      </c>
      <c r="R332" s="2">
        <v>0</v>
      </c>
      <c r="S332" s="2" t="s">
        <v>32</v>
      </c>
      <c r="T332" s="2">
        <v>0</v>
      </c>
      <c r="U332" s="2" t="s">
        <v>32</v>
      </c>
      <c r="V332" s="2" t="s">
        <v>32</v>
      </c>
      <c r="W332" s="2" t="s">
        <v>32</v>
      </c>
      <c r="X332" s="2">
        <v>0</v>
      </c>
      <c r="Y332" s="2" t="s">
        <v>32</v>
      </c>
      <c r="Z332" s="2" t="s">
        <v>32</v>
      </c>
      <c r="AA332" s="2" t="s">
        <v>32</v>
      </c>
      <c r="AB332" s="2">
        <v>0</v>
      </c>
      <c r="AC332" s="2" t="s">
        <v>32</v>
      </c>
      <c r="AD332" s="2">
        <v>0</v>
      </c>
      <c r="AE332" s="2" t="s">
        <v>1658</v>
      </c>
      <c r="AF332" s="2">
        <v>0</v>
      </c>
      <c r="AG332" s="2">
        <v>0</v>
      </c>
      <c r="AH332" s="2" t="s">
        <v>1660</v>
      </c>
      <c r="AI332" s="2" t="s">
        <v>32</v>
      </c>
      <c r="AJ332" s="2" t="s">
        <v>32</v>
      </c>
      <c r="AK332" s="2" t="s">
        <v>32</v>
      </c>
      <c r="AL332" s="2" t="s">
        <v>1660</v>
      </c>
      <c r="AM332" s="2">
        <v>0</v>
      </c>
      <c r="AN332" s="2" t="s">
        <v>1660</v>
      </c>
      <c r="AO332" s="2">
        <v>0</v>
      </c>
      <c r="AP332" s="2" t="s">
        <v>32</v>
      </c>
      <c r="AQ332" s="2" t="s">
        <v>32</v>
      </c>
      <c r="AR332" s="2" t="s">
        <v>1660</v>
      </c>
      <c r="AS332" s="2">
        <v>0</v>
      </c>
      <c r="AT332" s="2" t="s">
        <v>32</v>
      </c>
      <c r="AU332" s="2" t="s">
        <v>32</v>
      </c>
      <c r="AV332" s="2" t="s">
        <v>1660</v>
      </c>
      <c r="AW332" s="2">
        <v>0</v>
      </c>
      <c r="AX332" s="2" t="s">
        <v>1660</v>
      </c>
      <c r="AY332" s="2">
        <v>0</v>
      </c>
      <c r="AZ332" s="2" t="s">
        <v>1660</v>
      </c>
      <c r="BA332" s="2">
        <v>0</v>
      </c>
      <c r="BB332" s="2">
        <v>0</v>
      </c>
      <c r="BC332" s="2" t="s">
        <v>32</v>
      </c>
      <c r="BD332" s="2">
        <v>0</v>
      </c>
      <c r="BE332" s="2" t="s">
        <v>32</v>
      </c>
      <c r="BF332" s="2">
        <v>0</v>
      </c>
      <c r="BG332" s="2" t="s">
        <v>32</v>
      </c>
      <c r="BH332" s="2">
        <v>0</v>
      </c>
      <c r="BI332" s="2" t="s">
        <v>32</v>
      </c>
      <c r="BJ332" s="2" t="s">
        <v>32</v>
      </c>
      <c r="BK332" s="2" t="s">
        <v>32</v>
      </c>
      <c r="BL332" s="2">
        <v>0</v>
      </c>
      <c r="BM332" s="2" t="s">
        <v>32</v>
      </c>
      <c r="BN332" s="2" t="s">
        <v>32</v>
      </c>
      <c r="BO332" s="2" t="s">
        <v>32</v>
      </c>
      <c r="BP332" s="2">
        <v>0</v>
      </c>
      <c r="BQ332" s="2" t="s">
        <v>32</v>
      </c>
      <c r="BR332" s="2">
        <v>0</v>
      </c>
      <c r="BS332" s="2" t="s">
        <v>1660</v>
      </c>
      <c r="BT332" s="2">
        <v>0</v>
      </c>
      <c r="BU332" s="2">
        <v>0</v>
      </c>
      <c r="BV332" s="2" t="s">
        <v>1660</v>
      </c>
      <c r="BW332" s="2"/>
      <c r="BX332" s="2"/>
      <c r="BY332" s="2" t="s">
        <v>1807</v>
      </c>
      <c r="BZ332" s="2" t="b">
        <f>OR( (Dashboard[[#This Row],[ref_as_hh]]&gt;=1),(Dashboard[[#This Row],[ret_as_hh]] &gt;=1), (Dashboard[[#This Row],[idp_as_hh]]&gt;=1))</f>
        <v>0</v>
      </c>
      <c r="CA332" s="2">
        <f>Dashboard[[#This Row],[ret_hi_hh]]</f>
        <v>0</v>
      </c>
      <c r="CB332" s="2">
        <f>Dashboard[[#This Row],[idp_fa_hh]]+Dashboard[[#This Row],[ref_fa_hh]]+Dashboard[[#This Row],[ret_fa_hh]]</f>
        <v>0</v>
      </c>
      <c r="CC332" s="2">
        <f>Dashboard[[#This Row],[idp_loc_hh]]+Dashboard[[#This Row],[ref_loc_hh]]+Dashboard[[#This Row],[ret_loc_hh]]</f>
        <v>0</v>
      </c>
      <c r="CD332" s="2">
        <f>Dashboard[[#This Row],[idp_cc_hh]]+Dashboard[[#This Row],[ref_cc_hh]]+Dashboard[[#This Row],[ret_cc_hh]]</f>
        <v>0</v>
      </c>
      <c r="CE332" s="2">
        <f>Dashboard[[#This Row],[idp_as_hh]]+Dashboard[[#This Row],[ref_as_hh]]+Dashboard[[#This Row],[ret_as_hh]]</f>
        <v>0</v>
      </c>
      <c r="CF332" s="2">
        <f>Dashboard[[#This Row],[idp_al_hh]]+Dashboard[[#This Row],[ref_al_hh]]+Dashboard[[#This Row],[ret_al_hh]]</f>
        <v>0</v>
      </c>
    </row>
    <row r="333" spans="1:84" hidden="1" x14ac:dyDescent="0.25">
      <c r="A333" s="27">
        <v>319</v>
      </c>
      <c r="B333" s="2" t="s">
        <v>22</v>
      </c>
      <c r="C333" s="2" t="s">
        <v>23</v>
      </c>
      <c r="D333" s="2" t="s">
        <v>85</v>
      </c>
      <c r="E333" s="2" t="s">
        <v>84</v>
      </c>
      <c r="F333" s="2" t="s">
        <v>98</v>
      </c>
      <c r="G333" s="2" t="s">
        <v>97</v>
      </c>
      <c r="H333" s="2" t="s">
        <v>1521</v>
      </c>
      <c r="I333" s="2" t="s">
        <v>289</v>
      </c>
      <c r="J333" s="2" t="s">
        <v>3084</v>
      </c>
      <c r="K333" s="2" t="s">
        <v>3085</v>
      </c>
      <c r="L333" s="2" t="s">
        <v>2074</v>
      </c>
      <c r="M333" s="2">
        <v>0</v>
      </c>
      <c r="N333" s="2" t="s">
        <v>1660</v>
      </c>
      <c r="O333" s="2">
        <v>0</v>
      </c>
      <c r="P333" s="2">
        <v>0</v>
      </c>
      <c r="Q333" s="2" t="s">
        <v>32</v>
      </c>
      <c r="R333" s="2">
        <v>0</v>
      </c>
      <c r="S333" s="2" t="s">
        <v>32</v>
      </c>
      <c r="T333" s="2">
        <v>0</v>
      </c>
      <c r="U333" s="2" t="s">
        <v>32</v>
      </c>
      <c r="V333" s="2" t="s">
        <v>32</v>
      </c>
      <c r="W333" s="2" t="s">
        <v>32</v>
      </c>
      <c r="X333" s="2">
        <v>0</v>
      </c>
      <c r="Y333" s="2" t="s">
        <v>32</v>
      </c>
      <c r="Z333" s="2" t="s">
        <v>32</v>
      </c>
      <c r="AA333" s="2" t="s">
        <v>32</v>
      </c>
      <c r="AB333" s="2">
        <v>0</v>
      </c>
      <c r="AC333" s="2" t="s">
        <v>32</v>
      </c>
      <c r="AD333" s="2">
        <v>0</v>
      </c>
      <c r="AE333" s="2" t="s">
        <v>1658</v>
      </c>
      <c r="AF333" s="2">
        <v>0</v>
      </c>
      <c r="AG333" s="2">
        <v>0</v>
      </c>
      <c r="AH333" s="2" t="s">
        <v>1660</v>
      </c>
      <c r="AI333" s="2" t="s">
        <v>32</v>
      </c>
      <c r="AJ333" s="2" t="s">
        <v>32</v>
      </c>
      <c r="AK333" s="2" t="s">
        <v>32</v>
      </c>
      <c r="AL333" s="2" t="s">
        <v>1658</v>
      </c>
      <c r="AM333" s="2">
        <v>0</v>
      </c>
      <c r="AN333" s="2" t="s">
        <v>1660</v>
      </c>
      <c r="AO333" s="2">
        <v>0</v>
      </c>
      <c r="AP333" s="2" t="s">
        <v>32</v>
      </c>
      <c r="AQ333" s="2" t="s">
        <v>32</v>
      </c>
      <c r="AR333" s="2" t="s">
        <v>1660</v>
      </c>
      <c r="AS333" s="2">
        <v>0</v>
      </c>
      <c r="AT333" s="2" t="s">
        <v>32</v>
      </c>
      <c r="AU333" s="2" t="s">
        <v>32</v>
      </c>
      <c r="AV333" s="2" t="s">
        <v>1660</v>
      </c>
      <c r="AW333" s="2">
        <v>0</v>
      </c>
      <c r="AX333" s="2" t="s">
        <v>1660</v>
      </c>
      <c r="AY333" s="2">
        <v>0</v>
      </c>
      <c r="AZ333" s="2" t="s">
        <v>1660</v>
      </c>
      <c r="BA333" s="2">
        <v>0</v>
      </c>
      <c r="BB333" s="2">
        <v>0</v>
      </c>
      <c r="BC333" s="2" t="s">
        <v>32</v>
      </c>
      <c r="BD333" s="2">
        <v>0</v>
      </c>
      <c r="BE333" s="2" t="s">
        <v>32</v>
      </c>
      <c r="BF333" s="2">
        <v>0</v>
      </c>
      <c r="BG333" s="2" t="s">
        <v>32</v>
      </c>
      <c r="BH333" s="2">
        <v>0</v>
      </c>
      <c r="BI333" s="2" t="s">
        <v>32</v>
      </c>
      <c r="BJ333" s="2" t="s">
        <v>32</v>
      </c>
      <c r="BK333" s="2" t="s">
        <v>32</v>
      </c>
      <c r="BL333" s="2">
        <v>0</v>
      </c>
      <c r="BM333" s="2" t="s">
        <v>32</v>
      </c>
      <c r="BN333" s="2" t="s">
        <v>32</v>
      </c>
      <c r="BO333" s="2" t="s">
        <v>32</v>
      </c>
      <c r="BP333" s="2">
        <v>0</v>
      </c>
      <c r="BQ333" s="2" t="s">
        <v>32</v>
      </c>
      <c r="BR333" s="2">
        <v>0</v>
      </c>
      <c r="BS333" s="2" t="s">
        <v>1660</v>
      </c>
      <c r="BT333" s="2">
        <v>0</v>
      </c>
      <c r="BU333" s="2">
        <v>0</v>
      </c>
      <c r="BV333" s="2" t="s">
        <v>1660</v>
      </c>
      <c r="BW333" s="2"/>
      <c r="BX333" s="2"/>
      <c r="BY333" s="2" t="s">
        <v>1807</v>
      </c>
      <c r="BZ333" s="2" t="b">
        <f>OR( (Dashboard[[#This Row],[ref_as_hh]]&gt;=1),(Dashboard[[#This Row],[ret_as_hh]] &gt;=1), (Dashboard[[#This Row],[idp_as_hh]]&gt;=1))</f>
        <v>0</v>
      </c>
      <c r="CA333" s="2">
        <f>Dashboard[[#This Row],[ret_hi_hh]]</f>
        <v>0</v>
      </c>
      <c r="CB333" s="2">
        <f>Dashboard[[#This Row],[idp_fa_hh]]+Dashboard[[#This Row],[ref_fa_hh]]+Dashboard[[#This Row],[ret_fa_hh]]</f>
        <v>0</v>
      </c>
      <c r="CC333" s="2">
        <f>Dashboard[[#This Row],[idp_loc_hh]]+Dashboard[[#This Row],[ref_loc_hh]]+Dashboard[[#This Row],[ret_loc_hh]]</f>
        <v>0</v>
      </c>
      <c r="CD333" s="2">
        <f>Dashboard[[#This Row],[idp_cc_hh]]+Dashboard[[#This Row],[ref_cc_hh]]+Dashboard[[#This Row],[ret_cc_hh]]</f>
        <v>0</v>
      </c>
      <c r="CE333" s="2">
        <f>Dashboard[[#This Row],[idp_as_hh]]+Dashboard[[#This Row],[ref_as_hh]]+Dashboard[[#This Row],[ret_as_hh]]</f>
        <v>0</v>
      </c>
      <c r="CF333" s="2">
        <f>Dashboard[[#This Row],[idp_al_hh]]+Dashboard[[#This Row],[ref_al_hh]]+Dashboard[[#This Row],[ret_al_hh]]</f>
        <v>0</v>
      </c>
    </row>
    <row r="334" spans="1:84" hidden="1" x14ac:dyDescent="0.25">
      <c r="A334" s="27">
        <v>64</v>
      </c>
      <c r="B334" s="2" t="s">
        <v>22</v>
      </c>
      <c r="C334" s="2" t="s">
        <v>23</v>
      </c>
      <c r="D334" s="2" t="s">
        <v>85</v>
      </c>
      <c r="E334" s="2" t="s">
        <v>84</v>
      </c>
      <c r="F334" s="2" t="s">
        <v>98</v>
      </c>
      <c r="G334" s="2" t="s">
        <v>97</v>
      </c>
      <c r="H334" s="2" t="s">
        <v>1221</v>
      </c>
      <c r="I334" s="2" t="s">
        <v>421</v>
      </c>
      <c r="J334" s="2" t="s">
        <v>2964</v>
      </c>
      <c r="K334" s="2" t="s">
        <v>2965</v>
      </c>
      <c r="L334" s="2" t="s">
        <v>2074</v>
      </c>
      <c r="M334" s="2">
        <v>2025</v>
      </c>
      <c r="N334" s="2" t="s">
        <v>1658</v>
      </c>
      <c r="O334" s="2">
        <v>5</v>
      </c>
      <c r="P334" s="2">
        <v>20</v>
      </c>
      <c r="Q334" s="2" t="s">
        <v>1658</v>
      </c>
      <c r="R334" s="2">
        <v>5</v>
      </c>
      <c r="S334" s="2" t="s">
        <v>1660</v>
      </c>
      <c r="T334" s="2">
        <v>0</v>
      </c>
      <c r="U334" s="2" t="s">
        <v>32</v>
      </c>
      <c r="V334" s="2" t="s">
        <v>32</v>
      </c>
      <c r="W334" s="2" t="s">
        <v>1660</v>
      </c>
      <c r="X334" s="2">
        <v>0</v>
      </c>
      <c r="Y334" s="2" t="s">
        <v>32</v>
      </c>
      <c r="Z334" s="2" t="s">
        <v>32</v>
      </c>
      <c r="AA334" s="2" t="s">
        <v>1660</v>
      </c>
      <c r="AB334" s="2">
        <v>0</v>
      </c>
      <c r="AC334" s="2" t="s">
        <v>1660</v>
      </c>
      <c r="AD334" s="2">
        <v>0</v>
      </c>
      <c r="AE334" s="2" t="s">
        <v>1658</v>
      </c>
      <c r="AF334" s="2">
        <v>6</v>
      </c>
      <c r="AG334" s="2">
        <v>30</v>
      </c>
      <c r="AH334" s="2" t="s">
        <v>1660</v>
      </c>
      <c r="AI334" s="2" t="s">
        <v>32</v>
      </c>
      <c r="AJ334" s="2" t="s">
        <v>32</v>
      </c>
      <c r="AK334" s="2" t="s">
        <v>32</v>
      </c>
      <c r="AL334" s="2" t="s">
        <v>1658</v>
      </c>
      <c r="AM334" s="2">
        <v>6</v>
      </c>
      <c r="AN334" s="2" t="s">
        <v>1660</v>
      </c>
      <c r="AO334" s="2">
        <v>0</v>
      </c>
      <c r="AP334" s="2" t="s">
        <v>32</v>
      </c>
      <c r="AQ334" s="2" t="s">
        <v>32</v>
      </c>
      <c r="AR334" s="2" t="s">
        <v>1660</v>
      </c>
      <c r="AS334" s="2">
        <v>0</v>
      </c>
      <c r="AT334" s="2" t="s">
        <v>32</v>
      </c>
      <c r="AU334" s="2" t="s">
        <v>32</v>
      </c>
      <c r="AV334" s="2" t="s">
        <v>1660</v>
      </c>
      <c r="AW334" s="2">
        <v>0</v>
      </c>
      <c r="AX334" s="2" t="s">
        <v>1660</v>
      </c>
      <c r="AY334" s="2">
        <v>0</v>
      </c>
      <c r="AZ334" s="2" t="s">
        <v>1660</v>
      </c>
      <c r="BA334" s="2">
        <v>0</v>
      </c>
      <c r="BB334" s="2">
        <v>0</v>
      </c>
      <c r="BC334" s="2" t="s">
        <v>32</v>
      </c>
      <c r="BD334" s="2">
        <v>0</v>
      </c>
      <c r="BE334" s="2" t="s">
        <v>32</v>
      </c>
      <c r="BF334" s="2">
        <v>0</v>
      </c>
      <c r="BG334" s="2" t="s">
        <v>32</v>
      </c>
      <c r="BH334" s="2">
        <v>0</v>
      </c>
      <c r="BI334" s="2" t="s">
        <v>32</v>
      </c>
      <c r="BJ334" s="2" t="s">
        <v>32</v>
      </c>
      <c r="BK334" s="2" t="s">
        <v>32</v>
      </c>
      <c r="BL334" s="2">
        <v>0</v>
      </c>
      <c r="BM334" s="2" t="s">
        <v>32</v>
      </c>
      <c r="BN334" s="2" t="s">
        <v>32</v>
      </c>
      <c r="BO334" s="2" t="s">
        <v>32</v>
      </c>
      <c r="BP334" s="2">
        <v>0</v>
      </c>
      <c r="BQ334" s="2" t="s">
        <v>32</v>
      </c>
      <c r="BR334" s="2">
        <v>0</v>
      </c>
      <c r="BS334" s="2" t="s">
        <v>1658</v>
      </c>
      <c r="BT334" s="2">
        <v>8</v>
      </c>
      <c r="BU334" s="2">
        <v>40</v>
      </c>
      <c r="BV334" s="2" t="s">
        <v>1660</v>
      </c>
      <c r="BW334" s="2"/>
      <c r="BX334" s="2"/>
      <c r="BY334" s="2" t="s">
        <v>1807</v>
      </c>
      <c r="BZ334" s="2" t="b">
        <f>OR( (Dashboard[[#This Row],[ref_as_hh]]&gt;=1),(Dashboard[[#This Row],[ret_as_hh]] &gt;=1), (Dashboard[[#This Row],[idp_as_hh]]&gt;=1))</f>
        <v>0</v>
      </c>
      <c r="CA334" s="2">
        <f>Dashboard[[#This Row],[ret_hi_hh]]</f>
        <v>0</v>
      </c>
      <c r="CB334" s="2">
        <f>Dashboard[[#This Row],[idp_fa_hh]]+Dashboard[[#This Row],[ref_fa_hh]]+Dashboard[[#This Row],[ret_fa_hh]]</f>
        <v>11</v>
      </c>
      <c r="CC334" s="2">
        <f>Dashboard[[#This Row],[idp_loc_hh]]+Dashboard[[#This Row],[ref_loc_hh]]+Dashboard[[#This Row],[ret_loc_hh]]</f>
        <v>0</v>
      </c>
      <c r="CD334" s="2">
        <f>Dashboard[[#This Row],[idp_cc_hh]]+Dashboard[[#This Row],[ref_cc_hh]]+Dashboard[[#This Row],[ret_cc_hh]]</f>
        <v>0</v>
      </c>
      <c r="CE334" s="2">
        <f>Dashboard[[#This Row],[idp_as_hh]]+Dashboard[[#This Row],[ref_as_hh]]+Dashboard[[#This Row],[ret_as_hh]]</f>
        <v>0</v>
      </c>
      <c r="CF334" s="2">
        <f>Dashboard[[#This Row],[idp_al_hh]]+Dashboard[[#This Row],[ref_al_hh]]+Dashboard[[#This Row],[ret_al_hh]]</f>
        <v>0</v>
      </c>
    </row>
    <row r="335" spans="1:84" hidden="1" x14ac:dyDescent="0.25">
      <c r="A335" s="27">
        <v>320</v>
      </c>
      <c r="B335" s="2" t="s">
        <v>22</v>
      </c>
      <c r="C335" s="2" t="s">
        <v>23</v>
      </c>
      <c r="D335" s="2" t="s">
        <v>85</v>
      </c>
      <c r="E335" s="2" t="s">
        <v>84</v>
      </c>
      <c r="F335" s="2" t="s">
        <v>98</v>
      </c>
      <c r="G335" s="2" t="s">
        <v>97</v>
      </c>
      <c r="H335" s="2" t="s">
        <v>1517</v>
      </c>
      <c r="I335" s="2" t="s">
        <v>630</v>
      </c>
      <c r="J335" s="2" t="s">
        <v>2986</v>
      </c>
      <c r="K335" s="2" t="s">
        <v>2987</v>
      </c>
      <c r="L335" s="2" t="s">
        <v>2074</v>
      </c>
      <c r="M335" s="2">
        <v>0</v>
      </c>
      <c r="N335" s="2" t="s">
        <v>1660</v>
      </c>
      <c r="O335" s="2">
        <v>0</v>
      </c>
      <c r="P335" s="2">
        <v>0</v>
      </c>
      <c r="Q335" s="2" t="s">
        <v>32</v>
      </c>
      <c r="R335" s="2">
        <v>0</v>
      </c>
      <c r="S335" s="2" t="s">
        <v>32</v>
      </c>
      <c r="T335" s="2">
        <v>0</v>
      </c>
      <c r="U335" s="2" t="s">
        <v>32</v>
      </c>
      <c r="V335" s="2" t="s">
        <v>32</v>
      </c>
      <c r="W335" s="2" t="s">
        <v>32</v>
      </c>
      <c r="X335" s="2">
        <v>0</v>
      </c>
      <c r="Y335" s="2" t="s">
        <v>32</v>
      </c>
      <c r="Z335" s="2" t="s">
        <v>32</v>
      </c>
      <c r="AA335" s="2" t="s">
        <v>32</v>
      </c>
      <c r="AB335" s="2">
        <v>0</v>
      </c>
      <c r="AC335" s="2" t="s">
        <v>32</v>
      </c>
      <c r="AD335" s="2">
        <v>0</v>
      </c>
      <c r="AE335" s="2" t="s">
        <v>1658</v>
      </c>
      <c r="AF335" s="2">
        <v>0</v>
      </c>
      <c r="AG335" s="2">
        <v>0</v>
      </c>
      <c r="AH335" s="2" t="s">
        <v>1660</v>
      </c>
      <c r="AI335" s="2" t="s">
        <v>32</v>
      </c>
      <c r="AJ335" s="2" t="s">
        <v>32</v>
      </c>
      <c r="AK335" s="2" t="s">
        <v>32</v>
      </c>
      <c r="AL335" s="2" t="s">
        <v>1660</v>
      </c>
      <c r="AM335" s="2">
        <v>0</v>
      </c>
      <c r="AN335" s="2" t="s">
        <v>1660</v>
      </c>
      <c r="AO335" s="2">
        <v>0</v>
      </c>
      <c r="AP335" s="2" t="s">
        <v>32</v>
      </c>
      <c r="AQ335" s="2" t="s">
        <v>32</v>
      </c>
      <c r="AR335" s="2" t="s">
        <v>1660</v>
      </c>
      <c r="AS335" s="2">
        <v>0</v>
      </c>
      <c r="AT335" s="2" t="s">
        <v>32</v>
      </c>
      <c r="AU335" s="2" t="s">
        <v>32</v>
      </c>
      <c r="AV335" s="2" t="s">
        <v>1660</v>
      </c>
      <c r="AW335" s="2">
        <v>0</v>
      </c>
      <c r="AX335" s="2" t="s">
        <v>1660</v>
      </c>
      <c r="AY335" s="2">
        <v>0</v>
      </c>
      <c r="AZ335" s="2" t="s">
        <v>1660</v>
      </c>
      <c r="BA335" s="2">
        <v>0</v>
      </c>
      <c r="BB335" s="2">
        <v>0</v>
      </c>
      <c r="BC335" s="2" t="s">
        <v>32</v>
      </c>
      <c r="BD335" s="2">
        <v>0</v>
      </c>
      <c r="BE335" s="2" t="s">
        <v>32</v>
      </c>
      <c r="BF335" s="2">
        <v>0</v>
      </c>
      <c r="BG335" s="2" t="s">
        <v>32</v>
      </c>
      <c r="BH335" s="2">
        <v>0</v>
      </c>
      <c r="BI335" s="2" t="s">
        <v>32</v>
      </c>
      <c r="BJ335" s="2" t="s">
        <v>32</v>
      </c>
      <c r="BK335" s="2" t="s">
        <v>32</v>
      </c>
      <c r="BL335" s="2">
        <v>0</v>
      </c>
      <c r="BM335" s="2" t="s">
        <v>32</v>
      </c>
      <c r="BN335" s="2" t="s">
        <v>32</v>
      </c>
      <c r="BO335" s="2" t="s">
        <v>32</v>
      </c>
      <c r="BP335" s="2">
        <v>0</v>
      </c>
      <c r="BQ335" s="2" t="s">
        <v>32</v>
      </c>
      <c r="BR335" s="2">
        <v>0</v>
      </c>
      <c r="BS335" s="2" t="s">
        <v>1660</v>
      </c>
      <c r="BT335" s="2">
        <v>0</v>
      </c>
      <c r="BU335" s="2">
        <v>0</v>
      </c>
      <c r="BV335" s="2" t="s">
        <v>1660</v>
      </c>
      <c r="BW335" s="2"/>
      <c r="BX335" s="2"/>
      <c r="BY335" s="2" t="s">
        <v>1807</v>
      </c>
      <c r="BZ335" s="2" t="b">
        <f>OR( (Dashboard[[#This Row],[ref_as_hh]]&gt;=1),(Dashboard[[#This Row],[ret_as_hh]] &gt;=1), (Dashboard[[#This Row],[idp_as_hh]]&gt;=1))</f>
        <v>0</v>
      </c>
      <c r="CA335" s="2">
        <f>Dashboard[[#This Row],[ret_hi_hh]]</f>
        <v>0</v>
      </c>
      <c r="CB335" s="2">
        <f>Dashboard[[#This Row],[idp_fa_hh]]+Dashboard[[#This Row],[ref_fa_hh]]+Dashboard[[#This Row],[ret_fa_hh]]</f>
        <v>0</v>
      </c>
      <c r="CC335" s="2">
        <f>Dashboard[[#This Row],[idp_loc_hh]]+Dashboard[[#This Row],[ref_loc_hh]]+Dashboard[[#This Row],[ret_loc_hh]]</f>
        <v>0</v>
      </c>
      <c r="CD335" s="2">
        <f>Dashboard[[#This Row],[idp_cc_hh]]+Dashboard[[#This Row],[ref_cc_hh]]+Dashboard[[#This Row],[ret_cc_hh]]</f>
        <v>0</v>
      </c>
      <c r="CE335" s="2">
        <f>Dashboard[[#This Row],[idp_as_hh]]+Dashboard[[#This Row],[ref_as_hh]]+Dashboard[[#This Row],[ret_as_hh]]</f>
        <v>0</v>
      </c>
      <c r="CF335" s="2">
        <f>Dashboard[[#This Row],[idp_al_hh]]+Dashboard[[#This Row],[ref_al_hh]]+Dashboard[[#This Row],[ret_al_hh]]</f>
        <v>0</v>
      </c>
    </row>
    <row r="336" spans="1:84" hidden="1" x14ac:dyDescent="0.25">
      <c r="A336" s="27">
        <v>576</v>
      </c>
      <c r="B336" s="2" t="s">
        <v>22</v>
      </c>
      <c r="C336" s="2" t="s">
        <v>23</v>
      </c>
      <c r="D336" s="2" t="s">
        <v>85</v>
      </c>
      <c r="E336" s="2" t="s">
        <v>84</v>
      </c>
      <c r="F336" s="2" t="s">
        <v>98</v>
      </c>
      <c r="G336" s="2" t="s">
        <v>97</v>
      </c>
      <c r="H336" s="2" t="s">
        <v>1186</v>
      </c>
      <c r="I336" s="2" t="s">
        <v>823</v>
      </c>
      <c r="J336" s="2" t="s">
        <v>2876</v>
      </c>
      <c r="K336" s="2" t="s">
        <v>2877</v>
      </c>
      <c r="L336" s="2" t="s">
        <v>3693</v>
      </c>
      <c r="M336" s="2">
        <v>500</v>
      </c>
      <c r="N336" s="2" t="s">
        <v>1658</v>
      </c>
      <c r="O336" s="2">
        <v>8</v>
      </c>
      <c r="P336" s="2">
        <v>47</v>
      </c>
      <c r="Q336" s="2" t="s">
        <v>1658</v>
      </c>
      <c r="R336" s="2">
        <v>8</v>
      </c>
      <c r="S336" s="2" t="s">
        <v>1660</v>
      </c>
      <c r="T336" s="2">
        <v>0</v>
      </c>
      <c r="U336" s="2" t="s">
        <v>32</v>
      </c>
      <c r="V336" s="2" t="s">
        <v>32</v>
      </c>
      <c r="W336" s="2" t="s">
        <v>1660</v>
      </c>
      <c r="X336" s="2">
        <v>0</v>
      </c>
      <c r="Y336" s="2" t="s">
        <v>32</v>
      </c>
      <c r="Z336" s="2" t="s">
        <v>32</v>
      </c>
      <c r="AA336" s="2" t="s">
        <v>1660</v>
      </c>
      <c r="AB336" s="2">
        <v>0</v>
      </c>
      <c r="AC336" s="2" t="s">
        <v>1660</v>
      </c>
      <c r="AD336" s="2">
        <v>0</v>
      </c>
      <c r="AE336" s="2" t="s">
        <v>1658</v>
      </c>
      <c r="AF336" s="2">
        <v>42</v>
      </c>
      <c r="AG336" s="2">
        <v>142</v>
      </c>
      <c r="AH336" s="2" t="s">
        <v>1660</v>
      </c>
      <c r="AI336" s="2" t="s">
        <v>32</v>
      </c>
      <c r="AJ336" s="2" t="s">
        <v>32</v>
      </c>
      <c r="AK336" s="2" t="s">
        <v>32</v>
      </c>
      <c r="AL336" s="2" t="s">
        <v>1658</v>
      </c>
      <c r="AM336" s="2">
        <v>42</v>
      </c>
      <c r="AN336" s="2" t="s">
        <v>1660</v>
      </c>
      <c r="AO336" s="2">
        <v>0</v>
      </c>
      <c r="AP336" s="2" t="s">
        <v>32</v>
      </c>
      <c r="AQ336" s="2" t="s">
        <v>32</v>
      </c>
      <c r="AR336" s="2" t="s">
        <v>1660</v>
      </c>
      <c r="AS336" s="2">
        <v>0</v>
      </c>
      <c r="AT336" s="2" t="s">
        <v>32</v>
      </c>
      <c r="AU336" s="2" t="s">
        <v>32</v>
      </c>
      <c r="AV336" s="2" t="s">
        <v>1660</v>
      </c>
      <c r="AW336" s="2">
        <v>0</v>
      </c>
      <c r="AX336" s="2" t="s">
        <v>1660</v>
      </c>
      <c r="AY336" s="2">
        <v>0</v>
      </c>
      <c r="AZ336" s="2" t="s">
        <v>1660</v>
      </c>
      <c r="BA336" s="2">
        <v>0</v>
      </c>
      <c r="BB336" s="2">
        <v>0</v>
      </c>
      <c r="BC336" s="2" t="s">
        <v>32</v>
      </c>
      <c r="BD336" s="2">
        <v>0</v>
      </c>
      <c r="BE336" s="2" t="s">
        <v>32</v>
      </c>
      <c r="BF336" s="2">
        <v>0</v>
      </c>
      <c r="BG336" s="2" t="s">
        <v>32</v>
      </c>
      <c r="BH336" s="2">
        <v>0</v>
      </c>
      <c r="BI336" s="2" t="s">
        <v>32</v>
      </c>
      <c r="BJ336" s="2" t="s">
        <v>32</v>
      </c>
      <c r="BK336" s="2" t="s">
        <v>32</v>
      </c>
      <c r="BL336" s="2">
        <v>0</v>
      </c>
      <c r="BM336" s="2" t="s">
        <v>32</v>
      </c>
      <c r="BN336" s="2" t="s">
        <v>32</v>
      </c>
      <c r="BO336" s="2" t="s">
        <v>32</v>
      </c>
      <c r="BP336" s="2">
        <v>0</v>
      </c>
      <c r="BQ336" s="2" t="s">
        <v>32</v>
      </c>
      <c r="BR336" s="2">
        <v>0</v>
      </c>
      <c r="BS336" s="2" t="s">
        <v>1660</v>
      </c>
      <c r="BT336" s="2">
        <v>0</v>
      </c>
      <c r="BU336" s="2">
        <v>0</v>
      </c>
      <c r="BV336" s="2" t="s">
        <v>1660</v>
      </c>
      <c r="BW336" s="2"/>
      <c r="BX336" s="2"/>
      <c r="BY336" s="2" t="s">
        <v>1807</v>
      </c>
      <c r="BZ336" s="2" t="b">
        <f>OR( (Dashboard[[#This Row],[ref_as_hh]]&gt;=1),(Dashboard[[#This Row],[ret_as_hh]] &gt;=1), (Dashboard[[#This Row],[idp_as_hh]]&gt;=1))</f>
        <v>0</v>
      </c>
      <c r="CA336" s="2">
        <f>Dashboard[[#This Row],[ret_hi_hh]]</f>
        <v>0</v>
      </c>
      <c r="CB336" s="2">
        <f>Dashboard[[#This Row],[idp_fa_hh]]+Dashboard[[#This Row],[ref_fa_hh]]+Dashboard[[#This Row],[ret_fa_hh]]</f>
        <v>50</v>
      </c>
      <c r="CC336" s="2">
        <f>Dashboard[[#This Row],[idp_loc_hh]]+Dashboard[[#This Row],[ref_loc_hh]]+Dashboard[[#This Row],[ret_loc_hh]]</f>
        <v>0</v>
      </c>
      <c r="CD336" s="2">
        <f>Dashboard[[#This Row],[idp_cc_hh]]+Dashboard[[#This Row],[ref_cc_hh]]+Dashboard[[#This Row],[ret_cc_hh]]</f>
        <v>0</v>
      </c>
      <c r="CE336" s="2">
        <f>Dashboard[[#This Row],[idp_as_hh]]+Dashboard[[#This Row],[ref_as_hh]]+Dashboard[[#This Row],[ret_as_hh]]</f>
        <v>0</v>
      </c>
      <c r="CF336" s="2">
        <f>Dashboard[[#This Row],[idp_al_hh]]+Dashboard[[#This Row],[ref_al_hh]]+Dashboard[[#This Row],[ret_al_hh]]</f>
        <v>0</v>
      </c>
    </row>
    <row r="337" spans="1:84" hidden="1" x14ac:dyDescent="0.25">
      <c r="A337" s="27">
        <v>65</v>
      </c>
      <c r="B337" s="2" t="s">
        <v>22</v>
      </c>
      <c r="C337" s="2" t="s">
        <v>23</v>
      </c>
      <c r="D337" s="2" t="s">
        <v>85</v>
      </c>
      <c r="E337" s="2" t="s">
        <v>84</v>
      </c>
      <c r="F337" s="2" t="s">
        <v>98</v>
      </c>
      <c r="G337" s="2" t="s">
        <v>97</v>
      </c>
      <c r="H337" s="2" t="s">
        <v>1222</v>
      </c>
      <c r="I337" s="2" t="s">
        <v>166</v>
      </c>
      <c r="J337" s="2" t="s">
        <v>2966</v>
      </c>
      <c r="K337" s="2" t="s">
        <v>2967</v>
      </c>
      <c r="L337" s="2" t="s">
        <v>2074</v>
      </c>
      <c r="M337" s="2">
        <v>1369</v>
      </c>
      <c r="N337" s="2" t="s">
        <v>1658</v>
      </c>
      <c r="O337" s="2">
        <v>6</v>
      </c>
      <c r="P337" s="2">
        <v>27</v>
      </c>
      <c r="Q337" s="2" t="s">
        <v>1658</v>
      </c>
      <c r="R337" s="2">
        <v>6</v>
      </c>
      <c r="S337" s="2" t="s">
        <v>1660</v>
      </c>
      <c r="T337" s="2">
        <v>0</v>
      </c>
      <c r="U337" s="2" t="s">
        <v>32</v>
      </c>
      <c r="V337" s="2" t="s">
        <v>32</v>
      </c>
      <c r="W337" s="2" t="s">
        <v>1660</v>
      </c>
      <c r="X337" s="2">
        <v>0</v>
      </c>
      <c r="Y337" s="2" t="s">
        <v>32</v>
      </c>
      <c r="Z337" s="2" t="s">
        <v>32</v>
      </c>
      <c r="AA337" s="2" t="s">
        <v>1660</v>
      </c>
      <c r="AB337" s="2">
        <v>0</v>
      </c>
      <c r="AC337" s="2" t="s">
        <v>1660</v>
      </c>
      <c r="AD337" s="2">
        <v>0</v>
      </c>
      <c r="AE337" s="2" t="s">
        <v>1658</v>
      </c>
      <c r="AF337" s="2">
        <v>7</v>
      </c>
      <c r="AG337" s="2">
        <v>31</v>
      </c>
      <c r="AH337" s="2" t="s">
        <v>1660</v>
      </c>
      <c r="AI337" s="2" t="s">
        <v>32</v>
      </c>
      <c r="AJ337" s="2" t="s">
        <v>32</v>
      </c>
      <c r="AK337" s="2" t="s">
        <v>32</v>
      </c>
      <c r="AL337" s="2" t="s">
        <v>1658</v>
      </c>
      <c r="AM337" s="2">
        <v>7</v>
      </c>
      <c r="AN337" s="2" t="s">
        <v>1660</v>
      </c>
      <c r="AO337" s="2">
        <v>0</v>
      </c>
      <c r="AP337" s="2" t="s">
        <v>32</v>
      </c>
      <c r="AQ337" s="2" t="s">
        <v>32</v>
      </c>
      <c r="AR337" s="2" t="s">
        <v>1660</v>
      </c>
      <c r="AS337" s="2">
        <v>0</v>
      </c>
      <c r="AT337" s="2" t="s">
        <v>32</v>
      </c>
      <c r="AU337" s="2" t="s">
        <v>32</v>
      </c>
      <c r="AV337" s="2" t="s">
        <v>1660</v>
      </c>
      <c r="AW337" s="2">
        <v>0</v>
      </c>
      <c r="AX337" s="2" t="s">
        <v>1660</v>
      </c>
      <c r="AY337" s="2">
        <v>0</v>
      </c>
      <c r="AZ337" s="2" t="s">
        <v>1660</v>
      </c>
      <c r="BA337" s="2">
        <v>0</v>
      </c>
      <c r="BB337" s="2">
        <v>0</v>
      </c>
      <c r="BC337" s="2" t="s">
        <v>32</v>
      </c>
      <c r="BD337" s="2">
        <v>0</v>
      </c>
      <c r="BE337" s="2" t="s">
        <v>32</v>
      </c>
      <c r="BF337" s="2">
        <v>0</v>
      </c>
      <c r="BG337" s="2" t="s">
        <v>32</v>
      </c>
      <c r="BH337" s="2">
        <v>0</v>
      </c>
      <c r="BI337" s="2" t="s">
        <v>32</v>
      </c>
      <c r="BJ337" s="2" t="s">
        <v>32</v>
      </c>
      <c r="BK337" s="2" t="s">
        <v>32</v>
      </c>
      <c r="BL337" s="2">
        <v>0</v>
      </c>
      <c r="BM337" s="2" t="s">
        <v>32</v>
      </c>
      <c r="BN337" s="2" t="s">
        <v>32</v>
      </c>
      <c r="BO337" s="2" t="s">
        <v>32</v>
      </c>
      <c r="BP337" s="2">
        <v>0</v>
      </c>
      <c r="BQ337" s="2" t="s">
        <v>32</v>
      </c>
      <c r="BR337" s="2">
        <v>0</v>
      </c>
      <c r="BS337" s="2" t="s">
        <v>1658</v>
      </c>
      <c r="BT337" s="2">
        <v>6</v>
      </c>
      <c r="BU337" s="2">
        <v>19</v>
      </c>
      <c r="BV337" s="2" t="s">
        <v>1660</v>
      </c>
      <c r="BW337" s="2"/>
      <c r="BX337" s="2"/>
      <c r="BY337" s="2" t="s">
        <v>1807</v>
      </c>
      <c r="BZ337" s="2" t="b">
        <f>OR( (Dashboard[[#This Row],[ref_as_hh]]&gt;=1),(Dashboard[[#This Row],[ret_as_hh]] &gt;=1), (Dashboard[[#This Row],[idp_as_hh]]&gt;=1))</f>
        <v>0</v>
      </c>
      <c r="CA337" s="2">
        <f>Dashboard[[#This Row],[ret_hi_hh]]</f>
        <v>0</v>
      </c>
      <c r="CB337" s="2">
        <f>Dashboard[[#This Row],[idp_fa_hh]]+Dashboard[[#This Row],[ref_fa_hh]]+Dashboard[[#This Row],[ret_fa_hh]]</f>
        <v>13</v>
      </c>
      <c r="CC337" s="2">
        <f>Dashboard[[#This Row],[idp_loc_hh]]+Dashboard[[#This Row],[ref_loc_hh]]+Dashboard[[#This Row],[ret_loc_hh]]</f>
        <v>0</v>
      </c>
      <c r="CD337" s="2">
        <f>Dashboard[[#This Row],[idp_cc_hh]]+Dashboard[[#This Row],[ref_cc_hh]]+Dashboard[[#This Row],[ret_cc_hh]]</f>
        <v>0</v>
      </c>
      <c r="CE337" s="2">
        <f>Dashboard[[#This Row],[idp_as_hh]]+Dashboard[[#This Row],[ref_as_hh]]+Dashboard[[#This Row],[ret_as_hh]]</f>
        <v>0</v>
      </c>
      <c r="CF337" s="2">
        <f>Dashboard[[#This Row],[idp_al_hh]]+Dashboard[[#This Row],[ref_al_hh]]+Dashboard[[#This Row],[ret_al_hh]]</f>
        <v>0</v>
      </c>
    </row>
    <row r="338" spans="1:84" hidden="1" x14ac:dyDescent="0.25">
      <c r="A338" s="27">
        <v>321</v>
      </c>
      <c r="B338" s="2" t="s">
        <v>22</v>
      </c>
      <c r="C338" s="2" t="s">
        <v>23</v>
      </c>
      <c r="D338" s="2" t="s">
        <v>85</v>
      </c>
      <c r="E338" s="2" t="s">
        <v>84</v>
      </c>
      <c r="F338" s="2" t="s">
        <v>98</v>
      </c>
      <c r="G338" s="2" t="s">
        <v>97</v>
      </c>
      <c r="H338" s="2" t="s">
        <v>1515</v>
      </c>
      <c r="I338" s="2" t="s">
        <v>628</v>
      </c>
      <c r="J338" s="2" t="s">
        <v>2944</v>
      </c>
      <c r="K338" s="2" t="s">
        <v>2945</v>
      </c>
      <c r="L338" s="2" t="s">
        <v>2074</v>
      </c>
      <c r="M338" s="2">
        <v>0</v>
      </c>
      <c r="N338" s="2" t="s">
        <v>1660</v>
      </c>
      <c r="O338" s="2">
        <v>0</v>
      </c>
      <c r="P338" s="2">
        <v>0</v>
      </c>
      <c r="Q338" s="2" t="s">
        <v>32</v>
      </c>
      <c r="R338" s="2">
        <v>0</v>
      </c>
      <c r="S338" s="2" t="s">
        <v>32</v>
      </c>
      <c r="T338" s="2">
        <v>0</v>
      </c>
      <c r="U338" s="2" t="s">
        <v>32</v>
      </c>
      <c r="V338" s="2" t="s">
        <v>32</v>
      </c>
      <c r="W338" s="2" t="s">
        <v>32</v>
      </c>
      <c r="X338" s="2">
        <v>0</v>
      </c>
      <c r="Y338" s="2" t="s">
        <v>32</v>
      </c>
      <c r="Z338" s="2" t="s">
        <v>32</v>
      </c>
      <c r="AA338" s="2" t="s">
        <v>32</v>
      </c>
      <c r="AB338" s="2">
        <v>0</v>
      </c>
      <c r="AC338" s="2" t="s">
        <v>32</v>
      </c>
      <c r="AD338" s="2">
        <v>0</v>
      </c>
      <c r="AE338" s="2" t="s">
        <v>1658</v>
      </c>
      <c r="AF338" s="2">
        <v>0</v>
      </c>
      <c r="AG338" s="2">
        <v>0</v>
      </c>
      <c r="AH338" s="2" t="s">
        <v>1660</v>
      </c>
      <c r="AI338" s="2" t="s">
        <v>32</v>
      </c>
      <c r="AJ338" s="2" t="s">
        <v>32</v>
      </c>
      <c r="AK338" s="2" t="s">
        <v>32</v>
      </c>
      <c r="AL338" s="2" t="s">
        <v>1658</v>
      </c>
      <c r="AM338" s="2">
        <v>0</v>
      </c>
      <c r="AN338" s="2" t="s">
        <v>1660</v>
      </c>
      <c r="AO338" s="2">
        <v>0</v>
      </c>
      <c r="AP338" s="2" t="s">
        <v>32</v>
      </c>
      <c r="AQ338" s="2" t="s">
        <v>32</v>
      </c>
      <c r="AR338" s="2" t="s">
        <v>1660</v>
      </c>
      <c r="AS338" s="2">
        <v>0</v>
      </c>
      <c r="AT338" s="2" t="s">
        <v>32</v>
      </c>
      <c r="AU338" s="2" t="s">
        <v>32</v>
      </c>
      <c r="AV338" s="2" t="s">
        <v>1660</v>
      </c>
      <c r="AW338" s="2">
        <v>0</v>
      </c>
      <c r="AX338" s="2" t="s">
        <v>1660</v>
      </c>
      <c r="AY338" s="2">
        <v>0</v>
      </c>
      <c r="AZ338" s="2" t="s">
        <v>1660</v>
      </c>
      <c r="BA338" s="2">
        <v>0</v>
      </c>
      <c r="BB338" s="2">
        <v>0</v>
      </c>
      <c r="BC338" s="2" t="s">
        <v>32</v>
      </c>
      <c r="BD338" s="2">
        <v>0</v>
      </c>
      <c r="BE338" s="2" t="s">
        <v>32</v>
      </c>
      <c r="BF338" s="2">
        <v>0</v>
      </c>
      <c r="BG338" s="2" t="s">
        <v>32</v>
      </c>
      <c r="BH338" s="2">
        <v>0</v>
      </c>
      <c r="BI338" s="2" t="s">
        <v>32</v>
      </c>
      <c r="BJ338" s="2" t="s">
        <v>32</v>
      </c>
      <c r="BK338" s="2" t="s">
        <v>32</v>
      </c>
      <c r="BL338" s="2">
        <v>0</v>
      </c>
      <c r="BM338" s="2" t="s">
        <v>32</v>
      </c>
      <c r="BN338" s="2" t="s">
        <v>32</v>
      </c>
      <c r="BO338" s="2" t="s">
        <v>32</v>
      </c>
      <c r="BP338" s="2">
        <v>0</v>
      </c>
      <c r="BQ338" s="2" t="s">
        <v>32</v>
      </c>
      <c r="BR338" s="2">
        <v>0</v>
      </c>
      <c r="BS338" s="2" t="s">
        <v>1660</v>
      </c>
      <c r="BT338" s="2">
        <v>0</v>
      </c>
      <c r="BU338" s="2">
        <v>0</v>
      </c>
      <c r="BV338" s="2" t="s">
        <v>1660</v>
      </c>
      <c r="BW338" s="2"/>
      <c r="BX338" s="2"/>
      <c r="BY338" s="2" t="s">
        <v>1807</v>
      </c>
      <c r="BZ338" s="2" t="b">
        <f>OR( (Dashboard[[#This Row],[ref_as_hh]]&gt;=1),(Dashboard[[#This Row],[ret_as_hh]] &gt;=1), (Dashboard[[#This Row],[idp_as_hh]]&gt;=1))</f>
        <v>0</v>
      </c>
      <c r="CA338" s="2">
        <f>Dashboard[[#This Row],[ret_hi_hh]]</f>
        <v>0</v>
      </c>
      <c r="CB338" s="2">
        <f>Dashboard[[#This Row],[idp_fa_hh]]+Dashboard[[#This Row],[ref_fa_hh]]+Dashboard[[#This Row],[ret_fa_hh]]</f>
        <v>0</v>
      </c>
      <c r="CC338" s="2">
        <f>Dashboard[[#This Row],[idp_loc_hh]]+Dashboard[[#This Row],[ref_loc_hh]]+Dashboard[[#This Row],[ret_loc_hh]]</f>
        <v>0</v>
      </c>
      <c r="CD338" s="2">
        <f>Dashboard[[#This Row],[idp_cc_hh]]+Dashboard[[#This Row],[ref_cc_hh]]+Dashboard[[#This Row],[ret_cc_hh]]</f>
        <v>0</v>
      </c>
      <c r="CE338" s="2">
        <f>Dashboard[[#This Row],[idp_as_hh]]+Dashboard[[#This Row],[ref_as_hh]]+Dashboard[[#This Row],[ret_as_hh]]</f>
        <v>0</v>
      </c>
      <c r="CF338" s="2">
        <f>Dashboard[[#This Row],[idp_al_hh]]+Dashboard[[#This Row],[ref_al_hh]]+Dashboard[[#This Row],[ret_al_hh]]</f>
        <v>0</v>
      </c>
    </row>
    <row r="339" spans="1:84" hidden="1" x14ac:dyDescent="0.25">
      <c r="A339" s="27">
        <v>577</v>
      </c>
      <c r="B339" s="2" t="s">
        <v>22</v>
      </c>
      <c r="C339" s="2" t="s">
        <v>23</v>
      </c>
      <c r="D339" s="2" t="s">
        <v>85</v>
      </c>
      <c r="E339" s="2" t="s">
        <v>84</v>
      </c>
      <c r="F339" s="2" t="s">
        <v>98</v>
      </c>
      <c r="G339" s="2" t="s">
        <v>97</v>
      </c>
      <c r="H339" s="2" t="s">
        <v>1277</v>
      </c>
      <c r="I339" s="2" t="s">
        <v>811</v>
      </c>
      <c r="J339" s="2" t="s">
        <v>3078</v>
      </c>
      <c r="K339" s="2" t="s">
        <v>3079</v>
      </c>
      <c r="L339" s="2" t="s">
        <v>2074</v>
      </c>
      <c r="M339" s="2">
        <v>300</v>
      </c>
      <c r="N339" s="2" t="s">
        <v>1658</v>
      </c>
      <c r="O339" s="2">
        <v>17</v>
      </c>
      <c r="P339" s="2">
        <v>95</v>
      </c>
      <c r="Q339" s="2" t="s">
        <v>1658</v>
      </c>
      <c r="R339" s="2">
        <v>17</v>
      </c>
      <c r="S339" s="2" t="s">
        <v>1660</v>
      </c>
      <c r="T339" s="2">
        <v>0</v>
      </c>
      <c r="U339" s="2" t="s">
        <v>32</v>
      </c>
      <c r="V339" s="2" t="s">
        <v>32</v>
      </c>
      <c r="W339" s="2" t="s">
        <v>1660</v>
      </c>
      <c r="X339" s="2">
        <v>0</v>
      </c>
      <c r="Y339" s="2" t="s">
        <v>32</v>
      </c>
      <c r="Z339" s="2" t="s">
        <v>32</v>
      </c>
      <c r="AA339" s="2" t="s">
        <v>1660</v>
      </c>
      <c r="AB339" s="2">
        <v>0</v>
      </c>
      <c r="AC339" s="2" t="s">
        <v>1660</v>
      </c>
      <c r="AD339" s="2">
        <v>0</v>
      </c>
      <c r="AE339" s="2" t="s">
        <v>1658</v>
      </c>
      <c r="AF339" s="2">
        <v>6</v>
      </c>
      <c r="AG339" s="2">
        <v>20</v>
      </c>
      <c r="AH339" s="2" t="s">
        <v>1660</v>
      </c>
      <c r="AI339" s="2" t="s">
        <v>32</v>
      </c>
      <c r="AJ339" s="2" t="s">
        <v>32</v>
      </c>
      <c r="AK339" s="2" t="s">
        <v>32</v>
      </c>
      <c r="AL339" s="2" t="s">
        <v>1658</v>
      </c>
      <c r="AM339" s="2">
        <v>6</v>
      </c>
      <c r="AN339" s="2" t="s">
        <v>1660</v>
      </c>
      <c r="AO339" s="2">
        <v>0</v>
      </c>
      <c r="AP339" s="2" t="s">
        <v>32</v>
      </c>
      <c r="AQ339" s="2" t="s">
        <v>32</v>
      </c>
      <c r="AR339" s="2" t="s">
        <v>1660</v>
      </c>
      <c r="AS339" s="2">
        <v>0</v>
      </c>
      <c r="AT339" s="2" t="s">
        <v>32</v>
      </c>
      <c r="AU339" s="2" t="s">
        <v>32</v>
      </c>
      <c r="AV339" s="2" t="s">
        <v>1660</v>
      </c>
      <c r="AW339" s="2">
        <v>0</v>
      </c>
      <c r="AX339" s="2" t="s">
        <v>1660</v>
      </c>
      <c r="AY339" s="2">
        <v>0</v>
      </c>
      <c r="AZ339" s="2" t="s">
        <v>1660</v>
      </c>
      <c r="BA339" s="2">
        <v>0</v>
      </c>
      <c r="BB339" s="2">
        <v>0</v>
      </c>
      <c r="BC339" s="2" t="s">
        <v>32</v>
      </c>
      <c r="BD339" s="2">
        <v>0</v>
      </c>
      <c r="BE339" s="2" t="s">
        <v>32</v>
      </c>
      <c r="BF339" s="2">
        <v>0</v>
      </c>
      <c r="BG339" s="2" t="s">
        <v>32</v>
      </c>
      <c r="BH339" s="2">
        <v>0</v>
      </c>
      <c r="BI339" s="2" t="s">
        <v>32</v>
      </c>
      <c r="BJ339" s="2" t="s">
        <v>32</v>
      </c>
      <c r="BK339" s="2" t="s">
        <v>32</v>
      </c>
      <c r="BL339" s="2">
        <v>0</v>
      </c>
      <c r="BM339" s="2" t="s">
        <v>32</v>
      </c>
      <c r="BN339" s="2" t="s">
        <v>32</v>
      </c>
      <c r="BO339" s="2" t="s">
        <v>32</v>
      </c>
      <c r="BP339" s="2">
        <v>0</v>
      </c>
      <c r="BQ339" s="2" t="s">
        <v>32</v>
      </c>
      <c r="BR339" s="2">
        <v>0</v>
      </c>
      <c r="BS339" s="2" t="s">
        <v>1660</v>
      </c>
      <c r="BT339" s="2">
        <v>0</v>
      </c>
      <c r="BU339" s="2">
        <v>0</v>
      </c>
      <c r="BV339" s="2" t="s">
        <v>1660</v>
      </c>
      <c r="BW339" s="2"/>
      <c r="BX339" s="2"/>
      <c r="BY339" s="2" t="s">
        <v>1807</v>
      </c>
      <c r="BZ339" s="2" t="b">
        <f>OR( (Dashboard[[#This Row],[ref_as_hh]]&gt;=1),(Dashboard[[#This Row],[ret_as_hh]] &gt;=1), (Dashboard[[#This Row],[idp_as_hh]]&gt;=1))</f>
        <v>0</v>
      </c>
      <c r="CA339" s="2">
        <f>Dashboard[[#This Row],[ret_hi_hh]]</f>
        <v>0</v>
      </c>
      <c r="CB339" s="2">
        <f>Dashboard[[#This Row],[idp_fa_hh]]+Dashboard[[#This Row],[ref_fa_hh]]+Dashboard[[#This Row],[ret_fa_hh]]</f>
        <v>23</v>
      </c>
      <c r="CC339" s="2">
        <f>Dashboard[[#This Row],[idp_loc_hh]]+Dashboard[[#This Row],[ref_loc_hh]]+Dashboard[[#This Row],[ret_loc_hh]]</f>
        <v>0</v>
      </c>
      <c r="CD339" s="2">
        <f>Dashboard[[#This Row],[idp_cc_hh]]+Dashboard[[#This Row],[ref_cc_hh]]+Dashboard[[#This Row],[ret_cc_hh]]</f>
        <v>0</v>
      </c>
      <c r="CE339" s="2">
        <f>Dashboard[[#This Row],[idp_as_hh]]+Dashboard[[#This Row],[ref_as_hh]]+Dashboard[[#This Row],[ret_as_hh]]</f>
        <v>0</v>
      </c>
      <c r="CF339" s="2">
        <f>Dashboard[[#This Row],[idp_al_hh]]+Dashboard[[#This Row],[ref_al_hh]]+Dashboard[[#This Row],[ret_al_hh]]</f>
        <v>0</v>
      </c>
    </row>
    <row r="340" spans="1:84" hidden="1" x14ac:dyDescent="0.25">
      <c r="A340" s="27">
        <v>322</v>
      </c>
      <c r="B340" s="2" t="s">
        <v>22</v>
      </c>
      <c r="C340" s="2" t="s">
        <v>23</v>
      </c>
      <c r="D340" s="2" t="s">
        <v>85</v>
      </c>
      <c r="E340" s="2" t="s">
        <v>84</v>
      </c>
      <c r="F340" s="2" t="s">
        <v>98</v>
      </c>
      <c r="G340" s="2" t="s">
        <v>97</v>
      </c>
      <c r="H340" s="2" t="s">
        <v>2015</v>
      </c>
      <c r="I340" s="2" t="s">
        <v>2014</v>
      </c>
      <c r="J340" s="2" t="s">
        <v>2870</v>
      </c>
      <c r="K340" s="2" t="s">
        <v>2871</v>
      </c>
      <c r="L340" s="2" t="s">
        <v>2074</v>
      </c>
      <c r="M340" s="2">
        <v>0</v>
      </c>
      <c r="N340" s="2" t="s">
        <v>1660</v>
      </c>
      <c r="O340" s="2">
        <v>0</v>
      </c>
      <c r="P340" s="2">
        <v>0</v>
      </c>
      <c r="Q340" s="2" t="s">
        <v>32</v>
      </c>
      <c r="R340" s="2">
        <v>0</v>
      </c>
      <c r="S340" s="2" t="s">
        <v>32</v>
      </c>
      <c r="T340" s="2">
        <v>0</v>
      </c>
      <c r="U340" s="2" t="s">
        <v>32</v>
      </c>
      <c r="V340" s="2" t="s">
        <v>32</v>
      </c>
      <c r="W340" s="2" t="s">
        <v>32</v>
      </c>
      <c r="X340" s="2">
        <v>0</v>
      </c>
      <c r="Y340" s="2" t="s">
        <v>32</v>
      </c>
      <c r="Z340" s="2" t="s">
        <v>32</v>
      </c>
      <c r="AA340" s="2" t="s">
        <v>32</v>
      </c>
      <c r="AB340" s="2">
        <v>0</v>
      </c>
      <c r="AC340" s="2" t="s">
        <v>32</v>
      </c>
      <c r="AD340" s="2">
        <v>0</v>
      </c>
      <c r="AE340" s="2" t="s">
        <v>1658</v>
      </c>
      <c r="AF340" s="2">
        <v>0</v>
      </c>
      <c r="AG340" s="2">
        <v>0</v>
      </c>
      <c r="AH340" s="2" t="s">
        <v>1660</v>
      </c>
      <c r="AI340" s="2" t="s">
        <v>32</v>
      </c>
      <c r="AJ340" s="2" t="s">
        <v>32</v>
      </c>
      <c r="AK340" s="2" t="s">
        <v>32</v>
      </c>
      <c r="AL340" s="2" t="s">
        <v>1658</v>
      </c>
      <c r="AM340" s="2">
        <v>0</v>
      </c>
      <c r="AN340" s="2" t="s">
        <v>1660</v>
      </c>
      <c r="AO340" s="2">
        <v>0</v>
      </c>
      <c r="AP340" s="2" t="s">
        <v>32</v>
      </c>
      <c r="AQ340" s="2" t="s">
        <v>32</v>
      </c>
      <c r="AR340" s="2" t="s">
        <v>1660</v>
      </c>
      <c r="AS340" s="2">
        <v>0</v>
      </c>
      <c r="AT340" s="2" t="s">
        <v>32</v>
      </c>
      <c r="AU340" s="2" t="s">
        <v>32</v>
      </c>
      <c r="AV340" s="2" t="s">
        <v>1660</v>
      </c>
      <c r="AW340" s="2">
        <v>0</v>
      </c>
      <c r="AX340" s="2" t="s">
        <v>1660</v>
      </c>
      <c r="AY340" s="2">
        <v>0</v>
      </c>
      <c r="AZ340" s="2" t="s">
        <v>1660</v>
      </c>
      <c r="BA340" s="2">
        <v>0</v>
      </c>
      <c r="BB340" s="2">
        <v>0</v>
      </c>
      <c r="BC340" s="2" t="s">
        <v>32</v>
      </c>
      <c r="BD340" s="2">
        <v>0</v>
      </c>
      <c r="BE340" s="2" t="s">
        <v>32</v>
      </c>
      <c r="BF340" s="2">
        <v>0</v>
      </c>
      <c r="BG340" s="2" t="s">
        <v>32</v>
      </c>
      <c r="BH340" s="2">
        <v>0</v>
      </c>
      <c r="BI340" s="2" t="s">
        <v>32</v>
      </c>
      <c r="BJ340" s="2" t="s">
        <v>32</v>
      </c>
      <c r="BK340" s="2" t="s">
        <v>32</v>
      </c>
      <c r="BL340" s="2">
        <v>0</v>
      </c>
      <c r="BM340" s="2" t="s">
        <v>32</v>
      </c>
      <c r="BN340" s="2" t="s">
        <v>32</v>
      </c>
      <c r="BO340" s="2" t="s">
        <v>32</v>
      </c>
      <c r="BP340" s="2">
        <v>0</v>
      </c>
      <c r="BQ340" s="2" t="s">
        <v>32</v>
      </c>
      <c r="BR340" s="2">
        <v>0</v>
      </c>
      <c r="BS340" s="2" t="s">
        <v>1660</v>
      </c>
      <c r="BT340" s="2">
        <v>0</v>
      </c>
      <c r="BU340" s="2">
        <v>0</v>
      </c>
      <c r="BV340" s="2" t="s">
        <v>1660</v>
      </c>
      <c r="BW340" s="2"/>
      <c r="BX340" s="2"/>
      <c r="BY340" s="2" t="s">
        <v>1807</v>
      </c>
      <c r="BZ340" s="2" t="b">
        <f>OR( (Dashboard[[#This Row],[ref_as_hh]]&gt;=1),(Dashboard[[#This Row],[ret_as_hh]] &gt;=1), (Dashboard[[#This Row],[idp_as_hh]]&gt;=1))</f>
        <v>0</v>
      </c>
      <c r="CA340" s="2">
        <f>Dashboard[[#This Row],[ret_hi_hh]]</f>
        <v>0</v>
      </c>
      <c r="CB340" s="2">
        <f>Dashboard[[#This Row],[idp_fa_hh]]+Dashboard[[#This Row],[ref_fa_hh]]+Dashboard[[#This Row],[ret_fa_hh]]</f>
        <v>0</v>
      </c>
      <c r="CC340" s="2">
        <f>Dashboard[[#This Row],[idp_loc_hh]]+Dashboard[[#This Row],[ref_loc_hh]]+Dashboard[[#This Row],[ret_loc_hh]]</f>
        <v>0</v>
      </c>
      <c r="CD340" s="2">
        <f>Dashboard[[#This Row],[idp_cc_hh]]+Dashboard[[#This Row],[ref_cc_hh]]+Dashboard[[#This Row],[ret_cc_hh]]</f>
        <v>0</v>
      </c>
      <c r="CE340" s="2">
        <f>Dashboard[[#This Row],[idp_as_hh]]+Dashboard[[#This Row],[ref_as_hh]]+Dashboard[[#This Row],[ret_as_hh]]</f>
        <v>0</v>
      </c>
      <c r="CF340" s="2">
        <f>Dashboard[[#This Row],[idp_al_hh]]+Dashboard[[#This Row],[ref_al_hh]]+Dashboard[[#This Row],[ret_al_hh]]</f>
        <v>0</v>
      </c>
    </row>
    <row r="341" spans="1:84" hidden="1" x14ac:dyDescent="0.25">
      <c r="A341" s="27">
        <v>579</v>
      </c>
      <c r="B341" s="2" t="s">
        <v>22</v>
      </c>
      <c r="C341" s="2" t="s">
        <v>23</v>
      </c>
      <c r="D341" s="2" t="s">
        <v>85</v>
      </c>
      <c r="E341" s="2" t="s">
        <v>84</v>
      </c>
      <c r="F341" s="2" t="s">
        <v>98</v>
      </c>
      <c r="G341" s="2" t="s">
        <v>97</v>
      </c>
      <c r="H341" s="2" t="s">
        <v>1207</v>
      </c>
      <c r="I341" s="2" t="s">
        <v>782</v>
      </c>
      <c r="J341" s="2" t="s">
        <v>2932</v>
      </c>
      <c r="K341" s="2" t="s">
        <v>2933</v>
      </c>
      <c r="L341" s="2" t="s">
        <v>2074</v>
      </c>
      <c r="M341" s="2">
        <v>300</v>
      </c>
      <c r="N341" s="2" t="s">
        <v>1658</v>
      </c>
      <c r="O341" s="2">
        <v>14</v>
      </c>
      <c r="P341" s="2">
        <v>104</v>
      </c>
      <c r="Q341" s="2" t="s">
        <v>1658</v>
      </c>
      <c r="R341" s="2">
        <v>14</v>
      </c>
      <c r="S341" s="2" t="s">
        <v>1660</v>
      </c>
      <c r="T341" s="2">
        <v>0</v>
      </c>
      <c r="U341" s="2" t="s">
        <v>32</v>
      </c>
      <c r="V341" s="2" t="s">
        <v>32</v>
      </c>
      <c r="W341" s="2" t="s">
        <v>1660</v>
      </c>
      <c r="X341" s="2">
        <v>0</v>
      </c>
      <c r="Y341" s="2" t="s">
        <v>32</v>
      </c>
      <c r="Z341" s="2" t="s">
        <v>32</v>
      </c>
      <c r="AA341" s="2" t="s">
        <v>1660</v>
      </c>
      <c r="AB341" s="2">
        <v>0</v>
      </c>
      <c r="AC341" s="2" t="s">
        <v>1660</v>
      </c>
      <c r="AD341" s="2">
        <v>0</v>
      </c>
      <c r="AE341" s="2" t="s">
        <v>1658</v>
      </c>
      <c r="AF341" s="2">
        <v>11</v>
      </c>
      <c r="AG341" s="2">
        <v>77</v>
      </c>
      <c r="AH341" s="2" t="s">
        <v>1660</v>
      </c>
      <c r="AI341" s="2" t="s">
        <v>32</v>
      </c>
      <c r="AJ341" s="2" t="s">
        <v>32</v>
      </c>
      <c r="AK341" s="2" t="s">
        <v>32</v>
      </c>
      <c r="AL341" s="2" t="s">
        <v>1658</v>
      </c>
      <c r="AM341" s="2">
        <v>11</v>
      </c>
      <c r="AN341" s="2" t="s">
        <v>1660</v>
      </c>
      <c r="AO341" s="2">
        <v>0</v>
      </c>
      <c r="AP341" s="2" t="s">
        <v>32</v>
      </c>
      <c r="AQ341" s="2" t="s">
        <v>32</v>
      </c>
      <c r="AR341" s="2" t="s">
        <v>1660</v>
      </c>
      <c r="AS341" s="2">
        <v>0</v>
      </c>
      <c r="AT341" s="2" t="s">
        <v>32</v>
      </c>
      <c r="AU341" s="2" t="s">
        <v>32</v>
      </c>
      <c r="AV341" s="2" t="s">
        <v>1660</v>
      </c>
      <c r="AW341" s="2">
        <v>0</v>
      </c>
      <c r="AX341" s="2" t="s">
        <v>1660</v>
      </c>
      <c r="AY341" s="2">
        <v>0</v>
      </c>
      <c r="AZ341" s="2" t="s">
        <v>1660</v>
      </c>
      <c r="BA341" s="2">
        <v>0</v>
      </c>
      <c r="BB341" s="2">
        <v>0</v>
      </c>
      <c r="BC341" s="2" t="s">
        <v>32</v>
      </c>
      <c r="BD341" s="2">
        <v>0</v>
      </c>
      <c r="BE341" s="2" t="s">
        <v>32</v>
      </c>
      <c r="BF341" s="2">
        <v>0</v>
      </c>
      <c r="BG341" s="2" t="s">
        <v>32</v>
      </c>
      <c r="BH341" s="2">
        <v>0</v>
      </c>
      <c r="BI341" s="2" t="s">
        <v>32</v>
      </c>
      <c r="BJ341" s="2" t="s">
        <v>32</v>
      </c>
      <c r="BK341" s="2" t="s">
        <v>32</v>
      </c>
      <c r="BL341" s="2">
        <v>0</v>
      </c>
      <c r="BM341" s="2" t="s">
        <v>32</v>
      </c>
      <c r="BN341" s="2" t="s">
        <v>32</v>
      </c>
      <c r="BO341" s="2" t="s">
        <v>32</v>
      </c>
      <c r="BP341" s="2">
        <v>0</v>
      </c>
      <c r="BQ341" s="2" t="s">
        <v>32</v>
      </c>
      <c r="BR341" s="2">
        <v>0</v>
      </c>
      <c r="BS341" s="2" t="s">
        <v>1660</v>
      </c>
      <c r="BT341" s="2">
        <v>0</v>
      </c>
      <c r="BU341" s="2">
        <v>0</v>
      </c>
      <c r="BV341" s="2" t="s">
        <v>1660</v>
      </c>
      <c r="BW341" s="2"/>
      <c r="BX341" s="2"/>
      <c r="BY341" s="2" t="s">
        <v>1807</v>
      </c>
      <c r="BZ341" s="2" t="b">
        <f>OR( (Dashboard[[#This Row],[ref_as_hh]]&gt;=1),(Dashboard[[#This Row],[ret_as_hh]] &gt;=1), (Dashboard[[#This Row],[idp_as_hh]]&gt;=1))</f>
        <v>0</v>
      </c>
      <c r="CA341" s="2">
        <f>Dashboard[[#This Row],[ret_hi_hh]]</f>
        <v>0</v>
      </c>
      <c r="CB341" s="2">
        <f>Dashboard[[#This Row],[idp_fa_hh]]+Dashboard[[#This Row],[ref_fa_hh]]+Dashboard[[#This Row],[ret_fa_hh]]</f>
        <v>25</v>
      </c>
      <c r="CC341" s="2">
        <f>Dashboard[[#This Row],[idp_loc_hh]]+Dashboard[[#This Row],[ref_loc_hh]]+Dashboard[[#This Row],[ret_loc_hh]]</f>
        <v>0</v>
      </c>
      <c r="CD341" s="2">
        <f>Dashboard[[#This Row],[idp_cc_hh]]+Dashboard[[#This Row],[ref_cc_hh]]+Dashboard[[#This Row],[ret_cc_hh]]</f>
        <v>0</v>
      </c>
      <c r="CE341" s="2">
        <f>Dashboard[[#This Row],[idp_as_hh]]+Dashboard[[#This Row],[ref_as_hh]]+Dashboard[[#This Row],[ret_as_hh]]</f>
        <v>0</v>
      </c>
      <c r="CF341" s="2">
        <f>Dashboard[[#This Row],[idp_al_hh]]+Dashboard[[#This Row],[ref_al_hh]]+Dashboard[[#This Row],[ret_al_hh]]</f>
        <v>0</v>
      </c>
    </row>
    <row r="342" spans="1:84" x14ac:dyDescent="0.25">
      <c r="A342" s="27">
        <v>326</v>
      </c>
      <c r="B342" s="2" t="s">
        <v>22</v>
      </c>
      <c r="C342" s="2" t="s">
        <v>23</v>
      </c>
      <c r="D342" s="2" t="s">
        <v>85</v>
      </c>
      <c r="E342" s="2" t="s">
        <v>84</v>
      </c>
      <c r="F342" s="2" t="s">
        <v>98</v>
      </c>
      <c r="G342" s="2" t="s">
        <v>97</v>
      </c>
      <c r="H342" s="2" t="s">
        <v>1198</v>
      </c>
      <c r="I342" s="2" t="s">
        <v>816</v>
      </c>
      <c r="J342" s="2" t="s">
        <v>2902</v>
      </c>
      <c r="K342" s="2" t="s">
        <v>2903</v>
      </c>
      <c r="L342" s="2" t="s">
        <v>3693</v>
      </c>
      <c r="M342" s="2">
        <v>294</v>
      </c>
      <c r="N342" s="2" t="s">
        <v>1658</v>
      </c>
      <c r="O342" s="2">
        <v>11</v>
      </c>
      <c r="P342" s="2">
        <v>94</v>
      </c>
      <c r="Q342" s="2" t="s">
        <v>1658</v>
      </c>
      <c r="R342" s="2">
        <v>11</v>
      </c>
      <c r="S342" s="2" t="s">
        <v>1660</v>
      </c>
      <c r="T342" s="2">
        <v>0</v>
      </c>
      <c r="U342" s="2" t="s">
        <v>32</v>
      </c>
      <c r="V342" s="2" t="s">
        <v>32</v>
      </c>
      <c r="W342" s="2" t="s">
        <v>1660</v>
      </c>
      <c r="X342" s="2">
        <v>0</v>
      </c>
      <c r="Y342" s="2" t="s">
        <v>32</v>
      </c>
      <c r="Z342" s="2" t="s">
        <v>32</v>
      </c>
      <c r="AA342" s="2" t="s">
        <v>1660</v>
      </c>
      <c r="AB342" s="2">
        <v>0</v>
      </c>
      <c r="AC342" s="2" t="s">
        <v>1660</v>
      </c>
      <c r="AD342" s="2">
        <v>0</v>
      </c>
      <c r="AE342" s="2" t="s">
        <v>1658</v>
      </c>
      <c r="AF342" s="2">
        <v>11</v>
      </c>
      <c r="AG342" s="2">
        <v>92</v>
      </c>
      <c r="AH342" s="2" t="s">
        <v>1660</v>
      </c>
      <c r="AI342" s="2" t="s">
        <v>32</v>
      </c>
      <c r="AJ342" s="2" t="s">
        <v>32</v>
      </c>
      <c r="AK342" s="2" t="s">
        <v>32</v>
      </c>
      <c r="AL342" s="2" t="s">
        <v>1658</v>
      </c>
      <c r="AM342" s="2">
        <v>4</v>
      </c>
      <c r="AN342" s="2" t="s">
        <v>1660</v>
      </c>
      <c r="AO342" s="2">
        <v>0</v>
      </c>
      <c r="AP342" s="2" t="s">
        <v>32</v>
      </c>
      <c r="AQ342" s="2" t="s">
        <v>32</v>
      </c>
      <c r="AR342" s="2" t="s">
        <v>1660</v>
      </c>
      <c r="AS342" s="2">
        <v>0</v>
      </c>
      <c r="AT342" s="2" t="s">
        <v>32</v>
      </c>
      <c r="AU342" s="2" t="s">
        <v>32</v>
      </c>
      <c r="AV342" s="2" t="s">
        <v>1658</v>
      </c>
      <c r="AW342" s="2">
        <v>7</v>
      </c>
      <c r="AX342" s="2" t="s">
        <v>1660</v>
      </c>
      <c r="AY342" s="2">
        <v>0</v>
      </c>
      <c r="AZ342" s="2" t="s">
        <v>1660</v>
      </c>
      <c r="BA342" s="2">
        <v>0</v>
      </c>
      <c r="BB342" s="2">
        <v>0</v>
      </c>
      <c r="BC342" s="2" t="s">
        <v>32</v>
      </c>
      <c r="BD342" s="2">
        <v>0</v>
      </c>
      <c r="BE342" s="2" t="s">
        <v>32</v>
      </c>
      <c r="BF342" s="2">
        <v>0</v>
      </c>
      <c r="BG342" s="2" t="s">
        <v>32</v>
      </c>
      <c r="BH342" s="2">
        <v>0</v>
      </c>
      <c r="BI342" s="2" t="s">
        <v>32</v>
      </c>
      <c r="BJ342" s="2" t="s">
        <v>32</v>
      </c>
      <c r="BK342" s="2" t="s">
        <v>32</v>
      </c>
      <c r="BL342" s="2">
        <v>0</v>
      </c>
      <c r="BM342" s="2" t="s">
        <v>32</v>
      </c>
      <c r="BN342" s="2" t="s">
        <v>32</v>
      </c>
      <c r="BO342" s="2" t="s">
        <v>32</v>
      </c>
      <c r="BP342" s="2">
        <v>0</v>
      </c>
      <c r="BQ342" s="2" t="s">
        <v>32</v>
      </c>
      <c r="BR342" s="2">
        <v>0</v>
      </c>
      <c r="BS342" s="2" t="s">
        <v>1660</v>
      </c>
      <c r="BT342" s="2">
        <v>0</v>
      </c>
      <c r="BU342" s="2">
        <v>0</v>
      </c>
      <c r="BV342" s="2" t="s">
        <v>1660</v>
      </c>
      <c r="BW342" s="2"/>
      <c r="BX342" s="2"/>
      <c r="BY342" s="2" t="s">
        <v>1807</v>
      </c>
      <c r="BZ342" s="2" t="b">
        <f>OR( (Dashboard[[#This Row],[ref_as_hh]]&gt;=1),(Dashboard[[#This Row],[ret_as_hh]] &gt;=1), (Dashboard[[#This Row],[idp_as_hh]]&gt;=1))</f>
        <v>1</v>
      </c>
      <c r="CA342" s="2">
        <f>Dashboard[[#This Row],[ret_hi_hh]]</f>
        <v>0</v>
      </c>
      <c r="CB342" s="2">
        <f>Dashboard[[#This Row],[idp_fa_hh]]+Dashboard[[#This Row],[ref_fa_hh]]+Dashboard[[#This Row],[ret_fa_hh]]</f>
        <v>15</v>
      </c>
      <c r="CC342" s="2">
        <f>Dashboard[[#This Row],[idp_loc_hh]]+Dashboard[[#This Row],[ref_loc_hh]]+Dashboard[[#This Row],[ret_loc_hh]]</f>
        <v>0</v>
      </c>
      <c r="CD342" s="2">
        <f>Dashboard[[#This Row],[idp_cc_hh]]+Dashboard[[#This Row],[ref_cc_hh]]+Dashboard[[#This Row],[ret_cc_hh]]</f>
        <v>0</v>
      </c>
      <c r="CE342" s="2">
        <f>Dashboard[[#This Row],[idp_as_hh]]+Dashboard[[#This Row],[ref_as_hh]]+Dashboard[[#This Row],[ret_as_hh]]</f>
        <v>7</v>
      </c>
      <c r="CF342" s="2">
        <f>Dashboard[[#This Row],[idp_al_hh]]+Dashboard[[#This Row],[ref_al_hh]]+Dashboard[[#This Row],[ret_al_hh]]</f>
        <v>0</v>
      </c>
    </row>
    <row r="343" spans="1:84" hidden="1" x14ac:dyDescent="0.25">
      <c r="A343" s="27">
        <v>582</v>
      </c>
      <c r="B343" s="2" t="s">
        <v>22</v>
      </c>
      <c r="C343" s="2" t="s">
        <v>23</v>
      </c>
      <c r="D343" s="2" t="s">
        <v>85</v>
      </c>
      <c r="E343" s="2" t="s">
        <v>84</v>
      </c>
      <c r="F343" s="2" t="s">
        <v>98</v>
      </c>
      <c r="G343" s="2" t="s">
        <v>97</v>
      </c>
      <c r="H343" s="2" t="s">
        <v>1281</v>
      </c>
      <c r="I343" s="2" t="s">
        <v>820</v>
      </c>
      <c r="J343" s="2" t="s">
        <v>3090</v>
      </c>
      <c r="K343" s="2" t="s">
        <v>3091</v>
      </c>
      <c r="L343" s="2" t="s">
        <v>2074</v>
      </c>
      <c r="M343" s="2">
        <v>600</v>
      </c>
      <c r="N343" s="2" t="s">
        <v>1658</v>
      </c>
      <c r="O343" s="2">
        <v>34</v>
      </c>
      <c r="P343" s="2">
        <v>218</v>
      </c>
      <c r="Q343" s="2" t="s">
        <v>1658</v>
      </c>
      <c r="R343" s="2">
        <v>34</v>
      </c>
      <c r="S343" s="2" t="s">
        <v>1660</v>
      </c>
      <c r="T343" s="2">
        <v>0</v>
      </c>
      <c r="U343" s="2" t="s">
        <v>32</v>
      </c>
      <c r="V343" s="2" t="s">
        <v>32</v>
      </c>
      <c r="W343" s="2" t="s">
        <v>1660</v>
      </c>
      <c r="X343" s="2">
        <v>0</v>
      </c>
      <c r="Y343" s="2" t="s">
        <v>32</v>
      </c>
      <c r="Z343" s="2" t="s">
        <v>32</v>
      </c>
      <c r="AA343" s="2" t="s">
        <v>1660</v>
      </c>
      <c r="AB343" s="2">
        <v>0</v>
      </c>
      <c r="AC343" s="2" t="s">
        <v>1660</v>
      </c>
      <c r="AD343" s="2">
        <v>0</v>
      </c>
      <c r="AE343" s="2" t="s">
        <v>1658</v>
      </c>
      <c r="AF343" s="2">
        <v>3</v>
      </c>
      <c r="AG343" s="2">
        <v>23</v>
      </c>
      <c r="AH343" s="2" t="s">
        <v>1660</v>
      </c>
      <c r="AI343" s="2" t="s">
        <v>32</v>
      </c>
      <c r="AJ343" s="2" t="s">
        <v>32</v>
      </c>
      <c r="AK343" s="2" t="s">
        <v>32</v>
      </c>
      <c r="AL343" s="2" t="s">
        <v>1658</v>
      </c>
      <c r="AM343" s="2">
        <v>3</v>
      </c>
      <c r="AN343" s="2" t="s">
        <v>1660</v>
      </c>
      <c r="AO343" s="2">
        <v>0</v>
      </c>
      <c r="AP343" s="2" t="s">
        <v>32</v>
      </c>
      <c r="AQ343" s="2" t="s">
        <v>32</v>
      </c>
      <c r="AR343" s="2" t="s">
        <v>1660</v>
      </c>
      <c r="AS343" s="2">
        <v>0</v>
      </c>
      <c r="AT343" s="2" t="s">
        <v>32</v>
      </c>
      <c r="AU343" s="2" t="s">
        <v>32</v>
      </c>
      <c r="AV343" s="2" t="s">
        <v>1660</v>
      </c>
      <c r="AW343" s="2">
        <v>0</v>
      </c>
      <c r="AX343" s="2" t="s">
        <v>1660</v>
      </c>
      <c r="AY343" s="2">
        <v>0</v>
      </c>
      <c r="AZ343" s="2" t="s">
        <v>1660</v>
      </c>
      <c r="BA343" s="2">
        <v>0</v>
      </c>
      <c r="BB343" s="2">
        <v>0</v>
      </c>
      <c r="BC343" s="2" t="s">
        <v>32</v>
      </c>
      <c r="BD343" s="2">
        <v>0</v>
      </c>
      <c r="BE343" s="2" t="s">
        <v>32</v>
      </c>
      <c r="BF343" s="2">
        <v>0</v>
      </c>
      <c r="BG343" s="2" t="s">
        <v>32</v>
      </c>
      <c r="BH343" s="2">
        <v>0</v>
      </c>
      <c r="BI343" s="2" t="s">
        <v>32</v>
      </c>
      <c r="BJ343" s="2" t="s">
        <v>32</v>
      </c>
      <c r="BK343" s="2" t="s">
        <v>32</v>
      </c>
      <c r="BL343" s="2">
        <v>0</v>
      </c>
      <c r="BM343" s="2" t="s">
        <v>32</v>
      </c>
      <c r="BN343" s="2" t="s">
        <v>32</v>
      </c>
      <c r="BO343" s="2" t="s">
        <v>32</v>
      </c>
      <c r="BP343" s="2">
        <v>0</v>
      </c>
      <c r="BQ343" s="2" t="s">
        <v>32</v>
      </c>
      <c r="BR343" s="2">
        <v>0</v>
      </c>
      <c r="BS343" s="2" t="s">
        <v>1660</v>
      </c>
      <c r="BT343" s="2">
        <v>0</v>
      </c>
      <c r="BU343" s="2">
        <v>0</v>
      </c>
      <c r="BV343" s="2" t="s">
        <v>1660</v>
      </c>
      <c r="BW343" s="2"/>
      <c r="BX343" s="2"/>
      <c r="BY343" s="2" t="s">
        <v>1807</v>
      </c>
      <c r="BZ343" s="2" t="b">
        <f>OR( (Dashboard[[#This Row],[ref_as_hh]]&gt;=1),(Dashboard[[#This Row],[ret_as_hh]] &gt;=1), (Dashboard[[#This Row],[idp_as_hh]]&gt;=1))</f>
        <v>0</v>
      </c>
      <c r="CA343" s="2">
        <f>Dashboard[[#This Row],[ret_hi_hh]]</f>
        <v>0</v>
      </c>
      <c r="CB343" s="2">
        <f>Dashboard[[#This Row],[idp_fa_hh]]+Dashboard[[#This Row],[ref_fa_hh]]+Dashboard[[#This Row],[ret_fa_hh]]</f>
        <v>37</v>
      </c>
      <c r="CC343" s="2">
        <f>Dashboard[[#This Row],[idp_loc_hh]]+Dashboard[[#This Row],[ref_loc_hh]]+Dashboard[[#This Row],[ret_loc_hh]]</f>
        <v>0</v>
      </c>
      <c r="CD343" s="2">
        <f>Dashboard[[#This Row],[idp_cc_hh]]+Dashboard[[#This Row],[ref_cc_hh]]+Dashboard[[#This Row],[ret_cc_hh]]</f>
        <v>0</v>
      </c>
      <c r="CE343" s="2">
        <f>Dashboard[[#This Row],[idp_as_hh]]+Dashboard[[#This Row],[ref_as_hh]]+Dashboard[[#This Row],[ret_as_hh]]</f>
        <v>0</v>
      </c>
      <c r="CF343" s="2">
        <f>Dashboard[[#This Row],[idp_al_hh]]+Dashboard[[#This Row],[ref_al_hh]]+Dashboard[[#This Row],[ret_al_hh]]</f>
        <v>0</v>
      </c>
    </row>
    <row r="344" spans="1:84" hidden="1" x14ac:dyDescent="0.25">
      <c r="A344" s="27">
        <v>327</v>
      </c>
      <c r="B344" s="2" t="s">
        <v>22</v>
      </c>
      <c r="C344" s="2" t="s">
        <v>23</v>
      </c>
      <c r="D344" s="2" t="s">
        <v>85</v>
      </c>
      <c r="E344" s="2" t="s">
        <v>84</v>
      </c>
      <c r="F344" s="2" t="s">
        <v>98</v>
      </c>
      <c r="G344" s="2" t="s">
        <v>97</v>
      </c>
      <c r="H344" s="2" t="s">
        <v>1250</v>
      </c>
      <c r="I344" s="2" t="s">
        <v>1249</v>
      </c>
      <c r="J344" s="2" t="s">
        <v>3026</v>
      </c>
      <c r="K344" s="2" t="s">
        <v>3027</v>
      </c>
      <c r="L344" s="2" t="s">
        <v>2074</v>
      </c>
      <c r="M344" s="2">
        <v>150</v>
      </c>
      <c r="N344" s="2" t="s">
        <v>1658</v>
      </c>
      <c r="O344" s="2">
        <v>6</v>
      </c>
      <c r="P344" s="2">
        <v>35</v>
      </c>
      <c r="Q344" s="2" t="s">
        <v>1658</v>
      </c>
      <c r="R344" s="2">
        <v>6</v>
      </c>
      <c r="S344" s="2" t="s">
        <v>1660</v>
      </c>
      <c r="T344" s="2">
        <v>0</v>
      </c>
      <c r="U344" s="2" t="s">
        <v>32</v>
      </c>
      <c r="V344" s="2" t="s">
        <v>32</v>
      </c>
      <c r="W344" s="2" t="s">
        <v>1660</v>
      </c>
      <c r="X344" s="2">
        <v>0</v>
      </c>
      <c r="Y344" s="2" t="s">
        <v>32</v>
      </c>
      <c r="Z344" s="2" t="s">
        <v>32</v>
      </c>
      <c r="AA344" s="2" t="s">
        <v>1660</v>
      </c>
      <c r="AB344" s="2">
        <v>0</v>
      </c>
      <c r="AC344" s="2" t="s">
        <v>1660</v>
      </c>
      <c r="AD344" s="2">
        <v>0</v>
      </c>
      <c r="AE344" s="2" t="s">
        <v>1660</v>
      </c>
      <c r="AF344" s="2">
        <v>0</v>
      </c>
      <c r="AG344" s="2">
        <v>0</v>
      </c>
      <c r="AH344" s="2" t="s">
        <v>32</v>
      </c>
      <c r="AI344" s="2" t="s">
        <v>32</v>
      </c>
      <c r="AJ344" s="2" t="s">
        <v>32</v>
      </c>
      <c r="AK344" s="2" t="s">
        <v>32</v>
      </c>
      <c r="AL344" s="2" t="s">
        <v>32</v>
      </c>
      <c r="AM344" s="2">
        <v>0</v>
      </c>
      <c r="AN344" s="2" t="s">
        <v>32</v>
      </c>
      <c r="AO344" s="2">
        <v>0</v>
      </c>
      <c r="AP344" s="2" t="s">
        <v>32</v>
      </c>
      <c r="AQ344" s="2" t="s">
        <v>32</v>
      </c>
      <c r="AR344" s="2" t="s">
        <v>32</v>
      </c>
      <c r="AS344" s="2">
        <v>0</v>
      </c>
      <c r="AT344" s="2" t="s">
        <v>32</v>
      </c>
      <c r="AU344" s="2" t="s">
        <v>32</v>
      </c>
      <c r="AV344" s="2" t="s">
        <v>32</v>
      </c>
      <c r="AW344" s="2">
        <v>0</v>
      </c>
      <c r="AX344" s="2" t="s">
        <v>32</v>
      </c>
      <c r="AY344" s="2">
        <v>0</v>
      </c>
      <c r="AZ344" s="2" t="s">
        <v>1660</v>
      </c>
      <c r="BA344" s="2">
        <v>0</v>
      </c>
      <c r="BB344" s="2">
        <v>0</v>
      </c>
      <c r="BC344" s="2" t="s">
        <v>32</v>
      </c>
      <c r="BD344" s="2">
        <v>0</v>
      </c>
      <c r="BE344" s="2" t="s">
        <v>32</v>
      </c>
      <c r="BF344" s="2">
        <v>0</v>
      </c>
      <c r="BG344" s="2" t="s">
        <v>32</v>
      </c>
      <c r="BH344" s="2">
        <v>0</v>
      </c>
      <c r="BI344" s="2" t="s">
        <v>32</v>
      </c>
      <c r="BJ344" s="2" t="s">
        <v>32</v>
      </c>
      <c r="BK344" s="2" t="s">
        <v>32</v>
      </c>
      <c r="BL344" s="2">
        <v>0</v>
      </c>
      <c r="BM344" s="2" t="s">
        <v>32</v>
      </c>
      <c r="BN344" s="2" t="s">
        <v>32</v>
      </c>
      <c r="BO344" s="2" t="s">
        <v>32</v>
      </c>
      <c r="BP344" s="2">
        <v>0</v>
      </c>
      <c r="BQ344" s="2" t="s">
        <v>32</v>
      </c>
      <c r="BR344" s="2">
        <v>0</v>
      </c>
      <c r="BS344" s="2" t="s">
        <v>1660</v>
      </c>
      <c r="BT344" s="2">
        <v>0</v>
      </c>
      <c r="BU344" s="2">
        <v>0</v>
      </c>
      <c r="BV344" s="2" t="s">
        <v>1660</v>
      </c>
      <c r="BW344" s="2"/>
      <c r="BX344" s="2"/>
      <c r="BY344" s="2" t="s">
        <v>1807</v>
      </c>
      <c r="BZ344" s="2" t="b">
        <f>OR( (Dashboard[[#This Row],[ref_as_hh]]&gt;=1),(Dashboard[[#This Row],[ret_as_hh]] &gt;=1), (Dashboard[[#This Row],[idp_as_hh]]&gt;=1))</f>
        <v>0</v>
      </c>
      <c r="CA344" s="2">
        <f>Dashboard[[#This Row],[ret_hi_hh]]</f>
        <v>0</v>
      </c>
      <c r="CB344" s="2">
        <f>Dashboard[[#This Row],[idp_fa_hh]]+Dashboard[[#This Row],[ref_fa_hh]]+Dashboard[[#This Row],[ret_fa_hh]]</f>
        <v>6</v>
      </c>
      <c r="CC344" s="2">
        <f>Dashboard[[#This Row],[idp_loc_hh]]+Dashboard[[#This Row],[ref_loc_hh]]+Dashboard[[#This Row],[ret_loc_hh]]</f>
        <v>0</v>
      </c>
      <c r="CD344" s="2">
        <f>Dashboard[[#This Row],[idp_cc_hh]]+Dashboard[[#This Row],[ref_cc_hh]]+Dashboard[[#This Row],[ret_cc_hh]]</f>
        <v>0</v>
      </c>
      <c r="CE344" s="2">
        <f>Dashboard[[#This Row],[idp_as_hh]]+Dashboard[[#This Row],[ref_as_hh]]+Dashboard[[#This Row],[ret_as_hh]]</f>
        <v>0</v>
      </c>
      <c r="CF344" s="2">
        <f>Dashboard[[#This Row],[idp_al_hh]]+Dashboard[[#This Row],[ref_al_hh]]+Dashboard[[#This Row],[ret_al_hh]]</f>
        <v>0</v>
      </c>
    </row>
    <row r="345" spans="1:84" hidden="1" x14ac:dyDescent="0.25">
      <c r="A345" s="27">
        <v>583</v>
      </c>
      <c r="B345" s="2" t="s">
        <v>22</v>
      </c>
      <c r="C345" s="2" t="s">
        <v>23</v>
      </c>
      <c r="D345" s="2" t="s">
        <v>85</v>
      </c>
      <c r="E345" s="2" t="s">
        <v>84</v>
      </c>
      <c r="F345" s="2" t="s">
        <v>98</v>
      </c>
      <c r="G345" s="2" t="s">
        <v>97</v>
      </c>
      <c r="H345" s="2" t="s">
        <v>1283</v>
      </c>
      <c r="I345" s="2" t="s">
        <v>813</v>
      </c>
      <c r="J345" s="2" t="s">
        <v>3096</v>
      </c>
      <c r="K345" s="2" t="s">
        <v>3097</v>
      </c>
      <c r="L345" s="2" t="s">
        <v>2074</v>
      </c>
      <c r="M345" s="2">
        <v>450</v>
      </c>
      <c r="N345" s="2" t="s">
        <v>1658</v>
      </c>
      <c r="O345" s="2">
        <v>16</v>
      </c>
      <c r="P345" s="2">
        <v>111</v>
      </c>
      <c r="Q345" s="2" t="s">
        <v>1658</v>
      </c>
      <c r="R345" s="2">
        <v>16</v>
      </c>
      <c r="S345" s="2" t="s">
        <v>1660</v>
      </c>
      <c r="T345" s="2">
        <v>0</v>
      </c>
      <c r="U345" s="2" t="s">
        <v>32</v>
      </c>
      <c r="V345" s="2" t="s">
        <v>32</v>
      </c>
      <c r="W345" s="2" t="s">
        <v>1660</v>
      </c>
      <c r="X345" s="2">
        <v>0</v>
      </c>
      <c r="Y345" s="2" t="s">
        <v>32</v>
      </c>
      <c r="Z345" s="2" t="s">
        <v>32</v>
      </c>
      <c r="AA345" s="2" t="s">
        <v>1660</v>
      </c>
      <c r="AB345" s="2">
        <v>0</v>
      </c>
      <c r="AC345" s="2" t="s">
        <v>1660</v>
      </c>
      <c r="AD345" s="2">
        <v>0</v>
      </c>
      <c r="AE345" s="2" t="s">
        <v>1658</v>
      </c>
      <c r="AF345" s="2">
        <v>7</v>
      </c>
      <c r="AG345" s="2">
        <v>49</v>
      </c>
      <c r="AH345" s="2" t="s">
        <v>1660</v>
      </c>
      <c r="AI345" s="2" t="s">
        <v>32</v>
      </c>
      <c r="AJ345" s="2" t="s">
        <v>32</v>
      </c>
      <c r="AK345" s="2" t="s">
        <v>32</v>
      </c>
      <c r="AL345" s="2" t="s">
        <v>1658</v>
      </c>
      <c r="AM345" s="2">
        <v>7</v>
      </c>
      <c r="AN345" s="2" t="s">
        <v>1660</v>
      </c>
      <c r="AO345" s="2">
        <v>0</v>
      </c>
      <c r="AP345" s="2" t="s">
        <v>32</v>
      </c>
      <c r="AQ345" s="2" t="s">
        <v>32</v>
      </c>
      <c r="AR345" s="2" t="s">
        <v>1660</v>
      </c>
      <c r="AS345" s="2">
        <v>0</v>
      </c>
      <c r="AT345" s="2" t="s">
        <v>32</v>
      </c>
      <c r="AU345" s="2" t="s">
        <v>32</v>
      </c>
      <c r="AV345" s="2" t="s">
        <v>1660</v>
      </c>
      <c r="AW345" s="2">
        <v>0</v>
      </c>
      <c r="AX345" s="2" t="s">
        <v>1660</v>
      </c>
      <c r="AY345" s="2">
        <v>0</v>
      </c>
      <c r="AZ345" s="2" t="s">
        <v>1660</v>
      </c>
      <c r="BA345" s="2">
        <v>0</v>
      </c>
      <c r="BB345" s="2">
        <v>0</v>
      </c>
      <c r="BC345" s="2" t="s">
        <v>32</v>
      </c>
      <c r="BD345" s="2">
        <v>0</v>
      </c>
      <c r="BE345" s="2" t="s">
        <v>32</v>
      </c>
      <c r="BF345" s="2">
        <v>0</v>
      </c>
      <c r="BG345" s="2" t="s">
        <v>32</v>
      </c>
      <c r="BH345" s="2">
        <v>0</v>
      </c>
      <c r="BI345" s="2" t="s">
        <v>32</v>
      </c>
      <c r="BJ345" s="2" t="s">
        <v>32</v>
      </c>
      <c r="BK345" s="2" t="s">
        <v>32</v>
      </c>
      <c r="BL345" s="2">
        <v>0</v>
      </c>
      <c r="BM345" s="2" t="s">
        <v>32</v>
      </c>
      <c r="BN345" s="2" t="s">
        <v>32</v>
      </c>
      <c r="BO345" s="2" t="s">
        <v>32</v>
      </c>
      <c r="BP345" s="2">
        <v>0</v>
      </c>
      <c r="BQ345" s="2" t="s">
        <v>32</v>
      </c>
      <c r="BR345" s="2">
        <v>0</v>
      </c>
      <c r="BS345" s="2" t="s">
        <v>1660</v>
      </c>
      <c r="BT345" s="2">
        <v>0</v>
      </c>
      <c r="BU345" s="2">
        <v>0</v>
      </c>
      <c r="BV345" s="2" t="s">
        <v>1660</v>
      </c>
      <c r="BW345" s="2"/>
      <c r="BX345" s="2"/>
      <c r="BY345" s="2" t="s">
        <v>1807</v>
      </c>
      <c r="BZ345" s="2" t="b">
        <f>OR( (Dashboard[[#This Row],[ref_as_hh]]&gt;=1),(Dashboard[[#This Row],[ret_as_hh]] &gt;=1), (Dashboard[[#This Row],[idp_as_hh]]&gt;=1))</f>
        <v>0</v>
      </c>
      <c r="CA345" s="2">
        <f>Dashboard[[#This Row],[ret_hi_hh]]</f>
        <v>0</v>
      </c>
      <c r="CB345" s="2">
        <f>Dashboard[[#This Row],[idp_fa_hh]]+Dashboard[[#This Row],[ref_fa_hh]]+Dashboard[[#This Row],[ret_fa_hh]]</f>
        <v>23</v>
      </c>
      <c r="CC345" s="2">
        <f>Dashboard[[#This Row],[idp_loc_hh]]+Dashboard[[#This Row],[ref_loc_hh]]+Dashboard[[#This Row],[ret_loc_hh]]</f>
        <v>0</v>
      </c>
      <c r="CD345" s="2">
        <f>Dashboard[[#This Row],[idp_cc_hh]]+Dashboard[[#This Row],[ref_cc_hh]]+Dashboard[[#This Row],[ret_cc_hh]]</f>
        <v>0</v>
      </c>
      <c r="CE345" s="2">
        <f>Dashboard[[#This Row],[idp_as_hh]]+Dashboard[[#This Row],[ref_as_hh]]+Dashboard[[#This Row],[ret_as_hh]]</f>
        <v>0</v>
      </c>
      <c r="CF345" s="2">
        <f>Dashboard[[#This Row],[idp_al_hh]]+Dashboard[[#This Row],[ref_al_hh]]+Dashboard[[#This Row],[ret_al_hh]]</f>
        <v>0</v>
      </c>
    </row>
    <row r="346" spans="1:84" hidden="1" x14ac:dyDescent="0.25">
      <c r="A346" s="27">
        <v>328</v>
      </c>
      <c r="B346" s="2" t="s">
        <v>22</v>
      </c>
      <c r="C346" s="2" t="s">
        <v>23</v>
      </c>
      <c r="D346" s="2" t="s">
        <v>85</v>
      </c>
      <c r="E346" s="2" t="s">
        <v>84</v>
      </c>
      <c r="F346" s="2" t="s">
        <v>98</v>
      </c>
      <c r="G346" s="2" t="s">
        <v>97</v>
      </c>
      <c r="H346" s="2" t="s">
        <v>1240</v>
      </c>
      <c r="I346" s="2" t="s">
        <v>1239</v>
      </c>
      <c r="J346" s="2" t="s">
        <v>3008</v>
      </c>
      <c r="K346" s="2" t="s">
        <v>3009</v>
      </c>
      <c r="L346" s="2" t="s">
        <v>3693</v>
      </c>
      <c r="M346" s="2">
        <v>850</v>
      </c>
      <c r="N346" s="2" t="s">
        <v>1658</v>
      </c>
      <c r="O346" s="2">
        <v>49</v>
      </c>
      <c r="P346" s="2">
        <v>195</v>
      </c>
      <c r="Q346" s="2" t="s">
        <v>1658</v>
      </c>
      <c r="R346" s="2">
        <v>49</v>
      </c>
      <c r="S346" s="2" t="s">
        <v>1660</v>
      </c>
      <c r="T346" s="2">
        <v>0</v>
      </c>
      <c r="U346" s="2" t="s">
        <v>32</v>
      </c>
      <c r="V346" s="2" t="s">
        <v>32</v>
      </c>
      <c r="W346" s="2" t="s">
        <v>1660</v>
      </c>
      <c r="X346" s="2">
        <v>0</v>
      </c>
      <c r="Y346" s="2" t="s">
        <v>32</v>
      </c>
      <c r="Z346" s="2" t="s">
        <v>32</v>
      </c>
      <c r="AA346" s="2" t="s">
        <v>1660</v>
      </c>
      <c r="AB346" s="2">
        <v>0</v>
      </c>
      <c r="AC346" s="2" t="s">
        <v>1660</v>
      </c>
      <c r="AD346" s="2">
        <v>0</v>
      </c>
      <c r="AE346" s="2" t="s">
        <v>1660</v>
      </c>
      <c r="AF346" s="2">
        <v>0</v>
      </c>
      <c r="AG346" s="2">
        <v>0</v>
      </c>
      <c r="AH346" s="2" t="s">
        <v>32</v>
      </c>
      <c r="AI346" s="2" t="s">
        <v>32</v>
      </c>
      <c r="AJ346" s="2" t="s">
        <v>32</v>
      </c>
      <c r="AK346" s="2" t="s">
        <v>32</v>
      </c>
      <c r="AL346" s="2" t="s">
        <v>32</v>
      </c>
      <c r="AM346" s="2">
        <v>0</v>
      </c>
      <c r="AN346" s="2" t="s">
        <v>32</v>
      </c>
      <c r="AO346" s="2">
        <v>0</v>
      </c>
      <c r="AP346" s="2" t="s">
        <v>32</v>
      </c>
      <c r="AQ346" s="2" t="s">
        <v>32</v>
      </c>
      <c r="AR346" s="2" t="s">
        <v>32</v>
      </c>
      <c r="AS346" s="2">
        <v>0</v>
      </c>
      <c r="AT346" s="2" t="s">
        <v>32</v>
      </c>
      <c r="AU346" s="2" t="s">
        <v>32</v>
      </c>
      <c r="AV346" s="2" t="s">
        <v>32</v>
      </c>
      <c r="AW346" s="2">
        <v>0</v>
      </c>
      <c r="AX346" s="2" t="s">
        <v>32</v>
      </c>
      <c r="AY346" s="2">
        <v>0</v>
      </c>
      <c r="AZ346" s="2" t="s">
        <v>1660</v>
      </c>
      <c r="BA346" s="2">
        <v>0</v>
      </c>
      <c r="BB346" s="2">
        <v>0</v>
      </c>
      <c r="BC346" s="2" t="s">
        <v>32</v>
      </c>
      <c r="BD346" s="2">
        <v>0</v>
      </c>
      <c r="BE346" s="2" t="s">
        <v>32</v>
      </c>
      <c r="BF346" s="2">
        <v>0</v>
      </c>
      <c r="BG346" s="2" t="s">
        <v>32</v>
      </c>
      <c r="BH346" s="2">
        <v>0</v>
      </c>
      <c r="BI346" s="2" t="s">
        <v>32</v>
      </c>
      <c r="BJ346" s="2" t="s">
        <v>32</v>
      </c>
      <c r="BK346" s="2" t="s">
        <v>32</v>
      </c>
      <c r="BL346" s="2">
        <v>0</v>
      </c>
      <c r="BM346" s="2" t="s">
        <v>32</v>
      </c>
      <c r="BN346" s="2" t="s">
        <v>32</v>
      </c>
      <c r="BO346" s="2" t="s">
        <v>32</v>
      </c>
      <c r="BP346" s="2">
        <v>0</v>
      </c>
      <c r="BQ346" s="2" t="s">
        <v>32</v>
      </c>
      <c r="BR346" s="2">
        <v>0</v>
      </c>
      <c r="BS346" s="2" t="s">
        <v>1660</v>
      </c>
      <c r="BT346" s="2">
        <v>0</v>
      </c>
      <c r="BU346" s="2">
        <v>0</v>
      </c>
      <c r="BV346" s="2" t="s">
        <v>1660</v>
      </c>
      <c r="BW346" s="2"/>
      <c r="BX346" s="2"/>
      <c r="BY346" s="2" t="s">
        <v>1807</v>
      </c>
      <c r="BZ346" s="2" t="b">
        <f>OR( (Dashboard[[#This Row],[ref_as_hh]]&gt;=1),(Dashboard[[#This Row],[ret_as_hh]] &gt;=1), (Dashboard[[#This Row],[idp_as_hh]]&gt;=1))</f>
        <v>0</v>
      </c>
      <c r="CA346" s="2">
        <f>Dashboard[[#This Row],[ret_hi_hh]]</f>
        <v>0</v>
      </c>
      <c r="CB346" s="2">
        <f>Dashboard[[#This Row],[idp_fa_hh]]+Dashboard[[#This Row],[ref_fa_hh]]+Dashboard[[#This Row],[ret_fa_hh]]</f>
        <v>49</v>
      </c>
      <c r="CC346" s="2">
        <f>Dashboard[[#This Row],[idp_loc_hh]]+Dashboard[[#This Row],[ref_loc_hh]]+Dashboard[[#This Row],[ret_loc_hh]]</f>
        <v>0</v>
      </c>
      <c r="CD346" s="2">
        <f>Dashboard[[#This Row],[idp_cc_hh]]+Dashboard[[#This Row],[ref_cc_hh]]+Dashboard[[#This Row],[ret_cc_hh]]</f>
        <v>0</v>
      </c>
      <c r="CE346" s="2">
        <f>Dashboard[[#This Row],[idp_as_hh]]+Dashboard[[#This Row],[ref_as_hh]]+Dashboard[[#This Row],[ret_as_hh]]</f>
        <v>0</v>
      </c>
      <c r="CF346" s="2">
        <f>Dashboard[[#This Row],[idp_al_hh]]+Dashboard[[#This Row],[ref_al_hh]]+Dashboard[[#This Row],[ret_al_hh]]</f>
        <v>0</v>
      </c>
    </row>
    <row r="347" spans="1:84" hidden="1" x14ac:dyDescent="0.25">
      <c r="A347" s="27">
        <v>329</v>
      </c>
      <c r="B347" s="2" t="s">
        <v>22</v>
      </c>
      <c r="C347" s="2" t="s">
        <v>23</v>
      </c>
      <c r="D347" s="2" t="s">
        <v>85</v>
      </c>
      <c r="E347" s="2" t="s">
        <v>84</v>
      </c>
      <c r="F347" s="2" t="s">
        <v>98</v>
      </c>
      <c r="G347" s="2" t="s">
        <v>97</v>
      </c>
      <c r="H347" s="2" t="s">
        <v>1238</v>
      </c>
      <c r="I347" s="2" t="s">
        <v>1237</v>
      </c>
      <c r="J347" s="2" t="s">
        <v>3006</v>
      </c>
      <c r="K347" s="2" t="s">
        <v>3007</v>
      </c>
      <c r="L347" s="2" t="s">
        <v>3693</v>
      </c>
      <c r="M347" s="2">
        <v>295</v>
      </c>
      <c r="N347" s="2" t="s">
        <v>1658</v>
      </c>
      <c r="O347" s="2">
        <v>25</v>
      </c>
      <c r="P347" s="2">
        <v>100</v>
      </c>
      <c r="Q347" s="2" t="s">
        <v>1658</v>
      </c>
      <c r="R347" s="2">
        <v>25</v>
      </c>
      <c r="S347" s="2" t="s">
        <v>1660</v>
      </c>
      <c r="T347" s="2">
        <v>0</v>
      </c>
      <c r="U347" s="2" t="s">
        <v>32</v>
      </c>
      <c r="V347" s="2" t="s">
        <v>32</v>
      </c>
      <c r="W347" s="2" t="s">
        <v>1660</v>
      </c>
      <c r="X347" s="2">
        <v>0</v>
      </c>
      <c r="Y347" s="2" t="s">
        <v>32</v>
      </c>
      <c r="Z347" s="2" t="s">
        <v>32</v>
      </c>
      <c r="AA347" s="2" t="s">
        <v>1660</v>
      </c>
      <c r="AB347" s="2">
        <v>0</v>
      </c>
      <c r="AC347" s="2" t="s">
        <v>1660</v>
      </c>
      <c r="AD347" s="2">
        <v>0</v>
      </c>
      <c r="AE347" s="2" t="s">
        <v>1660</v>
      </c>
      <c r="AF347" s="2">
        <v>0</v>
      </c>
      <c r="AG347" s="2">
        <v>0</v>
      </c>
      <c r="AH347" s="2" t="s">
        <v>32</v>
      </c>
      <c r="AI347" s="2" t="s">
        <v>32</v>
      </c>
      <c r="AJ347" s="2" t="s">
        <v>32</v>
      </c>
      <c r="AK347" s="2" t="s">
        <v>32</v>
      </c>
      <c r="AL347" s="2" t="s">
        <v>32</v>
      </c>
      <c r="AM347" s="2">
        <v>0</v>
      </c>
      <c r="AN347" s="2" t="s">
        <v>32</v>
      </c>
      <c r="AO347" s="2">
        <v>0</v>
      </c>
      <c r="AP347" s="2" t="s">
        <v>32</v>
      </c>
      <c r="AQ347" s="2" t="s">
        <v>32</v>
      </c>
      <c r="AR347" s="2" t="s">
        <v>32</v>
      </c>
      <c r="AS347" s="2">
        <v>0</v>
      </c>
      <c r="AT347" s="2" t="s">
        <v>32</v>
      </c>
      <c r="AU347" s="2" t="s">
        <v>32</v>
      </c>
      <c r="AV347" s="2" t="s">
        <v>32</v>
      </c>
      <c r="AW347" s="2">
        <v>0</v>
      </c>
      <c r="AX347" s="2" t="s">
        <v>32</v>
      </c>
      <c r="AY347" s="2">
        <v>0</v>
      </c>
      <c r="AZ347" s="2" t="s">
        <v>1660</v>
      </c>
      <c r="BA347" s="2">
        <v>0</v>
      </c>
      <c r="BB347" s="2">
        <v>0</v>
      </c>
      <c r="BC347" s="2" t="s">
        <v>32</v>
      </c>
      <c r="BD347" s="2">
        <v>0</v>
      </c>
      <c r="BE347" s="2" t="s">
        <v>32</v>
      </c>
      <c r="BF347" s="2">
        <v>0</v>
      </c>
      <c r="BG347" s="2" t="s">
        <v>32</v>
      </c>
      <c r="BH347" s="2">
        <v>0</v>
      </c>
      <c r="BI347" s="2" t="s">
        <v>32</v>
      </c>
      <c r="BJ347" s="2" t="s">
        <v>32</v>
      </c>
      <c r="BK347" s="2" t="s">
        <v>32</v>
      </c>
      <c r="BL347" s="2">
        <v>0</v>
      </c>
      <c r="BM347" s="2" t="s">
        <v>32</v>
      </c>
      <c r="BN347" s="2" t="s">
        <v>32</v>
      </c>
      <c r="BO347" s="2" t="s">
        <v>32</v>
      </c>
      <c r="BP347" s="2">
        <v>0</v>
      </c>
      <c r="BQ347" s="2" t="s">
        <v>32</v>
      </c>
      <c r="BR347" s="2">
        <v>0</v>
      </c>
      <c r="BS347" s="2" t="s">
        <v>1660</v>
      </c>
      <c r="BT347" s="2">
        <v>0</v>
      </c>
      <c r="BU347" s="2">
        <v>0</v>
      </c>
      <c r="BV347" s="2" t="s">
        <v>1660</v>
      </c>
      <c r="BW347" s="2"/>
      <c r="BX347" s="2"/>
      <c r="BY347" s="2" t="s">
        <v>1807</v>
      </c>
      <c r="BZ347" s="2" t="b">
        <f>OR( (Dashboard[[#This Row],[ref_as_hh]]&gt;=1),(Dashboard[[#This Row],[ret_as_hh]] &gt;=1), (Dashboard[[#This Row],[idp_as_hh]]&gt;=1))</f>
        <v>0</v>
      </c>
      <c r="CA347" s="2">
        <f>Dashboard[[#This Row],[ret_hi_hh]]</f>
        <v>0</v>
      </c>
      <c r="CB347" s="2">
        <f>Dashboard[[#This Row],[idp_fa_hh]]+Dashboard[[#This Row],[ref_fa_hh]]+Dashboard[[#This Row],[ret_fa_hh]]</f>
        <v>25</v>
      </c>
      <c r="CC347" s="2">
        <f>Dashboard[[#This Row],[idp_loc_hh]]+Dashboard[[#This Row],[ref_loc_hh]]+Dashboard[[#This Row],[ret_loc_hh]]</f>
        <v>0</v>
      </c>
      <c r="CD347" s="2">
        <f>Dashboard[[#This Row],[idp_cc_hh]]+Dashboard[[#This Row],[ref_cc_hh]]+Dashboard[[#This Row],[ret_cc_hh]]</f>
        <v>0</v>
      </c>
      <c r="CE347" s="2">
        <f>Dashboard[[#This Row],[idp_as_hh]]+Dashboard[[#This Row],[ref_as_hh]]+Dashboard[[#This Row],[ret_as_hh]]</f>
        <v>0</v>
      </c>
      <c r="CF347" s="2">
        <f>Dashboard[[#This Row],[idp_al_hh]]+Dashboard[[#This Row],[ref_al_hh]]+Dashboard[[#This Row],[ret_al_hh]]</f>
        <v>0</v>
      </c>
    </row>
    <row r="348" spans="1:84" hidden="1" x14ac:dyDescent="0.25">
      <c r="A348" s="27">
        <v>330</v>
      </c>
      <c r="B348" s="2" t="s">
        <v>22</v>
      </c>
      <c r="C348" s="2" t="s">
        <v>23</v>
      </c>
      <c r="D348" s="2" t="s">
        <v>85</v>
      </c>
      <c r="E348" s="2" t="s">
        <v>84</v>
      </c>
      <c r="F348" s="2" t="s">
        <v>98</v>
      </c>
      <c r="G348" s="2" t="s">
        <v>97</v>
      </c>
      <c r="H348" s="2" t="s">
        <v>1287</v>
      </c>
      <c r="I348" s="2" t="s">
        <v>1286</v>
      </c>
      <c r="J348" s="2" t="s">
        <v>3100</v>
      </c>
      <c r="K348" s="2" t="s">
        <v>3101</v>
      </c>
      <c r="L348" s="2" t="s">
        <v>2074</v>
      </c>
      <c r="M348" s="2">
        <v>100</v>
      </c>
      <c r="N348" s="2" t="s">
        <v>1658</v>
      </c>
      <c r="O348" s="2">
        <v>7</v>
      </c>
      <c r="P348" s="2">
        <v>41</v>
      </c>
      <c r="Q348" s="2" t="s">
        <v>1658</v>
      </c>
      <c r="R348" s="2">
        <v>7</v>
      </c>
      <c r="S348" s="2" t="s">
        <v>1660</v>
      </c>
      <c r="T348" s="2">
        <v>0</v>
      </c>
      <c r="U348" s="2" t="s">
        <v>32</v>
      </c>
      <c r="V348" s="2" t="s">
        <v>32</v>
      </c>
      <c r="W348" s="2" t="s">
        <v>1660</v>
      </c>
      <c r="X348" s="2">
        <v>0</v>
      </c>
      <c r="Y348" s="2" t="s">
        <v>32</v>
      </c>
      <c r="Z348" s="2" t="s">
        <v>32</v>
      </c>
      <c r="AA348" s="2" t="s">
        <v>1660</v>
      </c>
      <c r="AB348" s="2">
        <v>0</v>
      </c>
      <c r="AC348" s="2" t="s">
        <v>1660</v>
      </c>
      <c r="AD348" s="2">
        <v>0</v>
      </c>
      <c r="AE348" s="2" t="s">
        <v>1660</v>
      </c>
      <c r="AF348" s="2">
        <v>0</v>
      </c>
      <c r="AG348" s="2">
        <v>0</v>
      </c>
      <c r="AH348" s="2" t="s">
        <v>32</v>
      </c>
      <c r="AI348" s="2" t="s">
        <v>32</v>
      </c>
      <c r="AJ348" s="2" t="s">
        <v>32</v>
      </c>
      <c r="AK348" s="2" t="s">
        <v>32</v>
      </c>
      <c r="AL348" s="2" t="s">
        <v>32</v>
      </c>
      <c r="AM348" s="2">
        <v>0</v>
      </c>
      <c r="AN348" s="2" t="s">
        <v>32</v>
      </c>
      <c r="AO348" s="2">
        <v>0</v>
      </c>
      <c r="AP348" s="2" t="s">
        <v>32</v>
      </c>
      <c r="AQ348" s="2" t="s">
        <v>32</v>
      </c>
      <c r="AR348" s="2" t="s">
        <v>32</v>
      </c>
      <c r="AS348" s="2">
        <v>0</v>
      </c>
      <c r="AT348" s="2" t="s">
        <v>32</v>
      </c>
      <c r="AU348" s="2" t="s">
        <v>32</v>
      </c>
      <c r="AV348" s="2" t="s">
        <v>32</v>
      </c>
      <c r="AW348" s="2">
        <v>0</v>
      </c>
      <c r="AX348" s="2" t="s">
        <v>32</v>
      </c>
      <c r="AY348" s="2">
        <v>0</v>
      </c>
      <c r="AZ348" s="2" t="s">
        <v>1660</v>
      </c>
      <c r="BA348" s="2">
        <v>0</v>
      </c>
      <c r="BB348" s="2">
        <v>0</v>
      </c>
      <c r="BC348" s="2" t="s">
        <v>32</v>
      </c>
      <c r="BD348" s="2">
        <v>0</v>
      </c>
      <c r="BE348" s="2" t="s">
        <v>32</v>
      </c>
      <c r="BF348" s="2">
        <v>0</v>
      </c>
      <c r="BG348" s="2" t="s">
        <v>32</v>
      </c>
      <c r="BH348" s="2">
        <v>0</v>
      </c>
      <c r="BI348" s="2" t="s">
        <v>32</v>
      </c>
      <c r="BJ348" s="2" t="s">
        <v>32</v>
      </c>
      <c r="BK348" s="2" t="s">
        <v>32</v>
      </c>
      <c r="BL348" s="2">
        <v>0</v>
      </c>
      <c r="BM348" s="2" t="s">
        <v>32</v>
      </c>
      <c r="BN348" s="2" t="s">
        <v>32</v>
      </c>
      <c r="BO348" s="2" t="s">
        <v>32</v>
      </c>
      <c r="BP348" s="2">
        <v>0</v>
      </c>
      <c r="BQ348" s="2" t="s">
        <v>32</v>
      </c>
      <c r="BR348" s="2">
        <v>0</v>
      </c>
      <c r="BS348" s="2" t="s">
        <v>1660</v>
      </c>
      <c r="BT348" s="2">
        <v>0</v>
      </c>
      <c r="BU348" s="2">
        <v>0</v>
      </c>
      <c r="BV348" s="2" t="s">
        <v>1660</v>
      </c>
      <c r="BW348" s="2"/>
      <c r="BX348" s="2"/>
      <c r="BY348" s="2" t="s">
        <v>1807</v>
      </c>
      <c r="BZ348" s="2" t="b">
        <f>OR( (Dashboard[[#This Row],[ref_as_hh]]&gt;=1),(Dashboard[[#This Row],[ret_as_hh]] &gt;=1), (Dashboard[[#This Row],[idp_as_hh]]&gt;=1))</f>
        <v>0</v>
      </c>
      <c r="CA348" s="2">
        <f>Dashboard[[#This Row],[ret_hi_hh]]</f>
        <v>0</v>
      </c>
      <c r="CB348" s="2">
        <f>Dashboard[[#This Row],[idp_fa_hh]]+Dashboard[[#This Row],[ref_fa_hh]]+Dashboard[[#This Row],[ret_fa_hh]]</f>
        <v>7</v>
      </c>
      <c r="CC348" s="2">
        <f>Dashboard[[#This Row],[idp_loc_hh]]+Dashboard[[#This Row],[ref_loc_hh]]+Dashboard[[#This Row],[ret_loc_hh]]</f>
        <v>0</v>
      </c>
      <c r="CD348" s="2">
        <f>Dashboard[[#This Row],[idp_cc_hh]]+Dashboard[[#This Row],[ref_cc_hh]]+Dashboard[[#This Row],[ret_cc_hh]]</f>
        <v>0</v>
      </c>
      <c r="CE348" s="2">
        <f>Dashboard[[#This Row],[idp_as_hh]]+Dashboard[[#This Row],[ref_as_hh]]+Dashboard[[#This Row],[ret_as_hh]]</f>
        <v>0</v>
      </c>
      <c r="CF348" s="2">
        <f>Dashboard[[#This Row],[idp_al_hh]]+Dashboard[[#This Row],[ref_al_hh]]+Dashboard[[#This Row],[ret_al_hh]]</f>
        <v>0</v>
      </c>
    </row>
    <row r="349" spans="1:84" hidden="1" x14ac:dyDescent="0.25">
      <c r="A349" s="27">
        <v>331</v>
      </c>
      <c r="B349" s="2" t="s">
        <v>22</v>
      </c>
      <c r="C349" s="2" t="s">
        <v>23</v>
      </c>
      <c r="D349" s="2" t="s">
        <v>85</v>
      </c>
      <c r="E349" s="2" t="s">
        <v>84</v>
      </c>
      <c r="F349" s="2" t="s">
        <v>98</v>
      </c>
      <c r="G349" s="2" t="s">
        <v>97</v>
      </c>
      <c r="H349" s="2" t="s">
        <v>1246</v>
      </c>
      <c r="I349" s="2" t="s">
        <v>1245</v>
      </c>
      <c r="J349" s="2" t="s">
        <v>3018</v>
      </c>
      <c r="K349" s="2" t="s">
        <v>3019</v>
      </c>
      <c r="L349" s="2" t="s">
        <v>2074</v>
      </c>
      <c r="M349" s="2">
        <v>370</v>
      </c>
      <c r="N349" s="2" t="s">
        <v>1658</v>
      </c>
      <c r="O349" s="2">
        <v>16</v>
      </c>
      <c r="P349" s="2">
        <v>80</v>
      </c>
      <c r="Q349" s="2" t="s">
        <v>1658</v>
      </c>
      <c r="R349" s="2">
        <v>16</v>
      </c>
      <c r="S349" s="2" t="s">
        <v>1660</v>
      </c>
      <c r="T349" s="2">
        <v>0</v>
      </c>
      <c r="U349" s="2" t="s">
        <v>32</v>
      </c>
      <c r="V349" s="2" t="s">
        <v>32</v>
      </c>
      <c r="W349" s="2" t="s">
        <v>1660</v>
      </c>
      <c r="X349" s="2">
        <v>0</v>
      </c>
      <c r="Y349" s="2" t="s">
        <v>32</v>
      </c>
      <c r="Z349" s="2" t="s">
        <v>32</v>
      </c>
      <c r="AA349" s="2" t="s">
        <v>1660</v>
      </c>
      <c r="AB349" s="2">
        <v>0</v>
      </c>
      <c r="AC349" s="2" t="s">
        <v>1660</v>
      </c>
      <c r="AD349" s="2">
        <v>0</v>
      </c>
      <c r="AE349" s="2" t="s">
        <v>1660</v>
      </c>
      <c r="AF349" s="2">
        <v>0</v>
      </c>
      <c r="AG349" s="2">
        <v>0</v>
      </c>
      <c r="AH349" s="2" t="s">
        <v>32</v>
      </c>
      <c r="AI349" s="2" t="s">
        <v>32</v>
      </c>
      <c r="AJ349" s="2" t="s">
        <v>32</v>
      </c>
      <c r="AK349" s="2" t="s">
        <v>32</v>
      </c>
      <c r="AL349" s="2" t="s">
        <v>32</v>
      </c>
      <c r="AM349" s="2">
        <v>0</v>
      </c>
      <c r="AN349" s="2" t="s">
        <v>32</v>
      </c>
      <c r="AO349" s="2">
        <v>0</v>
      </c>
      <c r="AP349" s="2" t="s">
        <v>32</v>
      </c>
      <c r="AQ349" s="2" t="s">
        <v>32</v>
      </c>
      <c r="AR349" s="2" t="s">
        <v>32</v>
      </c>
      <c r="AS349" s="2">
        <v>0</v>
      </c>
      <c r="AT349" s="2" t="s">
        <v>32</v>
      </c>
      <c r="AU349" s="2" t="s">
        <v>32</v>
      </c>
      <c r="AV349" s="2" t="s">
        <v>32</v>
      </c>
      <c r="AW349" s="2">
        <v>0</v>
      </c>
      <c r="AX349" s="2" t="s">
        <v>32</v>
      </c>
      <c r="AY349" s="2">
        <v>0</v>
      </c>
      <c r="AZ349" s="2" t="s">
        <v>1660</v>
      </c>
      <c r="BA349" s="2">
        <v>0</v>
      </c>
      <c r="BB349" s="2">
        <v>0</v>
      </c>
      <c r="BC349" s="2" t="s">
        <v>32</v>
      </c>
      <c r="BD349" s="2">
        <v>0</v>
      </c>
      <c r="BE349" s="2" t="s">
        <v>32</v>
      </c>
      <c r="BF349" s="2">
        <v>0</v>
      </c>
      <c r="BG349" s="2" t="s">
        <v>32</v>
      </c>
      <c r="BH349" s="2">
        <v>0</v>
      </c>
      <c r="BI349" s="2" t="s">
        <v>32</v>
      </c>
      <c r="BJ349" s="2" t="s">
        <v>32</v>
      </c>
      <c r="BK349" s="2" t="s">
        <v>32</v>
      </c>
      <c r="BL349" s="2">
        <v>0</v>
      </c>
      <c r="BM349" s="2" t="s">
        <v>32</v>
      </c>
      <c r="BN349" s="2" t="s">
        <v>32</v>
      </c>
      <c r="BO349" s="2" t="s">
        <v>32</v>
      </c>
      <c r="BP349" s="2">
        <v>0</v>
      </c>
      <c r="BQ349" s="2" t="s">
        <v>32</v>
      </c>
      <c r="BR349" s="2">
        <v>0</v>
      </c>
      <c r="BS349" s="2" t="s">
        <v>1660</v>
      </c>
      <c r="BT349" s="2">
        <v>0</v>
      </c>
      <c r="BU349" s="2">
        <v>0</v>
      </c>
      <c r="BV349" s="2" t="s">
        <v>1660</v>
      </c>
      <c r="BW349" s="2"/>
      <c r="BX349" s="2"/>
      <c r="BY349" s="2" t="s">
        <v>1807</v>
      </c>
      <c r="BZ349" s="2" t="b">
        <f>OR( (Dashboard[[#This Row],[ref_as_hh]]&gt;=1),(Dashboard[[#This Row],[ret_as_hh]] &gt;=1), (Dashboard[[#This Row],[idp_as_hh]]&gt;=1))</f>
        <v>0</v>
      </c>
      <c r="CA349" s="2">
        <f>Dashboard[[#This Row],[ret_hi_hh]]</f>
        <v>0</v>
      </c>
      <c r="CB349" s="2">
        <f>Dashboard[[#This Row],[idp_fa_hh]]+Dashboard[[#This Row],[ref_fa_hh]]+Dashboard[[#This Row],[ret_fa_hh]]</f>
        <v>16</v>
      </c>
      <c r="CC349" s="2">
        <f>Dashboard[[#This Row],[idp_loc_hh]]+Dashboard[[#This Row],[ref_loc_hh]]+Dashboard[[#This Row],[ret_loc_hh]]</f>
        <v>0</v>
      </c>
      <c r="CD349" s="2">
        <f>Dashboard[[#This Row],[idp_cc_hh]]+Dashboard[[#This Row],[ref_cc_hh]]+Dashboard[[#This Row],[ret_cc_hh]]</f>
        <v>0</v>
      </c>
      <c r="CE349" s="2">
        <f>Dashboard[[#This Row],[idp_as_hh]]+Dashboard[[#This Row],[ref_as_hh]]+Dashboard[[#This Row],[ret_as_hh]]</f>
        <v>0</v>
      </c>
      <c r="CF349" s="2">
        <f>Dashboard[[#This Row],[idp_al_hh]]+Dashboard[[#This Row],[ref_al_hh]]+Dashboard[[#This Row],[ret_al_hh]]</f>
        <v>0</v>
      </c>
    </row>
    <row r="350" spans="1:84" hidden="1" x14ac:dyDescent="0.25">
      <c r="A350" s="27">
        <v>332</v>
      </c>
      <c r="B350" s="2" t="s">
        <v>22</v>
      </c>
      <c r="C350" s="2" t="s">
        <v>23</v>
      </c>
      <c r="D350" s="2" t="s">
        <v>85</v>
      </c>
      <c r="E350" s="2" t="s">
        <v>84</v>
      </c>
      <c r="F350" s="2" t="s">
        <v>98</v>
      </c>
      <c r="G350" s="2" t="s">
        <v>97</v>
      </c>
      <c r="H350" s="2" t="s">
        <v>1294</v>
      </c>
      <c r="I350" s="2" t="s">
        <v>1293</v>
      </c>
      <c r="J350" s="2" t="s">
        <v>3110</v>
      </c>
      <c r="K350" s="2" t="s">
        <v>3111</v>
      </c>
      <c r="L350" s="2" t="s">
        <v>2074</v>
      </c>
      <c r="M350" s="2">
        <v>617</v>
      </c>
      <c r="N350" s="2" t="s">
        <v>1658</v>
      </c>
      <c r="O350" s="2">
        <v>36</v>
      </c>
      <c r="P350" s="2">
        <v>100</v>
      </c>
      <c r="Q350" s="2" t="s">
        <v>1658</v>
      </c>
      <c r="R350" s="2">
        <v>36</v>
      </c>
      <c r="S350" s="2" t="s">
        <v>1660</v>
      </c>
      <c r="T350" s="2">
        <v>0</v>
      </c>
      <c r="U350" s="2" t="s">
        <v>32</v>
      </c>
      <c r="V350" s="2" t="s">
        <v>32</v>
      </c>
      <c r="W350" s="2" t="s">
        <v>1660</v>
      </c>
      <c r="X350" s="2">
        <v>0</v>
      </c>
      <c r="Y350" s="2" t="s">
        <v>32</v>
      </c>
      <c r="Z350" s="2" t="s">
        <v>32</v>
      </c>
      <c r="AA350" s="2" t="s">
        <v>1660</v>
      </c>
      <c r="AB350" s="2">
        <v>0</v>
      </c>
      <c r="AC350" s="2" t="s">
        <v>1660</v>
      </c>
      <c r="AD350" s="2">
        <v>0</v>
      </c>
      <c r="AE350" s="2" t="s">
        <v>1660</v>
      </c>
      <c r="AF350" s="2">
        <v>0</v>
      </c>
      <c r="AG350" s="2">
        <v>0</v>
      </c>
      <c r="AH350" s="2" t="s">
        <v>32</v>
      </c>
      <c r="AI350" s="2" t="s">
        <v>32</v>
      </c>
      <c r="AJ350" s="2" t="s">
        <v>32</v>
      </c>
      <c r="AK350" s="2" t="s">
        <v>32</v>
      </c>
      <c r="AL350" s="2" t="s">
        <v>32</v>
      </c>
      <c r="AM350" s="2">
        <v>0</v>
      </c>
      <c r="AN350" s="2" t="s">
        <v>32</v>
      </c>
      <c r="AO350" s="2">
        <v>0</v>
      </c>
      <c r="AP350" s="2" t="s">
        <v>32</v>
      </c>
      <c r="AQ350" s="2" t="s">
        <v>32</v>
      </c>
      <c r="AR350" s="2" t="s">
        <v>32</v>
      </c>
      <c r="AS350" s="2">
        <v>0</v>
      </c>
      <c r="AT350" s="2" t="s">
        <v>32</v>
      </c>
      <c r="AU350" s="2" t="s">
        <v>32</v>
      </c>
      <c r="AV350" s="2" t="s">
        <v>32</v>
      </c>
      <c r="AW350" s="2">
        <v>0</v>
      </c>
      <c r="AX350" s="2" t="s">
        <v>32</v>
      </c>
      <c r="AY350" s="2">
        <v>0</v>
      </c>
      <c r="AZ350" s="2" t="s">
        <v>1660</v>
      </c>
      <c r="BA350" s="2">
        <v>0</v>
      </c>
      <c r="BB350" s="2">
        <v>0</v>
      </c>
      <c r="BC350" s="2" t="s">
        <v>32</v>
      </c>
      <c r="BD350" s="2">
        <v>0</v>
      </c>
      <c r="BE350" s="2" t="s">
        <v>32</v>
      </c>
      <c r="BF350" s="2">
        <v>0</v>
      </c>
      <c r="BG350" s="2" t="s">
        <v>32</v>
      </c>
      <c r="BH350" s="2">
        <v>0</v>
      </c>
      <c r="BI350" s="2" t="s">
        <v>32</v>
      </c>
      <c r="BJ350" s="2" t="s">
        <v>32</v>
      </c>
      <c r="BK350" s="2" t="s">
        <v>32</v>
      </c>
      <c r="BL350" s="2">
        <v>0</v>
      </c>
      <c r="BM350" s="2" t="s">
        <v>32</v>
      </c>
      <c r="BN350" s="2" t="s">
        <v>32</v>
      </c>
      <c r="BO350" s="2" t="s">
        <v>32</v>
      </c>
      <c r="BP350" s="2">
        <v>0</v>
      </c>
      <c r="BQ350" s="2" t="s">
        <v>32</v>
      </c>
      <c r="BR350" s="2">
        <v>0</v>
      </c>
      <c r="BS350" s="2" t="s">
        <v>1660</v>
      </c>
      <c r="BT350" s="2">
        <v>0</v>
      </c>
      <c r="BU350" s="2">
        <v>0</v>
      </c>
      <c r="BV350" s="2" t="s">
        <v>1660</v>
      </c>
      <c r="BW350" s="2"/>
      <c r="BX350" s="2"/>
      <c r="BY350" s="2" t="s">
        <v>1807</v>
      </c>
      <c r="BZ350" s="2" t="b">
        <f>OR( (Dashboard[[#This Row],[ref_as_hh]]&gt;=1),(Dashboard[[#This Row],[ret_as_hh]] &gt;=1), (Dashboard[[#This Row],[idp_as_hh]]&gt;=1))</f>
        <v>0</v>
      </c>
      <c r="CA350" s="2">
        <f>Dashboard[[#This Row],[ret_hi_hh]]</f>
        <v>0</v>
      </c>
      <c r="CB350" s="2">
        <f>Dashboard[[#This Row],[idp_fa_hh]]+Dashboard[[#This Row],[ref_fa_hh]]+Dashboard[[#This Row],[ret_fa_hh]]</f>
        <v>36</v>
      </c>
      <c r="CC350" s="2">
        <f>Dashboard[[#This Row],[idp_loc_hh]]+Dashboard[[#This Row],[ref_loc_hh]]+Dashboard[[#This Row],[ret_loc_hh]]</f>
        <v>0</v>
      </c>
      <c r="CD350" s="2">
        <f>Dashboard[[#This Row],[idp_cc_hh]]+Dashboard[[#This Row],[ref_cc_hh]]+Dashboard[[#This Row],[ret_cc_hh]]</f>
        <v>0</v>
      </c>
      <c r="CE350" s="2">
        <f>Dashboard[[#This Row],[idp_as_hh]]+Dashboard[[#This Row],[ref_as_hh]]+Dashboard[[#This Row],[ret_as_hh]]</f>
        <v>0</v>
      </c>
      <c r="CF350" s="2">
        <f>Dashboard[[#This Row],[idp_al_hh]]+Dashboard[[#This Row],[ref_al_hh]]+Dashboard[[#This Row],[ret_al_hh]]</f>
        <v>0</v>
      </c>
    </row>
    <row r="351" spans="1:84" hidden="1" x14ac:dyDescent="0.25">
      <c r="A351" s="27">
        <v>336</v>
      </c>
      <c r="B351" s="2" t="s">
        <v>22</v>
      </c>
      <c r="C351" s="2" t="s">
        <v>23</v>
      </c>
      <c r="D351" s="2" t="s">
        <v>85</v>
      </c>
      <c r="E351" s="2" t="s">
        <v>84</v>
      </c>
      <c r="F351" s="2" t="s">
        <v>98</v>
      </c>
      <c r="G351" s="2" t="s">
        <v>97</v>
      </c>
      <c r="H351" s="2" t="s">
        <v>1149</v>
      </c>
      <c r="I351" s="2" t="s">
        <v>159</v>
      </c>
      <c r="J351" s="2" t="s">
        <v>2796</v>
      </c>
      <c r="K351" s="2" t="s">
        <v>2797</v>
      </c>
      <c r="L351" s="2" t="s">
        <v>2074</v>
      </c>
      <c r="M351" s="2">
        <v>840</v>
      </c>
      <c r="N351" s="2" t="s">
        <v>1658</v>
      </c>
      <c r="O351" s="2">
        <v>14</v>
      </c>
      <c r="P351" s="2">
        <v>60</v>
      </c>
      <c r="Q351" s="2" t="s">
        <v>1658</v>
      </c>
      <c r="R351" s="2">
        <v>14</v>
      </c>
      <c r="S351" s="2" t="s">
        <v>1660</v>
      </c>
      <c r="T351" s="2">
        <v>0</v>
      </c>
      <c r="U351" s="2" t="s">
        <v>32</v>
      </c>
      <c r="V351" s="2" t="s">
        <v>32</v>
      </c>
      <c r="W351" s="2" t="s">
        <v>1660</v>
      </c>
      <c r="X351" s="2">
        <v>0</v>
      </c>
      <c r="Y351" s="2" t="s">
        <v>32</v>
      </c>
      <c r="Z351" s="2" t="s">
        <v>32</v>
      </c>
      <c r="AA351" s="2" t="s">
        <v>1660</v>
      </c>
      <c r="AB351" s="2">
        <v>0</v>
      </c>
      <c r="AC351" s="2" t="s">
        <v>1660</v>
      </c>
      <c r="AD351" s="2">
        <v>0</v>
      </c>
      <c r="AE351" s="2" t="s">
        <v>1660</v>
      </c>
      <c r="AF351" s="2">
        <v>0</v>
      </c>
      <c r="AG351" s="2">
        <v>0</v>
      </c>
      <c r="AH351" s="2" t="s">
        <v>32</v>
      </c>
      <c r="AI351" s="2" t="s">
        <v>32</v>
      </c>
      <c r="AJ351" s="2" t="s">
        <v>32</v>
      </c>
      <c r="AK351" s="2" t="s">
        <v>32</v>
      </c>
      <c r="AL351" s="2" t="s">
        <v>32</v>
      </c>
      <c r="AM351" s="2">
        <v>0</v>
      </c>
      <c r="AN351" s="2" t="s">
        <v>32</v>
      </c>
      <c r="AO351" s="2">
        <v>0</v>
      </c>
      <c r="AP351" s="2" t="s">
        <v>32</v>
      </c>
      <c r="AQ351" s="2" t="s">
        <v>32</v>
      </c>
      <c r="AR351" s="2" t="s">
        <v>32</v>
      </c>
      <c r="AS351" s="2">
        <v>0</v>
      </c>
      <c r="AT351" s="2" t="s">
        <v>32</v>
      </c>
      <c r="AU351" s="2" t="s">
        <v>32</v>
      </c>
      <c r="AV351" s="2" t="s">
        <v>32</v>
      </c>
      <c r="AW351" s="2">
        <v>0</v>
      </c>
      <c r="AX351" s="2" t="s">
        <v>32</v>
      </c>
      <c r="AY351" s="2">
        <v>0</v>
      </c>
      <c r="AZ351" s="2" t="s">
        <v>1658</v>
      </c>
      <c r="BA351" s="2">
        <v>20</v>
      </c>
      <c r="BB351" s="2">
        <v>80</v>
      </c>
      <c r="BC351" s="2" t="s">
        <v>1660</v>
      </c>
      <c r="BD351" s="2">
        <v>0</v>
      </c>
      <c r="BE351" s="2" t="s">
        <v>1658</v>
      </c>
      <c r="BF351" s="2">
        <v>20</v>
      </c>
      <c r="BG351" s="2" t="s">
        <v>1660</v>
      </c>
      <c r="BH351" s="2">
        <v>0</v>
      </c>
      <c r="BI351" s="2" t="s">
        <v>32</v>
      </c>
      <c r="BJ351" s="2" t="s">
        <v>32</v>
      </c>
      <c r="BK351" s="2" t="s">
        <v>1660</v>
      </c>
      <c r="BL351" s="2">
        <v>0</v>
      </c>
      <c r="BM351" s="2" t="s">
        <v>32</v>
      </c>
      <c r="BN351" s="2" t="s">
        <v>32</v>
      </c>
      <c r="BO351" s="2" t="s">
        <v>1660</v>
      </c>
      <c r="BP351" s="2">
        <v>0</v>
      </c>
      <c r="BQ351" s="2" t="s">
        <v>1660</v>
      </c>
      <c r="BR351" s="2">
        <v>0</v>
      </c>
      <c r="BS351" s="2" t="s">
        <v>1660</v>
      </c>
      <c r="BT351" s="2">
        <v>0</v>
      </c>
      <c r="BU351" s="2">
        <v>0</v>
      </c>
      <c r="BV351" s="2" t="s">
        <v>1660</v>
      </c>
      <c r="BW351" s="2"/>
      <c r="BX351" s="2"/>
      <c r="BY351" s="2" t="s">
        <v>1807</v>
      </c>
      <c r="BZ351" s="2" t="b">
        <f>OR( (Dashboard[[#This Row],[ref_as_hh]]&gt;=1),(Dashboard[[#This Row],[ret_as_hh]] &gt;=1), (Dashboard[[#This Row],[idp_as_hh]]&gt;=1))</f>
        <v>0</v>
      </c>
      <c r="CA351" s="2">
        <f>Dashboard[[#This Row],[ret_hi_hh]]</f>
        <v>0</v>
      </c>
      <c r="CB351" s="2">
        <f>Dashboard[[#This Row],[idp_fa_hh]]+Dashboard[[#This Row],[ref_fa_hh]]+Dashboard[[#This Row],[ret_fa_hh]]</f>
        <v>34</v>
      </c>
      <c r="CC351" s="2">
        <f>Dashboard[[#This Row],[idp_loc_hh]]+Dashboard[[#This Row],[ref_loc_hh]]+Dashboard[[#This Row],[ret_loc_hh]]</f>
        <v>0</v>
      </c>
      <c r="CD351" s="2">
        <f>Dashboard[[#This Row],[idp_cc_hh]]+Dashboard[[#This Row],[ref_cc_hh]]+Dashboard[[#This Row],[ret_cc_hh]]</f>
        <v>0</v>
      </c>
      <c r="CE351" s="2">
        <f>Dashboard[[#This Row],[idp_as_hh]]+Dashboard[[#This Row],[ref_as_hh]]+Dashboard[[#This Row],[ret_as_hh]]</f>
        <v>0</v>
      </c>
      <c r="CF351" s="2">
        <f>Dashboard[[#This Row],[idp_al_hh]]+Dashboard[[#This Row],[ref_al_hh]]+Dashboard[[#This Row],[ret_al_hh]]</f>
        <v>0</v>
      </c>
    </row>
    <row r="352" spans="1:84" hidden="1" x14ac:dyDescent="0.25">
      <c r="A352" s="27">
        <v>81</v>
      </c>
      <c r="B352" s="2" t="s">
        <v>22</v>
      </c>
      <c r="C352" s="2" t="s">
        <v>23</v>
      </c>
      <c r="D352" s="2" t="s">
        <v>85</v>
      </c>
      <c r="E352" s="2" t="s">
        <v>84</v>
      </c>
      <c r="F352" s="2" t="s">
        <v>98</v>
      </c>
      <c r="G352" s="2" t="s">
        <v>97</v>
      </c>
      <c r="H352" s="2" t="s">
        <v>1158</v>
      </c>
      <c r="I352" s="2" t="s">
        <v>162</v>
      </c>
      <c r="J352" s="2" t="s">
        <v>2814</v>
      </c>
      <c r="K352" s="2" t="s">
        <v>2815</v>
      </c>
      <c r="L352" s="2" t="s">
        <v>2074</v>
      </c>
      <c r="M352" s="2">
        <v>833</v>
      </c>
      <c r="N352" s="2" t="s">
        <v>1658</v>
      </c>
      <c r="O352" s="2">
        <v>39</v>
      </c>
      <c r="P352" s="2">
        <v>337</v>
      </c>
      <c r="Q352" s="2" t="s">
        <v>1658</v>
      </c>
      <c r="R352" s="2">
        <v>39</v>
      </c>
      <c r="S352" s="2" t="s">
        <v>1660</v>
      </c>
      <c r="T352" s="2">
        <v>0</v>
      </c>
      <c r="U352" s="2" t="s">
        <v>32</v>
      </c>
      <c r="V352" s="2" t="s">
        <v>32</v>
      </c>
      <c r="W352" s="2" t="s">
        <v>1660</v>
      </c>
      <c r="X352" s="2">
        <v>0</v>
      </c>
      <c r="Y352" s="2" t="s">
        <v>32</v>
      </c>
      <c r="Z352" s="2" t="s">
        <v>32</v>
      </c>
      <c r="AA352" s="2" t="s">
        <v>1660</v>
      </c>
      <c r="AB352" s="2">
        <v>0</v>
      </c>
      <c r="AC352" s="2" t="s">
        <v>1660</v>
      </c>
      <c r="AD352" s="2">
        <v>0</v>
      </c>
      <c r="AE352" s="2" t="s">
        <v>1658</v>
      </c>
      <c r="AF352" s="2">
        <v>3</v>
      </c>
      <c r="AG352" s="2">
        <v>38</v>
      </c>
      <c r="AH352" s="2" t="s">
        <v>1660</v>
      </c>
      <c r="AI352" s="2" t="s">
        <v>32</v>
      </c>
      <c r="AJ352" s="2" t="s">
        <v>32</v>
      </c>
      <c r="AK352" s="2" t="s">
        <v>32</v>
      </c>
      <c r="AL352" s="2" t="s">
        <v>1658</v>
      </c>
      <c r="AM352" s="2">
        <v>3</v>
      </c>
      <c r="AN352" s="2" t="s">
        <v>1660</v>
      </c>
      <c r="AO352" s="2">
        <v>0</v>
      </c>
      <c r="AP352" s="2" t="s">
        <v>32</v>
      </c>
      <c r="AQ352" s="2" t="s">
        <v>32</v>
      </c>
      <c r="AR352" s="2" t="s">
        <v>1660</v>
      </c>
      <c r="AS352" s="2">
        <v>0</v>
      </c>
      <c r="AT352" s="2" t="s">
        <v>32</v>
      </c>
      <c r="AU352" s="2" t="s">
        <v>32</v>
      </c>
      <c r="AV352" s="2" t="s">
        <v>1660</v>
      </c>
      <c r="AW352" s="2">
        <v>0</v>
      </c>
      <c r="AX352" s="2" t="s">
        <v>1660</v>
      </c>
      <c r="AY352" s="2">
        <v>0</v>
      </c>
      <c r="AZ352" s="2" t="s">
        <v>1658</v>
      </c>
      <c r="BA352" s="2">
        <v>33</v>
      </c>
      <c r="BB352" s="2">
        <v>165</v>
      </c>
      <c r="BC352" s="2" t="s">
        <v>1658</v>
      </c>
      <c r="BD352" s="2">
        <v>33</v>
      </c>
      <c r="BE352" s="2" t="s">
        <v>1660</v>
      </c>
      <c r="BF352" s="2">
        <v>0</v>
      </c>
      <c r="BG352" s="2" t="s">
        <v>1660</v>
      </c>
      <c r="BH352" s="2">
        <v>0</v>
      </c>
      <c r="BI352" s="2" t="s">
        <v>32</v>
      </c>
      <c r="BJ352" s="2" t="s">
        <v>32</v>
      </c>
      <c r="BK352" s="2" t="s">
        <v>1660</v>
      </c>
      <c r="BL352" s="2">
        <v>0</v>
      </c>
      <c r="BM352" s="2" t="s">
        <v>32</v>
      </c>
      <c r="BN352" s="2" t="s">
        <v>32</v>
      </c>
      <c r="BO352" s="2" t="s">
        <v>1660</v>
      </c>
      <c r="BP352" s="2">
        <v>0</v>
      </c>
      <c r="BQ352" s="2" t="s">
        <v>1660</v>
      </c>
      <c r="BR352" s="2">
        <v>0</v>
      </c>
      <c r="BS352" s="2" t="s">
        <v>1658</v>
      </c>
      <c r="BT352" s="2">
        <v>5</v>
      </c>
      <c r="BU352" s="2">
        <v>41</v>
      </c>
      <c r="BV352" s="2" t="s">
        <v>1660</v>
      </c>
      <c r="BW352" s="2"/>
      <c r="BX352" s="2"/>
      <c r="BY352" s="2" t="s">
        <v>1807</v>
      </c>
      <c r="BZ352" s="2" t="b">
        <f>OR( (Dashboard[[#This Row],[ref_as_hh]]&gt;=1),(Dashboard[[#This Row],[ret_as_hh]] &gt;=1), (Dashboard[[#This Row],[idp_as_hh]]&gt;=1))</f>
        <v>0</v>
      </c>
      <c r="CA352" s="2">
        <f>Dashboard[[#This Row],[ret_hi_hh]]</f>
        <v>33</v>
      </c>
      <c r="CB352" s="2">
        <f>Dashboard[[#This Row],[idp_fa_hh]]+Dashboard[[#This Row],[ref_fa_hh]]+Dashboard[[#This Row],[ret_fa_hh]]</f>
        <v>42</v>
      </c>
      <c r="CC352" s="2">
        <f>Dashboard[[#This Row],[idp_loc_hh]]+Dashboard[[#This Row],[ref_loc_hh]]+Dashboard[[#This Row],[ret_loc_hh]]</f>
        <v>0</v>
      </c>
      <c r="CD352" s="2">
        <f>Dashboard[[#This Row],[idp_cc_hh]]+Dashboard[[#This Row],[ref_cc_hh]]+Dashboard[[#This Row],[ret_cc_hh]]</f>
        <v>0</v>
      </c>
      <c r="CE352" s="2">
        <f>Dashboard[[#This Row],[idp_as_hh]]+Dashboard[[#This Row],[ref_as_hh]]+Dashboard[[#This Row],[ret_as_hh]]</f>
        <v>0</v>
      </c>
      <c r="CF352" s="2">
        <f>Dashboard[[#This Row],[idp_al_hh]]+Dashboard[[#This Row],[ref_al_hh]]+Dashboard[[#This Row],[ret_al_hh]]</f>
        <v>0</v>
      </c>
    </row>
    <row r="353" spans="1:84" hidden="1" x14ac:dyDescent="0.25">
      <c r="A353" s="27">
        <v>337</v>
      </c>
      <c r="B353" s="2" t="s">
        <v>22</v>
      </c>
      <c r="C353" s="2" t="s">
        <v>23</v>
      </c>
      <c r="D353" s="2" t="s">
        <v>85</v>
      </c>
      <c r="E353" s="2" t="s">
        <v>84</v>
      </c>
      <c r="F353" s="2" t="s">
        <v>98</v>
      </c>
      <c r="G353" s="2" t="s">
        <v>97</v>
      </c>
      <c r="H353" s="2" t="s">
        <v>1137</v>
      </c>
      <c r="I353" s="2" t="s">
        <v>379</v>
      </c>
      <c r="J353" s="2" t="s">
        <v>2770</v>
      </c>
      <c r="K353" s="2" t="s">
        <v>2771</v>
      </c>
      <c r="L353" s="2" t="s">
        <v>2074</v>
      </c>
      <c r="M353" s="2">
        <v>1020</v>
      </c>
      <c r="N353" s="2" t="s">
        <v>1658</v>
      </c>
      <c r="O353" s="2">
        <v>7</v>
      </c>
      <c r="P353" s="2">
        <v>37</v>
      </c>
      <c r="Q353" s="2" t="s">
        <v>1658</v>
      </c>
      <c r="R353" s="2">
        <v>7</v>
      </c>
      <c r="S353" s="2" t="s">
        <v>1660</v>
      </c>
      <c r="T353" s="2">
        <v>0</v>
      </c>
      <c r="U353" s="2" t="s">
        <v>32</v>
      </c>
      <c r="V353" s="2" t="s">
        <v>32</v>
      </c>
      <c r="W353" s="2" t="s">
        <v>1660</v>
      </c>
      <c r="X353" s="2">
        <v>0</v>
      </c>
      <c r="Y353" s="2" t="s">
        <v>32</v>
      </c>
      <c r="Z353" s="2" t="s">
        <v>32</v>
      </c>
      <c r="AA353" s="2" t="s">
        <v>1660</v>
      </c>
      <c r="AB353" s="2">
        <v>0</v>
      </c>
      <c r="AC353" s="2" t="s">
        <v>1660</v>
      </c>
      <c r="AD353" s="2">
        <v>0</v>
      </c>
      <c r="AE353" s="2" t="s">
        <v>1660</v>
      </c>
      <c r="AF353" s="2">
        <v>0</v>
      </c>
      <c r="AG353" s="2">
        <v>0</v>
      </c>
      <c r="AH353" s="2" t="s">
        <v>32</v>
      </c>
      <c r="AI353" s="2" t="s">
        <v>32</v>
      </c>
      <c r="AJ353" s="2" t="s">
        <v>32</v>
      </c>
      <c r="AK353" s="2" t="s">
        <v>32</v>
      </c>
      <c r="AL353" s="2" t="s">
        <v>32</v>
      </c>
      <c r="AM353" s="2">
        <v>0</v>
      </c>
      <c r="AN353" s="2" t="s">
        <v>32</v>
      </c>
      <c r="AO353" s="2">
        <v>0</v>
      </c>
      <c r="AP353" s="2" t="s">
        <v>32</v>
      </c>
      <c r="AQ353" s="2" t="s">
        <v>32</v>
      </c>
      <c r="AR353" s="2" t="s">
        <v>32</v>
      </c>
      <c r="AS353" s="2">
        <v>0</v>
      </c>
      <c r="AT353" s="2" t="s">
        <v>32</v>
      </c>
      <c r="AU353" s="2" t="s">
        <v>32</v>
      </c>
      <c r="AV353" s="2" t="s">
        <v>32</v>
      </c>
      <c r="AW353" s="2">
        <v>0</v>
      </c>
      <c r="AX353" s="2" t="s">
        <v>32</v>
      </c>
      <c r="AY353" s="2">
        <v>0</v>
      </c>
      <c r="AZ353" s="2" t="s">
        <v>1660</v>
      </c>
      <c r="BA353" s="2">
        <v>0</v>
      </c>
      <c r="BB353" s="2">
        <v>0</v>
      </c>
      <c r="BC353" s="2" t="s">
        <v>32</v>
      </c>
      <c r="BD353" s="2">
        <v>0</v>
      </c>
      <c r="BE353" s="2" t="s">
        <v>32</v>
      </c>
      <c r="BF353" s="2">
        <v>0</v>
      </c>
      <c r="BG353" s="2" t="s">
        <v>32</v>
      </c>
      <c r="BH353" s="2">
        <v>0</v>
      </c>
      <c r="BI353" s="2" t="s">
        <v>32</v>
      </c>
      <c r="BJ353" s="2" t="s">
        <v>32</v>
      </c>
      <c r="BK353" s="2" t="s">
        <v>32</v>
      </c>
      <c r="BL353" s="2">
        <v>0</v>
      </c>
      <c r="BM353" s="2" t="s">
        <v>32</v>
      </c>
      <c r="BN353" s="2" t="s">
        <v>32</v>
      </c>
      <c r="BO353" s="2" t="s">
        <v>32</v>
      </c>
      <c r="BP353" s="2">
        <v>0</v>
      </c>
      <c r="BQ353" s="2" t="s">
        <v>32</v>
      </c>
      <c r="BR353" s="2">
        <v>0</v>
      </c>
      <c r="BS353" s="2" t="s">
        <v>1660</v>
      </c>
      <c r="BT353" s="2">
        <v>0</v>
      </c>
      <c r="BU353" s="2">
        <v>0</v>
      </c>
      <c r="BV353" s="2" t="s">
        <v>1660</v>
      </c>
      <c r="BW353" s="2"/>
      <c r="BX353" s="2"/>
      <c r="BY353" s="2" t="s">
        <v>1807</v>
      </c>
      <c r="BZ353" s="2" t="b">
        <f>OR( (Dashboard[[#This Row],[ref_as_hh]]&gt;=1),(Dashboard[[#This Row],[ret_as_hh]] &gt;=1), (Dashboard[[#This Row],[idp_as_hh]]&gt;=1))</f>
        <v>0</v>
      </c>
      <c r="CA353" s="2">
        <f>Dashboard[[#This Row],[ret_hi_hh]]</f>
        <v>0</v>
      </c>
      <c r="CB353" s="2">
        <f>Dashboard[[#This Row],[idp_fa_hh]]+Dashboard[[#This Row],[ref_fa_hh]]+Dashboard[[#This Row],[ret_fa_hh]]</f>
        <v>7</v>
      </c>
      <c r="CC353" s="2">
        <f>Dashboard[[#This Row],[idp_loc_hh]]+Dashboard[[#This Row],[ref_loc_hh]]+Dashboard[[#This Row],[ret_loc_hh]]</f>
        <v>0</v>
      </c>
      <c r="CD353" s="2">
        <f>Dashboard[[#This Row],[idp_cc_hh]]+Dashboard[[#This Row],[ref_cc_hh]]+Dashboard[[#This Row],[ret_cc_hh]]</f>
        <v>0</v>
      </c>
      <c r="CE353" s="2">
        <f>Dashboard[[#This Row],[idp_as_hh]]+Dashboard[[#This Row],[ref_as_hh]]+Dashboard[[#This Row],[ret_as_hh]]</f>
        <v>0</v>
      </c>
      <c r="CF353" s="2">
        <f>Dashboard[[#This Row],[idp_al_hh]]+Dashboard[[#This Row],[ref_al_hh]]+Dashboard[[#This Row],[ret_al_hh]]</f>
        <v>0</v>
      </c>
    </row>
    <row r="354" spans="1:84" hidden="1" x14ac:dyDescent="0.25">
      <c r="A354" s="27">
        <v>338</v>
      </c>
      <c r="B354" s="2" t="s">
        <v>22</v>
      </c>
      <c r="C354" s="2" t="s">
        <v>23</v>
      </c>
      <c r="D354" s="2" t="s">
        <v>85</v>
      </c>
      <c r="E354" s="2" t="s">
        <v>84</v>
      </c>
      <c r="F354" s="2" t="s">
        <v>98</v>
      </c>
      <c r="G354" s="2" t="s">
        <v>97</v>
      </c>
      <c r="H354" s="2" t="s">
        <v>1138</v>
      </c>
      <c r="I354" s="2" t="s">
        <v>380</v>
      </c>
      <c r="J354" s="2" t="s">
        <v>2772</v>
      </c>
      <c r="K354" s="2" t="s">
        <v>2773</v>
      </c>
      <c r="L354" s="2" t="s">
        <v>2074</v>
      </c>
      <c r="M354" s="2">
        <v>1014</v>
      </c>
      <c r="N354" s="2" t="s">
        <v>1658</v>
      </c>
      <c r="O354" s="2">
        <v>6</v>
      </c>
      <c r="P354" s="2">
        <v>34</v>
      </c>
      <c r="Q354" s="2" t="s">
        <v>1658</v>
      </c>
      <c r="R354" s="2">
        <v>6</v>
      </c>
      <c r="S354" s="2" t="s">
        <v>1660</v>
      </c>
      <c r="T354" s="2">
        <v>0</v>
      </c>
      <c r="U354" s="2" t="s">
        <v>32</v>
      </c>
      <c r="V354" s="2" t="s">
        <v>32</v>
      </c>
      <c r="W354" s="2" t="s">
        <v>1660</v>
      </c>
      <c r="X354" s="2">
        <v>0</v>
      </c>
      <c r="Y354" s="2" t="s">
        <v>32</v>
      </c>
      <c r="Z354" s="2" t="s">
        <v>32</v>
      </c>
      <c r="AA354" s="2" t="s">
        <v>1660</v>
      </c>
      <c r="AB354" s="2">
        <v>0</v>
      </c>
      <c r="AC354" s="2" t="s">
        <v>1660</v>
      </c>
      <c r="AD354" s="2">
        <v>0</v>
      </c>
      <c r="AE354" s="2" t="s">
        <v>1660</v>
      </c>
      <c r="AF354" s="2">
        <v>0</v>
      </c>
      <c r="AG354" s="2">
        <v>0</v>
      </c>
      <c r="AH354" s="2" t="s">
        <v>32</v>
      </c>
      <c r="AI354" s="2" t="s">
        <v>32</v>
      </c>
      <c r="AJ354" s="2" t="s">
        <v>32</v>
      </c>
      <c r="AK354" s="2" t="s">
        <v>32</v>
      </c>
      <c r="AL354" s="2" t="s">
        <v>32</v>
      </c>
      <c r="AM354" s="2">
        <v>0</v>
      </c>
      <c r="AN354" s="2" t="s">
        <v>32</v>
      </c>
      <c r="AO354" s="2">
        <v>0</v>
      </c>
      <c r="AP354" s="2" t="s">
        <v>32</v>
      </c>
      <c r="AQ354" s="2" t="s">
        <v>32</v>
      </c>
      <c r="AR354" s="2" t="s">
        <v>32</v>
      </c>
      <c r="AS354" s="2">
        <v>0</v>
      </c>
      <c r="AT354" s="2" t="s">
        <v>32</v>
      </c>
      <c r="AU354" s="2" t="s">
        <v>32</v>
      </c>
      <c r="AV354" s="2" t="s">
        <v>32</v>
      </c>
      <c r="AW354" s="2">
        <v>0</v>
      </c>
      <c r="AX354" s="2" t="s">
        <v>32</v>
      </c>
      <c r="AY354" s="2">
        <v>0</v>
      </c>
      <c r="AZ354" s="2" t="s">
        <v>1660</v>
      </c>
      <c r="BA354" s="2">
        <v>0</v>
      </c>
      <c r="BB354" s="2">
        <v>0</v>
      </c>
      <c r="BC354" s="2" t="s">
        <v>32</v>
      </c>
      <c r="BD354" s="2">
        <v>0</v>
      </c>
      <c r="BE354" s="2" t="s">
        <v>32</v>
      </c>
      <c r="BF354" s="2">
        <v>0</v>
      </c>
      <c r="BG354" s="2" t="s">
        <v>32</v>
      </c>
      <c r="BH354" s="2">
        <v>0</v>
      </c>
      <c r="BI354" s="2" t="s">
        <v>32</v>
      </c>
      <c r="BJ354" s="2" t="s">
        <v>32</v>
      </c>
      <c r="BK354" s="2" t="s">
        <v>32</v>
      </c>
      <c r="BL354" s="2">
        <v>0</v>
      </c>
      <c r="BM354" s="2" t="s">
        <v>32</v>
      </c>
      <c r="BN354" s="2" t="s">
        <v>32</v>
      </c>
      <c r="BO354" s="2" t="s">
        <v>32</v>
      </c>
      <c r="BP354" s="2">
        <v>0</v>
      </c>
      <c r="BQ354" s="2" t="s">
        <v>32</v>
      </c>
      <c r="BR354" s="2">
        <v>0</v>
      </c>
      <c r="BS354" s="2" t="s">
        <v>1660</v>
      </c>
      <c r="BT354" s="2">
        <v>0</v>
      </c>
      <c r="BU354" s="2">
        <v>0</v>
      </c>
      <c r="BV354" s="2" t="s">
        <v>1660</v>
      </c>
      <c r="BW354" s="2"/>
      <c r="BX354" s="2"/>
      <c r="BY354" s="2" t="s">
        <v>1807</v>
      </c>
      <c r="BZ354" s="2" t="b">
        <f>OR( (Dashboard[[#This Row],[ref_as_hh]]&gt;=1),(Dashboard[[#This Row],[ret_as_hh]] &gt;=1), (Dashboard[[#This Row],[idp_as_hh]]&gt;=1))</f>
        <v>0</v>
      </c>
      <c r="CA354" s="2">
        <f>Dashboard[[#This Row],[ret_hi_hh]]</f>
        <v>0</v>
      </c>
      <c r="CB354" s="2">
        <f>Dashboard[[#This Row],[idp_fa_hh]]+Dashboard[[#This Row],[ref_fa_hh]]+Dashboard[[#This Row],[ret_fa_hh]]</f>
        <v>6</v>
      </c>
      <c r="CC354" s="2">
        <f>Dashboard[[#This Row],[idp_loc_hh]]+Dashboard[[#This Row],[ref_loc_hh]]+Dashboard[[#This Row],[ret_loc_hh]]</f>
        <v>0</v>
      </c>
      <c r="CD354" s="2">
        <f>Dashboard[[#This Row],[idp_cc_hh]]+Dashboard[[#This Row],[ref_cc_hh]]+Dashboard[[#This Row],[ret_cc_hh]]</f>
        <v>0</v>
      </c>
      <c r="CE354" s="2">
        <f>Dashboard[[#This Row],[idp_as_hh]]+Dashboard[[#This Row],[ref_as_hh]]+Dashboard[[#This Row],[ret_as_hh]]</f>
        <v>0</v>
      </c>
      <c r="CF354" s="2">
        <f>Dashboard[[#This Row],[idp_al_hh]]+Dashboard[[#This Row],[ref_al_hh]]+Dashboard[[#This Row],[ret_al_hh]]</f>
        <v>0</v>
      </c>
    </row>
    <row r="355" spans="1:84" hidden="1" x14ac:dyDescent="0.25">
      <c r="A355" s="27">
        <v>341</v>
      </c>
      <c r="B355" s="2" t="s">
        <v>22</v>
      </c>
      <c r="C355" s="2" t="s">
        <v>23</v>
      </c>
      <c r="D355" s="2" t="s">
        <v>85</v>
      </c>
      <c r="E355" s="2" t="s">
        <v>84</v>
      </c>
      <c r="F355" s="2" t="s">
        <v>98</v>
      </c>
      <c r="G355" s="2" t="s">
        <v>97</v>
      </c>
      <c r="H355" s="2" t="s">
        <v>1282</v>
      </c>
      <c r="I355" s="2" t="s">
        <v>455</v>
      </c>
      <c r="J355" s="2" t="s">
        <v>3094</v>
      </c>
      <c r="K355" s="2" t="s">
        <v>3095</v>
      </c>
      <c r="L355" s="2" t="s">
        <v>2074</v>
      </c>
      <c r="M355" s="2">
        <v>552</v>
      </c>
      <c r="N355" s="2" t="s">
        <v>1658</v>
      </c>
      <c r="O355" s="2">
        <v>19</v>
      </c>
      <c r="P355" s="2">
        <v>82</v>
      </c>
      <c r="Q355" s="2" t="s">
        <v>1658</v>
      </c>
      <c r="R355" s="2">
        <v>19</v>
      </c>
      <c r="S355" s="2" t="s">
        <v>1660</v>
      </c>
      <c r="T355" s="2">
        <v>0</v>
      </c>
      <c r="U355" s="2" t="s">
        <v>32</v>
      </c>
      <c r="V355" s="2" t="s">
        <v>32</v>
      </c>
      <c r="W355" s="2" t="s">
        <v>1660</v>
      </c>
      <c r="X355" s="2">
        <v>0</v>
      </c>
      <c r="Y355" s="2" t="s">
        <v>32</v>
      </c>
      <c r="Z355" s="2" t="s">
        <v>32</v>
      </c>
      <c r="AA355" s="2" t="s">
        <v>1660</v>
      </c>
      <c r="AB355" s="2">
        <v>0</v>
      </c>
      <c r="AC355" s="2" t="s">
        <v>1660</v>
      </c>
      <c r="AD355" s="2">
        <v>0</v>
      </c>
      <c r="AE355" s="2" t="s">
        <v>1658</v>
      </c>
      <c r="AF355" s="2">
        <v>20</v>
      </c>
      <c r="AG355" s="2">
        <v>120</v>
      </c>
      <c r="AH355" s="2" t="s">
        <v>1660</v>
      </c>
      <c r="AI355" s="2" t="s">
        <v>32</v>
      </c>
      <c r="AJ355" s="2" t="s">
        <v>32</v>
      </c>
      <c r="AK355" s="2" t="s">
        <v>32</v>
      </c>
      <c r="AL355" s="2" t="s">
        <v>1658</v>
      </c>
      <c r="AM355" s="2">
        <v>20</v>
      </c>
      <c r="AN355" s="2" t="s">
        <v>1660</v>
      </c>
      <c r="AO355" s="2">
        <v>0</v>
      </c>
      <c r="AP355" s="2" t="s">
        <v>32</v>
      </c>
      <c r="AQ355" s="2" t="s">
        <v>32</v>
      </c>
      <c r="AR355" s="2" t="s">
        <v>1660</v>
      </c>
      <c r="AS355" s="2">
        <v>0</v>
      </c>
      <c r="AT355" s="2" t="s">
        <v>32</v>
      </c>
      <c r="AU355" s="2" t="s">
        <v>32</v>
      </c>
      <c r="AV355" s="2" t="s">
        <v>1660</v>
      </c>
      <c r="AW355" s="2">
        <v>0</v>
      </c>
      <c r="AX355" s="2" t="s">
        <v>1660</v>
      </c>
      <c r="AY355" s="2">
        <v>0</v>
      </c>
      <c r="AZ355" s="2" t="s">
        <v>1660</v>
      </c>
      <c r="BA355" s="2">
        <v>0</v>
      </c>
      <c r="BB355" s="2">
        <v>0</v>
      </c>
      <c r="BC355" s="2" t="s">
        <v>32</v>
      </c>
      <c r="BD355" s="2">
        <v>0</v>
      </c>
      <c r="BE355" s="2" t="s">
        <v>32</v>
      </c>
      <c r="BF355" s="2">
        <v>0</v>
      </c>
      <c r="BG355" s="2" t="s">
        <v>32</v>
      </c>
      <c r="BH355" s="2">
        <v>0</v>
      </c>
      <c r="BI355" s="2" t="s">
        <v>32</v>
      </c>
      <c r="BJ355" s="2" t="s">
        <v>32</v>
      </c>
      <c r="BK355" s="2" t="s">
        <v>32</v>
      </c>
      <c r="BL355" s="2">
        <v>0</v>
      </c>
      <c r="BM355" s="2" t="s">
        <v>32</v>
      </c>
      <c r="BN355" s="2" t="s">
        <v>32</v>
      </c>
      <c r="BO355" s="2" t="s">
        <v>32</v>
      </c>
      <c r="BP355" s="2">
        <v>0</v>
      </c>
      <c r="BQ355" s="2" t="s">
        <v>32</v>
      </c>
      <c r="BR355" s="2">
        <v>0</v>
      </c>
      <c r="BS355" s="2" t="s">
        <v>1660</v>
      </c>
      <c r="BT355" s="2">
        <v>0</v>
      </c>
      <c r="BU355" s="2">
        <v>0</v>
      </c>
      <c r="BV355" s="2" t="s">
        <v>1660</v>
      </c>
      <c r="BW355" s="2"/>
      <c r="BX355" s="2"/>
      <c r="BY355" s="2" t="s">
        <v>1807</v>
      </c>
      <c r="BZ355" s="2" t="b">
        <f>OR( (Dashboard[[#This Row],[ref_as_hh]]&gt;=1),(Dashboard[[#This Row],[ret_as_hh]] &gt;=1), (Dashboard[[#This Row],[idp_as_hh]]&gt;=1))</f>
        <v>0</v>
      </c>
      <c r="CA355" s="2">
        <f>Dashboard[[#This Row],[ret_hi_hh]]</f>
        <v>0</v>
      </c>
      <c r="CB355" s="2">
        <f>Dashboard[[#This Row],[idp_fa_hh]]+Dashboard[[#This Row],[ref_fa_hh]]+Dashboard[[#This Row],[ret_fa_hh]]</f>
        <v>39</v>
      </c>
      <c r="CC355" s="2">
        <f>Dashboard[[#This Row],[idp_loc_hh]]+Dashboard[[#This Row],[ref_loc_hh]]+Dashboard[[#This Row],[ret_loc_hh]]</f>
        <v>0</v>
      </c>
      <c r="CD355" s="2">
        <f>Dashboard[[#This Row],[idp_cc_hh]]+Dashboard[[#This Row],[ref_cc_hh]]+Dashboard[[#This Row],[ret_cc_hh]]</f>
        <v>0</v>
      </c>
      <c r="CE355" s="2">
        <f>Dashboard[[#This Row],[idp_as_hh]]+Dashboard[[#This Row],[ref_as_hh]]+Dashboard[[#This Row],[ret_as_hh]]</f>
        <v>0</v>
      </c>
      <c r="CF355" s="2">
        <f>Dashboard[[#This Row],[idp_al_hh]]+Dashboard[[#This Row],[ref_al_hh]]+Dashboard[[#This Row],[ret_al_hh]]</f>
        <v>0</v>
      </c>
    </row>
    <row r="356" spans="1:84" hidden="1" x14ac:dyDescent="0.25">
      <c r="A356" s="27">
        <v>88</v>
      </c>
      <c r="B356" s="2" t="s">
        <v>22</v>
      </c>
      <c r="C356" s="2" t="s">
        <v>23</v>
      </c>
      <c r="D356" s="2" t="s">
        <v>85</v>
      </c>
      <c r="E356" s="2" t="s">
        <v>84</v>
      </c>
      <c r="F356" s="2" t="s">
        <v>98</v>
      </c>
      <c r="G356" s="2" t="s">
        <v>97</v>
      </c>
      <c r="H356" s="2" t="s">
        <v>1121</v>
      </c>
      <c r="I356" s="2" t="s">
        <v>374</v>
      </c>
      <c r="J356" s="2" t="s">
        <v>2744</v>
      </c>
      <c r="K356" s="2" t="s">
        <v>2745</v>
      </c>
      <c r="L356" s="2" t="s">
        <v>2074</v>
      </c>
      <c r="M356" s="2">
        <v>1087</v>
      </c>
      <c r="N356" s="2" t="s">
        <v>1658</v>
      </c>
      <c r="O356" s="2">
        <v>36</v>
      </c>
      <c r="P356" s="2">
        <v>139</v>
      </c>
      <c r="Q356" s="2" t="s">
        <v>1658</v>
      </c>
      <c r="R356" s="2">
        <v>36</v>
      </c>
      <c r="S356" s="2" t="s">
        <v>1660</v>
      </c>
      <c r="T356" s="2">
        <v>0</v>
      </c>
      <c r="U356" s="2" t="s">
        <v>32</v>
      </c>
      <c r="V356" s="2" t="s">
        <v>32</v>
      </c>
      <c r="W356" s="2" t="s">
        <v>1660</v>
      </c>
      <c r="X356" s="2">
        <v>0</v>
      </c>
      <c r="Y356" s="2" t="s">
        <v>32</v>
      </c>
      <c r="Z356" s="2" t="s">
        <v>32</v>
      </c>
      <c r="AA356" s="2" t="s">
        <v>1660</v>
      </c>
      <c r="AB356" s="2">
        <v>0</v>
      </c>
      <c r="AC356" s="2" t="s">
        <v>1660</v>
      </c>
      <c r="AD356" s="2">
        <v>0</v>
      </c>
      <c r="AE356" s="2" t="s">
        <v>1660</v>
      </c>
      <c r="AF356" s="2">
        <v>0</v>
      </c>
      <c r="AG356" s="2">
        <v>0</v>
      </c>
      <c r="AH356" s="2" t="s">
        <v>32</v>
      </c>
      <c r="AI356" s="2" t="s">
        <v>32</v>
      </c>
      <c r="AJ356" s="2" t="s">
        <v>32</v>
      </c>
      <c r="AK356" s="2" t="s">
        <v>32</v>
      </c>
      <c r="AL356" s="2" t="s">
        <v>32</v>
      </c>
      <c r="AM356" s="2">
        <v>0</v>
      </c>
      <c r="AN356" s="2" t="s">
        <v>32</v>
      </c>
      <c r="AO356" s="2">
        <v>0</v>
      </c>
      <c r="AP356" s="2" t="s">
        <v>32</v>
      </c>
      <c r="AQ356" s="2" t="s">
        <v>32</v>
      </c>
      <c r="AR356" s="2" t="s">
        <v>32</v>
      </c>
      <c r="AS356" s="2">
        <v>0</v>
      </c>
      <c r="AT356" s="2" t="s">
        <v>32</v>
      </c>
      <c r="AU356" s="2" t="s">
        <v>32</v>
      </c>
      <c r="AV356" s="2" t="s">
        <v>32</v>
      </c>
      <c r="AW356" s="2">
        <v>0</v>
      </c>
      <c r="AX356" s="2" t="s">
        <v>32</v>
      </c>
      <c r="AY356" s="2">
        <v>0</v>
      </c>
      <c r="AZ356" s="2" t="s">
        <v>1658</v>
      </c>
      <c r="BA356" s="2">
        <v>6</v>
      </c>
      <c r="BB356" s="2">
        <v>32</v>
      </c>
      <c r="BC356" s="2" t="s">
        <v>1658</v>
      </c>
      <c r="BD356" s="2">
        <v>2</v>
      </c>
      <c r="BE356" s="2" t="s">
        <v>1658</v>
      </c>
      <c r="BF356" s="2">
        <v>4</v>
      </c>
      <c r="BG356" s="2" t="s">
        <v>1660</v>
      </c>
      <c r="BH356" s="2">
        <v>0</v>
      </c>
      <c r="BI356" s="2" t="s">
        <v>32</v>
      </c>
      <c r="BJ356" s="2" t="s">
        <v>32</v>
      </c>
      <c r="BK356" s="2" t="s">
        <v>1660</v>
      </c>
      <c r="BL356" s="2">
        <v>0</v>
      </c>
      <c r="BM356" s="2" t="s">
        <v>32</v>
      </c>
      <c r="BN356" s="2" t="s">
        <v>32</v>
      </c>
      <c r="BO356" s="2" t="s">
        <v>1660</v>
      </c>
      <c r="BP356" s="2">
        <v>0</v>
      </c>
      <c r="BQ356" s="2" t="s">
        <v>1660</v>
      </c>
      <c r="BR356" s="2">
        <v>0</v>
      </c>
      <c r="BS356" s="2" t="s">
        <v>1660</v>
      </c>
      <c r="BT356" s="2">
        <v>0</v>
      </c>
      <c r="BU356" s="2">
        <v>0</v>
      </c>
      <c r="BV356" s="2" t="s">
        <v>1660</v>
      </c>
      <c r="BW356" s="2"/>
      <c r="BX356" s="2"/>
      <c r="BY356" s="2" t="s">
        <v>1807</v>
      </c>
      <c r="BZ356" s="2" t="b">
        <f>OR( (Dashboard[[#This Row],[ref_as_hh]]&gt;=1),(Dashboard[[#This Row],[ret_as_hh]] &gt;=1), (Dashboard[[#This Row],[idp_as_hh]]&gt;=1))</f>
        <v>0</v>
      </c>
      <c r="CA356" s="2">
        <f>Dashboard[[#This Row],[ret_hi_hh]]</f>
        <v>2</v>
      </c>
      <c r="CB356" s="2">
        <f>Dashboard[[#This Row],[idp_fa_hh]]+Dashboard[[#This Row],[ref_fa_hh]]+Dashboard[[#This Row],[ret_fa_hh]]</f>
        <v>40</v>
      </c>
      <c r="CC356" s="2">
        <f>Dashboard[[#This Row],[idp_loc_hh]]+Dashboard[[#This Row],[ref_loc_hh]]+Dashboard[[#This Row],[ret_loc_hh]]</f>
        <v>0</v>
      </c>
      <c r="CD356" s="2">
        <f>Dashboard[[#This Row],[idp_cc_hh]]+Dashboard[[#This Row],[ref_cc_hh]]+Dashboard[[#This Row],[ret_cc_hh]]</f>
        <v>0</v>
      </c>
      <c r="CE356" s="2">
        <f>Dashboard[[#This Row],[idp_as_hh]]+Dashboard[[#This Row],[ref_as_hh]]+Dashboard[[#This Row],[ret_as_hh]]</f>
        <v>0</v>
      </c>
      <c r="CF356" s="2">
        <f>Dashboard[[#This Row],[idp_al_hh]]+Dashboard[[#This Row],[ref_al_hh]]+Dashboard[[#This Row],[ret_al_hh]]</f>
        <v>0</v>
      </c>
    </row>
    <row r="357" spans="1:84" x14ac:dyDescent="0.25">
      <c r="A357" s="27">
        <v>89</v>
      </c>
      <c r="B357" s="2" t="s">
        <v>22</v>
      </c>
      <c r="C357" s="2" t="s">
        <v>23</v>
      </c>
      <c r="D357" s="2" t="s">
        <v>85</v>
      </c>
      <c r="E357" s="2" t="s">
        <v>84</v>
      </c>
      <c r="F357" s="2" t="s">
        <v>98</v>
      </c>
      <c r="G357" s="2" t="s">
        <v>97</v>
      </c>
      <c r="H357" s="2" t="s">
        <v>1266</v>
      </c>
      <c r="I357" s="2" t="s">
        <v>446</v>
      </c>
      <c r="J357" s="2" t="s">
        <v>3058</v>
      </c>
      <c r="K357" s="2" t="s">
        <v>3059</v>
      </c>
      <c r="L357" s="2" t="s">
        <v>2074</v>
      </c>
      <c r="M357" s="2">
        <v>903</v>
      </c>
      <c r="N357" s="2" t="s">
        <v>1658</v>
      </c>
      <c r="O357" s="2">
        <v>40</v>
      </c>
      <c r="P357" s="2">
        <v>340</v>
      </c>
      <c r="Q357" s="2" t="s">
        <v>1658</v>
      </c>
      <c r="R357" s="2">
        <v>40</v>
      </c>
      <c r="S357" s="2" t="s">
        <v>1660</v>
      </c>
      <c r="T357" s="2">
        <v>0</v>
      </c>
      <c r="U357" s="2" t="s">
        <v>32</v>
      </c>
      <c r="V357" s="2" t="s">
        <v>32</v>
      </c>
      <c r="W357" s="2" t="s">
        <v>1660</v>
      </c>
      <c r="X357" s="2">
        <v>0</v>
      </c>
      <c r="Y357" s="2" t="s">
        <v>32</v>
      </c>
      <c r="Z357" s="2" t="s">
        <v>32</v>
      </c>
      <c r="AA357" s="2" t="s">
        <v>1660</v>
      </c>
      <c r="AB357" s="2">
        <v>0</v>
      </c>
      <c r="AC357" s="2" t="s">
        <v>1660</v>
      </c>
      <c r="AD357" s="2">
        <v>0</v>
      </c>
      <c r="AE357" s="2" t="s">
        <v>1658</v>
      </c>
      <c r="AF357" s="2">
        <v>63</v>
      </c>
      <c r="AG357" s="2">
        <v>471</v>
      </c>
      <c r="AH357" s="2" t="s">
        <v>1658</v>
      </c>
      <c r="AI357" s="2" t="s">
        <v>1821</v>
      </c>
      <c r="AJ357" s="2" t="s">
        <v>98</v>
      </c>
      <c r="AK357" s="2" t="s">
        <v>806</v>
      </c>
      <c r="AL357" s="2" t="s">
        <v>1658</v>
      </c>
      <c r="AM357" s="2">
        <v>40</v>
      </c>
      <c r="AN357" s="2" t="s">
        <v>1660</v>
      </c>
      <c r="AO357" s="2">
        <v>0</v>
      </c>
      <c r="AP357" s="2" t="s">
        <v>32</v>
      </c>
      <c r="AQ357" s="2" t="s">
        <v>32</v>
      </c>
      <c r="AR357" s="2" t="s">
        <v>1660</v>
      </c>
      <c r="AS357" s="2">
        <v>0</v>
      </c>
      <c r="AT357" s="2" t="s">
        <v>32</v>
      </c>
      <c r="AU357" s="2" t="s">
        <v>32</v>
      </c>
      <c r="AV357" s="2" t="s">
        <v>1658</v>
      </c>
      <c r="AW357" s="2">
        <v>23</v>
      </c>
      <c r="AX357" s="2" t="s">
        <v>1660</v>
      </c>
      <c r="AY357" s="2">
        <v>0</v>
      </c>
      <c r="AZ357" s="2" t="s">
        <v>1660</v>
      </c>
      <c r="BA357" s="2">
        <v>0</v>
      </c>
      <c r="BB357" s="2">
        <v>0</v>
      </c>
      <c r="BC357" s="2" t="s">
        <v>32</v>
      </c>
      <c r="BD357" s="2">
        <v>0</v>
      </c>
      <c r="BE357" s="2" t="s">
        <v>32</v>
      </c>
      <c r="BF357" s="2">
        <v>0</v>
      </c>
      <c r="BG357" s="2" t="s">
        <v>32</v>
      </c>
      <c r="BH357" s="2">
        <v>0</v>
      </c>
      <c r="BI357" s="2" t="s">
        <v>32</v>
      </c>
      <c r="BJ357" s="2" t="s">
        <v>32</v>
      </c>
      <c r="BK357" s="2" t="s">
        <v>32</v>
      </c>
      <c r="BL357" s="2">
        <v>0</v>
      </c>
      <c r="BM357" s="2" t="s">
        <v>32</v>
      </c>
      <c r="BN357" s="2" t="s">
        <v>32</v>
      </c>
      <c r="BO357" s="2" t="s">
        <v>32</v>
      </c>
      <c r="BP357" s="2">
        <v>0</v>
      </c>
      <c r="BQ357" s="2" t="s">
        <v>32</v>
      </c>
      <c r="BR357" s="2">
        <v>0</v>
      </c>
      <c r="BS357" s="2" t="s">
        <v>1660</v>
      </c>
      <c r="BT357" s="2">
        <v>0</v>
      </c>
      <c r="BU357" s="2">
        <v>0</v>
      </c>
      <c r="BV357" s="2" t="s">
        <v>1660</v>
      </c>
      <c r="BW357" s="2"/>
      <c r="BX357" s="2"/>
      <c r="BY357" s="2" t="s">
        <v>1807</v>
      </c>
      <c r="BZ357" s="2" t="b">
        <f>OR( (Dashboard[[#This Row],[ref_as_hh]]&gt;=1),(Dashboard[[#This Row],[ret_as_hh]] &gt;=1), (Dashboard[[#This Row],[idp_as_hh]]&gt;=1))</f>
        <v>1</v>
      </c>
      <c r="CA357" s="2">
        <f>Dashboard[[#This Row],[ret_hi_hh]]</f>
        <v>0</v>
      </c>
      <c r="CB357" s="2">
        <f>Dashboard[[#This Row],[idp_fa_hh]]+Dashboard[[#This Row],[ref_fa_hh]]+Dashboard[[#This Row],[ret_fa_hh]]</f>
        <v>80</v>
      </c>
      <c r="CC357" s="2">
        <f>Dashboard[[#This Row],[idp_loc_hh]]+Dashboard[[#This Row],[ref_loc_hh]]+Dashboard[[#This Row],[ret_loc_hh]]</f>
        <v>0</v>
      </c>
      <c r="CD357" s="2">
        <f>Dashboard[[#This Row],[idp_cc_hh]]+Dashboard[[#This Row],[ref_cc_hh]]+Dashboard[[#This Row],[ret_cc_hh]]</f>
        <v>0</v>
      </c>
      <c r="CE357" s="2">
        <f>Dashboard[[#This Row],[idp_as_hh]]+Dashboard[[#This Row],[ref_as_hh]]+Dashboard[[#This Row],[ret_as_hh]]</f>
        <v>23</v>
      </c>
      <c r="CF357" s="2">
        <f>Dashboard[[#This Row],[idp_al_hh]]+Dashboard[[#This Row],[ref_al_hh]]+Dashboard[[#This Row],[ret_al_hh]]</f>
        <v>0</v>
      </c>
    </row>
    <row r="358" spans="1:84" hidden="1" x14ac:dyDescent="0.25">
      <c r="A358" s="27">
        <v>96</v>
      </c>
      <c r="B358" s="2" t="s">
        <v>22</v>
      </c>
      <c r="C358" s="2" t="s">
        <v>23</v>
      </c>
      <c r="D358" s="2" t="s">
        <v>85</v>
      </c>
      <c r="E358" s="2" t="s">
        <v>84</v>
      </c>
      <c r="F358" s="2" t="s">
        <v>98</v>
      </c>
      <c r="G358" s="2" t="s">
        <v>97</v>
      </c>
      <c r="H358" s="2" t="s">
        <v>1175</v>
      </c>
      <c r="I358" s="2" t="s">
        <v>396</v>
      </c>
      <c r="J358" s="2" t="s">
        <v>2852</v>
      </c>
      <c r="K358" s="2" t="s">
        <v>2853</v>
      </c>
      <c r="L358" s="2" t="s">
        <v>2074</v>
      </c>
      <c r="M358" s="2">
        <v>671</v>
      </c>
      <c r="N358" s="2" t="s">
        <v>1658</v>
      </c>
      <c r="O358" s="2">
        <v>13</v>
      </c>
      <c r="P358" s="2">
        <v>77</v>
      </c>
      <c r="Q358" s="2" t="s">
        <v>1658</v>
      </c>
      <c r="R358" s="2">
        <v>13</v>
      </c>
      <c r="S358" s="2" t="s">
        <v>1660</v>
      </c>
      <c r="T358" s="2">
        <v>0</v>
      </c>
      <c r="U358" s="2" t="s">
        <v>32</v>
      </c>
      <c r="V358" s="2" t="s">
        <v>32</v>
      </c>
      <c r="W358" s="2" t="s">
        <v>1660</v>
      </c>
      <c r="X358" s="2">
        <v>0</v>
      </c>
      <c r="Y358" s="2" t="s">
        <v>32</v>
      </c>
      <c r="Z358" s="2" t="s">
        <v>32</v>
      </c>
      <c r="AA358" s="2" t="s">
        <v>1660</v>
      </c>
      <c r="AB358" s="2">
        <v>0</v>
      </c>
      <c r="AC358" s="2" t="s">
        <v>1660</v>
      </c>
      <c r="AD358" s="2">
        <v>0</v>
      </c>
      <c r="AE358" s="2" t="s">
        <v>1660</v>
      </c>
      <c r="AF358" s="2">
        <v>0</v>
      </c>
      <c r="AG358" s="2">
        <v>0</v>
      </c>
      <c r="AH358" s="2" t="s">
        <v>32</v>
      </c>
      <c r="AI358" s="2" t="s">
        <v>32</v>
      </c>
      <c r="AJ358" s="2" t="s">
        <v>32</v>
      </c>
      <c r="AK358" s="2" t="s">
        <v>32</v>
      </c>
      <c r="AL358" s="2" t="s">
        <v>32</v>
      </c>
      <c r="AM358" s="2">
        <v>0</v>
      </c>
      <c r="AN358" s="2" t="s">
        <v>32</v>
      </c>
      <c r="AO358" s="2">
        <v>0</v>
      </c>
      <c r="AP358" s="2" t="s">
        <v>32</v>
      </c>
      <c r="AQ358" s="2" t="s">
        <v>32</v>
      </c>
      <c r="AR358" s="2" t="s">
        <v>32</v>
      </c>
      <c r="AS358" s="2">
        <v>0</v>
      </c>
      <c r="AT358" s="2" t="s">
        <v>32</v>
      </c>
      <c r="AU358" s="2" t="s">
        <v>32</v>
      </c>
      <c r="AV358" s="2" t="s">
        <v>32</v>
      </c>
      <c r="AW358" s="2">
        <v>0</v>
      </c>
      <c r="AX358" s="2" t="s">
        <v>32</v>
      </c>
      <c r="AY358" s="2">
        <v>0</v>
      </c>
      <c r="AZ358" s="2" t="s">
        <v>1660</v>
      </c>
      <c r="BA358" s="2">
        <v>0</v>
      </c>
      <c r="BB358" s="2">
        <v>0</v>
      </c>
      <c r="BC358" s="2" t="s">
        <v>32</v>
      </c>
      <c r="BD358" s="2">
        <v>0</v>
      </c>
      <c r="BE358" s="2" t="s">
        <v>32</v>
      </c>
      <c r="BF358" s="2">
        <v>0</v>
      </c>
      <c r="BG358" s="2" t="s">
        <v>32</v>
      </c>
      <c r="BH358" s="2">
        <v>0</v>
      </c>
      <c r="BI358" s="2" t="s">
        <v>32</v>
      </c>
      <c r="BJ358" s="2" t="s">
        <v>32</v>
      </c>
      <c r="BK358" s="2" t="s">
        <v>32</v>
      </c>
      <c r="BL358" s="2">
        <v>0</v>
      </c>
      <c r="BM358" s="2" t="s">
        <v>32</v>
      </c>
      <c r="BN358" s="2" t="s">
        <v>32</v>
      </c>
      <c r="BO358" s="2" t="s">
        <v>32</v>
      </c>
      <c r="BP358" s="2">
        <v>0</v>
      </c>
      <c r="BQ358" s="2" t="s">
        <v>32</v>
      </c>
      <c r="BR358" s="2">
        <v>0</v>
      </c>
      <c r="BS358" s="2" t="s">
        <v>1660</v>
      </c>
      <c r="BT358" s="2">
        <v>0</v>
      </c>
      <c r="BU358" s="2">
        <v>0</v>
      </c>
      <c r="BV358" s="2" t="s">
        <v>1660</v>
      </c>
      <c r="BW358" s="2"/>
      <c r="BX358" s="2"/>
      <c r="BY358" s="2" t="s">
        <v>1807</v>
      </c>
      <c r="BZ358" s="2" t="b">
        <f>OR( (Dashboard[[#This Row],[ref_as_hh]]&gt;=1),(Dashboard[[#This Row],[ret_as_hh]] &gt;=1), (Dashboard[[#This Row],[idp_as_hh]]&gt;=1))</f>
        <v>0</v>
      </c>
      <c r="CA358" s="2">
        <f>Dashboard[[#This Row],[ret_hi_hh]]</f>
        <v>0</v>
      </c>
      <c r="CB358" s="2">
        <f>Dashboard[[#This Row],[idp_fa_hh]]+Dashboard[[#This Row],[ref_fa_hh]]+Dashboard[[#This Row],[ret_fa_hh]]</f>
        <v>13</v>
      </c>
      <c r="CC358" s="2">
        <f>Dashboard[[#This Row],[idp_loc_hh]]+Dashboard[[#This Row],[ref_loc_hh]]+Dashboard[[#This Row],[ret_loc_hh]]</f>
        <v>0</v>
      </c>
      <c r="CD358" s="2">
        <f>Dashboard[[#This Row],[idp_cc_hh]]+Dashboard[[#This Row],[ref_cc_hh]]+Dashboard[[#This Row],[ret_cc_hh]]</f>
        <v>0</v>
      </c>
      <c r="CE358" s="2">
        <f>Dashboard[[#This Row],[idp_as_hh]]+Dashboard[[#This Row],[ref_as_hh]]+Dashboard[[#This Row],[ret_as_hh]]</f>
        <v>0</v>
      </c>
      <c r="CF358" s="2">
        <f>Dashboard[[#This Row],[idp_al_hh]]+Dashboard[[#This Row],[ref_al_hh]]+Dashboard[[#This Row],[ret_al_hh]]</f>
        <v>0</v>
      </c>
    </row>
    <row r="359" spans="1:84" hidden="1" x14ac:dyDescent="0.25">
      <c r="A359" s="27">
        <v>100</v>
      </c>
      <c r="B359" s="2" t="s">
        <v>22</v>
      </c>
      <c r="C359" s="2" t="s">
        <v>23</v>
      </c>
      <c r="D359" s="2" t="s">
        <v>85</v>
      </c>
      <c r="E359" s="2" t="s">
        <v>84</v>
      </c>
      <c r="F359" s="2" t="s">
        <v>98</v>
      </c>
      <c r="G359" s="2" t="s">
        <v>97</v>
      </c>
      <c r="H359" s="2" t="s">
        <v>1140</v>
      </c>
      <c r="I359" s="2" t="s">
        <v>382</v>
      </c>
      <c r="J359" s="2" t="s">
        <v>2776</v>
      </c>
      <c r="K359" s="2" t="s">
        <v>2777</v>
      </c>
      <c r="L359" s="2" t="s">
        <v>2078</v>
      </c>
      <c r="M359" s="2">
        <v>773</v>
      </c>
      <c r="N359" s="2" t="s">
        <v>1658</v>
      </c>
      <c r="O359" s="2">
        <v>4</v>
      </c>
      <c r="P359" s="2">
        <v>19</v>
      </c>
      <c r="Q359" s="2" t="s">
        <v>1658</v>
      </c>
      <c r="R359" s="2">
        <v>4</v>
      </c>
      <c r="S359" s="2" t="s">
        <v>1660</v>
      </c>
      <c r="T359" s="2">
        <v>0</v>
      </c>
      <c r="U359" s="2" t="s">
        <v>32</v>
      </c>
      <c r="V359" s="2" t="s">
        <v>32</v>
      </c>
      <c r="W359" s="2" t="s">
        <v>1660</v>
      </c>
      <c r="X359" s="2">
        <v>0</v>
      </c>
      <c r="Y359" s="2" t="s">
        <v>32</v>
      </c>
      <c r="Z359" s="2" t="s">
        <v>32</v>
      </c>
      <c r="AA359" s="2" t="s">
        <v>1660</v>
      </c>
      <c r="AB359" s="2">
        <v>0</v>
      </c>
      <c r="AC359" s="2" t="s">
        <v>1660</v>
      </c>
      <c r="AD359" s="2">
        <v>0</v>
      </c>
      <c r="AE359" s="2" t="s">
        <v>1658</v>
      </c>
      <c r="AF359" s="2">
        <v>9</v>
      </c>
      <c r="AG359" s="2">
        <v>41</v>
      </c>
      <c r="AH359" s="2" t="s">
        <v>1660</v>
      </c>
      <c r="AI359" s="2" t="s">
        <v>32</v>
      </c>
      <c r="AJ359" s="2" t="s">
        <v>32</v>
      </c>
      <c r="AK359" s="2" t="s">
        <v>32</v>
      </c>
      <c r="AL359" s="2" t="s">
        <v>1658</v>
      </c>
      <c r="AM359" s="2">
        <v>9</v>
      </c>
      <c r="AN359" s="2" t="s">
        <v>1660</v>
      </c>
      <c r="AO359" s="2">
        <v>0</v>
      </c>
      <c r="AP359" s="2" t="s">
        <v>32</v>
      </c>
      <c r="AQ359" s="2" t="s">
        <v>32</v>
      </c>
      <c r="AR359" s="2" t="s">
        <v>1660</v>
      </c>
      <c r="AS359" s="2">
        <v>0</v>
      </c>
      <c r="AT359" s="2" t="s">
        <v>32</v>
      </c>
      <c r="AU359" s="2" t="s">
        <v>32</v>
      </c>
      <c r="AV359" s="2" t="s">
        <v>1660</v>
      </c>
      <c r="AW359" s="2">
        <v>0</v>
      </c>
      <c r="AX359" s="2" t="s">
        <v>1660</v>
      </c>
      <c r="AY359" s="2">
        <v>0</v>
      </c>
      <c r="AZ359" s="2" t="s">
        <v>1660</v>
      </c>
      <c r="BA359" s="2">
        <v>0</v>
      </c>
      <c r="BB359" s="2">
        <v>0</v>
      </c>
      <c r="BC359" s="2" t="s">
        <v>32</v>
      </c>
      <c r="BD359" s="2">
        <v>0</v>
      </c>
      <c r="BE359" s="2" t="s">
        <v>32</v>
      </c>
      <c r="BF359" s="2">
        <v>0</v>
      </c>
      <c r="BG359" s="2" t="s">
        <v>32</v>
      </c>
      <c r="BH359" s="2">
        <v>0</v>
      </c>
      <c r="BI359" s="2" t="s">
        <v>32</v>
      </c>
      <c r="BJ359" s="2" t="s">
        <v>32</v>
      </c>
      <c r="BK359" s="2" t="s">
        <v>32</v>
      </c>
      <c r="BL359" s="2">
        <v>0</v>
      </c>
      <c r="BM359" s="2" t="s">
        <v>32</v>
      </c>
      <c r="BN359" s="2" t="s">
        <v>32</v>
      </c>
      <c r="BO359" s="2" t="s">
        <v>32</v>
      </c>
      <c r="BP359" s="2">
        <v>0</v>
      </c>
      <c r="BQ359" s="2" t="s">
        <v>32</v>
      </c>
      <c r="BR359" s="2">
        <v>0</v>
      </c>
      <c r="BS359" s="2" t="s">
        <v>1660</v>
      </c>
      <c r="BT359" s="2">
        <v>0</v>
      </c>
      <c r="BU359" s="2">
        <v>0</v>
      </c>
      <c r="BV359" s="2" t="s">
        <v>1660</v>
      </c>
      <c r="BW359" s="2"/>
      <c r="BX359" s="2"/>
      <c r="BY359" s="2" t="s">
        <v>1807</v>
      </c>
      <c r="BZ359" s="2" t="b">
        <f>OR( (Dashboard[[#This Row],[ref_as_hh]]&gt;=1),(Dashboard[[#This Row],[ret_as_hh]] &gt;=1), (Dashboard[[#This Row],[idp_as_hh]]&gt;=1))</f>
        <v>0</v>
      </c>
      <c r="CA359" s="2">
        <f>Dashboard[[#This Row],[ret_hi_hh]]</f>
        <v>0</v>
      </c>
      <c r="CB359" s="2">
        <f>Dashboard[[#This Row],[idp_fa_hh]]+Dashboard[[#This Row],[ref_fa_hh]]+Dashboard[[#This Row],[ret_fa_hh]]</f>
        <v>13</v>
      </c>
      <c r="CC359" s="2">
        <f>Dashboard[[#This Row],[idp_loc_hh]]+Dashboard[[#This Row],[ref_loc_hh]]+Dashboard[[#This Row],[ret_loc_hh]]</f>
        <v>0</v>
      </c>
      <c r="CD359" s="2">
        <f>Dashboard[[#This Row],[idp_cc_hh]]+Dashboard[[#This Row],[ref_cc_hh]]+Dashboard[[#This Row],[ret_cc_hh]]</f>
        <v>0</v>
      </c>
      <c r="CE359" s="2">
        <f>Dashboard[[#This Row],[idp_as_hh]]+Dashboard[[#This Row],[ref_as_hh]]+Dashboard[[#This Row],[ret_as_hh]]</f>
        <v>0</v>
      </c>
      <c r="CF359" s="2">
        <f>Dashboard[[#This Row],[idp_al_hh]]+Dashboard[[#This Row],[ref_al_hh]]+Dashboard[[#This Row],[ret_al_hh]]</f>
        <v>0</v>
      </c>
    </row>
    <row r="360" spans="1:84" hidden="1" x14ac:dyDescent="0.25">
      <c r="A360" s="27">
        <v>101</v>
      </c>
      <c r="B360" s="2" t="s">
        <v>22</v>
      </c>
      <c r="C360" s="2" t="s">
        <v>23</v>
      </c>
      <c r="D360" s="2" t="s">
        <v>85</v>
      </c>
      <c r="E360" s="2" t="s">
        <v>84</v>
      </c>
      <c r="F360" s="2" t="s">
        <v>98</v>
      </c>
      <c r="G360" s="2" t="s">
        <v>97</v>
      </c>
      <c r="H360" s="2" t="s">
        <v>1508</v>
      </c>
      <c r="I360" s="2" t="s">
        <v>624</v>
      </c>
      <c r="J360" s="2" t="s">
        <v>2818</v>
      </c>
      <c r="K360" s="2" t="s">
        <v>2819</v>
      </c>
      <c r="L360" s="2" t="s">
        <v>2074</v>
      </c>
      <c r="M360" s="2">
        <v>332</v>
      </c>
      <c r="N360" s="2" t="s">
        <v>1660</v>
      </c>
      <c r="O360" s="2">
        <v>0</v>
      </c>
      <c r="P360" s="2">
        <v>0</v>
      </c>
      <c r="Q360" s="2" t="s">
        <v>32</v>
      </c>
      <c r="R360" s="2">
        <v>0</v>
      </c>
      <c r="S360" s="2" t="s">
        <v>32</v>
      </c>
      <c r="T360" s="2">
        <v>0</v>
      </c>
      <c r="U360" s="2" t="s">
        <v>32</v>
      </c>
      <c r="V360" s="2" t="s">
        <v>32</v>
      </c>
      <c r="W360" s="2" t="s">
        <v>32</v>
      </c>
      <c r="X360" s="2">
        <v>0</v>
      </c>
      <c r="Y360" s="2" t="s">
        <v>32</v>
      </c>
      <c r="Z360" s="2" t="s">
        <v>32</v>
      </c>
      <c r="AA360" s="2" t="s">
        <v>32</v>
      </c>
      <c r="AB360" s="2">
        <v>0</v>
      </c>
      <c r="AC360" s="2" t="s">
        <v>32</v>
      </c>
      <c r="AD360" s="2">
        <v>0</v>
      </c>
      <c r="AE360" s="2" t="s">
        <v>1658</v>
      </c>
      <c r="AF360" s="2">
        <v>22</v>
      </c>
      <c r="AG360" s="2">
        <v>187</v>
      </c>
      <c r="AH360" s="2" t="s">
        <v>1660</v>
      </c>
      <c r="AI360" s="2" t="s">
        <v>32</v>
      </c>
      <c r="AJ360" s="2" t="s">
        <v>32</v>
      </c>
      <c r="AK360" s="2" t="s">
        <v>32</v>
      </c>
      <c r="AL360" s="2" t="s">
        <v>1658</v>
      </c>
      <c r="AM360" s="2">
        <v>22</v>
      </c>
      <c r="AN360" s="2" t="s">
        <v>1660</v>
      </c>
      <c r="AO360" s="2">
        <v>0</v>
      </c>
      <c r="AP360" s="2" t="s">
        <v>32</v>
      </c>
      <c r="AQ360" s="2" t="s">
        <v>32</v>
      </c>
      <c r="AR360" s="2" t="s">
        <v>1660</v>
      </c>
      <c r="AS360" s="2">
        <v>0</v>
      </c>
      <c r="AT360" s="2" t="s">
        <v>32</v>
      </c>
      <c r="AU360" s="2" t="s">
        <v>32</v>
      </c>
      <c r="AV360" s="2" t="s">
        <v>1660</v>
      </c>
      <c r="AW360" s="2">
        <v>0</v>
      </c>
      <c r="AX360" s="2" t="s">
        <v>1660</v>
      </c>
      <c r="AY360" s="2">
        <v>0</v>
      </c>
      <c r="AZ360" s="2" t="s">
        <v>1660</v>
      </c>
      <c r="BA360" s="2">
        <v>0</v>
      </c>
      <c r="BB360" s="2">
        <v>0</v>
      </c>
      <c r="BC360" s="2" t="s">
        <v>32</v>
      </c>
      <c r="BD360" s="2">
        <v>0</v>
      </c>
      <c r="BE360" s="2" t="s">
        <v>32</v>
      </c>
      <c r="BF360" s="2">
        <v>0</v>
      </c>
      <c r="BG360" s="2" t="s">
        <v>32</v>
      </c>
      <c r="BH360" s="2">
        <v>0</v>
      </c>
      <c r="BI360" s="2" t="s">
        <v>32</v>
      </c>
      <c r="BJ360" s="2" t="s">
        <v>32</v>
      </c>
      <c r="BK360" s="2" t="s">
        <v>32</v>
      </c>
      <c r="BL360" s="2">
        <v>0</v>
      </c>
      <c r="BM360" s="2" t="s">
        <v>32</v>
      </c>
      <c r="BN360" s="2" t="s">
        <v>32</v>
      </c>
      <c r="BO360" s="2" t="s">
        <v>32</v>
      </c>
      <c r="BP360" s="2">
        <v>0</v>
      </c>
      <c r="BQ360" s="2" t="s">
        <v>32</v>
      </c>
      <c r="BR360" s="2">
        <v>0</v>
      </c>
      <c r="BS360" s="2" t="s">
        <v>1660</v>
      </c>
      <c r="BT360" s="2">
        <v>0</v>
      </c>
      <c r="BU360" s="2">
        <v>0</v>
      </c>
      <c r="BV360" s="2" t="s">
        <v>1660</v>
      </c>
      <c r="BW360" s="2"/>
      <c r="BX360" s="2"/>
      <c r="BY360" s="2" t="s">
        <v>1807</v>
      </c>
      <c r="BZ360" s="2" t="b">
        <f>OR( (Dashboard[[#This Row],[ref_as_hh]]&gt;=1),(Dashboard[[#This Row],[ret_as_hh]] &gt;=1), (Dashboard[[#This Row],[idp_as_hh]]&gt;=1))</f>
        <v>0</v>
      </c>
      <c r="CA360" s="2">
        <f>Dashboard[[#This Row],[ret_hi_hh]]</f>
        <v>0</v>
      </c>
      <c r="CB360" s="2">
        <f>Dashboard[[#This Row],[idp_fa_hh]]+Dashboard[[#This Row],[ref_fa_hh]]+Dashboard[[#This Row],[ret_fa_hh]]</f>
        <v>22</v>
      </c>
      <c r="CC360" s="2">
        <f>Dashboard[[#This Row],[idp_loc_hh]]+Dashboard[[#This Row],[ref_loc_hh]]+Dashboard[[#This Row],[ret_loc_hh]]</f>
        <v>0</v>
      </c>
      <c r="CD360" s="2">
        <f>Dashboard[[#This Row],[idp_cc_hh]]+Dashboard[[#This Row],[ref_cc_hh]]+Dashboard[[#This Row],[ret_cc_hh]]</f>
        <v>0</v>
      </c>
      <c r="CE360" s="2">
        <f>Dashboard[[#This Row],[idp_as_hh]]+Dashboard[[#This Row],[ref_as_hh]]+Dashboard[[#This Row],[ret_as_hh]]</f>
        <v>0</v>
      </c>
      <c r="CF360" s="2">
        <f>Dashboard[[#This Row],[idp_al_hh]]+Dashboard[[#This Row],[ref_al_hh]]+Dashboard[[#This Row],[ret_al_hh]]</f>
        <v>0</v>
      </c>
    </row>
    <row r="361" spans="1:84" x14ac:dyDescent="0.25">
      <c r="A361" s="27">
        <v>103</v>
      </c>
      <c r="B361" s="2" t="s">
        <v>22</v>
      </c>
      <c r="C361" s="2" t="s">
        <v>23</v>
      </c>
      <c r="D361" s="2" t="s">
        <v>85</v>
      </c>
      <c r="E361" s="2" t="s">
        <v>84</v>
      </c>
      <c r="F361" s="2" t="s">
        <v>98</v>
      </c>
      <c r="G361" s="2" t="s">
        <v>97</v>
      </c>
      <c r="H361" s="2" t="s">
        <v>1171</v>
      </c>
      <c r="I361" s="2" t="s">
        <v>163</v>
      </c>
      <c r="J361" s="2" t="s">
        <v>2844</v>
      </c>
      <c r="K361" s="2" t="s">
        <v>2845</v>
      </c>
      <c r="L361" s="2" t="s">
        <v>2074</v>
      </c>
      <c r="M361" s="2">
        <v>3000</v>
      </c>
      <c r="N361" s="2" t="s">
        <v>1658</v>
      </c>
      <c r="O361" s="2">
        <v>196</v>
      </c>
      <c r="P361" s="2">
        <v>1365</v>
      </c>
      <c r="Q361" s="2" t="s">
        <v>1658</v>
      </c>
      <c r="R361" s="2">
        <v>80</v>
      </c>
      <c r="S361" s="2" t="s">
        <v>1660</v>
      </c>
      <c r="T361" s="2">
        <v>0</v>
      </c>
      <c r="U361" s="2" t="s">
        <v>32</v>
      </c>
      <c r="V361" s="2" t="s">
        <v>32</v>
      </c>
      <c r="W361" s="2" t="s">
        <v>1660</v>
      </c>
      <c r="X361" s="2">
        <v>0</v>
      </c>
      <c r="Y361" s="2" t="s">
        <v>32</v>
      </c>
      <c r="Z361" s="2" t="s">
        <v>32</v>
      </c>
      <c r="AA361" s="2" t="s">
        <v>1658</v>
      </c>
      <c r="AB361" s="2">
        <v>15</v>
      </c>
      <c r="AC361" s="2" t="s">
        <v>1658</v>
      </c>
      <c r="AD361" s="2">
        <v>101</v>
      </c>
      <c r="AE361" s="2" t="s">
        <v>1658</v>
      </c>
      <c r="AF361" s="2">
        <v>21</v>
      </c>
      <c r="AG361" s="2">
        <v>250</v>
      </c>
      <c r="AH361" s="2" t="s">
        <v>1660</v>
      </c>
      <c r="AI361" s="2" t="s">
        <v>32</v>
      </c>
      <c r="AJ361" s="2" t="s">
        <v>32</v>
      </c>
      <c r="AK361" s="2" t="s">
        <v>32</v>
      </c>
      <c r="AL361" s="2" t="s">
        <v>1658</v>
      </c>
      <c r="AM361" s="2">
        <v>10</v>
      </c>
      <c r="AN361" s="2" t="s">
        <v>1660</v>
      </c>
      <c r="AO361" s="2">
        <v>0</v>
      </c>
      <c r="AP361" s="2" t="s">
        <v>32</v>
      </c>
      <c r="AQ361" s="2" t="s">
        <v>32</v>
      </c>
      <c r="AR361" s="2" t="s">
        <v>1660</v>
      </c>
      <c r="AS361" s="2">
        <v>0</v>
      </c>
      <c r="AT361" s="2" t="s">
        <v>32</v>
      </c>
      <c r="AU361" s="2" t="s">
        <v>32</v>
      </c>
      <c r="AV361" s="2" t="s">
        <v>1658</v>
      </c>
      <c r="AW361" s="2">
        <v>11</v>
      </c>
      <c r="AX361" s="2" t="s">
        <v>1660</v>
      </c>
      <c r="AY361" s="2">
        <v>0</v>
      </c>
      <c r="AZ361" s="2" t="s">
        <v>1658</v>
      </c>
      <c r="BA361" s="2">
        <v>70</v>
      </c>
      <c r="BB361" s="2">
        <v>350</v>
      </c>
      <c r="BC361" s="2" t="s">
        <v>1658</v>
      </c>
      <c r="BD361" s="2">
        <v>50</v>
      </c>
      <c r="BE361" s="2" t="s">
        <v>1658</v>
      </c>
      <c r="BF361" s="2">
        <v>20</v>
      </c>
      <c r="BG361" s="2" t="s">
        <v>1660</v>
      </c>
      <c r="BH361" s="2">
        <v>0</v>
      </c>
      <c r="BI361" s="2" t="s">
        <v>32</v>
      </c>
      <c r="BJ361" s="2" t="s">
        <v>32</v>
      </c>
      <c r="BK361" s="2" t="s">
        <v>1660</v>
      </c>
      <c r="BL361" s="2">
        <v>0</v>
      </c>
      <c r="BM361" s="2" t="s">
        <v>32</v>
      </c>
      <c r="BN361" s="2" t="s">
        <v>32</v>
      </c>
      <c r="BO361" s="2" t="s">
        <v>1660</v>
      </c>
      <c r="BP361" s="2">
        <v>0</v>
      </c>
      <c r="BQ361" s="2" t="s">
        <v>1660</v>
      </c>
      <c r="BR361" s="2">
        <v>0</v>
      </c>
      <c r="BS361" s="2" t="s">
        <v>1660</v>
      </c>
      <c r="BT361" s="2">
        <v>0</v>
      </c>
      <c r="BU361" s="2">
        <v>0</v>
      </c>
      <c r="BV361" s="2" t="s">
        <v>1660</v>
      </c>
      <c r="BW361" s="2"/>
      <c r="BX361" s="2"/>
      <c r="BY361" s="2" t="s">
        <v>1807</v>
      </c>
      <c r="BZ361" s="2" t="b">
        <f>OR( (Dashboard[[#This Row],[ref_as_hh]]&gt;=1),(Dashboard[[#This Row],[ret_as_hh]] &gt;=1), (Dashboard[[#This Row],[idp_as_hh]]&gt;=1))</f>
        <v>1</v>
      </c>
      <c r="CA361" s="2">
        <f>Dashboard[[#This Row],[ret_hi_hh]]</f>
        <v>50</v>
      </c>
      <c r="CB361" s="2">
        <f>Dashboard[[#This Row],[idp_fa_hh]]+Dashboard[[#This Row],[ref_fa_hh]]+Dashboard[[#This Row],[ret_fa_hh]]</f>
        <v>110</v>
      </c>
      <c r="CC361" s="2">
        <f>Dashboard[[#This Row],[idp_loc_hh]]+Dashboard[[#This Row],[ref_loc_hh]]+Dashboard[[#This Row],[ret_loc_hh]]</f>
        <v>0</v>
      </c>
      <c r="CD361" s="2">
        <f>Dashboard[[#This Row],[idp_cc_hh]]+Dashboard[[#This Row],[ref_cc_hh]]+Dashboard[[#This Row],[ret_cc_hh]]</f>
        <v>0</v>
      </c>
      <c r="CE361" s="2">
        <f>Dashboard[[#This Row],[idp_as_hh]]+Dashboard[[#This Row],[ref_as_hh]]+Dashboard[[#This Row],[ret_as_hh]]</f>
        <v>26</v>
      </c>
      <c r="CF361" s="2">
        <f>Dashboard[[#This Row],[idp_al_hh]]+Dashboard[[#This Row],[ref_al_hh]]+Dashboard[[#This Row],[ret_al_hh]]</f>
        <v>101</v>
      </c>
    </row>
    <row r="362" spans="1:84" x14ac:dyDescent="0.25">
      <c r="A362" s="27">
        <v>360</v>
      </c>
      <c r="B362" s="2" t="s">
        <v>22</v>
      </c>
      <c r="C362" s="2" t="s">
        <v>23</v>
      </c>
      <c r="D362" s="2" t="s">
        <v>85</v>
      </c>
      <c r="E362" s="2" t="s">
        <v>84</v>
      </c>
      <c r="F362" s="2" t="s">
        <v>98</v>
      </c>
      <c r="G362" s="2" t="s">
        <v>97</v>
      </c>
      <c r="H362" s="2" t="s">
        <v>1819</v>
      </c>
      <c r="I362" s="2" t="s">
        <v>1820</v>
      </c>
      <c r="J362" s="2" t="s">
        <v>2716</v>
      </c>
      <c r="K362" s="2" t="s">
        <v>2717</v>
      </c>
      <c r="L362" s="2" t="s">
        <v>2074</v>
      </c>
      <c r="M362" s="2">
        <v>3672</v>
      </c>
      <c r="N362" s="2" t="s">
        <v>1658</v>
      </c>
      <c r="O362" s="2">
        <v>395</v>
      </c>
      <c r="P362" s="2">
        <v>3630</v>
      </c>
      <c r="Q362" s="2" t="s">
        <v>32</v>
      </c>
      <c r="R362" s="2">
        <v>0</v>
      </c>
      <c r="S362" s="2" t="s">
        <v>1660</v>
      </c>
      <c r="T362" s="2">
        <v>0</v>
      </c>
      <c r="U362" s="2" t="s">
        <v>32</v>
      </c>
      <c r="V362" s="2" t="s">
        <v>32</v>
      </c>
      <c r="W362" s="2" t="s">
        <v>1660</v>
      </c>
      <c r="X362" s="2">
        <v>0</v>
      </c>
      <c r="Y362" s="2" t="s">
        <v>32</v>
      </c>
      <c r="Z362" s="2" t="s">
        <v>32</v>
      </c>
      <c r="AA362" s="2" t="s">
        <v>1658</v>
      </c>
      <c r="AB362" s="2">
        <v>395</v>
      </c>
      <c r="AC362" s="2" t="s">
        <v>1660</v>
      </c>
      <c r="AD362" s="2">
        <v>0</v>
      </c>
      <c r="AE362" s="2" t="s">
        <v>1660</v>
      </c>
      <c r="AF362" s="2">
        <v>0</v>
      </c>
      <c r="AG362" s="2">
        <v>0</v>
      </c>
      <c r="AH362" s="2" t="s">
        <v>32</v>
      </c>
      <c r="AI362" s="2" t="s">
        <v>32</v>
      </c>
      <c r="AJ362" s="2" t="s">
        <v>32</v>
      </c>
      <c r="AK362" s="2" t="s">
        <v>32</v>
      </c>
      <c r="AL362" s="2" t="s">
        <v>32</v>
      </c>
      <c r="AM362" s="2">
        <v>0</v>
      </c>
      <c r="AN362" s="2" t="s">
        <v>32</v>
      </c>
      <c r="AO362" s="2">
        <v>0</v>
      </c>
      <c r="AP362" s="2" t="s">
        <v>32</v>
      </c>
      <c r="AQ362" s="2" t="s">
        <v>32</v>
      </c>
      <c r="AR362" s="2" t="s">
        <v>32</v>
      </c>
      <c r="AS362" s="2">
        <v>0</v>
      </c>
      <c r="AT362" s="2" t="s">
        <v>32</v>
      </c>
      <c r="AU362" s="2" t="s">
        <v>32</v>
      </c>
      <c r="AV362" s="2" t="s">
        <v>32</v>
      </c>
      <c r="AW362" s="2">
        <v>0</v>
      </c>
      <c r="AX362" s="2" t="s">
        <v>32</v>
      </c>
      <c r="AY362" s="2">
        <v>0</v>
      </c>
      <c r="AZ362" s="2" t="s">
        <v>1660</v>
      </c>
      <c r="BA362" s="2">
        <v>0</v>
      </c>
      <c r="BB362" s="2">
        <v>0</v>
      </c>
      <c r="BC362" s="2" t="s">
        <v>32</v>
      </c>
      <c r="BD362" s="2">
        <v>0</v>
      </c>
      <c r="BE362" s="2" t="s">
        <v>32</v>
      </c>
      <c r="BF362" s="2">
        <v>0</v>
      </c>
      <c r="BG362" s="2" t="s">
        <v>32</v>
      </c>
      <c r="BH362" s="2">
        <v>0</v>
      </c>
      <c r="BI362" s="2" t="s">
        <v>32</v>
      </c>
      <c r="BJ362" s="2" t="s">
        <v>32</v>
      </c>
      <c r="BK362" s="2" t="s">
        <v>32</v>
      </c>
      <c r="BL362" s="2">
        <v>0</v>
      </c>
      <c r="BM362" s="2" t="s">
        <v>32</v>
      </c>
      <c r="BN362" s="2" t="s">
        <v>32</v>
      </c>
      <c r="BO362" s="2" t="s">
        <v>32</v>
      </c>
      <c r="BP362" s="2">
        <v>0</v>
      </c>
      <c r="BQ362" s="2" t="s">
        <v>32</v>
      </c>
      <c r="BR362" s="2">
        <v>0</v>
      </c>
      <c r="BS362" s="2" t="s">
        <v>1660</v>
      </c>
      <c r="BT362" s="2">
        <v>0</v>
      </c>
      <c r="BU362" s="2">
        <v>0</v>
      </c>
      <c r="BV362" s="2" t="s">
        <v>1660</v>
      </c>
      <c r="BW362" s="2"/>
      <c r="BX362" s="2"/>
      <c r="BY362" s="2" t="s">
        <v>1807</v>
      </c>
      <c r="BZ362" s="2" t="b">
        <f>OR( (Dashboard[[#This Row],[ref_as_hh]]&gt;=1),(Dashboard[[#This Row],[ret_as_hh]] &gt;=1), (Dashboard[[#This Row],[idp_as_hh]]&gt;=1))</f>
        <v>1</v>
      </c>
      <c r="CA362" s="2">
        <f>Dashboard[[#This Row],[ret_hi_hh]]</f>
        <v>0</v>
      </c>
      <c r="CB362" s="2">
        <f>Dashboard[[#This Row],[idp_fa_hh]]+Dashboard[[#This Row],[ref_fa_hh]]+Dashboard[[#This Row],[ret_fa_hh]]</f>
        <v>0</v>
      </c>
      <c r="CC362" s="2">
        <f>Dashboard[[#This Row],[idp_loc_hh]]+Dashboard[[#This Row],[ref_loc_hh]]+Dashboard[[#This Row],[ret_loc_hh]]</f>
        <v>0</v>
      </c>
      <c r="CD362" s="2">
        <f>Dashboard[[#This Row],[idp_cc_hh]]+Dashboard[[#This Row],[ref_cc_hh]]+Dashboard[[#This Row],[ret_cc_hh]]</f>
        <v>0</v>
      </c>
      <c r="CE362" s="2">
        <f>Dashboard[[#This Row],[idp_as_hh]]+Dashboard[[#This Row],[ref_as_hh]]+Dashboard[[#This Row],[ret_as_hh]]</f>
        <v>395</v>
      </c>
      <c r="CF362" s="2">
        <f>Dashboard[[#This Row],[idp_al_hh]]+Dashboard[[#This Row],[ref_al_hh]]+Dashboard[[#This Row],[ret_al_hh]]</f>
        <v>0</v>
      </c>
    </row>
    <row r="363" spans="1:84" hidden="1" x14ac:dyDescent="0.25">
      <c r="A363" s="27">
        <v>107</v>
      </c>
      <c r="B363" s="2" t="s">
        <v>22</v>
      </c>
      <c r="C363" s="2" t="s">
        <v>23</v>
      </c>
      <c r="D363" s="2" t="s">
        <v>85</v>
      </c>
      <c r="E363" s="2" t="s">
        <v>84</v>
      </c>
      <c r="F363" s="2" t="s">
        <v>98</v>
      </c>
      <c r="G363" s="2" t="s">
        <v>97</v>
      </c>
      <c r="H363" s="2" t="s">
        <v>1161</v>
      </c>
      <c r="I363" s="2" t="s">
        <v>389</v>
      </c>
      <c r="J363" s="2" t="s">
        <v>2824</v>
      </c>
      <c r="K363" s="2" t="s">
        <v>2825</v>
      </c>
      <c r="L363" s="2" t="s">
        <v>2074</v>
      </c>
      <c r="M363" s="2">
        <v>500</v>
      </c>
      <c r="N363" s="2" t="s">
        <v>1658</v>
      </c>
      <c r="O363" s="2">
        <v>5</v>
      </c>
      <c r="P363" s="2">
        <v>27</v>
      </c>
      <c r="Q363" s="2" t="s">
        <v>1658</v>
      </c>
      <c r="R363" s="2">
        <v>5</v>
      </c>
      <c r="S363" s="2" t="s">
        <v>1660</v>
      </c>
      <c r="T363" s="2">
        <v>0</v>
      </c>
      <c r="U363" s="2" t="s">
        <v>32</v>
      </c>
      <c r="V363" s="2" t="s">
        <v>32</v>
      </c>
      <c r="W363" s="2" t="s">
        <v>1660</v>
      </c>
      <c r="X363" s="2">
        <v>0</v>
      </c>
      <c r="Y363" s="2" t="s">
        <v>32</v>
      </c>
      <c r="Z363" s="2" t="s">
        <v>32</v>
      </c>
      <c r="AA363" s="2" t="s">
        <v>1660</v>
      </c>
      <c r="AB363" s="2">
        <v>0</v>
      </c>
      <c r="AC363" s="2" t="s">
        <v>1660</v>
      </c>
      <c r="AD363" s="2">
        <v>0</v>
      </c>
      <c r="AE363" s="2" t="s">
        <v>1660</v>
      </c>
      <c r="AF363" s="2">
        <v>0</v>
      </c>
      <c r="AG363" s="2">
        <v>0</v>
      </c>
      <c r="AH363" s="2" t="s">
        <v>32</v>
      </c>
      <c r="AI363" s="2" t="s">
        <v>32</v>
      </c>
      <c r="AJ363" s="2" t="s">
        <v>32</v>
      </c>
      <c r="AK363" s="2" t="s">
        <v>32</v>
      </c>
      <c r="AL363" s="2" t="s">
        <v>32</v>
      </c>
      <c r="AM363" s="2">
        <v>0</v>
      </c>
      <c r="AN363" s="2" t="s">
        <v>32</v>
      </c>
      <c r="AO363" s="2">
        <v>0</v>
      </c>
      <c r="AP363" s="2" t="s">
        <v>32</v>
      </c>
      <c r="AQ363" s="2" t="s">
        <v>32</v>
      </c>
      <c r="AR363" s="2" t="s">
        <v>32</v>
      </c>
      <c r="AS363" s="2">
        <v>0</v>
      </c>
      <c r="AT363" s="2" t="s">
        <v>32</v>
      </c>
      <c r="AU363" s="2" t="s">
        <v>32</v>
      </c>
      <c r="AV363" s="2" t="s">
        <v>32</v>
      </c>
      <c r="AW363" s="2">
        <v>0</v>
      </c>
      <c r="AX363" s="2" t="s">
        <v>32</v>
      </c>
      <c r="AY363" s="2">
        <v>0</v>
      </c>
      <c r="AZ363" s="2" t="s">
        <v>1660</v>
      </c>
      <c r="BA363" s="2">
        <v>0</v>
      </c>
      <c r="BB363" s="2">
        <v>0</v>
      </c>
      <c r="BC363" s="2" t="s">
        <v>32</v>
      </c>
      <c r="BD363" s="2">
        <v>0</v>
      </c>
      <c r="BE363" s="2" t="s">
        <v>32</v>
      </c>
      <c r="BF363" s="2">
        <v>0</v>
      </c>
      <c r="BG363" s="2" t="s">
        <v>32</v>
      </c>
      <c r="BH363" s="2">
        <v>0</v>
      </c>
      <c r="BI363" s="2" t="s">
        <v>32</v>
      </c>
      <c r="BJ363" s="2" t="s">
        <v>32</v>
      </c>
      <c r="BK363" s="2" t="s">
        <v>32</v>
      </c>
      <c r="BL363" s="2">
        <v>0</v>
      </c>
      <c r="BM363" s="2" t="s">
        <v>32</v>
      </c>
      <c r="BN363" s="2" t="s">
        <v>32</v>
      </c>
      <c r="BO363" s="2" t="s">
        <v>32</v>
      </c>
      <c r="BP363" s="2">
        <v>0</v>
      </c>
      <c r="BQ363" s="2" t="s">
        <v>32</v>
      </c>
      <c r="BR363" s="2">
        <v>0</v>
      </c>
      <c r="BS363" s="2" t="s">
        <v>1660</v>
      </c>
      <c r="BT363" s="2">
        <v>0</v>
      </c>
      <c r="BU363" s="2">
        <v>0</v>
      </c>
      <c r="BV363" s="2" t="s">
        <v>1660</v>
      </c>
      <c r="BW363" s="2"/>
      <c r="BX363" s="2"/>
      <c r="BY363" s="2" t="s">
        <v>1807</v>
      </c>
      <c r="BZ363" s="2" t="b">
        <f>OR( (Dashboard[[#This Row],[ref_as_hh]]&gt;=1),(Dashboard[[#This Row],[ret_as_hh]] &gt;=1), (Dashboard[[#This Row],[idp_as_hh]]&gt;=1))</f>
        <v>0</v>
      </c>
      <c r="CA363" s="2">
        <f>Dashboard[[#This Row],[ret_hi_hh]]</f>
        <v>0</v>
      </c>
      <c r="CB363" s="2">
        <f>Dashboard[[#This Row],[idp_fa_hh]]+Dashboard[[#This Row],[ref_fa_hh]]+Dashboard[[#This Row],[ret_fa_hh]]</f>
        <v>5</v>
      </c>
      <c r="CC363" s="2">
        <f>Dashboard[[#This Row],[idp_loc_hh]]+Dashboard[[#This Row],[ref_loc_hh]]+Dashboard[[#This Row],[ret_loc_hh]]</f>
        <v>0</v>
      </c>
      <c r="CD363" s="2">
        <f>Dashboard[[#This Row],[idp_cc_hh]]+Dashboard[[#This Row],[ref_cc_hh]]+Dashboard[[#This Row],[ret_cc_hh]]</f>
        <v>0</v>
      </c>
      <c r="CE363" s="2">
        <f>Dashboard[[#This Row],[idp_as_hh]]+Dashboard[[#This Row],[ref_as_hh]]+Dashboard[[#This Row],[ret_as_hh]]</f>
        <v>0</v>
      </c>
      <c r="CF363" s="2">
        <f>Dashboard[[#This Row],[idp_al_hh]]+Dashboard[[#This Row],[ref_al_hh]]+Dashboard[[#This Row],[ret_al_hh]]</f>
        <v>0</v>
      </c>
    </row>
    <row r="364" spans="1:84" hidden="1" x14ac:dyDescent="0.25">
      <c r="A364" s="27">
        <v>363</v>
      </c>
      <c r="B364" s="2" t="s">
        <v>22</v>
      </c>
      <c r="C364" s="2" t="s">
        <v>23</v>
      </c>
      <c r="D364" s="2" t="s">
        <v>85</v>
      </c>
      <c r="E364" s="2" t="s">
        <v>84</v>
      </c>
      <c r="F364" s="2" t="s">
        <v>98</v>
      </c>
      <c r="G364" s="2" t="s">
        <v>97</v>
      </c>
      <c r="H364" s="2" t="s">
        <v>1170</v>
      </c>
      <c r="I364" s="2" t="s">
        <v>792</v>
      </c>
      <c r="J364" s="2" t="s">
        <v>2842</v>
      </c>
      <c r="K364" s="2" t="s">
        <v>2843</v>
      </c>
      <c r="L364" s="2" t="s">
        <v>2074</v>
      </c>
      <c r="M364" s="2">
        <v>350</v>
      </c>
      <c r="N364" s="2" t="s">
        <v>1658</v>
      </c>
      <c r="O364" s="2">
        <v>6</v>
      </c>
      <c r="P364" s="2">
        <v>51</v>
      </c>
      <c r="Q364" s="2" t="s">
        <v>1658</v>
      </c>
      <c r="R364" s="2">
        <v>6</v>
      </c>
      <c r="S364" s="2" t="s">
        <v>1660</v>
      </c>
      <c r="T364" s="2">
        <v>0</v>
      </c>
      <c r="U364" s="2" t="s">
        <v>32</v>
      </c>
      <c r="V364" s="2" t="s">
        <v>32</v>
      </c>
      <c r="W364" s="2" t="s">
        <v>1660</v>
      </c>
      <c r="X364" s="2">
        <v>0</v>
      </c>
      <c r="Y364" s="2" t="s">
        <v>32</v>
      </c>
      <c r="Z364" s="2" t="s">
        <v>32</v>
      </c>
      <c r="AA364" s="2" t="s">
        <v>1660</v>
      </c>
      <c r="AB364" s="2">
        <v>0</v>
      </c>
      <c r="AC364" s="2" t="s">
        <v>1660</v>
      </c>
      <c r="AD364" s="2">
        <v>0</v>
      </c>
      <c r="AE364" s="2" t="s">
        <v>1658</v>
      </c>
      <c r="AF364" s="2">
        <v>8</v>
      </c>
      <c r="AG364" s="2">
        <v>68</v>
      </c>
      <c r="AH364" s="2" t="s">
        <v>1660</v>
      </c>
      <c r="AI364" s="2" t="s">
        <v>32</v>
      </c>
      <c r="AJ364" s="2" t="s">
        <v>32</v>
      </c>
      <c r="AK364" s="2" t="s">
        <v>32</v>
      </c>
      <c r="AL364" s="2" t="s">
        <v>1658</v>
      </c>
      <c r="AM364" s="2">
        <v>8</v>
      </c>
      <c r="AN364" s="2" t="s">
        <v>1660</v>
      </c>
      <c r="AO364" s="2">
        <v>0</v>
      </c>
      <c r="AP364" s="2" t="s">
        <v>32</v>
      </c>
      <c r="AQ364" s="2" t="s">
        <v>32</v>
      </c>
      <c r="AR364" s="2" t="s">
        <v>1660</v>
      </c>
      <c r="AS364" s="2">
        <v>0</v>
      </c>
      <c r="AT364" s="2" t="s">
        <v>32</v>
      </c>
      <c r="AU364" s="2" t="s">
        <v>32</v>
      </c>
      <c r="AV364" s="2" t="s">
        <v>1660</v>
      </c>
      <c r="AW364" s="2">
        <v>0</v>
      </c>
      <c r="AX364" s="2" t="s">
        <v>1660</v>
      </c>
      <c r="AY364" s="2">
        <v>0</v>
      </c>
      <c r="AZ364" s="2" t="s">
        <v>1660</v>
      </c>
      <c r="BA364" s="2">
        <v>0</v>
      </c>
      <c r="BB364" s="2">
        <v>0</v>
      </c>
      <c r="BC364" s="2" t="s">
        <v>32</v>
      </c>
      <c r="BD364" s="2">
        <v>0</v>
      </c>
      <c r="BE364" s="2" t="s">
        <v>32</v>
      </c>
      <c r="BF364" s="2">
        <v>0</v>
      </c>
      <c r="BG364" s="2" t="s">
        <v>32</v>
      </c>
      <c r="BH364" s="2">
        <v>0</v>
      </c>
      <c r="BI364" s="2" t="s">
        <v>32</v>
      </c>
      <c r="BJ364" s="2" t="s">
        <v>32</v>
      </c>
      <c r="BK364" s="2" t="s">
        <v>32</v>
      </c>
      <c r="BL364" s="2">
        <v>0</v>
      </c>
      <c r="BM364" s="2" t="s">
        <v>32</v>
      </c>
      <c r="BN364" s="2" t="s">
        <v>32</v>
      </c>
      <c r="BO364" s="2" t="s">
        <v>32</v>
      </c>
      <c r="BP364" s="2">
        <v>0</v>
      </c>
      <c r="BQ364" s="2" t="s">
        <v>32</v>
      </c>
      <c r="BR364" s="2">
        <v>0</v>
      </c>
      <c r="BS364" s="2" t="s">
        <v>1660</v>
      </c>
      <c r="BT364" s="2">
        <v>0</v>
      </c>
      <c r="BU364" s="2">
        <v>0</v>
      </c>
      <c r="BV364" s="2" t="s">
        <v>1660</v>
      </c>
      <c r="BW364" s="2"/>
      <c r="BX364" s="2"/>
      <c r="BY364" s="2" t="s">
        <v>1807</v>
      </c>
      <c r="BZ364" s="2" t="b">
        <f>OR( (Dashboard[[#This Row],[ref_as_hh]]&gt;=1),(Dashboard[[#This Row],[ret_as_hh]] &gt;=1), (Dashboard[[#This Row],[idp_as_hh]]&gt;=1))</f>
        <v>0</v>
      </c>
      <c r="CA364" s="2">
        <f>Dashboard[[#This Row],[ret_hi_hh]]</f>
        <v>0</v>
      </c>
      <c r="CB364" s="2">
        <f>Dashboard[[#This Row],[idp_fa_hh]]+Dashboard[[#This Row],[ref_fa_hh]]+Dashboard[[#This Row],[ret_fa_hh]]</f>
        <v>14</v>
      </c>
      <c r="CC364" s="2">
        <f>Dashboard[[#This Row],[idp_loc_hh]]+Dashboard[[#This Row],[ref_loc_hh]]+Dashboard[[#This Row],[ret_loc_hh]]</f>
        <v>0</v>
      </c>
      <c r="CD364" s="2">
        <f>Dashboard[[#This Row],[idp_cc_hh]]+Dashboard[[#This Row],[ref_cc_hh]]+Dashboard[[#This Row],[ret_cc_hh]]</f>
        <v>0</v>
      </c>
      <c r="CE364" s="2">
        <f>Dashboard[[#This Row],[idp_as_hh]]+Dashboard[[#This Row],[ref_as_hh]]+Dashboard[[#This Row],[ret_as_hh]]</f>
        <v>0</v>
      </c>
      <c r="CF364" s="2">
        <f>Dashboard[[#This Row],[idp_al_hh]]+Dashboard[[#This Row],[ref_al_hh]]+Dashboard[[#This Row],[ret_al_hh]]</f>
        <v>0</v>
      </c>
    </row>
    <row r="365" spans="1:84" hidden="1" x14ac:dyDescent="0.25">
      <c r="A365" s="27">
        <v>365</v>
      </c>
      <c r="B365" s="2" t="s">
        <v>22</v>
      </c>
      <c r="C365" s="2" t="s">
        <v>23</v>
      </c>
      <c r="D365" s="2" t="s">
        <v>85</v>
      </c>
      <c r="E365" s="2" t="s">
        <v>84</v>
      </c>
      <c r="F365" s="2" t="s">
        <v>98</v>
      </c>
      <c r="G365" s="2" t="s">
        <v>97</v>
      </c>
      <c r="H365" s="2" t="s">
        <v>1272</v>
      </c>
      <c r="I365" s="2" t="s">
        <v>451</v>
      </c>
      <c r="J365" s="2" t="s">
        <v>3070</v>
      </c>
      <c r="K365" s="2" t="s">
        <v>3071</v>
      </c>
      <c r="L365" s="2" t="s">
        <v>2074</v>
      </c>
      <c r="M365" s="2">
        <v>7574</v>
      </c>
      <c r="N365" s="2" t="s">
        <v>1658</v>
      </c>
      <c r="O365" s="2">
        <v>233</v>
      </c>
      <c r="P365" s="2">
        <v>1070</v>
      </c>
      <c r="Q365" s="2" t="s">
        <v>1658</v>
      </c>
      <c r="R365" s="2">
        <v>233</v>
      </c>
      <c r="S365" s="2" t="s">
        <v>1660</v>
      </c>
      <c r="T365" s="2">
        <v>0</v>
      </c>
      <c r="U365" s="2" t="s">
        <v>32</v>
      </c>
      <c r="V365" s="2" t="s">
        <v>32</v>
      </c>
      <c r="W365" s="2" t="s">
        <v>1660</v>
      </c>
      <c r="X365" s="2">
        <v>0</v>
      </c>
      <c r="Y365" s="2" t="s">
        <v>32</v>
      </c>
      <c r="Z365" s="2" t="s">
        <v>32</v>
      </c>
      <c r="AA365" s="2" t="s">
        <v>1660</v>
      </c>
      <c r="AB365" s="2">
        <v>0</v>
      </c>
      <c r="AC365" s="2" t="s">
        <v>1660</v>
      </c>
      <c r="AD365" s="2">
        <v>0</v>
      </c>
      <c r="AE365" s="2" t="s">
        <v>1658</v>
      </c>
      <c r="AF365" s="2">
        <v>18</v>
      </c>
      <c r="AG365" s="2">
        <v>96</v>
      </c>
      <c r="AH365" s="2" t="s">
        <v>1658</v>
      </c>
      <c r="AI365" s="2" t="s">
        <v>85</v>
      </c>
      <c r="AJ365" s="2" t="s">
        <v>92</v>
      </c>
      <c r="AK365" s="2" t="s">
        <v>291</v>
      </c>
      <c r="AL365" s="2" t="s">
        <v>1658</v>
      </c>
      <c r="AM365" s="2">
        <v>18</v>
      </c>
      <c r="AN365" s="2" t="s">
        <v>1660</v>
      </c>
      <c r="AO365" s="2">
        <v>0</v>
      </c>
      <c r="AP365" s="2" t="s">
        <v>32</v>
      </c>
      <c r="AQ365" s="2" t="s">
        <v>32</v>
      </c>
      <c r="AR365" s="2" t="s">
        <v>1660</v>
      </c>
      <c r="AS365" s="2">
        <v>0</v>
      </c>
      <c r="AT365" s="2" t="s">
        <v>32</v>
      </c>
      <c r="AU365" s="2" t="s">
        <v>32</v>
      </c>
      <c r="AV365" s="2" t="s">
        <v>1660</v>
      </c>
      <c r="AW365" s="2">
        <v>0</v>
      </c>
      <c r="AX365" s="2" t="s">
        <v>1660</v>
      </c>
      <c r="AY365" s="2">
        <v>0</v>
      </c>
      <c r="AZ365" s="2" t="s">
        <v>1658</v>
      </c>
      <c r="BA365" s="2">
        <v>18</v>
      </c>
      <c r="BB365" s="2">
        <v>96</v>
      </c>
      <c r="BC365" s="2" t="s">
        <v>1660</v>
      </c>
      <c r="BD365" s="2">
        <v>0</v>
      </c>
      <c r="BE365" s="2" t="s">
        <v>1658</v>
      </c>
      <c r="BF365" s="2">
        <v>18</v>
      </c>
      <c r="BG365" s="2" t="s">
        <v>1660</v>
      </c>
      <c r="BH365" s="2">
        <v>0</v>
      </c>
      <c r="BI365" s="2" t="s">
        <v>32</v>
      </c>
      <c r="BJ365" s="2" t="s">
        <v>32</v>
      </c>
      <c r="BK365" s="2" t="s">
        <v>1660</v>
      </c>
      <c r="BL365" s="2">
        <v>0</v>
      </c>
      <c r="BM365" s="2" t="s">
        <v>32</v>
      </c>
      <c r="BN365" s="2" t="s">
        <v>32</v>
      </c>
      <c r="BO365" s="2" t="s">
        <v>1660</v>
      </c>
      <c r="BP365" s="2">
        <v>0</v>
      </c>
      <c r="BQ365" s="2" t="s">
        <v>1660</v>
      </c>
      <c r="BR365" s="2">
        <v>0</v>
      </c>
      <c r="BS365" s="2" t="s">
        <v>1660</v>
      </c>
      <c r="BT365" s="2">
        <v>0</v>
      </c>
      <c r="BU365" s="2">
        <v>0</v>
      </c>
      <c r="BV365" s="2" t="s">
        <v>1660</v>
      </c>
      <c r="BW365" s="2"/>
      <c r="BX365" s="2"/>
      <c r="BY365" s="2" t="s">
        <v>1807</v>
      </c>
      <c r="BZ365" s="2" t="b">
        <f>OR( (Dashboard[[#This Row],[ref_as_hh]]&gt;=1),(Dashboard[[#This Row],[ret_as_hh]] &gt;=1), (Dashboard[[#This Row],[idp_as_hh]]&gt;=1))</f>
        <v>0</v>
      </c>
      <c r="CA365" s="2">
        <f>Dashboard[[#This Row],[ret_hi_hh]]</f>
        <v>0</v>
      </c>
      <c r="CB365" s="2">
        <f>Dashboard[[#This Row],[idp_fa_hh]]+Dashboard[[#This Row],[ref_fa_hh]]+Dashboard[[#This Row],[ret_fa_hh]]</f>
        <v>269</v>
      </c>
      <c r="CC365" s="2">
        <f>Dashboard[[#This Row],[idp_loc_hh]]+Dashboard[[#This Row],[ref_loc_hh]]+Dashboard[[#This Row],[ret_loc_hh]]</f>
        <v>0</v>
      </c>
      <c r="CD365" s="2">
        <f>Dashboard[[#This Row],[idp_cc_hh]]+Dashboard[[#This Row],[ref_cc_hh]]+Dashboard[[#This Row],[ret_cc_hh]]</f>
        <v>0</v>
      </c>
      <c r="CE365" s="2">
        <f>Dashboard[[#This Row],[idp_as_hh]]+Dashboard[[#This Row],[ref_as_hh]]+Dashboard[[#This Row],[ret_as_hh]]</f>
        <v>0</v>
      </c>
      <c r="CF365" s="2">
        <f>Dashboard[[#This Row],[idp_al_hh]]+Dashboard[[#This Row],[ref_al_hh]]+Dashboard[[#This Row],[ret_al_hh]]</f>
        <v>0</v>
      </c>
    </row>
    <row r="366" spans="1:84" x14ac:dyDescent="0.25">
      <c r="A366" s="27">
        <v>621</v>
      </c>
      <c r="B366" s="2" t="s">
        <v>22</v>
      </c>
      <c r="C366" s="2" t="s">
        <v>23</v>
      </c>
      <c r="D366" s="2" t="s">
        <v>85</v>
      </c>
      <c r="E366" s="2" t="s">
        <v>84</v>
      </c>
      <c r="F366" s="2" t="s">
        <v>98</v>
      </c>
      <c r="G366" s="2" t="s">
        <v>97</v>
      </c>
      <c r="H366" s="2" t="s">
        <v>1118</v>
      </c>
      <c r="I366" s="2" t="s">
        <v>373</v>
      </c>
      <c r="J366" s="2" t="s">
        <v>2734</v>
      </c>
      <c r="K366" s="2" t="s">
        <v>2735</v>
      </c>
      <c r="L366" s="2" t="s">
        <v>2074</v>
      </c>
      <c r="M366" s="2">
        <v>4557</v>
      </c>
      <c r="N366" s="2" t="s">
        <v>1658</v>
      </c>
      <c r="O366" s="2">
        <v>376</v>
      </c>
      <c r="P366" s="2">
        <v>3202</v>
      </c>
      <c r="Q366" s="2" t="s">
        <v>32</v>
      </c>
      <c r="R366" s="2">
        <v>0</v>
      </c>
      <c r="S366" s="2" t="s">
        <v>1660</v>
      </c>
      <c r="T366" s="2">
        <v>0</v>
      </c>
      <c r="U366" s="2" t="s">
        <v>32</v>
      </c>
      <c r="V366" s="2" t="s">
        <v>32</v>
      </c>
      <c r="W366" s="2" t="s">
        <v>1660</v>
      </c>
      <c r="X366" s="2">
        <v>0</v>
      </c>
      <c r="Y366" s="2" t="s">
        <v>32</v>
      </c>
      <c r="Z366" s="2" t="s">
        <v>32</v>
      </c>
      <c r="AA366" s="2" t="s">
        <v>1658</v>
      </c>
      <c r="AB366" s="2">
        <v>376</v>
      </c>
      <c r="AC366" s="2" t="s">
        <v>1660</v>
      </c>
      <c r="AD366" s="2">
        <v>0</v>
      </c>
      <c r="AE366" s="2" t="s">
        <v>1658</v>
      </c>
      <c r="AF366" s="2">
        <v>381</v>
      </c>
      <c r="AG366" s="2">
        <v>3240</v>
      </c>
      <c r="AH366" s="2" t="s">
        <v>1658</v>
      </c>
      <c r="AI366" s="2" t="s">
        <v>85</v>
      </c>
      <c r="AJ366" s="2" t="s">
        <v>98</v>
      </c>
      <c r="AK366" s="2" t="s">
        <v>630</v>
      </c>
      <c r="AL366" s="2" t="s">
        <v>32</v>
      </c>
      <c r="AM366" s="2">
        <v>0</v>
      </c>
      <c r="AN366" s="2" t="s">
        <v>1660</v>
      </c>
      <c r="AO366" s="2">
        <v>0</v>
      </c>
      <c r="AP366" s="2" t="s">
        <v>32</v>
      </c>
      <c r="AQ366" s="2" t="s">
        <v>32</v>
      </c>
      <c r="AR366" s="2" t="s">
        <v>1660</v>
      </c>
      <c r="AS366" s="2">
        <v>0</v>
      </c>
      <c r="AT366" s="2" t="s">
        <v>32</v>
      </c>
      <c r="AU366" s="2" t="s">
        <v>32</v>
      </c>
      <c r="AV366" s="2" t="s">
        <v>1658</v>
      </c>
      <c r="AW366" s="2">
        <v>381</v>
      </c>
      <c r="AX366" s="2" t="s">
        <v>1660</v>
      </c>
      <c r="AY366" s="2">
        <v>0</v>
      </c>
      <c r="AZ366" s="2" t="s">
        <v>1660</v>
      </c>
      <c r="BA366" s="2">
        <v>0</v>
      </c>
      <c r="BB366" s="2">
        <v>0</v>
      </c>
      <c r="BC366" s="2" t="s">
        <v>32</v>
      </c>
      <c r="BD366" s="2">
        <v>0</v>
      </c>
      <c r="BE366" s="2" t="s">
        <v>32</v>
      </c>
      <c r="BF366" s="2">
        <v>0</v>
      </c>
      <c r="BG366" s="2" t="s">
        <v>32</v>
      </c>
      <c r="BH366" s="2">
        <v>0</v>
      </c>
      <c r="BI366" s="2" t="s">
        <v>32</v>
      </c>
      <c r="BJ366" s="2" t="s">
        <v>32</v>
      </c>
      <c r="BK366" s="2" t="s">
        <v>32</v>
      </c>
      <c r="BL366" s="2">
        <v>0</v>
      </c>
      <c r="BM366" s="2" t="s">
        <v>32</v>
      </c>
      <c r="BN366" s="2" t="s">
        <v>32</v>
      </c>
      <c r="BO366" s="2" t="s">
        <v>32</v>
      </c>
      <c r="BP366" s="2">
        <v>0</v>
      </c>
      <c r="BQ366" s="2" t="s">
        <v>32</v>
      </c>
      <c r="BR366" s="2">
        <v>0</v>
      </c>
      <c r="BS366" s="2" t="s">
        <v>1660</v>
      </c>
      <c r="BT366" s="2">
        <v>0</v>
      </c>
      <c r="BU366" s="2">
        <v>0</v>
      </c>
      <c r="BV366" s="2" t="s">
        <v>1660</v>
      </c>
      <c r="BW366" s="2"/>
      <c r="BX366" s="2"/>
      <c r="BY366" s="2" t="s">
        <v>1807</v>
      </c>
      <c r="BZ366" s="2" t="b">
        <f>OR( (Dashboard[[#This Row],[ref_as_hh]]&gt;=1),(Dashboard[[#This Row],[ret_as_hh]] &gt;=1), (Dashboard[[#This Row],[idp_as_hh]]&gt;=1))</f>
        <v>1</v>
      </c>
      <c r="CA366" s="2">
        <f>Dashboard[[#This Row],[ret_hi_hh]]</f>
        <v>0</v>
      </c>
      <c r="CB366" s="2">
        <f>Dashboard[[#This Row],[idp_fa_hh]]+Dashboard[[#This Row],[ref_fa_hh]]+Dashboard[[#This Row],[ret_fa_hh]]</f>
        <v>0</v>
      </c>
      <c r="CC366" s="2">
        <f>Dashboard[[#This Row],[idp_loc_hh]]+Dashboard[[#This Row],[ref_loc_hh]]+Dashboard[[#This Row],[ret_loc_hh]]</f>
        <v>0</v>
      </c>
      <c r="CD366" s="2">
        <f>Dashboard[[#This Row],[idp_cc_hh]]+Dashboard[[#This Row],[ref_cc_hh]]+Dashboard[[#This Row],[ret_cc_hh]]</f>
        <v>0</v>
      </c>
      <c r="CE366" s="2">
        <f>Dashboard[[#This Row],[idp_as_hh]]+Dashboard[[#This Row],[ref_as_hh]]+Dashboard[[#This Row],[ret_as_hh]]</f>
        <v>757</v>
      </c>
      <c r="CF366" s="2">
        <f>Dashboard[[#This Row],[idp_al_hh]]+Dashboard[[#This Row],[ref_al_hh]]+Dashboard[[#This Row],[ret_al_hh]]</f>
        <v>0</v>
      </c>
    </row>
    <row r="367" spans="1:84" hidden="1" x14ac:dyDescent="0.25">
      <c r="A367" s="27">
        <v>110</v>
      </c>
      <c r="B367" s="2" t="s">
        <v>22</v>
      </c>
      <c r="C367" s="2" t="s">
        <v>23</v>
      </c>
      <c r="D367" s="2" t="s">
        <v>85</v>
      </c>
      <c r="E367" s="2" t="s">
        <v>84</v>
      </c>
      <c r="F367" s="2" t="s">
        <v>98</v>
      </c>
      <c r="G367" s="2" t="s">
        <v>97</v>
      </c>
      <c r="H367" s="2" t="s">
        <v>1688</v>
      </c>
      <c r="I367" s="2" t="s">
        <v>800</v>
      </c>
      <c r="J367" s="2" t="s">
        <v>3124</v>
      </c>
      <c r="K367" s="2" t="s">
        <v>3125</v>
      </c>
      <c r="L367" s="2" t="s">
        <v>2074</v>
      </c>
      <c r="M367" s="2">
        <v>540</v>
      </c>
      <c r="N367" s="2" t="s">
        <v>1660</v>
      </c>
      <c r="O367" s="2">
        <v>0</v>
      </c>
      <c r="P367" s="2">
        <v>0</v>
      </c>
      <c r="Q367" s="2" t="s">
        <v>32</v>
      </c>
      <c r="R367" s="2">
        <v>0</v>
      </c>
      <c r="S367" s="2" t="s">
        <v>32</v>
      </c>
      <c r="T367" s="2">
        <v>0</v>
      </c>
      <c r="U367" s="2" t="s">
        <v>32</v>
      </c>
      <c r="V367" s="2" t="s">
        <v>32</v>
      </c>
      <c r="W367" s="2" t="s">
        <v>32</v>
      </c>
      <c r="X367" s="2">
        <v>0</v>
      </c>
      <c r="Y367" s="2" t="s">
        <v>32</v>
      </c>
      <c r="Z367" s="2" t="s">
        <v>32</v>
      </c>
      <c r="AA367" s="2" t="s">
        <v>32</v>
      </c>
      <c r="AB367" s="2">
        <v>0</v>
      </c>
      <c r="AC367" s="2" t="s">
        <v>32</v>
      </c>
      <c r="AD367" s="2">
        <v>0</v>
      </c>
      <c r="AE367" s="2" t="s">
        <v>1660</v>
      </c>
      <c r="AF367" s="2">
        <v>0</v>
      </c>
      <c r="AG367" s="2">
        <v>0</v>
      </c>
      <c r="AH367" s="2" t="s">
        <v>32</v>
      </c>
      <c r="AI367" s="2" t="s">
        <v>32</v>
      </c>
      <c r="AJ367" s="2" t="s">
        <v>32</v>
      </c>
      <c r="AK367" s="2" t="s">
        <v>32</v>
      </c>
      <c r="AL367" s="2" t="s">
        <v>32</v>
      </c>
      <c r="AM367" s="2">
        <v>0</v>
      </c>
      <c r="AN367" s="2" t="s">
        <v>32</v>
      </c>
      <c r="AO367" s="2">
        <v>0</v>
      </c>
      <c r="AP367" s="2" t="s">
        <v>32</v>
      </c>
      <c r="AQ367" s="2" t="s">
        <v>32</v>
      </c>
      <c r="AR367" s="2" t="s">
        <v>32</v>
      </c>
      <c r="AS367" s="2">
        <v>0</v>
      </c>
      <c r="AT367" s="2" t="s">
        <v>32</v>
      </c>
      <c r="AU367" s="2" t="s">
        <v>32</v>
      </c>
      <c r="AV367" s="2" t="s">
        <v>32</v>
      </c>
      <c r="AW367" s="2">
        <v>0</v>
      </c>
      <c r="AX367" s="2" t="s">
        <v>32</v>
      </c>
      <c r="AY367" s="2">
        <v>0</v>
      </c>
      <c r="AZ367" s="2" t="s">
        <v>1660</v>
      </c>
      <c r="BA367" s="2">
        <v>0</v>
      </c>
      <c r="BB367" s="2">
        <v>0</v>
      </c>
      <c r="BC367" s="2" t="s">
        <v>32</v>
      </c>
      <c r="BD367" s="2">
        <v>0</v>
      </c>
      <c r="BE367" s="2" t="s">
        <v>32</v>
      </c>
      <c r="BF367" s="2">
        <v>0</v>
      </c>
      <c r="BG367" s="2" t="s">
        <v>32</v>
      </c>
      <c r="BH367" s="2">
        <v>0</v>
      </c>
      <c r="BI367" s="2" t="s">
        <v>32</v>
      </c>
      <c r="BJ367" s="2" t="s">
        <v>32</v>
      </c>
      <c r="BK367" s="2" t="s">
        <v>32</v>
      </c>
      <c r="BL367" s="2">
        <v>0</v>
      </c>
      <c r="BM367" s="2" t="s">
        <v>32</v>
      </c>
      <c r="BN367" s="2" t="s">
        <v>32</v>
      </c>
      <c r="BO367" s="2" t="s">
        <v>32</v>
      </c>
      <c r="BP367" s="2">
        <v>0</v>
      </c>
      <c r="BQ367" s="2" t="s">
        <v>32</v>
      </c>
      <c r="BR367" s="2">
        <v>0</v>
      </c>
      <c r="BS367" s="2" t="s">
        <v>1660</v>
      </c>
      <c r="BT367" s="2">
        <v>0</v>
      </c>
      <c r="BU367" s="2">
        <v>0</v>
      </c>
      <c r="BV367" s="2" t="s">
        <v>1660</v>
      </c>
      <c r="BW367" s="2"/>
      <c r="BX367" s="2"/>
      <c r="BY367" s="2" t="s">
        <v>1807</v>
      </c>
      <c r="BZ367" s="2" t="b">
        <f>OR( (Dashboard[[#This Row],[ref_as_hh]]&gt;=1),(Dashboard[[#This Row],[ret_as_hh]] &gt;=1), (Dashboard[[#This Row],[idp_as_hh]]&gt;=1))</f>
        <v>0</v>
      </c>
      <c r="CA367" s="2">
        <f>Dashboard[[#This Row],[ret_hi_hh]]</f>
        <v>0</v>
      </c>
      <c r="CB367" s="2">
        <f>Dashboard[[#This Row],[idp_fa_hh]]+Dashboard[[#This Row],[ref_fa_hh]]+Dashboard[[#This Row],[ret_fa_hh]]</f>
        <v>0</v>
      </c>
      <c r="CC367" s="2">
        <f>Dashboard[[#This Row],[idp_loc_hh]]+Dashboard[[#This Row],[ref_loc_hh]]+Dashboard[[#This Row],[ret_loc_hh]]</f>
        <v>0</v>
      </c>
      <c r="CD367" s="2">
        <f>Dashboard[[#This Row],[idp_cc_hh]]+Dashboard[[#This Row],[ref_cc_hh]]+Dashboard[[#This Row],[ret_cc_hh]]</f>
        <v>0</v>
      </c>
      <c r="CE367" s="2">
        <f>Dashboard[[#This Row],[idp_as_hh]]+Dashboard[[#This Row],[ref_as_hh]]+Dashboard[[#This Row],[ret_as_hh]]</f>
        <v>0</v>
      </c>
      <c r="CF367" s="2">
        <f>Dashboard[[#This Row],[idp_al_hh]]+Dashboard[[#This Row],[ref_al_hh]]+Dashboard[[#This Row],[ret_al_hh]]</f>
        <v>0</v>
      </c>
    </row>
    <row r="368" spans="1:84" hidden="1" x14ac:dyDescent="0.25">
      <c r="A368" s="27">
        <v>367</v>
      </c>
      <c r="B368" s="2" t="s">
        <v>22</v>
      </c>
      <c r="C368" s="2" t="s">
        <v>23</v>
      </c>
      <c r="D368" s="2" t="s">
        <v>85</v>
      </c>
      <c r="E368" s="2" t="s">
        <v>84</v>
      </c>
      <c r="F368" s="2" t="s">
        <v>98</v>
      </c>
      <c r="G368" s="2" t="s">
        <v>97</v>
      </c>
      <c r="H368" s="2" t="s">
        <v>1215</v>
      </c>
      <c r="I368" s="2" t="s">
        <v>793</v>
      </c>
      <c r="J368" s="2" t="s">
        <v>2950</v>
      </c>
      <c r="K368" s="2" t="s">
        <v>2951</v>
      </c>
      <c r="L368" s="2" t="s">
        <v>2074</v>
      </c>
      <c r="M368" s="2">
        <v>600</v>
      </c>
      <c r="N368" s="2" t="s">
        <v>1658</v>
      </c>
      <c r="O368" s="2">
        <v>13</v>
      </c>
      <c r="P368" s="2">
        <v>111</v>
      </c>
      <c r="Q368" s="2" t="s">
        <v>1658</v>
      </c>
      <c r="R368" s="2">
        <v>13</v>
      </c>
      <c r="S368" s="2" t="s">
        <v>1660</v>
      </c>
      <c r="T368" s="2">
        <v>0</v>
      </c>
      <c r="U368" s="2" t="s">
        <v>32</v>
      </c>
      <c r="V368" s="2" t="s">
        <v>32</v>
      </c>
      <c r="W368" s="2" t="s">
        <v>1660</v>
      </c>
      <c r="X368" s="2">
        <v>0</v>
      </c>
      <c r="Y368" s="2" t="s">
        <v>32</v>
      </c>
      <c r="Z368" s="2" t="s">
        <v>32</v>
      </c>
      <c r="AA368" s="2" t="s">
        <v>1660</v>
      </c>
      <c r="AB368" s="2">
        <v>0</v>
      </c>
      <c r="AC368" s="2" t="s">
        <v>1660</v>
      </c>
      <c r="AD368" s="2">
        <v>0</v>
      </c>
      <c r="AE368" s="2" t="s">
        <v>1658</v>
      </c>
      <c r="AF368" s="2">
        <v>21</v>
      </c>
      <c r="AG368" s="2">
        <v>149</v>
      </c>
      <c r="AH368" s="2" t="s">
        <v>1660</v>
      </c>
      <c r="AI368" s="2" t="s">
        <v>32</v>
      </c>
      <c r="AJ368" s="2" t="s">
        <v>32</v>
      </c>
      <c r="AK368" s="2" t="s">
        <v>32</v>
      </c>
      <c r="AL368" s="2" t="s">
        <v>1658</v>
      </c>
      <c r="AM368" s="2">
        <v>21</v>
      </c>
      <c r="AN368" s="2" t="s">
        <v>1660</v>
      </c>
      <c r="AO368" s="2">
        <v>0</v>
      </c>
      <c r="AP368" s="2" t="s">
        <v>32</v>
      </c>
      <c r="AQ368" s="2" t="s">
        <v>32</v>
      </c>
      <c r="AR368" s="2" t="s">
        <v>1660</v>
      </c>
      <c r="AS368" s="2">
        <v>0</v>
      </c>
      <c r="AT368" s="2" t="s">
        <v>32</v>
      </c>
      <c r="AU368" s="2" t="s">
        <v>32</v>
      </c>
      <c r="AV368" s="2" t="s">
        <v>1660</v>
      </c>
      <c r="AW368" s="2">
        <v>0</v>
      </c>
      <c r="AX368" s="2" t="s">
        <v>1660</v>
      </c>
      <c r="AY368" s="2">
        <v>0</v>
      </c>
      <c r="AZ368" s="2" t="s">
        <v>1660</v>
      </c>
      <c r="BA368" s="2">
        <v>0</v>
      </c>
      <c r="BB368" s="2">
        <v>0</v>
      </c>
      <c r="BC368" s="2" t="s">
        <v>32</v>
      </c>
      <c r="BD368" s="2">
        <v>0</v>
      </c>
      <c r="BE368" s="2" t="s">
        <v>32</v>
      </c>
      <c r="BF368" s="2">
        <v>0</v>
      </c>
      <c r="BG368" s="2" t="s">
        <v>32</v>
      </c>
      <c r="BH368" s="2">
        <v>0</v>
      </c>
      <c r="BI368" s="2" t="s">
        <v>32</v>
      </c>
      <c r="BJ368" s="2" t="s">
        <v>32</v>
      </c>
      <c r="BK368" s="2" t="s">
        <v>32</v>
      </c>
      <c r="BL368" s="2">
        <v>0</v>
      </c>
      <c r="BM368" s="2" t="s">
        <v>32</v>
      </c>
      <c r="BN368" s="2" t="s">
        <v>32</v>
      </c>
      <c r="BO368" s="2" t="s">
        <v>32</v>
      </c>
      <c r="BP368" s="2">
        <v>0</v>
      </c>
      <c r="BQ368" s="2" t="s">
        <v>32</v>
      </c>
      <c r="BR368" s="2">
        <v>0</v>
      </c>
      <c r="BS368" s="2" t="s">
        <v>1660</v>
      </c>
      <c r="BT368" s="2">
        <v>0</v>
      </c>
      <c r="BU368" s="2">
        <v>0</v>
      </c>
      <c r="BV368" s="2" t="s">
        <v>1660</v>
      </c>
      <c r="BW368" s="2"/>
      <c r="BX368" s="2"/>
      <c r="BY368" s="2" t="s">
        <v>1807</v>
      </c>
      <c r="BZ368" s="2" t="b">
        <f>OR( (Dashboard[[#This Row],[ref_as_hh]]&gt;=1),(Dashboard[[#This Row],[ret_as_hh]] &gt;=1), (Dashboard[[#This Row],[idp_as_hh]]&gt;=1))</f>
        <v>0</v>
      </c>
      <c r="CA368" s="2">
        <f>Dashboard[[#This Row],[ret_hi_hh]]</f>
        <v>0</v>
      </c>
      <c r="CB368" s="2">
        <f>Dashboard[[#This Row],[idp_fa_hh]]+Dashboard[[#This Row],[ref_fa_hh]]+Dashboard[[#This Row],[ret_fa_hh]]</f>
        <v>34</v>
      </c>
      <c r="CC368" s="2">
        <f>Dashboard[[#This Row],[idp_loc_hh]]+Dashboard[[#This Row],[ref_loc_hh]]+Dashboard[[#This Row],[ret_loc_hh]]</f>
        <v>0</v>
      </c>
      <c r="CD368" s="2">
        <f>Dashboard[[#This Row],[idp_cc_hh]]+Dashboard[[#This Row],[ref_cc_hh]]+Dashboard[[#This Row],[ret_cc_hh]]</f>
        <v>0</v>
      </c>
      <c r="CE368" s="2">
        <f>Dashboard[[#This Row],[idp_as_hh]]+Dashboard[[#This Row],[ref_as_hh]]+Dashboard[[#This Row],[ret_as_hh]]</f>
        <v>0</v>
      </c>
      <c r="CF368" s="2">
        <f>Dashboard[[#This Row],[idp_al_hh]]+Dashboard[[#This Row],[ref_al_hh]]+Dashboard[[#This Row],[ret_al_hh]]</f>
        <v>0</v>
      </c>
    </row>
    <row r="369" spans="1:84" hidden="1" x14ac:dyDescent="0.25">
      <c r="A369" s="27">
        <v>112</v>
      </c>
      <c r="B369" s="2" t="s">
        <v>22</v>
      </c>
      <c r="C369" s="2" t="s">
        <v>23</v>
      </c>
      <c r="D369" s="2" t="s">
        <v>85</v>
      </c>
      <c r="E369" s="2" t="s">
        <v>84</v>
      </c>
      <c r="F369" s="2" t="s">
        <v>98</v>
      </c>
      <c r="G369" s="2" t="s">
        <v>97</v>
      </c>
      <c r="H369" s="2" t="s">
        <v>1236</v>
      </c>
      <c r="I369" s="2" t="s">
        <v>432</v>
      </c>
      <c r="J369" s="2" t="s">
        <v>3004</v>
      </c>
      <c r="K369" s="2" t="s">
        <v>3005</v>
      </c>
      <c r="L369" s="2" t="s">
        <v>2074</v>
      </c>
      <c r="M369" s="2">
        <v>789</v>
      </c>
      <c r="N369" s="2" t="s">
        <v>1658</v>
      </c>
      <c r="O369" s="2">
        <v>7</v>
      </c>
      <c r="P369" s="2">
        <v>46</v>
      </c>
      <c r="Q369" s="2" t="s">
        <v>1658</v>
      </c>
      <c r="R369" s="2">
        <v>7</v>
      </c>
      <c r="S369" s="2" t="s">
        <v>1660</v>
      </c>
      <c r="T369" s="2">
        <v>0</v>
      </c>
      <c r="U369" s="2" t="s">
        <v>32</v>
      </c>
      <c r="V369" s="2" t="s">
        <v>32</v>
      </c>
      <c r="W369" s="2" t="s">
        <v>1660</v>
      </c>
      <c r="X369" s="2">
        <v>0</v>
      </c>
      <c r="Y369" s="2" t="s">
        <v>32</v>
      </c>
      <c r="Z369" s="2" t="s">
        <v>32</v>
      </c>
      <c r="AA369" s="2" t="s">
        <v>1660</v>
      </c>
      <c r="AB369" s="2">
        <v>0</v>
      </c>
      <c r="AC369" s="2" t="s">
        <v>1660</v>
      </c>
      <c r="AD369" s="2">
        <v>0</v>
      </c>
      <c r="AE369" s="2" t="s">
        <v>1658</v>
      </c>
      <c r="AF369" s="2">
        <v>13</v>
      </c>
      <c r="AG369" s="2">
        <v>73</v>
      </c>
      <c r="AH369" s="2" t="s">
        <v>1660</v>
      </c>
      <c r="AI369" s="2" t="s">
        <v>32</v>
      </c>
      <c r="AJ369" s="2" t="s">
        <v>32</v>
      </c>
      <c r="AK369" s="2" t="s">
        <v>32</v>
      </c>
      <c r="AL369" s="2" t="s">
        <v>1658</v>
      </c>
      <c r="AM369" s="2">
        <v>13</v>
      </c>
      <c r="AN369" s="2" t="s">
        <v>1660</v>
      </c>
      <c r="AO369" s="2">
        <v>0</v>
      </c>
      <c r="AP369" s="2" t="s">
        <v>32</v>
      </c>
      <c r="AQ369" s="2" t="s">
        <v>32</v>
      </c>
      <c r="AR369" s="2" t="s">
        <v>1660</v>
      </c>
      <c r="AS369" s="2">
        <v>0</v>
      </c>
      <c r="AT369" s="2" t="s">
        <v>32</v>
      </c>
      <c r="AU369" s="2" t="s">
        <v>32</v>
      </c>
      <c r="AV369" s="2" t="s">
        <v>1660</v>
      </c>
      <c r="AW369" s="2">
        <v>0</v>
      </c>
      <c r="AX369" s="2" t="s">
        <v>1660</v>
      </c>
      <c r="AY369" s="2">
        <v>0</v>
      </c>
      <c r="AZ369" s="2" t="s">
        <v>1660</v>
      </c>
      <c r="BA369" s="2">
        <v>0</v>
      </c>
      <c r="BB369" s="2">
        <v>0</v>
      </c>
      <c r="BC369" s="2" t="s">
        <v>32</v>
      </c>
      <c r="BD369" s="2">
        <v>0</v>
      </c>
      <c r="BE369" s="2" t="s">
        <v>32</v>
      </c>
      <c r="BF369" s="2">
        <v>0</v>
      </c>
      <c r="BG369" s="2" t="s">
        <v>32</v>
      </c>
      <c r="BH369" s="2">
        <v>0</v>
      </c>
      <c r="BI369" s="2" t="s">
        <v>32</v>
      </c>
      <c r="BJ369" s="2" t="s">
        <v>32</v>
      </c>
      <c r="BK369" s="2" t="s">
        <v>32</v>
      </c>
      <c r="BL369" s="2">
        <v>0</v>
      </c>
      <c r="BM369" s="2" t="s">
        <v>32</v>
      </c>
      <c r="BN369" s="2" t="s">
        <v>32</v>
      </c>
      <c r="BO369" s="2" t="s">
        <v>32</v>
      </c>
      <c r="BP369" s="2">
        <v>0</v>
      </c>
      <c r="BQ369" s="2" t="s">
        <v>32</v>
      </c>
      <c r="BR369" s="2">
        <v>0</v>
      </c>
      <c r="BS369" s="2" t="s">
        <v>1660</v>
      </c>
      <c r="BT369" s="2">
        <v>0</v>
      </c>
      <c r="BU369" s="2">
        <v>0</v>
      </c>
      <c r="BV369" s="2" t="s">
        <v>1660</v>
      </c>
      <c r="BW369" s="2"/>
      <c r="BX369" s="2"/>
      <c r="BY369" s="2" t="s">
        <v>1807</v>
      </c>
      <c r="BZ369" s="2" t="b">
        <f>OR( (Dashboard[[#This Row],[ref_as_hh]]&gt;=1),(Dashboard[[#This Row],[ret_as_hh]] &gt;=1), (Dashboard[[#This Row],[idp_as_hh]]&gt;=1))</f>
        <v>0</v>
      </c>
      <c r="CA369" s="2">
        <f>Dashboard[[#This Row],[ret_hi_hh]]</f>
        <v>0</v>
      </c>
      <c r="CB369" s="2">
        <f>Dashboard[[#This Row],[idp_fa_hh]]+Dashboard[[#This Row],[ref_fa_hh]]+Dashboard[[#This Row],[ret_fa_hh]]</f>
        <v>20</v>
      </c>
      <c r="CC369" s="2">
        <f>Dashboard[[#This Row],[idp_loc_hh]]+Dashboard[[#This Row],[ref_loc_hh]]+Dashboard[[#This Row],[ret_loc_hh]]</f>
        <v>0</v>
      </c>
      <c r="CD369" s="2">
        <f>Dashboard[[#This Row],[idp_cc_hh]]+Dashboard[[#This Row],[ref_cc_hh]]+Dashboard[[#This Row],[ret_cc_hh]]</f>
        <v>0</v>
      </c>
      <c r="CE369" s="2">
        <f>Dashboard[[#This Row],[idp_as_hh]]+Dashboard[[#This Row],[ref_as_hh]]+Dashboard[[#This Row],[ret_as_hh]]</f>
        <v>0</v>
      </c>
      <c r="CF369" s="2">
        <f>Dashboard[[#This Row],[idp_al_hh]]+Dashboard[[#This Row],[ref_al_hh]]+Dashboard[[#This Row],[ret_al_hh]]</f>
        <v>0</v>
      </c>
    </row>
    <row r="370" spans="1:84" hidden="1" x14ac:dyDescent="0.25">
      <c r="A370" s="27">
        <v>368</v>
      </c>
      <c r="B370" s="2" t="s">
        <v>22</v>
      </c>
      <c r="C370" s="2" t="s">
        <v>23</v>
      </c>
      <c r="D370" s="2" t="s">
        <v>85</v>
      </c>
      <c r="E370" s="2" t="s">
        <v>84</v>
      </c>
      <c r="F370" s="2" t="s">
        <v>98</v>
      </c>
      <c r="G370" s="2" t="s">
        <v>97</v>
      </c>
      <c r="H370" s="2" t="s">
        <v>1192</v>
      </c>
      <c r="I370" s="2" t="s">
        <v>825</v>
      </c>
      <c r="J370" s="2" t="s">
        <v>2888</v>
      </c>
      <c r="K370" s="2" t="s">
        <v>2889</v>
      </c>
      <c r="L370" s="2" t="s">
        <v>2074</v>
      </c>
      <c r="M370" s="2">
        <v>600</v>
      </c>
      <c r="N370" s="2" t="s">
        <v>1658</v>
      </c>
      <c r="O370" s="2">
        <v>36</v>
      </c>
      <c r="P370" s="2">
        <v>298</v>
      </c>
      <c r="Q370" s="2" t="s">
        <v>1658</v>
      </c>
      <c r="R370" s="2">
        <v>36</v>
      </c>
      <c r="S370" s="2" t="s">
        <v>1660</v>
      </c>
      <c r="T370" s="2">
        <v>0</v>
      </c>
      <c r="U370" s="2" t="s">
        <v>32</v>
      </c>
      <c r="V370" s="2" t="s">
        <v>32</v>
      </c>
      <c r="W370" s="2" t="s">
        <v>1660</v>
      </c>
      <c r="X370" s="2">
        <v>0</v>
      </c>
      <c r="Y370" s="2" t="s">
        <v>32</v>
      </c>
      <c r="Z370" s="2" t="s">
        <v>32</v>
      </c>
      <c r="AA370" s="2" t="s">
        <v>1660</v>
      </c>
      <c r="AB370" s="2">
        <v>0</v>
      </c>
      <c r="AC370" s="2" t="s">
        <v>1660</v>
      </c>
      <c r="AD370" s="2">
        <v>0</v>
      </c>
      <c r="AE370" s="2" t="s">
        <v>1658</v>
      </c>
      <c r="AF370" s="2">
        <v>5</v>
      </c>
      <c r="AG370" s="2">
        <v>25</v>
      </c>
      <c r="AH370" s="2" t="s">
        <v>1660</v>
      </c>
      <c r="AI370" s="2" t="s">
        <v>32</v>
      </c>
      <c r="AJ370" s="2" t="s">
        <v>32</v>
      </c>
      <c r="AK370" s="2" t="s">
        <v>32</v>
      </c>
      <c r="AL370" s="2" t="s">
        <v>1658</v>
      </c>
      <c r="AM370" s="2">
        <v>5</v>
      </c>
      <c r="AN370" s="2" t="s">
        <v>1660</v>
      </c>
      <c r="AO370" s="2">
        <v>0</v>
      </c>
      <c r="AP370" s="2" t="s">
        <v>32</v>
      </c>
      <c r="AQ370" s="2" t="s">
        <v>32</v>
      </c>
      <c r="AR370" s="2" t="s">
        <v>1660</v>
      </c>
      <c r="AS370" s="2">
        <v>0</v>
      </c>
      <c r="AT370" s="2" t="s">
        <v>32</v>
      </c>
      <c r="AU370" s="2" t="s">
        <v>32</v>
      </c>
      <c r="AV370" s="2" t="s">
        <v>1660</v>
      </c>
      <c r="AW370" s="2">
        <v>0</v>
      </c>
      <c r="AX370" s="2" t="s">
        <v>1660</v>
      </c>
      <c r="AY370" s="2">
        <v>0</v>
      </c>
      <c r="AZ370" s="2" t="s">
        <v>1660</v>
      </c>
      <c r="BA370" s="2">
        <v>0</v>
      </c>
      <c r="BB370" s="2">
        <v>0</v>
      </c>
      <c r="BC370" s="2" t="s">
        <v>32</v>
      </c>
      <c r="BD370" s="2">
        <v>0</v>
      </c>
      <c r="BE370" s="2" t="s">
        <v>32</v>
      </c>
      <c r="BF370" s="2">
        <v>0</v>
      </c>
      <c r="BG370" s="2" t="s">
        <v>32</v>
      </c>
      <c r="BH370" s="2">
        <v>0</v>
      </c>
      <c r="BI370" s="2" t="s">
        <v>32</v>
      </c>
      <c r="BJ370" s="2" t="s">
        <v>32</v>
      </c>
      <c r="BK370" s="2" t="s">
        <v>32</v>
      </c>
      <c r="BL370" s="2">
        <v>0</v>
      </c>
      <c r="BM370" s="2" t="s">
        <v>32</v>
      </c>
      <c r="BN370" s="2" t="s">
        <v>32</v>
      </c>
      <c r="BO370" s="2" t="s">
        <v>32</v>
      </c>
      <c r="BP370" s="2">
        <v>0</v>
      </c>
      <c r="BQ370" s="2" t="s">
        <v>32</v>
      </c>
      <c r="BR370" s="2">
        <v>0</v>
      </c>
      <c r="BS370" s="2" t="s">
        <v>1660</v>
      </c>
      <c r="BT370" s="2">
        <v>0</v>
      </c>
      <c r="BU370" s="2">
        <v>0</v>
      </c>
      <c r="BV370" s="2" t="s">
        <v>1660</v>
      </c>
      <c r="BW370" s="2"/>
      <c r="BX370" s="2"/>
      <c r="BY370" s="2" t="s">
        <v>1807</v>
      </c>
      <c r="BZ370" s="2" t="b">
        <f>OR( (Dashboard[[#This Row],[ref_as_hh]]&gt;=1),(Dashboard[[#This Row],[ret_as_hh]] &gt;=1), (Dashboard[[#This Row],[idp_as_hh]]&gt;=1))</f>
        <v>0</v>
      </c>
      <c r="CA370" s="2">
        <f>Dashboard[[#This Row],[ret_hi_hh]]</f>
        <v>0</v>
      </c>
      <c r="CB370" s="2">
        <f>Dashboard[[#This Row],[idp_fa_hh]]+Dashboard[[#This Row],[ref_fa_hh]]+Dashboard[[#This Row],[ret_fa_hh]]</f>
        <v>41</v>
      </c>
      <c r="CC370" s="2">
        <f>Dashboard[[#This Row],[idp_loc_hh]]+Dashboard[[#This Row],[ref_loc_hh]]+Dashboard[[#This Row],[ret_loc_hh]]</f>
        <v>0</v>
      </c>
      <c r="CD370" s="2">
        <f>Dashboard[[#This Row],[idp_cc_hh]]+Dashboard[[#This Row],[ref_cc_hh]]+Dashboard[[#This Row],[ret_cc_hh]]</f>
        <v>0</v>
      </c>
      <c r="CE370" s="2">
        <f>Dashboard[[#This Row],[idp_as_hh]]+Dashboard[[#This Row],[ref_as_hh]]+Dashboard[[#This Row],[ret_as_hh]]</f>
        <v>0</v>
      </c>
      <c r="CF370" s="2">
        <f>Dashboard[[#This Row],[idp_al_hh]]+Dashboard[[#This Row],[ref_al_hh]]+Dashboard[[#This Row],[ret_al_hh]]</f>
        <v>0</v>
      </c>
    </row>
    <row r="371" spans="1:84" x14ac:dyDescent="0.25">
      <c r="A371" s="27">
        <v>370</v>
      </c>
      <c r="B371" s="2" t="s">
        <v>22</v>
      </c>
      <c r="C371" s="2" t="s">
        <v>23</v>
      </c>
      <c r="D371" s="2" t="s">
        <v>85</v>
      </c>
      <c r="E371" s="2" t="s">
        <v>84</v>
      </c>
      <c r="F371" s="2" t="s">
        <v>98</v>
      </c>
      <c r="G371" s="2" t="s">
        <v>97</v>
      </c>
      <c r="H371" s="2" t="s">
        <v>1193</v>
      </c>
      <c r="I371" s="2" t="s">
        <v>826</v>
      </c>
      <c r="J371" s="2" t="s">
        <v>2890</v>
      </c>
      <c r="K371" s="2" t="s">
        <v>2891</v>
      </c>
      <c r="L371" s="2" t="s">
        <v>3693</v>
      </c>
      <c r="M371" s="2">
        <v>450</v>
      </c>
      <c r="N371" s="2" t="s">
        <v>1658</v>
      </c>
      <c r="O371" s="2">
        <v>7</v>
      </c>
      <c r="P371" s="2">
        <v>60</v>
      </c>
      <c r="Q371" s="2" t="s">
        <v>1658</v>
      </c>
      <c r="R371" s="2">
        <v>7</v>
      </c>
      <c r="S371" s="2" t="s">
        <v>1660</v>
      </c>
      <c r="T371" s="2">
        <v>0</v>
      </c>
      <c r="U371" s="2" t="s">
        <v>32</v>
      </c>
      <c r="V371" s="2" t="s">
        <v>32</v>
      </c>
      <c r="W371" s="2" t="s">
        <v>1660</v>
      </c>
      <c r="X371" s="2">
        <v>0</v>
      </c>
      <c r="Y371" s="2" t="s">
        <v>32</v>
      </c>
      <c r="Z371" s="2" t="s">
        <v>32</v>
      </c>
      <c r="AA371" s="2" t="s">
        <v>1660</v>
      </c>
      <c r="AB371" s="2">
        <v>0</v>
      </c>
      <c r="AC371" s="2" t="s">
        <v>1660</v>
      </c>
      <c r="AD371" s="2">
        <v>0</v>
      </c>
      <c r="AE371" s="2" t="s">
        <v>1658</v>
      </c>
      <c r="AF371" s="2">
        <v>11</v>
      </c>
      <c r="AG371" s="2">
        <v>94</v>
      </c>
      <c r="AH371" s="2" t="s">
        <v>1660</v>
      </c>
      <c r="AI371" s="2" t="s">
        <v>32</v>
      </c>
      <c r="AJ371" s="2" t="s">
        <v>32</v>
      </c>
      <c r="AK371" s="2" t="s">
        <v>32</v>
      </c>
      <c r="AL371" s="2" t="s">
        <v>1658</v>
      </c>
      <c r="AM371" s="2">
        <v>7</v>
      </c>
      <c r="AN371" s="2" t="s">
        <v>1660</v>
      </c>
      <c r="AO371" s="2">
        <v>0</v>
      </c>
      <c r="AP371" s="2" t="s">
        <v>32</v>
      </c>
      <c r="AQ371" s="2" t="s">
        <v>32</v>
      </c>
      <c r="AR371" s="2" t="s">
        <v>1660</v>
      </c>
      <c r="AS371" s="2">
        <v>0</v>
      </c>
      <c r="AT371" s="2" t="s">
        <v>32</v>
      </c>
      <c r="AU371" s="2" t="s">
        <v>32</v>
      </c>
      <c r="AV371" s="2" t="s">
        <v>1658</v>
      </c>
      <c r="AW371" s="2">
        <v>4</v>
      </c>
      <c r="AX371" s="2" t="s">
        <v>1660</v>
      </c>
      <c r="AY371" s="2">
        <v>0</v>
      </c>
      <c r="AZ371" s="2" t="s">
        <v>1660</v>
      </c>
      <c r="BA371" s="2">
        <v>0</v>
      </c>
      <c r="BB371" s="2">
        <v>0</v>
      </c>
      <c r="BC371" s="2" t="s">
        <v>32</v>
      </c>
      <c r="BD371" s="2">
        <v>0</v>
      </c>
      <c r="BE371" s="2" t="s">
        <v>32</v>
      </c>
      <c r="BF371" s="2">
        <v>0</v>
      </c>
      <c r="BG371" s="2" t="s">
        <v>32</v>
      </c>
      <c r="BH371" s="2">
        <v>0</v>
      </c>
      <c r="BI371" s="2" t="s">
        <v>32</v>
      </c>
      <c r="BJ371" s="2" t="s">
        <v>32</v>
      </c>
      <c r="BK371" s="2" t="s">
        <v>32</v>
      </c>
      <c r="BL371" s="2">
        <v>0</v>
      </c>
      <c r="BM371" s="2" t="s">
        <v>32</v>
      </c>
      <c r="BN371" s="2" t="s">
        <v>32</v>
      </c>
      <c r="BO371" s="2" t="s">
        <v>32</v>
      </c>
      <c r="BP371" s="2">
        <v>0</v>
      </c>
      <c r="BQ371" s="2" t="s">
        <v>32</v>
      </c>
      <c r="BR371" s="2">
        <v>0</v>
      </c>
      <c r="BS371" s="2" t="s">
        <v>1660</v>
      </c>
      <c r="BT371" s="2">
        <v>0</v>
      </c>
      <c r="BU371" s="2">
        <v>0</v>
      </c>
      <c r="BV371" s="2" t="s">
        <v>1660</v>
      </c>
      <c r="BW371" s="2"/>
      <c r="BX371" s="2"/>
      <c r="BY371" s="2" t="s">
        <v>1807</v>
      </c>
      <c r="BZ371" s="2" t="b">
        <f>OR( (Dashboard[[#This Row],[ref_as_hh]]&gt;=1),(Dashboard[[#This Row],[ret_as_hh]] &gt;=1), (Dashboard[[#This Row],[idp_as_hh]]&gt;=1))</f>
        <v>1</v>
      </c>
      <c r="CA371" s="2">
        <f>Dashboard[[#This Row],[ret_hi_hh]]</f>
        <v>0</v>
      </c>
      <c r="CB371" s="2">
        <f>Dashboard[[#This Row],[idp_fa_hh]]+Dashboard[[#This Row],[ref_fa_hh]]+Dashboard[[#This Row],[ret_fa_hh]]</f>
        <v>14</v>
      </c>
      <c r="CC371" s="2">
        <f>Dashboard[[#This Row],[idp_loc_hh]]+Dashboard[[#This Row],[ref_loc_hh]]+Dashboard[[#This Row],[ret_loc_hh]]</f>
        <v>0</v>
      </c>
      <c r="CD371" s="2">
        <f>Dashboard[[#This Row],[idp_cc_hh]]+Dashboard[[#This Row],[ref_cc_hh]]+Dashboard[[#This Row],[ret_cc_hh]]</f>
        <v>0</v>
      </c>
      <c r="CE371" s="2">
        <f>Dashboard[[#This Row],[idp_as_hh]]+Dashboard[[#This Row],[ref_as_hh]]+Dashboard[[#This Row],[ret_as_hh]]</f>
        <v>4</v>
      </c>
      <c r="CF371" s="2">
        <f>Dashboard[[#This Row],[idp_al_hh]]+Dashboard[[#This Row],[ref_al_hh]]+Dashboard[[#This Row],[ret_al_hh]]</f>
        <v>0</v>
      </c>
    </row>
    <row r="372" spans="1:84" x14ac:dyDescent="0.25">
      <c r="A372" s="27">
        <v>115</v>
      </c>
      <c r="B372" s="2" t="s">
        <v>22</v>
      </c>
      <c r="C372" s="2" t="s">
        <v>23</v>
      </c>
      <c r="D372" s="2" t="s">
        <v>85</v>
      </c>
      <c r="E372" s="2" t="s">
        <v>84</v>
      </c>
      <c r="F372" s="2" t="s">
        <v>98</v>
      </c>
      <c r="G372" s="2" t="s">
        <v>97</v>
      </c>
      <c r="H372" s="2" t="s">
        <v>1686</v>
      </c>
      <c r="I372" s="2" t="s">
        <v>695</v>
      </c>
      <c r="J372" s="2" t="s">
        <v>3046</v>
      </c>
      <c r="K372" s="2" t="s">
        <v>3047</v>
      </c>
      <c r="L372" s="2" t="s">
        <v>2074</v>
      </c>
      <c r="M372" s="2">
        <v>90</v>
      </c>
      <c r="N372" s="2" t="s">
        <v>1658</v>
      </c>
      <c r="O372" s="2">
        <v>18</v>
      </c>
      <c r="P372" s="2">
        <v>90</v>
      </c>
      <c r="Q372" s="2" t="s">
        <v>32</v>
      </c>
      <c r="R372" s="2">
        <v>0</v>
      </c>
      <c r="S372" s="2" t="s">
        <v>1660</v>
      </c>
      <c r="T372" s="2">
        <v>0</v>
      </c>
      <c r="U372" s="2" t="s">
        <v>32</v>
      </c>
      <c r="V372" s="2" t="s">
        <v>32</v>
      </c>
      <c r="W372" s="2" t="s">
        <v>1660</v>
      </c>
      <c r="X372" s="2">
        <v>0</v>
      </c>
      <c r="Y372" s="2" t="s">
        <v>32</v>
      </c>
      <c r="Z372" s="2" t="s">
        <v>32</v>
      </c>
      <c r="AA372" s="2" t="s">
        <v>1658</v>
      </c>
      <c r="AB372" s="2">
        <v>18</v>
      </c>
      <c r="AC372" s="2" t="s">
        <v>1660</v>
      </c>
      <c r="AD372" s="2">
        <v>0</v>
      </c>
      <c r="AE372" s="2" t="s">
        <v>1660</v>
      </c>
      <c r="AF372" s="2">
        <v>0</v>
      </c>
      <c r="AG372" s="2">
        <v>0</v>
      </c>
      <c r="AH372" s="2" t="s">
        <v>32</v>
      </c>
      <c r="AI372" s="2" t="s">
        <v>32</v>
      </c>
      <c r="AJ372" s="2" t="s">
        <v>32</v>
      </c>
      <c r="AK372" s="2" t="s">
        <v>32</v>
      </c>
      <c r="AL372" s="2" t="s">
        <v>32</v>
      </c>
      <c r="AM372" s="2">
        <v>0</v>
      </c>
      <c r="AN372" s="2" t="s">
        <v>32</v>
      </c>
      <c r="AO372" s="2">
        <v>0</v>
      </c>
      <c r="AP372" s="2" t="s">
        <v>32</v>
      </c>
      <c r="AQ372" s="2" t="s">
        <v>32</v>
      </c>
      <c r="AR372" s="2" t="s">
        <v>32</v>
      </c>
      <c r="AS372" s="2">
        <v>0</v>
      </c>
      <c r="AT372" s="2" t="s">
        <v>32</v>
      </c>
      <c r="AU372" s="2" t="s">
        <v>32</v>
      </c>
      <c r="AV372" s="2" t="s">
        <v>32</v>
      </c>
      <c r="AW372" s="2">
        <v>0</v>
      </c>
      <c r="AX372" s="2" t="s">
        <v>32</v>
      </c>
      <c r="AY372" s="2">
        <v>0</v>
      </c>
      <c r="AZ372" s="2" t="s">
        <v>1660</v>
      </c>
      <c r="BA372" s="2">
        <v>0</v>
      </c>
      <c r="BB372" s="2">
        <v>0</v>
      </c>
      <c r="BC372" s="2" t="s">
        <v>32</v>
      </c>
      <c r="BD372" s="2">
        <v>0</v>
      </c>
      <c r="BE372" s="2" t="s">
        <v>32</v>
      </c>
      <c r="BF372" s="2">
        <v>0</v>
      </c>
      <c r="BG372" s="2" t="s">
        <v>32</v>
      </c>
      <c r="BH372" s="2">
        <v>0</v>
      </c>
      <c r="BI372" s="2" t="s">
        <v>32</v>
      </c>
      <c r="BJ372" s="2" t="s">
        <v>32</v>
      </c>
      <c r="BK372" s="2" t="s">
        <v>32</v>
      </c>
      <c r="BL372" s="2">
        <v>0</v>
      </c>
      <c r="BM372" s="2" t="s">
        <v>32</v>
      </c>
      <c r="BN372" s="2" t="s">
        <v>32</v>
      </c>
      <c r="BO372" s="2" t="s">
        <v>32</v>
      </c>
      <c r="BP372" s="2">
        <v>0</v>
      </c>
      <c r="BQ372" s="2" t="s">
        <v>32</v>
      </c>
      <c r="BR372" s="2">
        <v>0</v>
      </c>
      <c r="BS372" s="2" t="s">
        <v>1660</v>
      </c>
      <c r="BT372" s="2">
        <v>0</v>
      </c>
      <c r="BU372" s="2">
        <v>0</v>
      </c>
      <c r="BV372" s="2" t="s">
        <v>1660</v>
      </c>
      <c r="BW372" s="2"/>
      <c r="BX372" s="2"/>
      <c r="BY372" s="2" t="s">
        <v>1807</v>
      </c>
      <c r="BZ372" s="2" t="b">
        <f>OR( (Dashboard[[#This Row],[ref_as_hh]]&gt;=1),(Dashboard[[#This Row],[ret_as_hh]] &gt;=1), (Dashboard[[#This Row],[idp_as_hh]]&gt;=1))</f>
        <v>1</v>
      </c>
      <c r="CA372" s="2">
        <f>Dashboard[[#This Row],[ret_hi_hh]]</f>
        <v>0</v>
      </c>
      <c r="CB372" s="2">
        <f>Dashboard[[#This Row],[idp_fa_hh]]+Dashboard[[#This Row],[ref_fa_hh]]+Dashboard[[#This Row],[ret_fa_hh]]</f>
        <v>0</v>
      </c>
      <c r="CC372" s="2">
        <f>Dashboard[[#This Row],[idp_loc_hh]]+Dashboard[[#This Row],[ref_loc_hh]]+Dashboard[[#This Row],[ret_loc_hh]]</f>
        <v>0</v>
      </c>
      <c r="CD372" s="2">
        <f>Dashboard[[#This Row],[idp_cc_hh]]+Dashboard[[#This Row],[ref_cc_hh]]+Dashboard[[#This Row],[ret_cc_hh]]</f>
        <v>0</v>
      </c>
      <c r="CE372" s="2">
        <f>Dashboard[[#This Row],[idp_as_hh]]+Dashboard[[#This Row],[ref_as_hh]]+Dashboard[[#This Row],[ret_as_hh]]</f>
        <v>18</v>
      </c>
      <c r="CF372" s="2">
        <f>Dashboard[[#This Row],[idp_al_hh]]+Dashboard[[#This Row],[ref_al_hh]]+Dashboard[[#This Row],[ret_al_hh]]</f>
        <v>0</v>
      </c>
    </row>
    <row r="373" spans="1:84" hidden="1" x14ac:dyDescent="0.25">
      <c r="A373" s="27">
        <v>628</v>
      </c>
      <c r="B373" s="2" t="s">
        <v>22</v>
      </c>
      <c r="C373" s="2" t="s">
        <v>23</v>
      </c>
      <c r="D373" s="2" t="s">
        <v>85</v>
      </c>
      <c r="E373" s="2" t="s">
        <v>84</v>
      </c>
      <c r="F373" s="2" t="s">
        <v>98</v>
      </c>
      <c r="G373" s="2" t="s">
        <v>97</v>
      </c>
      <c r="H373" s="2" t="s">
        <v>1227</v>
      </c>
      <c r="I373" s="2" t="s">
        <v>426</v>
      </c>
      <c r="J373" s="2" t="s">
        <v>2978</v>
      </c>
      <c r="K373" s="2" t="s">
        <v>2979</v>
      </c>
      <c r="L373" s="2" t="s">
        <v>2074</v>
      </c>
      <c r="M373" s="2">
        <v>4000</v>
      </c>
      <c r="N373" s="2" t="s">
        <v>1658</v>
      </c>
      <c r="O373" s="2">
        <v>49</v>
      </c>
      <c r="P373" s="2">
        <v>257</v>
      </c>
      <c r="Q373" s="2" t="s">
        <v>1658</v>
      </c>
      <c r="R373" s="2">
        <v>49</v>
      </c>
      <c r="S373" s="2" t="s">
        <v>1660</v>
      </c>
      <c r="T373" s="2">
        <v>0</v>
      </c>
      <c r="U373" s="2" t="s">
        <v>32</v>
      </c>
      <c r="V373" s="2" t="s">
        <v>32</v>
      </c>
      <c r="W373" s="2" t="s">
        <v>1660</v>
      </c>
      <c r="X373" s="2">
        <v>0</v>
      </c>
      <c r="Y373" s="2" t="s">
        <v>32</v>
      </c>
      <c r="Z373" s="2" t="s">
        <v>32</v>
      </c>
      <c r="AA373" s="2" t="s">
        <v>1660</v>
      </c>
      <c r="AB373" s="2">
        <v>0</v>
      </c>
      <c r="AC373" s="2" t="s">
        <v>1660</v>
      </c>
      <c r="AD373" s="2">
        <v>0</v>
      </c>
      <c r="AE373" s="2" t="s">
        <v>1658</v>
      </c>
      <c r="AF373" s="2">
        <v>11</v>
      </c>
      <c r="AG373" s="2">
        <v>33</v>
      </c>
      <c r="AH373" s="2" t="s">
        <v>1660</v>
      </c>
      <c r="AI373" s="2" t="s">
        <v>32</v>
      </c>
      <c r="AJ373" s="2" t="s">
        <v>32</v>
      </c>
      <c r="AK373" s="2" t="s">
        <v>32</v>
      </c>
      <c r="AL373" s="2" t="s">
        <v>1658</v>
      </c>
      <c r="AM373" s="2">
        <v>11</v>
      </c>
      <c r="AN373" s="2" t="s">
        <v>1660</v>
      </c>
      <c r="AO373" s="2">
        <v>0</v>
      </c>
      <c r="AP373" s="2" t="s">
        <v>32</v>
      </c>
      <c r="AQ373" s="2" t="s">
        <v>32</v>
      </c>
      <c r="AR373" s="2" t="s">
        <v>1660</v>
      </c>
      <c r="AS373" s="2">
        <v>0</v>
      </c>
      <c r="AT373" s="2" t="s">
        <v>32</v>
      </c>
      <c r="AU373" s="2" t="s">
        <v>32</v>
      </c>
      <c r="AV373" s="2" t="s">
        <v>1660</v>
      </c>
      <c r="AW373" s="2">
        <v>0</v>
      </c>
      <c r="AX373" s="2" t="s">
        <v>1660</v>
      </c>
      <c r="AY373" s="2">
        <v>0</v>
      </c>
      <c r="AZ373" s="2" t="s">
        <v>1660</v>
      </c>
      <c r="BA373" s="2">
        <v>0</v>
      </c>
      <c r="BB373" s="2">
        <v>0</v>
      </c>
      <c r="BC373" s="2" t="s">
        <v>32</v>
      </c>
      <c r="BD373" s="2">
        <v>0</v>
      </c>
      <c r="BE373" s="2" t="s">
        <v>32</v>
      </c>
      <c r="BF373" s="2">
        <v>0</v>
      </c>
      <c r="BG373" s="2" t="s">
        <v>32</v>
      </c>
      <c r="BH373" s="2">
        <v>0</v>
      </c>
      <c r="BI373" s="2" t="s">
        <v>32</v>
      </c>
      <c r="BJ373" s="2" t="s">
        <v>32</v>
      </c>
      <c r="BK373" s="2" t="s">
        <v>32</v>
      </c>
      <c r="BL373" s="2">
        <v>0</v>
      </c>
      <c r="BM373" s="2" t="s">
        <v>32</v>
      </c>
      <c r="BN373" s="2" t="s">
        <v>32</v>
      </c>
      <c r="BO373" s="2" t="s">
        <v>32</v>
      </c>
      <c r="BP373" s="2">
        <v>0</v>
      </c>
      <c r="BQ373" s="2" t="s">
        <v>32</v>
      </c>
      <c r="BR373" s="2">
        <v>0</v>
      </c>
      <c r="BS373" s="2" t="s">
        <v>1660</v>
      </c>
      <c r="BT373" s="2">
        <v>0</v>
      </c>
      <c r="BU373" s="2">
        <v>0</v>
      </c>
      <c r="BV373" s="2" t="s">
        <v>1660</v>
      </c>
      <c r="BW373" s="2"/>
      <c r="BX373" s="2"/>
      <c r="BY373" s="2" t="s">
        <v>1807</v>
      </c>
      <c r="BZ373" s="2" t="b">
        <f>OR( (Dashboard[[#This Row],[ref_as_hh]]&gt;=1),(Dashboard[[#This Row],[ret_as_hh]] &gt;=1), (Dashboard[[#This Row],[idp_as_hh]]&gt;=1))</f>
        <v>0</v>
      </c>
      <c r="CA373" s="2">
        <f>Dashboard[[#This Row],[ret_hi_hh]]</f>
        <v>0</v>
      </c>
      <c r="CB373" s="2">
        <f>Dashboard[[#This Row],[idp_fa_hh]]+Dashboard[[#This Row],[ref_fa_hh]]+Dashboard[[#This Row],[ret_fa_hh]]</f>
        <v>60</v>
      </c>
      <c r="CC373" s="2">
        <f>Dashboard[[#This Row],[idp_loc_hh]]+Dashboard[[#This Row],[ref_loc_hh]]+Dashboard[[#This Row],[ret_loc_hh]]</f>
        <v>0</v>
      </c>
      <c r="CD373" s="2">
        <f>Dashboard[[#This Row],[idp_cc_hh]]+Dashboard[[#This Row],[ref_cc_hh]]+Dashboard[[#This Row],[ret_cc_hh]]</f>
        <v>0</v>
      </c>
      <c r="CE373" s="2">
        <f>Dashboard[[#This Row],[idp_as_hh]]+Dashboard[[#This Row],[ref_as_hh]]+Dashboard[[#This Row],[ret_as_hh]]</f>
        <v>0</v>
      </c>
      <c r="CF373" s="2">
        <f>Dashboard[[#This Row],[idp_al_hh]]+Dashboard[[#This Row],[ref_al_hh]]+Dashboard[[#This Row],[ret_al_hh]]</f>
        <v>0</v>
      </c>
    </row>
    <row r="374" spans="1:84" hidden="1" x14ac:dyDescent="0.25">
      <c r="A374" s="27">
        <v>373</v>
      </c>
      <c r="B374" s="2" t="s">
        <v>22</v>
      </c>
      <c r="C374" s="2" t="s">
        <v>23</v>
      </c>
      <c r="D374" s="2" t="s">
        <v>85</v>
      </c>
      <c r="E374" s="2" t="s">
        <v>84</v>
      </c>
      <c r="F374" s="2" t="s">
        <v>98</v>
      </c>
      <c r="G374" s="2" t="s">
        <v>97</v>
      </c>
      <c r="H374" s="2" t="s">
        <v>1201</v>
      </c>
      <c r="I374" s="2" t="s">
        <v>814</v>
      </c>
      <c r="J374" s="2" t="s">
        <v>2910</v>
      </c>
      <c r="K374" s="2" t="s">
        <v>2911</v>
      </c>
      <c r="L374" s="2" t="s">
        <v>2074</v>
      </c>
      <c r="M374" s="2">
        <v>450</v>
      </c>
      <c r="N374" s="2" t="s">
        <v>1658</v>
      </c>
      <c r="O374" s="2">
        <v>13</v>
      </c>
      <c r="P374" s="2">
        <v>111</v>
      </c>
      <c r="Q374" s="2" t="s">
        <v>1658</v>
      </c>
      <c r="R374" s="2">
        <v>13</v>
      </c>
      <c r="S374" s="2" t="s">
        <v>1660</v>
      </c>
      <c r="T374" s="2">
        <v>0</v>
      </c>
      <c r="U374" s="2" t="s">
        <v>32</v>
      </c>
      <c r="V374" s="2" t="s">
        <v>32</v>
      </c>
      <c r="W374" s="2" t="s">
        <v>1660</v>
      </c>
      <c r="X374" s="2">
        <v>0</v>
      </c>
      <c r="Y374" s="2" t="s">
        <v>32</v>
      </c>
      <c r="Z374" s="2" t="s">
        <v>32</v>
      </c>
      <c r="AA374" s="2" t="s">
        <v>1660</v>
      </c>
      <c r="AB374" s="2">
        <v>0</v>
      </c>
      <c r="AC374" s="2" t="s">
        <v>1660</v>
      </c>
      <c r="AD374" s="2">
        <v>0</v>
      </c>
      <c r="AE374" s="2" t="s">
        <v>1660</v>
      </c>
      <c r="AF374" s="2">
        <v>0</v>
      </c>
      <c r="AG374" s="2">
        <v>0</v>
      </c>
      <c r="AH374" s="2" t="s">
        <v>32</v>
      </c>
      <c r="AI374" s="2" t="s">
        <v>32</v>
      </c>
      <c r="AJ374" s="2" t="s">
        <v>32</v>
      </c>
      <c r="AK374" s="2" t="s">
        <v>32</v>
      </c>
      <c r="AL374" s="2" t="s">
        <v>32</v>
      </c>
      <c r="AM374" s="2">
        <v>0</v>
      </c>
      <c r="AN374" s="2" t="s">
        <v>32</v>
      </c>
      <c r="AO374" s="2">
        <v>0</v>
      </c>
      <c r="AP374" s="2" t="s">
        <v>32</v>
      </c>
      <c r="AQ374" s="2" t="s">
        <v>32</v>
      </c>
      <c r="AR374" s="2" t="s">
        <v>32</v>
      </c>
      <c r="AS374" s="2">
        <v>0</v>
      </c>
      <c r="AT374" s="2" t="s">
        <v>32</v>
      </c>
      <c r="AU374" s="2" t="s">
        <v>32</v>
      </c>
      <c r="AV374" s="2" t="s">
        <v>32</v>
      </c>
      <c r="AW374" s="2">
        <v>0</v>
      </c>
      <c r="AX374" s="2" t="s">
        <v>32</v>
      </c>
      <c r="AY374" s="2">
        <v>0</v>
      </c>
      <c r="AZ374" s="2" t="s">
        <v>1660</v>
      </c>
      <c r="BA374" s="2">
        <v>0</v>
      </c>
      <c r="BB374" s="2">
        <v>0</v>
      </c>
      <c r="BC374" s="2" t="s">
        <v>32</v>
      </c>
      <c r="BD374" s="2">
        <v>0</v>
      </c>
      <c r="BE374" s="2" t="s">
        <v>32</v>
      </c>
      <c r="BF374" s="2">
        <v>0</v>
      </c>
      <c r="BG374" s="2" t="s">
        <v>32</v>
      </c>
      <c r="BH374" s="2">
        <v>0</v>
      </c>
      <c r="BI374" s="2" t="s">
        <v>32</v>
      </c>
      <c r="BJ374" s="2" t="s">
        <v>32</v>
      </c>
      <c r="BK374" s="2" t="s">
        <v>32</v>
      </c>
      <c r="BL374" s="2">
        <v>0</v>
      </c>
      <c r="BM374" s="2" t="s">
        <v>32</v>
      </c>
      <c r="BN374" s="2" t="s">
        <v>32</v>
      </c>
      <c r="BO374" s="2" t="s">
        <v>32</v>
      </c>
      <c r="BP374" s="2">
        <v>0</v>
      </c>
      <c r="BQ374" s="2" t="s">
        <v>32</v>
      </c>
      <c r="BR374" s="2">
        <v>0</v>
      </c>
      <c r="BS374" s="2" t="s">
        <v>1660</v>
      </c>
      <c r="BT374" s="2">
        <v>0</v>
      </c>
      <c r="BU374" s="2">
        <v>0</v>
      </c>
      <c r="BV374" s="2" t="s">
        <v>1660</v>
      </c>
      <c r="BW374" s="2"/>
      <c r="BX374" s="2"/>
      <c r="BY374" s="2" t="s">
        <v>1807</v>
      </c>
      <c r="BZ374" s="2" t="b">
        <f>OR( (Dashboard[[#This Row],[ref_as_hh]]&gt;=1),(Dashboard[[#This Row],[ret_as_hh]] &gt;=1), (Dashboard[[#This Row],[idp_as_hh]]&gt;=1))</f>
        <v>0</v>
      </c>
      <c r="CA374" s="2">
        <f>Dashboard[[#This Row],[ret_hi_hh]]</f>
        <v>0</v>
      </c>
      <c r="CB374" s="2">
        <f>Dashboard[[#This Row],[idp_fa_hh]]+Dashboard[[#This Row],[ref_fa_hh]]+Dashboard[[#This Row],[ret_fa_hh]]</f>
        <v>13</v>
      </c>
      <c r="CC374" s="2">
        <f>Dashboard[[#This Row],[idp_loc_hh]]+Dashboard[[#This Row],[ref_loc_hh]]+Dashboard[[#This Row],[ret_loc_hh]]</f>
        <v>0</v>
      </c>
      <c r="CD374" s="2">
        <f>Dashboard[[#This Row],[idp_cc_hh]]+Dashboard[[#This Row],[ref_cc_hh]]+Dashboard[[#This Row],[ret_cc_hh]]</f>
        <v>0</v>
      </c>
      <c r="CE374" s="2">
        <f>Dashboard[[#This Row],[idp_as_hh]]+Dashboard[[#This Row],[ref_as_hh]]+Dashboard[[#This Row],[ret_as_hh]]</f>
        <v>0</v>
      </c>
      <c r="CF374" s="2">
        <f>Dashboard[[#This Row],[idp_al_hh]]+Dashboard[[#This Row],[ref_al_hh]]+Dashboard[[#This Row],[ret_al_hh]]</f>
        <v>0</v>
      </c>
    </row>
    <row r="375" spans="1:84" hidden="1" x14ac:dyDescent="0.25">
      <c r="A375" s="27">
        <v>374</v>
      </c>
      <c r="B375" s="2" t="s">
        <v>22</v>
      </c>
      <c r="C375" s="2" t="s">
        <v>23</v>
      </c>
      <c r="D375" s="2" t="s">
        <v>85</v>
      </c>
      <c r="E375" s="2" t="s">
        <v>84</v>
      </c>
      <c r="F375" s="2" t="s">
        <v>98</v>
      </c>
      <c r="G375" s="2" t="s">
        <v>97</v>
      </c>
      <c r="H375" s="2" t="s">
        <v>1135</v>
      </c>
      <c r="I375" s="2" t="s">
        <v>795</v>
      </c>
      <c r="J375" s="2" t="s">
        <v>2766</v>
      </c>
      <c r="K375" s="2" t="s">
        <v>2767</v>
      </c>
      <c r="L375" s="2" t="s">
        <v>2074</v>
      </c>
      <c r="M375" s="2">
        <v>395</v>
      </c>
      <c r="N375" s="2" t="s">
        <v>1658</v>
      </c>
      <c r="O375" s="2">
        <v>4</v>
      </c>
      <c r="P375" s="2">
        <v>18</v>
      </c>
      <c r="Q375" s="2" t="s">
        <v>1658</v>
      </c>
      <c r="R375" s="2">
        <v>4</v>
      </c>
      <c r="S375" s="2" t="s">
        <v>1660</v>
      </c>
      <c r="T375" s="2">
        <v>0</v>
      </c>
      <c r="U375" s="2" t="s">
        <v>32</v>
      </c>
      <c r="V375" s="2" t="s">
        <v>32</v>
      </c>
      <c r="W375" s="2" t="s">
        <v>1660</v>
      </c>
      <c r="X375" s="2">
        <v>0</v>
      </c>
      <c r="Y375" s="2" t="s">
        <v>32</v>
      </c>
      <c r="Z375" s="2" t="s">
        <v>32</v>
      </c>
      <c r="AA375" s="2" t="s">
        <v>1660</v>
      </c>
      <c r="AB375" s="2">
        <v>0</v>
      </c>
      <c r="AC375" s="2" t="s">
        <v>1660</v>
      </c>
      <c r="AD375" s="2">
        <v>0</v>
      </c>
      <c r="AE375" s="2" t="s">
        <v>1658</v>
      </c>
      <c r="AF375" s="2">
        <v>4</v>
      </c>
      <c r="AG375" s="2">
        <v>18</v>
      </c>
      <c r="AH375" s="2" t="s">
        <v>1660</v>
      </c>
      <c r="AI375" s="2" t="s">
        <v>32</v>
      </c>
      <c r="AJ375" s="2" t="s">
        <v>32</v>
      </c>
      <c r="AK375" s="2" t="s">
        <v>32</v>
      </c>
      <c r="AL375" s="2" t="s">
        <v>1658</v>
      </c>
      <c r="AM375" s="2">
        <v>4</v>
      </c>
      <c r="AN375" s="2" t="s">
        <v>1660</v>
      </c>
      <c r="AO375" s="2">
        <v>0</v>
      </c>
      <c r="AP375" s="2" t="s">
        <v>32</v>
      </c>
      <c r="AQ375" s="2" t="s">
        <v>32</v>
      </c>
      <c r="AR375" s="2" t="s">
        <v>1660</v>
      </c>
      <c r="AS375" s="2">
        <v>0</v>
      </c>
      <c r="AT375" s="2" t="s">
        <v>32</v>
      </c>
      <c r="AU375" s="2" t="s">
        <v>32</v>
      </c>
      <c r="AV375" s="2" t="s">
        <v>1660</v>
      </c>
      <c r="AW375" s="2">
        <v>0</v>
      </c>
      <c r="AX375" s="2" t="s">
        <v>1660</v>
      </c>
      <c r="AY375" s="2">
        <v>0</v>
      </c>
      <c r="AZ375" s="2" t="s">
        <v>1660</v>
      </c>
      <c r="BA375" s="2">
        <v>0</v>
      </c>
      <c r="BB375" s="2">
        <v>0</v>
      </c>
      <c r="BC375" s="2" t="s">
        <v>32</v>
      </c>
      <c r="BD375" s="2">
        <v>0</v>
      </c>
      <c r="BE375" s="2" t="s">
        <v>32</v>
      </c>
      <c r="BF375" s="2">
        <v>0</v>
      </c>
      <c r="BG375" s="2" t="s">
        <v>32</v>
      </c>
      <c r="BH375" s="2">
        <v>0</v>
      </c>
      <c r="BI375" s="2" t="s">
        <v>32</v>
      </c>
      <c r="BJ375" s="2" t="s">
        <v>32</v>
      </c>
      <c r="BK375" s="2" t="s">
        <v>32</v>
      </c>
      <c r="BL375" s="2">
        <v>0</v>
      </c>
      <c r="BM375" s="2" t="s">
        <v>32</v>
      </c>
      <c r="BN375" s="2" t="s">
        <v>32</v>
      </c>
      <c r="BO375" s="2" t="s">
        <v>32</v>
      </c>
      <c r="BP375" s="2">
        <v>0</v>
      </c>
      <c r="BQ375" s="2" t="s">
        <v>32</v>
      </c>
      <c r="BR375" s="2">
        <v>0</v>
      </c>
      <c r="BS375" s="2" t="s">
        <v>1660</v>
      </c>
      <c r="BT375" s="2">
        <v>0</v>
      </c>
      <c r="BU375" s="2">
        <v>0</v>
      </c>
      <c r="BV375" s="2" t="s">
        <v>1660</v>
      </c>
      <c r="BW375" s="2"/>
      <c r="BX375" s="2"/>
      <c r="BY375" s="2" t="s">
        <v>1807</v>
      </c>
      <c r="BZ375" s="2" t="b">
        <f>OR( (Dashboard[[#This Row],[ref_as_hh]]&gt;=1),(Dashboard[[#This Row],[ret_as_hh]] &gt;=1), (Dashboard[[#This Row],[idp_as_hh]]&gt;=1))</f>
        <v>0</v>
      </c>
      <c r="CA375" s="2">
        <f>Dashboard[[#This Row],[ret_hi_hh]]</f>
        <v>0</v>
      </c>
      <c r="CB375" s="2">
        <f>Dashboard[[#This Row],[idp_fa_hh]]+Dashboard[[#This Row],[ref_fa_hh]]+Dashboard[[#This Row],[ret_fa_hh]]</f>
        <v>8</v>
      </c>
      <c r="CC375" s="2">
        <f>Dashboard[[#This Row],[idp_loc_hh]]+Dashboard[[#This Row],[ref_loc_hh]]+Dashboard[[#This Row],[ret_loc_hh]]</f>
        <v>0</v>
      </c>
      <c r="CD375" s="2">
        <f>Dashboard[[#This Row],[idp_cc_hh]]+Dashboard[[#This Row],[ref_cc_hh]]+Dashboard[[#This Row],[ret_cc_hh]]</f>
        <v>0</v>
      </c>
      <c r="CE375" s="2">
        <f>Dashboard[[#This Row],[idp_as_hh]]+Dashboard[[#This Row],[ref_as_hh]]+Dashboard[[#This Row],[ret_as_hh]]</f>
        <v>0</v>
      </c>
      <c r="CF375" s="2">
        <f>Dashboard[[#This Row],[idp_al_hh]]+Dashboard[[#This Row],[ref_al_hh]]+Dashboard[[#This Row],[ret_al_hh]]</f>
        <v>0</v>
      </c>
    </row>
    <row r="376" spans="1:84" hidden="1" x14ac:dyDescent="0.25">
      <c r="A376" s="27">
        <v>375</v>
      </c>
      <c r="B376" s="2" t="s">
        <v>22</v>
      </c>
      <c r="C376" s="2" t="s">
        <v>23</v>
      </c>
      <c r="D376" s="2" t="s">
        <v>85</v>
      </c>
      <c r="E376" s="2" t="s">
        <v>84</v>
      </c>
      <c r="F376" s="2" t="s">
        <v>98</v>
      </c>
      <c r="G376" s="2" t="s">
        <v>97</v>
      </c>
      <c r="H376" s="2" t="s">
        <v>1134</v>
      </c>
      <c r="I376" s="2" t="s">
        <v>819</v>
      </c>
      <c r="J376" s="2" t="s">
        <v>2764</v>
      </c>
      <c r="K376" s="2" t="s">
        <v>2765</v>
      </c>
      <c r="L376" s="2" t="s">
        <v>2074</v>
      </c>
      <c r="M376" s="2">
        <v>143</v>
      </c>
      <c r="N376" s="2" t="s">
        <v>1658</v>
      </c>
      <c r="O376" s="2">
        <v>3</v>
      </c>
      <c r="P376" s="2">
        <v>15</v>
      </c>
      <c r="Q376" s="2" t="s">
        <v>1658</v>
      </c>
      <c r="R376" s="2">
        <v>3</v>
      </c>
      <c r="S376" s="2" t="s">
        <v>1660</v>
      </c>
      <c r="T376" s="2">
        <v>0</v>
      </c>
      <c r="U376" s="2" t="s">
        <v>32</v>
      </c>
      <c r="V376" s="2" t="s">
        <v>32</v>
      </c>
      <c r="W376" s="2" t="s">
        <v>1660</v>
      </c>
      <c r="X376" s="2">
        <v>0</v>
      </c>
      <c r="Y376" s="2" t="s">
        <v>32</v>
      </c>
      <c r="Z376" s="2" t="s">
        <v>32</v>
      </c>
      <c r="AA376" s="2" t="s">
        <v>1660</v>
      </c>
      <c r="AB376" s="2">
        <v>0</v>
      </c>
      <c r="AC376" s="2" t="s">
        <v>1660</v>
      </c>
      <c r="AD376" s="2">
        <v>0</v>
      </c>
      <c r="AE376" s="2" t="s">
        <v>1658</v>
      </c>
      <c r="AF376" s="2">
        <v>4</v>
      </c>
      <c r="AG376" s="2">
        <v>25</v>
      </c>
      <c r="AH376" s="2" t="s">
        <v>1660</v>
      </c>
      <c r="AI376" s="2" t="s">
        <v>32</v>
      </c>
      <c r="AJ376" s="2" t="s">
        <v>32</v>
      </c>
      <c r="AK376" s="2" t="s">
        <v>32</v>
      </c>
      <c r="AL376" s="2" t="s">
        <v>1658</v>
      </c>
      <c r="AM376" s="2">
        <v>4</v>
      </c>
      <c r="AN376" s="2" t="s">
        <v>1660</v>
      </c>
      <c r="AO376" s="2">
        <v>0</v>
      </c>
      <c r="AP376" s="2" t="s">
        <v>32</v>
      </c>
      <c r="AQ376" s="2" t="s">
        <v>32</v>
      </c>
      <c r="AR376" s="2" t="s">
        <v>1660</v>
      </c>
      <c r="AS376" s="2">
        <v>0</v>
      </c>
      <c r="AT376" s="2" t="s">
        <v>32</v>
      </c>
      <c r="AU376" s="2" t="s">
        <v>32</v>
      </c>
      <c r="AV376" s="2" t="s">
        <v>1660</v>
      </c>
      <c r="AW376" s="2">
        <v>0</v>
      </c>
      <c r="AX376" s="2" t="s">
        <v>1660</v>
      </c>
      <c r="AY376" s="2">
        <v>0</v>
      </c>
      <c r="AZ376" s="2" t="s">
        <v>1660</v>
      </c>
      <c r="BA376" s="2">
        <v>0</v>
      </c>
      <c r="BB376" s="2">
        <v>0</v>
      </c>
      <c r="BC376" s="2" t="s">
        <v>32</v>
      </c>
      <c r="BD376" s="2">
        <v>0</v>
      </c>
      <c r="BE376" s="2" t="s">
        <v>32</v>
      </c>
      <c r="BF376" s="2">
        <v>0</v>
      </c>
      <c r="BG376" s="2" t="s">
        <v>32</v>
      </c>
      <c r="BH376" s="2">
        <v>0</v>
      </c>
      <c r="BI376" s="2" t="s">
        <v>32</v>
      </c>
      <c r="BJ376" s="2" t="s">
        <v>32</v>
      </c>
      <c r="BK376" s="2" t="s">
        <v>32</v>
      </c>
      <c r="BL376" s="2">
        <v>0</v>
      </c>
      <c r="BM376" s="2" t="s">
        <v>32</v>
      </c>
      <c r="BN376" s="2" t="s">
        <v>32</v>
      </c>
      <c r="BO376" s="2" t="s">
        <v>32</v>
      </c>
      <c r="BP376" s="2">
        <v>0</v>
      </c>
      <c r="BQ376" s="2" t="s">
        <v>32</v>
      </c>
      <c r="BR376" s="2">
        <v>0</v>
      </c>
      <c r="BS376" s="2" t="s">
        <v>1660</v>
      </c>
      <c r="BT376" s="2">
        <v>0</v>
      </c>
      <c r="BU376" s="2">
        <v>0</v>
      </c>
      <c r="BV376" s="2" t="s">
        <v>1660</v>
      </c>
      <c r="BW376" s="2"/>
      <c r="BX376" s="2"/>
      <c r="BY376" s="2" t="s">
        <v>1807</v>
      </c>
      <c r="BZ376" s="2" t="b">
        <f>OR( (Dashboard[[#This Row],[ref_as_hh]]&gt;=1),(Dashboard[[#This Row],[ret_as_hh]] &gt;=1), (Dashboard[[#This Row],[idp_as_hh]]&gt;=1))</f>
        <v>0</v>
      </c>
      <c r="CA376" s="2">
        <f>Dashboard[[#This Row],[ret_hi_hh]]</f>
        <v>0</v>
      </c>
      <c r="CB376" s="2">
        <f>Dashboard[[#This Row],[idp_fa_hh]]+Dashboard[[#This Row],[ref_fa_hh]]+Dashboard[[#This Row],[ret_fa_hh]]</f>
        <v>7</v>
      </c>
      <c r="CC376" s="2">
        <f>Dashboard[[#This Row],[idp_loc_hh]]+Dashboard[[#This Row],[ref_loc_hh]]+Dashboard[[#This Row],[ret_loc_hh]]</f>
        <v>0</v>
      </c>
      <c r="CD376" s="2">
        <f>Dashboard[[#This Row],[idp_cc_hh]]+Dashboard[[#This Row],[ref_cc_hh]]+Dashboard[[#This Row],[ret_cc_hh]]</f>
        <v>0</v>
      </c>
      <c r="CE376" s="2">
        <f>Dashboard[[#This Row],[idp_as_hh]]+Dashboard[[#This Row],[ref_as_hh]]+Dashboard[[#This Row],[ret_as_hh]]</f>
        <v>0</v>
      </c>
      <c r="CF376" s="2">
        <f>Dashboard[[#This Row],[idp_al_hh]]+Dashboard[[#This Row],[ref_al_hh]]+Dashboard[[#This Row],[ret_al_hh]]</f>
        <v>0</v>
      </c>
    </row>
    <row r="377" spans="1:84" hidden="1" x14ac:dyDescent="0.25">
      <c r="A377" s="27">
        <v>376</v>
      </c>
      <c r="B377" s="2" t="s">
        <v>22</v>
      </c>
      <c r="C377" s="2" t="s">
        <v>23</v>
      </c>
      <c r="D377" s="2" t="s">
        <v>85</v>
      </c>
      <c r="E377" s="2" t="s">
        <v>84</v>
      </c>
      <c r="F377" s="2" t="s">
        <v>98</v>
      </c>
      <c r="G377" s="2" t="s">
        <v>97</v>
      </c>
      <c r="H377" s="2" t="s">
        <v>1524</v>
      </c>
      <c r="I377" s="2" t="s">
        <v>815</v>
      </c>
      <c r="J377" s="2" t="s">
        <v>3114</v>
      </c>
      <c r="K377" s="2" t="s">
        <v>3115</v>
      </c>
      <c r="L377" s="2" t="s">
        <v>2074</v>
      </c>
      <c r="M377" s="2">
        <v>179</v>
      </c>
      <c r="N377" s="2" t="s">
        <v>1660</v>
      </c>
      <c r="O377" s="2">
        <v>0</v>
      </c>
      <c r="P377" s="2">
        <v>0</v>
      </c>
      <c r="Q377" s="2" t="s">
        <v>32</v>
      </c>
      <c r="R377" s="2">
        <v>0</v>
      </c>
      <c r="S377" s="2" t="s">
        <v>32</v>
      </c>
      <c r="T377" s="2">
        <v>0</v>
      </c>
      <c r="U377" s="2" t="s">
        <v>32</v>
      </c>
      <c r="V377" s="2" t="s">
        <v>32</v>
      </c>
      <c r="W377" s="2" t="s">
        <v>32</v>
      </c>
      <c r="X377" s="2">
        <v>0</v>
      </c>
      <c r="Y377" s="2" t="s">
        <v>32</v>
      </c>
      <c r="Z377" s="2" t="s">
        <v>32</v>
      </c>
      <c r="AA377" s="2" t="s">
        <v>32</v>
      </c>
      <c r="AB377" s="2">
        <v>0</v>
      </c>
      <c r="AC377" s="2" t="s">
        <v>32</v>
      </c>
      <c r="AD377" s="2">
        <v>0</v>
      </c>
      <c r="AE377" s="2" t="s">
        <v>1658</v>
      </c>
      <c r="AF377" s="2">
        <v>9</v>
      </c>
      <c r="AG377" s="2">
        <v>77</v>
      </c>
      <c r="AH377" s="2" t="s">
        <v>1660</v>
      </c>
      <c r="AI377" s="2" t="s">
        <v>32</v>
      </c>
      <c r="AJ377" s="2" t="s">
        <v>32</v>
      </c>
      <c r="AK377" s="2" t="s">
        <v>32</v>
      </c>
      <c r="AL377" s="2" t="s">
        <v>1658</v>
      </c>
      <c r="AM377" s="2">
        <v>9</v>
      </c>
      <c r="AN377" s="2" t="s">
        <v>1660</v>
      </c>
      <c r="AO377" s="2">
        <v>0</v>
      </c>
      <c r="AP377" s="2" t="s">
        <v>32</v>
      </c>
      <c r="AQ377" s="2" t="s">
        <v>32</v>
      </c>
      <c r="AR377" s="2" t="s">
        <v>1660</v>
      </c>
      <c r="AS377" s="2">
        <v>0</v>
      </c>
      <c r="AT377" s="2" t="s">
        <v>32</v>
      </c>
      <c r="AU377" s="2" t="s">
        <v>32</v>
      </c>
      <c r="AV377" s="2" t="s">
        <v>1660</v>
      </c>
      <c r="AW377" s="2">
        <v>0</v>
      </c>
      <c r="AX377" s="2" t="s">
        <v>1660</v>
      </c>
      <c r="AY377" s="2">
        <v>0</v>
      </c>
      <c r="AZ377" s="2" t="s">
        <v>1660</v>
      </c>
      <c r="BA377" s="2">
        <v>0</v>
      </c>
      <c r="BB377" s="2">
        <v>0</v>
      </c>
      <c r="BC377" s="2" t="s">
        <v>32</v>
      </c>
      <c r="BD377" s="2">
        <v>0</v>
      </c>
      <c r="BE377" s="2" t="s">
        <v>32</v>
      </c>
      <c r="BF377" s="2">
        <v>0</v>
      </c>
      <c r="BG377" s="2" t="s">
        <v>32</v>
      </c>
      <c r="BH377" s="2">
        <v>0</v>
      </c>
      <c r="BI377" s="2" t="s">
        <v>32</v>
      </c>
      <c r="BJ377" s="2" t="s">
        <v>32</v>
      </c>
      <c r="BK377" s="2" t="s">
        <v>32</v>
      </c>
      <c r="BL377" s="2">
        <v>0</v>
      </c>
      <c r="BM377" s="2" t="s">
        <v>32</v>
      </c>
      <c r="BN377" s="2" t="s">
        <v>32</v>
      </c>
      <c r="BO377" s="2" t="s">
        <v>32</v>
      </c>
      <c r="BP377" s="2">
        <v>0</v>
      </c>
      <c r="BQ377" s="2" t="s">
        <v>32</v>
      </c>
      <c r="BR377" s="2">
        <v>0</v>
      </c>
      <c r="BS377" s="2" t="s">
        <v>1660</v>
      </c>
      <c r="BT377" s="2">
        <v>0</v>
      </c>
      <c r="BU377" s="2">
        <v>0</v>
      </c>
      <c r="BV377" s="2" t="s">
        <v>1660</v>
      </c>
      <c r="BW377" s="2"/>
      <c r="BX377" s="2"/>
      <c r="BY377" s="2" t="s">
        <v>1807</v>
      </c>
      <c r="BZ377" s="2" t="b">
        <f>OR( (Dashboard[[#This Row],[ref_as_hh]]&gt;=1),(Dashboard[[#This Row],[ret_as_hh]] &gt;=1), (Dashboard[[#This Row],[idp_as_hh]]&gt;=1))</f>
        <v>0</v>
      </c>
      <c r="CA377" s="2">
        <f>Dashboard[[#This Row],[ret_hi_hh]]</f>
        <v>0</v>
      </c>
      <c r="CB377" s="2">
        <f>Dashboard[[#This Row],[idp_fa_hh]]+Dashboard[[#This Row],[ref_fa_hh]]+Dashboard[[#This Row],[ret_fa_hh]]</f>
        <v>9</v>
      </c>
      <c r="CC377" s="2">
        <f>Dashboard[[#This Row],[idp_loc_hh]]+Dashboard[[#This Row],[ref_loc_hh]]+Dashboard[[#This Row],[ret_loc_hh]]</f>
        <v>0</v>
      </c>
      <c r="CD377" s="2">
        <f>Dashboard[[#This Row],[idp_cc_hh]]+Dashboard[[#This Row],[ref_cc_hh]]+Dashboard[[#This Row],[ret_cc_hh]]</f>
        <v>0</v>
      </c>
      <c r="CE377" s="2">
        <f>Dashboard[[#This Row],[idp_as_hh]]+Dashboard[[#This Row],[ref_as_hh]]+Dashboard[[#This Row],[ret_as_hh]]</f>
        <v>0</v>
      </c>
      <c r="CF377" s="2">
        <f>Dashboard[[#This Row],[idp_al_hh]]+Dashboard[[#This Row],[ref_al_hh]]+Dashboard[[#This Row],[ret_al_hh]]</f>
        <v>0</v>
      </c>
    </row>
    <row r="378" spans="1:84" hidden="1" x14ac:dyDescent="0.25">
      <c r="A378" s="27">
        <v>377</v>
      </c>
      <c r="B378" s="2" t="s">
        <v>22</v>
      </c>
      <c r="C378" s="2" t="s">
        <v>23</v>
      </c>
      <c r="D378" s="2" t="s">
        <v>85</v>
      </c>
      <c r="E378" s="2" t="s">
        <v>84</v>
      </c>
      <c r="F378" s="2" t="s">
        <v>98</v>
      </c>
      <c r="G378" s="2" t="s">
        <v>97</v>
      </c>
      <c r="H378" s="2" t="s">
        <v>1273</v>
      </c>
      <c r="I378" s="2" t="s">
        <v>808</v>
      </c>
      <c r="J378" s="2" t="s">
        <v>3072</v>
      </c>
      <c r="K378" s="2" t="s">
        <v>3073</v>
      </c>
      <c r="L378" s="2" t="s">
        <v>2074</v>
      </c>
      <c r="M378" s="2">
        <v>413</v>
      </c>
      <c r="N378" s="2" t="s">
        <v>1658</v>
      </c>
      <c r="O378" s="2">
        <v>12</v>
      </c>
      <c r="P378" s="2">
        <v>109</v>
      </c>
      <c r="Q378" s="2" t="s">
        <v>1658</v>
      </c>
      <c r="R378" s="2">
        <v>12</v>
      </c>
      <c r="S378" s="2" t="s">
        <v>1660</v>
      </c>
      <c r="T378" s="2">
        <v>0</v>
      </c>
      <c r="U378" s="2" t="s">
        <v>32</v>
      </c>
      <c r="V378" s="2" t="s">
        <v>32</v>
      </c>
      <c r="W378" s="2" t="s">
        <v>1660</v>
      </c>
      <c r="X378" s="2">
        <v>0</v>
      </c>
      <c r="Y378" s="2" t="s">
        <v>32</v>
      </c>
      <c r="Z378" s="2" t="s">
        <v>32</v>
      </c>
      <c r="AA378" s="2" t="s">
        <v>1660</v>
      </c>
      <c r="AB378" s="2">
        <v>0</v>
      </c>
      <c r="AC378" s="2" t="s">
        <v>1660</v>
      </c>
      <c r="AD378" s="2">
        <v>0</v>
      </c>
      <c r="AE378" s="2" t="s">
        <v>1660</v>
      </c>
      <c r="AF378" s="2">
        <v>0</v>
      </c>
      <c r="AG378" s="2">
        <v>0</v>
      </c>
      <c r="AH378" s="2" t="s">
        <v>32</v>
      </c>
      <c r="AI378" s="2" t="s">
        <v>32</v>
      </c>
      <c r="AJ378" s="2" t="s">
        <v>32</v>
      </c>
      <c r="AK378" s="2" t="s">
        <v>32</v>
      </c>
      <c r="AL378" s="2" t="s">
        <v>32</v>
      </c>
      <c r="AM378" s="2">
        <v>0</v>
      </c>
      <c r="AN378" s="2" t="s">
        <v>32</v>
      </c>
      <c r="AO378" s="2">
        <v>0</v>
      </c>
      <c r="AP378" s="2" t="s">
        <v>32</v>
      </c>
      <c r="AQ378" s="2" t="s">
        <v>32</v>
      </c>
      <c r="AR378" s="2" t="s">
        <v>32</v>
      </c>
      <c r="AS378" s="2">
        <v>0</v>
      </c>
      <c r="AT378" s="2" t="s">
        <v>32</v>
      </c>
      <c r="AU378" s="2" t="s">
        <v>32</v>
      </c>
      <c r="AV378" s="2" t="s">
        <v>32</v>
      </c>
      <c r="AW378" s="2">
        <v>0</v>
      </c>
      <c r="AX378" s="2" t="s">
        <v>32</v>
      </c>
      <c r="AY378" s="2">
        <v>0</v>
      </c>
      <c r="AZ378" s="2" t="s">
        <v>1660</v>
      </c>
      <c r="BA378" s="2">
        <v>0</v>
      </c>
      <c r="BB378" s="2">
        <v>0</v>
      </c>
      <c r="BC378" s="2" t="s">
        <v>32</v>
      </c>
      <c r="BD378" s="2">
        <v>0</v>
      </c>
      <c r="BE378" s="2" t="s">
        <v>32</v>
      </c>
      <c r="BF378" s="2">
        <v>0</v>
      </c>
      <c r="BG378" s="2" t="s">
        <v>32</v>
      </c>
      <c r="BH378" s="2">
        <v>0</v>
      </c>
      <c r="BI378" s="2" t="s">
        <v>32</v>
      </c>
      <c r="BJ378" s="2" t="s">
        <v>32</v>
      </c>
      <c r="BK378" s="2" t="s">
        <v>32</v>
      </c>
      <c r="BL378" s="2">
        <v>0</v>
      </c>
      <c r="BM378" s="2" t="s">
        <v>32</v>
      </c>
      <c r="BN378" s="2" t="s">
        <v>32</v>
      </c>
      <c r="BO378" s="2" t="s">
        <v>32</v>
      </c>
      <c r="BP378" s="2">
        <v>0</v>
      </c>
      <c r="BQ378" s="2" t="s">
        <v>32</v>
      </c>
      <c r="BR378" s="2">
        <v>0</v>
      </c>
      <c r="BS378" s="2" t="s">
        <v>1660</v>
      </c>
      <c r="BT378" s="2">
        <v>0</v>
      </c>
      <c r="BU378" s="2">
        <v>0</v>
      </c>
      <c r="BV378" s="2" t="s">
        <v>1660</v>
      </c>
      <c r="BW378" s="2"/>
      <c r="BX378" s="2"/>
      <c r="BY378" s="2" t="s">
        <v>1807</v>
      </c>
      <c r="BZ378" s="2" t="b">
        <f>OR( (Dashboard[[#This Row],[ref_as_hh]]&gt;=1),(Dashboard[[#This Row],[ret_as_hh]] &gt;=1), (Dashboard[[#This Row],[idp_as_hh]]&gt;=1))</f>
        <v>0</v>
      </c>
      <c r="CA378" s="2">
        <f>Dashboard[[#This Row],[ret_hi_hh]]</f>
        <v>0</v>
      </c>
      <c r="CB378" s="2">
        <f>Dashboard[[#This Row],[idp_fa_hh]]+Dashboard[[#This Row],[ref_fa_hh]]+Dashboard[[#This Row],[ret_fa_hh]]</f>
        <v>12</v>
      </c>
      <c r="CC378" s="2">
        <f>Dashboard[[#This Row],[idp_loc_hh]]+Dashboard[[#This Row],[ref_loc_hh]]+Dashboard[[#This Row],[ret_loc_hh]]</f>
        <v>0</v>
      </c>
      <c r="CD378" s="2">
        <f>Dashboard[[#This Row],[idp_cc_hh]]+Dashboard[[#This Row],[ref_cc_hh]]+Dashboard[[#This Row],[ret_cc_hh]]</f>
        <v>0</v>
      </c>
      <c r="CE378" s="2">
        <f>Dashboard[[#This Row],[idp_as_hh]]+Dashboard[[#This Row],[ref_as_hh]]+Dashboard[[#This Row],[ret_as_hh]]</f>
        <v>0</v>
      </c>
      <c r="CF378" s="2">
        <f>Dashboard[[#This Row],[idp_al_hh]]+Dashboard[[#This Row],[ref_al_hh]]+Dashboard[[#This Row],[ret_al_hh]]</f>
        <v>0</v>
      </c>
    </row>
    <row r="379" spans="1:84" hidden="1" x14ac:dyDescent="0.25">
      <c r="A379" s="27">
        <v>378</v>
      </c>
      <c r="B379" s="2" t="s">
        <v>22</v>
      </c>
      <c r="C379" s="2" t="s">
        <v>23</v>
      </c>
      <c r="D379" s="2" t="s">
        <v>85</v>
      </c>
      <c r="E379" s="2" t="s">
        <v>84</v>
      </c>
      <c r="F379" s="2" t="s">
        <v>98</v>
      </c>
      <c r="G379" s="2" t="s">
        <v>97</v>
      </c>
      <c r="H379" s="2" t="s">
        <v>1299</v>
      </c>
      <c r="I379" s="2" t="s">
        <v>461</v>
      </c>
      <c r="J379" s="2" t="s">
        <v>3122</v>
      </c>
      <c r="K379" s="2" t="s">
        <v>3123</v>
      </c>
      <c r="L379" s="2" t="s">
        <v>2074</v>
      </c>
      <c r="M379" s="2">
        <v>1639</v>
      </c>
      <c r="N379" s="2" t="s">
        <v>1658</v>
      </c>
      <c r="O379" s="2">
        <v>15</v>
      </c>
      <c r="P379" s="2">
        <v>91</v>
      </c>
      <c r="Q379" s="2" t="s">
        <v>1658</v>
      </c>
      <c r="R379" s="2">
        <v>15</v>
      </c>
      <c r="S379" s="2" t="s">
        <v>1660</v>
      </c>
      <c r="T379" s="2">
        <v>0</v>
      </c>
      <c r="U379" s="2" t="s">
        <v>32</v>
      </c>
      <c r="V379" s="2" t="s">
        <v>32</v>
      </c>
      <c r="W379" s="2" t="s">
        <v>1660</v>
      </c>
      <c r="X379" s="2">
        <v>0</v>
      </c>
      <c r="Y379" s="2" t="s">
        <v>32</v>
      </c>
      <c r="Z379" s="2" t="s">
        <v>32</v>
      </c>
      <c r="AA379" s="2" t="s">
        <v>1660</v>
      </c>
      <c r="AB379" s="2">
        <v>0</v>
      </c>
      <c r="AC379" s="2" t="s">
        <v>1660</v>
      </c>
      <c r="AD379" s="2">
        <v>0</v>
      </c>
      <c r="AE379" s="2" t="s">
        <v>1658</v>
      </c>
      <c r="AF379" s="2">
        <v>8</v>
      </c>
      <c r="AG379" s="2">
        <v>124</v>
      </c>
      <c r="AH379" s="2" t="s">
        <v>1660</v>
      </c>
      <c r="AI379" s="2" t="s">
        <v>32</v>
      </c>
      <c r="AJ379" s="2" t="s">
        <v>32</v>
      </c>
      <c r="AK379" s="2" t="s">
        <v>32</v>
      </c>
      <c r="AL379" s="2" t="s">
        <v>1658</v>
      </c>
      <c r="AM379" s="2">
        <v>8</v>
      </c>
      <c r="AN379" s="2" t="s">
        <v>1660</v>
      </c>
      <c r="AO379" s="2">
        <v>0</v>
      </c>
      <c r="AP379" s="2" t="s">
        <v>32</v>
      </c>
      <c r="AQ379" s="2" t="s">
        <v>32</v>
      </c>
      <c r="AR379" s="2" t="s">
        <v>1660</v>
      </c>
      <c r="AS379" s="2">
        <v>0</v>
      </c>
      <c r="AT379" s="2" t="s">
        <v>32</v>
      </c>
      <c r="AU379" s="2" t="s">
        <v>32</v>
      </c>
      <c r="AV379" s="2" t="s">
        <v>1660</v>
      </c>
      <c r="AW379" s="2">
        <v>0</v>
      </c>
      <c r="AX379" s="2" t="s">
        <v>1660</v>
      </c>
      <c r="AY379" s="2">
        <v>0</v>
      </c>
      <c r="AZ379" s="2" t="s">
        <v>1660</v>
      </c>
      <c r="BA379" s="2">
        <v>0</v>
      </c>
      <c r="BB379" s="2">
        <v>0</v>
      </c>
      <c r="BC379" s="2" t="s">
        <v>32</v>
      </c>
      <c r="BD379" s="2">
        <v>0</v>
      </c>
      <c r="BE379" s="2" t="s">
        <v>32</v>
      </c>
      <c r="BF379" s="2">
        <v>0</v>
      </c>
      <c r="BG379" s="2" t="s">
        <v>32</v>
      </c>
      <c r="BH379" s="2">
        <v>0</v>
      </c>
      <c r="BI379" s="2" t="s">
        <v>32</v>
      </c>
      <c r="BJ379" s="2" t="s">
        <v>32</v>
      </c>
      <c r="BK379" s="2" t="s">
        <v>32</v>
      </c>
      <c r="BL379" s="2">
        <v>0</v>
      </c>
      <c r="BM379" s="2" t="s">
        <v>32</v>
      </c>
      <c r="BN379" s="2" t="s">
        <v>32</v>
      </c>
      <c r="BO379" s="2" t="s">
        <v>32</v>
      </c>
      <c r="BP379" s="2">
        <v>0</v>
      </c>
      <c r="BQ379" s="2" t="s">
        <v>32</v>
      </c>
      <c r="BR379" s="2">
        <v>0</v>
      </c>
      <c r="BS379" s="2" t="s">
        <v>1660</v>
      </c>
      <c r="BT379" s="2">
        <v>0</v>
      </c>
      <c r="BU379" s="2">
        <v>0</v>
      </c>
      <c r="BV379" s="2" t="s">
        <v>1660</v>
      </c>
      <c r="BW379" s="2"/>
      <c r="BX379" s="2"/>
      <c r="BY379" s="2" t="s">
        <v>1807</v>
      </c>
      <c r="BZ379" s="2" t="b">
        <f>OR( (Dashboard[[#This Row],[ref_as_hh]]&gt;=1),(Dashboard[[#This Row],[ret_as_hh]] &gt;=1), (Dashboard[[#This Row],[idp_as_hh]]&gt;=1))</f>
        <v>0</v>
      </c>
      <c r="CA379" s="2">
        <f>Dashboard[[#This Row],[ret_hi_hh]]</f>
        <v>0</v>
      </c>
      <c r="CB379" s="2">
        <f>Dashboard[[#This Row],[idp_fa_hh]]+Dashboard[[#This Row],[ref_fa_hh]]+Dashboard[[#This Row],[ret_fa_hh]]</f>
        <v>23</v>
      </c>
      <c r="CC379" s="2">
        <f>Dashboard[[#This Row],[idp_loc_hh]]+Dashboard[[#This Row],[ref_loc_hh]]+Dashboard[[#This Row],[ret_loc_hh]]</f>
        <v>0</v>
      </c>
      <c r="CD379" s="2">
        <f>Dashboard[[#This Row],[idp_cc_hh]]+Dashboard[[#This Row],[ref_cc_hh]]+Dashboard[[#This Row],[ret_cc_hh]]</f>
        <v>0</v>
      </c>
      <c r="CE379" s="2">
        <f>Dashboard[[#This Row],[idp_as_hh]]+Dashboard[[#This Row],[ref_as_hh]]+Dashboard[[#This Row],[ret_as_hh]]</f>
        <v>0</v>
      </c>
      <c r="CF379" s="2">
        <f>Dashboard[[#This Row],[idp_al_hh]]+Dashboard[[#This Row],[ref_al_hh]]+Dashboard[[#This Row],[ret_al_hh]]</f>
        <v>0</v>
      </c>
    </row>
    <row r="380" spans="1:84" hidden="1" x14ac:dyDescent="0.25">
      <c r="A380" s="27">
        <v>380</v>
      </c>
      <c r="B380" s="2" t="s">
        <v>22</v>
      </c>
      <c r="C380" s="2" t="s">
        <v>23</v>
      </c>
      <c r="D380" s="2" t="s">
        <v>85</v>
      </c>
      <c r="E380" s="2" t="s">
        <v>84</v>
      </c>
      <c r="F380" s="2" t="s">
        <v>98</v>
      </c>
      <c r="G380" s="2" t="s">
        <v>97</v>
      </c>
      <c r="H380" s="2" t="s">
        <v>1264</v>
      </c>
      <c r="I380" s="2" t="s">
        <v>822</v>
      </c>
      <c r="J380" s="2" t="s">
        <v>3054</v>
      </c>
      <c r="K380" s="2" t="s">
        <v>3055</v>
      </c>
      <c r="L380" s="2" t="s">
        <v>2074</v>
      </c>
      <c r="M380" s="2">
        <v>225</v>
      </c>
      <c r="N380" s="2" t="s">
        <v>1658</v>
      </c>
      <c r="O380" s="2">
        <v>7</v>
      </c>
      <c r="P380" s="2">
        <v>37</v>
      </c>
      <c r="Q380" s="2" t="s">
        <v>1658</v>
      </c>
      <c r="R380" s="2">
        <v>7</v>
      </c>
      <c r="S380" s="2" t="s">
        <v>1660</v>
      </c>
      <c r="T380" s="2">
        <v>0</v>
      </c>
      <c r="U380" s="2" t="s">
        <v>32</v>
      </c>
      <c r="V380" s="2" t="s">
        <v>32</v>
      </c>
      <c r="W380" s="2" t="s">
        <v>1660</v>
      </c>
      <c r="X380" s="2">
        <v>0</v>
      </c>
      <c r="Y380" s="2" t="s">
        <v>32</v>
      </c>
      <c r="Z380" s="2" t="s">
        <v>32</v>
      </c>
      <c r="AA380" s="2" t="s">
        <v>1660</v>
      </c>
      <c r="AB380" s="2">
        <v>0</v>
      </c>
      <c r="AC380" s="2" t="s">
        <v>1660</v>
      </c>
      <c r="AD380" s="2">
        <v>0</v>
      </c>
      <c r="AE380" s="2" t="s">
        <v>1660</v>
      </c>
      <c r="AF380" s="2">
        <v>0</v>
      </c>
      <c r="AG380" s="2">
        <v>0</v>
      </c>
      <c r="AH380" s="2" t="s">
        <v>32</v>
      </c>
      <c r="AI380" s="2" t="s">
        <v>32</v>
      </c>
      <c r="AJ380" s="2" t="s">
        <v>32</v>
      </c>
      <c r="AK380" s="2" t="s">
        <v>32</v>
      </c>
      <c r="AL380" s="2" t="s">
        <v>32</v>
      </c>
      <c r="AM380" s="2">
        <v>0</v>
      </c>
      <c r="AN380" s="2" t="s">
        <v>32</v>
      </c>
      <c r="AO380" s="2">
        <v>0</v>
      </c>
      <c r="AP380" s="2" t="s">
        <v>32</v>
      </c>
      <c r="AQ380" s="2" t="s">
        <v>32</v>
      </c>
      <c r="AR380" s="2" t="s">
        <v>32</v>
      </c>
      <c r="AS380" s="2">
        <v>0</v>
      </c>
      <c r="AT380" s="2" t="s">
        <v>32</v>
      </c>
      <c r="AU380" s="2" t="s">
        <v>32</v>
      </c>
      <c r="AV380" s="2" t="s">
        <v>32</v>
      </c>
      <c r="AW380" s="2">
        <v>0</v>
      </c>
      <c r="AX380" s="2" t="s">
        <v>32</v>
      </c>
      <c r="AY380" s="2">
        <v>0</v>
      </c>
      <c r="AZ380" s="2" t="s">
        <v>1660</v>
      </c>
      <c r="BA380" s="2">
        <v>0</v>
      </c>
      <c r="BB380" s="2">
        <v>0</v>
      </c>
      <c r="BC380" s="2" t="s">
        <v>32</v>
      </c>
      <c r="BD380" s="2">
        <v>0</v>
      </c>
      <c r="BE380" s="2" t="s">
        <v>32</v>
      </c>
      <c r="BF380" s="2">
        <v>0</v>
      </c>
      <c r="BG380" s="2" t="s">
        <v>32</v>
      </c>
      <c r="BH380" s="2">
        <v>0</v>
      </c>
      <c r="BI380" s="2" t="s">
        <v>32</v>
      </c>
      <c r="BJ380" s="2" t="s">
        <v>32</v>
      </c>
      <c r="BK380" s="2" t="s">
        <v>32</v>
      </c>
      <c r="BL380" s="2">
        <v>0</v>
      </c>
      <c r="BM380" s="2" t="s">
        <v>32</v>
      </c>
      <c r="BN380" s="2" t="s">
        <v>32</v>
      </c>
      <c r="BO380" s="2" t="s">
        <v>32</v>
      </c>
      <c r="BP380" s="2">
        <v>0</v>
      </c>
      <c r="BQ380" s="2" t="s">
        <v>32</v>
      </c>
      <c r="BR380" s="2">
        <v>0</v>
      </c>
      <c r="BS380" s="2" t="s">
        <v>1660</v>
      </c>
      <c r="BT380" s="2">
        <v>0</v>
      </c>
      <c r="BU380" s="2">
        <v>0</v>
      </c>
      <c r="BV380" s="2" t="s">
        <v>1660</v>
      </c>
      <c r="BW380" s="2"/>
      <c r="BX380" s="2"/>
      <c r="BY380" s="2" t="s">
        <v>1807</v>
      </c>
      <c r="BZ380" s="2" t="b">
        <f>OR( (Dashboard[[#This Row],[ref_as_hh]]&gt;=1),(Dashboard[[#This Row],[ret_as_hh]] &gt;=1), (Dashboard[[#This Row],[idp_as_hh]]&gt;=1))</f>
        <v>0</v>
      </c>
      <c r="CA380" s="2">
        <f>Dashboard[[#This Row],[ret_hi_hh]]</f>
        <v>0</v>
      </c>
      <c r="CB380" s="2">
        <f>Dashboard[[#This Row],[idp_fa_hh]]+Dashboard[[#This Row],[ref_fa_hh]]+Dashboard[[#This Row],[ret_fa_hh]]</f>
        <v>7</v>
      </c>
      <c r="CC380" s="2">
        <f>Dashboard[[#This Row],[idp_loc_hh]]+Dashboard[[#This Row],[ref_loc_hh]]+Dashboard[[#This Row],[ret_loc_hh]]</f>
        <v>0</v>
      </c>
      <c r="CD380" s="2">
        <f>Dashboard[[#This Row],[idp_cc_hh]]+Dashboard[[#This Row],[ref_cc_hh]]+Dashboard[[#This Row],[ret_cc_hh]]</f>
        <v>0</v>
      </c>
      <c r="CE380" s="2">
        <f>Dashboard[[#This Row],[idp_as_hh]]+Dashboard[[#This Row],[ref_as_hh]]+Dashboard[[#This Row],[ret_as_hh]]</f>
        <v>0</v>
      </c>
      <c r="CF380" s="2">
        <f>Dashboard[[#This Row],[idp_al_hh]]+Dashboard[[#This Row],[ref_al_hh]]+Dashboard[[#This Row],[ret_al_hh]]</f>
        <v>0</v>
      </c>
    </row>
    <row r="381" spans="1:84" x14ac:dyDescent="0.25">
      <c r="A381" s="27">
        <v>125</v>
      </c>
      <c r="B381" s="2" t="s">
        <v>22</v>
      </c>
      <c r="C381" s="2" t="s">
        <v>23</v>
      </c>
      <c r="D381" s="2" t="s">
        <v>85</v>
      </c>
      <c r="E381" s="2" t="s">
        <v>84</v>
      </c>
      <c r="F381" s="2" t="s">
        <v>98</v>
      </c>
      <c r="G381" s="2" t="s">
        <v>97</v>
      </c>
      <c r="H381" s="2" t="s">
        <v>1268</v>
      </c>
      <c r="I381" s="2" t="s">
        <v>806</v>
      </c>
      <c r="J381" s="2" t="s">
        <v>3062</v>
      </c>
      <c r="K381" s="2" t="s">
        <v>3063</v>
      </c>
      <c r="L381" s="2" t="s">
        <v>2074</v>
      </c>
      <c r="M381" s="2">
        <v>817</v>
      </c>
      <c r="N381" s="2" t="s">
        <v>1658</v>
      </c>
      <c r="O381" s="2">
        <v>4</v>
      </c>
      <c r="P381" s="2">
        <v>34</v>
      </c>
      <c r="Q381" s="2" t="s">
        <v>1658</v>
      </c>
      <c r="R381" s="2">
        <v>4</v>
      </c>
      <c r="S381" s="2" t="s">
        <v>1660</v>
      </c>
      <c r="T381" s="2">
        <v>0</v>
      </c>
      <c r="U381" s="2" t="s">
        <v>32</v>
      </c>
      <c r="V381" s="2" t="s">
        <v>32</v>
      </c>
      <c r="W381" s="2" t="s">
        <v>1660</v>
      </c>
      <c r="X381" s="2">
        <v>0</v>
      </c>
      <c r="Y381" s="2" t="s">
        <v>32</v>
      </c>
      <c r="Z381" s="2" t="s">
        <v>32</v>
      </c>
      <c r="AA381" s="2" t="s">
        <v>1660</v>
      </c>
      <c r="AB381" s="2">
        <v>0</v>
      </c>
      <c r="AC381" s="2" t="s">
        <v>1660</v>
      </c>
      <c r="AD381" s="2">
        <v>0</v>
      </c>
      <c r="AE381" s="2" t="s">
        <v>1658</v>
      </c>
      <c r="AF381" s="2">
        <v>29</v>
      </c>
      <c r="AG381" s="2">
        <v>247</v>
      </c>
      <c r="AH381" s="2" t="s">
        <v>1660</v>
      </c>
      <c r="AI381" s="2" t="s">
        <v>32</v>
      </c>
      <c r="AJ381" s="2" t="s">
        <v>32</v>
      </c>
      <c r="AK381" s="2" t="s">
        <v>32</v>
      </c>
      <c r="AL381" s="2" t="s">
        <v>1658</v>
      </c>
      <c r="AM381" s="2">
        <v>7</v>
      </c>
      <c r="AN381" s="2" t="s">
        <v>1660</v>
      </c>
      <c r="AO381" s="2">
        <v>0</v>
      </c>
      <c r="AP381" s="2" t="s">
        <v>32</v>
      </c>
      <c r="AQ381" s="2" t="s">
        <v>32</v>
      </c>
      <c r="AR381" s="2" t="s">
        <v>1660</v>
      </c>
      <c r="AS381" s="2">
        <v>0</v>
      </c>
      <c r="AT381" s="2" t="s">
        <v>32</v>
      </c>
      <c r="AU381" s="2" t="s">
        <v>32</v>
      </c>
      <c r="AV381" s="2" t="s">
        <v>1658</v>
      </c>
      <c r="AW381" s="2">
        <v>22</v>
      </c>
      <c r="AX381" s="2" t="s">
        <v>1660</v>
      </c>
      <c r="AY381" s="2">
        <v>0</v>
      </c>
      <c r="AZ381" s="2" t="s">
        <v>1660</v>
      </c>
      <c r="BA381" s="2">
        <v>0</v>
      </c>
      <c r="BB381" s="2">
        <v>0</v>
      </c>
      <c r="BC381" s="2" t="s">
        <v>32</v>
      </c>
      <c r="BD381" s="2">
        <v>0</v>
      </c>
      <c r="BE381" s="2" t="s">
        <v>32</v>
      </c>
      <c r="BF381" s="2">
        <v>0</v>
      </c>
      <c r="BG381" s="2" t="s">
        <v>32</v>
      </c>
      <c r="BH381" s="2">
        <v>0</v>
      </c>
      <c r="BI381" s="2" t="s">
        <v>32</v>
      </c>
      <c r="BJ381" s="2" t="s">
        <v>32</v>
      </c>
      <c r="BK381" s="2" t="s">
        <v>32</v>
      </c>
      <c r="BL381" s="2">
        <v>0</v>
      </c>
      <c r="BM381" s="2" t="s">
        <v>32</v>
      </c>
      <c r="BN381" s="2" t="s">
        <v>32</v>
      </c>
      <c r="BO381" s="2" t="s">
        <v>32</v>
      </c>
      <c r="BP381" s="2">
        <v>0</v>
      </c>
      <c r="BQ381" s="2" t="s">
        <v>32</v>
      </c>
      <c r="BR381" s="2">
        <v>0</v>
      </c>
      <c r="BS381" s="2" t="s">
        <v>1660</v>
      </c>
      <c r="BT381" s="2">
        <v>0</v>
      </c>
      <c r="BU381" s="2">
        <v>0</v>
      </c>
      <c r="BV381" s="2" t="s">
        <v>1660</v>
      </c>
      <c r="BW381" s="2"/>
      <c r="BX381" s="2"/>
      <c r="BY381" s="2" t="s">
        <v>1807</v>
      </c>
      <c r="BZ381" s="2" t="b">
        <f>OR( (Dashboard[[#This Row],[ref_as_hh]]&gt;=1),(Dashboard[[#This Row],[ret_as_hh]] &gt;=1), (Dashboard[[#This Row],[idp_as_hh]]&gt;=1))</f>
        <v>1</v>
      </c>
      <c r="CA381" s="2">
        <f>Dashboard[[#This Row],[ret_hi_hh]]</f>
        <v>0</v>
      </c>
      <c r="CB381" s="2">
        <f>Dashboard[[#This Row],[idp_fa_hh]]+Dashboard[[#This Row],[ref_fa_hh]]+Dashboard[[#This Row],[ret_fa_hh]]</f>
        <v>11</v>
      </c>
      <c r="CC381" s="2">
        <f>Dashboard[[#This Row],[idp_loc_hh]]+Dashboard[[#This Row],[ref_loc_hh]]+Dashboard[[#This Row],[ret_loc_hh]]</f>
        <v>0</v>
      </c>
      <c r="CD381" s="2">
        <f>Dashboard[[#This Row],[idp_cc_hh]]+Dashboard[[#This Row],[ref_cc_hh]]+Dashboard[[#This Row],[ret_cc_hh]]</f>
        <v>0</v>
      </c>
      <c r="CE381" s="2">
        <f>Dashboard[[#This Row],[idp_as_hh]]+Dashboard[[#This Row],[ref_as_hh]]+Dashboard[[#This Row],[ret_as_hh]]</f>
        <v>22</v>
      </c>
      <c r="CF381" s="2">
        <f>Dashboard[[#This Row],[idp_al_hh]]+Dashboard[[#This Row],[ref_al_hh]]+Dashboard[[#This Row],[ret_al_hh]]</f>
        <v>0</v>
      </c>
    </row>
    <row r="382" spans="1:84" hidden="1" x14ac:dyDescent="0.25">
      <c r="A382" s="27">
        <v>381</v>
      </c>
      <c r="B382" s="2" t="s">
        <v>22</v>
      </c>
      <c r="C382" s="2" t="s">
        <v>23</v>
      </c>
      <c r="D382" s="2" t="s">
        <v>85</v>
      </c>
      <c r="E382" s="2" t="s">
        <v>84</v>
      </c>
      <c r="F382" s="2" t="s">
        <v>98</v>
      </c>
      <c r="G382" s="2" t="s">
        <v>97</v>
      </c>
      <c r="H382" s="2" t="s">
        <v>1169</v>
      </c>
      <c r="I382" s="2" t="s">
        <v>392</v>
      </c>
      <c r="J382" s="2" t="s">
        <v>2840</v>
      </c>
      <c r="K382" s="2" t="s">
        <v>2841</v>
      </c>
      <c r="L382" s="2" t="s">
        <v>2074</v>
      </c>
      <c r="M382" s="2">
        <v>1003</v>
      </c>
      <c r="N382" s="2" t="s">
        <v>1658</v>
      </c>
      <c r="O382" s="2">
        <v>20</v>
      </c>
      <c r="P382" s="2">
        <v>83</v>
      </c>
      <c r="Q382" s="2" t="s">
        <v>1658</v>
      </c>
      <c r="R382" s="2">
        <v>20</v>
      </c>
      <c r="S382" s="2" t="s">
        <v>1660</v>
      </c>
      <c r="T382" s="2">
        <v>0</v>
      </c>
      <c r="U382" s="2" t="s">
        <v>32</v>
      </c>
      <c r="V382" s="2" t="s">
        <v>32</v>
      </c>
      <c r="W382" s="2" t="s">
        <v>1660</v>
      </c>
      <c r="X382" s="2">
        <v>0</v>
      </c>
      <c r="Y382" s="2" t="s">
        <v>32</v>
      </c>
      <c r="Z382" s="2" t="s">
        <v>32</v>
      </c>
      <c r="AA382" s="2" t="s">
        <v>1660</v>
      </c>
      <c r="AB382" s="2">
        <v>0</v>
      </c>
      <c r="AC382" s="2" t="s">
        <v>1660</v>
      </c>
      <c r="AD382" s="2">
        <v>0</v>
      </c>
      <c r="AE382" s="2" t="s">
        <v>1658</v>
      </c>
      <c r="AF382" s="2">
        <v>4</v>
      </c>
      <c r="AG382" s="2">
        <v>6</v>
      </c>
      <c r="AH382" s="2" t="s">
        <v>1658</v>
      </c>
      <c r="AI382" s="2" t="s">
        <v>85</v>
      </c>
      <c r="AJ382" s="2" t="s">
        <v>92</v>
      </c>
      <c r="AK382" s="2" t="s">
        <v>280</v>
      </c>
      <c r="AL382" s="2" t="s">
        <v>1658</v>
      </c>
      <c r="AM382" s="2">
        <v>4</v>
      </c>
      <c r="AN382" s="2" t="s">
        <v>1660</v>
      </c>
      <c r="AO382" s="2">
        <v>0</v>
      </c>
      <c r="AP382" s="2" t="s">
        <v>32</v>
      </c>
      <c r="AQ382" s="2" t="s">
        <v>32</v>
      </c>
      <c r="AR382" s="2" t="s">
        <v>1660</v>
      </c>
      <c r="AS382" s="2">
        <v>0</v>
      </c>
      <c r="AT382" s="2" t="s">
        <v>32</v>
      </c>
      <c r="AU382" s="2" t="s">
        <v>32</v>
      </c>
      <c r="AV382" s="2" t="s">
        <v>1660</v>
      </c>
      <c r="AW382" s="2">
        <v>0</v>
      </c>
      <c r="AX382" s="2" t="s">
        <v>1660</v>
      </c>
      <c r="AY382" s="2">
        <v>0</v>
      </c>
      <c r="AZ382" s="2" t="s">
        <v>1658</v>
      </c>
      <c r="BA382" s="2">
        <v>17</v>
      </c>
      <c r="BB382" s="2">
        <v>60</v>
      </c>
      <c r="BC382" s="2" t="s">
        <v>1658</v>
      </c>
      <c r="BD382" s="2">
        <v>2</v>
      </c>
      <c r="BE382" s="2" t="s">
        <v>1658</v>
      </c>
      <c r="BF382" s="2">
        <v>15</v>
      </c>
      <c r="BG382" s="2" t="s">
        <v>1660</v>
      </c>
      <c r="BH382" s="2">
        <v>0</v>
      </c>
      <c r="BI382" s="2" t="s">
        <v>32</v>
      </c>
      <c r="BJ382" s="2" t="s">
        <v>32</v>
      </c>
      <c r="BK382" s="2" t="s">
        <v>1660</v>
      </c>
      <c r="BL382" s="2">
        <v>0</v>
      </c>
      <c r="BM382" s="2" t="s">
        <v>32</v>
      </c>
      <c r="BN382" s="2" t="s">
        <v>32</v>
      </c>
      <c r="BO382" s="2" t="s">
        <v>1660</v>
      </c>
      <c r="BP382" s="2">
        <v>0</v>
      </c>
      <c r="BQ382" s="2" t="s">
        <v>1660</v>
      </c>
      <c r="BR382" s="2">
        <v>0</v>
      </c>
      <c r="BS382" s="2" t="s">
        <v>1660</v>
      </c>
      <c r="BT382" s="2">
        <v>0</v>
      </c>
      <c r="BU382" s="2">
        <v>0</v>
      </c>
      <c r="BV382" s="2" t="s">
        <v>1660</v>
      </c>
      <c r="BW382" s="2"/>
      <c r="BX382" s="2"/>
      <c r="BY382" s="2" t="s">
        <v>1807</v>
      </c>
      <c r="BZ382" s="2" t="b">
        <f>OR( (Dashboard[[#This Row],[ref_as_hh]]&gt;=1),(Dashboard[[#This Row],[ret_as_hh]] &gt;=1), (Dashboard[[#This Row],[idp_as_hh]]&gt;=1))</f>
        <v>0</v>
      </c>
      <c r="CA382" s="2">
        <f>Dashboard[[#This Row],[ret_hi_hh]]</f>
        <v>2</v>
      </c>
      <c r="CB382" s="2">
        <f>Dashboard[[#This Row],[idp_fa_hh]]+Dashboard[[#This Row],[ref_fa_hh]]+Dashboard[[#This Row],[ret_fa_hh]]</f>
        <v>39</v>
      </c>
      <c r="CC382" s="2">
        <f>Dashboard[[#This Row],[idp_loc_hh]]+Dashboard[[#This Row],[ref_loc_hh]]+Dashboard[[#This Row],[ret_loc_hh]]</f>
        <v>0</v>
      </c>
      <c r="CD382" s="2">
        <f>Dashboard[[#This Row],[idp_cc_hh]]+Dashboard[[#This Row],[ref_cc_hh]]+Dashboard[[#This Row],[ret_cc_hh]]</f>
        <v>0</v>
      </c>
      <c r="CE382" s="2">
        <f>Dashboard[[#This Row],[idp_as_hh]]+Dashboard[[#This Row],[ref_as_hh]]+Dashboard[[#This Row],[ret_as_hh]]</f>
        <v>0</v>
      </c>
      <c r="CF382" s="2">
        <f>Dashboard[[#This Row],[idp_al_hh]]+Dashboard[[#This Row],[ref_al_hh]]+Dashboard[[#This Row],[ret_al_hh]]</f>
        <v>0</v>
      </c>
    </row>
    <row r="383" spans="1:84" hidden="1" x14ac:dyDescent="0.25">
      <c r="A383" s="27">
        <v>127</v>
      </c>
      <c r="B383" s="2" t="s">
        <v>22</v>
      </c>
      <c r="C383" s="2" t="s">
        <v>23</v>
      </c>
      <c r="D383" s="2" t="s">
        <v>85</v>
      </c>
      <c r="E383" s="2" t="s">
        <v>84</v>
      </c>
      <c r="F383" s="2" t="s">
        <v>98</v>
      </c>
      <c r="G383" s="2" t="s">
        <v>97</v>
      </c>
      <c r="H383" s="2" t="s">
        <v>1247</v>
      </c>
      <c r="I383" s="2" t="s">
        <v>435</v>
      </c>
      <c r="J383" s="2" t="s">
        <v>3020</v>
      </c>
      <c r="K383" s="2" t="s">
        <v>3021</v>
      </c>
      <c r="L383" s="2" t="s">
        <v>2074</v>
      </c>
      <c r="M383" s="2">
        <v>600</v>
      </c>
      <c r="N383" s="2" t="s">
        <v>1658</v>
      </c>
      <c r="O383" s="2">
        <v>12</v>
      </c>
      <c r="P383" s="2">
        <v>70</v>
      </c>
      <c r="Q383" s="2" t="s">
        <v>1658</v>
      </c>
      <c r="R383" s="2">
        <v>12</v>
      </c>
      <c r="S383" s="2" t="s">
        <v>1660</v>
      </c>
      <c r="T383" s="2">
        <v>0</v>
      </c>
      <c r="U383" s="2" t="s">
        <v>32</v>
      </c>
      <c r="V383" s="2" t="s">
        <v>32</v>
      </c>
      <c r="W383" s="2" t="s">
        <v>1660</v>
      </c>
      <c r="X383" s="2">
        <v>0</v>
      </c>
      <c r="Y383" s="2" t="s">
        <v>32</v>
      </c>
      <c r="Z383" s="2" t="s">
        <v>32</v>
      </c>
      <c r="AA383" s="2" t="s">
        <v>1660</v>
      </c>
      <c r="AB383" s="2">
        <v>0</v>
      </c>
      <c r="AC383" s="2" t="s">
        <v>1660</v>
      </c>
      <c r="AD383" s="2">
        <v>0</v>
      </c>
      <c r="AE383" s="2" t="s">
        <v>1660</v>
      </c>
      <c r="AF383" s="2">
        <v>0</v>
      </c>
      <c r="AG383" s="2">
        <v>0</v>
      </c>
      <c r="AH383" s="2" t="s">
        <v>32</v>
      </c>
      <c r="AI383" s="2" t="s">
        <v>32</v>
      </c>
      <c r="AJ383" s="2" t="s">
        <v>32</v>
      </c>
      <c r="AK383" s="2" t="s">
        <v>32</v>
      </c>
      <c r="AL383" s="2" t="s">
        <v>32</v>
      </c>
      <c r="AM383" s="2">
        <v>0</v>
      </c>
      <c r="AN383" s="2" t="s">
        <v>32</v>
      </c>
      <c r="AO383" s="2">
        <v>0</v>
      </c>
      <c r="AP383" s="2" t="s">
        <v>32</v>
      </c>
      <c r="AQ383" s="2" t="s">
        <v>32</v>
      </c>
      <c r="AR383" s="2" t="s">
        <v>32</v>
      </c>
      <c r="AS383" s="2">
        <v>0</v>
      </c>
      <c r="AT383" s="2" t="s">
        <v>32</v>
      </c>
      <c r="AU383" s="2" t="s">
        <v>32</v>
      </c>
      <c r="AV383" s="2" t="s">
        <v>32</v>
      </c>
      <c r="AW383" s="2">
        <v>0</v>
      </c>
      <c r="AX383" s="2" t="s">
        <v>32</v>
      </c>
      <c r="AY383" s="2">
        <v>0</v>
      </c>
      <c r="AZ383" s="2" t="s">
        <v>1660</v>
      </c>
      <c r="BA383" s="2">
        <v>0</v>
      </c>
      <c r="BB383" s="2">
        <v>0</v>
      </c>
      <c r="BC383" s="2" t="s">
        <v>32</v>
      </c>
      <c r="BD383" s="2">
        <v>0</v>
      </c>
      <c r="BE383" s="2" t="s">
        <v>32</v>
      </c>
      <c r="BF383" s="2">
        <v>0</v>
      </c>
      <c r="BG383" s="2" t="s">
        <v>32</v>
      </c>
      <c r="BH383" s="2">
        <v>0</v>
      </c>
      <c r="BI383" s="2" t="s">
        <v>32</v>
      </c>
      <c r="BJ383" s="2" t="s">
        <v>32</v>
      </c>
      <c r="BK383" s="2" t="s">
        <v>32</v>
      </c>
      <c r="BL383" s="2">
        <v>0</v>
      </c>
      <c r="BM383" s="2" t="s">
        <v>32</v>
      </c>
      <c r="BN383" s="2" t="s">
        <v>32</v>
      </c>
      <c r="BO383" s="2" t="s">
        <v>32</v>
      </c>
      <c r="BP383" s="2">
        <v>0</v>
      </c>
      <c r="BQ383" s="2" t="s">
        <v>32</v>
      </c>
      <c r="BR383" s="2">
        <v>0</v>
      </c>
      <c r="BS383" s="2" t="s">
        <v>1660</v>
      </c>
      <c r="BT383" s="2">
        <v>0</v>
      </c>
      <c r="BU383" s="2">
        <v>0</v>
      </c>
      <c r="BV383" s="2" t="s">
        <v>1660</v>
      </c>
      <c r="BW383" s="2"/>
      <c r="BX383" s="2"/>
      <c r="BY383" s="2" t="s">
        <v>1807</v>
      </c>
      <c r="BZ383" s="2" t="b">
        <f>OR( (Dashboard[[#This Row],[ref_as_hh]]&gt;=1),(Dashboard[[#This Row],[ret_as_hh]] &gt;=1), (Dashboard[[#This Row],[idp_as_hh]]&gt;=1))</f>
        <v>0</v>
      </c>
      <c r="CA383" s="2">
        <f>Dashboard[[#This Row],[ret_hi_hh]]</f>
        <v>0</v>
      </c>
      <c r="CB383" s="2">
        <f>Dashboard[[#This Row],[idp_fa_hh]]+Dashboard[[#This Row],[ref_fa_hh]]+Dashboard[[#This Row],[ret_fa_hh]]</f>
        <v>12</v>
      </c>
      <c r="CC383" s="2">
        <f>Dashboard[[#This Row],[idp_loc_hh]]+Dashboard[[#This Row],[ref_loc_hh]]+Dashboard[[#This Row],[ret_loc_hh]]</f>
        <v>0</v>
      </c>
      <c r="CD383" s="2">
        <f>Dashboard[[#This Row],[idp_cc_hh]]+Dashboard[[#This Row],[ref_cc_hh]]+Dashboard[[#This Row],[ret_cc_hh]]</f>
        <v>0</v>
      </c>
      <c r="CE383" s="2">
        <f>Dashboard[[#This Row],[idp_as_hh]]+Dashboard[[#This Row],[ref_as_hh]]+Dashboard[[#This Row],[ret_as_hh]]</f>
        <v>0</v>
      </c>
      <c r="CF383" s="2">
        <f>Dashboard[[#This Row],[idp_al_hh]]+Dashboard[[#This Row],[ref_al_hh]]+Dashboard[[#This Row],[ret_al_hh]]</f>
        <v>0</v>
      </c>
    </row>
    <row r="384" spans="1:84" hidden="1" x14ac:dyDescent="0.25">
      <c r="A384" s="27">
        <v>383</v>
      </c>
      <c r="B384" s="2" t="s">
        <v>22</v>
      </c>
      <c r="C384" s="2" t="s">
        <v>23</v>
      </c>
      <c r="D384" s="2" t="s">
        <v>85</v>
      </c>
      <c r="E384" s="2" t="s">
        <v>84</v>
      </c>
      <c r="F384" s="2" t="s">
        <v>98</v>
      </c>
      <c r="G384" s="2" t="s">
        <v>97</v>
      </c>
      <c r="H384" s="2" t="s">
        <v>1297</v>
      </c>
      <c r="I384" s="2" t="s">
        <v>171</v>
      </c>
      <c r="J384" s="2" t="s">
        <v>3118</v>
      </c>
      <c r="K384" s="2" t="s">
        <v>3119</v>
      </c>
      <c r="L384" s="2" t="s">
        <v>2074</v>
      </c>
      <c r="M384" s="2">
        <v>650</v>
      </c>
      <c r="N384" s="2" t="s">
        <v>1658</v>
      </c>
      <c r="O384" s="2">
        <v>13</v>
      </c>
      <c r="P384" s="2">
        <v>75</v>
      </c>
      <c r="Q384" s="2" t="s">
        <v>1658</v>
      </c>
      <c r="R384" s="2">
        <v>13</v>
      </c>
      <c r="S384" s="2" t="s">
        <v>1660</v>
      </c>
      <c r="T384" s="2">
        <v>0</v>
      </c>
      <c r="U384" s="2" t="s">
        <v>32</v>
      </c>
      <c r="V384" s="2" t="s">
        <v>32</v>
      </c>
      <c r="W384" s="2" t="s">
        <v>1660</v>
      </c>
      <c r="X384" s="2">
        <v>0</v>
      </c>
      <c r="Y384" s="2" t="s">
        <v>32</v>
      </c>
      <c r="Z384" s="2" t="s">
        <v>32</v>
      </c>
      <c r="AA384" s="2" t="s">
        <v>1660</v>
      </c>
      <c r="AB384" s="2">
        <v>0</v>
      </c>
      <c r="AC384" s="2" t="s">
        <v>1660</v>
      </c>
      <c r="AD384" s="2">
        <v>0</v>
      </c>
      <c r="AE384" s="2" t="s">
        <v>1658</v>
      </c>
      <c r="AF384" s="2">
        <v>2</v>
      </c>
      <c r="AG384" s="2">
        <v>15</v>
      </c>
      <c r="AH384" s="2" t="s">
        <v>1660</v>
      </c>
      <c r="AI384" s="2" t="s">
        <v>32</v>
      </c>
      <c r="AJ384" s="2" t="s">
        <v>32</v>
      </c>
      <c r="AK384" s="2" t="s">
        <v>32</v>
      </c>
      <c r="AL384" s="2" t="s">
        <v>1658</v>
      </c>
      <c r="AM384" s="2">
        <v>2</v>
      </c>
      <c r="AN384" s="2" t="s">
        <v>1660</v>
      </c>
      <c r="AO384" s="2">
        <v>0</v>
      </c>
      <c r="AP384" s="2" t="s">
        <v>32</v>
      </c>
      <c r="AQ384" s="2" t="s">
        <v>32</v>
      </c>
      <c r="AR384" s="2" t="s">
        <v>1660</v>
      </c>
      <c r="AS384" s="2">
        <v>0</v>
      </c>
      <c r="AT384" s="2" t="s">
        <v>32</v>
      </c>
      <c r="AU384" s="2" t="s">
        <v>32</v>
      </c>
      <c r="AV384" s="2" t="s">
        <v>1660</v>
      </c>
      <c r="AW384" s="2">
        <v>0</v>
      </c>
      <c r="AX384" s="2" t="s">
        <v>1660</v>
      </c>
      <c r="AY384" s="2">
        <v>0</v>
      </c>
      <c r="AZ384" s="2" t="s">
        <v>1658</v>
      </c>
      <c r="BA384" s="2">
        <v>3</v>
      </c>
      <c r="BB384" s="2">
        <v>10</v>
      </c>
      <c r="BC384" s="2" t="s">
        <v>1658</v>
      </c>
      <c r="BD384" s="2">
        <v>3</v>
      </c>
      <c r="BE384" s="2" t="s">
        <v>1660</v>
      </c>
      <c r="BF384" s="2">
        <v>0</v>
      </c>
      <c r="BG384" s="2" t="s">
        <v>1660</v>
      </c>
      <c r="BH384" s="2">
        <v>0</v>
      </c>
      <c r="BI384" s="2" t="s">
        <v>32</v>
      </c>
      <c r="BJ384" s="2" t="s">
        <v>32</v>
      </c>
      <c r="BK384" s="2" t="s">
        <v>1660</v>
      </c>
      <c r="BL384" s="2">
        <v>0</v>
      </c>
      <c r="BM384" s="2" t="s">
        <v>32</v>
      </c>
      <c r="BN384" s="2" t="s">
        <v>32</v>
      </c>
      <c r="BO384" s="2" t="s">
        <v>1660</v>
      </c>
      <c r="BP384" s="2">
        <v>0</v>
      </c>
      <c r="BQ384" s="2" t="s">
        <v>1660</v>
      </c>
      <c r="BR384" s="2">
        <v>0</v>
      </c>
      <c r="BS384" s="2" t="s">
        <v>1658</v>
      </c>
      <c r="BT384" s="2">
        <v>2</v>
      </c>
      <c r="BU384" s="2">
        <v>6</v>
      </c>
      <c r="BV384" s="2" t="s">
        <v>1660</v>
      </c>
      <c r="BW384" s="2"/>
      <c r="BX384" s="2"/>
      <c r="BY384" s="2" t="s">
        <v>1807</v>
      </c>
      <c r="BZ384" s="2" t="b">
        <f>OR( (Dashboard[[#This Row],[ref_as_hh]]&gt;=1),(Dashboard[[#This Row],[ret_as_hh]] &gt;=1), (Dashboard[[#This Row],[idp_as_hh]]&gt;=1))</f>
        <v>0</v>
      </c>
      <c r="CA384" s="2">
        <f>Dashboard[[#This Row],[ret_hi_hh]]</f>
        <v>3</v>
      </c>
      <c r="CB384" s="2">
        <f>Dashboard[[#This Row],[idp_fa_hh]]+Dashboard[[#This Row],[ref_fa_hh]]+Dashboard[[#This Row],[ret_fa_hh]]</f>
        <v>15</v>
      </c>
      <c r="CC384" s="2">
        <f>Dashboard[[#This Row],[idp_loc_hh]]+Dashboard[[#This Row],[ref_loc_hh]]+Dashboard[[#This Row],[ret_loc_hh]]</f>
        <v>0</v>
      </c>
      <c r="CD384" s="2">
        <f>Dashboard[[#This Row],[idp_cc_hh]]+Dashboard[[#This Row],[ref_cc_hh]]+Dashboard[[#This Row],[ret_cc_hh]]</f>
        <v>0</v>
      </c>
      <c r="CE384" s="2">
        <f>Dashboard[[#This Row],[idp_as_hh]]+Dashboard[[#This Row],[ref_as_hh]]+Dashboard[[#This Row],[ret_as_hh]]</f>
        <v>0</v>
      </c>
      <c r="CF384" s="2">
        <f>Dashboard[[#This Row],[idp_al_hh]]+Dashboard[[#This Row],[ref_al_hh]]+Dashboard[[#This Row],[ret_al_hh]]</f>
        <v>0</v>
      </c>
    </row>
    <row r="385" spans="1:84" hidden="1" x14ac:dyDescent="0.25">
      <c r="A385" s="27">
        <v>643</v>
      </c>
      <c r="B385" s="2" t="s">
        <v>22</v>
      </c>
      <c r="C385" s="2" t="s">
        <v>23</v>
      </c>
      <c r="D385" s="2" t="s">
        <v>85</v>
      </c>
      <c r="E385" s="2" t="s">
        <v>84</v>
      </c>
      <c r="F385" s="2" t="s">
        <v>98</v>
      </c>
      <c r="G385" s="2" t="s">
        <v>97</v>
      </c>
      <c r="H385" s="2" t="s">
        <v>1278</v>
      </c>
      <c r="I385" s="2" t="s">
        <v>452</v>
      </c>
      <c r="J385" s="2" t="s">
        <v>3080</v>
      </c>
      <c r="K385" s="2" t="s">
        <v>3081</v>
      </c>
      <c r="L385" s="2" t="s">
        <v>3693</v>
      </c>
      <c r="M385" s="2">
        <v>714</v>
      </c>
      <c r="N385" s="2" t="s">
        <v>1658</v>
      </c>
      <c r="O385" s="2">
        <v>30</v>
      </c>
      <c r="P385" s="2">
        <v>100</v>
      </c>
      <c r="Q385" s="2" t="s">
        <v>1658</v>
      </c>
      <c r="R385" s="2">
        <v>30</v>
      </c>
      <c r="S385" s="2" t="s">
        <v>1660</v>
      </c>
      <c r="T385" s="2">
        <v>0</v>
      </c>
      <c r="U385" s="2" t="s">
        <v>32</v>
      </c>
      <c r="V385" s="2" t="s">
        <v>32</v>
      </c>
      <c r="W385" s="2" t="s">
        <v>1660</v>
      </c>
      <c r="X385" s="2">
        <v>0</v>
      </c>
      <c r="Y385" s="2" t="s">
        <v>32</v>
      </c>
      <c r="Z385" s="2" t="s">
        <v>32</v>
      </c>
      <c r="AA385" s="2" t="s">
        <v>1660</v>
      </c>
      <c r="AB385" s="2">
        <v>0</v>
      </c>
      <c r="AC385" s="2" t="s">
        <v>1660</v>
      </c>
      <c r="AD385" s="2">
        <v>0</v>
      </c>
      <c r="AE385" s="2" t="s">
        <v>1660</v>
      </c>
      <c r="AF385" s="2">
        <v>0</v>
      </c>
      <c r="AG385" s="2">
        <v>0</v>
      </c>
      <c r="AH385" s="2" t="s">
        <v>32</v>
      </c>
      <c r="AI385" s="2" t="s">
        <v>32</v>
      </c>
      <c r="AJ385" s="2" t="s">
        <v>32</v>
      </c>
      <c r="AK385" s="2" t="s">
        <v>32</v>
      </c>
      <c r="AL385" s="2" t="s">
        <v>32</v>
      </c>
      <c r="AM385" s="2">
        <v>0</v>
      </c>
      <c r="AN385" s="2" t="s">
        <v>32</v>
      </c>
      <c r="AO385" s="2">
        <v>0</v>
      </c>
      <c r="AP385" s="2" t="s">
        <v>32</v>
      </c>
      <c r="AQ385" s="2" t="s">
        <v>32</v>
      </c>
      <c r="AR385" s="2" t="s">
        <v>32</v>
      </c>
      <c r="AS385" s="2">
        <v>0</v>
      </c>
      <c r="AT385" s="2" t="s">
        <v>32</v>
      </c>
      <c r="AU385" s="2" t="s">
        <v>32</v>
      </c>
      <c r="AV385" s="2" t="s">
        <v>32</v>
      </c>
      <c r="AW385" s="2">
        <v>0</v>
      </c>
      <c r="AX385" s="2" t="s">
        <v>32</v>
      </c>
      <c r="AY385" s="2">
        <v>0</v>
      </c>
      <c r="AZ385" s="2" t="s">
        <v>1660</v>
      </c>
      <c r="BA385" s="2">
        <v>0</v>
      </c>
      <c r="BB385" s="2">
        <v>0</v>
      </c>
      <c r="BC385" s="2" t="s">
        <v>32</v>
      </c>
      <c r="BD385" s="2">
        <v>0</v>
      </c>
      <c r="BE385" s="2" t="s">
        <v>32</v>
      </c>
      <c r="BF385" s="2">
        <v>0</v>
      </c>
      <c r="BG385" s="2" t="s">
        <v>32</v>
      </c>
      <c r="BH385" s="2">
        <v>0</v>
      </c>
      <c r="BI385" s="2" t="s">
        <v>32</v>
      </c>
      <c r="BJ385" s="2" t="s">
        <v>32</v>
      </c>
      <c r="BK385" s="2" t="s">
        <v>32</v>
      </c>
      <c r="BL385" s="2">
        <v>0</v>
      </c>
      <c r="BM385" s="2" t="s">
        <v>32</v>
      </c>
      <c r="BN385" s="2" t="s">
        <v>32</v>
      </c>
      <c r="BO385" s="2" t="s">
        <v>32</v>
      </c>
      <c r="BP385" s="2">
        <v>0</v>
      </c>
      <c r="BQ385" s="2" t="s">
        <v>32</v>
      </c>
      <c r="BR385" s="2">
        <v>0</v>
      </c>
      <c r="BS385" s="2" t="s">
        <v>1660</v>
      </c>
      <c r="BT385" s="2">
        <v>0</v>
      </c>
      <c r="BU385" s="2">
        <v>0</v>
      </c>
      <c r="BV385" s="2" t="s">
        <v>1660</v>
      </c>
      <c r="BW385" s="2"/>
      <c r="BX385" s="2"/>
      <c r="BY385" s="2" t="s">
        <v>1807</v>
      </c>
      <c r="BZ385" s="2" t="b">
        <f>OR( (Dashboard[[#This Row],[ref_as_hh]]&gt;=1),(Dashboard[[#This Row],[ret_as_hh]] &gt;=1), (Dashboard[[#This Row],[idp_as_hh]]&gt;=1))</f>
        <v>0</v>
      </c>
      <c r="CA385" s="2">
        <f>Dashboard[[#This Row],[ret_hi_hh]]</f>
        <v>0</v>
      </c>
      <c r="CB385" s="2">
        <f>Dashboard[[#This Row],[idp_fa_hh]]+Dashboard[[#This Row],[ref_fa_hh]]+Dashboard[[#This Row],[ret_fa_hh]]</f>
        <v>30</v>
      </c>
      <c r="CC385" s="2">
        <f>Dashboard[[#This Row],[idp_loc_hh]]+Dashboard[[#This Row],[ref_loc_hh]]+Dashboard[[#This Row],[ret_loc_hh]]</f>
        <v>0</v>
      </c>
      <c r="CD385" s="2">
        <f>Dashboard[[#This Row],[idp_cc_hh]]+Dashboard[[#This Row],[ref_cc_hh]]+Dashboard[[#This Row],[ret_cc_hh]]</f>
        <v>0</v>
      </c>
      <c r="CE385" s="2">
        <f>Dashboard[[#This Row],[idp_as_hh]]+Dashboard[[#This Row],[ref_as_hh]]+Dashboard[[#This Row],[ret_as_hh]]</f>
        <v>0</v>
      </c>
      <c r="CF385" s="2">
        <f>Dashboard[[#This Row],[idp_al_hh]]+Dashboard[[#This Row],[ref_al_hh]]+Dashboard[[#This Row],[ret_al_hh]]</f>
        <v>0</v>
      </c>
    </row>
    <row r="386" spans="1:84" hidden="1" x14ac:dyDescent="0.25">
      <c r="A386" s="27">
        <v>132</v>
      </c>
      <c r="B386" s="2" t="s">
        <v>22</v>
      </c>
      <c r="C386" s="2" t="s">
        <v>23</v>
      </c>
      <c r="D386" s="2" t="s">
        <v>85</v>
      </c>
      <c r="E386" s="2" t="s">
        <v>84</v>
      </c>
      <c r="F386" s="2" t="s">
        <v>98</v>
      </c>
      <c r="G386" s="2" t="s">
        <v>97</v>
      </c>
      <c r="H386" s="2" t="s">
        <v>1166</v>
      </c>
      <c r="I386" s="2" t="s">
        <v>390</v>
      </c>
      <c r="J386" s="2" t="s">
        <v>2834</v>
      </c>
      <c r="K386" s="2" t="s">
        <v>2835</v>
      </c>
      <c r="L386" s="2" t="s">
        <v>2074</v>
      </c>
      <c r="M386" s="2">
        <v>8753</v>
      </c>
      <c r="N386" s="2" t="s">
        <v>1658</v>
      </c>
      <c r="O386" s="2">
        <v>8</v>
      </c>
      <c r="P386" s="2">
        <v>51</v>
      </c>
      <c r="Q386" s="2" t="s">
        <v>1658</v>
      </c>
      <c r="R386" s="2">
        <v>8</v>
      </c>
      <c r="S386" s="2" t="s">
        <v>1660</v>
      </c>
      <c r="T386" s="2">
        <v>0</v>
      </c>
      <c r="U386" s="2" t="s">
        <v>32</v>
      </c>
      <c r="V386" s="2" t="s">
        <v>32</v>
      </c>
      <c r="W386" s="2" t="s">
        <v>1660</v>
      </c>
      <c r="X386" s="2">
        <v>0</v>
      </c>
      <c r="Y386" s="2" t="s">
        <v>32</v>
      </c>
      <c r="Z386" s="2" t="s">
        <v>32</v>
      </c>
      <c r="AA386" s="2" t="s">
        <v>1660</v>
      </c>
      <c r="AB386" s="2">
        <v>0</v>
      </c>
      <c r="AC386" s="2" t="s">
        <v>1660</v>
      </c>
      <c r="AD386" s="2">
        <v>0</v>
      </c>
      <c r="AE386" s="2" t="s">
        <v>1658</v>
      </c>
      <c r="AF386" s="2">
        <v>12</v>
      </c>
      <c r="AG386" s="2">
        <v>114</v>
      </c>
      <c r="AH386" s="2" t="s">
        <v>1660</v>
      </c>
      <c r="AI386" s="2" t="s">
        <v>32</v>
      </c>
      <c r="AJ386" s="2" t="s">
        <v>32</v>
      </c>
      <c r="AK386" s="2" t="s">
        <v>32</v>
      </c>
      <c r="AL386" s="2" t="s">
        <v>1658</v>
      </c>
      <c r="AM386" s="2">
        <v>12</v>
      </c>
      <c r="AN386" s="2" t="s">
        <v>1660</v>
      </c>
      <c r="AO386" s="2">
        <v>0</v>
      </c>
      <c r="AP386" s="2" t="s">
        <v>32</v>
      </c>
      <c r="AQ386" s="2" t="s">
        <v>32</v>
      </c>
      <c r="AR386" s="2" t="s">
        <v>1660</v>
      </c>
      <c r="AS386" s="2">
        <v>0</v>
      </c>
      <c r="AT386" s="2" t="s">
        <v>32</v>
      </c>
      <c r="AU386" s="2" t="s">
        <v>32</v>
      </c>
      <c r="AV386" s="2" t="s">
        <v>1660</v>
      </c>
      <c r="AW386" s="2">
        <v>0</v>
      </c>
      <c r="AX386" s="2" t="s">
        <v>1660</v>
      </c>
      <c r="AY386" s="2">
        <v>0</v>
      </c>
      <c r="AZ386" s="2" t="s">
        <v>1660</v>
      </c>
      <c r="BA386" s="2">
        <v>0</v>
      </c>
      <c r="BB386" s="2">
        <v>0</v>
      </c>
      <c r="BC386" s="2" t="s">
        <v>32</v>
      </c>
      <c r="BD386" s="2">
        <v>0</v>
      </c>
      <c r="BE386" s="2" t="s">
        <v>32</v>
      </c>
      <c r="BF386" s="2">
        <v>0</v>
      </c>
      <c r="BG386" s="2" t="s">
        <v>32</v>
      </c>
      <c r="BH386" s="2">
        <v>0</v>
      </c>
      <c r="BI386" s="2" t="s">
        <v>32</v>
      </c>
      <c r="BJ386" s="2" t="s">
        <v>32</v>
      </c>
      <c r="BK386" s="2" t="s">
        <v>32</v>
      </c>
      <c r="BL386" s="2">
        <v>0</v>
      </c>
      <c r="BM386" s="2" t="s">
        <v>32</v>
      </c>
      <c r="BN386" s="2" t="s">
        <v>32</v>
      </c>
      <c r="BO386" s="2" t="s">
        <v>32</v>
      </c>
      <c r="BP386" s="2">
        <v>0</v>
      </c>
      <c r="BQ386" s="2" t="s">
        <v>32</v>
      </c>
      <c r="BR386" s="2">
        <v>0</v>
      </c>
      <c r="BS386" s="2" t="s">
        <v>1660</v>
      </c>
      <c r="BT386" s="2">
        <v>0</v>
      </c>
      <c r="BU386" s="2">
        <v>0</v>
      </c>
      <c r="BV386" s="2" t="s">
        <v>1660</v>
      </c>
      <c r="BW386" s="2"/>
      <c r="BX386" s="2"/>
      <c r="BY386" s="2" t="s">
        <v>1807</v>
      </c>
      <c r="BZ386" s="2" t="b">
        <f>OR( (Dashboard[[#This Row],[ref_as_hh]]&gt;=1),(Dashboard[[#This Row],[ret_as_hh]] &gt;=1), (Dashboard[[#This Row],[idp_as_hh]]&gt;=1))</f>
        <v>0</v>
      </c>
      <c r="CA386" s="2">
        <f>Dashboard[[#This Row],[ret_hi_hh]]</f>
        <v>0</v>
      </c>
      <c r="CB386" s="2">
        <f>Dashboard[[#This Row],[idp_fa_hh]]+Dashboard[[#This Row],[ref_fa_hh]]+Dashboard[[#This Row],[ret_fa_hh]]</f>
        <v>20</v>
      </c>
      <c r="CC386" s="2">
        <f>Dashboard[[#This Row],[idp_loc_hh]]+Dashboard[[#This Row],[ref_loc_hh]]+Dashboard[[#This Row],[ret_loc_hh]]</f>
        <v>0</v>
      </c>
      <c r="CD386" s="2">
        <f>Dashboard[[#This Row],[idp_cc_hh]]+Dashboard[[#This Row],[ref_cc_hh]]+Dashboard[[#This Row],[ret_cc_hh]]</f>
        <v>0</v>
      </c>
      <c r="CE386" s="2">
        <f>Dashboard[[#This Row],[idp_as_hh]]+Dashboard[[#This Row],[ref_as_hh]]+Dashboard[[#This Row],[ret_as_hh]]</f>
        <v>0</v>
      </c>
      <c r="CF386" s="2">
        <f>Dashboard[[#This Row],[idp_al_hh]]+Dashboard[[#This Row],[ref_al_hh]]+Dashboard[[#This Row],[ret_al_hh]]</f>
        <v>0</v>
      </c>
    </row>
    <row r="387" spans="1:84" hidden="1" x14ac:dyDescent="0.25">
      <c r="A387" s="27">
        <v>133</v>
      </c>
      <c r="B387" s="2" t="s">
        <v>22</v>
      </c>
      <c r="C387" s="2" t="s">
        <v>23</v>
      </c>
      <c r="D387" s="2" t="s">
        <v>85</v>
      </c>
      <c r="E387" s="2" t="s">
        <v>84</v>
      </c>
      <c r="F387" s="2" t="s">
        <v>98</v>
      </c>
      <c r="G387" s="2" t="s">
        <v>97</v>
      </c>
      <c r="H387" s="2" t="s">
        <v>1226</v>
      </c>
      <c r="I387" s="2" t="s">
        <v>425</v>
      </c>
      <c r="J387" s="2" t="s">
        <v>2976</v>
      </c>
      <c r="K387" s="2" t="s">
        <v>2977</v>
      </c>
      <c r="L387" s="2" t="s">
        <v>3693</v>
      </c>
      <c r="M387" s="2">
        <v>1732</v>
      </c>
      <c r="N387" s="2" t="s">
        <v>1658</v>
      </c>
      <c r="O387" s="2">
        <v>12</v>
      </c>
      <c r="P387" s="2">
        <v>58</v>
      </c>
      <c r="Q387" s="2" t="s">
        <v>1658</v>
      </c>
      <c r="R387" s="2">
        <v>12</v>
      </c>
      <c r="S387" s="2" t="s">
        <v>1660</v>
      </c>
      <c r="T387" s="2">
        <v>0</v>
      </c>
      <c r="U387" s="2" t="s">
        <v>32</v>
      </c>
      <c r="V387" s="2" t="s">
        <v>32</v>
      </c>
      <c r="W387" s="2" t="s">
        <v>1660</v>
      </c>
      <c r="X387" s="2">
        <v>0</v>
      </c>
      <c r="Y387" s="2" t="s">
        <v>32</v>
      </c>
      <c r="Z387" s="2" t="s">
        <v>32</v>
      </c>
      <c r="AA387" s="2" t="s">
        <v>1660</v>
      </c>
      <c r="AB387" s="2">
        <v>0</v>
      </c>
      <c r="AC387" s="2" t="s">
        <v>1660</v>
      </c>
      <c r="AD387" s="2">
        <v>0</v>
      </c>
      <c r="AE387" s="2" t="s">
        <v>1660</v>
      </c>
      <c r="AF387" s="2">
        <v>0</v>
      </c>
      <c r="AG387" s="2">
        <v>0</v>
      </c>
      <c r="AH387" s="2" t="s">
        <v>32</v>
      </c>
      <c r="AI387" s="2" t="s">
        <v>32</v>
      </c>
      <c r="AJ387" s="2" t="s">
        <v>32</v>
      </c>
      <c r="AK387" s="2" t="s">
        <v>32</v>
      </c>
      <c r="AL387" s="2" t="s">
        <v>32</v>
      </c>
      <c r="AM387" s="2">
        <v>0</v>
      </c>
      <c r="AN387" s="2" t="s">
        <v>32</v>
      </c>
      <c r="AO387" s="2">
        <v>0</v>
      </c>
      <c r="AP387" s="2" t="s">
        <v>32</v>
      </c>
      <c r="AQ387" s="2" t="s">
        <v>32</v>
      </c>
      <c r="AR387" s="2" t="s">
        <v>32</v>
      </c>
      <c r="AS387" s="2">
        <v>0</v>
      </c>
      <c r="AT387" s="2" t="s">
        <v>32</v>
      </c>
      <c r="AU387" s="2" t="s">
        <v>32</v>
      </c>
      <c r="AV387" s="2" t="s">
        <v>32</v>
      </c>
      <c r="AW387" s="2">
        <v>0</v>
      </c>
      <c r="AX387" s="2" t="s">
        <v>32</v>
      </c>
      <c r="AY387" s="2">
        <v>0</v>
      </c>
      <c r="AZ387" s="2" t="s">
        <v>1660</v>
      </c>
      <c r="BA387" s="2">
        <v>0</v>
      </c>
      <c r="BB387" s="2">
        <v>0</v>
      </c>
      <c r="BC387" s="2" t="s">
        <v>32</v>
      </c>
      <c r="BD387" s="2">
        <v>0</v>
      </c>
      <c r="BE387" s="2" t="s">
        <v>32</v>
      </c>
      <c r="BF387" s="2">
        <v>0</v>
      </c>
      <c r="BG387" s="2" t="s">
        <v>32</v>
      </c>
      <c r="BH387" s="2">
        <v>0</v>
      </c>
      <c r="BI387" s="2" t="s">
        <v>32</v>
      </c>
      <c r="BJ387" s="2" t="s">
        <v>32</v>
      </c>
      <c r="BK387" s="2" t="s">
        <v>32</v>
      </c>
      <c r="BL387" s="2">
        <v>0</v>
      </c>
      <c r="BM387" s="2" t="s">
        <v>32</v>
      </c>
      <c r="BN387" s="2" t="s">
        <v>32</v>
      </c>
      <c r="BO387" s="2" t="s">
        <v>32</v>
      </c>
      <c r="BP387" s="2">
        <v>0</v>
      </c>
      <c r="BQ387" s="2" t="s">
        <v>32</v>
      </c>
      <c r="BR387" s="2">
        <v>0</v>
      </c>
      <c r="BS387" s="2" t="s">
        <v>1660</v>
      </c>
      <c r="BT387" s="2">
        <v>0</v>
      </c>
      <c r="BU387" s="2">
        <v>0</v>
      </c>
      <c r="BV387" s="2" t="s">
        <v>1660</v>
      </c>
      <c r="BW387" s="2"/>
      <c r="BX387" s="2"/>
      <c r="BY387" s="2" t="s">
        <v>1807</v>
      </c>
      <c r="BZ387" s="2" t="b">
        <f>OR( (Dashboard[[#This Row],[ref_as_hh]]&gt;=1),(Dashboard[[#This Row],[ret_as_hh]] &gt;=1), (Dashboard[[#This Row],[idp_as_hh]]&gt;=1))</f>
        <v>0</v>
      </c>
      <c r="CA387" s="2">
        <f>Dashboard[[#This Row],[ret_hi_hh]]</f>
        <v>0</v>
      </c>
      <c r="CB387" s="2">
        <f>Dashboard[[#This Row],[idp_fa_hh]]+Dashboard[[#This Row],[ref_fa_hh]]+Dashboard[[#This Row],[ret_fa_hh]]</f>
        <v>12</v>
      </c>
      <c r="CC387" s="2">
        <f>Dashboard[[#This Row],[idp_loc_hh]]+Dashboard[[#This Row],[ref_loc_hh]]+Dashboard[[#This Row],[ret_loc_hh]]</f>
        <v>0</v>
      </c>
      <c r="CD387" s="2">
        <f>Dashboard[[#This Row],[idp_cc_hh]]+Dashboard[[#This Row],[ref_cc_hh]]+Dashboard[[#This Row],[ret_cc_hh]]</f>
        <v>0</v>
      </c>
      <c r="CE387" s="2">
        <f>Dashboard[[#This Row],[idp_as_hh]]+Dashboard[[#This Row],[ref_as_hh]]+Dashboard[[#This Row],[ret_as_hh]]</f>
        <v>0</v>
      </c>
      <c r="CF387" s="2">
        <f>Dashboard[[#This Row],[idp_al_hh]]+Dashboard[[#This Row],[ref_al_hh]]+Dashboard[[#This Row],[ret_al_hh]]</f>
        <v>0</v>
      </c>
    </row>
    <row r="388" spans="1:84" hidden="1" x14ac:dyDescent="0.25">
      <c r="A388" s="27">
        <v>645</v>
      </c>
      <c r="B388" s="2" t="s">
        <v>22</v>
      </c>
      <c r="C388" s="2" t="s">
        <v>23</v>
      </c>
      <c r="D388" s="2" t="s">
        <v>85</v>
      </c>
      <c r="E388" s="2" t="s">
        <v>84</v>
      </c>
      <c r="F388" s="2" t="s">
        <v>98</v>
      </c>
      <c r="G388" s="2" t="s">
        <v>97</v>
      </c>
      <c r="H388" s="2" t="s">
        <v>1279</v>
      </c>
      <c r="I388" s="2" t="s">
        <v>453</v>
      </c>
      <c r="J388" s="2" t="s">
        <v>3082</v>
      </c>
      <c r="K388" s="2" t="s">
        <v>3083</v>
      </c>
      <c r="L388" s="2" t="s">
        <v>2078</v>
      </c>
      <c r="M388" s="2">
        <v>662</v>
      </c>
      <c r="N388" s="2" t="s">
        <v>1658</v>
      </c>
      <c r="O388" s="2">
        <v>18</v>
      </c>
      <c r="P388" s="2">
        <v>105</v>
      </c>
      <c r="Q388" s="2" t="s">
        <v>1658</v>
      </c>
      <c r="R388" s="2">
        <v>18</v>
      </c>
      <c r="S388" s="2" t="s">
        <v>1660</v>
      </c>
      <c r="T388" s="2">
        <v>0</v>
      </c>
      <c r="U388" s="2" t="s">
        <v>32</v>
      </c>
      <c r="V388" s="2" t="s">
        <v>32</v>
      </c>
      <c r="W388" s="2" t="s">
        <v>1660</v>
      </c>
      <c r="X388" s="2">
        <v>0</v>
      </c>
      <c r="Y388" s="2" t="s">
        <v>32</v>
      </c>
      <c r="Z388" s="2" t="s">
        <v>32</v>
      </c>
      <c r="AA388" s="2" t="s">
        <v>1660</v>
      </c>
      <c r="AB388" s="2">
        <v>0</v>
      </c>
      <c r="AC388" s="2" t="s">
        <v>1660</v>
      </c>
      <c r="AD388" s="2">
        <v>0</v>
      </c>
      <c r="AE388" s="2" t="s">
        <v>1660</v>
      </c>
      <c r="AF388" s="2">
        <v>0</v>
      </c>
      <c r="AG388" s="2">
        <v>0</v>
      </c>
      <c r="AH388" s="2" t="s">
        <v>32</v>
      </c>
      <c r="AI388" s="2" t="s">
        <v>32</v>
      </c>
      <c r="AJ388" s="2" t="s">
        <v>32</v>
      </c>
      <c r="AK388" s="2" t="s">
        <v>32</v>
      </c>
      <c r="AL388" s="2" t="s">
        <v>32</v>
      </c>
      <c r="AM388" s="2">
        <v>0</v>
      </c>
      <c r="AN388" s="2" t="s">
        <v>32</v>
      </c>
      <c r="AO388" s="2">
        <v>0</v>
      </c>
      <c r="AP388" s="2" t="s">
        <v>32</v>
      </c>
      <c r="AQ388" s="2" t="s">
        <v>32</v>
      </c>
      <c r="AR388" s="2" t="s">
        <v>32</v>
      </c>
      <c r="AS388" s="2">
        <v>0</v>
      </c>
      <c r="AT388" s="2" t="s">
        <v>32</v>
      </c>
      <c r="AU388" s="2" t="s">
        <v>32</v>
      </c>
      <c r="AV388" s="2" t="s">
        <v>32</v>
      </c>
      <c r="AW388" s="2">
        <v>0</v>
      </c>
      <c r="AX388" s="2" t="s">
        <v>32</v>
      </c>
      <c r="AY388" s="2">
        <v>0</v>
      </c>
      <c r="AZ388" s="2" t="s">
        <v>1660</v>
      </c>
      <c r="BA388" s="2">
        <v>0</v>
      </c>
      <c r="BB388" s="2">
        <v>0</v>
      </c>
      <c r="BC388" s="2" t="s">
        <v>32</v>
      </c>
      <c r="BD388" s="2">
        <v>0</v>
      </c>
      <c r="BE388" s="2" t="s">
        <v>32</v>
      </c>
      <c r="BF388" s="2">
        <v>0</v>
      </c>
      <c r="BG388" s="2" t="s">
        <v>32</v>
      </c>
      <c r="BH388" s="2">
        <v>0</v>
      </c>
      <c r="BI388" s="2" t="s">
        <v>32</v>
      </c>
      <c r="BJ388" s="2" t="s">
        <v>32</v>
      </c>
      <c r="BK388" s="2" t="s">
        <v>32</v>
      </c>
      <c r="BL388" s="2">
        <v>0</v>
      </c>
      <c r="BM388" s="2" t="s">
        <v>32</v>
      </c>
      <c r="BN388" s="2" t="s">
        <v>32</v>
      </c>
      <c r="BO388" s="2" t="s">
        <v>32</v>
      </c>
      <c r="BP388" s="2">
        <v>0</v>
      </c>
      <c r="BQ388" s="2" t="s">
        <v>32</v>
      </c>
      <c r="BR388" s="2">
        <v>0</v>
      </c>
      <c r="BS388" s="2" t="s">
        <v>1660</v>
      </c>
      <c r="BT388" s="2">
        <v>0</v>
      </c>
      <c r="BU388" s="2">
        <v>0</v>
      </c>
      <c r="BV388" s="2" t="s">
        <v>1660</v>
      </c>
      <c r="BW388" s="2"/>
      <c r="BX388" s="2"/>
      <c r="BY388" s="2" t="s">
        <v>1807</v>
      </c>
      <c r="BZ388" s="2" t="b">
        <f>OR( (Dashboard[[#This Row],[ref_as_hh]]&gt;=1),(Dashboard[[#This Row],[ret_as_hh]] &gt;=1), (Dashboard[[#This Row],[idp_as_hh]]&gt;=1))</f>
        <v>0</v>
      </c>
      <c r="CA388" s="2">
        <f>Dashboard[[#This Row],[ret_hi_hh]]</f>
        <v>0</v>
      </c>
      <c r="CB388" s="2">
        <f>Dashboard[[#This Row],[idp_fa_hh]]+Dashboard[[#This Row],[ref_fa_hh]]+Dashboard[[#This Row],[ret_fa_hh]]</f>
        <v>18</v>
      </c>
      <c r="CC388" s="2">
        <f>Dashboard[[#This Row],[idp_loc_hh]]+Dashboard[[#This Row],[ref_loc_hh]]+Dashboard[[#This Row],[ret_loc_hh]]</f>
        <v>0</v>
      </c>
      <c r="CD388" s="2">
        <f>Dashboard[[#This Row],[idp_cc_hh]]+Dashboard[[#This Row],[ref_cc_hh]]+Dashboard[[#This Row],[ret_cc_hh]]</f>
        <v>0</v>
      </c>
      <c r="CE388" s="2">
        <f>Dashboard[[#This Row],[idp_as_hh]]+Dashboard[[#This Row],[ref_as_hh]]+Dashboard[[#This Row],[ret_as_hh]]</f>
        <v>0</v>
      </c>
      <c r="CF388" s="2">
        <f>Dashboard[[#This Row],[idp_al_hh]]+Dashboard[[#This Row],[ref_al_hh]]+Dashboard[[#This Row],[ret_al_hh]]</f>
        <v>0</v>
      </c>
    </row>
    <row r="389" spans="1:84" hidden="1" x14ac:dyDescent="0.25">
      <c r="A389" s="27">
        <v>134</v>
      </c>
      <c r="B389" s="2" t="s">
        <v>22</v>
      </c>
      <c r="C389" s="2" t="s">
        <v>23</v>
      </c>
      <c r="D389" s="2" t="s">
        <v>85</v>
      </c>
      <c r="E389" s="2" t="s">
        <v>84</v>
      </c>
      <c r="F389" s="2" t="s">
        <v>98</v>
      </c>
      <c r="G389" s="2" t="s">
        <v>97</v>
      </c>
      <c r="H389" s="2" t="s">
        <v>1678</v>
      </c>
      <c r="I389" s="2" t="s">
        <v>817</v>
      </c>
      <c r="J389" s="2" t="s">
        <v>2728</v>
      </c>
      <c r="K389" s="2" t="s">
        <v>2729</v>
      </c>
      <c r="L389" s="2" t="s">
        <v>2074</v>
      </c>
      <c r="M389" s="2">
        <v>520</v>
      </c>
      <c r="N389" s="2" t="s">
        <v>1660</v>
      </c>
      <c r="O389" s="2">
        <v>0</v>
      </c>
      <c r="P389" s="2">
        <v>0</v>
      </c>
      <c r="Q389" s="2" t="s">
        <v>32</v>
      </c>
      <c r="R389" s="2">
        <v>0</v>
      </c>
      <c r="S389" s="2" t="s">
        <v>32</v>
      </c>
      <c r="T389" s="2">
        <v>0</v>
      </c>
      <c r="U389" s="2" t="s">
        <v>32</v>
      </c>
      <c r="V389" s="2" t="s">
        <v>32</v>
      </c>
      <c r="W389" s="2" t="s">
        <v>32</v>
      </c>
      <c r="X389" s="2">
        <v>0</v>
      </c>
      <c r="Y389" s="2" t="s">
        <v>32</v>
      </c>
      <c r="Z389" s="2" t="s">
        <v>32</v>
      </c>
      <c r="AA389" s="2" t="s">
        <v>32</v>
      </c>
      <c r="AB389" s="2">
        <v>0</v>
      </c>
      <c r="AC389" s="2" t="s">
        <v>32</v>
      </c>
      <c r="AD389" s="2">
        <v>0</v>
      </c>
      <c r="AE389" s="2" t="s">
        <v>1660</v>
      </c>
      <c r="AF389" s="2">
        <v>0</v>
      </c>
      <c r="AG389" s="2">
        <v>0</v>
      </c>
      <c r="AH389" s="2" t="s">
        <v>32</v>
      </c>
      <c r="AI389" s="2" t="s">
        <v>32</v>
      </c>
      <c r="AJ389" s="2" t="s">
        <v>32</v>
      </c>
      <c r="AK389" s="2" t="s">
        <v>32</v>
      </c>
      <c r="AL389" s="2" t="s">
        <v>32</v>
      </c>
      <c r="AM389" s="2">
        <v>0</v>
      </c>
      <c r="AN389" s="2" t="s">
        <v>32</v>
      </c>
      <c r="AO389" s="2">
        <v>0</v>
      </c>
      <c r="AP389" s="2" t="s">
        <v>32</v>
      </c>
      <c r="AQ389" s="2" t="s">
        <v>32</v>
      </c>
      <c r="AR389" s="2" t="s">
        <v>32</v>
      </c>
      <c r="AS389" s="2">
        <v>0</v>
      </c>
      <c r="AT389" s="2" t="s">
        <v>32</v>
      </c>
      <c r="AU389" s="2" t="s">
        <v>32</v>
      </c>
      <c r="AV389" s="2" t="s">
        <v>32</v>
      </c>
      <c r="AW389" s="2">
        <v>0</v>
      </c>
      <c r="AX389" s="2" t="s">
        <v>32</v>
      </c>
      <c r="AY389" s="2">
        <v>0</v>
      </c>
      <c r="AZ389" s="2" t="s">
        <v>1660</v>
      </c>
      <c r="BA389" s="2">
        <v>0</v>
      </c>
      <c r="BB389" s="2">
        <v>0</v>
      </c>
      <c r="BC389" s="2" t="s">
        <v>32</v>
      </c>
      <c r="BD389" s="2">
        <v>0</v>
      </c>
      <c r="BE389" s="2" t="s">
        <v>32</v>
      </c>
      <c r="BF389" s="2">
        <v>0</v>
      </c>
      <c r="BG389" s="2" t="s">
        <v>32</v>
      </c>
      <c r="BH389" s="2">
        <v>0</v>
      </c>
      <c r="BI389" s="2" t="s">
        <v>32</v>
      </c>
      <c r="BJ389" s="2" t="s">
        <v>32</v>
      </c>
      <c r="BK389" s="2" t="s">
        <v>32</v>
      </c>
      <c r="BL389" s="2">
        <v>0</v>
      </c>
      <c r="BM389" s="2" t="s">
        <v>32</v>
      </c>
      <c r="BN389" s="2" t="s">
        <v>32</v>
      </c>
      <c r="BO389" s="2" t="s">
        <v>32</v>
      </c>
      <c r="BP389" s="2">
        <v>0</v>
      </c>
      <c r="BQ389" s="2" t="s">
        <v>32</v>
      </c>
      <c r="BR389" s="2">
        <v>0</v>
      </c>
      <c r="BS389" s="2" t="s">
        <v>1660</v>
      </c>
      <c r="BT389" s="2">
        <v>0</v>
      </c>
      <c r="BU389" s="2">
        <v>0</v>
      </c>
      <c r="BV389" s="2" t="s">
        <v>1660</v>
      </c>
      <c r="BW389" s="2"/>
      <c r="BX389" s="2"/>
      <c r="BY389" s="2" t="s">
        <v>1807</v>
      </c>
      <c r="BZ389" s="2" t="b">
        <f>OR( (Dashboard[[#This Row],[ref_as_hh]]&gt;=1),(Dashboard[[#This Row],[ret_as_hh]] &gt;=1), (Dashboard[[#This Row],[idp_as_hh]]&gt;=1))</f>
        <v>0</v>
      </c>
      <c r="CA389" s="2">
        <f>Dashboard[[#This Row],[ret_hi_hh]]</f>
        <v>0</v>
      </c>
      <c r="CB389" s="2">
        <f>Dashboard[[#This Row],[idp_fa_hh]]+Dashboard[[#This Row],[ref_fa_hh]]+Dashboard[[#This Row],[ret_fa_hh]]</f>
        <v>0</v>
      </c>
      <c r="CC389" s="2">
        <f>Dashboard[[#This Row],[idp_loc_hh]]+Dashboard[[#This Row],[ref_loc_hh]]+Dashboard[[#This Row],[ret_loc_hh]]</f>
        <v>0</v>
      </c>
      <c r="CD389" s="2">
        <f>Dashboard[[#This Row],[idp_cc_hh]]+Dashboard[[#This Row],[ref_cc_hh]]+Dashboard[[#This Row],[ret_cc_hh]]</f>
        <v>0</v>
      </c>
      <c r="CE389" s="2">
        <f>Dashboard[[#This Row],[idp_as_hh]]+Dashboard[[#This Row],[ref_as_hh]]+Dashboard[[#This Row],[ret_as_hh]]</f>
        <v>0</v>
      </c>
      <c r="CF389" s="2">
        <f>Dashboard[[#This Row],[idp_al_hh]]+Dashboard[[#This Row],[ref_al_hh]]+Dashboard[[#This Row],[ret_al_hh]]</f>
        <v>0</v>
      </c>
    </row>
    <row r="390" spans="1:84" hidden="1" x14ac:dyDescent="0.25">
      <c r="A390" s="27">
        <v>135</v>
      </c>
      <c r="B390" s="2" t="s">
        <v>22</v>
      </c>
      <c r="C390" s="2" t="s">
        <v>23</v>
      </c>
      <c r="D390" s="2" t="s">
        <v>85</v>
      </c>
      <c r="E390" s="2" t="s">
        <v>84</v>
      </c>
      <c r="F390" s="2" t="s">
        <v>98</v>
      </c>
      <c r="G390" s="2" t="s">
        <v>97</v>
      </c>
      <c r="H390" s="2" t="s">
        <v>1298</v>
      </c>
      <c r="I390" s="2" t="s">
        <v>460</v>
      </c>
      <c r="J390" s="2" t="s">
        <v>3120</v>
      </c>
      <c r="K390" s="2" t="s">
        <v>3121</v>
      </c>
      <c r="L390" s="2" t="s">
        <v>2074</v>
      </c>
      <c r="M390" s="2">
        <v>3765</v>
      </c>
      <c r="N390" s="2" t="s">
        <v>1658</v>
      </c>
      <c r="O390" s="2">
        <v>7</v>
      </c>
      <c r="P390" s="2">
        <v>60</v>
      </c>
      <c r="Q390" s="2" t="s">
        <v>1658</v>
      </c>
      <c r="R390" s="2">
        <v>7</v>
      </c>
      <c r="S390" s="2" t="s">
        <v>1660</v>
      </c>
      <c r="T390" s="2">
        <v>0</v>
      </c>
      <c r="U390" s="2" t="s">
        <v>32</v>
      </c>
      <c r="V390" s="2" t="s">
        <v>32</v>
      </c>
      <c r="W390" s="2" t="s">
        <v>1660</v>
      </c>
      <c r="X390" s="2">
        <v>0</v>
      </c>
      <c r="Y390" s="2" t="s">
        <v>32</v>
      </c>
      <c r="Z390" s="2" t="s">
        <v>32</v>
      </c>
      <c r="AA390" s="2" t="s">
        <v>1660</v>
      </c>
      <c r="AB390" s="2">
        <v>0</v>
      </c>
      <c r="AC390" s="2" t="s">
        <v>1660</v>
      </c>
      <c r="AD390" s="2">
        <v>0</v>
      </c>
      <c r="AE390" s="2" t="s">
        <v>1660</v>
      </c>
      <c r="AF390" s="2">
        <v>0</v>
      </c>
      <c r="AG390" s="2">
        <v>0</v>
      </c>
      <c r="AH390" s="2" t="s">
        <v>32</v>
      </c>
      <c r="AI390" s="2" t="s">
        <v>32</v>
      </c>
      <c r="AJ390" s="2" t="s">
        <v>32</v>
      </c>
      <c r="AK390" s="2" t="s">
        <v>32</v>
      </c>
      <c r="AL390" s="2" t="s">
        <v>32</v>
      </c>
      <c r="AM390" s="2">
        <v>0</v>
      </c>
      <c r="AN390" s="2" t="s">
        <v>32</v>
      </c>
      <c r="AO390" s="2">
        <v>0</v>
      </c>
      <c r="AP390" s="2" t="s">
        <v>32</v>
      </c>
      <c r="AQ390" s="2" t="s">
        <v>32</v>
      </c>
      <c r="AR390" s="2" t="s">
        <v>32</v>
      </c>
      <c r="AS390" s="2">
        <v>0</v>
      </c>
      <c r="AT390" s="2" t="s">
        <v>32</v>
      </c>
      <c r="AU390" s="2" t="s">
        <v>32</v>
      </c>
      <c r="AV390" s="2" t="s">
        <v>32</v>
      </c>
      <c r="AW390" s="2">
        <v>0</v>
      </c>
      <c r="AX390" s="2" t="s">
        <v>32</v>
      </c>
      <c r="AY390" s="2">
        <v>0</v>
      </c>
      <c r="AZ390" s="2" t="s">
        <v>1660</v>
      </c>
      <c r="BA390" s="2">
        <v>0</v>
      </c>
      <c r="BB390" s="2">
        <v>0</v>
      </c>
      <c r="BC390" s="2" t="s">
        <v>32</v>
      </c>
      <c r="BD390" s="2">
        <v>0</v>
      </c>
      <c r="BE390" s="2" t="s">
        <v>32</v>
      </c>
      <c r="BF390" s="2">
        <v>0</v>
      </c>
      <c r="BG390" s="2" t="s">
        <v>32</v>
      </c>
      <c r="BH390" s="2">
        <v>0</v>
      </c>
      <c r="BI390" s="2" t="s">
        <v>32</v>
      </c>
      <c r="BJ390" s="2" t="s">
        <v>32</v>
      </c>
      <c r="BK390" s="2" t="s">
        <v>32</v>
      </c>
      <c r="BL390" s="2">
        <v>0</v>
      </c>
      <c r="BM390" s="2" t="s">
        <v>32</v>
      </c>
      <c r="BN390" s="2" t="s">
        <v>32</v>
      </c>
      <c r="BO390" s="2" t="s">
        <v>32</v>
      </c>
      <c r="BP390" s="2">
        <v>0</v>
      </c>
      <c r="BQ390" s="2" t="s">
        <v>32</v>
      </c>
      <c r="BR390" s="2">
        <v>0</v>
      </c>
      <c r="BS390" s="2" t="s">
        <v>1660</v>
      </c>
      <c r="BT390" s="2">
        <v>0</v>
      </c>
      <c r="BU390" s="2">
        <v>0</v>
      </c>
      <c r="BV390" s="2" t="s">
        <v>1660</v>
      </c>
      <c r="BW390" s="2"/>
      <c r="BX390" s="2"/>
      <c r="BY390" s="2" t="s">
        <v>1807</v>
      </c>
      <c r="BZ390" s="2" t="b">
        <f>OR( (Dashboard[[#This Row],[ref_as_hh]]&gt;=1),(Dashboard[[#This Row],[ret_as_hh]] &gt;=1), (Dashboard[[#This Row],[idp_as_hh]]&gt;=1))</f>
        <v>0</v>
      </c>
      <c r="CA390" s="2">
        <f>Dashboard[[#This Row],[ret_hi_hh]]</f>
        <v>0</v>
      </c>
      <c r="CB390" s="2">
        <f>Dashboard[[#This Row],[idp_fa_hh]]+Dashboard[[#This Row],[ref_fa_hh]]+Dashboard[[#This Row],[ret_fa_hh]]</f>
        <v>7</v>
      </c>
      <c r="CC390" s="2">
        <f>Dashboard[[#This Row],[idp_loc_hh]]+Dashboard[[#This Row],[ref_loc_hh]]+Dashboard[[#This Row],[ret_loc_hh]]</f>
        <v>0</v>
      </c>
      <c r="CD390" s="2">
        <f>Dashboard[[#This Row],[idp_cc_hh]]+Dashboard[[#This Row],[ref_cc_hh]]+Dashboard[[#This Row],[ret_cc_hh]]</f>
        <v>0</v>
      </c>
      <c r="CE390" s="2">
        <f>Dashboard[[#This Row],[idp_as_hh]]+Dashboard[[#This Row],[ref_as_hh]]+Dashboard[[#This Row],[ret_as_hh]]</f>
        <v>0</v>
      </c>
      <c r="CF390" s="2">
        <f>Dashboard[[#This Row],[idp_al_hh]]+Dashboard[[#This Row],[ref_al_hh]]+Dashboard[[#This Row],[ret_al_hh]]</f>
        <v>0</v>
      </c>
    </row>
    <row r="391" spans="1:84" hidden="1" x14ac:dyDescent="0.25">
      <c r="A391" s="27">
        <v>136</v>
      </c>
      <c r="B391" s="2" t="s">
        <v>22</v>
      </c>
      <c r="C391" s="2" t="s">
        <v>23</v>
      </c>
      <c r="D391" s="2" t="s">
        <v>85</v>
      </c>
      <c r="E391" s="2" t="s">
        <v>84</v>
      </c>
      <c r="F391" s="2" t="s">
        <v>98</v>
      </c>
      <c r="G391" s="2" t="s">
        <v>97</v>
      </c>
      <c r="H391" s="2" t="s">
        <v>1675</v>
      </c>
      <c r="I391" s="2" t="s">
        <v>1676</v>
      </c>
      <c r="J391" s="2" t="s">
        <v>2792</v>
      </c>
      <c r="K391" s="2" t="s">
        <v>2793</v>
      </c>
      <c r="L391" s="2" t="s">
        <v>2074</v>
      </c>
      <c r="M391" s="2">
        <v>350</v>
      </c>
      <c r="N391" s="2" t="s">
        <v>1660</v>
      </c>
      <c r="O391" s="2">
        <v>0</v>
      </c>
      <c r="P391" s="2">
        <v>0</v>
      </c>
      <c r="Q391" s="2" t="s">
        <v>32</v>
      </c>
      <c r="R391" s="2">
        <v>0</v>
      </c>
      <c r="S391" s="2" t="s">
        <v>32</v>
      </c>
      <c r="T391" s="2">
        <v>0</v>
      </c>
      <c r="U391" s="2" t="s">
        <v>32</v>
      </c>
      <c r="V391" s="2" t="s">
        <v>32</v>
      </c>
      <c r="W391" s="2" t="s">
        <v>32</v>
      </c>
      <c r="X391" s="2">
        <v>0</v>
      </c>
      <c r="Y391" s="2" t="s">
        <v>32</v>
      </c>
      <c r="Z391" s="2" t="s">
        <v>32</v>
      </c>
      <c r="AA391" s="2" t="s">
        <v>32</v>
      </c>
      <c r="AB391" s="2">
        <v>0</v>
      </c>
      <c r="AC391" s="2" t="s">
        <v>32</v>
      </c>
      <c r="AD391" s="2">
        <v>0</v>
      </c>
      <c r="AE391" s="2" t="s">
        <v>1660</v>
      </c>
      <c r="AF391" s="2">
        <v>0</v>
      </c>
      <c r="AG391" s="2">
        <v>0</v>
      </c>
      <c r="AH391" s="2" t="s">
        <v>32</v>
      </c>
      <c r="AI391" s="2" t="s">
        <v>32</v>
      </c>
      <c r="AJ391" s="2" t="s">
        <v>32</v>
      </c>
      <c r="AK391" s="2" t="s">
        <v>32</v>
      </c>
      <c r="AL391" s="2" t="s">
        <v>32</v>
      </c>
      <c r="AM391" s="2">
        <v>0</v>
      </c>
      <c r="AN391" s="2" t="s">
        <v>32</v>
      </c>
      <c r="AO391" s="2">
        <v>0</v>
      </c>
      <c r="AP391" s="2" t="s">
        <v>32</v>
      </c>
      <c r="AQ391" s="2" t="s">
        <v>32</v>
      </c>
      <c r="AR391" s="2" t="s">
        <v>32</v>
      </c>
      <c r="AS391" s="2">
        <v>0</v>
      </c>
      <c r="AT391" s="2" t="s">
        <v>32</v>
      </c>
      <c r="AU391" s="2" t="s">
        <v>32</v>
      </c>
      <c r="AV391" s="2" t="s">
        <v>32</v>
      </c>
      <c r="AW391" s="2">
        <v>0</v>
      </c>
      <c r="AX391" s="2" t="s">
        <v>32</v>
      </c>
      <c r="AY391" s="2">
        <v>0</v>
      </c>
      <c r="AZ391" s="2" t="s">
        <v>1660</v>
      </c>
      <c r="BA391" s="2">
        <v>0</v>
      </c>
      <c r="BB391" s="2">
        <v>0</v>
      </c>
      <c r="BC391" s="2" t="s">
        <v>32</v>
      </c>
      <c r="BD391" s="2">
        <v>0</v>
      </c>
      <c r="BE391" s="2" t="s">
        <v>32</v>
      </c>
      <c r="BF391" s="2">
        <v>0</v>
      </c>
      <c r="BG391" s="2" t="s">
        <v>32</v>
      </c>
      <c r="BH391" s="2">
        <v>0</v>
      </c>
      <c r="BI391" s="2" t="s">
        <v>32</v>
      </c>
      <c r="BJ391" s="2" t="s">
        <v>32</v>
      </c>
      <c r="BK391" s="2" t="s">
        <v>32</v>
      </c>
      <c r="BL391" s="2">
        <v>0</v>
      </c>
      <c r="BM391" s="2" t="s">
        <v>32</v>
      </c>
      <c r="BN391" s="2" t="s">
        <v>32</v>
      </c>
      <c r="BO391" s="2" t="s">
        <v>32</v>
      </c>
      <c r="BP391" s="2">
        <v>0</v>
      </c>
      <c r="BQ391" s="2" t="s">
        <v>32</v>
      </c>
      <c r="BR391" s="2">
        <v>0</v>
      </c>
      <c r="BS391" s="2" t="s">
        <v>1660</v>
      </c>
      <c r="BT391" s="2">
        <v>0</v>
      </c>
      <c r="BU391" s="2">
        <v>0</v>
      </c>
      <c r="BV391" s="2" t="s">
        <v>1660</v>
      </c>
      <c r="BW391" s="2"/>
      <c r="BX391" s="2"/>
      <c r="BY391" s="2" t="s">
        <v>1807</v>
      </c>
      <c r="BZ391" s="2" t="b">
        <f>OR( (Dashboard[[#This Row],[ref_as_hh]]&gt;=1),(Dashboard[[#This Row],[ret_as_hh]] &gt;=1), (Dashboard[[#This Row],[idp_as_hh]]&gt;=1))</f>
        <v>0</v>
      </c>
      <c r="CA391" s="2">
        <f>Dashboard[[#This Row],[ret_hi_hh]]</f>
        <v>0</v>
      </c>
      <c r="CB391" s="2">
        <f>Dashboard[[#This Row],[idp_fa_hh]]+Dashboard[[#This Row],[ref_fa_hh]]+Dashboard[[#This Row],[ret_fa_hh]]</f>
        <v>0</v>
      </c>
      <c r="CC391" s="2">
        <f>Dashboard[[#This Row],[idp_loc_hh]]+Dashboard[[#This Row],[ref_loc_hh]]+Dashboard[[#This Row],[ret_loc_hh]]</f>
        <v>0</v>
      </c>
      <c r="CD391" s="2">
        <f>Dashboard[[#This Row],[idp_cc_hh]]+Dashboard[[#This Row],[ref_cc_hh]]+Dashboard[[#This Row],[ret_cc_hh]]</f>
        <v>0</v>
      </c>
      <c r="CE391" s="2">
        <f>Dashboard[[#This Row],[idp_as_hh]]+Dashboard[[#This Row],[ref_as_hh]]+Dashboard[[#This Row],[ret_as_hh]]</f>
        <v>0</v>
      </c>
      <c r="CF391" s="2">
        <f>Dashboard[[#This Row],[idp_al_hh]]+Dashboard[[#This Row],[ref_al_hh]]+Dashboard[[#This Row],[ret_al_hh]]</f>
        <v>0</v>
      </c>
    </row>
    <row r="392" spans="1:84" hidden="1" x14ac:dyDescent="0.25">
      <c r="A392" s="27">
        <v>137</v>
      </c>
      <c r="B392" s="2" t="s">
        <v>22</v>
      </c>
      <c r="C392" s="2" t="s">
        <v>23</v>
      </c>
      <c r="D392" s="2" t="s">
        <v>85</v>
      </c>
      <c r="E392" s="2" t="s">
        <v>84</v>
      </c>
      <c r="F392" s="2" t="s">
        <v>98</v>
      </c>
      <c r="G392" s="2" t="s">
        <v>97</v>
      </c>
      <c r="H392" s="2" t="s">
        <v>1167</v>
      </c>
      <c r="I392" s="2" t="s">
        <v>391</v>
      </c>
      <c r="J392" s="2" t="s">
        <v>2836</v>
      </c>
      <c r="K392" s="2" t="s">
        <v>2837</v>
      </c>
      <c r="L392" s="2" t="s">
        <v>2074</v>
      </c>
      <c r="M392" s="2">
        <v>1878</v>
      </c>
      <c r="N392" s="2" t="s">
        <v>1658</v>
      </c>
      <c r="O392" s="2">
        <v>6</v>
      </c>
      <c r="P392" s="2">
        <v>42</v>
      </c>
      <c r="Q392" s="2" t="s">
        <v>1658</v>
      </c>
      <c r="R392" s="2">
        <v>6</v>
      </c>
      <c r="S392" s="2" t="s">
        <v>1660</v>
      </c>
      <c r="T392" s="2">
        <v>0</v>
      </c>
      <c r="U392" s="2" t="s">
        <v>32</v>
      </c>
      <c r="V392" s="2" t="s">
        <v>32</v>
      </c>
      <c r="W392" s="2" t="s">
        <v>1660</v>
      </c>
      <c r="X392" s="2">
        <v>0</v>
      </c>
      <c r="Y392" s="2" t="s">
        <v>32</v>
      </c>
      <c r="Z392" s="2" t="s">
        <v>32</v>
      </c>
      <c r="AA392" s="2" t="s">
        <v>1660</v>
      </c>
      <c r="AB392" s="2">
        <v>0</v>
      </c>
      <c r="AC392" s="2" t="s">
        <v>1660</v>
      </c>
      <c r="AD392" s="2">
        <v>0</v>
      </c>
      <c r="AE392" s="2" t="s">
        <v>1660</v>
      </c>
      <c r="AF392" s="2">
        <v>0</v>
      </c>
      <c r="AG392" s="2">
        <v>0</v>
      </c>
      <c r="AH392" s="2" t="s">
        <v>32</v>
      </c>
      <c r="AI392" s="2" t="s">
        <v>32</v>
      </c>
      <c r="AJ392" s="2" t="s">
        <v>32</v>
      </c>
      <c r="AK392" s="2" t="s">
        <v>32</v>
      </c>
      <c r="AL392" s="2" t="s">
        <v>32</v>
      </c>
      <c r="AM392" s="2">
        <v>0</v>
      </c>
      <c r="AN392" s="2" t="s">
        <v>32</v>
      </c>
      <c r="AO392" s="2">
        <v>0</v>
      </c>
      <c r="AP392" s="2" t="s">
        <v>32</v>
      </c>
      <c r="AQ392" s="2" t="s">
        <v>32</v>
      </c>
      <c r="AR392" s="2" t="s">
        <v>32</v>
      </c>
      <c r="AS392" s="2">
        <v>0</v>
      </c>
      <c r="AT392" s="2" t="s">
        <v>32</v>
      </c>
      <c r="AU392" s="2" t="s">
        <v>32</v>
      </c>
      <c r="AV392" s="2" t="s">
        <v>32</v>
      </c>
      <c r="AW392" s="2">
        <v>0</v>
      </c>
      <c r="AX392" s="2" t="s">
        <v>32</v>
      </c>
      <c r="AY392" s="2">
        <v>0</v>
      </c>
      <c r="AZ392" s="2" t="s">
        <v>1660</v>
      </c>
      <c r="BA392" s="2">
        <v>0</v>
      </c>
      <c r="BB392" s="2">
        <v>0</v>
      </c>
      <c r="BC392" s="2" t="s">
        <v>32</v>
      </c>
      <c r="BD392" s="2">
        <v>0</v>
      </c>
      <c r="BE392" s="2" t="s">
        <v>32</v>
      </c>
      <c r="BF392" s="2">
        <v>0</v>
      </c>
      <c r="BG392" s="2" t="s">
        <v>32</v>
      </c>
      <c r="BH392" s="2">
        <v>0</v>
      </c>
      <c r="BI392" s="2" t="s">
        <v>32</v>
      </c>
      <c r="BJ392" s="2" t="s">
        <v>32</v>
      </c>
      <c r="BK392" s="2" t="s">
        <v>32</v>
      </c>
      <c r="BL392" s="2">
        <v>0</v>
      </c>
      <c r="BM392" s="2" t="s">
        <v>32</v>
      </c>
      <c r="BN392" s="2" t="s">
        <v>32</v>
      </c>
      <c r="BO392" s="2" t="s">
        <v>32</v>
      </c>
      <c r="BP392" s="2">
        <v>0</v>
      </c>
      <c r="BQ392" s="2" t="s">
        <v>32</v>
      </c>
      <c r="BR392" s="2">
        <v>0</v>
      </c>
      <c r="BS392" s="2" t="s">
        <v>1660</v>
      </c>
      <c r="BT392" s="2">
        <v>0</v>
      </c>
      <c r="BU392" s="2">
        <v>0</v>
      </c>
      <c r="BV392" s="2" t="s">
        <v>1660</v>
      </c>
      <c r="BW392" s="2"/>
      <c r="BX392" s="2"/>
      <c r="BY392" s="2" t="s">
        <v>1807</v>
      </c>
      <c r="BZ392" s="2" t="b">
        <f>OR( (Dashboard[[#This Row],[ref_as_hh]]&gt;=1),(Dashboard[[#This Row],[ret_as_hh]] &gt;=1), (Dashboard[[#This Row],[idp_as_hh]]&gt;=1))</f>
        <v>0</v>
      </c>
      <c r="CA392" s="2">
        <f>Dashboard[[#This Row],[ret_hi_hh]]</f>
        <v>0</v>
      </c>
      <c r="CB392" s="2">
        <f>Dashboard[[#This Row],[idp_fa_hh]]+Dashboard[[#This Row],[ref_fa_hh]]+Dashboard[[#This Row],[ret_fa_hh]]</f>
        <v>6</v>
      </c>
      <c r="CC392" s="2">
        <f>Dashboard[[#This Row],[idp_loc_hh]]+Dashboard[[#This Row],[ref_loc_hh]]+Dashboard[[#This Row],[ret_loc_hh]]</f>
        <v>0</v>
      </c>
      <c r="CD392" s="2">
        <f>Dashboard[[#This Row],[idp_cc_hh]]+Dashboard[[#This Row],[ref_cc_hh]]+Dashboard[[#This Row],[ret_cc_hh]]</f>
        <v>0</v>
      </c>
      <c r="CE392" s="2">
        <f>Dashboard[[#This Row],[idp_as_hh]]+Dashboard[[#This Row],[ref_as_hh]]+Dashboard[[#This Row],[ret_as_hh]]</f>
        <v>0</v>
      </c>
      <c r="CF392" s="2">
        <f>Dashboard[[#This Row],[idp_al_hh]]+Dashboard[[#This Row],[ref_al_hh]]+Dashboard[[#This Row],[ret_al_hh]]</f>
        <v>0</v>
      </c>
    </row>
    <row r="393" spans="1:84" hidden="1" x14ac:dyDescent="0.25">
      <c r="A393" s="27">
        <v>394</v>
      </c>
      <c r="B393" s="2" t="s">
        <v>22</v>
      </c>
      <c r="C393" s="2" t="s">
        <v>23</v>
      </c>
      <c r="D393" s="2" t="s">
        <v>85</v>
      </c>
      <c r="E393" s="2" t="s">
        <v>84</v>
      </c>
      <c r="F393" s="2" t="s">
        <v>98</v>
      </c>
      <c r="G393" s="2" t="s">
        <v>97</v>
      </c>
      <c r="H393" s="2" t="s">
        <v>1276</v>
      </c>
      <c r="I393" s="2" t="s">
        <v>1275</v>
      </c>
      <c r="J393" s="2" t="s">
        <v>3076</v>
      </c>
      <c r="K393" s="2" t="s">
        <v>3077</v>
      </c>
      <c r="L393" s="2" t="s">
        <v>2074</v>
      </c>
      <c r="M393" s="2">
        <v>150</v>
      </c>
      <c r="N393" s="2" t="s">
        <v>1658</v>
      </c>
      <c r="O393" s="2">
        <v>4</v>
      </c>
      <c r="P393" s="2">
        <v>24</v>
      </c>
      <c r="Q393" s="2" t="s">
        <v>1658</v>
      </c>
      <c r="R393" s="2">
        <v>4</v>
      </c>
      <c r="S393" s="2" t="s">
        <v>1660</v>
      </c>
      <c r="T393" s="2">
        <v>0</v>
      </c>
      <c r="U393" s="2" t="s">
        <v>32</v>
      </c>
      <c r="V393" s="2" t="s">
        <v>32</v>
      </c>
      <c r="W393" s="2" t="s">
        <v>1660</v>
      </c>
      <c r="X393" s="2">
        <v>0</v>
      </c>
      <c r="Y393" s="2" t="s">
        <v>32</v>
      </c>
      <c r="Z393" s="2" t="s">
        <v>32</v>
      </c>
      <c r="AA393" s="2" t="s">
        <v>1660</v>
      </c>
      <c r="AB393" s="2">
        <v>0</v>
      </c>
      <c r="AC393" s="2" t="s">
        <v>1660</v>
      </c>
      <c r="AD393" s="2">
        <v>0</v>
      </c>
      <c r="AE393" s="2" t="s">
        <v>1660</v>
      </c>
      <c r="AF393" s="2">
        <v>0</v>
      </c>
      <c r="AG393" s="2">
        <v>0</v>
      </c>
      <c r="AH393" s="2" t="s">
        <v>32</v>
      </c>
      <c r="AI393" s="2" t="s">
        <v>32</v>
      </c>
      <c r="AJ393" s="2" t="s">
        <v>32</v>
      </c>
      <c r="AK393" s="2" t="s">
        <v>32</v>
      </c>
      <c r="AL393" s="2" t="s">
        <v>32</v>
      </c>
      <c r="AM393" s="2">
        <v>0</v>
      </c>
      <c r="AN393" s="2" t="s">
        <v>32</v>
      </c>
      <c r="AO393" s="2">
        <v>0</v>
      </c>
      <c r="AP393" s="2" t="s">
        <v>32</v>
      </c>
      <c r="AQ393" s="2" t="s">
        <v>32</v>
      </c>
      <c r="AR393" s="2" t="s">
        <v>32</v>
      </c>
      <c r="AS393" s="2">
        <v>0</v>
      </c>
      <c r="AT393" s="2" t="s">
        <v>32</v>
      </c>
      <c r="AU393" s="2" t="s">
        <v>32</v>
      </c>
      <c r="AV393" s="2" t="s">
        <v>32</v>
      </c>
      <c r="AW393" s="2">
        <v>0</v>
      </c>
      <c r="AX393" s="2" t="s">
        <v>32</v>
      </c>
      <c r="AY393" s="2">
        <v>0</v>
      </c>
      <c r="AZ393" s="2" t="s">
        <v>1660</v>
      </c>
      <c r="BA393" s="2">
        <v>0</v>
      </c>
      <c r="BB393" s="2">
        <v>0</v>
      </c>
      <c r="BC393" s="2" t="s">
        <v>32</v>
      </c>
      <c r="BD393" s="2">
        <v>0</v>
      </c>
      <c r="BE393" s="2" t="s">
        <v>32</v>
      </c>
      <c r="BF393" s="2">
        <v>0</v>
      </c>
      <c r="BG393" s="2" t="s">
        <v>32</v>
      </c>
      <c r="BH393" s="2">
        <v>0</v>
      </c>
      <c r="BI393" s="2" t="s">
        <v>32</v>
      </c>
      <c r="BJ393" s="2" t="s">
        <v>32</v>
      </c>
      <c r="BK393" s="2" t="s">
        <v>32</v>
      </c>
      <c r="BL393" s="2">
        <v>0</v>
      </c>
      <c r="BM393" s="2" t="s">
        <v>32</v>
      </c>
      <c r="BN393" s="2" t="s">
        <v>32</v>
      </c>
      <c r="BO393" s="2" t="s">
        <v>32</v>
      </c>
      <c r="BP393" s="2">
        <v>0</v>
      </c>
      <c r="BQ393" s="2" t="s">
        <v>32</v>
      </c>
      <c r="BR393" s="2">
        <v>0</v>
      </c>
      <c r="BS393" s="2" t="s">
        <v>1660</v>
      </c>
      <c r="BT393" s="2">
        <v>0</v>
      </c>
      <c r="BU393" s="2">
        <v>0</v>
      </c>
      <c r="BV393" s="2" t="s">
        <v>1660</v>
      </c>
      <c r="BW393" s="2"/>
      <c r="BX393" s="2"/>
      <c r="BY393" s="2" t="s">
        <v>1807</v>
      </c>
      <c r="BZ393" s="2" t="b">
        <f>OR( (Dashboard[[#This Row],[ref_as_hh]]&gt;=1),(Dashboard[[#This Row],[ret_as_hh]] &gt;=1), (Dashboard[[#This Row],[idp_as_hh]]&gt;=1))</f>
        <v>0</v>
      </c>
      <c r="CA393" s="2">
        <f>Dashboard[[#This Row],[ret_hi_hh]]</f>
        <v>0</v>
      </c>
      <c r="CB393" s="2">
        <f>Dashboard[[#This Row],[idp_fa_hh]]+Dashboard[[#This Row],[ref_fa_hh]]+Dashboard[[#This Row],[ret_fa_hh]]</f>
        <v>4</v>
      </c>
      <c r="CC393" s="2">
        <f>Dashboard[[#This Row],[idp_loc_hh]]+Dashboard[[#This Row],[ref_loc_hh]]+Dashboard[[#This Row],[ret_loc_hh]]</f>
        <v>0</v>
      </c>
      <c r="CD393" s="2">
        <f>Dashboard[[#This Row],[idp_cc_hh]]+Dashboard[[#This Row],[ref_cc_hh]]+Dashboard[[#This Row],[ret_cc_hh]]</f>
        <v>0</v>
      </c>
      <c r="CE393" s="2">
        <f>Dashboard[[#This Row],[idp_as_hh]]+Dashboard[[#This Row],[ref_as_hh]]+Dashboard[[#This Row],[ret_as_hh]]</f>
        <v>0</v>
      </c>
      <c r="CF393" s="2">
        <f>Dashboard[[#This Row],[idp_al_hh]]+Dashboard[[#This Row],[ref_al_hh]]+Dashboard[[#This Row],[ret_al_hh]]</f>
        <v>0</v>
      </c>
    </row>
    <row r="394" spans="1:84" hidden="1" x14ac:dyDescent="0.25">
      <c r="A394" s="27">
        <v>139</v>
      </c>
      <c r="B394" s="2" t="s">
        <v>22</v>
      </c>
      <c r="C394" s="2" t="s">
        <v>23</v>
      </c>
      <c r="D394" s="2" t="s">
        <v>85</v>
      </c>
      <c r="E394" s="2" t="s">
        <v>84</v>
      </c>
      <c r="F394" s="2" t="s">
        <v>98</v>
      </c>
      <c r="G394" s="2" t="s">
        <v>97</v>
      </c>
      <c r="H394" s="2" t="s">
        <v>1270</v>
      </c>
      <c r="I394" s="2" t="s">
        <v>449</v>
      </c>
      <c r="J394" s="2" t="s">
        <v>3066</v>
      </c>
      <c r="K394" s="2" t="s">
        <v>3067</v>
      </c>
      <c r="L394" s="2" t="s">
        <v>2074</v>
      </c>
      <c r="M394" s="2">
        <v>467</v>
      </c>
      <c r="N394" s="2" t="s">
        <v>1658</v>
      </c>
      <c r="O394" s="2">
        <v>7</v>
      </c>
      <c r="P394" s="2">
        <v>36</v>
      </c>
      <c r="Q394" s="2" t="s">
        <v>1658</v>
      </c>
      <c r="R394" s="2">
        <v>7</v>
      </c>
      <c r="S394" s="2" t="s">
        <v>1660</v>
      </c>
      <c r="T394" s="2">
        <v>0</v>
      </c>
      <c r="U394" s="2" t="s">
        <v>32</v>
      </c>
      <c r="V394" s="2" t="s">
        <v>32</v>
      </c>
      <c r="W394" s="2" t="s">
        <v>1660</v>
      </c>
      <c r="X394" s="2">
        <v>0</v>
      </c>
      <c r="Y394" s="2" t="s">
        <v>32</v>
      </c>
      <c r="Z394" s="2" t="s">
        <v>32</v>
      </c>
      <c r="AA394" s="2" t="s">
        <v>1660</v>
      </c>
      <c r="AB394" s="2">
        <v>0</v>
      </c>
      <c r="AC394" s="2" t="s">
        <v>1660</v>
      </c>
      <c r="AD394" s="2">
        <v>0</v>
      </c>
      <c r="AE394" s="2" t="s">
        <v>1658</v>
      </c>
      <c r="AF394" s="2">
        <v>9</v>
      </c>
      <c r="AG394" s="2">
        <v>45</v>
      </c>
      <c r="AH394" s="2" t="s">
        <v>1660</v>
      </c>
      <c r="AI394" s="2" t="s">
        <v>32</v>
      </c>
      <c r="AJ394" s="2" t="s">
        <v>32</v>
      </c>
      <c r="AK394" s="2" t="s">
        <v>32</v>
      </c>
      <c r="AL394" s="2" t="s">
        <v>1658</v>
      </c>
      <c r="AM394" s="2">
        <v>9</v>
      </c>
      <c r="AN394" s="2" t="s">
        <v>1660</v>
      </c>
      <c r="AO394" s="2">
        <v>0</v>
      </c>
      <c r="AP394" s="2" t="s">
        <v>32</v>
      </c>
      <c r="AQ394" s="2" t="s">
        <v>32</v>
      </c>
      <c r="AR394" s="2" t="s">
        <v>1660</v>
      </c>
      <c r="AS394" s="2">
        <v>0</v>
      </c>
      <c r="AT394" s="2" t="s">
        <v>32</v>
      </c>
      <c r="AU394" s="2" t="s">
        <v>32</v>
      </c>
      <c r="AV394" s="2" t="s">
        <v>1660</v>
      </c>
      <c r="AW394" s="2">
        <v>0</v>
      </c>
      <c r="AX394" s="2" t="s">
        <v>1660</v>
      </c>
      <c r="AY394" s="2">
        <v>0</v>
      </c>
      <c r="AZ394" s="2" t="s">
        <v>1660</v>
      </c>
      <c r="BA394" s="2">
        <v>0</v>
      </c>
      <c r="BB394" s="2">
        <v>0</v>
      </c>
      <c r="BC394" s="2" t="s">
        <v>32</v>
      </c>
      <c r="BD394" s="2">
        <v>0</v>
      </c>
      <c r="BE394" s="2" t="s">
        <v>32</v>
      </c>
      <c r="BF394" s="2">
        <v>0</v>
      </c>
      <c r="BG394" s="2" t="s">
        <v>32</v>
      </c>
      <c r="BH394" s="2">
        <v>0</v>
      </c>
      <c r="BI394" s="2" t="s">
        <v>32</v>
      </c>
      <c r="BJ394" s="2" t="s">
        <v>32</v>
      </c>
      <c r="BK394" s="2" t="s">
        <v>32</v>
      </c>
      <c r="BL394" s="2">
        <v>0</v>
      </c>
      <c r="BM394" s="2" t="s">
        <v>32</v>
      </c>
      <c r="BN394" s="2" t="s">
        <v>32</v>
      </c>
      <c r="BO394" s="2" t="s">
        <v>32</v>
      </c>
      <c r="BP394" s="2">
        <v>0</v>
      </c>
      <c r="BQ394" s="2" t="s">
        <v>32</v>
      </c>
      <c r="BR394" s="2">
        <v>0</v>
      </c>
      <c r="BS394" s="2" t="s">
        <v>1660</v>
      </c>
      <c r="BT394" s="2">
        <v>0</v>
      </c>
      <c r="BU394" s="2">
        <v>0</v>
      </c>
      <c r="BV394" s="2" t="s">
        <v>1660</v>
      </c>
      <c r="BW394" s="2"/>
      <c r="BX394" s="2"/>
      <c r="BY394" s="2" t="s">
        <v>1807</v>
      </c>
      <c r="BZ394" s="2" t="b">
        <f>OR( (Dashboard[[#This Row],[ref_as_hh]]&gt;=1),(Dashboard[[#This Row],[ret_as_hh]] &gt;=1), (Dashboard[[#This Row],[idp_as_hh]]&gt;=1))</f>
        <v>0</v>
      </c>
      <c r="CA394" s="2">
        <f>Dashboard[[#This Row],[ret_hi_hh]]</f>
        <v>0</v>
      </c>
      <c r="CB394" s="2">
        <f>Dashboard[[#This Row],[idp_fa_hh]]+Dashboard[[#This Row],[ref_fa_hh]]+Dashboard[[#This Row],[ret_fa_hh]]</f>
        <v>16</v>
      </c>
      <c r="CC394" s="2">
        <f>Dashboard[[#This Row],[idp_loc_hh]]+Dashboard[[#This Row],[ref_loc_hh]]+Dashboard[[#This Row],[ret_loc_hh]]</f>
        <v>0</v>
      </c>
      <c r="CD394" s="2">
        <f>Dashboard[[#This Row],[idp_cc_hh]]+Dashboard[[#This Row],[ref_cc_hh]]+Dashboard[[#This Row],[ret_cc_hh]]</f>
        <v>0</v>
      </c>
      <c r="CE394" s="2">
        <f>Dashboard[[#This Row],[idp_as_hh]]+Dashboard[[#This Row],[ref_as_hh]]+Dashboard[[#This Row],[ret_as_hh]]</f>
        <v>0</v>
      </c>
      <c r="CF394" s="2">
        <f>Dashboard[[#This Row],[idp_al_hh]]+Dashboard[[#This Row],[ref_al_hh]]+Dashboard[[#This Row],[ret_al_hh]]</f>
        <v>0</v>
      </c>
    </row>
    <row r="395" spans="1:84" hidden="1" x14ac:dyDescent="0.25">
      <c r="A395" s="27">
        <v>143</v>
      </c>
      <c r="B395" s="2" t="s">
        <v>22</v>
      </c>
      <c r="C395" s="2" t="s">
        <v>23</v>
      </c>
      <c r="D395" s="2" t="s">
        <v>85</v>
      </c>
      <c r="E395" s="2" t="s">
        <v>84</v>
      </c>
      <c r="F395" s="2" t="s">
        <v>98</v>
      </c>
      <c r="G395" s="2" t="s">
        <v>97</v>
      </c>
      <c r="H395" s="2" t="s">
        <v>1200</v>
      </c>
      <c r="I395" s="2" t="s">
        <v>804</v>
      </c>
      <c r="J395" s="2" t="s">
        <v>2908</v>
      </c>
      <c r="K395" s="2" t="s">
        <v>2909</v>
      </c>
      <c r="L395" s="2" t="s">
        <v>2074</v>
      </c>
      <c r="M395" s="2">
        <v>476</v>
      </c>
      <c r="N395" s="2" t="s">
        <v>1658</v>
      </c>
      <c r="O395" s="2">
        <v>4</v>
      </c>
      <c r="P395" s="2">
        <v>36</v>
      </c>
      <c r="Q395" s="2" t="s">
        <v>1658</v>
      </c>
      <c r="R395" s="2">
        <v>4</v>
      </c>
      <c r="S395" s="2" t="s">
        <v>1660</v>
      </c>
      <c r="T395" s="2">
        <v>0</v>
      </c>
      <c r="U395" s="2" t="s">
        <v>32</v>
      </c>
      <c r="V395" s="2" t="s">
        <v>32</v>
      </c>
      <c r="W395" s="2" t="s">
        <v>1660</v>
      </c>
      <c r="X395" s="2">
        <v>0</v>
      </c>
      <c r="Y395" s="2" t="s">
        <v>32</v>
      </c>
      <c r="Z395" s="2" t="s">
        <v>32</v>
      </c>
      <c r="AA395" s="2" t="s">
        <v>1660</v>
      </c>
      <c r="AB395" s="2">
        <v>0</v>
      </c>
      <c r="AC395" s="2" t="s">
        <v>1660</v>
      </c>
      <c r="AD395" s="2">
        <v>0</v>
      </c>
      <c r="AE395" s="2" t="s">
        <v>1660</v>
      </c>
      <c r="AF395" s="2">
        <v>0</v>
      </c>
      <c r="AG395" s="2">
        <v>0</v>
      </c>
      <c r="AH395" s="2" t="s">
        <v>32</v>
      </c>
      <c r="AI395" s="2" t="s">
        <v>32</v>
      </c>
      <c r="AJ395" s="2" t="s">
        <v>32</v>
      </c>
      <c r="AK395" s="2" t="s">
        <v>32</v>
      </c>
      <c r="AL395" s="2" t="s">
        <v>32</v>
      </c>
      <c r="AM395" s="2">
        <v>0</v>
      </c>
      <c r="AN395" s="2" t="s">
        <v>32</v>
      </c>
      <c r="AO395" s="2">
        <v>0</v>
      </c>
      <c r="AP395" s="2" t="s">
        <v>32</v>
      </c>
      <c r="AQ395" s="2" t="s">
        <v>32</v>
      </c>
      <c r="AR395" s="2" t="s">
        <v>32</v>
      </c>
      <c r="AS395" s="2">
        <v>0</v>
      </c>
      <c r="AT395" s="2" t="s">
        <v>32</v>
      </c>
      <c r="AU395" s="2" t="s">
        <v>32</v>
      </c>
      <c r="AV395" s="2" t="s">
        <v>32</v>
      </c>
      <c r="AW395" s="2">
        <v>0</v>
      </c>
      <c r="AX395" s="2" t="s">
        <v>32</v>
      </c>
      <c r="AY395" s="2">
        <v>0</v>
      </c>
      <c r="AZ395" s="2" t="s">
        <v>1660</v>
      </c>
      <c r="BA395" s="2">
        <v>0</v>
      </c>
      <c r="BB395" s="2">
        <v>0</v>
      </c>
      <c r="BC395" s="2" t="s">
        <v>32</v>
      </c>
      <c r="BD395" s="2">
        <v>0</v>
      </c>
      <c r="BE395" s="2" t="s">
        <v>32</v>
      </c>
      <c r="BF395" s="2">
        <v>0</v>
      </c>
      <c r="BG395" s="2" t="s">
        <v>32</v>
      </c>
      <c r="BH395" s="2">
        <v>0</v>
      </c>
      <c r="BI395" s="2" t="s">
        <v>32</v>
      </c>
      <c r="BJ395" s="2" t="s">
        <v>32</v>
      </c>
      <c r="BK395" s="2" t="s">
        <v>32</v>
      </c>
      <c r="BL395" s="2">
        <v>0</v>
      </c>
      <c r="BM395" s="2" t="s">
        <v>32</v>
      </c>
      <c r="BN395" s="2" t="s">
        <v>32</v>
      </c>
      <c r="BO395" s="2" t="s">
        <v>32</v>
      </c>
      <c r="BP395" s="2">
        <v>0</v>
      </c>
      <c r="BQ395" s="2" t="s">
        <v>32</v>
      </c>
      <c r="BR395" s="2">
        <v>0</v>
      </c>
      <c r="BS395" s="2" t="s">
        <v>1660</v>
      </c>
      <c r="BT395" s="2">
        <v>0</v>
      </c>
      <c r="BU395" s="2">
        <v>0</v>
      </c>
      <c r="BV395" s="2" t="s">
        <v>1660</v>
      </c>
      <c r="BW395" s="2"/>
      <c r="BX395" s="2"/>
      <c r="BY395" s="2" t="s">
        <v>1807</v>
      </c>
      <c r="BZ395" s="2" t="b">
        <f>OR( (Dashboard[[#This Row],[ref_as_hh]]&gt;=1),(Dashboard[[#This Row],[ret_as_hh]] &gt;=1), (Dashboard[[#This Row],[idp_as_hh]]&gt;=1))</f>
        <v>0</v>
      </c>
      <c r="CA395" s="2">
        <f>Dashboard[[#This Row],[ret_hi_hh]]</f>
        <v>0</v>
      </c>
      <c r="CB395" s="2">
        <f>Dashboard[[#This Row],[idp_fa_hh]]+Dashboard[[#This Row],[ref_fa_hh]]+Dashboard[[#This Row],[ret_fa_hh]]</f>
        <v>4</v>
      </c>
      <c r="CC395" s="2">
        <f>Dashboard[[#This Row],[idp_loc_hh]]+Dashboard[[#This Row],[ref_loc_hh]]+Dashboard[[#This Row],[ret_loc_hh]]</f>
        <v>0</v>
      </c>
      <c r="CD395" s="2">
        <f>Dashboard[[#This Row],[idp_cc_hh]]+Dashboard[[#This Row],[ref_cc_hh]]+Dashboard[[#This Row],[ret_cc_hh]]</f>
        <v>0</v>
      </c>
      <c r="CE395" s="2">
        <f>Dashboard[[#This Row],[idp_as_hh]]+Dashboard[[#This Row],[ref_as_hh]]+Dashboard[[#This Row],[ret_as_hh]]</f>
        <v>0</v>
      </c>
      <c r="CF395" s="2">
        <f>Dashboard[[#This Row],[idp_al_hh]]+Dashboard[[#This Row],[ref_al_hh]]+Dashboard[[#This Row],[ret_al_hh]]</f>
        <v>0</v>
      </c>
    </row>
    <row r="396" spans="1:84" x14ac:dyDescent="0.25">
      <c r="A396" s="27">
        <v>149</v>
      </c>
      <c r="B396" s="2" t="s">
        <v>22</v>
      </c>
      <c r="C396" s="2" t="s">
        <v>23</v>
      </c>
      <c r="D396" s="2" t="s">
        <v>85</v>
      </c>
      <c r="E396" s="2" t="s">
        <v>84</v>
      </c>
      <c r="F396" s="2" t="s">
        <v>98</v>
      </c>
      <c r="G396" s="2" t="s">
        <v>97</v>
      </c>
      <c r="H396" s="2" t="s">
        <v>1296</v>
      </c>
      <c r="I396" s="2" t="s">
        <v>812</v>
      </c>
      <c r="J396" s="2" t="s">
        <v>3116</v>
      </c>
      <c r="K396" s="2" t="s">
        <v>3117</v>
      </c>
      <c r="L396" s="2" t="s">
        <v>2074</v>
      </c>
      <c r="M396" s="2">
        <v>587</v>
      </c>
      <c r="N396" s="2" t="s">
        <v>1658</v>
      </c>
      <c r="O396" s="2">
        <v>25</v>
      </c>
      <c r="P396" s="2">
        <v>213</v>
      </c>
      <c r="Q396" s="2" t="s">
        <v>1658</v>
      </c>
      <c r="R396" s="2">
        <v>15</v>
      </c>
      <c r="S396" s="2" t="s">
        <v>1660</v>
      </c>
      <c r="T396" s="2">
        <v>0</v>
      </c>
      <c r="U396" s="2" t="s">
        <v>32</v>
      </c>
      <c r="V396" s="2" t="s">
        <v>32</v>
      </c>
      <c r="W396" s="2" t="s">
        <v>1660</v>
      </c>
      <c r="X396" s="2">
        <v>0</v>
      </c>
      <c r="Y396" s="2" t="s">
        <v>32</v>
      </c>
      <c r="Z396" s="2" t="s">
        <v>32</v>
      </c>
      <c r="AA396" s="2" t="s">
        <v>1658</v>
      </c>
      <c r="AB396" s="2">
        <v>10</v>
      </c>
      <c r="AC396" s="2" t="s">
        <v>1660</v>
      </c>
      <c r="AD396" s="2">
        <v>0</v>
      </c>
      <c r="AE396" s="2" t="s">
        <v>1658</v>
      </c>
      <c r="AF396" s="2">
        <v>11</v>
      </c>
      <c r="AG396" s="2">
        <v>94</v>
      </c>
      <c r="AH396" s="2" t="s">
        <v>1660</v>
      </c>
      <c r="AI396" s="2" t="s">
        <v>32</v>
      </c>
      <c r="AJ396" s="2" t="s">
        <v>32</v>
      </c>
      <c r="AK396" s="2" t="s">
        <v>32</v>
      </c>
      <c r="AL396" s="2" t="s">
        <v>1658</v>
      </c>
      <c r="AM396" s="2">
        <v>11</v>
      </c>
      <c r="AN396" s="2" t="s">
        <v>1660</v>
      </c>
      <c r="AO396" s="2">
        <v>0</v>
      </c>
      <c r="AP396" s="2" t="s">
        <v>32</v>
      </c>
      <c r="AQ396" s="2" t="s">
        <v>32</v>
      </c>
      <c r="AR396" s="2" t="s">
        <v>1660</v>
      </c>
      <c r="AS396" s="2">
        <v>0</v>
      </c>
      <c r="AT396" s="2" t="s">
        <v>32</v>
      </c>
      <c r="AU396" s="2" t="s">
        <v>32</v>
      </c>
      <c r="AV396" s="2" t="s">
        <v>1660</v>
      </c>
      <c r="AW396" s="2">
        <v>0</v>
      </c>
      <c r="AX396" s="2" t="s">
        <v>1660</v>
      </c>
      <c r="AY396" s="2">
        <v>0</v>
      </c>
      <c r="AZ396" s="2" t="s">
        <v>1660</v>
      </c>
      <c r="BA396" s="2">
        <v>0</v>
      </c>
      <c r="BB396" s="2">
        <v>0</v>
      </c>
      <c r="BC396" s="2" t="s">
        <v>32</v>
      </c>
      <c r="BD396" s="2">
        <v>0</v>
      </c>
      <c r="BE396" s="2" t="s">
        <v>32</v>
      </c>
      <c r="BF396" s="2">
        <v>0</v>
      </c>
      <c r="BG396" s="2" t="s">
        <v>32</v>
      </c>
      <c r="BH396" s="2">
        <v>0</v>
      </c>
      <c r="BI396" s="2" t="s">
        <v>32</v>
      </c>
      <c r="BJ396" s="2" t="s">
        <v>32</v>
      </c>
      <c r="BK396" s="2" t="s">
        <v>32</v>
      </c>
      <c r="BL396" s="2">
        <v>0</v>
      </c>
      <c r="BM396" s="2" t="s">
        <v>32</v>
      </c>
      <c r="BN396" s="2" t="s">
        <v>32</v>
      </c>
      <c r="BO396" s="2" t="s">
        <v>32</v>
      </c>
      <c r="BP396" s="2">
        <v>0</v>
      </c>
      <c r="BQ396" s="2" t="s">
        <v>32</v>
      </c>
      <c r="BR396" s="2">
        <v>0</v>
      </c>
      <c r="BS396" s="2" t="s">
        <v>1660</v>
      </c>
      <c r="BT396" s="2">
        <v>0</v>
      </c>
      <c r="BU396" s="2">
        <v>0</v>
      </c>
      <c r="BV396" s="2" t="s">
        <v>1660</v>
      </c>
      <c r="BW396" s="2"/>
      <c r="BX396" s="2"/>
      <c r="BY396" s="2" t="s">
        <v>1807</v>
      </c>
      <c r="BZ396" s="2" t="b">
        <f>OR( (Dashboard[[#This Row],[ref_as_hh]]&gt;=1),(Dashboard[[#This Row],[ret_as_hh]] &gt;=1), (Dashboard[[#This Row],[idp_as_hh]]&gt;=1))</f>
        <v>1</v>
      </c>
      <c r="CA396" s="2">
        <f>Dashboard[[#This Row],[ret_hi_hh]]</f>
        <v>0</v>
      </c>
      <c r="CB396" s="2">
        <f>Dashboard[[#This Row],[idp_fa_hh]]+Dashboard[[#This Row],[ref_fa_hh]]+Dashboard[[#This Row],[ret_fa_hh]]</f>
        <v>26</v>
      </c>
      <c r="CC396" s="2">
        <f>Dashboard[[#This Row],[idp_loc_hh]]+Dashboard[[#This Row],[ref_loc_hh]]+Dashboard[[#This Row],[ret_loc_hh]]</f>
        <v>0</v>
      </c>
      <c r="CD396" s="2">
        <f>Dashboard[[#This Row],[idp_cc_hh]]+Dashboard[[#This Row],[ref_cc_hh]]+Dashboard[[#This Row],[ret_cc_hh]]</f>
        <v>0</v>
      </c>
      <c r="CE396" s="2">
        <f>Dashboard[[#This Row],[idp_as_hh]]+Dashboard[[#This Row],[ref_as_hh]]+Dashboard[[#This Row],[ret_as_hh]]</f>
        <v>10</v>
      </c>
      <c r="CF396" s="2">
        <f>Dashboard[[#This Row],[idp_al_hh]]+Dashboard[[#This Row],[ref_al_hh]]+Dashboard[[#This Row],[ret_al_hh]]</f>
        <v>0</v>
      </c>
    </row>
    <row r="397" spans="1:84" hidden="1" x14ac:dyDescent="0.25">
      <c r="A397" s="27">
        <v>150</v>
      </c>
      <c r="B397" s="2" t="s">
        <v>22</v>
      </c>
      <c r="C397" s="2" t="s">
        <v>23</v>
      </c>
      <c r="D397" s="2" t="s">
        <v>85</v>
      </c>
      <c r="E397" s="2" t="s">
        <v>84</v>
      </c>
      <c r="F397" s="2" t="s">
        <v>98</v>
      </c>
      <c r="G397" s="2" t="s">
        <v>97</v>
      </c>
      <c r="H397" s="2" t="s">
        <v>1295</v>
      </c>
      <c r="I397" s="2" t="s">
        <v>459</v>
      </c>
      <c r="J397" s="2" t="s">
        <v>3112</v>
      </c>
      <c r="K397" s="2" t="s">
        <v>3113</v>
      </c>
      <c r="L397" s="2" t="s">
        <v>3693</v>
      </c>
      <c r="M397" s="2">
        <v>712</v>
      </c>
      <c r="N397" s="2" t="s">
        <v>1658</v>
      </c>
      <c r="O397" s="2">
        <v>23</v>
      </c>
      <c r="P397" s="2">
        <v>134</v>
      </c>
      <c r="Q397" s="2" t="s">
        <v>1658</v>
      </c>
      <c r="R397" s="2">
        <v>23</v>
      </c>
      <c r="S397" s="2" t="s">
        <v>1660</v>
      </c>
      <c r="T397" s="2">
        <v>0</v>
      </c>
      <c r="U397" s="2" t="s">
        <v>32</v>
      </c>
      <c r="V397" s="2" t="s">
        <v>32</v>
      </c>
      <c r="W397" s="2" t="s">
        <v>1660</v>
      </c>
      <c r="X397" s="2">
        <v>0</v>
      </c>
      <c r="Y397" s="2" t="s">
        <v>32</v>
      </c>
      <c r="Z397" s="2" t="s">
        <v>32</v>
      </c>
      <c r="AA397" s="2" t="s">
        <v>1660</v>
      </c>
      <c r="AB397" s="2">
        <v>0</v>
      </c>
      <c r="AC397" s="2" t="s">
        <v>1660</v>
      </c>
      <c r="AD397" s="2">
        <v>0</v>
      </c>
      <c r="AE397" s="2" t="s">
        <v>1660</v>
      </c>
      <c r="AF397" s="2">
        <v>0</v>
      </c>
      <c r="AG397" s="2">
        <v>0</v>
      </c>
      <c r="AH397" s="2" t="s">
        <v>32</v>
      </c>
      <c r="AI397" s="2" t="s">
        <v>32</v>
      </c>
      <c r="AJ397" s="2" t="s">
        <v>32</v>
      </c>
      <c r="AK397" s="2" t="s">
        <v>32</v>
      </c>
      <c r="AL397" s="2" t="s">
        <v>32</v>
      </c>
      <c r="AM397" s="2">
        <v>0</v>
      </c>
      <c r="AN397" s="2" t="s">
        <v>32</v>
      </c>
      <c r="AO397" s="2">
        <v>0</v>
      </c>
      <c r="AP397" s="2" t="s">
        <v>32</v>
      </c>
      <c r="AQ397" s="2" t="s">
        <v>32</v>
      </c>
      <c r="AR397" s="2" t="s">
        <v>32</v>
      </c>
      <c r="AS397" s="2">
        <v>0</v>
      </c>
      <c r="AT397" s="2" t="s">
        <v>32</v>
      </c>
      <c r="AU397" s="2" t="s">
        <v>32</v>
      </c>
      <c r="AV397" s="2" t="s">
        <v>32</v>
      </c>
      <c r="AW397" s="2">
        <v>0</v>
      </c>
      <c r="AX397" s="2" t="s">
        <v>32</v>
      </c>
      <c r="AY397" s="2">
        <v>0</v>
      </c>
      <c r="AZ397" s="2" t="s">
        <v>1660</v>
      </c>
      <c r="BA397" s="2">
        <v>0</v>
      </c>
      <c r="BB397" s="2">
        <v>0</v>
      </c>
      <c r="BC397" s="2" t="s">
        <v>32</v>
      </c>
      <c r="BD397" s="2">
        <v>0</v>
      </c>
      <c r="BE397" s="2" t="s">
        <v>32</v>
      </c>
      <c r="BF397" s="2">
        <v>0</v>
      </c>
      <c r="BG397" s="2" t="s">
        <v>32</v>
      </c>
      <c r="BH397" s="2">
        <v>0</v>
      </c>
      <c r="BI397" s="2" t="s">
        <v>32</v>
      </c>
      <c r="BJ397" s="2" t="s">
        <v>32</v>
      </c>
      <c r="BK397" s="2" t="s">
        <v>32</v>
      </c>
      <c r="BL397" s="2">
        <v>0</v>
      </c>
      <c r="BM397" s="2" t="s">
        <v>32</v>
      </c>
      <c r="BN397" s="2" t="s">
        <v>32</v>
      </c>
      <c r="BO397" s="2" t="s">
        <v>32</v>
      </c>
      <c r="BP397" s="2">
        <v>0</v>
      </c>
      <c r="BQ397" s="2" t="s">
        <v>32</v>
      </c>
      <c r="BR397" s="2">
        <v>0</v>
      </c>
      <c r="BS397" s="2" t="s">
        <v>1660</v>
      </c>
      <c r="BT397" s="2">
        <v>0</v>
      </c>
      <c r="BU397" s="2">
        <v>0</v>
      </c>
      <c r="BV397" s="2" t="s">
        <v>1660</v>
      </c>
      <c r="BW397" s="2"/>
      <c r="BX397" s="2"/>
      <c r="BY397" s="2" t="s">
        <v>1807</v>
      </c>
      <c r="BZ397" s="2" t="b">
        <f>OR( (Dashboard[[#This Row],[ref_as_hh]]&gt;=1),(Dashboard[[#This Row],[ret_as_hh]] &gt;=1), (Dashboard[[#This Row],[idp_as_hh]]&gt;=1))</f>
        <v>0</v>
      </c>
      <c r="CA397" s="2">
        <f>Dashboard[[#This Row],[ret_hi_hh]]</f>
        <v>0</v>
      </c>
      <c r="CB397" s="2">
        <f>Dashboard[[#This Row],[idp_fa_hh]]+Dashboard[[#This Row],[ref_fa_hh]]+Dashboard[[#This Row],[ret_fa_hh]]</f>
        <v>23</v>
      </c>
      <c r="CC397" s="2">
        <f>Dashboard[[#This Row],[idp_loc_hh]]+Dashboard[[#This Row],[ref_loc_hh]]+Dashboard[[#This Row],[ret_loc_hh]]</f>
        <v>0</v>
      </c>
      <c r="CD397" s="2">
        <f>Dashboard[[#This Row],[idp_cc_hh]]+Dashboard[[#This Row],[ref_cc_hh]]+Dashboard[[#This Row],[ret_cc_hh]]</f>
        <v>0</v>
      </c>
      <c r="CE397" s="2">
        <f>Dashboard[[#This Row],[idp_as_hh]]+Dashboard[[#This Row],[ref_as_hh]]+Dashboard[[#This Row],[ret_as_hh]]</f>
        <v>0</v>
      </c>
      <c r="CF397" s="2">
        <f>Dashboard[[#This Row],[idp_al_hh]]+Dashboard[[#This Row],[ref_al_hh]]+Dashboard[[#This Row],[ret_al_hh]]</f>
        <v>0</v>
      </c>
    </row>
    <row r="398" spans="1:84" hidden="1" x14ac:dyDescent="0.25">
      <c r="A398" s="27">
        <v>151</v>
      </c>
      <c r="B398" s="2" t="s">
        <v>22</v>
      </c>
      <c r="C398" s="2" t="s">
        <v>23</v>
      </c>
      <c r="D398" s="2" t="s">
        <v>85</v>
      </c>
      <c r="E398" s="2" t="s">
        <v>84</v>
      </c>
      <c r="F398" s="2" t="s">
        <v>98</v>
      </c>
      <c r="G398" s="2" t="s">
        <v>97</v>
      </c>
      <c r="H398" s="2" t="s">
        <v>1230</v>
      </c>
      <c r="I398" s="2" t="s">
        <v>429</v>
      </c>
      <c r="J398" s="2" t="s">
        <v>2988</v>
      </c>
      <c r="K398" s="2" t="s">
        <v>2989</v>
      </c>
      <c r="L398" s="2" t="s">
        <v>2074</v>
      </c>
      <c r="M398" s="2">
        <v>782</v>
      </c>
      <c r="N398" s="2" t="s">
        <v>1658</v>
      </c>
      <c r="O398" s="2">
        <v>5</v>
      </c>
      <c r="P398" s="2">
        <v>59</v>
      </c>
      <c r="Q398" s="2" t="s">
        <v>1658</v>
      </c>
      <c r="R398" s="2">
        <v>5</v>
      </c>
      <c r="S398" s="2" t="s">
        <v>1660</v>
      </c>
      <c r="T398" s="2">
        <v>0</v>
      </c>
      <c r="U398" s="2" t="s">
        <v>32</v>
      </c>
      <c r="V398" s="2" t="s">
        <v>32</v>
      </c>
      <c r="W398" s="2" t="s">
        <v>1660</v>
      </c>
      <c r="X398" s="2">
        <v>0</v>
      </c>
      <c r="Y398" s="2" t="s">
        <v>32</v>
      </c>
      <c r="Z398" s="2" t="s">
        <v>32</v>
      </c>
      <c r="AA398" s="2" t="s">
        <v>1660</v>
      </c>
      <c r="AB398" s="2">
        <v>0</v>
      </c>
      <c r="AC398" s="2" t="s">
        <v>1660</v>
      </c>
      <c r="AD398" s="2">
        <v>0</v>
      </c>
      <c r="AE398" s="2" t="s">
        <v>1660</v>
      </c>
      <c r="AF398" s="2">
        <v>0</v>
      </c>
      <c r="AG398" s="2">
        <v>0</v>
      </c>
      <c r="AH398" s="2" t="s">
        <v>32</v>
      </c>
      <c r="AI398" s="2" t="s">
        <v>32</v>
      </c>
      <c r="AJ398" s="2" t="s">
        <v>32</v>
      </c>
      <c r="AK398" s="2" t="s">
        <v>32</v>
      </c>
      <c r="AL398" s="2" t="s">
        <v>32</v>
      </c>
      <c r="AM398" s="2">
        <v>0</v>
      </c>
      <c r="AN398" s="2" t="s">
        <v>32</v>
      </c>
      <c r="AO398" s="2">
        <v>0</v>
      </c>
      <c r="AP398" s="2" t="s">
        <v>32</v>
      </c>
      <c r="AQ398" s="2" t="s">
        <v>32</v>
      </c>
      <c r="AR398" s="2" t="s">
        <v>32</v>
      </c>
      <c r="AS398" s="2">
        <v>0</v>
      </c>
      <c r="AT398" s="2" t="s">
        <v>32</v>
      </c>
      <c r="AU398" s="2" t="s">
        <v>32</v>
      </c>
      <c r="AV398" s="2" t="s">
        <v>32</v>
      </c>
      <c r="AW398" s="2">
        <v>0</v>
      </c>
      <c r="AX398" s="2" t="s">
        <v>32</v>
      </c>
      <c r="AY398" s="2">
        <v>0</v>
      </c>
      <c r="AZ398" s="2" t="s">
        <v>1660</v>
      </c>
      <c r="BA398" s="2">
        <v>0</v>
      </c>
      <c r="BB398" s="2">
        <v>0</v>
      </c>
      <c r="BC398" s="2" t="s">
        <v>32</v>
      </c>
      <c r="BD398" s="2">
        <v>0</v>
      </c>
      <c r="BE398" s="2" t="s">
        <v>32</v>
      </c>
      <c r="BF398" s="2">
        <v>0</v>
      </c>
      <c r="BG398" s="2" t="s">
        <v>32</v>
      </c>
      <c r="BH398" s="2">
        <v>0</v>
      </c>
      <c r="BI398" s="2" t="s">
        <v>32</v>
      </c>
      <c r="BJ398" s="2" t="s">
        <v>32</v>
      </c>
      <c r="BK398" s="2" t="s">
        <v>32</v>
      </c>
      <c r="BL398" s="2">
        <v>0</v>
      </c>
      <c r="BM398" s="2" t="s">
        <v>32</v>
      </c>
      <c r="BN398" s="2" t="s">
        <v>32</v>
      </c>
      <c r="BO398" s="2" t="s">
        <v>32</v>
      </c>
      <c r="BP398" s="2">
        <v>0</v>
      </c>
      <c r="BQ398" s="2" t="s">
        <v>32</v>
      </c>
      <c r="BR398" s="2">
        <v>0</v>
      </c>
      <c r="BS398" s="2" t="s">
        <v>1660</v>
      </c>
      <c r="BT398" s="2">
        <v>0</v>
      </c>
      <c r="BU398" s="2">
        <v>0</v>
      </c>
      <c r="BV398" s="2" t="s">
        <v>1660</v>
      </c>
      <c r="BW398" s="2"/>
      <c r="BX398" s="2"/>
      <c r="BY398" s="2" t="s">
        <v>1807</v>
      </c>
      <c r="BZ398" s="2" t="b">
        <f>OR( (Dashboard[[#This Row],[ref_as_hh]]&gt;=1),(Dashboard[[#This Row],[ret_as_hh]] &gt;=1), (Dashboard[[#This Row],[idp_as_hh]]&gt;=1))</f>
        <v>0</v>
      </c>
      <c r="CA398" s="2">
        <f>Dashboard[[#This Row],[ret_hi_hh]]</f>
        <v>0</v>
      </c>
      <c r="CB398" s="2">
        <f>Dashboard[[#This Row],[idp_fa_hh]]+Dashboard[[#This Row],[ref_fa_hh]]+Dashboard[[#This Row],[ret_fa_hh]]</f>
        <v>5</v>
      </c>
      <c r="CC398" s="2">
        <f>Dashboard[[#This Row],[idp_loc_hh]]+Dashboard[[#This Row],[ref_loc_hh]]+Dashboard[[#This Row],[ret_loc_hh]]</f>
        <v>0</v>
      </c>
      <c r="CD398" s="2">
        <f>Dashboard[[#This Row],[idp_cc_hh]]+Dashboard[[#This Row],[ref_cc_hh]]+Dashboard[[#This Row],[ret_cc_hh]]</f>
        <v>0</v>
      </c>
      <c r="CE398" s="2">
        <f>Dashboard[[#This Row],[idp_as_hh]]+Dashboard[[#This Row],[ref_as_hh]]+Dashboard[[#This Row],[ret_as_hh]]</f>
        <v>0</v>
      </c>
      <c r="CF398" s="2">
        <f>Dashboard[[#This Row],[idp_al_hh]]+Dashboard[[#This Row],[ref_al_hh]]+Dashboard[[#This Row],[ret_al_hh]]</f>
        <v>0</v>
      </c>
    </row>
    <row r="399" spans="1:84" hidden="1" x14ac:dyDescent="0.25">
      <c r="A399" s="27">
        <v>152</v>
      </c>
      <c r="B399" s="2" t="s">
        <v>22</v>
      </c>
      <c r="C399" s="2" t="s">
        <v>23</v>
      </c>
      <c r="D399" s="2" t="s">
        <v>85</v>
      </c>
      <c r="E399" s="2" t="s">
        <v>84</v>
      </c>
      <c r="F399" s="2" t="s">
        <v>98</v>
      </c>
      <c r="G399" s="2" t="s">
        <v>97</v>
      </c>
      <c r="H399" s="2" t="s">
        <v>1210</v>
      </c>
      <c r="I399" s="2" t="s">
        <v>412</v>
      </c>
      <c r="J399" s="2" t="s">
        <v>2938</v>
      </c>
      <c r="K399" s="2" t="s">
        <v>2939</v>
      </c>
      <c r="L399" s="2" t="s">
        <v>2074</v>
      </c>
      <c r="M399" s="2">
        <v>647</v>
      </c>
      <c r="N399" s="2" t="s">
        <v>1658</v>
      </c>
      <c r="O399" s="2">
        <v>23</v>
      </c>
      <c r="P399" s="2">
        <v>77</v>
      </c>
      <c r="Q399" s="2" t="s">
        <v>1658</v>
      </c>
      <c r="R399" s="2">
        <v>23</v>
      </c>
      <c r="S399" s="2" t="s">
        <v>1660</v>
      </c>
      <c r="T399" s="2">
        <v>0</v>
      </c>
      <c r="U399" s="2" t="s">
        <v>32</v>
      </c>
      <c r="V399" s="2" t="s">
        <v>32</v>
      </c>
      <c r="W399" s="2" t="s">
        <v>1660</v>
      </c>
      <c r="X399" s="2">
        <v>0</v>
      </c>
      <c r="Y399" s="2" t="s">
        <v>32</v>
      </c>
      <c r="Z399" s="2" t="s">
        <v>32</v>
      </c>
      <c r="AA399" s="2" t="s">
        <v>1660</v>
      </c>
      <c r="AB399" s="2">
        <v>0</v>
      </c>
      <c r="AC399" s="2" t="s">
        <v>1660</v>
      </c>
      <c r="AD399" s="2">
        <v>0</v>
      </c>
      <c r="AE399" s="2" t="s">
        <v>1660</v>
      </c>
      <c r="AF399" s="2">
        <v>0</v>
      </c>
      <c r="AG399" s="2">
        <v>0</v>
      </c>
      <c r="AH399" s="2" t="s">
        <v>32</v>
      </c>
      <c r="AI399" s="2" t="s">
        <v>32</v>
      </c>
      <c r="AJ399" s="2" t="s">
        <v>32</v>
      </c>
      <c r="AK399" s="2" t="s">
        <v>32</v>
      </c>
      <c r="AL399" s="2" t="s">
        <v>32</v>
      </c>
      <c r="AM399" s="2">
        <v>0</v>
      </c>
      <c r="AN399" s="2" t="s">
        <v>32</v>
      </c>
      <c r="AO399" s="2">
        <v>0</v>
      </c>
      <c r="AP399" s="2" t="s">
        <v>32</v>
      </c>
      <c r="AQ399" s="2" t="s">
        <v>32</v>
      </c>
      <c r="AR399" s="2" t="s">
        <v>32</v>
      </c>
      <c r="AS399" s="2">
        <v>0</v>
      </c>
      <c r="AT399" s="2" t="s">
        <v>32</v>
      </c>
      <c r="AU399" s="2" t="s">
        <v>32</v>
      </c>
      <c r="AV399" s="2" t="s">
        <v>32</v>
      </c>
      <c r="AW399" s="2">
        <v>0</v>
      </c>
      <c r="AX399" s="2" t="s">
        <v>32</v>
      </c>
      <c r="AY399" s="2">
        <v>0</v>
      </c>
      <c r="AZ399" s="2" t="s">
        <v>1660</v>
      </c>
      <c r="BA399" s="2">
        <v>0</v>
      </c>
      <c r="BB399" s="2">
        <v>0</v>
      </c>
      <c r="BC399" s="2" t="s">
        <v>32</v>
      </c>
      <c r="BD399" s="2">
        <v>0</v>
      </c>
      <c r="BE399" s="2" t="s">
        <v>32</v>
      </c>
      <c r="BF399" s="2">
        <v>0</v>
      </c>
      <c r="BG399" s="2" t="s">
        <v>32</v>
      </c>
      <c r="BH399" s="2">
        <v>0</v>
      </c>
      <c r="BI399" s="2" t="s">
        <v>32</v>
      </c>
      <c r="BJ399" s="2" t="s">
        <v>32</v>
      </c>
      <c r="BK399" s="2" t="s">
        <v>32</v>
      </c>
      <c r="BL399" s="2">
        <v>0</v>
      </c>
      <c r="BM399" s="2" t="s">
        <v>32</v>
      </c>
      <c r="BN399" s="2" t="s">
        <v>32</v>
      </c>
      <c r="BO399" s="2" t="s">
        <v>32</v>
      </c>
      <c r="BP399" s="2">
        <v>0</v>
      </c>
      <c r="BQ399" s="2" t="s">
        <v>32</v>
      </c>
      <c r="BR399" s="2">
        <v>0</v>
      </c>
      <c r="BS399" s="2" t="s">
        <v>1660</v>
      </c>
      <c r="BT399" s="2">
        <v>0</v>
      </c>
      <c r="BU399" s="2">
        <v>0</v>
      </c>
      <c r="BV399" s="2" t="s">
        <v>1660</v>
      </c>
      <c r="BW399" s="2"/>
      <c r="BX399" s="2"/>
      <c r="BY399" s="2" t="s">
        <v>1807</v>
      </c>
      <c r="BZ399" s="2" t="b">
        <f>OR( (Dashboard[[#This Row],[ref_as_hh]]&gt;=1),(Dashboard[[#This Row],[ret_as_hh]] &gt;=1), (Dashboard[[#This Row],[idp_as_hh]]&gt;=1))</f>
        <v>0</v>
      </c>
      <c r="CA399" s="2">
        <f>Dashboard[[#This Row],[ret_hi_hh]]</f>
        <v>0</v>
      </c>
      <c r="CB399" s="2">
        <f>Dashboard[[#This Row],[idp_fa_hh]]+Dashboard[[#This Row],[ref_fa_hh]]+Dashboard[[#This Row],[ret_fa_hh]]</f>
        <v>23</v>
      </c>
      <c r="CC399" s="2">
        <f>Dashboard[[#This Row],[idp_loc_hh]]+Dashboard[[#This Row],[ref_loc_hh]]+Dashboard[[#This Row],[ret_loc_hh]]</f>
        <v>0</v>
      </c>
      <c r="CD399" s="2">
        <f>Dashboard[[#This Row],[idp_cc_hh]]+Dashboard[[#This Row],[ref_cc_hh]]+Dashboard[[#This Row],[ret_cc_hh]]</f>
        <v>0</v>
      </c>
      <c r="CE399" s="2">
        <f>Dashboard[[#This Row],[idp_as_hh]]+Dashboard[[#This Row],[ref_as_hh]]+Dashboard[[#This Row],[ret_as_hh]]</f>
        <v>0</v>
      </c>
      <c r="CF399" s="2">
        <f>Dashboard[[#This Row],[idp_al_hh]]+Dashboard[[#This Row],[ref_al_hh]]+Dashboard[[#This Row],[ret_al_hh]]</f>
        <v>0</v>
      </c>
    </row>
    <row r="400" spans="1:84" x14ac:dyDescent="0.25">
      <c r="A400" s="27">
        <v>408</v>
      </c>
      <c r="B400" s="2" t="s">
        <v>22</v>
      </c>
      <c r="C400" s="2" t="s">
        <v>23</v>
      </c>
      <c r="D400" s="2" t="s">
        <v>85</v>
      </c>
      <c r="E400" s="2" t="s">
        <v>84</v>
      </c>
      <c r="F400" s="2" t="s">
        <v>98</v>
      </c>
      <c r="G400" s="2" t="s">
        <v>97</v>
      </c>
      <c r="H400" s="2" t="s">
        <v>1142</v>
      </c>
      <c r="I400" s="2" t="s">
        <v>801</v>
      </c>
      <c r="J400" s="2" t="s">
        <v>2780</v>
      </c>
      <c r="K400" s="2" t="s">
        <v>2781</v>
      </c>
      <c r="L400" s="2" t="s">
        <v>2074</v>
      </c>
      <c r="M400" s="2">
        <v>850</v>
      </c>
      <c r="N400" s="2" t="s">
        <v>1658</v>
      </c>
      <c r="O400" s="2">
        <v>65</v>
      </c>
      <c r="P400" s="2">
        <v>551</v>
      </c>
      <c r="Q400" s="2" t="s">
        <v>1660</v>
      </c>
      <c r="R400" s="2">
        <v>0</v>
      </c>
      <c r="S400" s="2" t="s">
        <v>1660</v>
      </c>
      <c r="T400" s="2">
        <v>0</v>
      </c>
      <c r="U400" s="2" t="s">
        <v>32</v>
      </c>
      <c r="V400" s="2" t="s">
        <v>32</v>
      </c>
      <c r="W400" s="2" t="s">
        <v>1660</v>
      </c>
      <c r="X400" s="2">
        <v>0</v>
      </c>
      <c r="Y400" s="2" t="s">
        <v>32</v>
      </c>
      <c r="Z400" s="2" t="s">
        <v>32</v>
      </c>
      <c r="AA400" s="2" t="s">
        <v>1658</v>
      </c>
      <c r="AB400" s="2">
        <v>65</v>
      </c>
      <c r="AC400" s="2" t="s">
        <v>1660</v>
      </c>
      <c r="AD400" s="2">
        <v>0</v>
      </c>
      <c r="AE400" s="2" t="s">
        <v>1658</v>
      </c>
      <c r="AF400" s="2">
        <v>23</v>
      </c>
      <c r="AG400" s="2">
        <v>296</v>
      </c>
      <c r="AH400" s="2" t="s">
        <v>1658</v>
      </c>
      <c r="AI400" s="2" t="s">
        <v>85</v>
      </c>
      <c r="AJ400" s="2" t="s">
        <v>98</v>
      </c>
      <c r="AK400" s="2" t="s">
        <v>2010</v>
      </c>
      <c r="AL400" s="2" t="s">
        <v>1660</v>
      </c>
      <c r="AM400" s="2">
        <v>0</v>
      </c>
      <c r="AN400" s="2" t="s">
        <v>1660</v>
      </c>
      <c r="AO400" s="2">
        <v>0</v>
      </c>
      <c r="AP400" s="2" t="s">
        <v>32</v>
      </c>
      <c r="AQ400" s="2" t="s">
        <v>32</v>
      </c>
      <c r="AR400" s="2" t="s">
        <v>1660</v>
      </c>
      <c r="AS400" s="2">
        <v>0</v>
      </c>
      <c r="AT400" s="2" t="s">
        <v>32</v>
      </c>
      <c r="AU400" s="2" t="s">
        <v>32</v>
      </c>
      <c r="AV400" s="2" t="s">
        <v>1658</v>
      </c>
      <c r="AW400" s="2">
        <v>23</v>
      </c>
      <c r="AX400" s="2" t="s">
        <v>1660</v>
      </c>
      <c r="AY400" s="2">
        <v>0</v>
      </c>
      <c r="AZ400" s="2" t="s">
        <v>1660</v>
      </c>
      <c r="BA400" s="2">
        <v>0</v>
      </c>
      <c r="BB400" s="2">
        <v>0</v>
      </c>
      <c r="BC400" s="2" t="s">
        <v>32</v>
      </c>
      <c r="BD400" s="2">
        <v>0</v>
      </c>
      <c r="BE400" s="2" t="s">
        <v>32</v>
      </c>
      <c r="BF400" s="2">
        <v>0</v>
      </c>
      <c r="BG400" s="2" t="s">
        <v>32</v>
      </c>
      <c r="BH400" s="2">
        <v>0</v>
      </c>
      <c r="BI400" s="2" t="s">
        <v>32</v>
      </c>
      <c r="BJ400" s="2" t="s">
        <v>32</v>
      </c>
      <c r="BK400" s="2" t="s">
        <v>32</v>
      </c>
      <c r="BL400" s="2">
        <v>0</v>
      </c>
      <c r="BM400" s="2" t="s">
        <v>32</v>
      </c>
      <c r="BN400" s="2" t="s">
        <v>32</v>
      </c>
      <c r="BO400" s="2" t="s">
        <v>32</v>
      </c>
      <c r="BP400" s="2">
        <v>0</v>
      </c>
      <c r="BQ400" s="2" t="s">
        <v>32</v>
      </c>
      <c r="BR400" s="2">
        <v>0</v>
      </c>
      <c r="BS400" s="2" t="s">
        <v>1660</v>
      </c>
      <c r="BT400" s="2">
        <v>0</v>
      </c>
      <c r="BU400" s="2">
        <v>0</v>
      </c>
      <c r="BV400" s="2" t="s">
        <v>1660</v>
      </c>
      <c r="BW400" s="2"/>
      <c r="BX400" s="2"/>
      <c r="BY400" s="2" t="s">
        <v>1807</v>
      </c>
      <c r="BZ400" s="2" t="b">
        <f>OR( (Dashboard[[#This Row],[ref_as_hh]]&gt;=1),(Dashboard[[#This Row],[ret_as_hh]] &gt;=1), (Dashboard[[#This Row],[idp_as_hh]]&gt;=1))</f>
        <v>1</v>
      </c>
      <c r="CA400" s="2">
        <f>Dashboard[[#This Row],[ret_hi_hh]]</f>
        <v>0</v>
      </c>
      <c r="CB400" s="2">
        <f>Dashboard[[#This Row],[idp_fa_hh]]+Dashboard[[#This Row],[ref_fa_hh]]+Dashboard[[#This Row],[ret_fa_hh]]</f>
        <v>0</v>
      </c>
      <c r="CC400" s="2">
        <f>Dashboard[[#This Row],[idp_loc_hh]]+Dashboard[[#This Row],[ref_loc_hh]]+Dashboard[[#This Row],[ret_loc_hh]]</f>
        <v>0</v>
      </c>
      <c r="CD400" s="2">
        <f>Dashboard[[#This Row],[idp_cc_hh]]+Dashboard[[#This Row],[ref_cc_hh]]+Dashboard[[#This Row],[ret_cc_hh]]</f>
        <v>0</v>
      </c>
      <c r="CE400" s="2">
        <f>Dashboard[[#This Row],[idp_as_hh]]+Dashboard[[#This Row],[ref_as_hh]]+Dashboard[[#This Row],[ret_as_hh]]</f>
        <v>88</v>
      </c>
      <c r="CF400" s="2">
        <f>Dashboard[[#This Row],[idp_al_hh]]+Dashboard[[#This Row],[ref_al_hh]]+Dashboard[[#This Row],[ret_al_hh]]</f>
        <v>0</v>
      </c>
    </row>
    <row r="401" spans="1:84" hidden="1" x14ac:dyDescent="0.25">
      <c r="A401" s="27">
        <v>155</v>
      </c>
      <c r="B401" s="2" t="s">
        <v>22</v>
      </c>
      <c r="C401" s="2" t="s">
        <v>23</v>
      </c>
      <c r="D401" s="2" t="s">
        <v>85</v>
      </c>
      <c r="E401" s="2" t="s">
        <v>84</v>
      </c>
      <c r="F401" s="2" t="s">
        <v>98</v>
      </c>
      <c r="G401" s="2" t="s">
        <v>97</v>
      </c>
      <c r="H401" s="2" t="s">
        <v>1130</v>
      </c>
      <c r="I401" s="2" t="s">
        <v>1129</v>
      </c>
      <c r="J401" s="2" t="s">
        <v>2756</v>
      </c>
      <c r="K401" s="2" t="s">
        <v>2757</v>
      </c>
      <c r="L401" s="2" t="s">
        <v>2074</v>
      </c>
      <c r="M401" s="2">
        <v>300</v>
      </c>
      <c r="N401" s="2" t="s">
        <v>1658</v>
      </c>
      <c r="O401" s="2">
        <v>10</v>
      </c>
      <c r="P401" s="2">
        <v>85</v>
      </c>
      <c r="Q401" s="2" t="s">
        <v>1658</v>
      </c>
      <c r="R401" s="2">
        <v>10</v>
      </c>
      <c r="S401" s="2" t="s">
        <v>1660</v>
      </c>
      <c r="T401" s="2">
        <v>0</v>
      </c>
      <c r="U401" s="2" t="s">
        <v>32</v>
      </c>
      <c r="V401" s="2" t="s">
        <v>32</v>
      </c>
      <c r="W401" s="2" t="s">
        <v>1660</v>
      </c>
      <c r="X401" s="2">
        <v>0</v>
      </c>
      <c r="Y401" s="2" t="s">
        <v>32</v>
      </c>
      <c r="Z401" s="2" t="s">
        <v>32</v>
      </c>
      <c r="AA401" s="2" t="s">
        <v>1660</v>
      </c>
      <c r="AB401" s="2">
        <v>0</v>
      </c>
      <c r="AC401" s="2" t="s">
        <v>1660</v>
      </c>
      <c r="AD401" s="2">
        <v>0</v>
      </c>
      <c r="AE401" s="2" t="s">
        <v>1660</v>
      </c>
      <c r="AF401" s="2">
        <v>0</v>
      </c>
      <c r="AG401" s="2">
        <v>0</v>
      </c>
      <c r="AH401" s="2" t="s">
        <v>32</v>
      </c>
      <c r="AI401" s="2" t="s">
        <v>32</v>
      </c>
      <c r="AJ401" s="2" t="s">
        <v>32</v>
      </c>
      <c r="AK401" s="2" t="s">
        <v>32</v>
      </c>
      <c r="AL401" s="2" t="s">
        <v>32</v>
      </c>
      <c r="AM401" s="2">
        <v>0</v>
      </c>
      <c r="AN401" s="2" t="s">
        <v>32</v>
      </c>
      <c r="AO401" s="2">
        <v>0</v>
      </c>
      <c r="AP401" s="2" t="s">
        <v>32</v>
      </c>
      <c r="AQ401" s="2" t="s">
        <v>32</v>
      </c>
      <c r="AR401" s="2" t="s">
        <v>32</v>
      </c>
      <c r="AS401" s="2">
        <v>0</v>
      </c>
      <c r="AT401" s="2" t="s">
        <v>32</v>
      </c>
      <c r="AU401" s="2" t="s">
        <v>32</v>
      </c>
      <c r="AV401" s="2" t="s">
        <v>32</v>
      </c>
      <c r="AW401" s="2">
        <v>0</v>
      </c>
      <c r="AX401" s="2" t="s">
        <v>32</v>
      </c>
      <c r="AY401" s="2">
        <v>0</v>
      </c>
      <c r="AZ401" s="2" t="s">
        <v>1660</v>
      </c>
      <c r="BA401" s="2">
        <v>0</v>
      </c>
      <c r="BB401" s="2">
        <v>0</v>
      </c>
      <c r="BC401" s="2" t="s">
        <v>32</v>
      </c>
      <c r="BD401" s="2">
        <v>0</v>
      </c>
      <c r="BE401" s="2" t="s">
        <v>32</v>
      </c>
      <c r="BF401" s="2">
        <v>0</v>
      </c>
      <c r="BG401" s="2" t="s">
        <v>32</v>
      </c>
      <c r="BH401" s="2">
        <v>0</v>
      </c>
      <c r="BI401" s="2" t="s">
        <v>32</v>
      </c>
      <c r="BJ401" s="2" t="s">
        <v>32</v>
      </c>
      <c r="BK401" s="2" t="s">
        <v>32</v>
      </c>
      <c r="BL401" s="2">
        <v>0</v>
      </c>
      <c r="BM401" s="2" t="s">
        <v>32</v>
      </c>
      <c r="BN401" s="2" t="s">
        <v>32</v>
      </c>
      <c r="BO401" s="2" t="s">
        <v>32</v>
      </c>
      <c r="BP401" s="2">
        <v>0</v>
      </c>
      <c r="BQ401" s="2" t="s">
        <v>32</v>
      </c>
      <c r="BR401" s="2">
        <v>0</v>
      </c>
      <c r="BS401" s="2" t="s">
        <v>1660</v>
      </c>
      <c r="BT401" s="2">
        <v>0</v>
      </c>
      <c r="BU401" s="2">
        <v>0</v>
      </c>
      <c r="BV401" s="2" t="s">
        <v>1660</v>
      </c>
      <c r="BW401" s="2"/>
      <c r="BX401" s="2"/>
      <c r="BY401" s="2" t="s">
        <v>1807</v>
      </c>
      <c r="BZ401" s="2" t="b">
        <f>OR( (Dashboard[[#This Row],[ref_as_hh]]&gt;=1),(Dashboard[[#This Row],[ret_as_hh]] &gt;=1), (Dashboard[[#This Row],[idp_as_hh]]&gt;=1))</f>
        <v>0</v>
      </c>
      <c r="CA401" s="2">
        <f>Dashboard[[#This Row],[ret_hi_hh]]</f>
        <v>0</v>
      </c>
      <c r="CB401" s="2">
        <f>Dashboard[[#This Row],[idp_fa_hh]]+Dashboard[[#This Row],[ref_fa_hh]]+Dashboard[[#This Row],[ret_fa_hh]]</f>
        <v>10</v>
      </c>
      <c r="CC401" s="2">
        <f>Dashboard[[#This Row],[idp_loc_hh]]+Dashboard[[#This Row],[ref_loc_hh]]+Dashboard[[#This Row],[ret_loc_hh]]</f>
        <v>0</v>
      </c>
      <c r="CD401" s="2">
        <f>Dashboard[[#This Row],[idp_cc_hh]]+Dashboard[[#This Row],[ref_cc_hh]]+Dashboard[[#This Row],[ret_cc_hh]]</f>
        <v>0</v>
      </c>
      <c r="CE401" s="2">
        <f>Dashboard[[#This Row],[idp_as_hh]]+Dashboard[[#This Row],[ref_as_hh]]+Dashboard[[#This Row],[ret_as_hh]]</f>
        <v>0</v>
      </c>
      <c r="CF401" s="2">
        <f>Dashboard[[#This Row],[idp_al_hh]]+Dashboard[[#This Row],[ref_al_hh]]+Dashboard[[#This Row],[ret_al_hh]]</f>
        <v>0</v>
      </c>
    </row>
    <row r="402" spans="1:84" hidden="1" x14ac:dyDescent="0.25">
      <c r="A402" s="27">
        <v>411</v>
      </c>
      <c r="B402" s="2" t="s">
        <v>22</v>
      </c>
      <c r="C402" s="2" t="s">
        <v>23</v>
      </c>
      <c r="D402" s="2" t="s">
        <v>85</v>
      </c>
      <c r="E402" s="2" t="s">
        <v>84</v>
      </c>
      <c r="F402" s="2" t="s">
        <v>98</v>
      </c>
      <c r="G402" s="2" t="s">
        <v>97</v>
      </c>
      <c r="H402" s="2" t="s">
        <v>1141</v>
      </c>
      <c r="I402" s="2" t="s">
        <v>383</v>
      </c>
      <c r="J402" s="2" t="s">
        <v>2778</v>
      </c>
      <c r="K402" s="2" t="s">
        <v>2779</v>
      </c>
      <c r="L402" s="2" t="s">
        <v>3693</v>
      </c>
      <c r="M402" s="2">
        <v>1036</v>
      </c>
      <c r="N402" s="2" t="s">
        <v>1658</v>
      </c>
      <c r="O402" s="2">
        <v>12</v>
      </c>
      <c r="P402" s="2">
        <v>56</v>
      </c>
      <c r="Q402" s="2" t="s">
        <v>1658</v>
      </c>
      <c r="R402" s="2">
        <v>12</v>
      </c>
      <c r="S402" s="2" t="s">
        <v>1660</v>
      </c>
      <c r="T402" s="2">
        <v>0</v>
      </c>
      <c r="U402" s="2" t="s">
        <v>32</v>
      </c>
      <c r="V402" s="2" t="s">
        <v>32</v>
      </c>
      <c r="W402" s="2" t="s">
        <v>1660</v>
      </c>
      <c r="X402" s="2">
        <v>0</v>
      </c>
      <c r="Y402" s="2" t="s">
        <v>32</v>
      </c>
      <c r="Z402" s="2" t="s">
        <v>32</v>
      </c>
      <c r="AA402" s="2" t="s">
        <v>1660</v>
      </c>
      <c r="AB402" s="2">
        <v>0</v>
      </c>
      <c r="AC402" s="2" t="s">
        <v>1660</v>
      </c>
      <c r="AD402" s="2">
        <v>0</v>
      </c>
      <c r="AE402" s="2" t="s">
        <v>1660</v>
      </c>
      <c r="AF402" s="2">
        <v>0</v>
      </c>
      <c r="AG402" s="2">
        <v>0</v>
      </c>
      <c r="AH402" s="2" t="s">
        <v>32</v>
      </c>
      <c r="AI402" s="2" t="s">
        <v>32</v>
      </c>
      <c r="AJ402" s="2" t="s">
        <v>32</v>
      </c>
      <c r="AK402" s="2" t="s">
        <v>32</v>
      </c>
      <c r="AL402" s="2" t="s">
        <v>32</v>
      </c>
      <c r="AM402" s="2">
        <v>0</v>
      </c>
      <c r="AN402" s="2" t="s">
        <v>32</v>
      </c>
      <c r="AO402" s="2">
        <v>0</v>
      </c>
      <c r="AP402" s="2" t="s">
        <v>32</v>
      </c>
      <c r="AQ402" s="2" t="s">
        <v>32</v>
      </c>
      <c r="AR402" s="2" t="s">
        <v>32</v>
      </c>
      <c r="AS402" s="2">
        <v>0</v>
      </c>
      <c r="AT402" s="2" t="s">
        <v>32</v>
      </c>
      <c r="AU402" s="2" t="s">
        <v>32</v>
      </c>
      <c r="AV402" s="2" t="s">
        <v>32</v>
      </c>
      <c r="AW402" s="2">
        <v>0</v>
      </c>
      <c r="AX402" s="2" t="s">
        <v>32</v>
      </c>
      <c r="AY402" s="2">
        <v>0</v>
      </c>
      <c r="AZ402" s="2" t="s">
        <v>1658</v>
      </c>
      <c r="BA402" s="2">
        <v>6</v>
      </c>
      <c r="BB402" s="2">
        <v>30</v>
      </c>
      <c r="BC402" s="2" t="s">
        <v>1660</v>
      </c>
      <c r="BD402" s="2">
        <v>0</v>
      </c>
      <c r="BE402" s="2" t="s">
        <v>1658</v>
      </c>
      <c r="BF402" s="2">
        <v>6</v>
      </c>
      <c r="BG402" s="2" t="s">
        <v>1660</v>
      </c>
      <c r="BH402" s="2">
        <v>0</v>
      </c>
      <c r="BI402" s="2" t="s">
        <v>32</v>
      </c>
      <c r="BJ402" s="2" t="s">
        <v>32</v>
      </c>
      <c r="BK402" s="2" t="s">
        <v>1660</v>
      </c>
      <c r="BL402" s="2">
        <v>0</v>
      </c>
      <c r="BM402" s="2" t="s">
        <v>32</v>
      </c>
      <c r="BN402" s="2" t="s">
        <v>32</v>
      </c>
      <c r="BO402" s="2" t="s">
        <v>1660</v>
      </c>
      <c r="BP402" s="2">
        <v>0</v>
      </c>
      <c r="BQ402" s="2" t="s">
        <v>1660</v>
      </c>
      <c r="BR402" s="2">
        <v>0</v>
      </c>
      <c r="BS402" s="2" t="s">
        <v>1660</v>
      </c>
      <c r="BT402" s="2">
        <v>0</v>
      </c>
      <c r="BU402" s="2">
        <v>0</v>
      </c>
      <c r="BV402" s="2" t="s">
        <v>1660</v>
      </c>
      <c r="BW402" s="2"/>
      <c r="BX402" s="2"/>
      <c r="BY402" s="2" t="s">
        <v>1807</v>
      </c>
      <c r="BZ402" s="2" t="b">
        <f>OR( (Dashboard[[#This Row],[ref_as_hh]]&gt;=1),(Dashboard[[#This Row],[ret_as_hh]] &gt;=1), (Dashboard[[#This Row],[idp_as_hh]]&gt;=1))</f>
        <v>0</v>
      </c>
      <c r="CA402" s="2">
        <f>Dashboard[[#This Row],[ret_hi_hh]]</f>
        <v>0</v>
      </c>
      <c r="CB402" s="2">
        <f>Dashboard[[#This Row],[idp_fa_hh]]+Dashboard[[#This Row],[ref_fa_hh]]+Dashboard[[#This Row],[ret_fa_hh]]</f>
        <v>18</v>
      </c>
      <c r="CC402" s="2">
        <f>Dashboard[[#This Row],[idp_loc_hh]]+Dashboard[[#This Row],[ref_loc_hh]]+Dashboard[[#This Row],[ret_loc_hh]]</f>
        <v>0</v>
      </c>
      <c r="CD402" s="2">
        <f>Dashboard[[#This Row],[idp_cc_hh]]+Dashboard[[#This Row],[ref_cc_hh]]+Dashboard[[#This Row],[ret_cc_hh]]</f>
        <v>0</v>
      </c>
      <c r="CE402" s="2">
        <f>Dashboard[[#This Row],[idp_as_hh]]+Dashboard[[#This Row],[ref_as_hh]]+Dashboard[[#This Row],[ret_as_hh]]</f>
        <v>0</v>
      </c>
      <c r="CF402" s="2">
        <f>Dashboard[[#This Row],[idp_al_hh]]+Dashboard[[#This Row],[ref_al_hh]]+Dashboard[[#This Row],[ret_al_hh]]</f>
        <v>0</v>
      </c>
    </row>
    <row r="403" spans="1:84" hidden="1" x14ac:dyDescent="0.25">
      <c r="A403" s="27">
        <v>412</v>
      </c>
      <c r="B403" s="2" t="s">
        <v>22</v>
      </c>
      <c r="C403" s="2" t="s">
        <v>23</v>
      </c>
      <c r="D403" s="2" t="s">
        <v>85</v>
      </c>
      <c r="E403" s="2" t="s">
        <v>84</v>
      </c>
      <c r="F403" s="2" t="s">
        <v>98</v>
      </c>
      <c r="G403" s="2" t="s">
        <v>97</v>
      </c>
      <c r="H403" s="2" t="s">
        <v>1209</v>
      </c>
      <c r="I403" s="2" t="s">
        <v>411</v>
      </c>
      <c r="J403" s="2" t="s">
        <v>2936</v>
      </c>
      <c r="K403" s="2" t="s">
        <v>2937</v>
      </c>
      <c r="L403" s="2" t="s">
        <v>2074</v>
      </c>
      <c r="M403" s="2">
        <v>820</v>
      </c>
      <c r="N403" s="2" t="s">
        <v>1658</v>
      </c>
      <c r="O403" s="2">
        <v>3</v>
      </c>
      <c r="P403" s="2">
        <v>20</v>
      </c>
      <c r="Q403" s="2" t="s">
        <v>1658</v>
      </c>
      <c r="R403" s="2">
        <v>3</v>
      </c>
      <c r="S403" s="2" t="s">
        <v>1660</v>
      </c>
      <c r="T403" s="2">
        <v>0</v>
      </c>
      <c r="U403" s="2" t="s">
        <v>32</v>
      </c>
      <c r="V403" s="2" t="s">
        <v>32</v>
      </c>
      <c r="W403" s="2" t="s">
        <v>1660</v>
      </c>
      <c r="X403" s="2">
        <v>0</v>
      </c>
      <c r="Y403" s="2" t="s">
        <v>32</v>
      </c>
      <c r="Z403" s="2" t="s">
        <v>32</v>
      </c>
      <c r="AA403" s="2" t="s">
        <v>1660</v>
      </c>
      <c r="AB403" s="2">
        <v>0</v>
      </c>
      <c r="AC403" s="2" t="s">
        <v>1660</v>
      </c>
      <c r="AD403" s="2">
        <v>0</v>
      </c>
      <c r="AE403" s="2" t="s">
        <v>1660</v>
      </c>
      <c r="AF403" s="2">
        <v>0</v>
      </c>
      <c r="AG403" s="2">
        <v>0</v>
      </c>
      <c r="AH403" s="2" t="s">
        <v>32</v>
      </c>
      <c r="AI403" s="2" t="s">
        <v>32</v>
      </c>
      <c r="AJ403" s="2" t="s">
        <v>32</v>
      </c>
      <c r="AK403" s="2" t="s">
        <v>32</v>
      </c>
      <c r="AL403" s="2" t="s">
        <v>32</v>
      </c>
      <c r="AM403" s="2">
        <v>0</v>
      </c>
      <c r="AN403" s="2" t="s">
        <v>32</v>
      </c>
      <c r="AO403" s="2">
        <v>0</v>
      </c>
      <c r="AP403" s="2" t="s">
        <v>32</v>
      </c>
      <c r="AQ403" s="2" t="s">
        <v>32</v>
      </c>
      <c r="AR403" s="2" t="s">
        <v>32</v>
      </c>
      <c r="AS403" s="2">
        <v>0</v>
      </c>
      <c r="AT403" s="2" t="s">
        <v>32</v>
      </c>
      <c r="AU403" s="2" t="s">
        <v>32</v>
      </c>
      <c r="AV403" s="2" t="s">
        <v>32</v>
      </c>
      <c r="AW403" s="2">
        <v>0</v>
      </c>
      <c r="AX403" s="2" t="s">
        <v>32</v>
      </c>
      <c r="AY403" s="2">
        <v>0</v>
      </c>
      <c r="AZ403" s="2" t="s">
        <v>1660</v>
      </c>
      <c r="BA403" s="2">
        <v>0</v>
      </c>
      <c r="BB403" s="2">
        <v>0</v>
      </c>
      <c r="BC403" s="2" t="s">
        <v>32</v>
      </c>
      <c r="BD403" s="2">
        <v>0</v>
      </c>
      <c r="BE403" s="2" t="s">
        <v>32</v>
      </c>
      <c r="BF403" s="2">
        <v>0</v>
      </c>
      <c r="BG403" s="2" t="s">
        <v>32</v>
      </c>
      <c r="BH403" s="2">
        <v>0</v>
      </c>
      <c r="BI403" s="2" t="s">
        <v>32</v>
      </c>
      <c r="BJ403" s="2" t="s">
        <v>32</v>
      </c>
      <c r="BK403" s="2" t="s">
        <v>32</v>
      </c>
      <c r="BL403" s="2">
        <v>0</v>
      </c>
      <c r="BM403" s="2" t="s">
        <v>32</v>
      </c>
      <c r="BN403" s="2" t="s">
        <v>32</v>
      </c>
      <c r="BO403" s="2" t="s">
        <v>32</v>
      </c>
      <c r="BP403" s="2">
        <v>0</v>
      </c>
      <c r="BQ403" s="2" t="s">
        <v>32</v>
      </c>
      <c r="BR403" s="2">
        <v>0</v>
      </c>
      <c r="BS403" s="2" t="s">
        <v>1660</v>
      </c>
      <c r="BT403" s="2">
        <v>0</v>
      </c>
      <c r="BU403" s="2">
        <v>0</v>
      </c>
      <c r="BV403" s="2" t="s">
        <v>1660</v>
      </c>
      <c r="BW403" s="2"/>
      <c r="BX403" s="2"/>
      <c r="BY403" s="2" t="s">
        <v>1807</v>
      </c>
      <c r="BZ403" s="2" t="b">
        <f>OR( (Dashboard[[#This Row],[ref_as_hh]]&gt;=1),(Dashboard[[#This Row],[ret_as_hh]] &gt;=1), (Dashboard[[#This Row],[idp_as_hh]]&gt;=1))</f>
        <v>0</v>
      </c>
      <c r="CA403" s="2">
        <f>Dashboard[[#This Row],[ret_hi_hh]]</f>
        <v>0</v>
      </c>
      <c r="CB403" s="2">
        <f>Dashboard[[#This Row],[idp_fa_hh]]+Dashboard[[#This Row],[ref_fa_hh]]+Dashboard[[#This Row],[ret_fa_hh]]</f>
        <v>3</v>
      </c>
      <c r="CC403" s="2">
        <f>Dashboard[[#This Row],[idp_loc_hh]]+Dashboard[[#This Row],[ref_loc_hh]]+Dashboard[[#This Row],[ret_loc_hh]]</f>
        <v>0</v>
      </c>
      <c r="CD403" s="2">
        <f>Dashboard[[#This Row],[idp_cc_hh]]+Dashboard[[#This Row],[ref_cc_hh]]+Dashboard[[#This Row],[ret_cc_hh]]</f>
        <v>0</v>
      </c>
      <c r="CE403" s="2">
        <f>Dashboard[[#This Row],[idp_as_hh]]+Dashboard[[#This Row],[ref_as_hh]]+Dashboard[[#This Row],[ret_as_hh]]</f>
        <v>0</v>
      </c>
      <c r="CF403" s="2">
        <f>Dashboard[[#This Row],[idp_al_hh]]+Dashboard[[#This Row],[ref_al_hh]]+Dashboard[[#This Row],[ret_al_hh]]</f>
        <v>0</v>
      </c>
    </row>
    <row r="404" spans="1:84" hidden="1" x14ac:dyDescent="0.25">
      <c r="A404" s="27">
        <v>413</v>
      </c>
      <c r="B404" s="2" t="s">
        <v>22</v>
      </c>
      <c r="C404" s="2" t="s">
        <v>23</v>
      </c>
      <c r="D404" s="2" t="s">
        <v>85</v>
      </c>
      <c r="E404" s="2" t="s">
        <v>84</v>
      </c>
      <c r="F404" s="2" t="s">
        <v>98</v>
      </c>
      <c r="G404" s="2" t="s">
        <v>97</v>
      </c>
      <c r="H404" s="2" t="s">
        <v>1196</v>
      </c>
      <c r="I404" s="2" t="s">
        <v>1195</v>
      </c>
      <c r="J404" s="2" t="s">
        <v>2896</v>
      </c>
      <c r="K404" s="2" t="s">
        <v>2897</v>
      </c>
      <c r="L404" s="2" t="s">
        <v>2074</v>
      </c>
      <c r="M404" s="2">
        <v>700</v>
      </c>
      <c r="N404" s="2" t="s">
        <v>1658</v>
      </c>
      <c r="O404" s="2">
        <v>9</v>
      </c>
      <c r="P404" s="2">
        <v>27</v>
      </c>
      <c r="Q404" s="2" t="s">
        <v>1658</v>
      </c>
      <c r="R404" s="2">
        <v>9</v>
      </c>
      <c r="S404" s="2" t="s">
        <v>1660</v>
      </c>
      <c r="T404" s="2">
        <v>0</v>
      </c>
      <c r="U404" s="2" t="s">
        <v>32</v>
      </c>
      <c r="V404" s="2" t="s">
        <v>32</v>
      </c>
      <c r="W404" s="2" t="s">
        <v>1660</v>
      </c>
      <c r="X404" s="2">
        <v>0</v>
      </c>
      <c r="Y404" s="2" t="s">
        <v>32</v>
      </c>
      <c r="Z404" s="2" t="s">
        <v>32</v>
      </c>
      <c r="AA404" s="2" t="s">
        <v>1660</v>
      </c>
      <c r="AB404" s="2">
        <v>0</v>
      </c>
      <c r="AC404" s="2" t="s">
        <v>1660</v>
      </c>
      <c r="AD404" s="2">
        <v>0</v>
      </c>
      <c r="AE404" s="2" t="s">
        <v>1660</v>
      </c>
      <c r="AF404" s="2">
        <v>0</v>
      </c>
      <c r="AG404" s="2">
        <v>0</v>
      </c>
      <c r="AH404" s="2" t="s">
        <v>32</v>
      </c>
      <c r="AI404" s="2" t="s">
        <v>32</v>
      </c>
      <c r="AJ404" s="2" t="s">
        <v>32</v>
      </c>
      <c r="AK404" s="2" t="s">
        <v>32</v>
      </c>
      <c r="AL404" s="2" t="s">
        <v>32</v>
      </c>
      <c r="AM404" s="2">
        <v>0</v>
      </c>
      <c r="AN404" s="2" t="s">
        <v>32</v>
      </c>
      <c r="AO404" s="2">
        <v>0</v>
      </c>
      <c r="AP404" s="2" t="s">
        <v>32</v>
      </c>
      <c r="AQ404" s="2" t="s">
        <v>32</v>
      </c>
      <c r="AR404" s="2" t="s">
        <v>32</v>
      </c>
      <c r="AS404" s="2">
        <v>0</v>
      </c>
      <c r="AT404" s="2" t="s">
        <v>32</v>
      </c>
      <c r="AU404" s="2" t="s">
        <v>32</v>
      </c>
      <c r="AV404" s="2" t="s">
        <v>32</v>
      </c>
      <c r="AW404" s="2">
        <v>0</v>
      </c>
      <c r="AX404" s="2" t="s">
        <v>32</v>
      </c>
      <c r="AY404" s="2">
        <v>0</v>
      </c>
      <c r="AZ404" s="2" t="s">
        <v>1660</v>
      </c>
      <c r="BA404" s="2">
        <v>0</v>
      </c>
      <c r="BB404" s="2">
        <v>0</v>
      </c>
      <c r="BC404" s="2" t="s">
        <v>32</v>
      </c>
      <c r="BD404" s="2">
        <v>0</v>
      </c>
      <c r="BE404" s="2" t="s">
        <v>32</v>
      </c>
      <c r="BF404" s="2">
        <v>0</v>
      </c>
      <c r="BG404" s="2" t="s">
        <v>32</v>
      </c>
      <c r="BH404" s="2">
        <v>0</v>
      </c>
      <c r="BI404" s="2" t="s">
        <v>32</v>
      </c>
      <c r="BJ404" s="2" t="s">
        <v>32</v>
      </c>
      <c r="BK404" s="2" t="s">
        <v>32</v>
      </c>
      <c r="BL404" s="2">
        <v>0</v>
      </c>
      <c r="BM404" s="2" t="s">
        <v>32</v>
      </c>
      <c r="BN404" s="2" t="s">
        <v>32</v>
      </c>
      <c r="BO404" s="2" t="s">
        <v>32</v>
      </c>
      <c r="BP404" s="2">
        <v>0</v>
      </c>
      <c r="BQ404" s="2" t="s">
        <v>32</v>
      </c>
      <c r="BR404" s="2">
        <v>0</v>
      </c>
      <c r="BS404" s="2" t="s">
        <v>1660</v>
      </c>
      <c r="BT404" s="2">
        <v>0</v>
      </c>
      <c r="BU404" s="2">
        <v>0</v>
      </c>
      <c r="BV404" s="2" t="s">
        <v>1660</v>
      </c>
      <c r="BW404" s="2"/>
      <c r="BX404" s="2"/>
      <c r="BY404" s="2" t="s">
        <v>1807</v>
      </c>
      <c r="BZ404" s="2" t="b">
        <f>OR( (Dashboard[[#This Row],[ref_as_hh]]&gt;=1),(Dashboard[[#This Row],[ret_as_hh]] &gt;=1), (Dashboard[[#This Row],[idp_as_hh]]&gt;=1))</f>
        <v>0</v>
      </c>
      <c r="CA404" s="2">
        <f>Dashboard[[#This Row],[ret_hi_hh]]</f>
        <v>0</v>
      </c>
      <c r="CB404" s="2">
        <f>Dashboard[[#This Row],[idp_fa_hh]]+Dashboard[[#This Row],[ref_fa_hh]]+Dashboard[[#This Row],[ret_fa_hh]]</f>
        <v>9</v>
      </c>
      <c r="CC404" s="2">
        <f>Dashboard[[#This Row],[idp_loc_hh]]+Dashboard[[#This Row],[ref_loc_hh]]+Dashboard[[#This Row],[ret_loc_hh]]</f>
        <v>0</v>
      </c>
      <c r="CD404" s="2">
        <f>Dashboard[[#This Row],[idp_cc_hh]]+Dashboard[[#This Row],[ref_cc_hh]]+Dashboard[[#This Row],[ret_cc_hh]]</f>
        <v>0</v>
      </c>
      <c r="CE404" s="2">
        <f>Dashboard[[#This Row],[idp_as_hh]]+Dashboard[[#This Row],[ref_as_hh]]+Dashboard[[#This Row],[ret_as_hh]]</f>
        <v>0</v>
      </c>
      <c r="CF404" s="2">
        <f>Dashboard[[#This Row],[idp_al_hh]]+Dashboard[[#This Row],[ref_al_hh]]+Dashboard[[#This Row],[ret_al_hh]]</f>
        <v>0</v>
      </c>
    </row>
    <row r="405" spans="1:84" hidden="1" x14ac:dyDescent="0.25">
      <c r="A405" s="27">
        <v>159</v>
      </c>
      <c r="B405" s="2" t="s">
        <v>22</v>
      </c>
      <c r="C405" s="2" t="s">
        <v>23</v>
      </c>
      <c r="D405" s="2" t="s">
        <v>85</v>
      </c>
      <c r="E405" s="2" t="s">
        <v>84</v>
      </c>
      <c r="F405" s="2" t="s">
        <v>98</v>
      </c>
      <c r="G405" s="2" t="s">
        <v>97</v>
      </c>
      <c r="H405" s="2" t="s">
        <v>1173</v>
      </c>
      <c r="I405" s="2" t="s">
        <v>394</v>
      </c>
      <c r="J405" s="2" t="s">
        <v>2848</v>
      </c>
      <c r="K405" s="2" t="s">
        <v>2849</v>
      </c>
      <c r="L405" s="2" t="s">
        <v>2074</v>
      </c>
      <c r="M405" s="2">
        <v>484</v>
      </c>
      <c r="N405" s="2" t="s">
        <v>1658</v>
      </c>
      <c r="O405" s="2">
        <v>9</v>
      </c>
      <c r="P405" s="2">
        <v>51</v>
      </c>
      <c r="Q405" s="2" t="s">
        <v>1658</v>
      </c>
      <c r="R405" s="2">
        <v>9</v>
      </c>
      <c r="S405" s="2" t="s">
        <v>1660</v>
      </c>
      <c r="T405" s="2">
        <v>0</v>
      </c>
      <c r="U405" s="2" t="s">
        <v>32</v>
      </c>
      <c r="V405" s="2" t="s">
        <v>32</v>
      </c>
      <c r="W405" s="2" t="s">
        <v>1660</v>
      </c>
      <c r="X405" s="2">
        <v>0</v>
      </c>
      <c r="Y405" s="2" t="s">
        <v>32</v>
      </c>
      <c r="Z405" s="2" t="s">
        <v>32</v>
      </c>
      <c r="AA405" s="2" t="s">
        <v>1660</v>
      </c>
      <c r="AB405" s="2">
        <v>0</v>
      </c>
      <c r="AC405" s="2" t="s">
        <v>1660</v>
      </c>
      <c r="AD405" s="2">
        <v>0</v>
      </c>
      <c r="AE405" s="2" t="s">
        <v>1660</v>
      </c>
      <c r="AF405" s="2">
        <v>0</v>
      </c>
      <c r="AG405" s="2">
        <v>0</v>
      </c>
      <c r="AH405" s="2" t="s">
        <v>32</v>
      </c>
      <c r="AI405" s="2" t="s">
        <v>32</v>
      </c>
      <c r="AJ405" s="2" t="s">
        <v>32</v>
      </c>
      <c r="AK405" s="2" t="s">
        <v>32</v>
      </c>
      <c r="AL405" s="2" t="s">
        <v>32</v>
      </c>
      <c r="AM405" s="2">
        <v>0</v>
      </c>
      <c r="AN405" s="2" t="s">
        <v>32</v>
      </c>
      <c r="AO405" s="2">
        <v>0</v>
      </c>
      <c r="AP405" s="2" t="s">
        <v>32</v>
      </c>
      <c r="AQ405" s="2" t="s">
        <v>32</v>
      </c>
      <c r="AR405" s="2" t="s">
        <v>32</v>
      </c>
      <c r="AS405" s="2">
        <v>0</v>
      </c>
      <c r="AT405" s="2" t="s">
        <v>32</v>
      </c>
      <c r="AU405" s="2" t="s">
        <v>32</v>
      </c>
      <c r="AV405" s="2" t="s">
        <v>32</v>
      </c>
      <c r="AW405" s="2">
        <v>0</v>
      </c>
      <c r="AX405" s="2" t="s">
        <v>32</v>
      </c>
      <c r="AY405" s="2">
        <v>0</v>
      </c>
      <c r="AZ405" s="2" t="s">
        <v>1660</v>
      </c>
      <c r="BA405" s="2">
        <v>0</v>
      </c>
      <c r="BB405" s="2">
        <v>0</v>
      </c>
      <c r="BC405" s="2" t="s">
        <v>32</v>
      </c>
      <c r="BD405" s="2">
        <v>0</v>
      </c>
      <c r="BE405" s="2" t="s">
        <v>32</v>
      </c>
      <c r="BF405" s="2">
        <v>0</v>
      </c>
      <c r="BG405" s="2" t="s">
        <v>32</v>
      </c>
      <c r="BH405" s="2">
        <v>0</v>
      </c>
      <c r="BI405" s="2" t="s">
        <v>32</v>
      </c>
      <c r="BJ405" s="2" t="s">
        <v>32</v>
      </c>
      <c r="BK405" s="2" t="s">
        <v>32</v>
      </c>
      <c r="BL405" s="2">
        <v>0</v>
      </c>
      <c r="BM405" s="2" t="s">
        <v>32</v>
      </c>
      <c r="BN405" s="2" t="s">
        <v>32</v>
      </c>
      <c r="BO405" s="2" t="s">
        <v>32</v>
      </c>
      <c r="BP405" s="2">
        <v>0</v>
      </c>
      <c r="BQ405" s="2" t="s">
        <v>32</v>
      </c>
      <c r="BR405" s="2">
        <v>0</v>
      </c>
      <c r="BS405" s="2" t="s">
        <v>1660</v>
      </c>
      <c r="BT405" s="2">
        <v>0</v>
      </c>
      <c r="BU405" s="2">
        <v>0</v>
      </c>
      <c r="BV405" s="2" t="s">
        <v>1660</v>
      </c>
      <c r="BW405" s="2"/>
      <c r="BX405" s="2"/>
      <c r="BY405" s="2" t="s">
        <v>1807</v>
      </c>
      <c r="BZ405" s="2" t="b">
        <f>OR( (Dashboard[[#This Row],[ref_as_hh]]&gt;=1),(Dashboard[[#This Row],[ret_as_hh]] &gt;=1), (Dashboard[[#This Row],[idp_as_hh]]&gt;=1))</f>
        <v>0</v>
      </c>
      <c r="CA405" s="2">
        <f>Dashboard[[#This Row],[ret_hi_hh]]</f>
        <v>0</v>
      </c>
      <c r="CB405" s="2">
        <f>Dashboard[[#This Row],[idp_fa_hh]]+Dashboard[[#This Row],[ref_fa_hh]]+Dashboard[[#This Row],[ret_fa_hh]]</f>
        <v>9</v>
      </c>
      <c r="CC405" s="2">
        <f>Dashboard[[#This Row],[idp_loc_hh]]+Dashboard[[#This Row],[ref_loc_hh]]+Dashboard[[#This Row],[ret_loc_hh]]</f>
        <v>0</v>
      </c>
      <c r="CD405" s="2">
        <f>Dashboard[[#This Row],[idp_cc_hh]]+Dashboard[[#This Row],[ref_cc_hh]]+Dashboard[[#This Row],[ret_cc_hh]]</f>
        <v>0</v>
      </c>
      <c r="CE405" s="2">
        <f>Dashboard[[#This Row],[idp_as_hh]]+Dashboard[[#This Row],[ref_as_hh]]+Dashboard[[#This Row],[ret_as_hh]]</f>
        <v>0</v>
      </c>
      <c r="CF405" s="2">
        <f>Dashboard[[#This Row],[idp_al_hh]]+Dashboard[[#This Row],[ref_al_hh]]+Dashboard[[#This Row],[ret_al_hh]]</f>
        <v>0</v>
      </c>
    </row>
    <row r="406" spans="1:84" x14ac:dyDescent="0.25">
      <c r="A406" s="27">
        <v>160</v>
      </c>
      <c r="B406" s="2" t="s">
        <v>22</v>
      </c>
      <c r="C406" s="2" t="s">
        <v>23</v>
      </c>
      <c r="D406" s="2" t="s">
        <v>85</v>
      </c>
      <c r="E406" s="2" t="s">
        <v>84</v>
      </c>
      <c r="F406" s="2" t="s">
        <v>98</v>
      </c>
      <c r="G406" s="2" t="s">
        <v>97</v>
      </c>
      <c r="H406" s="2" t="s">
        <v>1203</v>
      </c>
      <c r="I406" s="2" t="s">
        <v>818</v>
      </c>
      <c r="J406" s="2" t="s">
        <v>2916</v>
      </c>
      <c r="K406" s="2" t="s">
        <v>2917</v>
      </c>
      <c r="L406" s="2" t="s">
        <v>2074</v>
      </c>
      <c r="M406" s="2">
        <v>250</v>
      </c>
      <c r="N406" s="2" t="s">
        <v>1658</v>
      </c>
      <c r="O406" s="2">
        <v>4</v>
      </c>
      <c r="P406" s="2">
        <v>15</v>
      </c>
      <c r="Q406" s="2" t="s">
        <v>1658</v>
      </c>
      <c r="R406" s="2">
        <v>4</v>
      </c>
      <c r="S406" s="2" t="s">
        <v>1660</v>
      </c>
      <c r="T406" s="2">
        <v>0</v>
      </c>
      <c r="U406" s="2" t="s">
        <v>32</v>
      </c>
      <c r="V406" s="2" t="s">
        <v>32</v>
      </c>
      <c r="W406" s="2" t="s">
        <v>1660</v>
      </c>
      <c r="X406" s="2">
        <v>0</v>
      </c>
      <c r="Y406" s="2" t="s">
        <v>32</v>
      </c>
      <c r="Z406" s="2" t="s">
        <v>32</v>
      </c>
      <c r="AA406" s="2" t="s">
        <v>1660</v>
      </c>
      <c r="AB406" s="2">
        <v>0</v>
      </c>
      <c r="AC406" s="2" t="s">
        <v>1660</v>
      </c>
      <c r="AD406" s="2">
        <v>0</v>
      </c>
      <c r="AE406" s="2" t="s">
        <v>1658</v>
      </c>
      <c r="AF406" s="2">
        <v>30</v>
      </c>
      <c r="AG406" s="2">
        <v>150</v>
      </c>
      <c r="AH406" s="2" t="s">
        <v>1660</v>
      </c>
      <c r="AI406" s="2" t="s">
        <v>32</v>
      </c>
      <c r="AJ406" s="2" t="s">
        <v>32</v>
      </c>
      <c r="AK406" s="2" t="s">
        <v>32</v>
      </c>
      <c r="AL406" s="2" t="s">
        <v>1658</v>
      </c>
      <c r="AM406" s="2">
        <v>25</v>
      </c>
      <c r="AN406" s="2" t="s">
        <v>1660</v>
      </c>
      <c r="AO406" s="2">
        <v>0</v>
      </c>
      <c r="AP406" s="2" t="s">
        <v>32</v>
      </c>
      <c r="AQ406" s="2" t="s">
        <v>32</v>
      </c>
      <c r="AR406" s="2" t="s">
        <v>1660</v>
      </c>
      <c r="AS406" s="2">
        <v>0</v>
      </c>
      <c r="AT406" s="2" t="s">
        <v>32</v>
      </c>
      <c r="AU406" s="2" t="s">
        <v>32</v>
      </c>
      <c r="AV406" s="2" t="s">
        <v>1658</v>
      </c>
      <c r="AW406" s="2">
        <v>5</v>
      </c>
      <c r="AX406" s="2" t="s">
        <v>1660</v>
      </c>
      <c r="AY406" s="2">
        <v>0</v>
      </c>
      <c r="AZ406" s="2" t="s">
        <v>1658</v>
      </c>
      <c r="BA406" s="2">
        <v>15</v>
      </c>
      <c r="BB406" s="2">
        <v>80</v>
      </c>
      <c r="BC406" s="2" t="s">
        <v>1658</v>
      </c>
      <c r="BD406" s="2">
        <v>15</v>
      </c>
      <c r="BE406" s="2" t="s">
        <v>1660</v>
      </c>
      <c r="BF406" s="2">
        <v>0</v>
      </c>
      <c r="BG406" s="2" t="s">
        <v>1660</v>
      </c>
      <c r="BH406" s="2">
        <v>0</v>
      </c>
      <c r="BI406" s="2" t="s">
        <v>32</v>
      </c>
      <c r="BJ406" s="2" t="s">
        <v>32</v>
      </c>
      <c r="BK406" s="2" t="s">
        <v>1660</v>
      </c>
      <c r="BL406" s="2">
        <v>0</v>
      </c>
      <c r="BM406" s="2" t="s">
        <v>32</v>
      </c>
      <c r="BN406" s="2" t="s">
        <v>32</v>
      </c>
      <c r="BO406" s="2" t="s">
        <v>1660</v>
      </c>
      <c r="BP406" s="2">
        <v>0</v>
      </c>
      <c r="BQ406" s="2" t="s">
        <v>1660</v>
      </c>
      <c r="BR406" s="2">
        <v>0</v>
      </c>
      <c r="BS406" s="2" t="s">
        <v>1660</v>
      </c>
      <c r="BT406" s="2">
        <v>0</v>
      </c>
      <c r="BU406" s="2">
        <v>0</v>
      </c>
      <c r="BV406" s="2" t="s">
        <v>1660</v>
      </c>
      <c r="BW406" s="2"/>
      <c r="BX406" s="2"/>
      <c r="BY406" s="2" t="s">
        <v>1807</v>
      </c>
      <c r="BZ406" s="2" t="b">
        <f>OR( (Dashboard[[#This Row],[ref_as_hh]]&gt;=1),(Dashboard[[#This Row],[ret_as_hh]] &gt;=1), (Dashboard[[#This Row],[idp_as_hh]]&gt;=1))</f>
        <v>1</v>
      </c>
      <c r="CA406" s="2">
        <f>Dashboard[[#This Row],[ret_hi_hh]]</f>
        <v>15</v>
      </c>
      <c r="CB406" s="2">
        <f>Dashboard[[#This Row],[idp_fa_hh]]+Dashboard[[#This Row],[ref_fa_hh]]+Dashboard[[#This Row],[ret_fa_hh]]</f>
        <v>29</v>
      </c>
      <c r="CC406" s="2">
        <f>Dashboard[[#This Row],[idp_loc_hh]]+Dashboard[[#This Row],[ref_loc_hh]]+Dashboard[[#This Row],[ret_loc_hh]]</f>
        <v>0</v>
      </c>
      <c r="CD406" s="2">
        <f>Dashboard[[#This Row],[idp_cc_hh]]+Dashboard[[#This Row],[ref_cc_hh]]+Dashboard[[#This Row],[ret_cc_hh]]</f>
        <v>0</v>
      </c>
      <c r="CE406" s="2">
        <f>Dashboard[[#This Row],[idp_as_hh]]+Dashboard[[#This Row],[ref_as_hh]]+Dashboard[[#This Row],[ret_as_hh]]</f>
        <v>5</v>
      </c>
      <c r="CF406" s="2">
        <f>Dashboard[[#This Row],[idp_al_hh]]+Dashboard[[#This Row],[ref_al_hh]]+Dashboard[[#This Row],[ret_al_hh]]</f>
        <v>0</v>
      </c>
    </row>
    <row r="407" spans="1:84" hidden="1" x14ac:dyDescent="0.25">
      <c r="A407" s="27">
        <v>161</v>
      </c>
      <c r="B407" s="2" t="s">
        <v>22</v>
      </c>
      <c r="C407" s="2" t="s">
        <v>23</v>
      </c>
      <c r="D407" s="2" t="s">
        <v>85</v>
      </c>
      <c r="E407" s="2" t="s">
        <v>84</v>
      </c>
      <c r="F407" s="2" t="s">
        <v>98</v>
      </c>
      <c r="G407" s="2" t="s">
        <v>97</v>
      </c>
      <c r="H407" s="2" t="s">
        <v>1216</v>
      </c>
      <c r="I407" s="2" t="s">
        <v>828</v>
      </c>
      <c r="J407" s="2" t="s">
        <v>2952</v>
      </c>
      <c r="K407" s="2" t="s">
        <v>2953</v>
      </c>
      <c r="L407" s="2" t="s">
        <v>2074</v>
      </c>
      <c r="M407" s="2">
        <v>0</v>
      </c>
      <c r="N407" s="2" t="s">
        <v>1658</v>
      </c>
      <c r="O407" s="2">
        <v>0</v>
      </c>
      <c r="P407" s="2">
        <v>0</v>
      </c>
      <c r="Q407" s="2" t="s">
        <v>32</v>
      </c>
      <c r="R407" s="2">
        <v>0</v>
      </c>
      <c r="S407" s="2" t="s">
        <v>1660</v>
      </c>
      <c r="T407" s="2">
        <v>0</v>
      </c>
      <c r="U407" s="2" t="s">
        <v>32</v>
      </c>
      <c r="V407" s="2" t="s">
        <v>32</v>
      </c>
      <c r="W407" s="2" t="s">
        <v>1660</v>
      </c>
      <c r="X407" s="2">
        <v>0</v>
      </c>
      <c r="Y407" s="2" t="s">
        <v>32</v>
      </c>
      <c r="Z407" s="2" t="s">
        <v>32</v>
      </c>
      <c r="AA407" s="2" t="s">
        <v>1660</v>
      </c>
      <c r="AB407" s="2">
        <v>0</v>
      </c>
      <c r="AC407" s="2" t="s">
        <v>1660</v>
      </c>
      <c r="AD407" s="2">
        <v>0</v>
      </c>
      <c r="AE407" s="2" t="s">
        <v>1660</v>
      </c>
      <c r="AF407" s="2">
        <v>0</v>
      </c>
      <c r="AG407" s="2">
        <v>0</v>
      </c>
      <c r="AH407" s="2" t="s">
        <v>32</v>
      </c>
      <c r="AI407" s="2" t="s">
        <v>32</v>
      </c>
      <c r="AJ407" s="2" t="s">
        <v>32</v>
      </c>
      <c r="AK407" s="2" t="s">
        <v>32</v>
      </c>
      <c r="AL407" s="2" t="s">
        <v>32</v>
      </c>
      <c r="AM407" s="2">
        <v>0</v>
      </c>
      <c r="AN407" s="2" t="s">
        <v>32</v>
      </c>
      <c r="AO407" s="2">
        <v>0</v>
      </c>
      <c r="AP407" s="2" t="s">
        <v>32</v>
      </c>
      <c r="AQ407" s="2" t="s">
        <v>32</v>
      </c>
      <c r="AR407" s="2" t="s">
        <v>32</v>
      </c>
      <c r="AS407" s="2">
        <v>0</v>
      </c>
      <c r="AT407" s="2" t="s">
        <v>32</v>
      </c>
      <c r="AU407" s="2" t="s">
        <v>32</v>
      </c>
      <c r="AV407" s="2" t="s">
        <v>32</v>
      </c>
      <c r="AW407" s="2">
        <v>0</v>
      </c>
      <c r="AX407" s="2" t="s">
        <v>32</v>
      </c>
      <c r="AY407" s="2">
        <v>0</v>
      </c>
      <c r="AZ407" s="2" t="s">
        <v>1660</v>
      </c>
      <c r="BA407" s="2">
        <v>0</v>
      </c>
      <c r="BB407" s="2">
        <v>0</v>
      </c>
      <c r="BC407" s="2" t="s">
        <v>32</v>
      </c>
      <c r="BD407" s="2">
        <v>0</v>
      </c>
      <c r="BE407" s="2" t="s">
        <v>32</v>
      </c>
      <c r="BF407" s="2">
        <v>0</v>
      </c>
      <c r="BG407" s="2" t="s">
        <v>32</v>
      </c>
      <c r="BH407" s="2">
        <v>0</v>
      </c>
      <c r="BI407" s="2" t="s">
        <v>32</v>
      </c>
      <c r="BJ407" s="2" t="s">
        <v>32</v>
      </c>
      <c r="BK407" s="2" t="s">
        <v>32</v>
      </c>
      <c r="BL407" s="2">
        <v>0</v>
      </c>
      <c r="BM407" s="2" t="s">
        <v>32</v>
      </c>
      <c r="BN407" s="2" t="s">
        <v>32</v>
      </c>
      <c r="BO407" s="2" t="s">
        <v>32</v>
      </c>
      <c r="BP407" s="2">
        <v>0</v>
      </c>
      <c r="BQ407" s="2" t="s">
        <v>32</v>
      </c>
      <c r="BR407" s="2">
        <v>0</v>
      </c>
      <c r="BS407" s="2" t="s">
        <v>1660</v>
      </c>
      <c r="BT407" s="2">
        <v>0</v>
      </c>
      <c r="BU407" s="2">
        <v>0</v>
      </c>
      <c r="BV407" s="2" t="s">
        <v>1660</v>
      </c>
      <c r="BW407" s="2"/>
      <c r="BX407" s="2"/>
      <c r="BY407" s="2" t="s">
        <v>1807</v>
      </c>
      <c r="BZ407" s="2" t="b">
        <f>OR( (Dashboard[[#This Row],[ref_as_hh]]&gt;=1),(Dashboard[[#This Row],[ret_as_hh]] &gt;=1), (Dashboard[[#This Row],[idp_as_hh]]&gt;=1))</f>
        <v>0</v>
      </c>
      <c r="CA407" s="2">
        <f>Dashboard[[#This Row],[ret_hi_hh]]</f>
        <v>0</v>
      </c>
      <c r="CB407" s="2">
        <f>Dashboard[[#This Row],[idp_fa_hh]]+Dashboard[[#This Row],[ref_fa_hh]]+Dashboard[[#This Row],[ret_fa_hh]]</f>
        <v>0</v>
      </c>
      <c r="CC407" s="2">
        <f>Dashboard[[#This Row],[idp_loc_hh]]+Dashboard[[#This Row],[ref_loc_hh]]+Dashboard[[#This Row],[ret_loc_hh]]</f>
        <v>0</v>
      </c>
      <c r="CD407" s="2">
        <f>Dashboard[[#This Row],[idp_cc_hh]]+Dashboard[[#This Row],[ref_cc_hh]]+Dashboard[[#This Row],[ret_cc_hh]]</f>
        <v>0</v>
      </c>
      <c r="CE407" s="2">
        <f>Dashboard[[#This Row],[idp_as_hh]]+Dashboard[[#This Row],[ref_as_hh]]+Dashboard[[#This Row],[ret_as_hh]]</f>
        <v>0</v>
      </c>
      <c r="CF407" s="2">
        <f>Dashboard[[#This Row],[idp_al_hh]]+Dashboard[[#This Row],[ref_al_hh]]+Dashboard[[#This Row],[ret_al_hh]]</f>
        <v>0</v>
      </c>
    </row>
    <row r="408" spans="1:84" hidden="1" x14ac:dyDescent="0.25">
      <c r="A408" s="27">
        <v>162</v>
      </c>
      <c r="B408" s="2" t="s">
        <v>22</v>
      </c>
      <c r="C408" s="2" t="s">
        <v>23</v>
      </c>
      <c r="D408" s="2" t="s">
        <v>85</v>
      </c>
      <c r="E408" s="2" t="s">
        <v>84</v>
      </c>
      <c r="F408" s="2" t="s">
        <v>98</v>
      </c>
      <c r="G408" s="2" t="s">
        <v>97</v>
      </c>
      <c r="H408" s="2" t="s">
        <v>1235</v>
      </c>
      <c r="I408" s="2" t="s">
        <v>168</v>
      </c>
      <c r="J408" s="2" t="s">
        <v>3002</v>
      </c>
      <c r="K408" s="2" t="s">
        <v>3003</v>
      </c>
      <c r="L408" s="2" t="s">
        <v>2074</v>
      </c>
      <c r="M408" s="2">
        <v>1375</v>
      </c>
      <c r="N408" s="2" t="s">
        <v>1658</v>
      </c>
      <c r="O408" s="2">
        <v>8</v>
      </c>
      <c r="P408" s="2">
        <v>50</v>
      </c>
      <c r="Q408" s="2" t="s">
        <v>1658</v>
      </c>
      <c r="R408" s="2">
        <v>8</v>
      </c>
      <c r="S408" s="2" t="s">
        <v>1660</v>
      </c>
      <c r="T408" s="2">
        <v>0</v>
      </c>
      <c r="U408" s="2" t="s">
        <v>32</v>
      </c>
      <c r="V408" s="2" t="s">
        <v>32</v>
      </c>
      <c r="W408" s="2" t="s">
        <v>1660</v>
      </c>
      <c r="X408" s="2">
        <v>0</v>
      </c>
      <c r="Y408" s="2" t="s">
        <v>32</v>
      </c>
      <c r="Z408" s="2" t="s">
        <v>32</v>
      </c>
      <c r="AA408" s="2" t="s">
        <v>1660</v>
      </c>
      <c r="AB408" s="2">
        <v>0</v>
      </c>
      <c r="AC408" s="2" t="s">
        <v>1660</v>
      </c>
      <c r="AD408" s="2">
        <v>0</v>
      </c>
      <c r="AE408" s="2" t="s">
        <v>1658</v>
      </c>
      <c r="AF408" s="2">
        <v>12</v>
      </c>
      <c r="AG408" s="2">
        <v>70</v>
      </c>
      <c r="AH408" s="2" t="s">
        <v>1660</v>
      </c>
      <c r="AI408" s="2" t="s">
        <v>32</v>
      </c>
      <c r="AJ408" s="2" t="s">
        <v>32</v>
      </c>
      <c r="AK408" s="2" t="s">
        <v>32</v>
      </c>
      <c r="AL408" s="2" t="s">
        <v>1658</v>
      </c>
      <c r="AM408" s="2">
        <v>12</v>
      </c>
      <c r="AN408" s="2" t="s">
        <v>1660</v>
      </c>
      <c r="AO408" s="2">
        <v>0</v>
      </c>
      <c r="AP408" s="2" t="s">
        <v>32</v>
      </c>
      <c r="AQ408" s="2" t="s">
        <v>32</v>
      </c>
      <c r="AR408" s="2" t="s">
        <v>1660</v>
      </c>
      <c r="AS408" s="2">
        <v>0</v>
      </c>
      <c r="AT408" s="2" t="s">
        <v>32</v>
      </c>
      <c r="AU408" s="2" t="s">
        <v>32</v>
      </c>
      <c r="AV408" s="2" t="s">
        <v>1660</v>
      </c>
      <c r="AW408" s="2">
        <v>0</v>
      </c>
      <c r="AX408" s="2" t="s">
        <v>1660</v>
      </c>
      <c r="AY408" s="2">
        <v>0</v>
      </c>
      <c r="AZ408" s="2" t="s">
        <v>1658</v>
      </c>
      <c r="BA408" s="2">
        <v>11</v>
      </c>
      <c r="BB408" s="2">
        <v>50</v>
      </c>
      <c r="BC408" s="2" t="s">
        <v>1658</v>
      </c>
      <c r="BD408" s="2">
        <v>11</v>
      </c>
      <c r="BE408" s="2" t="s">
        <v>1660</v>
      </c>
      <c r="BF408" s="2">
        <v>0</v>
      </c>
      <c r="BG408" s="2" t="s">
        <v>1660</v>
      </c>
      <c r="BH408" s="2">
        <v>0</v>
      </c>
      <c r="BI408" s="2" t="s">
        <v>32</v>
      </c>
      <c r="BJ408" s="2" t="s">
        <v>32</v>
      </c>
      <c r="BK408" s="2" t="s">
        <v>1660</v>
      </c>
      <c r="BL408" s="2">
        <v>0</v>
      </c>
      <c r="BM408" s="2" t="s">
        <v>32</v>
      </c>
      <c r="BN408" s="2" t="s">
        <v>32</v>
      </c>
      <c r="BO408" s="2" t="s">
        <v>1660</v>
      </c>
      <c r="BP408" s="2">
        <v>0</v>
      </c>
      <c r="BQ408" s="2" t="s">
        <v>1660</v>
      </c>
      <c r="BR408" s="2">
        <v>0</v>
      </c>
      <c r="BS408" s="2" t="s">
        <v>1658</v>
      </c>
      <c r="BT408" s="2">
        <v>2</v>
      </c>
      <c r="BU408" s="2">
        <v>15</v>
      </c>
      <c r="BV408" s="2" t="s">
        <v>1660</v>
      </c>
      <c r="BW408" s="2"/>
      <c r="BX408" s="2"/>
      <c r="BY408" s="2" t="s">
        <v>1807</v>
      </c>
      <c r="BZ408" s="2" t="b">
        <f>OR( (Dashboard[[#This Row],[ref_as_hh]]&gt;=1),(Dashboard[[#This Row],[ret_as_hh]] &gt;=1), (Dashboard[[#This Row],[idp_as_hh]]&gt;=1))</f>
        <v>0</v>
      </c>
      <c r="CA408" s="2">
        <f>Dashboard[[#This Row],[ret_hi_hh]]</f>
        <v>11</v>
      </c>
      <c r="CB408" s="2">
        <f>Dashboard[[#This Row],[idp_fa_hh]]+Dashboard[[#This Row],[ref_fa_hh]]+Dashboard[[#This Row],[ret_fa_hh]]</f>
        <v>20</v>
      </c>
      <c r="CC408" s="2">
        <f>Dashboard[[#This Row],[idp_loc_hh]]+Dashboard[[#This Row],[ref_loc_hh]]+Dashboard[[#This Row],[ret_loc_hh]]</f>
        <v>0</v>
      </c>
      <c r="CD408" s="2">
        <f>Dashboard[[#This Row],[idp_cc_hh]]+Dashboard[[#This Row],[ref_cc_hh]]+Dashboard[[#This Row],[ret_cc_hh]]</f>
        <v>0</v>
      </c>
      <c r="CE408" s="2">
        <f>Dashboard[[#This Row],[idp_as_hh]]+Dashboard[[#This Row],[ref_as_hh]]+Dashboard[[#This Row],[ret_as_hh]]</f>
        <v>0</v>
      </c>
      <c r="CF408" s="2">
        <f>Dashboard[[#This Row],[idp_al_hh]]+Dashboard[[#This Row],[ref_al_hh]]+Dashboard[[#This Row],[ret_al_hh]]</f>
        <v>0</v>
      </c>
    </row>
    <row r="409" spans="1:84" hidden="1" x14ac:dyDescent="0.25">
      <c r="A409" s="27">
        <v>164</v>
      </c>
      <c r="B409" s="2" t="s">
        <v>22</v>
      </c>
      <c r="C409" s="2" t="s">
        <v>23</v>
      </c>
      <c r="D409" s="2" t="s">
        <v>85</v>
      </c>
      <c r="E409" s="2" t="s">
        <v>84</v>
      </c>
      <c r="F409" s="2" t="s">
        <v>98</v>
      </c>
      <c r="G409" s="2" t="s">
        <v>97</v>
      </c>
      <c r="H409" s="2" t="s">
        <v>1262</v>
      </c>
      <c r="I409" s="2" t="s">
        <v>169</v>
      </c>
      <c r="J409" s="2" t="s">
        <v>3050</v>
      </c>
      <c r="K409" s="2" t="s">
        <v>3051</v>
      </c>
      <c r="L409" s="2" t="s">
        <v>2074</v>
      </c>
      <c r="M409" s="2">
        <v>1415</v>
      </c>
      <c r="N409" s="2" t="s">
        <v>1658</v>
      </c>
      <c r="O409" s="2">
        <v>18</v>
      </c>
      <c r="P409" s="2">
        <v>87</v>
      </c>
      <c r="Q409" s="2" t="s">
        <v>1658</v>
      </c>
      <c r="R409" s="2">
        <v>18</v>
      </c>
      <c r="S409" s="2" t="s">
        <v>1660</v>
      </c>
      <c r="T409" s="2">
        <v>0</v>
      </c>
      <c r="U409" s="2" t="s">
        <v>32</v>
      </c>
      <c r="V409" s="2" t="s">
        <v>32</v>
      </c>
      <c r="W409" s="2" t="s">
        <v>1660</v>
      </c>
      <c r="X409" s="2">
        <v>0</v>
      </c>
      <c r="Y409" s="2" t="s">
        <v>32</v>
      </c>
      <c r="Z409" s="2" t="s">
        <v>32</v>
      </c>
      <c r="AA409" s="2" t="s">
        <v>1660</v>
      </c>
      <c r="AB409" s="2">
        <v>0</v>
      </c>
      <c r="AC409" s="2" t="s">
        <v>1660</v>
      </c>
      <c r="AD409" s="2">
        <v>0</v>
      </c>
      <c r="AE409" s="2" t="s">
        <v>1658</v>
      </c>
      <c r="AF409" s="2">
        <v>7</v>
      </c>
      <c r="AG409" s="2">
        <v>18</v>
      </c>
      <c r="AH409" s="2" t="s">
        <v>1660</v>
      </c>
      <c r="AI409" s="2" t="s">
        <v>32</v>
      </c>
      <c r="AJ409" s="2" t="s">
        <v>32</v>
      </c>
      <c r="AK409" s="2" t="s">
        <v>32</v>
      </c>
      <c r="AL409" s="2" t="s">
        <v>1658</v>
      </c>
      <c r="AM409" s="2">
        <v>7</v>
      </c>
      <c r="AN409" s="2" t="s">
        <v>1660</v>
      </c>
      <c r="AO409" s="2">
        <v>0</v>
      </c>
      <c r="AP409" s="2" t="s">
        <v>32</v>
      </c>
      <c r="AQ409" s="2" t="s">
        <v>32</v>
      </c>
      <c r="AR409" s="2" t="s">
        <v>1660</v>
      </c>
      <c r="AS409" s="2">
        <v>0</v>
      </c>
      <c r="AT409" s="2" t="s">
        <v>32</v>
      </c>
      <c r="AU409" s="2" t="s">
        <v>32</v>
      </c>
      <c r="AV409" s="2" t="s">
        <v>1660</v>
      </c>
      <c r="AW409" s="2">
        <v>0</v>
      </c>
      <c r="AX409" s="2" t="s">
        <v>1660</v>
      </c>
      <c r="AY409" s="2">
        <v>0</v>
      </c>
      <c r="AZ409" s="2" t="s">
        <v>1660</v>
      </c>
      <c r="BA409" s="2">
        <v>0</v>
      </c>
      <c r="BB409" s="2">
        <v>0</v>
      </c>
      <c r="BC409" s="2" t="s">
        <v>32</v>
      </c>
      <c r="BD409" s="2">
        <v>0</v>
      </c>
      <c r="BE409" s="2" t="s">
        <v>32</v>
      </c>
      <c r="BF409" s="2">
        <v>0</v>
      </c>
      <c r="BG409" s="2" t="s">
        <v>32</v>
      </c>
      <c r="BH409" s="2">
        <v>0</v>
      </c>
      <c r="BI409" s="2" t="s">
        <v>32</v>
      </c>
      <c r="BJ409" s="2" t="s">
        <v>32</v>
      </c>
      <c r="BK409" s="2" t="s">
        <v>32</v>
      </c>
      <c r="BL409" s="2">
        <v>0</v>
      </c>
      <c r="BM409" s="2" t="s">
        <v>32</v>
      </c>
      <c r="BN409" s="2" t="s">
        <v>32</v>
      </c>
      <c r="BO409" s="2" t="s">
        <v>32</v>
      </c>
      <c r="BP409" s="2">
        <v>0</v>
      </c>
      <c r="BQ409" s="2" t="s">
        <v>32</v>
      </c>
      <c r="BR409" s="2">
        <v>0</v>
      </c>
      <c r="BS409" s="2" t="s">
        <v>1660</v>
      </c>
      <c r="BT409" s="2">
        <v>0</v>
      </c>
      <c r="BU409" s="2">
        <v>0</v>
      </c>
      <c r="BV409" s="2" t="s">
        <v>1660</v>
      </c>
      <c r="BW409" s="2"/>
      <c r="BX409" s="2"/>
      <c r="BY409" s="2" t="s">
        <v>1807</v>
      </c>
      <c r="BZ409" s="2" t="b">
        <f>OR( (Dashboard[[#This Row],[ref_as_hh]]&gt;=1),(Dashboard[[#This Row],[ret_as_hh]] &gt;=1), (Dashboard[[#This Row],[idp_as_hh]]&gt;=1))</f>
        <v>0</v>
      </c>
      <c r="CA409" s="2">
        <f>Dashboard[[#This Row],[ret_hi_hh]]</f>
        <v>0</v>
      </c>
      <c r="CB409" s="2">
        <f>Dashboard[[#This Row],[idp_fa_hh]]+Dashboard[[#This Row],[ref_fa_hh]]+Dashboard[[#This Row],[ret_fa_hh]]</f>
        <v>25</v>
      </c>
      <c r="CC409" s="2">
        <f>Dashboard[[#This Row],[idp_loc_hh]]+Dashboard[[#This Row],[ref_loc_hh]]+Dashboard[[#This Row],[ret_loc_hh]]</f>
        <v>0</v>
      </c>
      <c r="CD409" s="2">
        <f>Dashboard[[#This Row],[idp_cc_hh]]+Dashboard[[#This Row],[ref_cc_hh]]+Dashboard[[#This Row],[ret_cc_hh]]</f>
        <v>0</v>
      </c>
      <c r="CE409" s="2">
        <f>Dashboard[[#This Row],[idp_as_hh]]+Dashboard[[#This Row],[ref_as_hh]]+Dashboard[[#This Row],[ret_as_hh]]</f>
        <v>0</v>
      </c>
      <c r="CF409" s="2">
        <f>Dashboard[[#This Row],[idp_al_hh]]+Dashboard[[#This Row],[ref_al_hh]]+Dashboard[[#This Row],[ret_al_hh]]</f>
        <v>0</v>
      </c>
    </row>
    <row r="410" spans="1:84" hidden="1" x14ac:dyDescent="0.25">
      <c r="A410" s="27">
        <v>165</v>
      </c>
      <c r="B410" s="2" t="s">
        <v>22</v>
      </c>
      <c r="C410" s="2" t="s">
        <v>23</v>
      </c>
      <c r="D410" s="2" t="s">
        <v>85</v>
      </c>
      <c r="E410" s="2" t="s">
        <v>84</v>
      </c>
      <c r="F410" s="2" t="s">
        <v>98</v>
      </c>
      <c r="G410" s="2" t="s">
        <v>97</v>
      </c>
      <c r="H410" s="2" t="s">
        <v>1261</v>
      </c>
      <c r="I410" s="2" t="s">
        <v>444</v>
      </c>
      <c r="J410" s="2" t="s">
        <v>3048</v>
      </c>
      <c r="K410" s="2" t="s">
        <v>3049</v>
      </c>
      <c r="L410" s="2" t="s">
        <v>2074</v>
      </c>
      <c r="M410" s="2">
        <v>1368</v>
      </c>
      <c r="N410" s="2" t="s">
        <v>1658</v>
      </c>
      <c r="O410" s="2">
        <v>6</v>
      </c>
      <c r="P410" s="2">
        <v>35</v>
      </c>
      <c r="Q410" s="2" t="s">
        <v>1658</v>
      </c>
      <c r="R410" s="2">
        <v>6</v>
      </c>
      <c r="S410" s="2" t="s">
        <v>1660</v>
      </c>
      <c r="T410" s="2">
        <v>0</v>
      </c>
      <c r="U410" s="2" t="s">
        <v>32</v>
      </c>
      <c r="V410" s="2" t="s">
        <v>32</v>
      </c>
      <c r="W410" s="2" t="s">
        <v>1660</v>
      </c>
      <c r="X410" s="2">
        <v>0</v>
      </c>
      <c r="Y410" s="2" t="s">
        <v>32</v>
      </c>
      <c r="Z410" s="2" t="s">
        <v>32</v>
      </c>
      <c r="AA410" s="2" t="s">
        <v>1660</v>
      </c>
      <c r="AB410" s="2">
        <v>0</v>
      </c>
      <c r="AC410" s="2" t="s">
        <v>1660</v>
      </c>
      <c r="AD410" s="2">
        <v>0</v>
      </c>
      <c r="AE410" s="2" t="s">
        <v>1658</v>
      </c>
      <c r="AF410" s="2">
        <v>7</v>
      </c>
      <c r="AG410" s="2">
        <v>33</v>
      </c>
      <c r="AH410" s="2" t="s">
        <v>1660</v>
      </c>
      <c r="AI410" s="2" t="s">
        <v>32</v>
      </c>
      <c r="AJ410" s="2" t="s">
        <v>32</v>
      </c>
      <c r="AK410" s="2" t="s">
        <v>32</v>
      </c>
      <c r="AL410" s="2" t="s">
        <v>1658</v>
      </c>
      <c r="AM410" s="2">
        <v>7</v>
      </c>
      <c r="AN410" s="2" t="s">
        <v>1660</v>
      </c>
      <c r="AO410" s="2">
        <v>0</v>
      </c>
      <c r="AP410" s="2" t="s">
        <v>32</v>
      </c>
      <c r="AQ410" s="2" t="s">
        <v>32</v>
      </c>
      <c r="AR410" s="2" t="s">
        <v>1660</v>
      </c>
      <c r="AS410" s="2">
        <v>0</v>
      </c>
      <c r="AT410" s="2" t="s">
        <v>32</v>
      </c>
      <c r="AU410" s="2" t="s">
        <v>32</v>
      </c>
      <c r="AV410" s="2" t="s">
        <v>1660</v>
      </c>
      <c r="AW410" s="2">
        <v>0</v>
      </c>
      <c r="AX410" s="2" t="s">
        <v>1660</v>
      </c>
      <c r="AY410" s="2">
        <v>0</v>
      </c>
      <c r="AZ410" s="2" t="s">
        <v>1660</v>
      </c>
      <c r="BA410" s="2">
        <v>0</v>
      </c>
      <c r="BB410" s="2">
        <v>0</v>
      </c>
      <c r="BC410" s="2" t="s">
        <v>32</v>
      </c>
      <c r="BD410" s="2">
        <v>0</v>
      </c>
      <c r="BE410" s="2" t="s">
        <v>32</v>
      </c>
      <c r="BF410" s="2">
        <v>0</v>
      </c>
      <c r="BG410" s="2" t="s">
        <v>32</v>
      </c>
      <c r="BH410" s="2">
        <v>0</v>
      </c>
      <c r="BI410" s="2" t="s">
        <v>32</v>
      </c>
      <c r="BJ410" s="2" t="s">
        <v>32</v>
      </c>
      <c r="BK410" s="2" t="s">
        <v>32</v>
      </c>
      <c r="BL410" s="2">
        <v>0</v>
      </c>
      <c r="BM410" s="2" t="s">
        <v>32</v>
      </c>
      <c r="BN410" s="2" t="s">
        <v>32</v>
      </c>
      <c r="BO410" s="2" t="s">
        <v>32</v>
      </c>
      <c r="BP410" s="2">
        <v>0</v>
      </c>
      <c r="BQ410" s="2" t="s">
        <v>32</v>
      </c>
      <c r="BR410" s="2">
        <v>0</v>
      </c>
      <c r="BS410" s="2" t="s">
        <v>1660</v>
      </c>
      <c r="BT410" s="2">
        <v>0</v>
      </c>
      <c r="BU410" s="2">
        <v>0</v>
      </c>
      <c r="BV410" s="2" t="s">
        <v>1660</v>
      </c>
      <c r="BW410" s="2"/>
      <c r="BX410" s="2"/>
      <c r="BY410" s="2" t="s">
        <v>1807</v>
      </c>
      <c r="BZ410" s="2" t="b">
        <f>OR( (Dashboard[[#This Row],[ref_as_hh]]&gt;=1),(Dashboard[[#This Row],[ret_as_hh]] &gt;=1), (Dashboard[[#This Row],[idp_as_hh]]&gt;=1))</f>
        <v>0</v>
      </c>
      <c r="CA410" s="2">
        <f>Dashboard[[#This Row],[ret_hi_hh]]</f>
        <v>0</v>
      </c>
      <c r="CB410" s="2">
        <f>Dashboard[[#This Row],[idp_fa_hh]]+Dashboard[[#This Row],[ref_fa_hh]]+Dashboard[[#This Row],[ret_fa_hh]]</f>
        <v>13</v>
      </c>
      <c r="CC410" s="2">
        <f>Dashboard[[#This Row],[idp_loc_hh]]+Dashboard[[#This Row],[ref_loc_hh]]+Dashboard[[#This Row],[ret_loc_hh]]</f>
        <v>0</v>
      </c>
      <c r="CD410" s="2">
        <f>Dashboard[[#This Row],[idp_cc_hh]]+Dashboard[[#This Row],[ref_cc_hh]]+Dashboard[[#This Row],[ret_cc_hh]]</f>
        <v>0</v>
      </c>
      <c r="CE410" s="2">
        <f>Dashboard[[#This Row],[idp_as_hh]]+Dashboard[[#This Row],[ref_as_hh]]+Dashboard[[#This Row],[ret_as_hh]]</f>
        <v>0</v>
      </c>
      <c r="CF410" s="2">
        <f>Dashboard[[#This Row],[idp_al_hh]]+Dashboard[[#This Row],[ref_al_hh]]+Dashboard[[#This Row],[ret_al_hh]]</f>
        <v>0</v>
      </c>
    </row>
    <row r="411" spans="1:84" hidden="1" x14ac:dyDescent="0.25">
      <c r="A411" s="27">
        <v>166</v>
      </c>
      <c r="B411" s="2" t="s">
        <v>22</v>
      </c>
      <c r="C411" s="2" t="s">
        <v>23</v>
      </c>
      <c r="D411" s="2" t="s">
        <v>85</v>
      </c>
      <c r="E411" s="2" t="s">
        <v>84</v>
      </c>
      <c r="F411" s="2" t="s">
        <v>98</v>
      </c>
      <c r="G411" s="2" t="s">
        <v>97</v>
      </c>
      <c r="H411" s="2" t="s">
        <v>1188</v>
      </c>
      <c r="I411" s="2" t="s">
        <v>403</v>
      </c>
      <c r="J411" s="2" t="s">
        <v>2882</v>
      </c>
      <c r="K411" s="2" t="s">
        <v>2883</v>
      </c>
      <c r="L411" s="2" t="s">
        <v>2074</v>
      </c>
      <c r="M411" s="2">
        <v>1575</v>
      </c>
      <c r="N411" s="2" t="s">
        <v>1658</v>
      </c>
      <c r="O411" s="2">
        <v>8</v>
      </c>
      <c r="P411" s="2">
        <v>47</v>
      </c>
      <c r="Q411" s="2" t="s">
        <v>1658</v>
      </c>
      <c r="R411" s="2">
        <v>8</v>
      </c>
      <c r="S411" s="2" t="s">
        <v>1660</v>
      </c>
      <c r="T411" s="2">
        <v>0</v>
      </c>
      <c r="U411" s="2" t="s">
        <v>32</v>
      </c>
      <c r="V411" s="2" t="s">
        <v>32</v>
      </c>
      <c r="W411" s="2" t="s">
        <v>1660</v>
      </c>
      <c r="X411" s="2">
        <v>0</v>
      </c>
      <c r="Y411" s="2" t="s">
        <v>32</v>
      </c>
      <c r="Z411" s="2" t="s">
        <v>32</v>
      </c>
      <c r="AA411" s="2" t="s">
        <v>1660</v>
      </c>
      <c r="AB411" s="2">
        <v>0</v>
      </c>
      <c r="AC411" s="2" t="s">
        <v>1660</v>
      </c>
      <c r="AD411" s="2">
        <v>0</v>
      </c>
      <c r="AE411" s="2" t="s">
        <v>1658</v>
      </c>
      <c r="AF411" s="2">
        <v>1</v>
      </c>
      <c r="AG411" s="2">
        <v>4</v>
      </c>
      <c r="AH411" s="2" t="s">
        <v>1660</v>
      </c>
      <c r="AI411" s="2" t="s">
        <v>32</v>
      </c>
      <c r="AJ411" s="2" t="s">
        <v>32</v>
      </c>
      <c r="AK411" s="2" t="s">
        <v>32</v>
      </c>
      <c r="AL411" s="2" t="s">
        <v>1658</v>
      </c>
      <c r="AM411" s="2">
        <v>1</v>
      </c>
      <c r="AN411" s="2" t="s">
        <v>1660</v>
      </c>
      <c r="AO411" s="2">
        <v>0</v>
      </c>
      <c r="AP411" s="2" t="s">
        <v>32</v>
      </c>
      <c r="AQ411" s="2" t="s">
        <v>32</v>
      </c>
      <c r="AR411" s="2" t="s">
        <v>1660</v>
      </c>
      <c r="AS411" s="2">
        <v>0</v>
      </c>
      <c r="AT411" s="2" t="s">
        <v>32</v>
      </c>
      <c r="AU411" s="2" t="s">
        <v>32</v>
      </c>
      <c r="AV411" s="2" t="s">
        <v>1660</v>
      </c>
      <c r="AW411" s="2">
        <v>0</v>
      </c>
      <c r="AX411" s="2" t="s">
        <v>1660</v>
      </c>
      <c r="AY411" s="2">
        <v>0</v>
      </c>
      <c r="AZ411" s="2" t="s">
        <v>1660</v>
      </c>
      <c r="BA411" s="2">
        <v>0</v>
      </c>
      <c r="BB411" s="2">
        <v>0</v>
      </c>
      <c r="BC411" s="2" t="s">
        <v>32</v>
      </c>
      <c r="BD411" s="2">
        <v>0</v>
      </c>
      <c r="BE411" s="2" t="s">
        <v>32</v>
      </c>
      <c r="BF411" s="2">
        <v>0</v>
      </c>
      <c r="BG411" s="2" t="s">
        <v>32</v>
      </c>
      <c r="BH411" s="2">
        <v>0</v>
      </c>
      <c r="BI411" s="2" t="s">
        <v>32</v>
      </c>
      <c r="BJ411" s="2" t="s">
        <v>32</v>
      </c>
      <c r="BK411" s="2" t="s">
        <v>32</v>
      </c>
      <c r="BL411" s="2">
        <v>0</v>
      </c>
      <c r="BM411" s="2" t="s">
        <v>32</v>
      </c>
      <c r="BN411" s="2" t="s">
        <v>32</v>
      </c>
      <c r="BO411" s="2" t="s">
        <v>32</v>
      </c>
      <c r="BP411" s="2">
        <v>0</v>
      </c>
      <c r="BQ411" s="2" t="s">
        <v>32</v>
      </c>
      <c r="BR411" s="2">
        <v>0</v>
      </c>
      <c r="BS411" s="2" t="s">
        <v>1660</v>
      </c>
      <c r="BT411" s="2">
        <v>0</v>
      </c>
      <c r="BU411" s="2">
        <v>0</v>
      </c>
      <c r="BV411" s="2" t="s">
        <v>1660</v>
      </c>
      <c r="BW411" s="2"/>
      <c r="BX411" s="2"/>
      <c r="BY411" s="2" t="s">
        <v>1807</v>
      </c>
      <c r="BZ411" s="2" t="b">
        <f>OR( (Dashboard[[#This Row],[ref_as_hh]]&gt;=1),(Dashboard[[#This Row],[ret_as_hh]] &gt;=1), (Dashboard[[#This Row],[idp_as_hh]]&gt;=1))</f>
        <v>0</v>
      </c>
      <c r="CA411" s="2">
        <f>Dashboard[[#This Row],[ret_hi_hh]]</f>
        <v>0</v>
      </c>
      <c r="CB411" s="2">
        <f>Dashboard[[#This Row],[idp_fa_hh]]+Dashboard[[#This Row],[ref_fa_hh]]+Dashboard[[#This Row],[ret_fa_hh]]</f>
        <v>9</v>
      </c>
      <c r="CC411" s="2">
        <f>Dashboard[[#This Row],[idp_loc_hh]]+Dashboard[[#This Row],[ref_loc_hh]]+Dashboard[[#This Row],[ret_loc_hh]]</f>
        <v>0</v>
      </c>
      <c r="CD411" s="2">
        <f>Dashboard[[#This Row],[idp_cc_hh]]+Dashboard[[#This Row],[ref_cc_hh]]+Dashboard[[#This Row],[ret_cc_hh]]</f>
        <v>0</v>
      </c>
      <c r="CE411" s="2">
        <f>Dashboard[[#This Row],[idp_as_hh]]+Dashboard[[#This Row],[ref_as_hh]]+Dashboard[[#This Row],[ret_as_hh]]</f>
        <v>0</v>
      </c>
      <c r="CF411" s="2">
        <f>Dashboard[[#This Row],[idp_al_hh]]+Dashboard[[#This Row],[ref_al_hh]]+Dashboard[[#This Row],[ret_al_hh]]</f>
        <v>0</v>
      </c>
    </row>
    <row r="412" spans="1:84" hidden="1" x14ac:dyDescent="0.25">
      <c r="A412" s="27">
        <v>171</v>
      </c>
      <c r="B412" s="2" t="s">
        <v>22</v>
      </c>
      <c r="C412" s="2" t="s">
        <v>23</v>
      </c>
      <c r="D412" s="2" t="s">
        <v>85</v>
      </c>
      <c r="E412" s="2" t="s">
        <v>84</v>
      </c>
      <c r="F412" s="2" t="s">
        <v>98</v>
      </c>
      <c r="G412" s="2" t="s">
        <v>97</v>
      </c>
      <c r="H412" s="2" t="s">
        <v>1133</v>
      </c>
      <c r="I412" s="2" t="s">
        <v>378</v>
      </c>
      <c r="J412" s="2" t="s">
        <v>2762</v>
      </c>
      <c r="K412" s="2" t="s">
        <v>2763</v>
      </c>
      <c r="L412" s="2" t="s">
        <v>2074</v>
      </c>
      <c r="M412" s="2">
        <v>450</v>
      </c>
      <c r="N412" s="2" t="s">
        <v>1658</v>
      </c>
      <c r="O412" s="2">
        <v>10</v>
      </c>
      <c r="P412" s="2">
        <v>60</v>
      </c>
      <c r="Q412" s="2" t="s">
        <v>1658</v>
      </c>
      <c r="R412" s="2">
        <v>10</v>
      </c>
      <c r="S412" s="2" t="s">
        <v>1660</v>
      </c>
      <c r="T412" s="2">
        <v>0</v>
      </c>
      <c r="U412" s="2" t="s">
        <v>32</v>
      </c>
      <c r="V412" s="2" t="s">
        <v>32</v>
      </c>
      <c r="W412" s="2" t="s">
        <v>1660</v>
      </c>
      <c r="X412" s="2">
        <v>0</v>
      </c>
      <c r="Y412" s="2" t="s">
        <v>32</v>
      </c>
      <c r="Z412" s="2" t="s">
        <v>32</v>
      </c>
      <c r="AA412" s="2" t="s">
        <v>1660</v>
      </c>
      <c r="AB412" s="2">
        <v>0</v>
      </c>
      <c r="AC412" s="2" t="s">
        <v>1660</v>
      </c>
      <c r="AD412" s="2">
        <v>0</v>
      </c>
      <c r="AE412" s="2" t="s">
        <v>1658</v>
      </c>
      <c r="AF412" s="2">
        <v>6</v>
      </c>
      <c r="AG412" s="2">
        <v>40</v>
      </c>
      <c r="AH412" s="2" t="s">
        <v>1660</v>
      </c>
      <c r="AI412" s="2" t="s">
        <v>32</v>
      </c>
      <c r="AJ412" s="2" t="s">
        <v>32</v>
      </c>
      <c r="AK412" s="2" t="s">
        <v>32</v>
      </c>
      <c r="AL412" s="2" t="s">
        <v>1658</v>
      </c>
      <c r="AM412" s="2">
        <v>6</v>
      </c>
      <c r="AN412" s="2" t="s">
        <v>1660</v>
      </c>
      <c r="AO412" s="2">
        <v>0</v>
      </c>
      <c r="AP412" s="2" t="s">
        <v>32</v>
      </c>
      <c r="AQ412" s="2" t="s">
        <v>32</v>
      </c>
      <c r="AR412" s="2" t="s">
        <v>1660</v>
      </c>
      <c r="AS412" s="2">
        <v>0</v>
      </c>
      <c r="AT412" s="2" t="s">
        <v>32</v>
      </c>
      <c r="AU412" s="2" t="s">
        <v>32</v>
      </c>
      <c r="AV412" s="2" t="s">
        <v>1660</v>
      </c>
      <c r="AW412" s="2">
        <v>0</v>
      </c>
      <c r="AX412" s="2" t="s">
        <v>1660</v>
      </c>
      <c r="AY412" s="2">
        <v>0</v>
      </c>
      <c r="AZ412" s="2" t="s">
        <v>1660</v>
      </c>
      <c r="BA412" s="2">
        <v>0</v>
      </c>
      <c r="BB412" s="2">
        <v>0</v>
      </c>
      <c r="BC412" s="2" t="s">
        <v>32</v>
      </c>
      <c r="BD412" s="2">
        <v>0</v>
      </c>
      <c r="BE412" s="2" t="s">
        <v>32</v>
      </c>
      <c r="BF412" s="2">
        <v>0</v>
      </c>
      <c r="BG412" s="2" t="s">
        <v>32</v>
      </c>
      <c r="BH412" s="2">
        <v>0</v>
      </c>
      <c r="BI412" s="2" t="s">
        <v>32</v>
      </c>
      <c r="BJ412" s="2" t="s">
        <v>32</v>
      </c>
      <c r="BK412" s="2" t="s">
        <v>32</v>
      </c>
      <c r="BL412" s="2">
        <v>0</v>
      </c>
      <c r="BM412" s="2" t="s">
        <v>32</v>
      </c>
      <c r="BN412" s="2" t="s">
        <v>32</v>
      </c>
      <c r="BO412" s="2" t="s">
        <v>32</v>
      </c>
      <c r="BP412" s="2">
        <v>0</v>
      </c>
      <c r="BQ412" s="2" t="s">
        <v>32</v>
      </c>
      <c r="BR412" s="2">
        <v>0</v>
      </c>
      <c r="BS412" s="2" t="s">
        <v>1660</v>
      </c>
      <c r="BT412" s="2">
        <v>0</v>
      </c>
      <c r="BU412" s="2">
        <v>0</v>
      </c>
      <c r="BV412" s="2" t="s">
        <v>1660</v>
      </c>
      <c r="BW412" s="2"/>
      <c r="BX412" s="2"/>
      <c r="BY412" s="2" t="s">
        <v>1807</v>
      </c>
      <c r="BZ412" s="2" t="b">
        <f>OR( (Dashboard[[#This Row],[ref_as_hh]]&gt;=1),(Dashboard[[#This Row],[ret_as_hh]] &gt;=1), (Dashboard[[#This Row],[idp_as_hh]]&gt;=1))</f>
        <v>0</v>
      </c>
      <c r="CA412" s="2">
        <f>Dashboard[[#This Row],[ret_hi_hh]]</f>
        <v>0</v>
      </c>
      <c r="CB412" s="2">
        <f>Dashboard[[#This Row],[idp_fa_hh]]+Dashboard[[#This Row],[ref_fa_hh]]+Dashboard[[#This Row],[ret_fa_hh]]</f>
        <v>16</v>
      </c>
      <c r="CC412" s="2">
        <f>Dashboard[[#This Row],[idp_loc_hh]]+Dashboard[[#This Row],[ref_loc_hh]]+Dashboard[[#This Row],[ret_loc_hh]]</f>
        <v>0</v>
      </c>
      <c r="CD412" s="2">
        <f>Dashboard[[#This Row],[idp_cc_hh]]+Dashboard[[#This Row],[ref_cc_hh]]+Dashboard[[#This Row],[ret_cc_hh]]</f>
        <v>0</v>
      </c>
      <c r="CE412" s="2">
        <f>Dashboard[[#This Row],[idp_as_hh]]+Dashboard[[#This Row],[ref_as_hh]]+Dashboard[[#This Row],[ret_as_hh]]</f>
        <v>0</v>
      </c>
      <c r="CF412" s="2">
        <f>Dashboard[[#This Row],[idp_al_hh]]+Dashboard[[#This Row],[ref_al_hh]]+Dashboard[[#This Row],[ret_al_hh]]</f>
        <v>0</v>
      </c>
    </row>
    <row r="413" spans="1:84" hidden="1" x14ac:dyDescent="0.25">
      <c r="A413" s="27">
        <v>427</v>
      </c>
      <c r="B413" s="2" t="s">
        <v>22</v>
      </c>
      <c r="C413" s="2" t="s">
        <v>23</v>
      </c>
      <c r="D413" s="2" t="s">
        <v>85</v>
      </c>
      <c r="E413" s="2" t="s">
        <v>84</v>
      </c>
      <c r="F413" s="2" t="s">
        <v>98</v>
      </c>
      <c r="G413" s="2" t="s">
        <v>97</v>
      </c>
      <c r="H413" s="2" t="s">
        <v>1177</v>
      </c>
      <c r="I413" s="2" t="s">
        <v>398</v>
      </c>
      <c r="J413" s="2" t="s">
        <v>2856</v>
      </c>
      <c r="K413" s="2" t="s">
        <v>2857</v>
      </c>
      <c r="L413" s="2" t="s">
        <v>3693</v>
      </c>
      <c r="M413" s="2">
        <v>306</v>
      </c>
      <c r="N413" s="2" t="s">
        <v>1658</v>
      </c>
      <c r="O413" s="2">
        <v>29</v>
      </c>
      <c r="P413" s="2">
        <v>152</v>
      </c>
      <c r="Q413" s="2" t="s">
        <v>1658</v>
      </c>
      <c r="R413" s="2">
        <v>29</v>
      </c>
      <c r="S413" s="2" t="s">
        <v>1660</v>
      </c>
      <c r="T413" s="2">
        <v>0</v>
      </c>
      <c r="U413" s="2" t="s">
        <v>32</v>
      </c>
      <c r="V413" s="2" t="s">
        <v>32</v>
      </c>
      <c r="W413" s="2" t="s">
        <v>1660</v>
      </c>
      <c r="X413" s="2">
        <v>0</v>
      </c>
      <c r="Y413" s="2" t="s">
        <v>32</v>
      </c>
      <c r="Z413" s="2" t="s">
        <v>32</v>
      </c>
      <c r="AA413" s="2" t="s">
        <v>1660</v>
      </c>
      <c r="AB413" s="2">
        <v>0</v>
      </c>
      <c r="AC413" s="2" t="s">
        <v>1660</v>
      </c>
      <c r="AD413" s="2">
        <v>0</v>
      </c>
      <c r="AE413" s="2" t="s">
        <v>1660</v>
      </c>
      <c r="AF413" s="2">
        <v>0</v>
      </c>
      <c r="AG413" s="2">
        <v>0</v>
      </c>
      <c r="AH413" s="2" t="s">
        <v>32</v>
      </c>
      <c r="AI413" s="2" t="s">
        <v>32</v>
      </c>
      <c r="AJ413" s="2" t="s">
        <v>32</v>
      </c>
      <c r="AK413" s="2" t="s">
        <v>32</v>
      </c>
      <c r="AL413" s="2" t="s">
        <v>32</v>
      </c>
      <c r="AM413" s="2">
        <v>0</v>
      </c>
      <c r="AN413" s="2" t="s">
        <v>32</v>
      </c>
      <c r="AO413" s="2">
        <v>0</v>
      </c>
      <c r="AP413" s="2" t="s">
        <v>32</v>
      </c>
      <c r="AQ413" s="2" t="s">
        <v>32</v>
      </c>
      <c r="AR413" s="2" t="s">
        <v>32</v>
      </c>
      <c r="AS413" s="2">
        <v>0</v>
      </c>
      <c r="AT413" s="2" t="s">
        <v>32</v>
      </c>
      <c r="AU413" s="2" t="s">
        <v>32</v>
      </c>
      <c r="AV413" s="2" t="s">
        <v>32</v>
      </c>
      <c r="AW413" s="2">
        <v>0</v>
      </c>
      <c r="AX413" s="2" t="s">
        <v>32</v>
      </c>
      <c r="AY413" s="2">
        <v>0</v>
      </c>
      <c r="AZ413" s="2" t="s">
        <v>1660</v>
      </c>
      <c r="BA413" s="2">
        <v>0</v>
      </c>
      <c r="BB413" s="2">
        <v>0</v>
      </c>
      <c r="BC413" s="2" t="s">
        <v>32</v>
      </c>
      <c r="BD413" s="2">
        <v>0</v>
      </c>
      <c r="BE413" s="2" t="s">
        <v>32</v>
      </c>
      <c r="BF413" s="2">
        <v>0</v>
      </c>
      <c r="BG413" s="2" t="s">
        <v>32</v>
      </c>
      <c r="BH413" s="2">
        <v>0</v>
      </c>
      <c r="BI413" s="2" t="s">
        <v>32</v>
      </c>
      <c r="BJ413" s="2" t="s">
        <v>32</v>
      </c>
      <c r="BK413" s="2" t="s">
        <v>32</v>
      </c>
      <c r="BL413" s="2">
        <v>0</v>
      </c>
      <c r="BM413" s="2" t="s">
        <v>32</v>
      </c>
      <c r="BN413" s="2" t="s">
        <v>32</v>
      </c>
      <c r="BO413" s="2" t="s">
        <v>32</v>
      </c>
      <c r="BP413" s="2">
        <v>0</v>
      </c>
      <c r="BQ413" s="2" t="s">
        <v>32</v>
      </c>
      <c r="BR413" s="2">
        <v>0</v>
      </c>
      <c r="BS413" s="2" t="s">
        <v>1660</v>
      </c>
      <c r="BT413" s="2">
        <v>0</v>
      </c>
      <c r="BU413" s="2">
        <v>0</v>
      </c>
      <c r="BV413" s="2" t="s">
        <v>1660</v>
      </c>
      <c r="BW413" s="2"/>
      <c r="BX413" s="2"/>
      <c r="BY413" s="2" t="s">
        <v>1807</v>
      </c>
      <c r="BZ413" s="2" t="b">
        <f>OR( (Dashboard[[#This Row],[ref_as_hh]]&gt;=1),(Dashboard[[#This Row],[ret_as_hh]] &gt;=1), (Dashboard[[#This Row],[idp_as_hh]]&gt;=1))</f>
        <v>0</v>
      </c>
      <c r="CA413" s="2">
        <f>Dashboard[[#This Row],[ret_hi_hh]]</f>
        <v>0</v>
      </c>
      <c r="CB413" s="2">
        <f>Dashboard[[#This Row],[idp_fa_hh]]+Dashboard[[#This Row],[ref_fa_hh]]+Dashboard[[#This Row],[ret_fa_hh]]</f>
        <v>29</v>
      </c>
      <c r="CC413" s="2">
        <f>Dashboard[[#This Row],[idp_loc_hh]]+Dashboard[[#This Row],[ref_loc_hh]]+Dashboard[[#This Row],[ret_loc_hh]]</f>
        <v>0</v>
      </c>
      <c r="CD413" s="2">
        <f>Dashboard[[#This Row],[idp_cc_hh]]+Dashboard[[#This Row],[ref_cc_hh]]+Dashboard[[#This Row],[ret_cc_hh]]</f>
        <v>0</v>
      </c>
      <c r="CE413" s="2">
        <f>Dashboard[[#This Row],[idp_as_hh]]+Dashboard[[#This Row],[ref_as_hh]]+Dashboard[[#This Row],[ret_as_hh]]</f>
        <v>0</v>
      </c>
      <c r="CF413" s="2">
        <f>Dashboard[[#This Row],[idp_al_hh]]+Dashboard[[#This Row],[ref_al_hh]]+Dashboard[[#This Row],[ret_al_hh]]</f>
        <v>0</v>
      </c>
    </row>
    <row r="414" spans="1:84" hidden="1" x14ac:dyDescent="0.25">
      <c r="A414" s="27">
        <v>172</v>
      </c>
      <c r="B414" s="2" t="s">
        <v>22</v>
      </c>
      <c r="C414" s="2" t="s">
        <v>23</v>
      </c>
      <c r="D414" s="2" t="s">
        <v>85</v>
      </c>
      <c r="E414" s="2" t="s">
        <v>84</v>
      </c>
      <c r="F414" s="2" t="s">
        <v>98</v>
      </c>
      <c r="G414" s="2" t="s">
        <v>97</v>
      </c>
      <c r="H414" s="2" t="s">
        <v>1116</v>
      </c>
      <c r="I414" s="2" t="s">
        <v>372</v>
      </c>
      <c r="J414" s="2" t="s">
        <v>2726</v>
      </c>
      <c r="K414" s="2" t="s">
        <v>2727</v>
      </c>
      <c r="L414" s="2" t="s">
        <v>2074</v>
      </c>
      <c r="M414" s="2">
        <v>600</v>
      </c>
      <c r="N414" s="2" t="s">
        <v>1658</v>
      </c>
      <c r="O414" s="2">
        <v>10</v>
      </c>
      <c r="P414" s="2">
        <v>60</v>
      </c>
      <c r="Q414" s="2" t="s">
        <v>1658</v>
      </c>
      <c r="R414" s="2">
        <v>10</v>
      </c>
      <c r="S414" s="2" t="s">
        <v>1660</v>
      </c>
      <c r="T414" s="2">
        <v>0</v>
      </c>
      <c r="U414" s="2" t="s">
        <v>32</v>
      </c>
      <c r="V414" s="2" t="s">
        <v>32</v>
      </c>
      <c r="W414" s="2" t="s">
        <v>1660</v>
      </c>
      <c r="X414" s="2">
        <v>0</v>
      </c>
      <c r="Y414" s="2" t="s">
        <v>32</v>
      </c>
      <c r="Z414" s="2" t="s">
        <v>32</v>
      </c>
      <c r="AA414" s="2" t="s">
        <v>1660</v>
      </c>
      <c r="AB414" s="2">
        <v>0</v>
      </c>
      <c r="AC414" s="2" t="s">
        <v>1660</v>
      </c>
      <c r="AD414" s="2">
        <v>0</v>
      </c>
      <c r="AE414" s="2" t="s">
        <v>1658</v>
      </c>
      <c r="AF414" s="2">
        <v>7</v>
      </c>
      <c r="AG414" s="2">
        <v>40</v>
      </c>
      <c r="AH414" s="2" t="s">
        <v>1660</v>
      </c>
      <c r="AI414" s="2" t="s">
        <v>32</v>
      </c>
      <c r="AJ414" s="2" t="s">
        <v>32</v>
      </c>
      <c r="AK414" s="2" t="s">
        <v>32</v>
      </c>
      <c r="AL414" s="2" t="s">
        <v>1658</v>
      </c>
      <c r="AM414" s="2">
        <v>7</v>
      </c>
      <c r="AN414" s="2" t="s">
        <v>1660</v>
      </c>
      <c r="AO414" s="2">
        <v>0</v>
      </c>
      <c r="AP414" s="2" t="s">
        <v>32</v>
      </c>
      <c r="AQ414" s="2" t="s">
        <v>32</v>
      </c>
      <c r="AR414" s="2" t="s">
        <v>1660</v>
      </c>
      <c r="AS414" s="2">
        <v>0</v>
      </c>
      <c r="AT414" s="2" t="s">
        <v>32</v>
      </c>
      <c r="AU414" s="2" t="s">
        <v>32</v>
      </c>
      <c r="AV414" s="2" t="s">
        <v>1660</v>
      </c>
      <c r="AW414" s="2">
        <v>0</v>
      </c>
      <c r="AX414" s="2" t="s">
        <v>1660</v>
      </c>
      <c r="AY414" s="2">
        <v>0</v>
      </c>
      <c r="AZ414" s="2" t="s">
        <v>1660</v>
      </c>
      <c r="BA414" s="2">
        <v>0</v>
      </c>
      <c r="BB414" s="2">
        <v>0</v>
      </c>
      <c r="BC414" s="2" t="s">
        <v>32</v>
      </c>
      <c r="BD414" s="2">
        <v>0</v>
      </c>
      <c r="BE414" s="2" t="s">
        <v>32</v>
      </c>
      <c r="BF414" s="2">
        <v>0</v>
      </c>
      <c r="BG414" s="2" t="s">
        <v>32</v>
      </c>
      <c r="BH414" s="2">
        <v>0</v>
      </c>
      <c r="BI414" s="2" t="s">
        <v>32</v>
      </c>
      <c r="BJ414" s="2" t="s">
        <v>32</v>
      </c>
      <c r="BK414" s="2" t="s">
        <v>32</v>
      </c>
      <c r="BL414" s="2">
        <v>0</v>
      </c>
      <c r="BM414" s="2" t="s">
        <v>32</v>
      </c>
      <c r="BN414" s="2" t="s">
        <v>32</v>
      </c>
      <c r="BO414" s="2" t="s">
        <v>32</v>
      </c>
      <c r="BP414" s="2">
        <v>0</v>
      </c>
      <c r="BQ414" s="2" t="s">
        <v>32</v>
      </c>
      <c r="BR414" s="2">
        <v>0</v>
      </c>
      <c r="BS414" s="2" t="s">
        <v>1660</v>
      </c>
      <c r="BT414" s="2">
        <v>0</v>
      </c>
      <c r="BU414" s="2">
        <v>0</v>
      </c>
      <c r="BV414" s="2" t="s">
        <v>1660</v>
      </c>
      <c r="BW414" s="2"/>
      <c r="BX414" s="2"/>
      <c r="BY414" s="2" t="s">
        <v>1807</v>
      </c>
      <c r="BZ414" s="2" t="b">
        <f>OR( (Dashboard[[#This Row],[ref_as_hh]]&gt;=1),(Dashboard[[#This Row],[ret_as_hh]] &gt;=1), (Dashboard[[#This Row],[idp_as_hh]]&gt;=1))</f>
        <v>0</v>
      </c>
      <c r="CA414" s="2">
        <f>Dashboard[[#This Row],[ret_hi_hh]]</f>
        <v>0</v>
      </c>
      <c r="CB414" s="2">
        <f>Dashboard[[#This Row],[idp_fa_hh]]+Dashboard[[#This Row],[ref_fa_hh]]+Dashboard[[#This Row],[ret_fa_hh]]</f>
        <v>17</v>
      </c>
      <c r="CC414" s="2">
        <f>Dashboard[[#This Row],[idp_loc_hh]]+Dashboard[[#This Row],[ref_loc_hh]]+Dashboard[[#This Row],[ret_loc_hh]]</f>
        <v>0</v>
      </c>
      <c r="CD414" s="2">
        <f>Dashboard[[#This Row],[idp_cc_hh]]+Dashboard[[#This Row],[ref_cc_hh]]+Dashboard[[#This Row],[ret_cc_hh]]</f>
        <v>0</v>
      </c>
      <c r="CE414" s="2">
        <f>Dashboard[[#This Row],[idp_as_hh]]+Dashboard[[#This Row],[ref_as_hh]]+Dashboard[[#This Row],[ret_as_hh]]</f>
        <v>0</v>
      </c>
      <c r="CF414" s="2">
        <f>Dashboard[[#This Row],[idp_al_hh]]+Dashboard[[#This Row],[ref_al_hh]]+Dashboard[[#This Row],[ret_al_hh]]</f>
        <v>0</v>
      </c>
    </row>
    <row r="415" spans="1:84" hidden="1" x14ac:dyDescent="0.25">
      <c r="A415" s="27">
        <v>428</v>
      </c>
      <c r="B415" s="2" t="s">
        <v>22</v>
      </c>
      <c r="C415" s="2" t="s">
        <v>23</v>
      </c>
      <c r="D415" s="2" t="s">
        <v>85</v>
      </c>
      <c r="E415" s="2" t="s">
        <v>84</v>
      </c>
      <c r="F415" s="2" t="s">
        <v>98</v>
      </c>
      <c r="G415" s="2" t="s">
        <v>97</v>
      </c>
      <c r="H415" s="2" t="s">
        <v>1214</v>
      </c>
      <c r="I415" s="2" t="s">
        <v>416</v>
      </c>
      <c r="J415" s="2" t="s">
        <v>2948</v>
      </c>
      <c r="K415" s="2" t="s">
        <v>2949</v>
      </c>
      <c r="L415" s="2" t="s">
        <v>3693</v>
      </c>
      <c r="M415" s="2">
        <v>412</v>
      </c>
      <c r="N415" s="2" t="s">
        <v>1658</v>
      </c>
      <c r="O415" s="2">
        <v>26</v>
      </c>
      <c r="P415" s="2">
        <v>100</v>
      </c>
      <c r="Q415" s="2" t="s">
        <v>1658</v>
      </c>
      <c r="R415" s="2">
        <v>26</v>
      </c>
      <c r="S415" s="2" t="s">
        <v>1660</v>
      </c>
      <c r="T415" s="2">
        <v>0</v>
      </c>
      <c r="U415" s="2" t="s">
        <v>32</v>
      </c>
      <c r="V415" s="2" t="s">
        <v>32</v>
      </c>
      <c r="W415" s="2" t="s">
        <v>1660</v>
      </c>
      <c r="X415" s="2">
        <v>0</v>
      </c>
      <c r="Y415" s="2" t="s">
        <v>32</v>
      </c>
      <c r="Z415" s="2" t="s">
        <v>32</v>
      </c>
      <c r="AA415" s="2" t="s">
        <v>1660</v>
      </c>
      <c r="AB415" s="2">
        <v>0</v>
      </c>
      <c r="AC415" s="2" t="s">
        <v>1660</v>
      </c>
      <c r="AD415" s="2">
        <v>0</v>
      </c>
      <c r="AE415" s="2" t="s">
        <v>1658</v>
      </c>
      <c r="AF415" s="2">
        <v>4</v>
      </c>
      <c r="AG415" s="2">
        <v>27</v>
      </c>
      <c r="AH415" s="2" t="s">
        <v>1660</v>
      </c>
      <c r="AI415" s="2" t="s">
        <v>32</v>
      </c>
      <c r="AJ415" s="2" t="s">
        <v>32</v>
      </c>
      <c r="AK415" s="2" t="s">
        <v>32</v>
      </c>
      <c r="AL415" s="2" t="s">
        <v>1658</v>
      </c>
      <c r="AM415" s="2">
        <v>4</v>
      </c>
      <c r="AN415" s="2" t="s">
        <v>1660</v>
      </c>
      <c r="AO415" s="2">
        <v>0</v>
      </c>
      <c r="AP415" s="2" t="s">
        <v>32</v>
      </c>
      <c r="AQ415" s="2" t="s">
        <v>32</v>
      </c>
      <c r="AR415" s="2" t="s">
        <v>1660</v>
      </c>
      <c r="AS415" s="2">
        <v>0</v>
      </c>
      <c r="AT415" s="2" t="s">
        <v>32</v>
      </c>
      <c r="AU415" s="2" t="s">
        <v>32</v>
      </c>
      <c r="AV415" s="2" t="s">
        <v>1660</v>
      </c>
      <c r="AW415" s="2">
        <v>0</v>
      </c>
      <c r="AX415" s="2" t="s">
        <v>1660</v>
      </c>
      <c r="AY415" s="2">
        <v>0</v>
      </c>
      <c r="AZ415" s="2" t="s">
        <v>1660</v>
      </c>
      <c r="BA415" s="2">
        <v>0</v>
      </c>
      <c r="BB415" s="2">
        <v>0</v>
      </c>
      <c r="BC415" s="2" t="s">
        <v>32</v>
      </c>
      <c r="BD415" s="2">
        <v>0</v>
      </c>
      <c r="BE415" s="2" t="s">
        <v>32</v>
      </c>
      <c r="BF415" s="2">
        <v>0</v>
      </c>
      <c r="BG415" s="2" t="s">
        <v>32</v>
      </c>
      <c r="BH415" s="2">
        <v>0</v>
      </c>
      <c r="BI415" s="2" t="s">
        <v>32</v>
      </c>
      <c r="BJ415" s="2" t="s">
        <v>32</v>
      </c>
      <c r="BK415" s="2" t="s">
        <v>32</v>
      </c>
      <c r="BL415" s="2">
        <v>0</v>
      </c>
      <c r="BM415" s="2" t="s">
        <v>32</v>
      </c>
      <c r="BN415" s="2" t="s">
        <v>32</v>
      </c>
      <c r="BO415" s="2" t="s">
        <v>32</v>
      </c>
      <c r="BP415" s="2">
        <v>0</v>
      </c>
      <c r="BQ415" s="2" t="s">
        <v>32</v>
      </c>
      <c r="BR415" s="2">
        <v>0</v>
      </c>
      <c r="BS415" s="2" t="s">
        <v>1660</v>
      </c>
      <c r="BT415" s="2">
        <v>0</v>
      </c>
      <c r="BU415" s="2">
        <v>0</v>
      </c>
      <c r="BV415" s="2" t="s">
        <v>1660</v>
      </c>
      <c r="BW415" s="2"/>
      <c r="BX415" s="2"/>
      <c r="BY415" s="2" t="s">
        <v>1807</v>
      </c>
      <c r="BZ415" s="2" t="b">
        <f>OR( (Dashboard[[#This Row],[ref_as_hh]]&gt;=1),(Dashboard[[#This Row],[ret_as_hh]] &gt;=1), (Dashboard[[#This Row],[idp_as_hh]]&gt;=1))</f>
        <v>0</v>
      </c>
      <c r="CA415" s="2">
        <f>Dashboard[[#This Row],[ret_hi_hh]]</f>
        <v>0</v>
      </c>
      <c r="CB415" s="2">
        <f>Dashboard[[#This Row],[idp_fa_hh]]+Dashboard[[#This Row],[ref_fa_hh]]+Dashboard[[#This Row],[ret_fa_hh]]</f>
        <v>30</v>
      </c>
      <c r="CC415" s="2">
        <f>Dashboard[[#This Row],[idp_loc_hh]]+Dashboard[[#This Row],[ref_loc_hh]]+Dashboard[[#This Row],[ret_loc_hh]]</f>
        <v>0</v>
      </c>
      <c r="CD415" s="2">
        <f>Dashboard[[#This Row],[idp_cc_hh]]+Dashboard[[#This Row],[ref_cc_hh]]+Dashboard[[#This Row],[ret_cc_hh]]</f>
        <v>0</v>
      </c>
      <c r="CE415" s="2">
        <f>Dashboard[[#This Row],[idp_as_hh]]+Dashboard[[#This Row],[ref_as_hh]]+Dashboard[[#This Row],[ret_as_hh]]</f>
        <v>0</v>
      </c>
      <c r="CF415" s="2">
        <f>Dashboard[[#This Row],[idp_al_hh]]+Dashboard[[#This Row],[ref_al_hh]]+Dashboard[[#This Row],[ret_al_hh]]</f>
        <v>0</v>
      </c>
    </row>
    <row r="416" spans="1:84" hidden="1" x14ac:dyDescent="0.25">
      <c r="A416" s="27">
        <v>173</v>
      </c>
      <c r="B416" s="2" t="s">
        <v>22</v>
      </c>
      <c r="C416" s="2" t="s">
        <v>23</v>
      </c>
      <c r="D416" s="2" t="s">
        <v>85</v>
      </c>
      <c r="E416" s="2" t="s">
        <v>84</v>
      </c>
      <c r="F416" s="2" t="s">
        <v>98</v>
      </c>
      <c r="G416" s="2" t="s">
        <v>97</v>
      </c>
      <c r="H416" s="2" t="s">
        <v>1199</v>
      </c>
      <c r="I416" s="2" t="s">
        <v>408</v>
      </c>
      <c r="J416" s="2" t="s">
        <v>2906</v>
      </c>
      <c r="K416" s="2" t="s">
        <v>2907</v>
      </c>
      <c r="L416" s="2" t="s">
        <v>2074</v>
      </c>
      <c r="M416" s="2">
        <v>415</v>
      </c>
      <c r="N416" s="2" t="s">
        <v>1658</v>
      </c>
      <c r="O416" s="2">
        <v>1</v>
      </c>
      <c r="P416" s="2">
        <v>5</v>
      </c>
      <c r="Q416" s="2" t="s">
        <v>1658</v>
      </c>
      <c r="R416" s="2">
        <v>1</v>
      </c>
      <c r="S416" s="2" t="s">
        <v>1660</v>
      </c>
      <c r="T416" s="2">
        <v>0</v>
      </c>
      <c r="U416" s="2" t="s">
        <v>32</v>
      </c>
      <c r="V416" s="2" t="s">
        <v>32</v>
      </c>
      <c r="W416" s="2" t="s">
        <v>1660</v>
      </c>
      <c r="X416" s="2">
        <v>0</v>
      </c>
      <c r="Y416" s="2" t="s">
        <v>32</v>
      </c>
      <c r="Z416" s="2" t="s">
        <v>32</v>
      </c>
      <c r="AA416" s="2" t="s">
        <v>1660</v>
      </c>
      <c r="AB416" s="2">
        <v>0</v>
      </c>
      <c r="AC416" s="2" t="s">
        <v>1660</v>
      </c>
      <c r="AD416" s="2">
        <v>0</v>
      </c>
      <c r="AE416" s="2" t="s">
        <v>1658</v>
      </c>
      <c r="AF416" s="2">
        <v>2</v>
      </c>
      <c r="AG416" s="2">
        <v>15</v>
      </c>
      <c r="AH416" s="2" t="s">
        <v>1660</v>
      </c>
      <c r="AI416" s="2" t="s">
        <v>32</v>
      </c>
      <c r="AJ416" s="2" t="s">
        <v>32</v>
      </c>
      <c r="AK416" s="2" t="s">
        <v>32</v>
      </c>
      <c r="AL416" s="2" t="s">
        <v>1658</v>
      </c>
      <c r="AM416" s="2">
        <v>2</v>
      </c>
      <c r="AN416" s="2" t="s">
        <v>1660</v>
      </c>
      <c r="AO416" s="2">
        <v>0</v>
      </c>
      <c r="AP416" s="2" t="s">
        <v>32</v>
      </c>
      <c r="AQ416" s="2" t="s">
        <v>32</v>
      </c>
      <c r="AR416" s="2" t="s">
        <v>1660</v>
      </c>
      <c r="AS416" s="2">
        <v>0</v>
      </c>
      <c r="AT416" s="2" t="s">
        <v>32</v>
      </c>
      <c r="AU416" s="2" t="s">
        <v>32</v>
      </c>
      <c r="AV416" s="2" t="s">
        <v>1660</v>
      </c>
      <c r="AW416" s="2">
        <v>0</v>
      </c>
      <c r="AX416" s="2" t="s">
        <v>1660</v>
      </c>
      <c r="AY416" s="2">
        <v>0</v>
      </c>
      <c r="AZ416" s="2" t="s">
        <v>1660</v>
      </c>
      <c r="BA416" s="2">
        <v>0</v>
      </c>
      <c r="BB416" s="2">
        <v>0</v>
      </c>
      <c r="BC416" s="2" t="s">
        <v>32</v>
      </c>
      <c r="BD416" s="2">
        <v>0</v>
      </c>
      <c r="BE416" s="2" t="s">
        <v>32</v>
      </c>
      <c r="BF416" s="2">
        <v>0</v>
      </c>
      <c r="BG416" s="2" t="s">
        <v>32</v>
      </c>
      <c r="BH416" s="2">
        <v>0</v>
      </c>
      <c r="BI416" s="2" t="s">
        <v>32</v>
      </c>
      <c r="BJ416" s="2" t="s">
        <v>32</v>
      </c>
      <c r="BK416" s="2" t="s">
        <v>32</v>
      </c>
      <c r="BL416" s="2">
        <v>0</v>
      </c>
      <c r="BM416" s="2" t="s">
        <v>32</v>
      </c>
      <c r="BN416" s="2" t="s">
        <v>32</v>
      </c>
      <c r="BO416" s="2" t="s">
        <v>32</v>
      </c>
      <c r="BP416" s="2">
        <v>0</v>
      </c>
      <c r="BQ416" s="2" t="s">
        <v>32</v>
      </c>
      <c r="BR416" s="2">
        <v>0</v>
      </c>
      <c r="BS416" s="2" t="s">
        <v>1660</v>
      </c>
      <c r="BT416" s="2">
        <v>0</v>
      </c>
      <c r="BU416" s="2">
        <v>0</v>
      </c>
      <c r="BV416" s="2" t="s">
        <v>1660</v>
      </c>
      <c r="BW416" s="2"/>
      <c r="BX416" s="2"/>
      <c r="BY416" s="2" t="s">
        <v>1807</v>
      </c>
      <c r="BZ416" s="2" t="b">
        <f>OR( (Dashboard[[#This Row],[ref_as_hh]]&gt;=1),(Dashboard[[#This Row],[ret_as_hh]] &gt;=1), (Dashboard[[#This Row],[idp_as_hh]]&gt;=1))</f>
        <v>0</v>
      </c>
      <c r="CA416" s="2">
        <f>Dashboard[[#This Row],[ret_hi_hh]]</f>
        <v>0</v>
      </c>
      <c r="CB416" s="2">
        <f>Dashboard[[#This Row],[idp_fa_hh]]+Dashboard[[#This Row],[ref_fa_hh]]+Dashboard[[#This Row],[ret_fa_hh]]</f>
        <v>3</v>
      </c>
      <c r="CC416" s="2">
        <f>Dashboard[[#This Row],[idp_loc_hh]]+Dashboard[[#This Row],[ref_loc_hh]]+Dashboard[[#This Row],[ret_loc_hh]]</f>
        <v>0</v>
      </c>
      <c r="CD416" s="2">
        <f>Dashboard[[#This Row],[idp_cc_hh]]+Dashboard[[#This Row],[ref_cc_hh]]+Dashboard[[#This Row],[ret_cc_hh]]</f>
        <v>0</v>
      </c>
      <c r="CE416" s="2">
        <f>Dashboard[[#This Row],[idp_as_hh]]+Dashboard[[#This Row],[ref_as_hh]]+Dashboard[[#This Row],[ret_as_hh]]</f>
        <v>0</v>
      </c>
      <c r="CF416" s="2">
        <f>Dashboard[[#This Row],[idp_al_hh]]+Dashboard[[#This Row],[ref_al_hh]]+Dashboard[[#This Row],[ret_al_hh]]</f>
        <v>0</v>
      </c>
    </row>
    <row r="417" spans="1:84" hidden="1" x14ac:dyDescent="0.25">
      <c r="A417" s="27">
        <v>429</v>
      </c>
      <c r="B417" s="2" t="s">
        <v>22</v>
      </c>
      <c r="C417" s="2" t="s">
        <v>23</v>
      </c>
      <c r="D417" s="2" t="s">
        <v>85</v>
      </c>
      <c r="E417" s="2" t="s">
        <v>84</v>
      </c>
      <c r="F417" s="2" t="s">
        <v>98</v>
      </c>
      <c r="G417" s="2" t="s">
        <v>97</v>
      </c>
      <c r="H417" s="2" t="s">
        <v>1225</v>
      </c>
      <c r="I417" s="2" t="s">
        <v>424</v>
      </c>
      <c r="J417" s="2" t="s">
        <v>2974</v>
      </c>
      <c r="K417" s="2" t="s">
        <v>2975</v>
      </c>
      <c r="L417" s="2" t="s">
        <v>2074</v>
      </c>
      <c r="M417" s="2">
        <v>852</v>
      </c>
      <c r="N417" s="2" t="s">
        <v>1658</v>
      </c>
      <c r="O417" s="2">
        <v>30</v>
      </c>
      <c r="P417" s="2">
        <v>162</v>
      </c>
      <c r="Q417" s="2" t="s">
        <v>1658</v>
      </c>
      <c r="R417" s="2">
        <v>30</v>
      </c>
      <c r="S417" s="2" t="s">
        <v>1660</v>
      </c>
      <c r="T417" s="2">
        <v>0</v>
      </c>
      <c r="U417" s="2" t="s">
        <v>32</v>
      </c>
      <c r="V417" s="2" t="s">
        <v>32</v>
      </c>
      <c r="W417" s="2" t="s">
        <v>1660</v>
      </c>
      <c r="X417" s="2">
        <v>0</v>
      </c>
      <c r="Y417" s="2" t="s">
        <v>32</v>
      </c>
      <c r="Z417" s="2" t="s">
        <v>32</v>
      </c>
      <c r="AA417" s="2" t="s">
        <v>1660</v>
      </c>
      <c r="AB417" s="2">
        <v>0</v>
      </c>
      <c r="AC417" s="2" t="s">
        <v>1660</v>
      </c>
      <c r="AD417" s="2">
        <v>0</v>
      </c>
      <c r="AE417" s="2" t="s">
        <v>1658</v>
      </c>
      <c r="AF417" s="2">
        <v>4</v>
      </c>
      <c r="AG417" s="2">
        <v>18</v>
      </c>
      <c r="AH417" s="2" t="s">
        <v>1660</v>
      </c>
      <c r="AI417" s="2" t="s">
        <v>32</v>
      </c>
      <c r="AJ417" s="2" t="s">
        <v>32</v>
      </c>
      <c r="AK417" s="2" t="s">
        <v>32</v>
      </c>
      <c r="AL417" s="2" t="s">
        <v>1658</v>
      </c>
      <c r="AM417" s="2">
        <v>4</v>
      </c>
      <c r="AN417" s="2" t="s">
        <v>1660</v>
      </c>
      <c r="AO417" s="2">
        <v>0</v>
      </c>
      <c r="AP417" s="2" t="s">
        <v>32</v>
      </c>
      <c r="AQ417" s="2" t="s">
        <v>32</v>
      </c>
      <c r="AR417" s="2" t="s">
        <v>1660</v>
      </c>
      <c r="AS417" s="2">
        <v>0</v>
      </c>
      <c r="AT417" s="2" t="s">
        <v>32</v>
      </c>
      <c r="AU417" s="2" t="s">
        <v>32</v>
      </c>
      <c r="AV417" s="2" t="s">
        <v>1660</v>
      </c>
      <c r="AW417" s="2">
        <v>0</v>
      </c>
      <c r="AX417" s="2" t="s">
        <v>1660</v>
      </c>
      <c r="AY417" s="2">
        <v>0</v>
      </c>
      <c r="AZ417" s="2" t="s">
        <v>1660</v>
      </c>
      <c r="BA417" s="2">
        <v>0</v>
      </c>
      <c r="BB417" s="2">
        <v>0</v>
      </c>
      <c r="BC417" s="2" t="s">
        <v>32</v>
      </c>
      <c r="BD417" s="2">
        <v>0</v>
      </c>
      <c r="BE417" s="2" t="s">
        <v>32</v>
      </c>
      <c r="BF417" s="2">
        <v>0</v>
      </c>
      <c r="BG417" s="2" t="s">
        <v>32</v>
      </c>
      <c r="BH417" s="2">
        <v>0</v>
      </c>
      <c r="BI417" s="2" t="s">
        <v>32</v>
      </c>
      <c r="BJ417" s="2" t="s">
        <v>32</v>
      </c>
      <c r="BK417" s="2" t="s">
        <v>32</v>
      </c>
      <c r="BL417" s="2">
        <v>0</v>
      </c>
      <c r="BM417" s="2" t="s">
        <v>32</v>
      </c>
      <c r="BN417" s="2" t="s">
        <v>32</v>
      </c>
      <c r="BO417" s="2" t="s">
        <v>32</v>
      </c>
      <c r="BP417" s="2">
        <v>0</v>
      </c>
      <c r="BQ417" s="2" t="s">
        <v>32</v>
      </c>
      <c r="BR417" s="2">
        <v>0</v>
      </c>
      <c r="BS417" s="2" t="s">
        <v>1660</v>
      </c>
      <c r="BT417" s="2">
        <v>0</v>
      </c>
      <c r="BU417" s="2">
        <v>0</v>
      </c>
      <c r="BV417" s="2" t="s">
        <v>1660</v>
      </c>
      <c r="BW417" s="2"/>
      <c r="BX417" s="2"/>
      <c r="BY417" s="2" t="s">
        <v>1807</v>
      </c>
      <c r="BZ417" s="2" t="b">
        <f>OR( (Dashboard[[#This Row],[ref_as_hh]]&gt;=1),(Dashboard[[#This Row],[ret_as_hh]] &gt;=1), (Dashboard[[#This Row],[idp_as_hh]]&gt;=1))</f>
        <v>0</v>
      </c>
      <c r="CA417" s="2">
        <f>Dashboard[[#This Row],[ret_hi_hh]]</f>
        <v>0</v>
      </c>
      <c r="CB417" s="2">
        <f>Dashboard[[#This Row],[idp_fa_hh]]+Dashboard[[#This Row],[ref_fa_hh]]+Dashboard[[#This Row],[ret_fa_hh]]</f>
        <v>34</v>
      </c>
      <c r="CC417" s="2">
        <f>Dashboard[[#This Row],[idp_loc_hh]]+Dashboard[[#This Row],[ref_loc_hh]]+Dashboard[[#This Row],[ret_loc_hh]]</f>
        <v>0</v>
      </c>
      <c r="CD417" s="2">
        <f>Dashboard[[#This Row],[idp_cc_hh]]+Dashboard[[#This Row],[ref_cc_hh]]+Dashboard[[#This Row],[ret_cc_hh]]</f>
        <v>0</v>
      </c>
      <c r="CE417" s="2">
        <f>Dashboard[[#This Row],[idp_as_hh]]+Dashboard[[#This Row],[ref_as_hh]]+Dashboard[[#This Row],[ret_as_hh]]</f>
        <v>0</v>
      </c>
      <c r="CF417" s="2">
        <f>Dashboard[[#This Row],[idp_al_hh]]+Dashboard[[#This Row],[ref_al_hh]]+Dashboard[[#This Row],[ret_al_hh]]</f>
        <v>0</v>
      </c>
    </row>
    <row r="418" spans="1:84" hidden="1" x14ac:dyDescent="0.25">
      <c r="A418" s="27">
        <v>436</v>
      </c>
      <c r="B418" s="2" t="s">
        <v>22</v>
      </c>
      <c r="C418" s="2" t="s">
        <v>23</v>
      </c>
      <c r="D418" s="2" t="s">
        <v>85</v>
      </c>
      <c r="E418" s="2" t="s">
        <v>84</v>
      </c>
      <c r="F418" s="2" t="s">
        <v>98</v>
      </c>
      <c r="G418" s="2" t="s">
        <v>97</v>
      </c>
      <c r="H418" s="2" t="s">
        <v>2138</v>
      </c>
      <c r="I418" s="2" t="s">
        <v>2137</v>
      </c>
      <c r="J418" s="2" t="s">
        <v>2922</v>
      </c>
      <c r="K418" s="2" t="s">
        <v>2923</v>
      </c>
      <c r="L418" s="2" t="s">
        <v>2074</v>
      </c>
      <c r="M418" s="2">
        <v>289</v>
      </c>
      <c r="N418" s="2" t="s">
        <v>1658</v>
      </c>
      <c r="O418" s="2">
        <v>5</v>
      </c>
      <c r="P418" s="2">
        <v>43</v>
      </c>
      <c r="Q418" s="2" t="s">
        <v>1658</v>
      </c>
      <c r="R418" s="2">
        <v>5</v>
      </c>
      <c r="S418" s="2" t="s">
        <v>1660</v>
      </c>
      <c r="T418" s="2">
        <v>0</v>
      </c>
      <c r="U418" s="2" t="s">
        <v>32</v>
      </c>
      <c r="V418" s="2" t="s">
        <v>32</v>
      </c>
      <c r="W418" s="2" t="s">
        <v>1660</v>
      </c>
      <c r="X418" s="2">
        <v>0</v>
      </c>
      <c r="Y418" s="2" t="s">
        <v>32</v>
      </c>
      <c r="Z418" s="2" t="s">
        <v>32</v>
      </c>
      <c r="AA418" s="2" t="s">
        <v>1660</v>
      </c>
      <c r="AB418" s="2">
        <v>0</v>
      </c>
      <c r="AC418" s="2" t="s">
        <v>1660</v>
      </c>
      <c r="AD418" s="2">
        <v>0</v>
      </c>
      <c r="AE418" s="2" t="s">
        <v>1658</v>
      </c>
      <c r="AF418" s="2">
        <v>11</v>
      </c>
      <c r="AG418" s="2">
        <v>94</v>
      </c>
      <c r="AH418" s="2" t="s">
        <v>1658</v>
      </c>
      <c r="AI418" s="2" t="s">
        <v>85</v>
      </c>
      <c r="AJ418" s="2" t="s">
        <v>98</v>
      </c>
      <c r="AK418" s="2" t="s">
        <v>632</v>
      </c>
      <c r="AL418" s="2" t="s">
        <v>1658</v>
      </c>
      <c r="AM418" s="2">
        <v>11</v>
      </c>
      <c r="AN418" s="2" t="s">
        <v>1660</v>
      </c>
      <c r="AO418" s="2">
        <v>0</v>
      </c>
      <c r="AP418" s="2" t="s">
        <v>32</v>
      </c>
      <c r="AQ418" s="2" t="s">
        <v>32</v>
      </c>
      <c r="AR418" s="2" t="s">
        <v>1660</v>
      </c>
      <c r="AS418" s="2">
        <v>0</v>
      </c>
      <c r="AT418" s="2" t="s">
        <v>32</v>
      </c>
      <c r="AU418" s="2" t="s">
        <v>32</v>
      </c>
      <c r="AV418" s="2" t="s">
        <v>1660</v>
      </c>
      <c r="AW418" s="2">
        <v>0</v>
      </c>
      <c r="AX418" s="2" t="s">
        <v>1660</v>
      </c>
      <c r="AY418" s="2">
        <v>0</v>
      </c>
      <c r="AZ418" s="2" t="s">
        <v>1660</v>
      </c>
      <c r="BA418" s="2">
        <v>0</v>
      </c>
      <c r="BB418" s="2">
        <v>0</v>
      </c>
      <c r="BC418" s="2" t="s">
        <v>32</v>
      </c>
      <c r="BD418" s="2">
        <v>0</v>
      </c>
      <c r="BE418" s="2" t="s">
        <v>32</v>
      </c>
      <c r="BF418" s="2">
        <v>0</v>
      </c>
      <c r="BG418" s="2" t="s">
        <v>32</v>
      </c>
      <c r="BH418" s="2">
        <v>0</v>
      </c>
      <c r="BI418" s="2" t="s">
        <v>32</v>
      </c>
      <c r="BJ418" s="2" t="s">
        <v>32</v>
      </c>
      <c r="BK418" s="2" t="s">
        <v>32</v>
      </c>
      <c r="BL418" s="2">
        <v>0</v>
      </c>
      <c r="BM418" s="2" t="s">
        <v>32</v>
      </c>
      <c r="BN418" s="2" t="s">
        <v>32</v>
      </c>
      <c r="BO418" s="2" t="s">
        <v>32</v>
      </c>
      <c r="BP418" s="2">
        <v>0</v>
      </c>
      <c r="BQ418" s="2" t="s">
        <v>32</v>
      </c>
      <c r="BR418" s="2">
        <v>0</v>
      </c>
      <c r="BS418" s="2" t="s">
        <v>1660</v>
      </c>
      <c r="BT418" s="2">
        <v>0</v>
      </c>
      <c r="BU418" s="2">
        <v>0</v>
      </c>
      <c r="BV418" s="2" t="s">
        <v>1660</v>
      </c>
      <c r="BW418" s="2"/>
      <c r="BX418" s="2"/>
      <c r="BY418" s="2" t="s">
        <v>1810</v>
      </c>
      <c r="BZ418" s="2" t="b">
        <f>OR( (Dashboard[[#This Row],[ref_as_hh]]&gt;=1),(Dashboard[[#This Row],[ret_as_hh]] &gt;=1), (Dashboard[[#This Row],[idp_as_hh]]&gt;=1))</f>
        <v>0</v>
      </c>
      <c r="CA418" s="2">
        <f>Dashboard[[#This Row],[ret_hi_hh]]</f>
        <v>0</v>
      </c>
      <c r="CB418" s="2">
        <f>Dashboard[[#This Row],[idp_fa_hh]]+Dashboard[[#This Row],[ref_fa_hh]]+Dashboard[[#This Row],[ret_fa_hh]]</f>
        <v>16</v>
      </c>
      <c r="CC418" s="2">
        <f>Dashboard[[#This Row],[idp_loc_hh]]+Dashboard[[#This Row],[ref_loc_hh]]+Dashboard[[#This Row],[ret_loc_hh]]</f>
        <v>0</v>
      </c>
      <c r="CD418" s="2">
        <f>Dashboard[[#This Row],[idp_cc_hh]]+Dashboard[[#This Row],[ref_cc_hh]]+Dashboard[[#This Row],[ret_cc_hh]]</f>
        <v>0</v>
      </c>
      <c r="CE418" s="2">
        <f>Dashboard[[#This Row],[idp_as_hh]]+Dashboard[[#This Row],[ref_as_hh]]+Dashboard[[#This Row],[ret_as_hh]]</f>
        <v>0</v>
      </c>
      <c r="CF418" s="2">
        <f>Dashboard[[#This Row],[idp_al_hh]]+Dashboard[[#This Row],[ref_al_hh]]+Dashboard[[#This Row],[ret_al_hh]]</f>
        <v>0</v>
      </c>
    </row>
    <row r="419" spans="1:84" hidden="1" x14ac:dyDescent="0.25">
      <c r="A419" s="27">
        <v>181</v>
      </c>
      <c r="B419" s="2" t="s">
        <v>22</v>
      </c>
      <c r="C419" s="2" t="s">
        <v>23</v>
      </c>
      <c r="D419" s="2" t="s">
        <v>85</v>
      </c>
      <c r="E419" s="2" t="s">
        <v>84</v>
      </c>
      <c r="F419" s="2" t="s">
        <v>98</v>
      </c>
      <c r="G419" s="2" t="s">
        <v>97</v>
      </c>
      <c r="H419" s="2" t="s">
        <v>1220</v>
      </c>
      <c r="I419" s="2" t="s">
        <v>420</v>
      </c>
      <c r="J419" s="2" t="s">
        <v>2962</v>
      </c>
      <c r="K419" s="2" t="s">
        <v>2963</v>
      </c>
      <c r="L419" s="2" t="s">
        <v>2074</v>
      </c>
      <c r="M419" s="2">
        <v>1720</v>
      </c>
      <c r="N419" s="2" t="s">
        <v>1658</v>
      </c>
      <c r="O419" s="2">
        <v>200</v>
      </c>
      <c r="P419" s="2">
        <v>795</v>
      </c>
      <c r="Q419" s="2" t="s">
        <v>1658</v>
      </c>
      <c r="R419" s="2">
        <v>164</v>
      </c>
      <c r="S419" s="2" t="s">
        <v>1658</v>
      </c>
      <c r="T419" s="2">
        <v>36</v>
      </c>
      <c r="U419" s="2" t="s">
        <v>1661</v>
      </c>
      <c r="V419" s="2" t="s">
        <v>32</v>
      </c>
      <c r="W419" s="2" t="s">
        <v>1660</v>
      </c>
      <c r="X419" s="2">
        <v>0</v>
      </c>
      <c r="Y419" s="2" t="s">
        <v>32</v>
      </c>
      <c r="Z419" s="2" t="s">
        <v>32</v>
      </c>
      <c r="AA419" s="2" t="s">
        <v>1660</v>
      </c>
      <c r="AB419" s="2">
        <v>0</v>
      </c>
      <c r="AC419" s="2" t="s">
        <v>1660</v>
      </c>
      <c r="AD419" s="2">
        <v>0</v>
      </c>
      <c r="AE419" s="2" t="s">
        <v>1660</v>
      </c>
      <c r="AF419" s="2">
        <v>0</v>
      </c>
      <c r="AG419" s="2">
        <v>0</v>
      </c>
      <c r="AH419" s="2" t="s">
        <v>32</v>
      </c>
      <c r="AI419" s="2" t="s">
        <v>32</v>
      </c>
      <c r="AJ419" s="2" t="s">
        <v>32</v>
      </c>
      <c r="AK419" s="2" t="s">
        <v>32</v>
      </c>
      <c r="AL419" s="2" t="s">
        <v>32</v>
      </c>
      <c r="AM419" s="2">
        <v>0</v>
      </c>
      <c r="AN419" s="2" t="s">
        <v>32</v>
      </c>
      <c r="AO419" s="2">
        <v>0</v>
      </c>
      <c r="AP419" s="2" t="s">
        <v>32</v>
      </c>
      <c r="AQ419" s="2" t="s">
        <v>32</v>
      </c>
      <c r="AR419" s="2" t="s">
        <v>32</v>
      </c>
      <c r="AS419" s="2">
        <v>0</v>
      </c>
      <c r="AT419" s="2" t="s">
        <v>32</v>
      </c>
      <c r="AU419" s="2" t="s">
        <v>32</v>
      </c>
      <c r="AV419" s="2" t="s">
        <v>32</v>
      </c>
      <c r="AW419" s="2">
        <v>0</v>
      </c>
      <c r="AX419" s="2" t="s">
        <v>32</v>
      </c>
      <c r="AY419" s="2">
        <v>0</v>
      </c>
      <c r="AZ419" s="2" t="s">
        <v>1660</v>
      </c>
      <c r="BA419" s="2">
        <v>0</v>
      </c>
      <c r="BB419" s="2">
        <v>0</v>
      </c>
      <c r="BC419" s="2" t="s">
        <v>32</v>
      </c>
      <c r="BD419" s="2">
        <v>0</v>
      </c>
      <c r="BE419" s="2" t="s">
        <v>32</v>
      </c>
      <c r="BF419" s="2">
        <v>0</v>
      </c>
      <c r="BG419" s="2" t="s">
        <v>32</v>
      </c>
      <c r="BH419" s="2">
        <v>0</v>
      </c>
      <c r="BI419" s="2" t="s">
        <v>32</v>
      </c>
      <c r="BJ419" s="2" t="s">
        <v>32</v>
      </c>
      <c r="BK419" s="2" t="s">
        <v>32</v>
      </c>
      <c r="BL419" s="2">
        <v>0</v>
      </c>
      <c r="BM419" s="2" t="s">
        <v>32</v>
      </c>
      <c r="BN419" s="2" t="s">
        <v>32</v>
      </c>
      <c r="BO419" s="2" t="s">
        <v>32</v>
      </c>
      <c r="BP419" s="2">
        <v>0</v>
      </c>
      <c r="BQ419" s="2" t="s">
        <v>32</v>
      </c>
      <c r="BR419" s="2">
        <v>0</v>
      </c>
      <c r="BS419" s="2" t="s">
        <v>1660</v>
      </c>
      <c r="BT419" s="2">
        <v>0</v>
      </c>
      <c r="BU419" s="2">
        <v>0</v>
      </c>
      <c r="BV419" s="2" t="s">
        <v>1660</v>
      </c>
      <c r="BW419" s="2"/>
      <c r="BX419" s="2"/>
      <c r="BY419" s="2" t="s">
        <v>1807</v>
      </c>
      <c r="BZ419" s="2" t="b">
        <f>OR( (Dashboard[[#This Row],[ref_as_hh]]&gt;=1),(Dashboard[[#This Row],[ret_as_hh]] &gt;=1), (Dashboard[[#This Row],[idp_as_hh]]&gt;=1))</f>
        <v>0</v>
      </c>
      <c r="CA419" s="2">
        <f>Dashboard[[#This Row],[ret_hi_hh]]</f>
        <v>0</v>
      </c>
      <c r="CB419" s="2">
        <f>Dashboard[[#This Row],[idp_fa_hh]]+Dashboard[[#This Row],[ref_fa_hh]]+Dashboard[[#This Row],[ret_fa_hh]]</f>
        <v>164</v>
      </c>
      <c r="CC419" s="2">
        <f>Dashboard[[#This Row],[idp_loc_hh]]+Dashboard[[#This Row],[ref_loc_hh]]+Dashboard[[#This Row],[ret_loc_hh]]</f>
        <v>36</v>
      </c>
      <c r="CD419" s="2">
        <f>Dashboard[[#This Row],[idp_cc_hh]]+Dashboard[[#This Row],[ref_cc_hh]]+Dashboard[[#This Row],[ret_cc_hh]]</f>
        <v>0</v>
      </c>
      <c r="CE419" s="2">
        <f>Dashboard[[#This Row],[idp_as_hh]]+Dashboard[[#This Row],[ref_as_hh]]+Dashboard[[#This Row],[ret_as_hh]]</f>
        <v>0</v>
      </c>
      <c r="CF419" s="2">
        <f>Dashboard[[#This Row],[idp_al_hh]]+Dashboard[[#This Row],[ref_al_hh]]+Dashboard[[#This Row],[ret_al_hh]]</f>
        <v>0</v>
      </c>
    </row>
    <row r="420" spans="1:84" hidden="1" x14ac:dyDescent="0.25">
      <c r="A420" s="27">
        <v>182</v>
      </c>
      <c r="B420" s="2" t="s">
        <v>22</v>
      </c>
      <c r="C420" s="2" t="s">
        <v>23</v>
      </c>
      <c r="D420" s="2" t="s">
        <v>85</v>
      </c>
      <c r="E420" s="2" t="s">
        <v>84</v>
      </c>
      <c r="F420" s="2" t="s">
        <v>98</v>
      </c>
      <c r="G420" s="2" t="s">
        <v>97</v>
      </c>
      <c r="H420" s="2" t="s">
        <v>1126</v>
      </c>
      <c r="I420" s="2" t="s">
        <v>1125</v>
      </c>
      <c r="J420" s="2" t="s">
        <v>2752</v>
      </c>
      <c r="K420" s="2" t="s">
        <v>2753</v>
      </c>
      <c r="L420" s="2" t="s">
        <v>2074</v>
      </c>
      <c r="M420" s="2">
        <v>620</v>
      </c>
      <c r="N420" s="2" t="s">
        <v>1658</v>
      </c>
      <c r="O420" s="2">
        <v>11</v>
      </c>
      <c r="P420" s="2">
        <v>90</v>
      </c>
      <c r="Q420" s="2" t="s">
        <v>1658</v>
      </c>
      <c r="R420" s="2">
        <v>11</v>
      </c>
      <c r="S420" s="2" t="s">
        <v>1660</v>
      </c>
      <c r="T420" s="2">
        <v>0</v>
      </c>
      <c r="U420" s="2" t="s">
        <v>32</v>
      </c>
      <c r="V420" s="2" t="s">
        <v>32</v>
      </c>
      <c r="W420" s="2" t="s">
        <v>1660</v>
      </c>
      <c r="X420" s="2">
        <v>0</v>
      </c>
      <c r="Y420" s="2" t="s">
        <v>32</v>
      </c>
      <c r="Z420" s="2" t="s">
        <v>32</v>
      </c>
      <c r="AA420" s="2" t="s">
        <v>1660</v>
      </c>
      <c r="AB420" s="2">
        <v>0</v>
      </c>
      <c r="AC420" s="2" t="s">
        <v>1660</v>
      </c>
      <c r="AD420" s="2">
        <v>0</v>
      </c>
      <c r="AE420" s="2" t="s">
        <v>1660</v>
      </c>
      <c r="AF420" s="2">
        <v>0</v>
      </c>
      <c r="AG420" s="2">
        <v>0</v>
      </c>
      <c r="AH420" s="2" t="s">
        <v>32</v>
      </c>
      <c r="AI420" s="2" t="s">
        <v>32</v>
      </c>
      <c r="AJ420" s="2" t="s">
        <v>32</v>
      </c>
      <c r="AK420" s="2" t="s">
        <v>32</v>
      </c>
      <c r="AL420" s="2" t="s">
        <v>32</v>
      </c>
      <c r="AM420" s="2">
        <v>0</v>
      </c>
      <c r="AN420" s="2" t="s">
        <v>32</v>
      </c>
      <c r="AO420" s="2">
        <v>0</v>
      </c>
      <c r="AP420" s="2" t="s">
        <v>32</v>
      </c>
      <c r="AQ420" s="2" t="s">
        <v>32</v>
      </c>
      <c r="AR420" s="2" t="s">
        <v>32</v>
      </c>
      <c r="AS420" s="2">
        <v>0</v>
      </c>
      <c r="AT420" s="2" t="s">
        <v>32</v>
      </c>
      <c r="AU420" s="2" t="s">
        <v>32</v>
      </c>
      <c r="AV420" s="2" t="s">
        <v>32</v>
      </c>
      <c r="AW420" s="2">
        <v>0</v>
      </c>
      <c r="AX420" s="2" t="s">
        <v>32</v>
      </c>
      <c r="AY420" s="2">
        <v>0</v>
      </c>
      <c r="AZ420" s="2" t="s">
        <v>1660</v>
      </c>
      <c r="BA420" s="2">
        <v>0</v>
      </c>
      <c r="BB420" s="2">
        <v>0</v>
      </c>
      <c r="BC420" s="2" t="s">
        <v>32</v>
      </c>
      <c r="BD420" s="2">
        <v>0</v>
      </c>
      <c r="BE420" s="2" t="s">
        <v>32</v>
      </c>
      <c r="BF420" s="2">
        <v>0</v>
      </c>
      <c r="BG420" s="2" t="s">
        <v>32</v>
      </c>
      <c r="BH420" s="2">
        <v>0</v>
      </c>
      <c r="BI420" s="2" t="s">
        <v>32</v>
      </c>
      <c r="BJ420" s="2" t="s">
        <v>32</v>
      </c>
      <c r="BK420" s="2" t="s">
        <v>32</v>
      </c>
      <c r="BL420" s="2">
        <v>0</v>
      </c>
      <c r="BM420" s="2" t="s">
        <v>32</v>
      </c>
      <c r="BN420" s="2" t="s">
        <v>32</v>
      </c>
      <c r="BO420" s="2" t="s">
        <v>32</v>
      </c>
      <c r="BP420" s="2">
        <v>0</v>
      </c>
      <c r="BQ420" s="2" t="s">
        <v>32</v>
      </c>
      <c r="BR420" s="2">
        <v>0</v>
      </c>
      <c r="BS420" s="2" t="s">
        <v>1660</v>
      </c>
      <c r="BT420" s="2">
        <v>0</v>
      </c>
      <c r="BU420" s="2">
        <v>0</v>
      </c>
      <c r="BV420" s="2" t="s">
        <v>1660</v>
      </c>
      <c r="BW420" s="2"/>
      <c r="BX420" s="2"/>
      <c r="BY420" s="2" t="s">
        <v>1807</v>
      </c>
      <c r="BZ420" s="2" t="b">
        <f>OR( (Dashboard[[#This Row],[ref_as_hh]]&gt;=1),(Dashboard[[#This Row],[ret_as_hh]] &gt;=1), (Dashboard[[#This Row],[idp_as_hh]]&gt;=1))</f>
        <v>0</v>
      </c>
      <c r="CA420" s="2">
        <f>Dashboard[[#This Row],[ret_hi_hh]]</f>
        <v>0</v>
      </c>
      <c r="CB420" s="2">
        <f>Dashboard[[#This Row],[idp_fa_hh]]+Dashboard[[#This Row],[ref_fa_hh]]+Dashboard[[#This Row],[ret_fa_hh]]</f>
        <v>11</v>
      </c>
      <c r="CC420" s="2">
        <f>Dashboard[[#This Row],[idp_loc_hh]]+Dashboard[[#This Row],[ref_loc_hh]]+Dashboard[[#This Row],[ret_loc_hh]]</f>
        <v>0</v>
      </c>
      <c r="CD420" s="2">
        <f>Dashboard[[#This Row],[idp_cc_hh]]+Dashboard[[#This Row],[ref_cc_hh]]+Dashboard[[#This Row],[ret_cc_hh]]</f>
        <v>0</v>
      </c>
      <c r="CE420" s="2">
        <f>Dashboard[[#This Row],[idp_as_hh]]+Dashboard[[#This Row],[ref_as_hh]]+Dashboard[[#This Row],[ret_as_hh]]</f>
        <v>0</v>
      </c>
      <c r="CF420" s="2">
        <f>Dashboard[[#This Row],[idp_al_hh]]+Dashboard[[#This Row],[ref_al_hh]]+Dashboard[[#This Row],[ret_al_hh]]</f>
        <v>0</v>
      </c>
    </row>
    <row r="421" spans="1:84" hidden="1" x14ac:dyDescent="0.25">
      <c r="A421" s="27">
        <v>183</v>
      </c>
      <c r="B421" s="2" t="s">
        <v>22</v>
      </c>
      <c r="C421" s="2" t="s">
        <v>23</v>
      </c>
      <c r="D421" s="2" t="s">
        <v>85</v>
      </c>
      <c r="E421" s="2" t="s">
        <v>84</v>
      </c>
      <c r="F421" s="2" t="s">
        <v>98</v>
      </c>
      <c r="G421" s="2" t="s">
        <v>97</v>
      </c>
      <c r="H421" s="2" t="s">
        <v>1157</v>
      </c>
      <c r="I421" s="2" t="s">
        <v>1156</v>
      </c>
      <c r="J421" s="2" t="s">
        <v>2812</v>
      </c>
      <c r="K421" s="2" t="s">
        <v>2813</v>
      </c>
      <c r="L421" s="2" t="s">
        <v>2074</v>
      </c>
      <c r="M421" s="2">
        <v>950</v>
      </c>
      <c r="N421" s="2" t="s">
        <v>1658</v>
      </c>
      <c r="O421" s="2">
        <v>10</v>
      </c>
      <c r="P421" s="2">
        <v>81</v>
      </c>
      <c r="Q421" s="2" t="s">
        <v>1658</v>
      </c>
      <c r="R421" s="2">
        <v>10</v>
      </c>
      <c r="S421" s="2" t="s">
        <v>1660</v>
      </c>
      <c r="T421" s="2">
        <v>0</v>
      </c>
      <c r="U421" s="2" t="s">
        <v>32</v>
      </c>
      <c r="V421" s="2" t="s">
        <v>32</v>
      </c>
      <c r="W421" s="2" t="s">
        <v>1660</v>
      </c>
      <c r="X421" s="2">
        <v>0</v>
      </c>
      <c r="Y421" s="2" t="s">
        <v>32</v>
      </c>
      <c r="Z421" s="2" t="s">
        <v>32</v>
      </c>
      <c r="AA421" s="2" t="s">
        <v>1660</v>
      </c>
      <c r="AB421" s="2">
        <v>0</v>
      </c>
      <c r="AC421" s="2" t="s">
        <v>1660</v>
      </c>
      <c r="AD421" s="2">
        <v>0</v>
      </c>
      <c r="AE421" s="2" t="s">
        <v>1660</v>
      </c>
      <c r="AF421" s="2">
        <v>0</v>
      </c>
      <c r="AG421" s="2">
        <v>0</v>
      </c>
      <c r="AH421" s="2" t="s">
        <v>32</v>
      </c>
      <c r="AI421" s="2" t="s">
        <v>32</v>
      </c>
      <c r="AJ421" s="2" t="s">
        <v>32</v>
      </c>
      <c r="AK421" s="2" t="s">
        <v>32</v>
      </c>
      <c r="AL421" s="2" t="s">
        <v>32</v>
      </c>
      <c r="AM421" s="2">
        <v>0</v>
      </c>
      <c r="AN421" s="2" t="s">
        <v>32</v>
      </c>
      <c r="AO421" s="2">
        <v>0</v>
      </c>
      <c r="AP421" s="2" t="s">
        <v>32</v>
      </c>
      <c r="AQ421" s="2" t="s">
        <v>32</v>
      </c>
      <c r="AR421" s="2" t="s">
        <v>32</v>
      </c>
      <c r="AS421" s="2">
        <v>0</v>
      </c>
      <c r="AT421" s="2" t="s">
        <v>32</v>
      </c>
      <c r="AU421" s="2" t="s">
        <v>32</v>
      </c>
      <c r="AV421" s="2" t="s">
        <v>32</v>
      </c>
      <c r="AW421" s="2">
        <v>0</v>
      </c>
      <c r="AX421" s="2" t="s">
        <v>32</v>
      </c>
      <c r="AY421" s="2">
        <v>0</v>
      </c>
      <c r="AZ421" s="2" t="s">
        <v>1660</v>
      </c>
      <c r="BA421" s="2">
        <v>0</v>
      </c>
      <c r="BB421" s="2">
        <v>0</v>
      </c>
      <c r="BC421" s="2" t="s">
        <v>32</v>
      </c>
      <c r="BD421" s="2">
        <v>0</v>
      </c>
      <c r="BE421" s="2" t="s">
        <v>32</v>
      </c>
      <c r="BF421" s="2">
        <v>0</v>
      </c>
      <c r="BG421" s="2" t="s">
        <v>32</v>
      </c>
      <c r="BH421" s="2">
        <v>0</v>
      </c>
      <c r="BI421" s="2" t="s">
        <v>32</v>
      </c>
      <c r="BJ421" s="2" t="s">
        <v>32</v>
      </c>
      <c r="BK421" s="2" t="s">
        <v>32</v>
      </c>
      <c r="BL421" s="2">
        <v>0</v>
      </c>
      <c r="BM421" s="2" t="s">
        <v>32</v>
      </c>
      <c r="BN421" s="2" t="s">
        <v>32</v>
      </c>
      <c r="BO421" s="2" t="s">
        <v>32</v>
      </c>
      <c r="BP421" s="2">
        <v>0</v>
      </c>
      <c r="BQ421" s="2" t="s">
        <v>32</v>
      </c>
      <c r="BR421" s="2">
        <v>0</v>
      </c>
      <c r="BS421" s="2" t="s">
        <v>1660</v>
      </c>
      <c r="BT421" s="2">
        <v>0</v>
      </c>
      <c r="BU421" s="2">
        <v>0</v>
      </c>
      <c r="BV421" s="2" t="s">
        <v>1660</v>
      </c>
      <c r="BW421" s="2"/>
      <c r="BX421" s="2"/>
      <c r="BY421" s="2" t="s">
        <v>1807</v>
      </c>
      <c r="BZ421" s="2" t="b">
        <f>OR( (Dashboard[[#This Row],[ref_as_hh]]&gt;=1),(Dashboard[[#This Row],[ret_as_hh]] &gt;=1), (Dashboard[[#This Row],[idp_as_hh]]&gt;=1))</f>
        <v>0</v>
      </c>
      <c r="CA421" s="2">
        <f>Dashboard[[#This Row],[ret_hi_hh]]</f>
        <v>0</v>
      </c>
      <c r="CB421" s="2">
        <f>Dashboard[[#This Row],[idp_fa_hh]]+Dashboard[[#This Row],[ref_fa_hh]]+Dashboard[[#This Row],[ret_fa_hh]]</f>
        <v>10</v>
      </c>
      <c r="CC421" s="2">
        <f>Dashboard[[#This Row],[idp_loc_hh]]+Dashboard[[#This Row],[ref_loc_hh]]+Dashboard[[#This Row],[ret_loc_hh]]</f>
        <v>0</v>
      </c>
      <c r="CD421" s="2">
        <f>Dashboard[[#This Row],[idp_cc_hh]]+Dashboard[[#This Row],[ref_cc_hh]]+Dashboard[[#This Row],[ret_cc_hh]]</f>
        <v>0</v>
      </c>
      <c r="CE421" s="2">
        <f>Dashboard[[#This Row],[idp_as_hh]]+Dashboard[[#This Row],[ref_as_hh]]+Dashboard[[#This Row],[ret_as_hh]]</f>
        <v>0</v>
      </c>
      <c r="CF421" s="2">
        <f>Dashboard[[#This Row],[idp_al_hh]]+Dashboard[[#This Row],[ref_al_hh]]+Dashboard[[#This Row],[ret_al_hh]]</f>
        <v>0</v>
      </c>
    </row>
    <row r="422" spans="1:84" hidden="1" x14ac:dyDescent="0.25">
      <c r="A422" s="27">
        <v>184</v>
      </c>
      <c r="B422" s="2" t="s">
        <v>22</v>
      </c>
      <c r="C422" s="2" t="s">
        <v>23</v>
      </c>
      <c r="D422" s="2" t="s">
        <v>85</v>
      </c>
      <c r="E422" s="2" t="s">
        <v>84</v>
      </c>
      <c r="F422" s="2" t="s">
        <v>98</v>
      </c>
      <c r="G422" s="2" t="s">
        <v>97</v>
      </c>
      <c r="H422" s="2" t="s">
        <v>1111</v>
      </c>
      <c r="I422" s="2" t="s">
        <v>1110</v>
      </c>
      <c r="J422" s="2" t="s">
        <v>2720</v>
      </c>
      <c r="K422" s="2" t="s">
        <v>2721</v>
      </c>
      <c r="L422" s="2" t="s">
        <v>2074</v>
      </c>
      <c r="M422" s="2">
        <v>250</v>
      </c>
      <c r="N422" s="2" t="s">
        <v>1658</v>
      </c>
      <c r="O422" s="2">
        <v>3</v>
      </c>
      <c r="P422" s="2">
        <v>9</v>
      </c>
      <c r="Q422" s="2" t="s">
        <v>1658</v>
      </c>
      <c r="R422" s="2">
        <v>3</v>
      </c>
      <c r="S422" s="2" t="s">
        <v>1660</v>
      </c>
      <c r="T422" s="2">
        <v>0</v>
      </c>
      <c r="U422" s="2" t="s">
        <v>32</v>
      </c>
      <c r="V422" s="2" t="s">
        <v>32</v>
      </c>
      <c r="W422" s="2" t="s">
        <v>1660</v>
      </c>
      <c r="X422" s="2">
        <v>0</v>
      </c>
      <c r="Y422" s="2" t="s">
        <v>32</v>
      </c>
      <c r="Z422" s="2" t="s">
        <v>32</v>
      </c>
      <c r="AA422" s="2" t="s">
        <v>1660</v>
      </c>
      <c r="AB422" s="2">
        <v>0</v>
      </c>
      <c r="AC422" s="2" t="s">
        <v>1660</v>
      </c>
      <c r="AD422" s="2">
        <v>0</v>
      </c>
      <c r="AE422" s="2" t="s">
        <v>1660</v>
      </c>
      <c r="AF422" s="2">
        <v>0</v>
      </c>
      <c r="AG422" s="2">
        <v>0</v>
      </c>
      <c r="AH422" s="2" t="s">
        <v>32</v>
      </c>
      <c r="AI422" s="2" t="s">
        <v>32</v>
      </c>
      <c r="AJ422" s="2" t="s">
        <v>32</v>
      </c>
      <c r="AK422" s="2" t="s">
        <v>32</v>
      </c>
      <c r="AL422" s="2" t="s">
        <v>32</v>
      </c>
      <c r="AM422" s="2">
        <v>0</v>
      </c>
      <c r="AN422" s="2" t="s">
        <v>32</v>
      </c>
      <c r="AO422" s="2">
        <v>0</v>
      </c>
      <c r="AP422" s="2" t="s">
        <v>32</v>
      </c>
      <c r="AQ422" s="2" t="s">
        <v>32</v>
      </c>
      <c r="AR422" s="2" t="s">
        <v>32</v>
      </c>
      <c r="AS422" s="2">
        <v>0</v>
      </c>
      <c r="AT422" s="2" t="s">
        <v>32</v>
      </c>
      <c r="AU422" s="2" t="s">
        <v>32</v>
      </c>
      <c r="AV422" s="2" t="s">
        <v>32</v>
      </c>
      <c r="AW422" s="2">
        <v>0</v>
      </c>
      <c r="AX422" s="2" t="s">
        <v>32</v>
      </c>
      <c r="AY422" s="2">
        <v>0</v>
      </c>
      <c r="AZ422" s="2" t="s">
        <v>1660</v>
      </c>
      <c r="BA422" s="2">
        <v>0</v>
      </c>
      <c r="BB422" s="2">
        <v>0</v>
      </c>
      <c r="BC422" s="2" t="s">
        <v>32</v>
      </c>
      <c r="BD422" s="2">
        <v>0</v>
      </c>
      <c r="BE422" s="2" t="s">
        <v>32</v>
      </c>
      <c r="BF422" s="2">
        <v>0</v>
      </c>
      <c r="BG422" s="2" t="s">
        <v>32</v>
      </c>
      <c r="BH422" s="2">
        <v>0</v>
      </c>
      <c r="BI422" s="2" t="s">
        <v>32</v>
      </c>
      <c r="BJ422" s="2" t="s">
        <v>32</v>
      </c>
      <c r="BK422" s="2" t="s">
        <v>32</v>
      </c>
      <c r="BL422" s="2">
        <v>0</v>
      </c>
      <c r="BM422" s="2" t="s">
        <v>32</v>
      </c>
      <c r="BN422" s="2" t="s">
        <v>32</v>
      </c>
      <c r="BO422" s="2" t="s">
        <v>32</v>
      </c>
      <c r="BP422" s="2">
        <v>0</v>
      </c>
      <c r="BQ422" s="2" t="s">
        <v>32</v>
      </c>
      <c r="BR422" s="2">
        <v>0</v>
      </c>
      <c r="BS422" s="2" t="s">
        <v>1660</v>
      </c>
      <c r="BT422" s="2">
        <v>0</v>
      </c>
      <c r="BU422" s="2">
        <v>0</v>
      </c>
      <c r="BV422" s="2" t="s">
        <v>1660</v>
      </c>
      <c r="BW422" s="2"/>
      <c r="BX422" s="2"/>
      <c r="BY422" s="2" t="s">
        <v>1807</v>
      </c>
      <c r="BZ422" s="2" t="b">
        <f>OR( (Dashboard[[#This Row],[ref_as_hh]]&gt;=1),(Dashboard[[#This Row],[ret_as_hh]] &gt;=1), (Dashboard[[#This Row],[idp_as_hh]]&gt;=1))</f>
        <v>0</v>
      </c>
      <c r="CA422" s="2">
        <f>Dashboard[[#This Row],[ret_hi_hh]]</f>
        <v>0</v>
      </c>
      <c r="CB422" s="2">
        <f>Dashboard[[#This Row],[idp_fa_hh]]+Dashboard[[#This Row],[ref_fa_hh]]+Dashboard[[#This Row],[ret_fa_hh]]</f>
        <v>3</v>
      </c>
      <c r="CC422" s="2">
        <f>Dashboard[[#This Row],[idp_loc_hh]]+Dashboard[[#This Row],[ref_loc_hh]]+Dashboard[[#This Row],[ret_loc_hh]]</f>
        <v>0</v>
      </c>
      <c r="CD422" s="2">
        <f>Dashboard[[#This Row],[idp_cc_hh]]+Dashboard[[#This Row],[ref_cc_hh]]+Dashboard[[#This Row],[ret_cc_hh]]</f>
        <v>0</v>
      </c>
      <c r="CE422" s="2">
        <f>Dashboard[[#This Row],[idp_as_hh]]+Dashboard[[#This Row],[ref_as_hh]]+Dashboard[[#This Row],[ret_as_hh]]</f>
        <v>0</v>
      </c>
      <c r="CF422" s="2">
        <f>Dashboard[[#This Row],[idp_al_hh]]+Dashboard[[#This Row],[ref_al_hh]]+Dashboard[[#This Row],[ret_al_hh]]</f>
        <v>0</v>
      </c>
    </row>
    <row r="423" spans="1:84" hidden="1" x14ac:dyDescent="0.25">
      <c r="A423" s="27">
        <v>185</v>
      </c>
      <c r="B423" s="2" t="s">
        <v>22</v>
      </c>
      <c r="C423" s="2" t="s">
        <v>23</v>
      </c>
      <c r="D423" s="2" t="s">
        <v>85</v>
      </c>
      <c r="E423" s="2" t="s">
        <v>84</v>
      </c>
      <c r="F423" s="2" t="s">
        <v>98</v>
      </c>
      <c r="G423" s="2" t="s">
        <v>97</v>
      </c>
      <c r="H423" s="2" t="s">
        <v>1136</v>
      </c>
      <c r="I423" s="2" t="s">
        <v>295</v>
      </c>
      <c r="J423" s="2" t="s">
        <v>2768</v>
      </c>
      <c r="K423" s="2" t="s">
        <v>2769</v>
      </c>
      <c r="L423" s="2" t="s">
        <v>3693</v>
      </c>
      <c r="M423" s="2">
        <v>390</v>
      </c>
      <c r="N423" s="2" t="s">
        <v>1658</v>
      </c>
      <c r="O423" s="2">
        <v>13</v>
      </c>
      <c r="P423" s="2">
        <v>87</v>
      </c>
      <c r="Q423" s="2" t="s">
        <v>1658</v>
      </c>
      <c r="R423" s="2">
        <v>13</v>
      </c>
      <c r="S423" s="2" t="s">
        <v>1660</v>
      </c>
      <c r="T423" s="2">
        <v>0</v>
      </c>
      <c r="U423" s="2" t="s">
        <v>32</v>
      </c>
      <c r="V423" s="2" t="s">
        <v>32</v>
      </c>
      <c r="W423" s="2" t="s">
        <v>1660</v>
      </c>
      <c r="X423" s="2">
        <v>0</v>
      </c>
      <c r="Y423" s="2" t="s">
        <v>32</v>
      </c>
      <c r="Z423" s="2" t="s">
        <v>32</v>
      </c>
      <c r="AA423" s="2" t="s">
        <v>1660</v>
      </c>
      <c r="AB423" s="2">
        <v>0</v>
      </c>
      <c r="AC423" s="2" t="s">
        <v>1660</v>
      </c>
      <c r="AD423" s="2">
        <v>0</v>
      </c>
      <c r="AE423" s="2" t="s">
        <v>1660</v>
      </c>
      <c r="AF423" s="2">
        <v>0</v>
      </c>
      <c r="AG423" s="2">
        <v>0</v>
      </c>
      <c r="AH423" s="2" t="s">
        <v>32</v>
      </c>
      <c r="AI423" s="2" t="s">
        <v>32</v>
      </c>
      <c r="AJ423" s="2" t="s">
        <v>32</v>
      </c>
      <c r="AK423" s="2" t="s">
        <v>32</v>
      </c>
      <c r="AL423" s="2" t="s">
        <v>32</v>
      </c>
      <c r="AM423" s="2">
        <v>0</v>
      </c>
      <c r="AN423" s="2" t="s">
        <v>32</v>
      </c>
      <c r="AO423" s="2">
        <v>0</v>
      </c>
      <c r="AP423" s="2" t="s">
        <v>32</v>
      </c>
      <c r="AQ423" s="2" t="s">
        <v>32</v>
      </c>
      <c r="AR423" s="2" t="s">
        <v>32</v>
      </c>
      <c r="AS423" s="2">
        <v>0</v>
      </c>
      <c r="AT423" s="2" t="s">
        <v>32</v>
      </c>
      <c r="AU423" s="2" t="s">
        <v>32</v>
      </c>
      <c r="AV423" s="2" t="s">
        <v>32</v>
      </c>
      <c r="AW423" s="2">
        <v>0</v>
      </c>
      <c r="AX423" s="2" t="s">
        <v>32</v>
      </c>
      <c r="AY423" s="2">
        <v>0</v>
      </c>
      <c r="AZ423" s="2" t="s">
        <v>1660</v>
      </c>
      <c r="BA423" s="2">
        <v>0</v>
      </c>
      <c r="BB423" s="2">
        <v>0</v>
      </c>
      <c r="BC423" s="2" t="s">
        <v>32</v>
      </c>
      <c r="BD423" s="2">
        <v>0</v>
      </c>
      <c r="BE423" s="2" t="s">
        <v>32</v>
      </c>
      <c r="BF423" s="2">
        <v>0</v>
      </c>
      <c r="BG423" s="2" t="s">
        <v>32</v>
      </c>
      <c r="BH423" s="2">
        <v>0</v>
      </c>
      <c r="BI423" s="2" t="s">
        <v>32</v>
      </c>
      <c r="BJ423" s="2" t="s">
        <v>32</v>
      </c>
      <c r="BK423" s="2" t="s">
        <v>32</v>
      </c>
      <c r="BL423" s="2">
        <v>0</v>
      </c>
      <c r="BM423" s="2" t="s">
        <v>32</v>
      </c>
      <c r="BN423" s="2" t="s">
        <v>32</v>
      </c>
      <c r="BO423" s="2" t="s">
        <v>32</v>
      </c>
      <c r="BP423" s="2">
        <v>0</v>
      </c>
      <c r="BQ423" s="2" t="s">
        <v>32</v>
      </c>
      <c r="BR423" s="2">
        <v>0</v>
      </c>
      <c r="BS423" s="2" t="s">
        <v>1660</v>
      </c>
      <c r="BT423" s="2">
        <v>0</v>
      </c>
      <c r="BU423" s="2">
        <v>0</v>
      </c>
      <c r="BV423" s="2" t="s">
        <v>1660</v>
      </c>
      <c r="BW423" s="2"/>
      <c r="BX423" s="2"/>
      <c r="BY423" s="2" t="s">
        <v>1807</v>
      </c>
      <c r="BZ423" s="2" t="b">
        <f>OR( (Dashboard[[#This Row],[ref_as_hh]]&gt;=1),(Dashboard[[#This Row],[ret_as_hh]] &gt;=1), (Dashboard[[#This Row],[idp_as_hh]]&gt;=1))</f>
        <v>0</v>
      </c>
      <c r="CA423" s="2">
        <f>Dashboard[[#This Row],[ret_hi_hh]]</f>
        <v>0</v>
      </c>
      <c r="CB423" s="2">
        <f>Dashboard[[#This Row],[idp_fa_hh]]+Dashboard[[#This Row],[ref_fa_hh]]+Dashboard[[#This Row],[ret_fa_hh]]</f>
        <v>13</v>
      </c>
      <c r="CC423" s="2">
        <f>Dashboard[[#This Row],[idp_loc_hh]]+Dashboard[[#This Row],[ref_loc_hh]]+Dashboard[[#This Row],[ret_loc_hh]]</f>
        <v>0</v>
      </c>
      <c r="CD423" s="2">
        <f>Dashboard[[#This Row],[idp_cc_hh]]+Dashboard[[#This Row],[ref_cc_hh]]+Dashboard[[#This Row],[ret_cc_hh]]</f>
        <v>0</v>
      </c>
      <c r="CE423" s="2">
        <f>Dashboard[[#This Row],[idp_as_hh]]+Dashboard[[#This Row],[ref_as_hh]]+Dashboard[[#This Row],[ret_as_hh]]</f>
        <v>0</v>
      </c>
      <c r="CF423" s="2">
        <f>Dashboard[[#This Row],[idp_al_hh]]+Dashboard[[#This Row],[ref_al_hh]]+Dashboard[[#This Row],[ret_al_hh]]</f>
        <v>0</v>
      </c>
    </row>
    <row r="424" spans="1:84" hidden="1" x14ac:dyDescent="0.25">
      <c r="A424" s="27">
        <v>186</v>
      </c>
      <c r="B424" s="2" t="s">
        <v>22</v>
      </c>
      <c r="C424" s="2" t="s">
        <v>23</v>
      </c>
      <c r="D424" s="2" t="s">
        <v>85</v>
      </c>
      <c r="E424" s="2" t="s">
        <v>84</v>
      </c>
      <c r="F424" s="2" t="s">
        <v>98</v>
      </c>
      <c r="G424" s="2" t="s">
        <v>97</v>
      </c>
      <c r="H424" s="2" t="s">
        <v>1120</v>
      </c>
      <c r="I424" s="2" t="s">
        <v>1119</v>
      </c>
      <c r="J424" s="2" t="s">
        <v>2740</v>
      </c>
      <c r="K424" s="2" t="s">
        <v>2741</v>
      </c>
      <c r="L424" s="2" t="s">
        <v>2074</v>
      </c>
      <c r="M424" s="2">
        <v>1010</v>
      </c>
      <c r="N424" s="2" t="s">
        <v>1658</v>
      </c>
      <c r="O424" s="2">
        <v>13</v>
      </c>
      <c r="P424" s="2">
        <v>87</v>
      </c>
      <c r="Q424" s="2" t="s">
        <v>1658</v>
      </c>
      <c r="R424" s="2">
        <v>13</v>
      </c>
      <c r="S424" s="2" t="s">
        <v>1660</v>
      </c>
      <c r="T424" s="2">
        <v>0</v>
      </c>
      <c r="U424" s="2" t="s">
        <v>32</v>
      </c>
      <c r="V424" s="2" t="s">
        <v>32</v>
      </c>
      <c r="W424" s="2" t="s">
        <v>1660</v>
      </c>
      <c r="X424" s="2">
        <v>0</v>
      </c>
      <c r="Y424" s="2" t="s">
        <v>32</v>
      </c>
      <c r="Z424" s="2" t="s">
        <v>32</v>
      </c>
      <c r="AA424" s="2" t="s">
        <v>1660</v>
      </c>
      <c r="AB424" s="2">
        <v>0</v>
      </c>
      <c r="AC424" s="2" t="s">
        <v>1660</v>
      </c>
      <c r="AD424" s="2">
        <v>0</v>
      </c>
      <c r="AE424" s="2" t="s">
        <v>1660</v>
      </c>
      <c r="AF424" s="2">
        <v>0</v>
      </c>
      <c r="AG424" s="2">
        <v>0</v>
      </c>
      <c r="AH424" s="2" t="s">
        <v>32</v>
      </c>
      <c r="AI424" s="2" t="s">
        <v>32</v>
      </c>
      <c r="AJ424" s="2" t="s">
        <v>32</v>
      </c>
      <c r="AK424" s="2" t="s">
        <v>32</v>
      </c>
      <c r="AL424" s="2" t="s">
        <v>32</v>
      </c>
      <c r="AM424" s="2">
        <v>0</v>
      </c>
      <c r="AN424" s="2" t="s">
        <v>32</v>
      </c>
      <c r="AO424" s="2">
        <v>0</v>
      </c>
      <c r="AP424" s="2" t="s">
        <v>32</v>
      </c>
      <c r="AQ424" s="2" t="s">
        <v>32</v>
      </c>
      <c r="AR424" s="2" t="s">
        <v>32</v>
      </c>
      <c r="AS424" s="2">
        <v>0</v>
      </c>
      <c r="AT424" s="2" t="s">
        <v>32</v>
      </c>
      <c r="AU424" s="2" t="s">
        <v>32</v>
      </c>
      <c r="AV424" s="2" t="s">
        <v>32</v>
      </c>
      <c r="AW424" s="2">
        <v>0</v>
      </c>
      <c r="AX424" s="2" t="s">
        <v>32</v>
      </c>
      <c r="AY424" s="2">
        <v>0</v>
      </c>
      <c r="AZ424" s="2" t="s">
        <v>1660</v>
      </c>
      <c r="BA424" s="2">
        <v>0</v>
      </c>
      <c r="BB424" s="2">
        <v>0</v>
      </c>
      <c r="BC424" s="2" t="s">
        <v>32</v>
      </c>
      <c r="BD424" s="2">
        <v>0</v>
      </c>
      <c r="BE424" s="2" t="s">
        <v>32</v>
      </c>
      <c r="BF424" s="2">
        <v>0</v>
      </c>
      <c r="BG424" s="2" t="s">
        <v>32</v>
      </c>
      <c r="BH424" s="2">
        <v>0</v>
      </c>
      <c r="BI424" s="2" t="s">
        <v>32</v>
      </c>
      <c r="BJ424" s="2" t="s">
        <v>32</v>
      </c>
      <c r="BK424" s="2" t="s">
        <v>32</v>
      </c>
      <c r="BL424" s="2">
        <v>0</v>
      </c>
      <c r="BM424" s="2" t="s">
        <v>32</v>
      </c>
      <c r="BN424" s="2" t="s">
        <v>32</v>
      </c>
      <c r="BO424" s="2" t="s">
        <v>32</v>
      </c>
      <c r="BP424" s="2">
        <v>0</v>
      </c>
      <c r="BQ424" s="2" t="s">
        <v>32</v>
      </c>
      <c r="BR424" s="2">
        <v>0</v>
      </c>
      <c r="BS424" s="2" t="s">
        <v>1660</v>
      </c>
      <c r="BT424" s="2">
        <v>0</v>
      </c>
      <c r="BU424" s="2">
        <v>0</v>
      </c>
      <c r="BV424" s="2" t="s">
        <v>1660</v>
      </c>
      <c r="BW424" s="2"/>
      <c r="BX424" s="2"/>
      <c r="BY424" s="2" t="s">
        <v>1807</v>
      </c>
      <c r="BZ424" s="2" t="b">
        <f>OR( (Dashboard[[#This Row],[ref_as_hh]]&gt;=1),(Dashboard[[#This Row],[ret_as_hh]] &gt;=1), (Dashboard[[#This Row],[idp_as_hh]]&gt;=1))</f>
        <v>0</v>
      </c>
      <c r="CA424" s="2">
        <f>Dashboard[[#This Row],[ret_hi_hh]]</f>
        <v>0</v>
      </c>
      <c r="CB424" s="2">
        <f>Dashboard[[#This Row],[idp_fa_hh]]+Dashboard[[#This Row],[ref_fa_hh]]+Dashboard[[#This Row],[ret_fa_hh]]</f>
        <v>13</v>
      </c>
      <c r="CC424" s="2">
        <f>Dashboard[[#This Row],[idp_loc_hh]]+Dashboard[[#This Row],[ref_loc_hh]]+Dashboard[[#This Row],[ret_loc_hh]]</f>
        <v>0</v>
      </c>
      <c r="CD424" s="2">
        <f>Dashboard[[#This Row],[idp_cc_hh]]+Dashboard[[#This Row],[ref_cc_hh]]+Dashboard[[#This Row],[ret_cc_hh]]</f>
        <v>0</v>
      </c>
      <c r="CE424" s="2">
        <f>Dashboard[[#This Row],[idp_as_hh]]+Dashboard[[#This Row],[ref_as_hh]]+Dashboard[[#This Row],[ret_as_hh]]</f>
        <v>0</v>
      </c>
      <c r="CF424" s="2">
        <f>Dashboard[[#This Row],[idp_al_hh]]+Dashboard[[#This Row],[ref_al_hh]]+Dashboard[[#This Row],[ret_al_hh]]</f>
        <v>0</v>
      </c>
    </row>
    <row r="425" spans="1:84" hidden="1" x14ac:dyDescent="0.25">
      <c r="A425" s="27">
        <v>187</v>
      </c>
      <c r="B425" s="2" t="s">
        <v>22</v>
      </c>
      <c r="C425" s="2" t="s">
        <v>23</v>
      </c>
      <c r="D425" s="2" t="s">
        <v>85</v>
      </c>
      <c r="E425" s="2" t="s">
        <v>84</v>
      </c>
      <c r="F425" s="2" t="s">
        <v>98</v>
      </c>
      <c r="G425" s="2" t="s">
        <v>97</v>
      </c>
      <c r="H425" s="2" t="s">
        <v>1183</v>
      </c>
      <c r="I425" s="2" t="s">
        <v>1182</v>
      </c>
      <c r="J425" s="2" t="s">
        <v>2868</v>
      </c>
      <c r="K425" s="2" t="s">
        <v>2869</v>
      </c>
      <c r="L425" s="2" t="s">
        <v>2074</v>
      </c>
      <c r="M425" s="2">
        <v>361</v>
      </c>
      <c r="N425" s="2" t="s">
        <v>1658</v>
      </c>
      <c r="O425" s="2">
        <v>13</v>
      </c>
      <c r="P425" s="2">
        <v>85</v>
      </c>
      <c r="Q425" s="2" t="s">
        <v>1658</v>
      </c>
      <c r="R425" s="2">
        <v>13</v>
      </c>
      <c r="S425" s="2" t="s">
        <v>1660</v>
      </c>
      <c r="T425" s="2">
        <v>0</v>
      </c>
      <c r="U425" s="2" t="s">
        <v>32</v>
      </c>
      <c r="V425" s="2" t="s">
        <v>32</v>
      </c>
      <c r="W425" s="2" t="s">
        <v>1660</v>
      </c>
      <c r="X425" s="2">
        <v>0</v>
      </c>
      <c r="Y425" s="2" t="s">
        <v>32</v>
      </c>
      <c r="Z425" s="2" t="s">
        <v>32</v>
      </c>
      <c r="AA425" s="2" t="s">
        <v>1660</v>
      </c>
      <c r="AB425" s="2">
        <v>0</v>
      </c>
      <c r="AC425" s="2" t="s">
        <v>1660</v>
      </c>
      <c r="AD425" s="2">
        <v>0</v>
      </c>
      <c r="AE425" s="2" t="s">
        <v>1660</v>
      </c>
      <c r="AF425" s="2">
        <v>0</v>
      </c>
      <c r="AG425" s="2">
        <v>0</v>
      </c>
      <c r="AH425" s="2" t="s">
        <v>32</v>
      </c>
      <c r="AI425" s="2" t="s">
        <v>32</v>
      </c>
      <c r="AJ425" s="2" t="s">
        <v>32</v>
      </c>
      <c r="AK425" s="2" t="s">
        <v>32</v>
      </c>
      <c r="AL425" s="2" t="s">
        <v>32</v>
      </c>
      <c r="AM425" s="2">
        <v>0</v>
      </c>
      <c r="AN425" s="2" t="s">
        <v>32</v>
      </c>
      <c r="AO425" s="2">
        <v>0</v>
      </c>
      <c r="AP425" s="2" t="s">
        <v>32</v>
      </c>
      <c r="AQ425" s="2" t="s">
        <v>32</v>
      </c>
      <c r="AR425" s="2" t="s">
        <v>32</v>
      </c>
      <c r="AS425" s="2">
        <v>0</v>
      </c>
      <c r="AT425" s="2" t="s">
        <v>32</v>
      </c>
      <c r="AU425" s="2" t="s">
        <v>32</v>
      </c>
      <c r="AV425" s="2" t="s">
        <v>32</v>
      </c>
      <c r="AW425" s="2">
        <v>0</v>
      </c>
      <c r="AX425" s="2" t="s">
        <v>32</v>
      </c>
      <c r="AY425" s="2">
        <v>0</v>
      </c>
      <c r="AZ425" s="2" t="s">
        <v>1660</v>
      </c>
      <c r="BA425" s="2">
        <v>0</v>
      </c>
      <c r="BB425" s="2">
        <v>0</v>
      </c>
      <c r="BC425" s="2" t="s">
        <v>32</v>
      </c>
      <c r="BD425" s="2">
        <v>0</v>
      </c>
      <c r="BE425" s="2" t="s">
        <v>32</v>
      </c>
      <c r="BF425" s="2">
        <v>0</v>
      </c>
      <c r="BG425" s="2" t="s">
        <v>32</v>
      </c>
      <c r="BH425" s="2">
        <v>0</v>
      </c>
      <c r="BI425" s="2" t="s">
        <v>32</v>
      </c>
      <c r="BJ425" s="2" t="s">
        <v>32</v>
      </c>
      <c r="BK425" s="2" t="s">
        <v>32</v>
      </c>
      <c r="BL425" s="2">
        <v>0</v>
      </c>
      <c r="BM425" s="2" t="s">
        <v>32</v>
      </c>
      <c r="BN425" s="2" t="s">
        <v>32</v>
      </c>
      <c r="BO425" s="2" t="s">
        <v>32</v>
      </c>
      <c r="BP425" s="2">
        <v>0</v>
      </c>
      <c r="BQ425" s="2" t="s">
        <v>32</v>
      </c>
      <c r="BR425" s="2">
        <v>0</v>
      </c>
      <c r="BS425" s="2" t="s">
        <v>1660</v>
      </c>
      <c r="BT425" s="2">
        <v>0</v>
      </c>
      <c r="BU425" s="2">
        <v>0</v>
      </c>
      <c r="BV425" s="2" t="s">
        <v>1660</v>
      </c>
      <c r="BW425" s="2"/>
      <c r="BX425" s="2"/>
      <c r="BY425" s="2" t="s">
        <v>1807</v>
      </c>
      <c r="BZ425" s="2" t="b">
        <f>OR( (Dashboard[[#This Row],[ref_as_hh]]&gt;=1),(Dashboard[[#This Row],[ret_as_hh]] &gt;=1), (Dashboard[[#This Row],[idp_as_hh]]&gt;=1))</f>
        <v>0</v>
      </c>
      <c r="CA425" s="2">
        <f>Dashboard[[#This Row],[ret_hi_hh]]</f>
        <v>0</v>
      </c>
      <c r="CB425" s="2">
        <f>Dashboard[[#This Row],[idp_fa_hh]]+Dashboard[[#This Row],[ref_fa_hh]]+Dashboard[[#This Row],[ret_fa_hh]]</f>
        <v>13</v>
      </c>
      <c r="CC425" s="2">
        <f>Dashboard[[#This Row],[idp_loc_hh]]+Dashboard[[#This Row],[ref_loc_hh]]+Dashboard[[#This Row],[ret_loc_hh]]</f>
        <v>0</v>
      </c>
      <c r="CD425" s="2">
        <f>Dashboard[[#This Row],[idp_cc_hh]]+Dashboard[[#This Row],[ref_cc_hh]]+Dashboard[[#This Row],[ret_cc_hh]]</f>
        <v>0</v>
      </c>
      <c r="CE425" s="2">
        <f>Dashboard[[#This Row],[idp_as_hh]]+Dashboard[[#This Row],[ref_as_hh]]+Dashboard[[#This Row],[ret_as_hh]]</f>
        <v>0</v>
      </c>
      <c r="CF425" s="2">
        <f>Dashboard[[#This Row],[idp_al_hh]]+Dashboard[[#This Row],[ref_al_hh]]+Dashboard[[#This Row],[ret_al_hh]]</f>
        <v>0</v>
      </c>
    </row>
    <row r="426" spans="1:84" hidden="1" x14ac:dyDescent="0.25">
      <c r="A426" s="27">
        <v>188</v>
      </c>
      <c r="B426" s="2" t="s">
        <v>22</v>
      </c>
      <c r="C426" s="2" t="s">
        <v>23</v>
      </c>
      <c r="D426" s="2" t="s">
        <v>85</v>
      </c>
      <c r="E426" s="2" t="s">
        <v>84</v>
      </c>
      <c r="F426" s="2" t="s">
        <v>98</v>
      </c>
      <c r="G426" s="2" t="s">
        <v>97</v>
      </c>
      <c r="H426" s="2" t="s">
        <v>1202</v>
      </c>
      <c r="I426" s="2" t="s">
        <v>301</v>
      </c>
      <c r="J426" s="2" t="s">
        <v>2914</v>
      </c>
      <c r="K426" s="2" t="s">
        <v>2915</v>
      </c>
      <c r="L426" s="2" t="s">
        <v>2074</v>
      </c>
      <c r="M426" s="2">
        <v>153</v>
      </c>
      <c r="N426" s="2" t="s">
        <v>1658</v>
      </c>
      <c r="O426" s="2">
        <v>10</v>
      </c>
      <c r="P426" s="2">
        <v>57</v>
      </c>
      <c r="Q426" s="2" t="s">
        <v>1658</v>
      </c>
      <c r="R426" s="2">
        <v>10</v>
      </c>
      <c r="S426" s="2" t="s">
        <v>1660</v>
      </c>
      <c r="T426" s="2">
        <v>0</v>
      </c>
      <c r="U426" s="2" t="s">
        <v>32</v>
      </c>
      <c r="V426" s="2" t="s">
        <v>32</v>
      </c>
      <c r="W426" s="2" t="s">
        <v>1660</v>
      </c>
      <c r="X426" s="2">
        <v>0</v>
      </c>
      <c r="Y426" s="2" t="s">
        <v>32</v>
      </c>
      <c r="Z426" s="2" t="s">
        <v>32</v>
      </c>
      <c r="AA426" s="2" t="s">
        <v>1660</v>
      </c>
      <c r="AB426" s="2">
        <v>0</v>
      </c>
      <c r="AC426" s="2" t="s">
        <v>1660</v>
      </c>
      <c r="AD426" s="2">
        <v>0</v>
      </c>
      <c r="AE426" s="2" t="s">
        <v>1660</v>
      </c>
      <c r="AF426" s="2">
        <v>0</v>
      </c>
      <c r="AG426" s="2">
        <v>0</v>
      </c>
      <c r="AH426" s="2" t="s">
        <v>32</v>
      </c>
      <c r="AI426" s="2" t="s">
        <v>32</v>
      </c>
      <c r="AJ426" s="2" t="s">
        <v>32</v>
      </c>
      <c r="AK426" s="2" t="s">
        <v>32</v>
      </c>
      <c r="AL426" s="2" t="s">
        <v>32</v>
      </c>
      <c r="AM426" s="2">
        <v>0</v>
      </c>
      <c r="AN426" s="2" t="s">
        <v>32</v>
      </c>
      <c r="AO426" s="2">
        <v>0</v>
      </c>
      <c r="AP426" s="2" t="s">
        <v>32</v>
      </c>
      <c r="AQ426" s="2" t="s">
        <v>32</v>
      </c>
      <c r="AR426" s="2" t="s">
        <v>32</v>
      </c>
      <c r="AS426" s="2">
        <v>0</v>
      </c>
      <c r="AT426" s="2" t="s">
        <v>32</v>
      </c>
      <c r="AU426" s="2" t="s">
        <v>32</v>
      </c>
      <c r="AV426" s="2" t="s">
        <v>32</v>
      </c>
      <c r="AW426" s="2">
        <v>0</v>
      </c>
      <c r="AX426" s="2" t="s">
        <v>32</v>
      </c>
      <c r="AY426" s="2">
        <v>0</v>
      </c>
      <c r="AZ426" s="2" t="s">
        <v>1660</v>
      </c>
      <c r="BA426" s="2">
        <v>0</v>
      </c>
      <c r="BB426" s="2">
        <v>0</v>
      </c>
      <c r="BC426" s="2" t="s">
        <v>32</v>
      </c>
      <c r="BD426" s="2">
        <v>0</v>
      </c>
      <c r="BE426" s="2" t="s">
        <v>32</v>
      </c>
      <c r="BF426" s="2">
        <v>0</v>
      </c>
      <c r="BG426" s="2" t="s">
        <v>32</v>
      </c>
      <c r="BH426" s="2">
        <v>0</v>
      </c>
      <c r="BI426" s="2" t="s">
        <v>32</v>
      </c>
      <c r="BJ426" s="2" t="s">
        <v>32</v>
      </c>
      <c r="BK426" s="2" t="s">
        <v>32</v>
      </c>
      <c r="BL426" s="2">
        <v>0</v>
      </c>
      <c r="BM426" s="2" t="s">
        <v>32</v>
      </c>
      <c r="BN426" s="2" t="s">
        <v>32</v>
      </c>
      <c r="BO426" s="2" t="s">
        <v>32</v>
      </c>
      <c r="BP426" s="2">
        <v>0</v>
      </c>
      <c r="BQ426" s="2" t="s">
        <v>32</v>
      </c>
      <c r="BR426" s="2">
        <v>0</v>
      </c>
      <c r="BS426" s="2" t="s">
        <v>1660</v>
      </c>
      <c r="BT426" s="2">
        <v>0</v>
      </c>
      <c r="BU426" s="2">
        <v>0</v>
      </c>
      <c r="BV426" s="2" t="s">
        <v>1660</v>
      </c>
      <c r="BW426" s="2"/>
      <c r="BX426" s="2"/>
      <c r="BY426" s="2" t="s">
        <v>1807</v>
      </c>
      <c r="BZ426" s="2" t="b">
        <f>OR( (Dashboard[[#This Row],[ref_as_hh]]&gt;=1),(Dashboard[[#This Row],[ret_as_hh]] &gt;=1), (Dashboard[[#This Row],[idp_as_hh]]&gt;=1))</f>
        <v>0</v>
      </c>
      <c r="CA426" s="2">
        <f>Dashboard[[#This Row],[ret_hi_hh]]</f>
        <v>0</v>
      </c>
      <c r="CB426" s="2">
        <f>Dashboard[[#This Row],[idp_fa_hh]]+Dashboard[[#This Row],[ref_fa_hh]]+Dashboard[[#This Row],[ret_fa_hh]]</f>
        <v>10</v>
      </c>
      <c r="CC426" s="2">
        <f>Dashboard[[#This Row],[idp_loc_hh]]+Dashboard[[#This Row],[ref_loc_hh]]+Dashboard[[#This Row],[ret_loc_hh]]</f>
        <v>0</v>
      </c>
      <c r="CD426" s="2">
        <f>Dashboard[[#This Row],[idp_cc_hh]]+Dashboard[[#This Row],[ref_cc_hh]]+Dashboard[[#This Row],[ret_cc_hh]]</f>
        <v>0</v>
      </c>
      <c r="CE426" s="2">
        <f>Dashboard[[#This Row],[idp_as_hh]]+Dashboard[[#This Row],[ref_as_hh]]+Dashboard[[#This Row],[ret_as_hh]]</f>
        <v>0</v>
      </c>
      <c r="CF426" s="2">
        <f>Dashboard[[#This Row],[idp_al_hh]]+Dashboard[[#This Row],[ref_al_hh]]+Dashboard[[#This Row],[ret_al_hh]]</f>
        <v>0</v>
      </c>
    </row>
    <row r="427" spans="1:84" hidden="1" x14ac:dyDescent="0.25">
      <c r="A427" s="27">
        <v>189</v>
      </c>
      <c r="B427" s="2" t="s">
        <v>22</v>
      </c>
      <c r="C427" s="2" t="s">
        <v>23</v>
      </c>
      <c r="D427" s="2" t="s">
        <v>85</v>
      </c>
      <c r="E427" s="2" t="s">
        <v>84</v>
      </c>
      <c r="F427" s="2" t="s">
        <v>98</v>
      </c>
      <c r="G427" s="2" t="s">
        <v>97</v>
      </c>
      <c r="H427" s="2" t="s">
        <v>1244</v>
      </c>
      <c r="I427" s="2" t="s">
        <v>1243</v>
      </c>
      <c r="J427" s="2" t="s">
        <v>3016</v>
      </c>
      <c r="K427" s="2" t="s">
        <v>3017</v>
      </c>
      <c r="L427" s="2" t="s">
        <v>2074</v>
      </c>
      <c r="M427" s="2">
        <v>120</v>
      </c>
      <c r="N427" s="2" t="s">
        <v>1658</v>
      </c>
      <c r="O427" s="2">
        <v>3</v>
      </c>
      <c r="P427" s="2">
        <v>21</v>
      </c>
      <c r="Q427" s="2" t="s">
        <v>1658</v>
      </c>
      <c r="R427" s="2">
        <v>3</v>
      </c>
      <c r="S427" s="2" t="s">
        <v>1660</v>
      </c>
      <c r="T427" s="2">
        <v>0</v>
      </c>
      <c r="U427" s="2" t="s">
        <v>32</v>
      </c>
      <c r="V427" s="2" t="s">
        <v>32</v>
      </c>
      <c r="W427" s="2" t="s">
        <v>1660</v>
      </c>
      <c r="X427" s="2">
        <v>0</v>
      </c>
      <c r="Y427" s="2" t="s">
        <v>32</v>
      </c>
      <c r="Z427" s="2" t="s">
        <v>32</v>
      </c>
      <c r="AA427" s="2" t="s">
        <v>1660</v>
      </c>
      <c r="AB427" s="2">
        <v>0</v>
      </c>
      <c r="AC427" s="2" t="s">
        <v>1660</v>
      </c>
      <c r="AD427" s="2">
        <v>0</v>
      </c>
      <c r="AE427" s="2" t="s">
        <v>1660</v>
      </c>
      <c r="AF427" s="2">
        <v>0</v>
      </c>
      <c r="AG427" s="2">
        <v>0</v>
      </c>
      <c r="AH427" s="2" t="s">
        <v>32</v>
      </c>
      <c r="AI427" s="2" t="s">
        <v>32</v>
      </c>
      <c r="AJ427" s="2" t="s">
        <v>32</v>
      </c>
      <c r="AK427" s="2" t="s">
        <v>32</v>
      </c>
      <c r="AL427" s="2" t="s">
        <v>32</v>
      </c>
      <c r="AM427" s="2">
        <v>0</v>
      </c>
      <c r="AN427" s="2" t="s">
        <v>32</v>
      </c>
      <c r="AO427" s="2">
        <v>0</v>
      </c>
      <c r="AP427" s="2" t="s">
        <v>32</v>
      </c>
      <c r="AQ427" s="2" t="s">
        <v>32</v>
      </c>
      <c r="AR427" s="2" t="s">
        <v>32</v>
      </c>
      <c r="AS427" s="2">
        <v>0</v>
      </c>
      <c r="AT427" s="2" t="s">
        <v>32</v>
      </c>
      <c r="AU427" s="2" t="s">
        <v>32</v>
      </c>
      <c r="AV427" s="2" t="s">
        <v>32</v>
      </c>
      <c r="AW427" s="2">
        <v>0</v>
      </c>
      <c r="AX427" s="2" t="s">
        <v>32</v>
      </c>
      <c r="AY427" s="2">
        <v>0</v>
      </c>
      <c r="AZ427" s="2" t="s">
        <v>1660</v>
      </c>
      <c r="BA427" s="2">
        <v>0</v>
      </c>
      <c r="BB427" s="2">
        <v>0</v>
      </c>
      <c r="BC427" s="2" t="s">
        <v>32</v>
      </c>
      <c r="BD427" s="2">
        <v>0</v>
      </c>
      <c r="BE427" s="2" t="s">
        <v>32</v>
      </c>
      <c r="BF427" s="2">
        <v>0</v>
      </c>
      <c r="BG427" s="2" t="s">
        <v>32</v>
      </c>
      <c r="BH427" s="2">
        <v>0</v>
      </c>
      <c r="BI427" s="2" t="s">
        <v>32</v>
      </c>
      <c r="BJ427" s="2" t="s">
        <v>32</v>
      </c>
      <c r="BK427" s="2" t="s">
        <v>32</v>
      </c>
      <c r="BL427" s="2">
        <v>0</v>
      </c>
      <c r="BM427" s="2" t="s">
        <v>32</v>
      </c>
      <c r="BN427" s="2" t="s">
        <v>32</v>
      </c>
      <c r="BO427" s="2" t="s">
        <v>32</v>
      </c>
      <c r="BP427" s="2">
        <v>0</v>
      </c>
      <c r="BQ427" s="2" t="s">
        <v>32</v>
      </c>
      <c r="BR427" s="2">
        <v>0</v>
      </c>
      <c r="BS427" s="2" t="s">
        <v>1660</v>
      </c>
      <c r="BT427" s="2">
        <v>0</v>
      </c>
      <c r="BU427" s="2">
        <v>0</v>
      </c>
      <c r="BV427" s="2" t="s">
        <v>1660</v>
      </c>
      <c r="BW427" s="2"/>
      <c r="BX427" s="2"/>
      <c r="BY427" s="2" t="s">
        <v>1807</v>
      </c>
      <c r="BZ427" s="2" t="b">
        <f>OR( (Dashboard[[#This Row],[ref_as_hh]]&gt;=1),(Dashboard[[#This Row],[ret_as_hh]] &gt;=1), (Dashboard[[#This Row],[idp_as_hh]]&gt;=1))</f>
        <v>0</v>
      </c>
      <c r="CA427" s="2">
        <f>Dashboard[[#This Row],[ret_hi_hh]]</f>
        <v>0</v>
      </c>
      <c r="CB427" s="2">
        <f>Dashboard[[#This Row],[idp_fa_hh]]+Dashboard[[#This Row],[ref_fa_hh]]+Dashboard[[#This Row],[ret_fa_hh]]</f>
        <v>3</v>
      </c>
      <c r="CC427" s="2">
        <f>Dashboard[[#This Row],[idp_loc_hh]]+Dashboard[[#This Row],[ref_loc_hh]]+Dashboard[[#This Row],[ret_loc_hh]]</f>
        <v>0</v>
      </c>
      <c r="CD427" s="2">
        <f>Dashboard[[#This Row],[idp_cc_hh]]+Dashboard[[#This Row],[ref_cc_hh]]+Dashboard[[#This Row],[ret_cc_hh]]</f>
        <v>0</v>
      </c>
      <c r="CE427" s="2">
        <f>Dashboard[[#This Row],[idp_as_hh]]+Dashboard[[#This Row],[ref_as_hh]]+Dashboard[[#This Row],[ret_as_hh]]</f>
        <v>0</v>
      </c>
      <c r="CF427" s="2">
        <f>Dashboard[[#This Row],[idp_al_hh]]+Dashboard[[#This Row],[ref_al_hh]]+Dashboard[[#This Row],[ret_al_hh]]</f>
        <v>0</v>
      </c>
    </row>
    <row r="428" spans="1:84" x14ac:dyDescent="0.25">
      <c r="A428" s="27">
        <v>447</v>
      </c>
      <c r="B428" s="2" t="s">
        <v>22</v>
      </c>
      <c r="C428" s="2" t="s">
        <v>23</v>
      </c>
      <c r="D428" s="2" t="s">
        <v>85</v>
      </c>
      <c r="E428" s="2" t="s">
        <v>84</v>
      </c>
      <c r="F428" s="2" t="s">
        <v>98</v>
      </c>
      <c r="G428" s="2" t="s">
        <v>97</v>
      </c>
      <c r="H428" s="2" t="s">
        <v>2140</v>
      </c>
      <c r="I428" s="2" t="s">
        <v>2139</v>
      </c>
      <c r="J428" s="2" t="s">
        <v>3024</v>
      </c>
      <c r="K428" s="2" t="s">
        <v>3025</v>
      </c>
      <c r="L428" s="2" t="s">
        <v>2074</v>
      </c>
      <c r="M428" s="2">
        <v>170</v>
      </c>
      <c r="N428" s="2" t="s">
        <v>1658</v>
      </c>
      <c r="O428" s="2">
        <v>20</v>
      </c>
      <c r="P428" s="2">
        <v>170</v>
      </c>
      <c r="Q428" s="2" t="s">
        <v>32</v>
      </c>
      <c r="R428" s="2">
        <v>0</v>
      </c>
      <c r="S428" s="2" t="s">
        <v>1660</v>
      </c>
      <c r="T428" s="2">
        <v>0</v>
      </c>
      <c r="U428" s="2" t="s">
        <v>32</v>
      </c>
      <c r="V428" s="2" t="s">
        <v>32</v>
      </c>
      <c r="W428" s="2" t="s">
        <v>1660</v>
      </c>
      <c r="X428" s="2">
        <v>0</v>
      </c>
      <c r="Y428" s="2" t="s">
        <v>32</v>
      </c>
      <c r="Z428" s="2" t="s">
        <v>32</v>
      </c>
      <c r="AA428" s="2" t="s">
        <v>1658</v>
      </c>
      <c r="AB428" s="2">
        <v>20</v>
      </c>
      <c r="AC428" s="2" t="s">
        <v>1660</v>
      </c>
      <c r="AD428" s="2">
        <v>0</v>
      </c>
      <c r="AE428" s="2" t="s">
        <v>1660</v>
      </c>
      <c r="AF428" s="2">
        <v>0</v>
      </c>
      <c r="AG428" s="2">
        <v>0</v>
      </c>
      <c r="AH428" s="2" t="s">
        <v>32</v>
      </c>
      <c r="AI428" s="2" t="s">
        <v>32</v>
      </c>
      <c r="AJ428" s="2" t="s">
        <v>32</v>
      </c>
      <c r="AK428" s="2" t="s">
        <v>32</v>
      </c>
      <c r="AL428" s="2" t="s">
        <v>32</v>
      </c>
      <c r="AM428" s="2">
        <v>0</v>
      </c>
      <c r="AN428" s="2" t="s">
        <v>32</v>
      </c>
      <c r="AO428" s="2">
        <v>0</v>
      </c>
      <c r="AP428" s="2" t="s">
        <v>32</v>
      </c>
      <c r="AQ428" s="2" t="s">
        <v>32</v>
      </c>
      <c r="AR428" s="2" t="s">
        <v>32</v>
      </c>
      <c r="AS428" s="2">
        <v>0</v>
      </c>
      <c r="AT428" s="2" t="s">
        <v>32</v>
      </c>
      <c r="AU428" s="2" t="s">
        <v>32</v>
      </c>
      <c r="AV428" s="2" t="s">
        <v>32</v>
      </c>
      <c r="AW428" s="2">
        <v>0</v>
      </c>
      <c r="AX428" s="2" t="s">
        <v>32</v>
      </c>
      <c r="AY428" s="2">
        <v>0</v>
      </c>
      <c r="AZ428" s="2" t="s">
        <v>1660</v>
      </c>
      <c r="BA428" s="2">
        <v>0</v>
      </c>
      <c r="BB428" s="2">
        <v>0</v>
      </c>
      <c r="BC428" s="2" t="s">
        <v>32</v>
      </c>
      <c r="BD428" s="2">
        <v>0</v>
      </c>
      <c r="BE428" s="2" t="s">
        <v>32</v>
      </c>
      <c r="BF428" s="2">
        <v>0</v>
      </c>
      <c r="BG428" s="2" t="s">
        <v>32</v>
      </c>
      <c r="BH428" s="2">
        <v>0</v>
      </c>
      <c r="BI428" s="2" t="s">
        <v>32</v>
      </c>
      <c r="BJ428" s="2" t="s">
        <v>32</v>
      </c>
      <c r="BK428" s="2" t="s">
        <v>32</v>
      </c>
      <c r="BL428" s="2">
        <v>0</v>
      </c>
      <c r="BM428" s="2" t="s">
        <v>32</v>
      </c>
      <c r="BN428" s="2" t="s">
        <v>32</v>
      </c>
      <c r="BO428" s="2" t="s">
        <v>32</v>
      </c>
      <c r="BP428" s="2">
        <v>0</v>
      </c>
      <c r="BQ428" s="2" t="s">
        <v>32</v>
      </c>
      <c r="BR428" s="2">
        <v>0</v>
      </c>
      <c r="BS428" s="2" t="s">
        <v>1660</v>
      </c>
      <c r="BT428" s="2">
        <v>0</v>
      </c>
      <c r="BU428" s="2">
        <v>0</v>
      </c>
      <c r="BV428" s="2" t="s">
        <v>1660</v>
      </c>
      <c r="BW428" s="2"/>
      <c r="BX428" s="2"/>
      <c r="BY428" s="2" t="s">
        <v>1810</v>
      </c>
      <c r="BZ428" s="2" t="b">
        <f>OR( (Dashboard[[#This Row],[ref_as_hh]]&gt;=1),(Dashboard[[#This Row],[ret_as_hh]] &gt;=1), (Dashboard[[#This Row],[idp_as_hh]]&gt;=1))</f>
        <v>1</v>
      </c>
      <c r="CA428" s="2">
        <f>Dashboard[[#This Row],[ret_hi_hh]]</f>
        <v>0</v>
      </c>
      <c r="CB428" s="2">
        <f>Dashboard[[#This Row],[idp_fa_hh]]+Dashboard[[#This Row],[ref_fa_hh]]+Dashboard[[#This Row],[ret_fa_hh]]</f>
        <v>0</v>
      </c>
      <c r="CC428" s="2">
        <f>Dashboard[[#This Row],[idp_loc_hh]]+Dashboard[[#This Row],[ref_loc_hh]]+Dashboard[[#This Row],[ret_loc_hh]]</f>
        <v>0</v>
      </c>
      <c r="CD428" s="2">
        <f>Dashboard[[#This Row],[idp_cc_hh]]+Dashboard[[#This Row],[ref_cc_hh]]+Dashboard[[#This Row],[ret_cc_hh]]</f>
        <v>0</v>
      </c>
      <c r="CE428" s="2">
        <f>Dashboard[[#This Row],[idp_as_hh]]+Dashboard[[#This Row],[ref_as_hh]]+Dashboard[[#This Row],[ret_as_hh]]</f>
        <v>20</v>
      </c>
      <c r="CF428" s="2">
        <f>Dashboard[[#This Row],[idp_al_hh]]+Dashboard[[#This Row],[ref_al_hh]]+Dashboard[[#This Row],[ret_al_hh]]</f>
        <v>0</v>
      </c>
    </row>
    <row r="429" spans="1:84" x14ac:dyDescent="0.25">
      <c r="A429" s="27">
        <v>448</v>
      </c>
      <c r="B429" s="2" t="s">
        <v>22</v>
      </c>
      <c r="C429" s="2" t="s">
        <v>23</v>
      </c>
      <c r="D429" s="2" t="s">
        <v>85</v>
      </c>
      <c r="E429" s="2" t="s">
        <v>84</v>
      </c>
      <c r="F429" s="2" t="s">
        <v>98</v>
      </c>
      <c r="G429" s="2" t="s">
        <v>97</v>
      </c>
      <c r="H429" s="2" t="s">
        <v>1211</v>
      </c>
      <c r="I429" s="2" t="s">
        <v>413</v>
      </c>
      <c r="J429" s="2" t="s">
        <v>2940</v>
      </c>
      <c r="K429" s="2" t="s">
        <v>2941</v>
      </c>
      <c r="L429" s="2" t="s">
        <v>3693</v>
      </c>
      <c r="M429" s="2">
        <v>641</v>
      </c>
      <c r="N429" s="2" t="s">
        <v>1658</v>
      </c>
      <c r="O429" s="2">
        <v>22</v>
      </c>
      <c r="P429" s="2">
        <v>187</v>
      </c>
      <c r="Q429" s="2" t="s">
        <v>1658</v>
      </c>
      <c r="R429" s="2">
        <v>22</v>
      </c>
      <c r="S429" s="2" t="s">
        <v>1660</v>
      </c>
      <c r="T429" s="2">
        <v>0</v>
      </c>
      <c r="U429" s="2" t="s">
        <v>32</v>
      </c>
      <c r="V429" s="2" t="s">
        <v>32</v>
      </c>
      <c r="W429" s="2" t="s">
        <v>1660</v>
      </c>
      <c r="X429" s="2">
        <v>0</v>
      </c>
      <c r="Y429" s="2" t="s">
        <v>32</v>
      </c>
      <c r="Z429" s="2" t="s">
        <v>32</v>
      </c>
      <c r="AA429" s="2" t="s">
        <v>1660</v>
      </c>
      <c r="AB429" s="2">
        <v>0</v>
      </c>
      <c r="AC429" s="2" t="s">
        <v>1660</v>
      </c>
      <c r="AD429" s="2">
        <v>0</v>
      </c>
      <c r="AE429" s="2" t="s">
        <v>1658</v>
      </c>
      <c r="AF429" s="2">
        <v>17</v>
      </c>
      <c r="AG429" s="2">
        <v>145</v>
      </c>
      <c r="AH429" s="2" t="s">
        <v>1658</v>
      </c>
      <c r="AI429" s="2" t="s">
        <v>85</v>
      </c>
      <c r="AJ429" s="2" t="s">
        <v>98</v>
      </c>
      <c r="AK429" s="2" t="s">
        <v>630</v>
      </c>
      <c r="AL429" s="2" t="s">
        <v>1658</v>
      </c>
      <c r="AM429" s="2">
        <v>6</v>
      </c>
      <c r="AN429" s="2" t="s">
        <v>1660</v>
      </c>
      <c r="AO429" s="2">
        <v>0</v>
      </c>
      <c r="AP429" s="2" t="s">
        <v>32</v>
      </c>
      <c r="AQ429" s="2" t="s">
        <v>32</v>
      </c>
      <c r="AR429" s="2" t="s">
        <v>1660</v>
      </c>
      <c r="AS429" s="2">
        <v>0</v>
      </c>
      <c r="AT429" s="2" t="s">
        <v>32</v>
      </c>
      <c r="AU429" s="2" t="s">
        <v>32</v>
      </c>
      <c r="AV429" s="2" t="s">
        <v>1658</v>
      </c>
      <c r="AW429" s="2">
        <v>11</v>
      </c>
      <c r="AX429" s="2" t="s">
        <v>1660</v>
      </c>
      <c r="AY429" s="2">
        <v>0</v>
      </c>
      <c r="AZ429" s="2" t="s">
        <v>1660</v>
      </c>
      <c r="BA429" s="2">
        <v>0</v>
      </c>
      <c r="BB429" s="2">
        <v>0</v>
      </c>
      <c r="BC429" s="2" t="s">
        <v>32</v>
      </c>
      <c r="BD429" s="2">
        <v>0</v>
      </c>
      <c r="BE429" s="2" t="s">
        <v>32</v>
      </c>
      <c r="BF429" s="2">
        <v>0</v>
      </c>
      <c r="BG429" s="2" t="s">
        <v>32</v>
      </c>
      <c r="BH429" s="2">
        <v>0</v>
      </c>
      <c r="BI429" s="2" t="s">
        <v>32</v>
      </c>
      <c r="BJ429" s="2" t="s">
        <v>32</v>
      </c>
      <c r="BK429" s="2" t="s">
        <v>32</v>
      </c>
      <c r="BL429" s="2">
        <v>0</v>
      </c>
      <c r="BM429" s="2" t="s">
        <v>32</v>
      </c>
      <c r="BN429" s="2" t="s">
        <v>32</v>
      </c>
      <c r="BO429" s="2" t="s">
        <v>32</v>
      </c>
      <c r="BP429" s="2">
        <v>0</v>
      </c>
      <c r="BQ429" s="2" t="s">
        <v>32</v>
      </c>
      <c r="BR429" s="2">
        <v>0</v>
      </c>
      <c r="BS429" s="2" t="s">
        <v>1660</v>
      </c>
      <c r="BT429" s="2">
        <v>0</v>
      </c>
      <c r="BU429" s="2">
        <v>0</v>
      </c>
      <c r="BV429" s="2" t="s">
        <v>1660</v>
      </c>
      <c r="BW429" s="2"/>
      <c r="BX429" s="2"/>
      <c r="BY429" s="2" t="s">
        <v>1807</v>
      </c>
      <c r="BZ429" s="2" t="b">
        <f>OR( (Dashboard[[#This Row],[ref_as_hh]]&gt;=1),(Dashboard[[#This Row],[ret_as_hh]] &gt;=1), (Dashboard[[#This Row],[idp_as_hh]]&gt;=1))</f>
        <v>1</v>
      </c>
      <c r="CA429" s="2">
        <f>Dashboard[[#This Row],[ret_hi_hh]]</f>
        <v>0</v>
      </c>
      <c r="CB429" s="2">
        <f>Dashboard[[#This Row],[idp_fa_hh]]+Dashboard[[#This Row],[ref_fa_hh]]+Dashboard[[#This Row],[ret_fa_hh]]</f>
        <v>28</v>
      </c>
      <c r="CC429" s="2">
        <f>Dashboard[[#This Row],[idp_loc_hh]]+Dashboard[[#This Row],[ref_loc_hh]]+Dashboard[[#This Row],[ret_loc_hh]]</f>
        <v>0</v>
      </c>
      <c r="CD429" s="2">
        <f>Dashboard[[#This Row],[idp_cc_hh]]+Dashboard[[#This Row],[ref_cc_hh]]+Dashboard[[#This Row],[ret_cc_hh]]</f>
        <v>0</v>
      </c>
      <c r="CE429" s="2">
        <f>Dashboard[[#This Row],[idp_as_hh]]+Dashboard[[#This Row],[ref_as_hh]]+Dashboard[[#This Row],[ret_as_hh]]</f>
        <v>11</v>
      </c>
      <c r="CF429" s="2">
        <f>Dashboard[[#This Row],[idp_al_hh]]+Dashboard[[#This Row],[ref_al_hh]]+Dashboard[[#This Row],[ret_al_hh]]</f>
        <v>0</v>
      </c>
    </row>
    <row r="430" spans="1:84" x14ac:dyDescent="0.25">
      <c r="A430" s="27">
        <v>449</v>
      </c>
      <c r="B430" s="2" t="s">
        <v>22</v>
      </c>
      <c r="C430" s="2" t="s">
        <v>23</v>
      </c>
      <c r="D430" s="2" t="s">
        <v>85</v>
      </c>
      <c r="E430" s="2" t="s">
        <v>84</v>
      </c>
      <c r="F430" s="2" t="s">
        <v>98</v>
      </c>
      <c r="G430" s="2" t="s">
        <v>97</v>
      </c>
      <c r="H430" s="2" t="s">
        <v>1143</v>
      </c>
      <c r="I430" s="2" t="s">
        <v>155</v>
      </c>
      <c r="J430" s="2" t="s">
        <v>2782</v>
      </c>
      <c r="K430" s="2" t="s">
        <v>2783</v>
      </c>
      <c r="L430" s="2" t="s">
        <v>2074</v>
      </c>
      <c r="M430" s="2">
        <v>753</v>
      </c>
      <c r="N430" s="2" t="s">
        <v>1658</v>
      </c>
      <c r="O430" s="2">
        <v>92</v>
      </c>
      <c r="P430" s="2">
        <v>460</v>
      </c>
      <c r="Q430" s="2" t="s">
        <v>1658</v>
      </c>
      <c r="R430" s="2">
        <v>40</v>
      </c>
      <c r="S430" s="2" t="s">
        <v>1660</v>
      </c>
      <c r="T430" s="2">
        <v>0</v>
      </c>
      <c r="U430" s="2" t="s">
        <v>32</v>
      </c>
      <c r="V430" s="2" t="s">
        <v>32</v>
      </c>
      <c r="W430" s="2" t="s">
        <v>1660</v>
      </c>
      <c r="X430" s="2">
        <v>0</v>
      </c>
      <c r="Y430" s="2" t="s">
        <v>32</v>
      </c>
      <c r="Z430" s="2" t="s">
        <v>32</v>
      </c>
      <c r="AA430" s="2" t="s">
        <v>1658</v>
      </c>
      <c r="AB430" s="2">
        <v>52</v>
      </c>
      <c r="AC430" s="2" t="s">
        <v>1660</v>
      </c>
      <c r="AD430" s="2">
        <v>0</v>
      </c>
      <c r="AE430" s="2" t="s">
        <v>1660</v>
      </c>
      <c r="AF430" s="2">
        <v>0</v>
      </c>
      <c r="AG430" s="2">
        <v>0</v>
      </c>
      <c r="AH430" s="2" t="s">
        <v>32</v>
      </c>
      <c r="AI430" s="2" t="s">
        <v>32</v>
      </c>
      <c r="AJ430" s="2" t="s">
        <v>32</v>
      </c>
      <c r="AK430" s="2" t="s">
        <v>32</v>
      </c>
      <c r="AL430" s="2" t="s">
        <v>32</v>
      </c>
      <c r="AM430" s="2">
        <v>0</v>
      </c>
      <c r="AN430" s="2" t="s">
        <v>32</v>
      </c>
      <c r="AO430" s="2">
        <v>0</v>
      </c>
      <c r="AP430" s="2" t="s">
        <v>32</v>
      </c>
      <c r="AQ430" s="2" t="s">
        <v>32</v>
      </c>
      <c r="AR430" s="2" t="s">
        <v>32</v>
      </c>
      <c r="AS430" s="2">
        <v>0</v>
      </c>
      <c r="AT430" s="2" t="s">
        <v>32</v>
      </c>
      <c r="AU430" s="2" t="s">
        <v>32</v>
      </c>
      <c r="AV430" s="2" t="s">
        <v>32</v>
      </c>
      <c r="AW430" s="2">
        <v>0</v>
      </c>
      <c r="AX430" s="2" t="s">
        <v>32</v>
      </c>
      <c r="AY430" s="2">
        <v>0</v>
      </c>
      <c r="AZ430" s="2" t="s">
        <v>1658</v>
      </c>
      <c r="BA430" s="2">
        <v>16</v>
      </c>
      <c r="BB430" s="2">
        <v>80</v>
      </c>
      <c r="BC430" s="2" t="s">
        <v>1658</v>
      </c>
      <c r="BD430" s="2">
        <v>16</v>
      </c>
      <c r="BE430" s="2" t="s">
        <v>1660</v>
      </c>
      <c r="BF430" s="2">
        <v>0</v>
      </c>
      <c r="BG430" s="2" t="s">
        <v>1660</v>
      </c>
      <c r="BH430" s="2">
        <v>0</v>
      </c>
      <c r="BI430" s="2" t="s">
        <v>32</v>
      </c>
      <c r="BJ430" s="2" t="s">
        <v>32</v>
      </c>
      <c r="BK430" s="2" t="s">
        <v>1660</v>
      </c>
      <c r="BL430" s="2">
        <v>0</v>
      </c>
      <c r="BM430" s="2" t="s">
        <v>32</v>
      </c>
      <c r="BN430" s="2" t="s">
        <v>32</v>
      </c>
      <c r="BO430" s="2" t="s">
        <v>1660</v>
      </c>
      <c r="BP430" s="2">
        <v>0</v>
      </c>
      <c r="BQ430" s="2" t="s">
        <v>1660</v>
      </c>
      <c r="BR430" s="2">
        <v>0</v>
      </c>
      <c r="BS430" s="2" t="s">
        <v>1660</v>
      </c>
      <c r="BT430" s="2">
        <v>0</v>
      </c>
      <c r="BU430" s="2">
        <v>0</v>
      </c>
      <c r="BV430" s="2" t="s">
        <v>1660</v>
      </c>
      <c r="BW430" s="2"/>
      <c r="BX430" s="2"/>
      <c r="BY430" s="2" t="s">
        <v>1807</v>
      </c>
      <c r="BZ430" s="2" t="b">
        <f>OR( (Dashboard[[#This Row],[ref_as_hh]]&gt;=1),(Dashboard[[#This Row],[ret_as_hh]] &gt;=1), (Dashboard[[#This Row],[idp_as_hh]]&gt;=1))</f>
        <v>1</v>
      </c>
      <c r="CA430" s="2">
        <f>Dashboard[[#This Row],[ret_hi_hh]]</f>
        <v>16</v>
      </c>
      <c r="CB430" s="2">
        <f>Dashboard[[#This Row],[idp_fa_hh]]+Dashboard[[#This Row],[ref_fa_hh]]+Dashboard[[#This Row],[ret_fa_hh]]</f>
        <v>40</v>
      </c>
      <c r="CC430" s="2">
        <f>Dashboard[[#This Row],[idp_loc_hh]]+Dashboard[[#This Row],[ref_loc_hh]]+Dashboard[[#This Row],[ret_loc_hh]]</f>
        <v>0</v>
      </c>
      <c r="CD430" s="2">
        <f>Dashboard[[#This Row],[idp_cc_hh]]+Dashboard[[#This Row],[ref_cc_hh]]+Dashboard[[#This Row],[ret_cc_hh]]</f>
        <v>0</v>
      </c>
      <c r="CE430" s="2">
        <f>Dashboard[[#This Row],[idp_as_hh]]+Dashboard[[#This Row],[ref_as_hh]]+Dashboard[[#This Row],[ret_as_hh]]</f>
        <v>52</v>
      </c>
      <c r="CF430" s="2">
        <f>Dashboard[[#This Row],[idp_al_hh]]+Dashboard[[#This Row],[ref_al_hh]]+Dashboard[[#This Row],[ret_al_hh]]</f>
        <v>0</v>
      </c>
    </row>
    <row r="431" spans="1:84" hidden="1" x14ac:dyDescent="0.25">
      <c r="A431" s="27">
        <v>450</v>
      </c>
      <c r="B431" s="2" t="s">
        <v>22</v>
      </c>
      <c r="C431" s="2" t="s">
        <v>23</v>
      </c>
      <c r="D431" s="2" t="s">
        <v>85</v>
      </c>
      <c r="E431" s="2" t="s">
        <v>84</v>
      </c>
      <c r="F431" s="2" t="s">
        <v>98</v>
      </c>
      <c r="G431" s="2" t="s">
        <v>97</v>
      </c>
      <c r="H431" s="2" t="s">
        <v>1232</v>
      </c>
      <c r="I431" s="2" t="s">
        <v>167</v>
      </c>
      <c r="J431" s="2" t="s">
        <v>2996</v>
      </c>
      <c r="K431" s="2" t="s">
        <v>2997</v>
      </c>
      <c r="L431" s="2" t="s">
        <v>3693</v>
      </c>
      <c r="M431" s="2">
        <v>440</v>
      </c>
      <c r="N431" s="2" t="s">
        <v>1658</v>
      </c>
      <c r="O431" s="2">
        <v>24</v>
      </c>
      <c r="P431" s="2">
        <v>157</v>
      </c>
      <c r="Q431" s="2" t="s">
        <v>1658</v>
      </c>
      <c r="R431" s="2">
        <v>24</v>
      </c>
      <c r="S431" s="2" t="s">
        <v>1660</v>
      </c>
      <c r="T431" s="2">
        <v>0</v>
      </c>
      <c r="U431" s="2" t="s">
        <v>32</v>
      </c>
      <c r="V431" s="2" t="s">
        <v>32</v>
      </c>
      <c r="W431" s="2" t="s">
        <v>1660</v>
      </c>
      <c r="X431" s="2">
        <v>0</v>
      </c>
      <c r="Y431" s="2" t="s">
        <v>32</v>
      </c>
      <c r="Z431" s="2" t="s">
        <v>32</v>
      </c>
      <c r="AA431" s="2" t="s">
        <v>1660</v>
      </c>
      <c r="AB431" s="2">
        <v>0</v>
      </c>
      <c r="AC431" s="2" t="s">
        <v>1660</v>
      </c>
      <c r="AD431" s="2">
        <v>0</v>
      </c>
      <c r="AE431" s="2" t="s">
        <v>1660</v>
      </c>
      <c r="AF431" s="2">
        <v>0</v>
      </c>
      <c r="AG431" s="2">
        <v>0</v>
      </c>
      <c r="AH431" s="2" t="s">
        <v>32</v>
      </c>
      <c r="AI431" s="2" t="s">
        <v>32</v>
      </c>
      <c r="AJ431" s="2" t="s">
        <v>32</v>
      </c>
      <c r="AK431" s="2" t="s">
        <v>32</v>
      </c>
      <c r="AL431" s="2" t="s">
        <v>32</v>
      </c>
      <c r="AM431" s="2">
        <v>0</v>
      </c>
      <c r="AN431" s="2" t="s">
        <v>32</v>
      </c>
      <c r="AO431" s="2">
        <v>0</v>
      </c>
      <c r="AP431" s="2" t="s">
        <v>32</v>
      </c>
      <c r="AQ431" s="2" t="s">
        <v>32</v>
      </c>
      <c r="AR431" s="2" t="s">
        <v>32</v>
      </c>
      <c r="AS431" s="2">
        <v>0</v>
      </c>
      <c r="AT431" s="2" t="s">
        <v>32</v>
      </c>
      <c r="AU431" s="2" t="s">
        <v>32</v>
      </c>
      <c r="AV431" s="2" t="s">
        <v>32</v>
      </c>
      <c r="AW431" s="2">
        <v>0</v>
      </c>
      <c r="AX431" s="2" t="s">
        <v>32</v>
      </c>
      <c r="AY431" s="2">
        <v>0</v>
      </c>
      <c r="AZ431" s="2" t="s">
        <v>1658</v>
      </c>
      <c r="BA431" s="2">
        <v>24</v>
      </c>
      <c r="BB431" s="2">
        <v>120</v>
      </c>
      <c r="BC431" s="2" t="s">
        <v>1658</v>
      </c>
      <c r="BD431" s="2">
        <v>24</v>
      </c>
      <c r="BE431" s="2" t="s">
        <v>1660</v>
      </c>
      <c r="BF431" s="2">
        <v>0</v>
      </c>
      <c r="BG431" s="2" t="s">
        <v>1660</v>
      </c>
      <c r="BH431" s="2">
        <v>0</v>
      </c>
      <c r="BI431" s="2" t="s">
        <v>32</v>
      </c>
      <c r="BJ431" s="2" t="s">
        <v>32</v>
      </c>
      <c r="BK431" s="2" t="s">
        <v>1660</v>
      </c>
      <c r="BL431" s="2">
        <v>0</v>
      </c>
      <c r="BM431" s="2" t="s">
        <v>32</v>
      </c>
      <c r="BN431" s="2" t="s">
        <v>32</v>
      </c>
      <c r="BO431" s="2" t="s">
        <v>1660</v>
      </c>
      <c r="BP431" s="2">
        <v>0</v>
      </c>
      <c r="BQ431" s="2" t="s">
        <v>1660</v>
      </c>
      <c r="BR431" s="2">
        <v>0</v>
      </c>
      <c r="BS431" s="2" t="s">
        <v>1660</v>
      </c>
      <c r="BT431" s="2">
        <v>0</v>
      </c>
      <c r="BU431" s="2">
        <v>0</v>
      </c>
      <c r="BV431" s="2" t="s">
        <v>1660</v>
      </c>
      <c r="BW431" s="2"/>
      <c r="BX431" s="2"/>
      <c r="BY431" s="2" t="s">
        <v>1807</v>
      </c>
      <c r="BZ431" s="2" t="b">
        <f>OR( (Dashboard[[#This Row],[ref_as_hh]]&gt;=1),(Dashboard[[#This Row],[ret_as_hh]] &gt;=1), (Dashboard[[#This Row],[idp_as_hh]]&gt;=1))</f>
        <v>0</v>
      </c>
      <c r="CA431" s="2">
        <f>Dashboard[[#This Row],[ret_hi_hh]]</f>
        <v>24</v>
      </c>
      <c r="CB431" s="2">
        <f>Dashboard[[#This Row],[idp_fa_hh]]+Dashboard[[#This Row],[ref_fa_hh]]+Dashboard[[#This Row],[ret_fa_hh]]</f>
        <v>24</v>
      </c>
      <c r="CC431" s="2">
        <f>Dashboard[[#This Row],[idp_loc_hh]]+Dashboard[[#This Row],[ref_loc_hh]]+Dashboard[[#This Row],[ret_loc_hh]]</f>
        <v>0</v>
      </c>
      <c r="CD431" s="2">
        <f>Dashboard[[#This Row],[idp_cc_hh]]+Dashboard[[#This Row],[ref_cc_hh]]+Dashboard[[#This Row],[ret_cc_hh]]</f>
        <v>0</v>
      </c>
      <c r="CE431" s="2">
        <f>Dashboard[[#This Row],[idp_as_hh]]+Dashboard[[#This Row],[ref_as_hh]]+Dashboard[[#This Row],[ret_as_hh]]</f>
        <v>0</v>
      </c>
      <c r="CF431" s="2">
        <f>Dashboard[[#This Row],[idp_al_hh]]+Dashboard[[#This Row],[ref_al_hh]]+Dashboard[[#This Row],[ret_al_hh]]</f>
        <v>0</v>
      </c>
    </row>
    <row r="432" spans="1:84" hidden="1" x14ac:dyDescent="0.25">
      <c r="A432" s="27">
        <v>195</v>
      </c>
      <c r="B432" s="2" t="s">
        <v>22</v>
      </c>
      <c r="C432" s="2" t="s">
        <v>23</v>
      </c>
      <c r="D432" s="2" t="s">
        <v>85</v>
      </c>
      <c r="E432" s="2" t="s">
        <v>84</v>
      </c>
      <c r="F432" s="2" t="s">
        <v>98</v>
      </c>
      <c r="G432" s="2" t="s">
        <v>97</v>
      </c>
      <c r="H432" s="2" t="s">
        <v>1128</v>
      </c>
      <c r="I432" s="2" t="s">
        <v>1127</v>
      </c>
      <c r="J432" s="2" t="s">
        <v>2754</v>
      </c>
      <c r="K432" s="2" t="s">
        <v>2755</v>
      </c>
      <c r="L432" s="2" t="s">
        <v>2074</v>
      </c>
      <c r="M432" s="2">
        <v>105</v>
      </c>
      <c r="N432" s="2" t="s">
        <v>1658</v>
      </c>
      <c r="O432" s="2">
        <v>7</v>
      </c>
      <c r="P432" s="2">
        <v>32</v>
      </c>
      <c r="Q432" s="2" t="s">
        <v>1658</v>
      </c>
      <c r="R432" s="2">
        <v>7</v>
      </c>
      <c r="S432" s="2" t="s">
        <v>1660</v>
      </c>
      <c r="T432" s="2">
        <v>0</v>
      </c>
      <c r="U432" s="2" t="s">
        <v>32</v>
      </c>
      <c r="V432" s="2" t="s">
        <v>32</v>
      </c>
      <c r="W432" s="2" t="s">
        <v>1660</v>
      </c>
      <c r="X432" s="2">
        <v>0</v>
      </c>
      <c r="Y432" s="2" t="s">
        <v>32</v>
      </c>
      <c r="Z432" s="2" t="s">
        <v>32</v>
      </c>
      <c r="AA432" s="2" t="s">
        <v>1660</v>
      </c>
      <c r="AB432" s="2">
        <v>0</v>
      </c>
      <c r="AC432" s="2" t="s">
        <v>1660</v>
      </c>
      <c r="AD432" s="2">
        <v>0</v>
      </c>
      <c r="AE432" s="2" t="s">
        <v>1660</v>
      </c>
      <c r="AF432" s="2">
        <v>0</v>
      </c>
      <c r="AG432" s="2">
        <v>0</v>
      </c>
      <c r="AH432" s="2" t="s">
        <v>32</v>
      </c>
      <c r="AI432" s="2" t="s">
        <v>32</v>
      </c>
      <c r="AJ432" s="2" t="s">
        <v>32</v>
      </c>
      <c r="AK432" s="2" t="s">
        <v>32</v>
      </c>
      <c r="AL432" s="2" t="s">
        <v>32</v>
      </c>
      <c r="AM432" s="2">
        <v>0</v>
      </c>
      <c r="AN432" s="2" t="s">
        <v>32</v>
      </c>
      <c r="AO432" s="2">
        <v>0</v>
      </c>
      <c r="AP432" s="2" t="s">
        <v>32</v>
      </c>
      <c r="AQ432" s="2" t="s">
        <v>32</v>
      </c>
      <c r="AR432" s="2" t="s">
        <v>32</v>
      </c>
      <c r="AS432" s="2">
        <v>0</v>
      </c>
      <c r="AT432" s="2" t="s">
        <v>32</v>
      </c>
      <c r="AU432" s="2" t="s">
        <v>32</v>
      </c>
      <c r="AV432" s="2" t="s">
        <v>32</v>
      </c>
      <c r="AW432" s="2">
        <v>0</v>
      </c>
      <c r="AX432" s="2" t="s">
        <v>32</v>
      </c>
      <c r="AY432" s="2">
        <v>0</v>
      </c>
      <c r="AZ432" s="2" t="s">
        <v>1660</v>
      </c>
      <c r="BA432" s="2">
        <v>0</v>
      </c>
      <c r="BB432" s="2">
        <v>0</v>
      </c>
      <c r="BC432" s="2" t="s">
        <v>32</v>
      </c>
      <c r="BD432" s="2">
        <v>0</v>
      </c>
      <c r="BE432" s="2" t="s">
        <v>32</v>
      </c>
      <c r="BF432" s="2">
        <v>0</v>
      </c>
      <c r="BG432" s="2" t="s">
        <v>32</v>
      </c>
      <c r="BH432" s="2">
        <v>0</v>
      </c>
      <c r="BI432" s="2" t="s">
        <v>32</v>
      </c>
      <c r="BJ432" s="2" t="s">
        <v>32</v>
      </c>
      <c r="BK432" s="2" t="s">
        <v>32</v>
      </c>
      <c r="BL432" s="2">
        <v>0</v>
      </c>
      <c r="BM432" s="2" t="s">
        <v>32</v>
      </c>
      <c r="BN432" s="2" t="s">
        <v>32</v>
      </c>
      <c r="BO432" s="2" t="s">
        <v>32</v>
      </c>
      <c r="BP432" s="2">
        <v>0</v>
      </c>
      <c r="BQ432" s="2" t="s">
        <v>32</v>
      </c>
      <c r="BR432" s="2">
        <v>0</v>
      </c>
      <c r="BS432" s="2" t="s">
        <v>1660</v>
      </c>
      <c r="BT432" s="2">
        <v>0</v>
      </c>
      <c r="BU432" s="2">
        <v>0</v>
      </c>
      <c r="BV432" s="2" t="s">
        <v>1660</v>
      </c>
      <c r="BW432" s="2"/>
      <c r="BX432" s="2"/>
      <c r="BY432" s="2" t="s">
        <v>1807</v>
      </c>
      <c r="BZ432" s="2" t="b">
        <f>OR( (Dashboard[[#This Row],[ref_as_hh]]&gt;=1),(Dashboard[[#This Row],[ret_as_hh]] &gt;=1), (Dashboard[[#This Row],[idp_as_hh]]&gt;=1))</f>
        <v>0</v>
      </c>
      <c r="CA432" s="2">
        <f>Dashboard[[#This Row],[ret_hi_hh]]</f>
        <v>0</v>
      </c>
      <c r="CB432" s="2">
        <f>Dashboard[[#This Row],[idp_fa_hh]]+Dashboard[[#This Row],[ref_fa_hh]]+Dashboard[[#This Row],[ret_fa_hh]]</f>
        <v>7</v>
      </c>
      <c r="CC432" s="2">
        <f>Dashboard[[#This Row],[idp_loc_hh]]+Dashboard[[#This Row],[ref_loc_hh]]+Dashboard[[#This Row],[ret_loc_hh]]</f>
        <v>0</v>
      </c>
      <c r="CD432" s="2">
        <f>Dashboard[[#This Row],[idp_cc_hh]]+Dashboard[[#This Row],[ref_cc_hh]]+Dashboard[[#This Row],[ret_cc_hh]]</f>
        <v>0</v>
      </c>
      <c r="CE432" s="2">
        <f>Dashboard[[#This Row],[idp_as_hh]]+Dashboard[[#This Row],[ref_as_hh]]+Dashboard[[#This Row],[ret_as_hh]]</f>
        <v>0</v>
      </c>
      <c r="CF432" s="2">
        <f>Dashboard[[#This Row],[idp_al_hh]]+Dashboard[[#This Row],[ref_al_hh]]+Dashboard[[#This Row],[ret_al_hh]]</f>
        <v>0</v>
      </c>
    </row>
    <row r="433" spans="1:84" x14ac:dyDescent="0.25">
      <c r="A433" s="27">
        <v>451</v>
      </c>
      <c r="B433" s="2" t="s">
        <v>22</v>
      </c>
      <c r="C433" s="2" t="s">
        <v>23</v>
      </c>
      <c r="D433" s="2" t="s">
        <v>85</v>
      </c>
      <c r="E433" s="2" t="s">
        <v>84</v>
      </c>
      <c r="F433" s="2" t="s">
        <v>98</v>
      </c>
      <c r="G433" s="2" t="s">
        <v>97</v>
      </c>
      <c r="H433" s="2" t="s">
        <v>1242</v>
      </c>
      <c r="I433" s="2" t="s">
        <v>434</v>
      </c>
      <c r="J433" s="2" t="s">
        <v>3014</v>
      </c>
      <c r="K433" s="2" t="s">
        <v>3015</v>
      </c>
      <c r="L433" s="2" t="s">
        <v>2074</v>
      </c>
      <c r="M433" s="2">
        <v>1752</v>
      </c>
      <c r="N433" s="2" t="s">
        <v>1658</v>
      </c>
      <c r="O433" s="2">
        <v>123</v>
      </c>
      <c r="P433" s="2">
        <v>1432</v>
      </c>
      <c r="Q433" s="2" t="s">
        <v>1658</v>
      </c>
      <c r="R433" s="2">
        <v>16</v>
      </c>
      <c r="S433" s="2" t="s">
        <v>1660</v>
      </c>
      <c r="T433" s="2">
        <v>0</v>
      </c>
      <c r="U433" s="2" t="s">
        <v>32</v>
      </c>
      <c r="V433" s="2" t="s">
        <v>32</v>
      </c>
      <c r="W433" s="2" t="s">
        <v>1660</v>
      </c>
      <c r="X433" s="2">
        <v>0</v>
      </c>
      <c r="Y433" s="2" t="s">
        <v>32</v>
      </c>
      <c r="Z433" s="2" t="s">
        <v>32</v>
      </c>
      <c r="AA433" s="2" t="s">
        <v>1658</v>
      </c>
      <c r="AB433" s="2">
        <v>107</v>
      </c>
      <c r="AC433" s="2" t="s">
        <v>1660</v>
      </c>
      <c r="AD433" s="2">
        <v>0</v>
      </c>
      <c r="AE433" s="2" t="s">
        <v>1660</v>
      </c>
      <c r="AF433" s="2">
        <v>0</v>
      </c>
      <c r="AG433" s="2">
        <v>0</v>
      </c>
      <c r="AH433" s="2" t="s">
        <v>32</v>
      </c>
      <c r="AI433" s="2" t="s">
        <v>32</v>
      </c>
      <c r="AJ433" s="2" t="s">
        <v>32</v>
      </c>
      <c r="AK433" s="2" t="s">
        <v>32</v>
      </c>
      <c r="AL433" s="2" t="s">
        <v>32</v>
      </c>
      <c r="AM433" s="2">
        <v>0</v>
      </c>
      <c r="AN433" s="2" t="s">
        <v>32</v>
      </c>
      <c r="AO433" s="2">
        <v>0</v>
      </c>
      <c r="AP433" s="2" t="s">
        <v>32</v>
      </c>
      <c r="AQ433" s="2" t="s">
        <v>32</v>
      </c>
      <c r="AR433" s="2" t="s">
        <v>32</v>
      </c>
      <c r="AS433" s="2">
        <v>0</v>
      </c>
      <c r="AT433" s="2" t="s">
        <v>32</v>
      </c>
      <c r="AU433" s="2" t="s">
        <v>32</v>
      </c>
      <c r="AV433" s="2" t="s">
        <v>32</v>
      </c>
      <c r="AW433" s="2">
        <v>0</v>
      </c>
      <c r="AX433" s="2" t="s">
        <v>32</v>
      </c>
      <c r="AY433" s="2">
        <v>0</v>
      </c>
      <c r="AZ433" s="2" t="s">
        <v>1660</v>
      </c>
      <c r="BA433" s="2">
        <v>0</v>
      </c>
      <c r="BB433" s="2">
        <v>0</v>
      </c>
      <c r="BC433" s="2" t="s">
        <v>32</v>
      </c>
      <c r="BD433" s="2">
        <v>0</v>
      </c>
      <c r="BE433" s="2" t="s">
        <v>32</v>
      </c>
      <c r="BF433" s="2">
        <v>0</v>
      </c>
      <c r="BG433" s="2" t="s">
        <v>32</v>
      </c>
      <c r="BH433" s="2">
        <v>0</v>
      </c>
      <c r="BI433" s="2" t="s">
        <v>32</v>
      </c>
      <c r="BJ433" s="2" t="s">
        <v>32</v>
      </c>
      <c r="BK433" s="2" t="s">
        <v>32</v>
      </c>
      <c r="BL433" s="2">
        <v>0</v>
      </c>
      <c r="BM433" s="2" t="s">
        <v>32</v>
      </c>
      <c r="BN433" s="2" t="s">
        <v>32</v>
      </c>
      <c r="BO433" s="2" t="s">
        <v>32</v>
      </c>
      <c r="BP433" s="2">
        <v>0</v>
      </c>
      <c r="BQ433" s="2" t="s">
        <v>32</v>
      </c>
      <c r="BR433" s="2">
        <v>0</v>
      </c>
      <c r="BS433" s="2" t="s">
        <v>1660</v>
      </c>
      <c r="BT433" s="2">
        <v>0</v>
      </c>
      <c r="BU433" s="2">
        <v>0</v>
      </c>
      <c r="BV433" s="2" t="s">
        <v>1660</v>
      </c>
      <c r="BW433" s="2"/>
      <c r="BX433" s="2"/>
      <c r="BY433" s="2" t="s">
        <v>1807</v>
      </c>
      <c r="BZ433" s="2" t="b">
        <f>OR( (Dashboard[[#This Row],[ref_as_hh]]&gt;=1),(Dashboard[[#This Row],[ret_as_hh]] &gt;=1), (Dashboard[[#This Row],[idp_as_hh]]&gt;=1))</f>
        <v>1</v>
      </c>
      <c r="CA433" s="2">
        <f>Dashboard[[#This Row],[ret_hi_hh]]</f>
        <v>0</v>
      </c>
      <c r="CB433" s="2">
        <f>Dashboard[[#This Row],[idp_fa_hh]]+Dashboard[[#This Row],[ref_fa_hh]]+Dashboard[[#This Row],[ret_fa_hh]]</f>
        <v>16</v>
      </c>
      <c r="CC433" s="2">
        <f>Dashboard[[#This Row],[idp_loc_hh]]+Dashboard[[#This Row],[ref_loc_hh]]+Dashboard[[#This Row],[ret_loc_hh]]</f>
        <v>0</v>
      </c>
      <c r="CD433" s="2">
        <f>Dashboard[[#This Row],[idp_cc_hh]]+Dashboard[[#This Row],[ref_cc_hh]]+Dashboard[[#This Row],[ret_cc_hh]]</f>
        <v>0</v>
      </c>
      <c r="CE433" s="2">
        <f>Dashboard[[#This Row],[idp_as_hh]]+Dashboard[[#This Row],[ref_as_hh]]+Dashboard[[#This Row],[ret_as_hh]]</f>
        <v>107</v>
      </c>
      <c r="CF433" s="2">
        <f>Dashboard[[#This Row],[idp_al_hh]]+Dashboard[[#This Row],[ref_al_hh]]+Dashboard[[#This Row],[ret_al_hh]]</f>
        <v>0</v>
      </c>
    </row>
    <row r="434" spans="1:84" hidden="1" x14ac:dyDescent="0.25">
      <c r="A434" s="27">
        <v>196</v>
      </c>
      <c r="B434" s="2" t="s">
        <v>22</v>
      </c>
      <c r="C434" s="2" t="s">
        <v>23</v>
      </c>
      <c r="D434" s="2" t="s">
        <v>85</v>
      </c>
      <c r="E434" s="2" t="s">
        <v>84</v>
      </c>
      <c r="F434" s="2" t="s">
        <v>98</v>
      </c>
      <c r="G434" s="2" t="s">
        <v>97</v>
      </c>
      <c r="H434" s="2" t="s">
        <v>1115</v>
      </c>
      <c r="I434" s="2" t="s">
        <v>1114</v>
      </c>
      <c r="J434" s="2" t="s">
        <v>2724</v>
      </c>
      <c r="K434" s="2" t="s">
        <v>2725</v>
      </c>
      <c r="L434" s="2" t="s">
        <v>2074</v>
      </c>
      <c r="M434" s="2">
        <v>230</v>
      </c>
      <c r="N434" s="2" t="s">
        <v>1658</v>
      </c>
      <c r="O434" s="2">
        <v>10</v>
      </c>
      <c r="P434" s="2">
        <v>50</v>
      </c>
      <c r="Q434" s="2" t="s">
        <v>1658</v>
      </c>
      <c r="R434" s="2">
        <v>10</v>
      </c>
      <c r="S434" s="2" t="s">
        <v>1660</v>
      </c>
      <c r="T434" s="2">
        <v>0</v>
      </c>
      <c r="U434" s="2" t="s">
        <v>32</v>
      </c>
      <c r="V434" s="2" t="s">
        <v>32</v>
      </c>
      <c r="W434" s="2" t="s">
        <v>1660</v>
      </c>
      <c r="X434" s="2">
        <v>0</v>
      </c>
      <c r="Y434" s="2" t="s">
        <v>32</v>
      </c>
      <c r="Z434" s="2" t="s">
        <v>32</v>
      </c>
      <c r="AA434" s="2" t="s">
        <v>1660</v>
      </c>
      <c r="AB434" s="2">
        <v>0</v>
      </c>
      <c r="AC434" s="2" t="s">
        <v>1660</v>
      </c>
      <c r="AD434" s="2">
        <v>0</v>
      </c>
      <c r="AE434" s="2" t="s">
        <v>1660</v>
      </c>
      <c r="AF434" s="2">
        <v>0</v>
      </c>
      <c r="AG434" s="2">
        <v>0</v>
      </c>
      <c r="AH434" s="2" t="s">
        <v>32</v>
      </c>
      <c r="AI434" s="2" t="s">
        <v>32</v>
      </c>
      <c r="AJ434" s="2" t="s">
        <v>32</v>
      </c>
      <c r="AK434" s="2" t="s">
        <v>32</v>
      </c>
      <c r="AL434" s="2" t="s">
        <v>32</v>
      </c>
      <c r="AM434" s="2">
        <v>0</v>
      </c>
      <c r="AN434" s="2" t="s">
        <v>32</v>
      </c>
      <c r="AO434" s="2">
        <v>0</v>
      </c>
      <c r="AP434" s="2" t="s">
        <v>32</v>
      </c>
      <c r="AQ434" s="2" t="s">
        <v>32</v>
      </c>
      <c r="AR434" s="2" t="s">
        <v>32</v>
      </c>
      <c r="AS434" s="2">
        <v>0</v>
      </c>
      <c r="AT434" s="2" t="s">
        <v>32</v>
      </c>
      <c r="AU434" s="2" t="s">
        <v>32</v>
      </c>
      <c r="AV434" s="2" t="s">
        <v>32</v>
      </c>
      <c r="AW434" s="2">
        <v>0</v>
      </c>
      <c r="AX434" s="2" t="s">
        <v>32</v>
      </c>
      <c r="AY434" s="2">
        <v>0</v>
      </c>
      <c r="AZ434" s="2" t="s">
        <v>1660</v>
      </c>
      <c r="BA434" s="2">
        <v>0</v>
      </c>
      <c r="BB434" s="2">
        <v>0</v>
      </c>
      <c r="BC434" s="2" t="s">
        <v>32</v>
      </c>
      <c r="BD434" s="2">
        <v>0</v>
      </c>
      <c r="BE434" s="2" t="s">
        <v>32</v>
      </c>
      <c r="BF434" s="2">
        <v>0</v>
      </c>
      <c r="BG434" s="2" t="s">
        <v>32</v>
      </c>
      <c r="BH434" s="2">
        <v>0</v>
      </c>
      <c r="BI434" s="2" t="s">
        <v>32</v>
      </c>
      <c r="BJ434" s="2" t="s">
        <v>32</v>
      </c>
      <c r="BK434" s="2" t="s">
        <v>32</v>
      </c>
      <c r="BL434" s="2">
        <v>0</v>
      </c>
      <c r="BM434" s="2" t="s">
        <v>32</v>
      </c>
      <c r="BN434" s="2" t="s">
        <v>32</v>
      </c>
      <c r="BO434" s="2" t="s">
        <v>32</v>
      </c>
      <c r="BP434" s="2">
        <v>0</v>
      </c>
      <c r="BQ434" s="2" t="s">
        <v>32</v>
      </c>
      <c r="BR434" s="2">
        <v>0</v>
      </c>
      <c r="BS434" s="2" t="s">
        <v>1660</v>
      </c>
      <c r="BT434" s="2">
        <v>0</v>
      </c>
      <c r="BU434" s="2">
        <v>0</v>
      </c>
      <c r="BV434" s="2" t="s">
        <v>1660</v>
      </c>
      <c r="BW434" s="2"/>
      <c r="BX434" s="2"/>
      <c r="BY434" s="2" t="s">
        <v>1807</v>
      </c>
      <c r="BZ434" s="2" t="b">
        <f>OR( (Dashboard[[#This Row],[ref_as_hh]]&gt;=1),(Dashboard[[#This Row],[ret_as_hh]] &gt;=1), (Dashboard[[#This Row],[idp_as_hh]]&gt;=1))</f>
        <v>0</v>
      </c>
      <c r="CA434" s="2">
        <f>Dashboard[[#This Row],[ret_hi_hh]]</f>
        <v>0</v>
      </c>
      <c r="CB434" s="2">
        <f>Dashboard[[#This Row],[idp_fa_hh]]+Dashboard[[#This Row],[ref_fa_hh]]+Dashboard[[#This Row],[ret_fa_hh]]</f>
        <v>10</v>
      </c>
      <c r="CC434" s="2">
        <f>Dashboard[[#This Row],[idp_loc_hh]]+Dashboard[[#This Row],[ref_loc_hh]]+Dashboard[[#This Row],[ret_loc_hh]]</f>
        <v>0</v>
      </c>
      <c r="CD434" s="2">
        <f>Dashboard[[#This Row],[idp_cc_hh]]+Dashboard[[#This Row],[ref_cc_hh]]+Dashboard[[#This Row],[ret_cc_hh]]</f>
        <v>0</v>
      </c>
      <c r="CE434" s="2">
        <f>Dashboard[[#This Row],[idp_as_hh]]+Dashboard[[#This Row],[ref_as_hh]]+Dashboard[[#This Row],[ret_as_hh]]</f>
        <v>0</v>
      </c>
      <c r="CF434" s="2">
        <f>Dashboard[[#This Row],[idp_al_hh]]+Dashboard[[#This Row],[ref_al_hh]]+Dashboard[[#This Row],[ret_al_hh]]</f>
        <v>0</v>
      </c>
    </row>
    <row r="435" spans="1:84" hidden="1" x14ac:dyDescent="0.25">
      <c r="A435" s="27">
        <v>452</v>
      </c>
      <c r="B435" s="2" t="s">
        <v>22</v>
      </c>
      <c r="C435" s="2" t="s">
        <v>23</v>
      </c>
      <c r="D435" s="2" t="s">
        <v>85</v>
      </c>
      <c r="E435" s="2" t="s">
        <v>84</v>
      </c>
      <c r="F435" s="2" t="s">
        <v>98</v>
      </c>
      <c r="G435" s="2" t="s">
        <v>97</v>
      </c>
      <c r="H435" s="2" t="s">
        <v>1518</v>
      </c>
      <c r="I435" s="2" t="s">
        <v>631</v>
      </c>
      <c r="J435" s="2" t="s">
        <v>2992</v>
      </c>
      <c r="K435" s="2" t="s">
        <v>2993</v>
      </c>
      <c r="L435" s="2" t="s">
        <v>2074</v>
      </c>
      <c r="M435" s="2">
        <v>0</v>
      </c>
      <c r="N435" s="2" t="s">
        <v>1660</v>
      </c>
      <c r="O435" s="2">
        <v>0</v>
      </c>
      <c r="P435" s="2">
        <v>0</v>
      </c>
      <c r="Q435" s="2" t="s">
        <v>32</v>
      </c>
      <c r="R435" s="2">
        <v>0</v>
      </c>
      <c r="S435" s="2" t="s">
        <v>32</v>
      </c>
      <c r="T435" s="2">
        <v>0</v>
      </c>
      <c r="U435" s="2" t="s">
        <v>32</v>
      </c>
      <c r="V435" s="2" t="s">
        <v>32</v>
      </c>
      <c r="W435" s="2" t="s">
        <v>32</v>
      </c>
      <c r="X435" s="2">
        <v>0</v>
      </c>
      <c r="Y435" s="2" t="s">
        <v>32</v>
      </c>
      <c r="Z435" s="2" t="s">
        <v>32</v>
      </c>
      <c r="AA435" s="2" t="s">
        <v>32</v>
      </c>
      <c r="AB435" s="2">
        <v>0</v>
      </c>
      <c r="AC435" s="2" t="s">
        <v>32</v>
      </c>
      <c r="AD435" s="2">
        <v>0</v>
      </c>
      <c r="AE435" s="2" t="s">
        <v>1658</v>
      </c>
      <c r="AF435" s="2">
        <v>0</v>
      </c>
      <c r="AG435" s="2">
        <v>0</v>
      </c>
      <c r="AH435" s="2" t="s">
        <v>1660</v>
      </c>
      <c r="AI435" s="2" t="s">
        <v>32</v>
      </c>
      <c r="AJ435" s="2" t="s">
        <v>32</v>
      </c>
      <c r="AK435" s="2" t="s">
        <v>32</v>
      </c>
      <c r="AL435" s="2" t="s">
        <v>1660</v>
      </c>
      <c r="AM435" s="2">
        <v>0</v>
      </c>
      <c r="AN435" s="2" t="s">
        <v>1660</v>
      </c>
      <c r="AO435" s="2">
        <v>0</v>
      </c>
      <c r="AP435" s="2" t="s">
        <v>32</v>
      </c>
      <c r="AQ435" s="2" t="s">
        <v>32</v>
      </c>
      <c r="AR435" s="2" t="s">
        <v>1660</v>
      </c>
      <c r="AS435" s="2">
        <v>0</v>
      </c>
      <c r="AT435" s="2" t="s">
        <v>32</v>
      </c>
      <c r="AU435" s="2" t="s">
        <v>32</v>
      </c>
      <c r="AV435" s="2" t="s">
        <v>1660</v>
      </c>
      <c r="AW435" s="2">
        <v>0</v>
      </c>
      <c r="AX435" s="2" t="s">
        <v>1660</v>
      </c>
      <c r="AY435" s="2">
        <v>0</v>
      </c>
      <c r="AZ435" s="2" t="s">
        <v>1660</v>
      </c>
      <c r="BA435" s="2">
        <v>0</v>
      </c>
      <c r="BB435" s="2">
        <v>0</v>
      </c>
      <c r="BC435" s="2" t="s">
        <v>32</v>
      </c>
      <c r="BD435" s="2">
        <v>0</v>
      </c>
      <c r="BE435" s="2" t="s">
        <v>32</v>
      </c>
      <c r="BF435" s="2">
        <v>0</v>
      </c>
      <c r="BG435" s="2" t="s">
        <v>32</v>
      </c>
      <c r="BH435" s="2">
        <v>0</v>
      </c>
      <c r="BI435" s="2" t="s">
        <v>32</v>
      </c>
      <c r="BJ435" s="2" t="s">
        <v>32</v>
      </c>
      <c r="BK435" s="2" t="s">
        <v>32</v>
      </c>
      <c r="BL435" s="2">
        <v>0</v>
      </c>
      <c r="BM435" s="2" t="s">
        <v>32</v>
      </c>
      <c r="BN435" s="2" t="s">
        <v>32</v>
      </c>
      <c r="BO435" s="2" t="s">
        <v>32</v>
      </c>
      <c r="BP435" s="2">
        <v>0</v>
      </c>
      <c r="BQ435" s="2" t="s">
        <v>32</v>
      </c>
      <c r="BR435" s="2">
        <v>0</v>
      </c>
      <c r="BS435" s="2" t="s">
        <v>1660</v>
      </c>
      <c r="BT435" s="2">
        <v>0</v>
      </c>
      <c r="BU435" s="2">
        <v>0</v>
      </c>
      <c r="BV435" s="2" t="s">
        <v>1660</v>
      </c>
      <c r="BW435" s="2"/>
      <c r="BX435" s="2"/>
      <c r="BY435" s="2" t="s">
        <v>1807</v>
      </c>
      <c r="BZ435" s="2" t="b">
        <f>OR( (Dashboard[[#This Row],[ref_as_hh]]&gt;=1),(Dashboard[[#This Row],[ret_as_hh]] &gt;=1), (Dashboard[[#This Row],[idp_as_hh]]&gt;=1))</f>
        <v>0</v>
      </c>
      <c r="CA435" s="2">
        <f>Dashboard[[#This Row],[ret_hi_hh]]</f>
        <v>0</v>
      </c>
      <c r="CB435" s="2">
        <f>Dashboard[[#This Row],[idp_fa_hh]]+Dashboard[[#This Row],[ref_fa_hh]]+Dashboard[[#This Row],[ret_fa_hh]]</f>
        <v>0</v>
      </c>
      <c r="CC435" s="2">
        <f>Dashboard[[#This Row],[idp_loc_hh]]+Dashboard[[#This Row],[ref_loc_hh]]+Dashboard[[#This Row],[ret_loc_hh]]</f>
        <v>0</v>
      </c>
      <c r="CD435" s="2">
        <f>Dashboard[[#This Row],[idp_cc_hh]]+Dashboard[[#This Row],[ref_cc_hh]]+Dashboard[[#This Row],[ret_cc_hh]]</f>
        <v>0</v>
      </c>
      <c r="CE435" s="2">
        <f>Dashboard[[#This Row],[idp_as_hh]]+Dashboard[[#This Row],[ref_as_hh]]+Dashboard[[#This Row],[ret_as_hh]]</f>
        <v>0</v>
      </c>
      <c r="CF435" s="2">
        <f>Dashboard[[#This Row],[idp_al_hh]]+Dashboard[[#This Row],[ref_al_hh]]+Dashboard[[#This Row],[ret_al_hh]]</f>
        <v>0</v>
      </c>
    </row>
    <row r="436" spans="1:84" x14ac:dyDescent="0.25">
      <c r="A436" s="27">
        <v>708</v>
      </c>
      <c r="B436" s="2" t="s">
        <v>22</v>
      </c>
      <c r="C436" s="2" t="s">
        <v>23</v>
      </c>
      <c r="D436" s="2" t="s">
        <v>85</v>
      </c>
      <c r="E436" s="2" t="s">
        <v>84</v>
      </c>
      <c r="F436" s="2" t="s">
        <v>98</v>
      </c>
      <c r="G436" s="2" t="s">
        <v>97</v>
      </c>
      <c r="H436" s="2" t="s">
        <v>1274</v>
      </c>
      <c r="I436" s="2" t="s">
        <v>170</v>
      </c>
      <c r="J436" s="2" t="s">
        <v>3074</v>
      </c>
      <c r="K436" s="2" t="s">
        <v>3075</v>
      </c>
      <c r="L436" s="2" t="s">
        <v>2074</v>
      </c>
      <c r="M436" s="2">
        <v>1867</v>
      </c>
      <c r="N436" s="2" t="s">
        <v>1658</v>
      </c>
      <c r="O436" s="2">
        <v>130</v>
      </c>
      <c r="P436" s="2">
        <v>1078</v>
      </c>
      <c r="Q436" s="2" t="s">
        <v>1658</v>
      </c>
      <c r="R436" s="2">
        <v>80</v>
      </c>
      <c r="S436" s="2" t="s">
        <v>1660</v>
      </c>
      <c r="T436" s="2">
        <v>0</v>
      </c>
      <c r="U436" s="2" t="s">
        <v>32</v>
      </c>
      <c r="V436" s="2" t="s">
        <v>32</v>
      </c>
      <c r="W436" s="2" t="s">
        <v>1660</v>
      </c>
      <c r="X436" s="2">
        <v>0</v>
      </c>
      <c r="Y436" s="2" t="s">
        <v>32</v>
      </c>
      <c r="Z436" s="2" t="s">
        <v>32</v>
      </c>
      <c r="AA436" s="2" t="s">
        <v>1658</v>
      </c>
      <c r="AB436" s="2">
        <v>50</v>
      </c>
      <c r="AC436" s="2" t="s">
        <v>1660</v>
      </c>
      <c r="AD436" s="2">
        <v>0</v>
      </c>
      <c r="AE436" s="2" t="s">
        <v>1660</v>
      </c>
      <c r="AF436" s="2">
        <v>0</v>
      </c>
      <c r="AG436" s="2">
        <v>0</v>
      </c>
      <c r="AH436" s="2" t="s">
        <v>32</v>
      </c>
      <c r="AI436" s="2" t="s">
        <v>32</v>
      </c>
      <c r="AJ436" s="2" t="s">
        <v>32</v>
      </c>
      <c r="AK436" s="2" t="s">
        <v>32</v>
      </c>
      <c r="AL436" s="2" t="s">
        <v>32</v>
      </c>
      <c r="AM436" s="2">
        <v>0</v>
      </c>
      <c r="AN436" s="2" t="s">
        <v>32</v>
      </c>
      <c r="AO436" s="2">
        <v>0</v>
      </c>
      <c r="AP436" s="2" t="s">
        <v>32</v>
      </c>
      <c r="AQ436" s="2" t="s">
        <v>32</v>
      </c>
      <c r="AR436" s="2" t="s">
        <v>32</v>
      </c>
      <c r="AS436" s="2">
        <v>0</v>
      </c>
      <c r="AT436" s="2" t="s">
        <v>32</v>
      </c>
      <c r="AU436" s="2" t="s">
        <v>32</v>
      </c>
      <c r="AV436" s="2" t="s">
        <v>32</v>
      </c>
      <c r="AW436" s="2">
        <v>0</v>
      </c>
      <c r="AX436" s="2" t="s">
        <v>32</v>
      </c>
      <c r="AY436" s="2">
        <v>0</v>
      </c>
      <c r="AZ436" s="2" t="s">
        <v>1660</v>
      </c>
      <c r="BA436" s="2">
        <v>0</v>
      </c>
      <c r="BB436" s="2">
        <v>0</v>
      </c>
      <c r="BC436" s="2" t="s">
        <v>32</v>
      </c>
      <c r="BD436" s="2">
        <v>0</v>
      </c>
      <c r="BE436" s="2" t="s">
        <v>32</v>
      </c>
      <c r="BF436" s="2">
        <v>0</v>
      </c>
      <c r="BG436" s="2" t="s">
        <v>32</v>
      </c>
      <c r="BH436" s="2">
        <v>0</v>
      </c>
      <c r="BI436" s="2" t="s">
        <v>32</v>
      </c>
      <c r="BJ436" s="2" t="s">
        <v>32</v>
      </c>
      <c r="BK436" s="2" t="s">
        <v>32</v>
      </c>
      <c r="BL436" s="2">
        <v>0</v>
      </c>
      <c r="BM436" s="2" t="s">
        <v>32</v>
      </c>
      <c r="BN436" s="2" t="s">
        <v>32</v>
      </c>
      <c r="BO436" s="2" t="s">
        <v>32</v>
      </c>
      <c r="BP436" s="2">
        <v>0</v>
      </c>
      <c r="BQ436" s="2" t="s">
        <v>32</v>
      </c>
      <c r="BR436" s="2">
        <v>0</v>
      </c>
      <c r="BS436" s="2" t="s">
        <v>1660</v>
      </c>
      <c r="BT436" s="2">
        <v>0</v>
      </c>
      <c r="BU436" s="2">
        <v>0</v>
      </c>
      <c r="BV436" s="2" t="s">
        <v>1660</v>
      </c>
      <c r="BW436" s="2"/>
      <c r="BX436" s="2"/>
      <c r="BY436" s="2" t="s">
        <v>1807</v>
      </c>
      <c r="BZ436" s="2" t="b">
        <f>OR( (Dashboard[[#This Row],[ref_as_hh]]&gt;=1),(Dashboard[[#This Row],[ret_as_hh]] &gt;=1), (Dashboard[[#This Row],[idp_as_hh]]&gt;=1))</f>
        <v>1</v>
      </c>
      <c r="CA436" s="2">
        <f>Dashboard[[#This Row],[ret_hi_hh]]</f>
        <v>0</v>
      </c>
      <c r="CB436" s="2">
        <f>Dashboard[[#This Row],[idp_fa_hh]]+Dashboard[[#This Row],[ref_fa_hh]]+Dashboard[[#This Row],[ret_fa_hh]]</f>
        <v>80</v>
      </c>
      <c r="CC436" s="2">
        <f>Dashboard[[#This Row],[idp_loc_hh]]+Dashboard[[#This Row],[ref_loc_hh]]+Dashboard[[#This Row],[ret_loc_hh]]</f>
        <v>0</v>
      </c>
      <c r="CD436" s="2">
        <f>Dashboard[[#This Row],[idp_cc_hh]]+Dashboard[[#This Row],[ref_cc_hh]]+Dashboard[[#This Row],[ret_cc_hh]]</f>
        <v>0</v>
      </c>
      <c r="CE436" s="2">
        <f>Dashboard[[#This Row],[idp_as_hh]]+Dashboard[[#This Row],[ref_as_hh]]+Dashboard[[#This Row],[ret_as_hh]]</f>
        <v>50</v>
      </c>
      <c r="CF436" s="2">
        <f>Dashboard[[#This Row],[idp_al_hh]]+Dashboard[[#This Row],[ref_al_hh]]+Dashboard[[#This Row],[ret_al_hh]]</f>
        <v>0</v>
      </c>
    </row>
    <row r="437" spans="1:84" hidden="1" x14ac:dyDescent="0.25">
      <c r="A437" s="27">
        <v>197</v>
      </c>
      <c r="B437" s="2" t="s">
        <v>22</v>
      </c>
      <c r="C437" s="2" t="s">
        <v>23</v>
      </c>
      <c r="D437" s="2" t="s">
        <v>85</v>
      </c>
      <c r="E437" s="2" t="s">
        <v>84</v>
      </c>
      <c r="F437" s="2" t="s">
        <v>98</v>
      </c>
      <c r="G437" s="2" t="s">
        <v>97</v>
      </c>
      <c r="H437" s="2" t="s">
        <v>1190</v>
      </c>
      <c r="I437" s="2" t="s">
        <v>1189</v>
      </c>
      <c r="J437" s="2" t="s">
        <v>2884</v>
      </c>
      <c r="K437" s="2" t="s">
        <v>2885</v>
      </c>
      <c r="L437" s="2" t="s">
        <v>3693</v>
      </c>
      <c r="M437" s="2">
        <v>520</v>
      </c>
      <c r="N437" s="2" t="s">
        <v>1658</v>
      </c>
      <c r="O437" s="2">
        <v>35</v>
      </c>
      <c r="P437" s="2">
        <v>175</v>
      </c>
      <c r="Q437" s="2" t="s">
        <v>1658</v>
      </c>
      <c r="R437" s="2">
        <v>35</v>
      </c>
      <c r="S437" s="2" t="s">
        <v>1660</v>
      </c>
      <c r="T437" s="2">
        <v>0</v>
      </c>
      <c r="U437" s="2" t="s">
        <v>32</v>
      </c>
      <c r="V437" s="2" t="s">
        <v>32</v>
      </c>
      <c r="W437" s="2" t="s">
        <v>1660</v>
      </c>
      <c r="X437" s="2">
        <v>0</v>
      </c>
      <c r="Y437" s="2" t="s">
        <v>32</v>
      </c>
      <c r="Z437" s="2" t="s">
        <v>32</v>
      </c>
      <c r="AA437" s="2" t="s">
        <v>1660</v>
      </c>
      <c r="AB437" s="2">
        <v>0</v>
      </c>
      <c r="AC437" s="2" t="s">
        <v>1660</v>
      </c>
      <c r="AD437" s="2">
        <v>0</v>
      </c>
      <c r="AE437" s="2" t="s">
        <v>1660</v>
      </c>
      <c r="AF437" s="2">
        <v>0</v>
      </c>
      <c r="AG437" s="2">
        <v>0</v>
      </c>
      <c r="AH437" s="2" t="s">
        <v>32</v>
      </c>
      <c r="AI437" s="2" t="s">
        <v>32</v>
      </c>
      <c r="AJ437" s="2" t="s">
        <v>32</v>
      </c>
      <c r="AK437" s="2" t="s">
        <v>32</v>
      </c>
      <c r="AL437" s="2" t="s">
        <v>32</v>
      </c>
      <c r="AM437" s="2">
        <v>0</v>
      </c>
      <c r="AN437" s="2" t="s">
        <v>32</v>
      </c>
      <c r="AO437" s="2">
        <v>0</v>
      </c>
      <c r="AP437" s="2" t="s">
        <v>32</v>
      </c>
      <c r="AQ437" s="2" t="s">
        <v>32</v>
      </c>
      <c r="AR437" s="2" t="s">
        <v>32</v>
      </c>
      <c r="AS437" s="2">
        <v>0</v>
      </c>
      <c r="AT437" s="2" t="s">
        <v>32</v>
      </c>
      <c r="AU437" s="2" t="s">
        <v>32</v>
      </c>
      <c r="AV437" s="2" t="s">
        <v>32</v>
      </c>
      <c r="AW437" s="2">
        <v>0</v>
      </c>
      <c r="AX437" s="2" t="s">
        <v>32</v>
      </c>
      <c r="AY437" s="2">
        <v>0</v>
      </c>
      <c r="AZ437" s="2" t="s">
        <v>1660</v>
      </c>
      <c r="BA437" s="2">
        <v>0</v>
      </c>
      <c r="BB437" s="2">
        <v>0</v>
      </c>
      <c r="BC437" s="2" t="s">
        <v>32</v>
      </c>
      <c r="BD437" s="2">
        <v>0</v>
      </c>
      <c r="BE437" s="2" t="s">
        <v>32</v>
      </c>
      <c r="BF437" s="2">
        <v>0</v>
      </c>
      <c r="BG437" s="2" t="s">
        <v>32</v>
      </c>
      <c r="BH437" s="2">
        <v>0</v>
      </c>
      <c r="BI437" s="2" t="s">
        <v>32</v>
      </c>
      <c r="BJ437" s="2" t="s">
        <v>32</v>
      </c>
      <c r="BK437" s="2" t="s">
        <v>32</v>
      </c>
      <c r="BL437" s="2">
        <v>0</v>
      </c>
      <c r="BM437" s="2" t="s">
        <v>32</v>
      </c>
      <c r="BN437" s="2" t="s">
        <v>32</v>
      </c>
      <c r="BO437" s="2" t="s">
        <v>32</v>
      </c>
      <c r="BP437" s="2">
        <v>0</v>
      </c>
      <c r="BQ437" s="2" t="s">
        <v>32</v>
      </c>
      <c r="BR437" s="2">
        <v>0</v>
      </c>
      <c r="BS437" s="2" t="s">
        <v>1660</v>
      </c>
      <c r="BT437" s="2">
        <v>0</v>
      </c>
      <c r="BU437" s="2">
        <v>0</v>
      </c>
      <c r="BV437" s="2" t="s">
        <v>1660</v>
      </c>
      <c r="BW437" s="2"/>
      <c r="BX437" s="2"/>
      <c r="BY437" s="2" t="s">
        <v>1807</v>
      </c>
      <c r="BZ437" s="2" t="b">
        <f>OR( (Dashboard[[#This Row],[ref_as_hh]]&gt;=1),(Dashboard[[#This Row],[ret_as_hh]] &gt;=1), (Dashboard[[#This Row],[idp_as_hh]]&gt;=1))</f>
        <v>0</v>
      </c>
      <c r="CA437" s="2">
        <f>Dashboard[[#This Row],[ret_hi_hh]]</f>
        <v>0</v>
      </c>
      <c r="CB437" s="2">
        <f>Dashboard[[#This Row],[idp_fa_hh]]+Dashboard[[#This Row],[ref_fa_hh]]+Dashboard[[#This Row],[ret_fa_hh]]</f>
        <v>35</v>
      </c>
      <c r="CC437" s="2">
        <f>Dashboard[[#This Row],[idp_loc_hh]]+Dashboard[[#This Row],[ref_loc_hh]]+Dashboard[[#This Row],[ret_loc_hh]]</f>
        <v>0</v>
      </c>
      <c r="CD437" s="2">
        <f>Dashboard[[#This Row],[idp_cc_hh]]+Dashboard[[#This Row],[ref_cc_hh]]+Dashboard[[#This Row],[ret_cc_hh]]</f>
        <v>0</v>
      </c>
      <c r="CE437" s="2">
        <f>Dashboard[[#This Row],[idp_as_hh]]+Dashboard[[#This Row],[ref_as_hh]]+Dashboard[[#This Row],[ret_as_hh]]</f>
        <v>0</v>
      </c>
      <c r="CF437" s="2">
        <f>Dashboard[[#This Row],[idp_al_hh]]+Dashboard[[#This Row],[ref_al_hh]]+Dashboard[[#This Row],[ret_al_hh]]</f>
        <v>0</v>
      </c>
    </row>
    <row r="438" spans="1:84" hidden="1" x14ac:dyDescent="0.25">
      <c r="A438" s="27">
        <v>453</v>
      </c>
      <c r="B438" s="2" t="s">
        <v>22</v>
      </c>
      <c r="C438" s="2" t="s">
        <v>23</v>
      </c>
      <c r="D438" s="2" t="s">
        <v>85</v>
      </c>
      <c r="E438" s="2" t="s">
        <v>84</v>
      </c>
      <c r="F438" s="2" t="s">
        <v>98</v>
      </c>
      <c r="G438" s="2" t="s">
        <v>97</v>
      </c>
      <c r="H438" s="2" t="s">
        <v>1519</v>
      </c>
      <c r="I438" s="2" t="s">
        <v>632</v>
      </c>
      <c r="J438" s="2" t="s">
        <v>2994</v>
      </c>
      <c r="K438" s="2" t="s">
        <v>2995</v>
      </c>
      <c r="L438" s="2" t="s">
        <v>2074</v>
      </c>
      <c r="M438" s="2">
        <v>0</v>
      </c>
      <c r="N438" s="2" t="s">
        <v>1660</v>
      </c>
      <c r="O438" s="2">
        <v>0</v>
      </c>
      <c r="P438" s="2">
        <v>0</v>
      </c>
      <c r="Q438" s="2" t="s">
        <v>32</v>
      </c>
      <c r="R438" s="2">
        <v>0</v>
      </c>
      <c r="S438" s="2" t="s">
        <v>32</v>
      </c>
      <c r="T438" s="2">
        <v>0</v>
      </c>
      <c r="U438" s="2" t="s">
        <v>32</v>
      </c>
      <c r="V438" s="2" t="s">
        <v>32</v>
      </c>
      <c r="W438" s="2" t="s">
        <v>32</v>
      </c>
      <c r="X438" s="2">
        <v>0</v>
      </c>
      <c r="Y438" s="2" t="s">
        <v>32</v>
      </c>
      <c r="Z438" s="2" t="s">
        <v>32</v>
      </c>
      <c r="AA438" s="2" t="s">
        <v>32</v>
      </c>
      <c r="AB438" s="2">
        <v>0</v>
      </c>
      <c r="AC438" s="2" t="s">
        <v>32</v>
      </c>
      <c r="AD438" s="2">
        <v>0</v>
      </c>
      <c r="AE438" s="2" t="s">
        <v>1658</v>
      </c>
      <c r="AF438" s="2">
        <v>0</v>
      </c>
      <c r="AG438" s="2">
        <v>0</v>
      </c>
      <c r="AH438" s="2" t="s">
        <v>1660</v>
      </c>
      <c r="AI438" s="2" t="s">
        <v>32</v>
      </c>
      <c r="AJ438" s="2" t="s">
        <v>32</v>
      </c>
      <c r="AK438" s="2" t="s">
        <v>32</v>
      </c>
      <c r="AL438" s="2" t="s">
        <v>1660</v>
      </c>
      <c r="AM438" s="2">
        <v>0</v>
      </c>
      <c r="AN438" s="2" t="s">
        <v>1660</v>
      </c>
      <c r="AO438" s="2">
        <v>0</v>
      </c>
      <c r="AP438" s="2" t="s">
        <v>32</v>
      </c>
      <c r="AQ438" s="2" t="s">
        <v>32</v>
      </c>
      <c r="AR438" s="2" t="s">
        <v>1660</v>
      </c>
      <c r="AS438" s="2">
        <v>0</v>
      </c>
      <c r="AT438" s="2" t="s">
        <v>32</v>
      </c>
      <c r="AU438" s="2" t="s">
        <v>32</v>
      </c>
      <c r="AV438" s="2" t="s">
        <v>1660</v>
      </c>
      <c r="AW438" s="2">
        <v>0</v>
      </c>
      <c r="AX438" s="2" t="s">
        <v>1660</v>
      </c>
      <c r="AY438" s="2">
        <v>0</v>
      </c>
      <c r="AZ438" s="2" t="s">
        <v>1660</v>
      </c>
      <c r="BA438" s="2">
        <v>0</v>
      </c>
      <c r="BB438" s="2">
        <v>0</v>
      </c>
      <c r="BC438" s="2" t="s">
        <v>32</v>
      </c>
      <c r="BD438" s="2">
        <v>0</v>
      </c>
      <c r="BE438" s="2" t="s">
        <v>32</v>
      </c>
      <c r="BF438" s="2">
        <v>0</v>
      </c>
      <c r="BG438" s="2" t="s">
        <v>32</v>
      </c>
      <c r="BH438" s="2">
        <v>0</v>
      </c>
      <c r="BI438" s="2" t="s">
        <v>32</v>
      </c>
      <c r="BJ438" s="2" t="s">
        <v>32</v>
      </c>
      <c r="BK438" s="2" t="s">
        <v>32</v>
      </c>
      <c r="BL438" s="2">
        <v>0</v>
      </c>
      <c r="BM438" s="2" t="s">
        <v>32</v>
      </c>
      <c r="BN438" s="2" t="s">
        <v>32</v>
      </c>
      <c r="BO438" s="2" t="s">
        <v>32</v>
      </c>
      <c r="BP438" s="2">
        <v>0</v>
      </c>
      <c r="BQ438" s="2" t="s">
        <v>32</v>
      </c>
      <c r="BR438" s="2">
        <v>0</v>
      </c>
      <c r="BS438" s="2" t="s">
        <v>1660</v>
      </c>
      <c r="BT438" s="2">
        <v>0</v>
      </c>
      <c r="BU438" s="2">
        <v>0</v>
      </c>
      <c r="BV438" s="2" t="s">
        <v>1660</v>
      </c>
      <c r="BW438" s="2"/>
      <c r="BX438" s="2"/>
      <c r="BY438" s="2" t="s">
        <v>1807</v>
      </c>
      <c r="BZ438" s="2" t="b">
        <f>OR( (Dashboard[[#This Row],[ref_as_hh]]&gt;=1),(Dashboard[[#This Row],[ret_as_hh]] &gt;=1), (Dashboard[[#This Row],[idp_as_hh]]&gt;=1))</f>
        <v>0</v>
      </c>
      <c r="CA438" s="2">
        <f>Dashboard[[#This Row],[ret_hi_hh]]</f>
        <v>0</v>
      </c>
      <c r="CB438" s="2">
        <f>Dashboard[[#This Row],[idp_fa_hh]]+Dashboard[[#This Row],[ref_fa_hh]]+Dashboard[[#This Row],[ret_fa_hh]]</f>
        <v>0</v>
      </c>
      <c r="CC438" s="2">
        <f>Dashboard[[#This Row],[idp_loc_hh]]+Dashboard[[#This Row],[ref_loc_hh]]+Dashboard[[#This Row],[ret_loc_hh]]</f>
        <v>0</v>
      </c>
      <c r="CD438" s="2">
        <f>Dashboard[[#This Row],[idp_cc_hh]]+Dashboard[[#This Row],[ref_cc_hh]]+Dashboard[[#This Row],[ret_cc_hh]]</f>
        <v>0</v>
      </c>
      <c r="CE438" s="2">
        <f>Dashboard[[#This Row],[idp_as_hh]]+Dashboard[[#This Row],[ref_as_hh]]+Dashboard[[#This Row],[ret_as_hh]]</f>
        <v>0</v>
      </c>
      <c r="CF438" s="2">
        <f>Dashboard[[#This Row],[idp_al_hh]]+Dashboard[[#This Row],[ref_al_hh]]+Dashboard[[#This Row],[ret_al_hh]]</f>
        <v>0</v>
      </c>
    </row>
    <row r="439" spans="1:84" hidden="1" x14ac:dyDescent="0.25">
      <c r="A439" s="27">
        <v>198</v>
      </c>
      <c r="B439" s="2" t="s">
        <v>22</v>
      </c>
      <c r="C439" s="2" t="s">
        <v>23</v>
      </c>
      <c r="D439" s="2" t="s">
        <v>85</v>
      </c>
      <c r="E439" s="2" t="s">
        <v>84</v>
      </c>
      <c r="F439" s="2" t="s">
        <v>98</v>
      </c>
      <c r="G439" s="2" t="s">
        <v>97</v>
      </c>
      <c r="H439" s="2" t="s">
        <v>1132</v>
      </c>
      <c r="I439" s="2" t="s">
        <v>1131</v>
      </c>
      <c r="J439" s="2" t="s">
        <v>2760</v>
      </c>
      <c r="K439" s="2" t="s">
        <v>2761</v>
      </c>
      <c r="L439" s="2" t="s">
        <v>2074</v>
      </c>
      <c r="M439" s="2">
        <v>300</v>
      </c>
      <c r="N439" s="2" t="s">
        <v>1658</v>
      </c>
      <c r="O439" s="2">
        <v>10</v>
      </c>
      <c r="P439" s="2">
        <v>45</v>
      </c>
      <c r="Q439" s="2" t="s">
        <v>1658</v>
      </c>
      <c r="R439" s="2">
        <v>10</v>
      </c>
      <c r="S439" s="2" t="s">
        <v>1660</v>
      </c>
      <c r="T439" s="2">
        <v>0</v>
      </c>
      <c r="U439" s="2" t="s">
        <v>32</v>
      </c>
      <c r="V439" s="2" t="s">
        <v>32</v>
      </c>
      <c r="W439" s="2" t="s">
        <v>1660</v>
      </c>
      <c r="X439" s="2">
        <v>0</v>
      </c>
      <c r="Y439" s="2" t="s">
        <v>32</v>
      </c>
      <c r="Z439" s="2" t="s">
        <v>32</v>
      </c>
      <c r="AA439" s="2" t="s">
        <v>1660</v>
      </c>
      <c r="AB439" s="2">
        <v>0</v>
      </c>
      <c r="AC439" s="2" t="s">
        <v>1660</v>
      </c>
      <c r="AD439" s="2">
        <v>0</v>
      </c>
      <c r="AE439" s="2" t="s">
        <v>1660</v>
      </c>
      <c r="AF439" s="2">
        <v>0</v>
      </c>
      <c r="AG439" s="2">
        <v>0</v>
      </c>
      <c r="AH439" s="2" t="s">
        <v>32</v>
      </c>
      <c r="AI439" s="2" t="s">
        <v>32</v>
      </c>
      <c r="AJ439" s="2" t="s">
        <v>32</v>
      </c>
      <c r="AK439" s="2" t="s">
        <v>32</v>
      </c>
      <c r="AL439" s="2" t="s">
        <v>32</v>
      </c>
      <c r="AM439" s="2">
        <v>0</v>
      </c>
      <c r="AN439" s="2" t="s">
        <v>32</v>
      </c>
      <c r="AO439" s="2">
        <v>0</v>
      </c>
      <c r="AP439" s="2" t="s">
        <v>32</v>
      </c>
      <c r="AQ439" s="2" t="s">
        <v>32</v>
      </c>
      <c r="AR439" s="2" t="s">
        <v>32</v>
      </c>
      <c r="AS439" s="2">
        <v>0</v>
      </c>
      <c r="AT439" s="2" t="s">
        <v>32</v>
      </c>
      <c r="AU439" s="2" t="s">
        <v>32</v>
      </c>
      <c r="AV439" s="2" t="s">
        <v>32</v>
      </c>
      <c r="AW439" s="2">
        <v>0</v>
      </c>
      <c r="AX439" s="2" t="s">
        <v>32</v>
      </c>
      <c r="AY439" s="2">
        <v>0</v>
      </c>
      <c r="AZ439" s="2" t="s">
        <v>1660</v>
      </c>
      <c r="BA439" s="2">
        <v>0</v>
      </c>
      <c r="BB439" s="2">
        <v>0</v>
      </c>
      <c r="BC439" s="2" t="s">
        <v>32</v>
      </c>
      <c r="BD439" s="2">
        <v>0</v>
      </c>
      <c r="BE439" s="2" t="s">
        <v>32</v>
      </c>
      <c r="BF439" s="2">
        <v>0</v>
      </c>
      <c r="BG439" s="2" t="s">
        <v>32</v>
      </c>
      <c r="BH439" s="2">
        <v>0</v>
      </c>
      <c r="BI439" s="2" t="s">
        <v>32</v>
      </c>
      <c r="BJ439" s="2" t="s">
        <v>32</v>
      </c>
      <c r="BK439" s="2" t="s">
        <v>32</v>
      </c>
      <c r="BL439" s="2">
        <v>0</v>
      </c>
      <c r="BM439" s="2" t="s">
        <v>32</v>
      </c>
      <c r="BN439" s="2" t="s">
        <v>32</v>
      </c>
      <c r="BO439" s="2" t="s">
        <v>32</v>
      </c>
      <c r="BP439" s="2">
        <v>0</v>
      </c>
      <c r="BQ439" s="2" t="s">
        <v>32</v>
      </c>
      <c r="BR439" s="2">
        <v>0</v>
      </c>
      <c r="BS439" s="2" t="s">
        <v>1660</v>
      </c>
      <c r="BT439" s="2">
        <v>0</v>
      </c>
      <c r="BU439" s="2">
        <v>0</v>
      </c>
      <c r="BV439" s="2" t="s">
        <v>1660</v>
      </c>
      <c r="BW439" s="2"/>
      <c r="BX439" s="2"/>
      <c r="BY439" s="2" t="s">
        <v>1807</v>
      </c>
      <c r="BZ439" s="2" t="b">
        <f>OR( (Dashboard[[#This Row],[ref_as_hh]]&gt;=1),(Dashboard[[#This Row],[ret_as_hh]] &gt;=1), (Dashboard[[#This Row],[idp_as_hh]]&gt;=1))</f>
        <v>0</v>
      </c>
      <c r="CA439" s="2">
        <f>Dashboard[[#This Row],[ret_hi_hh]]</f>
        <v>0</v>
      </c>
      <c r="CB439" s="2">
        <f>Dashboard[[#This Row],[idp_fa_hh]]+Dashboard[[#This Row],[ref_fa_hh]]+Dashboard[[#This Row],[ret_fa_hh]]</f>
        <v>10</v>
      </c>
      <c r="CC439" s="2">
        <f>Dashboard[[#This Row],[idp_loc_hh]]+Dashboard[[#This Row],[ref_loc_hh]]+Dashboard[[#This Row],[ret_loc_hh]]</f>
        <v>0</v>
      </c>
      <c r="CD439" s="2">
        <f>Dashboard[[#This Row],[idp_cc_hh]]+Dashboard[[#This Row],[ref_cc_hh]]+Dashboard[[#This Row],[ret_cc_hh]]</f>
        <v>0</v>
      </c>
      <c r="CE439" s="2">
        <f>Dashboard[[#This Row],[idp_as_hh]]+Dashboard[[#This Row],[ref_as_hh]]+Dashboard[[#This Row],[ret_as_hh]]</f>
        <v>0</v>
      </c>
      <c r="CF439" s="2">
        <f>Dashboard[[#This Row],[idp_al_hh]]+Dashboard[[#This Row],[ref_al_hh]]+Dashboard[[#This Row],[ret_al_hh]]</f>
        <v>0</v>
      </c>
    </row>
    <row r="440" spans="1:84" hidden="1" x14ac:dyDescent="0.25">
      <c r="A440" s="27">
        <v>199</v>
      </c>
      <c r="B440" s="2" t="s">
        <v>22</v>
      </c>
      <c r="C440" s="2" t="s">
        <v>23</v>
      </c>
      <c r="D440" s="2" t="s">
        <v>85</v>
      </c>
      <c r="E440" s="2" t="s">
        <v>84</v>
      </c>
      <c r="F440" s="2" t="s">
        <v>98</v>
      </c>
      <c r="G440" s="2" t="s">
        <v>97</v>
      </c>
      <c r="H440" s="2" t="s">
        <v>1113</v>
      </c>
      <c r="I440" s="2" t="s">
        <v>1112</v>
      </c>
      <c r="J440" s="2" t="s">
        <v>2722</v>
      </c>
      <c r="K440" s="2" t="s">
        <v>2723</v>
      </c>
      <c r="L440" s="2" t="s">
        <v>2074</v>
      </c>
      <c r="M440" s="2">
        <v>110</v>
      </c>
      <c r="N440" s="2" t="s">
        <v>1658</v>
      </c>
      <c r="O440" s="2">
        <v>12</v>
      </c>
      <c r="P440" s="2">
        <v>87</v>
      </c>
      <c r="Q440" s="2" t="s">
        <v>1658</v>
      </c>
      <c r="R440" s="2">
        <v>12</v>
      </c>
      <c r="S440" s="2" t="s">
        <v>1660</v>
      </c>
      <c r="T440" s="2">
        <v>0</v>
      </c>
      <c r="U440" s="2" t="s">
        <v>32</v>
      </c>
      <c r="V440" s="2" t="s">
        <v>32</v>
      </c>
      <c r="W440" s="2" t="s">
        <v>1660</v>
      </c>
      <c r="X440" s="2">
        <v>0</v>
      </c>
      <c r="Y440" s="2" t="s">
        <v>32</v>
      </c>
      <c r="Z440" s="2" t="s">
        <v>32</v>
      </c>
      <c r="AA440" s="2" t="s">
        <v>1660</v>
      </c>
      <c r="AB440" s="2">
        <v>0</v>
      </c>
      <c r="AC440" s="2" t="s">
        <v>1660</v>
      </c>
      <c r="AD440" s="2">
        <v>0</v>
      </c>
      <c r="AE440" s="2" t="s">
        <v>1660</v>
      </c>
      <c r="AF440" s="2">
        <v>0</v>
      </c>
      <c r="AG440" s="2">
        <v>0</v>
      </c>
      <c r="AH440" s="2" t="s">
        <v>32</v>
      </c>
      <c r="AI440" s="2" t="s">
        <v>32</v>
      </c>
      <c r="AJ440" s="2" t="s">
        <v>32</v>
      </c>
      <c r="AK440" s="2" t="s">
        <v>32</v>
      </c>
      <c r="AL440" s="2" t="s">
        <v>32</v>
      </c>
      <c r="AM440" s="2">
        <v>0</v>
      </c>
      <c r="AN440" s="2" t="s">
        <v>32</v>
      </c>
      <c r="AO440" s="2">
        <v>0</v>
      </c>
      <c r="AP440" s="2" t="s">
        <v>32</v>
      </c>
      <c r="AQ440" s="2" t="s">
        <v>32</v>
      </c>
      <c r="AR440" s="2" t="s">
        <v>32</v>
      </c>
      <c r="AS440" s="2">
        <v>0</v>
      </c>
      <c r="AT440" s="2" t="s">
        <v>32</v>
      </c>
      <c r="AU440" s="2" t="s">
        <v>32</v>
      </c>
      <c r="AV440" s="2" t="s">
        <v>32</v>
      </c>
      <c r="AW440" s="2">
        <v>0</v>
      </c>
      <c r="AX440" s="2" t="s">
        <v>32</v>
      </c>
      <c r="AY440" s="2">
        <v>0</v>
      </c>
      <c r="AZ440" s="2" t="s">
        <v>1660</v>
      </c>
      <c r="BA440" s="2">
        <v>0</v>
      </c>
      <c r="BB440" s="2">
        <v>0</v>
      </c>
      <c r="BC440" s="2" t="s">
        <v>32</v>
      </c>
      <c r="BD440" s="2">
        <v>0</v>
      </c>
      <c r="BE440" s="2" t="s">
        <v>32</v>
      </c>
      <c r="BF440" s="2">
        <v>0</v>
      </c>
      <c r="BG440" s="2" t="s">
        <v>32</v>
      </c>
      <c r="BH440" s="2">
        <v>0</v>
      </c>
      <c r="BI440" s="2" t="s">
        <v>32</v>
      </c>
      <c r="BJ440" s="2" t="s">
        <v>32</v>
      </c>
      <c r="BK440" s="2" t="s">
        <v>32</v>
      </c>
      <c r="BL440" s="2">
        <v>0</v>
      </c>
      <c r="BM440" s="2" t="s">
        <v>32</v>
      </c>
      <c r="BN440" s="2" t="s">
        <v>32</v>
      </c>
      <c r="BO440" s="2" t="s">
        <v>32</v>
      </c>
      <c r="BP440" s="2">
        <v>0</v>
      </c>
      <c r="BQ440" s="2" t="s">
        <v>32</v>
      </c>
      <c r="BR440" s="2">
        <v>0</v>
      </c>
      <c r="BS440" s="2" t="s">
        <v>1660</v>
      </c>
      <c r="BT440" s="2">
        <v>0</v>
      </c>
      <c r="BU440" s="2">
        <v>0</v>
      </c>
      <c r="BV440" s="2" t="s">
        <v>1660</v>
      </c>
      <c r="BW440" s="2"/>
      <c r="BX440" s="2"/>
      <c r="BY440" s="2" t="s">
        <v>1807</v>
      </c>
      <c r="BZ440" s="2" t="b">
        <f>OR( (Dashboard[[#This Row],[ref_as_hh]]&gt;=1),(Dashboard[[#This Row],[ret_as_hh]] &gt;=1), (Dashboard[[#This Row],[idp_as_hh]]&gt;=1))</f>
        <v>0</v>
      </c>
      <c r="CA440" s="2">
        <f>Dashboard[[#This Row],[ret_hi_hh]]</f>
        <v>0</v>
      </c>
      <c r="CB440" s="2">
        <f>Dashboard[[#This Row],[idp_fa_hh]]+Dashboard[[#This Row],[ref_fa_hh]]+Dashboard[[#This Row],[ret_fa_hh]]</f>
        <v>12</v>
      </c>
      <c r="CC440" s="2">
        <f>Dashboard[[#This Row],[idp_loc_hh]]+Dashboard[[#This Row],[ref_loc_hh]]+Dashboard[[#This Row],[ret_loc_hh]]</f>
        <v>0</v>
      </c>
      <c r="CD440" s="2">
        <f>Dashboard[[#This Row],[idp_cc_hh]]+Dashboard[[#This Row],[ref_cc_hh]]+Dashboard[[#This Row],[ret_cc_hh]]</f>
        <v>0</v>
      </c>
      <c r="CE440" s="2">
        <f>Dashboard[[#This Row],[idp_as_hh]]+Dashboard[[#This Row],[ref_as_hh]]+Dashboard[[#This Row],[ret_as_hh]]</f>
        <v>0</v>
      </c>
      <c r="CF440" s="2">
        <f>Dashboard[[#This Row],[idp_al_hh]]+Dashboard[[#This Row],[ref_al_hh]]+Dashboard[[#This Row],[ret_al_hh]]</f>
        <v>0</v>
      </c>
    </row>
    <row r="441" spans="1:84" hidden="1" x14ac:dyDescent="0.25">
      <c r="A441" s="27">
        <v>200</v>
      </c>
      <c r="B441" s="2" t="s">
        <v>22</v>
      </c>
      <c r="C441" s="2" t="s">
        <v>23</v>
      </c>
      <c r="D441" s="2" t="s">
        <v>85</v>
      </c>
      <c r="E441" s="2" t="s">
        <v>84</v>
      </c>
      <c r="F441" s="2" t="s">
        <v>98</v>
      </c>
      <c r="G441" s="2" t="s">
        <v>97</v>
      </c>
      <c r="H441" s="2" t="s">
        <v>1163</v>
      </c>
      <c r="I441" s="2" t="s">
        <v>1162</v>
      </c>
      <c r="J441" s="2" t="s">
        <v>2828</v>
      </c>
      <c r="K441" s="2" t="s">
        <v>2829</v>
      </c>
      <c r="L441" s="2" t="s">
        <v>2074</v>
      </c>
      <c r="M441" s="2">
        <v>195</v>
      </c>
      <c r="N441" s="2" t="s">
        <v>1658</v>
      </c>
      <c r="O441" s="2">
        <v>5</v>
      </c>
      <c r="P441" s="2">
        <v>37</v>
      </c>
      <c r="Q441" s="2" t="s">
        <v>1658</v>
      </c>
      <c r="R441" s="2">
        <v>5</v>
      </c>
      <c r="S441" s="2" t="s">
        <v>1660</v>
      </c>
      <c r="T441" s="2">
        <v>0</v>
      </c>
      <c r="U441" s="2" t="s">
        <v>32</v>
      </c>
      <c r="V441" s="2" t="s">
        <v>32</v>
      </c>
      <c r="W441" s="2" t="s">
        <v>1660</v>
      </c>
      <c r="X441" s="2">
        <v>0</v>
      </c>
      <c r="Y441" s="2" t="s">
        <v>32</v>
      </c>
      <c r="Z441" s="2" t="s">
        <v>32</v>
      </c>
      <c r="AA441" s="2" t="s">
        <v>1660</v>
      </c>
      <c r="AB441" s="2">
        <v>0</v>
      </c>
      <c r="AC441" s="2" t="s">
        <v>1660</v>
      </c>
      <c r="AD441" s="2">
        <v>0</v>
      </c>
      <c r="AE441" s="2" t="s">
        <v>1660</v>
      </c>
      <c r="AF441" s="2">
        <v>0</v>
      </c>
      <c r="AG441" s="2">
        <v>0</v>
      </c>
      <c r="AH441" s="2" t="s">
        <v>32</v>
      </c>
      <c r="AI441" s="2" t="s">
        <v>32</v>
      </c>
      <c r="AJ441" s="2" t="s">
        <v>32</v>
      </c>
      <c r="AK441" s="2" t="s">
        <v>32</v>
      </c>
      <c r="AL441" s="2" t="s">
        <v>32</v>
      </c>
      <c r="AM441" s="2">
        <v>0</v>
      </c>
      <c r="AN441" s="2" t="s">
        <v>32</v>
      </c>
      <c r="AO441" s="2">
        <v>0</v>
      </c>
      <c r="AP441" s="2" t="s">
        <v>32</v>
      </c>
      <c r="AQ441" s="2" t="s">
        <v>32</v>
      </c>
      <c r="AR441" s="2" t="s">
        <v>32</v>
      </c>
      <c r="AS441" s="2">
        <v>0</v>
      </c>
      <c r="AT441" s="2" t="s">
        <v>32</v>
      </c>
      <c r="AU441" s="2" t="s">
        <v>32</v>
      </c>
      <c r="AV441" s="2" t="s">
        <v>32</v>
      </c>
      <c r="AW441" s="2">
        <v>0</v>
      </c>
      <c r="AX441" s="2" t="s">
        <v>32</v>
      </c>
      <c r="AY441" s="2">
        <v>0</v>
      </c>
      <c r="AZ441" s="2" t="s">
        <v>1660</v>
      </c>
      <c r="BA441" s="2">
        <v>0</v>
      </c>
      <c r="BB441" s="2">
        <v>0</v>
      </c>
      <c r="BC441" s="2" t="s">
        <v>32</v>
      </c>
      <c r="BD441" s="2">
        <v>0</v>
      </c>
      <c r="BE441" s="2" t="s">
        <v>32</v>
      </c>
      <c r="BF441" s="2">
        <v>0</v>
      </c>
      <c r="BG441" s="2" t="s">
        <v>32</v>
      </c>
      <c r="BH441" s="2">
        <v>0</v>
      </c>
      <c r="BI441" s="2" t="s">
        <v>32</v>
      </c>
      <c r="BJ441" s="2" t="s">
        <v>32</v>
      </c>
      <c r="BK441" s="2" t="s">
        <v>32</v>
      </c>
      <c r="BL441" s="2">
        <v>0</v>
      </c>
      <c r="BM441" s="2" t="s">
        <v>32</v>
      </c>
      <c r="BN441" s="2" t="s">
        <v>32</v>
      </c>
      <c r="BO441" s="2" t="s">
        <v>32</v>
      </c>
      <c r="BP441" s="2">
        <v>0</v>
      </c>
      <c r="BQ441" s="2" t="s">
        <v>32</v>
      </c>
      <c r="BR441" s="2">
        <v>0</v>
      </c>
      <c r="BS441" s="2" t="s">
        <v>1660</v>
      </c>
      <c r="BT441" s="2">
        <v>0</v>
      </c>
      <c r="BU441" s="2">
        <v>0</v>
      </c>
      <c r="BV441" s="2" t="s">
        <v>1660</v>
      </c>
      <c r="BW441" s="2"/>
      <c r="BX441" s="2"/>
      <c r="BY441" s="2" t="s">
        <v>1807</v>
      </c>
      <c r="BZ441" s="2" t="b">
        <f>OR( (Dashboard[[#This Row],[ref_as_hh]]&gt;=1),(Dashboard[[#This Row],[ret_as_hh]] &gt;=1), (Dashboard[[#This Row],[idp_as_hh]]&gt;=1))</f>
        <v>0</v>
      </c>
      <c r="CA441" s="2">
        <f>Dashboard[[#This Row],[ret_hi_hh]]</f>
        <v>0</v>
      </c>
      <c r="CB441" s="2">
        <f>Dashboard[[#This Row],[idp_fa_hh]]+Dashboard[[#This Row],[ref_fa_hh]]+Dashboard[[#This Row],[ret_fa_hh]]</f>
        <v>5</v>
      </c>
      <c r="CC441" s="2">
        <f>Dashboard[[#This Row],[idp_loc_hh]]+Dashboard[[#This Row],[ref_loc_hh]]+Dashboard[[#This Row],[ret_loc_hh]]</f>
        <v>0</v>
      </c>
      <c r="CD441" s="2">
        <f>Dashboard[[#This Row],[idp_cc_hh]]+Dashboard[[#This Row],[ref_cc_hh]]+Dashboard[[#This Row],[ret_cc_hh]]</f>
        <v>0</v>
      </c>
      <c r="CE441" s="2">
        <f>Dashboard[[#This Row],[idp_as_hh]]+Dashboard[[#This Row],[ref_as_hh]]+Dashboard[[#This Row],[ret_as_hh]]</f>
        <v>0</v>
      </c>
      <c r="CF441" s="2">
        <f>Dashboard[[#This Row],[idp_al_hh]]+Dashboard[[#This Row],[ref_al_hh]]+Dashboard[[#This Row],[ret_al_hh]]</f>
        <v>0</v>
      </c>
    </row>
    <row r="442" spans="1:84" hidden="1" x14ac:dyDescent="0.25">
      <c r="A442" s="27">
        <v>201</v>
      </c>
      <c r="B442" s="2" t="s">
        <v>22</v>
      </c>
      <c r="C442" s="2" t="s">
        <v>23</v>
      </c>
      <c r="D442" s="2" t="s">
        <v>85</v>
      </c>
      <c r="E442" s="2" t="s">
        <v>84</v>
      </c>
      <c r="F442" s="2" t="s">
        <v>98</v>
      </c>
      <c r="G442" s="2" t="s">
        <v>97</v>
      </c>
      <c r="H442" s="2" t="s">
        <v>1153</v>
      </c>
      <c r="I442" s="2" t="s">
        <v>1152</v>
      </c>
      <c r="J442" s="2" t="s">
        <v>2806</v>
      </c>
      <c r="K442" s="2" t="s">
        <v>2807</v>
      </c>
      <c r="L442" s="2" t="s">
        <v>2074</v>
      </c>
      <c r="M442" s="2">
        <v>1700</v>
      </c>
      <c r="N442" s="2" t="s">
        <v>1658</v>
      </c>
      <c r="O442" s="2">
        <v>85</v>
      </c>
      <c r="P442" s="2">
        <v>425</v>
      </c>
      <c r="Q442" s="2" t="s">
        <v>1658</v>
      </c>
      <c r="R442" s="2">
        <v>85</v>
      </c>
      <c r="S442" s="2" t="s">
        <v>1660</v>
      </c>
      <c r="T442" s="2">
        <v>0</v>
      </c>
      <c r="U442" s="2" t="s">
        <v>32</v>
      </c>
      <c r="V442" s="2" t="s">
        <v>32</v>
      </c>
      <c r="W442" s="2" t="s">
        <v>1660</v>
      </c>
      <c r="X442" s="2">
        <v>0</v>
      </c>
      <c r="Y442" s="2" t="s">
        <v>32</v>
      </c>
      <c r="Z442" s="2" t="s">
        <v>32</v>
      </c>
      <c r="AA442" s="2" t="s">
        <v>1660</v>
      </c>
      <c r="AB442" s="2">
        <v>0</v>
      </c>
      <c r="AC442" s="2" t="s">
        <v>1660</v>
      </c>
      <c r="AD442" s="2">
        <v>0</v>
      </c>
      <c r="AE442" s="2" t="s">
        <v>1660</v>
      </c>
      <c r="AF442" s="2">
        <v>0</v>
      </c>
      <c r="AG442" s="2">
        <v>0</v>
      </c>
      <c r="AH442" s="2" t="s">
        <v>32</v>
      </c>
      <c r="AI442" s="2" t="s">
        <v>32</v>
      </c>
      <c r="AJ442" s="2" t="s">
        <v>32</v>
      </c>
      <c r="AK442" s="2" t="s">
        <v>32</v>
      </c>
      <c r="AL442" s="2" t="s">
        <v>32</v>
      </c>
      <c r="AM442" s="2">
        <v>0</v>
      </c>
      <c r="AN442" s="2" t="s">
        <v>32</v>
      </c>
      <c r="AO442" s="2">
        <v>0</v>
      </c>
      <c r="AP442" s="2" t="s">
        <v>32</v>
      </c>
      <c r="AQ442" s="2" t="s">
        <v>32</v>
      </c>
      <c r="AR442" s="2" t="s">
        <v>32</v>
      </c>
      <c r="AS442" s="2">
        <v>0</v>
      </c>
      <c r="AT442" s="2" t="s">
        <v>32</v>
      </c>
      <c r="AU442" s="2" t="s">
        <v>32</v>
      </c>
      <c r="AV442" s="2" t="s">
        <v>32</v>
      </c>
      <c r="AW442" s="2">
        <v>0</v>
      </c>
      <c r="AX442" s="2" t="s">
        <v>32</v>
      </c>
      <c r="AY442" s="2">
        <v>0</v>
      </c>
      <c r="AZ442" s="2" t="s">
        <v>1660</v>
      </c>
      <c r="BA442" s="2">
        <v>0</v>
      </c>
      <c r="BB442" s="2">
        <v>0</v>
      </c>
      <c r="BC442" s="2" t="s">
        <v>32</v>
      </c>
      <c r="BD442" s="2">
        <v>0</v>
      </c>
      <c r="BE442" s="2" t="s">
        <v>32</v>
      </c>
      <c r="BF442" s="2">
        <v>0</v>
      </c>
      <c r="BG442" s="2" t="s">
        <v>32</v>
      </c>
      <c r="BH442" s="2">
        <v>0</v>
      </c>
      <c r="BI442" s="2" t="s">
        <v>32</v>
      </c>
      <c r="BJ442" s="2" t="s">
        <v>32</v>
      </c>
      <c r="BK442" s="2" t="s">
        <v>32</v>
      </c>
      <c r="BL442" s="2">
        <v>0</v>
      </c>
      <c r="BM442" s="2" t="s">
        <v>32</v>
      </c>
      <c r="BN442" s="2" t="s">
        <v>32</v>
      </c>
      <c r="BO442" s="2" t="s">
        <v>32</v>
      </c>
      <c r="BP442" s="2">
        <v>0</v>
      </c>
      <c r="BQ442" s="2" t="s">
        <v>32</v>
      </c>
      <c r="BR442" s="2">
        <v>0</v>
      </c>
      <c r="BS442" s="2" t="s">
        <v>1660</v>
      </c>
      <c r="BT442" s="2">
        <v>0</v>
      </c>
      <c r="BU442" s="2">
        <v>0</v>
      </c>
      <c r="BV442" s="2" t="s">
        <v>1660</v>
      </c>
      <c r="BW442" s="2"/>
      <c r="BX442" s="2"/>
      <c r="BY442" s="2" t="s">
        <v>1807</v>
      </c>
      <c r="BZ442" s="2" t="b">
        <f>OR( (Dashboard[[#This Row],[ref_as_hh]]&gt;=1),(Dashboard[[#This Row],[ret_as_hh]] &gt;=1), (Dashboard[[#This Row],[idp_as_hh]]&gt;=1))</f>
        <v>0</v>
      </c>
      <c r="CA442" s="2">
        <f>Dashboard[[#This Row],[ret_hi_hh]]</f>
        <v>0</v>
      </c>
      <c r="CB442" s="2">
        <f>Dashboard[[#This Row],[idp_fa_hh]]+Dashboard[[#This Row],[ref_fa_hh]]+Dashboard[[#This Row],[ret_fa_hh]]</f>
        <v>85</v>
      </c>
      <c r="CC442" s="2">
        <f>Dashboard[[#This Row],[idp_loc_hh]]+Dashboard[[#This Row],[ref_loc_hh]]+Dashboard[[#This Row],[ret_loc_hh]]</f>
        <v>0</v>
      </c>
      <c r="CD442" s="2">
        <f>Dashboard[[#This Row],[idp_cc_hh]]+Dashboard[[#This Row],[ref_cc_hh]]+Dashboard[[#This Row],[ret_cc_hh]]</f>
        <v>0</v>
      </c>
      <c r="CE442" s="2">
        <f>Dashboard[[#This Row],[idp_as_hh]]+Dashboard[[#This Row],[ref_as_hh]]+Dashboard[[#This Row],[ret_as_hh]]</f>
        <v>0</v>
      </c>
      <c r="CF442" s="2">
        <f>Dashboard[[#This Row],[idp_al_hh]]+Dashboard[[#This Row],[ref_al_hh]]+Dashboard[[#This Row],[ret_al_hh]]</f>
        <v>0</v>
      </c>
    </row>
    <row r="443" spans="1:84" hidden="1" x14ac:dyDescent="0.25">
      <c r="A443" s="27">
        <v>203</v>
      </c>
      <c r="B443" s="2" t="s">
        <v>22</v>
      </c>
      <c r="C443" s="2" t="s">
        <v>23</v>
      </c>
      <c r="D443" s="2" t="s">
        <v>85</v>
      </c>
      <c r="E443" s="2" t="s">
        <v>84</v>
      </c>
      <c r="F443" s="2" t="s">
        <v>98</v>
      </c>
      <c r="G443" s="2" t="s">
        <v>97</v>
      </c>
      <c r="H443" s="2" t="s">
        <v>1285</v>
      </c>
      <c r="I443" s="2" t="s">
        <v>1284</v>
      </c>
      <c r="J443" s="2" t="s">
        <v>3098</v>
      </c>
      <c r="K443" s="2" t="s">
        <v>3099</v>
      </c>
      <c r="L443" s="2" t="s">
        <v>2074</v>
      </c>
      <c r="M443" s="2">
        <v>350</v>
      </c>
      <c r="N443" s="2" t="s">
        <v>1658</v>
      </c>
      <c r="O443" s="2">
        <v>35</v>
      </c>
      <c r="P443" s="2">
        <v>135</v>
      </c>
      <c r="Q443" s="2" t="s">
        <v>1658</v>
      </c>
      <c r="R443" s="2">
        <v>35</v>
      </c>
      <c r="S443" s="2" t="s">
        <v>1660</v>
      </c>
      <c r="T443" s="2">
        <v>0</v>
      </c>
      <c r="U443" s="2" t="s">
        <v>32</v>
      </c>
      <c r="V443" s="2" t="s">
        <v>32</v>
      </c>
      <c r="W443" s="2" t="s">
        <v>1660</v>
      </c>
      <c r="X443" s="2">
        <v>0</v>
      </c>
      <c r="Y443" s="2" t="s">
        <v>32</v>
      </c>
      <c r="Z443" s="2" t="s">
        <v>32</v>
      </c>
      <c r="AA443" s="2" t="s">
        <v>1660</v>
      </c>
      <c r="AB443" s="2">
        <v>0</v>
      </c>
      <c r="AC443" s="2" t="s">
        <v>1660</v>
      </c>
      <c r="AD443" s="2">
        <v>0</v>
      </c>
      <c r="AE443" s="2" t="s">
        <v>1660</v>
      </c>
      <c r="AF443" s="2">
        <v>0</v>
      </c>
      <c r="AG443" s="2">
        <v>0</v>
      </c>
      <c r="AH443" s="2" t="s">
        <v>32</v>
      </c>
      <c r="AI443" s="2" t="s">
        <v>32</v>
      </c>
      <c r="AJ443" s="2" t="s">
        <v>32</v>
      </c>
      <c r="AK443" s="2" t="s">
        <v>32</v>
      </c>
      <c r="AL443" s="2" t="s">
        <v>32</v>
      </c>
      <c r="AM443" s="2">
        <v>0</v>
      </c>
      <c r="AN443" s="2" t="s">
        <v>32</v>
      </c>
      <c r="AO443" s="2">
        <v>0</v>
      </c>
      <c r="AP443" s="2" t="s">
        <v>32</v>
      </c>
      <c r="AQ443" s="2" t="s">
        <v>32</v>
      </c>
      <c r="AR443" s="2" t="s">
        <v>32</v>
      </c>
      <c r="AS443" s="2">
        <v>0</v>
      </c>
      <c r="AT443" s="2" t="s">
        <v>32</v>
      </c>
      <c r="AU443" s="2" t="s">
        <v>32</v>
      </c>
      <c r="AV443" s="2" t="s">
        <v>32</v>
      </c>
      <c r="AW443" s="2">
        <v>0</v>
      </c>
      <c r="AX443" s="2" t="s">
        <v>32</v>
      </c>
      <c r="AY443" s="2">
        <v>0</v>
      </c>
      <c r="AZ443" s="2" t="s">
        <v>1660</v>
      </c>
      <c r="BA443" s="2">
        <v>0</v>
      </c>
      <c r="BB443" s="2">
        <v>0</v>
      </c>
      <c r="BC443" s="2" t="s">
        <v>32</v>
      </c>
      <c r="BD443" s="2">
        <v>0</v>
      </c>
      <c r="BE443" s="2" t="s">
        <v>32</v>
      </c>
      <c r="BF443" s="2">
        <v>0</v>
      </c>
      <c r="BG443" s="2" t="s">
        <v>32</v>
      </c>
      <c r="BH443" s="2">
        <v>0</v>
      </c>
      <c r="BI443" s="2" t="s">
        <v>32</v>
      </c>
      <c r="BJ443" s="2" t="s">
        <v>32</v>
      </c>
      <c r="BK443" s="2" t="s">
        <v>32</v>
      </c>
      <c r="BL443" s="2">
        <v>0</v>
      </c>
      <c r="BM443" s="2" t="s">
        <v>32</v>
      </c>
      <c r="BN443" s="2" t="s">
        <v>32</v>
      </c>
      <c r="BO443" s="2" t="s">
        <v>32</v>
      </c>
      <c r="BP443" s="2">
        <v>0</v>
      </c>
      <c r="BQ443" s="2" t="s">
        <v>32</v>
      </c>
      <c r="BR443" s="2">
        <v>0</v>
      </c>
      <c r="BS443" s="2" t="s">
        <v>1660</v>
      </c>
      <c r="BT443" s="2">
        <v>0</v>
      </c>
      <c r="BU443" s="2">
        <v>0</v>
      </c>
      <c r="BV443" s="2" t="s">
        <v>1660</v>
      </c>
      <c r="BW443" s="2"/>
      <c r="BX443" s="2"/>
      <c r="BY443" s="2" t="s">
        <v>1807</v>
      </c>
      <c r="BZ443" s="2" t="b">
        <f>OR( (Dashboard[[#This Row],[ref_as_hh]]&gt;=1),(Dashboard[[#This Row],[ret_as_hh]] &gt;=1), (Dashboard[[#This Row],[idp_as_hh]]&gt;=1))</f>
        <v>0</v>
      </c>
      <c r="CA443" s="2">
        <f>Dashboard[[#This Row],[ret_hi_hh]]</f>
        <v>0</v>
      </c>
      <c r="CB443" s="2">
        <f>Dashboard[[#This Row],[idp_fa_hh]]+Dashboard[[#This Row],[ref_fa_hh]]+Dashboard[[#This Row],[ret_fa_hh]]</f>
        <v>35</v>
      </c>
      <c r="CC443" s="2">
        <f>Dashboard[[#This Row],[idp_loc_hh]]+Dashboard[[#This Row],[ref_loc_hh]]+Dashboard[[#This Row],[ret_loc_hh]]</f>
        <v>0</v>
      </c>
      <c r="CD443" s="2">
        <f>Dashboard[[#This Row],[idp_cc_hh]]+Dashboard[[#This Row],[ref_cc_hh]]+Dashboard[[#This Row],[ret_cc_hh]]</f>
        <v>0</v>
      </c>
      <c r="CE443" s="2">
        <f>Dashboard[[#This Row],[idp_as_hh]]+Dashboard[[#This Row],[ref_as_hh]]+Dashboard[[#This Row],[ret_as_hh]]</f>
        <v>0</v>
      </c>
      <c r="CF443" s="2">
        <f>Dashboard[[#This Row],[idp_al_hh]]+Dashboard[[#This Row],[ref_al_hh]]+Dashboard[[#This Row],[ret_al_hh]]</f>
        <v>0</v>
      </c>
    </row>
    <row r="444" spans="1:84" hidden="1" x14ac:dyDescent="0.25">
      <c r="A444" s="27">
        <v>204</v>
      </c>
      <c r="B444" s="2" t="s">
        <v>22</v>
      </c>
      <c r="C444" s="2" t="s">
        <v>23</v>
      </c>
      <c r="D444" s="2" t="s">
        <v>85</v>
      </c>
      <c r="E444" s="2" t="s">
        <v>84</v>
      </c>
      <c r="F444" s="2" t="s">
        <v>98</v>
      </c>
      <c r="G444" s="2" t="s">
        <v>97</v>
      </c>
      <c r="H444" s="2" t="s">
        <v>1292</v>
      </c>
      <c r="I444" s="2" t="s">
        <v>1291</v>
      </c>
      <c r="J444" s="2" t="s">
        <v>3108</v>
      </c>
      <c r="K444" s="2" t="s">
        <v>3109</v>
      </c>
      <c r="L444" s="2" t="s">
        <v>2074</v>
      </c>
      <c r="M444" s="2">
        <v>1000</v>
      </c>
      <c r="N444" s="2" t="s">
        <v>1658</v>
      </c>
      <c r="O444" s="2">
        <v>32</v>
      </c>
      <c r="P444" s="2">
        <v>160</v>
      </c>
      <c r="Q444" s="2" t="s">
        <v>1658</v>
      </c>
      <c r="R444" s="2">
        <v>32</v>
      </c>
      <c r="S444" s="2" t="s">
        <v>1660</v>
      </c>
      <c r="T444" s="2">
        <v>0</v>
      </c>
      <c r="U444" s="2" t="s">
        <v>32</v>
      </c>
      <c r="V444" s="2" t="s">
        <v>32</v>
      </c>
      <c r="W444" s="2" t="s">
        <v>1660</v>
      </c>
      <c r="X444" s="2">
        <v>0</v>
      </c>
      <c r="Y444" s="2" t="s">
        <v>32</v>
      </c>
      <c r="Z444" s="2" t="s">
        <v>32</v>
      </c>
      <c r="AA444" s="2" t="s">
        <v>1660</v>
      </c>
      <c r="AB444" s="2">
        <v>0</v>
      </c>
      <c r="AC444" s="2" t="s">
        <v>1660</v>
      </c>
      <c r="AD444" s="2">
        <v>0</v>
      </c>
      <c r="AE444" s="2" t="s">
        <v>1660</v>
      </c>
      <c r="AF444" s="2">
        <v>0</v>
      </c>
      <c r="AG444" s="2">
        <v>0</v>
      </c>
      <c r="AH444" s="2" t="s">
        <v>32</v>
      </c>
      <c r="AI444" s="2" t="s">
        <v>32</v>
      </c>
      <c r="AJ444" s="2" t="s">
        <v>32</v>
      </c>
      <c r="AK444" s="2" t="s">
        <v>32</v>
      </c>
      <c r="AL444" s="2" t="s">
        <v>32</v>
      </c>
      <c r="AM444" s="2">
        <v>0</v>
      </c>
      <c r="AN444" s="2" t="s">
        <v>32</v>
      </c>
      <c r="AO444" s="2">
        <v>0</v>
      </c>
      <c r="AP444" s="2" t="s">
        <v>32</v>
      </c>
      <c r="AQ444" s="2" t="s">
        <v>32</v>
      </c>
      <c r="AR444" s="2" t="s">
        <v>32</v>
      </c>
      <c r="AS444" s="2">
        <v>0</v>
      </c>
      <c r="AT444" s="2" t="s">
        <v>32</v>
      </c>
      <c r="AU444" s="2" t="s">
        <v>32</v>
      </c>
      <c r="AV444" s="2" t="s">
        <v>32</v>
      </c>
      <c r="AW444" s="2">
        <v>0</v>
      </c>
      <c r="AX444" s="2" t="s">
        <v>32</v>
      </c>
      <c r="AY444" s="2">
        <v>0</v>
      </c>
      <c r="AZ444" s="2" t="s">
        <v>1660</v>
      </c>
      <c r="BA444" s="2">
        <v>0</v>
      </c>
      <c r="BB444" s="2">
        <v>0</v>
      </c>
      <c r="BC444" s="2" t="s">
        <v>32</v>
      </c>
      <c r="BD444" s="2">
        <v>0</v>
      </c>
      <c r="BE444" s="2" t="s">
        <v>32</v>
      </c>
      <c r="BF444" s="2">
        <v>0</v>
      </c>
      <c r="BG444" s="2" t="s">
        <v>32</v>
      </c>
      <c r="BH444" s="2">
        <v>0</v>
      </c>
      <c r="BI444" s="2" t="s">
        <v>32</v>
      </c>
      <c r="BJ444" s="2" t="s">
        <v>32</v>
      </c>
      <c r="BK444" s="2" t="s">
        <v>32</v>
      </c>
      <c r="BL444" s="2">
        <v>0</v>
      </c>
      <c r="BM444" s="2" t="s">
        <v>32</v>
      </c>
      <c r="BN444" s="2" t="s">
        <v>32</v>
      </c>
      <c r="BO444" s="2" t="s">
        <v>32</v>
      </c>
      <c r="BP444" s="2">
        <v>0</v>
      </c>
      <c r="BQ444" s="2" t="s">
        <v>32</v>
      </c>
      <c r="BR444" s="2">
        <v>0</v>
      </c>
      <c r="BS444" s="2" t="s">
        <v>1660</v>
      </c>
      <c r="BT444" s="2">
        <v>0</v>
      </c>
      <c r="BU444" s="2">
        <v>0</v>
      </c>
      <c r="BV444" s="2" t="s">
        <v>1660</v>
      </c>
      <c r="BW444" s="2"/>
      <c r="BX444" s="2"/>
      <c r="BY444" s="2" t="s">
        <v>1807</v>
      </c>
      <c r="BZ444" s="2" t="b">
        <f>OR( (Dashboard[[#This Row],[ref_as_hh]]&gt;=1),(Dashboard[[#This Row],[ret_as_hh]] &gt;=1), (Dashboard[[#This Row],[idp_as_hh]]&gt;=1))</f>
        <v>0</v>
      </c>
      <c r="CA444" s="2">
        <f>Dashboard[[#This Row],[ret_hi_hh]]</f>
        <v>0</v>
      </c>
      <c r="CB444" s="2">
        <f>Dashboard[[#This Row],[idp_fa_hh]]+Dashboard[[#This Row],[ref_fa_hh]]+Dashboard[[#This Row],[ret_fa_hh]]</f>
        <v>32</v>
      </c>
      <c r="CC444" s="2">
        <f>Dashboard[[#This Row],[idp_loc_hh]]+Dashboard[[#This Row],[ref_loc_hh]]+Dashboard[[#This Row],[ret_loc_hh]]</f>
        <v>0</v>
      </c>
      <c r="CD444" s="2">
        <f>Dashboard[[#This Row],[idp_cc_hh]]+Dashboard[[#This Row],[ref_cc_hh]]+Dashboard[[#This Row],[ret_cc_hh]]</f>
        <v>0</v>
      </c>
      <c r="CE444" s="2">
        <f>Dashboard[[#This Row],[idp_as_hh]]+Dashboard[[#This Row],[ref_as_hh]]+Dashboard[[#This Row],[ret_as_hh]]</f>
        <v>0</v>
      </c>
      <c r="CF444" s="2">
        <f>Dashboard[[#This Row],[idp_al_hh]]+Dashboard[[#This Row],[ref_al_hh]]+Dashboard[[#This Row],[ret_al_hh]]</f>
        <v>0</v>
      </c>
    </row>
    <row r="445" spans="1:84" hidden="1" x14ac:dyDescent="0.25">
      <c r="A445" s="27">
        <v>205</v>
      </c>
      <c r="B445" s="2" t="s">
        <v>22</v>
      </c>
      <c r="C445" s="2" t="s">
        <v>23</v>
      </c>
      <c r="D445" s="2" t="s">
        <v>85</v>
      </c>
      <c r="E445" s="2" t="s">
        <v>84</v>
      </c>
      <c r="F445" s="2" t="s">
        <v>98</v>
      </c>
      <c r="G445" s="2" t="s">
        <v>97</v>
      </c>
      <c r="H445" s="2" t="s">
        <v>1223</v>
      </c>
      <c r="I445" s="2" t="s">
        <v>422</v>
      </c>
      <c r="J445" s="2" t="s">
        <v>2968</v>
      </c>
      <c r="K445" s="2" t="s">
        <v>2969</v>
      </c>
      <c r="L445" s="2" t="s">
        <v>2074</v>
      </c>
      <c r="M445" s="2">
        <v>656</v>
      </c>
      <c r="N445" s="2" t="s">
        <v>1658</v>
      </c>
      <c r="O445" s="2">
        <v>10</v>
      </c>
      <c r="P445" s="2">
        <v>56</v>
      </c>
      <c r="Q445" s="2" t="s">
        <v>1658</v>
      </c>
      <c r="R445" s="2">
        <v>10</v>
      </c>
      <c r="S445" s="2" t="s">
        <v>1660</v>
      </c>
      <c r="T445" s="2">
        <v>0</v>
      </c>
      <c r="U445" s="2" t="s">
        <v>32</v>
      </c>
      <c r="V445" s="2" t="s">
        <v>32</v>
      </c>
      <c r="W445" s="2" t="s">
        <v>1660</v>
      </c>
      <c r="X445" s="2">
        <v>0</v>
      </c>
      <c r="Y445" s="2" t="s">
        <v>32</v>
      </c>
      <c r="Z445" s="2" t="s">
        <v>32</v>
      </c>
      <c r="AA445" s="2" t="s">
        <v>1660</v>
      </c>
      <c r="AB445" s="2">
        <v>0</v>
      </c>
      <c r="AC445" s="2" t="s">
        <v>1660</v>
      </c>
      <c r="AD445" s="2">
        <v>0</v>
      </c>
      <c r="AE445" s="2" t="s">
        <v>1660</v>
      </c>
      <c r="AF445" s="2">
        <v>0</v>
      </c>
      <c r="AG445" s="2">
        <v>0</v>
      </c>
      <c r="AH445" s="2" t="s">
        <v>32</v>
      </c>
      <c r="AI445" s="2" t="s">
        <v>32</v>
      </c>
      <c r="AJ445" s="2" t="s">
        <v>32</v>
      </c>
      <c r="AK445" s="2" t="s">
        <v>32</v>
      </c>
      <c r="AL445" s="2" t="s">
        <v>32</v>
      </c>
      <c r="AM445" s="2">
        <v>0</v>
      </c>
      <c r="AN445" s="2" t="s">
        <v>32</v>
      </c>
      <c r="AO445" s="2">
        <v>0</v>
      </c>
      <c r="AP445" s="2" t="s">
        <v>32</v>
      </c>
      <c r="AQ445" s="2" t="s">
        <v>32</v>
      </c>
      <c r="AR445" s="2" t="s">
        <v>32</v>
      </c>
      <c r="AS445" s="2">
        <v>0</v>
      </c>
      <c r="AT445" s="2" t="s">
        <v>32</v>
      </c>
      <c r="AU445" s="2" t="s">
        <v>32</v>
      </c>
      <c r="AV445" s="2" t="s">
        <v>32</v>
      </c>
      <c r="AW445" s="2">
        <v>0</v>
      </c>
      <c r="AX445" s="2" t="s">
        <v>32</v>
      </c>
      <c r="AY445" s="2">
        <v>0</v>
      </c>
      <c r="AZ445" s="2" t="s">
        <v>1658</v>
      </c>
      <c r="BA445" s="2">
        <v>7</v>
      </c>
      <c r="BB445" s="2">
        <v>28</v>
      </c>
      <c r="BC445" s="2" t="s">
        <v>1660</v>
      </c>
      <c r="BD445" s="2">
        <v>0</v>
      </c>
      <c r="BE445" s="2" t="s">
        <v>1658</v>
      </c>
      <c r="BF445" s="2">
        <v>7</v>
      </c>
      <c r="BG445" s="2" t="s">
        <v>1660</v>
      </c>
      <c r="BH445" s="2">
        <v>0</v>
      </c>
      <c r="BI445" s="2" t="s">
        <v>32</v>
      </c>
      <c r="BJ445" s="2" t="s">
        <v>32</v>
      </c>
      <c r="BK445" s="2" t="s">
        <v>1660</v>
      </c>
      <c r="BL445" s="2">
        <v>0</v>
      </c>
      <c r="BM445" s="2" t="s">
        <v>32</v>
      </c>
      <c r="BN445" s="2" t="s">
        <v>32</v>
      </c>
      <c r="BO445" s="2" t="s">
        <v>1660</v>
      </c>
      <c r="BP445" s="2">
        <v>0</v>
      </c>
      <c r="BQ445" s="2" t="s">
        <v>1660</v>
      </c>
      <c r="BR445" s="2">
        <v>0</v>
      </c>
      <c r="BS445" s="2" t="s">
        <v>1660</v>
      </c>
      <c r="BT445" s="2">
        <v>0</v>
      </c>
      <c r="BU445" s="2">
        <v>0</v>
      </c>
      <c r="BV445" s="2" t="s">
        <v>1660</v>
      </c>
      <c r="BW445" s="2"/>
      <c r="BX445" s="2"/>
      <c r="BY445" s="2" t="s">
        <v>1807</v>
      </c>
      <c r="BZ445" s="2" t="b">
        <f>OR( (Dashboard[[#This Row],[ref_as_hh]]&gt;=1),(Dashboard[[#This Row],[ret_as_hh]] &gt;=1), (Dashboard[[#This Row],[idp_as_hh]]&gt;=1))</f>
        <v>0</v>
      </c>
      <c r="CA445" s="2">
        <f>Dashboard[[#This Row],[ret_hi_hh]]</f>
        <v>0</v>
      </c>
      <c r="CB445" s="2">
        <f>Dashboard[[#This Row],[idp_fa_hh]]+Dashboard[[#This Row],[ref_fa_hh]]+Dashboard[[#This Row],[ret_fa_hh]]</f>
        <v>17</v>
      </c>
      <c r="CC445" s="2">
        <f>Dashboard[[#This Row],[idp_loc_hh]]+Dashboard[[#This Row],[ref_loc_hh]]+Dashboard[[#This Row],[ret_loc_hh]]</f>
        <v>0</v>
      </c>
      <c r="CD445" s="2">
        <f>Dashboard[[#This Row],[idp_cc_hh]]+Dashboard[[#This Row],[ref_cc_hh]]+Dashboard[[#This Row],[ret_cc_hh]]</f>
        <v>0</v>
      </c>
      <c r="CE445" s="2">
        <f>Dashboard[[#This Row],[idp_as_hh]]+Dashboard[[#This Row],[ref_as_hh]]+Dashboard[[#This Row],[ret_as_hh]]</f>
        <v>0</v>
      </c>
      <c r="CF445" s="2">
        <f>Dashboard[[#This Row],[idp_al_hh]]+Dashboard[[#This Row],[ref_al_hh]]+Dashboard[[#This Row],[ret_al_hh]]</f>
        <v>0</v>
      </c>
    </row>
    <row r="446" spans="1:84" hidden="1" x14ac:dyDescent="0.25">
      <c r="A446" s="27">
        <v>206</v>
      </c>
      <c r="B446" s="2" t="s">
        <v>22</v>
      </c>
      <c r="C446" s="2" t="s">
        <v>23</v>
      </c>
      <c r="D446" s="2" t="s">
        <v>85</v>
      </c>
      <c r="E446" s="2" t="s">
        <v>84</v>
      </c>
      <c r="F446" s="2" t="s">
        <v>98</v>
      </c>
      <c r="G446" s="2" t="s">
        <v>97</v>
      </c>
      <c r="H446" s="2" t="s">
        <v>1280</v>
      </c>
      <c r="I446" s="2" t="s">
        <v>454</v>
      </c>
      <c r="J446" s="2" t="s">
        <v>3086</v>
      </c>
      <c r="K446" s="2" t="s">
        <v>3087</v>
      </c>
      <c r="L446" s="2" t="s">
        <v>2074</v>
      </c>
      <c r="M446" s="2">
        <v>590</v>
      </c>
      <c r="N446" s="2" t="s">
        <v>1658</v>
      </c>
      <c r="O446" s="2">
        <v>11</v>
      </c>
      <c r="P446" s="2">
        <v>40</v>
      </c>
      <c r="Q446" s="2" t="s">
        <v>1658</v>
      </c>
      <c r="R446" s="2">
        <v>11</v>
      </c>
      <c r="S446" s="2" t="s">
        <v>1660</v>
      </c>
      <c r="T446" s="2">
        <v>0</v>
      </c>
      <c r="U446" s="2" t="s">
        <v>32</v>
      </c>
      <c r="V446" s="2" t="s">
        <v>32</v>
      </c>
      <c r="W446" s="2" t="s">
        <v>1660</v>
      </c>
      <c r="X446" s="2">
        <v>0</v>
      </c>
      <c r="Y446" s="2" t="s">
        <v>32</v>
      </c>
      <c r="Z446" s="2" t="s">
        <v>32</v>
      </c>
      <c r="AA446" s="2" t="s">
        <v>1660</v>
      </c>
      <c r="AB446" s="2">
        <v>0</v>
      </c>
      <c r="AC446" s="2" t="s">
        <v>1660</v>
      </c>
      <c r="AD446" s="2">
        <v>0</v>
      </c>
      <c r="AE446" s="2" t="s">
        <v>1660</v>
      </c>
      <c r="AF446" s="2">
        <v>0</v>
      </c>
      <c r="AG446" s="2">
        <v>0</v>
      </c>
      <c r="AH446" s="2" t="s">
        <v>32</v>
      </c>
      <c r="AI446" s="2" t="s">
        <v>32</v>
      </c>
      <c r="AJ446" s="2" t="s">
        <v>32</v>
      </c>
      <c r="AK446" s="2" t="s">
        <v>32</v>
      </c>
      <c r="AL446" s="2" t="s">
        <v>32</v>
      </c>
      <c r="AM446" s="2">
        <v>0</v>
      </c>
      <c r="AN446" s="2" t="s">
        <v>32</v>
      </c>
      <c r="AO446" s="2">
        <v>0</v>
      </c>
      <c r="AP446" s="2" t="s">
        <v>32</v>
      </c>
      <c r="AQ446" s="2" t="s">
        <v>32</v>
      </c>
      <c r="AR446" s="2" t="s">
        <v>32</v>
      </c>
      <c r="AS446" s="2">
        <v>0</v>
      </c>
      <c r="AT446" s="2" t="s">
        <v>32</v>
      </c>
      <c r="AU446" s="2" t="s">
        <v>32</v>
      </c>
      <c r="AV446" s="2" t="s">
        <v>32</v>
      </c>
      <c r="AW446" s="2">
        <v>0</v>
      </c>
      <c r="AX446" s="2" t="s">
        <v>32</v>
      </c>
      <c r="AY446" s="2">
        <v>0</v>
      </c>
      <c r="AZ446" s="2" t="s">
        <v>1658</v>
      </c>
      <c r="BA446" s="2">
        <v>3</v>
      </c>
      <c r="BB446" s="2">
        <v>8</v>
      </c>
      <c r="BC446" s="2" t="s">
        <v>1660</v>
      </c>
      <c r="BD446" s="2">
        <v>0</v>
      </c>
      <c r="BE446" s="2" t="s">
        <v>1658</v>
      </c>
      <c r="BF446" s="2">
        <v>3</v>
      </c>
      <c r="BG446" s="2" t="s">
        <v>1660</v>
      </c>
      <c r="BH446" s="2">
        <v>0</v>
      </c>
      <c r="BI446" s="2" t="s">
        <v>32</v>
      </c>
      <c r="BJ446" s="2" t="s">
        <v>32</v>
      </c>
      <c r="BK446" s="2" t="s">
        <v>1660</v>
      </c>
      <c r="BL446" s="2">
        <v>0</v>
      </c>
      <c r="BM446" s="2" t="s">
        <v>32</v>
      </c>
      <c r="BN446" s="2" t="s">
        <v>32</v>
      </c>
      <c r="BO446" s="2" t="s">
        <v>1660</v>
      </c>
      <c r="BP446" s="2">
        <v>0</v>
      </c>
      <c r="BQ446" s="2" t="s">
        <v>1660</v>
      </c>
      <c r="BR446" s="2">
        <v>0</v>
      </c>
      <c r="BS446" s="2" t="s">
        <v>1660</v>
      </c>
      <c r="BT446" s="2">
        <v>0</v>
      </c>
      <c r="BU446" s="2">
        <v>0</v>
      </c>
      <c r="BV446" s="2" t="s">
        <v>1660</v>
      </c>
      <c r="BW446" s="2"/>
      <c r="BX446" s="2"/>
      <c r="BY446" s="2" t="s">
        <v>1807</v>
      </c>
      <c r="BZ446" s="2" t="b">
        <f>OR( (Dashboard[[#This Row],[ref_as_hh]]&gt;=1),(Dashboard[[#This Row],[ret_as_hh]] &gt;=1), (Dashboard[[#This Row],[idp_as_hh]]&gt;=1))</f>
        <v>0</v>
      </c>
      <c r="CA446" s="2">
        <f>Dashboard[[#This Row],[ret_hi_hh]]</f>
        <v>0</v>
      </c>
      <c r="CB446" s="2">
        <f>Dashboard[[#This Row],[idp_fa_hh]]+Dashboard[[#This Row],[ref_fa_hh]]+Dashboard[[#This Row],[ret_fa_hh]]</f>
        <v>14</v>
      </c>
      <c r="CC446" s="2">
        <f>Dashboard[[#This Row],[idp_loc_hh]]+Dashboard[[#This Row],[ref_loc_hh]]+Dashboard[[#This Row],[ret_loc_hh]]</f>
        <v>0</v>
      </c>
      <c r="CD446" s="2">
        <f>Dashboard[[#This Row],[idp_cc_hh]]+Dashboard[[#This Row],[ref_cc_hh]]+Dashboard[[#This Row],[ret_cc_hh]]</f>
        <v>0</v>
      </c>
      <c r="CE446" s="2">
        <f>Dashboard[[#This Row],[idp_as_hh]]+Dashboard[[#This Row],[ref_as_hh]]+Dashboard[[#This Row],[ret_as_hh]]</f>
        <v>0</v>
      </c>
      <c r="CF446" s="2">
        <f>Dashboard[[#This Row],[idp_al_hh]]+Dashboard[[#This Row],[ref_al_hh]]+Dashboard[[#This Row],[ret_al_hh]]</f>
        <v>0</v>
      </c>
    </row>
    <row r="447" spans="1:84" hidden="1" x14ac:dyDescent="0.25">
      <c r="A447" s="27">
        <v>207</v>
      </c>
      <c r="B447" s="2" t="s">
        <v>22</v>
      </c>
      <c r="C447" s="2" t="s">
        <v>23</v>
      </c>
      <c r="D447" s="2" t="s">
        <v>85</v>
      </c>
      <c r="E447" s="2" t="s">
        <v>84</v>
      </c>
      <c r="F447" s="2" t="s">
        <v>98</v>
      </c>
      <c r="G447" s="2" t="s">
        <v>97</v>
      </c>
      <c r="H447" s="2" t="s">
        <v>1208</v>
      </c>
      <c r="I447" s="2" t="s">
        <v>165</v>
      </c>
      <c r="J447" s="2" t="s">
        <v>2934</v>
      </c>
      <c r="K447" s="2" t="s">
        <v>2935</v>
      </c>
      <c r="L447" s="2" t="s">
        <v>2074</v>
      </c>
      <c r="M447" s="2">
        <v>3461</v>
      </c>
      <c r="N447" s="2" t="s">
        <v>1658</v>
      </c>
      <c r="O447" s="2">
        <v>10</v>
      </c>
      <c r="P447" s="2">
        <v>61</v>
      </c>
      <c r="Q447" s="2" t="s">
        <v>1658</v>
      </c>
      <c r="R447" s="2">
        <v>10</v>
      </c>
      <c r="S447" s="2" t="s">
        <v>1660</v>
      </c>
      <c r="T447" s="2">
        <v>0</v>
      </c>
      <c r="U447" s="2" t="s">
        <v>32</v>
      </c>
      <c r="V447" s="2" t="s">
        <v>32</v>
      </c>
      <c r="W447" s="2" t="s">
        <v>1660</v>
      </c>
      <c r="X447" s="2">
        <v>0</v>
      </c>
      <c r="Y447" s="2" t="s">
        <v>32</v>
      </c>
      <c r="Z447" s="2" t="s">
        <v>32</v>
      </c>
      <c r="AA447" s="2" t="s">
        <v>1660</v>
      </c>
      <c r="AB447" s="2">
        <v>0</v>
      </c>
      <c r="AC447" s="2" t="s">
        <v>1660</v>
      </c>
      <c r="AD447" s="2">
        <v>0</v>
      </c>
      <c r="AE447" s="2" t="s">
        <v>1660</v>
      </c>
      <c r="AF447" s="2">
        <v>0</v>
      </c>
      <c r="AG447" s="2">
        <v>0</v>
      </c>
      <c r="AH447" s="2" t="s">
        <v>32</v>
      </c>
      <c r="AI447" s="2" t="s">
        <v>32</v>
      </c>
      <c r="AJ447" s="2" t="s">
        <v>32</v>
      </c>
      <c r="AK447" s="2" t="s">
        <v>32</v>
      </c>
      <c r="AL447" s="2" t="s">
        <v>32</v>
      </c>
      <c r="AM447" s="2">
        <v>0</v>
      </c>
      <c r="AN447" s="2" t="s">
        <v>32</v>
      </c>
      <c r="AO447" s="2">
        <v>0</v>
      </c>
      <c r="AP447" s="2" t="s">
        <v>32</v>
      </c>
      <c r="AQ447" s="2" t="s">
        <v>32</v>
      </c>
      <c r="AR447" s="2" t="s">
        <v>32</v>
      </c>
      <c r="AS447" s="2">
        <v>0</v>
      </c>
      <c r="AT447" s="2" t="s">
        <v>32</v>
      </c>
      <c r="AU447" s="2" t="s">
        <v>32</v>
      </c>
      <c r="AV447" s="2" t="s">
        <v>32</v>
      </c>
      <c r="AW447" s="2">
        <v>0</v>
      </c>
      <c r="AX447" s="2" t="s">
        <v>32</v>
      </c>
      <c r="AY447" s="2">
        <v>0</v>
      </c>
      <c r="AZ447" s="2" t="s">
        <v>1658</v>
      </c>
      <c r="BA447" s="2">
        <v>4</v>
      </c>
      <c r="BB447" s="2">
        <v>13</v>
      </c>
      <c r="BC447" s="2" t="s">
        <v>1660</v>
      </c>
      <c r="BD447" s="2">
        <v>0</v>
      </c>
      <c r="BE447" s="2" t="s">
        <v>1658</v>
      </c>
      <c r="BF447" s="2">
        <v>4</v>
      </c>
      <c r="BG447" s="2" t="s">
        <v>1660</v>
      </c>
      <c r="BH447" s="2">
        <v>0</v>
      </c>
      <c r="BI447" s="2" t="s">
        <v>32</v>
      </c>
      <c r="BJ447" s="2" t="s">
        <v>32</v>
      </c>
      <c r="BK447" s="2" t="s">
        <v>1660</v>
      </c>
      <c r="BL447" s="2">
        <v>0</v>
      </c>
      <c r="BM447" s="2" t="s">
        <v>32</v>
      </c>
      <c r="BN447" s="2" t="s">
        <v>32</v>
      </c>
      <c r="BO447" s="2" t="s">
        <v>1660</v>
      </c>
      <c r="BP447" s="2">
        <v>0</v>
      </c>
      <c r="BQ447" s="2" t="s">
        <v>1660</v>
      </c>
      <c r="BR447" s="2">
        <v>0</v>
      </c>
      <c r="BS447" s="2" t="s">
        <v>1660</v>
      </c>
      <c r="BT447" s="2">
        <v>0</v>
      </c>
      <c r="BU447" s="2">
        <v>0</v>
      </c>
      <c r="BV447" s="2" t="s">
        <v>1660</v>
      </c>
      <c r="BW447" s="2"/>
      <c r="BX447" s="2"/>
      <c r="BY447" s="2" t="s">
        <v>1807</v>
      </c>
      <c r="BZ447" s="2" t="b">
        <f>OR( (Dashboard[[#This Row],[ref_as_hh]]&gt;=1),(Dashboard[[#This Row],[ret_as_hh]] &gt;=1), (Dashboard[[#This Row],[idp_as_hh]]&gt;=1))</f>
        <v>0</v>
      </c>
      <c r="CA447" s="2">
        <f>Dashboard[[#This Row],[ret_hi_hh]]</f>
        <v>0</v>
      </c>
      <c r="CB447" s="2">
        <f>Dashboard[[#This Row],[idp_fa_hh]]+Dashboard[[#This Row],[ref_fa_hh]]+Dashboard[[#This Row],[ret_fa_hh]]</f>
        <v>14</v>
      </c>
      <c r="CC447" s="2">
        <f>Dashboard[[#This Row],[idp_loc_hh]]+Dashboard[[#This Row],[ref_loc_hh]]+Dashboard[[#This Row],[ret_loc_hh]]</f>
        <v>0</v>
      </c>
      <c r="CD447" s="2">
        <f>Dashboard[[#This Row],[idp_cc_hh]]+Dashboard[[#This Row],[ref_cc_hh]]+Dashboard[[#This Row],[ret_cc_hh]]</f>
        <v>0</v>
      </c>
      <c r="CE447" s="2">
        <f>Dashboard[[#This Row],[idp_as_hh]]+Dashboard[[#This Row],[ref_as_hh]]+Dashboard[[#This Row],[ret_as_hh]]</f>
        <v>0</v>
      </c>
      <c r="CF447" s="2">
        <f>Dashboard[[#This Row],[idp_al_hh]]+Dashboard[[#This Row],[ref_al_hh]]+Dashboard[[#This Row],[ret_al_hh]]</f>
        <v>0</v>
      </c>
    </row>
    <row r="448" spans="1:84" hidden="1" x14ac:dyDescent="0.25">
      <c r="A448" s="27">
        <v>720</v>
      </c>
      <c r="B448" s="2" t="s">
        <v>22</v>
      </c>
      <c r="C448" s="2" t="s">
        <v>23</v>
      </c>
      <c r="D448" s="2" t="s">
        <v>85</v>
      </c>
      <c r="E448" s="2" t="s">
        <v>84</v>
      </c>
      <c r="F448" s="2" t="s">
        <v>98</v>
      </c>
      <c r="G448" s="2" t="s">
        <v>97</v>
      </c>
      <c r="H448" s="2" t="s">
        <v>1253</v>
      </c>
      <c r="I448" s="2" t="s">
        <v>437</v>
      </c>
      <c r="J448" s="2" t="s">
        <v>3030</v>
      </c>
      <c r="K448" s="2" t="s">
        <v>3031</v>
      </c>
      <c r="L448" s="2" t="s">
        <v>2074</v>
      </c>
      <c r="M448" s="2">
        <v>609</v>
      </c>
      <c r="N448" s="2" t="s">
        <v>1658</v>
      </c>
      <c r="O448" s="2">
        <v>6</v>
      </c>
      <c r="P448" s="2">
        <v>32</v>
      </c>
      <c r="Q448" s="2" t="s">
        <v>1658</v>
      </c>
      <c r="R448" s="2">
        <v>6</v>
      </c>
      <c r="S448" s="2" t="s">
        <v>1660</v>
      </c>
      <c r="T448" s="2">
        <v>0</v>
      </c>
      <c r="U448" s="2" t="s">
        <v>32</v>
      </c>
      <c r="V448" s="2" t="s">
        <v>32</v>
      </c>
      <c r="W448" s="2" t="s">
        <v>1660</v>
      </c>
      <c r="X448" s="2">
        <v>0</v>
      </c>
      <c r="Y448" s="2" t="s">
        <v>32</v>
      </c>
      <c r="Z448" s="2" t="s">
        <v>32</v>
      </c>
      <c r="AA448" s="2" t="s">
        <v>1660</v>
      </c>
      <c r="AB448" s="2">
        <v>0</v>
      </c>
      <c r="AC448" s="2" t="s">
        <v>1660</v>
      </c>
      <c r="AD448" s="2">
        <v>0</v>
      </c>
      <c r="AE448" s="2" t="s">
        <v>1658</v>
      </c>
      <c r="AF448" s="2">
        <v>6</v>
      </c>
      <c r="AG448" s="2">
        <v>20</v>
      </c>
      <c r="AH448" s="2" t="s">
        <v>1660</v>
      </c>
      <c r="AI448" s="2" t="s">
        <v>32</v>
      </c>
      <c r="AJ448" s="2" t="s">
        <v>32</v>
      </c>
      <c r="AK448" s="2" t="s">
        <v>32</v>
      </c>
      <c r="AL448" s="2" t="s">
        <v>1658</v>
      </c>
      <c r="AM448" s="2">
        <v>5</v>
      </c>
      <c r="AN448" s="2" t="s">
        <v>1658</v>
      </c>
      <c r="AO448" s="2">
        <v>1</v>
      </c>
      <c r="AP448" s="2" t="s">
        <v>1661</v>
      </c>
      <c r="AQ448" s="2" t="s">
        <v>32</v>
      </c>
      <c r="AR448" s="2" t="s">
        <v>1660</v>
      </c>
      <c r="AS448" s="2">
        <v>0</v>
      </c>
      <c r="AT448" s="2" t="s">
        <v>32</v>
      </c>
      <c r="AU448" s="2" t="s">
        <v>32</v>
      </c>
      <c r="AV448" s="2" t="s">
        <v>1660</v>
      </c>
      <c r="AW448" s="2">
        <v>0</v>
      </c>
      <c r="AX448" s="2" t="s">
        <v>1660</v>
      </c>
      <c r="AY448" s="2">
        <v>0</v>
      </c>
      <c r="AZ448" s="2" t="s">
        <v>1658</v>
      </c>
      <c r="BA448" s="2">
        <v>8</v>
      </c>
      <c r="BB448" s="2">
        <v>35</v>
      </c>
      <c r="BC448" s="2" t="s">
        <v>1658</v>
      </c>
      <c r="BD448" s="2">
        <v>8</v>
      </c>
      <c r="BE448" s="2" t="s">
        <v>1660</v>
      </c>
      <c r="BF448" s="2">
        <v>0</v>
      </c>
      <c r="BG448" s="2" t="s">
        <v>1660</v>
      </c>
      <c r="BH448" s="2">
        <v>0</v>
      </c>
      <c r="BI448" s="2" t="s">
        <v>32</v>
      </c>
      <c r="BJ448" s="2" t="s">
        <v>32</v>
      </c>
      <c r="BK448" s="2" t="s">
        <v>1660</v>
      </c>
      <c r="BL448" s="2">
        <v>0</v>
      </c>
      <c r="BM448" s="2" t="s">
        <v>32</v>
      </c>
      <c r="BN448" s="2" t="s">
        <v>32</v>
      </c>
      <c r="BO448" s="2" t="s">
        <v>1660</v>
      </c>
      <c r="BP448" s="2">
        <v>0</v>
      </c>
      <c r="BQ448" s="2" t="s">
        <v>1660</v>
      </c>
      <c r="BR448" s="2">
        <v>0</v>
      </c>
      <c r="BS448" s="2" t="s">
        <v>1660</v>
      </c>
      <c r="BT448" s="2">
        <v>0</v>
      </c>
      <c r="BU448" s="2">
        <v>0</v>
      </c>
      <c r="BV448" s="2" t="s">
        <v>1660</v>
      </c>
      <c r="BW448" s="2"/>
      <c r="BX448" s="2"/>
      <c r="BY448" s="2" t="s">
        <v>1807</v>
      </c>
      <c r="BZ448" s="2" t="b">
        <f>OR( (Dashboard[[#This Row],[ref_as_hh]]&gt;=1),(Dashboard[[#This Row],[ret_as_hh]] &gt;=1), (Dashboard[[#This Row],[idp_as_hh]]&gt;=1))</f>
        <v>0</v>
      </c>
      <c r="CA448" s="2">
        <f>Dashboard[[#This Row],[ret_hi_hh]]</f>
        <v>8</v>
      </c>
      <c r="CB448" s="2">
        <f>Dashboard[[#This Row],[idp_fa_hh]]+Dashboard[[#This Row],[ref_fa_hh]]+Dashboard[[#This Row],[ret_fa_hh]]</f>
        <v>11</v>
      </c>
      <c r="CC448" s="2">
        <f>Dashboard[[#This Row],[idp_loc_hh]]+Dashboard[[#This Row],[ref_loc_hh]]+Dashboard[[#This Row],[ret_loc_hh]]</f>
        <v>1</v>
      </c>
      <c r="CD448" s="2">
        <f>Dashboard[[#This Row],[idp_cc_hh]]+Dashboard[[#This Row],[ref_cc_hh]]+Dashboard[[#This Row],[ret_cc_hh]]</f>
        <v>0</v>
      </c>
      <c r="CE448" s="2">
        <f>Dashboard[[#This Row],[idp_as_hh]]+Dashboard[[#This Row],[ref_as_hh]]+Dashboard[[#This Row],[ret_as_hh]]</f>
        <v>0</v>
      </c>
      <c r="CF448" s="2">
        <f>Dashboard[[#This Row],[idp_al_hh]]+Dashboard[[#This Row],[ref_al_hh]]+Dashboard[[#This Row],[ret_al_hh]]</f>
        <v>0</v>
      </c>
    </row>
    <row r="449" spans="1:84" x14ac:dyDescent="0.25">
      <c r="A449" s="27">
        <v>469</v>
      </c>
      <c r="B449" s="2" t="s">
        <v>22</v>
      </c>
      <c r="C449" s="2" t="s">
        <v>23</v>
      </c>
      <c r="D449" s="2" t="s">
        <v>85</v>
      </c>
      <c r="E449" s="2" t="s">
        <v>84</v>
      </c>
      <c r="F449" s="2" t="s">
        <v>98</v>
      </c>
      <c r="G449" s="2" t="s">
        <v>97</v>
      </c>
      <c r="H449" s="2" t="s">
        <v>1204</v>
      </c>
      <c r="I449" s="2" t="s">
        <v>701</v>
      </c>
      <c r="J449" s="2" t="s">
        <v>2918</v>
      </c>
      <c r="K449" s="2" t="s">
        <v>2919</v>
      </c>
      <c r="L449" s="2" t="s">
        <v>2074</v>
      </c>
      <c r="M449" s="2">
        <v>323</v>
      </c>
      <c r="N449" s="2" t="s">
        <v>1658</v>
      </c>
      <c r="O449" s="2">
        <v>7</v>
      </c>
      <c r="P449" s="2">
        <v>60</v>
      </c>
      <c r="Q449" s="2" t="s">
        <v>1658</v>
      </c>
      <c r="R449" s="2">
        <v>5</v>
      </c>
      <c r="S449" s="2" t="s">
        <v>1660</v>
      </c>
      <c r="T449" s="2">
        <v>0</v>
      </c>
      <c r="U449" s="2" t="s">
        <v>32</v>
      </c>
      <c r="V449" s="2" t="s">
        <v>32</v>
      </c>
      <c r="W449" s="2" t="s">
        <v>1660</v>
      </c>
      <c r="X449" s="2">
        <v>0</v>
      </c>
      <c r="Y449" s="2" t="s">
        <v>32</v>
      </c>
      <c r="Z449" s="2" t="s">
        <v>32</v>
      </c>
      <c r="AA449" s="2" t="s">
        <v>1658</v>
      </c>
      <c r="AB449" s="2">
        <v>2</v>
      </c>
      <c r="AC449" s="2" t="s">
        <v>1660</v>
      </c>
      <c r="AD449" s="2">
        <v>0</v>
      </c>
      <c r="AE449" s="2" t="s">
        <v>1658</v>
      </c>
      <c r="AF449" s="2">
        <v>9</v>
      </c>
      <c r="AG449" s="2">
        <v>77</v>
      </c>
      <c r="AH449" s="2" t="s">
        <v>1658</v>
      </c>
      <c r="AI449" s="2" t="s">
        <v>85</v>
      </c>
      <c r="AJ449" s="2" t="s">
        <v>98</v>
      </c>
      <c r="AK449" s="2" t="s">
        <v>2014</v>
      </c>
      <c r="AL449" s="2" t="s">
        <v>1660</v>
      </c>
      <c r="AM449" s="2">
        <v>0</v>
      </c>
      <c r="AN449" s="2" t="s">
        <v>1660</v>
      </c>
      <c r="AO449" s="2">
        <v>0</v>
      </c>
      <c r="AP449" s="2" t="s">
        <v>32</v>
      </c>
      <c r="AQ449" s="2" t="s">
        <v>32</v>
      </c>
      <c r="AR449" s="2" t="s">
        <v>1660</v>
      </c>
      <c r="AS449" s="2">
        <v>0</v>
      </c>
      <c r="AT449" s="2" t="s">
        <v>32</v>
      </c>
      <c r="AU449" s="2" t="s">
        <v>32</v>
      </c>
      <c r="AV449" s="2" t="s">
        <v>1658</v>
      </c>
      <c r="AW449" s="2">
        <v>9</v>
      </c>
      <c r="AX449" s="2" t="s">
        <v>1660</v>
      </c>
      <c r="AY449" s="2">
        <v>0</v>
      </c>
      <c r="AZ449" s="2" t="s">
        <v>1658</v>
      </c>
      <c r="BA449" s="2">
        <v>5</v>
      </c>
      <c r="BB449" s="2">
        <v>43</v>
      </c>
      <c r="BC449" s="2" t="s">
        <v>1658</v>
      </c>
      <c r="BD449" s="2">
        <v>5</v>
      </c>
      <c r="BE449" s="2" t="s">
        <v>1660</v>
      </c>
      <c r="BF449" s="2">
        <v>0</v>
      </c>
      <c r="BG449" s="2" t="s">
        <v>1660</v>
      </c>
      <c r="BH449" s="2">
        <v>0</v>
      </c>
      <c r="BI449" s="2" t="s">
        <v>32</v>
      </c>
      <c r="BJ449" s="2" t="s">
        <v>32</v>
      </c>
      <c r="BK449" s="2" t="s">
        <v>1660</v>
      </c>
      <c r="BL449" s="2">
        <v>0</v>
      </c>
      <c r="BM449" s="2" t="s">
        <v>32</v>
      </c>
      <c r="BN449" s="2" t="s">
        <v>32</v>
      </c>
      <c r="BO449" s="2" t="s">
        <v>1660</v>
      </c>
      <c r="BP449" s="2">
        <v>0</v>
      </c>
      <c r="BQ449" s="2" t="s">
        <v>1660</v>
      </c>
      <c r="BR449" s="2">
        <v>0</v>
      </c>
      <c r="BS449" s="2" t="s">
        <v>1660</v>
      </c>
      <c r="BT449" s="2">
        <v>0</v>
      </c>
      <c r="BU449" s="2">
        <v>0</v>
      </c>
      <c r="BV449" s="2" t="s">
        <v>1660</v>
      </c>
      <c r="BW449" s="2"/>
      <c r="BX449" s="2"/>
      <c r="BY449" s="2" t="s">
        <v>1807</v>
      </c>
      <c r="BZ449" s="2" t="b">
        <f>OR( (Dashboard[[#This Row],[ref_as_hh]]&gt;=1),(Dashboard[[#This Row],[ret_as_hh]] &gt;=1), (Dashboard[[#This Row],[idp_as_hh]]&gt;=1))</f>
        <v>1</v>
      </c>
      <c r="CA449" s="2">
        <f>Dashboard[[#This Row],[ret_hi_hh]]</f>
        <v>5</v>
      </c>
      <c r="CB449" s="2">
        <f>Dashboard[[#This Row],[idp_fa_hh]]+Dashboard[[#This Row],[ref_fa_hh]]+Dashboard[[#This Row],[ret_fa_hh]]</f>
        <v>5</v>
      </c>
      <c r="CC449" s="2">
        <f>Dashboard[[#This Row],[idp_loc_hh]]+Dashboard[[#This Row],[ref_loc_hh]]+Dashboard[[#This Row],[ret_loc_hh]]</f>
        <v>0</v>
      </c>
      <c r="CD449" s="2">
        <f>Dashboard[[#This Row],[idp_cc_hh]]+Dashboard[[#This Row],[ref_cc_hh]]+Dashboard[[#This Row],[ret_cc_hh]]</f>
        <v>0</v>
      </c>
      <c r="CE449" s="2">
        <f>Dashboard[[#This Row],[idp_as_hh]]+Dashboard[[#This Row],[ref_as_hh]]+Dashboard[[#This Row],[ret_as_hh]]</f>
        <v>11</v>
      </c>
      <c r="CF449" s="2">
        <f>Dashboard[[#This Row],[idp_al_hh]]+Dashboard[[#This Row],[ref_al_hh]]+Dashboard[[#This Row],[ret_al_hh]]</f>
        <v>0</v>
      </c>
    </row>
    <row r="450" spans="1:84" x14ac:dyDescent="0.25">
      <c r="A450" s="27">
        <v>471</v>
      </c>
      <c r="B450" s="2" t="s">
        <v>22</v>
      </c>
      <c r="C450" s="2" t="s">
        <v>23</v>
      </c>
      <c r="D450" s="2" t="s">
        <v>85</v>
      </c>
      <c r="E450" s="2" t="s">
        <v>84</v>
      </c>
      <c r="F450" s="2" t="s">
        <v>98</v>
      </c>
      <c r="G450" s="2" t="s">
        <v>97</v>
      </c>
      <c r="H450" s="2" t="s">
        <v>1970</v>
      </c>
      <c r="I450" s="2" t="s">
        <v>1969</v>
      </c>
      <c r="J450" s="2" t="s">
        <v>2798</v>
      </c>
      <c r="K450" s="2" t="s">
        <v>2799</v>
      </c>
      <c r="L450" s="2" t="s">
        <v>2074</v>
      </c>
      <c r="M450" s="2">
        <v>400</v>
      </c>
      <c r="N450" s="2" t="s">
        <v>1660</v>
      </c>
      <c r="O450" s="2">
        <v>0</v>
      </c>
      <c r="P450" s="2">
        <v>0</v>
      </c>
      <c r="Q450" s="2" t="s">
        <v>32</v>
      </c>
      <c r="R450" s="2">
        <v>0</v>
      </c>
      <c r="S450" s="2" t="s">
        <v>32</v>
      </c>
      <c r="T450" s="2">
        <v>0</v>
      </c>
      <c r="U450" s="2" t="s">
        <v>32</v>
      </c>
      <c r="V450" s="2" t="s">
        <v>32</v>
      </c>
      <c r="W450" s="2" t="s">
        <v>32</v>
      </c>
      <c r="X450" s="2">
        <v>0</v>
      </c>
      <c r="Y450" s="2" t="s">
        <v>32</v>
      </c>
      <c r="Z450" s="2" t="s">
        <v>32</v>
      </c>
      <c r="AA450" s="2" t="s">
        <v>32</v>
      </c>
      <c r="AB450" s="2">
        <v>0</v>
      </c>
      <c r="AC450" s="2" t="s">
        <v>32</v>
      </c>
      <c r="AD450" s="2">
        <v>0</v>
      </c>
      <c r="AE450" s="2" t="s">
        <v>1658</v>
      </c>
      <c r="AF450" s="2">
        <v>47</v>
      </c>
      <c r="AG450" s="2">
        <v>400</v>
      </c>
      <c r="AH450" s="2" t="s">
        <v>1658</v>
      </c>
      <c r="AI450" s="2" t="s">
        <v>85</v>
      </c>
      <c r="AJ450" s="2" t="s">
        <v>98</v>
      </c>
      <c r="AK450" s="2" t="s">
        <v>1979</v>
      </c>
      <c r="AL450" s="2" t="s">
        <v>32</v>
      </c>
      <c r="AM450" s="2">
        <v>0</v>
      </c>
      <c r="AN450" s="2" t="s">
        <v>1660</v>
      </c>
      <c r="AO450" s="2">
        <v>0</v>
      </c>
      <c r="AP450" s="2" t="s">
        <v>32</v>
      </c>
      <c r="AQ450" s="2" t="s">
        <v>32</v>
      </c>
      <c r="AR450" s="2" t="s">
        <v>1660</v>
      </c>
      <c r="AS450" s="2">
        <v>0</v>
      </c>
      <c r="AT450" s="2" t="s">
        <v>32</v>
      </c>
      <c r="AU450" s="2" t="s">
        <v>32</v>
      </c>
      <c r="AV450" s="2" t="s">
        <v>1658</v>
      </c>
      <c r="AW450" s="2">
        <v>47</v>
      </c>
      <c r="AX450" s="2" t="s">
        <v>1660</v>
      </c>
      <c r="AY450" s="2">
        <v>0</v>
      </c>
      <c r="AZ450" s="2" t="s">
        <v>1660</v>
      </c>
      <c r="BA450" s="2">
        <v>0</v>
      </c>
      <c r="BB450" s="2">
        <v>0</v>
      </c>
      <c r="BC450" s="2" t="s">
        <v>32</v>
      </c>
      <c r="BD450" s="2">
        <v>0</v>
      </c>
      <c r="BE450" s="2" t="s">
        <v>32</v>
      </c>
      <c r="BF450" s="2">
        <v>0</v>
      </c>
      <c r="BG450" s="2" t="s">
        <v>32</v>
      </c>
      <c r="BH450" s="2">
        <v>0</v>
      </c>
      <c r="BI450" s="2" t="s">
        <v>32</v>
      </c>
      <c r="BJ450" s="2" t="s">
        <v>32</v>
      </c>
      <c r="BK450" s="2" t="s">
        <v>32</v>
      </c>
      <c r="BL450" s="2">
        <v>0</v>
      </c>
      <c r="BM450" s="2" t="s">
        <v>32</v>
      </c>
      <c r="BN450" s="2" t="s">
        <v>32</v>
      </c>
      <c r="BO450" s="2" t="s">
        <v>32</v>
      </c>
      <c r="BP450" s="2">
        <v>0</v>
      </c>
      <c r="BQ450" s="2" t="s">
        <v>32</v>
      </c>
      <c r="BR450" s="2">
        <v>0</v>
      </c>
      <c r="BS450" s="2" t="s">
        <v>1660</v>
      </c>
      <c r="BT450" s="2">
        <v>0</v>
      </c>
      <c r="BU450" s="2">
        <v>0</v>
      </c>
      <c r="BV450" s="2" t="s">
        <v>1660</v>
      </c>
      <c r="BW450" s="2"/>
      <c r="BX450" s="2"/>
      <c r="BY450" s="2" t="s">
        <v>1807</v>
      </c>
      <c r="BZ450" s="2" t="b">
        <f>OR( (Dashboard[[#This Row],[ref_as_hh]]&gt;=1),(Dashboard[[#This Row],[ret_as_hh]] &gt;=1), (Dashboard[[#This Row],[idp_as_hh]]&gt;=1))</f>
        <v>1</v>
      </c>
      <c r="CA450" s="2">
        <f>Dashboard[[#This Row],[ret_hi_hh]]</f>
        <v>0</v>
      </c>
      <c r="CB450" s="2">
        <f>Dashboard[[#This Row],[idp_fa_hh]]+Dashboard[[#This Row],[ref_fa_hh]]+Dashboard[[#This Row],[ret_fa_hh]]</f>
        <v>0</v>
      </c>
      <c r="CC450" s="2">
        <f>Dashboard[[#This Row],[idp_loc_hh]]+Dashboard[[#This Row],[ref_loc_hh]]+Dashboard[[#This Row],[ret_loc_hh]]</f>
        <v>0</v>
      </c>
      <c r="CD450" s="2">
        <f>Dashboard[[#This Row],[idp_cc_hh]]+Dashboard[[#This Row],[ref_cc_hh]]+Dashboard[[#This Row],[ret_cc_hh]]</f>
        <v>0</v>
      </c>
      <c r="CE450" s="2">
        <f>Dashboard[[#This Row],[idp_as_hh]]+Dashboard[[#This Row],[ref_as_hh]]+Dashboard[[#This Row],[ret_as_hh]]</f>
        <v>47</v>
      </c>
      <c r="CF450" s="2">
        <f>Dashboard[[#This Row],[idp_al_hh]]+Dashboard[[#This Row],[ref_al_hh]]+Dashboard[[#This Row],[ret_al_hh]]</f>
        <v>0</v>
      </c>
    </row>
    <row r="451" spans="1:84" hidden="1" x14ac:dyDescent="0.25">
      <c r="A451" s="27">
        <v>473</v>
      </c>
      <c r="B451" s="2" t="s">
        <v>22</v>
      </c>
      <c r="C451" s="2" t="s">
        <v>23</v>
      </c>
      <c r="D451" s="2" t="s">
        <v>85</v>
      </c>
      <c r="E451" s="2" t="s">
        <v>84</v>
      </c>
      <c r="F451" s="2" t="s">
        <v>98</v>
      </c>
      <c r="G451" s="2" t="s">
        <v>97</v>
      </c>
      <c r="H451" s="2" t="s">
        <v>1677</v>
      </c>
      <c r="I451" s="2" t="s">
        <v>694</v>
      </c>
      <c r="J451" s="2" t="s">
        <v>2742</v>
      </c>
      <c r="K451" s="2" t="s">
        <v>2743</v>
      </c>
      <c r="L451" s="2" t="s">
        <v>2074</v>
      </c>
      <c r="M451" s="2">
        <v>700</v>
      </c>
      <c r="N451" s="2" t="s">
        <v>1660</v>
      </c>
      <c r="O451" s="2">
        <v>0</v>
      </c>
      <c r="P451" s="2">
        <v>0</v>
      </c>
      <c r="Q451" s="2" t="s">
        <v>32</v>
      </c>
      <c r="R451" s="2">
        <v>0</v>
      </c>
      <c r="S451" s="2" t="s">
        <v>32</v>
      </c>
      <c r="T451" s="2">
        <v>0</v>
      </c>
      <c r="U451" s="2" t="s">
        <v>32</v>
      </c>
      <c r="V451" s="2" t="s">
        <v>32</v>
      </c>
      <c r="W451" s="2" t="s">
        <v>32</v>
      </c>
      <c r="X451" s="2">
        <v>0</v>
      </c>
      <c r="Y451" s="2" t="s">
        <v>32</v>
      </c>
      <c r="Z451" s="2" t="s">
        <v>32</v>
      </c>
      <c r="AA451" s="2" t="s">
        <v>32</v>
      </c>
      <c r="AB451" s="2">
        <v>0</v>
      </c>
      <c r="AC451" s="2" t="s">
        <v>32</v>
      </c>
      <c r="AD451" s="2">
        <v>0</v>
      </c>
      <c r="AE451" s="2" t="s">
        <v>1660</v>
      </c>
      <c r="AF451" s="2">
        <v>0</v>
      </c>
      <c r="AG451" s="2">
        <v>0</v>
      </c>
      <c r="AH451" s="2" t="s">
        <v>32</v>
      </c>
      <c r="AI451" s="2" t="s">
        <v>32</v>
      </c>
      <c r="AJ451" s="2" t="s">
        <v>32</v>
      </c>
      <c r="AK451" s="2" t="s">
        <v>32</v>
      </c>
      <c r="AL451" s="2" t="s">
        <v>32</v>
      </c>
      <c r="AM451" s="2">
        <v>0</v>
      </c>
      <c r="AN451" s="2" t="s">
        <v>32</v>
      </c>
      <c r="AO451" s="2">
        <v>0</v>
      </c>
      <c r="AP451" s="2" t="s">
        <v>32</v>
      </c>
      <c r="AQ451" s="2" t="s">
        <v>32</v>
      </c>
      <c r="AR451" s="2" t="s">
        <v>32</v>
      </c>
      <c r="AS451" s="2">
        <v>0</v>
      </c>
      <c r="AT451" s="2" t="s">
        <v>32</v>
      </c>
      <c r="AU451" s="2" t="s">
        <v>32</v>
      </c>
      <c r="AV451" s="2" t="s">
        <v>32</v>
      </c>
      <c r="AW451" s="2">
        <v>0</v>
      </c>
      <c r="AX451" s="2" t="s">
        <v>32</v>
      </c>
      <c r="AY451" s="2">
        <v>0</v>
      </c>
      <c r="AZ451" s="2" t="s">
        <v>1660</v>
      </c>
      <c r="BA451" s="2">
        <v>0</v>
      </c>
      <c r="BB451" s="2">
        <v>0</v>
      </c>
      <c r="BC451" s="2" t="s">
        <v>32</v>
      </c>
      <c r="BD451" s="2">
        <v>0</v>
      </c>
      <c r="BE451" s="2" t="s">
        <v>32</v>
      </c>
      <c r="BF451" s="2">
        <v>0</v>
      </c>
      <c r="BG451" s="2" t="s">
        <v>32</v>
      </c>
      <c r="BH451" s="2">
        <v>0</v>
      </c>
      <c r="BI451" s="2" t="s">
        <v>32</v>
      </c>
      <c r="BJ451" s="2" t="s">
        <v>32</v>
      </c>
      <c r="BK451" s="2" t="s">
        <v>32</v>
      </c>
      <c r="BL451" s="2">
        <v>0</v>
      </c>
      <c r="BM451" s="2" t="s">
        <v>32</v>
      </c>
      <c r="BN451" s="2" t="s">
        <v>32</v>
      </c>
      <c r="BO451" s="2" t="s">
        <v>32</v>
      </c>
      <c r="BP451" s="2">
        <v>0</v>
      </c>
      <c r="BQ451" s="2" t="s">
        <v>32</v>
      </c>
      <c r="BR451" s="2">
        <v>0</v>
      </c>
      <c r="BS451" s="2" t="s">
        <v>1660</v>
      </c>
      <c r="BT451" s="2">
        <v>0</v>
      </c>
      <c r="BU451" s="2">
        <v>0</v>
      </c>
      <c r="BV451" s="2" t="s">
        <v>1660</v>
      </c>
      <c r="BW451" s="2"/>
      <c r="BX451" s="2"/>
      <c r="BY451" s="2" t="s">
        <v>1807</v>
      </c>
      <c r="BZ451" s="2" t="b">
        <f>OR( (Dashboard[[#This Row],[ref_as_hh]]&gt;=1),(Dashboard[[#This Row],[ret_as_hh]] &gt;=1), (Dashboard[[#This Row],[idp_as_hh]]&gt;=1))</f>
        <v>0</v>
      </c>
      <c r="CA451" s="2">
        <f>Dashboard[[#This Row],[ret_hi_hh]]</f>
        <v>0</v>
      </c>
      <c r="CB451" s="2">
        <f>Dashboard[[#This Row],[idp_fa_hh]]+Dashboard[[#This Row],[ref_fa_hh]]+Dashboard[[#This Row],[ret_fa_hh]]</f>
        <v>0</v>
      </c>
      <c r="CC451" s="2">
        <f>Dashboard[[#This Row],[idp_loc_hh]]+Dashboard[[#This Row],[ref_loc_hh]]+Dashboard[[#This Row],[ret_loc_hh]]</f>
        <v>0</v>
      </c>
      <c r="CD451" s="2">
        <f>Dashboard[[#This Row],[idp_cc_hh]]+Dashboard[[#This Row],[ref_cc_hh]]+Dashboard[[#This Row],[ret_cc_hh]]</f>
        <v>0</v>
      </c>
      <c r="CE451" s="2">
        <f>Dashboard[[#This Row],[idp_as_hh]]+Dashboard[[#This Row],[ref_as_hh]]+Dashboard[[#This Row],[ret_as_hh]]</f>
        <v>0</v>
      </c>
      <c r="CF451" s="2">
        <f>Dashboard[[#This Row],[idp_al_hh]]+Dashboard[[#This Row],[ref_al_hh]]+Dashboard[[#This Row],[ret_al_hh]]</f>
        <v>0</v>
      </c>
    </row>
    <row r="452" spans="1:84" hidden="1" x14ac:dyDescent="0.25">
      <c r="A452" s="27">
        <v>475</v>
      </c>
      <c r="B452" s="2" t="s">
        <v>22</v>
      </c>
      <c r="C452" s="2" t="s">
        <v>23</v>
      </c>
      <c r="D452" s="2" t="s">
        <v>85</v>
      </c>
      <c r="E452" s="2" t="s">
        <v>84</v>
      </c>
      <c r="F452" s="2" t="s">
        <v>98</v>
      </c>
      <c r="G452" s="2" t="s">
        <v>97</v>
      </c>
      <c r="H452" s="2" t="s">
        <v>1679</v>
      </c>
      <c r="I452" s="2" t="s">
        <v>699</v>
      </c>
      <c r="J452" s="2" t="s">
        <v>2784</v>
      </c>
      <c r="K452" s="2" t="s">
        <v>2785</v>
      </c>
      <c r="L452" s="2" t="s">
        <v>2074</v>
      </c>
      <c r="M452" s="2">
        <v>900</v>
      </c>
      <c r="N452" s="2" t="s">
        <v>1660</v>
      </c>
      <c r="O452" s="2">
        <v>0</v>
      </c>
      <c r="P452" s="2">
        <v>0</v>
      </c>
      <c r="Q452" s="2" t="s">
        <v>32</v>
      </c>
      <c r="R452" s="2">
        <v>0</v>
      </c>
      <c r="S452" s="2" t="s">
        <v>32</v>
      </c>
      <c r="T452" s="2">
        <v>0</v>
      </c>
      <c r="U452" s="2" t="s">
        <v>32</v>
      </c>
      <c r="V452" s="2" t="s">
        <v>32</v>
      </c>
      <c r="W452" s="2" t="s">
        <v>32</v>
      </c>
      <c r="X452" s="2">
        <v>0</v>
      </c>
      <c r="Y452" s="2" t="s">
        <v>32</v>
      </c>
      <c r="Z452" s="2" t="s">
        <v>32</v>
      </c>
      <c r="AA452" s="2" t="s">
        <v>32</v>
      </c>
      <c r="AB452" s="2">
        <v>0</v>
      </c>
      <c r="AC452" s="2" t="s">
        <v>32</v>
      </c>
      <c r="AD452" s="2">
        <v>0</v>
      </c>
      <c r="AE452" s="2" t="s">
        <v>1660</v>
      </c>
      <c r="AF452" s="2">
        <v>0</v>
      </c>
      <c r="AG452" s="2">
        <v>0</v>
      </c>
      <c r="AH452" s="2" t="s">
        <v>32</v>
      </c>
      <c r="AI452" s="2" t="s">
        <v>32</v>
      </c>
      <c r="AJ452" s="2" t="s">
        <v>32</v>
      </c>
      <c r="AK452" s="2" t="s">
        <v>32</v>
      </c>
      <c r="AL452" s="2" t="s">
        <v>32</v>
      </c>
      <c r="AM452" s="2">
        <v>0</v>
      </c>
      <c r="AN452" s="2" t="s">
        <v>32</v>
      </c>
      <c r="AO452" s="2">
        <v>0</v>
      </c>
      <c r="AP452" s="2" t="s">
        <v>32</v>
      </c>
      <c r="AQ452" s="2" t="s">
        <v>32</v>
      </c>
      <c r="AR452" s="2" t="s">
        <v>32</v>
      </c>
      <c r="AS452" s="2">
        <v>0</v>
      </c>
      <c r="AT452" s="2" t="s">
        <v>32</v>
      </c>
      <c r="AU452" s="2" t="s">
        <v>32</v>
      </c>
      <c r="AV452" s="2" t="s">
        <v>32</v>
      </c>
      <c r="AW452" s="2">
        <v>0</v>
      </c>
      <c r="AX452" s="2" t="s">
        <v>32</v>
      </c>
      <c r="AY452" s="2">
        <v>0</v>
      </c>
      <c r="AZ452" s="2" t="s">
        <v>1660</v>
      </c>
      <c r="BA452" s="2">
        <v>0</v>
      </c>
      <c r="BB452" s="2">
        <v>0</v>
      </c>
      <c r="BC452" s="2" t="s">
        <v>32</v>
      </c>
      <c r="BD452" s="2">
        <v>0</v>
      </c>
      <c r="BE452" s="2" t="s">
        <v>32</v>
      </c>
      <c r="BF452" s="2">
        <v>0</v>
      </c>
      <c r="BG452" s="2" t="s">
        <v>32</v>
      </c>
      <c r="BH452" s="2">
        <v>0</v>
      </c>
      <c r="BI452" s="2" t="s">
        <v>32</v>
      </c>
      <c r="BJ452" s="2" t="s">
        <v>32</v>
      </c>
      <c r="BK452" s="2" t="s">
        <v>32</v>
      </c>
      <c r="BL452" s="2">
        <v>0</v>
      </c>
      <c r="BM452" s="2" t="s">
        <v>32</v>
      </c>
      <c r="BN452" s="2" t="s">
        <v>32</v>
      </c>
      <c r="BO452" s="2" t="s">
        <v>32</v>
      </c>
      <c r="BP452" s="2">
        <v>0</v>
      </c>
      <c r="BQ452" s="2" t="s">
        <v>32</v>
      </c>
      <c r="BR452" s="2">
        <v>0</v>
      </c>
      <c r="BS452" s="2" t="s">
        <v>1660</v>
      </c>
      <c r="BT452" s="2">
        <v>0</v>
      </c>
      <c r="BU452" s="2">
        <v>0</v>
      </c>
      <c r="BV452" s="2" t="s">
        <v>1660</v>
      </c>
      <c r="BW452" s="2"/>
      <c r="BX452" s="2"/>
      <c r="BY452" s="2" t="s">
        <v>1807</v>
      </c>
      <c r="BZ452" s="2" t="b">
        <f>OR( (Dashboard[[#This Row],[ref_as_hh]]&gt;=1),(Dashboard[[#This Row],[ret_as_hh]] &gt;=1), (Dashboard[[#This Row],[idp_as_hh]]&gt;=1))</f>
        <v>0</v>
      </c>
      <c r="CA452" s="2">
        <f>Dashboard[[#This Row],[ret_hi_hh]]</f>
        <v>0</v>
      </c>
      <c r="CB452" s="2">
        <f>Dashboard[[#This Row],[idp_fa_hh]]+Dashboard[[#This Row],[ref_fa_hh]]+Dashboard[[#This Row],[ret_fa_hh]]</f>
        <v>0</v>
      </c>
      <c r="CC452" s="2">
        <f>Dashboard[[#This Row],[idp_loc_hh]]+Dashboard[[#This Row],[ref_loc_hh]]+Dashboard[[#This Row],[ret_loc_hh]]</f>
        <v>0</v>
      </c>
      <c r="CD452" s="2">
        <f>Dashboard[[#This Row],[idp_cc_hh]]+Dashboard[[#This Row],[ref_cc_hh]]+Dashboard[[#This Row],[ret_cc_hh]]</f>
        <v>0</v>
      </c>
      <c r="CE452" s="2">
        <f>Dashboard[[#This Row],[idp_as_hh]]+Dashboard[[#This Row],[ref_as_hh]]+Dashboard[[#This Row],[ret_as_hh]]</f>
        <v>0</v>
      </c>
      <c r="CF452" s="2">
        <f>Dashboard[[#This Row],[idp_al_hh]]+Dashboard[[#This Row],[ref_al_hh]]+Dashboard[[#This Row],[ret_al_hh]]</f>
        <v>0</v>
      </c>
    </row>
    <row r="453" spans="1:84" hidden="1" x14ac:dyDescent="0.25">
      <c r="A453" s="27">
        <v>220</v>
      </c>
      <c r="B453" s="2" t="s">
        <v>22</v>
      </c>
      <c r="C453" s="2" t="s">
        <v>23</v>
      </c>
      <c r="D453" s="2" t="s">
        <v>85</v>
      </c>
      <c r="E453" s="2" t="s">
        <v>84</v>
      </c>
      <c r="F453" s="2" t="s">
        <v>98</v>
      </c>
      <c r="G453" s="2" t="s">
        <v>97</v>
      </c>
      <c r="H453" s="2" t="s">
        <v>1172</v>
      </c>
      <c r="I453" s="2" t="s">
        <v>393</v>
      </c>
      <c r="J453" s="2" t="s">
        <v>2846</v>
      </c>
      <c r="K453" s="2" t="s">
        <v>2847</v>
      </c>
      <c r="L453" s="2" t="s">
        <v>2074</v>
      </c>
      <c r="M453" s="2">
        <v>204</v>
      </c>
      <c r="N453" s="2" t="s">
        <v>1658</v>
      </c>
      <c r="O453" s="2">
        <v>6</v>
      </c>
      <c r="P453" s="2">
        <v>35</v>
      </c>
      <c r="Q453" s="2" t="s">
        <v>1658</v>
      </c>
      <c r="R453" s="2">
        <v>6</v>
      </c>
      <c r="S453" s="2" t="s">
        <v>1660</v>
      </c>
      <c r="T453" s="2">
        <v>0</v>
      </c>
      <c r="U453" s="2" t="s">
        <v>32</v>
      </c>
      <c r="V453" s="2" t="s">
        <v>32</v>
      </c>
      <c r="W453" s="2" t="s">
        <v>1660</v>
      </c>
      <c r="X453" s="2">
        <v>0</v>
      </c>
      <c r="Y453" s="2" t="s">
        <v>32</v>
      </c>
      <c r="Z453" s="2" t="s">
        <v>32</v>
      </c>
      <c r="AA453" s="2" t="s">
        <v>1660</v>
      </c>
      <c r="AB453" s="2">
        <v>0</v>
      </c>
      <c r="AC453" s="2" t="s">
        <v>1660</v>
      </c>
      <c r="AD453" s="2">
        <v>0</v>
      </c>
      <c r="AE453" s="2" t="s">
        <v>1658</v>
      </c>
      <c r="AF453" s="2">
        <v>3</v>
      </c>
      <c r="AG453" s="2">
        <v>16</v>
      </c>
      <c r="AH453" s="2" t="s">
        <v>1660</v>
      </c>
      <c r="AI453" s="2" t="s">
        <v>32</v>
      </c>
      <c r="AJ453" s="2" t="s">
        <v>32</v>
      </c>
      <c r="AK453" s="2" t="s">
        <v>32</v>
      </c>
      <c r="AL453" s="2" t="s">
        <v>1658</v>
      </c>
      <c r="AM453" s="2">
        <v>3</v>
      </c>
      <c r="AN453" s="2" t="s">
        <v>1660</v>
      </c>
      <c r="AO453" s="2">
        <v>0</v>
      </c>
      <c r="AP453" s="2" t="s">
        <v>32</v>
      </c>
      <c r="AQ453" s="2" t="s">
        <v>32</v>
      </c>
      <c r="AR453" s="2" t="s">
        <v>1660</v>
      </c>
      <c r="AS453" s="2">
        <v>0</v>
      </c>
      <c r="AT453" s="2" t="s">
        <v>32</v>
      </c>
      <c r="AU453" s="2" t="s">
        <v>32</v>
      </c>
      <c r="AV453" s="2" t="s">
        <v>1660</v>
      </c>
      <c r="AW453" s="2">
        <v>0</v>
      </c>
      <c r="AX453" s="2" t="s">
        <v>1660</v>
      </c>
      <c r="AY453" s="2">
        <v>0</v>
      </c>
      <c r="AZ453" s="2" t="s">
        <v>1658</v>
      </c>
      <c r="BA453" s="2">
        <v>2</v>
      </c>
      <c r="BB453" s="2">
        <v>37</v>
      </c>
      <c r="BC453" s="2" t="s">
        <v>1660</v>
      </c>
      <c r="BD453" s="2">
        <v>0</v>
      </c>
      <c r="BE453" s="2" t="s">
        <v>1658</v>
      </c>
      <c r="BF453" s="2">
        <v>2</v>
      </c>
      <c r="BG453" s="2" t="s">
        <v>1660</v>
      </c>
      <c r="BH453" s="2">
        <v>0</v>
      </c>
      <c r="BI453" s="2" t="s">
        <v>32</v>
      </c>
      <c r="BJ453" s="2" t="s">
        <v>32</v>
      </c>
      <c r="BK453" s="2" t="s">
        <v>1660</v>
      </c>
      <c r="BL453" s="2">
        <v>0</v>
      </c>
      <c r="BM453" s="2" t="s">
        <v>32</v>
      </c>
      <c r="BN453" s="2" t="s">
        <v>32</v>
      </c>
      <c r="BO453" s="2" t="s">
        <v>1660</v>
      </c>
      <c r="BP453" s="2">
        <v>0</v>
      </c>
      <c r="BQ453" s="2" t="s">
        <v>1660</v>
      </c>
      <c r="BR453" s="2">
        <v>0</v>
      </c>
      <c r="BS453" s="2" t="s">
        <v>1660</v>
      </c>
      <c r="BT453" s="2">
        <v>0</v>
      </c>
      <c r="BU453" s="2">
        <v>0</v>
      </c>
      <c r="BV453" s="2" t="s">
        <v>1660</v>
      </c>
      <c r="BW453" s="2"/>
      <c r="BX453" s="2"/>
      <c r="BY453" s="2" t="s">
        <v>1807</v>
      </c>
      <c r="BZ453" s="2" t="b">
        <f>OR( (Dashboard[[#This Row],[ref_as_hh]]&gt;=1),(Dashboard[[#This Row],[ret_as_hh]] &gt;=1), (Dashboard[[#This Row],[idp_as_hh]]&gt;=1))</f>
        <v>0</v>
      </c>
      <c r="CA453" s="2">
        <f>Dashboard[[#This Row],[ret_hi_hh]]</f>
        <v>0</v>
      </c>
      <c r="CB453" s="2">
        <f>Dashboard[[#This Row],[idp_fa_hh]]+Dashboard[[#This Row],[ref_fa_hh]]+Dashboard[[#This Row],[ret_fa_hh]]</f>
        <v>11</v>
      </c>
      <c r="CC453" s="2">
        <f>Dashboard[[#This Row],[idp_loc_hh]]+Dashboard[[#This Row],[ref_loc_hh]]+Dashboard[[#This Row],[ret_loc_hh]]</f>
        <v>0</v>
      </c>
      <c r="CD453" s="2">
        <f>Dashboard[[#This Row],[idp_cc_hh]]+Dashboard[[#This Row],[ref_cc_hh]]+Dashboard[[#This Row],[ret_cc_hh]]</f>
        <v>0</v>
      </c>
      <c r="CE453" s="2">
        <f>Dashboard[[#This Row],[idp_as_hh]]+Dashboard[[#This Row],[ref_as_hh]]+Dashboard[[#This Row],[ret_as_hh]]</f>
        <v>0</v>
      </c>
      <c r="CF453" s="2">
        <f>Dashboard[[#This Row],[idp_al_hh]]+Dashboard[[#This Row],[ref_al_hh]]+Dashboard[[#This Row],[ret_al_hh]]</f>
        <v>0</v>
      </c>
    </row>
    <row r="454" spans="1:84" hidden="1" x14ac:dyDescent="0.25">
      <c r="A454" s="27">
        <v>476</v>
      </c>
      <c r="B454" s="2" t="s">
        <v>22</v>
      </c>
      <c r="C454" s="2" t="s">
        <v>23</v>
      </c>
      <c r="D454" s="2" t="s">
        <v>85</v>
      </c>
      <c r="E454" s="2" t="s">
        <v>84</v>
      </c>
      <c r="F454" s="2" t="s">
        <v>98</v>
      </c>
      <c r="G454" s="2" t="s">
        <v>97</v>
      </c>
      <c r="H454" s="2" t="s">
        <v>1680</v>
      </c>
      <c r="I454" s="2" t="s">
        <v>700</v>
      </c>
      <c r="J454" s="2" t="s">
        <v>2904</v>
      </c>
      <c r="K454" s="2" t="s">
        <v>2905</v>
      </c>
      <c r="L454" s="2" t="s">
        <v>2074</v>
      </c>
      <c r="M454" s="2">
        <v>2000</v>
      </c>
      <c r="N454" s="2" t="s">
        <v>1660</v>
      </c>
      <c r="O454" s="2">
        <v>0</v>
      </c>
      <c r="P454" s="2">
        <v>0</v>
      </c>
      <c r="Q454" s="2" t="s">
        <v>32</v>
      </c>
      <c r="R454" s="2">
        <v>0</v>
      </c>
      <c r="S454" s="2" t="s">
        <v>32</v>
      </c>
      <c r="T454" s="2">
        <v>0</v>
      </c>
      <c r="U454" s="2" t="s">
        <v>32</v>
      </c>
      <c r="V454" s="2" t="s">
        <v>32</v>
      </c>
      <c r="W454" s="2" t="s">
        <v>32</v>
      </c>
      <c r="X454" s="2">
        <v>0</v>
      </c>
      <c r="Y454" s="2" t="s">
        <v>32</v>
      </c>
      <c r="Z454" s="2" t="s">
        <v>32</v>
      </c>
      <c r="AA454" s="2" t="s">
        <v>32</v>
      </c>
      <c r="AB454" s="2">
        <v>0</v>
      </c>
      <c r="AC454" s="2" t="s">
        <v>32</v>
      </c>
      <c r="AD454" s="2">
        <v>0</v>
      </c>
      <c r="AE454" s="2" t="s">
        <v>1660</v>
      </c>
      <c r="AF454" s="2">
        <v>0</v>
      </c>
      <c r="AG454" s="2">
        <v>0</v>
      </c>
      <c r="AH454" s="2" t="s">
        <v>32</v>
      </c>
      <c r="AI454" s="2" t="s">
        <v>32</v>
      </c>
      <c r="AJ454" s="2" t="s">
        <v>32</v>
      </c>
      <c r="AK454" s="2" t="s">
        <v>32</v>
      </c>
      <c r="AL454" s="2" t="s">
        <v>32</v>
      </c>
      <c r="AM454" s="2">
        <v>0</v>
      </c>
      <c r="AN454" s="2" t="s">
        <v>32</v>
      </c>
      <c r="AO454" s="2">
        <v>0</v>
      </c>
      <c r="AP454" s="2" t="s">
        <v>32</v>
      </c>
      <c r="AQ454" s="2" t="s">
        <v>32</v>
      </c>
      <c r="AR454" s="2" t="s">
        <v>32</v>
      </c>
      <c r="AS454" s="2">
        <v>0</v>
      </c>
      <c r="AT454" s="2" t="s">
        <v>32</v>
      </c>
      <c r="AU454" s="2" t="s">
        <v>32</v>
      </c>
      <c r="AV454" s="2" t="s">
        <v>32</v>
      </c>
      <c r="AW454" s="2">
        <v>0</v>
      </c>
      <c r="AX454" s="2" t="s">
        <v>32</v>
      </c>
      <c r="AY454" s="2">
        <v>0</v>
      </c>
      <c r="AZ454" s="2" t="s">
        <v>1660</v>
      </c>
      <c r="BA454" s="2">
        <v>0</v>
      </c>
      <c r="BB454" s="2">
        <v>0</v>
      </c>
      <c r="BC454" s="2" t="s">
        <v>32</v>
      </c>
      <c r="BD454" s="2">
        <v>0</v>
      </c>
      <c r="BE454" s="2" t="s">
        <v>32</v>
      </c>
      <c r="BF454" s="2">
        <v>0</v>
      </c>
      <c r="BG454" s="2" t="s">
        <v>32</v>
      </c>
      <c r="BH454" s="2">
        <v>0</v>
      </c>
      <c r="BI454" s="2" t="s">
        <v>32</v>
      </c>
      <c r="BJ454" s="2" t="s">
        <v>32</v>
      </c>
      <c r="BK454" s="2" t="s">
        <v>32</v>
      </c>
      <c r="BL454" s="2">
        <v>0</v>
      </c>
      <c r="BM454" s="2" t="s">
        <v>32</v>
      </c>
      <c r="BN454" s="2" t="s">
        <v>32</v>
      </c>
      <c r="BO454" s="2" t="s">
        <v>32</v>
      </c>
      <c r="BP454" s="2">
        <v>0</v>
      </c>
      <c r="BQ454" s="2" t="s">
        <v>32</v>
      </c>
      <c r="BR454" s="2">
        <v>0</v>
      </c>
      <c r="BS454" s="2" t="s">
        <v>1660</v>
      </c>
      <c r="BT454" s="2">
        <v>0</v>
      </c>
      <c r="BU454" s="2">
        <v>0</v>
      </c>
      <c r="BV454" s="2" t="s">
        <v>1660</v>
      </c>
      <c r="BW454" s="2"/>
      <c r="BX454" s="2"/>
      <c r="BY454" s="2" t="s">
        <v>1807</v>
      </c>
      <c r="BZ454" s="2" t="b">
        <f>OR( (Dashboard[[#This Row],[ref_as_hh]]&gt;=1),(Dashboard[[#This Row],[ret_as_hh]] &gt;=1), (Dashboard[[#This Row],[idp_as_hh]]&gt;=1))</f>
        <v>0</v>
      </c>
      <c r="CA454" s="2">
        <f>Dashboard[[#This Row],[ret_hi_hh]]</f>
        <v>0</v>
      </c>
      <c r="CB454" s="2">
        <f>Dashboard[[#This Row],[idp_fa_hh]]+Dashboard[[#This Row],[ref_fa_hh]]+Dashboard[[#This Row],[ret_fa_hh]]</f>
        <v>0</v>
      </c>
      <c r="CC454" s="2">
        <f>Dashboard[[#This Row],[idp_loc_hh]]+Dashboard[[#This Row],[ref_loc_hh]]+Dashboard[[#This Row],[ret_loc_hh]]</f>
        <v>0</v>
      </c>
      <c r="CD454" s="2">
        <f>Dashboard[[#This Row],[idp_cc_hh]]+Dashboard[[#This Row],[ref_cc_hh]]+Dashboard[[#This Row],[ret_cc_hh]]</f>
        <v>0</v>
      </c>
      <c r="CE454" s="2">
        <f>Dashboard[[#This Row],[idp_as_hh]]+Dashboard[[#This Row],[ref_as_hh]]+Dashboard[[#This Row],[ret_as_hh]]</f>
        <v>0</v>
      </c>
      <c r="CF454" s="2">
        <f>Dashboard[[#This Row],[idp_al_hh]]+Dashboard[[#This Row],[ref_al_hh]]+Dashboard[[#This Row],[ret_al_hh]]</f>
        <v>0</v>
      </c>
    </row>
    <row r="455" spans="1:84" hidden="1" x14ac:dyDescent="0.25">
      <c r="A455" s="27">
        <v>221</v>
      </c>
      <c r="B455" s="2" t="s">
        <v>22</v>
      </c>
      <c r="C455" s="2" t="s">
        <v>23</v>
      </c>
      <c r="D455" s="2" t="s">
        <v>85</v>
      </c>
      <c r="E455" s="2" t="s">
        <v>84</v>
      </c>
      <c r="F455" s="2" t="s">
        <v>98</v>
      </c>
      <c r="G455" s="2" t="s">
        <v>97</v>
      </c>
      <c r="H455" s="2" t="s">
        <v>1197</v>
      </c>
      <c r="I455" s="2" t="s">
        <v>407</v>
      </c>
      <c r="J455" s="2" t="s">
        <v>2900</v>
      </c>
      <c r="K455" s="2" t="s">
        <v>2901</v>
      </c>
      <c r="L455" s="2" t="s">
        <v>2074</v>
      </c>
      <c r="M455" s="2">
        <v>185</v>
      </c>
      <c r="N455" s="2" t="s">
        <v>1658</v>
      </c>
      <c r="O455" s="2">
        <v>4</v>
      </c>
      <c r="P455" s="2">
        <v>43</v>
      </c>
      <c r="Q455" s="2" t="s">
        <v>1658</v>
      </c>
      <c r="R455" s="2">
        <v>4</v>
      </c>
      <c r="S455" s="2" t="s">
        <v>1660</v>
      </c>
      <c r="T455" s="2">
        <v>0</v>
      </c>
      <c r="U455" s="2" t="s">
        <v>32</v>
      </c>
      <c r="V455" s="2" t="s">
        <v>32</v>
      </c>
      <c r="W455" s="2" t="s">
        <v>1660</v>
      </c>
      <c r="X455" s="2">
        <v>0</v>
      </c>
      <c r="Y455" s="2" t="s">
        <v>32</v>
      </c>
      <c r="Z455" s="2" t="s">
        <v>32</v>
      </c>
      <c r="AA455" s="2" t="s">
        <v>1660</v>
      </c>
      <c r="AB455" s="2">
        <v>0</v>
      </c>
      <c r="AC455" s="2" t="s">
        <v>1660</v>
      </c>
      <c r="AD455" s="2">
        <v>0</v>
      </c>
      <c r="AE455" s="2" t="s">
        <v>1658</v>
      </c>
      <c r="AF455" s="2">
        <v>3</v>
      </c>
      <c r="AG455" s="2">
        <v>15</v>
      </c>
      <c r="AH455" s="2" t="s">
        <v>1660</v>
      </c>
      <c r="AI455" s="2" t="s">
        <v>32</v>
      </c>
      <c r="AJ455" s="2" t="s">
        <v>32</v>
      </c>
      <c r="AK455" s="2" t="s">
        <v>32</v>
      </c>
      <c r="AL455" s="2" t="s">
        <v>1658</v>
      </c>
      <c r="AM455" s="2">
        <v>3</v>
      </c>
      <c r="AN455" s="2" t="s">
        <v>1660</v>
      </c>
      <c r="AO455" s="2">
        <v>0</v>
      </c>
      <c r="AP455" s="2" t="s">
        <v>32</v>
      </c>
      <c r="AQ455" s="2" t="s">
        <v>32</v>
      </c>
      <c r="AR455" s="2" t="s">
        <v>1660</v>
      </c>
      <c r="AS455" s="2">
        <v>0</v>
      </c>
      <c r="AT455" s="2" t="s">
        <v>32</v>
      </c>
      <c r="AU455" s="2" t="s">
        <v>32</v>
      </c>
      <c r="AV455" s="2" t="s">
        <v>1660</v>
      </c>
      <c r="AW455" s="2">
        <v>0</v>
      </c>
      <c r="AX455" s="2" t="s">
        <v>1660</v>
      </c>
      <c r="AY455" s="2">
        <v>0</v>
      </c>
      <c r="AZ455" s="2" t="s">
        <v>1660</v>
      </c>
      <c r="BA455" s="2">
        <v>0</v>
      </c>
      <c r="BB455" s="2">
        <v>0</v>
      </c>
      <c r="BC455" s="2" t="s">
        <v>32</v>
      </c>
      <c r="BD455" s="2">
        <v>0</v>
      </c>
      <c r="BE455" s="2" t="s">
        <v>32</v>
      </c>
      <c r="BF455" s="2">
        <v>0</v>
      </c>
      <c r="BG455" s="2" t="s">
        <v>32</v>
      </c>
      <c r="BH455" s="2">
        <v>0</v>
      </c>
      <c r="BI455" s="2" t="s">
        <v>32</v>
      </c>
      <c r="BJ455" s="2" t="s">
        <v>32</v>
      </c>
      <c r="BK455" s="2" t="s">
        <v>32</v>
      </c>
      <c r="BL455" s="2">
        <v>0</v>
      </c>
      <c r="BM455" s="2" t="s">
        <v>32</v>
      </c>
      <c r="BN455" s="2" t="s">
        <v>32</v>
      </c>
      <c r="BO455" s="2" t="s">
        <v>32</v>
      </c>
      <c r="BP455" s="2">
        <v>0</v>
      </c>
      <c r="BQ455" s="2" t="s">
        <v>32</v>
      </c>
      <c r="BR455" s="2">
        <v>0</v>
      </c>
      <c r="BS455" s="2" t="s">
        <v>1660</v>
      </c>
      <c r="BT455" s="2">
        <v>0</v>
      </c>
      <c r="BU455" s="2">
        <v>0</v>
      </c>
      <c r="BV455" s="2" t="s">
        <v>1660</v>
      </c>
      <c r="BW455" s="2"/>
      <c r="BX455" s="2"/>
      <c r="BY455" s="2" t="s">
        <v>1807</v>
      </c>
      <c r="BZ455" s="2" t="b">
        <f>OR( (Dashboard[[#This Row],[ref_as_hh]]&gt;=1),(Dashboard[[#This Row],[ret_as_hh]] &gt;=1), (Dashboard[[#This Row],[idp_as_hh]]&gt;=1))</f>
        <v>0</v>
      </c>
      <c r="CA455" s="2">
        <f>Dashboard[[#This Row],[ret_hi_hh]]</f>
        <v>0</v>
      </c>
      <c r="CB455" s="2">
        <f>Dashboard[[#This Row],[idp_fa_hh]]+Dashboard[[#This Row],[ref_fa_hh]]+Dashboard[[#This Row],[ret_fa_hh]]</f>
        <v>7</v>
      </c>
      <c r="CC455" s="2">
        <f>Dashboard[[#This Row],[idp_loc_hh]]+Dashboard[[#This Row],[ref_loc_hh]]+Dashboard[[#This Row],[ret_loc_hh]]</f>
        <v>0</v>
      </c>
      <c r="CD455" s="2">
        <f>Dashboard[[#This Row],[idp_cc_hh]]+Dashboard[[#This Row],[ref_cc_hh]]+Dashboard[[#This Row],[ret_cc_hh]]</f>
        <v>0</v>
      </c>
      <c r="CE455" s="2">
        <f>Dashboard[[#This Row],[idp_as_hh]]+Dashboard[[#This Row],[ref_as_hh]]+Dashboard[[#This Row],[ret_as_hh]]</f>
        <v>0</v>
      </c>
      <c r="CF455" s="2">
        <f>Dashboard[[#This Row],[idp_al_hh]]+Dashboard[[#This Row],[ref_al_hh]]+Dashboard[[#This Row],[ret_al_hh]]</f>
        <v>0</v>
      </c>
    </row>
    <row r="456" spans="1:84" hidden="1" x14ac:dyDescent="0.25">
      <c r="A456" s="27">
        <v>477</v>
      </c>
      <c r="B456" s="2" t="s">
        <v>22</v>
      </c>
      <c r="C456" s="2" t="s">
        <v>23</v>
      </c>
      <c r="D456" s="2" t="s">
        <v>85</v>
      </c>
      <c r="E456" s="2" t="s">
        <v>84</v>
      </c>
      <c r="F456" s="2" t="s">
        <v>98</v>
      </c>
      <c r="G456" s="2" t="s">
        <v>97</v>
      </c>
      <c r="H456" s="2" t="s">
        <v>1682</v>
      </c>
      <c r="I456" s="2" t="s">
        <v>697</v>
      </c>
      <c r="J456" s="2" t="s">
        <v>2958</v>
      </c>
      <c r="K456" s="2" t="s">
        <v>2959</v>
      </c>
      <c r="L456" s="2" t="s">
        <v>2074</v>
      </c>
      <c r="M456" s="2">
        <v>900</v>
      </c>
      <c r="N456" s="2" t="s">
        <v>1660</v>
      </c>
      <c r="O456" s="2">
        <v>0</v>
      </c>
      <c r="P456" s="2">
        <v>0</v>
      </c>
      <c r="Q456" s="2" t="s">
        <v>32</v>
      </c>
      <c r="R456" s="2">
        <v>0</v>
      </c>
      <c r="S456" s="2" t="s">
        <v>32</v>
      </c>
      <c r="T456" s="2">
        <v>0</v>
      </c>
      <c r="U456" s="2" t="s">
        <v>32</v>
      </c>
      <c r="V456" s="2" t="s">
        <v>32</v>
      </c>
      <c r="W456" s="2" t="s">
        <v>32</v>
      </c>
      <c r="X456" s="2">
        <v>0</v>
      </c>
      <c r="Y456" s="2" t="s">
        <v>32</v>
      </c>
      <c r="Z456" s="2" t="s">
        <v>32</v>
      </c>
      <c r="AA456" s="2" t="s">
        <v>32</v>
      </c>
      <c r="AB456" s="2">
        <v>0</v>
      </c>
      <c r="AC456" s="2" t="s">
        <v>32</v>
      </c>
      <c r="AD456" s="2">
        <v>0</v>
      </c>
      <c r="AE456" s="2" t="s">
        <v>1660</v>
      </c>
      <c r="AF456" s="2">
        <v>0</v>
      </c>
      <c r="AG456" s="2">
        <v>0</v>
      </c>
      <c r="AH456" s="2" t="s">
        <v>32</v>
      </c>
      <c r="AI456" s="2" t="s">
        <v>32</v>
      </c>
      <c r="AJ456" s="2" t="s">
        <v>32</v>
      </c>
      <c r="AK456" s="2" t="s">
        <v>32</v>
      </c>
      <c r="AL456" s="2" t="s">
        <v>32</v>
      </c>
      <c r="AM456" s="2">
        <v>0</v>
      </c>
      <c r="AN456" s="2" t="s">
        <v>32</v>
      </c>
      <c r="AO456" s="2">
        <v>0</v>
      </c>
      <c r="AP456" s="2" t="s">
        <v>32</v>
      </c>
      <c r="AQ456" s="2" t="s">
        <v>32</v>
      </c>
      <c r="AR456" s="2" t="s">
        <v>32</v>
      </c>
      <c r="AS456" s="2">
        <v>0</v>
      </c>
      <c r="AT456" s="2" t="s">
        <v>32</v>
      </c>
      <c r="AU456" s="2" t="s">
        <v>32</v>
      </c>
      <c r="AV456" s="2" t="s">
        <v>32</v>
      </c>
      <c r="AW456" s="2">
        <v>0</v>
      </c>
      <c r="AX456" s="2" t="s">
        <v>32</v>
      </c>
      <c r="AY456" s="2">
        <v>0</v>
      </c>
      <c r="AZ456" s="2" t="s">
        <v>1660</v>
      </c>
      <c r="BA456" s="2">
        <v>0</v>
      </c>
      <c r="BB456" s="2">
        <v>0</v>
      </c>
      <c r="BC456" s="2" t="s">
        <v>32</v>
      </c>
      <c r="BD456" s="2">
        <v>0</v>
      </c>
      <c r="BE456" s="2" t="s">
        <v>32</v>
      </c>
      <c r="BF456" s="2">
        <v>0</v>
      </c>
      <c r="BG456" s="2" t="s">
        <v>32</v>
      </c>
      <c r="BH456" s="2">
        <v>0</v>
      </c>
      <c r="BI456" s="2" t="s">
        <v>32</v>
      </c>
      <c r="BJ456" s="2" t="s">
        <v>32</v>
      </c>
      <c r="BK456" s="2" t="s">
        <v>32</v>
      </c>
      <c r="BL456" s="2">
        <v>0</v>
      </c>
      <c r="BM456" s="2" t="s">
        <v>32</v>
      </c>
      <c r="BN456" s="2" t="s">
        <v>32</v>
      </c>
      <c r="BO456" s="2" t="s">
        <v>32</v>
      </c>
      <c r="BP456" s="2">
        <v>0</v>
      </c>
      <c r="BQ456" s="2" t="s">
        <v>32</v>
      </c>
      <c r="BR456" s="2">
        <v>0</v>
      </c>
      <c r="BS456" s="2" t="s">
        <v>1660</v>
      </c>
      <c r="BT456" s="2">
        <v>0</v>
      </c>
      <c r="BU456" s="2">
        <v>0</v>
      </c>
      <c r="BV456" s="2" t="s">
        <v>1660</v>
      </c>
      <c r="BW456" s="2"/>
      <c r="BX456" s="2"/>
      <c r="BY456" s="2" t="s">
        <v>1807</v>
      </c>
      <c r="BZ456" s="2" t="b">
        <f>OR( (Dashboard[[#This Row],[ref_as_hh]]&gt;=1),(Dashboard[[#This Row],[ret_as_hh]] &gt;=1), (Dashboard[[#This Row],[idp_as_hh]]&gt;=1))</f>
        <v>0</v>
      </c>
      <c r="CA456" s="2">
        <f>Dashboard[[#This Row],[ret_hi_hh]]</f>
        <v>0</v>
      </c>
      <c r="CB456" s="2">
        <f>Dashboard[[#This Row],[idp_fa_hh]]+Dashboard[[#This Row],[ref_fa_hh]]+Dashboard[[#This Row],[ret_fa_hh]]</f>
        <v>0</v>
      </c>
      <c r="CC456" s="2">
        <f>Dashboard[[#This Row],[idp_loc_hh]]+Dashboard[[#This Row],[ref_loc_hh]]+Dashboard[[#This Row],[ret_loc_hh]]</f>
        <v>0</v>
      </c>
      <c r="CD456" s="2">
        <f>Dashboard[[#This Row],[idp_cc_hh]]+Dashboard[[#This Row],[ref_cc_hh]]+Dashboard[[#This Row],[ret_cc_hh]]</f>
        <v>0</v>
      </c>
      <c r="CE456" s="2">
        <f>Dashboard[[#This Row],[idp_as_hh]]+Dashboard[[#This Row],[ref_as_hh]]+Dashboard[[#This Row],[ret_as_hh]]</f>
        <v>0</v>
      </c>
      <c r="CF456" s="2">
        <f>Dashboard[[#This Row],[idp_al_hh]]+Dashboard[[#This Row],[ref_al_hh]]+Dashboard[[#This Row],[ret_al_hh]]</f>
        <v>0</v>
      </c>
    </row>
    <row r="457" spans="1:84" hidden="1" x14ac:dyDescent="0.25">
      <c r="A457" s="27">
        <v>222</v>
      </c>
      <c r="B457" s="2" t="s">
        <v>22</v>
      </c>
      <c r="C457" s="2" t="s">
        <v>23</v>
      </c>
      <c r="D457" s="2" t="s">
        <v>85</v>
      </c>
      <c r="E457" s="2" t="s">
        <v>84</v>
      </c>
      <c r="F457" s="2" t="s">
        <v>98</v>
      </c>
      <c r="G457" s="2" t="s">
        <v>97</v>
      </c>
      <c r="H457" s="2" t="s">
        <v>1181</v>
      </c>
      <c r="I457" s="2" t="s">
        <v>298</v>
      </c>
      <c r="J457" s="2" t="s">
        <v>2866</v>
      </c>
      <c r="K457" s="2" t="s">
        <v>2867</v>
      </c>
      <c r="L457" s="2" t="s">
        <v>2074</v>
      </c>
      <c r="M457" s="2">
        <v>418</v>
      </c>
      <c r="N457" s="2" t="s">
        <v>1658</v>
      </c>
      <c r="O457" s="2">
        <v>11</v>
      </c>
      <c r="P457" s="2">
        <v>60</v>
      </c>
      <c r="Q457" s="2" t="s">
        <v>1658</v>
      </c>
      <c r="R457" s="2">
        <v>11</v>
      </c>
      <c r="S457" s="2" t="s">
        <v>1660</v>
      </c>
      <c r="T457" s="2">
        <v>0</v>
      </c>
      <c r="U457" s="2" t="s">
        <v>32</v>
      </c>
      <c r="V457" s="2" t="s">
        <v>32</v>
      </c>
      <c r="W457" s="2" t="s">
        <v>1660</v>
      </c>
      <c r="X457" s="2">
        <v>0</v>
      </c>
      <c r="Y457" s="2" t="s">
        <v>32</v>
      </c>
      <c r="Z457" s="2" t="s">
        <v>32</v>
      </c>
      <c r="AA457" s="2" t="s">
        <v>1660</v>
      </c>
      <c r="AB457" s="2">
        <v>0</v>
      </c>
      <c r="AC457" s="2" t="s">
        <v>1660</v>
      </c>
      <c r="AD457" s="2">
        <v>0</v>
      </c>
      <c r="AE457" s="2" t="s">
        <v>1658</v>
      </c>
      <c r="AF457" s="2">
        <v>5</v>
      </c>
      <c r="AG457" s="2">
        <v>26</v>
      </c>
      <c r="AH457" s="2" t="s">
        <v>1660</v>
      </c>
      <c r="AI457" s="2" t="s">
        <v>32</v>
      </c>
      <c r="AJ457" s="2" t="s">
        <v>32</v>
      </c>
      <c r="AK457" s="2" t="s">
        <v>32</v>
      </c>
      <c r="AL457" s="2" t="s">
        <v>1658</v>
      </c>
      <c r="AM457" s="2">
        <v>5</v>
      </c>
      <c r="AN457" s="2" t="s">
        <v>1660</v>
      </c>
      <c r="AO457" s="2">
        <v>0</v>
      </c>
      <c r="AP457" s="2" t="s">
        <v>32</v>
      </c>
      <c r="AQ457" s="2" t="s">
        <v>32</v>
      </c>
      <c r="AR457" s="2" t="s">
        <v>1660</v>
      </c>
      <c r="AS457" s="2">
        <v>0</v>
      </c>
      <c r="AT457" s="2" t="s">
        <v>32</v>
      </c>
      <c r="AU457" s="2" t="s">
        <v>32</v>
      </c>
      <c r="AV457" s="2" t="s">
        <v>1660</v>
      </c>
      <c r="AW457" s="2">
        <v>0</v>
      </c>
      <c r="AX457" s="2" t="s">
        <v>1660</v>
      </c>
      <c r="AY457" s="2">
        <v>0</v>
      </c>
      <c r="AZ457" s="2" t="s">
        <v>1660</v>
      </c>
      <c r="BA457" s="2">
        <v>0</v>
      </c>
      <c r="BB457" s="2">
        <v>0</v>
      </c>
      <c r="BC457" s="2" t="s">
        <v>32</v>
      </c>
      <c r="BD457" s="2">
        <v>0</v>
      </c>
      <c r="BE457" s="2" t="s">
        <v>32</v>
      </c>
      <c r="BF457" s="2">
        <v>0</v>
      </c>
      <c r="BG457" s="2" t="s">
        <v>32</v>
      </c>
      <c r="BH457" s="2">
        <v>0</v>
      </c>
      <c r="BI457" s="2" t="s">
        <v>32</v>
      </c>
      <c r="BJ457" s="2" t="s">
        <v>32</v>
      </c>
      <c r="BK457" s="2" t="s">
        <v>32</v>
      </c>
      <c r="BL457" s="2">
        <v>0</v>
      </c>
      <c r="BM457" s="2" t="s">
        <v>32</v>
      </c>
      <c r="BN457" s="2" t="s">
        <v>32</v>
      </c>
      <c r="BO457" s="2" t="s">
        <v>32</v>
      </c>
      <c r="BP457" s="2">
        <v>0</v>
      </c>
      <c r="BQ457" s="2" t="s">
        <v>32</v>
      </c>
      <c r="BR457" s="2">
        <v>0</v>
      </c>
      <c r="BS457" s="2" t="s">
        <v>1660</v>
      </c>
      <c r="BT457" s="2">
        <v>0</v>
      </c>
      <c r="BU457" s="2">
        <v>0</v>
      </c>
      <c r="BV457" s="2" t="s">
        <v>1660</v>
      </c>
      <c r="BW457" s="2"/>
      <c r="BX457" s="2"/>
      <c r="BY457" s="2" t="s">
        <v>1807</v>
      </c>
      <c r="BZ457" s="2" t="b">
        <f>OR( (Dashboard[[#This Row],[ref_as_hh]]&gt;=1),(Dashboard[[#This Row],[ret_as_hh]] &gt;=1), (Dashboard[[#This Row],[idp_as_hh]]&gt;=1))</f>
        <v>0</v>
      </c>
      <c r="CA457" s="2">
        <f>Dashboard[[#This Row],[ret_hi_hh]]</f>
        <v>0</v>
      </c>
      <c r="CB457" s="2">
        <f>Dashboard[[#This Row],[idp_fa_hh]]+Dashboard[[#This Row],[ref_fa_hh]]+Dashboard[[#This Row],[ret_fa_hh]]</f>
        <v>16</v>
      </c>
      <c r="CC457" s="2">
        <f>Dashboard[[#This Row],[idp_loc_hh]]+Dashboard[[#This Row],[ref_loc_hh]]+Dashboard[[#This Row],[ret_loc_hh]]</f>
        <v>0</v>
      </c>
      <c r="CD457" s="2">
        <f>Dashboard[[#This Row],[idp_cc_hh]]+Dashboard[[#This Row],[ref_cc_hh]]+Dashboard[[#This Row],[ret_cc_hh]]</f>
        <v>0</v>
      </c>
      <c r="CE457" s="2">
        <f>Dashboard[[#This Row],[idp_as_hh]]+Dashboard[[#This Row],[ref_as_hh]]+Dashboard[[#This Row],[ret_as_hh]]</f>
        <v>0</v>
      </c>
      <c r="CF457" s="2">
        <f>Dashboard[[#This Row],[idp_al_hh]]+Dashboard[[#This Row],[ref_al_hh]]+Dashboard[[#This Row],[ret_al_hh]]</f>
        <v>0</v>
      </c>
    </row>
    <row r="458" spans="1:84" hidden="1" x14ac:dyDescent="0.25">
      <c r="A458" s="27">
        <v>478</v>
      </c>
      <c r="B458" s="2" t="s">
        <v>22</v>
      </c>
      <c r="C458" s="2" t="s">
        <v>23</v>
      </c>
      <c r="D458" s="2" t="s">
        <v>85</v>
      </c>
      <c r="E458" s="2" t="s">
        <v>84</v>
      </c>
      <c r="F458" s="2" t="s">
        <v>98</v>
      </c>
      <c r="G458" s="2" t="s">
        <v>97</v>
      </c>
      <c r="H458" s="2" t="s">
        <v>1681</v>
      </c>
      <c r="I458" s="2" t="s">
        <v>696</v>
      </c>
      <c r="J458" s="2" t="s">
        <v>2970</v>
      </c>
      <c r="K458" s="2" t="s">
        <v>2971</v>
      </c>
      <c r="L458" s="2" t="s">
        <v>2074</v>
      </c>
      <c r="M458" s="2">
        <v>1700</v>
      </c>
      <c r="N458" s="2" t="s">
        <v>1660</v>
      </c>
      <c r="O458" s="2">
        <v>0</v>
      </c>
      <c r="P458" s="2">
        <v>0</v>
      </c>
      <c r="Q458" s="2" t="s">
        <v>32</v>
      </c>
      <c r="R458" s="2">
        <v>0</v>
      </c>
      <c r="S458" s="2" t="s">
        <v>32</v>
      </c>
      <c r="T458" s="2">
        <v>0</v>
      </c>
      <c r="U458" s="2" t="s">
        <v>32</v>
      </c>
      <c r="V458" s="2" t="s">
        <v>32</v>
      </c>
      <c r="W458" s="2" t="s">
        <v>32</v>
      </c>
      <c r="X458" s="2">
        <v>0</v>
      </c>
      <c r="Y458" s="2" t="s">
        <v>32</v>
      </c>
      <c r="Z458" s="2" t="s">
        <v>32</v>
      </c>
      <c r="AA458" s="2" t="s">
        <v>32</v>
      </c>
      <c r="AB458" s="2">
        <v>0</v>
      </c>
      <c r="AC458" s="2" t="s">
        <v>32</v>
      </c>
      <c r="AD458" s="2">
        <v>0</v>
      </c>
      <c r="AE458" s="2" t="s">
        <v>1660</v>
      </c>
      <c r="AF458" s="2">
        <v>0</v>
      </c>
      <c r="AG458" s="2">
        <v>0</v>
      </c>
      <c r="AH458" s="2" t="s">
        <v>32</v>
      </c>
      <c r="AI458" s="2" t="s">
        <v>32</v>
      </c>
      <c r="AJ458" s="2" t="s">
        <v>32</v>
      </c>
      <c r="AK458" s="2" t="s">
        <v>32</v>
      </c>
      <c r="AL458" s="2" t="s">
        <v>32</v>
      </c>
      <c r="AM458" s="2">
        <v>0</v>
      </c>
      <c r="AN458" s="2" t="s">
        <v>32</v>
      </c>
      <c r="AO458" s="2">
        <v>0</v>
      </c>
      <c r="AP458" s="2" t="s">
        <v>32</v>
      </c>
      <c r="AQ458" s="2" t="s">
        <v>32</v>
      </c>
      <c r="AR458" s="2" t="s">
        <v>32</v>
      </c>
      <c r="AS458" s="2">
        <v>0</v>
      </c>
      <c r="AT458" s="2" t="s">
        <v>32</v>
      </c>
      <c r="AU458" s="2" t="s">
        <v>32</v>
      </c>
      <c r="AV458" s="2" t="s">
        <v>32</v>
      </c>
      <c r="AW458" s="2">
        <v>0</v>
      </c>
      <c r="AX458" s="2" t="s">
        <v>32</v>
      </c>
      <c r="AY458" s="2">
        <v>0</v>
      </c>
      <c r="AZ458" s="2" t="s">
        <v>1660</v>
      </c>
      <c r="BA458" s="2">
        <v>0</v>
      </c>
      <c r="BB458" s="2">
        <v>0</v>
      </c>
      <c r="BC458" s="2" t="s">
        <v>32</v>
      </c>
      <c r="BD458" s="2">
        <v>0</v>
      </c>
      <c r="BE458" s="2" t="s">
        <v>32</v>
      </c>
      <c r="BF458" s="2">
        <v>0</v>
      </c>
      <c r="BG458" s="2" t="s">
        <v>32</v>
      </c>
      <c r="BH458" s="2">
        <v>0</v>
      </c>
      <c r="BI458" s="2" t="s">
        <v>32</v>
      </c>
      <c r="BJ458" s="2" t="s">
        <v>32</v>
      </c>
      <c r="BK458" s="2" t="s">
        <v>32</v>
      </c>
      <c r="BL458" s="2">
        <v>0</v>
      </c>
      <c r="BM458" s="2" t="s">
        <v>32</v>
      </c>
      <c r="BN458" s="2" t="s">
        <v>32</v>
      </c>
      <c r="BO458" s="2" t="s">
        <v>32</v>
      </c>
      <c r="BP458" s="2">
        <v>0</v>
      </c>
      <c r="BQ458" s="2" t="s">
        <v>32</v>
      </c>
      <c r="BR458" s="2">
        <v>0</v>
      </c>
      <c r="BS458" s="2" t="s">
        <v>1660</v>
      </c>
      <c r="BT458" s="2">
        <v>0</v>
      </c>
      <c r="BU458" s="2">
        <v>0</v>
      </c>
      <c r="BV458" s="2" t="s">
        <v>1660</v>
      </c>
      <c r="BW458" s="2"/>
      <c r="BX458" s="2"/>
      <c r="BY458" s="2" t="s">
        <v>1807</v>
      </c>
      <c r="BZ458" s="2" t="b">
        <f>OR( (Dashboard[[#This Row],[ref_as_hh]]&gt;=1),(Dashboard[[#This Row],[ret_as_hh]] &gt;=1), (Dashboard[[#This Row],[idp_as_hh]]&gt;=1))</f>
        <v>0</v>
      </c>
      <c r="CA458" s="2">
        <f>Dashboard[[#This Row],[ret_hi_hh]]</f>
        <v>0</v>
      </c>
      <c r="CB458" s="2">
        <f>Dashboard[[#This Row],[idp_fa_hh]]+Dashboard[[#This Row],[ref_fa_hh]]+Dashboard[[#This Row],[ret_fa_hh]]</f>
        <v>0</v>
      </c>
      <c r="CC458" s="2">
        <f>Dashboard[[#This Row],[idp_loc_hh]]+Dashboard[[#This Row],[ref_loc_hh]]+Dashboard[[#This Row],[ret_loc_hh]]</f>
        <v>0</v>
      </c>
      <c r="CD458" s="2">
        <f>Dashboard[[#This Row],[idp_cc_hh]]+Dashboard[[#This Row],[ref_cc_hh]]+Dashboard[[#This Row],[ret_cc_hh]]</f>
        <v>0</v>
      </c>
      <c r="CE458" s="2">
        <f>Dashboard[[#This Row],[idp_as_hh]]+Dashboard[[#This Row],[ref_as_hh]]+Dashboard[[#This Row],[ret_as_hh]]</f>
        <v>0</v>
      </c>
      <c r="CF458" s="2">
        <f>Dashboard[[#This Row],[idp_al_hh]]+Dashboard[[#This Row],[ref_al_hh]]+Dashboard[[#This Row],[ret_al_hh]]</f>
        <v>0</v>
      </c>
    </row>
    <row r="459" spans="1:84" hidden="1" x14ac:dyDescent="0.25">
      <c r="A459" s="27">
        <v>223</v>
      </c>
      <c r="B459" s="2" t="s">
        <v>22</v>
      </c>
      <c r="C459" s="2" t="s">
        <v>23</v>
      </c>
      <c r="D459" s="2" t="s">
        <v>85</v>
      </c>
      <c r="E459" s="2" t="s">
        <v>84</v>
      </c>
      <c r="F459" s="2" t="s">
        <v>98</v>
      </c>
      <c r="G459" s="2" t="s">
        <v>97</v>
      </c>
      <c r="H459" s="2" t="s">
        <v>1263</v>
      </c>
      <c r="I459" s="2" t="s">
        <v>445</v>
      </c>
      <c r="J459" s="2" t="s">
        <v>3052</v>
      </c>
      <c r="K459" s="2" t="s">
        <v>3053</v>
      </c>
      <c r="L459" s="2" t="s">
        <v>2074</v>
      </c>
      <c r="M459" s="2">
        <v>431</v>
      </c>
      <c r="N459" s="2" t="s">
        <v>1658</v>
      </c>
      <c r="O459" s="2">
        <v>20</v>
      </c>
      <c r="P459" s="2">
        <v>107</v>
      </c>
      <c r="Q459" s="2" t="s">
        <v>1658</v>
      </c>
      <c r="R459" s="2">
        <v>20</v>
      </c>
      <c r="S459" s="2" t="s">
        <v>1660</v>
      </c>
      <c r="T459" s="2">
        <v>0</v>
      </c>
      <c r="U459" s="2" t="s">
        <v>32</v>
      </c>
      <c r="V459" s="2" t="s">
        <v>32</v>
      </c>
      <c r="W459" s="2" t="s">
        <v>1660</v>
      </c>
      <c r="X459" s="2">
        <v>0</v>
      </c>
      <c r="Y459" s="2" t="s">
        <v>32</v>
      </c>
      <c r="Z459" s="2" t="s">
        <v>32</v>
      </c>
      <c r="AA459" s="2" t="s">
        <v>1660</v>
      </c>
      <c r="AB459" s="2">
        <v>0</v>
      </c>
      <c r="AC459" s="2" t="s">
        <v>1660</v>
      </c>
      <c r="AD459" s="2">
        <v>0</v>
      </c>
      <c r="AE459" s="2" t="s">
        <v>1660</v>
      </c>
      <c r="AF459" s="2">
        <v>0</v>
      </c>
      <c r="AG459" s="2">
        <v>0</v>
      </c>
      <c r="AH459" s="2" t="s">
        <v>32</v>
      </c>
      <c r="AI459" s="2" t="s">
        <v>32</v>
      </c>
      <c r="AJ459" s="2" t="s">
        <v>32</v>
      </c>
      <c r="AK459" s="2" t="s">
        <v>32</v>
      </c>
      <c r="AL459" s="2" t="s">
        <v>32</v>
      </c>
      <c r="AM459" s="2">
        <v>0</v>
      </c>
      <c r="AN459" s="2" t="s">
        <v>32</v>
      </c>
      <c r="AO459" s="2">
        <v>0</v>
      </c>
      <c r="AP459" s="2" t="s">
        <v>32</v>
      </c>
      <c r="AQ459" s="2" t="s">
        <v>32</v>
      </c>
      <c r="AR459" s="2" t="s">
        <v>32</v>
      </c>
      <c r="AS459" s="2">
        <v>0</v>
      </c>
      <c r="AT459" s="2" t="s">
        <v>32</v>
      </c>
      <c r="AU459" s="2" t="s">
        <v>32</v>
      </c>
      <c r="AV459" s="2" t="s">
        <v>32</v>
      </c>
      <c r="AW459" s="2">
        <v>0</v>
      </c>
      <c r="AX459" s="2" t="s">
        <v>32</v>
      </c>
      <c r="AY459" s="2">
        <v>0</v>
      </c>
      <c r="AZ459" s="2" t="s">
        <v>1660</v>
      </c>
      <c r="BA459" s="2">
        <v>0</v>
      </c>
      <c r="BB459" s="2">
        <v>0</v>
      </c>
      <c r="BC459" s="2" t="s">
        <v>32</v>
      </c>
      <c r="BD459" s="2">
        <v>0</v>
      </c>
      <c r="BE459" s="2" t="s">
        <v>32</v>
      </c>
      <c r="BF459" s="2">
        <v>0</v>
      </c>
      <c r="BG459" s="2" t="s">
        <v>32</v>
      </c>
      <c r="BH459" s="2">
        <v>0</v>
      </c>
      <c r="BI459" s="2" t="s">
        <v>32</v>
      </c>
      <c r="BJ459" s="2" t="s">
        <v>32</v>
      </c>
      <c r="BK459" s="2" t="s">
        <v>32</v>
      </c>
      <c r="BL459" s="2">
        <v>0</v>
      </c>
      <c r="BM459" s="2" t="s">
        <v>32</v>
      </c>
      <c r="BN459" s="2" t="s">
        <v>32</v>
      </c>
      <c r="BO459" s="2" t="s">
        <v>32</v>
      </c>
      <c r="BP459" s="2">
        <v>0</v>
      </c>
      <c r="BQ459" s="2" t="s">
        <v>32</v>
      </c>
      <c r="BR459" s="2">
        <v>0</v>
      </c>
      <c r="BS459" s="2" t="s">
        <v>1660</v>
      </c>
      <c r="BT459" s="2">
        <v>0</v>
      </c>
      <c r="BU459" s="2">
        <v>0</v>
      </c>
      <c r="BV459" s="2" t="s">
        <v>1660</v>
      </c>
      <c r="BW459" s="2"/>
      <c r="BX459" s="2"/>
      <c r="BY459" s="2" t="s">
        <v>1807</v>
      </c>
      <c r="BZ459" s="2" t="b">
        <f>OR( (Dashboard[[#This Row],[ref_as_hh]]&gt;=1),(Dashboard[[#This Row],[ret_as_hh]] &gt;=1), (Dashboard[[#This Row],[idp_as_hh]]&gt;=1))</f>
        <v>0</v>
      </c>
      <c r="CA459" s="2">
        <f>Dashboard[[#This Row],[ret_hi_hh]]</f>
        <v>0</v>
      </c>
      <c r="CB459" s="2">
        <f>Dashboard[[#This Row],[idp_fa_hh]]+Dashboard[[#This Row],[ref_fa_hh]]+Dashboard[[#This Row],[ret_fa_hh]]</f>
        <v>20</v>
      </c>
      <c r="CC459" s="2">
        <f>Dashboard[[#This Row],[idp_loc_hh]]+Dashboard[[#This Row],[ref_loc_hh]]+Dashboard[[#This Row],[ret_loc_hh]]</f>
        <v>0</v>
      </c>
      <c r="CD459" s="2">
        <f>Dashboard[[#This Row],[idp_cc_hh]]+Dashboard[[#This Row],[ref_cc_hh]]+Dashboard[[#This Row],[ret_cc_hh]]</f>
        <v>0</v>
      </c>
      <c r="CE459" s="2">
        <f>Dashboard[[#This Row],[idp_as_hh]]+Dashboard[[#This Row],[ref_as_hh]]+Dashboard[[#This Row],[ret_as_hh]]</f>
        <v>0</v>
      </c>
      <c r="CF459" s="2">
        <f>Dashboard[[#This Row],[idp_al_hh]]+Dashboard[[#This Row],[ref_al_hh]]+Dashboard[[#This Row],[ret_al_hh]]</f>
        <v>0</v>
      </c>
    </row>
    <row r="460" spans="1:84" hidden="1" x14ac:dyDescent="0.25">
      <c r="A460" s="27">
        <v>479</v>
      </c>
      <c r="B460" s="2" t="s">
        <v>22</v>
      </c>
      <c r="C460" s="2" t="s">
        <v>23</v>
      </c>
      <c r="D460" s="2" t="s">
        <v>85</v>
      </c>
      <c r="E460" s="2" t="s">
        <v>84</v>
      </c>
      <c r="F460" s="2" t="s">
        <v>98</v>
      </c>
      <c r="G460" s="2" t="s">
        <v>97</v>
      </c>
      <c r="H460" s="2" t="s">
        <v>1234</v>
      </c>
      <c r="I460" s="2" t="s">
        <v>1233</v>
      </c>
      <c r="J460" s="2" t="s">
        <v>3000</v>
      </c>
      <c r="K460" s="2" t="s">
        <v>3001</v>
      </c>
      <c r="L460" s="2" t="s">
        <v>2074</v>
      </c>
      <c r="M460" s="2">
        <v>782</v>
      </c>
      <c r="N460" s="2" t="s">
        <v>1660</v>
      </c>
      <c r="O460" s="2">
        <v>0</v>
      </c>
      <c r="P460" s="2">
        <v>0</v>
      </c>
      <c r="Q460" s="2" t="s">
        <v>32</v>
      </c>
      <c r="R460" s="2">
        <v>0</v>
      </c>
      <c r="S460" s="2" t="s">
        <v>32</v>
      </c>
      <c r="T460" s="2">
        <v>0</v>
      </c>
      <c r="U460" s="2" t="s">
        <v>32</v>
      </c>
      <c r="V460" s="2" t="s">
        <v>32</v>
      </c>
      <c r="W460" s="2" t="s">
        <v>32</v>
      </c>
      <c r="X460" s="2">
        <v>0</v>
      </c>
      <c r="Y460" s="2" t="s">
        <v>32</v>
      </c>
      <c r="Z460" s="2" t="s">
        <v>32</v>
      </c>
      <c r="AA460" s="2" t="s">
        <v>32</v>
      </c>
      <c r="AB460" s="2">
        <v>0</v>
      </c>
      <c r="AC460" s="2" t="s">
        <v>32</v>
      </c>
      <c r="AD460" s="2">
        <v>0</v>
      </c>
      <c r="AE460" s="2" t="s">
        <v>1660</v>
      </c>
      <c r="AF460" s="2">
        <v>0</v>
      </c>
      <c r="AG460" s="2">
        <v>0</v>
      </c>
      <c r="AH460" s="2" t="s">
        <v>32</v>
      </c>
      <c r="AI460" s="2" t="s">
        <v>32</v>
      </c>
      <c r="AJ460" s="2" t="s">
        <v>32</v>
      </c>
      <c r="AK460" s="2" t="s">
        <v>32</v>
      </c>
      <c r="AL460" s="2" t="s">
        <v>32</v>
      </c>
      <c r="AM460" s="2">
        <v>0</v>
      </c>
      <c r="AN460" s="2" t="s">
        <v>32</v>
      </c>
      <c r="AO460" s="2">
        <v>0</v>
      </c>
      <c r="AP460" s="2" t="s">
        <v>32</v>
      </c>
      <c r="AQ460" s="2" t="s">
        <v>32</v>
      </c>
      <c r="AR460" s="2" t="s">
        <v>32</v>
      </c>
      <c r="AS460" s="2">
        <v>0</v>
      </c>
      <c r="AT460" s="2" t="s">
        <v>32</v>
      </c>
      <c r="AU460" s="2" t="s">
        <v>32</v>
      </c>
      <c r="AV460" s="2" t="s">
        <v>32</v>
      </c>
      <c r="AW460" s="2">
        <v>0</v>
      </c>
      <c r="AX460" s="2" t="s">
        <v>32</v>
      </c>
      <c r="AY460" s="2">
        <v>0</v>
      </c>
      <c r="AZ460" s="2" t="s">
        <v>1660</v>
      </c>
      <c r="BA460" s="2">
        <v>0</v>
      </c>
      <c r="BB460" s="2">
        <v>0</v>
      </c>
      <c r="BC460" s="2" t="s">
        <v>32</v>
      </c>
      <c r="BD460" s="2">
        <v>0</v>
      </c>
      <c r="BE460" s="2" t="s">
        <v>32</v>
      </c>
      <c r="BF460" s="2">
        <v>0</v>
      </c>
      <c r="BG460" s="2" t="s">
        <v>32</v>
      </c>
      <c r="BH460" s="2">
        <v>0</v>
      </c>
      <c r="BI460" s="2" t="s">
        <v>32</v>
      </c>
      <c r="BJ460" s="2" t="s">
        <v>32</v>
      </c>
      <c r="BK460" s="2" t="s">
        <v>32</v>
      </c>
      <c r="BL460" s="2">
        <v>0</v>
      </c>
      <c r="BM460" s="2" t="s">
        <v>32</v>
      </c>
      <c r="BN460" s="2" t="s">
        <v>32</v>
      </c>
      <c r="BO460" s="2" t="s">
        <v>32</v>
      </c>
      <c r="BP460" s="2">
        <v>0</v>
      </c>
      <c r="BQ460" s="2" t="s">
        <v>32</v>
      </c>
      <c r="BR460" s="2">
        <v>0</v>
      </c>
      <c r="BS460" s="2" t="s">
        <v>1660</v>
      </c>
      <c r="BT460" s="2">
        <v>0</v>
      </c>
      <c r="BU460" s="2">
        <v>0</v>
      </c>
      <c r="BV460" s="2" t="s">
        <v>1660</v>
      </c>
      <c r="BW460" s="2"/>
      <c r="BX460" s="2"/>
      <c r="BY460" s="2" t="s">
        <v>1807</v>
      </c>
      <c r="BZ460" s="2" t="b">
        <f>OR( (Dashboard[[#This Row],[ref_as_hh]]&gt;=1),(Dashboard[[#This Row],[ret_as_hh]] &gt;=1), (Dashboard[[#This Row],[idp_as_hh]]&gt;=1))</f>
        <v>0</v>
      </c>
      <c r="CA460" s="2">
        <f>Dashboard[[#This Row],[ret_hi_hh]]</f>
        <v>0</v>
      </c>
      <c r="CB460" s="2">
        <f>Dashboard[[#This Row],[idp_fa_hh]]+Dashboard[[#This Row],[ref_fa_hh]]+Dashboard[[#This Row],[ret_fa_hh]]</f>
        <v>0</v>
      </c>
      <c r="CC460" s="2">
        <f>Dashboard[[#This Row],[idp_loc_hh]]+Dashboard[[#This Row],[ref_loc_hh]]+Dashboard[[#This Row],[ret_loc_hh]]</f>
        <v>0</v>
      </c>
      <c r="CD460" s="2">
        <f>Dashboard[[#This Row],[idp_cc_hh]]+Dashboard[[#This Row],[ref_cc_hh]]+Dashboard[[#This Row],[ret_cc_hh]]</f>
        <v>0</v>
      </c>
      <c r="CE460" s="2">
        <f>Dashboard[[#This Row],[idp_as_hh]]+Dashboard[[#This Row],[ref_as_hh]]+Dashboard[[#This Row],[ret_as_hh]]</f>
        <v>0</v>
      </c>
      <c r="CF460" s="2">
        <f>Dashboard[[#This Row],[idp_al_hh]]+Dashboard[[#This Row],[ref_al_hh]]+Dashboard[[#This Row],[ret_al_hh]]</f>
        <v>0</v>
      </c>
    </row>
    <row r="461" spans="1:84" x14ac:dyDescent="0.25">
      <c r="A461" s="27">
        <v>224</v>
      </c>
      <c r="B461" s="2" t="s">
        <v>22</v>
      </c>
      <c r="C461" s="2" t="s">
        <v>23</v>
      </c>
      <c r="D461" s="2" t="s">
        <v>85</v>
      </c>
      <c r="E461" s="2" t="s">
        <v>84</v>
      </c>
      <c r="F461" s="2" t="s">
        <v>98</v>
      </c>
      <c r="G461" s="2" t="s">
        <v>97</v>
      </c>
      <c r="H461" s="2" t="s">
        <v>1160</v>
      </c>
      <c r="I461" s="2" t="s">
        <v>388</v>
      </c>
      <c r="J461" s="2" t="s">
        <v>2820</v>
      </c>
      <c r="K461" s="2" t="s">
        <v>2821</v>
      </c>
      <c r="L461" s="2" t="s">
        <v>2074</v>
      </c>
      <c r="M461" s="2">
        <v>966</v>
      </c>
      <c r="N461" s="2" t="s">
        <v>1658</v>
      </c>
      <c r="O461" s="2">
        <v>30</v>
      </c>
      <c r="P461" s="2">
        <v>243</v>
      </c>
      <c r="Q461" s="2" t="s">
        <v>1658</v>
      </c>
      <c r="R461" s="2">
        <v>30</v>
      </c>
      <c r="S461" s="2" t="s">
        <v>1660</v>
      </c>
      <c r="T461" s="2">
        <v>0</v>
      </c>
      <c r="U461" s="2" t="s">
        <v>32</v>
      </c>
      <c r="V461" s="2" t="s">
        <v>32</v>
      </c>
      <c r="W461" s="2" t="s">
        <v>1660</v>
      </c>
      <c r="X461" s="2">
        <v>0</v>
      </c>
      <c r="Y461" s="2" t="s">
        <v>32</v>
      </c>
      <c r="Z461" s="2" t="s">
        <v>32</v>
      </c>
      <c r="AA461" s="2" t="s">
        <v>1660</v>
      </c>
      <c r="AB461" s="2">
        <v>0</v>
      </c>
      <c r="AC461" s="2" t="s">
        <v>1660</v>
      </c>
      <c r="AD461" s="2">
        <v>0</v>
      </c>
      <c r="AE461" s="2" t="s">
        <v>1658</v>
      </c>
      <c r="AF461" s="2">
        <v>53</v>
      </c>
      <c r="AG461" s="2">
        <v>451</v>
      </c>
      <c r="AH461" s="2" t="s">
        <v>1660</v>
      </c>
      <c r="AI461" s="2" t="s">
        <v>32</v>
      </c>
      <c r="AJ461" s="2" t="s">
        <v>32</v>
      </c>
      <c r="AK461" s="2" t="s">
        <v>32</v>
      </c>
      <c r="AL461" s="2" t="s">
        <v>1658</v>
      </c>
      <c r="AM461" s="2">
        <v>40</v>
      </c>
      <c r="AN461" s="2" t="s">
        <v>1660</v>
      </c>
      <c r="AO461" s="2">
        <v>0</v>
      </c>
      <c r="AP461" s="2" t="s">
        <v>32</v>
      </c>
      <c r="AQ461" s="2" t="s">
        <v>32</v>
      </c>
      <c r="AR461" s="2" t="s">
        <v>1660</v>
      </c>
      <c r="AS461" s="2">
        <v>0</v>
      </c>
      <c r="AT461" s="2" t="s">
        <v>32</v>
      </c>
      <c r="AU461" s="2" t="s">
        <v>32</v>
      </c>
      <c r="AV461" s="2" t="s">
        <v>1658</v>
      </c>
      <c r="AW461" s="2">
        <v>13</v>
      </c>
      <c r="AX461" s="2" t="s">
        <v>1660</v>
      </c>
      <c r="AY461" s="2">
        <v>0</v>
      </c>
      <c r="AZ461" s="2" t="s">
        <v>1660</v>
      </c>
      <c r="BA461" s="2">
        <v>0</v>
      </c>
      <c r="BB461" s="2">
        <v>0</v>
      </c>
      <c r="BC461" s="2" t="s">
        <v>32</v>
      </c>
      <c r="BD461" s="2">
        <v>0</v>
      </c>
      <c r="BE461" s="2" t="s">
        <v>32</v>
      </c>
      <c r="BF461" s="2">
        <v>0</v>
      </c>
      <c r="BG461" s="2" t="s">
        <v>32</v>
      </c>
      <c r="BH461" s="2">
        <v>0</v>
      </c>
      <c r="BI461" s="2" t="s">
        <v>32</v>
      </c>
      <c r="BJ461" s="2" t="s">
        <v>32</v>
      </c>
      <c r="BK461" s="2" t="s">
        <v>32</v>
      </c>
      <c r="BL461" s="2">
        <v>0</v>
      </c>
      <c r="BM461" s="2" t="s">
        <v>32</v>
      </c>
      <c r="BN461" s="2" t="s">
        <v>32</v>
      </c>
      <c r="BO461" s="2" t="s">
        <v>32</v>
      </c>
      <c r="BP461" s="2">
        <v>0</v>
      </c>
      <c r="BQ461" s="2" t="s">
        <v>32</v>
      </c>
      <c r="BR461" s="2">
        <v>0</v>
      </c>
      <c r="BS461" s="2" t="s">
        <v>1660</v>
      </c>
      <c r="BT461" s="2">
        <v>0</v>
      </c>
      <c r="BU461" s="2">
        <v>0</v>
      </c>
      <c r="BV461" s="2" t="s">
        <v>1660</v>
      </c>
      <c r="BW461" s="2"/>
      <c r="BX461" s="2"/>
      <c r="BY461" s="2" t="s">
        <v>1807</v>
      </c>
      <c r="BZ461" s="2" t="b">
        <f>OR( (Dashboard[[#This Row],[ref_as_hh]]&gt;=1),(Dashboard[[#This Row],[ret_as_hh]] &gt;=1), (Dashboard[[#This Row],[idp_as_hh]]&gt;=1))</f>
        <v>1</v>
      </c>
      <c r="CA461" s="2">
        <f>Dashboard[[#This Row],[ret_hi_hh]]</f>
        <v>0</v>
      </c>
      <c r="CB461" s="2">
        <f>Dashboard[[#This Row],[idp_fa_hh]]+Dashboard[[#This Row],[ref_fa_hh]]+Dashboard[[#This Row],[ret_fa_hh]]</f>
        <v>70</v>
      </c>
      <c r="CC461" s="2">
        <f>Dashboard[[#This Row],[idp_loc_hh]]+Dashboard[[#This Row],[ref_loc_hh]]+Dashboard[[#This Row],[ret_loc_hh]]</f>
        <v>0</v>
      </c>
      <c r="CD461" s="2">
        <f>Dashboard[[#This Row],[idp_cc_hh]]+Dashboard[[#This Row],[ref_cc_hh]]+Dashboard[[#This Row],[ret_cc_hh]]</f>
        <v>0</v>
      </c>
      <c r="CE461" s="2">
        <f>Dashboard[[#This Row],[idp_as_hh]]+Dashboard[[#This Row],[ref_as_hh]]+Dashboard[[#This Row],[ret_as_hh]]</f>
        <v>13</v>
      </c>
      <c r="CF461" s="2">
        <f>Dashboard[[#This Row],[idp_al_hh]]+Dashboard[[#This Row],[ref_al_hh]]+Dashboard[[#This Row],[ret_al_hh]]</f>
        <v>0</v>
      </c>
    </row>
    <row r="462" spans="1:84" hidden="1" x14ac:dyDescent="0.25">
      <c r="A462" s="27">
        <v>480</v>
      </c>
      <c r="B462" s="2" t="s">
        <v>22</v>
      </c>
      <c r="C462" s="2" t="s">
        <v>23</v>
      </c>
      <c r="D462" s="2" t="s">
        <v>85</v>
      </c>
      <c r="E462" s="2" t="s">
        <v>84</v>
      </c>
      <c r="F462" s="2" t="s">
        <v>98</v>
      </c>
      <c r="G462" s="2" t="s">
        <v>97</v>
      </c>
      <c r="H462" s="2" t="s">
        <v>1683</v>
      </c>
      <c r="I462" s="2" t="s">
        <v>794</v>
      </c>
      <c r="J462" s="2" t="s">
        <v>2878</v>
      </c>
      <c r="K462" s="2" t="s">
        <v>2879</v>
      </c>
      <c r="L462" s="2" t="s">
        <v>2074</v>
      </c>
      <c r="M462" s="2">
        <v>1800</v>
      </c>
      <c r="N462" s="2" t="s">
        <v>1660</v>
      </c>
      <c r="O462" s="2">
        <v>0</v>
      </c>
      <c r="P462" s="2">
        <v>0</v>
      </c>
      <c r="Q462" s="2" t="s">
        <v>32</v>
      </c>
      <c r="R462" s="2">
        <v>0</v>
      </c>
      <c r="S462" s="2" t="s">
        <v>32</v>
      </c>
      <c r="T462" s="2">
        <v>0</v>
      </c>
      <c r="U462" s="2" t="s">
        <v>32</v>
      </c>
      <c r="V462" s="2" t="s">
        <v>32</v>
      </c>
      <c r="W462" s="2" t="s">
        <v>32</v>
      </c>
      <c r="X462" s="2">
        <v>0</v>
      </c>
      <c r="Y462" s="2" t="s">
        <v>32</v>
      </c>
      <c r="Z462" s="2" t="s">
        <v>32</v>
      </c>
      <c r="AA462" s="2" t="s">
        <v>32</v>
      </c>
      <c r="AB462" s="2">
        <v>0</v>
      </c>
      <c r="AC462" s="2" t="s">
        <v>32</v>
      </c>
      <c r="AD462" s="2">
        <v>0</v>
      </c>
      <c r="AE462" s="2" t="s">
        <v>1660</v>
      </c>
      <c r="AF462" s="2">
        <v>0</v>
      </c>
      <c r="AG462" s="2">
        <v>0</v>
      </c>
      <c r="AH462" s="2" t="s">
        <v>32</v>
      </c>
      <c r="AI462" s="2" t="s">
        <v>32</v>
      </c>
      <c r="AJ462" s="2" t="s">
        <v>32</v>
      </c>
      <c r="AK462" s="2" t="s">
        <v>32</v>
      </c>
      <c r="AL462" s="2" t="s">
        <v>32</v>
      </c>
      <c r="AM462" s="2">
        <v>0</v>
      </c>
      <c r="AN462" s="2" t="s">
        <v>32</v>
      </c>
      <c r="AO462" s="2">
        <v>0</v>
      </c>
      <c r="AP462" s="2" t="s">
        <v>32</v>
      </c>
      <c r="AQ462" s="2" t="s">
        <v>32</v>
      </c>
      <c r="AR462" s="2" t="s">
        <v>32</v>
      </c>
      <c r="AS462" s="2">
        <v>0</v>
      </c>
      <c r="AT462" s="2" t="s">
        <v>32</v>
      </c>
      <c r="AU462" s="2" t="s">
        <v>32</v>
      </c>
      <c r="AV462" s="2" t="s">
        <v>32</v>
      </c>
      <c r="AW462" s="2">
        <v>0</v>
      </c>
      <c r="AX462" s="2" t="s">
        <v>32</v>
      </c>
      <c r="AY462" s="2">
        <v>0</v>
      </c>
      <c r="AZ462" s="2" t="s">
        <v>1660</v>
      </c>
      <c r="BA462" s="2">
        <v>0</v>
      </c>
      <c r="BB462" s="2">
        <v>0</v>
      </c>
      <c r="BC462" s="2" t="s">
        <v>32</v>
      </c>
      <c r="BD462" s="2">
        <v>0</v>
      </c>
      <c r="BE462" s="2" t="s">
        <v>32</v>
      </c>
      <c r="BF462" s="2">
        <v>0</v>
      </c>
      <c r="BG462" s="2" t="s">
        <v>32</v>
      </c>
      <c r="BH462" s="2">
        <v>0</v>
      </c>
      <c r="BI462" s="2" t="s">
        <v>32</v>
      </c>
      <c r="BJ462" s="2" t="s">
        <v>32</v>
      </c>
      <c r="BK462" s="2" t="s">
        <v>32</v>
      </c>
      <c r="BL462" s="2">
        <v>0</v>
      </c>
      <c r="BM462" s="2" t="s">
        <v>32</v>
      </c>
      <c r="BN462" s="2" t="s">
        <v>32</v>
      </c>
      <c r="BO462" s="2" t="s">
        <v>32</v>
      </c>
      <c r="BP462" s="2">
        <v>0</v>
      </c>
      <c r="BQ462" s="2" t="s">
        <v>32</v>
      </c>
      <c r="BR462" s="2">
        <v>0</v>
      </c>
      <c r="BS462" s="2" t="s">
        <v>1660</v>
      </c>
      <c r="BT462" s="2">
        <v>0</v>
      </c>
      <c r="BU462" s="2">
        <v>0</v>
      </c>
      <c r="BV462" s="2" t="s">
        <v>1660</v>
      </c>
      <c r="BW462" s="2"/>
      <c r="BX462" s="2"/>
      <c r="BY462" s="2" t="s">
        <v>1807</v>
      </c>
      <c r="BZ462" s="2" t="b">
        <f>OR( (Dashboard[[#This Row],[ref_as_hh]]&gt;=1),(Dashboard[[#This Row],[ret_as_hh]] &gt;=1), (Dashboard[[#This Row],[idp_as_hh]]&gt;=1))</f>
        <v>0</v>
      </c>
      <c r="CA462" s="2">
        <f>Dashboard[[#This Row],[ret_hi_hh]]</f>
        <v>0</v>
      </c>
      <c r="CB462" s="2">
        <f>Dashboard[[#This Row],[idp_fa_hh]]+Dashboard[[#This Row],[ref_fa_hh]]+Dashboard[[#This Row],[ret_fa_hh]]</f>
        <v>0</v>
      </c>
      <c r="CC462" s="2">
        <f>Dashboard[[#This Row],[idp_loc_hh]]+Dashboard[[#This Row],[ref_loc_hh]]+Dashboard[[#This Row],[ret_loc_hh]]</f>
        <v>0</v>
      </c>
      <c r="CD462" s="2">
        <f>Dashboard[[#This Row],[idp_cc_hh]]+Dashboard[[#This Row],[ref_cc_hh]]+Dashboard[[#This Row],[ret_cc_hh]]</f>
        <v>0</v>
      </c>
      <c r="CE462" s="2">
        <f>Dashboard[[#This Row],[idp_as_hh]]+Dashboard[[#This Row],[ref_as_hh]]+Dashboard[[#This Row],[ret_as_hh]]</f>
        <v>0</v>
      </c>
      <c r="CF462" s="2">
        <f>Dashboard[[#This Row],[idp_al_hh]]+Dashboard[[#This Row],[ref_al_hh]]+Dashboard[[#This Row],[ret_al_hh]]</f>
        <v>0</v>
      </c>
    </row>
    <row r="463" spans="1:84" hidden="1" x14ac:dyDescent="0.25">
      <c r="A463" s="27">
        <v>481</v>
      </c>
      <c r="B463" s="2" t="s">
        <v>22</v>
      </c>
      <c r="C463" s="2" t="s">
        <v>23</v>
      </c>
      <c r="D463" s="2" t="s">
        <v>85</v>
      </c>
      <c r="E463" s="2" t="s">
        <v>84</v>
      </c>
      <c r="F463" s="2" t="s">
        <v>98</v>
      </c>
      <c r="G463" s="2" t="s">
        <v>97</v>
      </c>
      <c r="H463" s="2" t="s">
        <v>1144</v>
      </c>
      <c r="I463" s="2" t="s">
        <v>384</v>
      </c>
      <c r="J463" s="2" t="s">
        <v>2786</v>
      </c>
      <c r="K463" s="2" t="s">
        <v>2787</v>
      </c>
      <c r="L463" s="2" t="s">
        <v>3693</v>
      </c>
      <c r="M463" s="2">
        <v>14683</v>
      </c>
      <c r="N463" s="2" t="s">
        <v>1658</v>
      </c>
      <c r="O463" s="2">
        <v>74</v>
      </c>
      <c r="P463" s="2">
        <v>307</v>
      </c>
      <c r="Q463" s="2" t="s">
        <v>1658</v>
      </c>
      <c r="R463" s="2">
        <v>74</v>
      </c>
      <c r="S463" s="2" t="s">
        <v>1660</v>
      </c>
      <c r="T463" s="2">
        <v>0</v>
      </c>
      <c r="U463" s="2" t="s">
        <v>32</v>
      </c>
      <c r="V463" s="2" t="s">
        <v>32</v>
      </c>
      <c r="W463" s="2" t="s">
        <v>1660</v>
      </c>
      <c r="X463" s="2">
        <v>0</v>
      </c>
      <c r="Y463" s="2" t="s">
        <v>32</v>
      </c>
      <c r="Z463" s="2" t="s">
        <v>32</v>
      </c>
      <c r="AA463" s="2" t="s">
        <v>1660</v>
      </c>
      <c r="AB463" s="2">
        <v>0</v>
      </c>
      <c r="AC463" s="2" t="s">
        <v>1660</v>
      </c>
      <c r="AD463" s="2">
        <v>0</v>
      </c>
      <c r="AE463" s="2" t="s">
        <v>1658</v>
      </c>
      <c r="AF463" s="2">
        <v>267</v>
      </c>
      <c r="AG463" s="2">
        <v>2271</v>
      </c>
      <c r="AH463" s="2" t="s">
        <v>1660</v>
      </c>
      <c r="AI463" s="2" t="s">
        <v>32</v>
      </c>
      <c r="AJ463" s="2" t="s">
        <v>32</v>
      </c>
      <c r="AK463" s="2" t="s">
        <v>32</v>
      </c>
      <c r="AL463" s="2" t="s">
        <v>1658</v>
      </c>
      <c r="AM463" s="2">
        <v>267</v>
      </c>
      <c r="AN463" s="2" t="s">
        <v>1660</v>
      </c>
      <c r="AO463" s="2">
        <v>0</v>
      </c>
      <c r="AP463" s="2" t="s">
        <v>32</v>
      </c>
      <c r="AQ463" s="2" t="s">
        <v>32</v>
      </c>
      <c r="AR463" s="2" t="s">
        <v>1660</v>
      </c>
      <c r="AS463" s="2">
        <v>0</v>
      </c>
      <c r="AT463" s="2" t="s">
        <v>32</v>
      </c>
      <c r="AU463" s="2" t="s">
        <v>32</v>
      </c>
      <c r="AV463" s="2" t="s">
        <v>1660</v>
      </c>
      <c r="AW463" s="2">
        <v>0</v>
      </c>
      <c r="AX463" s="2" t="s">
        <v>1660</v>
      </c>
      <c r="AY463" s="2">
        <v>0</v>
      </c>
      <c r="AZ463" s="2" t="s">
        <v>1660</v>
      </c>
      <c r="BA463" s="2">
        <v>0</v>
      </c>
      <c r="BB463" s="2">
        <v>0</v>
      </c>
      <c r="BC463" s="2" t="s">
        <v>32</v>
      </c>
      <c r="BD463" s="2">
        <v>0</v>
      </c>
      <c r="BE463" s="2" t="s">
        <v>32</v>
      </c>
      <c r="BF463" s="2">
        <v>0</v>
      </c>
      <c r="BG463" s="2" t="s">
        <v>32</v>
      </c>
      <c r="BH463" s="2">
        <v>0</v>
      </c>
      <c r="BI463" s="2" t="s">
        <v>32</v>
      </c>
      <c r="BJ463" s="2" t="s">
        <v>32</v>
      </c>
      <c r="BK463" s="2" t="s">
        <v>32</v>
      </c>
      <c r="BL463" s="2">
        <v>0</v>
      </c>
      <c r="BM463" s="2" t="s">
        <v>32</v>
      </c>
      <c r="BN463" s="2" t="s">
        <v>32</v>
      </c>
      <c r="BO463" s="2" t="s">
        <v>32</v>
      </c>
      <c r="BP463" s="2">
        <v>0</v>
      </c>
      <c r="BQ463" s="2" t="s">
        <v>32</v>
      </c>
      <c r="BR463" s="2">
        <v>0</v>
      </c>
      <c r="BS463" s="2" t="s">
        <v>1660</v>
      </c>
      <c r="BT463" s="2">
        <v>0</v>
      </c>
      <c r="BU463" s="2">
        <v>0</v>
      </c>
      <c r="BV463" s="2" t="s">
        <v>1660</v>
      </c>
      <c r="BW463" s="2"/>
      <c r="BX463" s="2"/>
      <c r="BY463" s="2" t="s">
        <v>1807</v>
      </c>
      <c r="BZ463" s="2" t="b">
        <f>OR( (Dashboard[[#This Row],[ref_as_hh]]&gt;=1),(Dashboard[[#This Row],[ret_as_hh]] &gt;=1), (Dashboard[[#This Row],[idp_as_hh]]&gt;=1))</f>
        <v>0</v>
      </c>
      <c r="CA463" s="2">
        <f>Dashboard[[#This Row],[ret_hi_hh]]</f>
        <v>0</v>
      </c>
      <c r="CB463" s="2">
        <f>Dashboard[[#This Row],[idp_fa_hh]]+Dashboard[[#This Row],[ref_fa_hh]]+Dashboard[[#This Row],[ret_fa_hh]]</f>
        <v>341</v>
      </c>
      <c r="CC463" s="2">
        <f>Dashboard[[#This Row],[idp_loc_hh]]+Dashboard[[#This Row],[ref_loc_hh]]+Dashboard[[#This Row],[ret_loc_hh]]</f>
        <v>0</v>
      </c>
      <c r="CD463" s="2">
        <f>Dashboard[[#This Row],[idp_cc_hh]]+Dashboard[[#This Row],[ref_cc_hh]]+Dashboard[[#This Row],[ret_cc_hh]]</f>
        <v>0</v>
      </c>
      <c r="CE463" s="2">
        <f>Dashboard[[#This Row],[idp_as_hh]]+Dashboard[[#This Row],[ref_as_hh]]+Dashboard[[#This Row],[ret_as_hh]]</f>
        <v>0</v>
      </c>
      <c r="CF463" s="2">
        <f>Dashboard[[#This Row],[idp_al_hh]]+Dashboard[[#This Row],[ref_al_hh]]+Dashboard[[#This Row],[ret_al_hh]]</f>
        <v>0</v>
      </c>
    </row>
    <row r="464" spans="1:84" hidden="1" x14ac:dyDescent="0.25">
      <c r="A464" s="27">
        <v>482</v>
      </c>
      <c r="B464" s="2" t="s">
        <v>22</v>
      </c>
      <c r="C464" s="2" t="s">
        <v>23</v>
      </c>
      <c r="D464" s="2" t="s">
        <v>85</v>
      </c>
      <c r="E464" s="2" t="s">
        <v>84</v>
      </c>
      <c r="F464" s="2" t="s">
        <v>98</v>
      </c>
      <c r="G464" s="2" t="s">
        <v>97</v>
      </c>
      <c r="H464" s="2" t="s">
        <v>1187</v>
      </c>
      <c r="I464" s="2" t="s">
        <v>402</v>
      </c>
      <c r="J464" s="2" t="s">
        <v>2880</v>
      </c>
      <c r="K464" s="2" t="s">
        <v>2881</v>
      </c>
      <c r="L464" s="2" t="s">
        <v>2074</v>
      </c>
      <c r="M464" s="2">
        <v>323</v>
      </c>
      <c r="N464" s="2" t="s">
        <v>1658</v>
      </c>
      <c r="O464" s="2">
        <v>6</v>
      </c>
      <c r="P464" s="2">
        <v>51</v>
      </c>
      <c r="Q464" s="2" t="s">
        <v>1658</v>
      </c>
      <c r="R464" s="2">
        <v>6</v>
      </c>
      <c r="S464" s="2" t="s">
        <v>1660</v>
      </c>
      <c r="T464" s="2">
        <v>0</v>
      </c>
      <c r="U464" s="2" t="s">
        <v>32</v>
      </c>
      <c r="V464" s="2" t="s">
        <v>32</v>
      </c>
      <c r="W464" s="2" t="s">
        <v>1660</v>
      </c>
      <c r="X464" s="2">
        <v>0</v>
      </c>
      <c r="Y464" s="2" t="s">
        <v>32</v>
      </c>
      <c r="Z464" s="2" t="s">
        <v>32</v>
      </c>
      <c r="AA464" s="2" t="s">
        <v>1660</v>
      </c>
      <c r="AB464" s="2">
        <v>0</v>
      </c>
      <c r="AC464" s="2" t="s">
        <v>1660</v>
      </c>
      <c r="AD464" s="2">
        <v>0</v>
      </c>
      <c r="AE464" s="2" t="s">
        <v>1658</v>
      </c>
      <c r="AF464" s="2">
        <v>10</v>
      </c>
      <c r="AG464" s="2">
        <v>85</v>
      </c>
      <c r="AH464" s="2" t="s">
        <v>1660</v>
      </c>
      <c r="AI464" s="2" t="s">
        <v>32</v>
      </c>
      <c r="AJ464" s="2" t="s">
        <v>32</v>
      </c>
      <c r="AK464" s="2" t="s">
        <v>32</v>
      </c>
      <c r="AL464" s="2" t="s">
        <v>1658</v>
      </c>
      <c r="AM464" s="2">
        <v>10</v>
      </c>
      <c r="AN464" s="2" t="s">
        <v>1660</v>
      </c>
      <c r="AO464" s="2">
        <v>0</v>
      </c>
      <c r="AP464" s="2" t="s">
        <v>32</v>
      </c>
      <c r="AQ464" s="2" t="s">
        <v>32</v>
      </c>
      <c r="AR464" s="2" t="s">
        <v>1660</v>
      </c>
      <c r="AS464" s="2">
        <v>0</v>
      </c>
      <c r="AT464" s="2" t="s">
        <v>32</v>
      </c>
      <c r="AU464" s="2" t="s">
        <v>32</v>
      </c>
      <c r="AV464" s="2" t="s">
        <v>1660</v>
      </c>
      <c r="AW464" s="2">
        <v>0</v>
      </c>
      <c r="AX464" s="2" t="s">
        <v>1660</v>
      </c>
      <c r="AY464" s="2">
        <v>0</v>
      </c>
      <c r="AZ464" s="2" t="s">
        <v>1660</v>
      </c>
      <c r="BA464" s="2">
        <v>0</v>
      </c>
      <c r="BB464" s="2">
        <v>0</v>
      </c>
      <c r="BC464" s="2" t="s">
        <v>32</v>
      </c>
      <c r="BD464" s="2">
        <v>0</v>
      </c>
      <c r="BE464" s="2" t="s">
        <v>32</v>
      </c>
      <c r="BF464" s="2">
        <v>0</v>
      </c>
      <c r="BG464" s="2" t="s">
        <v>32</v>
      </c>
      <c r="BH464" s="2">
        <v>0</v>
      </c>
      <c r="BI464" s="2" t="s">
        <v>32</v>
      </c>
      <c r="BJ464" s="2" t="s">
        <v>32</v>
      </c>
      <c r="BK464" s="2" t="s">
        <v>32</v>
      </c>
      <c r="BL464" s="2">
        <v>0</v>
      </c>
      <c r="BM464" s="2" t="s">
        <v>32</v>
      </c>
      <c r="BN464" s="2" t="s">
        <v>32</v>
      </c>
      <c r="BO464" s="2" t="s">
        <v>32</v>
      </c>
      <c r="BP464" s="2">
        <v>0</v>
      </c>
      <c r="BQ464" s="2" t="s">
        <v>32</v>
      </c>
      <c r="BR464" s="2">
        <v>0</v>
      </c>
      <c r="BS464" s="2" t="s">
        <v>1660</v>
      </c>
      <c r="BT464" s="2">
        <v>0</v>
      </c>
      <c r="BU464" s="2">
        <v>0</v>
      </c>
      <c r="BV464" s="2" t="s">
        <v>1660</v>
      </c>
      <c r="BW464" s="2"/>
      <c r="BX464" s="2"/>
      <c r="BY464" s="2" t="s">
        <v>1807</v>
      </c>
      <c r="BZ464" s="2" t="b">
        <f>OR( (Dashboard[[#This Row],[ref_as_hh]]&gt;=1),(Dashboard[[#This Row],[ret_as_hh]] &gt;=1), (Dashboard[[#This Row],[idp_as_hh]]&gt;=1))</f>
        <v>0</v>
      </c>
      <c r="CA464" s="2">
        <f>Dashboard[[#This Row],[ret_hi_hh]]</f>
        <v>0</v>
      </c>
      <c r="CB464" s="2">
        <f>Dashboard[[#This Row],[idp_fa_hh]]+Dashboard[[#This Row],[ref_fa_hh]]+Dashboard[[#This Row],[ret_fa_hh]]</f>
        <v>16</v>
      </c>
      <c r="CC464" s="2">
        <f>Dashboard[[#This Row],[idp_loc_hh]]+Dashboard[[#This Row],[ref_loc_hh]]+Dashboard[[#This Row],[ret_loc_hh]]</f>
        <v>0</v>
      </c>
      <c r="CD464" s="2">
        <f>Dashboard[[#This Row],[idp_cc_hh]]+Dashboard[[#This Row],[ref_cc_hh]]+Dashboard[[#This Row],[ret_cc_hh]]</f>
        <v>0</v>
      </c>
      <c r="CE464" s="2">
        <f>Dashboard[[#This Row],[idp_as_hh]]+Dashboard[[#This Row],[ref_as_hh]]+Dashboard[[#This Row],[ret_as_hh]]</f>
        <v>0</v>
      </c>
      <c r="CF464" s="2">
        <f>Dashboard[[#This Row],[idp_al_hh]]+Dashboard[[#This Row],[ref_al_hh]]+Dashboard[[#This Row],[ret_al_hh]]</f>
        <v>0</v>
      </c>
    </row>
    <row r="465" spans="1:84" hidden="1" x14ac:dyDescent="0.25">
      <c r="A465" s="27">
        <v>227</v>
      </c>
      <c r="B465" s="2" t="s">
        <v>22</v>
      </c>
      <c r="C465" s="2" t="s">
        <v>23</v>
      </c>
      <c r="D465" s="2" t="s">
        <v>85</v>
      </c>
      <c r="E465" s="2" t="s">
        <v>84</v>
      </c>
      <c r="F465" s="2" t="s">
        <v>98</v>
      </c>
      <c r="G465" s="2" t="s">
        <v>97</v>
      </c>
      <c r="H465" s="2" t="s">
        <v>1257</v>
      </c>
      <c r="I465" s="2" t="s">
        <v>440</v>
      </c>
      <c r="J465" s="2" t="s">
        <v>3038</v>
      </c>
      <c r="K465" s="2" t="s">
        <v>3039</v>
      </c>
      <c r="L465" s="2" t="s">
        <v>2074</v>
      </c>
      <c r="M465" s="2">
        <v>219</v>
      </c>
      <c r="N465" s="2" t="s">
        <v>1658</v>
      </c>
      <c r="O465" s="2">
        <v>14</v>
      </c>
      <c r="P465" s="2">
        <v>78</v>
      </c>
      <c r="Q465" s="2" t="s">
        <v>1658</v>
      </c>
      <c r="R465" s="2">
        <v>14</v>
      </c>
      <c r="S465" s="2" t="s">
        <v>1660</v>
      </c>
      <c r="T465" s="2">
        <v>0</v>
      </c>
      <c r="U465" s="2" t="s">
        <v>32</v>
      </c>
      <c r="V465" s="2" t="s">
        <v>32</v>
      </c>
      <c r="W465" s="2" t="s">
        <v>1660</v>
      </c>
      <c r="X465" s="2">
        <v>0</v>
      </c>
      <c r="Y465" s="2" t="s">
        <v>32</v>
      </c>
      <c r="Z465" s="2" t="s">
        <v>32</v>
      </c>
      <c r="AA465" s="2" t="s">
        <v>1660</v>
      </c>
      <c r="AB465" s="2">
        <v>0</v>
      </c>
      <c r="AC465" s="2" t="s">
        <v>1660</v>
      </c>
      <c r="AD465" s="2">
        <v>0</v>
      </c>
      <c r="AE465" s="2" t="s">
        <v>1660</v>
      </c>
      <c r="AF465" s="2">
        <v>0</v>
      </c>
      <c r="AG465" s="2">
        <v>0</v>
      </c>
      <c r="AH465" s="2" t="s">
        <v>32</v>
      </c>
      <c r="AI465" s="2" t="s">
        <v>32</v>
      </c>
      <c r="AJ465" s="2" t="s">
        <v>32</v>
      </c>
      <c r="AK465" s="2" t="s">
        <v>32</v>
      </c>
      <c r="AL465" s="2" t="s">
        <v>32</v>
      </c>
      <c r="AM465" s="2">
        <v>0</v>
      </c>
      <c r="AN465" s="2" t="s">
        <v>32</v>
      </c>
      <c r="AO465" s="2">
        <v>0</v>
      </c>
      <c r="AP465" s="2" t="s">
        <v>32</v>
      </c>
      <c r="AQ465" s="2" t="s">
        <v>32</v>
      </c>
      <c r="AR465" s="2" t="s">
        <v>32</v>
      </c>
      <c r="AS465" s="2">
        <v>0</v>
      </c>
      <c r="AT465" s="2" t="s">
        <v>32</v>
      </c>
      <c r="AU465" s="2" t="s">
        <v>32</v>
      </c>
      <c r="AV465" s="2" t="s">
        <v>32</v>
      </c>
      <c r="AW465" s="2">
        <v>0</v>
      </c>
      <c r="AX465" s="2" t="s">
        <v>32</v>
      </c>
      <c r="AY465" s="2">
        <v>0</v>
      </c>
      <c r="AZ465" s="2" t="s">
        <v>1660</v>
      </c>
      <c r="BA465" s="2">
        <v>0</v>
      </c>
      <c r="BB465" s="2">
        <v>0</v>
      </c>
      <c r="BC465" s="2" t="s">
        <v>32</v>
      </c>
      <c r="BD465" s="2">
        <v>0</v>
      </c>
      <c r="BE465" s="2" t="s">
        <v>32</v>
      </c>
      <c r="BF465" s="2">
        <v>0</v>
      </c>
      <c r="BG465" s="2" t="s">
        <v>32</v>
      </c>
      <c r="BH465" s="2">
        <v>0</v>
      </c>
      <c r="BI465" s="2" t="s">
        <v>32</v>
      </c>
      <c r="BJ465" s="2" t="s">
        <v>32</v>
      </c>
      <c r="BK465" s="2" t="s">
        <v>32</v>
      </c>
      <c r="BL465" s="2">
        <v>0</v>
      </c>
      <c r="BM465" s="2" t="s">
        <v>32</v>
      </c>
      <c r="BN465" s="2" t="s">
        <v>32</v>
      </c>
      <c r="BO465" s="2" t="s">
        <v>32</v>
      </c>
      <c r="BP465" s="2">
        <v>0</v>
      </c>
      <c r="BQ465" s="2" t="s">
        <v>32</v>
      </c>
      <c r="BR465" s="2">
        <v>0</v>
      </c>
      <c r="BS465" s="2" t="s">
        <v>1660</v>
      </c>
      <c r="BT465" s="2">
        <v>0</v>
      </c>
      <c r="BU465" s="2">
        <v>0</v>
      </c>
      <c r="BV465" s="2" t="s">
        <v>1660</v>
      </c>
      <c r="BW465" s="2"/>
      <c r="BX465" s="2"/>
      <c r="BY465" s="2" t="s">
        <v>1807</v>
      </c>
      <c r="BZ465" s="2" t="b">
        <f>OR( (Dashboard[[#This Row],[ref_as_hh]]&gt;=1),(Dashboard[[#This Row],[ret_as_hh]] &gt;=1), (Dashboard[[#This Row],[idp_as_hh]]&gt;=1))</f>
        <v>0</v>
      </c>
      <c r="CA465" s="2">
        <f>Dashboard[[#This Row],[ret_hi_hh]]</f>
        <v>0</v>
      </c>
      <c r="CB465" s="2">
        <f>Dashboard[[#This Row],[idp_fa_hh]]+Dashboard[[#This Row],[ref_fa_hh]]+Dashboard[[#This Row],[ret_fa_hh]]</f>
        <v>14</v>
      </c>
      <c r="CC465" s="2">
        <f>Dashboard[[#This Row],[idp_loc_hh]]+Dashboard[[#This Row],[ref_loc_hh]]+Dashboard[[#This Row],[ret_loc_hh]]</f>
        <v>0</v>
      </c>
      <c r="CD465" s="2">
        <f>Dashboard[[#This Row],[idp_cc_hh]]+Dashboard[[#This Row],[ref_cc_hh]]+Dashboard[[#This Row],[ret_cc_hh]]</f>
        <v>0</v>
      </c>
      <c r="CE465" s="2">
        <f>Dashboard[[#This Row],[idp_as_hh]]+Dashboard[[#This Row],[ref_as_hh]]+Dashboard[[#This Row],[ret_as_hh]]</f>
        <v>0</v>
      </c>
      <c r="CF465" s="2">
        <f>Dashboard[[#This Row],[idp_al_hh]]+Dashboard[[#This Row],[ref_al_hh]]+Dashboard[[#This Row],[ret_al_hh]]</f>
        <v>0</v>
      </c>
    </row>
    <row r="466" spans="1:84" x14ac:dyDescent="0.25">
      <c r="A466" s="27">
        <v>483</v>
      </c>
      <c r="B466" s="2" t="s">
        <v>22</v>
      </c>
      <c r="C466" s="2" t="s">
        <v>23</v>
      </c>
      <c r="D466" s="2" t="s">
        <v>85</v>
      </c>
      <c r="E466" s="2" t="s">
        <v>84</v>
      </c>
      <c r="F466" s="2" t="s">
        <v>98</v>
      </c>
      <c r="G466" s="2" t="s">
        <v>97</v>
      </c>
      <c r="H466" s="2" t="s">
        <v>1212</v>
      </c>
      <c r="I466" s="2" t="s">
        <v>414</v>
      </c>
      <c r="J466" s="2" t="s">
        <v>2942</v>
      </c>
      <c r="K466" s="2" t="s">
        <v>2943</v>
      </c>
      <c r="L466" s="2" t="s">
        <v>3693</v>
      </c>
      <c r="M466" s="2">
        <v>1554</v>
      </c>
      <c r="N466" s="2" t="s">
        <v>1658</v>
      </c>
      <c r="O466" s="2">
        <v>138</v>
      </c>
      <c r="P466" s="2">
        <v>1174</v>
      </c>
      <c r="Q466" s="2" t="s">
        <v>32</v>
      </c>
      <c r="R466" s="2">
        <v>0</v>
      </c>
      <c r="S466" s="2" t="s">
        <v>1660</v>
      </c>
      <c r="T466" s="2">
        <v>0</v>
      </c>
      <c r="U466" s="2" t="s">
        <v>32</v>
      </c>
      <c r="V466" s="2" t="s">
        <v>32</v>
      </c>
      <c r="W466" s="2" t="s">
        <v>1660</v>
      </c>
      <c r="X466" s="2">
        <v>0</v>
      </c>
      <c r="Y466" s="2" t="s">
        <v>32</v>
      </c>
      <c r="Z466" s="2" t="s">
        <v>32</v>
      </c>
      <c r="AA466" s="2" t="s">
        <v>1658</v>
      </c>
      <c r="AB466" s="2">
        <v>138</v>
      </c>
      <c r="AC466" s="2" t="s">
        <v>1660</v>
      </c>
      <c r="AD466" s="2">
        <v>0</v>
      </c>
      <c r="AE466" s="2" t="s">
        <v>1658</v>
      </c>
      <c r="AF466" s="2">
        <v>16</v>
      </c>
      <c r="AG466" s="2">
        <v>137</v>
      </c>
      <c r="AH466" s="2" t="s">
        <v>1658</v>
      </c>
      <c r="AI466" s="2" t="s">
        <v>85</v>
      </c>
      <c r="AJ466" s="2" t="s">
        <v>98</v>
      </c>
      <c r="AK466" s="2" t="s">
        <v>629</v>
      </c>
      <c r="AL466" s="2" t="s">
        <v>32</v>
      </c>
      <c r="AM466" s="2">
        <v>0</v>
      </c>
      <c r="AN466" s="2" t="s">
        <v>1660</v>
      </c>
      <c r="AO466" s="2">
        <v>0</v>
      </c>
      <c r="AP466" s="2" t="s">
        <v>32</v>
      </c>
      <c r="AQ466" s="2" t="s">
        <v>32</v>
      </c>
      <c r="AR466" s="2" t="s">
        <v>1660</v>
      </c>
      <c r="AS466" s="2">
        <v>0</v>
      </c>
      <c r="AT466" s="2" t="s">
        <v>32</v>
      </c>
      <c r="AU466" s="2" t="s">
        <v>32</v>
      </c>
      <c r="AV466" s="2" t="s">
        <v>1658</v>
      </c>
      <c r="AW466" s="2">
        <v>16</v>
      </c>
      <c r="AX466" s="2" t="s">
        <v>1660</v>
      </c>
      <c r="AY466" s="2">
        <v>0</v>
      </c>
      <c r="AZ466" s="2" t="s">
        <v>1660</v>
      </c>
      <c r="BA466" s="2">
        <v>0</v>
      </c>
      <c r="BB466" s="2">
        <v>0</v>
      </c>
      <c r="BC466" s="2" t="s">
        <v>32</v>
      </c>
      <c r="BD466" s="2">
        <v>0</v>
      </c>
      <c r="BE466" s="2" t="s">
        <v>32</v>
      </c>
      <c r="BF466" s="2">
        <v>0</v>
      </c>
      <c r="BG466" s="2" t="s">
        <v>32</v>
      </c>
      <c r="BH466" s="2">
        <v>0</v>
      </c>
      <c r="BI466" s="2" t="s">
        <v>32</v>
      </c>
      <c r="BJ466" s="2" t="s">
        <v>32</v>
      </c>
      <c r="BK466" s="2" t="s">
        <v>32</v>
      </c>
      <c r="BL466" s="2">
        <v>0</v>
      </c>
      <c r="BM466" s="2" t="s">
        <v>32</v>
      </c>
      <c r="BN466" s="2" t="s">
        <v>32</v>
      </c>
      <c r="BO466" s="2" t="s">
        <v>32</v>
      </c>
      <c r="BP466" s="2">
        <v>0</v>
      </c>
      <c r="BQ466" s="2" t="s">
        <v>32</v>
      </c>
      <c r="BR466" s="2">
        <v>0</v>
      </c>
      <c r="BS466" s="2" t="s">
        <v>1660</v>
      </c>
      <c r="BT466" s="2">
        <v>0</v>
      </c>
      <c r="BU466" s="2">
        <v>0</v>
      </c>
      <c r="BV466" s="2" t="s">
        <v>1660</v>
      </c>
      <c r="BW466" s="2"/>
      <c r="BX466" s="2"/>
      <c r="BY466" s="2" t="s">
        <v>1807</v>
      </c>
      <c r="BZ466" s="2" t="b">
        <f>OR( (Dashboard[[#This Row],[ref_as_hh]]&gt;=1),(Dashboard[[#This Row],[ret_as_hh]] &gt;=1), (Dashboard[[#This Row],[idp_as_hh]]&gt;=1))</f>
        <v>1</v>
      </c>
      <c r="CA466" s="2">
        <f>Dashboard[[#This Row],[ret_hi_hh]]</f>
        <v>0</v>
      </c>
      <c r="CB466" s="2">
        <f>Dashboard[[#This Row],[idp_fa_hh]]+Dashboard[[#This Row],[ref_fa_hh]]+Dashboard[[#This Row],[ret_fa_hh]]</f>
        <v>0</v>
      </c>
      <c r="CC466" s="2">
        <f>Dashboard[[#This Row],[idp_loc_hh]]+Dashboard[[#This Row],[ref_loc_hh]]+Dashboard[[#This Row],[ret_loc_hh]]</f>
        <v>0</v>
      </c>
      <c r="CD466" s="2">
        <f>Dashboard[[#This Row],[idp_cc_hh]]+Dashboard[[#This Row],[ref_cc_hh]]+Dashboard[[#This Row],[ret_cc_hh]]</f>
        <v>0</v>
      </c>
      <c r="CE466" s="2">
        <f>Dashboard[[#This Row],[idp_as_hh]]+Dashboard[[#This Row],[ref_as_hh]]+Dashboard[[#This Row],[ret_as_hh]]</f>
        <v>154</v>
      </c>
      <c r="CF466" s="2">
        <f>Dashboard[[#This Row],[idp_al_hh]]+Dashboard[[#This Row],[ref_al_hh]]+Dashboard[[#This Row],[ret_al_hh]]</f>
        <v>0</v>
      </c>
    </row>
    <row r="467" spans="1:84" hidden="1" x14ac:dyDescent="0.25">
      <c r="A467" s="27">
        <v>228</v>
      </c>
      <c r="B467" s="2" t="s">
        <v>22</v>
      </c>
      <c r="C467" s="2" t="s">
        <v>23</v>
      </c>
      <c r="D467" s="2" t="s">
        <v>85</v>
      </c>
      <c r="E467" s="2" t="s">
        <v>84</v>
      </c>
      <c r="F467" s="2" t="s">
        <v>98</v>
      </c>
      <c r="G467" s="2" t="s">
        <v>97</v>
      </c>
      <c r="H467" s="2" t="s">
        <v>1259</v>
      </c>
      <c r="I467" s="2" t="s">
        <v>442</v>
      </c>
      <c r="J467" s="2" t="s">
        <v>3042</v>
      </c>
      <c r="K467" s="2" t="s">
        <v>3043</v>
      </c>
      <c r="L467" s="2" t="s">
        <v>2074</v>
      </c>
      <c r="M467" s="2">
        <v>702</v>
      </c>
      <c r="N467" s="2" t="s">
        <v>1658</v>
      </c>
      <c r="O467" s="2">
        <v>25</v>
      </c>
      <c r="P467" s="2">
        <v>128</v>
      </c>
      <c r="Q467" s="2" t="s">
        <v>1658</v>
      </c>
      <c r="R467" s="2">
        <v>25</v>
      </c>
      <c r="S467" s="2" t="s">
        <v>1660</v>
      </c>
      <c r="T467" s="2">
        <v>0</v>
      </c>
      <c r="U467" s="2" t="s">
        <v>32</v>
      </c>
      <c r="V467" s="2" t="s">
        <v>32</v>
      </c>
      <c r="W467" s="2" t="s">
        <v>1660</v>
      </c>
      <c r="X467" s="2">
        <v>0</v>
      </c>
      <c r="Y467" s="2" t="s">
        <v>32</v>
      </c>
      <c r="Z467" s="2" t="s">
        <v>32</v>
      </c>
      <c r="AA467" s="2" t="s">
        <v>1660</v>
      </c>
      <c r="AB467" s="2">
        <v>0</v>
      </c>
      <c r="AC467" s="2" t="s">
        <v>1660</v>
      </c>
      <c r="AD467" s="2">
        <v>0</v>
      </c>
      <c r="AE467" s="2" t="s">
        <v>1660</v>
      </c>
      <c r="AF467" s="2">
        <v>0</v>
      </c>
      <c r="AG467" s="2">
        <v>0</v>
      </c>
      <c r="AH467" s="2" t="s">
        <v>32</v>
      </c>
      <c r="AI467" s="2" t="s">
        <v>32</v>
      </c>
      <c r="AJ467" s="2" t="s">
        <v>32</v>
      </c>
      <c r="AK467" s="2" t="s">
        <v>32</v>
      </c>
      <c r="AL467" s="2" t="s">
        <v>32</v>
      </c>
      <c r="AM467" s="2">
        <v>0</v>
      </c>
      <c r="AN467" s="2" t="s">
        <v>32</v>
      </c>
      <c r="AO467" s="2">
        <v>0</v>
      </c>
      <c r="AP467" s="2" t="s">
        <v>32</v>
      </c>
      <c r="AQ467" s="2" t="s">
        <v>32</v>
      </c>
      <c r="AR467" s="2" t="s">
        <v>32</v>
      </c>
      <c r="AS467" s="2">
        <v>0</v>
      </c>
      <c r="AT467" s="2" t="s">
        <v>32</v>
      </c>
      <c r="AU467" s="2" t="s">
        <v>32</v>
      </c>
      <c r="AV467" s="2" t="s">
        <v>32</v>
      </c>
      <c r="AW467" s="2">
        <v>0</v>
      </c>
      <c r="AX467" s="2" t="s">
        <v>32</v>
      </c>
      <c r="AY467" s="2">
        <v>0</v>
      </c>
      <c r="AZ467" s="2" t="s">
        <v>1660</v>
      </c>
      <c r="BA467" s="2">
        <v>0</v>
      </c>
      <c r="BB467" s="2">
        <v>0</v>
      </c>
      <c r="BC467" s="2" t="s">
        <v>32</v>
      </c>
      <c r="BD467" s="2">
        <v>0</v>
      </c>
      <c r="BE467" s="2" t="s">
        <v>32</v>
      </c>
      <c r="BF467" s="2">
        <v>0</v>
      </c>
      <c r="BG467" s="2" t="s">
        <v>32</v>
      </c>
      <c r="BH467" s="2">
        <v>0</v>
      </c>
      <c r="BI467" s="2" t="s">
        <v>32</v>
      </c>
      <c r="BJ467" s="2" t="s">
        <v>32</v>
      </c>
      <c r="BK467" s="2" t="s">
        <v>32</v>
      </c>
      <c r="BL467" s="2">
        <v>0</v>
      </c>
      <c r="BM467" s="2" t="s">
        <v>32</v>
      </c>
      <c r="BN467" s="2" t="s">
        <v>32</v>
      </c>
      <c r="BO467" s="2" t="s">
        <v>32</v>
      </c>
      <c r="BP467" s="2">
        <v>0</v>
      </c>
      <c r="BQ467" s="2" t="s">
        <v>32</v>
      </c>
      <c r="BR467" s="2">
        <v>0</v>
      </c>
      <c r="BS467" s="2" t="s">
        <v>1660</v>
      </c>
      <c r="BT467" s="2">
        <v>0</v>
      </c>
      <c r="BU467" s="2">
        <v>0</v>
      </c>
      <c r="BV467" s="2" t="s">
        <v>1660</v>
      </c>
      <c r="BW467" s="2"/>
      <c r="BX467" s="2"/>
      <c r="BY467" s="2" t="s">
        <v>1807</v>
      </c>
      <c r="BZ467" s="2" t="b">
        <f>OR( (Dashboard[[#This Row],[ref_as_hh]]&gt;=1),(Dashboard[[#This Row],[ret_as_hh]] &gt;=1), (Dashboard[[#This Row],[idp_as_hh]]&gt;=1))</f>
        <v>0</v>
      </c>
      <c r="CA467" s="2">
        <f>Dashboard[[#This Row],[ret_hi_hh]]</f>
        <v>0</v>
      </c>
      <c r="CB467" s="2">
        <f>Dashboard[[#This Row],[idp_fa_hh]]+Dashboard[[#This Row],[ref_fa_hh]]+Dashboard[[#This Row],[ret_fa_hh]]</f>
        <v>25</v>
      </c>
      <c r="CC467" s="2">
        <f>Dashboard[[#This Row],[idp_loc_hh]]+Dashboard[[#This Row],[ref_loc_hh]]+Dashboard[[#This Row],[ret_loc_hh]]</f>
        <v>0</v>
      </c>
      <c r="CD467" s="2">
        <f>Dashboard[[#This Row],[idp_cc_hh]]+Dashboard[[#This Row],[ref_cc_hh]]+Dashboard[[#This Row],[ret_cc_hh]]</f>
        <v>0</v>
      </c>
      <c r="CE467" s="2">
        <f>Dashboard[[#This Row],[idp_as_hh]]+Dashboard[[#This Row],[ref_as_hh]]+Dashboard[[#This Row],[ret_as_hh]]</f>
        <v>0</v>
      </c>
      <c r="CF467" s="2">
        <f>Dashboard[[#This Row],[idp_al_hh]]+Dashboard[[#This Row],[ref_al_hh]]+Dashboard[[#This Row],[ret_al_hh]]</f>
        <v>0</v>
      </c>
    </row>
    <row r="468" spans="1:84" hidden="1" x14ac:dyDescent="0.25">
      <c r="A468" s="27">
        <v>229</v>
      </c>
      <c r="B468" s="2" t="s">
        <v>22</v>
      </c>
      <c r="C468" s="2" t="s">
        <v>23</v>
      </c>
      <c r="D468" s="2" t="s">
        <v>85</v>
      </c>
      <c r="E468" s="2" t="s">
        <v>84</v>
      </c>
      <c r="F468" s="2" t="s">
        <v>98</v>
      </c>
      <c r="G468" s="2" t="s">
        <v>97</v>
      </c>
      <c r="H468" s="2" t="s">
        <v>1258</v>
      </c>
      <c r="I468" s="2" t="s">
        <v>441</v>
      </c>
      <c r="J468" s="2" t="s">
        <v>3040</v>
      </c>
      <c r="K468" s="2" t="s">
        <v>3041</v>
      </c>
      <c r="L468" s="2" t="s">
        <v>2074</v>
      </c>
      <c r="M468" s="2">
        <v>760</v>
      </c>
      <c r="N468" s="2" t="s">
        <v>1658</v>
      </c>
      <c r="O468" s="2">
        <v>14</v>
      </c>
      <c r="P468" s="2">
        <v>58</v>
      </c>
      <c r="Q468" s="2" t="s">
        <v>1658</v>
      </c>
      <c r="R468" s="2">
        <v>14</v>
      </c>
      <c r="S468" s="2" t="s">
        <v>1660</v>
      </c>
      <c r="T468" s="2">
        <v>0</v>
      </c>
      <c r="U468" s="2" t="s">
        <v>32</v>
      </c>
      <c r="V468" s="2" t="s">
        <v>32</v>
      </c>
      <c r="W468" s="2" t="s">
        <v>1660</v>
      </c>
      <c r="X468" s="2">
        <v>0</v>
      </c>
      <c r="Y468" s="2" t="s">
        <v>32</v>
      </c>
      <c r="Z468" s="2" t="s">
        <v>32</v>
      </c>
      <c r="AA468" s="2" t="s">
        <v>1660</v>
      </c>
      <c r="AB468" s="2">
        <v>0</v>
      </c>
      <c r="AC468" s="2" t="s">
        <v>1660</v>
      </c>
      <c r="AD468" s="2">
        <v>0</v>
      </c>
      <c r="AE468" s="2" t="s">
        <v>1660</v>
      </c>
      <c r="AF468" s="2">
        <v>0</v>
      </c>
      <c r="AG468" s="2">
        <v>0</v>
      </c>
      <c r="AH468" s="2" t="s">
        <v>32</v>
      </c>
      <c r="AI468" s="2" t="s">
        <v>32</v>
      </c>
      <c r="AJ468" s="2" t="s">
        <v>32</v>
      </c>
      <c r="AK468" s="2" t="s">
        <v>32</v>
      </c>
      <c r="AL468" s="2" t="s">
        <v>32</v>
      </c>
      <c r="AM468" s="2">
        <v>0</v>
      </c>
      <c r="AN468" s="2" t="s">
        <v>32</v>
      </c>
      <c r="AO468" s="2">
        <v>0</v>
      </c>
      <c r="AP468" s="2" t="s">
        <v>32</v>
      </c>
      <c r="AQ468" s="2" t="s">
        <v>32</v>
      </c>
      <c r="AR468" s="2" t="s">
        <v>32</v>
      </c>
      <c r="AS468" s="2">
        <v>0</v>
      </c>
      <c r="AT468" s="2" t="s">
        <v>32</v>
      </c>
      <c r="AU468" s="2" t="s">
        <v>32</v>
      </c>
      <c r="AV468" s="2" t="s">
        <v>32</v>
      </c>
      <c r="AW468" s="2">
        <v>0</v>
      </c>
      <c r="AX468" s="2" t="s">
        <v>32</v>
      </c>
      <c r="AY468" s="2">
        <v>0</v>
      </c>
      <c r="AZ468" s="2" t="s">
        <v>1660</v>
      </c>
      <c r="BA468" s="2">
        <v>0</v>
      </c>
      <c r="BB468" s="2">
        <v>0</v>
      </c>
      <c r="BC468" s="2" t="s">
        <v>32</v>
      </c>
      <c r="BD468" s="2">
        <v>0</v>
      </c>
      <c r="BE468" s="2" t="s">
        <v>32</v>
      </c>
      <c r="BF468" s="2">
        <v>0</v>
      </c>
      <c r="BG468" s="2" t="s">
        <v>32</v>
      </c>
      <c r="BH468" s="2">
        <v>0</v>
      </c>
      <c r="BI468" s="2" t="s">
        <v>32</v>
      </c>
      <c r="BJ468" s="2" t="s">
        <v>32</v>
      </c>
      <c r="BK468" s="2" t="s">
        <v>32</v>
      </c>
      <c r="BL468" s="2">
        <v>0</v>
      </c>
      <c r="BM468" s="2" t="s">
        <v>32</v>
      </c>
      <c r="BN468" s="2" t="s">
        <v>32</v>
      </c>
      <c r="BO468" s="2" t="s">
        <v>32</v>
      </c>
      <c r="BP468" s="2">
        <v>0</v>
      </c>
      <c r="BQ468" s="2" t="s">
        <v>32</v>
      </c>
      <c r="BR468" s="2">
        <v>0</v>
      </c>
      <c r="BS468" s="2" t="s">
        <v>1660</v>
      </c>
      <c r="BT468" s="2">
        <v>0</v>
      </c>
      <c r="BU468" s="2">
        <v>0</v>
      </c>
      <c r="BV468" s="2" t="s">
        <v>1660</v>
      </c>
      <c r="BW468" s="2"/>
      <c r="BX468" s="2"/>
      <c r="BY468" s="2" t="s">
        <v>1807</v>
      </c>
      <c r="BZ468" s="2" t="b">
        <f>OR( (Dashboard[[#This Row],[ref_as_hh]]&gt;=1),(Dashboard[[#This Row],[ret_as_hh]] &gt;=1), (Dashboard[[#This Row],[idp_as_hh]]&gt;=1))</f>
        <v>0</v>
      </c>
      <c r="CA468" s="2">
        <f>Dashboard[[#This Row],[ret_hi_hh]]</f>
        <v>0</v>
      </c>
      <c r="CB468" s="2">
        <f>Dashboard[[#This Row],[idp_fa_hh]]+Dashboard[[#This Row],[ref_fa_hh]]+Dashboard[[#This Row],[ret_fa_hh]]</f>
        <v>14</v>
      </c>
      <c r="CC468" s="2">
        <f>Dashboard[[#This Row],[idp_loc_hh]]+Dashboard[[#This Row],[ref_loc_hh]]+Dashboard[[#This Row],[ret_loc_hh]]</f>
        <v>0</v>
      </c>
      <c r="CD468" s="2">
        <f>Dashboard[[#This Row],[idp_cc_hh]]+Dashboard[[#This Row],[ref_cc_hh]]+Dashboard[[#This Row],[ret_cc_hh]]</f>
        <v>0</v>
      </c>
      <c r="CE468" s="2">
        <f>Dashboard[[#This Row],[idp_as_hh]]+Dashboard[[#This Row],[ref_as_hh]]+Dashboard[[#This Row],[ret_as_hh]]</f>
        <v>0</v>
      </c>
      <c r="CF468" s="2">
        <f>Dashboard[[#This Row],[idp_al_hh]]+Dashboard[[#This Row],[ref_al_hh]]+Dashboard[[#This Row],[ret_al_hh]]</f>
        <v>0</v>
      </c>
    </row>
    <row r="469" spans="1:84" hidden="1" x14ac:dyDescent="0.25">
      <c r="A469" s="27">
        <v>230</v>
      </c>
      <c r="B469" s="2" t="s">
        <v>22</v>
      </c>
      <c r="C469" s="2" t="s">
        <v>23</v>
      </c>
      <c r="D469" s="2" t="s">
        <v>85</v>
      </c>
      <c r="E469" s="2" t="s">
        <v>84</v>
      </c>
      <c r="F469" s="2" t="s">
        <v>98</v>
      </c>
      <c r="G469" s="2" t="s">
        <v>97</v>
      </c>
      <c r="H469" s="2" t="s">
        <v>1507</v>
      </c>
      <c r="I469" s="2" t="s">
        <v>824</v>
      </c>
      <c r="J469" s="2" t="s">
        <v>2800</v>
      </c>
      <c r="K469" s="2" t="s">
        <v>2801</v>
      </c>
      <c r="L469" s="2" t="s">
        <v>2074</v>
      </c>
      <c r="M469" s="2">
        <v>400</v>
      </c>
      <c r="N469" s="2" t="s">
        <v>1660</v>
      </c>
      <c r="O469" s="2">
        <v>0</v>
      </c>
      <c r="P469" s="2">
        <v>0</v>
      </c>
      <c r="Q469" s="2" t="s">
        <v>32</v>
      </c>
      <c r="R469" s="2">
        <v>0</v>
      </c>
      <c r="S469" s="2" t="s">
        <v>32</v>
      </c>
      <c r="T469" s="2">
        <v>0</v>
      </c>
      <c r="U469" s="2" t="s">
        <v>32</v>
      </c>
      <c r="V469" s="2" t="s">
        <v>32</v>
      </c>
      <c r="W469" s="2" t="s">
        <v>32</v>
      </c>
      <c r="X469" s="2">
        <v>0</v>
      </c>
      <c r="Y469" s="2" t="s">
        <v>32</v>
      </c>
      <c r="Z469" s="2" t="s">
        <v>32</v>
      </c>
      <c r="AA469" s="2" t="s">
        <v>32</v>
      </c>
      <c r="AB469" s="2">
        <v>0</v>
      </c>
      <c r="AC469" s="2" t="s">
        <v>32</v>
      </c>
      <c r="AD469" s="2">
        <v>0</v>
      </c>
      <c r="AE469" s="2" t="s">
        <v>1658</v>
      </c>
      <c r="AF469" s="2">
        <v>47</v>
      </c>
      <c r="AG469" s="2">
        <v>400</v>
      </c>
      <c r="AH469" s="2" t="s">
        <v>1660</v>
      </c>
      <c r="AI469" s="2" t="s">
        <v>32</v>
      </c>
      <c r="AJ469" s="2" t="s">
        <v>32</v>
      </c>
      <c r="AK469" s="2" t="s">
        <v>32</v>
      </c>
      <c r="AL469" s="2" t="s">
        <v>1658</v>
      </c>
      <c r="AM469" s="2">
        <v>47</v>
      </c>
      <c r="AN469" s="2" t="s">
        <v>1660</v>
      </c>
      <c r="AO469" s="2">
        <v>0</v>
      </c>
      <c r="AP469" s="2" t="s">
        <v>32</v>
      </c>
      <c r="AQ469" s="2" t="s">
        <v>32</v>
      </c>
      <c r="AR469" s="2" t="s">
        <v>1660</v>
      </c>
      <c r="AS469" s="2">
        <v>0</v>
      </c>
      <c r="AT469" s="2" t="s">
        <v>32</v>
      </c>
      <c r="AU469" s="2" t="s">
        <v>32</v>
      </c>
      <c r="AV469" s="2" t="s">
        <v>1660</v>
      </c>
      <c r="AW469" s="2">
        <v>0</v>
      </c>
      <c r="AX469" s="2" t="s">
        <v>1660</v>
      </c>
      <c r="AY469" s="2">
        <v>0</v>
      </c>
      <c r="AZ469" s="2" t="s">
        <v>1660</v>
      </c>
      <c r="BA469" s="2">
        <v>0</v>
      </c>
      <c r="BB469" s="2">
        <v>0</v>
      </c>
      <c r="BC469" s="2" t="s">
        <v>32</v>
      </c>
      <c r="BD469" s="2">
        <v>0</v>
      </c>
      <c r="BE469" s="2" t="s">
        <v>32</v>
      </c>
      <c r="BF469" s="2">
        <v>0</v>
      </c>
      <c r="BG469" s="2" t="s">
        <v>32</v>
      </c>
      <c r="BH469" s="2">
        <v>0</v>
      </c>
      <c r="BI469" s="2" t="s">
        <v>32</v>
      </c>
      <c r="BJ469" s="2" t="s">
        <v>32</v>
      </c>
      <c r="BK469" s="2" t="s">
        <v>32</v>
      </c>
      <c r="BL469" s="2">
        <v>0</v>
      </c>
      <c r="BM469" s="2" t="s">
        <v>32</v>
      </c>
      <c r="BN469" s="2" t="s">
        <v>32</v>
      </c>
      <c r="BO469" s="2" t="s">
        <v>32</v>
      </c>
      <c r="BP469" s="2">
        <v>0</v>
      </c>
      <c r="BQ469" s="2" t="s">
        <v>32</v>
      </c>
      <c r="BR469" s="2">
        <v>0</v>
      </c>
      <c r="BS469" s="2" t="s">
        <v>1660</v>
      </c>
      <c r="BT469" s="2">
        <v>0</v>
      </c>
      <c r="BU469" s="2">
        <v>0</v>
      </c>
      <c r="BV469" s="2" t="s">
        <v>1660</v>
      </c>
      <c r="BW469" s="2"/>
      <c r="BX469" s="2"/>
      <c r="BY469" s="2" t="s">
        <v>1807</v>
      </c>
      <c r="BZ469" s="2" t="b">
        <f>OR( (Dashboard[[#This Row],[ref_as_hh]]&gt;=1),(Dashboard[[#This Row],[ret_as_hh]] &gt;=1), (Dashboard[[#This Row],[idp_as_hh]]&gt;=1))</f>
        <v>0</v>
      </c>
      <c r="CA469" s="2">
        <f>Dashboard[[#This Row],[ret_hi_hh]]</f>
        <v>0</v>
      </c>
      <c r="CB469" s="2">
        <f>Dashboard[[#This Row],[idp_fa_hh]]+Dashboard[[#This Row],[ref_fa_hh]]+Dashboard[[#This Row],[ret_fa_hh]]</f>
        <v>47</v>
      </c>
      <c r="CC469" s="2">
        <f>Dashboard[[#This Row],[idp_loc_hh]]+Dashboard[[#This Row],[ref_loc_hh]]+Dashboard[[#This Row],[ret_loc_hh]]</f>
        <v>0</v>
      </c>
      <c r="CD469" s="2">
        <f>Dashboard[[#This Row],[idp_cc_hh]]+Dashboard[[#This Row],[ref_cc_hh]]+Dashboard[[#This Row],[ret_cc_hh]]</f>
        <v>0</v>
      </c>
      <c r="CE469" s="2">
        <f>Dashboard[[#This Row],[idp_as_hh]]+Dashboard[[#This Row],[ref_as_hh]]+Dashboard[[#This Row],[ret_as_hh]]</f>
        <v>0</v>
      </c>
      <c r="CF469" s="2">
        <f>Dashboard[[#This Row],[idp_al_hh]]+Dashboard[[#This Row],[ref_al_hh]]+Dashboard[[#This Row],[ret_al_hh]]</f>
        <v>0</v>
      </c>
    </row>
    <row r="470" spans="1:84" hidden="1" x14ac:dyDescent="0.25">
      <c r="A470" s="27">
        <v>231</v>
      </c>
      <c r="B470" s="2" t="s">
        <v>22</v>
      </c>
      <c r="C470" s="2" t="s">
        <v>23</v>
      </c>
      <c r="D470" s="2" t="s">
        <v>85</v>
      </c>
      <c r="E470" s="2" t="s">
        <v>84</v>
      </c>
      <c r="F470" s="2" t="s">
        <v>98</v>
      </c>
      <c r="G470" s="2" t="s">
        <v>97</v>
      </c>
      <c r="H470" s="2" t="s">
        <v>1241</v>
      </c>
      <c r="I470" s="2" t="s">
        <v>433</v>
      </c>
      <c r="J470" s="2" t="s">
        <v>3010</v>
      </c>
      <c r="K470" s="2" t="s">
        <v>3011</v>
      </c>
      <c r="L470" s="2" t="s">
        <v>2074</v>
      </c>
      <c r="M470" s="2">
        <v>2257</v>
      </c>
      <c r="N470" s="2" t="s">
        <v>1658</v>
      </c>
      <c r="O470" s="2">
        <v>14</v>
      </c>
      <c r="P470" s="2">
        <v>77</v>
      </c>
      <c r="Q470" s="2" t="s">
        <v>1658</v>
      </c>
      <c r="R470" s="2">
        <v>14</v>
      </c>
      <c r="S470" s="2" t="s">
        <v>1660</v>
      </c>
      <c r="T470" s="2">
        <v>0</v>
      </c>
      <c r="U470" s="2" t="s">
        <v>32</v>
      </c>
      <c r="V470" s="2" t="s">
        <v>32</v>
      </c>
      <c r="W470" s="2" t="s">
        <v>1660</v>
      </c>
      <c r="X470" s="2">
        <v>0</v>
      </c>
      <c r="Y470" s="2" t="s">
        <v>32</v>
      </c>
      <c r="Z470" s="2" t="s">
        <v>32</v>
      </c>
      <c r="AA470" s="2" t="s">
        <v>1660</v>
      </c>
      <c r="AB470" s="2">
        <v>0</v>
      </c>
      <c r="AC470" s="2" t="s">
        <v>1660</v>
      </c>
      <c r="AD470" s="2">
        <v>0</v>
      </c>
      <c r="AE470" s="2" t="s">
        <v>1658</v>
      </c>
      <c r="AF470" s="2">
        <v>8</v>
      </c>
      <c r="AG470" s="2">
        <v>42</v>
      </c>
      <c r="AH470" s="2" t="s">
        <v>1660</v>
      </c>
      <c r="AI470" s="2" t="s">
        <v>32</v>
      </c>
      <c r="AJ470" s="2" t="s">
        <v>32</v>
      </c>
      <c r="AK470" s="2" t="s">
        <v>32</v>
      </c>
      <c r="AL470" s="2" t="s">
        <v>1658</v>
      </c>
      <c r="AM470" s="2">
        <v>8</v>
      </c>
      <c r="AN470" s="2" t="s">
        <v>1660</v>
      </c>
      <c r="AO470" s="2">
        <v>0</v>
      </c>
      <c r="AP470" s="2" t="s">
        <v>32</v>
      </c>
      <c r="AQ470" s="2" t="s">
        <v>32</v>
      </c>
      <c r="AR470" s="2" t="s">
        <v>1660</v>
      </c>
      <c r="AS470" s="2">
        <v>0</v>
      </c>
      <c r="AT470" s="2" t="s">
        <v>32</v>
      </c>
      <c r="AU470" s="2" t="s">
        <v>32</v>
      </c>
      <c r="AV470" s="2" t="s">
        <v>1660</v>
      </c>
      <c r="AW470" s="2">
        <v>0</v>
      </c>
      <c r="AX470" s="2" t="s">
        <v>1660</v>
      </c>
      <c r="AY470" s="2">
        <v>0</v>
      </c>
      <c r="AZ470" s="2" t="s">
        <v>1660</v>
      </c>
      <c r="BA470" s="2">
        <v>0</v>
      </c>
      <c r="BB470" s="2">
        <v>0</v>
      </c>
      <c r="BC470" s="2" t="s">
        <v>32</v>
      </c>
      <c r="BD470" s="2">
        <v>0</v>
      </c>
      <c r="BE470" s="2" t="s">
        <v>32</v>
      </c>
      <c r="BF470" s="2">
        <v>0</v>
      </c>
      <c r="BG470" s="2" t="s">
        <v>32</v>
      </c>
      <c r="BH470" s="2">
        <v>0</v>
      </c>
      <c r="BI470" s="2" t="s">
        <v>32</v>
      </c>
      <c r="BJ470" s="2" t="s">
        <v>32</v>
      </c>
      <c r="BK470" s="2" t="s">
        <v>32</v>
      </c>
      <c r="BL470" s="2">
        <v>0</v>
      </c>
      <c r="BM470" s="2" t="s">
        <v>32</v>
      </c>
      <c r="BN470" s="2" t="s">
        <v>32</v>
      </c>
      <c r="BO470" s="2" t="s">
        <v>32</v>
      </c>
      <c r="BP470" s="2">
        <v>0</v>
      </c>
      <c r="BQ470" s="2" t="s">
        <v>32</v>
      </c>
      <c r="BR470" s="2">
        <v>0</v>
      </c>
      <c r="BS470" s="2" t="s">
        <v>1660</v>
      </c>
      <c r="BT470" s="2">
        <v>0</v>
      </c>
      <c r="BU470" s="2">
        <v>0</v>
      </c>
      <c r="BV470" s="2" t="s">
        <v>1660</v>
      </c>
      <c r="BW470" s="2"/>
      <c r="BX470" s="2"/>
      <c r="BY470" s="2" t="s">
        <v>1807</v>
      </c>
      <c r="BZ470" s="2" t="b">
        <f>OR( (Dashboard[[#This Row],[ref_as_hh]]&gt;=1),(Dashboard[[#This Row],[ret_as_hh]] &gt;=1), (Dashboard[[#This Row],[idp_as_hh]]&gt;=1))</f>
        <v>0</v>
      </c>
      <c r="CA470" s="2">
        <f>Dashboard[[#This Row],[ret_hi_hh]]</f>
        <v>0</v>
      </c>
      <c r="CB470" s="2">
        <f>Dashboard[[#This Row],[idp_fa_hh]]+Dashboard[[#This Row],[ref_fa_hh]]+Dashboard[[#This Row],[ret_fa_hh]]</f>
        <v>22</v>
      </c>
      <c r="CC470" s="2">
        <f>Dashboard[[#This Row],[idp_loc_hh]]+Dashboard[[#This Row],[ref_loc_hh]]+Dashboard[[#This Row],[ret_loc_hh]]</f>
        <v>0</v>
      </c>
      <c r="CD470" s="2">
        <f>Dashboard[[#This Row],[idp_cc_hh]]+Dashboard[[#This Row],[ref_cc_hh]]+Dashboard[[#This Row],[ret_cc_hh]]</f>
        <v>0</v>
      </c>
      <c r="CE470" s="2">
        <f>Dashboard[[#This Row],[idp_as_hh]]+Dashboard[[#This Row],[ref_as_hh]]+Dashboard[[#This Row],[ret_as_hh]]</f>
        <v>0</v>
      </c>
      <c r="CF470" s="2">
        <f>Dashboard[[#This Row],[idp_al_hh]]+Dashboard[[#This Row],[ref_al_hh]]+Dashboard[[#This Row],[ret_al_hh]]</f>
        <v>0</v>
      </c>
    </row>
    <row r="471" spans="1:84" hidden="1" x14ac:dyDescent="0.25">
      <c r="A471" s="27">
        <v>232</v>
      </c>
      <c r="B471" s="2" t="s">
        <v>22</v>
      </c>
      <c r="C471" s="2" t="s">
        <v>23</v>
      </c>
      <c r="D471" s="2" t="s">
        <v>85</v>
      </c>
      <c r="E471" s="2" t="s">
        <v>84</v>
      </c>
      <c r="F471" s="2" t="s">
        <v>98</v>
      </c>
      <c r="G471" s="2" t="s">
        <v>97</v>
      </c>
      <c r="H471" s="2" t="s">
        <v>1822</v>
      </c>
      <c r="I471" s="2" t="s">
        <v>1823</v>
      </c>
      <c r="J471" s="2" t="s">
        <v>2912</v>
      </c>
      <c r="K471" s="2" t="s">
        <v>2913</v>
      </c>
      <c r="L471" s="2" t="s">
        <v>2074</v>
      </c>
      <c r="M471" s="2">
        <v>1150</v>
      </c>
      <c r="N471" s="2" t="s">
        <v>1658</v>
      </c>
      <c r="O471" s="2">
        <v>8</v>
      </c>
      <c r="P471" s="2">
        <v>70</v>
      </c>
      <c r="Q471" s="2" t="s">
        <v>1658</v>
      </c>
      <c r="R471" s="2">
        <v>8</v>
      </c>
      <c r="S471" s="2" t="s">
        <v>1660</v>
      </c>
      <c r="T471" s="2">
        <v>0</v>
      </c>
      <c r="U471" s="2" t="s">
        <v>32</v>
      </c>
      <c r="V471" s="2" t="s">
        <v>32</v>
      </c>
      <c r="W471" s="2" t="s">
        <v>1660</v>
      </c>
      <c r="X471" s="2">
        <v>0</v>
      </c>
      <c r="Y471" s="2" t="s">
        <v>32</v>
      </c>
      <c r="Z471" s="2" t="s">
        <v>32</v>
      </c>
      <c r="AA471" s="2" t="s">
        <v>1660</v>
      </c>
      <c r="AB471" s="2">
        <v>0</v>
      </c>
      <c r="AC471" s="2" t="s">
        <v>1660</v>
      </c>
      <c r="AD471" s="2">
        <v>0</v>
      </c>
      <c r="AE471" s="2" t="s">
        <v>1658</v>
      </c>
      <c r="AF471" s="2">
        <v>10</v>
      </c>
      <c r="AG471" s="2">
        <v>80</v>
      </c>
      <c r="AH471" s="2" t="s">
        <v>1660</v>
      </c>
      <c r="AI471" s="2" t="s">
        <v>32</v>
      </c>
      <c r="AJ471" s="2" t="s">
        <v>32</v>
      </c>
      <c r="AK471" s="2" t="s">
        <v>32</v>
      </c>
      <c r="AL471" s="2" t="s">
        <v>1658</v>
      </c>
      <c r="AM471" s="2">
        <v>10</v>
      </c>
      <c r="AN471" s="2" t="s">
        <v>1660</v>
      </c>
      <c r="AO471" s="2">
        <v>0</v>
      </c>
      <c r="AP471" s="2" t="s">
        <v>32</v>
      </c>
      <c r="AQ471" s="2" t="s">
        <v>32</v>
      </c>
      <c r="AR471" s="2" t="s">
        <v>1660</v>
      </c>
      <c r="AS471" s="2">
        <v>0</v>
      </c>
      <c r="AT471" s="2" t="s">
        <v>32</v>
      </c>
      <c r="AU471" s="2" t="s">
        <v>32</v>
      </c>
      <c r="AV471" s="2" t="s">
        <v>1660</v>
      </c>
      <c r="AW471" s="2">
        <v>0</v>
      </c>
      <c r="AX471" s="2" t="s">
        <v>1660</v>
      </c>
      <c r="AY471" s="2">
        <v>0</v>
      </c>
      <c r="AZ471" s="2" t="s">
        <v>1660</v>
      </c>
      <c r="BA471" s="2">
        <v>0</v>
      </c>
      <c r="BB471" s="2">
        <v>0</v>
      </c>
      <c r="BC471" s="2" t="s">
        <v>32</v>
      </c>
      <c r="BD471" s="2">
        <v>0</v>
      </c>
      <c r="BE471" s="2" t="s">
        <v>32</v>
      </c>
      <c r="BF471" s="2">
        <v>0</v>
      </c>
      <c r="BG471" s="2" t="s">
        <v>32</v>
      </c>
      <c r="BH471" s="2">
        <v>0</v>
      </c>
      <c r="BI471" s="2" t="s">
        <v>32</v>
      </c>
      <c r="BJ471" s="2" t="s">
        <v>32</v>
      </c>
      <c r="BK471" s="2" t="s">
        <v>32</v>
      </c>
      <c r="BL471" s="2">
        <v>0</v>
      </c>
      <c r="BM471" s="2" t="s">
        <v>32</v>
      </c>
      <c r="BN471" s="2" t="s">
        <v>32</v>
      </c>
      <c r="BO471" s="2" t="s">
        <v>32</v>
      </c>
      <c r="BP471" s="2">
        <v>0</v>
      </c>
      <c r="BQ471" s="2" t="s">
        <v>32</v>
      </c>
      <c r="BR471" s="2">
        <v>0</v>
      </c>
      <c r="BS471" s="2" t="s">
        <v>1660</v>
      </c>
      <c r="BT471" s="2">
        <v>0</v>
      </c>
      <c r="BU471" s="2">
        <v>0</v>
      </c>
      <c r="BV471" s="2" t="s">
        <v>1660</v>
      </c>
      <c r="BW471" s="2"/>
      <c r="BX471" s="2"/>
      <c r="BY471" s="2" t="s">
        <v>1807</v>
      </c>
      <c r="BZ471" s="2" t="b">
        <f>OR( (Dashboard[[#This Row],[ref_as_hh]]&gt;=1),(Dashboard[[#This Row],[ret_as_hh]] &gt;=1), (Dashboard[[#This Row],[idp_as_hh]]&gt;=1))</f>
        <v>0</v>
      </c>
      <c r="CA471" s="2">
        <f>Dashboard[[#This Row],[ret_hi_hh]]</f>
        <v>0</v>
      </c>
      <c r="CB471" s="2">
        <f>Dashboard[[#This Row],[idp_fa_hh]]+Dashboard[[#This Row],[ref_fa_hh]]+Dashboard[[#This Row],[ret_fa_hh]]</f>
        <v>18</v>
      </c>
      <c r="CC471" s="2">
        <f>Dashboard[[#This Row],[idp_loc_hh]]+Dashboard[[#This Row],[ref_loc_hh]]+Dashboard[[#This Row],[ret_loc_hh]]</f>
        <v>0</v>
      </c>
      <c r="CD471" s="2">
        <f>Dashboard[[#This Row],[idp_cc_hh]]+Dashboard[[#This Row],[ref_cc_hh]]+Dashboard[[#This Row],[ret_cc_hh]]</f>
        <v>0</v>
      </c>
      <c r="CE471" s="2">
        <f>Dashboard[[#This Row],[idp_as_hh]]+Dashboard[[#This Row],[ref_as_hh]]+Dashboard[[#This Row],[ret_as_hh]]</f>
        <v>0</v>
      </c>
      <c r="CF471" s="2">
        <f>Dashboard[[#This Row],[idp_al_hh]]+Dashboard[[#This Row],[ref_al_hh]]+Dashboard[[#This Row],[ret_al_hh]]</f>
        <v>0</v>
      </c>
    </row>
    <row r="472" spans="1:84" hidden="1" x14ac:dyDescent="0.25">
      <c r="A472" s="27">
        <v>233</v>
      </c>
      <c r="B472" s="2" t="s">
        <v>22</v>
      </c>
      <c r="C472" s="2" t="s">
        <v>23</v>
      </c>
      <c r="D472" s="2" t="s">
        <v>85</v>
      </c>
      <c r="E472" s="2" t="s">
        <v>84</v>
      </c>
      <c r="F472" s="2" t="s">
        <v>98</v>
      </c>
      <c r="G472" s="2" t="s">
        <v>97</v>
      </c>
      <c r="H472" s="2" t="s">
        <v>1150</v>
      </c>
      <c r="I472" s="2" t="s">
        <v>160</v>
      </c>
      <c r="J472" s="2" t="s">
        <v>2802</v>
      </c>
      <c r="K472" s="2" t="s">
        <v>2803</v>
      </c>
      <c r="L472" s="2" t="s">
        <v>2074</v>
      </c>
      <c r="M472" s="2">
        <v>370</v>
      </c>
      <c r="N472" s="2" t="s">
        <v>1658</v>
      </c>
      <c r="O472" s="2">
        <v>6</v>
      </c>
      <c r="P472" s="2">
        <v>27</v>
      </c>
      <c r="Q472" s="2" t="s">
        <v>1658</v>
      </c>
      <c r="R472" s="2">
        <v>6</v>
      </c>
      <c r="S472" s="2" t="s">
        <v>1660</v>
      </c>
      <c r="T472" s="2">
        <v>0</v>
      </c>
      <c r="U472" s="2" t="s">
        <v>32</v>
      </c>
      <c r="V472" s="2" t="s">
        <v>32</v>
      </c>
      <c r="W472" s="2" t="s">
        <v>1660</v>
      </c>
      <c r="X472" s="2">
        <v>0</v>
      </c>
      <c r="Y472" s="2" t="s">
        <v>32</v>
      </c>
      <c r="Z472" s="2" t="s">
        <v>32</v>
      </c>
      <c r="AA472" s="2" t="s">
        <v>1660</v>
      </c>
      <c r="AB472" s="2">
        <v>0</v>
      </c>
      <c r="AC472" s="2" t="s">
        <v>1660</v>
      </c>
      <c r="AD472" s="2">
        <v>0</v>
      </c>
      <c r="AE472" s="2" t="s">
        <v>1658</v>
      </c>
      <c r="AF472" s="2">
        <v>8</v>
      </c>
      <c r="AG472" s="2">
        <v>42</v>
      </c>
      <c r="AH472" s="2" t="s">
        <v>1660</v>
      </c>
      <c r="AI472" s="2" t="s">
        <v>32</v>
      </c>
      <c r="AJ472" s="2" t="s">
        <v>32</v>
      </c>
      <c r="AK472" s="2" t="s">
        <v>32</v>
      </c>
      <c r="AL472" s="2" t="s">
        <v>1658</v>
      </c>
      <c r="AM472" s="2">
        <v>8</v>
      </c>
      <c r="AN472" s="2" t="s">
        <v>1660</v>
      </c>
      <c r="AO472" s="2">
        <v>0</v>
      </c>
      <c r="AP472" s="2" t="s">
        <v>32</v>
      </c>
      <c r="AQ472" s="2" t="s">
        <v>32</v>
      </c>
      <c r="AR472" s="2" t="s">
        <v>1660</v>
      </c>
      <c r="AS472" s="2">
        <v>0</v>
      </c>
      <c r="AT472" s="2" t="s">
        <v>32</v>
      </c>
      <c r="AU472" s="2" t="s">
        <v>32</v>
      </c>
      <c r="AV472" s="2" t="s">
        <v>1660</v>
      </c>
      <c r="AW472" s="2">
        <v>0</v>
      </c>
      <c r="AX472" s="2" t="s">
        <v>1660</v>
      </c>
      <c r="AY472" s="2">
        <v>0</v>
      </c>
      <c r="AZ472" s="2" t="s">
        <v>1660</v>
      </c>
      <c r="BA472" s="2">
        <v>0</v>
      </c>
      <c r="BB472" s="2">
        <v>0</v>
      </c>
      <c r="BC472" s="2" t="s">
        <v>32</v>
      </c>
      <c r="BD472" s="2">
        <v>0</v>
      </c>
      <c r="BE472" s="2" t="s">
        <v>32</v>
      </c>
      <c r="BF472" s="2">
        <v>0</v>
      </c>
      <c r="BG472" s="2" t="s">
        <v>32</v>
      </c>
      <c r="BH472" s="2">
        <v>0</v>
      </c>
      <c r="BI472" s="2" t="s">
        <v>32</v>
      </c>
      <c r="BJ472" s="2" t="s">
        <v>32</v>
      </c>
      <c r="BK472" s="2" t="s">
        <v>32</v>
      </c>
      <c r="BL472" s="2">
        <v>0</v>
      </c>
      <c r="BM472" s="2" t="s">
        <v>32</v>
      </c>
      <c r="BN472" s="2" t="s">
        <v>32</v>
      </c>
      <c r="BO472" s="2" t="s">
        <v>32</v>
      </c>
      <c r="BP472" s="2">
        <v>0</v>
      </c>
      <c r="BQ472" s="2" t="s">
        <v>32</v>
      </c>
      <c r="BR472" s="2">
        <v>0</v>
      </c>
      <c r="BS472" s="2" t="s">
        <v>1658</v>
      </c>
      <c r="BT472" s="2">
        <v>4</v>
      </c>
      <c r="BU472" s="2">
        <v>17</v>
      </c>
      <c r="BV472" s="2" t="s">
        <v>1660</v>
      </c>
      <c r="BW472" s="2"/>
      <c r="BX472" s="2"/>
      <c r="BY472" s="2" t="s">
        <v>1807</v>
      </c>
      <c r="BZ472" s="2" t="b">
        <f>OR( (Dashboard[[#This Row],[ref_as_hh]]&gt;=1),(Dashboard[[#This Row],[ret_as_hh]] &gt;=1), (Dashboard[[#This Row],[idp_as_hh]]&gt;=1))</f>
        <v>0</v>
      </c>
      <c r="CA472" s="2">
        <f>Dashboard[[#This Row],[ret_hi_hh]]</f>
        <v>0</v>
      </c>
      <c r="CB472" s="2">
        <f>Dashboard[[#This Row],[idp_fa_hh]]+Dashboard[[#This Row],[ref_fa_hh]]+Dashboard[[#This Row],[ret_fa_hh]]</f>
        <v>14</v>
      </c>
      <c r="CC472" s="2">
        <f>Dashboard[[#This Row],[idp_loc_hh]]+Dashboard[[#This Row],[ref_loc_hh]]+Dashboard[[#This Row],[ret_loc_hh]]</f>
        <v>0</v>
      </c>
      <c r="CD472" s="2">
        <f>Dashboard[[#This Row],[idp_cc_hh]]+Dashboard[[#This Row],[ref_cc_hh]]+Dashboard[[#This Row],[ret_cc_hh]]</f>
        <v>0</v>
      </c>
      <c r="CE472" s="2">
        <f>Dashboard[[#This Row],[idp_as_hh]]+Dashboard[[#This Row],[ref_as_hh]]+Dashboard[[#This Row],[ret_as_hh]]</f>
        <v>0</v>
      </c>
      <c r="CF472" s="2">
        <f>Dashboard[[#This Row],[idp_al_hh]]+Dashboard[[#This Row],[ref_al_hh]]+Dashboard[[#This Row],[ret_al_hh]]</f>
        <v>0</v>
      </c>
    </row>
    <row r="473" spans="1:84" hidden="1" x14ac:dyDescent="0.25">
      <c r="A473" s="27">
        <v>238</v>
      </c>
      <c r="B473" s="2" t="s">
        <v>22</v>
      </c>
      <c r="C473" s="2" t="s">
        <v>23</v>
      </c>
      <c r="D473" s="2" t="s">
        <v>85</v>
      </c>
      <c r="E473" s="2" t="s">
        <v>84</v>
      </c>
      <c r="F473" s="2" t="s">
        <v>98</v>
      </c>
      <c r="G473" s="2" t="s">
        <v>97</v>
      </c>
      <c r="H473" s="2" t="s">
        <v>1123</v>
      </c>
      <c r="I473" s="2" t="s">
        <v>376</v>
      </c>
      <c r="J473" s="2" t="s">
        <v>2748</v>
      </c>
      <c r="K473" s="2" t="s">
        <v>2749</v>
      </c>
      <c r="L473" s="2" t="s">
        <v>2074</v>
      </c>
      <c r="M473" s="2">
        <v>979</v>
      </c>
      <c r="N473" s="2" t="s">
        <v>1658</v>
      </c>
      <c r="O473" s="2">
        <v>46</v>
      </c>
      <c r="P473" s="2">
        <v>392</v>
      </c>
      <c r="Q473" s="2" t="s">
        <v>1658</v>
      </c>
      <c r="R473" s="2">
        <v>46</v>
      </c>
      <c r="S473" s="2" t="s">
        <v>1660</v>
      </c>
      <c r="T473" s="2">
        <v>0</v>
      </c>
      <c r="U473" s="2" t="s">
        <v>32</v>
      </c>
      <c r="V473" s="2" t="s">
        <v>32</v>
      </c>
      <c r="W473" s="2" t="s">
        <v>1660</v>
      </c>
      <c r="X473" s="2">
        <v>0</v>
      </c>
      <c r="Y473" s="2" t="s">
        <v>32</v>
      </c>
      <c r="Z473" s="2" t="s">
        <v>32</v>
      </c>
      <c r="AA473" s="2" t="s">
        <v>1660</v>
      </c>
      <c r="AB473" s="2">
        <v>0</v>
      </c>
      <c r="AC473" s="2" t="s">
        <v>1660</v>
      </c>
      <c r="AD473" s="2">
        <v>0</v>
      </c>
      <c r="AE473" s="2" t="s">
        <v>1660</v>
      </c>
      <c r="AF473" s="2">
        <v>0</v>
      </c>
      <c r="AG473" s="2">
        <v>0</v>
      </c>
      <c r="AH473" s="2" t="s">
        <v>32</v>
      </c>
      <c r="AI473" s="2" t="s">
        <v>32</v>
      </c>
      <c r="AJ473" s="2" t="s">
        <v>32</v>
      </c>
      <c r="AK473" s="2" t="s">
        <v>32</v>
      </c>
      <c r="AL473" s="2" t="s">
        <v>32</v>
      </c>
      <c r="AM473" s="2">
        <v>0</v>
      </c>
      <c r="AN473" s="2" t="s">
        <v>32</v>
      </c>
      <c r="AO473" s="2">
        <v>0</v>
      </c>
      <c r="AP473" s="2" t="s">
        <v>32</v>
      </c>
      <c r="AQ473" s="2" t="s">
        <v>32</v>
      </c>
      <c r="AR473" s="2" t="s">
        <v>32</v>
      </c>
      <c r="AS473" s="2">
        <v>0</v>
      </c>
      <c r="AT473" s="2" t="s">
        <v>32</v>
      </c>
      <c r="AU473" s="2" t="s">
        <v>32</v>
      </c>
      <c r="AV473" s="2" t="s">
        <v>32</v>
      </c>
      <c r="AW473" s="2">
        <v>0</v>
      </c>
      <c r="AX473" s="2" t="s">
        <v>32</v>
      </c>
      <c r="AY473" s="2">
        <v>0</v>
      </c>
      <c r="AZ473" s="2" t="s">
        <v>1660</v>
      </c>
      <c r="BA473" s="2">
        <v>0</v>
      </c>
      <c r="BB473" s="2">
        <v>0</v>
      </c>
      <c r="BC473" s="2" t="s">
        <v>32</v>
      </c>
      <c r="BD473" s="2">
        <v>0</v>
      </c>
      <c r="BE473" s="2" t="s">
        <v>32</v>
      </c>
      <c r="BF473" s="2">
        <v>0</v>
      </c>
      <c r="BG473" s="2" t="s">
        <v>32</v>
      </c>
      <c r="BH473" s="2">
        <v>0</v>
      </c>
      <c r="BI473" s="2" t="s">
        <v>32</v>
      </c>
      <c r="BJ473" s="2" t="s">
        <v>32</v>
      </c>
      <c r="BK473" s="2" t="s">
        <v>32</v>
      </c>
      <c r="BL473" s="2">
        <v>0</v>
      </c>
      <c r="BM473" s="2" t="s">
        <v>32</v>
      </c>
      <c r="BN473" s="2" t="s">
        <v>32</v>
      </c>
      <c r="BO473" s="2" t="s">
        <v>32</v>
      </c>
      <c r="BP473" s="2">
        <v>0</v>
      </c>
      <c r="BQ473" s="2" t="s">
        <v>32</v>
      </c>
      <c r="BR473" s="2">
        <v>0</v>
      </c>
      <c r="BS473" s="2" t="s">
        <v>1660</v>
      </c>
      <c r="BT473" s="2">
        <v>0</v>
      </c>
      <c r="BU473" s="2">
        <v>0</v>
      </c>
      <c r="BV473" s="2" t="s">
        <v>1660</v>
      </c>
      <c r="BW473" s="2"/>
      <c r="BX473" s="2"/>
      <c r="BY473" s="2" t="s">
        <v>1807</v>
      </c>
      <c r="BZ473" s="2" t="b">
        <f>OR( (Dashboard[[#This Row],[ref_as_hh]]&gt;=1),(Dashboard[[#This Row],[ret_as_hh]] &gt;=1), (Dashboard[[#This Row],[idp_as_hh]]&gt;=1))</f>
        <v>0</v>
      </c>
      <c r="CA473" s="2">
        <f>Dashboard[[#This Row],[ret_hi_hh]]</f>
        <v>0</v>
      </c>
      <c r="CB473" s="2">
        <f>Dashboard[[#This Row],[idp_fa_hh]]+Dashboard[[#This Row],[ref_fa_hh]]+Dashboard[[#This Row],[ret_fa_hh]]</f>
        <v>46</v>
      </c>
      <c r="CC473" s="2">
        <f>Dashboard[[#This Row],[idp_loc_hh]]+Dashboard[[#This Row],[ref_loc_hh]]+Dashboard[[#This Row],[ret_loc_hh]]</f>
        <v>0</v>
      </c>
      <c r="CD473" s="2">
        <f>Dashboard[[#This Row],[idp_cc_hh]]+Dashboard[[#This Row],[ref_cc_hh]]+Dashboard[[#This Row],[ret_cc_hh]]</f>
        <v>0</v>
      </c>
      <c r="CE473" s="2">
        <f>Dashboard[[#This Row],[idp_as_hh]]+Dashboard[[#This Row],[ref_as_hh]]+Dashboard[[#This Row],[ret_as_hh]]</f>
        <v>0</v>
      </c>
      <c r="CF473" s="2">
        <f>Dashboard[[#This Row],[idp_al_hh]]+Dashboard[[#This Row],[ref_al_hh]]+Dashboard[[#This Row],[ret_al_hh]]</f>
        <v>0</v>
      </c>
    </row>
    <row r="474" spans="1:84" hidden="1" x14ac:dyDescent="0.25">
      <c r="A474" s="27">
        <v>239</v>
      </c>
      <c r="B474" s="2" t="s">
        <v>22</v>
      </c>
      <c r="C474" s="2" t="s">
        <v>23</v>
      </c>
      <c r="D474" s="2" t="s">
        <v>85</v>
      </c>
      <c r="E474" s="2" t="s">
        <v>84</v>
      </c>
      <c r="F474" s="2" t="s">
        <v>98</v>
      </c>
      <c r="G474" s="2" t="s">
        <v>97</v>
      </c>
      <c r="H474" s="2" t="s">
        <v>1124</v>
      </c>
      <c r="I474" s="2" t="s">
        <v>377</v>
      </c>
      <c r="J474" s="2" t="s">
        <v>2750</v>
      </c>
      <c r="K474" s="2" t="s">
        <v>2751</v>
      </c>
      <c r="L474" s="2" t="s">
        <v>2074</v>
      </c>
      <c r="M474" s="2">
        <v>994</v>
      </c>
      <c r="N474" s="2" t="s">
        <v>1658</v>
      </c>
      <c r="O474" s="2">
        <v>7</v>
      </c>
      <c r="P474" s="2">
        <v>35</v>
      </c>
      <c r="Q474" s="2" t="s">
        <v>1658</v>
      </c>
      <c r="R474" s="2">
        <v>7</v>
      </c>
      <c r="S474" s="2" t="s">
        <v>1660</v>
      </c>
      <c r="T474" s="2">
        <v>0</v>
      </c>
      <c r="U474" s="2" t="s">
        <v>32</v>
      </c>
      <c r="V474" s="2" t="s">
        <v>32</v>
      </c>
      <c r="W474" s="2" t="s">
        <v>1660</v>
      </c>
      <c r="X474" s="2">
        <v>0</v>
      </c>
      <c r="Y474" s="2" t="s">
        <v>32</v>
      </c>
      <c r="Z474" s="2" t="s">
        <v>32</v>
      </c>
      <c r="AA474" s="2" t="s">
        <v>1660</v>
      </c>
      <c r="AB474" s="2">
        <v>0</v>
      </c>
      <c r="AC474" s="2" t="s">
        <v>1660</v>
      </c>
      <c r="AD474" s="2">
        <v>0</v>
      </c>
      <c r="AE474" s="2" t="s">
        <v>1660</v>
      </c>
      <c r="AF474" s="2">
        <v>0</v>
      </c>
      <c r="AG474" s="2">
        <v>0</v>
      </c>
      <c r="AH474" s="2" t="s">
        <v>32</v>
      </c>
      <c r="AI474" s="2" t="s">
        <v>32</v>
      </c>
      <c r="AJ474" s="2" t="s">
        <v>32</v>
      </c>
      <c r="AK474" s="2" t="s">
        <v>32</v>
      </c>
      <c r="AL474" s="2" t="s">
        <v>32</v>
      </c>
      <c r="AM474" s="2">
        <v>0</v>
      </c>
      <c r="AN474" s="2" t="s">
        <v>32</v>
      </c>
      <c r="AO474" s="2">
        <v>0</v>
      </c>
      <c r="AP474" s="2" t="s">
        <v>32</v>
      </c>
      <c r="AQ474" s="2" t="s">
        <v>32</v>
      </c>
      <c r="AR474" s="2" t="s">
        <v>32</v>
      </c>
      <c r="AS474" s="2">
        <v>0</v>
      </c>
      <c r="AT474" s="2" t="s">
        <v>32</v>
      </c>
      <c r="AU474" s="2" t="s">
        <v>32</v>
      </c>
      <c r="AV474" s="2" t="s">
        <v>32</v>
      </c>
      <c r="AW474" s="2">
        <v>0</v>
      </c>
      <c r="AX474" s="2" t="s">
        <v>32</v>
      </c>
      <c r="AY474" s="2">
        <v>0</v>
      </c>
      <c r="AZ474" s="2" t="s">
        <v>1660</v>
      </c>
      <c r="BA474" s="2">
        <v>0</v>
      </c>
      <c r="BB474" s="2">
        <v>0</v>
      </c>
      <c r="BC474" s="2" t="s">
        <v>32</v>
      </c>
      <c r="BD474" s="2">
        <v>0</v>
      </c>
      <c r="BE474" s="2" t="s">
        <v>32</v>
      </c>
      <c r="BF474" s="2">
        <v>0</v>
      </c>
      <c r="BG474" s="2" t="s">
        <v>32</v>
      </c>
      <c r="BH474" s="2">
        <v>0</v>
      </c>
      <c r="BI474" s="2" t="s">
        <v>32</v>
      </c>
      <c r="BJ474" s="2" t="s">
        <v>32</v>
      </c>
      <c r="BK474" s="2" t="s">
        <v>32</v>
      </c>
      <c r="BL474" s="2">
        <v>0</v>
      </c>
      <c r="BM474" s="2" t="s">
        <v>32</v>
      </c>
      <c r="BN474" s="2" t="s">
        <v>32</v>
      </c>
      <c r="BO474" s="2" t="s">
        <v>32</v>
      </c>
      <c r="BP474" s="2">
        <v>0</v>
      </c>
      <c r="BQ474" s="2" t="s">
        <v>32</v>
      </c>
      <c r="BR474" s="2">
        <v>0</v>
      </c>
      <c r="BS474" s="2" t="s">
        <v>1660</v>
      </c>
      <c r="BT474" s="2">
        <v>0</v>
      </c>
      <c r="BU474" s="2">
        <v>0</v>
      </c>
      <c r="BV474" s="2" t="s">
        <v>1660</v>
      </c>
      <c r="BW474" s="2"/>
      <c r="BX474" s="2"/>
      <c r="BY474" s="2" t="s">
        <v>1807</v>
      </c>
      <c r="BZ474" s="2" t="b">
        <f>OR( (Dashboard[[#This Row],[ref_as_hh]]&gt;=1),(Dashboard[[#This Row],[ret_as_hh]] &gt;=1), (Dashboard[[#This Row],[idp_as_hh]]&gt;=1))</f>
        <v>0</v>
      </c>
      <c r="CA474" s="2">
        <f>Dashboard[[#This Row],[ret_hi_hh]]</f>
        <v>0</v>
      </c>
      <c r="CB474" s="2">
        <f>Dashboard[[#This Row],[idp_fa_hh]]+Dashboard[[#This Row],[ref_fa_hh]]+Dashboard[[#This Row],[ret_fa_hh]]</f>
        <v>7</v>
      </c>
      <c r="CC474" s="2">
        <f>Dashboard[[#This Row],[idp_loc_hh]]+Dashboard[[#This Row],[ref_loc_hh]]+Dashboard[[#This Row],[ret_loc_hh]]</f>
        <v>0</v>
      </c>
      <c r="CD474" s="2">
        <f>Dashboard[[#This Row],[idp_cc_hh]]+Dashboard[[#This Row],[ref_cc_hh]]+Dashboard[[#This Row],[ret_cc_hh]]</f>
        <v>0</v>
      </c>
      <c r="CE474" s="2">
        <f>Dashboard[[#This Row],[idp_as_hh]]+Dashboard[[#This Row],[ref_as_hh]]+Dashboard[[#This Row],[ret_as_hh]]</f>
        <v>0</v>
      </c>
      <c r="CF474" s="2">
        <f>Dashboard[[#This Row],[idp_al_hh]]+Dashboard[[#This Row],[ref_al_hh]]+Dashboard[[#This Row],[ret_al_hh]]</f>
        <v>0</v>
      </c>
    </row>
    <row r="475" spans="1:84" hidden="1" x14ac:dyDescent="0.25">
      <c r="A475" s="27">
        <v>240</v>
      </c>
      <c r="B475" s="2" t="s">
        <v>22</v>
      </c>
      <c r="C475" s="2" t="s">
        <v>23</v>
      </c>
      <c r="D475" s="2" t="s">
        <v>85</v>
      </c>
      <c r="E475" s="2" t="s">
        <v>84</v>
      </c>
      <c r="F475" s="2" t="s">
        <v>98</v>
      </c>
      <c r="G475" s="2" t="s">
        <v>97</v>
      </c>
      <c r="H475" s="2" t="s">
        <v>1506</v>
      </c>
      <c r="I475" s="2" t="s">
        <v>810</v>
      </c>
      <c r="J475" s="2" t="s">
        <v>2758</v>
      </c>
      <c r="K475" s="2" t="s">
        <v>2759</v>
      </c>
      <c r="L475" s="2" t="s">
        <v>2074</v>
      </c>
      <c r="M475" s="2">
        <v>345</v>
      </c>
      <c r="N475" s="2" t="s">
        <v>1660</v>
      </c>
      <c r="O475" s="2">
        <v>0</v>
      </c>
      <c r="P475" s="2">
        <v>0</v>
      </c>
      <c r="Q475" s="2" t="s">
        <v>32</v>
      </c>
      <c r="R475" s="2">
        <v>0</v>
      </c>
      <c r="S475" s="2" t="s">
        <v>32</v>
      </c>
      <c r="T475" s="2">
        <v>0</v>
      </c>
      <c r="U475" s="2" t="s">
        <v>32</v>
      </c>
      <c r="V475" s="2" t="s">
        <v>32</v>
      </c>
      <c r="W475" s="2" t="s">
        <v>32</v>
      </c>
      <c r="X475" s="2">
        <v>0</v>
      </c>
      <c r="Y475" s="2" t="s">
        <v>32</v>
      </c>
      <c r="Z475" s="2" t="s">
        <v>32</v>
      </c>
      <c r="AA475" s="2" t="s">
        <v>32</v>
      </c>
      <c r="AB475" s="2">
        <v>0</v>
      </c>
      <c r="AC475" s="2" t="s">
        <v>32</v>
      </c>
      <c r="AD475" s="2">
        <v>0</v>
      </c>
      <c r="AE475" s="2" t="s">
        <v>1658</v>
      </c>
      <c r="AF475" s="2">
        <v>20</v>
      </c>
      <c r="AG475" s="2">
        <v>170</v>
      </c>
      <c r="AH475" s="2" t="s">
        <v>1660</v>
      </c>
      <c r="AI475" s="2" t="s">
        <v>32</v>
      </c>
      <c r="AJ475" s="2" t="s">
        <v>32</v>
      </c>
      <c r="AK475" s="2" t="s">
        <v>32</v>
      </c>
      <c r="AL475" s="2" t="s">
        <v>1658</v>
      </c>
      <c r="AM475" s="2">
        <v>20</v>
      </c>
      <c r="AN475" s="2" t="s">
        <v>1660</v>
      </c>
      <c r="AO475" s="2">
        <v>0</v>
      </c>
      <c r="AP475" s="2" t="s">
        <v>32</v>
      </c>
      <c r="AQ475" s="2" t="s">
        <v>32</v>
      </c>
      <c r="AR475" s="2" t="s">
        <v>1660</v>
      </c>
      <c r="AS475" s="2">
        <v>0</v>
      </c>
      <c r="AT475" s="2" t="s">
        <v>32</v>
      </c>
      <c r="AU475" s="2" t="s">
        <v>32</v>
      </c>
      <c r="AV475" s="2" t="s">
        <v>1660</v>
      </c>
      <c r="AW475" s="2">
        <v>0</v>
      </c>
      <c r="AX475" s="2" t="s">
        <v>1660</v>
      </c>
      <c r="AY475" s="2">
        <v>0</v>
      </c>
      <c r="AZ475" s="2" t="s">
        <v>1660</v>
      </c>
      <c r="BA475" s="2">
        <v>0</v>
      </c>
      <c r="BB475" s="2">
        <v>0</v>
      </c>
      <c r="BC475" s="2" t="s">
        <v>32</v>
      </c>
      <c r="BD475" s="2">
        <v>0</v>
      </c>
      <c r="BE475" s="2" t="s">
        <v>32</v>
      </c>
      <c r="BF475" s="2">
        <v>0</v>
      </c>
      <c r="BG475" s="2" t="s">
        <v>32</v>
      </c>
      <c r="BH475" s="2">
        <v>0</v>
      </c>
      <c r="BI475" s="2" t="s">
        <v>32</v>
      </c>
      <c r="BJ475" s="2" t="s">
        <v>32</v>
      </c>
      <c r="BK475" s="2" t="s">
        <v>32</v>
      </c>
      <c r="BL475" s="2">
        <v>0</v>
      </c>
      <c r="BM475" s="2" t="s">
        <v>32</v>
      </c>
      <c r="BN475" s="2" t="s">
        <v>32</v>
      </c>
      <c r="BO475" s="2" t="s">
        <v>32</v>
      </c>
      <c r="BP475" s="2">
        <v>0</v>
      </c>
      <c r="BQ475" s="2" t="s">
        <v>32</v>
      </c>
      <c r="BR475" s="2">
        <v>0</v>
      </c>
      <c r="BS475" s="2" t="s">
        <v>1660</v>
      </c>
      <c r="BT475" s="2">
        <v>0</v>
      </c>
      <c r="BU475" s="2">
        <v>0</v>
      </c>
      <c r="BV475" s="2" t="s">
        <v>1660</v>
      </c>
      <c r="BW475" s="2"/>
      <c r="BX475" s="2"/>
      <c r="BY475" s="2" t="s">
        <v>1807</v>
      </c>
      <c r="BZ475" s="2" t="b">
        <f>OR( (Dashboard[[#This Row],[ref_as_hh]]&gt;=1),(Dashboard[[#This Row],[ret_as_hh]] &gt;=1), (Dashboard[[#This Row],[idp_as_hh]]&gt;=1))</f>
        <v>0</v>
      </c>
      <c r="CA475" s="2">
        <f>Dashboard[[#This Row],[ret_hi_hh]]</f>
        <v>0</v>
      </c>
      <c r="CB475" s="2">
        <f>Dashboard[[#This Row],[idp_fa_hh]]+Dashboard[[#This Row],[ref_fa_hh]]+Dashboard[[#This Row],[ret_fa_hh]]</f>
        <v>20</v>
      </c>
      <c r="CC475" s="2">
        <f>Dashboard[[#This Row],[idp_loc_hh]]+Dashboard[[#This Row],[ref_loc_hh]]+Dashboard[[#This Row],[ret_loc_hh]]</f>
        <v>0</v>
      </c>
      <c r="CD475" s="2">
        <f>Dashboard[[#This Row],[idp_cc_hh]]+Dashboard[[#This Row],[ref_cc_hh]]+Dashboard[[#This Row],[ret_cc_hh]]</f>
        <v>0</v>
      </c>
      <c r="CE475" s="2">
        <f>Dashboard[[#This Row],[idp_as_hh]]+Dashboard[[#This Row],[ref_as_hh]]+Dashboard[[#This Row],[ret_as_hh]]</f>
        <v>0</v>
      </c>
      <c r="CF475" s="2">
        <f>Dashboard[[#This Row],[idp_al_hh]]+Dashboard[[#This Row],[ref_al_hh]]+Dashboard[[#This Row],[ret_al_hh]]</f>
        <v>0</v>
      </c>
    </row>
    <row r="476" spans="1:84" hidden="1" x14ac:dyDescent="0.25">
      <c r="A476" s="27">
        <v>241</v>
      </c>
      <c r="B476" s="2" t="s">
        <v>22</v>
      </c>
      <c r="C476" s="2" t="s">
        <v>23</v>
      </c>
      <c r="D476" s="2" t="s">
        <v>85</v>
      </c>
      <c r="E476" s="2" t="s">
        <v>84</v>
      </c>
      <c r="F476" s="2" t="s">
        <v>98</v>
      </c>
      <c r="G476" s="2" t="s">
        <v>97</v>
      </c>
      <c r="H476" s="2" t="s">
        <v>1231</v>
      </c>
      <c r="I476" s="2" t="s">
        <v>430</v>
      </c>
      <c r="J476" s="2" t="s">
        <v>2990</v>
      </c>
      <c r="K476" s="2" t="s">
        <v>2991</v>
      </c>
      <c r="L476" s="2" t="s">
        <v>2074</v>
      </c>
      <c r="M476" s="2">
        <v>1511</v>
      </c>
      <c r="N476" s="2" t="s">
        <v>1658</v>
      </c>
      <c r="O476" s="2">
        <v>47</v>
      </c>
      <c r="P476" s="2">
        <v>434</v>
      </c>
      <c r="Q476" s="2" t="s">
        <v>1658</v>
      </c>
      <c r="R476" s="2">
        <v>47</v>
      </c>
      <c r="S476" s="2" t="s">
        <v>1660</v>
      </c>
      <c r="T476" s="2">
        <v>0</v>
      </c>
      <c r="U476" s="2" t="s">
        <v>32</v>
      </c>
      <c r="V476" s="2" t="s">
        <v>32</v>
      </c>
      <c r="W476" s="2" t="s">
        <v>1660</v>
      </c>
      <c r="X476" s="2">
        <v>0</v>
      </c>
      <c r="Y476" s="2" t="s">
        <v>32</v>
      </c>
      <c r="Z476" s="2" t="s">
        <v>32</v>
      </c>
      <c r="AA476" s="2" t="s">
        <v>1660</v>
      </c>
      <c r="AB476" s="2">
        <v>0</v>
      </c>
      <c r="AC476" s="2" t="s">
        <v>1660</v>
      </c>
      <c r="AD476" s="2">
        <v>0</v>
      </c>
      <c r="AE476" s="2" t="s">
        <v>1660</v>
      </c>
      <c r="AF476" s="2">
        <v>0</v>
      </c>
      <c r="AG476" s="2">
        <v>0</v>
      </c>
      <c r="AH476" s="2" t="s">
        <v>32</v>
      </c>
      <c r="AI476" s="2" t="s">
        <v>32</v>
      </c>
      <c r="AJ476" s="2" t="s">
        <v>32</v>
      </c>
      <c r="AK476" s="2" t="s">
        <v>32</v>
      </c>
      <c r="AL476" s="2" t="s">
        <v>32</v>
      </c>
      <c r="AM476" s="2">
        <v>0</v>
      </c>
      <c r="AN476" s="2" t="s">
        <v>32</v>
      </c>
      <c r="AO476" s="2">
        <v>0</v>
      </c>
      <c r="AP476" s="2" t="s">
        <v>32</v>
      </c>
      <c r="AQ476" s="2" t="s">
        <v>32</v>
      </c>
      <c r="AR476" s="2" t="s">
        <v>32</v>
      </c>
      <c r="AS476" s="2">
        <v>0</v>
      </c>
      <c r="AT476" s="2" t="s">
        <v>32</v>
      </c>
      <c r="AU476" s="2" t="s">
        <v>32</v>
      </c>
      <c r="AV476" s="2" t="s">
        <v>32</v>
      </c>
      <c r="AW476" s="2">
        <v>0</v>
      </c>
      <c r="AX476" s="2" t="s">
        <v>32</v>
      </c>
      <c r="AY476" s="2">
        <v>0</v>
      </c>
      <c r="AZ476" s="2" t="s">
        <v>1658</v>
      </c>
      <c r="BA476" s="2">
        <v>5</v>
      </c>
      <c r="BB476" s="2">
        <v>56</v>
      </c>
      <c r="BC476" s="2" t="s">
        <v>1660</v>
      </c>
      <c r="BD476" s="2">
        <v>0</v>
      </c>
      <c r="BE476" s="2" t="s">
        <v>1658</v>
      </c>
      <c r="BF476" s="2">
        <v>5</v>
      </c>
      <c r="BG476" s="2" t="s">
        <v>1660</v>
      </c>
      <c r="BH476" s="2">
        <v>0</v>
      </c>
      <c r="BI476" s="2" t="s">
        <v>32</v>
      </c>
      <c r="BJ476" s="2" t="s">
        <v>32</v>
      </c>
      <c r="BK476" s="2" t="s">
        <v>1660</v>
      </c>
      <c r="BL476" s="2">
        <v>0</v>
      </c>
      <c r="BM476" s="2" t="s">
        <v>32</v>
      </c>
      <c r="BN476" s="2" t="s">
        <v>32</v>
      </c>
      <c r="BO476" s="2" t="s">
        <v>1660</v>
      </c>
      <c r="BP476" s="2">
        <v>0</v>
      </c>
      <c r="BQ476" s="2" t="s">
        <v>1660</v>
      </c>
      <c r="BR476" s="2">
        <v>0</v>
      </c>
      <c r="BS476" s="2" t="s">
        <v>1660</v>
      </c>
      <c r="BT476" s="2">
        <v>0</v>
      </c>
      <c r="BU476" s="2">
        <v>0</v>
      </c>
      <c r="BV476" s="2" t="s">
        <v>1660</v>
      </c>
      <c r="BW476" s="2"/>
      <c r="BX476" s="2"/>
      <c r="BY476" s="2" t="s">
        <v>1807</v>
      </c>
      <c r="BZ476" s="2" t="b">
        <f>OR( (Dashboard[[#This Row],[ref_as_hh]]&gt;=1),(Dashboard[[#This Row],[ret_as_hh]] &gt;=1), (Dashboard[[#This Row],[idp_as_hh]]&gt;=1))</f>
        <v>0</v>
      </c>
      <c r="CA476" s="2">
        <f>Dashboard[[#This Row],[ret_hi_hh]]</f>
        <v>0</v>
      </c>
      <c r="CB476" s="2">
        <f>Dashboard[[#This Row],[idp_fa_hh]]+Dashboard[[#This Row],[ref_fa_hh]]+Dashboard[[#This Row],[ret_fa_hh]]</f>
        <v>52</v>
      </c>
      <c r="CC476" s="2">
        <f>Dashboard[[#This Row],[idp_loc_hh]]+Dashboard[[#This Row],[ref_loc_hh]]+Dashboard[[#This Row],[ret_loc_hh]]</f>
        <v>0</v>
      </c>
      <c r="CD476" s="2">
        <f>Dashboard[[#This Row],[idp_cc_hh]]+Dashboard[[#This Row],[ref_cc_hh]]+Dashboard[[#This Row],[ret_cc_hh]]</f>
        <v>0</v>
      </c>
      <c r="CE476" s="2">
        <f>Dashboard[[#This Row],[idp_as_hh]]+Dashboard[[#This Row],[ref_as_hh]]+Dashboard[[#This Row],[ret_as_hh]]</f>
        <v>0</v>
      </c>
      <c r="CF476" s="2">
        <f>Dashboard[[#This Row],[idp_al_hh]]+Dashboard[[#This Row],[ref_al_hh]]+Dashboard[[#This Row],[ret_al_hh]]</f>
        <v>0</v>
      </c>
    </row>
    <row r="477" spans="1:84" hidden="1" x14ac:dyDescent="0.25">
      <c r="A477" s="27">
        <v>242</v>
      </c>
      <c r="B477" s="2" t="s">
        <v>22</v>
      </c>
      <c r="C477" s="2" t="s">
        <v>23</v>
      </c>
      <c r="D477" s="2" t="s">
        <v>85</v>
      </c>
      <c r="E477" s="2" t="s">
        <v>84</v>
      </c>
      <c r="F477" s="2" t="s">
        <v>98</v>
      </c>
      <c r="G477" s="2" t="s">
        <v>97</v>
      </c>
      <c r="H477" s="2" t="s">
        <v>1194</v>
      </c>
      <c r="I477" s="2" t="s">
        <v>406</v>
      </c>
      <c r="J477" s="2" t="s">
        <v>2894</v>
      </c>
      <c r="K477" s="2" t="s">
        <v>2895</v>
      </c>
      <c r="L477" s="2" t="s">
        <v>2074</v>
      </c>
      <c r="M477" s="2">
        <v>697</v>
      </c>
      <c r="N477" s="2" t="s">
        <v>1658</v>
      </c>
      <c r="O477" s="2">
        <v>34</v>
      </c>
      <c r="P477" s="2">
        <v>202</v>
      </c>
      <c r="Q477" s="2" t="s">
        <v>1658</v>
      </c>
      <c r="R477" s="2">
        <v>34</v>
      </c>
      <c r="S477" s="2" t="s">
        <v>1660</v>
      </c>
      <c r="T477" s="2">
        <v>0</v>
      </c>
      <c r="U477" s="2" t="s">
        <v>32</v>
      </c>
      <c r="V477" s="2" t="s">
        <v>32</v>
      </c>
      <c r="W477" s="2" t="s">
        <v>1660</v>
      </c>
      <c r="X477" s="2">
        <v>0</v>
      </c>
      <c r="Y477" s="2" t="s">
        <v>32</v>
      </c>
      <c r="Z477" s="2" t="s">
        <v>32</v>
      </c>
      <c r="AA477" s="2" t="s">
        <v>1660</v>
      </c>
      <c r="AB477" s="2">
        <v>0</v>
      </c>
      <c r="AC477" s="2" t="s">
        <v>1660</v>
      </c>
      <c r="AD477" s="2">
        <v>0</v>
      </c>
      <c r="AE477" s="2" t="s">
        <v>1660</v>
      </c>
      <c r="AF477" s="2">
        <v>0</v>
      </c>
      <c r="AG477" s="2">
        <v>0</v>
      </c>
      <c r="AH477" s="2" t="s">
        <v>32</v>
      </c>
      <c r="AI477" s="2" t="s">
        <v>32</v>
      </c>
      <c r="AJ477" s="2" t="s">
        <v>32</v>
      </c>
      <c r="AK477" s="2" t="s">
        <v>32</v>
      </c>
      <c r="AL477" s="2" t="s">
        <v>32</v>
      </c>
      <c r="AM477" s="2">
        <v>0</v>
      </c>
      <c r="AN477" s="2" t="s">
        <v>32</v>
      </c>
      <c r="AO477" s="2">
        <v>0</v>
      </c>
      <c r="AP477" s="2" t="s">
        <v>32</v>
      </c>
      <c r="AQ477" s="2" t="s">
        <v>32</v>
      </c>
      <c r="AR477" s="2" t="s">
        <v>32</v>
      </c>
      <c r="AS477" s="2">
        <v>0</v>
      </c>
      <c r="AT477" s="2" t="s">
        <v>32</v>
      </c>
      <c r="AU477" s="2" t="s">
        <v>32</v>
      </c>
      <c r="AV477" s="2" t="s">
        <v>32</v>
      </c>
      <c r="AW477" s="2">
        <v>0</v>
      </c>
      <c r="AX477" s="2" t="s">
        <v>32</v>
      </c>
      <c r="AY477" s="2">
        <v>0</v>
      </c>
      <c r="AZ477" s="2" t="s">
        <v>1660</v>
      </c>
      <c r="BA477" s="2">
        <v>0</v>
      </c>
      <c r="BB477" s="2">
        <v>0</v>
      </c>
      <c r="BC477" s="2" t="s">
        <v>32</v>
      </c>
      <c r="BD477" s="2">
        <v>0</v>
      </c>
      <c r="BE477" s="2" t="s">
        <v>32</v>
      </c>
      <c r="BF477" s="2">
        <v>0</v>
      </c>
      <c r="BG477" s="2" t="s">
        <v>32</v>
      </c>
      <c r="BH477" s="2">
        <v>0</v>
      </c>
      <c r="BI477" s="2" t="s">
        <v>32</v>
      </c>
      <c r="BJ477" s="2" t="s">
        <v>32</v>
      </c>
      <c r="BK477" s="2" t="s">
        <v>32</v>
      </c>
      <c r="BL477" s="2">
        <v>0</v>
      </c>
      <c r="BM477" s="2" t="s">
        <v>32</v>
      </c>
      <c r="BN477" s="2" t="s">
        <v>32</v>
      </c>
      <c r="BO477" s="2" t="s">
        <v>32</v>
      </c>
      <c r="BP477" s="2">
        <v>0</v>
      </c>
      <c r="BQ477" s="2" t="s">
        <v>32</v>
      </c>
      <c r="BR477" s="2">
        <v>0</v>
      </c>
      <c r="BS477" s="2" t="s">
        <v>1660</v>
      </c>
      <c r="BT477" s="2">
        <v>0</v>
      </c>
      <c r="BU477" s="2">
        <v>0</v>
      </c>
      <c r="BV477" s="2" t="s">
        <v>1660</v>
      </c>
      <c r="BW477" s="2"/>
      <c r="BX477" s="2"/>
      <c r="BY477" s="2" t="s">
        <v>1807</v>
      </c>
      <c r="BZ477" s="2" t="b">
        <f>OR( (Dashboard[[#This Row],[ref_as_hh]]&gt;=1),(Dashboard[[#This Row],[ret_as_hh]] &gt;=1), (Dashboard[[#This Row],[idp_as_hh]]&gt;=1))</f>
        <v>0</v>
      </c>
      <c r="CA477" s="2">
        <f>Dashboard[[#This Row],[ret_hi_hh]]</f>
        <v>0</v>
      </c>
      <c r="CB477" s="2">
        <f>Dashboard[[#This Row],[idp_fa_hh]]+Dashboard[[#This Row],[ref_fa_hh]]+Dashboard[[#This Row],[ret_fa_hh]]</f>
        <v>34</v>
      </c>
      <c r="CC477" s="2">
        <f>Dashboard[[#This Row],[idp_loc_hh]]+Dashboard[[#This Row],[ref_loc_hh]]+Dashboard[[#This Row],[ret_loc_hh]]</f>
        <v>0</v>
      </c>
      <c r="CD477" s="2">
        <f>Dashboard[[#This Row],[idp_cc_hh]]+Dashboard[[#This Row],[ref_cc_hh]]+Dashboard[[#This Row],[ret_cc_hh]]</f>
        <v>0</v>
      </c>
      <c r="CE477" s="2">
        <f>Dashboard[[#This Row],[idp_as_hh]]+Dashboard[[#This Row],[ref_as_hh]]+Dashboard[[#This Row],[ret_as_hh]]</f>
        <v>0</v>
      </c>
      <c r="CF477" s="2">
        <f>Dashboard[[#This Row],[idp_al_hh]]+Dashboard[[#This Row],[ref_al_hh]]+Dashboard[[#This Row],[ret_al_hh]]</f>
        <v>0</v>
      </c>
    </row>
    <row r="478" spans="1:84" hidden="1" x14ac:dyDescent="0.25">
      <c r="A478" s="27">
        <v>243</v>
      </c>
      <c r="B478" s="2" t="s">
        <v>22</v>
      </c>
      <c r="C478" s="2" t="s">
        <v>23</v>
      </c>
      <c r="D478" s="2" t="s">
        <v>85</v>
      </c>
      <c r="E478" s="2" t="s">
        <v>84</v>
      </c>
      <c r="F478" s="2" t="s">
        <v>98</v>
      </c>
      <c r="G478" s="2" t="s">
        <v>97</v>
      </c>
      <c r="H478" s="2" t="s">
        <v>1269</v>
      </c>
      <c r="I478" s="2" t="s">
        <v>448</v>
      </c>
      <c r="J478" s="2" t="s">
        <v>3064</v>
      </c>
      <c r="K478" s="2" t="s">
        <v>3065</v>
      </c>
      <c r="L478" s="2" t="s">
        <v>2074</v>
      </c>
      <c r="M478" s="2">
        <v>1393</v>
      </c>
      <c r="N478" s="2" t="s">
        <v>1658</v>
      </c>
      <c r="O478" s="2">
        <v>19</v>
      </c>
      <c r="P478" s="2">
        <v>178</v>
      </c>
      <c r="Q478" s="2" t="s">
        <v>1658</v>
      </c>
      <c r="R478" s="2">
        <v>19</v>
      </c>
      <c r="S478" s="2" t="s">
        <v>1660</v>
      </c>
      <c r="T478" s="2">
        <v>0</v>
      </c>
      <c r="U478" s="2" t="s">
        <v>32</v>
      </c>
      <c r="V478" s="2" t="s">
        <v>32</v>
      </c>
      <c r="W478" s="2" t="s">
        <v>1660</v>
      </c>
      <c r="X478" s="2">
        <v>0</v>
      </c>
      <c r="Y478" s="2" t="s">
        <v>32</v>
      </c>
      <c r="Z478" s="2" t="s">
        <v>32</v>
      </c>
      <c r="AA478" s="2" t="s">
        <v>1660</v>
      </c>
      <c r="AB478" s="2">
        <v>0</v>
      </c>
      <c r="AC478" s="2" t="s">
        <v>1660</v>
      </c>
      <c r="AD478" s="2">
        <v>0</v>
      </c>
      <c r="AE478" s="2" t="s">
        <v>1660</v>
      </c>
      <c r="AF478" s="2">
        <v>0</v>
      </c>
      <c r="AG478" s="2">
        <v>0</v>
      </c>
      <c r="AH478" s="2" t="s">
        <v>32</v>
      </c>
      <c r="AI478" s="2" t="s">
        <v>32</v>
      </c>
      <c r="AJ478" s="2" t="s">
        <v>32</v>
      </c>
      <c r="AK478" s="2" t="s">
        <v>32</v>
      </c>
      <c r="AL478" s="2" t="s">
        <v>32</v>
      </c>
      <c r="AM478" s="2">
        <v>0</v>
      </c>
      <c r="AN478" s="2" t="s">
        <v>32</v>
      </c>
      <c r="AO478" s="2">
        <v>0</v>
      </c>
      <c r="AP478" s="2" t="s">
        <v>32</v>
      </c>
      <c r="AQ478" s="2" t="s">
        <v>32</v>
      </c>
      <c r="AR478" s="2" t="s">
        <v>32</v>
      </c>
      <c r="AS478" s="2">
        <v>0</v>
      </c>
      <c r="AT478" s="2" t="s">
        <v>32</v>
      </c>
      <c r="AU478" s="2" t="s">
        <v>32</v>
      </c>
      <c r="AV478" s="2" t="s">
        <v>32</v>
      </c>
      <c r="AW478" s="2">
        <v>0</v>
      </c>
      <c r="AX478" s="2" t="s">
        <v>32</v>
      </c>
      <c r="AY478" s="2">
        <v>0</v>
      </c>
      <c r="AZ478" s="2" t="s">
        <v>1660</v>
      </c>
      <c r="BA478" s="2">
        <v>0</v>
      </c>
      <c r="BB478" s="2">
        <v>0</v>
      </c>
      <c r="BC478" s="2" t="s">
        <v>32</v>
      </c>
      <c r="BD478" s="2">
        <v>0</v>
      </c>
      <c r="BE478" s="2" t="s">
        <v>32</v>
      </c>
      <c r="BF478" s="2">
        <v>0</v>
      </c>
      <c r="BG478" s="2" t="s">
        <v>32</v>
      </c>
      <c r="BH478" s="2">
        <v>0</v>
      </c>
      <c r="BI478" s="2" t="s">
        <v>32</v>
      </c>
      <c r="BJ478" s="2" t="s">
        <v>32</v>
      </c>
      <c r="BK478" s="2" t="s">
        <v>32</v>
      </c>
      <c r="BL478" s="2">
        <v>0</v>
      </c>
      <c r="BM478" s="2" t="s">
        <v>32</v>
      </c>
      <c r="BN478" s="2" t="s">
        <v>32</v>
      </c>
      <c r="BO478" s="2" t="s">
        <v>32</v>
      </c>
      <c r="BP478" s="2">
        <v>0</v>
      </c>
      <c r="BQ478" s="2" t="s">
        <v>32</v>
      </c>
      <c r="BR478" s="2">
        <v>0</v>
      </c>
      <c r="BS478" s="2" t="s">
        <v>1660</v>
      </c>
      <c r="BT478" s="2">
        <v>0</v>
      </c>
      <c r="BU478" s="2">
        <v>0</v>
      </c>
      <c r="BV478" s="2" t="s">
        <v>1660</v>
      </c>
      <c r="BW478" s="2"/>
      <c r="BX478" s="2"/>
      <c r="BY478" s="2" t="s">
        <v>1807</v>
      </c>
      <c r="BZ478" s="2" t="b">
        <f>OR( (Dashboard[[#This Row],[ref_as_hh]]&gt;=1),(Dashboard[[#This Row],[ret_as_hh]] &gt;=1), (Dashboard[[#This Row],[idp_as_hh]]&gt;=1))</f>
        <v>0</v>
      </c>
      <c r="CA478" s="2">
        <f>Dashboard[[#This Row],[ret_hi_hh]]</f>
        <v>0</v>
      </c>
      <c r="CB478" s="2">
        <f>Dashboard[[#This Row],[idp_fa_hh]]+Dashboard[[#This Row],[ref_fa_hh]]+Dashboard[[#This Row],[ret_fa_hh]]</f>
        <v>19</v>
      </c>
      <c r="CC478" s="2">
        <f>Dashboard[[#This Row],[idp_loc_hh]]+Dashboard[[#This Row],[ref_loc_hh]]+Dashboard[[#This Row],[ret_loc_hh]]</f>
        <v>0</v>
      </c>
      <c r="CD478" s="2">
        <f>Dashboard[[#This Row],[idp_cc_hh]]+Dashboard[[#This Row],[ref_cc_hh]]+Dashboard[[#This Row],[ret_cc_hh]]</f>
        <v>0</v>
      </c>
      <c r="CE478" s="2">
        <f>Dashboard[[#This Row],[idp_as_hh]]+Dashboard[[#This Row],[ref_as_hh]]+Dashboard[[#This Row],[ret_as_hh]]</f>
        <v>0</v>
      </c>
      <c r="CF478" s="2">
        <f>Dashboard[[#This Row],[idp_al_hh]]+Dashboard[[#This Row],[ref_al_hh]]+Dashboard[[#This Row],[ret_al_hh]]</f>
        <v>0</v>
      </c>
    </row>
    <row r="479" spans="1:84" hidden="1" x14ac:dyDescent="0.25">
      <c r="A479" s="27">
        <v>244</v>
      </c>
      <c r="B479" s="2" t="s">
        <v>22</v>
      </c>
      <c r="C479" s="2" t="s">
        <v>23</v>
      </c>
      <c r="D479" s="2" t="s">
        <v>85</v>
      </c>
      <c r="E479" s="2" t="s">
        <v>84</v>
      </c>
      <c r="F479" s="2" t="s">
        <v>98</v>
      </c>
      <c r="G479" s="2" t="s">
        <v>97</v>
      </c>
      <c r="H479" s="2" t="s">
        <v>1180</v>
      </c>
      <c r="I479" s="2" t="s">
        <v>400</v>
      </c>
      <c r="J479" s="2" t="s">
        <v>2864</v>
      </c>
      <c r="K479" s="2" t="s">
        <v>2865</v>
      </c>
      <c r="L479" s="2" t="s">
        <v>2074</v>
      </c>
      <c r="M479" s="2">
        <v>867</v>
      </c>
      <c r="N479" s="2" t="s">
        <v>1658</v>
      </c>
      <c r="O479" s="2">
        <v>15</v>
      </c>
      <c r="P479" s="2">
        <v>134</v>
      </c>
      <c r="Q479" s="2" t="s">
        <v>1658</v>
      </c>
      <c r="R479" s="2">
        <v>15</v>
      </c>
      <c r="S479" s="2" t="s">
        <v>1660</v>
      </c>
      <c r="T479" s="2">
        <v>0</v>
      </c>
      <c r="U479" s="2" t="s">
        <v>32</v>
      </c>
      <c r="V479" s="2" t="s">
        <v>32</v>
      </c>
      <c r="W479" s="2" t="s">
        <v>1660</v>
      </c>
      <c r="X479" s="2">
        <v>0</v>
      </c>
      <c r="Y479" s="2" t="s">
        <v>32</v>
      </c>
      <c r="Z479" s="2" t="s">
        <v>32</v>
      </c>
      <c r="AA479" s="2" t="s">
        <v>1660</v>
      </c>
      <c r="AB479" s="2">
        <v>0</v>
      </c>
      <c r="AC479" s="2" t="s">
        <v>1660</v>
      </c>
      <c r="AD479" s="2">
        <v>0</v>
      </c>
      <c r="AE479" s="2" t="s">
        <v>1660</v>
      </c>
      <c r="AF479" s="2">
        <v>0</v>
      </c>
      <c r="AG479" s="2">
        <v>0</v>
      </c>
      <c r="AH479" s="2" t="s">
        <v>32</v>
      </c>
      <c r="AI479" s="2" t="s">
        <v>32</v>
      </c>
      <c r="AJ479" s="2" t="s">
        <v>32</v>
      </c>
      <c r="AK479" s="2" t="s">
        <v>32</v>
      </c>
      <c r="AL479" s="2" t="s">
        <v>32</v>
      </c>
      <c r="AM479" s="2">
        <v>0</v>
      </c>
      <c r="AN479" s="2" t="s">
        <v>32</v>
      </c>
      <c r="AO479" s="2">
        <v>0</v>
      </c>
      <c r="AP479" s="2" t="s">
        <v>32</v>
      </c>
      <c r="AQ479" s="2" t="s">
        <v>32</v>
      </c>
      <c r="AR479" s="2" t="s">
        <v>32</v>
      </c>
      <c r="AS479" s="2">
        <v>0</v>
      </c>
      <c r="AT479" s="2" t="s">
        <v>32</v>
      </c>
      <c r="AU479" s="2" t="s">
        <v>32</v>
      </c>
      <c r="AV479" s="2" t="s">
        <v>32</v>
      </c>
      <c r="AW479" s="2">
        <v>0</v>
      </c>
      <c r="AX479" s="2" t="s">
        <v>32</v>
      </c>
      <c r="AY479" s="2">
        <v>0</v>
      </c>
      <c r="AZ479" s="2" t="s">
        <v>1660</v>
      </c>
      <c r="BA479" s="2">
        <v>0</v>
      </c>
      <c r="BB479" s="2">
        <v>0</v>
      </c>
      <c r="BC479" s="2" t="s">
        <v>32</v>
      </c>
      <c r="BD479" s="2">
        <v>0</v>
      </c>
      <c r="BE479" s="2" t="s">
        <v>32</v>
      </c>
      <c r="BF479" s="2">
        <v>0</v>
      </c>
      <c r="BG479" s="2" t="s">
        <v>32</v>
      </c>
      <c r="BH479" s="2">
        <v>0</v>
      </c>
      <c r="BI479" s="2" t="s">
        <v>32</v>
      </c>
      <c r="BJ479" s="2" t="s">
        <v>32</v>
      </c>
      <c r="BK479" s="2" t="s">
        <v>32</v>
      </c>
      <c r="BL479" s="2">
        <v>0</v>
      </c>
      <c r="BM479" s="2" t="s">
        <v>32</v>
      </c>
      <c r="BN479" s="2" t="s">
        <v>32</v>
      </c>
      <c r="BO479" s="2" t="s">
        <v>32</v>
      </c>
      <c r="BP479" s="2">
        <v>0</v>
      </c>
      <c r="BQ479" s="2" t="s">
        <v>32</v>
      </c>
      <c r="BR479" s="2">
        <v>0</v>
      </c>
      <c r="BS479" s="2" t="s">
        <v>1660</v>
      </c>
      <c r="BT479" s="2">
        <v>0</v>
      </c>
      <c r="BU479" s="2">
        <v>0</v>
      </c>
      <c r="BV479" s="2" t="s">
        <v>1660</v>
      </c>
      <c r="BW479" s="2"/>
      <c r="BX479" s="2"/>
      <c r="BY479" s="2" t="s">
        <v>1807</v>
      </c>
      <c r="BZ479" s="2" t="b">
        <f>OR( (Dashboard[[#This Row],[ref_as_hh]]&gt;=1),(Dashboard[[#This Row],[ret_as_hh]] &gt;=1), (Dashboard[[#This Row],[idp_as_hh]]&gt;=1))</f>
        <v>0</v>
      </c>
      <c r="CA479" s="2">
        <f>Dashboard[[#This Row],[ret_hi_hh]]</f>
        <v>0</v>
      </c>
      <c r="CB479" s="2">
        <f>Dashboard[[#This Row],[idp_fa_hh]]+Dashboard[[#This Row],[ref_fa_hh]]+Dashboard[[#This Row],[ret_fa_hh]]</f>
        <v>15</v>
      </c>
      <c r="CC479" s="2">
        <f>Dashboard[[#This Row],[idp_loc_hh]]+Dashboard[[#This Row],[ref_loc_hh]]+Dashboard[[#This Row],[ret_loc_hh]]</f>
        <v>0</v>
      </c>
      <c r="CD479" s="2">
        <f>Dashboard[[#This Row],[idp_cc_hh]]+Dashboard[[#This Row],[ref_cc_hh]]+Dashboard[[#This Row],[ret_cc_hh]]</f>
        <v>0</v>
      </c>
      <c r="CE479" s="2">
        <f>Dashboard[[#This Row],[idp_as_hh]]+Dashboard[[#This Row],[ref_as_hh]]+Dashboard[[#This Row],[ret_as_hh]]</f>
        <v>0</v>
      </c>
      <c r="CF479" s="2">
        <f>Dashboard[[#This Row],[idp_al_hh]]+Dashboard[[#This Row],[ref_al_hh]]+Dashboard[[#This Row],[ret_al_hh]]</f>
        <v>0</v>
      </c>
    </row>
    <row r="480" spans="1:84" hidden="1" x14ac:dyDescent="0.25">
      <c r="A480" s="27">
        <v>247</v>
      </c>
      <c r="B480" s="2" t="s">
        <v>22</v>
      </c>
      <c r="C480" s="2" t="s">
        <v>23</v>
      </c>
      <c r="D480" s="2" t="s">
        <v>85</v>
      </c>
      <c r="E480" s="2" t="s">
        <v>84</v>
      </c>
      <c r="F480" s="2" t="s">
        <v>98</v>
      </c>
      <c r="G480" s="2" t="s">
        <v>97</v>
      </c>
      <c r="H480" s="2" t="s">
        <v>1178</v>
      </c>
      <c r="I480" s="2" t="s">
        <v>399</v>
      </c>
      <c r="J480" s="2" t="s">
        <v>2858</v>
      </c>
      <c r="K480" s="2" t="s">
        <v>2859</v>
      </c>
      <c r="L480" s="2" t="s">
        <v>2074</v>
      </c>
      <c r="M480" s="2">
        <v>800</v>
      </c>
      <c r="N480" s="2" t="s">
        <v>1658</v>
      </c>
      <c r="O480" s="2">
        <v>33</v>
      </c>
      <c r="P480" s="2">
        <v>102</v>
      </c>
      <c r="Q480" s="2" t="s">
        <v>1658</v>
      </c>
      <c r="R480" s="2">
        <v>33</v>
      </c>
      <c r="S480" s="2" t="s">
        <v>1660</v>
      </c>
      <c r="T480" s="2">
        <v>0</v>
      </c>
      <c r="U480" s="2" t="s">
        <v>32</v>
      </c>
      <c r="V480" s="2" t="s">
        <v>32</v>
      </c>
      <c r="W480" s="2" t="s">
        <v>1660</v>
      </c>
      <c r="X480" s="2">
        <v>0</v>
      </c>
      <c r="Y480" s="2" t="s">
        <v>32</v>
      </c>
      <c r="Z480" s="2" t="s">
        <v>32</v>
      </c>
      <c r="AA480" s="2" t="s">
        <v>1660</v>
      </c>
      <c r="AB480" s="2">
        <v>0</v>
      </c>
      <c r="AC480" s="2" t="s">
        <v>1660</v>
      </c>
      <c r="AD480" s="2">
        <v>0</v>
      </c>
      <c r="AE480" s="2" t="s">
        <v>1658</v>
      </c>
      <c r="AF480" s="2">
        <v>12</v>
      </c>
      <c r="AG480" s="2">
        <v>102</v>
      </c>
      <c r="AH480" s="2" t="s">
        <v>1660</v>
      </c>
      <c r="AI480" s="2" t="s">
        <v>32</v>
      </c>
      <c r="AJ480" s="2" t="s">
        <v>32</v>
      </c>
      <c r="AK480" s="2" t="s">
        <v>32</v>
      </c>
      <c r="AL480" s="2" t="s">
        <v>1658</v>
      </c>
      <c r="AM480" s="2">
        <v>12</v>
      </c>
      <c r="AN480" s="2" t="s">
        <v>1660</v>
      </c>
      <c r="AO480" s="2">
        <v>0</v>
      </c>
      <c r="AP480" s="2" t="s">
        <v>32</v>
      </c>
      <c r="AQ480" s="2" t="s">
        <v>32</v>
      </c>
      <c r="AR480" s="2" t="s">
        <v>1660</v>
      </c>
      <c r="AS480" s="2">
        <v>0</v>
      </c>
      <c r="AT480" s="2" t="s">
        <v>32</v>
      </c>
      <c r="AU480" s="2" t="s">
        <v>32</v>
      </c>
      <c r="AV480" s="2" t="s">
        <v>1660</v>
      </c>
      <c r="AW480" s="2">
        <v>0</v>
      </c>
      <c r="AX480" s="2" t="s">
        <v>1660</v>
      </c>
      <c r="AY480" s="2">
        <v>0</v>
      </c>
      <c r="AZ480" s="2" t="s">
        <v>1660</v>
      </c>
      <c r="BA480" s="2">
        <v>0</v>
      </c>
      <c r="BB480" s="2">
        <v>0</v>
      </c>
      <c r="BC480" s="2" t="s">
        <v>32</v>
      </c>
      <c r="BD480" s="2">
        <v>0</v>
      </c>
      <c r="BE480" s="2" t="s">
        <v>32</v>
      </c>
      <c r="BF480" s="2">
        <v>0</v>
      </c>
      <c r="BG480" s="2" t="s">
        <v>32</v>
      </c>
      <c r="BH480" s="2">
        <v>0</v>
      </c>
      <c r="BI480" s="2" t="s">
        <v>32</v>
      </c>
      <c r="BJ480" s="2" t="s">
        <v>32</v>
      </c>
      <c r="BK480" s="2" t="s">
        <v>32</v>
      </c>
      <c r="BL480" s="2">
        <v>0</v>
      </c>
      <c r="BM480" s="2" t="s">
        <v>32</v>
      </c>
      <c r="BN480" s="2" t="s">
        <v>32</v>
      </c>
      <c r="BO480" s="2" t="s">
        <v>32</v>
      </c>
      <c r="BP480" s="2">
        <v>0</v>
      </c>
      <c r="BQ480" s="2" t="s">
        <v>32</v>
      </c>
      <c r="BR480" s="2">
        <v>0</v>
      </c>
      <c r="BS480" s="2" t="s">
        <v>1660</v>
      </c>
      <c r="BT480" s="2">
        <v>0</v>
      </c>
      <c r="BU480" s="2">
        <v>0</v>
      </c>
      <c r="BV480" s="2" t="s">
        <v>1660</v>
      </c>
      <c r="BW480" s="2"/>
      <c r="BX480" s="2"/>
      <c r="BY480" s="2" t="s">
        <v>1807</v>
      </c>
      <c r="BZ480" s="2" t="b">
        <f>OR( (Dashboard[[#This Row],[ref_as_hh]]&gt;=1),(Dashboard[[#This Row],[ret_as_hh]] &gt;=1), (Dashboard[[#This Row],[idp_as_hh]]&gt;=1))</f>
        <v>0</v>
      </c>
      <c r="CA480" s="2">
        <f>Dashboard[[#This Row],[ret_hi_hh]]</f>
        <v>0</v>
      </c>
      <c r="CB480" s="2">
        <f>Dashboard[[#This Row],[idp_fa_hh]]+Dashboard[[#This Row],[ref_fa_hh]]+Dashboard[[#This Row],[ret_fa_hh]]</f>
        <v>45</v>
      </c>
      <c r="CC480" s="2">
        <f>Dashboard[[#This Row],[idp_loc_hh]]+Dashboard[[#This Row],[ref_loc_hh]]+Dashboard[[#This Row],[ret_loc_hh]]</f>
        <v>0</v>
      </c>
      <c r="CD480" s="2">
        <f>Dashboard[[#This Row],[idp_cc_hh]]+Dashboard[[#This Row],[ref_cc_hh]]+Dashboard[[#This Row],[ret_cc_hh]]</f>
        <v>0</v>
      </c>
      <c r="CE480" s="2">
        <f>Dashboard[[#This Row],[idp_as_hh]]+Dashboard[[#This Row],[ref_as_hh]]+Dashboard[[#This Row],[ret_as_hh]]</f>
        <v>0</v>
      </c>
      <c r="CF480" s="2">
        <f>Dashboard[[#This Row],[idp_al_hh]]+Dashboard[[#This Row],[ref_al_hh]]+Dashboard[[#This Row],[ret_al_hh]]</f>
        <v>0</v>
      </c>
    </row>
    <row r="481" spans="1:84" hidden="1" x14ac:dyDescent="0.25">
      <c r="A481" s="27">
        <v>249</v>
      </c>
      <c r="B481" s="2" t="s">
        <v>22</v>
      </c>
      <c r="C481" s="2" t="s">
        <v>23</v>
      </c>
      <c r="D481" s="2" t="s">
        <v>85</v>
      </c>
      <c r="E481" s="2" t="s">
        <v>84</v>
      </c>
      <c r="F481" s="2" t="s">
        <v>98</v>
      </c>
      <c r="G481" s="2" t="s">
        <v>97</v>
      </c>
      <c r="H481" s="2" t="s">
        <v>1271</v>
      </c>
      <c r="I481" s="2" t="s">
        <v>450</v>
      </c>
      <c r="J481" s="2" t="s">
        <v>3068</v>
      </c>
      <c r="K481" s="2" t="s">
        <v>3069</v>
      </c>
      <c r="L481" s="2" t="s">
        <v>2074</v>
      </c>
      <c r="M481" s="2">
        <v>318</v>
      </c>
      <c r="N481" s="2" t="s">
        <v>1658</v>
      </c>
      <c r="O481" s="2">
        <v>14</v>
      </c>
      <c r="P481" s="2">
        <v>95</v>
      </c>
      <c r="Q481" s="2" t="s">
        <v>1658</v>
      </c>
      <c r="R481" s="2">
        <v>14</v>
      </c>
      <c r="S481" s="2" t="s">
        <v>1660</v>
      </c>
      <c r="T481" s="2">
        <v>0</v>
      </c>
      <c r="U481" s="2" t="s">
        <v>32</v>
      </c>
      <c r="V481" s="2" t="s">
        <v>32</v>
      </c>
      <c r="W481" s="2" t="s">
        <v>1660</v>
      </c>
      <c r="X481" s="2">
        <v>0</v>
      </c>
      <c r="Y481" s="2" t="s">
        <v>32</v>
      </c>
      <c r="Z481" s="2" t="s">
        <v>32</v>
      </c>
      <c r="AA481" s="2" t="s">
        <v>1660</v>
      </c>
      <c r="AB481" s="2">
        <v>0</v>
      </c>
      <c r="AC481" s="2" t="s">
        <v>1660</v>
      </c>
      <c r="AD481" s="2">
        <v>0</v>
      </c>
      <c r="AE481" s="2" t="s">
        <v>1658</v>
      </c>
      <c r="AF481" s="2">
        <v>3</v>
      </c>
      <c r="AG481" s="2">
        <v>20</v>
      </c>
      <c r="AH481" s="2" t="s">
        <v>1660</v>
      </c>
      <c r="AI481" s="2" t="s">
        <v>32</v>
      </c>
      <c r="AJ481" s="2" t="s">
        <v>32</v>
      </c>
      <c r="AK481" s="2" t="s">
        <v>32</v>
      </c>
      <c r="AL481" s="2" t="s">
        <v>1658</v>
      </c>
      <c r="AM481" s="2">
        <v>3</v>
      </c>
      <c r="AN481" s="2" t="s">
        <v>1660</v>
      </c>
      <c r="AO481" s="2">
        <v>0</v>
      </c>
      <c r="AP481" s="2" t="s">
        <v>32</v>
      </c>
      <c r="AQ481" s="2" t="s">
        <v>32</v>
      </c>
      <c r="AR481" s="2" t="s">
        <v>1660</v>
      </c>
      <c r="AS481" s="2">
        <v>0</v>
      </c>
      <c r="AT481" s="2" t="s">
        <v>32</v>
      </c>
      <c r="AU481" s="2" t="s">
        <v>32</v>
      </c>
      <c r="AV481" s="2" t="s">
        <v>1660</v>
      </c>
      <c r="AW481" s="2">
        <v>0</v>
      </c>
      <c r="AX481" s="2" t="s">
        <v>1660</v>
      </c>
      <c r="AY481" s="2">
        <v>0</v>
      </c>
      <c r="AZ481" s="2" t="s">
        <v>1660</v>
      </c>
      <c r="BA481" s="2">
        <v>0</v>
      </c>
      <c r="BB481" s="2">
        <v>0</v>
      </c>
      <c r="BC481" s="2" t="s">
        <v>32</v>
      </c>
      <c r="BD481" s="2">
        <v>0</v>
      </c>
      <c r="BE481" s="2" t="s">
        <v>32</v>
      </c>
      <c r="BF481" s="2">
        <v>0</v>
      </c>
      <c r="BG481" s="2" t="s">
        <v>32</v>
      </c>
      <c r="BH481" s="2">
        <v>0</v>
      </c>
      <c r="BI481" s="2" t="s">
        <v>32</v>
      </c>
      <c r="BJ481" s="2" t="s">
        <v>32</v>
      </c>
      <c r="BK481" s="2" t="s">
        <v>32</v>
      </c>
      <c r="BL481" s="2">
        <v>0</v>
      </c>
      <c r="BM481" s="2" t="s">
        <v>32</v>
      </c>
      <c r="BN481" s="2" t="s">
        <v>32</v>
      </c>
      <c r="BO481" s="2" t="s">
        <v>32</v>
      </c>
      <c r="BP481" s="2">
        <v>0</v>
      </c>
      <c r="BQ481" s="2" t="s">
        <v>32</v>
      </c>
      <c r="BR481" s="2">
        <v>0</v>
      </c>
      <c r="BS481" s="2" t="s">
        <v>1660</v>
      </c>
      <c r="BT481" s="2">
        <v>0</v>
      </c>
      <c r="BU481" s="2">
        <v>0</v>
      </c>
      <c r="BV481" s="2" t="s">
        <v>1660</v>
      </c>
      <c r="BW481" s="2"/>
      <c r="BX481" s="2"/>
      <c r="BY481" s="2" t="s">
        <v>1807</v>
      </c>
      <c r="BZ481" s="2" t="b">
        <f>OR( (Dashboard[[#This Row],[ref_as_hh]]&gt;=1),(Dashboard[[#This Row],[ret_as_hh]] &gt;=1), (Dashboard[[#This Row],[idp_as_hh]]&gt;=1))</f>
        <v>0</v>
      </c>
      <c r="CA481" s="2">
        <f>Dashboard[[#This Row],[ret_hi_hh]]</f>
        <v>0</v>
      </c>
      <c r="CB481" s="2">
        <f>Dashboard[[#This Row],[idp_fa_hh]]+Dashboard[[#This Row],[ref_fa_hh]]+Dashboard[[#This Row],[ret_fa_hh]]</f>
        <v>17</v>
      </c>
      <c r="CC481" s="2">
        <f>Dashboard[[#This Row],[idp_loc_hh]]+Dashboard[[#This Row],[ref_loc_hh]]+Dashboard[[#This Row],[ret_loc_hh]]</f>
        <v>0</v>
      </c>
      <c r="CD481" s="2">
        <f>Dashboard[[#This Row],[idp_cc_hh]]+Dashboard[[#This Row],[ref_cc_hh]]+Dashboard[[#This Row],[ret_cc_hh]]</f>
        <v>0</v>
      </c>
      <c r="CE481" s="2">
        <f>Dashboard[[#This Row],[idp_as_hh]]+Dashboard[[#This Row],[ref_as_hh]]+Dashboard[[#This Row],[ret_as_hh]]</f>
        <v>0</v>
      </c>
      <c r="CF481" s="2">
        <f>Dashboard[[#This Row],[idp_al_hh]]+Dashboard[[#This Row],[ref_al_hh]]+Dashboard[[#This Row],[ret_al_hh]]</f>
        <v>0</v>
      </c>
    </row>
    <row r="482" spans="1:84" hidden="1" x14ac:dyDescent="0.25">
      <c r="A482" s="27">
        <v>250</v>
      </c>
      <c r="B482" s="2" t="s">
        <v>22</v>
      </c>
      <c r="C482" s="2" t="s">
        <v>23</v>
      </c>
      <c r="D482" s="2" t="s">
        <v>85</v>
      </c>
      <c r="E482" s="2" t="s">
        <v>84</v>
      </c>
      <c r="F482" s="2" t="s">
        <v>98</v>
      </c>
      <c r="G482" s="2" t="s">
        <v>97</v>
      </c>
      <c r="H482" s="2" t="s">
        <v>1254</v>
      </c>
      <c r="I482" s="2" t="s">
        <v>438</v>
      </c>
      <c r="J482" s="2" t="s">
        <v>3032</v>
      </c>
      <c r="K482" s="2" t="s">
        <v>3033</v>
      </c>
      <c r="L482" s="2" t="s">
        <v>2074</v>
      </c>
      <c r="M482" s="2">
        <v>306</v>
      </c>
      <c r="N482" s="2" t="s">
        <v>1658</v>
      </c>
      <c r="O482" s="2">
        <v>7</v>
      </c>
      <c r="P482" s="2">
        <v>56</v>
      </c>
      <c r="Q482" s="2" t="s">
        <v>1658</v>
      </c>
      <c r="R482" s="2">
        <v>7</v>
      </c>
      <c r="S482" s="2" t="s">
        <v>1660</v>
      </c>
      <c r="T482" s="2">
        <v>0</v>
      </c>
      <c r="U482" s="2" t="s">
        <v>32</v>
      </c>
      <c r="V482" s="2" t="s">
        <v>32</v>
      </c>
      <c r="W482" s="2" t="s">
        <v>1660</v>
      </c>
      <c r="X482" s="2">
        <v>0</v>
      </c>
      <c r="Y482" s="2" t="s">
        <v>32</v>
      </c>
      <c r="Z482" s="2" t="s">
        <v>32</v>
      </c>
      <c r="AA482" s="2" t="s">
        <v>1660</v>
      </c>
      <c r="AB482" s="2">
        <v>0</v>
      </c>
      <c r="AC482" s="2" t="s">
        <v>1660</v>
      </c>
      <c r="AD482" s="2">
        <v>0</v>
      </c>
      <c r="AE482" s="2" t="s">
        <v>1660</v>
      </c>
      <c r="AF482" s="2">
        <v>0</v>
      </c>
      <c r="AG482" s="2">
        <v>0</v>
      </c>
      <c r="AH482" s="2" t="s">
        <v>32</v>
      </c>
      <c r="AI482" s="2" t="s">
        <v>32</v>
      </c>
      <c r="AJ482" s="2" t="s">
        <v>32</v>
      </c>
      <c r="AK482" s="2" t="s">
        <v>32</v>
      </c>
      <c r="AL482" s="2" t="s">
        <v>32</v>
      </c>
      <c r="AM482" s="2">
        <v>0</v>
      </c>
      <c r="AN482" s="2" t="s">
        <v>32</v>
      </c>
      <c r="AO482" s="2">
        <v>0</v>
      </c>
      <c r="AP482" s="2" t="s">
        <v>32</v>
      </c>
      <c r="AQ482" s="2" t="s">
        <v>32</v>
      </c>
      <c r="AR482" s="2" t="s">
        <v>32</v>
      </c>
      <c r="AS482" s="2">
        <v>0</v>
      </c>
      <c r="AT482" s="2" t="s">
        <v>32</v>
      </c>
      <c r="AU482" s="2" t="s">
        <v>32</v>
      </c>
      <c r="AV482" s="2" t="s">
        <v>32</v>
      </c>
      <c r="AW482" s="2">
        <v>0</v>
      </c>
      <c r="AX482" s="2" t="s">
        <v>32</v>
      </c>
      <c r="AY482" s="2">
        <v>0</v>
      </c>
      <c r="AZ482" s="2" t="s">
        <v>1660</v>
      </c>
      <c r="BA482" s="2">
        <v>0</v>
      </c>
      <c r="BB482" s="2">
        <v>0</v>
      </c>
      <c r="BC482" s="2" t="s">
        <v>32</v>
      </c>
      <c r="BD482" s="2">
        <v>0</v>
      </c>
      <c r="BE482" s="2" t="s">
        <v>32</v>
      </c>
      <c r="BF482" s="2">
        <v>0</v>
      </c>
      <c r="BG482" s="2" t="s">
        <v>32</v>
      </c>
      <c r="BH482" s="2">
        <v>0</v>
      </c>
      <c r="BI482" s="2" t="s">
        <v>32</v>
      </c>
      <c r="BJ482" s="2" t="s">
        <v>32</v>
      </c>
      <c r="BK482" s="2" t="s">
        <v>32</v>
      </c>
      <c r="BL482" s="2">
        <v>0</v>
      </c>
      <c r="BM482" s="2" t="s">
        <v>32</v>
      </c>
      <c r="BN482" s="2" t="s">
        <v>32</v>
      </c>
      <c r="BO482" s="2" t="s">
        <v>32</v>
      </c>
      <c r="BP482" s="2">
        <v>0</v>
      </c>
      <c r="BQ482" s="2" t="s">
        <v>32</v>
      </c>
      <c r="BR482" s="2">
        <v>0</v>
      </c>
      <c r="BS482" s="2" t="s">
        <v>1660</v>
      </c>
      <c r="BT482" s="2">
        <v>0</v>
      </c>
      <c r="BU482" s="2">
        <v>0</v>
      </c>
      <c r="BV482" s="2" t="s">
        <v>1660</v>
      </c>
      <c r="BW482" s="2"/>
      <c r="BX482" s="2"/>
      <c r="BY482" s="2" t="s">
        <v>1807</v>
      </c>
      <c r="BZ482" s="2" t="b">
        <f>OR( (Dashboard[[#This Row],[ref_as_hh]]&gt;=1),(Dashboard[[#This Row],[ret_as_hh]] &gt;=1), (Dashboard[[#This Row],[idp_as_hh]]&gt;=1))</f>
        <v>0</v>
      </c>
      <c r="CA482" s="2">
        <f>Dashboard[[#This Row],[ret_hi_hh]]</f>
        <v>0</v>
      </c>
      <c r="CB482" s="2">
        <f>Dashboard[[#This Row],[idp_fa_hh]]+Dashboard[[#This Row],[ref_fa_hh]]+Dashboard[[#This Row],[ret_fa_hh]]</f>
        <v>7</v>
      </c>
      <c r="CC482" s="2">
        <f>Dashboard[[#This Row],[idp_loc_hh]]+Dashboard[[#This Row],[ref_loc_hh]]+Dashboard[[#This Row],[ret_loc_hh]]</f>
        <v>0</v>
      </c>
      <c r="CD482" s="2">
        <f>Dashboard[[#This Row],[idp_cc_hh]]+Dashboard[[#This Row],[ref_cc_hh]]+Dashboard[[#This Row],[ret_cc_hh]]</f>
        <v>0</v>
      </c>
      <c r="CE482" s="2">
        <f>Dashboard[[#This Row],[idp_as_hh]]+Dashboard[[#This Row],[ref_as_hh]]+Dashboard[[#This Row],[ret_as_hh]]</f>
        <v>0</v>
      </c>
      <c r="CF482" s="2">
        <f>Dashboard[[#This Row],[idp_al_hh]]+Dashboard[[#This Row],[ref_al_hh]]+Dashboard[[#This Row],[ret_al_hh]]</f>
        <v>0</v>
      </c>
    </row>
    <row r="483" spans="1:84" hidden="1" x14ac:dyDescent="0.25">
      <c r="A483" s="27">
        <v>251</v>
      </c>
      <c r="B483" s="2" t="s">
        <v>22</v>
      </c>
      <c r="C483" s="2" t="s">
        <v>23</v>
      </c>
      <c r="D483" s="2" t="s">
        <v>85</v>
      </c>
      <c r="E483" s="2" t="s">
        <v>84</v>
      </c>
      <c r="F483" s="2" t="s">
        <v>98</v>
      </c>
      <c r="G483" s="2" t="s">
        <v>97</v>
      </c>
      <c r="H483" s="2" t="s">
        <v>1248</v>
      </c>
      <c r="I483" s="2" t="s">
        <v>436</v>
      </c>
      <c r="J483" s="2" t="s">
        <v>3022</v>
      </c>
      <c r="K483" s="2" t="s">
        <v>3023</v>
      </c>
      <c r="L483" s="2" t="s">
        <v>2074</v>
      </c>
      <c r="M483" s="2">
        <v>286</v>
      </c>
      <c r="N483" s="2" t="s">
        <v>1658</v>
      </c>
      <c r="O483" s="2">
        <v>16</v>
      </c>
      <c r="P483" s="2">
        <v>113</v>
      </c>
      <c r="Q483" s="2" t="s">
        <v>1658</v>
      </c>
      <c r="R483" s="2">
        <v>16</v>
      </c>
      <c r="S483" s="2" t="s">
        <v>1660</v>
      </c>
      <c r="T483" s="2">
        <v>0</v>
      </c>
      <c r="U483" s="2" t="s">
        <v>32</v>
      </c>
      <c r="V483" s="2" t="s">
        <v>32</v>
      </c>
      <c r="W483" s="1" t="s">
        <v>1660</v>
      </c>
      <c r="X483" s="1">
        <v>0</v>
      </c>
      <c r="Y483" s="1" t="s">
        <v>32</v>
      </c>
      <c r="Z483" s="1" t="s">
        <v>32</v>
      </c>
      <c r="AA483" s="1" t="s">
        <v>1660</v>
      </c>
      <c r="AB483" s="1">
        <v>0</v>
      </c>
      <c r="AC483" s="1" t="s">
        <v>1660</v>
      </c>
      <c r="AD483" s="1">
        <v>0</v>
      </c>
      <c r="AE483" s="1" t="s">
        <v>1660</v>
      </c>
      <c r="AF483" s="1">
        <v>0</v>
      </c>
      <c r="AG483" s="1">
        <v>0</v>
      </c>
      <c r="AH483" s="1" t="s">
        <v>32</v>
      </c>
      <c r="AI483" s="1" t="s">
        <v>32</v>
      </c>
      <c r="AJ483" s="1" t="s">
        <v>32</v>
      </c>
      <c r="AK483" s="1" t="s">
        <v>32</v>
      </c>
      <c r="AL483" s="1" t="s">
        <v>32</v>
      </c>
      <c r="AM483" s="1">
        <v>0</v>
      </c>
      <c r="AN483" s="1" t="s">
        <v>32</v>
      </c>
      <c r="AO483" s="1">
        <v>0</v>
      </c>
      <c r="AP483" s="1" t="s">
        <v>32</v>
      </c>
      <c r="AQ483" s="1" t="s">
        <v>32</v>
      </c>
      <c r="AR483" s="1" t="s">
        <v>32</v>
      </c>
      <c r="AS483" s="1">
        <v>0</v>
      </c>
      <c r="AT483" s="1" t="s">
        <v>32</v>
      </c>
      <c r="AU483" s="1" t="s">
        <v>32</v>
      </c>
      <c r="AV483" s="1" t="s">
        <v>32</v>
      </c>
      <c r="AW483" s="1">
        <v>0</v>
      </c>
      <c r="AX483" s="1" t="s">
        <v>32</v>
      </c>
      <c r="AY483" s="1">
        <v>0</v>
      </c>
      <c r="AZ483" s="1" t="s">
        <v>1660</v>
      </c>
      <c r="BA483" s="1">
        <v>0</v>
      </c>
      <c r="BB483" s="1">
        <v>0</v>
      </c>
      <c r="BC483" s="1" t="s">
        <v>32</v>
      </c>
      <c r="BD483" s="1">
        <v>0</v>
      </c>
      <c r="BE483" s="1" t="s">
        <v>32</v>
      </c>
      <c r="BF483" s="1">
        <v>0</v>
      </c>
      <c r="BG483" s="1" t="s">
        <v>32</v>
      </c>
      <c r="BH483" s="1">
        <v>0</v>
      </c>
      <c r="BI483" s="1" t="s">
        <v>32</v>
      </c>
      <c r="BJ483" s="1" t="s">
        <v>32</v>
      </c>
      <c r="BK483" s="1" t="s">
        <v>32</v>
      </c>
      <c r="BL483" s="1">
        <v>0</v>
      </c>
      <c r="BM483" s="1" t="s">
        <v>32</v>
      </c>
      <c r="BN483" s="1" t="s">
        <v>32</v>
      </c>
      <c r="BO483" s="1" t="s">
        <v>32</v>
      </c>
      <c r="BP483" s="1">
        <v>0</v>
      </c>
      <c r="BQ483" s="1" t="s">
        <v>32</v>
      </c>
      <c r="BR483" s="1">
        <v>0</v>
      </c>
      <c r="BS483" s="1" t="s">
        <v>1660</v>
      </c>
      <c r="BT483" s="1">
        <v>0</v>
      </c>
      <c r="BU483" s="1">
        <v>0</v>
      </c>
      <c r="BV483" s="1" t="s">
        <v>1660</v>
      </c>
      <c r="BW483" s="1"/>
      <c r="BX483" s="1"/>
      <c r="BY483" s="1" t="s">
        <v>1807</v>
      </c>
      <c r="BZ483" s="2" t="b">
        <f>OR( (Dashboard[[#This Row],[ref_as_hh]]&gt;=1),(Dashboard[[#This Row],[ret_as_hh]] &gt;=1), (Dashboard[[#This Row],[idp_as_hh]]&gt;=1))</f>
        <v>0</v>
      </c>
      <c r="CA483" s="2">
        <f>Dashboard[[#This Row],[ret_hi_hh]]</f>
        <v>0</v>
      </c>
      <c r="CB483" s="2">
        <f>Dashboard[[#This Row],[idp_fa_hh]]+Dashboard[[#This Row],[ref_fa_hh]]+Dashboard[[#This Row],[ret_fa_hh]]</f>
        <v>16</v>
      </c>
      <c r="CC483" s="2">
        <f>Dashboard[[#This Row],[idp_loc_hh]]+Dashboard[[#This Row],[ref_loc_hh]]+Dashboard[[#This Row],[ret_loc_hh]]</f>
        <v>0</v>
      </c>
      <c r="CD483" s="2">
        <f>Dashboard[[#This Row],[idp_cc_hh]]+Dashboard[[#This Row],[ref_cc_hh]]+Dashboard[[#This Row],[ret_cc_hh]]</f>
        <v>0</v>
      </c>
      <c r="CE483" s="2">
        <f>Dashboard[[#This Row],[idp_as_hh]]+Dashboard[[#This Row],[ref_as_hh]]+Dashboard[[#This Row],[ret_as_hh]]</f>
        <v>0</v>
      </c>
      <c r="CF483" s="2">
        <f>Dashboard[[#This Row],[idp_al_hh]]+Dashboard[[#This Row],[ref_al_hh]]+Dashboard[[#This Row],[ret_al_hh]]</f>
        <v>0</v>
      </c>
    </row>
    <row r="484" spans="1:84" hidden="1" x14ac:dyDescent="0.25">
      <c r="A484" s="27">
        <v>514</v>
      </c>
      <c r="B484" s="2" t="s">
        <v>22</v>
      </c>
      <c r="C484" s="2" t="s">
        <v>23</v>
      </c>
      <c r="D484" s="2" t="s">
        <v>85</v>
      </c>
      <c r="E484" s="2" t="s">
        <v>84</v>
      </c>
      <c r="F484" s="2" t="s">
        <v>110</v>
      </c>
      <c r="G484" s="2" t="s">
        <v>109</v>
      </c>
      <c r="H484" s="2" t="s">
        <v>1006</v>
      </c>
      <c r="I484" s="2" t="s">
        <v>322</v>
      </c>
      <c r="J484" s="2" t="s">
        <v>2516</v>
      </c>
      <c r="K484" s="2" t="s">
        <v>2517</v>
      </c>
      <c r="L484" s="2" t="s">
        <v>2074</v>
      </c>
      <c r="M484" s="2">
        <v>765</v>
      </c>
      <c r="N484" s="2" t="s">
        <v>1658</v>
      </c>
      <c r="O484" s="2">
        <v>25</v>
      </c>
      <c r="P484" s="2">
        <v>207</v>
      </c>
      <c r="Q484" s="2" t="s">
        <v>1658</v>
      </c>
      <c r="R484" s="2">
        <v>25</v>
      </c>
      <c r="S484" s="2" t="s">
        <v>1660</v>
      </c>
      <c r="T484" s="2">
        <v>0</v>
      </c>
      <c r="U484" s="2" t="s">
        <v>32</v>
      </c>
      <c r="V484" s="2" t="s">
        <v>32</v>
      </c>
      <c r="W484" s="2" t="s">
        <v>1660</v>
      </c>
      <c r="X484" s="2">
        <v>0</v>
      </c>
      <c r="Y484" s="2" t="s">
        <v>32</v>
      </c>
      <c r="Z484" s="2" t="s">
        <v>32</v>
      </c>
      <c r="AA484" s="2" t="s">
        <v>1660</v>
      </c>
      <c r="AB484" s="2">
        <v>0</v>
      </c>
      <c r="AC484" s="2" t="s">
        <v>1660</v>
      </c>
      <c r="AD484" s="2">
        <v>0</v>
      </c>
      <c r="AE484" s="2" t="s">
        <v>1660</v>
      </c>
      <c r="AF484" s="2">
        <v>0</v>
      </c>
      <c r="AG484" s="2">
        <v>0</v>
      </c>
      <c r="AH484" s="2" t="s">
        <v>32</v>
      </c>
      <c r="AI484" s="2" t="s">
        <v>32</v>
      </c>
      <c r="AJ484" s="2" t="s">
        <v>32</v>
      </c>
      <c r="AK484" s="2" t="s">
        <v>32</v>
      </c>
      <c r="AL484" s="2" t="s">
        <v>32</v>
      </c>
      <c r="AM484" s="2">
        <v>0</v>
      </c>
      <c r="AN484" s="2" t="s">
        <v>32</v>
      </c>
      <c r="AO484" s="2">
        <v>0</v>
      </c>
      <c r="AP484" s="2" t="s">
        <v>32</v>
      </c>
      <c r="AQ484" s="2" t="s">
        <v>32</v>
      </c>
      <c r="AR484" s="2" t="s">
        <v>32</v>
      </c>
      <c r="AS484" s="2">
        <v>0</v>
      </c>
      <c r="AT484" s="2" t="s">
        <v>32</v>
      </c>
      <c r="AU484" s="2" t="s">
        <v>32</v>
      </c>
      <c r="AV484" s="2" t="s">
        <v>32</v>
      </c>
      <c r="AW484" s="2">
        <v>0</v>
      </c>
      <c r="AX484" s="2" t="s">
        <v>32</v>
      </c>
      <c r="AY484" s="2">
        <v>0</v>
      </c>
      <c r="AZ484" s="2" t="s">
        <v>1658</v>
      </c>
      <c r="BA484" s="2">
        <v>21</v>
      </c>
      <c r="BB484" s="2">
        <v>147</v>
      </c>
      <c r="BC484" s="2" t="s">
        <v>1658</v>
      </c>
      <c r="BD484" s="2">
        <v>21</v>
      </c>
      <c r="BE484" s="2" t="s">
        <v>1660</v>
      </c>
      <c r="BF484" s="2">
        <v>0</v>
      </c>
      <c r="BG484" s="2" t="s">
        <v>1660</v>
      </c>
      <c r="BH484" s="2">
        <v>0</v>
      </c>
      <c r="BI484" s="2" t="s">
        <v>32</v>
      </c>
      <c r="BJ484" s="2" t="s">
        <v>32</v>
      </c>
      <c r="BK484" s="2" t="s">
        <v>1660</v>
      </c>
      <c r="BL484" s="2">
        <v>0</v>
      </c>
      <c r="BM484" s="2" t="s">
        <v>32</v>
      </c>
      <c r="BN484" s="2" t="s">
        <v>32</v>
      </c>
      <c r="BO484" s="2" t="s">
        <v>1660</v>
      </c>
      <c r="BP484" s="2">
        <v>0</v>
      </c>
      <c r="BQ484" s="2" t="s">
        <v>1660</v>
      </c>
      <c r="BR484" s="2">
        <v>0</v>
      </c>
      <c r="BS484" s="2" t="s">
        <v>1658</v>
      </c>
      <c r="BT484" s="2">
        <v>196</v>
      </c>
      <c r="BU484" s="2">
        <v>1568</v>
      </c>
      <c r="BV484" s="2" t="s">
        <v>1660</v>
      </c>
      <c r="BW484" s="2"/>
      <c r="BX484" s="2"/>
      <c r="BY484" s="2" t="s">
        <v>1807</v>
      </c>
      <c r="BZ484" s="2" t="b">
        <f>OR( (Dashboard[[#This Row],[ref_as_hh]]&gt;=1),(Dashboard[[#This Row],[ret_as_hh]] &gt;=1), (Dashboard[[#This Row],[idp_as_hh]]&gt;=1))</f>
        <v>0</v>
      </c>
      <c r="CA484" s="2">
        <f>Dashboard[[#This Row],[ret_hi_hh]]</f>
        <v>21</v>
      </c>
      <c r="CB484" s="2">
        <f>Dashboard[[#This Row],[idp_fa_hh]]+Dashboard[[#This Row],[ref_fa_hh]]+Dashboard[[#This Row],[ret_fa_hh]]</f>
        <v>25</v>
      </c>
      <c r="CC484" s="2">
        <f>Dashboard[[#This Row],[idp_loc_hh]]+Dashboard[[#This Row],[ref_loc_hh]]+Dashboard[[#This Row],[ret_loc_hh]]</f>
        <v>0</v>
      </c>
      <c r="CD484" s="2">
        <f>Dashboard[[#This Row],[idp_cc_hh]]+Dashboard[[#This Row],[ref_cc_hh]]+Dashboard[[#This Row],[ret_cc_hh]]</f>
        <v>0</v>
      </c>
      <c r="CE484" s="2">
        <f>Dashboard[[#This Row],[idp_as_hh]]+Dashboard[[#This Row],[ref_as_hh]]+Dashboard[[#This Row],[ret_as_hh]]</f>
        <v>0</v>
      </c>
      <c r="CF484" s="2">
        <f>Dashboard[[#This Row],[idp_al_hh]]+Dashboard[[#This Row],[ref_al_hh]]+Dashboard[[#This Row],[ret_al_hh]]</f>
        <v>0</v>
      </c>
    </row>
    <row r="485" spans="1:84" hidden="1" x14ac:dyDescent="0.25">
      <c r="A485" s="27">
        <v>323</v>
      </c>
      <c r="B485" s="2" t="s">
        <v>22</v>
      </c>
      <c r="C485" s="2" t="s">
        <v>23</v>
      </c>
      <c r="D485" s="2" t="s">
        <v>85</v>
      </c>
      <c r="E485" s="2" t="s">
        <v>84</v>
      </c>
      <c r="F485" s="2" t="s">
        <v>110</v>
      </c>
      <c r="G485" s="2" t="s">
        <v>109</v>
      </c>
      <c r="H485" s="2" t="s">
        <v>1011</v>
      </c>
      <c r="I485" s="2" t="s">
        <v>285</v>
      </c>
      <c r="J485" s="2" t="s">
        <v>2538</v>
      </c>
      <c r="K485" s="2" t="s">
        <v>2539</v>
      </c>
      <c r="L485" s="2" t="s">
        <v>2074</v>
      </c>
      <c r="M485" s="2">
        <v>204</v>
      </c>
      <c r="N485" s="2" t="s">
        <v>1658</v>
      </c>
      <c r="O485" s="2">
        <v>7</v>
      </c>
      <c r="P485" s="2">
        <v>64</v>
      </c>
      <c r="Q485" s="2" t="s">
        <v>1658</v>
      </c>
      <c r="R485" s="2">
        <v>7</v>
      </c>
      <c r="S485" s="2" t="s">
        <v>1660</v>
      </c>
      <c r="T485" s="2">
        <v>0</v>
      </c>
      <c r="U485" s="2" t="s">
        <v>32</v>
      </c>
      <c r="V485" s="2" t="s">
        <v>32</v>
      </c>
      <c r="W485" s="2" t="s">
        <v>1660</v>
      </c>
      <c r="X485" s="2">
        <v>0</v>
      </c>
      <c r="Y485" s="2" t="s">
        <v>32</v>
      </c>
      <c r="Z485" s="2" t="s">
        <v>32</v>
      </c>
      <c r="AA485" s="2" t="s">
        <v>1660</v>
      </c>
      <c r="AB485" s="2">
        <v>0</v>
      </c>
      <c r="AC485" s="2" t="s">
        <v>1660</v>
      </c>
      <c r="AD485" s="2">
        <v>0</v>
      </c>
      <c r="AE485" s="2" t="s">
        <v>1660</v>
      </c>
      <c r="AF485" s="2">
        <v>0</v>
      </c>
      <c r="AG485" s="2">
        <v>0</v>
      </c>
      <c r="AH485" s="2" t="s">
        <v>32</v>
      </c>
      <c r="AI485" s="2" t="s">
        <v>32</v>
      </c>
      <c r="AJ485" s="2" t="s">
        <v>32</v>
      </c>
      <c r="AK485" s="2" t="s">
        <v>32</v>
      </c>
      <c r="AL485" s="2" t="s">
        <v>32</v>
      </c>
      <c r="AM485" s="2">
        <v>0</v>
      </c>
      <c r="AN485" s="2" t="s">
        <v>32</v>
      </c>
      <c r="AO485" s="2">
        <v>0</v>
      </c>
      <c r="AP485" s="2" t="s">
        <v>32</v>
      </c>
      <c r="AQ485" s="2" t="s">
        <v>32</v>
      </c>
      <c r="AR485" s="2" t="s">
        <v>32</v>
      </c>
      <c r="AS485" s="2">
        <v>0</v>
      </c>
      <c r="AT485" s="2" t="s">
        <v>32</v>
      </c>
      <c r="AU485" s="2" t="s">
        <v>32</v>
      </c>
      <c r="AV485" s="2" t="s">
        <v>32</v>
      </c>
      <c r="AW485" s="2">
        <v>0</v>
      </c>
      <c r="AX485" s="2" t="s">
        <v>32</v>
      </c>
      <c r="AY485" s="2">
        <v>0</v>
      </c>
      <c r="AZ485" s="2" t="s">
        <v>1660</v>
      </c>
      <c r="BA485" s="2">
        <v>0</v>
      </c>
      <c r="BB485" s="2">
        <v>0</v>
      </c>
      <c r="BC485" s="2" t="s">
        <v>32</v>
      </c>
      <c r="BD485" s="2">
        <v>0</v>
      </c>
      <c r="BE485" s="2" t="s">
        <v>32</v>
      </c>
      <c r="BF485" s="2">
        <v>0</v>
      </c>
      <c r="BG485" s="2" t="s">
        <v>32</v>
      </c>
      <c r="BH485" s="2">
        <v>0</v>
      </c>
      <c r="BI485" s="2" t="s">
        <v>32</v>
      </c>
      <c r="BJ485" s="2" t="s">
        <v>32</v>
      </c>
      <c r="BK485" s="2" t="s">
        <v>32</v>
      </c>
      <c r="BL485" s="2">
        <v>0</v>
      </c>
      <c r="BM485" s="2" t="s">
        <v>32</v>
      </c>
      <c r="BN485" s="2" t="s">
        <v>32</v>
      </c>
      <c r="BO485" s="2" t="s">
        <v>32</v>
      </c>
      <c r="BP485" s="2">
        <v>0</v>
      </c>
      <c r="BQ485" s="2" t="s">
        <v>32</v>
      </c>
      <c r="BR485" s="2">
        <v>0</v>
      </c>
      <c r="BS485" s="2" t="s">
        <v>1660</v>
      </c>
      <c r="BT485" s="2">
        <v>0</v>
      </c>
      <c r="BU485" s="2">
        <v>0</v>
      </c>
      <c r="BV485" s="2" t="s">
        <v>1660</v>
      </c>
      <c r="BW485" s="2"/>
      <c r="BX485" s="2"/>
      <c r="BY485" s="2" t="s">
        <v>1807</v>
      </c>
      <c r="BZ485" s="2" t="b">
        <f>OR( (Dashboard[[#This Row],[ref_as_hh]]&gt;=1),(Dashboard[[#This Row],[ret_as_hh]] &gt;=1), (Dashboard[[#This Row],[idp_as_hh]]&gt;=1))</f>
        <v>0</v>
      </c>
      <c r="CA485" s="2">
        <f>Dashboard[[#This Row],[ret_hi_hh]]</f>
        <v>0</v>
      </c>
      <c r="CB485" s="2">
        <f>Dashboard[[#This Row],[idp_fa_hh]]+Dashboard[[#This Row],[ref_fa_hh]]+Dashboard[[#This Row],[ret_fa_hh]]</f>
        <v>7</v>
      </c>
      <c r="CC485" s="2">
        <f>Dashboard[[#This Row],[idp_loc_hh]]+Dashboard[[#This Row],[ref_loc_hh]]+Dashboard[[#This Row],[ret_loc_hh]]</f>
        <v>0</v>
      </c>
      <c r="CD485" s="2">
        <f>Dashboard[[#This Row],[idp_cc_hh]]+Dashboard[[#This Row],[ref_cc_hh]]+Dashboard[[#This Row],[ret_cc_hh]]</f>
        <v>0</v>
      </c>
      <c r="CE485" s="2">
        <f>Dashboard[[#This Row],[idp_as_hh]]+Dashboard[[#This Row],[ref_as_hh]]+Dashboard[[#This Row],[ret_as_hh]]</f>
        <v>0</v>
      </c>
      <c r="CF485" s="2">
        <f>Dashboard[[#This Row],[idp_al_hh]]+Dashboard[[#This Row],[ref_al_hh]]+Dashboard[[#This Row],[ret_al_hh]]</f>
        <v>0</v>
      </c>
    </row>
    <row r="486" spans="1:84" hidden="1" x14ac:dyDescent="0.25">
      <c r="A486" s="27">
        <v>324</v>
      </c>
      <c r="B486" s="2" t="s">
        <v>22</v>
      </c>
      <c r="C486" s="2" t="s">
        <v>23</v>
      </c>
      <c r="D486" s="2" t="s">
        <v>85</v>
      </c>
      <c r="E486" s="2" t="s">
        <v>84</v>
      </c>
      <c r="F486" s="2" t="s">
        <v>110</v>
      </c>
      <c r="G486" s="2" t="s">
        <v>109</v>
      </c>
      <c r="H486" s="2" t="s">
        <v>1836</v>
      </c>
      <c r="I486" s="2" t="s">
        <v>1837</v>
      </c>
      <c r="J486" s="2" t="s">
        <v>2542</v>
      </c>
      <c r="K486" s="2" t="s">
        <v>2543</v>
      </c>
      <c r="L486" s="2" t="s">
        <v>2074</v>
      </c>
      <c r="M486" s="2">
        <v>681</v>
      </c>
      <c r="N486" s="2" t="s">
        <v>1658</v>
      </c>
      <c r="O486" s="2">
        <v>9</v>
      </c>
      <c r="P486" s="2">
        <v>73</v>
      </c>
      <c r="Q486" s="2" t="s">
        <v>1658</v>
      </c>
      <c r="R486" s="2">
        <v>9</v>
      </c>
      <c r="S486" s="2" t="s">
        <v>1660</v>
      </c>
      <c r="T486" s="2">
        <v>0</v>
      </c>
      <c r="U486" s="2" t="s">
        <v>32</v>
      </c>
      <c r="V486" s="2" t="s">
        <v>32</v>
      </c>
      <c r="W486" s="2" t="s">
        <v>1660</v>
      </c>
      <c r="X486" s="2">
        <v>0</v>
      </c>
      <c r="Y486" s="2" t="s">
        <v>32</v>
      </c>
      <c r="Z486" s="2" t="s">
        <v>32</v>
      </c>
      <c r="AA486" s="2" t="s">
        <v>1660</v>
      </c>
      <c r="AB486" s="2">
        <v>0</v>
      </c>
      <c r="AC486" s="2" t="s">
        <v>1660</v>
      </c>
      <c r="AD486" s="2">
        <v>0</v>
      </c>
      <c r="AE486" s="2" t="s">
        <v>1660</v>
      </c>
      <c r="AF486" s="2">
        <v>0</v>
      </c>
      <c r="AG486" s="2">
        <v>0</v>
      </c>
      <c r="AH486" s="2" t="s">
        <v>32</v>
      </c>
      <c r="AI486" s="2" t="s">
        <v>32</v>
      </c>
      <c r="AJ486" s="2" t="s">
        <v>32</v>
      </c>
      <c r="AK486" s="2" t="s">
        <v>32</v>
      </c>
      <c r="AL486" s="2" t="s">
        <v>32</v>
      </c>
      <c r="AM486" s="2">
        <v>0</v>
      </c>
      <c r="AN486" s="2" t="s">
        <v>32</v>
      </c>
      <c r="AO486" s="2">
        <v>0</v>
      </c>
      <c r="AP486" s="2" t="s">
        <v>32</v>
      </c>
      <c r="AQ486" s="2" t="s">
        <v>32</v>
      </c>
      <c r="AR486" s="2" t="s">
        <v>32</v>
      </c>
      <c r="AS486" s="2">
        <v>0</v>
      </c>
      <c r="AT486" s="2" t="s">
        <v>32</v>
      </c>
      <c r="AU486" s="2" t="s">
        <v>32</v>
      </c>
      <c r="AV486" s="2" t="s">
        <v>32</v>
      </c>
      <c r="AW486" s="2">
        <v>0</v>
      </c>
      <c r="AX486" s="2" t="s">
        <v>32</v>
      </c>
      <c r="AY486" s="2">
        <v>0</v>
      </c>
      <c r="AZ486" s="2" t="s">
        <v>1660</v>
      </c>
      <c r="BA486" s="2">
        <v>0</v>
      </c>
      <c r="BB486" s="2">
        <v>0</v>
      </c>
      <c r="BC486" s="2" t="s">
        <v>32</v>
      </c>
      <c r="BD486" s="2">
        <v>0</v>
      </c>
      <c r="BE486" s="2" t="s">
        <v>32</v>
      </c>
      <c r="BF486" s="2">
        <v>0</v>
      </c>
      <c r="BG486" s="2" t="s">
        <v>32</v>
      </c>
      <c r="BH486" s="2">
        <v>0</v>
      </c>
      <c r="BI486" s="2" t="s">
        <v>32</v>
      </c>
      <c r="BJ486" s="2" t="s">
        <v>32</v>
      </c>
      <c r="BK486" s="2" t="s">
        <v>32</v>
      </c>
      <c r="BL486" s="2">
        <v>0</v>
      </c>
      <c r="BM486" s="2" t="s">
        <v>32</v>
      </c>
      <c r="BN486" s="2" t="s">
        <v>32</v>
      </c>
      <c r="BO486" s="2" t="s">
        <v>32</v>
      </c>
      <c r="BP486" s="2">
        <v>0</v>
      </c>
      <c r="BQ486" s="2" t="s">
        <v>32</v>
      </c>
      <c r="BR486" s="2">
        <v>0</v>
      </c>
      <c r="BS486" s="2" t="s">
        <v>1660</v>
      </c>
      <c r="BT486" s="2">
        <v>0</v>
      </c>
      <c r="BU486" s="2">
        <v>0</v>
      </c>
      <c r="BV486" s="2" t="s">
        <v>1660</v>
      </c>
      <c r="BW486" s="2"/>
      <c r="BX486" s="2"/>
      <c r="BY486" s="2" t="s">
        <v>1807</v>
      </c>
      <c r="BZ486" s="2" t="b">
        <f>OR( (Dashboard[[#This Row],[ref_as_hh]]&gt;=1),(Dashboard[[#This Row],[ret_as_hh]] &gt;=1), (Dashboard[[#This Row],[idp_as_hh]]&gt;=1))</f>
        <v>0</v>
      </c>
      <c r="CA486" s="2">
        <f>Dashboard[[#This Row],[ret_hi_hh]]</f>
        <v>0</v>
      </c>
      <c r="CB486" s="2">
        <f>Dashboard[[#This Row],[idp_fa_hh]]+Dashboard[[#This Row],[ref_fa_hh]]+Dashboard[[#This Row],[ret_fa_hh]]</f>
        <v>9</v>
      </c>
      <c r="CC486" s="2">
        <f>Dashboard[[#This Row],[idp_loc_hh]]+Dashboard[[#This Row],[ref_loc_hh]]+Dashboard[[#This Row],[ret_loc_hh]]</f>
        <v>0</v>
      </c>
      <c r="CD486" s="2">
        <f>Dashboard[[#This Row],[idp_cc_hh]]+Dashboard[[#This Row],[ref_cc_hh]]+Dashboard[[#This Row],[ret_cc_hh]]</f>
        <v>0</v>
      </c>
      <c r="CE486" s="2">
        <f>Dashboard[[#This Row],[idp_as_hh]]+Dashboard[[#This Row],[ref_as_hh]]+Dashboard[[#This Row],[ret_as_hh]]</f>
        <v>0</v>
      </c>
      <c r="CF486" s="2">
        <f>Dashboard[[#This Row],[idp_al_hh]]+Dashboard[[#This Row],[ref_al_hh]]+Dashboard[[#This Row],[ret_al_hh]]</f>
        <v>0</v>
      </c>
    </row>
    <row r="487" spans="1:84" hidden="1" x14ac:dyDescent="0.25">
      <c r="A487" s="27">
        <v>454</v>
      </c>
      <c r="B487" s="2" t="s">
        <v>22</v>
      </c>
      <c r="C487" s="2" t="s">
        <v>23</v>
      </c>
      <c r="D487" s="2" t="s">
        <v>85</v>
      </c>
      <c r="E487" s="2" t="s">
        <v>84</v>
      </c>
      <c r="F487" s="2" t="s">
        <v>110</v>
      </c>
      <c r="G487" s="2" t="s">
        <v>109</v>
      </c>
      <c r="H487" s="2" t="s">
        <v>1832</v>
      </c>
      <c r="I487" s="2" t="s">
        <v>1833</v>
      </c>
      <c r="J487" s="2" t="s">
        <v>2550</v>
      </c>
      <c r="K487" s="2" t="s">
        <v>2551</v>
      </c>
      <c r="L487" s="2" t="s">
        <v>3697</v>
      </c>
      <c r="M487" s="2">
        <v>2480</v>
      </c>
      <c r="N487" s="2" t="s">
        <v>1658</v>
      </c>
      <c r="O487" s="2">
        <v>10</v>
      </c>
      <c r="P487" s="2">
        <v>80</v>
      </c>
      <c r="Q487" s="2" t="s">
        <v>1658</v>
      </c>
      <c r="R487" s="2">
        <v>10</v>
      </c>
      <c r="S487" s="2" t="s">
        <v>1660</v>
      </c>
      <c r="T487" s="2">
        <v>0</v>
      </c>
      <c r="U487" s="2" t="s">
        <v>32</v>
      </c>
      <c r="V487" s="2" t="s">
        <v>32</v>
      </c>
      <c r="W487" s="2" t="s">
        <v>1660</v>
      </c>
      <c r="X487" s="2">
        <v>0</v>
      </c>
      <c r="Y487" s="2" t="s">
        <v>32</v>
      </c>
      <c r="Z487" s="2" t="s">
        <v>32</v>
      </c>
      <c r="AA487" s="2" t="s">
        <v>1660</v>
      </c>
      <c r="AB487" s="2">
        <v>0</v>
      </c>
      <c r="AC487" s="2" t="s">
        <v>1660</v>
      </c>
      <c r="AD487" s="2">
        <v>0</v>
      </c>
      <c r="AE487" s="2" t="s">
        <v>1660</v>
      </c>
      <c r="AF487" s="2">
        <v>0</v>
      </c>
      <c r="AG487" s="2">
        <v>0</v>
      </c>
      <c r="AH487" s="2" t="s">
        <v>32</v>
      </c>
      <c r="AI487" s="2" t="s">
        <v>32</v>
      </c>
      <c r="AJ487" s="2" t="s">
        <v>32</v>
      </c>
      <c r="AK487" s="2" t="s">
        <v>32</v>
      </c>
      <c r="AL487" s="2" t="s">
        <v>32</v>
      </c>
      <c r="AM487" s="2">
        <v>0</v>
      </c>
      <c r="AN487" s="2" t="s">
        <v>32</v>
      </c>
      <c r="AO487" s="2">
        <v>0</v>
      </c>
      <c r="AP487" s="2" t="s">
        <v>32</v>
      </c>
      <c r="AQ487" s="2" t="s">
        <v>32</v>
      </c>
      <c r="AR487" s="2" t="s">
        <v>32</v>
      </c>
      <c r="AS487" s="2">
        <v>0</v>
      </c>
      <c r="AT487" s="2" t="s">
        <v>32</v>
      </c>
      <c r="AU487" s="2" t="s">
        <v>32</v>
      </c>
      <c r="AV487" s="2" t="s">
        <v>32</v>
      </c>
      <c r="AW487" s="2">
        <v>0</v>
      </c>
      <c r="AX487" s="2" t="s">
        <v>32</v>
      </c>
      <c r="AY487" s="2">
        <v>0</v>
      </c>
      <c r="AZ487" s="2" t="s">
        <v>1660</v>
      </c>
      <c r="BA487" s="2">
        <v>0</v>
      </c>
      <c r="BB487" s="2">
        <v>0</v>
      </c>
      <c r="BC487" s="2" t="s">
        <v>32</v>
      </c>
      <c r="BD487" s="2">
        <v>0</v>
      </c>
      <c r="BE487" s="2" t="s">
        <v>32</v>
      </c>
      <c r="BF487" s="2">
        <v>0</v>
      </c>
      <c r="BG487" s="2" t="s">
        <v>32</v>
      </c>
      <c r="BH487" s="2">
        <v>0</v>
      </c>
      <c r="BI487" s="2" t="s">
        <v>32</v>
      </c>
      <c r="BJ487" s="2" t="s">
        <v>32</v>
      </c>
      <c r="BK487" s="2" t="s">
        <v>32</v>
      </c>
      <c r="BL487" s="2">
        <v>0</v>
      </c>
      <c r="BM487" s="2" t="s">
        <v>32</v>
      </c>
      <c r="BN487" s="2" t="s">
        <v>32</v>
      </c>
      <c r="BO487" s="2" t="s">
        <v>32</v>
      </c>
      <c r="BP487" s="2">
        <v>0</v>
      </c>
      <c r="BQ487" s="2" t="s">
        <v>32</v>
      </c>
      <c r="BR487" s="2">
        <v>0</v>
      </c>
      <c r="BS487" s="2" t="s">
        <v>1660</v>
      </c>
      <c r="BT487" s="2">
        <v>0</v>
      </c>
      <c r="BU487" s="2">
        <v>0</v>
      </c>
      <c r="BV487" s="2" t="s">
        <v>1660</v>
      </c>
      <c r="BW487" s="2"/>
      <c r="BX487" s="2"/>
      <c r="BY487" s="2" t="s">
        <v>1807</v>
      </c>
      <c r="BZ487" s="2" t="b">
        <f>OR( (Dashboard[[#This Row],[ref_as_hh]]&gt;=1),(Dashboard[[#This Row],[ret_as_hh]] &gt;=1), (Dashboard[[#This Row],[idp_as_hh]]&gt;=1))</f>
        <v>0</v>
      </c>
      <c r="CA487" s="2">
        <f>Dashboard[[#This Row],[ret_hi_hh]]</f>
        <v>0</v>
      </c>
      <c r="CB487" s="2">
        <f>Dashboard[[#This Row],[idp_fa_hh]]+Dashboard[[#This Row],[ref_fa_hh]]+Dashboard[[#This Row],[ret_fa_hh]]</f>
        <v>10</v>
      </c>
      <c r="CC487" s="2">
        <f>Dashboard[[#This Row],[idp_loc_hh]]+Dashboard[[#This Row],[ref_loc_hh]]+Dashboard[[#This Row],[ret_loc_hh]]</f>
        <v>0</v>
      </c>
      <c r="CD487" s="2">
        <f>Dashboard[[#This Row],[idp_cc_hh]]+Dashboard[[#This Row],[ref_cc_hh]]+Dashboard[[#This Row],[ret_cc_hh]]</f>
        <v>0</v>
      </c>
      <c r="CE487" s="2">
        <f>Dashboard[[#This Row],[idp_as_hh]]+Dashboard[[#This Row],[ref_as_hh]]+Dashboard[[#This Row],[ret_as_hh]]</f>
        <v>0</v>
      </c>
      <c r="CF487" s="2">
        <f>Dashboard[[#This Row],[idp_al_hh]]+Dashboard[[#This Row],[ref_al_hh]]+Dashboard[[#This Row],[ret_al_hh]]</f>
        <v>0</v>
      </c>
    </row>
    <row r="488" spans="1:84" hidden="1" x14ac:dyDescent="0.25">
      <c r="A488" s="27">
        <v>455</v>
      </c>
      <c r="B488" s="2" t="s">
        <v>22</v>
      </c>
      <c r="C488" s="2" t="s">
        <v>23</v>
      </c>
      <c r="D488" s="2" t="s">
        <v>85</v>
      </c>
      <c r="E488" s="2" t="s">
        <v>84</v>
      </c>
      <c r="F488" s="2" t="s">
        <v>110</v>
      </c>
      <c r="G488" s="2" t="s">
        <v>109</v>
      </c>
      <c r="H488" s="2" t="s">
        <v>1830</v>
      </c>
      <c r="I488" s="2" t="s">
        <v>1831</v>
      </c>
      <c r="J488" s="2" t="s">
        <v>2544</v>
      </c>
      <c r="K488" s="2" t="s">
        <v>2545</v>
      </c>
      <c r="L488" s="2" t="s">
        <v>3697</v>
      </c>
      <c r="M488" s="2">
        <v>249</v>
      </c>
      <c r="N488" s="2" t="s">
        <v>1658</v>
      </c>
      <c r="O488" s="2">
        <v>3</v>
      </c>
      <c r="P488" s="2">
        <v>25</v>
      </c>
      <c r="Q488" s="2" t="s">
        <v>1658</v>
      </c>
      <c r="R488" s="2">
        <v>3</v>
      </c>
      <c r="S488" s="2" t="s">
        <v>1660</v>
      </c>
      <c r="T488" s="2">
        <v>0</v>
      </c>
      <c r="U488" s="2" t="s">
        <v>32</v>
      </c>
      <c r="V488" s="2" t="s">
        <v>32</v>
      </c>
      <c r="W488" s="2" t="s">
        <v>1660</v>
      </c>
      <c r="X488" s="2">
        <v>0</v>
      </c>
      <c r="Y488" s="2" t="s">
        <v>32</v>
      </c>
      <c r="Z488" s="2" t="s">
        <v>32</v>
      </c>
      <c r="AA488" s="2" t="s">
        <v>1660</v>
      </c>
      <c r="AB488" s="2">
        <v>0</v>
      </c>
      <c r="AC488" s="2" t="s">
        <v>1660</v>
      </c>
      <c r="AD488" s="2">
        <v>0</v>
      </c>
      <c r="AE488" s="2" t="s">
        <v>1660</v>
      </c>
      <c r="AF488" s="2">
        <v>0</v>
      </c>
      <c r="AG488" s="2">
        <v>0</v>
      </c>
      <c r="AH488" s="2" t="s">
        <v>32</v>
      </c>
      <c r="AI488" s="2" t="s">
        <v>32</v>
      </c>
      <c r="AJ488" s="2" t="s">
        <v>32</v>
      </c>
      <c r="AK488" s="2" t="s">
        <v>32</v>
      </c>
      <c r="AL488" s="2" t="s">
        <v>32</v>
      </c>
      <c r="AM488" s="2">
        <v>0</v>
      </c>
      <c r="AN488" s="2" t="s">
        <v>32</v>
      </c>
      <c r="AO488" s="2">
        <v>0</v>
      </c>
      <c r="AP488" s="2" t="s">
        <v>32</v>
      </c>
      <c r="AQ488" s="2" t="s">
        <v>32</v>
      </c>
      <c r="AR488" s="2" t="s">
        <v>32</v>
      </c>
      <c r="AS488" s="2">
        <v>0</v>
      </c>
      <c r="AT488" s="2" t="s">
        <v>32</v>
      </c>
      <c r="AU488" s="2" t="s">
        <v>32</v>
      </c>
      <c r="AV488" s="2" t="s">
        <v>32</v>
      </c>
      <c r="AW488" s="2">
        <v>0</v>
      </c>
      <c r="AX488" s="2" t="s">
        <v>32</v>
      </c>
      <c r="AY488" s="2">
        <v>0</v>
      </c>
      <c r="AZ488" s="2" t="s">
        <v>1660</v>
      </c>
      <c r="BA488" s="2">
        <v>0</v>
      </c>
      <c r="BB488" s="2">
        <v>0</v>
      </c>
      <c r="BC488" s="2" t="s">
        <v>32</v>
      </c>
      <c r="BD488" s="2">
        <v>0</v>
      </c>
      <c r="BE488" s="2" t="s">
        <v>32</v>
      </c>
      <c r="BF488" s="2">
        <v>0</v>
      </c>
      <c r="BG488" s="2" t="s">
        <v>32</v>
      </c>
      <c r="BH488" s="2">
        <v>0</v>
      </c>
      <c r="BI488" s="2" t="s">
        <v>32</v>
      </c>
      <c r="BJ488" s="2" t="s">
        <v>32</v>
      </c>
      <c r="BK488" s="2" t="s">
        <v>32</v>
      </c>
      <c r="BL488" s="2">
        <v>0</v>
      </c>
      <c r="BM488" s="2" t="s">
        <v>32</v>
      </c>
      <c r="BN488" s="2" t="s">
        <v>32</v>
      </c>
      <c r="BO488" s="2" t="s">
        <v>32</v>
      </c>
      <c r="BP488" s="2">
        <v>0</v>
      </c>
      <c r="BQ488" s="2" t="s">
        <v>32</v>
      </c>
      <c r="BR488" s="2">
        <v>0</v>
      </c>
      <c r="BS488" s="2" t="s">
        <v>1660</v>
      </c>
      <c r="BT488" s="2">
        <v>0</v>
      </c>
      <c r="BU488" s="2">
        <v>0</v>
      </c>
      <c r="BV488" s="2" t="s">
        <v>1660</v>
      </c>
      <c r="BW488" s="2"/>
      <c r="BX488" s="2"/>
      <c r="BY488" s="2" t="s">
        <v>1807</v>
      </c>
      <c r="BZ488" s="2" t="b">
        <f>OR( (Dashboard[[#This Row],[ref_as_hh]]&gt;=1),(Dashboard[[#This Row],[ret_as_hh]] &gt;=1), (Dashboard[[#This Row],[idp_as_hh]]&gt;=1))</f>
        <v>0</v>
      </c>
      <c r="CA488" s="2">
        <f>Dashboard[[#This Row],[ret_hi_hh]]</f>
        <v>0</v>
      </c>
      <c r="CB488" s="2">
        <f>Dashboard[[#This Row],[idp_fa_hh]]+Dashboard[[#This Row],[ref_fa_hh]]+Dashboard[[#This Row],[ret_fa_hh]]</f>
        <v>3</v>
      </c>
      <c r="CC488" s="2">
        <f>Dashboard[[#This Row],[idp_loc_hh]]+Dashboard[[#This Row],[ref_loc_hh]]+Dashboard[[#This Row],[ret_loc_hh]]</f>
        <v>0</v>
      </c>
      <c r="CD488" s="2">
        <f>Dashboard[[#This Row],[idp_cc_hh]]+Dashboard[[#This Row],[ref_cc_hh]]+Dashboard[[#This Row],[ret_cc_hh]]</f>
        <v>0</v>
      </c>
      <c r="CE488" s="2">
        <f>Dashboard[[#This Row],[idp_as_hh]]+Dashboard[[#This Row],[ref_as_hh]]+Dashboard[[#This Row],[ret_as_hh]]</f>
        <v>0</v>
      </c>
      <c r="CF488" s="2">
        <f>Dashboard[[#This Row],[idp_al_hh]]+Dashboard[[#This Row],[ref_al_hh]]+Dashboard[[#This Row],[ret_al_hh]]</f>
        <v>0</v>
      </c>
    </row>
    <row r="489" spans="1:84" hidden="1" x14ac:dyDescent="0.25">
      <c r="A489" s="27">
        <v>711</v>
      </c>
      <c r="B489" s="2" t="s">
        <v>22</v>
      </c>
      <c r="C489" s="2" t="s">
        <v>23</v>
      </c>
      <c r="D489" s="2" t="s">
        <v>85</v>
      </c>
      <c r="E489" s="2" t="s">
        <v>84</v>
      </c>
      <c r="F489" s="2" t="s">
        <v>110</v>
      </c>
      <c r="G489" s="2" t="s">
        <v>109</v>
      </c>
      <c r="H489" s="2" t="s">
        <v>1826</v>
      </c>
      <c r="I489" s="2" t="s">
        <v>1827</v>
      </c>
      <c r="J489" s="2" t="s">
        <v>2524</v>
      </c>
      <c r="K489" s="2" t="s">
        <v>2525</v>
      </c>
      <c r="L489" s="2" t="s">
        <v>2076</v>
      </c>
      <c r="M489" s="2">
        <v>888</v>
      </c>
      <c r="N489" s="2" t="s">
        <v>1658</v>
      </c>
      <c r="O489" s="2">
        <v>13</v>
      </c>
      <c r="P489" s="2">
        <v>104</v>
      </c>
      <c r="Q489" s="2" t="s">
        <v>1658</v>
      </c>
      <c r="R489" s="2">
        <v>13</v>
      </c>
      <c r="S489" s="2" t="s">
        <v>1660</v>
      </c>
      <c r="T489" s="2">
        <v>0</v>
      </c>
      <c r="U489" s="2" t="s">
        <v>32</v>
      </c>
      <c r="V489" s="2" t="s">
        <v>32</v>
      </c>
      <c r="W489" s="2" t="s">
        <v>1660</v>
      </c>
      <c r="X489" s="2">
        <v>0</v>
      </c>
      <c r="Y489" s="2" t="s">
        <v>32</v>
      </c>
      <c r="Z489" s="2" t="s">
        <v>32</v>
      </c>
      <c r="AA489" s="2" t="s">
        <v>1660</v>
      </c>
      <c r="AB489" s="2">
        <v>0</v>
      </c>
      <c r="AC489" s="2" t="s">
        <v>1660</v>
      </c>
      <c r="AD489" s="2">
        <v>0</v>
      </c>
      <c r="AE489" s="2" t="s">
        <v>1660</v>
      </c>
      <c r="AF489" s="2">
        <v>0</v>
      </c>
      <c r="AG489" s="2">
        <v>0</v>
      </c>
      <c r="AH489" s="2" t="s">
        <v>32</v>
      </c>
      <c r="AI489" s="2" t="s">
        <v>32</v>
      </c>
      <c r="AJ489" s="2" t="s">
        <v>32</v>
      </c>
      <c r="AK489" s="2" t="s">
        <v>32</v>
      </c>
      <c r="AL489" s="2" t="s">
        <v>32</v>
      </c>
      <c r="AM489" s="2">
        <v>0</v>
      </c>
      <c r="AN489" s="2" t="s">
        <v>32</v>
      </c>
      <c r="AO489" s="2">
        <v>0</v>
      </c>
      <c r="AP489" s="2" t="s">
        <v>32</v>
      </c>
      <c r="AQ489" s="2" t="s">
        <v>32</v>
      </c>
      <c r="AR489" s="2" t="s">
        <v>32</v>
      </c>
      <c r="AS489" s="2">
        <v>0</v>
      </c>
      <c r="AT489" s="2" t="s">
        <v>32</v>
      </c>
      <c r="AU489" s="2" t="s">
        <v>32</v>
      </c>
      <c r="AV489" s="2" t="s">
        <v>32</v>
      </c>
      <c r="AW489" s="2">
        <v>0</v>
      </c>
      <c r="AX489" s="2" t="s">
        <v>32</v>
      </c>
      <c r="AY489" s="2">
        <v>0</v>
      </c>
      <c r="AZ489" s="2" t="s">
        <v>1660</v>
      </c>
      <c r="BA489" s="2">
        <v>0</v>
      </c>
      <c r="BB489" s="2">
        <v>0</v>
      </c>
      <c r="BC489" s="2" t="s">
        <v>32</v>
      </c>
      <c r="BD489" s="2">
        <v>0</v>
      </c>
      <c r="BE489" s="2" t="s">
        <v>32</v>
      </c>
      <c r="BF489" s="2">
        <v>0</v>
      </c>
      <c r="BG489" s="2" t="s">
        <v>32</v>
      </c>
      <c r="BH489" s="2">
        <v>0</v>
      </c>
      <c r="BI489" s="2" t="s">
        <v>32</v>
      </c>
      <c r="BJ489" s="2" t="s">
        <v>32</v>
      </c>
      <c r="BK489" s="2" t="s">
        <v>32</v>
      </c>
      <c r="BL489" s="2">
        <v>0</v>
      </c>
      <c r="BM489" s="2" t="s">
        <v>32</v>
      </c>
      <c r="BN489" s="2" t="s">
        <v>32</v>
      </c>
      <c r="BO489" s="2" t="s">
        <v>32</v>
      </c>
      <c r="BP489" s="2">
        <v>0</v>
      </c>
      <c r="BQ489" s="2" t="s">
        <v>32</v>
      </c>
      <c r="BR489" s="2">
        <v>0</v>
      </c>
      <c r="BS489" s="2" t="s">
        <v>1660</v>
      </c>
      <c r="BT489" s="2">
        <v>0</v>
      </c>
      <c r="BU489" s="2">
        <v>0</v>
      </c>
      <c r="BV489" s="2" t="s">
        <v>1660</v>
      </c>
      <c r="BW489" s="2"/>
      <c r="BX489" s="2"/>
      <c r="BY489" s="2" t="s">
        <v>1807</v>
      </c>
      <c r="BZ489" s="2" t="b">
        <f>OR( (Dashboard[[#This Row],[ref_as_hh]]&gt;=1),(Dashboard[[#This Row],[ret_as_hh]] &gt;=1), (Dashboard[[#This Row],[idp_as_hh]]&gt;=1))</f>
        <v>0</v>
      </c>
      <c r="CA489" s="2">
        <f>Dashboard[[#This Row],[ret_hi_hh]]</f>
        <v>0</v>
      </c>
      <c r="CB489" s="2">
        <f>Dashboard[[#This Row],[idp_fa_hh]]+Dashboard[[#This Row],[ref_fa_hh]]+Dashboard[[#This Row],[ret_fa_hh]]</f>
        <v>13</v>
      </c>
      <c r="CC489" s="2">
        <f>Dashboard[[#This Row],[idp_loc_hh]]+Dashboard[[#This Row],[ref_loc_hh]]+Dashboard[[#This Row],[ret_loc_hh]]</f>
        <v>0</v>
      </c>
      <c r="CD489" s="2">
        <f>Dashboard[[#This Row],[idp_cc_hh]]+Dashboard[[#This Row],[ref_cc_hh]]+Dashboard[[#This Row],[ret_cc_hh]]</f>
        <v>0</v>
      </c>
      <c r="CE489" s="2">
        <f>Dashboard[[#This Row],[idp_as_hh]]+Dashboard[[#This Row],[ref_as_hh]]+Dashboard[[#This Row],[ret_as_hh]]</f>
        <v>0</v>
      </c>
      <c r="CF489" s="2">
        <f>Dashboard[[#This Row],[idp_al_hh]]+Dashboard[[#This Row],[ref_al_hh]]+Dashboard[[#This Row],[ret_al_hh]]</f>
        <v>0</v>
      </c>
    </row>
    <row r="490" spans="1:84" hidden="1" x14ac:dyDescent="0.25">
      <c r="A490" s="27">
        <v>712</v>
      </c>
      <c r="B490" s="2" t="s">
        <v>22</v>
      </c>
      <c r="C490" s="2" t="s">
        <v>23</v>
      </c>
      <c r="D490" s="2" t="s">
        <v>85</v>
      </c>
      <c r="E490" s="2" t="s">
        <v>84</v>
      </c>
      <c r="F490" s="2" t="s">
        <v>110</v>
      </c>
      <c r="G490" s="2" t="s">
        <v>109</v>
      </c>
      <c r="H490" s="2" t="s">
        <v>1824</v>
      </c>
      <c r="I490" s="2" t="s">
        <v>1825</v>
      </c>
      <c r="J490" s="2" t="s">
        <v>2522</v>
      </c>
      <c r="K490" s="2" t="s">
        <v>2523</v>
      </c>
      <c r="L490" s="2" t="s">
        <v>2079</v>
      </c>
      <c r="M490" s="2">
        <v>1056</v>
      </c>
      <c r="N490" s="2" t="s">
        <v>1658</v>
      </c>
      <c r="O490" s="2">
        <v>14</v>
      </c>
      <c r="P490" s="2">
        <v>106</v>
      </c>
      <c r="Q490" s="2" t="s">
        <v>1658</v>
      </c>
      <c r="R490" s="2">
        <v>14</v>
      </c>
      <c r="S490" s="2" t="s">
        <v>1660</v>
      </c>
      <c r="T490" s="2">
        <v>0</v>
      </c>
      <c r="U490" s="2" t="s">
        <v>32</v>
      </c>
      <c r="V490" s="2" t="s">
        <v>32</v>
      </c>
      <c r="W490" s="2" t="s">
        <v>1660</v>
      </c>
      <c r="X490" s="2">
        <v>0</v>
      </c>
      <c r="Y490" s="2" t="s">
        <v>32</v>
      </c>
      <c r="Z490" s="2" t="s">
        <v>32</v>
      </c>
      <c r="AA490" s="2" t="s">
        <v>1660</v>
      </c>
      <c r="AB490" s="2">
        <v>0</v>
      </c>
      <c r="AC490" s="2" t="s">
        <v>1660</v>
      </c>
      <c r="AD490" s="2">
        <v>0</v>
      </c>
      <c r="AE490" s="2" t="s">
        <v>1660</v>
      </c>
      <c r="AF490" s="2">
        <v>0</v>
      </c>
      <c r="AG490" s="2">
        <v>0</v>
      </c>
      <c r="AH490" s="2" t="s">
        <v>32</v>
      </c>
      <c r="AI490" s="2" t="s">
        <v>32</v>
      </c>
      <c r="AJ490" s="2" t="s">
        <v>32</v>
      </c>
      <c r="AK490" s="2" t="s">
        <v>32</v>
      </c>
      <c r="AL490" s="2" t="s">
        <v>32</v>
      </c>
      <c r="AM490" s="2">
        <v>0</v>
      </c>
      <c r="AN490" s="2" t="s">
        <v>32</v>
      </c>
      <c r="AO490" s="2">
        <v>0</v>
      </c>
      <c r="AP490" s="2" t="s">
        <v>32</v>
      </c>
      <c r="AQ490" s="2" t="s">
        <v>32</v>
      </c>
      <c r="AR490" s="2" t="s">
        <v>32</v>
      </c>
      <c r="AS490" s="2">
        <v>0</v>
      </c>
      <c r="AT490" s="2" t="s">
        <v>32</v>
      </c>
      <c r="AU490" s="2" t="s">
        <v>32</v>
      </c>
      <c r="AV490" s="2" t="s">
        <v>32</v>
      </c>
      <c r="AW490" s="2">
        <v>0</v>
      </c>
      <c r="AX490" s="2" t="s">
        <v>32</v>
      </c>
      <c r="AY490" s="2">
        <v>0</v>
      </c>
      <c r="AZ490" s="2" t="s">
        <v>1660</v>
      </c>
      <c r="BA490" s="2">
        <v>0</v>
      </c>
      <c r="BB490" s="2">
        <v>0</v>
      </c>
      <c r="BC490" s="2" t="s">
        <v>32</v>
      </c>
      <c r="BD490" s="2">
        <v>0</v>
      </c>
      <c r="BE490" s="2" t="s">
        <v>32</v>
      </c>
      <c r="BF490" s="2">
        <v>0</v>
      </c>
      <c r="BG490" s="2" t="s">
        <v>32</v>
      </c>
      <c r="BH490" s="2">
        <v>0</v>
      </c>
      <c r="BI490" s="2" t="s">
        <v>32</v>
      </c>
      <c r="BJ490" s="2" t="s">
        <v>32</v>
      </c>
      <c r="BK490" s="2" t="s">
        <v>32</v>
      </c>
      <c r="BL490" s="2">
        <v>0</v>
      </c>
      <c r="BM490" s="2" t="s">
        <v>32</v>
      </c>
      <c r="BN490" s="2" t="s">
        <v>32</v>
      </c>
      <c r="BO490" s="2" t="s">
        <v>32</v>
      </c>
      <c r="BP490" s="2">
        <v>0</v>
      </c>
      <c r="BQ490" s="2" t="s">
        <v>32</v>
      </c>
      <c r="BR490" s="2">
        <v>0</v>
      </c>
      <c r="BS490" s="2" t="s">
        <v>1660</v>
      </c>
      <c r="BT490" s="2">
        <v>0</v>
      </c>
      <c r="BU490" s="2">
        <v>0</v>
      </c>
      <c r="BV490" s="2" t="s">
        <v>1660</v>
      </c>
      <c r="BW490" s="2"/>
      <c r="BX490" s="2"/>
      <c r="BY490" s="2" t="s">
        <v>1807</v>
      </c>
      <c r="BZ490" s="2" t="b">
        <f>OR( (Dashboard[[#This Row],[ref_as_hh]]&gt;=1),(Dashboard[[#This Row],[ret_as_hh]] &gt;=1), (Dashboard[[#This Row],[idp_as_hh]]&gt;=1))</f>
        <v>0</v>
      </c>
      <c r="CA490" s="2">
        <f>Dashboard[[#This Row],[ret_hi_hh]]</f>
        <v>0</v>
      </c>
      <c r="CB490" s="2">
        <f>Dashboard[[#This Row],[idp_fa_hh]]+Dashboard[[#This Row],[ref_fa_hh]]+Dashboard[[#This Row],[ret_fa_hh]]</f>
        <v>14</v>
      </c>
      <c r="CC490" s="2">
        <f>Dashboard[[#This Row],[idp_loc_hh]]+Dashboard[[#This Row],[ref_loc_hh]]+Dashboard[[#This Row],[ret_loc_hh]]</f>
        <v>0</v>
      </c>
      <c r="CD490" s="2">
        <f>Dashboard[[#This Row],[idp_cc_hh]]+Dashboard[[#This Row],[ref_cc_hh]]+Dashboard[[#This Row],[ret_cc_hh]]</f>
        <v>0</v>
      </c>
      <c r="CE490" s="2">
        <f>Dashboard[[#This Row],[idp_as_hh]]+Dashboard[[#This Row],[ref_as_hh]]+Dashboard[[#This Row],[ret_as_hh]]</f>
        <v>0</v>
      </c>
      <c r="CF490" s="2">
        <f>Dashboard[[#This Row],[idp_al_hh]]+Dashboard[[#This Row],[ref_al_hh]]+Dashboard[[#This Row],[ret_al_hh]]</f>
        <v>0</v>
      </c>
    </row>
    <row r="491" spans="1:84" hidden="1" x14ac:dyDescent="0.25">
      <c r="A491" s="27">
        <v>713</v>
      </c>
      <c r="B491" s="2" t="s">
        <v>22</v>
      </c>
      <c r="C491" s="2" t="s">
        <v>23</v>
      </c>
      <c r="D491" s="2" t="s">
        <v>85</v>
      </c>
      <c r="E491" s="2" t="s">
        <v>84</v>
      </c>
      <c r="F491" s="2" t="s">
        <v>110</v>
      </c>
      <c r="G491" s="2" t="s">
        <v>109</v>
      </c>
      <c r="H491" s="2" t="s">
        <v>1560</v>
      </c>
      <c r="I491" s="2" t="s">
        <v>147</v>
      </c>
      <c r="J491" s="2" t="s">
        <v>2528</v>
      </c>
      <c r="K491" s="2" t="s">
        <v>2529</v>
      </c>
      <c r="L491" s="2" t="s">
        <v>3694</v>
      </c>
      <c r="M491" s="2">
        <v>0</v>
      </c>
      <c r="N491" s="2" t="s">
        <v>1660</v>
      </c>
      <c r="O491" s="2">
        <v>0</v>
      </c>
      <c r="P491" s="2">
        <v>0</v>
      </c>
      <c r="Q491" s="2" t="s">
        <v>32</v>
      </c>
      <c r="R491" s="2">
        <v>0</v>
      </c>
      <c r="S491" s="2" t="s">
        <v>32</v>
      </c>
      <c r="T491" s="2">
        <v>0</v>
      </c>
      <c r="U491" s="2" t="s">
        <v>32</v>
      </c>
      <c r="V491" s="2" t="s">
        <v>32</v>
      </c>
      <c r="W491" s="2" t="s">
        <v>32</v>
      </c>
      <c r="X491" s="2">
        <v>0</v>
      </c>
      <c r="Y491" s="2" t="s">
        <v>32</v>
      </c>
      <c r="Z491" s="2" t="s">
        <v>32</v>
      </c>
      <c r="AA491" s="2" t="s">
        <v>32</v>
      </c>
      <c r="AB491" s="2">
        <v>0</v>
      </c>
      <c r="AC491" s="2" t="s">
        <v>32</v>
      </c>
      <c r="AD491" s="2">
        <v>0</v>
      </c>
      <c r="AE491" s="2" t="s">
        <v>1660</v>
      </c>
      <c r="AF491" s="2">
        <v>0</v>
      </c>
      <c r="AG491" s="2">
        <v>0</v>
      </c>
      <c r="AH491" s="2" t="s">
        <v>32</v>
      </c>
      <c r="AI491" s="2" t="s">
        <v>32</v>
      </c>
      <c r="AJ491" s="2" t="s">
        <v>32</v>
      </c>
      <c r="AK491" s="2" t="s">
        <v>32</v>
      </c>
      <c r="AL491" s="2" t="s">
        <v>32</v>
      </c>
      <c r="AM491" s="2">
        <v>0</v>
      </c>
      <c r="AN491" s="2" t="s">
        <v>32</v>
      </c>
      <c r="AO491" s="2">
        <v>0</v>
      </c>
      <c r="AP491" s="2" t="s">
        <v>32</v>
      </c>
      <c r="AQ491" s="2" t="s">
        <v>32</v>
      </c>
      <c r="AR491" s="2" t="s">
        <v>32</v>
      </c>
      <c r="AS491" s="2">
        <v>0</v>
      </c>
      <c r="AT491" s="2" t="s">
        <v>32</v>
      </c>
      <c r="AU491" s="2" t="s">
        <v>32</v>
      </c>
      <c r="AV491" s="2" t="s">
        <v>32</v>
      </c>
      <c r="AW491" s="2">
        <v>0</v>
      </c>
      <c r="AX491" s="2" t="s">
        <v>32</v>
      </c>
      <c r="AY491" s="2">
        <v>0</v>
      </c>
      <c r="AZ491" s="2" t="s">
        <v>1660</v>
      </c>
      <c r="BA491" s="2">
        <v>0</v>
      </c>
      <c r="BB491" s="2">
        <v>0</v>
      </c>
      <c r="BC491" s="2" t="s">
        <v>32</v>
      </c>
      <c r="BD491" s="2">
        <v>0</v>
      </c>
      <c r="BE491" s="2" t="s">
        <v>32</v>
      </c>
      <c r="BF491" s="2">
        <v>0</v>
      </c>
      <c r="BG491" s="2" t="s">
        <v>32</v>
      </c>
      <c r="BH491" s="2">
        <v>0</v>
      </c>
      <c r="BI491" s="2" t="s">
        <v>32</v>
      </c>
      <c r="BJ491" s="2" t="s">
        <v>32</v>
      </c>
      <c r="BK491" s="2" t="s">
        <v>32</v>
      </c>
      <c r="BL491" s="2">
        <v>0</v>
      </c>
      <c r="BM491" s="2" t="s">
        <v>32</v>
      </c>
      <c r="BN491" s="2" t="s">
        <v>32</v>
      </c>
      <c r="BO491" s="2" t="s">
        <v>32</v>
      </c>
      <c r="BP491" s="2">
        <v>0</v>
      </c>
      <c r="BQ491" s="2" t="s">
        <v>32</v>
      </c>
      <c r="BR491" s="2">
        <v>0</v>
      </c>
      <c r="BS491" s="2" t="s">
        <v>1658</v>
      </c>
      <c r="BT491" s="2">
        <v>167</v>
      </c>
      <c r="BU491" s="2">
        <v>1022</v>
      </c>
      <c r="BV491" s="2" t="s">
        <v>1660</v>
      </c>
      <c r="BW491" s="2"/>
      <c r="BX491" s="2"/>
      <c r="BY491" s="2" t="s">
        <v>1807</v>
      </c>
      <c r="BZ491" s="2" t="b">
        <f>OR( (Dashboard[[#This Row],[ref_as_hh]]&gt;=1),(Dashboard[[#This Row],[ret_as_hh]] &gt;=1), (Dashboard[[#This Row],[idp_as_hh]]&gt;=1))</f>
        <v>0</v>
      </c>
      <c r="CA491" s="2">
        <f>Dashboard[[#This Row],[ret_hi_hh]]</f>
        <v>0</v>
      </c>
      <c r="CB491" s="2">
        <f>Dashboard[[#This Row],[idp_fa_hh]]+Dashboard[[#This Row],[ref_fa_hh]]+Dashboard[[#This Row],[ret_fa_hh]]</f>
        <v>0</v>
      </c>
      <c r="CC491" s="2">
        <f>Dashboard[[#This Row],[idp_loc_hh]]+Dashboard[[#This Row],[ref_loc_hh]]+Dashboard[[#This Row],[ret_loc_hh]]</f>
        <v>0</v>
      </c>
      <c r="CD491" s="2">
        <f>Dashboard[[#This Row],[idp_cc_hh]]+Dashboard[[#This Row],[ref_cc_hh]]+Dashboard[[#This Row],[ret_cc_hh]]</f>
        <v>0</v>
      </c>
      <c r="CE491" s="2">
        <f>Dashboard[[#This Row],[idp_as_hh]]+Dashboard[[#This Row],[ref_as_hh]]+Dashboard[[#This Row],[ret_as_hh]]</f>
        <v>0</v>
      </c>
      <c r="CF491" s="2">
        <f>Dashboard[[#This Row],[idp_al_hh]]+Dashboard[[#This Row],[ref_al_hh]]+Dashboard[[#This Row],[ret_al_hh]]</f>
        <v>0</v>
      </c>
    </row>
    <row r="492" spans="1:84" hidden="1" x14ac:dyDescent="0.25">
      <c r="A492" s="27">
        <v>714</v>
      </c>
      <c r="B492" s="2" t="s">
        <v>22</v>
      </c>
      <c r="C492" s="2" t="s">
        <v>23</v>
      </c>
      <c r="D492" s="2" t="s">
        <v>85</v>
      </c>
      <c r="E492" s="2" t="s">
        <v>84</v>
      </c>
      <c r="F492" s="2" t="s">
        <v>110</v>
      </c>
      <c r="G492" s="2" t="s">
        <v>109</v>
      </c>
      <c r="H492" s="2" t="s">
        <v>1559</v>
      </c>
      <c r="I492" s="2" t="s">
        <v>146</v>
      </c>
      <c r="J492" s="2" t="s">
        <v>2518</v>
      </c>
      <c r="K492" s="2" t="s">
        <v>2519</v>
      </c>
      <c r="L492" s="2" t="s">
        <v>3707</v>
      </c>
      <c r="M492" s="2">
        <v>0</v>
      </c>
      <c r="N492" s="2" t="s">
        <v>1660</v>
      </c>
      <c r="O492" s="2">
        <v>0</v>
      </c>
      <c r="P492" s="2">
        <v>0</v>
      </c>
      <c r="Q492" s="2" t="s">
        <v>32</v>
      </c>
      <c r="R492" s="2">
        <v>0</v>
      </c>
      <c r="S492" s="2" t="s">
        <v>32</v>
      </c>
      <c r="T492" s="2">
        <v>0</v>
      </c>
      <c r="U492" s="2" t="s">
        <v>32</v>
      </c>
      <c r="V492" s="2" t="s">
        <v>32</v>
      </c>
      <c r="W492" s="2" t="s">
        <v>32</v>
      </c>
      <c r="X492" s="2">
        <v>0</v>
      </c>
      <c r="Y492" s="2" t="s">
        <v>32</v>
      </c>
      <c r="Z492" s="2" t="s">
        <v>32</v>
      </c>
      <c r="AA492" s="2" t="s">
        <v>32</v>
      </c>
      <c r="AB492" s="2">
        <v>0</v>
      </c>
      <c r="AC492" s="2" t="s">
        <v>32</v>
      </c>
      <c r="AD492" s="2">
        <v>0</v>
      </c>
      <c r="AE492" s="2" t="s">
        <v>1660</v>
      </c>
      <c r="AF492" s="2">
        <v>0</v>
      </c>
      <c r="AG492" s="2">
        <v>0</v>
      </c>
      <c r="AH492" s="2" t="s">
        <v>32</v>
      </c>
      <c r="AI492" s="2" t="s">
        <v>32</v>
      </c>
      <c r="AJ492" s="2" t="s">
        <v>32</v>
      </c>
      <c r="AK492" s="2" t="s">
        <v>32</v>
      </c>
      <c r="AL492" s="2" t="s">
        <v>32</v>
      </c>
      <c r="AM492" s="2">
        <v>0</v>
      </c>
      <c r="AN492" s="2" t="s">
        <v>32</v>
      </c>
      <c r="AO492" s="2">
        <v>0</v>
      </c>
      <c r="AP492" s="2" t="s">
        <v>32</v>
      </c>
      <c r="AQ492" s="2" t="s">
        <v>32</v>
      </c>
      <c r="AR492" s="2" t="s">
        <v>32</v>
      </c>
      <c r="AS492" s="2">
        <v>0</v>
      </c>
      <c r="AT492" s="2" t="s">
        <v>32</v>
      </c>
      <c r="AU492" s="2" t="s">
        <v>32</v>
      </c>
      <c r="AV492" s="2" t="s">
        <v>32</v>
      </c>
      <c r="AW492" s="2">
        <v>0</v>
      </c>
      <c r="AX492" s="2" t="s">
        <v>32</v>
      </c>
      <c r="AY492" s="2">
        <v>0</v>
      </c>
      <c r="AZ492" s="2" t="s">
        <v>1660</v>
      </c>
      <c r="BA492" s="2">
        <v>0</v>
      </c>
      <c r="BB492" s="2">
        <v>0</v>
      </c>
      <c r="BC492" s="2" t="s">
        <v>32</v>
      </c>
      <c r="BD492" s="2">
        <v>0</v>
      </c>
      <c r="BE492" s="2" t="s">
        <v>32</v>
      </c>
      <c r="BF492" s="2">
        <v>0</v>
      </c>
      <c r="BG492" s="2" t="s">
        <v>32</v>
      </c>
      <c r="BH492" s="2">
        <v>0</v>
      </c>
      <c r="BI492" s="2" t="s">
        <v>32</v>
      </c>
      <c r="BJ492" s="2" t="s">
        <v>32</v>
      </c>
      <c r="BK492" s="2" t="s">
        <v>32</v>
      </c>
      <c r="BL492" s="2">
        <v>0</v>
      </c>
      <c r="BM492" s="2" t="s">
        <v>32</v>
      </c>
      <c r="BN492" s="2" t="s">
        <v>32</v>
      </c>
      <c r="BO492" s="2" t="s">
        <v>32</v>
      </c>
      <c r="BP492" s="2">
        <v>0</v>
      </c>
      <c r="BQ492" s="2" t="s">
        <v>32</v>
      </c>
      <c r="BR492" s="2">
        <v>0</v>
      </c>
      <c r="BS492" s="2" t="s">
        <v>1658</v>
      </c>
      <c r="BT492" s="2">
        <v>85</v>
      </c>
      <c r="BU492" s="2">
        <v>414</v>
      </c>
      <c r="BV492" s="2" t="s">
        <v>1660</v>
      </c>
      <c r="BW492" s="2"/>
      <c r="BX492" s="2"/>
      <c r="BY492" s="2" t="s">
        <v>1807</v>
      </c>
      <c r="BZ492" s="2" t="b">
        <f>OR( (Dashboard[[#This Row],[ref_as_hh]]&gt;=1),(Dashboard[[#This Row],[ret_as_hh]] &gt;=1), (Dashboard[[#This Row],[idp_as_hh]]&gt;=1))</f>
        <v>0</v>
      </c>
      <c r="CA492" s="2">
        <f>Dashboard[[#This Row],[ret_hi_hh]]</f>
        <v>0</v>
      </c>
      <c r="CB492" s="2">
        <f>Dashboard[[#This Row],[idp_fa_hh]]+Dashboard[[#This Row],[ref_fa_hh]]+Dashboard[[#This Row],[ret_fa_hh]]</f>
        <v>0</v>
      </c>
      <c r="CC492" s="2">
        <f>Dashboard[[#This Row],[idp_loc_hh]]+Dashboard[[#This Row],[ref_loc_hh]]+Dashboard[[#This Row],[ret_loc_hh]]</f>
        <v>0</v>
      </c>
      <c r="CD492" s="2">
        <f>Dashboard[[#This Row],[idp_cc_hh]]+Dashboard[[#This Row],[ref_cc_hh]]+Dashboard[[#This Row],[ret_cc_hh]]</f>
        <v>0</v>
      </c>
      <c r="CE492" s="2">
        <f>Dashboard[[#This Row],[idp_as_hh]]+Dashboard[[#This Row],[ref_as_hh]]+Dashboard[[#This Row],[ret_as_hh]]</f>
        <v>0</v>
      </c>
      <c r="CF492" s="2">
        <f>Dashboard[[#This Row],[idp_al_hh]]+Dashboard[[#This Row],[ref_al_hh]]+Dashboard[[#This Row],[ret_al_hh]]</f>
        <v>0</v>
      </c>
    </row>
    <row r="493" spans="1:84" hidden="1" x14ac:dyDescent="0.25">
      <c r="A493" s="27">
        <v>715</v>
      </c>
      <c r="B493" s="2" t="s">
        <v>22</v>
      </c>
      <c r="C493" s="2" t="s">
        <v>23</v>
      </c>
      <c r="D493" s="2" t="s">
        <v>85</v>
      </c>
      <c r="E493" s="2" t="s">
        <v>84</v>
      </c>
      <c r="F493" s="2" t="s">
        <v>110</v>
      </c>
      <c r="G493" s="2" t="s">
        <v>109</v>
      </c>
      <c r="H493" s="2" t="s">
        <v>1005</v>
      </c>
      <c r="I493" s="2" t="s">
        <v>321</v>
      </c>
      <c r="J493" s="2" t="s">
        <v>2514</v>
      </c>
      <c r="K493" s="2" t="s">
        <v>2515</v>
      </c>
      <c r="L493" s="2" t="s">
        <v>2074</v>
      </c>
      <c r="M493" s="2">
        <v>442</v>
      </c>
      <c r="N493" s="2" t="s">
        <v>1658</v>
      </c>
      <c r="O493" s="2">
        <v>16</v>
      </c>
      <c r="P493" s="2">
        <v>109</v>
      </c>
      <c r="Q493" s="2" t="s">
        <v>1658</v>
      </c>
      <c r="R493" s="2">
        <v>16</v>
      </c>
      <c r="S493" s="2" t="s">
        <v>1660</v>
      </c>
      <c r="T493" s="2">
        <v>0</v>
      </c>
      <c r="U493" s="2" t="s">
        <v>32</v>
      </c>
      <c r="V493" s="2" t="s">
        <v>32</v>
      </c>
      <c r="W493" s="2" t="s">
        <v>1660</v>
      </c>
      <c r="X493" s="2">
        <v>0</v>
      </c>
      <c r="Y493" s="2" t="s">
        <v>32</v>
      </c>
      <c r="Z493" s="2" t="s">
        <v>32</v>
      </c>
      <c r="AA493" s="2" t="s">
        <v>1660</v>
      </c>
      <c r="AB493" s="2">
        <v>0</v>
      </c>
      <c r="AC493" s="2" t="s">
        <v>1660</v>
      </c>
      <c r="AD493" s="2">
        <v>0</v>
      </c>
      <c r="AE493" s="2" t="s">
        <v>1660</v>
      </c>
      <c r="AF493" s="2">
        <v>0</v>
      </c>
      <c r="AG493" s="2">
        <v>0</v>
      </c>
      <c r="AH493" s="2" t="s">
        <v>32</v>
      </c>
      <c r="AI493" s="2" t="s">
        <v>32</v>
      </c>
      <c r="AJ493" s="2" t="s">
        <v>32</v>
      </c>
      <c r="AK493" s="2" t="s">
        <v>32</v>
      </c>
      <c r="AL493" s="2" t="s">
        <v>32</v>
      </c>
      <c r="AM493" s="2">
        <v>0</v>
      </c>
      <c r="AN493" s="2" t="s">
        <v>32</v>
      </c>
      <c r="AO493" s="2">
        <v>0</v>
      </c>
      <c r="AP493" s="2" t="s">
        <v>32</v>
      </c>
      <c r="AQ493" s="2" t="s">
        <v>32</v>
      </c>
      <c r="AR493" s="2" t="s">
        <v>32</v>
      </c>
      <c r="AS493" s="2">
        <v>0</v>
      </c>
      <c r="AT493" s="2" t="s">
        <v>32</v>
      </c>
      <c r="AU493" s="2" t="s">
        <v>32</v>
      </c>
      <c r="AV493" s="2" t="s">
        <v>32</v>
      </c>
      <c r="AW493" s="2">
        <v>0</v>
      </c>
      <c r="AX493" s="2" t="s">
        <v>32</v>
      </c>
      <c r="AY493" s="2">
        <v>0</v>
      </c>
      <c r="AZ493" s="2" t="s">
        <v>1660</v>
      </c>
      <c r="BA493" s="2">
        <v>0</v>
      </c>
      <c r="BB493" s="2">
        <v>0</v>
      </c>
      <c r="BC493" s="2" t="s">
        <v>32</v>
      </c>
      <c r="BD493" s="2">
        <v>0</v>
      </c>
      <c r="BE493" s="2" t="s">
        <v>32</v>
      </c>
      <c r="BF493" s="2">
        <v>0</v>
      </c>
      <c r="BG493" s="2" t="s">
        <v>32</v>
      </c>
      <c r="BH493" s="2">
        <v>0</v>
      </c>
      <c r="BI493" s="2" t="s">
        <v>32</v>
      </c>
      <c r="BJ493" s="2" t="s">
        <v>32</v>
      </c>
      <c r="BK493" s="2" t="s">
        <v>32</v>
      </c>
      <c r="BL493" s="2">
        <v>0</v>
      </c>
      <c r="BM493" s="2" t="s">
        <v>32</v>
      </c>
      <c r="BN493" s="2" t="s">
        <v>32</v>
      </c>
      <c r="BO493" s="2" t="s">
        <v>32</v>
      </c>
      <c r="BP493" s="2">
        <v>0</v>
      </c>
      <c r="BQ493" s="2" t="s">
        <v>32</v>
      </c>
      <c r="BR493" s="2">
        <v>0</v>
      </c>
      <c r="BS493" s="2" t="s">
        <v>1660</v>
      </c>
      <c r="BT493" s="2">
        <v>0</v>
      </c>
      <c r="BU493" s="2">
        <v>0</v>
      </c>
      <c r="BV493" s="2" t="s">
        <v>1660</v>
      </c>
      <c r="BW493" s="2"/>
      <c r="BX493" s="2"/>
      <c r="BY493" s="2" t="s">
        <v>1807</v>
      </c>
      <c r="BZ493" s="2" t="b">
        <f>OR( (Dashboard[[#This Row],[ref_as_hh]]&gt;=1),(Dashboard[[#This Row],[ret_as_hh]] &gt;=1), (Dashboard[[#This Row],[idp_as_hh]]&gt;=1))</f>
        <v>0</v>
      </c>
      <c r="CA493" s="2">
        <f>Dashboard[[#This Row],[ret_hi_hh]]</f>
        <v>0</v>
      </c>
      <c r="CB493" s="2">
        <f>Dashboard[[#This Row],[idp_fa_hh]]+Dashboard[[#This Row],[ref_fa_hh]]+Dashboard[[#This Row],[ret_fa_hh]]</f>
        <v>16</v>
      </c>
      <c r="CC493" s="2">
        <f>Dashboard[[#This Row],[idp_loc_hh]]+Dashboard[[#This Row],[ref_loc_hh]]+Dashboard[[#This Row],[ret_loc_hh]]</f>
        <v>0</v>
      </c>
      <c r="CD493" s="2">
        <f>Dashboard[[#This Row],[idp_cc_hh]]+Dashboard[[#This Row],[ref_cc_hh]]+Dashboard[[#This Row],[ret_cc_hh]]</f>
        <v>0</v>
      </c>
      <c r="CE493" s="2">
        <f>Dashboard[[#This Row],[idp_as_hh]]+Dashboard[[#This Row],[ref_as_hh]]+Dashboard[[#This Row],[ret_as_hh]]</f>
        <v>0</v>
      </c>
      <c r="CF493" s="2">
        <f>Dashboard[[#This Row],[idp_al_hh]]+Dashboard[[#This Row],[ref_al_hh]]+Dashboard[[#This Row],[ret_al_hh]]</f>
        <v>0</v>
      </c>
    </row>
    <row r="494" spans="1:84" hidden="1" x14ac:dyDescent="0.25">
      <c r="A494" s="27">
        <v>716</v>
      </c>
      <c r="B494" s="2" t="s">
        <v>22</v>
      </c>
      <c r="C494" s="2" t="s">
        <v>23</v>
      </c>
      <c r="D494" s="2" t="s">
        <v>85</v>
      </c>
      <c r="E494" s="2" t="s">
        <v>84</v>
      </c>
      <c r="F494" s="2" t="s">
        <v>110</v>
      </c>
      <c r="G494" s="2" t="s">
        <v>109</v>
      </c>
      <c r="H494" s="2" t="s">
        <v>1004</v>
      </c>
      <c r="I494" s="2" t="s">
        <v>320</v>
      </c>
      <c r="J494" s="2" t="s">
        <v>2512</v>
      </c>
      <c r="K494" s="2" t="s">
        <v>2513</v>
      </c>
      <c r="L494" s="2" t="s">
        <v>2074</v>
      </c>
      <c r="M494" s="2">
        <v>1811</v>
      </c>
      <c r="N494" s="2" t="s">
        <v>1658</v>
      </c>
      <c r="O494" s="2">
        <v>21</v>
      </c>
      <c r="P494" s="2">
        <v>126</v>
      </c>
      <c r="Q494" s="2" t="s">
        <v>1658</v>
      </c>
      <c r="R494" s="2">
        <v>21</v>
      </c>
      <c r="S494" s="2" t="s">
        <v>1660</v>
      </c>
      <c r="T494" s="2">
        <v>0</v>
      </c>
      <c r="U494" s="2" t="s">
        <v>32</v>
      </c>
      <c r="V494" s="2" t="s">
        <v>32</v>
      </c>
      <c r="W494" s="2" t="s">
        <v>1660</v>
      </c>
      <c r="X494" s="2">
        <v>0</v>
      </c>
      <c r="Y494" s="2" t="s">
        <v>32</v>
      </c>
      <c r="Z494" s="2" t="s">
        <v>32</v>
      </c>
      <c r="AA494" s="2" t="s">
        <v>1660</v>
      </c>
      <c r="AB494" s="2">
        <v>0</v>
      </c>
      <c r="AC494" s="2" t="s">
        <v>1660</v>
      </c>
      <c r="AD494" s="2">
        <v>0</v>
      </c>
      <c r="AE494" s="2" t="s">
        <v>1660</v>
      </c>
      <c r="AF494" s="2">
        <v>0</v>
      </c>
      <c r="AG494" s="2">
        <v>0</v>
      </c>
      <c r="AH494" s="2" t="s">
        <v>32</v>
      </c>
      <c r="AI494" s="2" t="s">
        <v>32</v>
      </c>
      <c r="AJ494" s="2" t="s">
        <v>32</v>
      </c>
      <c r="AK494" s="2" t="s">
        <v>32</v>
      </c>
      <c r="AL494" s="2" t="s">
        <v>32</v>
      </c>
      <c r="AM494" s="2">
        <v>0</v>
      </c>
      <c r="AN494" s="2" t="s">
        <v>32</v>
      </c>
      <c r="AO494" s="2">
        <v>0</v>
      </c>
      <c r="AP494" s="2" t="s">
        <v>32</v>
      </c>
      <c r="AQ494" s="2" t="s">
        <v>32</v>
      </c>
      <c r="AR494" s="2" t="s">
        <v>32</v>
      </c>
      <c r="AS494" s="2">
        <v>0</v>
      </c>
      <c r="AT494" s="2" t="s">
        <v>32</v>
      </c>
      <c r="AU494" s="2" t="s">
        <v>32</v>
      </c>
      <c r="AV494" s="2" t="s">
        <v>32</v>
      </c>
      <c r="AW494" s="2">
        <v>0</v>
      </c>
      <c r="AX494" s="2" t="s">
        <v>32</v>
      </c>
      <c r="AY494" s="2">
        <v>0</v>
      </c>
      <c r="AZ494" s="2" t="s">
        <v>1660</v>
      </c>
      <c r="BA494" s="2">
        <v>0</v>
      </c>
      <c r="BB494" s="2">
        <v>0</v>
      </c>
      <c r="BC494" s="2" t="s">
        <v>32</v>
      </c>
      <c r="BD494" s="2">
        <v>0</v>
      </c>
      <c r="BE494" s="2" t="s">
        <v>32</v>
      </c>
      <c r="BF494" s="2">
        <v>0</v>
      </c>
      <c r="BG494" s="2" t="s">
        <v>32</v>
      </c>
      <c r="BH494" s="2">
        <v>0</v>
      </c>
      <c r="BI494" s="2" t="s">
        <v>32</v>
      </c>
      <c r="BJ494" s="2" t="s">
        <v>32</v>
      </c>
      <c r="BK494" s="2" t="s">
        <v>32</v>
      </c>
      <c r="BL494" s="2">
        <v>0</v>
      </c>
      <c r="BM494" s="2" t="s">
        <v>32</v>
      </c>
      <c r="BN494" s="2" t="s">
        <v>32</v>
      </c>
      <c r="BO494" s="2" t="s">
        <v>32</v>
      </c>
      <c r="BP494" s="2">
        <v>0</v>
      </c>
      <c r="BQ494" s="2" t="s">
        <v>32</v>
      </c>
      <c r="BR494" s="2">
        <v>0</v>
      </c>
      <c r="BS494" s="2" t="s">
        <v>1660</v>
      </c>
      <c r="BT494" s="2">
        <v>0</v>
      </c>
      <c r="BU494" s="2">
        <v>0</v>
      </c>
      <c r="BV494" s="2" t="s">
        <v>1660</v>
      </c>
      <c r="BW494" s="2"/>
      <c r="BX494" s="2"/>
      <c r="BY494" s="2" t="s">
        <v>1807</v>
      </c>
      <c r="BZ494" s="2" t="b">
        <f>OR( (Dashboard[[#This Row],[ref_as_hh]]&gt;=1),(Dashboard[[#This Row],[ret_as_hh]] &gt;=1), (Dashboard[[#This Row],[idp_as_hh]]&gt;=1))</f>
        <v>0</v>
      </c>
      <c r="CA494" s="2">
        <f>Dashboard[[#This Row],[ret_hi_hh]]</f>
        <v>0</v>
      </c>
      <c r="CB494" s="2">
        <f>Dashboard[[#This Row],[idp_fa_hh]]+Dashboard[[#This Row],[ref_fa_hh]]+Dashboard[[#This Row],[ret_fa_hh]]</f>
        <v>21</v>
      </c>
      <c r="CC494" s="2">
        <f>Dashboard[[#This Row],[idp_loc_hh]]+Dashboard[[#This Row],[ref_loc_hh]]+Dashboard[[#This Row],[ret_loc_hh]]</f>
        <v>0</v>
      </c>
      <c r="CD494" s="2">
        <f>Dashboard[[#This Row],[idp_cc_hh]]+Dashboard[[#This Row],[ref_cc_hh]]+Dashboard[[#This Row],[ret_cc_hh]]</f>
        <v>0</v>
      </c>
      <c r="CE494" s="2">
        <f>Dashboard[[#This Row],[idp_as_hh]]+Dashboard[[#This Row],[ref_as_hh]]+Dashboard[[#This Row],[ret_as_hh]]</f>
        <v>0</v>
      </c>
      <c r="CF494" s="2">
        <f>Dashboard[[#This Row],[idp_al_hh]]+Dashboard[[#This Row],[ref_al_hh]]+Dashboard[[#This Row],[ret_al_hh]]</f>
        <v>0</v>
      </c>
    </row>
    <row r="495" spans="1:84" hidden="1" x14ac:dyDescent="0.25">
      <c r="A495" s="27">
        <v>717</v>
      </c>
      <c r="B495" s="2" t="s">
        <v>22</v>
      </c>
      <c r="C495" s="2" t="s">
        <v>23</v>
      </c>
      <c r="D495" s="2" t="s">
        <v>85</v>
      </c>
      <c r="E495" s="2" t="s">
        <v>84</v>
      </c>
      <c r="F495" s="2" t="s">
        <v>110</v>
      </c>
      <c r="G495" s="2" t="s">
        <v>109</v>
      </c>
      <c r="H495" s="2" t="s">
        <v>1003</v>
      </c>
      <c r="I495" s="2" t="s">
        <v>319</v>
      </c>
      <c r="J495" s="2" t="s">
        <v>2510</v>
      </c>
      <c r="K495" s="2" t="s">
        <v>2511</v>
      </c>
      <c r="L495" s="2" t="s">
        <v>2074</v>
      </c>
      <c r="M495" s="2">
        <v>3856</v>
      </c>
      <c r="N495" s="2" t="s">
        <v>1658</v>
      </c>
      <c r="O495" s="2">
        <v>251</v>
      </c>
      <c r="P495" s="2">
        <v>1836</v>
      </c>
      <c r="Q495" s="2" t="s">
        <v>1658</v>
      </c>
      <c r="R495" s="2">
        <v>251</v>
      </c>
      <c r="S495" s="2" t="s">
        <v>1660</v>
      </c>
      <c r="T495" s="2">
        <v>0</v>
      </c>
      <c r="U495" s="2" t="s">
        <v>32</v>
      </c>
      <c r="V495" s="2" t="s">
        <v>32</v>
      </c>
      <c r="W495" s="2" t="s">
        <v>1660</v>
      </c>
      <c r="X495" s="2">
        <v>0</v>
      </c>
      <c r="Y495" s="2" t="s">
        <v>32</v>
      </c>
      <c r="Z495" s="2" t="s">
        <v>32</v>
      </c>
      <c r="AA495" s="2" t="s">
        <v>1660</v>
      </c>
      <c r="AB495" s="2">
        <v>0</v>
      </c>
      <c r="AC495" s="2" t="s">
        <v>1660</v>
      </c>
      <c r="AD495" s="2">
        <v>0</v>
      </c>
      <c r="AE495" s="2" t="s">
        <v>1660</v>
      </c>
      <c r="AF495" s="2">
        <v>0</v>
      </c>
      <c r="AG495" s="2">
        <v>0</v>
      </c>
      <c r="AH495" s="2" t="s">
        <v>32</v>
      </c>
      <c r="AI495" s="2" t="s">
        <v>32</v>
      </c>
      <c r="AJ495" s="2" t="s">
        <v>32</v>
      </c>
      <c r="AK495" s="2" t="s">
        <v>32</v>
      </c>
      <c r="AL495" s="2" t="s">
        <v>32</v>
      </c>
      <c r="AM495" s="2">
        <v>0</v>
      </c>
      <c r="AN495" s="2" t="s">
        <v>32</v>
      </c>
      <c r="AO495" s="2">
        <v>0</v>
      </c>
      <c r="AP495" s="2" t="s">
        <v>32</v>
      </c>
      <c r="AQ495" s="2" t="s">
        <v>32</v>
      </c>
      <c r="AR495" s="2" t="s">
        <v>32</v>
      </c>
      <c r="AS495" s="2">
        <v>0</v>
      </c>
      <c r="AT495" s="2" t="s">
        <v>32</v>
      </c>
      <c r="AU495" s="2" t="s">
        <v>32</v>
      </c>
      <c r="AV495" s="2" t="s">
        <v>32</v>
      </c>
      <c r="AW495" s="2">
        <v>0</v>
      </c>
      <c r="AX495" s="2" t="s">
        <v>32</v>
      </c>
      <c r="AY495" s="2">
        <v>0</v>
      </c>
      <c r="AZ495" s="2" t="s">
        <v>1660</v>
      </c>
      <c r="BA495" s="2">
        <v>0</v>
      </c>
      <c r="BB495" s="2">
        <v>0</v>
      </c>
      <c r="BC495" s="2" t="s">
        <v>32</v>
      </c>
      <c r="BD495" s="2">
        <v>0</v>
      </c>
      <c r="BE495" s="2" t="s">
        <v>32</v>
      </c>
      <c r="BF495" s="2">
        <v>0</v>
      </c>
      <c r="BG495" s="2" t="s">
        <v>32</v>
      </c>
      <c r="BH495" s="2">
        <v>0</v>
      </c>
      <c r="BI495" s="2" t="s">
        <v>32</v>
      </c>
      <c r="BJ495" s="2" t="s">
        <v>32</v>
      </c>
      <c r="BK495" s="2" t="s">
        <v>32</v>
      </c>
      <c r="BL495" s="2">
        <v>0</v>
      </c>
      <c r="BM495" s="2" t="s">
        <v>32</v>
      </c>
      <c r="BN495" s="2" t="s">
        <v>32</v>
      </c>
      <c r="BO495" s="2" t="s">
        <v>32</v>
      </c>
      <c r="BP495" s="2">
        <v>0</v>
      </c>
      <c r="BQ495" s="2" t="s">
        <v>32</v>
      </c>
      <c r="BR495" s="2">
        <v>0</v>
      </c>
      <c r="BS495" s="2" t="s">
        <v>1660</v>
      </c>
      <c r="BT495" s="2">
        <v>0</v>
      </c>
      <c r="BU495" s="2">
        <v>0</v>
      </c>
      <c r="BV495" s="2" t="s">
        <v>1660</v>
      </c>
      <c r="BW495" s="2"/>
      <c r="BX495" s="2"/>
      <c r="BY495" s="2" t="s">
        <v>1807</v>
      </c>
      <c r="BZ495" s="2" t="b">
        <f>OR( (Dashboard[[#This Row],[ref_as_hh]]&gt;=1),(Dashboard[[#This Row],[ret_as_hh]] &gt;=1), (Dashboard[[#This Row],[idp_as_hh]]&gt;=1))</f>
        <v>0</v>
      </c>
      <c r="CA495" s="2">
        <f>Dashboard[[#This Row],[ret_hi_hh]]</f>
        <v>0</v>
      </c>
      <c r="CB495" s="2">
        <f>Dashboard[[#This Row],[idp_fa_hh]]+Dashboard[[#This Row],[ref_fa_hh]]+Dashboard[[#This Row],[ret_fa_hh]]</f>
        <v>251</v>
      </c>
      <c r="CC495" s="2">
        <f>Dashboard[[#This Row],[idp_loc_hh]]+Dashboard[[#This Row],[ref_loc_hh]]+Dashboard[[#This Row],[ret_loc_hh]]</f>
        <v>0</v>
      </c>
      <c r="CD495" s="2">
        <f>Dashboard[[#This Row],[idp_cc_hh]]+Dashboard[[#This Row],[ref_cc_hh]]+Dashboard[[#This Row],[ret_cc_hh]]</f>
        <v>0</v>
      </c>
      <c r="CE495" s="2">
        <f>Dashboard[[#This Row],[idp_as_hh]]+Dashboard[[#This Row],[ref_as_hh]]+Dashboard[[#This Row],[ret_as_hh]]</f>
        <v>0</v>
      </c>
      <c r="CF495" s="2">
        <f>Dashboard[[#This Row],[idp_al_hh]]+Dashboard[[#This Row],[ref_al_hh]]+Dashboard[[#This Row],[ret_al_hh]]</f>
        <v>0</v>
      </c>
    </row>
    <row r="496" spans="1:84" hidden="1" x14ac:dyDescent="0.25">
      <c r="A496" s="27">
        <v>719</v>
      </c>
      <c r="B496" s="2" t="s">
        <v>22</v>
      </c>
      <c r="C496" s="2" t="s">
        <v>23</v>
      </c>
      <c r="D496" s="2" t="s">
        <v>85</v>
      </c>
      <c r="E496" s="2" t="s">
        <v>84</v>
      </c>
      <c r="F496" s="2" t="s">
        <v>110</v>
      </c>
      <c r="G496" s="2" t="s">
        <v>109</v>
      </c>
      <c r="H496" s="2" t="s">
        <v>1010</v>
      </c>
      <c r="I496" s="2" t="s">
        <v>326</v>
      </c>
      <c r="J496" s="2" t="s">
        <v>2534</v>
      </c>
      <c r="K496" s="2" t="s">
        <v>2535</v>
      </c>
      <c r="L496" s="2" t="s">
        <v>3708</v>
      </c>
      <c r="M496" s="2">
        <v>0</v>
      </c>
      <c r="N496" s="2" t="s">
        <v>1660</v>
      </c>
      <c r="O496" s="2">
        <v>0</v>
      </c>
      <c r="P496" s="2">
        <v>0</v>
      </c>
      <c r="Q496" s="2" t="s">
        <v>32</v>
      </c>
      <c r="R496" s="2">
        <v>0</v>
      </c>
      <c r="S496" s="2" t="s">
        <v>32</v>
      </c>
      <c r="T496" s="2">
        <v>0</v>
      </c>
      <c r="U496" s="2" t="s">
        <v>32</v>
      </c>
      <c r="V496" s="2" t="s">
        <v>32</v>
      </c>
      <c r="W496" s="2" t="s">
        <v>32</v>
      </c>
      <c r="X496" s="2">
        <v>0</v>
      </c>
      <c r="Y496" s="2" t="s">
        <v>32</v>
      </c>
      <c r="Z496" s="2" t="s">
        <v>32</v>
      </c>
      <c r="AA496" s="2" t="s">
        <v>32</v>
      </c>
      <c r="AB496" s="2">
        <v>0</v>
      </c>
      <c r="AC496" s="2" t="s">
        <v>32</v>
      </c>
      <c r="AD496" s="2">
        <v>0</v>
      </c>
      <c r="AE496" s="2" t="s">
        <v>1660</v>
      </c>
      <c r="AF496" s="2">
        <v>0</v>
      </c>
      <c r="AG496" s="2">
        <v>0</v>
      </c>
      <c r="AH496" s="2" t="s">
        <v>32</v>
      </c>
      <c r="AI496" s="2" t="s">
        <v>32</v>
      </c>
      <c r="AJ496" s="2" t="s">
        <v>32</v>
      </c>
      <c r="AK496" s="2" t="s">
        <v>32</v>
      </c>
      <c r="AL496" s="2" t="s">
        <v>32</v>
      </c>
      <c r="AM496" s="2">
        <v>0</v>
      </c>
      <c r="AN496" s="2" t="s">
        <v>32</v>
      </c>
      <c r="AO496" s="2">
        <v>0</v>
      </c>
      <c r="AP496" s="2" t="s">
        <v>32</v>
      </c>
      <c r="AQ496" s="2" t="s">
        <v>32</v>
      </c>
      <c r="AR496" s="2" t="s">
        <v>32</v>
      </c>
      <c r="AS496" s="2">
        <v>0</v>
      </c>
      <c r="AT496" s="2" t="s">
        <v>32</v>
      </c>
      <c r="AU496" s="2" t="s">
        <v>32</v>
      </c>
      <c r="AV496" s="2" t="s">
        <v>32</v>
      </c>
      <c r="AW496" s="2">
        <v>0</v>
      </c>
      <c r="AX496" s="2" t="s">
        <v>32</v>
      </c>
      <c r="AY496" s="2">
        <v>0</v>
      </c>
      <c r="AZ496" s="2" t="s">
        <v>1660</v>
      </c>
      <c r="BA496" s="2">
        <v>0</v>
      </c>
      <c r="BB496" s="2">
        <v>0</v>
      </c>
      <c r="BC496" s="2" t="s">
        <v>32</v>
      </c>
      <c r="BD496" s="2">
        <v>0</v>
      </c>
      <c r="BE496" s="2" t="s">
        <v>32</v>
      </c>
      <c r="BF496" s="2">
        <v>0</v>
      </c>
      <c r="BG496" s="2" t="s">
        <v>32</v>
      </c>
      <c r="BH496" s="2">
        <v>0</v>
      </c>
      <c r="BI496" s="2" t="s">
        <v>32</v>
      </c>
      <c r="BJ496" s="2" t="s">
        <v>32</v>
      </c>
      <c r="BK496" s="2" t="s">
        <v>32</v>
      </c>
      <c r="BL496" s="2">
        <v>0</v>
      </c>
      <c r="BM496" s="2" t="s">
        <v>32</v>
      </c>
      <c r="BN496" s="2" t="s">
        <v>32</v>
      </c>
      <c r="BO496" s="2" t="s">
        <v>32</v>
      </c>
      <c r="BP496" s="2">
        <v>0</v>
      </c>
      <c r="BQ496" s="2" t="s">
        <v>32</v>
      </c>
      <c r="BR496" s="2">
        <v>0</v>
      </c>
      <c r="BS496" s="2" t="s">
        <v>1658</v>
      </c>
      <c r="BT496" s="2">
        <v>98</v>
      </c>
      <c r="BU496" s="2">
        <v>590</v>
      </c>
      <c r="BV496" s="2" t="s">
        <v>1660</v>
      </c>
      <c r="BW496" s="2"/>
      <c r="BX496" s="2"/>
      <c r="BY496" s="2" t="s">
        <v>1807</v>
      </c>
      <c r="BZ496" s="2" t="b">
        <f>OR( (Dashboard[[#This Row],[ref_as_hh]]&gt;=1),(Dashboard[[#This Row],[ret_as_hh]] &gt;=1), (Dashboard[[#This Row],[idp_as_hh]]&gt;=1))</f>
        <v>0</v>
      </c>
      <c r="CA496" s="2">
        <f>Dashboard[[#This Row],[ret_hi_hh]]</f>
        <v>0</v>
      </c>
      <c r="CB496" s="2">
        <f>Dashboard[[#This Row],[idp_fa_hh]]+Dashboard[[#This Row],[ref_fa_hh]]+Dashboard[[#This Row],[ret_fa_hh]]</f>
        <v>0</v>
      </c>
      <c r="CC496" s="2">
        <f>Dashboard[[#This Row],[idp_loc_hh]]+Dashboard[[#This Row],[ref_loc_hh]]+Dashboard[[#This Row],[ret_loc_hh]]</f>
        <v>0</v>
      </c>
      <c r="CD496" s="2">
        <f>Dashboard[[#This Row],[idp_cc_hh]]+Dashboard[[#This Row],[ref_cc_hh]]+Dashboard[[#This Row],[ret_cc_hh]]</f>
        <v>0</v>
      </c>
      <c r="CE496" s="2">
        <f>Dashboard[[#This Row],[idp_as_hh]]+Dashboard[[#This Row],[ref_as_hh]]+Dashboard[[#This Row],[ret_as_hh]]</f>
        <v>0</v>
      </c>
      <c r="CF496" s="2">
        <f>Dashboard[[#This Row],[idp_al_hh]]+Dashboard[[#This Row],[ref_al_hh]]+Dashboard[[#This Row],[ret_al_hh]]</f>
        <v>0</v>
      </c>
    </row>
    <row r="497" spans="1:84" hidden="1" x14ac:dyDescent="0.25">
      <c r="A497" s="27">
        <v>730</v>
      </c>
      <c r="B497" s="2" t="s">
        <v>22</v>
      </c>
      <c r="C497" s="2" t="s">
        <v>23</v>
      </c>
      <c r="D497" s="2" t="s">
        <v>85</v>
      </c>
      <c r="E497" s="2" t="s">
        <v>84</v>
      </c>
      <c r="F497" s="2" t="s">
        <v>110</v>
      </c>
      <c r="G497" s="2" t="s">
        <v>109</v>
      </c>
      <c r="H497" s="2" t="s">
        <v>1013</v>
      </c>
      <c r="I497" s="2" t="s">
        <v>149</v>
      </c>
      <c r="J497" s="2" t="s">
        <v>2548</v>
      </c>
      <c r="K497" s="2" t="s">
        <v>2549</v>
      </c>
      <c r="L497" s="2" t="s">
        <v>2074</v>
      </c>
      <c r="M497" s="2">
        <v>1290</v>
      </c>
      <c r="N497" s="2" t="s">
        <v>1658</v>
      </c>
      <c r="O497" s="2">
        <v>25</v>
      </c>
      <c r="P497" s="2">
        <v>224</v>
      </c>
      <c r="Q497" s="2" t="s">
        <v>1658</v>
      </c>
      <c r="R497" s="2">
        <v>25</v>
      </c>
      <c r="S497" s="2" t="s">
        <v>1660</v>
      </c>
      <c r="T497" s="2">
        <v>0</v>
      </c>
      <c r="U497" s="2" t="s">
        <v>32</v>
      </c>
      <c r="V497" s="2" t="s">
        <v>32</v>
      </c>
      <c r="W497" s="2" t="s">
        <v>1660</v>
      </c>
      <c r="X497" s="2">
        <v>0</v>
      </c>
      <c r="Y497" s="2" t="s">
        <v>32</v>
      </c>
      <c r="Z497" s="2" t="s">
        <v>32</v>
      </c>
      <c r="AA497" s="2" t="s">
        <v>1660</v>
      </c>
      <c r="AB497" s="2">
        <v>0</v>
      </c>
      <c r="AC497" s="2" t="s">
        <v>1660</v>
      </c>
      <c r="AD497" s="2">
        <v>0</v>
      </c>
      <c r="AE497" s="2" t="s">
        <v>1660</v>
      </c>
      <c r="AF497" s="2">
        <v>0</v>
      </c>
      <c r="AG497" s="2">
        <v>0</v>
      </c>
      <c r="AH497" s="2" t="s">
        <v>32</v>
      </c>
      <c r="AI497" s="2" t="s">
        <v>32</v>
      </c>
      <c r="AJ497" s="2" t="s">
        <v>32</v>
      </c>
      <c r="AK497" s="2" t="s">
        <v>32</v>
      </c>
      <c r="AL497" s="2" t="s">
        <v>32</v>
      </c>
      <c r="AM497" s="2">
        <v>0</v>
      </c>
      <c r="AN497" s="2" t="s">
        <v>32</v>
      </c>
      <c r="AO497" s="2">
        <v>0</v>
      </c>
      <c r="AP497" s="2" t="s">
        <v>32</v>
      </c>
      <c r="AQ497" s="2" t="s">
        <v>32</v>
      </c>
      <c r="AR497" s="2" t="s">
        <v>32</v>
      </c>
      <c r="AS497" s="2">
        <v>0</v>
      </c>
      <c r="AT497" s="2" t="s">
        <v>32</v>
      </c>
      <c r="AU497" s="2" t="s">
        <v>32</v>
      </c>
      <c r="AV497" s="2" t="s">
        <v>32</v>
      </c>
      <c r="AW497" s="2">
        <v>0</v>
      </c>
      <c r="AX497" s="2" t="s">
        <v>32</v>
      </c>
      <c r="AY497" s="2">
        <v>0</v>
      </c>
      <c r="AZ497" s="2" t="s">
        <v>1658</v>
      </c>
      <c r="BA497" s="2">
        <v>96</v>
      </c>
      <c r="BB497" s="2">
        <v>512</v>
      </c>
      <c r="BC497" s="2" t="s">
        <v>1658</v>
      </c>
      <c r="BD497" s="2">
        <v>96</v>
      </c>
      <c r="BE497" s="2" t="s">
        <v>1660</v>
      </c>
      <c r="BF497" s="2">
        <v>0</v>
      </c>
      <c r="BG497" s="2" t="s">
        <v>1660</v>
      </c>
      <c r="BH497" s="2">
        <v>0</v>
      </c>
      <c r="BI497" s="2" t="s">
        <v>32</v>
      </c>
      <c r="BJ497" s="2" t="s">
        <v>32</v>
      </c>
      <c r="BK497" s="2" t="s">
        <v>1660</v>
      </c>
      <c r="BL497" s="2">
        <v>0</v>
      </c>
      <c r="BM497" s="2" t="s">
        <v>32</v>
      </c>
      <c r="BN497" s="2" t="s">
        <v>32</v>
      </c>
      <c r="BO497" s="2" t="s">
        <v>1660</v>
      </c>
      <c r="BP497" s="2">
        <v>0</v>
      </c>
      <c r="BQ497" s="2" t="s">
        <v>1660</v>
      </c>
      <c r="BR497" s="2">
        <v>0</v>
      </c>
      <c r="BS497" s="2" t="s">
        <v>1658</v>
      </c>
      <c r="BT497" s="2">
        <v>3</v>
      </c>
      <c r="BU497" s="2">
        <v>27</v>
      </c>
      <c r="BV497" s="2" t="s">
        <v>1660</v>
      </c>
      <c r="BW497" s="2"/>
      <c r="BX497" s="2"/>
      <c r="BY497" s="2" t="s">
        <v>1807</v>
      </c>
      <c r="BZ497" s="2" t="b">
        <f>OR( (Dashboard[[#This Row],[ref_as_hh]]&gt;=1),(Dashboard[[#This Row],[ret_as_hh]] &gt;=1), (Dashboard[[#This Row],[idp_as_hh]]&gt;=1))</f>
        <v>0</v>
      </c>
      <c r="CA497" s="2">
        <f>Dashboard[[#This Row],[ret_hi_hh]]</f>
        <v>96</v>
      </c>
      <c r="CB497" s="2">
        <f>Dashboard[[#This Row],[idp_fa_hh]]+Dashboard[[#This Row],[ref_fa_hh]]+Dashboard[[#This Row],[ret_fa_hh]]</f>
        <v>25</v>
      </c>
      <c r="CC497" s="2">
        <f>Dashboard[[#This Row],[idp_loc_hh]]+Dashboard[[#This Row],[ref_loc_hh]]+Dashboard[[#This Row],[ret_loc_hh]]</f>
        <v>0</v>
      </c>
      <c r="CD497" s="2">
        <f>Dashboard[[#This Row],[idp_cc_hh]]+Dashboard[[#This Row],[ref_cc_hh]]+Dashboard[[#This Row],[ret_cc_hh]]</f>
        <v>0</v>
      </c>
      <c r="CE497" s="2">
        <f>Dashboard[[#This Row],[idp_as_hh]]+Dashboard[[#This Row],[ref_as_hh]]+Dashboard[[#This Row],[ret_as_hh]]</f>
        <v>0</v>
      </c>
      <c r="CF497" s="2">
        <f>Dashboard[[#This Row],[idp_al_hh]]+Dashboard[[#This Row],[ref_al_hh]]+Dashboard[[#This Row],[ret_al_hh]]</f>
        <v>0</v>
      </c>
    </row>
    <row r="498" spans="1:84" hidden="1" x14ac:dyDescent="0.25">
      <c r="A498" s="27">
        <v>731</v>
      </c>
      <c r="B498" s="2" t="s">
        <v>22</v>
      </c>
      <c r="C498" s="2" t="s">
        <v>23</v>
      </c>
      <c r="D498" s="2" t="s">
        <v>85</v>
      </c>
      <c r="E498" s="2" t="s">
        <v>84</v>
      </c>
      <c r="F498" s="2" t="s">
        <v>110</v>
      </c>
      <c r="G498" s="2" t="s">
        <v>109</v>
      </c>
      <c r="H498" s="2" t="s">
        <v>1009</v>
      </c>
      <c r="I498" s="2" t="s">
        <v>325</v>
      </c>
      <c r="J498" s="2" t="s">
        <v>2532</v>
      </c>
      <c r="K498" s="2" t="s">
        <v>2533</v>
      </c>
      <c r="L498" s="2" t="s">
        <v>2074</v>
      </c>
      <c r="M498" s="2">
        <v>2548</v>
      </c>
      <c r="N498" s="2" t="s">
        <v>1658</v>
      </c>
      <c r="O498" s="2">
        <v>30</v>
      </c>
      <c r="P498" s="2">
        <v>188</v>
      </c>
      <c r="Q498" s="2" t="s">
        <v>1658</v>
      </c>
      <c r="R498" s="2">
        <v>30</v>
      </c>
      <c r="S498" s="2" t="s">
        <v>1660</v>
      </c>
      <c r="T498" s="2">
        <v>0</v>
      </c>
      <c r="U498" s="2" t="s">
        <v>32</v>
      </c>
      <c r="V498" s="2" t="s">
        <v>32</v>
      </c>
      <c r="W498" s="2" t="s">
        <v>1660</v>
      </c>
      <c r="X498" s="2">
        <v>0</v>
      </c>
      <c r="Y498" s="2" t="s">
        <v>32</v>
      </c>
      <c r="Z498" s="2" t="s">
        <v>32</v>
      </c>
      <c r="AA498" s="2" t="s">
        <v>1660</v>
      </c>
      <c r="AB498" s="2">
        <v>0</v>
      </c>
      <c r="AC498" s="2" t="s">
        <v>1660</v>
      </c>
      <c r="AD498" s="2">
        <v>0</v>
      </c>
      <c r="AE498" s="2" t="s">
        <v>1660</v>
      </c>
      <c r="AF498" s="2">
        <v>0</v>
      </c>
      <c r="AG498" s="2">
        <v>0</v>
      </c>
      <c r="AH498" s="2" t="s">
        <v>32</v>
      </c>
      <c r="AI498" s="2" t="s">
        <v>32</v>
      </c>
      <c r="AJ498" s="2" t="s">
        <v>32</v>
      </c>
      <c r="AK498" s="2" t="s">
        <v>32</v>
      </c>
      <c r="AL498" s="2" t="s">
        <v>32</v>
      </c>
      <c r="AM498" s="2">
        <v>0</v>
      </c>
      <c r="AN498" s="2" t="s">
        <v>32</v>
      </c>
      <c r="AO498" s="2">
        <v>0</v>
      </c>
      <c r="AP498" s="2" t="s">
        <v>32</v>
      </c>
      <c r="AQ498" s="2" t="s">
        <v>32</v>
      </c>
      <c r="AR498" s="2" t="s">
        <v>32</v>
      </c>
      <c r="AS498" s="2">
        <v>0</v>
      </c>
      <c r="AT498" s="2" t="s">
        <v>32</v>
      </c>
      <c r="AU498" s="2" t="s">
        <v>32</v>
      </c>
      <c r="AV498" s="2" t="s">
        <v>32</v>
      </c>
      <c r="AW498" s="2">
        <v>0</v>
      </c>
      <c r="AX498" s="2" t="s">
        <v>32</v>
      </c>
      <c r="AY498" s="2">
        <v>0</v>
      </c>
      <c r="AZ498" s="2" t="s">
        <v>1660</v>
      </c>
      <c r="BA498" s="2">
        <v>0</v>
      </c>
      <c r="BB498" s="2">
        <v>0</v>
      </c>
      <c r="BC498" s="2" t="s">
        <v>32</v>
      </c>
      <c r="BD498" s="2">
        <v>0</v>
      </c>
      <c r="BE498" s="2" t="s">
        <v>32</v>
      </c>
      <c r="BF498" s="2">
        <v>0</v>
      </c>
      <c r="BG498" s="2" t="s">
        <v>32</v>
      </c>
      <c r="BH498" s="2">
        <v>0</v>
      </c>
      <c r="BI498" s="2" t="s">
        <v>32</v>
      </c>
      <c r="BJ498" s="2" t="s">
        <v>32</v>
      </c>
      <c r="BK498" s="2" t="s">
        <v>32</v>
      </c>
      <c r="BL498" s="2">
        <v>0</v>
      </c>
      <c r="BM498" s="2" t="s">
        <v>32</v>
      </c>
      <c r="BN498" s="2" t="s">
        <v>32</v>
      </c>
      <c r="BO498" s="2" t="s">
        <v>32</v>
      </c>
      <c r="BP498" s="2">
        <v>0</v>
      </c>
      <c r="BQ498" s="2" t="s">
        <v>32</v>
      </c>
      <c r="BR498" s="2">
        <v>0</v>
      </c>
      <c r="BS498" s="2" t="s">
        <v>1660</v>
      </c>
      <c r="BT498" s="2">
        <v>0</v>
      </c>
      <c r="BU498" s="2">
        <v>0</v>
      </c>
      <c r="BV498" s="2" t="s">
        <v>1660</v>
      </c>
      <c r="BW498" s="2"/>
      <c r="BX498" s="2"/>
      <c r="BY498" s="2" t="s">
        <v>1807</v>
      </c>
      <c r="BZ498" s="2" t="b">
        <f>OR( (Dashboard[[#This Row],[ref_as_hh]]&gt;=1),(Dashboard[[#This Row],[ret_as_hh]] &gt;=1), (Dashboard[[#This Row],[idp_as_hh]]&gt;=1))</f>
        <v>0</v>
      </c>
      <c r="CA498" s="2">
        <f>Dashboard[[#This Row],[ret_hi_hh]]</f>
        <v>0</v>
      </c>
      <c r="CB498" s="2">
        <f>Dashboard[[#This Row],[idp_fa_hh]]+Dashboard[[#This Row],[ref_fa_hh]]+Dashboard[[#This Row],[ret_fa_hh]]</f>
        <v>30</v>
      </c>
      <c r="CC498" s="2">
        <f>Dashboard[[#This Row],[idp_loc_hh]]+Dashboard[[#This Row],[ref_loc_hh]]+Dashboard[[#This Row],[ret_loc_hh]]</f>
        <v>0</v>
      </c>
      <c r="CD498" s="2">
        <f>Dashboard[[#This Row],[idp_cc_hh]]+Dashboard[[#This Row],[ref_cc_hh]]+Dashboard[[#This Row],[ret_cc_hh]]</f>
        <v>0</v>
      </c>
      <c r="CE498" s="2">
        <f>Dashboard[[#This Row],[idp_as_hh]]+Dashboard[[#This Row],[ref_as_hh]]+Dashboard[[#This Row],[ret_as_hh]]</f>
        <v>0</v>
      </c>
      <c r="CF498" s="2">
        <f>Dashboard[[#This Row],[idp_al_hh]]+Dashboard[[#This Row],[ref_al_hh]]+Dashboard[[#This Row],[ret_al_hh]]</f>
        <v>0</v>
      </c>
    </row>
    <row r="499" spans="1:84" x14ac:dyDescent="0.25">
      <c r="A499" s="27">
        <v>732</v>
      </c>
      <c r="B499" s="2" t="s">
        <v>22</v>
      </c>
      <c r="C499" s="2" t="s">
        <v>23</v>
      </c>
      <c r="D499" s="2" t="s">
        <v>85</v>
      </c>
      <c r="E499" s="2" t="s">
        <v>84</v>
      </c>
      <c r="F499" s="2" t="s">
        <v>110</v>
      </c>
      <c r="G499" s="2" t="s">
        <v>109</v>
      </c>
      <c r="H499" s="2" t="s">
        <v>1012</v>
      </c>
      <c r="I499" s="2" t="s">
        <v>148</v>
      </c>
      <c r="J499" s="2" t="s">
        <v>2546</v>
      </c>
      <c r="K499" s="2" t="s">
        <v>2547</v>
      </c>
      <c r="L499" s="2" t="s">
        <v>2074</v>
      </c>
      <c r="M499" s="2">
        <v>1663</v>
      </c>
      <c r="N499" s="2" t="s">
        <v>1658</v>
      </c>
      <c r="O499" s="2">
        <v>68</v>
      </c>
      <c r="P499" s="2">
        <v>544</v>
      </c>
      <c r="Q499" s="2" t="s">
        <v>1658</v>
      </c>
      <c r="R499" s="2">
        <v>38</v>
      </c>
      <c r="S499" s="2" t="s">
        <v>1658</v>
      </c>
      <c r="T499" s="2">
        <v>4</v>
      </c>
      <c r="U499" s="2" t="s">
        <v>1661</v>
      </c>
      <c r="V499" s="2" t="s">
        <v>32</v>
      </c>
      <c r="W499" s="2" t="s">
        <v>1660</v>
      </c>
      <c r="X499" s="2">
        <v>0</v>
      </c>
      <c r="Y499" s="2" t="s">
        <v>32</v>
      </c>
      <c r="Z499" s="2" t="s">
        <v>32</v>
      </c>
      <c r="AA499" s="2" t="s">
        <v>1658</v>
      </c>
      <c r="AB499" s="2">
        <v>26</v>
      </c>
      <c r="AC499" s="2" t="s">
        <v>1660</v>
      </c>
      <c r="AD499" s="2">
        <v>0</v>
      </c>
      <c r="AE499" s="2" t="s">
        <v>1660</v>
      </c>
      <c r="AF499" s="2">
        <v>0</v>
      </c>
      <c r="AG499" s="2">
        <v>0</v>
      </c>
      <c r="AH499" s="2" t="s">
        <v>32</v>
      </c>
      <c r="AI499" s="2" t="s">
        <v>32</v>
      </c>
      <c r="AJ499" s="2" t="s">
        <v>32</v>
      </c>
      <c r="AK499" s="2" t="s">
        <v>32</v>
      </c>
      <c r="AL499" s="2" t="s">
        <v>32</v>
      </c>
      <c r="AM499" s="2">
        <v>0</v>
      </c>
      <c r="AN499" s="2" t="s">
        <v>32</v>
      </c>
      <c r="AO499" s="2">
        <v>0</v>
      </c>
      <c r="AP499" s="2" t="s">
        <v>32</v>
      </c>
      <c r="AQ499" s="2" t="s">
        <v>32</v>
      </c>
      <c r="AR499" s="2" t="s">
        <v>32</v>
      </c>
      <c r="AS499" s="2">
        <v>0</v>
      </c>
      <c r="AT499" s="2" t="s">
        <v>32</v>
      </c>
      <c r="AU499" s="2" t="s">
        <v>32</v>
      </c>
      <c r="AV499" s="2" t="s">
        <v>32</v>
      </c>
      <c r="AW499" s="2">
        <v>0</v>
      </c>
      <c r="AX499" s="2" t="s">
        <v>32</v>
      </c>
      <c r="AY499" s="2">
        <v>0</v>
      </c>
      <c r="AZ499" s="2" t="s">
        <v>1658</v>
      </c>
      <c r="BA499" s="2">
        <v>101</v>
      </c>
      <c r="BB499" s="2">
        <v>808</v>
      </c>
      <c r="BC499" s="2" t="s">
        <v>1658</v>
      </c>
      <c r="BD499" s="2">
        <v>101</v>
      </c>
      <c r="BE499" s="2" t="s">
        <v>1660</v>
      </c>
      <c r="BF499" s="2">
        <v>0</v>
      </c>
      <c r="BG499" s="2" t="s">
        <v>1660</v>
      </c>
      <c r="BH499" s="2">
        <v>0</v>
      </c>
      <c r="BI499" s="2" t="s">
        <v>32</v>
      </c>
      <c r="BJ499" s="2" t="s">
        <v>32</v>
      </c>
      <c r="BK499" s="2" t="s">
        <v>1660</v>
      </c>
      <c r="BL499" s="2">
        <v>0</v>
      </c>
      <c r="BM499" s="2" t="s">
        <v>32</v>
      </c>
      <c r="BN499" s="2" t="s">
        <v>32</v>
      </c>
      <c r="BO499" s="2" t="s">
        <v>1660</v>
      </c>
      <c r="BP499" s="2">
        <v>0</v>
      </c>
      <c r="BQ499" s="2" t="s">
        <v>1660</v>
      </c>
      <c r="BR499" s="2">
        <v>0</v>
      </c>
      <c r="BS499" s="2" t="s">
        <v>1658</v>
      </c>
      <c r="BT499" s="2">
        <v>904</v>
      </c>
      <c r="BU499" s="2">
        <v>4729</v>
      </c>
      <c r="BV499" s="2" t="s">
        <v>1660</v>
      </c>
      <c r="BW499" s="2"/>
      <c r="BX499" s="2"/>
      <c r="BY499" s="2" t="s">
        <v>1807</v>
      </c>
      <c r="BZ499" s="2" t="b">
        <f>OR( (Dashboard[[#This Row],[ref_as_hh]]&gt;=1),(Dashboard[[#This Row],[ret_as_hh]] &gt;=1), (Dashboard[[#This Row],[idp_as_hh]]&gt;=1))</f>
        <v>1</v>
      </c>
      <c r="CA499" s="2">
        <f>Dashboard[[#This Row],[ret_hi_hh]]</f>
        <v>101</v>
      </c>
      <c r="CB499" s="2">
        <f>Dashboard[[#This Row],[idp_fa_hh]]+Dashboard[[#This Row],[ref_fa_hh]]+Dashboard[[#This Row],[ret_fa_hh]]</f>
        <v>38</v>
      </c>
      <c r="CC499" s="2">
        <f>Dashboard[[#This Row],[idp_loc_hh]]+Dashboard[[#This Row],[ref_loc_hh]]+Dashboard[[#This Row],[ret_loc_hh]]</f>
        <v>4</v>
      </c>
      <c r="CD499" s="2">
        <f>Dashboard[[#This Row],[idp_cc_hh]]+Dashboard[[#This Row],[ref_cc_hh]]+Dashboard[[#This Row],[ret_cc_hh]]</f>
        <v>0</v>
      </c>
      <c r="CE499" s="2">
        <f>Dashboard[[#This Row],[idp_as_hh]]+Dashboard[[#This Row],[ref_as_hh]]+Dashboard[[#This Row],[ret_as_hh]]</f>
        <v>26</v>
      </c>
      <c r="CF499" s="2">
        <f>Dashboard[[#This Row],[idp_al_hh]]+Dashboard[[#This Row],[ref_al_hh]]+Dashboard[[#This Row],[ret_al_hh]]</f>
        <v>0</v>
      </c>
    </row>
    <row r="500" spans="1:84" hidden="1" x14ac:dyDescent="0.25">
      <c r="A500" s="27">
        <v>486</v>
      </c>
      <c r="B500" s="2" t="s">
        <v>22</v>
      </c>
      <c r="C500" s="2" t="s">
        <v>23</v>
      </c>
      <c r="D500" s="2" t="s">
        <v>85</v>
      </c>
      <c r="E500" s="2" t="s">
        <v>84</v>
      </c>
      <c r="F500" s="2" t="s">
        <v>110</v>
      </c>
      <c r="G500" s="2" t="s">
        <v>109</v>
      </c>
      <c r="H500" s="2" t="s">
        <v>1007</v>
      </c>
      <c r="I500" s="2" t="s">
        <v>323</v>
      </c>
      <c r="J500" s="2" t="s">
        <v>2526</v>
      </c>
      <c r="K500" s="2" t="s">
        <v>2527</v>
      </c>
      <c r="L500" s="2" t="s">
        <v>2080</v>
      </c>
      <c r="M500" s="2">
        <v>992</v>
      </c>
      <c r="N500" s="2" t="s">
        <v>1660</v>
      </c>
      <c r="O500" s="2">
        <v>0</v>
      </c>
      <c r="P500" s="2">
        <v>0</v>
      </c>
      <c r="Q500" s="2" t="s">
        <v>32</v>
      </c>
      <c r="R500" s="2">
        <v>0</v>
      </c>
      <c r="S500" s="2" t="s">
        <v>32</v>
      </c>
      <c r="T500" s="2">
        <v>0</v>
      </c>
      <c r="U500" s="2" t="s">
        <v>32</v>
      </c>
      <c r="V500" s="2" t="s">
        <v>32</v>
      </c>
      <c r="W500" s="2" t="s">
        <v>32</v>
      </c>
      <c r="X500" s="2">
        <v>0</v>
      </c>
      <c r="Y500" s="2" t="s">
        <v>32</v>
      </c>
      <c r="Z500" s="2" t="s">
        <v>32</v>
      </c>
      <c r="AA500" s="2" t="s">
        <v>32</v>
      </c>
      <c r="AB500" s="2">
        <v>0</v>
      </c>
      <c r="AC500" s="2" t="s">
        <v>32</v>
      </c>
      <c r="AD500" s="2">
        <v>0</v>
      </c>
      <c r="AE500" s="2" t="s">
        <v>1660</v>
      </c>
      <c r="AF500" s="2">
        <v>0</v>
      </c>
      <c r="AG500" s="2">
        <v>0</v>
      </c>
      <c r="AH500" s="2" t="s">
        <v>32</v>
      </c>
      <c r="AI500" s="2" t="s">
        <v>32</v>
      </c>
      <c r="AJ500" s="2" t="s">
        <v>32</v>
      </c>
      <c r="AK500" s="2" t="s">
        <v>32</v>
      </c>
      <c r="AL500" s="2" t="s">
        <v>32</v>
      </c>
      <c r="AM500" s="2">
        <v>0</v>
      </c>
      <c r="AN500" s="2" t="s">
        <v>32</v>
      </c>
      <c r="AO500" s="2">
        <v>0</v>
      </c>
      <c r="AP500" s="2" t="s">
        <v>32</v>
      </c>
      <c r="AQ500" s="2" t="s">
        <v>32</v>
      </c>
      <c r="AR500" s="2" t="s">
        <v>32</v>
      </c>
      <c r="AS500" s="2">
        <v>0</v>
      </c>
      <c r="AT500" s="2" t="s">
        <v>32</v>
      </c>
      <c r="AU500" s="2" t="s">
        <v>32</v>
      </c>
      <c r="AV500" s="2" t="s">
        <v>32</v>
      </c>
      <c r="AW500" s="2">
        <v>0</v>
      </c>
      <c r="AX500" s="2" t="s">
        <v>32</v>
      </c>
      <c r="AY500" s="2">
        <v>0</v>
      </c>
      <c r="AZ500" s="2" t="s">
        <v>1660</v>
      </c>
      <c r="BA500" s="2">
        <v>0</v>
      </c>
      <c r="BB500" s="2">
        <v>0</v>
      </c>
      <c r="BC500" s="2" t="s">
        <v>32</v>
      </c>
      <c r="BD500" s="2">
        <v>0</v>
      </c>
      <c r="BE500" s="2" t="s">
        <v>32</v>
      </c>
      <c r="BF500" s="2">
        <v>0</v>
      </c>
      <c r="BG500" s="2" t="s">
        <v>32</v>
      </c>
      <c r="BH500" s="2">
        <v>0</v>
      </c>
      <c r="BI500" s="2" t="s">
        <v>32</v>
      </c>
      <c r="BJ500" s="2" t="s">
        <v>32</v>
      </c>
      <c r="BK500" s="2" t="s">
        <v>32</v>
      </c>
      <c r="BL500" s="2">
        <v>0</v>
      </c>
      <c r="BM500" s="2" t="s">
        <v>32</v>
      </c>
      <c r="BN500" s="2" t="s">
        <v>32</v>
      </c>
      <c r="BO500" s="2" t="s">
        <v>32</v>
      </c>
      <c r="BP500" s="2">
        <v>0</v>
      </c>
      <c r="BQ500" s="2" t="s">
        <v>32</v>
      </c>
      <c r="BR500" s="2">
        <v>0</v>
      </c>
      <c r="BS500" s="2" t="s">
        <v>1660</v>
      </c>
      <c r="BT500" s="2">
        <v>0</v>
      </c>
      <c r="BU500" s="2">
        <v>0</v>
      </c>
      <c r="BV500" s="2" t="s">
        <v>1660</v>
      </c>
      <c r="BW500" s="2"/>
      <c r="BX500" s="2"/>
      <c r="BY500" s="2" t="s">
        <v>1807</v>
      </c>
      <c r="BZ500" s="2" t="b">
        <f>OR( (Dashboard[[#This Row],[ref_as_hh]]&gt;=1),(Dashboard[[#This Row],[ret_as_hh]] &gt;=1), (Dashboard[[#This Row],[idp_as_hh]]&gt;=1))</f>
        <v>0</v>
      </c>
      <c r="CA500" s="2">
        <f>Dashboard[[#This Row],[ret_hi_hh]]</f>
        <v>0</v>
      </c>
      <c r="CB500" s="2">
        <f>Dashboard[[#This Row],[idp_fa_hh]]+Dashboard[[#This Row],[ref_fa_hh]]+Dashboard[[#This Row],[ret_fa_hh]]</f>
        <v>0</v>
      </c>
      <c r="CC500" s="2">
        <f>Dashboard[[#This Row],[idp_loc_hh]]+Dashboard[[#This Row],[ref_loc_hh]]+Dashboard[[#This Row],[ret_loc_hh]]</f>
        <v>0</v>
      </c>
      <c r="CD500" s="2">
        <f>Dashboard[[#This Row],[idp_cc_hh]]+Dashboard[[#This Row],[ref_cc_hh]]+Dashboard[[#This Row],[ret_cc_hh]]</f>
        <v>0</v>
      </c>
      <c r="CE500" s="2">
        <f>Dashboard[[#This Row],[idp_as_hh]]+Dashboard[[#This Row],[ref_as_hh]]+Dashboard[[#This Row],[ret_as_hh]]</f>
        <v>0</v>
      </c>
      <c r="CF500" s="2">
        <f>Dashboard[[#This Row],[idp_al_hh]]+Dashboard[[#This Row],[ref_al_hh]]+Dashboard[[#This Row],[ret_al_hh]]</f>
        <v>0</v>
      </c>
    </row>
    <row r="501" spans="1:84" hidden="1" x14ac:dyDescent="0.25">
      <c r="A501" s="27">
        <v>487</v>
      </c>
      <c r="B501" s="2" t="s">
        <v>22</v>
      </c>
      <c r="C501" s="2" t="s">
        <v>23</v>
      </c>
      <c r="D501" s="2" t="s">
        <v>85</v>
      </c>
      <c r="E501" s="2" t="s">
        <v>84</v>
      </c>
      <c r="F501" s="2" t="s">
        <v>110</v>
      </c>
      <c r="G501" s="2" t="s">
        <v>109</v>
      </c>
      <c r="H501" s="2" t="s">
        <v>1828</v>
      </c>
      <c r="I501" s="2" t="s">
        <v>1829</v>
      </c>
      <c r="J501" s="2" t="s">
        <v>2520</v>
      </c>
      <c r="K501" s="2" t="s">
        <v>2521</v>
      </c>
      <c r="L501" s="2" t="s">
        <v>3695</v>
      </c>
      <c r="M501" s="2">
        <v>1720</v>
      </c>
      <c r="N501" s="2" t="s">
        <v>1658</v>
      </c>
      <c r="O501" s="2">
        <v>15</v>
      </c>
      <c r="P501" s="2">
        <v>120</v>
      </c>
      <c r="Q501" s="2" t="s">
        <v>1658</v>
      </c>
      <c r="R501" s="2">
        <v>15</v>
      </c>
      <c r="S501" s="2" t="s">
        <v>1660</v>
      </c>
      <c r="T501" s="2">
        <v>0</v>
      </c>
      <c r="U501" s="2" t="s">
        <v>32</v>
      </c>
      <c r="V501" s="2" t="s">
        <v>32</v>
      </c>
      <c r="W501" s="2" t="s">
        <v>1660</v>
      </c>
      <c r="X501" s="2">
        <v>0</v>
      </c>
      <c r="Y501" s="2" t="s">
        <v>32</v>
      </c>
      <c r="Z501" s="2" t="s">
        <v>32</v>
      </c>
      <c r="AA501" s="2" t="s">
        <v>1660</v>
      </c>
      <c r="AB501" s="2">
        <v>0</v>
      </c>
      <c r="AC501" s="2" t="s">
        <v>1660</v>
      </c>
      <c r="AD501" s="2">
        <v>0</v>
      </c>
      <c r="AE501" s="2" t="s">
        <v>1660</v>
      </c>
      <c r="AF501" s="2">
        <v>0</v>
      </c>
      <c r="AG501" s="2">
        <v>0</v>
      </c>
      <c r="AH501" s="2" t="s">
        <v>32</v>
      </c>
      <c r="AI501" s="2" t="s">
        <v>32</v>
      </c>
      <c r="AJ501" s="2" t="s">
        <v>32</v>
      </c>
      <c r="AK501" s="2" t="s">
        <v>32</v>
      </c>
      <c r="AL501" s="2" t="s">
        <v>32</v>
      </c>
      <c r="AM501" s="2">
        <v>0</v>
      </c>
      <c r="AN501" s="2" t="s">
        <v>32</v>
      </c>
      <c r="AO501" s="2">
        <v>0</v>
      </c>
      <c r="AP501" s="2" t="s">
        <v>32</v>
      </c>
      <c r="AQ501" s="2" t="s">
        <v>32</v>
      </c>
      <c r="AR501" s="2" t="s">
        <v>32</v>
      </c>
      <c r="AS501" s="2">
        <v>0</v>
      </c>
      <c r="AT501" s="2" t="s">
        <v>32</v>
      </c>
      <c r="AU501" s="2" t="s">
        <v>32</v>
      </c>
      <c r="AV501" s="2" t="s">
        <v>32</v>
      </c>
      <c r="AW501" s="2">
        <v>0</v>
      </c>
      <c r="AX501" s="2" t="s">
        <v>32</v>
      </c>
      <c r="AY501" s="2">
        <v>0</v>
      </c>
      <c r="AZ501" s="2" t="s">
        <v>1660</v>
      </c>
      <c r="BA501" s="2">
        <v>0</v>
      </c>
      <c r="BB501" s="2">
        <v>0</v>
      </c>
      <c r="BC501" s="2" t="s">
        <v>32</v>
      </c>
      <c r="BD501" s="2">
        <v>0</v>
      </c>
      <c r="BE501" s="2" t="s">
        <v>32</v>
      </c>
      <c r="BF501" s="2">
        <v>0</v>
      </c>
      <c r="BG501" s="2" t="s">
        <v>32</v>
      </c>
      <c r="BH501" s="2">
        <v>0</v>
      </c>
      <c r="BI501" s="2" t="s">
        <v>32</v>
      </c>
      <c r="BJ501" s="2" t="s">
        <v>32</v>
      </c>
      <c r="BK501" s="2" t="s">
        <v>32</v>
      </c>
      <c r="BL501" s="2">
        <v>0</v>
      </c>
      <c r="BM501" s="2" t="s">
        <v>32</v>
      </c>
      <c r="BN501" s="2" t="s">
        <v>32</v>
      </c>
      <c r="BO501" s="2" t="s">
        <v>32</v>
      </c>
      <c r="BP501" s="2">
        <v>0</v>
      </c>
      <c r="BQ501" s="2" t="s">
        <v>32</v>
      </c>
      <c r="BR501" s="2">
        <v>0</v>
      </c>
      <c r="BS501" s="2" t="s">
        <v>1660</v>
      </c>
      <c r="BT501" s="2">
        <v>0</v>
      </c>
      <c r="BU501" s="2">
        <v>0</v>
      </c>
      <c r="BV501" s="2" t="s">
        <v>1660</v>
      </c>
      <c r="BW501" s="2"/>
      <c r="BX501" s="2"/>
      <c r="BY501" s="2" t="s">
        <v>1807</v>
      </c>
      <c r="BZ501" s="2" t="b">
        <f>OR( (Dashboard[[#This Row],[ref_as_hh]]&gt;=1),(Dashboard[[#This Row],[ret_as_hh]] &gt;=1), (Dashboard[[#This Row],[idp_as_hh]]&gt;=1))</f>
        <v>0</v>
      </c>
      <c r="CA501" s="2">
        <f>Dashboard[[#This Row],[ret_hi_hh]]</f>
        <v>0</v>
      </c>
      <c r="CB501" s="2">
        <f>Dashboard[[#This Row],[idp_fa_hh]]+Dashboard[[#This Row],[ref_fa_hh]]+Dashboard[[#This Row],[ret_fa_hh]]</f>
        <v>15</v>
      </c>
      <c r="CC501" s="2">
        <f>Dashboard[[#This Row],[idp_loc_hh]]+Dashboard[[#This Row],[ref_loc_hh]]+Dashboard[[#This Row],[ret_loc_hh]]</f>
        <v>0</v>
      </c>
      <c r="CD501" s="2">
        <f>Dashboard[[#This Row],[idp_cc_hh]]+Dashboard[[#This Row],[ref_cc_hh]]+Dashboard[[#This Row],[ret_cc_hh]]</f>
        <v>0</v>
      </c>
      <c r="CE501" s="2">
        <f>Dashboard[[#This Row],[idp_as_hh]]+Dashboard[[#This Row],[ref_as_hh]]+Dashboard[[#This Row],[ret_as_hh]]</f>
        <v>0</v>
      </c>
      <c r="CF501" s="2">
        <f>Dashboard[[#This Row],[idp_al_hh]]+Dashboard[[#This Row],[ref_al_hh]]+Dashboard[[#This Row],[ret_al_hh]]</f>
        <v>0</v>
      </c>
    </row>
    <row r="502" spans="1:84" hidden="1" x14ac:dyDescent="0.25">
      <c r="A502" s="27">
        <v>502</v>
      </c>
      <c r="B502" s="2" t="s">
        <v>22</v>
      </c>
      <c r="C502" s="2" t="s">
        <v>23</v>
      </c>
      <c r="D502" s="2" t="s">
        <v>85</v>
      </c>
      <c r="E502" s="2" t="s">
        <v>84</v>
      </c>
      <c r="F502" s="2" t="s">
        <v>110</v>
      </c>
      <c r="G502" s="2" t="s">
        <v>109</v>
      </c>
      <c r="H502" s="2" t="s">
        <v>1008</v>
      </c>
      <c r="I502" s="2" t="s">
        <v>324</v>
      </c>
      <c r="J502" s="2" t="s">
        <v>2530</v>
      </c>
      <c r="K502" s="2" t="s">
        <v>2531</v>
      </c>
      <c r="L502" s="2" t="s">
        <v>3709</v>
      </c>
      <c r="M502" s="2">
        <v>3995</v>
      </c>
      <c r="N502" s="2" t="s">
        <v>1658</v>
      </c>
      <c r="O502" s="2">
        <v>129</v>
      </c>
      <c r="P502" s="2">
        <v>870</v>
      </c>
      <c r="Q502" s="2" t="s">
        <v>1658</v>
      </c>
      <c r="R502" s="2">
        <v>129</v>
      </c>
      <c r="S502" s="2" t="s">
        <v>1660</v>
      </c>
      <c r="T502" s="2">
        <v>0</v>
      </c>
      <c r="U502" s="2" t="s">
        <v>32</v>
      </c>
      <c r="V502" s="2" t="s">
        <v>32</v>
      </c>
      <c r="W502" s="2" t="s">
        <v>1660</v>
      </c>
      <c r="X502" s="2">
        <v>0</v>
      </c>
      <c r="Y502" s="2" t="s">
        <v>32</v>
      </c>
      <c r="Z502" s="2" t="s">
        <v>32</v>
      </c>
      <c r="AA502" s="2" t="s">
        <v>1660</v>
      </c>
      <c r="AB502" s="2">
        <v>0</v>
      </c>
      <c r="AC502" s="2" t="s">
        <v>1660</v>
      </c>
      <c r="AD502" s="2">
        <v>0</v>
      </c>
      <c r="AE502" s="2" t="s">
        <v>1660</v>
      </c>
      <c r="AF502" s="2">
        <v>0</v>
      </c>
      <c r="AG502" s="2">
        <v>0</v>
      </c>
      <c r="AH502" s="2" t="s">
        <v>32</v>
      </c>
      <c r="AI502" s="2" t="s">
        <v>32</v>
      </c>
      <c r="AJ502" s="2" t="s">
        <v>32</v>
      </c>
      <c r="AK502" s="2" t="s">
        <v>32</v>
      </c>
      <c r="AL502" s="2" t="s">
        <v>32</v>
      </c>
      <c r="AM502" s="2">
        <v>0</v>
      </c>
      <c r="AN502" s="2" t="s">
        <v>32</v>
      </c>
      <c r="AO502" s="2">
        <v>0</v>
      </c>
      <c r="AP502" s="2" t="s">
        <v>32</v>
      </c>
      <c r="AQ502" s="2" t="s">
        <v>32</v>
      </c>
      <c r="AR502" s="2" t="s">
        <v>32</v>
      </c>
      <c r="AS502" s="2">
        <v>0</v>
      </c>
      <c r="AT502" s="2" t="s">
        <v>32</v>
      </c>
      <c r="AU502" s="2" t="s">
        <v>32</v>
      </c>
      <c r="AV502" s="2" t="s">
        <v>32</v>
      </c>
      <c r="AW502" s="2">
        <v>0</v>
      </c>
      <c r="AX502" s="2" t="s">
        <v>32</v>
      </c>
      <c r="AY502" s="2">
        <v>0</v>
      </c>
      <c r="AZ502" s="2" t="s">
        <v>1660</v>
      </c>
      <c r="BA502" s="2">
        <v>0</v>
      </c>
      <c r="BB502" s="2">
        <v>0</v>
      </c>
      <c r="BC502" s="2" t="s">
        <v>32</v>
      </c>
      <c r="BD502" s="2">
        <v>0</v>
      </c>
      <c r="BE502" s="2" t="s">
        <v>32</v>
      </c>
      <c r="BF502" s="2">
        <v>0</v>
      </c>
      <c r="BG502" s="2" t="s">
        <v>32</v>
      </c>
      <c r="BH502" s="2">
        <v>0</v>
      </c>
      <c r="BI502" s="2" t="s">
        <v>32</v>
      </c>
      <c r="BJ502" s="2" t="s">
        <v>32</v>
      </c>
      <c r="BK502" s="2" t="s">
        <v>32</v>
      </c>
      <c r="BL502" s="2">
        <v>0</v>
      </c>
      <c r="BM502" s="2" t="s">
        <v>32</v>
      </c>
      <c r="BN502" s="2" t="s">
        <v>32</v>
      </c>
      <c r="BO502" s="2" t="s">
        <v>32</v>
      </c>
      <c r="BP502" s="2">
        <v>0</v>
      </c>
      <c r="BQ502" s="2" t="s">
        <v>32</v>
      </c>
      <c r="BR502" s="2">
        <v>0</v>
      </c>
      <c r="BS502" s="2" t="s">
        <v>1660</v>
      </c>
      <c r="BT502" s="2">
        <v>0</v>
      </c>
      <c r="BU502" s="2">
        <v>0</v>
      </c>
      <c r="BV502" s="2" t="s">
        <v>1660</v>
      </c>
      <c r="BW502" s="2"/>
      <c r="BX502" s="2"/>
      <c r="BY502" s="2" t="s">
        <v>1807</v>
      </c>
      <c r="BZ502" s="2" t="b">
        <f>OR( (Dashboard[[#This Row],[ref_as_hh]]&gt;=1),(Dashboard[[#This Row],[ret_as_hh]] &gt;=1), (Dashboard[[#This Row],[idp_as_hh]]&gt;=1))</f>
        <v>0</v>
      </c>
      <c r="CA502" s="2">
        <f>Dashboard[[#This Row],[ret_hi_hh]]</f>
        <v>0</v>
      </c>
      <c r="CB502" s="2">
        <f>Dashboard[[#This Row],[idp_fa_hh]]+Dashboard[[#This Row],[ref_fa_hh]]+Dashboard[[#This Row],[ret_fa_hh]]</f>
        <v>129</v>
      </c>
      <c r="CC502" s="2">
        <f>Dashboard[[#This Row],[idp_loc_hh]]+Dashboard[[#This Row],[ref_loc_hh]]+Dashboard[[#This Row],[ret_loc_hh]]</f>
        <v>0</v>
      </c>
      <c r="CD502" s="2">
        <f>Dashboard[[#This Row],[idp_cc_hh]]+Dashboard[[#This Row],[ref_cc_hh]]+Dashboard[[#This Row],[ret_cc_hh]]</f>
        <v>0</v>
      </c>
      <c r="CE502" s="2">
        <f>Dashboard[[#This Row],[idp_as_hh]]+Dashboard[[#This Row],[ref_as_hh]]+Dashboard[[#This Row],[ret_as_hh]]</f>
        <v>0</v>
      </c>
      <c r="CF502" s="2">
        <f>Dashboard[[#This Row],[idp_al_hh]]+Dashboard[[#This Row],[ref_al_hh]]+Dashboard[[#This Row],[ret_al_hh]]</f>
        <v>0</v>
      </c>
    </row>
    <row r="503" spans="1:84" hidden="1" x14ac:dyDescent="0.25">
      <c r="A503" s="27">
        <v>504</v>
      </c>
      <c r="B503" s="2" t="s">
        <v>22</v>
      </c>
      <c r="C503" s="2" t="s">
        <v>23</v>
      </c>
      <c r="D503" s="2" t="s">
        <v>85</v>
      </c>
      <c r="E503" s="2" t="s">
        <v>84</v>
      </c>
      <c r="F503" s="2" t="s">
        <v>110</v>
      </c>
      <c r="G503" s="2" t="s">
        <v>109</v>
      </c>
      <c r="H503" s="2" t="s">
        <v>1689</v>
      </c>
      <c r="I503" s="2" t="s">
        <v>703</v>
      </c>
      <c r="J503" s="2" t="s">
        <v>2536</v>
      </c>
      <c r="K503" s="2" t="s">
        <v>2537</v>
      </c>
      <c r="L503" s="2" t="s">
        <v>2074</v>
      </c>
      <c r="M503" s="2">
        <v>0</v>
      </c>
      <c r="N503" s="2" t="s">
        <v>1660</v>
      </c>
      <c r="O503" s="2">
        <v>0</v>
      </c>
      <c r="P503" s="2">
        <v>0</v>
      </c>
      <c r="Q503" s="2" t="s">
        <v>32</v>
      </c>
      <c r="R503" s="2">
        <v>0</v>
      </c>
      <c r="S503" s="2" t="s">
        <v>32</v>
      </c>
      <c r="T503" s="2">
        <v>0</v>
      </c>
      <c r="U503" s="2" t="s">
        <v>32</v>
      </c>
      <c r="V503" s="2" t="s">
        <v>32</v>
      </c>
      <c r="W503" s="2" t="s">
        <v>32</v>
      </c>
      <c r="X503" s="2">
        <v>0</v>
      </c>
      <c r="Y503" s="2" t="s">
        <v>32</v>
      </c>
      <c r="Z503" s="2" t="s">
        <v>32</v>
      </c>
      <c r="AA503" s="2" t="s">
        <v>32</v>
      </c>
      <c r="AB503" s="2">
        <v>0</v>
      </c>
      <c r="AC503" s="2" t="s">
        <v>32</v>
      </c>
      <c r="AD503" s="2">
        <v>0</v>
      </c>
      <c r="AE503" s="2" t="s">
        <v>1660</v>
      </c>
      <c r="AF503" s="2">
        <v>0</v>
      </c>
      <c r="AG503" s="2">
        <v>0</v>
      </c>
      <c r="AH503" s="2" t="s">
        <v>32</v>
      </c>
      <c r="AI503" s="2" t="s">
        <v>32</v>
      </c>
      <c r="AJ503" s="2" t="s">
        <v>32</v>
      </c>
      <c r="AK503" s="2" t="s">
        <v>32</v>
      </c>
      <c r="AL503" s="2" t="s">
        <v>32</v>
      </c>
      <c r="AM503" s="2">
        <v>0</v>
      </c>
      <c r="AN503" s="2" t="s">
        <v>32</v>
      </c>
      <c r="AO503" s="2">
        <v>0</v>
      </c>
      <c r="AP503" s="2" t="s">
        <v>32</v>
      </c>
      <c r="AQ503" s="2" t="s">
        <v>32</v>
      </c>
      <c r="AR503" s="2" t="s">
        <v>32</v>
      </c>
      <c r="AS503" s="2">
        <v>0</v>
      </c>
      <c r="AT503" s="2" t="s">
        <v>32</v>
      </c>
      <c r="AU503" s="2" t="s">
        <v>32</v>
      </c>
      <c r="AV503" s="2" t="s">
        <v>32</v>
      </c>
      <c r="AW503" s="2">
        <v>0</v>
      </c>
      <c r="AX503" s="2" t="s">
        <v>32</v>
      </c>
      <c r="AY503" s="2">
        <v>0</v>
      </c>
      <c r="AZ503" s="2" t="s">
        <v>1660</v>
      </c>
      <c r="BA503" s="2">
        <v>0</v>
      </c>
      <c r="BB503" s="2">
        <v>0</v>
      </c>
      <c r="BC503" s="2" t="s">
        <v>32</v>
      </c>
      <c r="BD503" s="2">
        <v>0</v>
      </c>
      <c r="BE503" s="2" t="s">
        <v>32</v>
      </c>
      <c r="BF503" s="2">
        <v>0</v>
      </c>
      <c r="BG503" s="2" t="s">
        <v>32</v>
      </c>
      <c r="BH503" s="2">
        <v>0</v>
      </c>
      <c r="BI503" s="2" t="s">
        <v>32</v>
      </c>
      <c r="BJ503" s="2" t="s">
        <v>32</v>
      </c>
      <c r="BK503" s="2" t="s">
        <v>32</v>
      </c>
      <c r="BL503" s="2">
        <v>0</v>
      </c>
      <c r="BM503" s="2" t="s">
        <v>32</v>
      </c>
      <c r="BN503" s="2" t="s">
        <v>32</v>
      </c>
      <c r="BO503" s="2" t="s">
        <v>32</v>
      </c>
      <c r="BP503" s="2">
        <v>0</v>
      </c>
      <c r="BQ503" s="2" t="s">
        <v>32</v>
      </c>
      <c r="BR503" s="2">
        <v>0</v>
      </c>
      <c r="BS503" s="2" t="s">
        <v>1660</v>
      </c>
      <c r="BT503" s="2">
        <v>0</v>
      </c>
      <c r="BU503" s="2">
        <v>0</v>
      </c>
      <c r="BV503" s="2" t="s">
        <v>1660</v>
      </c>
      <c r="BW503" s="2"/>
      <c r="BX503" s="2"/>
      <c r="BY503" s="2" t="s">
        <v>1807</v>
      </c>
      <c r="BZ503" s="2" t="b">
        <f>OR( (Dashboard[[#This Row],[ref_as_hh]]&gt;=1),(Dashboard[[#This Row],[ret_as_hh]] &gt;=1), (Dashboard[[#This Row],[idp_as_hh]]&gt;=1))</f>
        <v>0</v>
      </c>
      <c r="CA503" s="2">
        <f>Dashboard[[#This Row],[ret_hi_hh]]</f>
        <v>0</v>
      </c>
      <c r="CB503" s="2">
        <f>Dashboard[[#This Row],[idp_fa_hh]]+Dashboard[[#This Row],[ref_fa_hh]]+Dashboard[[#This Row],[ret_fa_hh]]</f>
        <v>0</v>
      </c>
      <c r="CC503" s="2">
        <f>Dashboard[[#This Row],[idp_loc_hh]]+Dashboard[[#This Row],[ref_loc_hh]]+Dashboard[[#This Row],[ret_loc_hh]]</f>
        <v>0</v>
      </c>
      <c r="CD503" s="2">
        <f>Dashboard[[#This Row],[idp_cc_hh]]+Dashboard[[#This Row],[ref_cc_hh]]+Dashboard[[#This Row],[ret_cc_hh]]</f>
        <v>0</v>
      </c>
      <c r="CE503" s="2">
        <f>Dashboard[[#This Row],[idp_as_hh]]+Dashboard[[#This Row],[ref_as_hh]]+Dashboard[[#This Row],[ret_as_hh]]</f>
        <v>0</v>
      </c>
      <c r="CF503" s="2">
        <f>Dashboard[[#This Row],[idp_al_hh]]+Dashboard[[#This Row],[ref_al_hh]]+Dashboard[[#This Row],[ret_al_hh]]</f>
        <v>0</v>
      </c>
    </row>
    <row r="504" spans="1:84" hidden="1" x14ac:dyDescent="0.25">
      <c r="A504" s="27">
        <v>505</v>
      </c>
      <c r="B504" s="2" t="s">
        <v>22</v>
      </c>
      <c r="C504" s="2" t="s">
        <v>23</v>
      </c>
      <c r="D504" s="2" t="s">
        <v>85</v>
      </c>
      <c r="E504" s="2" t="s">
        <v>84</v>
      </c>
      <c r="F504" s="2" t="s">
        <v>110</v>
      </c>
      <c r="G504" s="2" t="s">
        <v>109</v>
      </c>
      <c r="H504" s="2" t="s">
        <v>1834</v>
      </c>
      <c r="I504" s="2" t="s">
        <v>1835</v>
      </c>
      <c r="J504" s="2" t="s">
        <v>2540</v>
      </c>
      <c r="K504" s="2" t="s">
        <v>2541</v>
      </c>
      <c r="L504" s="2" t="s">
        <v>3693</v>
      </c>
      <c r="M504" s="2">
        <v>1160</v>
      </c>
      <c r="N504" s="2" t="s">
        <v>1658</v>
      </c>
      <c r="O504" s="2">
        <v>20</v>
      </c>
      <c r="P504" s="2">
        <v>160</v>
      </c>
      <c r="Q504" s="2" t="s">
        <v>1658</v>
      </c>
      <c r="R504" s="2">
        <v>20</v>
      </c>
      <c r="S504" s="2" t="s">
        <v>1660</v>
      </c>
      <c r="T504" s="2">
        <v>0</v>
      </c>
      <c r="U504" s="2" t="s">
        <v>32</v>
      </c>
      <c r="V504" s="2" t="s">
        <v>32</v>
      </c>
      <c r="W504" s="2" t="s">
        <v>1660</v>
      </c>
      <c r="X504" s="2">
        <v>0</v>
      </c>
      <c r="Y504" s="2" t="s">
        <v>32</v>
      </c>
      <c r="Z504" s="2" t="s">
        <v>32</v>
      </c>
      <c r="AA504" s="2" t="s">
        <v>1660</v>
      </c>
      <c r="AB504" s="2">
        <v>0</v>
      </c>
      <c r="AC504" s="2" t="s">
        <v>1660</v>
      </c>
      <c r="AD504" s="2">
        <v>0</v>
      </c>
      <c r="AE504" s="2" t="s">
        <v>1660</v>
      </c>
      <c r="AF504" s="2">
        <v>0</v>
      </c>
      <c r="AG504" s="2">
        <v>0</v>
      </c>
      <c r="AH504" s="2" t="s">
        <v>32</v>
      </c>
      <c r="AI504" s="2" t="s">
        <v>32</v>
      </c>
      <c r="AJ504" s="2" t="s">
        <v>32</v>
      </c>
      <c r="AK504" s="2" t="s">
        <v>32</v>
      </c>
      <c r="AL504" s="2" t="s">
        <v>32</v>
      </c>
      <c r="AM504" s="2">
        <v>0</v>
      </c>
      <c r="AN504" s="2" t="s">
        <v>32</v>
      </c>
      <c r="AO504" s="2">
        <v>0</v>
      </c>
      <c r="AP504" s="2" t="s">
        <v>32</v>
      </c>
      <c r="AQ504" s="2" t="s">
        <v>32</v>
      </c>
      <c r="AR504" s="2" t="s">
        <v>32</v>
      </c>
      <c r="AS504" s="2">
        <v>0</v>
      </c>
      <c r="AT504" s="2" t="s">
        <v>32</v>
      </c>
      <c r="AU504" s="2" t="s">
        <v>32</v>
      </c>
      <c r="AV504" s="2" t="s">
        <v>32</v>
      </c>
      <c r="AW504" s="2">
        <v>0</v>
      </c>
      <c r="AX504" s="2" t="s">
        <v>32</v>
      </c>
      <c r="AY504" s="2">
        <v>0</v>
      </c>
      <c r="AZ504" s="2" t="s">
        <v>1660</v>
      </c>
      <c r="BA504" s="2">
        <v>0</v>
      </c>
      <c r="BB504" s="2">
        <v>0</v>
      </c>
      <c r="BC504" s="2" t="s">
        <v>32</v>
      </c>
      <c r="BD504" s="2">
        <v>0</v>
      </c>
      <c r="BE504" s="2" t="s">
        <v>32</v>
      </c>
      <c r="BF504" s="2">
        <v>0</v>
      </c>
      <c r="BG504" s="2" t="s">
        <v>32</v>
      </c>
      <c r="BH504" s="2">
        <v>0</v>
      </c>
      <c r="BI504" s="2" t="s">
        <v>32</v>
      </c>
      <c r="BJ504" s="2" t="s">
        <v>32</v>
      </c>
      <c r="BK504" s="2" t="s">
        <v>32</v>
      </c>
      <c r="BL504" s="2">
        <v>0</v>
      </c>
      <c r="BM504" s="2" t="s">
        <v>32</v>
      </c>
      <c r="BN504" s="2" t="s">
        <v>32</v>
      </c>
      <c r="BO504" s="2" t="s">
        <v>32</v>
      </c>
      <c r="BP504" s="2">
        <v>0</v>
      </c>
      <c r="BQ504" s="2" t="s">
        <v>32</v>
      </c>
      <c r="BR504" s="2">
        <v>0</v>
      </c>
      <c r="BS504" s="2" t="s">
        <v>1660</v>
      </c>
      <c r="BT504" s="2">
        <v>0</v>
      </c>
      <c r="BU504" s="2">
        <v>0</v>
      </c>
      <c r="BV504" s="2" t="s">
        <v>1660</v>
      </c>
      <c r="BW504" s="2"/>
      <c r="BX504" s="2"/>
      <c r="BY504" s="2" t="s">
        <v>1807</v>
      </c>
      <c r="BZ504" s="2" t="b">
        <f>OR( (Dashboard[[#This Row],[ref_as_hh]]&gt;=1),(Dashboard[[#This Row],[ret_as_hh]] &gt;=1), (Dashboard[[#This Row],[idp_as_hh]]&gt;=1))</f>
        <v>0</v>
      </c>
      <c r="CA504" s="2">
        <f>Dashboard[[#This Row],[ret_hi_hh]]</f>
        <v>0</v>
      </c>
      <c r="CB504" s="2">
        <f>Dashboard[[#This Row],[idp_fa_hh]]+Dashboard[[#This Row],[ref_fa_hh]]+Dashboard[[#This Row],[ret_fa_hh]]</f>
        <v>20</v>
      </c>
      <c r="CC504" s="2">
        <f>Dashboard[[#This Row],[idp_loc_hh]]+Dashboard[[#This Row],[ref_loc_hh]]+Dashboard[[#This Row],[ret_loc_hh]]</f>
        <v>0</v>
      </c>
      <c r="CD504" s="2">
        <f>Dashboard[[#This Row],[idp_cc_hh]]+Dashboard[[#This Row],[ref_cc_hh]]+Dashboard[[#This Row],[ret_cc_hh]]</f>
        <v>0</v>
      </c>
      <c r="CE504" s="2">
        <f>Dashboard[[#This Row],[idp_as_hh]]+Dashboard[[#This Row],[ref_as_hh]]+Dashboard[[#This Row],[ret_as_hh]]</f>
        <v>0</v>
      </c>
      <c r="CF504" s="2">
        <f>Dashboard[[#This Row],[idp_al_hh]]+Dashboard[[#This Row],[ref_al_hh]]+Dashboard[[#This Row],[ret_al_hh]]</f>
        <v>0</v>
      </c>
    </row>
    <row r="505" spans="1:84" x14ac:dyDescent="0.25">
      <c r="A505" s="27">
        <v>304</v>
      </c>
      <c r="B505" s="2" t="s">
        <v>22</v>
      </c>
      <c r="C505" s="2" t="s">
        <v>23</v>
      </c>
      <c r="D505" s="2" t="s">
        <v>184</v>
      </c>
      <c r="E505" s="2" t="s">
        <v>183</v>
      </c>
      <c r="F505" s="2" t="s">
        <v>206</v>
      </c>
      <c r="G505" s="2" t="s">
        <v>205</v>
      </c>
      <c r="H505" s="2" t="s">
        <v>1338</v>
      </c>
      <c r="I505" s="2" t="s">
        <v>483</v>
      </c>
      <c r="J505" s="2" t="s">
        <v>3248</v>
      </c>
      <c r="K505" s="2" t="s">
        <v>3249</v>
      </c>
      <c r="L505" s="2" t="s">
        <v>2074</v>
      </c>
      <c r="M505" s="2">
        <v>6100</v>
      </c>
      <c r="N505" s="2" t="s">
        <v>1658</v>
      </c>
      <c r="O505" s="2">
        <v>27</v>
      </c>
      <c r="P505" s="2">
        <v>185</v>
      </c>
      <c r="Q505" s="2" t="s">
        <v>1660</v>
      </c>
      <c r="R505" s="2">
        <v>0</v>
      </c>
      <c r="S505" s="2" t="s">
        <v>1660</v>
      </c>
      <c r="T505" s="2">
        <v>0</v>
      </c>
      <c r="U505" s="2" t="s">
        <v>32</v>
      </c>
      <c r="V505" s="2" t="s">
        <v>32</v>
      </c>
      <c r="W505" s="2" t="s">
        <v>1660</v>
      </c>
      <c r="X505" s="2">
        <v>0</v>
      </c>
      <c r="Y505" s="2" t="s">
        <v>32</v>
      </c>
      <c r="Z505" s="2" t="s">
        <v>32</v>
      </c>
      <c r="AA505" s="2" t="s">
        <v>1658</v>
      </c>
      <c r="AB505" s="2">
        <v>27</v>
      </c>
      <c r="AC505" s="2" t="s">
        <v>1660</v>
      </c>
      <c r="AD505" s="2">
        <v>0</v>
      </c>
      <c r="AE505" s="2" t="s">
        <v>1660</v>
      </c>
      <c r="AF505" s="2">
        <v>0</v>
      </c>
      <c r="AG505" s="2">
        <v>0</v>
      </c>
      <c r="AH505" s="2" t="s">
        <v>32</v>
      </c>
      <c r="AI505" s="2" t="s">
        <v>32</v>
      </c>
      <c r="AJ505" s="2" t="s">
        <v>32</v>
      </c>
      <c r="AK505" s="2" t="s">
        <v>32</v>
      </c>
      <c r="AL505" s="2" t="s">
        <v>32</v>
      </c>
      <c r="AM505" s="2">
        <v>0</v>
      </c>
      <c r="AN505" s="2" t="s">
        <v>32</v>
      </c>
      <c r="AO505" s="2">
        <v>0</v>
      </c>
      <c r="AP505" s="2" t="s">
        <v>32</v>
      </c>
      <c r="AQ505" s="2" t="s">
        <v>32</v>
      </c>
      <c r="AR505" s="2" t="s">
        <v>32</v>
      </c>
      <c r="AS505" s="2">
        <v>0</v>
      </c>
      <c r="AT505" s="2" t="s">
        <v>32</v>
      </c>
      <c r="AU505" s="2" t="s">
        <v>32</v>
      </c>
      <c r="AV505" s="2" t="s">
        <v>32</v>
      </c>
      <c r="AW505" s="2">
        <v>0</v>
      </c>
      <c r="AX505" s="2" t="s">
        <v>32</v>
      </c>
      <c r="AY505" s="2">
        <v>0</v>
      </c>
      <c r="AZ505" s="2" t="s">
        <v>1658</v>
      </c>
      <c r="BA505" s="2">
        <v>7</v>
      </c>
      <c r="BB505" s="2">
        <v>101</v>
      </c>
      <c r="BC505" s="2" t="s">
        <v>1658</v>
      </c>
      <c r="BD505" s="2">
        <v>7</v>
      </c>
      <c r="BE505" s="2" t="s">
        <v>1660</v>
      </c>
      <c r="BF505" s="2">
        <v>0</v>
      </c>
      <c r="BG505" s="2" t="s">
        <v>1660</v>
      </c>
      <c r="BH505" s="2">
        <v>0</v>
      </c>
      <c r="BI505" s="2" t="s">
        <v>32</v>
      </c>
      <c r="BJ505" s="2" t="s">
        <v>32</v>
      </c>
      <c r="BK505" s="2" t="s">
        <v>1660</v>
      </c>
      <c r="BL505" s="2">
        <v>0</v>
      </c>
      <c r="BM505" s="2" t="s">
        <v>32</v>
      </c>
      <c r="BN505" s="2" t="s">
        <v>32</v>
      </c>
      <c r="BO505" s="2" t="s">
        <v>1660</v>
      </c>
      <c r="BP505" s="2">
        <v>0</v>
      </c>
      <c r="BQ505" s="2" t="s">
        <v>1660</v>
      </c>
      <c r="BR505" s="2">
        <v>0</v>
      </c>
      <c r="BS505" s="2" t="s">
        <v>1660</v>
      </c>
      <c r="BT505" s="2">
        <v>0</v>
      </c>
      <c r="BU505" s="2">
        <v>0</v>
      </c>
      <c r="BV505" s="2" t="s">
        <v>1660</v>
      </c>
      <c r="BW505" s="2"/>
      <c r="BX505" s="2"/>
      <c r="BY505" s="2" t="s">
        <v>1807</v>
      </c>
      <c r="BZ505" s="2" t="b">
        <f>OR( (Dashboard[[#This Row],[ref_as_hh]]&gt;=1),(Dashboard[[#This Row],[ret_as_hh]] &gt;=1), (Dashboard[[#This Row],[idp_as_hh]]&gt;=1))</f>
        <v>1</v>
      </c>
      <c r="CA505" s="2">
        <f>Dashboard[[#This Row],[ret_hi_hh]]</f>
        <v>7</v>
      </c>
      <c r="CB505" s="2">
        <f>Dashboard[[#This Row],[idp_fa_hh]]+Dashboard[[#This Row],[ref_fa_hh]]+Dashboard[[#This Row],[ret_fa_hh]]</f>
        <v>0</v>
      </c>
      <c r="CC505" s="2">
        <f>Dashboard[[#This Row],[idp_loc_hh]]+Dashboard[[#This Row],[ref_loc_hh]]+Dashboard[[#This Row],[ret_loc_hh]]</f>
        <v>0</v>
      </c>
      <c r="CD505" s="2">
        <f>Dashboard[[#This Row],[idp_cc_hh]]+Dashboard[[#This Row],[ref_cc_hh]]+Dashboard[[#This Row],[ret_cc_hh]]</f>
        <v>0</v>
      </c>
      <c r="CE505" s="2">
        <f>Dashboard[[#This Row],[idp_as_hh]]+Dashboard[[#This Row],[ref_as_hh]]+Dashboard[[#This Row],[ret_as_hh]]</f>
        <v>27</v>
      </c>
      <c r="CF505" s="2">
        <f>Dashboard[[#This Row],[idp_al_hh]]+Dashboard[[#This Row],[ref_al_hh]]+Dashboard[[#This Row],[ret_al_hh]]</f>
        <v>0</v>
      </c>
    </row>
    <row r="506" spans="1:84" x14ac:dyDescent="0.25">
      <c r="A506" s="27">
        <v>311</v>
      </c>
      <c r="B506" s="2" t="s">
        <v>22</v>
      </c>
      <c r="C506" s="2" t="s">
        <v>23</v>
      </c>
      <c r="D506" s="2" t="s">
        <v>184</v>
      </c>
      <c r="E506" s="2" t="s">
        <v>183</v>
      </c>
      <c r="F506" s="2" t="s">
        <v>206</v>
      </c>
      <c r="G506" s="2" t="s">
        <v>205</v>
      </c>
      <c r="H506" s="2" t="s">
        <v>1569</v>
      </c>
      <c r="I506" s="2" t="s">
        <v>209</v>
      </c>
      <c r="J506" s="2" t="s">
        <v>3246</v>
      </c>
      <c r="K506" s="2" t="s">
        <v>3247</v>
      </c>
      <c r="L506" s="2" t="s">
        <v>3693</v>
      </c>
      <c r="M506" s="2">
        <v>8000</v>
      </c>
      <c r="N506" s="2" t="s">
        <v>1660</v>
      </c>
      <c r="O506" s="2">
        <v>0</v>
      </c>
      <c r="P506" s="2">
        <v>0</v>
      </c>
      <c r="Q506" s="2" t="s">
        <v>32</v>
      </c>
      <c r="R506" s="2">
        <v>0</v>
      </c>
      <c r="S506" s="2" t="s">
        <v>32</v>
      </c>
      <c r="T506" s="2">
        <v>0</v>
      </c>
      <c r="U506" s="2" t="s">
        <v>32</v>
      </c>
      <c r="V506" s="2" t="s">
        <v>32</v>
      </c>
      <c r="W506" s="2" t="s">
        <v>32</v>
      </c>
      <c r="X506" s="2">
        <v>0</v>
      </c>
      <c r="Y506" s="2" t="s">
        <v>32</v>
      </c>
      <c r="Z506" s="2" t="s">
        <v>32</v>
      </c>
      <c r="AA506" s="2" t="s">
        <v>32</v>
      </c>
      <c r="AB506" s="2">
        <v>0</v>
      </c>
      <c r="AC506" s="2" t="s">
        <v>32</v>
      </c>
      <c r="AD506" s="2">
        <v>0</v>
      </c>
      <c r="AE506" s="2" t="s">
        <v>1660</v>
      </c>
      <c r="AF506" s="2">
        <v>0</v>
      </c>
      <c r="AG506" s="2">
        <v>0</v>
      </c>
      <c r="AH506" s="2" t="s">
        <v>32</v>
      </c>
      <c r="AI506" s="2" t="s">
        <v>32</v>
      </c>
      <c r="AJ506" s="2" t="s">
        <v>32</v>
      </c>
      <c r="AK506" s="2" t="s">
        <v>32</v>
      </c>
      <c r="AL506" s="2" t="s">
        <v>32</v>
      </c>
      <c r="AM506" s="2">
        <v>0</v>
      </c>
      <c r="AN506" s="2" t="s">
        <v>32</v>
      </c>
      <c r="AO506" s="2">
        <v>0</v>
      </c>
      <c r="AP506" s="2" t="s">
        <v>32</v>
      </c>
      <c r="AQ506" s="2" t="s">
        <v>32</v>
      </c>
      <c r="AR506" s="2" t="s">
        <v>32</v>
      </c>
      <c r="AS506" s="2">
        <v>0</v>
      </c>
      <c r="AT506" s="2" t="s">
        <v>32</v>
      </c>
      <c r="AU506" s="2" t="s">
        <v>32</v>
      </c>
      <c r="AV506" s="2" t="s">
        <v>32</v>
      </c>
      <c r="AW506" s="2">
        <v>0</v>
      </c>
      <c r="AX506" s="2" t="s">
        <v>32</v>
      </c>
      <c r="AY506" s="2">
        <v>0</v>
      </c>
      <c r="AZ506" s="2" t="s">
        <v>1658</v>
      </c>
      <c r="BA506" s="2">
        <v>214</v>
      </c>
      <c r="BB506" s="2">
        <v>1290</v>
      </c>
      <c r="BC506" s="2" t="s">
        <v>1658</v>
      </c>
      <c r="BD506" s="2">
        <v>204</v>
      </c>
      <c r="BE506" s="2" t="s">
        <v>1658</v>
      </c>
      <c r="BF506" s="2">
        <v>2</v>
      </c>
      <c r="BG506" s="2" t="s">
        <v>1660</v>
      </c>
      <c r="BH506" s="2">
        <v>0</v>
      </c>
      <c r="BI506" s="2" t="s">
        <v>32</v>
      </c>
      <c r="BJ506" s="2" t="s">
        <v>32</v>
      </c>
      <c r="BK506" s="2" t="s">
        <v>1660</v>
      </c>
      <c r="BL506" s="2">
        <v>0</v>
      </c>
      <c r="BM506" s="2" t="s">
        <v>32</v>
      </c>
      <c r="BN506" s="2" t="s">
        <v>32</v>
      </c>
      <c r="BO506" s="2" t="s">
        <v>1658</v>
      </c>
      <c r="BP506" s="2">
        <v>8</v>
      </c>
      <c r="BQ506" s="2" t="s">
        <v>1660</v>
      </c>
      <c r="BR506" s="2">
        <v>0</v>
      </c>
      <c r="BS506" s="2" t="s">
        <v>1658</v>
      </c>
      <c r="BT506" s="2">
        <v>9</v>
      </c>
      <c r="BU506" s="2">
        <v>45</v>
      </c>
      <c r="BV506" s="2" t="s">
        <v>1660</v>
      </c>
      <c r="BW506" s="2"/>
      <c r="BX506" s="2"/>
      <c r="BY506" s="2" t="s">
        <v>1807</v>
      </c>
      <c r="BZ506" s="2" t="b">
        <f>OR( (Dashboard[[#This Row],[ref_as_hh]]&gt;=1),(Dashboard[[#This Row],[ret_as_hh]] &gt;=1), (Dashboard[[#This Row],[idp_as_hh]]&gt;=1))</f>
        <v>1</v>
      </c>
      <c r="CA506" s="2">
        <f>Dashboard[[#This Row],[ret_hi_hh]]</f>
        <v>204</v>
      </c>
      <c r="CB506" s="2">
        <f>Dashboard[[#This Row],[idp_fa_hh]]+Dashboard[[#This Row],[ref_fa_hh]]+Dashboard[[#This Row],[ret_fa_hh]]</f>
        <v>2</v>
      </c>
      <c r="CC506" s="2">
        <f>Dashboard[[#This Row],[idp_loc_hh]]+Dashboard[[#This Row],[ref_loc_hh]]+Dashboard[[#This Row],[ret_loc_hh]]</f>
        <v>0</v>
      </c>
      <c r="CD506" s="2">
        <f>Dashboard[[#This Row],[idp_cc_hh]]+Dashboard[[#This Row],[ref_cc_hh]]+Dashboard[[#This Row],[ret_cc_hh]]</f>
        <v>0</v>
      </c>
      <c r="CE506" s="2">
        <f>Dashboard[[#This Row],[idp_as_hh]]+Dashboard[[#This Row],[ref_as_hh]]+Dashboard[[#This Row],[ret_as_hh]]</f>
        <v>8</v>
      </c>
      <c r="CF506" s="2">
        <f>Dashboard[[#This Row],[idp_al_hh]]+Dashboard[[#This Row],[ref_al_hh]]+Dashboard[[#This Row],[ret_al_hh]]</f>
        <v>0</v>
      </c>
    </row>
    <row r="507" spans="1:84" x14ac:dyDescent="0.25">
      <c r="A507" s="27">
        <v>59</v>
      </c>
      <c r="B507" s="2" t="s">
        <v>22</v>
      </c>
      <c r="C507" s="2" t="s">
        <v>23</v>
      </c>
      <c r="D507" s="2" t="s">
        <v>184</v>
      </c>
      <c r="E507" s="2" t="s">
        <v>183</v>
      </c>
      <c r="F507" s="2" t="s">
        <v>206</v>
      </c>
      <c r="G507" s="2" t="s">
        <v>205</v>
      </c>
      <c r="H507" s="2" t="s">
        <v>1570</v>
      </c>
      <c r="I507" s="2" t="s">
        <v>674</v>
      </c>
      <c r="J507" s="2" t="s">
        <v>3252</v>
      </c>
      <c r="K507" s="2" t="s">
        <v>3253</v>
      </c>
      <c r="L507" s="2" t="s">
        <v>2074</v>
      </c>
      <c r="M507" s="2">
        <v>4080</v>
      </c>
      <c r="N507" s="2" t="s">
        <v>1660</v>
      </c>
      <c r="O507" s="2">
        <v>0</v>
      </c>
      <c r="P507" s="2">
        <v>0</v>
      </c>
      <c r="Q507" s="2" t="s">
        <v>32</v>
      </c>
      <c r="R507" s="2">
        <v>0</v>
      </c>
      <c r="S507" s="2" t="s">
        <v>32</v>
      </c>
      <c r="T507" s="2">
        <v>0</v>
      </c>
      <c r="U507" s="2" t="s">
        <v>32</v>
      </c>
      <c r="V507" s="2" t="s">
        <v>32</v>
      </c>
      <c r="W507" s="2" t="s">
        <v>32</v>
      </c>
      <c r="X507" s="2">
        <v>0</v>
      </c>
      <c r="Y507" s="2" t="s">
        <v>32</v>
      </c>
      <c r="Z507" s="2" t="s">
        <v>32</v>
      </c>
      <c r="AA507" s="2" t="s">
        <v>32</v>
      </c>
      <c r="AB507" s="2">
        <v>0</v>
      </c>
      <c r="AC507" s="2" t="s">
        <v>32</v>
      </c>
      <c r="AD507" s="2">
        <v>0</v>
      </c>
      <c r="AE507" s="2" t="s">
        <v>1660</v>
      </c>
      <c r="AF507" s="2">
        <v>0</v>
      </c>
      <c r="AG507" s="2">
        <v>0</v>
      </c>
      <c r="AH507" s="2" t="s">
        <v>32</v>
      </c>
      <c r="AI507" s="2" t="s">
        <v>32</v>
      </c>
      <c r="AJ507" s="2" t="s">
        <v>32</v>
      </c>
      <c r="AK507" s="2" t="s">
        <v>32</v>
      </c>
      <c r="AL507" s="2" t="s">
        <v>32</v>
      </c>
      <c r="AM507" s="2">
        <v>0</v>
      </c>
      <c r="AN507" s="2" t="s">
        <v>32</v>
      </c>
      <c r="AO507" s="2">
        <v>0</v>
      </c>
      <c r="AP507" s="2" t="s">
        <v>32</v>
      </c>
      <c r="AQ507" s="2" t="s">
        <v>32</v>
      </c>
      <c r="AR507" s="2" t="s">
        <v>32</v>
      </c>
      <c r="AS507" s="2">
        <v>0</v>
      </c>
      <c r="AT507" s="2" t="s">
        <v>32</v>
      </c>
      <c r="AU507" s="2" t="s">
        <v>32</v>
      </c>
      <c r="AV507" s="2" t="s">
        <v>32</v>
      </c>
      <c r="AW507" s="2">
        <v>0</v>
      </c>
      <c r="AX507" s="2" t="s">
        <v>32</v>
      </c>
      <c r="AY507" s="2">
        <v>0</v>
      </c>
      <c r="AZ507" s="2" t="s">
        <v>1658</v>
      </c>
      <c r="BA507" s="2">
        <v>27</v>
      </c>
      <c r="BB507" s="2">
        <v>190</v>
      </c>
      <c r="BC507" s="2" t="s">
        <v>1658</v>
      </c>
      <c r="BD507" s="2">
        <v>22</v>
      </c>
      <c r="BE507" s="2" t="s">
        <v>1660</v>
      </c>
      <c r="BF507" s="2">
        <v>0</v>
      </c>
      <c r="BG507" s="2" t="s">
        <v>1660</v>
      </c>
      <c r="BH507" s="2">
        <v>0</v>
      </c>
      <c r="BI507" s="2" t="s">
        <v>32</v>
      </c>
      <c r="BJ507" s="2" t="s">
        <v>32</v>
      </c>
      <c r="BK507" s="2" t="s">
        <v>1660</v>
      </c>
      <c r="BL507" s="2">
        <v>0</v>
      </c>
      <c r="BM507" s="2" t="s">
        <v>32</v>
      </c>
      <c r="BN507" s="2" t="s">
        <v>32</v>
      </c>
      <c r="BO507" s="2" t="s">
        <v>1658</v>
      </c>
      <c r="BP507" s="2">
        <v>5</v>
      </c>
      <c r="BQ507" s="2" t="s">
        <v>1660</v>
      </c>
      <c r="BR507" s="2">
        <v>0</v>
      </c>
      <c r="BS507" s="2" t="s">
        <v>1660</v>
      </c>
      <c r="BT507" s="2">
        <v>0</v>
      </c>
      <c r="BU507" s="2">
        <v>0</v>
      </c>
      <c r="BV507" s="2" t="s">
        <v>1660</v>
      </c>
      <c r="BW507" s="2"/>
      <c r="BX507" s="2"/>
      <c r="BY507" s="2" t="s">
        <v>1807</v>
      </c>
      <c r="BZ507" s="2" t="b">
        <f>OR( (Dashboard[[#This Row],[ref_as_hh]]&gt;=1),(Dashboard[[#This Row],[ret_as_hh]] &gt;=1), (Dashboard[[#This Row],[idp_as_hh]]&gt;=1))</f>
        <v>1</v>
      </c>
      <c r="CA507" s="2">
        <f>Dashboard[[#This Row],[ret_hi_hh]]</f>
        <v>22</v>
      </c>
      <c r="CB507" s="2">
        <f>Dashboard[[#This Row],[idp_fa_hh]]+Dashboard[[#This Row],[ref_fa_hh]]+Dashboard[[#This Row],[ret_fa_hh]]</f>
        <v>0</v>
      </c>
      <c r="CC507" s="2">
        <f>Dashboard[[#This Row],[idp_loc_hh]]+Dashboard[[#This Row],[ref_loc_hh]]+Dashboard[[#This Row],[ret_loc_hh]]</f>
        <v>0</v>
      </c>
      <c r="CD507" s="2">
        <f>Dashboard[[#This Row],[idp_cc_hh]]+Dashboard[[#This Row],[ref_cc_hh]]+Dashboard[[#This Row],[ret_cc_hh]]</f>
        <v>0</v>
      </c>
      <c r="CE507" s="2">
        <f>Dashboard[[#This Row],[idp_as_hh]]+Dashboard[[#This Row],[ref_as_hh]]+Dashboard[[#This Row],[ret_as_hh]]</f>
        <v>5</v>
      </c>
      <c r="CF507" s="2">
        <f>Dashboard[[#This Row],[idp_al_hh]]+Dashboard[[#This Row],[ref_al_hh]]+Dashboard[[#This Row],[ret_al_hh]]</f>
        <v>0</v>
      </c>
    </row>
    <row r="508" spans="1:84" x14ac:dyDescent="0.25">
      <c r="A508" s="27">
        <v>75</v>
      </c>
      <c r="B508" s="2" t="s">
        <v>22</v>
      </c>
      <c r="C508" s="2" t="s">
        <v>23</v>
      </c>
      <c r="D508" s="2" t="s">
        <v>184</v>
      </c>
      <c r="E508" s="2" t="s">
        <v>183</v>
      </c>
      <c r="F508" s="2" t="s">
        <v>206</v>
      </c>
      <c r="G508" s="2" t="s">
        <v>205</v>
      </c>
      <c r="H508" s="2" t="s">
        <v>1339</v>
      </c>
      <c r="I508" s="2" t="s">
        <v>210</v>
      </c>
      <c r="J508" s="2" t="s">
        <v>3250</v>
      </c>
      <c r="K508" s="2" t="s">
        <v>3251</v>
      </c>
      <c r="L508" s="2" t="s">
        <v>2074</v>
      </c>
      <c r="M508" s="2">
        <v>4000</v>
      </c>
      <c r="N508" s="2" t="s">
        <v>1658</v>
      </c>
      <c r="O508" s="2">
        <v>42</v>
      </c>
      <c r="P508" s="2">
        <v>254</v>
      </c>
      <c r="Q508" s="2" t="s">
        <v>1658</v>
      </c>
      <c r="R508" s="2">
        <v>16</v>
      </c>
      <c r="S508" s="2" t="s">
        <v>1658</v>
      </c>
      <c r="T508" s="2">
        <v>2</v>
      </c>
      <c r="U508" s="2" t="s">
        <v>1661</v>
      </c>
      <c r="V508" s="2" t="s">
        <v>32</v>
      </c>
      <c r="W508" s="2" t="s">
        <v>1660</v>
      </c>
      <c r="X508" s="2">
        <v>0</v>
      </c>
      <c r="Y508" s="2" t="s">
        <v>32</v>
      </c>
      <c r="Z508" s="2" t="s">
        <v>32</v>
      </c>
      <c r="AA508" s="2" t="s">
        <v>1658</v>
      </c>
      <c r="AB508" s="2">
        <v>24</v>
      </c>
      <c r="AC508" s="2" t="s">
        <v>1660</v>
      </c>
      <c r="AD508" s="2">
        <v>0</v>
      </c>
      <c r="AE508" s="2" t="s">
        <v>1660</v>
      </c>
      <c r="AF508" s="2">
        <v>0</v>
      </c>
      <c r="AG508" s="2">
        <v>0</v>
      </c>
      <c r="AH508" s="2" t="s">
        <v>32</v>
      </c>
      <c r="AI508" s="2" t="s">
        <v>32</v>
      </c>
      <c r="AJ508" s="2" t="s">
        <v>32</v>
      </c>
      <c r="AK508" s="2" t="s">
        <v>32</v>
      </c>
      <c r="AL508" s="2" t="s">
        <v>32</v>
      </c>
      <c r="AM508" s="2">
        <v>0</v>
      </c>
      <c r="AN508" s="2" t="s">
        <v>32</v>
      </c>
      <c r="AO508" s="2">
        <v>0</v>
      </c>
      <c r="AP508" s="2" t="s">
        <v>32</v>
      </c>
      <c r="AQ508" s="2" t="s">
        <v>32</v>
      </c>
      <c r="AR508" s="2" t="s">
        <v>32</v>
      </c>
      <c r="AS508" s="2">
        <v>0</v>
      </c>
      <c r="AT508" s="2" t="s">
        <v>32</v>
      </c>
      <c r="AU508" s="2" t="s">
        <v>32</v>
      </c>
      <c r="AV508" s="2" t="s">
        <v>32</v>
      </c>
      <c r="AW508" s="2">
        <v>0</v>
      </c>
      <c r="AX508" s="2" t="s">
        <v>32</v>
      </c>
      <c r="AY508" s="2">
        <v>0</v>
      </c>
      <c r="AZ508" s="2" t="s">
        <v>1658</v>
      </c>
      <c r="BA508" s="2">
        <v>23</v>
      </c>
      <c r="BB508" s="2">
        <v>142</v>
      </c>
      <c r="BC508" s="2" t="s">
        <v>1658</v>
      </c>
      <c r="BD508" s="2">
        <v>18</v>
      </c>
      <c r="BE508" s="2" t="s">
        <v>1658</v>
      </c>
      <c r="BF508" s="2">
        <v>2</v>
      </c>
      <c r="BG508" s="2" t="s">
        <v>1660</v>
      </c>
      <c r="BH508" s="2">
        <v>0</v>
      </c>
      <c r="BI508" s="2" t="s">
        <v>32</v>
      </c>
      <c r="BJ508" s="2" t="s">
        <v>32</v>
      </c>
      <c r="BK508" s="2" t="s">
        <v>1660</v>
      </c>
      <c r="BL508" s="2">
        <v>0</v>
      </c>
      <c r="BM508" s="2" t="s">
        <v>32</v>
      </c>
      <c r="BN508" s="2" t="s">
        <v>32</v>
      </c>
      <c r="BO508" s="2" t="s">
        <v>1658</v>
      </c>
      <c r="BP508" s="2">
        <v>3</v>
      </c>
      <c r="BQ508" s="2" t="s">
        <v>1660</v>
      </c>
      <c r="BR508" s="2">
        <v>0</v>
      </c>
      <c r="BS508" s="2" t="s">
        <v>1658</v>
      </c>
      <c r="BT508" s="2">
        <v>2</v>
      </c>
      <c r="BU508" s="2">
        <v>9</v>
      </c>
      <c r="BV508" s="2" t="s">
        <v>1660</v>
      </c>
      <c r="BW508" s="2"/>
      <c r="BX508" s="2"/>
      <c r="BY508" s="2" t="s">
        <v>1807</v>
      </c>
      <c r="BZ508" s="2" t="b">
        <f>OR( (Dashboard[[#This Row],[ref_as_hh]]&gt;=1),(Dashboard[[#This Row],[ret_as_hh]] &gt;=1), (Dashboard[[#This Row],[idp_as_hh]]&gt;=1))</f>
        <v>1</v>
      </c>
      <c r="CA508" s="2">
        <f>Dashboard[[#This Row],[ret_hi_hh]]</f>
        <v>18</v>
      </c>
      <c r="CB508" s="2">
        <f>Dashboard[[#This Row],[idp_fa_hh]]+Dashboard[[#This Row],[ref_fa_hh]]+Dashboard[[#This Row],[ret_fa_hh]]</f>
        <v>18</v>
      </c>
      <c r="CC508" s="2">
        <f>Dashboard[[#This Row],[idp_loc_hh]]+Dashboard[[#This Row],[ref_loc_hh]]+Dashboard[[#This Row],[ret_loc_hh]]</f>
        <v>2</v>
      </c>
      <c r="CD508" s="2">
        <f>Dashboard[[#This Row],[idp_cc_hh]]+Dashboard[[#This Row],[ref_cc_hh]]+Dashboard[[#This Row],[ret_cc_hh]]</f>
        <v>0</v>
      </c>
      <c r="CE508" s="2">
        <f>Dashboard[[#This Row],[idp_as_hh]]+Dashboard[[#This Row],[ref_as_hh]]+Dashboard[[#This Row],[ret_as_hh]]</f>
        <v>27</v>
      </c>
      <c r="CF508" s="2">
        <f>Dashboard[[#This Row],[idp_al_hh]]+Dashboard[[#This Row],[ref_al_hh]]+Dashboard[[#This Row],[ret_al_hh]]</f>
        <v>0</v>
      </c>
    </row>
    <row r="509" spans="1:84" hidden="1" x14ac:dyDescent="0.25">
      <c r="A509" s="27">
        <v>591</v>
      </c>
      <c r="B509" s="2" t="s">
        <v>22</v>
      </c>
      <c r="C509" s="2" t="s">
        <v>23</v>
      </c>
      <c r="D509" s="2" t="s">
        <v>184</v>
      </c>
      <c r="E509" s="2" t="s">
        <v>183</v>
      </c>
      <c r="F509" s="2" t="s">
        <v>206</v>
      </c>
      <c r="G509" s="2" t="s">
        <v>205</v>
      </c>
      <c r="H509" s="2" t="s">
        <v>1340</v>
      </c>
      <c r="I509" s="2" t="s">
        <v>484</v>
      </c>
      <c r="J509" s="2" t="s">
        <v>3254</v>
      </c>
      <c r="K509" s="2" t="s">
        <v>3255</v>
      </c>
      <c r="L509" s="2" t="s">
        <v>2074</v>
      </c>
      <c r="M509" s="2">
        <v>4500</v>
      </c>
      <c r="N509" s="2" t="s">
        <v>1658</v>
      </c>
      <c r="O509" s="2">
        <v>2</v>
      </c>
      <c r="P509" s="2">
        <v>15</v>
      </c>
      <c r="Q509" s="2" t="s">
        <v>1658</v>
      </c>
      <c r="R509" s="2">
        <v>2</v>
      </c>
      <c r="S509" s="2" t="s">
        <v>1660</v>
      </c>
      <c r="T509" s="2">
        <v>0</v>
      </c>
      <c r="U509" s="2" t="s">
        <v>32</v>
      </c>
      <c r="V509" s="2" t="s">
        <v>32</v>
      </c>
      <c r="W509" s="2" t="s">
        <v>1660</v>
      </c>
      <c r="X509" s="2">
        <v>0</v>
      </c>
      <c r="Y509" s="2" t="s">
        <v>32</v>
      </c>
      <c r="Z509" s="2" t="s">
        <v>32</v>
      </c>
      <c r="AA509" s="2" t="s">
        <v>1660</v>
      </c>
      <c r="AB509" s="2">
        <v>0</v>
      </c>
      <c r="AC509" s="2" t="s">
        <v>1660</v>
      </c>
      <c r="AD509" s="2">
        <v>0</v>
      </c>
      <c r="AE509" s="2" t="s">
        <v>1660</v>
      </c>
      <c r="AF509" s="2">
        <v>0</v>
      </c>
      <c r="AG509" s="2">
        <v>0</v>
      </c>
      <c r="AH509" s="2" t="s">
        <v>32</v>
      </c>
      <c r="AI509" s="2" t="s">
        <v>32</v>
      </c>
      <c r="AJ509" s="2" t="s">
        <v>32</v>
      </c>
      <c r="AK509" s="2" t="s">
        <v>32</v>
      </c>
      <c r="AL509" s="2" t="s">
        <v>32</v>
      </c>
      <c r="AM509" s="2">
        <v>0</v>
      </c>
      <c r="AN509" s="2" t="s">
        <v>32</v>
      </c>
      <c r="AO509" s="2">
        <v>0</v>
      </c>
      <c r="AP509" s="2" t="s">
        <v>32</v>
      </c>
      <c r="AQ509" s="2" t="s">
        <v>32</v>
      </c>
      <c r="AR509" s="2" t="s">
        <v>32</v>
      </c>
      <c r="AS509" s="2">
        <v>0</v>
      </c>
      <c r="AT509" s="2" t="s">
        <v>32</v>
      </c>
      <c r="AU509" s="2" t="s">
        <v>32</v>
      </c>
      <c r="AV509" s="2" t="s">
        <v>32</v>
      </c>
      <c r="AW509" s="2">
        <v>0</v>
      </c>
      <c r="AX509" s="2" t="s">
        <v>32</v>
      </c>
      <c r="AY509" s="2">
        <v>0</v>
      </c>
      <c r="AZ509" s="2" t="s">
        <v>1658</v>
      </c>
      <c r="BA509" s="2">
        <v>45</v>
      </c>
      <c r="BB509" s="2">
        <v>280</v>
      </c>
      <c r="BC509" s="2" t="s">
        <v>1658</v>
      </c>
      <c r="BD509" s="2">
        <v>42</v>
      </c>
      <c r="BE509" s="2" t="s">
        <v>1658</v>
      </c>
      <c r="BF509" s="2">
        <v>3</v>
      </c>
      <c r="BG509" s="2" t="s">
        <v>1660</v>
      </c>
      <c r="BH509" s="2">
        <v>0</v>
      </c>
      <c r="BI509" s="2" t="s">
        <v>32</v>
      </c>
      <c r="BJ509" s="2" t="s">
        <v>32</v>
      </c>
      <c r="BK509" s="2" t="s">
        <v>1660</v>
      </c>
      <c r="BL509" s="2">
        <v>0</v>
      </c>
      <c r="BM509" s="2" t="s">
        <v>32</v>
      </c>
      <c r="BN509" s="2" t="s">
        <v>32</v>
      </c>
      <c r="BO509" s="2" t="s">
        <v>1660</v>
      </c>
      <c r="BP509" s="2">
        <v>0</v>
      </c>
      <c r="BQ509" s="2" t="s">
        <v>1660</v>
      </c>
      <c r="BR509" s="2">
        <v>0</v>
      </c>
      <c r="BS509" s="2" t="s">
        <v>1660</v>
      </c>
      <c r="BT509" s="2">
        <v>0</v>
      </c>
      <c r="BU509" s="2">
        <v>0</v>
      </c>
      <c r="BV509" s="2" t="s">
        <v>1660</v>
      </c>
      <c r="BW509" s="2"/>
      <c r="BX509" s="2"/>
      <c r="BY509" s="2" t="s">
        <v>1807</v>
      </c>
      <c r="BZ509" s="2" t="b">
        <f>OR( (Dashboard[[#This Row],[ref_as_hh]]&gt;=1),(Dashboard[[#This Row],[ret_as_hh]] &gt;=1), (Dashboard[[#This Row],[idp_as_hh]]&gt;=1))</f>
        <v>0</v>
      </c>
      <c r="CA509" s="2">
        <f>Dashboard[[#This Row],[ret_hi_hh]]</f>
        <v>42</v>
      </c>
      <c r="CB509" s="2">
        <f>Dashboard[[#This Row],[idp_fa_hh]]+Dashboard[[#This Row],[ref_fa_hh]]+Dashboard[[#This Row],[ret_fa_hh]]</f>
        <v>5</v>
      </c>
      <c r="CC509" s="2">
        <f>Dashboard[[#This Row],[idp_loc_hh]]+Dashboard[[#This Row],[ref_loc_hh]]+Dashboard[[#This Row],[ret_loc_hh]]</f>
        <v>0</v>
      </c>
      <c r="CD509" s="2">
        <f>Dashboard[[#This Row],[idp_cc_hh]]+Dashboard[[#This Row],[ref_cc_hh]]+Dashboard[[#This Row],[ret_cc_hh]]</f>
        <v>0</v>
      </c>
      <c r="CE509" s="2">
        <f>Dashboard[[#This Row],[idp_as_hh]]+Dashboard[[#This Row],[ref_as_hh]]+Dashboard[[#This Row],[ret_as_hh]]</f>
        <v>0</v>
      </c>
      <c r="CF509" s="2">
        <f>Dashboard[[#This Row],[idp_al_hh]]+Dashboard[[#This Row],[ref_al_hh]]+Dashboard[[#This Row],[ret_al_hh]]</f>
        <v>0</v>
      </c>
    </row>
    <row r="510" spans="1:84" x14ac:dyDescent="0.25">
      <c r="A510" s="27">
        <v>99</v>
      </c>
      <c r="B510" s="2" t="s">
        <v>22</v>
      </c>
      <c r="C510" s="2" t="s">
        <v>23</v>
      </c>
      <c r="D510" s="2" t="s">
        <v>184</v>
      </c>
      <c r="E510" s="2" t="s">
        <v>183</v>
      </c>
      <c r="F510" s="2" t="s">
        <v>206</v>
      </c>
      <c r="G510" s="2" t="s">
        <v>205</v>
      </c>
      <c r="H510" s="2" t="s">
        <v>1571</v>
      </c>
      <c r="I510" s="2" t="s">
        <v>675</v>
      </c>
      <c r="J510" s="2" t="s">
        <v>3258</v>
      </c>
      <c r="K510" s="2" t="s">
        <v>3259</v>
      </c>
      <c r="L510" s="2" t="s">
        <v>3693</v>
      </c>
      <c r="M510" s="2">
        <v>4125</v>
      </c>
      <c r="N510" s="2" t="s">
        <v>1660</v>
      </c>
      <c r="O510" s="2">
        <v>0</v>
      </c>
      <c r="P510" s="2">
        <v>0</v>
      </c>
      <c r="Q510" s="2" t="s">
        <v>32</v>
      </c>
      <c r="R510" s="2">
        <v>0</v>
      </c>
      <c r="S510" s="2" t="s">
        <v>32</v>
      </c>
      <c r="T510" s="2">
        <v>0</v>
      </c>
      <c r="U510" s="2" t="s">
        <v>32</v>
      </c>
      <c r="V510" s="2" t="s">
        <v>32</v>
      </c>
      <c r="W510" s="2" t="s">
        <v>32</v>
      </c>
      <c r="X510" s="2">
        <v>0</v>
      </c>
      <c r="Y510" s="2" t="s">
        <v>32</v>
      </c>
      <c r="Z510" s="2" t="s">
        <v>32</v>
      </c>
      <c r="AA510" s="2" t="s">
        <v>32</v>
      </c>
      <c r="AB510" s="2">
        <v>0</v>
      </c>
      <c r="AC510" s="2" t="s">
        <v>32</v>
      </c>
      <c r="AD510" s="2">
        <v>0</v>
      </c>
      <c r="AE510" s="2" t="s">
        <v>1660</v>
      </c>
      <c r="AF510" s="2">
        <v>0</v>
      </c>
      <c r="AG510" s="2">
        <v>0</v>
      </c>
      <c r="AH510" s="2" t="s">
        <v>32</v>
      </c>
      <c r="AI510" s="2" t="s">
        <v>32</v>
      </c>
      <c r="AJ510" s="2" t="s">
        <v>32</v>
      </c>
      <c r="AK510" s="2" t="s">
        <v>32</v>
      </c>
      <c r="AL510" s="2" t="s">
        <v>32</v>
      </c>
      <c r="AM510" s="2">
        <v>0</v>
      </c>
      <c r="AN510" s="2" t="s">
        <v>32</v>
      </c>
      <c r="AO510" s="2">
        <v>0</v>
      </c>
      <c r="AP510" s="2" t="s">
        <v>32</v>
      </c>
      <c r="AQ510" s="2" t="s">
        <v>32</v>
      </c>
      <c r="AR510" s="2" t="s">
        <v>32</v>
      </c>
      <c r="AS510" s="2">
        <v>0</v>
      </c>
      <c r="AT510" s="2" t="s">
        <v>32</v>
      </c>
      <c r="AU510" s="2" t="s">
        <v>32</v>
      </c>
      <c r="AV510" s="2" t="s">
        <v>32</v>
      </c>
      <c r="AW510" s="2">
        <v>0</v>
      </c>
      <c r="AX510" s="2" t="s">
        <v>32</v>
      </c>
      <c r="AY510" s="2">
        <v>0</v>
      </c>
      <c r="AZ510" s="2" t="s">
        <v>1658</v>
      </c>
      <c r="BA510" s="2">
        <v>13</v>
      </c>
      <c r="BB510" s="2">
        <v>102</v>
      </c>
      <c r="BC510" s="2" t="s">
        <v>1658</v>
      </c>
      <c r="BD510" s="2">
        <v>9</v>
      </c>
      <c r="BE510" s="2" t="s">
        <v>1660</v>
      </c>
      <c r="BF510" s="2">
        <v>0</v>
      </c>
      <c r="BG510" s="2" t="s">
        <v>1660</v>
      </c>
      <c r="BH510" s="2">
        <v>0</v>
      </c>
      <c r="BI510" s="2" t="s">
        <v>32</v>
      </c>
      <c r="BJ510" s="2" t="s">
        <v>32</v>
      </c>
      <c r="BK510" s="2" t="s">
        <v>1660</v>
      </c>
      <c r="BL510" s="2">
        <v>0</v>
      </c>
      <c r="BM510" s="2" t="s">
        <v>32</v>
      </c>
      <c r="BN510" s="2" t="s">
        <v>32</v>
      </c>
      <c r="BO510" s="2" t="s">
        <v>1658</v>
      </c>
      <c r="BP510" s="2">
        <v>4</v>
      </c>
      <c r="BQ510" s="2" t="s">
        <v>1660</v>
      </c>
      <c r="BR510" s="2">
        <v>0</v>
      </c>
      <c r="BS510" s="2" t="s">
        <v>1660</v>
      </c>
      <c r="BT510" s="2">
        <v>0</v>
      </c>
      <c r="BU510" s="2">
        <v>0</v>
      </c>
      <c r="BV510" s="2" t="s">
        <v>1660</v>
      </c>
      <c r="BW510" s="2"/>
      <c r="BX510" s="2"/>
      <c r="BY510" s="2" t="s">
        <v>1807</v>
      </c>
      <c r="BZ510" s="2" t="b">
        <f>OR( (Dashboard[[#This Row],[ref_as_hh]]&gt;=1),(Dashboard[[#This Row],[ret_as_hh]] &gt;=1), (Dashboard[[#This Row],[idp_as_hh]]&gt;=1))</f>
        <v>1</v>
      </c>
      <c r="CA510" s="2">
        <f>Dashboard[[#This Row],[ret_hi_hh]]</f>
        <v>9</v>
      </c>
      <c r="CB510" s="2">
        <f>Dashboard[[#This Row],[idp_fa_hh]]+Dashboard[[#This Row],[ref_fa_hh]]+Dashboard[[#This Row],[ret_fa_hh]]</f>
        <v>0</v>
      </c>
      <c r="CC510" s="2">
        <f>Dashboard[[#This Row],[idp_loc_hh]]+Dashboard[[#This Row],[ref_loc_hh]]+Dashboard[[#This Row],[ret_loc_hh]]</f>
        <v>0</v>
      </c>
      <c r="CD510" s="2">
        <f>Dashboard[[#This Row],[idp_cc_hh]]+Dashboard[[#This Row],[ref_cc_hh]]+Dashboard[[#This Row],[ret_cc_hh]]</f>
        <v>0</v>
      </c>
      <c r="CE510" s="2">
        <f>Dashboard[[#This Row],[idp_as_hh]]+Dashboard[[#This Row],[ref_as_hh]]+Dashboard[[#This Row],[ret_as_hh]]</f>
        <v>4</v>
      </c>
      <c r="CF510" s="2">
        <f>Dashboard[[#This Row],[idp_al_hh]]+Dashboard[[#This Row],[ref_al_hh]]+Dashboard[[#This Row],[ret_al_hh]]</f>
        <v>0</v>
      </c>
    </row>
    <row r="511" spans="1:84" x14ac:dyDescent="0.25">
      <c r="A511" s="27">
        <v>629</v>
      </c>
      <c r="B511" s="2" t="s">
        <v>22</v>
      </c>
      <c r="C511" s="2" t="s">
        <v>23</v>
      </c>
      <c r="D511" s="2" t="s">
        <v>184</v>
      </c>
      <c r="E511" s="2" t="s">
        <v>183</v>
      </c>
      <c r="F511" s="2" t="s">
        <v>206</v>
      </c>
      <c r="G511" s="2" t="s">
        <v>205</v>
      </c>
      <c r="H511" s="2" t="s">
        <v>1568</v>
      </c>
      <c r="I511" s="2" t="s">
        <v>207</v>
      </c>
      <c r="J511" s="2" t="s">
        <v>3242</v>
      </c>
      <c r="K511" s="2" t="s">
        <v>3243</v>
      </c>
      <c r="L511" s="2" t="s">
        <v>3693</v>
      </c>
      <c r="M511" s="2">
        <v>4028</v>
      </c>
      <c r="N511" s="2" t="s">
        <v>1660</v>
      </c>
      <c r="O511" s="2">
        <v>0</v>
      </c>
      <c r="P511" s="2">
        <v>0</v>
      </c>
      <c r="Q511" s="2" t="s">
        <v>32</v>
      </c>
      <c r="R511" s="2">
        <v>0</v>
      </c>
      <c r="S511" s="2" t="s">
        <v>32</v>
      </c>
      <c r="T511" s="2">
        <v>0</v>
      </c>
      <c r="U511" s="2" t="s">
        <v>32</v>
      </c>
      <c r="V511" s="2" t="s">
        <v>32</v>
      </c>
      <c r="W511" s="2" t="s">
        <v>32</v>
      </c>
      <c r="X511" s="2">
        <v>0</v>
      </c>
      <c r="Y511" s="2" t="s">
        <v>32</v>
      </c>
      <c r="Z511" s="2" t="s">
        <v>32</v>
      </c>
      <c r="AA511" s="2" t="s">
        <v>32</v>
      </c>
      <c r="AB511" s="2">
        <v>0</v>
      </c>
      <c r="AC511" s="2" t="s">
        <v>32</v>
      </c>
      <c r="AD511" s="2">
        <v>0</v>
      </c>
      <c r="AE511" s="2" t="s">
        <v>1660</v>
      </c>
      <c r="AF511" s="2">
        <v>0</v>
      </c>
      <c r="AG511" s="2">
        <v>0</v>
      </c>
      <c r="AH511" s="2" t="s">
        <v>32</v>
      </c>
      <c r="AI511" s="2" t="s">
        <v>32</v>
      </c>
      <c r="AJ511" s="2" t="s">
        <v>32</v>
      </c>
      <c r="AK511" s="2" t="s">
        <v>32</v>
      </c>
      <c r="AL511" s="2" t="s">
        <v>32</v>
      </c>
      <c r="AM511" s="2">
        <v>0</v>
      </c>
      <c r="AN511" s="2" t="s">
        <v>32</v>
      </c>
      <c r="AO511" s="2">
        <v>0</v>
      </c>
      <c r="AP511" s="2" t="s">
        <v>32</v>
      </c>
      <c r="AQ511" s="2" t="s">
        <v>32</v>
      </c>
      <c r="AR511" s="2" t="s">
        <v>32</v>
      </c>
      <c r="AS511" s="2">
        <v>0</v>
      </c>
      <c r="AT511" s="2" t="s">
        <v>32</v>
      </c>
      <c r="AU511" s="2" t="s">
        <v>32</v>
      </c>
      <c r="AV511" s="2" t="s">
        <v>32</v>
      </c>
      <c r="AW511" s="2">
        <v>0</v>
      </c>
      <c r="AX511" s="2" t="s">
        <v>32</v>
      </c>
      <c r="AY511" s="2">
        <v>0</v>
      </c>
      <c r="AZ511" s="2" t="s">
        <v>1658</v>
      </c>
      <c r="BA511" s="2">
        <v>202</v>
      </c>
      <c r="BB511" s="2">
        <v>1212</v>
      </c>
      <c r="BC511" s="2" t="s">
        <v>1658</v>
      </c>
      <c r="BD511" s="2">
        <v>96</v>
      </c>
      <c r="BE511" s="2" t="s">
        <v>1658</v>
      </c>
      <c r="BF511" s="2">
        <v>88</v>
      </c>
      <c r="BG511" s="2" t="s">
        <v>1660</v>
      </c>
      <c r="BH511" s="2">
        <v>0</v>
      </c>
      <c r="BI511" s="2" t="s">
        <v>32</v>
      </c>
      <c r="BJ511" s="2" t="s">
        <v>32</v>
      </c>
      <c r="BK511" s="2" t="s">
        <v>1660</v>
      </c>
      <c r="BL511" s="2">
        <v>0</v>
      </c>
      <c r="BM511" s="2" t="s">
        <v>32</v>
      </c>
      <c r="BN511" s="2" t="s">
        <v>32</v>
      </c>
      <c r="BO511" s="2" t="s">
        <v>1658</v>
      </c>
      <c r="BP511" s="2">
        <v>18</v>
      </c>
      <c r="BQ511" s="2" t="s">
        <v>1660</v>
      </c>
      <c r="BR511" s="2">
        <v>0</v>
      </c>
      <c r="BS511" s="2" t="s">
        <v>1658</v>
      </c>
      <c r="BT511" s="2">
        <v>2</v>
      </c>
      <c r="BU511" s="2">
        <v>14</v>
      </c>
      <c r="BV511" s="2" t="s">
        <v>1660</v>
      </c>
      <c r="BW511" s="2"/>
      <c r="BX511" s="2"/>
      <c r="BY511" s="2" t="s">
        <v>1807</v>
      </c>
      <c r="BZ511" s="2" t="b">
        <f>OR( (Dashboard[[#This Row],[ref_as_hh]]&gt;=1),(Dashboard[[#This Row],[ret_as_hh]] &gt;=1), (Dashboard[[#This Row],[idp_as_hh]]&gt;=1))</f>
        <v>1</v>
      </c>
      <c r="CA511" s="2">
        <f>Dashboard[[#This Row],[ret_hi_hh]]</f>
        <v>96</v>
      </c>
      <c r="CB511" s="2">
        <f>Dashboard[[#This Row],[idp_fa_hh]]+Dashboard[[#This Row],[ref_fa_hh]]+Dashboard[[#This Row],[ret_fa_hh]]</f>
        <v>88</v>
      </c>
      <c r="CC511" s="2">
        <f>Dashboard[[#This Row],[idp_loc_hh]]+Dashboard[[#This Row],[ref_loc_hh]]+Dashboard[[#This Row],[ret_loc_hh]]</f>
        <v>0</v>
      </c>
      <c r="CD511" s="2">
        <f>Dashboard[[#This Row],[idp_cc_hh]]+Dashboard[[#This Row],[ref_cc_hh]]+Dashboard[[#This Row],[ret_cc_hh]]</f>
        <v>0</v>
      </c>
      <c r="CE511" s="2">
        <f>Dashboard[[#This Row],[idp_as_hh]]+Dashboard[[#This Row],[ref_as_hh]]+Dashboard[[#This Row],[ret_as_hh]]</f>
        <v>18</v>
      </c>
      <c r="CF511" s="2">
        <f>Dashboard[[#This Row],[idp_al_hh]]+Dashboard[[#This Row],[ref_al_hh]]+Dashboard[[#This Row],[ret_al_hh]]</f>
        <v>0</v>
      </c>
    </row>
    <row r="512" spans="1:84" x14ac:dyDescent="0.25">
      <c r="A512" s="27">
        <v>126</v>
      </c>
      <c r="B512" s="2" t="s">
        <v>22</v>
      </c>
      <c r="C512" s="2" t="s">
        <v>23</v>
      </c>
      <c r="D512" s="2" t="s">
        <v>184</v>
      </c>
      <c r="E512" s="2" t="s">
        <v>183</v>
      </c>
      <c r="F512" s="2" t="s">
        <v>206</v>
      </c>
      <c r="G512" s="2" t="s">
        <v>205</v>
      </c>
      <c r="H512" s="2" t="s">
        <v>1337</v>
      </c>
      <c r="I512" s="2" t="s">
        <v>208</v>
      </c>
      <c r="J512" s="2" t="s">
        <v>3244</v>
      </c>
      <c r="K512" s="2" t="s">
        <v>3245</v>
      </c>
      <c r="L512" s="2" t="s">
        <v>2074</v>
      </c>
      <c r="M512" s="2">
        <v>3510</v>
      </c>
      <c r="N512" s="2" t="s">
        <v>1658</v>
      </c>
      <c r="O512" s="2">
        <v>15</v>
      </c>
      <c r="P512" s="2">
        <v>82</v>
      </c>
      <c r="Q512" s="2" t="s">
        <v>1658</v>
      </c>
      <c r="R512" s="2">
        <v>12</v>
      </c>
      <c r="S512" s="2" t="s">
        <v>1660</v>
      </c>
      <c r="T512" s="2">
        <v>0</v>
      </c>
      <c r="U512" s="2" t="s">
        <v>32</v>
      </c>
      <c r="V512" s="2" t="s">
        <v>32</v>
      </c>
      <c r="W512" s="2" t="s">
        <v>1660</v>
      </c>
      <c r="X512" s="2">
        <v>0</v>
      </c>
      <c r="Y512" s="2" t="s">
        <v>32</v>
      </c>
      <c r="Z512" s="2" t="s">
        <v>32</v>
      </c>
      <c r="AA512" s="2" t="s">
        <v>1658</v>
      </c>
      <c r="AB512" s="2">
        <v>3</v>
      </c>
      <c r="AC512" s="2" t="s">
        <v>1660</v>
      </c>
      <c r="AD512" s="2">
        <v>0</v>
      </c>
      <c r="AE512" s="2" t="s">
        <v>1660</v>
      </c>
      <c r="AF512" s="2">
        <v>0</v>
      </c>
      <c r="AG512" s="2">
        <v>0</v>
      </c>
      <c r="AH512" s="2" t="s">
        <v>32</v>
      </c>
      <c r="AI512" s="2" t="s">
        <v>32</v>
      </c>
      <c r="AJ512" s="2" t="s">
        <v>32</v>
      </c>
      <c r="AK512" s="2" t="s">
        <v>32</v>
      </c>
      <c r="AL512" s="2" t="s">
        <v>32</v>
      </c>
      <c r="AM512" s="2">
        <v>0</v>
      </c>
      <c r="AN512" s="2" t="s">
        <v>32</v>
      </c>
      <c r="AO512" s="2">
        <v>0</v>
      </c>
      <c r="AP512" s="2" t="s">
        <v>32</v>
      </c>
      <c r="AQ512" s="2" t="s">
        <v>32</v>
      </c>
      <c r="AR512" s="2" t="s">
        <v>32</v>
      </c>
      <c r="AS512" s="2">
        <v>0</v>
      </c>
      <c r="AT512" s="2" t="s">
        <v>32</v>
      </c>
      <c r="AU512" s="2" t="s">
        <v>32</v>
      </c>
      <c r="AV512" s="2" t="s">
        <v>32</v>
      </c>
      <c r="AW512" s="2">
        <v>0</v>
      </c>
      <c r="AX512" s="2" t="s">
        <v>32</v>
      </c>
      <c r="AY512" s="2">
        <v>0</v>
      </c>
      <c r="AZ512" s="2" t="s">
        <v>1658</v>
      </c>
      <c r="BA512" s="2">
        <v>45</v>
      </c>
      <c r="BB512" s="2">
        <v>275</v>
      </c>
      <c r="BC512" s="2" t="s">
        <v>1658</v>
      </c>
      <c r="BD512" s="2">
        <v>40</v>
      </c>
      <c r="BE512" s="2" t="s">
        <v>1658</v>
      </c>
      <c r="BF512" s="2">
        <v>2</v>
      </c>
      <c r="BG512" s="2" t="s">
        <v>1660</v>
      </c>
      <c r="BH512" s="2">
        <v>0</v>
      </c>
      <c r="BI512" s="2" t="s">
        <v>32</v>
      </c>
      <c r="BJ512" s="2" t="s">
        <v>32</v>
      </c>
      <c r="BK512" s="2" t="s">
        <v>1660</v>
      </c>
      <c r="BL512" s="2">
        <v>0</v>
      </c>
      <c r="BM512" s="2" t="s">
        <v>32</v>
      </c>
      <c r="BN512" s="2" t="s">
        <v>32</v>
      </c>
      <c r="BO512" s="2" t="s">
        <v>1658</v>
      </c>
      <c r="BP512" s="2">
        <v>3</v>
      </c>
      <c r="BQ512" s="2" t="s">
        <v>1660</v>
      </c>
      <c r="BR512" s="2">
        <v>0</v>
      </c>
      <c r="BS512" s="2" t="s">
        <v>1660</v>
      </c>
      <c r="BT512" s="2">
        <v>0</v>
      </c>
      <c r="BU512" s="2">
        <v>0</v>
      </c>
      <c r="BV512" s="2" t="s">
        <v>1660</v>
      </c>
      <c r="BW512" s="2"/>
      <c r="BX512" s="2"/>
      <c r="BY512" s="2" t="s">
        <v>1807</v>
      </c>
      <c r="BZ512" s="2" t="b">
        <f>OR( (Dashboard[[#This Row],[ref_as_hh]]&gt;=1),(Dashboard[[#This Row],[ret_as_hh]] &gt;=1), (Dashboard[[#This Row],[idp_as_hh]]&gt;=1))</f>
        <v>1</v>
      </c>
      <c r="CA512" s="2">
        <f>Dashboard[[#This Row],[ret_hi_hh]]</f>
        <v>40</v>
      </c>
      <c r="CB512" s="2">
        <f>Dashboard[[#This Row],[idp_fa_hh]]+Dashboard[[#This Row],[ref_fa_hh]]+Dashboard[[#This Row],[ret_fa_hh]]</f>
        <v>14</v>
      </c>
      <c r="CC512" s="2">
        <f>Dashboard[[#This Row],[idp_loc_hh]]+Dashboard[[#This Row],[ref_loc_hh]]+Dashboard[[#This Row],[ret_loc_hh]]</f>
        <v>0</v>
      </c>
      <c r="CD512" s="2">
        <f>Dashboard[[#This Row],[idp_cc_hh]]+Dashboard[[#This Row],[ref_cc_hh]]+Dashboard[[#This Row],[ret_cc_hh]]</f>
        <v>0</v>
      </c>
      <c r="CE512" s="2">
        <f>Dashboard[[#This Row],[idp_as_hh]]+Dashboard[[#This Row],[ref_as_hh]]+Dashboard[[#This Row],[ret_as_hh]]</f>
        <v>6</v>
      </c>
      <c r="CF512" s="2">
        <f>Dashboard[[#This Row],[idp_al_hh]]+Dashboard[[#This Row],[ref_al_hh]]+Dashboard[[#This Row],[ret_al_hh]]</f>
        <v>0</v>
      </c>
    </row>
    <row r="513" spans="1:84" x14ac:dyDescent="0.25">
      <c r="A513" s="27">
        <v>474</v>
      </c>
      <c r="B513" s="2" t="s">
        <v>22</v>
      </c>
      <c r="C513" s="2" t="s">
        <v>23</v>
      </c>
      <c r="D513" s="2" t="s">
        <v>184</v>
      </c>
      <c r="E513" s="2" t="s">
        <v>183</v>
      </c>
      <c r="F513" s="2" t="s">
        <v>206</v>
      </c>
      <c r="G513" s="2" t="s">
        <v>205</v>
      </c>
      <c r="H513" s="2" t="s">
        <v>1341</v>
      </c>
      <c r="I513" s="2" t="s">
        <v>211</v>
      </c>
      <c r="J513" s="2" t="s">
        <v>3256</v>
      </c>
      <c r="K513" s="2" t="s">
        <v>3257</v>
      </c>
      <c r="L513" s="2" t="s">
        <v>2074</v>
      </c>
      <c r="M513" s="2">
        <v>3000</v>
      </c>
      <c r="N513" s="2" t="s">
        <v>1658</v>
      </c>
      <c r="O513" s="2">
        <v>6</v>
      </c>
      <c r="P513" s="2">
        <v>38</v>
      </c>
      <c r="Q513" s="2" t="s">
        <v>1658</v>
      </c>
      <c r="R513" s="2">
        <v>4</v>
      </c>
      <c r="S513" s="2" t="s">
        <v>1660</v>
      </c>
      <c r="T513" s="2">
        <v>0</v>
      </c>
      <c r="U513" s="2" t="s">
        <v>32</v>
      </c>
      <c r="V513" s="2" t="s">
        <v>32</v>
      </c>
      <c r="W513" s="2" t="s">
        <v>1660</v>
      </c>
      <c r="X513" s="2">
        <v>0</v>
      </c>
      <c r="Y513" s="2" t="s">
        <v>32</v>
      </c>
      <c r="Z513" s="2" t="s">
        <v>32</v>
      </c>
      <c r="AA513" s="2" t="s">
        <v>1658</v>
      </c>
      <c r="AB513" s="2">
        <v>2</v>
      </c>
      <c r="AC513" s="2" t="s">
        <v>1660</v>
      </c>
      <c r="AD513" s="2">
        <v>0</v>
      </c>
      <c r="AE513" s="2" t="s">
        <v>1660</v>
      </c>
      <c r="AF513" s="2">
        <v>0</v>
      </c>
      <c r="AG513" s="2">
        <v>0</v>
      </c>
      <c r="AH513" s="2" t="s">
        <v>32</v>
      </c>
      <c r="AI513" s="2" t="s">
        <v>32</v>
      </c>
      <c r="AJ513" s="2" t="s">
        <v>32</v>
      </c>
      <c r="AK513" s="2" t="s">
        <v>32</v>
      </c>
      <c r="AL513" s="2" t="s">
        <v>32</v>
      </c>
      <c r="AM513" s="2">
        <v>0</v>
      </c>
      <c r="AN513" s="2" t="s">
        <v>32</v>
      </c>
      <c r="AO513" s="2">
        <v>0</v>
      </c>
      <c r="AP513" s="2" t="s">
        <v>32</v>
      </c>
      <c r="AQ513" s="2" t="s">
        <v>32</v>
      </c>
      <c r="AR513" s="2" t="s">
        <v>32</v>
      </c>
      <c r="AS513" s="2">
        <v>0</v>
      </c>
      <c r="AT513" s="2" t="s">
        <v>32</v>
      </c>
      <c r="AU513" s="2" t="s">
        <v>32</v>
      </c>
      <c r="AV513" s="2" t="s">
        <v>32</v>
      </c>
      <c r="AW513" s="2">
        <v>0</v>
      </c>
      <c r="AX513" s="2" t="s">
        <v>32</v>
      </c>
      <c r="AY513" s="2">
        <v>0</v>
      </c>
      <c r="AZ513" s="2" t="s">
        <v>1658</v>
      </c>
      <c r="BA513" s="2">
        <v>15</v>
      </c>
      <c r="BB513" s="2">
        <v>107</v>
      </c>
      <c r="BC513" s="2" t="s">
        <v>1658</v>
      </c>
      <c r="BD513" s="2">
        <v>13</v>
      </c>
      <c r="BE513" s="2" t="s">
        <v>1660</v>
      </c>
      <c r="BF513" s="2">
        <v>0</v>
      </c>
      <c r="BG513" s="2" t="s">
        <v>1660</v>
      </c>
      <c r="BH513" s="2">
        <v>0</v>
      </c>
      <c r="BI513" s="2" t="s">
        <v>32</v>
      </c>
      <c r="BJ513" s="2" t="s">
        <v>32</v>
      </c>
      <c r="BK513" s="2" t="s">
        <v>1660</v>
      </c>
      <c r="BL513" s="2">
        <v>0</v>
      </c>
      <c r="BM513" s="2" t="s">
        <v>32</v>
      </c>
      <c r="BN513" s="2" t="s">
        <v>32</v>
      </c>
      <c r="BO513" s="2" t="s">
        <v>1658</v>
      </c>
      <c r="BP513" s="2">
        <v>2</v>
      </c>
      <c r="BQ513" s="2" t="s">
        <v>1660</v>
      </c>
      <c r="BR513" s="2">
        <v>0</v>
      </c>
      <c r="BS513" s="2" t="s">
        <v>1660</v>
      </c>
      <c r="BT513" s="2">
        <v>0</v>
      </c>
      <c r="BU513" s="2">
        <v>0</v>
      </c>
      <c r="BV513" s="2" t="s">
        <v>1660</v>
      </c>
      <c r="BW513" s="2"/>
      <c r="BX513" s="2"/>
      <c r="BY513" s="2" t="s">
        <v>1807</v>
      </c>
      <c r="BZ513" s="2" t="b">
        <f>OR( (Dashboard[[#This Row],[ref_as_hh]]&gt;=1),(Dashboard[[#This Row],[ret_as_hh]] &gt;=1), (Dashboard[[#This Row],[idp_as_hh]]&gt;=1))</f>
        <v>1</v>
      </c>
      <c r="CA513" s="2">
        <f>Dashboard[[#This Row],[ret_hi_hh]]</f>
        <v>13</v>
      </c>
      <c r="CB513" s="2">
        <f>Dashboard[[#This Row],[idp_fa_hh]]+Dashboard[[#This Row],[ref_fa_hh]]+Dashboard[[#This Row],[ret_fa_hh]]</f>
        <v>4</v>
      </c>
      <c r="CC513" s="2">
        <f>Dashboard[[#This Row],[idp_loc_hh]]+Dashboard[[#This Row],[ref_loc_hh]]+Dashboard[[#This Row],[ret_loc_hh]]</f>
        <v>0</v>
      </c>
      <c r="CD513" s="2">
        <f>Dashboard[[#This Row],[idp_cc_hh]]+Dashboard[[#This Row],[ref_cc_hh]]+Dashboard[[#This Row],[ret_cc_hh]]</f>
        <v>0</v>
      </c>
      <c r="CE513" s="2">
        <f>Dashboard[[#This Row],[idp_as_hh]]+Dashboard[[#This Row],[ref_as_hh]]+Dashboard[[#This Row],[ret_as_hh]]</f>
        <v>4</v>
      </c>
      <c r="CF513" s="2">
        <f>Dashboard[[#This Row],[idp_al_hh]]+Dashboard[[#This Row],[ref_al_hh]]+Dashboard[[#This Row],[ret_al_hh]]</f>
        <v>0</v>
      </c>
    </row>
    <row r="514" spans="1:84" x14ac:dyDescent="0.25">
      <c r="A514" s="27">
        <v>521</v>
      </c>
      <c r="B514" s="2" t="s">
        <v>22</v>
      </c>
      <c r="C514" s="2" t="s">
        <v>23</v>
      </c>
      <c r="D514" s="2" t="s">
        <v>184</v>
      </c>
      <c r="E514" s="2" t="s">
        <v>183</v>
      </c>
      <c r="F514" s="2" t="s">
        <v>215</v>
      </c>
      <c r="G514" s="2" t="s">
        <v>214</v>
      </c>
      <c r="H514" s="2" t="s">
        <v>1345</v>
      </c>
      <c r="I514" s="2" t="s">
        <v>487</v>
      </c>
      <c r="J514" s="2" t="s">
        <v>3266</v>
      </c>
      <c r="K514" s="2" t="s">
        <v>3267</v>
      </c>
      <c r="L514" s="2" t="s">
        <v>2074</v>
      </c>
      <c r="M514" s="2">
        <v>1542</v>
      </c>
      <c r="N514" s="2" t="s">
        <v>1658</v>
      </c>
      <c r="O514" s="2">
        <v>52</v>
      </c>
      <c r="P514" s="2">
        <v>364</v>
      </c>
      <c r="Q514" s="2" t="s">
        <v>32</v>
      </c>
      <c r="R514" s="2">
        <v>0</v>
      </c>
      <c r="S514" s="2" t="s">
        <v>1660</v>
      </c>
      <c r="T514" s="2">
        <v>0</v>
      </c>
      <c r="U514" s="2" t="s">
        <v>32</v>
      </c>
      <c r="V514" s="2" t="s">
        <v>32</v>
      </c>
      <c r="W514" s="2" t="s">
        <v>1660</v>
      </c>
      <c r="X514" s="2">
        <v>0</v>
      </c>
      <c r="Y514" s="2" t="s">
        <v>32</v>
      </c>
      <c r="Z514" s="2" t="s">
        <v>32</v>
      </c>
      <c r="AA514" s="2" t="s">
        <v>1658</v>
      </c>
      <c r="AB514" s="2">
        <v>52</v>
      </c>
      <c r="AC514" s="2" t="s">
        <v>1660</v>
      </c>
      <c r="AD514" s="2">
        <v>0</v>
      </c>
      <c r="AE514" s="2" t="s">
        <v>1660</v>
      </c>
      <c r="AF514" s="2">
        <v>0</v>
      </c>
      <c r="AG514" s="2">
        <v>0</v>
      </c>
      <c r="AH514" s="2" t="s">
        <v>32</v>
      </c>
      <c r="AI514" s="2" t="s">
        <v>32</v>
      </c>
      <c r="AJ514" s="2" t="s">
        <v>32</v>
      </c>
      <c r="AK514" s="2" t="s">
        <v>32</v>
      </c>
      <c r="AL514" s="2" t="s">
        <v>32</v>
      </c>
      <c r="AM514" s="2">
        <v>0</v>
      </c>
      <c r="AN514" s="2" t="s">
        <v>32</v>
      </c>
      <c r="AO514" s="2">
        <v>0</v>
      </c>
      <c r="AP514" s="2" t="s">
        <v>32</v>
      </c>
      <c r="AQ514" s="2" t="s">
        <v>32</v>
      </c>
      <c r="AR514" s="2" t="s">
        <v>32</v>
      </c>
      <c r="AS514" s="2">
        <v>0</v>
      </c>
      <c r="AT514" s="2" t="s">
        <v>32</v>
      </c>
      <c r="AU514" s="2" t="s">
        <v>32</v>
      </c>
      <c r="AV514" s="2" t="s">
        <v>32</v>
      </c>
      <c r="AW514" s="2">
        <v>0</v>
      </c>
      <c r="AX514" s="2" t="s">
        <v>32</v>
      </c>
      <c r="AY514" s="2">
        <v>0</v>
      </c>
      <c r="AZ514" s="2" t="s">
        <v>1658</v>
      </c>
      <c r="BA514" s="2">
        <v>1</v>
      </c>
      <c r="BB514" s="2">
        <v>4</v>
      </c>
      <c r="BC514" s="2" t="s">
        <v>1660</v>
      </c>
      <c r="BD514" s="2">
        <v>0</v>
      </c>
      <c r="BE514" s="2" t="s">
        <v>32</v>
      </c>
      <c r="BF514" s="2">
        <v>0</v>
      </c>
      <c r="BG514" s="2" t="s">
        <v>1660</v>
      </c>
      <c r="BH514" s="2">
        <v>0</v>
      </c>
      <c r="BI514" s="2" t="s">
        <v>32</v>
      </c>
      <c r="BJ514" s="2" t="s">
        <v>32</v>
      </c>
      <c r="BK514" s="2" t="s">
        <v>1660</v>
      </c>
      <c r="BL514" s="2">
        <v>0</v>
      </c>
      <c r="BM514" s="2" t="s">
        <v>32</v>
      </c>
      <c r="BN514" s="2" t="s">
        <v>32</v>
      </c>
      <c r="BO514" s="2" t="s">
        <v>1658</v>
      </c>
      <c r="BP514" s="2">
        <v>1</v>
      </c>
      <c r="BQ514" s="2" t="s">
        <v>1660</v>
      </c>
      <c r="BR514" s="2">
        <v>0</v>
      </c>
      <c r="BS514" s="2" t="s">
        <v>1660</v>
      </c>
      <c r="BT514" s="2">
        <v>0</v>
      </c>
      <c r="BU514" s="2">
        <v>0</v>
      </c>
      <c r="BV514" s="2" t="s">
        <v>1660</v>
      </c>
      <c r="BW514" s="2"/>
      <c r="BX514" s="2"/>
      <c r="BY514" s="2" t="s">
        <v>1807</v>
      </c>
      <c r="BZ514" s="2" t="b">
        <f>OR( (Dashboard[[#This Row],[ref_as_hh]]&gt;=1),(Dashboard[[#This Row],[ret_as_hh]] &gt;=1), (Dashboard[[#This Row],[idp_as_hh]]&gt;=1))</f>
        <v>1</v>
      </c>
      <c r="CA514" s="2">
        <f>Dashboard[[#This Row],[ret_hi_hh]]</f>
        <v>0</v>
      </c>
      <c r="CB514" s="2">
        <f>Dashboard[[#This Row],[idp_fa_hh]]+Dashboard[[#This Row],[ref_fa_hh]]+Dashboard[[#This Row],[ret_fa_hh]]</f>
        <v>0</v>
      </c>
      <c r="CC514" s="2">
        <f>Dashboard[[#This Row],[idp_loc_hh]]+Dashboard[[#This Row],[ref_loc_hh]]+Dashboard[[#This Row],[ret_loc_hh]]</f>
        <v>0</v>
      </c>
      <c r="CD514" s="2">
        <f>Dashboard[[#This Row],[idp_cc_hh]]+Dashboard[[#This Row],[ref_cc_hh]]+Dashboard[[#This Row],[ret_cc_hh]]</f>
        <v>0</v>
      </c>
      <c r="CE514" s="2">
        <f>Dashboard[[#This Row],[idp_as_hh]]+Dashboard[[#This Row],[ref_as_hh]]+Dashboard[[#This Row],[ret_as_hh]]</f>
        <v>53</v>
      </c>
      <c r="CF514" s="2">
        <f>Dashboard[[#This Row],[idp_al_hh]]+Dashboard[[#This Row],[ref_al_hh]]+Dashboard[[#This Row],[ret_al_hh]]</f>
        <v>0</v>
      </c>
    </row>
    <row r="515" spans="1:84" x14ac:dyDescent="0.25">
      <c r="A515" s="27">
        <v>306</v>
      </c>
      <c r="B515" s="2" t="s">
        <v>22</v>
      </c>
      <c r="C515" s="2" t="s">
        <v>23</v>
      </c>
      <c r="D515" s="2" t="s">
        <v>184</v>
      </c>
      <c r="E515" s="2" t="s">
        <v>183</v>
      </c>
      <c r="F515" s="2" t="s">
        <v>215</v>
      </c>
      <c r="G515" s="2" t="s">
        <v>214</v>
      </c>
      <c r="H515" s="2" t="s">
        <v>1346</v>
      </c>
      <c r="I515" s="2" t="s">
        <v>488</v>
      </c>
      <c r="J515" s="2" t="s">
        <v>3268</v>
      </c>
      <c r="K515" s="2" t="s">
        <v>3269</v>
      </c>
      <c r="L515" s="2" t="s">
        <v>2074</v>
      </c>
      <c r="M515" s="2">
        <v>48367</v>
      </c>
      <c r="N515" s="2" t="s">
        <v>1658</v>
      </c>
      <c r="O515" s="2">
        <v>324</v>
      </c>
      <c r="P515" s="2">
        <v>2417</v>
      </c>
      <c r="Q515" s="2" t="s">
        <v>32</v>
      </c>
      <c r="R515" s="2">
        <v>0</v>
      </c>
      <c r="S515" s="2" t="s">
        <v>1660</v>
      </c>
      <c r="T515" s="2">
        <v>0</v>
      </c>
      <c r="U515" s="2" t="s">
        <v>32</v>
      </c>
      <c r="V515" s="2" t="s">
        <v>32</v>
      </c>
      <c r="W515" s="2" t="s">
        <v>1660</v>
      </c>
      <c r="X515" s="2">
        <v>0</v>
      </c>
      <c r="Y515" s="2" t="s">
        <v>32</v>
      </c>
      <c r="Z515" s="2" t="s">
        <v>32</v>
      </c>
      <c r="AA515" s="2" t="s">
        <v>1658</v>
      </c>
      <c r="AB515" s="2">
        <v>324</v>
      </c>
      <c r="AC515" s="2" t="s">
        <v>1660</v>
      </c>
      <c r="AD515" s="2">
        <v>0</v>
      </c>
      <c r="AE515" s="2" t="s">
        <v>1660</v>
      </c>
      <c r="AF515" s="2">
        <v>0</v>
      </c>
      <c r="AG515" s="2">
        <v>0</v>
      </c>
      <c r="AH515" s="2" t="s">
        <v>32</v>
      </c>
      <c r="AI515" s="2" t="s">
        <v>32</v>
      </c>
      <c r="AJ515" s="2" t="s">
        <v>32</v>
      </c>
      <c r="AK515" s="2" t="s">
        <v>32</v>
      </c>
      <c r="AL515" s="2" t="s">
        <v>32</v>
      </c>
      <c r="AM515" s="2">
        <v>0</v>
      </c>
      <c r="AN515" s="2" t="s">
        <v>32</v>
      </c>
      <c r="AO515" s="2">
        <v>0</v>
      </c>
      <c r="AP515" s="2" t="s">
        <v>32</v>
      </c>
      <c r="AQ515" s="2" t="s">
        <v>32</v>
      </c>
      <c r="AR515" s="2" t="s">
        <v>32</v>
      </c>
      <c r="AS515" s="2">
        <v>0</v>
      </c>
      <c r="AT515" s="2" t="s">
        <v>32</v>
      </c>
      <c r="AU515" s="2" t="s">
        <v>32</v>
      </c>
      <c r="AV515" s="2" t="s">
        <v>32</v>
      </c>
      <c r="AW515" s="2">
        <v>0</v>
      </c>
      <c r="AX515" s="2" t="s">
        <v>32</v>
      </c>
      <c r="AY515" s="2">
        <v>0</v>
      </c>
      <c r="AZ515" s="2" t="s">
        <v>1660</v>
      </c>
      <c r="BA515" s="2">
        <v>0</v>
      </c>
      <c r="BB515" s="2">
        <v>0</v>
      </c>
      <c r="BC515" s="2" t="s">
        <v>32</v>
      </c>
      <c r="BD515" s="2">
        <v>0</v>
      </c>
      <c r="BE515" s="2" t="s">
        <v>32</v>
      </c>
      <c r="BF515" s="2">
        <v>0</v>
      </c>
      <c r="BG515" s="2" t="s">
        <v>32</v>
      </c>
      <c r="BH515" s="2">
        <v>0</v>
      </c>
      <c r="BI515" s="2" t="s">
        <v>32</v>
      </c>
      <c r="BJ515" s="2" t="s">
        <v>32</v>
      </c>
      <c r="BK515" s="2" t="s">
        <v>32</v>
      </c>
      <c r="BL515" s="2">
        <v>0</v>
      </c>
      <c r="BM515" s="2" t="s">
        <v>32</v>
      </c>
      <c r="BN515" s="2" t="s">
        <v>32</v>
      </c>
      <c r="BO515" s="2" t="s">
        <v>32</v>
      </c>
      <c r="BP515" s="2">
        <v>0</v>
      </c>
      <c r="BQ515" s="2" t="s">
        <v>32</v>
      </c>
      <c r="BR515" s="2">
        <v>0</v>
      </c>
      <c r="BS515" s="2" t="s">
        <v>1660</v>
      </c>
      <c r="BT515" s="2">
        <v>0</v>
      </c>
      <c r="BU515" s="2">
        <v>0</v>
      </c>
      <c r="BV515" s="2" t="s">
        <v>1660</v>
      </c>
      <c r="BW515" s="2"/>
      <c r="BX515" s="2"/>
      <c r="BY515" s="2" t="s">
        <v>1807</v>
      </c>
      <c r="BZ515" s="2" t="b">
        <f>OR( (Dashboard[[#This Row],[ref_as_hh]]&gt;=1),(Dashboard[[#This Row],[ret_as_hh]] &gt;=1), (Dashboard[[#This Row],[idp_as_hh]]&gt;=1))</f>
        <v>1</v>
      </c>
      <c r="CA515" s="2">
        <f>Dashboard[[#This Row],[ret_hi_hh]]</f>
        <v>0</v>
      </c>
      <c r="CB515" s="2">
        <f>Dashboard[[#This Row],[idp_fa_hh]]+Dashboard[[#This Row],[ref_fa_hh]]+Dashboard[[#This Row],[ret_fa_hh]]</f>
        <v>0</v>
      </c>
      <c r="CC515" s="2">
        <f>Dashboard[[#This Row],[idp_loc_hh]]+Dashboard[[#This Row],[ref_loc_hh]]+Dashboard[[#This Row],[ret_loc_hh]]</f>
        <v>0</v>
      </c>
      <c r="CD515" s="2">
        <f>Dashboard[[#This Row],[idp_cc_hh]]+Dashboard[[#This Row],[ref_cc_hh]]+Dashboard[[#This Row],[ret_cc_hh]]</f>
        <v>0</v>
      </c>
      <c r="CE515" s="2">
        <f>Dashboard[[#This Row],[idp_as_hh]]+Dashboard[[#This Row],[ref_as_hh]]+Dashboard[[#This Row],[ret_as_hh]]</f>
        <v>324</v>
      </c>
      <c r="CF515" s="2">
        <f>Dashboard[[#This Row],[idp_al_hh]]+Dashboard[[#This Row],[ref_al_hh]]+Dashboard[[#This Row],[ret_al_hh]]</f>
        <v>0</v>
      </c>
    </row>
    <row r="516" spans="1:84" x14ac:dyDescent="0.25">
      <c r="A516" s="27">
        <v>618</v>
      </c>
      <c r="B516" s="2" t="s">
        <v>22</v>
      </c>
      <c r="C516" s="2" t="s">
        <v>23</v>
      </c>
      <c r="D516" s="2" t="s">
        <v>184</v>
      </c>
      <c r="E516" s="2" t="s">
        <v>183</v>
      </c>
      <c r="F516" s="2" t="s">
        <v>215</v>
      </c>
      <c r="G516" s="2" t="s">
        <v>214</v>
      </c>
      <c r="H516" s="2" t="s">
        <v>1342</v>
      </c>
      <c r="I516" s="2" t="s">
        <v>216</v>
      </c>
      <c r="J516" s="2" t="s">
        <v>3260</v>
      </c>
      <c r="K516" s="2" t="s">
        <v>3261</v>
      </c>
      <c r="L516" s="2" t="s">
        <v>2074</v>
      </c>
      <c r="M516" s="2">
        <v>2765</v>
      </c>
      <c r="N516" s="2" t="s">
        <v>1658</v>
      </c>
      <c r="O516" s="2">
        <v>36</v>
      </c>
      <c r="P516" s="2">
        <v>190</v>
      </c>
      <c r="Q516" s="2" t="s">
        <v>32</v>
      </c>
      <c r="R516" s="2">
        <v>0</v>
      </c>
      <c r="S516" s="2" t="s">
        <v>1660</v>
      </c>
      <c r="T516" s="2">
        <v>0</v>
      </c>
      <c r="U516" s="2" t="s">
        <v>32</v>
      </c>
      <c r="V516" s="2" t="s">
        <v>32</v>
      </c>
      <c r="W516" s="2" t="s">
        <v>1660</v>
      </c>
      <c r="X516" s="2">
        <v>0</v>
      </c>
      <c r="Y516" s="2" t="s">
        <v>32</v>
      </c>
      <c r="Z516" s="2" t="s">
        <v>32</v>
      </c>
      <c r="AA516" s="2" t="s">
        <v>1658</v>
      </c>
      <c r="AB516" s="2">
        <v>36</v>
      </c>
      <c r="AC516" s="2" t="s">
        <v>1660</v>
      </c>
      <c r="AD516" s="2">
        <v>0</v>
      </c>
      <c r="AE516" s="2" t="s">
        <v>1660</v>
      </c>
      <c r="AF516" s="2">
        <v>0</v>
      </c>
      <c r="AG516" s="2">
        <v>0</v>
      </c>
      <c r="AH516" s="2" t="s">
        <v>32</v>
      </c>
      <c r="AI516" s="2" t="s">
        <v>32</v>
      </c>
      <c r="AJ516" s="2" t="s">
        <v>32</v>
      </c>
      <c r="AK516" s="2" t="s">
        <v>32</v>
      </c>
      <c r="AL516" s="2" t="s">
        <v>32</v>
      </c>
      <c r="AM516" s="2">
        <v>0</v>
      </c>
      <c r="AN516" s="2" t="s">
        <v>32</v>
      </c>
      <c r="AO516" s="2">
        <v>0</v>
      </c>
      <c r="AP516" s="2" t="s">
        <v>32</v>
      </c>
      <c r="AQ516" s="2" t="s">
        <v>32</v>
      </c>
      <c r="AR516" s="2" t="s">
        <v>32</v>
      </c>
      <c r="AS516" s="2">
        <v>0</v>
      </c>
      <c r="AT516" s="2" t="s">
        <v>32</v>
      </c>
      <c r="AU516" s="2" t="s">
        <v>32</v>
      </c>
      <c r="AV516" s="2" t="s">
        <v>32</v>
      </c>
      <c r="AW516" s="2">
        <v>0</v>
      </c>
      <c r="AX516" s="2" t="s">
        <v>32</v>
      </c>
      <c r="AY516" s="2">
        <v>0</v>
      </c>
      <c r="AZ516" s="2" t="s">
        <v>1658</v>
      </c>
      <c r="BA516" s="2">
        <v>2</v>
      </c>
      <c r="BB516" s="2">
        <v>13</v>
      </c>
      <c r="BC516" s="2" t="s">
        <v>1660</v>
      </c>
      <c r="BD516" s="2">
        <v>0</v>
      </c>
      <c r="BE516" s="2" t="s">
        <v>32</v>
      </c>
      <c r="BF516" s="2">
        <v>0</v>
      </c>
      <c r="BG516" s="2" t="s">
        <v>1660</v>
      </c>
      <c r="BH516" s="2">
        <v>0</v>
      </c>
      <c r="BI516" s="2" t="s">
        <v>32</v>
      </c>
      <c r="BJ516" s="2" t="s">
        <v>32</v>
      </c>
      <c r="BK516" s="2" t="s">
        <v>1660</v>
      </c>
      <c r="BL516" s="2">
        <v>0</v>
      </c>
      <c r="BM516" s="2" t="s">
        <v>32</v>
      </c>
      <c r="BN516" s="2" t="s">
        <v>32</v>
      </c>
      <c r="BO516" s="2" t="s">
        <v>1658</v>
      </c>
      <c r="BP516" s="2">
        <v>2</v>
      </c>
      <c r="BQ516" s="2" t="s">
        <v>1660</v>
      </c>
      <c r="BR516" s="2">
        <v>0</v>
      </c>
      <c r="BS516" s="2" t="s">
        <v>1660</v>
      </c>
      <c r="BT516" s="2">
        <v>0</v>
      </c>
      <c r="BU516" s="2">
        <v>0</v>
      </c>
      <c r="BV516" s="2" t="s">
        <v>1660</v>
      </c>
      <c r="BW516" s="2"/>
      <c r="BX516" s="2"/>
      <c r="BY516" s="2" t="s">
        <v>1807</v>
      </c>
      <c r="BZ516" s="2" t="b">
        <f>OR( (Dashboard[[#This Row],[ref_as_hh]]&gt;=1),(Dashboard[[#This Row],[ret_as_hh]] &gt;=1), (Dashboard[[#This Row],[idp_as_hh]]&gt;=1))</f>
        <v>1</v>
      </c>
      <c r="CA516" s="2">
        <f>Dashboard[[#This Row],[ret_hi_hh]]</f>
        <v>0</v>
      </c>
      <c r="CB516" s="2">
        <f>Dashboard[[#This Row],[idp_fa_hh]]+Dashboard[[#This Row],[ref_fa_hh]]+Dashboard[[#This Row],[ret_fa_hh]]</f>
        <v>0</v>
      </c>
      <c r="CC516" s="2">
        <f>Dashboard[[#This Row],[idp_loc_hh]]+Dashboard[[#This Row],[ref_loc_hh]]+Dashboard[[#This Row],[ret_loc_hh]]</f>
        <v>0</v>
      </c>
      <c r="CD516" s="2">
        <f>Dashboard[[#This Row],[idp_cc_hh]]+Dashboard[[#This Row],[ref_cc_hh]]+Dashboard[[#This Row],[ret_cc_hh]]</f>
        <v>0</v>
      </c>
      <c r="CE516" s="2">
        <f>Dashboard[[#This Row],[idp_as_hh]]+Dashboard[[#This Row],[ref_as_hh]]+Dashboard[[#This Row],[ret_as_hh]]</f>
        <v>38</v>
      </c>
      <c r="CF516" s="2">
        <f>Dashboard[[#This Row],[idp_al_hh]]+Dashboard[[#This Row],[ref_al_hh]]+Dashboard[[#This Row],[ret_al_hh]]</f>
        <v>0</v>
      </c>
    </row>
    <row r="517" spans="1:84" x14ac:dyDescent="0.25">
      <c r="A517" s="27">
        <v>624</v>
      </c>
      <c r="B517" s="2" t="s">
        <v>22</v>
      </c>
      <c r="C517" s="2" t="s">
        <v>23</v>
      </c>
      <c r="D517" s="2" t="s">
        <v>184</v>
      </c>
      <c r="E517" s="2" t="s">
        <v>183</v>
      </c>
      <c r="F517" s="2" t="s">
        <v>215</v>
      </c>
      <c r="G517" s="2" t="s">
        <v>214</v>
      </c>
      <c r="H517" s="2" t="s">
        <v>1343</v>
      </c>
      <c r="I517" s="2" t="s">
        <v>485</v>
      </c>
      <c r="J517" s="2" t="s">
        <v>3262</v>
      </c>
      <c r="K517" s="2" t="s">
        <v>3263</v>
      </c>
      <c r="L517" s="2" t="s">
        <v>2074</v>
      </c>
      <c r="M517" s="2">
        <v>1528</v>
      </c>
      <c r="N517" s="2" t="s">
        <v>1658</v>
      </c>
      <c r="O517" s="2">
        <v>102</v>
      </c>
      <c r="P517" s="2">
        <v>1528</v>
      </c>
      <c r="Q517" s="2" t="s">
        <v>32</v>
      </c>
      <c r="R517" s="2">
        <v>0</v>
      </c>
      <c r="S517" s="2" t="s">
        <v>1660</v>
      </c>
      <c r="T517" s="2">
        <v>0</v>
      </c>
      <c r="U517" s="2" t="s">
        <v>32</v>
      </c>
      <c r="V517" s="2" t="s">
        <v>32</v>
      </c>
      <c r="W517" s="2" t="s">
        <v>1660</v>
      </c>
      <c r="X517" s="2">
        <v>0</v>
      </c>
      <c r="Y517" s="2" t="s">
        <v>32</v>
      </c>
      <c r="Z517" s="2" t="s">
        <v>32</v>
      </c>
      <c r="AA517" s="2" t="s">
        <v>1658</v>
      </c>
      <c r="AB517" s="2">
        <v>102</v>
      </c>
      <c r="AC517" s="2" t="s">
        <v>1660</v>
      </c>
      <c r="AD517" s="2">
        <v>0</v>
      </c>
      <c r="AE517" s="2" t="s">
        <v>1660</v>
      </c>
      <c r="AF517" s="2">
        <v>0</v>
      </c>
      <c r="AG517" s="2">
        <v>0</v>
      </c>
      <c r="AH517" s="2" t="s">
        <v>32</v>
      </c>
      <c r="AI517" s="2" t="s">
        <v>32</v>
      </c>
      <c r="AJ517" s="2" t="s">
        <v>32</v>
      </c>
      <c r="AK517" s="2" t="s">
        <v>32</v>
      </c>
      <c r="AL517" s="2" t="s">
        <v>32</v>
      </c>
      <c r="AM517" s="2">
        <v>0</v>
      </c>
      <c r="AN517" s="2" t="s">
        <v>32</v>
      </c>
      <c r="AO517" s="2">
        <v>0</v>
      </c>
      <c r="AP517" s="2" t="s">
        <v>32</v>
      </c>
      <c r="AQ517" s="2" t="s">
        <v>32</v>
      </c>
      <c r="AR517" s="2" t="s">
        <v>32</v>
      </c>
      <c r="AS517" s="2">
        <v>0</v>
      </c>
      <c r="AT517" s="2" t="s">
        <v>32</v>
      </c>
      <c r="AU517" s="2" t="s">
        <v>32</v>
      </c>
      <c r="AV517" s="2" t="s">
        <v>32</v>
      </c>
      <c r="AW517" s="2">
        <v>0</v>
      </c>
      <c r="AX517" s="2" t="s">
        <v>32</v>
      </c>
      <c r="AY517" s="2">
        <v>0</v>
      </c>
      <c r="AZ517" s="2" t="s">
        <v>1660</v>
      </c>
      <c r="BA517" s="2">
        <v>0</v>
      </c>
      <c r="BB517" s="2">
        <v>0</v>
      </c>
      <c r="BC517" s="2" t="s">
        <v>32</v>
      </c>
      <c r="BD517" s="2">
        <v>0</v>
      </c>
      <c r="BE517" s="2" t="s">
        <v>32</v>
      </c>
      <c r="BF517" s="2">
        <v>0</v>
      </c>
      <c r="BG517" s="2" t="s">
        <v>32</v>
      </c>
      <c r="BH517" s="2">
        <v>0</v>
      </c>
      <c r="BI517" s="2" t="s">
        <v>32</v>
      </c>
      <c r="BJ517" s="2" t="s">
        <v>32</v>
      </c>
      <c r="BK517" s="2" t="s">
        <v>32</v>
      </c>
      <c r="BL517" s="2">
        <v>0</v>
      </c>
      <c r="BM517" s="2" t="s">
        <v>32</v>
      </c>
      <c r="BN517" s="2" t="s">
        <v>32</v>
      </c>
      <c r="BO517" s="2" t="s">
        <v>32</v>
      </c>
      <c r="BP517" s="2">
        <v>0</v>
      </c>
      <c r="BQ517" s="2" t="s">
        <v>32</v>
      </c>
      <c r="BR517" s="2">
        <v>0</v>
      </c>
      <c r="BS517" s="2" t="s">
        <v>1660</v>
      </c>
      <c r="BT517" s="2">
        <v>0</v>
      </c>
      <c r="BU517" s="2">
        <v>0</v>
      </c>
      <c r="BV517" s="2" t="s">
        <v>1660</v>
      </c>
      <c r="BW517" s="2"/>
      <c r="BX517" s="2"/>
      <c r="BY517" s="2" t="s">
        <v>1807</v>
      </c>
      <c r="BZ517" s="2" t="b">
        <f>OR( (Dashboard[[#This Row],[ref_as_hh]]&gt;=1),(Dashboard[[#This Row],[ret_as_hh]] &gt;=1), (Dashboard[[#This Row],[idp_as_hh]]&gt;=1))</f>
        <v>1</v>
      </c>
      <c r="CA517" s="2">
        <f>Dashboard[[#This Row],[ret_hi_hh]]</f>
        <v>0</v>
      </c>
      <c r="CB517" s="2">
        <f>Dashboard[[#This Row],[idp_fa_hh]]+Dashboard[[#This Row],[ref_fa_hh]]+Dashboard[[#This Row],[ret_fa_hh]]</f>
        <v>0</v>
      </c>
      <c r="CC517" s="2">
        <f>Dashboard[[#This Row],[idp_loc_hh]]+Dashboard[[#This Row],[ref_loc_hh]]+Dashboard[[#This Row],[ret_loc_hh]]</f>
        <v>0</v>
      </c>
      <c r="CD517" s="2">
        <f>Dashboard[[#This Row],[idp_cc_hh]]+Dashboard[[#This Row],[ref_cc_hh]]+Dashboard[[#This Row],[ret_cc_hh]]</f>
        <v>0</v>
      </c>
      <c r="CE517" s="2">
        <f>Dashboard[[#This Row],[idp_as_hh]]+Dashboard[[#This Row],[ref_as_hh]]+Dashboard[[#This Row],[ret_as_hh]]</f>
        <v>102</v>
      </c>
      <c r="CF517" s="2">
        <f>Dashboard[[#This Row],[idp_al_hh]]+Dashboard[[#This Row],[ref_al_hh]]+Dashboard[[#This Row],[ret_al_hh]]</f>
        <v>0</v>
      </c>
    </row>
    <row r="518" spans="1:84" hidden="1" x14ac:dyDescent="0.25">
      <c r="A518" s="27">
        <v>507</v>
      </c>
      <c r="B518" s="2" t="s">
        <v>22</v>
      </c>
      <c r="C518" s="2" t="s">
        <v>23</v>
      </c>
      <c r="D518" s="2" t="s">
        <v>184</v>
      </c>
      <c r="E518" s="2" t="s">
        <v>183</v>
      </c>
      <c r="F518" s="2" t="s">
        <v>215</v>
      </c>
      <c r="G518" s="2" t="s">
        <v>214</v>
      </c>
      <c r="H518" s="2" t="s">
        <v>1344</v>
      </c>
      <c r="I518" s="2" t="s">
        <v>486</v>
      </c>
      <c r="J518" s="2" t="s">
        <v>3264</v>
      </c>
      <c r="K518" s="2" t="s">
        <v>3265</v>
      </c>
      <c r="L518" s="2" t="s">
        <v>2074</v>
      </c>
      <c r="M518" s="2">
        <v>29290</v>
      </c>
      <c r="N518" s="2" t="s">
        <v>1658</v>
      </c>
      <c r="O518" s="2">
        <v>68</v>
      </c>
      <c r="P518" s="2">
        <v>578</v>
      </c>
      <c r="Q518" s="2" t="s">
        <v>1660</v>
      </c>
      <c r="R518" s="2">
        <v>0</v>
      </c>
      <c r="S518" s="2" t="s">
        <v>1658</v>
      </c>
      <c r="T518" s="2">
        <v>68</v>
      </c>
      <c r="U518" s="2" t="s">
        <v>1661</v>
      </c>
      <c r="V518" s="2" t="s">
        <v>32</v>
      </c>
      <c r="W518" s="2" t="s">
        <v>1660</v>
      </c>
      <c r="X518" s="2">
        <v>0</v>
      </c>
      <c r="Y518" s="2" t="s">
        <v>32</v>
      </c>
      <c r="Z518" s="2" t="s">
        <v>32</v>
      </c>
      <c r="AA518" s="2" t="s">
        <v>1660</v>
      </c>
      <c r="AB518" s="2">
        <v>0</v>
      </c>
      <c r="AC518" s="2" t="s">
        <v>1660</v>
      </c>
      <c r="AD518" s="2">
        <v>0</v>
      </c>
      <c r="AE518" s="2" t="s">
        <v>1660</v>
      </c>
      <c r="AF518" s="2">
        <v>0</v>
      </c>
      <c r="AG518" s="2">
        <v>0</v>
      </c>
      <c r="AH518" s="2" t="s">
        <v>32</v>
      </c>
      <c r="AI518" s="2" t="s">
        <v>32</v>
      </c>
      <c r="AJ518" s="2" t="s">
        <v>32</v>
      </c>
      <c r="AK518" s="2" t="s">
        <v>32</v>
      </c>
      <c r="AL518" s="2" t="s">
        <v>32</v>
      </c>
      <c r="AM518" s="2">
        <v>0</v>
      </c>
      <c r="AN518" s="2" t="s">
        <v>32</v>
      </c>
      <c r="AO518" s="2">
        <v>0</v>
      </c>
      <c r="AP518" s="2" t="s">
        <v>32</v>
      </c>
      <c r="AQ518" s="2" t="s">
        <v>32</v>
      </c>
      <c r="AR518" s="2" t="s">
        <v>32</v>
      </c>
      <c r="AS518" s="2">
        <v>0</v>
      </c>
      <c r="AT518" s="2" t="s">
        <v>32</v>
      </c>
      <c r="AU518" s="2" t="s">
        <v>32</v>
      </c>
      <c r="AV518" s="2" t="s">
        <v>32</v>
      </c>
      <c r="AW518" s="2">
        <v>0</v>
      </c>
      <c r="AX518" s="2" t="s">
        <v>32</v>
      </c>
      <c r="AY518" s="2">
        <v>0</v>
      </c>
      <c r="AZ518" s="2" t="s">
        <v>1660</v>
      </c>
      <c r="BA518" s="2">
        <v>0</v>
      </c>
      <c r="BB518" s="2">
        <v>0</v>
      </c>
      <c r="BC518" s="2" t="s">
        <v>32</v>
      </c>
      <c r="BD518" s="2">
        <v>0</v>
      </c>
      <c r="BE518" s="2" t="s">
        <v>32</v>
      </c>
      <c r="BF518" s="2">
        <v>0</v>
      </c>
      <c r="BG518" s="2" t="s">
        <v>32</v>
      </c>
      <c r="BH518" s="2">
        <v>0</v>
      </c>
      <c r="BI518" s="2" t="s">
        <v>32</v>
      </c>
      <c r="BJ518" s="2" t="s">
        <v>32</v>
      </c>
      <c r="BK518" s="2" t="s">
        <v>32</v>
      </c>
      <c r="BL518" s="2">
        <v>0</v>
      </c>
      <c r="BM518" s="2" t="s">
        <v>32</v>
      </c>
      <c r="BN518" s="2" t="s">
        <v>32</v>
      </c>
      <c r="BO518" s="2" t="s">
        <v>32</v>
      </c>
      <c r="BP518" s="2">
        <v>0</v>
      </c>
      <c r="BQ518" s="2" t="s">
        <v>32</v>
      </c>
      <c r="BR518" s="2">
        <v>0</v>
      </c>
      <c r="BS518" s="2" t="s">
        <v>1660</v>
      </c>
      <c r="BT518" s="2">
        <v>0</v>
      </c>
      <c r="BU518" s="2">
        <v>0</v>
      </c>
      <c r="BV518" s="2" t="s">
        <v>1660</v>
      </c>
      <c r="BW518" s="2"/>
      <c r="BX518" s="2"/>
      <c r="BY518" s="2" t="s">
        <v>1807</v>
      </c>
      <c r="BZ518" s="2" t="b">
        <f>OR( (Dashboard[[#This Row],[ref_as_hh]]&gt;=1),(Dashboard[[#This Row],[ret_as_hh]] &gt;=1), (Dashboard[[#This Row],[idp_as_hh]]&gt;=1))</f>
        <v>0</v>
      </c>
      <c r="CA518" s="2">
        <f>Dashboard[[#This Row],[ret_hi_hh]]</f>
        <v>0</v>
      </c>
      <c r="CB518" s="2">
        <f>Dashboard[[#This Row],[idp_fa_hh]]+Dashboard[[#This Row],[ref_fa_hh]]+Dashboard[[#This Row],[ret_fa_hh]]</f>
        <v>0</v>
      </c>
      <c r="CC518" s="2">
        <f>Dashboard[[#This Row],[idp_loc_hh]]+Dashboard[[#This Row],[ref_loc_hh]]+Dashboard[[#This Row],[ret_loc_hh]]</f>
        <v>68</v>
      </c>
      <c r="CD518" s="2">
        <f>Dashboard[[#This Row],[idp_cc_hh]]+Dashboard[[#This Row],[ref_cc_hh]]+Dashboard[[#This Row],[ret_cc_hh]]</f>
        <v>0</v>
      </c>
      <c r="CE518" s="2">
        <f>Dashboard[[#This Row],[idp_as_hh]]+Dashboard[[#This Row],[ref_as_hh]]+Dashboard[[#This Row],[ret_as_hh]]</f>
        <v>0</v>
      </c>
      <c r="CF518" s="2">
        <f>Dashboard[[#This Row],[idp_al_hh]]+Dashboard[[#This Row],[ref_al_hh]]+Dashboard[[#This Row],[ret_al_hh]]</f>
        <v>0</v>
      </c>
    </row>
    <row r="519" spans="1:84" x14ac:dyDescent="0.25">
      <c r="A519" s="27">
        <v>252</v>
      </c>
      <c r="B519" s="2" t="s">
        <v>22</v>
      </c>
      <c r="C519" s="2" t="s">
        <v>23</v>
      </c>
      <c r="D519" s="2" t="s">
        <v>184</v>
      </c>
      <c r="E519" s="2" t="s">
        <v>183</v>
      </c>
      <c r="F519" s="2" t="s">
        <v>215</v>
      </c>
      <c r="G519" s="2" t="s">
        <v>214</v>
      </c>
      <c r="H519" s="2" t="s">
        <v>1347</v>
      </c>
      <c r="I519" s="2" t="s">
        <v>1838</v>
      </c>
      <c r="J519" s="2" t="s">
        <v>3270</v>
      </c>
      <c r="K519" s="2" t="s">
        <v>3271</v>
      </c>
      <c r="L519" s="2" t="s">
        <v>2074</v>
      </c>
      <c r="M519" s="2">
        <v>5080</v>
      </c>
      <c r="N519" s="2" t="s">
        <v>1658</v>
      </c>
      <c r="O519" s="2">
        <v>33</v>
      </c>
      <c r="P519" s="2">
        <v>179</v>
      </c>
      <c r="Q519" s="2" t="s">
        <v>1658</v>
      </c>
      <c r="R519" s="2">
        <v>5</v>
      </c>
      <c r="S519" s="2" t="s">
        <v>1660</v>
      </c>
      <c r="T519" s="2">
        <v>0</v>
      </c>
      <c r="U519" s="2" t="s">
        <v>32</v>
      </c>
      <c r="V519" s="2" t="s">
        <v>32</v>
      </c>
      <c r="W519" s="2" t="s">
        <v>1660</v>
      </c>
      <c r="X519" s="2">
        <v>0</v>
      </c>
      <c r="Y519" s="2" t="s">
        <v>32</v>
      </c>
      <c r="Z519" s="2" t="s">
        <v>32</v>
      </c>
      <c r="AA519" s="2" t="s">
        <v>1658</v>
      </c>
      <c r="AB519" s="2">
        <v>28</v>
      </c>
      <c r="AC519" s="2" t="s">
        <v>1660</v>
      </c>
      <c r="AD519" s="2">
        <v>0</v>
      </c>
      <c r="AE519" s="2" t="s">
        <v>1660</v>
      </c>
      <c r="AF519" s="2">
        <v>0</v>
      </c>
      <c r="AG519" s="2">
        <v>0</v>
      </c>
      <c r="AH519" s="2" t="s">
        <v>32</v>
      </c>
      <c r="AI519" s="2" t="s">
        <v>32</v>
      </c>
      <c r="AJ519" s="2" t="s">
        <v>32</v>
      </c>
      <c r="AK519" s="2" t="s">
        <v>32</v>
      </c>
      <c r="AL519" s="2" t="s">
        <v>32</v>
      </c>
      <c r="AM519" s="2">
        <v>0</v>
      </c>
      <c r="AN519" s="2" t="s">
        <v>32</v>
      </c>
      <c r="AO519" s="2">
        <v>0</v>
      </c>
      <c r="AP519" s="2" t="s">
        <v>32</v>
      </c>
      <c r="AQ519" s="2" t="s">
        <v>32</v>
      </c>
      <c r="AR519" s="2" t="s">
        <v>32</v>
      </c>
      <c r="AS519" s="2">
        <v>0</v>
      </c>
      <c r="AT519" s="2" t="s">
        <v>32</v>
      </c>
      <c r="AU519" s="2" t="s">
        <v>32</v>
      </c>
      <c r="AV519" s="2" t="s">
        <v>32</v>
      </c>
      <c r="AW519" s="2">
        <v>0</v>
      </c>
      <c r="AX519" s="2" t="s">
        <v>32</v>
      </c>
      <c r="AY519" s="2">
        <v>0</v>
      </c>
      <c r="AZ519" s="2" t="s">
        <v>1658</v>
      </c>
      <c r="BA519" s="2">
        <v>56</v>
      </c>
      <c r="BB519" s="2">
        <v>352</v>
      </c>
      <c r="BC519" s="2" t="s">
        <v>1660</v>
      </c>
      <c r="BD519" s="2">
        <v>0</v>
      </c>
      <c r="BE519" s="2" t="s">
        <v>1660</v>
      </c>
      <c r="BF519" s="2">
        <v>0</v>
      </c>
      <c r="BG519" s="2" t="s">
        <v>1660</v>
      </c>
      <c r="BH519" s="2">
        <v>0</v>
      </c>
      <c r="BI519" s="2" t="s">
        <v>32</v>
      </c>
      <c r="BJ519" s="2" t="s">
        <v>32</v>
      </c>
      <c r="BK519" s="2" t="s">
        <v>1660</v>
      </c>
      <c r="BL519" s="2">
        <v>0</v>
      </c>
      <c r="BM519" s="2" t="s">
        <v>32</v>
      </c>
      <c r="BN519" s="2" t="s">
        <v>32</v>
      </c>
      <c r="BO519" s="2" t="s">
        <v>1658</v>
      </c>
      <c r="BP519" s="2">
        <v>56</v>
      </c>
      <c r="BQ519" s="2" t="s">
        <v>1660</v>
      </c>
      <c r="BR519" s="2">
        <v>0</v>
      </c>
      <c r="BS519" s="2" t="s">
        <v>1660</v>
      </c>
      <c r="BT519" s="2">
        <v>0</v>
      </c>
      <c r="BU519" s="2">
        <v>0</v>
      </c>
      <c r="BV519" s="2" t="s">
        <v>1660</v>
      </c>
      <c r="BW519" s="2"/>
      <c r="BX519" s="2"/>
      <c r="BY519" s="2" t="s">
        <v>1807</v>
      </c>
      <c r="BZ519" s="2" t="b">
        <f>OR( (Dashboard[[#This Row],[ref_as_hh]]&gt;=1),(Dashboard[[#This Row],[ret_as_hh]] &gt;=1), (Dashboard[[#This Row],[idp_as_hh]]&gt;=1))</f>
        <v>1</v>
      </c>
      <c r="CA519" s="2">
        <f>Dashboard[[#This Row],[ret_hi_hh]]</f>
        <v>0</v>
      </c>
      <c r="CB519" s="2">
        <f>Dashboard[[#This Row],[idp_fa_hh]]+Dashboard[[#This Row],[ref_fa_hh]]+Dashboard[[#This Row],[ret_fa_hh]]</f>
        <v>5</v>
      </c>
      <c r="CC519" s="2">
        <f>Dashboard[[#This Row],[idp_loc_hh]]+Dashboard[[#This Row],[ref_loc_hh]]+Dashboard[[#This Row],[ret_loc_hh]]</f>
        <v>0</v>
      </c>
      <c r="CD519" s="2">
        <f>Dashboard[[#This Row],[idp_cc_hh]]+Dashboard[[#This Row],[ref_cc_hh]]+Dashboard[[#This Row],[ret_cc_hh]]</f>
        <v>0</v>
      </c>
      <c r="CE519" s="2">
        <f>Dashboard[[#This Row],[idp_as_hh]]+Dashboard[[#This Row],[ref_as_hh]]+Dashboard[[#This Row],[ret_as_hh]]</f>
        <v>84</v>
      </c>
      <c r="CF519" s="2">
        <f>Dashboard[[#This Row],[idp_al_hh]]+Dashboard[[#This Row],[ref_al_hh]]+Dashboard[[#This Row],[ret_al_hh]]</f>
        <v>0</v>
      </c>
    </row>
    <row r="520" spans="1:84" hidden="1" x14ac:dyDescent="0.25">
      <c r="A520" s="27">
        <v>580</v>
      </c>
      <c r="B520" s="2" t="s">
        <v>22</v>
      </c>
      <c r="C520" s="2" t="s">
        <v>23</v>
      </c>
      <c r="D520" s="2" t="s">
        <v>184</v>
      </c>
      <c r="E520" s="2" t="s">
        <v>183</v>
      </c>
      <c r="F520" s="2" t="s">
        <v>196</v>
      </c>
      <c r="G520" s="2" t="s">
        <v>195</v>
      </c>
      <c r="H520" s="2" t="s">
        <v>1331</v>
      </c>
      <c r="I520" s="2" t="s">
        <v>481</v>
      </c>
      <c r="J520" s="2" t="s">
        <v>3222</v>
      </c>
      <c r="K520" s="2" t="s">
        <v>3223</v>
      </c>
      <c r="L520" s="2" t="s">
        <v>2074</v>
      </c>
      <c r="M520" s="2">
        <v>598</v>
      </c>
      <c r="N520" s="2" t="s">
        <v>1658</v>
      </c>
      <c r="O520" s="2">
        <v>35</v>
      </c>
      <c r="P520" s="2">
        <v>280</v>
      </c>
      <c r="Q520" s="2" t="s">
        <v>1658</v>
      </c>
      <c r="R520" s="2">
        <v>35</v>
      </c>
      <c r="S520" s="2" t="s">
        <v>1660</v>
      </c>
      <c r="T520" s="2">
        <v>0</v>
      </c>
      <c r="U520" s="2" t="s">
        <v>32</v>
      </c>
      <c r="V520" s="2" t="s">
        <v>32</v>
      </c>
      <c r="W520" s="2" t="s">
        <v>1660</v>
      </c>
      <c r="X520" s="2">
        <v>0</v>
      </c>
      <c r="Y520" s="2" t="s">
        <v>32</v>
      </c>
      <c r="Z520" s="2" t="s">
        <v>32</v>
      </c>
      <c r="AA520" s="2" t="s">
        <v>1660</v>
      </c>
      <c r="AB520" s="2">
        <v>0</v>
      </c>
      <c r="AC520" s="2" t="s">
        <v>1660</v>
      </c>
      <c r="AD520" s="2">
        <v>0</v>
      </c>
      <c r="AE520" s="2" t="s">
        <v>1660</v>
      </c>
      <c r="AF520" s="2">
        <v>0</v>
      </c>
      <c r="AG520" s="2">
        <v>0</v>
      </c>
      <c r="AH520" s="2" t="s">
        <v>32</v>
      </c>
      <c r="AI520" s="2" t="s">
        <v>32</v>
      </c>
      <c r="AJ520" s="2" t="s">
        <v>32</v>
      </c>
      <c r="AK520" s="2" t="s">
        <v>32</v>
      </c>
      <c r="AL520" s="2" t="s">
        <v>32</v>
      </c>
      <c r="AM520" s="2">
        <v>0</v>
      </c>
      <c r="AN520" s="2" t="s">
        <v>32</v>
      </c>
      <c r="AO520" s="2">
        <v>0</v>
      </c>
      <c r="AP520" s="2" t="s">
        <v>32</v>
      </c>
      <c r="AQ520" s="2" t="s">
        <v>32</v>
      </c>
      <c r="AR520" s="2" t="s">
        <v>32</v>
      </c>
      <c r="AS520" s="2">
        <v>0</v>
      </c>
      <c r="AT520" s="2" t="s">
        <v>32</v>
      </c>
      <c r="AU520" s="2" t="s">
        <v>32</v>
      </c>
      <c r="AV520" s="2" t="s">
        <v>32</v>
      </c>
      <c r="AW520" s="2">
        <v>0</v>
      </c>
      <c r="AX520" s="2" t="s">
        <v>32</v>
      </c>
      <c r="AY520" s="2">
        <v>0</v>
      </c>
      <c r="AZ520" s="2" t="s">
        <v>1658</v>
      </c>
      <c r="BA520" s="2">
        <v>15</v>
      </c>
      <c r="BB520" s="2">
        <v>75</v>
      </c>
      <c r="BC520" s="2" t="s">
        <v>1658</v>
      </c>
      <c r="BD520" s="2">
        <v>15</v>
      </c>
      <c r="BE520" s="2" t="s">
        <v>1660</v>
      </c>
      <c r="BF520" s="2">
        <v>0</v>
      </c>
      <c r="BG520" s="2" t="s">
        <v>1660</v>
      </c>
      <c r="BH520" s="2">
        <v>0</v>
      </c>
      <c r="BI520" s="2" t="s">
        <v>32</v>
      </c>
      <c r="BJ520" s="2" t="s">
        <v>32</v>
      </c>
      <c r="BK520" s="2" t="s">
        <v>1660</v>
      </c>
      <c r="BL520" s="2">
        <v>0</v>
      </c>
      <c r="BM520" s="2" t="s">
        <v>32</v>
      </c>
      <c r="BN520" s="2" t="s">
        <v>32</v>
      </c>
      <c r="BO520" s="2" t="s">
        <v>1660</v>
      </c>
      <c r="BP520" s="2">
        <v>0</v>
      </c>
      <c r="BQ520" s="2" t="s">
        <v>1660</v>
      </c>
      <c r="BR520" s="2">
        <v>0</v>
      </c>
      <c r="BS520" s="2" t="s">
        <v>1660</v>
      </c>
      <c r="BT520" s="2">
        <v>0</v>
      </c>
      <c r="BU520" s="2">
        <v>0</v>
      </c>
      <c r="BV520" s="2" t="s">
        <v>1660</v>
      </c>
      <c r="BW520" s="2"/>
      <c r="BX520" s="2"/>
      <c r="BY520" s="2" t="s">
        <v>1807</v>
      </c>
      <c r="BZ520" s="2" t="b">
        <f>OR( (Dashboard[[#This Row],[ref_as_hh]]&gt;=1),(Dashboard[[#This Row],[ret_as_hh]] &gt;=1), (Dashboard[[#This Row],[idp_as_hh]]&gt;=1))</f>
        <v>0</v>
      </c>
      <c r="CA520" s="2">
        <f>Dashboard[[#This Row],[ret_hi_hh]]</f>
        <v>15</v>
      </c>
      <c r="CB520" s="2">
        <f>Dashboard[[#This Row],[idp_fa_hh]]+Dashboard[[#This Row],[ref_fa_hh]]+Dashboard[[#This Row],[ret_fa_hh]]</f>
        <v>35</v>
      </c>
      <c r="CC520" s="2">
        <f>Dashboard[[#This Row],[idp_loc_hh]]+Dashboard[[#This Row],[ref_loc_hh]]+Dashboard[[#This Row],[ret_loc_hh]]</f>
        <v>0</v>
      </c>
      <c r="CD520" s="2">
        <f>Dashboard[[#This Row],[idp_cc_hh]]+Dashboard[[#This Row],[ref_cc_hh]]+Dashboard[[#This Row],[ret_cc_hh]]</f>
        <v>0</v>
      </c>
      <c r="CE520" s="2">
        <f>Dashboard[[#This Row],[idp_as_hh]]+Dashboard[[#This Row],[ref_as_hh]]+Dashboard[[#This Row],[ret_as_hh]]</f>
        <v>0</v>
      </c>
      <c r="CF520" s="2">
        <f>Dashboard[[#This Row],[idp_al_hh]]+Dashboard[[#This Row],[ref_al_hh]]+Dashboard[[#This Row],[ret_al_hh]]</f>
        <v>0</v>
      </c>
    </row>
    <row r="521" spans="1:84" hidden="1" x14ac:dyDescent="0.25">
      <c r="A521" s="27">
        <v>71</v>
      </c>
      <c r="B521" s="2" t="s">
        <v>22</v>
      </c>
      <c r="C521" s="2" t="s">
        <v>23</v>
      </c>
      <c r="D521" s="2" t="s">
        <v>184</v>
      </c>
      <c r="E521" s="2" t="s">
        <v>183</v>
      </c>
      <c r="F521" s="2" t="s">
        <v>196</v>
      </c>
      <c r="G521" s="2" t="s">
        <v>195</v>
      </c>
      <c r="H521" s="2" t="s">
        <v>1335</v>
      </c>
      <c r="I521" s="2" t="s">
        <v>482</v>
      </c>
      <c r="J521" s="2" t="s">
        <v>3230</v>
      </c>
      <c r="K521" s="2" t="s">
        <v>3231</v>
      </c>
      <c r="L521" s="2" t="s">
        <v>2074</v>
      </c>
      <c r="M521" s="2">
        <v>288</v>
      </c>
      <c r="N521" s="2" t="s">
        <v>1658</v>
      </c>
      <c r="O521" s="2">
        <v>6</v>
      </c>
      <c r="P521" s="2">
        <v>48</v>
      </c>
      <c r="Q521" s="2" t="s">
        <v>1658</v>
      </c>
      <c r="R521" s="2">
        <v>6</v>
      </c>
      <c r="S521" s="2" t="s">
        <v>1660</v>
      </c>
      <c r="T521" s="2">
        <v>0</v>
      </c>
      <c r="U521" s="2" t="s">
        <v>32</v>
      </c>
      <c r="V521" s="2" t="s">
        <v>32</v>
      </c>
      <c r="W521" s="2" t="s">
        <v>1660</v>
      </c>
      <c r="X521" s="2">
        <v>0</v>
      </c>
      <c r="Y521" s="2" t="s">
        <v>32</v>
      </c>
      <c r="Z521" s="2" t="s">
        <v>32</v>
      </c>
      <c r="AA521" s="2" t="s">
        <v>1660</v>
      </c>
      <c r="AB521" s="2">
        <v>0</v>
      </c>
      <c r="AC521" s="2" t="s">
        <v>1660</v>
      </c>
      <c r="AD521" s="2">
        <v>0</v>
      </c>
      <c r="AE521" s="2" t="s">
        <v>1660</v>
      </c>
      <c r="AF521" s="2">
        <v>0</v>
      </c>
      <c r="AG521" s="2">
        <v>0</v>
      </c>
      <c r="AH521" s="2" t="s">
        <v>32</v>
      </c>
      <c r="AI521" s="2" t="s">
        <v>32</v>
      </c>
      <c r="AJ521" s="2" t="s">
        <v>32</v>
      </c>
      <c r="AK521" s="2" t="s">
        <v>32</v>
      </c>
      <c r="AL521" s="2" t="s">
        <v>32</v>
      </c>
      <c r="AM521" s="2">
        <v>0</v>
      </c>
      <c r="AN521" s="2" t="s">
        <v>32</v>
      </c>
      <c r="AO521" s="2">
        <v>0</v>
      </c>
      <c r="AP521" s="2" t="s">
        <v>32</v>
      </c>
      <c r="AQ521" s="2" t="s">
        <v>32</v>
      </c>
      <c r="AR521" s="2" t="s">
        <v>32</v>
      </c>
      <c r="AS521" s="2">
        <v>0</v>
      </c>
      <c r="AT521" s="2" t="s">
        <v>32</v>
      </c>
      <c r="AU521" s="2" t="s">
        <v>32</v>
      </c>
      <c r="AV521" s="2" t="s">
        <v>32</v>
      </c>
      <c r="AW521" s="2">
        <v>0</v>
      </c>
      <c r="AX521" s="2" t="s">
        <v>32</v>
      </c>
      <c r="AY521" s="2">
        <v>0</v>
      </c>
      <c r="AZ521" s="2" t="s">
        <v>1660</v>
      </c>
      <c r="BA521" s="2">
        <v>0</v>
      </c>
      <c r="BB521" s="2">
        <v>0</v>
      </c>
      <c r="BC521" s="2" t="s">
        <v>32</v>
      </c>
      <c r="BD521" s="2">
        <v>0</v>
      </c>
      <c r="BE521" s="2" t="s">
        <v>32</v>
      </c>
      <c r="BF521" s="2">
        <v>0</v>
      </c>
      <c r="BG521" s="2" t="s">
        <v>32</v>
      </c>
      <c r="BH521" s="2">
        <v>0</v>
      </c>
      <c r="BI521" s="2" t="s">
        <v>32</v>
      </c>
      <c r="BJ521" s="2" t="s">
        <v>32</v>
      </c>
      <c r="BK521" s="2" t="s">
        <v>32</v>
      </c>
      <c r="BL521" s="2">
        <v>0</v>
      </c>
      <c r="BM521" s="2" t="s">
        <v>32</v>
      </c>
      <c r="BN521" s="2" t="s">
        <v>32</v>
      </c>
      <c r="BO521" s="2" t="s">
        <v>32</v>
      </c>
      <c r="BP521" s="2">
        <v>0</v>
      </c>
      <c r="BQ521" s="2" t="s">
        <v>32</v>
      </c>
      <c r="BR521" s="2">
        <v>0</v>
      </c>
      <c r="BS521" s="2" t="s">
        <v>1660</v>
      </c>
      <c r="BT521" s="2">
        <v>0</v>
      </c>
      <c r="BU521" s="2">
        <v>0</v>
      </c>
      <c r="BV521" s="2" t="s">
        <v>1660</v>
      </c>
      <c r="BW521" s="2"/>
      <c r="BX521" s="2"/>
      <c r="BY521" s="2" t="s">
        <v>1807</v>
      </c>
      <c r="BZ521" s="2" t="b">
        <f>OR( (Dashboard[[#This Row],[ref_as_hh]]&gt;=1),(Dashboard[[#This Row],[ret_as_hh]] &gt;=1), (Dashboard[[#This Row],[idp_as_hh]]&gt;=1))</f>
        <v>0</v>
      </c>
      <c r="CA521" s="2">
        <f>Dashboard[[#This Row],[ret_hi_hh]]</f>
        <v>0</v>
      </c>
      <c r="CB521" s="2">
        <f>Dashboard[[#This Row],[idp_fa_hh]]+Dashboard[[#This Row],[ref_fa_hh]]+Dashboard[[#This Row],[ret_fa_hh]]</f>
        <v>6</v>
      </c>
      <c r="CC521" s="2">
        <f>Dashboard[[#This Row],[idp_loc_hh]]+Dashboard[[#This Row],[ref_loc_hh]]+Dashboard[[#This Row],[ret_loc_hh]]</f>
        <v>0</v>
      </c>
      <c r="CD521" s="2">
        <f>Dashboard[[#This Row],[idp_cc_hh]]+Dashboard[[#This Row],[ref_cc_hh]]+Dashboard[[#This Row],[ret_cc_hh]]</f>
        <v>0</v>
      </c>
      <c r="CE521" s="2">
        <f>Dashboard[[#This Row],[idp_as_hh]]+Dashboard[[#This Row],[ref_as_hh]]+Dashboard[[#This Row],[ret_as_hh]]</f>
        <v>0</v>
      </c>
      <c r="CF521" s="2">
        <f>Dashboard[[#This Row],[idp_al_hh]]+Dashboard[[#This Row],[ref_al_hh]]+Dashboard[[#This Row],[ret_al_hh]]</f>
        <v>0</v>
      </c>
    </row>
    <row r="522" spans="1:84" hidden="1" x14ac:dyDescent="0.25">
      <c r="A522" s="27">
        <v>138</v>
      </c>
      <c r="B522" s="2" t="s">
        <v>22</v>
      </c>
      <c r="C522" s="2" t="s">
        <v>23</v>
      </c>
      <c r="D522" s="2" t="s">
        <v>184</v>
      </c>
      <c r="E522" s="2" t="s">
        <v>183</v>
      </c>
      <c r="F522" s="2" t="s">
        <v>196</v>
      </c>
      <c r="G522" s="2" t="s">
        <v>195</v>
      </c>
      <c r="H522" s="2" t="s">
        <v>1334</v>
      </c>
      <c r="I522" s="2" t="s">
        <v>201</v>
      </c>
      <c r="J522" s="2" t="s">
        <v>3228</v>
      </c>
      <c r="K522" s="2" t="s">
        <v>3229</v>
      </c>
      <c r="L522" s="2" t="s">
        <v>2078</v>
      </c>
      <c r="M522" s="2">
        <v>1500</v>
      </c>
      <c r="N522" s="2" t="s">
        <v>1658</v>
      </c>
      <c r="O522" s="2">
        <v>100</v>
      </c>
      <c r="P522" s="2">
        <v>500</v>
      </c>
      <c r="Q522" s="2" t="s">
        <v>1658</v>
      </c>
      <c r="R522" s="2">
        <v>100</v>
      </c>
      <c r="S522" s="2" t="s">
        <v>1660</v>
      </c>
      <c r="T522" s="2">
        <v>0</v>
      </c>
      <c r="U522" s="2" t="s">
        <v>32</v>
      </c>
      <c r="V522" s="2" t="s">
        <v>32</v>
      </c>
      <c r="W522" s="2" t="s">
        <v>1660</v>
      </c>
      <c r="X522" s="2">
        <v>0</v>
      </c>
      <c r="Y522" s="2" t="s">
        <v>32</v>
      </c>
      <c r="Z522" s="2" t="s">
        <v>32</v>
      </c>
      <c r="AA522" s="2" t="s">
        <v>1660</v>
      </c>
      <c r="AB522" s="2">
        <v>0</v>
      </c>
      <c r="AC522" s="2" t="s">
        <v>1660</v>
      </c>
      <c r="AD522" s="2">
        <v>0</v>
      </c>
      <c r="AE522" s="2" t="s">
        <v>1660</v>
      </c>
      <c r="AF522" s="2">
        <v>0</v>
      </c>
      <c r="AG522" s="2">
        <v>0</v>
      </c>
      <c r="AH522" s="2" t="s">
        <v>32</v>
      </c>
      <c r="AI522" s="2" t="s">
        <v>32</v>
      </c>
      <c r="AJ522" s="2" t="s">
        <v>32</v>
      </c>
      <c r="AK522" s="2" t="s">
        <v>32</v>
      </c>
      <c r="AL522" s="2" t="s">
        <v>32</v>
      </c>
      <c r="AM522" s="2">
        <v>0</v>
      </c>
      <c r="AN522" s="2" t="s">
        <v>32</v>
      </c>
      <c r="AO522" s="2">
        <v>0</v>
      </c>
      <c r="AP522" s="2" t="s">
        <v>32</v>
      </c>
      <c r="AQ522" s="2" t="s">
        <v>32</v>
      </c>
      <c r="AR522" s="2" t="s">
        <v>32</v>
      </c>
      <c r="AS522" s="2">
        <v>0</v>
      </c>
      <c r="AT522" s="2" t="s">
        <v>32</v>
      </c>
      <c r="AU522" s="2" t="s">
        <v>32</v>
      </c>
      <c r="AV522" s="2" t="s">
        <v>32</v>
      </c>
      <c r="AW522" s="2">
        <v>0</v>
      </c>
      <c r="AX522" s="2" t="s">
        <v>32</v>
      </c>
      <c r="AY522" s="2">
        <v>0</v>
      </c>
      <c r="AZ522" s="2" t="s">
        <v>1658</v>
      </c>
      <c r="BA522" s="2">
        <v>30</v>
      </c>
      <c r="BB522" s="2">
        <v>150</v>
      </c>
      <c r="BC522" s="2" t="s">
        <v>1660</v>
      </c>
      <c r="BD522" s="2">
        <v>0</v>
      </c>
      <c r="BE522" s="2" t="s">
        <v>1658</v>
      </c>
      <c r="BF522" s="2">
        <v>30</v>
      </c>
      <c r="BG522" s="2" t="s">
        <v>1660</v>
      </c>
      <c r="BH522" s="2">
        <v>0</v>
      </c>
      <c r="BI522" s="2" t="s">
        <v>32</v>
      </c>
      <c r="BJ522" s="2" t="s">
        <v>32</v>
      </c>
      <c r="BK522" s="2" t="s">
        <v>1660</v>
      </c>
      <c r="BL522" s="2">
        <v>0</v>
      </c>
      <c r="BM522" s="2" t="s">
        <v>32</v>
      </c>
      <c r="BN522" s="2" t="s">
        <v>32</v>
      </c>
      <c r="BO522" s="2" t="s">
        <v>1660</v>
      </c>
      <c r="BP522" s="2">
        <v>0</v>
      </c>
      <c r="BQ522" s="2" t="s">
        <v>1660</v>
      </c>
      <c r="BR522" s="2">
        <v>0</v>
      </c>
      <c r="BS522" s="2" t="s">
        <v>1660</v>
      </c>
      <c r="BT522" s="2">
        <v>0</v>
      </c>
      <c r="BU522" s="2">
        <v>0</v>
      </c>
      <c r="BV522" s="2" t="s">
        <v>1660</v>
      </c>
      <c r="BW522" s="2"/>
      <c r="BX522" s="2"/>
      <c r="BY522" s="2" t="s">
        <v>1807</v>
      </c>
      <c r="BZ522" s="2" t="b">
        <f>OR( (Dashboard[[#This Row],[ref_as_hh]]&gt;=1),(Dashboard[[#This Row],[ret_as_hh]] &gt;=1), (Dashboard[[#This Row],[idp_as_hh]]&gt;=1))</f>
        <v>0</v>
      </c>
      <c r="CA522" s="2">
        <f>Dashboard[[#This Row],[ret_hi_hh]]</f>
        <v>0</v>
      </c>
      <c r="CB522" s="2">
        <f>Dashboard[[#This Row],[idp_fa_hh]]+Dashboard[[#This Row],[ref_fa_hh]]+Dashboard[[#This Row],[ret_fa_hh]]</f>
        <v>130</v>
      </c>
      <c r="CC522" s="2">
        <f>Dashboard[[#This Row],[idp_loc_hh]]+Dashboard[[#This Row],[ref_loc_hh]]+Dashboard[[#This Row],[ret_loc_hh]]</f>
        <v>0</v>
      </c>
      <c r="CD522" s="2">
        <f>Dashboard[[#This Row],[idp_cc_hh]]+Dashboard[[#This Row],[ref_cc_hh]]+Dashboard[[#This Row],[ret_cc_hh]]</f>
        <v>0</v>
      </c>
      <c r="CE522" s="2">
        <f>Dashboard[[#This Row],[idp_as_hh]]+Dashboard[[#This Row],[ref_as_hh]]+Dashboard[[#This Row],[ret_as_hh]]</f>
        <v>0</v>
      </c>
      <c r="CF522" s="2">
        <f>Dashboard[[#This Row],[idp_al_hh]]+Dashboard[[#This Row],[ref_al_hh]]+Dashboard[[#This Row],[ret_al_hh]]</f>
        <v>0</v>
      </c>
    </row>
    <row r="523" spans="1:84" hidden="1" x14ac:dyDescent="0.25">
      <c r="A523" s="27">
        <v>696</v>
      </c>
      <c r="B523" s="2" t="s">
        <v>22</v>
      </c>
      <c r="C523" s="2" t="s">
        <v>23</v>
      </c>
      <c r="D523" s="2" t="s">
        <v>184</v>
      </c>
      <c r="E523" s="2" t="s">
        <v>183</v>
      </c>
      <c r="F523" s="2" t="s">
        <v>196</v>
      </c>
      <c r="G523" s="2" t="s">
        <v>195</v>
      </c>
      <c r="H523" s="2" t="s">
        <v>1333</v>
      </c>
      <c r="I523" s="2" t="s">
        <v>198</v>
      </c>
      <c r="J523" s="2" t="s">
        <v>3226</v>
      </c>
      <c r="K523" s="2" t="s">
        <v>3227</v>
      </c>
      <c r="L523" s="2" t="s">
        <v>2074</v>
      </c>
      <c r="M523" s="2">
        <v>730</v>
      </c>
      <c r="N523" s="2" t="s">
        <v>1658</v>
      </c>
      <c r="O523" s="2">
        <v>56</v>
      </c>
      <c r="P523" s="2">
        <v>370</v>
      </c>
      <c r="Q523" s="2" t="s">
        <v>1658</v>
      </c>
      <c r="R523" s="2">
        <v>56</v>
      </c>
      <c r="S523" s="2" t="s">
        <v>1660</v>
      </c>
      <c r="T523" s="2">
        <v>0</v>
      </c>
      <c r="U523" s="2" t="s">
        <v>32</v>
      </c>
      <c r="V523" s="2" t="s">
        <v>32</v>
      </c>
      <c r="W523" s="2" t="s">
        <v>1660</v>
      </c>
      <c r="X523" s="2">
        <v>0</v>
      </c>
      <c r="Y523" s="2" t="s">
        <v>32</v>
      </c>
      <c r="Z523" s="2" t="s">
        <v>32</v>
      </c>
      <c r="AA523" s="2" t="s">
        <v>1660</v>
      </c>
      <c r="AB523" s="2">
        <v>0</v>
      </c>
      <c r="AC523" s="2" t="s">
        <v>1660</v>
      </c>
      <c r="AD523" s="2">
        <v>0</v>
      </c>
      <c r="AE523" s="2" t="s">
        <v>1660</v>
      </c>
      <c r="AF523" s="2">
        <v>0</v>
      </c>
      <c r="AG523" s="2">
        <v>0</v>
      </c>
      <c r="AH523" s="2" t="s">
        <v>32</v>
      </c>
      <c r="AI523" s="2" t="s">
        <v>32</v>
      </c>
      <c r="AJ523" s="2" t="s">
        <v>32</v>
      </c>
      <c r="AK523" s="2" t="s">
        <v>32</v>
      </c>
      <c r="AL523" s="2" t="s">
        <v>32</v>
      </c>
      <c r="AM523" s="2">
        <v>0</v>
      </c>
      <c r="AN523" s="2" t="s">
        <v>32</v>
      </c>
      <c r="AO523" s="2">
        <v>0</v>
      </c>
      <c r="AP523" s="2" t="s">
        <v>32</v>
      </c>
      <c r="AQ523" s="2" t="s">
        <v>32</v>
      </c>
      <c r="AR523" s="2" t="s">
        <v>32</v>
      </c>
      <c r="AS523" s="2">
        <v>0</v>
      </c>
      <c r="AT523" s="2" t="s">
        <v>32</v>
      </c>
      <c r="AU523" s="2" t="s">
        <v>32</v>
      </c>
      <c r="AV523" s="2" t="s">
        <v>32</v>
      </c>
      <c r="AW523" s="2">
        <v>0</v>
      </c>
      <c r="AX523" s="2" t="s">
        <v>32</v>
      </c>
      <c r="AY523" s="2">
        <v>0</v>
      </c>
      <c r="AZ523" s="2" t="s">
        <v>1658</v>
      </c>
      <c r="BA523" s="2">
        <v>15</v>
      </c>
      <c r="BB523" s="2">
        <v>75</v>
      </c>
      <c r="BC523" s="2" t="s">
        <v>1658</v>
      </c>
      <c r="BD523" s="2">
        <v>15</v>
      </c>
      <c r="BE523" s="2" t="s">
        <v>1660</v>
      </c>
      <c r="BF523" s="2">
        <v>0</v>
      </c>
      <c r="BG523" s="2" t="s">
        <v>1660</v>
      </c>
      <c r="BH523" s="2">
        <v>0</v>
      </c>
      <c r="BI523" s="2" t="s">
        <v>32</v>
      </c>
      <c r="BJ523" s="2" t="s">
        <v>32</v>
      </c>
      <c r="BK523" s="2" t="s">
        <v>1660</v>
      </c>
      <c r="BL523" s="2">
        <v>0</v>
      </c>
      <c r="BM523" s="2" t="s">
        <v>32</v>
      </c>
      <c r="BN523" s="2" t="s">
        <v>32</v>
      </c>
      <c r="BO523" s="2" t="s">
        <v>1660</v>
      </c>
      <c r="BP523" s="2">
        <v>0</v>
      </c>
      <c r="BQ523" s="2" t="s">
        <v>1660</v>
      </c>
      <c r="BR523" s="2">
        <v>0</v>
      </c>
      <c r="BS523" s="2" t="s">
        <v>1660</v>
      </c>
      <c r="BT523" s="2">
        <v>0</v>
      </c>
      <c r="BU523" s="2">
        <v>0</v>
      </c>
      <c r="BV523" s="2" t="s">
        <v>1660</v>
      </c>
      <c r="BW523" s="2"/>
      <c r="BX523" s="2"/>
      <c r="BY523" s="2" t="s">
        <v>1807</v>
      </c>
      <c r="BZ523" s="2" t="b">
        <f>OR( (Dashboard[[#This Row],[ref_as_hh]]&gt;=1),(Dashboard[[#This Row],[ret_as_hh]] &gt;=1), (Dashboard[[#This Row],[idp_as_hh]]&gt;=1))</f>
        <v>0</v>
      </c>
      <c r="CA523" s="2">
        <f>Dashboard[[#This Row],[ret_hi_hh]]</f>
        <v>15</v>
      </c>
      <c r="CB523" s="2">
        <f>Dashboard[[#This Row],[idp_fa_hh]]+Dashboard[[#This Row],[ref_fa_hh]]+Dashboard[[#This Row],[ret_fa_hh]]</f>
        <v>56</v>
      </c>
      <c r="CC523" s="2">
        <f>Dashboard[[#This Row],[idp_loc_hh]]+Dashboard[[#This Row],[ref_loc_hh]]+Dashboard[[#This Row],[ret_loc_hh]]</f>
        <v>0</v>
      </c>
      <c r="CD523" s="2">
        <f>Dashboard[[#This Row],[idp_cc_hh]]+Dashboard[[#This Row],[ref_cc_hh]]+Dashboard[[#This Row],[ret_cc_hh]]</f>
        <v>0</v>
      </c>
      <c r="CE523" s="2">
        <f>Dashboard[[#This Row],[idp_as_hh]]+Dashboard[[#This Row],[ref_as_hh]]+Dashboard[[#This Row],[ret_as_hh]]</f>
        <v>0</v>
      </c>
      <c r="CF523" s="2">
        <f>Dashboard[[#This Row],[idp_al_hh]]+Dashboard[[#This Row],[ref_al_hh]]+Dashboard[[#This Row],[ret_al_hh]]</f>
        <v>0</v>
      </c>
    </row>
    <row r="524" spans="1:84" hidden="1" x14ac:dyDescent="0.25">
      <c r="A524" s="27">
        <v>506</v>
      </c>
      <c r="B524" s="2" t="s">
        <v>22</v>
      </c>
      <c r="C524" s="2" t="s">
        <v>23</v>
      </c>
      <c r="D524" s="2" t="s">
        <v>184</v>
      </c>
      <c r="E524" s="2" t="s">
        <v>183</v>
      </c>
      <c r="F524" s="2" t="s">
        <v>196</v>
      </c>
      <c r="G524" s="2" t="s">
        <v>195</v>
      </c>
      <c r="H524" s="2" t="s">
        <v>1332</v>
      </c>
      <c r="I524" s="2" t="s">
        <v>197</v>
      </c>
      <c r="J524" s="2" t="s">
        <v>3224</v>
      </c>
      <c r="K524" s="2" t="s">
        <v>3225</v>
      </c>
      <c r="L524" s="2" t="s">
        <v>2074</v>
      </c>
      <c r="M524" s="2">
        <v>7000</v>
      </c>
      <c r="N524" s="2" t="s">
        <v>1658</v>
      </c>
      <c r="O524" s="2">
        <v>40</v>
      </c>
      <c r="P524" s="2">
        <v>420</v>
      </c>
      <c r="Q524" s="2" t="s">
        <v>1658</v>
      </c>
      <c r="R524" s="2">
        <v>40</v>
      </c>
      <c r="S524" s="2" t="s">
        <v>1660</v>
      </c>
      <c r="T524" s="2">
        <v>0</v>
      </c>
      <c r="U524" s="2" t="s">
        <v>32</v>
      </c>
      <c r="V524" s="2" t="s">
        <v>32</v>
      </c>
      <c r="W524" s="2" t="s">
        <v>1660</v>
      </c>
      <c r="X524" s="2">
        <v>0</v>
      </c>
      <c r="Y524" s="2" t="s">
        <v>32</v>
      </c>
      <c r="Z524" s="2" t="s">
        <v>32</v>
      </c>
      <c r="AA524" s="2" t="s">
        <v>1660</v>
      </c>
      <c r="AB524" s="2">
        <v>0</v>
      </c>
      <c r="AC524" s="2" t="s">
        <v>1660</v>
      </c>
      <c r="AD524" s="2">
        <v>0</v>
      </c>
      <c r="AE524" s="2" t="s">
        <v>1660</v>
      </c>
      <c r="AF524" s="2">
        <v>0</v>
      </c>
      <c r="AG524" s="2">
        <v>0</v>
      </c>
      <c r="AH524" s="2" t="s">
        <v>32</v>
      </c>
      <c r="AI524" s="2" t="s">
        <v>32</v>
      </c>
      <c r="AJ524" s="2" t="s">
        <v>32</v>
      </c>
      <c r="AK524" s="2" t="s">
        <v>32</v>
      </c>
      <c r="AL524" s="2" t="s">
        <v>32</v>
      </c>
      <c r="AM524" s="2">
        <v>0</v>
      </c>
      <c r="AN524" s="2" t="s">
        <v>32</v>
      </c>
      <c r="AO524" s="2">
        <v>0</v>
      </c>
      <c r="AP524" s="2" t="s">
        <v>32</v>
      </c>
      <c r="AQ524" s="2" t="s">
        <v>32</v>
      </c>
      <c r="AR524" s="2" t="s">
        <v>32</v>
      </c>
      <c r="AS524" s="2">
        <v>0</v>
      </c>
      <c r="AT524" s="2" t="s">
        <v>32</v>
      </c>
      <c r="AU524" s="2" t="s">
        <v>32</v>
      </c>
      <c r="AV524" s="2" t="s">
        <v>32</v>
      </c>
      <c r="AW524" s="2">
        <v>0</v>
      </c>
      <c r="AX524" s="2" t="s">
        <v>32</v>
      </c>
      <c r="AY524" s="2">
        <v>0</v>
      </c>
      <c r="AZ524" s="2" t="s">
        <v>1658</v>
      </c>
      <c r="BA524" s="2">
        <v>24</v>
      </c>
      <c r="BB524" s="2">
        <v>120</v>
      </c>
      <c r="BC524" s="2" t="s">
        <v>1658</v>
      </c>
      <c r="BD524" s="2">
        <v>24</v>
      </c>
      <c r="BE524" s="2" t="s">
        <v>1660</v>
      </c>
      <c r="BF524" s="2">
        <v>0</v>
      </c>
      <c r="BG524" s="2" t="s">
        <v>1660</v>
      </c>
      <c r="BH524" s="2">
        <v>0</v>
      </c>
      <c r="BI524" s="2" t="s">
        <v>32</v>
      </c>
      <c r="BJ524" s="2" t="s">
        <v>32</v>
      </c>
      <c r="BK524" s="2" t="s">
        <v>1660</v>
      </c>
      <c r="BL524" s="2">
        <v>0</v>
      </c>
      <c r="BM524" s="2" t="s">
        <v>32</v>
      </c>
      <c r="BN524" s="2" t="s">
        <v>32</v>
      </c>
      <c r="BO524" s="2" t="s">
        <v>1660</v>
      </c>
      <c r="BP524" s="2">
        <v>0</v>
      </c>
      <c r="BQ524" s="2" t="s">
        <v>1660</v>
      </c>
      <c r="BR524" s="2">
        <v>0</v>
      </c>
      <c r="BS524" s="2" t="s">
        <v>1660</v>
      </c>
      <c r="BT524" s="2">
        <v>0</v>
      </c>
      <c r="BU524" s="2">
        <v>0</v>
      </c>
      <c r="BV524" s="2" t="s">
        <v>1660</v>
      </c>
      <c r="BW524" s="2"/>
      <c r="BX524" s="2"/>
      <c r="BY524" s="2" t="s">
        <v>1807</v>
      </c>
      <c r="BZ524" s="2" t="b">
        <f>OR( (Dashboard[[#This Row],[ref_as_hh]]&gt;=1),(Dashboard[[#This Row],[ret_as_hh]] &gt;=1), (Dashboard[[#This Row],[idp_as_hh]]&gt;=1))</f>
        <v>0</v>
      </c>
      <c r="CA524" s="2">
        <f>Dashboard[[#This Row],[ret_hi_hh]]</f>
        <v>24</v>
      </c>
      <c r="CB524" s="2">
        <f>Dashboard[[#This Row],[idp_fa_hh]]+Dashboard[[#This Row],[ref_fa_hh]]+Dashboard[[#This Row],[ret_fa_hh]]</f>
        <v>40</v>
      </c>
      <c r="CC524" s="2">
        <f>Dashboard[[#This Row],[idp_loc_hh]]+Dashboard[[#This Row],[ref_loc_hh]]+Dashboard[[#This Row],[ret_loc_hh]]</f>
        <v>0</v>
      </c>
      <c r="CD524" s="2">
        <f>Dashboard[[#This Row],[idp_cc_hh]]+Dashboard[[#This Row],[ref_cc_hh]]+Dashboard[[#This Row],[ret_cc_hh]]</f>
        <v>0</v>
      </c>
      <c r="CE524" s="2">
        <f>Dashboard[[#This Row],[idp_as_hh]]+Dashboard[[#This Row],[ref_as_hh]]+Dashboard[[#This Row],[ret_as_hh]]</f>
        <v>0</v>
      </c>
      <c r="CF524" s="2">
        <f>Dashboard[[#This Row],[idp_al_hh]]+Dashboard[[#This Row],[ref_al_hh]]+Dashboard[[#This Row],[ret_al_hh]]</f>
        <v>0</v>
      </c>
    </row>
    <row r="525" spans="1:84" hidden="1" x14ac:dyDescent="0.25">
      <c r="A525" s="27">
        <v>308</v>
      </c>
      <c r="B525" s="2" t="s">
        <v>22</v>
      </c>
      <c r="C525" s="2" t="s">
        <v>23</v>
      </c>
      <c r="D525" s="2" t="s">
        <v>184</v>
      </c>
      <c r="E525" s="2" t="s">
        <v>183</v>
      </c>
      <c r="F525" s="2" t="s">
        <v>213</v>
      </c>
      <c r="G525" s="2" t="s">
        <v>212</v>
      </c>
      <c r="H525" s="2" t="s">
        <v>1348</v>
      </c>
      <c r="I525" s="2" t="s">
        <v>489</v>
      </c>
      <c r="J525" s="2" t="s">
        <v>3272</v>
      </c>
      <c r="K525" s="2" t="s">
        <v>3273</v>
      </c>
      <c r="L525" s="2" t="s">
        <v>2074</v>
      </c>
      <c r="M525" s="2">
        <v>3600</v>
      </c>
      <c r="N525" s="2" t="s">
        <v>1658</v>
      </c>
      <c r="O525" s="2">
        <v>262</v>
      </c>
      <c r="P525" s="2">
        <v>1200</v>
      </c>
      <c r="Q525" s="2" t="s">
        <v>1658</v>
      </c>
      <c r="R525" s="2">
        <v>62</v>
      </c>
      <c r="S525" s="2" t="s">
        <v>1658</v>
      </c>
      <c r="T525" s="2">
        <v>17</v>
      </c>
      <c r="U525" s="2" t="s">
        <v>1659</v>
      </c>
      <c r="V525" s="2" t="s">
        <v>32</v>
      </c>
      <c r="W525" s="2" t="s">
        <v>1658</v>
      </c>
      <c r="X525" s="2">
        <v>183</v>
      </c>
      <c r="Y525" s="2" t="s">
        <v>3710</v>
      </c>
      <c r="Z525" s="2" t="s">
        <v>32</v>
      </c>
      <c r="AA525" s="2" t="s">
        <v>1660</v>
      </c>
      <c r="AB525" s="2">
        <v>0</v>
      </c>
      <c r="AC525" s="2" t="s">
        <v>1660</v>
      </c>
      <c r="AD525" s="2">
        <v>0</v>
      </c>
      <c r="AE525" s="2" t="s">
        <v>1660</v>
      </c>
      <c r="AF525" s="2">
        <v>0</v>
      </c>
      <c r="AG525" s="2">
        <v>0</v>
      </c>
      <c r="AH525" s="2" t="s">
        <v>32</v>
      </c>
      <c r="AI525" s="2" t="s">
        <v>32</v>
      </c>
      <c r="AJ525" s="2" t="s">
        <v>32</v>
      </c>
      <c r="AK525" s="2" t="s">
        <v>32</v>
      </c>
      <c r="AL525" s="2" t="s">
        <v>32</v>
      </c>
      <c r="AM525" s="2">
        <v>0</v>
      </c>
      <c r="AN525" s="2" t="s">
        <v>32</v>
      </c>
      <c r="AO525" s="2">
        <v>0</v>
      </c>
      <c r="AP525" s="2" t="s">
        <v>32</v>
      </c>
      <c r="AQ525" s="2" t="s">
        <v>32</v>
      </c>
      <c r="AR525" s="2" t="s">
        <v>32</v>
      </c>
      <c r="AS525" s="2">
        <v>0</v>
      </c>
      <c r="AT525" s="2" t="s">
        <v>32</v>
      </c>
      <c r="AU525" s="2" t="s">
        <v>32</v>
      </c>
      <c r="AV525" s="2" t="s">
        <v>32</v>
      </c>
      <c r="AW525" s="2">
        <v>0</v>
      </c>
      <c r="AX525" s="2" t="s">
        <v>32</v>
      </c>
      <c r="AY525" s="2">
        <v>0</v>
      </c>
      <c r="AZ525" s="2" t="s">
        <v>1660</v>
      </c>
      <c r="BA525" s="2">
        <v>0</v>
      </c>
      <c r="BB525" s="2">
        <v>0</v>
      </c>
      <c r="BC525" s="2" t="s">
        <v>32</v>
      </c>
      <c r="BD525" s="2">
        <v>0</v>
      </c>
      <c r="BE525" s="2" t="s">
        <v>32</v>
      </c>
      <c r="BF525" s="2">
        <v>0</v>
      </c>
      <c r="BG525" s="2" t="s">
        <v>32</v>
      </c>
      <c r="BH525" s="2">
        <v>0</v>
      </c>
      <c r="BI525" s="2" t="s">
        <v>32</v>
      </c>
      <c r="BJ525" s="2" t="s">
        <v>32</v>
      </c>
      <c r="BK525" s="2" t="s">
        <v>32</v>
      </c>
      <c r="BL525" s="2">
        <v>0</v>
      </c>
      <c r="BM525" s="2" t="s">
        <v>32</v>
      </c>
      <c r="BN525" s="2" t="s">
        <v>32</v>
      </c>
      <c r="BO525" s="2" t="s">
        <v>32</v>
      </c>
      <c r="BP525" s="2">
        <v>0</v>
      </c>
      <c r="BQ525" s="2" t="s">
        <v>32</v>
      </c>
      <c r="BR525" s="2">
        <v>0</v>
      </c>
      <c r="BS525" s="2" t="s">
        <v>1660</v>
      </c>
      <c r="BT525" s="2">
        <v>0</v>
      </c>
      <c r="BU525" s="2">
        <v>0</v>
      </c>
      <c r="BV525" s="2" t="s">
        <v>1660</v>
      </c>
      <c r="BW525" s="2"/>
      <c r="BX525" s="2"/>
      <c r="BY525" s="2" t="s">
        <v>1807</v>
      </c>
      <c r="BZ525" s="2" t="b">
        <f>OR( (Dashboard[[#This Row],[ref_as_hh]]&gt;=1),(Dashboard[[#This Row],[ret_as_hh]] &gt;=1), (Dashboard[[#This Row],[idp_as_hh]]&gt;=1))</f>
        <v>0</v>
      </c>
      <c r="CA525" s="2">
        <f>Dashboard[[#This Row],[ret_hi_hh]]</f>
        <v>0</v>
      </c>
      <c r="CB525" s="2">
        <f>Dashboard[[#This Row],[idp_fa_hh]]+Dashboard[[#This Row],[ref_fa_hh]]+Dashboard[[#This Row],[ret_fa_hh]]</f>
        <v>62</v>
      </c>
      <c r="CC525" s="2">
        <f>Dashboard[[#This Row],[idp_loc_hh]]+Dashboard[[#This Row],[ref_loc_hh]]+Dashboard[[#This Row],[ret_loc_hh]]</f>
        <v>17</v>
      </c>
      <c r="CD525" s="2">
        <f>Dashboard[[#This Row],[idp_cc_hh]]+Dashboard[[#This Row],[ref_cc_hh]]+Dashboard[[#This Row],[ret_cc_hh]]</f>
        <v>183</v>
      </c>
      <c r="CE525" s="2">
        <f>Dashboard[[#This Row],[idp_as_hh]]+Dashboard[[#This Row],[ref_as_hh]]+Dashboard[[#This Row],[ret_as_hh]]</f>
        <v>0</v>
      </c>
      <c r="CF525" s="2">
        <f>Dashboard[[#This Row],[idp_al_hh]]+Dashboard[[#This Row],[ref_al_hh]]+Dashboard[[#This Row],[ret_al_hh]]</f>
        <v>0</v>
      </c>
    </row>
    <row r="526" spans="1:84" hidden="1" x14ac:dyDescent="0.25">
      <c r="A526" s="27">
        <v>177</v>
      </c>
      <c r="B526" s="2" t="s">
        <v>22</v>
      </c>
      <c r="C526" s="2" t="s">
        <v>23</v>
      </c>
      <c r="D526" s="2" t="s">
        <v>184</v>
      </c>
      <c r="E526" s="2" t="s">
        <v>183</v>
      </c>
      <c r="F526" s="2" t="s">
        <v>213</v>
      </c>
      <c r="G526" s="2" t="s">
        <v>212</v>
      </c>
      <c r="H526" s="2" t="s">
        <v>2033</v>
      </c>
      <c r="I526" s="2" t="s">
        <v>2034</v>
      </c>
      <c r="J526" s="2" t="s">
        <v>3276</v>
      </c>
      <c r="K526" s="2" t="s">
        <v>3277</v>
      </c>
      <c r="L526" s="2" t="s">
        <v>2074</v>
      </c>
      <c r="M526" s="2">
        <v>1500</v>
      </c>
      <c r="N526" s="2" t="s">
        <v>1658</v>
      </c>
      <c r="O526" s="2">
        <v>10</v>
      </c>
      <c r="P526" s="2">
        <v>50</v>
      </c>
      <c r="Q526" s="2" t="s">
        <v>1658</v>
      </c>
      <c r="R526" s="2">
        <v>10</v>
      </c>
      <c r="S526" s="2" t="s">
        <v>1660</v>
      </c>
      <c r="T526" s="2">
        <v>0</v>
      </c>
      <c r="U526" s="2" t="s">
        <v>32</v>
      </c>
      <c r="V526" s="2" t="s">
        <v>32</v>
      </c>
      <c r="W526" s="2" t="s">
        <v>1660</v>
      </c>
      <c r="X526" s="2">
        <v>0</v>
      </c>
      <c r="Y526" s="2" t="s">
        <v>32</v>
      </c>
      <c r="Z526" s="2" t="s">
        <v>32</v>
      </c>
      <c r="AA526" s="2" t="s">
        <v>1660</v>
      </c>
      <c r="AB526" s="2">
        <v>0</v>
      </c>
      <c r="AC526" s="2" t="s">
        <v>1660</v>
      </c>
      <c r="AD526" s="2">
        <v>0</v>
      </c>
      <c r="AE526" s="2" t="s">
        <v>1660</v>
      </c>
      <c r="AF526" s="2">
        <v>0</v>
      </c>
      <c r="AG526" s="2">
        <v>0</v>
      </c>
      <c r="AH526" s="2" t="s">
        <v>32</v>
      </c>
      <c r="AI526" s="2" t="s">
        <v>32</v>
      </c>
      <c r="AJ526" s="2" t="s">
        <v>32</v>
      </c>
      <c r="AK526" s="2" t="s">
        <v>32</v>
      </c>
      <c r="AL526" s="2" t="s">
        <v>32</v>
      </c>
      <c r="AM526" s="2">
        <v>0</v>
      </c>
      <c r="AN526" s="2" t="s">
        <v>32</v>
      </c>
      <c r="AO526" s="2">
        <v>0</v>
      </c>
      <c r="AP526" s="2" t="s">
        <v>32</v>
      </c>
      <c r="AQ526" s="2" t="s">
        <v>32</v>
      </c>
      <c r="AR526" s="2" t="s">
        <v>32</v>
      </c>
      <c r="AS526" s="2">
        <v>0</v>
      </c>
      <c r="AT526" s="2" t="s">
        <v>32</v>
      </c>
      <c r="AU526" s="2" t="s">
        <v>32</v>
      </c>
      <c r="AV526" s="2" t="s">
        <v>32</v>
      </c>
      <c r="AW526" s="2">
        <v>0</v>
      </c>
      <c r="AX526" s="2" t="s">
        <v>32</v>
      </c>
      <c r="AY526" s="2">
        <v>0</v>
      </c>
      <c r="AZ526" s="2" t="s">
        <v>1658</v>
      </c>
      <c r="BA526" s="2">
        <v>70</v>
      </c>
      <c r="BB526" s="2">
        <v>350</v>
      </c>
      <c r="BC526" s="2" t="s">
        <v>1658</v>
      </c>
      <c r="BD526" s="2">
        <v>70</v>
      </c>
      <c r="BE526" s="2" t="s">
        <v>1660</v>
      </c>
      <c r="BF526" s="2">
        <v>0</v>
      </c>
      <c r="BG526" s="2" t="s">
        <v>1660</v>
      </c>
      <c r="BH526" s="2">
        <v>0</v>
      </c>
      <c r="BI526" s="2" t="s">
        <v>32</v>
      </c>
      <c r="BJ526" s="2" t="s">
        <v>32</v>
      </c>
      <c r="BK526" s="2" t="s">
        <v>1660</v>
      </c>
      <c r="BL526" s="2">
        <v>0</v>
      </c>
      <c r="BM526" s="2" t="s">
        <v>32</v>
      </c>
      <c r="BN526" s="2" t="s">
        <v>32</v>
      </c>
      <c r="BO526" s="2" t="s">
        <v>1660</v>
      </c>
      <c r="BP526" s="2">
        <v>0</v>
      </c>
      <c r="BQ526" s="2" t="s">
        <v>1660</v>
      </c>
      <c r="BR526" s="2">
        <v>0</v>
      </c>
      <c r="BS526" s="2" t="s">
        <v>1660</v>
      </c>
      <c r="BT526" s="2">
        <v>0</v>
      </c>
      <c r="BU526" s="2">
        <v>0</v>
      </c>
      <c r="BV526" s="2" t="s">
        <v>1660</v>
      </c>
      <c r="BW526" s="2"/>
      <c r="BX526" s="2"/>
      <c r="BY526" s="2" t="s">
        <v>1807</v>
      </c>
      <c r="BZ526" s="2" t="b">
        <f>OR( (Dashboard[[#This Row],[ref_as_hh]]&gt;=1),(Dashboard[[#This Row],[ret_as_hh]] &gt;=1), (Dashboard[[#This Row],[idp_as_hh]]&gt;=1))</f>
        <v>0</v>
      </c>
      <c r="CA526" s="2">
        <f>Dashboard[[#This Row],[ret_hi_hh]]</f>
        <v>70</v>
      </c>
      <c r="CB526" s="2">
        <f>Dashboard[[#This Row],[idp_fa_hh]]+Dashboard[[#This Row],[ref_fa_hh]]+Dashboard[[#This Row],[ret_fa_hh]]</f>
        <v>10</v>
      </c>
      <c r="CC526" s="2">
        <f>Dashboard[[#This Row],[idp_loc_hh]]+Dashboard[[#This Row],[ref_loc_hh]]+Dashboard[[#This Row],[ret_loc_hh]]</f>
        <v>0</v>
      </c>
      <c r="CD526" s="2">
        <f>Dashboard[[#This Row],[idp_cc_hh]]+Dashboard[[#This Row],[ref_cc_hh]]+Dashboard[[#This Row],[ret_cc_hh]]</f>
        <v>0</v>
      </c>
      <c r="CE526" s="2">
        <f>Dashboard[[#This Row],[idp_as_hh]]+Dashboard[[#This Row],[ref_as_hh]]+Dashboard[[#This Row],[ret_as_hh]]</f>
        <v>0</v>
      </c>
      <c r="CF526" s="2">
        <f>Dashboard[[#This Row],[idp_al_hh]]+Dashboard[[#This Row],[ref_al_hh]]+Dashboard[[#This Row],[ret_al_hh]]</f>
        <v>0</v>
      </c>
    </row>
    <row r="527" spans="1:84" hidden="1" x14ac:dyDescent="0.25">
      <c r="A527" s="27">
        <v>194</v>
      </c>
      <c r="B527" s="2" t="s">
        <v>22</v>
      </c>
      <c r="C527" s="2" t="s">
        <v>23</v>
      </c>
      <c r="D527" s="2" t="s">
        <v>184</v>
      </c>
      <c r="E527" s="2" t="s">
        <v>183</v>
      </c>
      <c r="F527" s="2" t="s">
        <v>213</v>
      </c>
      <c r="G527" s="2" t="s">
        <v>212</v>
      </c>
      <c r="H527" s="2" t="s">
        <v>2031</v>
      </c>
      <c r="I527" s="2" t="s">
        <v>2032</v>
      </c>
      <c r="J527" s="2" t="s">
        <v>3274</v>
      </c>
      <c r="K527" s="2" t="s">
        <v>3275</v>
      </c>
      <c r="L527" s="2" t="s">
        <v>2074</v>
      </c>
      <c r="M527" s="2">
        <v>2500</v>
      </c>
      <c r="N527" s="2" t="s">
        <v>1658</v>
      </c>
      <c r="O527" s="2">
        <v>12</v>
      </c>
      <c r="P527" s="2">
        <v>60</v>
      </c>
      <c r="Q527" s="2" t="s">
        <v>1658</v>
      </c>
      <c r="R527" s="2">
        <v>12</v>
      </c>
      <c r="S527" s="2" t="s">
        <v>1660</v>
      </c>
      <c r="T527" s="2">
        <v>0</v>
      </c>
      <c r="U527" s="2" t="s">
        <v>32</v>
      </c>
      <c r="V527" s="2" t="s">
        <v>32</v>
      </c>
      <c r="W527" s="2" t="s">
        <v>1660</v>
      </c>
      <c r="X527" s="2">
        <v>0</v>
      </c>
      <c r="Y527" s="2" t="s">
        <v>32</v>
      </c>
      <c r="Z527" s="2" t="s">
        <v>32</v>
      </c>
      <c r="AA527" s="2" t="s">
        <v>1660</v>
      </c>
      <c r="AB527" s="2">
        <v>0</v>
      </c>
      <c r="AC527" s="2" t="s">
        <v>1660</v>
      </c>
      <c r="AD527" s="2">
        <v>0</v>
      </c>
      <c r="AE527" s="2" t="s">
        <v>1660</v>
      </c>
      <c r="AF527" s="2">
        <v>0</v>
      </c>
      <c r="AG527" s="2">
        <v>0</v>
      </c>
      <c r="AH527" s="2" t="s">
        <v>32</v>
      </c>
      <c r="AI527" s="2" t="s">
        <v>32</v>
      </c>
      <c r="AJ527" s="2" t="s">
        <v>32</v>
      </c>
      <c r="AK527" s="2" t="s">
        <v>32</v>
      </c>
      <c r="AL527" s="2" t="s">
        <v>32</v>
      </c>
      <c r="AM527" s="2">
        <v>0</v>
      </c>
      <c r="AN527" s="2" t="s">
        <v>32</v>
      </c>
      <c r="AO527" s="2">
        <v>0</v>
      </c>
      <c r="AP527" s="2" t="s">
        <v>32</v>
      </c>
      <c r="AQ527" s="2" t="s">
        <v>32</v>
      </c>
      <c r="AR527" s="2" t="s">
        <v>32</v>
      </c>
      <c r="AS527" s="2">
        <v>0</v>
      </c>
      <c r="AT527" s="2" t="s">
        <v>32</v>
      </c>
      <c r="AU527" s="2" t="s">
        <v>32</v>
      </c>
      <c r="AV527" s="2" t="s">
        <v>32</v>
      </c>
      <c r="AW527" s="2">
        <v>0</v>
      </c>
      <c r="AX527" s="2" t="s">
        <v>32</v>
      </c>
      <c r="AY527" s="2">
        <v>0</v>
      </c>
      <c r="AZ527" s="2" t="s">
        <v>1658</v>
      </c>
      <c r="BA527" s="2">
        <v>90</v>
      </c>
      <c r="BB527" s="2">
        <v>450</v>
      </c>
      <c r="BC527" s="2" t="s">
        <v>1658</v>
      </c>
      <c r="BD527" s="2">
        <v>90</v>
      </c>
      <c r="BE527" s="2" t="s">
        <v>1660</v>
      </c>
      <c r="BF527" s="2">
        <v>0</v>
      </c>
      <c r="BG527" s="2" t="s">
        <v>1660</v>
      </c>
      <c r="BH527" s="2">
        <v>0</v>
      </c>
      <c r="BI527" s="2" t="s">
        <v>32</v>
      </c>
      <c r="BJ527" s="2" t="s">
        <v>32</v>
      </c>
      <c r="BK527" s="2" t="s">
        <v>1660</v>
      </c>
      <c r="BL527" s="2">
        <v>0</v>
      </c>
      <c r="BM527" s="2" t="s">
        <v>32</v>
      </c>
      <c r="BN527" s="2" t="s">
        <v>32</v>
      </c>
      <c r="BO527" s="2" t="s">
        <v>1660</v>
      </c>
      <c r="BP527" s="2">
        <v>0</v>
      </c>
      <c r="BQ527" s="2" t="s">
        <v>1660</v>
      </c>
      <c r="BR527" s="2">
        <v>0</v>
      </c>
      <c r="BS527" s="2" t="s">
        <v>1660</v>
      </c>
      <c r="BT527" s="2">
        <v>0</v>
      </c>
      <c r="BU527" s="2">
        <v>0</v>
      </c>
      <c r="BV527" s="2" t="s">
        <v>1660</v>
      </c>
      <c r="BW527" s="2"/>
      <c r="BX527" s="2"/>
      <c r="BY527" s="2" t="s">
        <v>1807</v>
      </c>
      <c r="BZ527" s="2" t="b">
        <f>OR( (Dashboard[[#This Row],[ref_as_hh]]&gt;=1),(Dashboard[[#This Row],[ret_as_hh]] &gt;=1), (Dashboard[[#This Row],[idp_as_hh]]&gt;=1))</f>
        <v>0</v>
      </c>
      <c r="CA527" s="2">
        <f>Dashboard[[#This Row],[ret_hi_hh]]</f>
        <v>90</v>
      </c>
      <c r="CB527" s="2">
        <f>Dashboard[[#This Row],[idp_fa_hh]]+Dashboard[[#This Row],[ref_fa_hh]]+Dashboard[[#This Row],[ret_fa_hh]]</f>
        <v>12</v>
      </c>
      <c r="CC527" s="2">
        <f>Dashboard[[#This Row],[idp_loc_hh]]+Dashboard[[#This Row],[ref_loc_hh]]+Dashboard[[#This Row],[ret_loc_hh]]</f>
        <v>0</v>
      </c>
      <c r="CD527" s="2">
        <f>Dashboard[[#This Row],[idp_cc_hh]]+Dashboard[[#This Row],[ref_cc_hh]]+Dashboard[[#This Row],[ret_cc_hh]]</f>
        <v>0</v>
      </c>
      <c r="CE527" s="2">
        <f>Dashboard[[#This Row],[idp_as_hh]]+Dashboard[[#This Row],[ref_as_hh]]+Dashboard[[#This Row],[ret_as_hh]]</f>
        <v>0</v>
      </c>
      <c r="CF527" s="2">
        <f>Dashboard[[#This Row],[idp_al_hh]]+Dashboard[[#This Row],[ref_al_hh]]+Dashboard[[#This Row],[ret_al_hh]]</f>
        <v>0</v>
      </c>
    </row>
    <row r="528" spans="1:84" x14ac:dyDescent="0.25">
      <c r="A528" s="27">
        <v>520</v>
      </c>
      <c r="B528" s="2" t="s">
        <v>22</v>
      </c>
      <c r="C528" s="2" t="s">
        <v>23</v>
      </c>
      <c r="D528" s="2" t="s">
        <v>184</v>
      </c>
      <c r="E528" s="2" t="s">
        <v>183</v>
      </c>
      <c r="F528" s="2" t="s">
        <v>203</v>
      </c>
      <c r="G528" s="2" t="s">
        <v>202</v>
      </c>
      <c r="H528" s="2" t="s">
        <v>1564</v>
      </c>
      <c r="I528" s="2" t="s">
        <v>671</v>
      </c>
      <c r="J528" s="2" t="s">
        <v>3232</v>
      </c>
      <c r="K528" s="2" t="s">
        <v>3233</v>
      </c>
      <c r="L528" s="2" t="s">
        <v>3693</v>
      </c>
      <c r="M528" s="2">
        <v>1220</v>
      </c>
      <c r="N528" s="2" t="s">
        <v>1660</v>
      </c>
      <c r="O528" s="2">
        <v>0</v>
      </c>
      <c r="P528" s="2">
        <v>0</v>
      </c>
      <c r="Q528" s="2" t="s">
        <v>32</v>
      </c>
      <c r="R528" s="2">
        <v>0</v>
      </c>
      <c r="S528" s="2" t="s">
        <v>32</v>
      </c>
      <c r="T528" s="2">
        <v>0</v>
      </c>
      <c r="U528" s="2" t="s">
        <v>32</v>
      </c>
      <c r="V528" s="2" t="s">
        <v>32</v>
      </c>
      <c r="W528" s="2" t="s">
        <v>32</v>
      </c>
      <c r="X528" s="2">
        <v>0</v>
      </c>
      <c r="Y528" s="2" t="s">
        <v>32</v>
      </c>
      <c r="Z528" s="2" t="s">
        <v>32</v>
      </c>
      <c r="AA528" s="2" t="s">
        <v>32</v>
      </c>
      <c r="AB528" s="2">
        <v>0</v>
      </c>
      <c r="AC528" s="2" t="s">
        <v>32</v>
      </c>
      <c r="AD528" s="2">
        <v>0</v>
      </c>
      <c r="AE528" s="2" t="s">
        <v>1660</v>
      </c>
      <c r="AF528" s="2">
        <v>0</v>
      </c>
      <c r="AG528" s="2">
        <v>0</v>
      </c>
      <c r="AH528" s="2" t="s">
        <v>32</v>
      </c>
      <c r="AI528" s="2" t="s">
        <v>32</v>
      </c>
      <c r="AJ528" s="2" t="s">
        <v>32</v>
      </c>
      <c r="AK528" s="2" t="s">
        <v>32</v>
      </c>
      <c r="AL528" s="2" t="s">
        <v>32</v>
      </c>
      <c r="AM528" s="2">
        <v>0</v>
      </c>
      <c r="AN528" s="2" t="s">
        <v>32</v>
      </c>
      <c r="AO528" s="2">
        <v>0</v>
      </c>
      <c r="AP528" s="2" t="s">
        <v>32</v>
      </c>
      <c r="AQ528" s="2" t="s">
        <v>32</v>
      </c>
      <c r="AR528" s="2" t="s">
        <v>32</v>
      </c>
      <c r="AS528" s="2">
        <v>0</v>
      </c>
      <c r="AT528" s="2" t="s">
        <v>32</v>
      </c>
      <c r="AU528" s="2" t="s">
        <v>32</v>
      </c>
      <c r="AV528" s="2" t="s">
        <v>32</v>
      </c>
      <c r="AW528" s="2">
        <v>0</v>
      </c>
      <c r="AX528" s="2" t="s">
        <v>32</v>
      </c>
      <c r="AY528" s="2">
        <v>0</v>
      </c>
      <c r="AZ528" s="2" t="s">
        <v>1658</v>
      </c>
      <c r="BA528" s="2">
        <v>50</v>
      </c>
      <c r="BB528" s="2">
        <v>281</v>
      </c>
      <c r="BC528" s="2" t="s">
        <v>1660</v>
      </c>
      <c r="BD528" s="2">
        <v>0</v>
      </c>
      <c r="BE528" s="2" t="s">
        <v>1658</v>
      </c>
      <c r="BF528" s="2">
        <v>47</v>
      </c>
      <c r="BG528" s="2" t="s">
        <v>1660</v>
      </c>
      <c r="BH528" s="2">
        <v>0</v>
      </c>
      <c r="BI528" s="2" t="s">
        <v>32</v>
      </c>
      <c r="BJ528" s="2" t="s">
        <v>32</v>
      </c>
      <c r="BK528" s="2" t="s">
        <v>1660</v>
      </c>
      <c r="BL528" s="2">
        <v>0</v>
      </c>
      <c r="BM528" s="2" t="s">
        <v>32</v>
      </c>
      <c r="BN528" s="2" t="s">
        <v>32</v>
      </c>
      <c r="BO528" s="2" t="s">
        <v>1658</v>
      </c>
      <c r="BP528" s="2">
        <v>3</v>
      </c>
      <c r="BQ528" s="2" t="s">
        <v>1660</v>
      </c>
      <c r="BR528" s="2">
        <v>0</v>
      </c>
      <c r="BS528" s="2" t="s">
        <v>1660</v>
      </c>
      <c r="BT528" s="2">
        <v>0</v>
      </c>
      <c r="BU528" s="2">
        <v>0</v>
      </c>
      <c r="BV528" s="2" t="s">
        <v>1660</v>
      </c>
      <c r="BW528" s="2"/>
      <c r="BX528" s="2"/>
      <c r="BY528" s="2" t="s">
        <v>1807</v>
      </c>
      <c r="BZ528" s="2" t="b">
        <f>OR( (Dashboard[[#This Row],[ref_as_hh]]&gt;=1),(Dashboard[[#This Row],[ret_as_hh]] &gt;=1), (Dashboard[[#This Row],[idp_as_hh]]&gt;=1))</f>
        <v>1</v>
      </c>
      <c r="CA528" s="2">
        <f>Dashboard[[#This Row],[ret_hi_hh]]</f>
        <v>0</v>
      </c>
      <c r="CB528" s="2">
        <f>Dashboard[[#This Row],[idp_fa_hh]]+Dashboard[[#This Row],[ref_fa_hh]]+Dashboard[[#This Row],[ret_fa_hh]]</f>
        <v>47</v>
      </c>
      <c r="CC528" s="2">
        <f>Dashboard[[#This Row],[idp_loc_hh]]+Dashboard[[#This Row],[ref_loc_hh]]+Dashboard[[#This Row],[ret_loc_hh]]</f>
        <v>0</v>
      </c>
      <c r="CD528" s="2">
        <f>Dashboard[[#This Row],[idp_cc_hh]]+Dashboard[[#This Row],[ref_cc_hh]]+Dashboard[[#This Row],[ret_cc_hh]]</f>
        <v>0</v>
      </c>
      <c r="CE528" s="2">
        <f>Dashboard[[#This Row],[idp_as_hh]]+Dashboard[[#This Row],[ref_as_hh]]+Dashboard[[#This Row],[ret_as_hh]]</f>
        <v>3</v>
      </c>
      <c r="CF528" s="2">
        <f>Dashboard[[#This Row],[idp_al_hh]]+Dashboard[[#This Row],[ref_al_hh]]+Dashboard[[#This Row],[ret_al_hh]]</f>
        <v>0</v>
      </c>
    </row>
    <row r="529" spans="1:84" hidden="1" x14ac:dyDescent="0.25">
      <c r="A529" s="27">
        <v>534</v>
      </c>
      <c r="B529" s="2" t="s">
        <v>22</v>
      </c>
      <c r="C529" s="2" t="s">
        <v>23</v>
      </c>
      <c r="D529" s="2" t="s">
        <v>184</v>
      </c>
      <c r="E529" s="2" t="s">
        <v>183</v>
      </c>
      <c r="F529" s="2" t="s">
        <v>203</v>
      </c>
      <c r="G529" s="2" t="s">
        <v>202</v>
      </c>
      <c r="H529" s="2" t="s">
        <v>1336</v>
      </c>
      <c r="I529" s="2" t="s">
        <v>204</v>
      </c>
      <c r="J529" s="2" t="s">
        <v>3240</v>
      </c>
      <c r="K529" s="2" t="s">
        <v>3241</v>
      </c>
      <c r="L529" s="2" t="s">
        <v>2074</v>
      </c>
      <c r="M529" s="2">
        <v>2200</v>
      </c>
      <c r="N529" s="2" t="s">
        <v>1658</v>
      </c>
      <c r="O529" s="2">
        <v>7</v>
      </c>
      <c r="P529" s="2">
        <v>33</v>
      </c>
      <c r="Q529" s="2" t="s">
        <v>1658</v>
      </c>
      <c r="R529" s="2">
        <v>7</v>
      </c>
      <c r="S529" s="2" t="s">
        <v>1660</v>
      </c>
      <c r="T529" s="2">
        <v>0</v>
      </c>
      <c r="U529" s="2" t="s">
        <v>32</v>
      </c>
      <c r="V529" s="2" t="s">
        <v>32</v>
      </c>
      <c r="W529" s="2" t="s">
        <v>1660</v>
      </c>
      <c r="X529" s="2">
        <v>0</v>
      </c>
      <c r="Y529" s="2" t="s">
        <v>32</v>
      </c>
      <c r="Z529" s="2" t="s">
        <v>32</v>
      </c>
      <c r="AA529" s="2" t="s">
        <v>1660</v>
      </c>
      <c r="AB529" s="2">
        <v>0</v>
      </c>
      <c r="AC529" s="2" t="s">
        <v>1660</v>
      </c>
      <c r="AD529" s="2">
        <v>0</v>
      </c>
      <c r="AE529" s="2" t="s">
        <v>1660</v>
      </c>
      <c r="AF529" s="2">
        <v>0</v>
      </c>
      <c r="AG529" s="2">
        <v>0</v>
      </c>
      <c r="AH529" s="2" t="s">
        <v>32</v>
      </c>
      <c r="AI529" s="2" t="s">
        <v>32</v>
      </c>
      <c r="AJ529" s="2" t="s">
        <v>32</v>
      </c>
      <c r="AK529" s="2" t="s">
        <v>32</v>
      </c>
      <c r="AL529" s="2" t="s">
        <v>32</v>
      </c>
      <c r="AM529" s="2">
        <v>0</v>
      </c>
      <c r="AN529" s="2" t="s">
        <v>32</v>
      </c>
      <c r="AO529" s="2">
        <v>0</v>
      </c>
      <c r="AP529" s="2" t="s">
        <v>32</v>
      </c>
      <c r="AQ529" s="2" t="s">
        <v>32</v>
      </c>
      <c r="AR529" s="2" t="s">
        <v>32</v>
      </c>
      <c r="AS529" s="2">
        <v>0</v>
      </c>
      <c r="AT529" s="2" t="s">
        <v>32</v>
      </c>
      <c r="AU529" s="2" t="s">
        <v>32</v>
      </c>
      <c r="AV529" s="2" t="s">
        <v>32</v>
      </c>
      <c r="AW529" s="2">
        <v>0</v>
      </c>
      <c r="AX529" s="2" t="s">
        <v>32</v>
      </c>
      <c r="AY529" s="2">
        <v>0</v>
      </c>
      <c r="AZ529" s="2" t="s">
        <v>1658</v>
      </c>
      <c r="BA529" s="2">
        <v>18</v>
      </c>
      <c r="BB529" s="2">
        <v>227</v>
      </c>
      <c r="BC529" s="2" t="s">
        <v>1658</v>
      </c>
      <c r="BD529" s="2">
        <v>18</v>
      </c>
      <c r="BE529" s="2" t="s">
        <v>1660</v>
      </c>
      <c r="BF529" s="2">
        <v>0</v>
      </c>
      <c r="BG529" s="2" t="s">
        <v>1660</v>
      </c>
      <c r="BH529" s="2">
        <v>0</v>
      </c>
      <c r="BI529" s="2" t="s">
        <v>32</v>
      </c>
      <c r="BJ529" s="2" t="s">
        <v>32</v>
      </c>
      <c r="BK529" s="2" t="s">
        <v>1660</v>
      </c>
      <c r="BL529" s="2">
        <v>0</v>
      </c>
      <c r="BM529" s="2" t="s">
        <v>32</v>
      </c>
      <c r="BN529" s="2" t="s">
        <v>32</v>
      </c>
      <c r="BO529" s="2" t="s">
        <v>1660</v>
      </c>
      <c r="BP529" s="2">
        <v>0</v>
      </c>
      <c r="BQ529" s="2" t="s">
        <v>1660</v>
      </c>
      <c r="BR529" s="2">
        <v>0</v>
      </c>
      <c r="BS529" s="2" t="s">
        <v>1660</v>
      </c>
      <c r="BT529" s="2">
        <v>0</v>
      </c>
      <c r="BU529" s="2">
        <v>0</v>
      </c>
      <c r="BV529" s="2" t="s">
        <v>1660</v>
      </c>
      <c r="BW529" s="2"/>
      <c r="BX529" s="2"/>
      <c r="BY529" s="2" t="s">
        <v>1807</v>
      </c>
      <c r="BZ529" s="2" t="b">
        <f>OR( (Dashboard[[#This Row],[ref_as_hh]]&gt;=1),(Dashboard[[#This Row],[ret_as_hh]] &gt;=1), (Dashboard[[#This Row],[idp_as_hh]]&gt;=1))</f>
        <v>0</v>
      </c>
      <c r="CA529" s="2">
        <f>Dashboard[[#This Row],[ret_hi_hh]]</f>
        <v>18</v>
      </c>
      <c r="CB529" s="2">
        <f>Dashboard[[#This Row],[idp_fa_hh]]+Dashboard[[#This Row],[ref_fa_hh]]+Dashboard[[#This Row],[ret_fa_hh]]</f>
        <v>7</v>
      </c>
      <c r="CC529" s="2">
        <f>Dashboard[[#This Row],[idp_loc_hh]]+Dashboard[[#This Row],[ref_loc_hh]]+Dashboard[[#This Row],[ret_loc_hh]]</f>
        <v>0</v>
      </c>
      <c r="CD529" s="2">
        <f>Dashboard[[#This Row],[idp_cc_hh]]+Dashboard[[#This Row],[ref_cc_hh]]+Dashboard[[#This Row],[ret_cc_hh]]</f>
        <v>0</v>
      </c>
      <c r="CE529" s="2">
        <f>Dashboard[[#This Row],[idp_as_hh]]+Dashboard[[#This Row],[ref_as_hh]]+Dashboard[[#This Row],[ret_as_hh]]</f>
        <v>0</v>
      </c>
      <c r="CF529" s="2">
        <f>Dashboard[[#This Row],[idp_al_hh]]+Dashboard[[#This Row],[ref_al_hh]]+Dashboard[[#This Row],[ret_al_hh]]</f>
        <v>0</v>
      </c>
    </row>
    <row r="530" spans="1:84" hidden="1" x14ac:dyDescent="0.25">
      <c r="A530" s="27">
        <v>309</v>
      </c>
      <c r="B530" s="2" t="s">
        <v>22</v>
      </c>
      <c r="C530" s="2" t="s">
        <v>23</v>
      </c>
      <c r="D530" s="2" t="s">
        <v>184</v>
      </c>
      <c r="E530" s="2" t="s">
        <v>183</v>
      </c>
      <c r="F530" s="2" t="s">
        <v>203</v>
      </c>
      <c r="G530" s="2" t="s">
        <v>202</v>
      </c>
      <c r="H530" s="2" t="s">
        <v>1567</v>
      </c>
      <c r="I530" s="2" t="s">
        <v>673</v>
      </c>
      <c r="J530" s="2" t="s">
        <v>3238</v>
      </c>
      <c r="K530" s="2" t="s">
        <v>3239</v>
      </c>
      <c r="L530" s="2" t="s">
        <v>2074</v>
      </c>
      <c r="M530" s="2">
        <v>1500</v>
      </c>
      <c r="N530" s="2" t="s">
        <v>1660</v>
      </c>
      <c r="O530" s="2">
        <v>0</v>
      </c>
      <c r="P530" s="2">
        <v>0</v>
      </c>
      <c r="Q530" s="2" t="s">
        <v>32</v>
      </c>
      <c r="R530" s="2">
        <v>0</v>
      </c>
      <c r="S530" s="2" t="s">
        <v>32</v>
      </c>
      <c r="T530" s="2">
        <v>0</v>
      </c>
      <c r="U530" s="2" t="s">
        <v>32</v>
      </c>
      <c r="V530" s="2" t="s">
        <v>32</v>
      </c>
      <c r="W530" s="2" t="s">
        <v>32</v>
      </c>
      <c r="X530" s="2">
        <v>0</v>
      </c>
      <c r="Y530" s="2" t="s">
        <v>32</v>
      </c>
      <c r="Z530" s="2" t="s">
        <v>32</v>
      </c>
      <c r="AA530" s="2" t="s">
        <v>32</v>
      </c>
      <c r="AB530" s="2">
        <v>0</v>
      </c>
      <c r="AC530" s="2" t="s">
        <v>32</v>
      </c>
      <c r="AD530" s="2">
        <v>0</v>
      </c>
      <c r="AE530" s="2" t="s">
        <v>1660</v>
      </c>
      <c r="AF530" s="2">
        <v>0</v>
      </c>
      <c r="AG530" s="2">
        <v>0</v>
      </c>
      <c r="AH530" s="2" t="s">
        <v>32</v>
      </c>
      <c r="AI530" s="2" t="s">
        <v>32</v>
      </c>
      <c r="AJ530" s="2" t="s">
        <v>32</v>
      </c>
      <c r="AK530" s="2" t="s">
        <v>32</v>
      </c>
      <c r="AL530" s="2" t="s">
        <v>32</v>
      </c>
      <c r="AM530" s="2">
        <v>0</v>
      </c>
      <c r="AN530" s="2" t="s">
        <v>32</v>
      </c>
      <c r="AO530" s="2">
        <v>0</v>
      </c>
      <c r="AP530" s="2" t="s">
        <v>32</v>
      </c>
      <c r="AQ530" s="2" t="s">
        <v>32</v>
      </c>
      <c r="AR530" s="2" t="s">
        <v>32</v>
      </c>
      <c r="AS530" s="2">
        <v>0</v>
      </c>
      <c r="AT530" s="2" t="s">
        <v>32</v>
      </c>
      <c r="AU530" s="2" t="s">
        <v>32</v>
      </c>
      <c r="AV530" s="2" t="s">
        <v>32</v>
      </c>
      <c r="AW530" s="2">
        <v>0</v>
      </c>
      <c r="AX530" s="2" t="s">
        <v>32</v>
      </c>
      <c r="AY530" s="2">
        <v>0</v>
      </c>
      <c r="AZ530" s="2" t="s">
        <v>1658</v>
      </c>
      <c r="BA530" s="2">
        <v>20</v>
      </c>
      <c r="BB530" s="2">
        <v>200</v>
      </c>
      <c r="BC530" s="2" t="s">
        <v>1658</v>
      </c>
      <c r="BD530" s="2">
        <v>20</v>
      </c>
      <c r="BE530" s="2" t="s">
        <v>1660</v>
      </c>
      <c r="BF530" s="2">
        <v>0</v>
      </c>
      <c r="BG530" s="2" t="s">
        <v>1660</v>
      </c>
      <c r="BH530" s="2">
        <v>0</v>
      </c>
      <c r="BI530" s="2" t="s">
        <v>32</v>
      </c>
      <c r="BJ530" s="2" t="s">
        <v>32</v>
      </c>
      <c r="BK530" s="2" t="s">
        <v>1660</v>
      </c>
      <c r="BL530" s="2">
        <v>0</v>
      </c>
      <c r="BM530" s="2" t="s">
        <v>32</v>
      </c>
      <c r="BN530" s="2" t="s">
        <v>32</v>
      </c>
      <c r="BO530" s="2" t="s">
        <v>1660</v>
      </c>
      <c r="BP530" s="2">
        <v>0</v>
      </c>
      <c r="BQ530" s="2" t="s">
        <v>1660</v>
      </c>
      <c r="BR530" s="2">
        <v>0</v>
      </c>
      <c r="BS530" s="2" t="s">
        <v>1660</v>
      </c>
      <c r="BT530" s="2">
        <v>0</v>
      </c>
      <c r="BU530" s="2">
        <v>0</v>
      </c>
      <c r="BV530" s="2" t="s">
        <v>1660</v>
      </c>
      <c r="BW530" s="2"/>
      <c r="BX530" s="2"/>
      <c r="BY530" s="2" t="s">
        <v>1807</v>
      </c>
      <c r="BZ530" s="2" t="b">
        <f>OR( (Dashboard[[#This Row],[ref_as_hh]]&gt;=1),(Dashboard[[#This Row],[ret_as_hh]] &gt;=1), (Dashboard[[#This Row],[idp_as_hh]]&gt;=1))</f>
        <v>0</v>
      </c>
      <c r="CA530" s="2">
        <f>Dashboard[[#This Row],[ret_hi_hh]]</f>
        <v>20</v>
      </c>
      <c r="CB530" s="2">
        <f>Dashboard[[#This Row],[idp_fa_hh]]+Dashboard[[#This Row],[ref_fa_hh]]+Dashboard[[#This Row],[ret_fa_hh]]</f>
        <v>0</v>
      </c>
      <c r="CC530" s="2">
        <f>Dashboard[[#This Row],[idp_loc_hh]]+Dashboard[[#This Row],[ref_loc_hh]]+Dashboard[[#This Row],[ret_loc_hh]]</f>
        <v>0</v>
      </c>
      <c r="CD530" s="2">
        <f>Dashboard[[#This Row],[idp_cc_hh]]+Dashboard[[#This Row],[ref_cc_hh]]+Dashboard[[#This Row],[ret_cc_hh]]</f>
        <v>0</v>
      </c>
      <c r="CE530" s="2">
        <f>Dashboard[[#This Row],[idp_as_hh]]+Dashboard[[#This Row],[ref_as_hh]]+Dashboard[[#This Row],[ret_as_hh]]</f>
        <v>0</v>
      </c>
      <c r="CF530" s="2">
        <f>Dashboard[[#This Row],[idp_al_hh]]+Dashboard[[#This Row],[ref_al_hh]]+Dashboard[[#This Row],[ret_al_hh]]</f>
        <v>0</v>
      </c>
    </row>
    <row r="531" spans="1:84" hidden="1" x14ac:dyDescent="0.25">
      <c r="A531" s="27">
        <v>625</v>
      </c>
      <c r="B531" s="2" t="s">
        <v>22</v>
      </c>
      <c r="C531" s="2" t="s">
        <v>23</v>
      </c>
      <c r="D531" s="2" t="s">
        <v>184</v>
      </c>
      <c r="E531" s="2" t="s">
        <v>183</v>
      </c>
      <c r="F531" s="2" t="s">
        <v>203</v>
      </c>
      <c r="G531" s="2" t="s">
        <v>202</v>
      </c>
      <c r="H531" s="2" t="s">
        <v>1565</v>
      </c>
      <c r="I531" s="2" t="s">
        <v>704</v>
      </c>
      <c r="J531" s="2" t="s">
        <v>3234</v>
      </c>
      <c r="K531" s="2" t="s">
        <v>3235</v>
      </c>
      <c r="L531" s="2" t="s">
        <v>2074</v>
      </c>
      <c r="M531" s="2">
        <v>2300</v>
      </c>
      <c r="N531" s="2" t="s">
        <v>1660</v>
      </c>
      <c r="O531" s="2">
        <v>0</v>
      </c>
      <c r="P531" s="2">
        <v>0</v>
      </c>
      <c r="Q531" s="2" t="s">
        <v>32</v>
      </c>
      <c r="R531" s="2">
        <v>0</v>
      </c>
      <c r="S531" s="2" t="s">
        <v>32</v>
      </c>
      <c r="T531" s="2">
        <v>0</v>
      </c>
      <c r="U531" s="2" t="s">
        <v>32</v>
      </c>
      <c r="V531" s="2" t="s">
        <v>32</v>
      </c>
      <c r="W531" s="2" t="s">
        <v>32</v>
      </c>
      <c r="X531" s="2">
        <v>0</v>
      </c>
      <c r="Y531" s="2" t="s">
        <v>32</v>
      </c>
      <c r="Z531" s="2" t="s">
        <v>32</v>
      </c>
      <c r="AA531" s="2" t="s">
        <v>32</v>
      </c>
      <c r="AB531" s="2">
        <v>0</v>
      </c>
      <c r="AC531" s="2" t="s">
        <v>32</v>
      </c>
      <c r="AD531" s="2">
        <v>0</v>
      </c>
      <c r="AE531" s="2" t="s">
        <v>1660</v>
      </c>
      <c r="AF531" s="2">
        <v>0</v>
      </c>
      <c r="AG531" s="2">
        <v>0</v>
      </c>
      <c r="AH531" s="2" t="s">
        <v>32</v>
      </c>
      <c r="AI531" s="2" t="s">
        <v>32</v>
      </c>
      <c r="AJ531" s="2" t="s">
        <v>32</v>
      </c>
      <c r="AK531" s="2" t="s">
        <v>32</v>
      </c>
      <c r="AL531" s="2" t="s">
        <v>32</v>
      </c>
      <c r="AM531" s="2">
        <v>0</v>
      </c>
      <c r="AN531" s="2" t="s">
        <v>32</v>
      </c>
      <c r="AO531" s="2">
        <v>0</v>
      </c>
      <c r="AP531" s="2" t="s">
        <v>32</v>
      </c>
      <c r="AQ531" s="2" t="s">
        <v>32</v>
      </c>
      <c r="AR531" s="2" t="s">
        <v>32</v>
      </c>
      <c r="AS531" s="2">
        <v>0</v>
      </c>
      <c r="AT531" s="2" t="s">
        <v>32</v>
      </c>
      <c r="AU531" s="2" t="s">
        <v>32</v>
      </c>
      <c r="AV531" s="2" t="s">
        <v>32</v>
      </c>
      <c r="AW531" s="2">
        <v>0</v>
      </c>
      <c r="AX531" s="2" t="s">
        <v>32</v>
      </c>
      <c r="AY531" s="2">
        <v>0</v>
      </c>
      <c r="AZ531" s="2" t="s">
        <v>1658</v>
      </c>
      <c r="BA531" s="2">
        <v>60</v>
      </c>
      <c r="BB531" s="2">
        <v>300</v>
      </c>
      <c r="BC531" s="2" t="s">
        <v>1658</v>
      </c>
      <c r="BD531" s="2">
        <v>60</v>
      </c>
      <c r="BE531" s="2" t="s">
        <v>1660</v>
      </c>
      <c r="BF531" s="2">
        <v>0</v>
      </c>
      <c r="BG531" s="2" t="s">
        <v>1660</v>
      </c>
      <c r="BH531" s="2">
        <v>0</v>
      </c>
      <c r="BI531" s="2" t="s">
        <v>32</v>
      </c>
      <c r="BJ531" s="2" t="s">
        <v>32</v>
      </c>
      <c r="BK531" s="2" t="s">
        <v>1660</v>
      </c>
      <c r="BL531" s="2">
        <v>0</v>
      </c>
      <c r="BM531" s="2" t="s">
        <v>32</v>
      </c>
      <c r="BN531" s="2" t="s">
        <v>32</v>
      </c>
      <c r="BO531" s="2" t="s">
        <v>1660</v>
      </c>
      <c r="BP531" s="2">
        <v>0</v>
      </c>
      <c r="BQ531" s="2" t="s">
        <v>1660</v>
      </c>
      <c r="BR531" s="2">
        <v>0</v>
      </c>
      <c r="BS531" s="2" t="s">
        <v>1660</v>
      </c>
      <c r="BT531" s="2">
        <v>0</v>
      </c>
      <c r="BU531" s="2">
        <v>0</v>
      </c>
      <c r="BV531" s="2" t="s">
        <v>1660</v>
      </c>
      <c r="BW531" s="2"/>
      <c r="BX531" s="2"/>
      <c r="BY531" s="2" t="s">
        <v>1807</v>
      </c>
      <c r="BZ531" s="2" t="b">
        <f>OR( (Dashboard[[#This Row],[ref_as_hh]]&gt;=1),(Dashboard[[#This Row],[ret_as_hh]] &gt;=1), (Dashboard[[#This Row],[idp_as_hh]]&gt;=1))</f>
        <v>0</v>
      </c>
      <c r="CA531" s="2">
        <f>Dashboard[[#This Row],[ret_hi_hh]]</f>
        <v>60</v>
      </c>
      <c r="CB531" s="2">
        <f>Dashboard[[#This Row],[idp_fa_hh]]+Dashboard[[#This Row],[ref_fa_hh]]+Dashboard[[#This Row],[ret_fa_hh]]</f>
        <v>0</v>
      </c>
      <c r="CC531" s="2">
        <f>Dashboard[[#This Row],[idp_loc_hh]]+Dashboard[[#This Row],[ref_loc_hh]]+Dashboard[[#This Row],[ret_loc_hh]]</f>
        <v>0</v>
      </c>
      <c r="CD531" s="2">
        <f>Dashboard[[#This Row],[idp_cc_hh]]+Dashboard[[#This Row],[ref_cc_hh]]+Dashboard[[#This Row],[ret_cc_hh]]</f>
        <v>0</v>
      </c>
      <c r="CE531" s="2">
        <f>Dashboard[[#This Row],[idp_as_hh]]+Dashboard[[#This Row],[ref_as_hh]]+Dashboard[[#This Row],[ret_as_hh]]</f>
        <v>0</v>
      </c>
      <c r="CF531" s="2">
        <f>Dashboard[[#This Row],[idp_al_hh]]+Dashboard[[#This Row],[ref_al_hh]]+Dashboard[[#This Row],[ret_al_hh]]</f>
        <v>0</v>
      </c>
    </row>
    <row r="532" spans="1:84" hidden="1" x14ac:dyDescent="0.25">
      <c r="A532" s="27">
        <v>426</v>
      </c>
      <c r="B532" s="2" t="s">
        <v>22</v>
      </c>
      <c r="C532" s="2" t="s">
        <v>23</v>
      </c>
      <c r="D532" s="2" t="s">
        <v>184</v>
      </c>
      <c r="E532" s="2" t="s">
        <v>183</v>
      </c>
      <c r="F532" s="2" t="s">
        <v>203</v>
      </c>
      <c r="G532" s="2" t="s">
        <v>202</v>
      </c>
      <c r="H532" s="2" t="s">
        <v>1566</v>
      </c>
      <c r="I532" s="2" t="s">
        <v>672</v>
      </c>
      <c r="J532" s="2" t="s">
        <v>3236</v>
      </c>
      <c r="K532" s="2" t="s">
        <v>3237</v>
      </c>
      <c r="L532" s="2" t="s">
        <v>2074</v>
      </c>
      <c r="M532" s="2">
        <v>3020</v>
      </c>
      <c r="N532" s="2" t="s">
        <v>1660</v>
      </c>
      <c r="O532" s="2">
        <v>0</v>
      </c>
      <c r="P532" s="2">
        <v>0</v>
      </c>
      <c r="Q532" s="2" t="s">
        <v>32</v>
      </c>
      <c r="R532" s="2">
        <v>0</v>
      </c>
      <c r="S532" s="2" t="s">
        <v>32</v>
      </c>
      <c r="T532" s="2">
        <v>0</v>
      </c>
      <c r="U532" s="2" t="s">
        <v>32</v>
      </c>
      <c r="V532" s="2" t="s">
        <v>32</v>
      </c>
      <c r="W532" s="2" t="s">
        <v>32</v>
      </c>
      <c r="X532" s="2">
        <v>0</v>
      </c>
      <c r="Y532" s="2" t="s">
        <v>32</v>
      </c>
      <c r="Z532" s="2" t="s">
        <v>32</v>
      </c>
      <c r="AA532" s="2" t="s">
        <v>32</v>
      </c>
      <c r="AB532" s="2">
        <v>0</v>
      </c>
      <c r="AC532" s="2" t="s">
        <v>32</v>
      </c>
      <c r="AD532" s="2">
        <v>0</v>
      </c>
      <c r="AE532" s="2" t="s">
        <v>1660</v>
      </c>
      <c r="AF532" s="2">
        <v>0</v>
      </c>
      <c r="AG532" s="2">
        <v>0</v>
      </c>
      <c r="AH532" s="2" t="s">
        <v>32</v>
      </c>
      <c r="AI532" s="2" t="s">
        <v>32</v>
      </c>
      <c r="AJ532" s="2" t="s">
        <v>32</v>
      </c>
      <c r="AK532" s="2" t="s">
        <v>32</v>
      </c>
      <c r="AL532" s="2" t="s">
        <v>32</v>
      </c>
      <c r="AM532" s="2">
        <v>0</v>
      </c>
      <c r="AN532" s="2" t="s">
        <v>32</v>
      </c>
      <c r="AO532" s="2">
        <v>0</v>
      </c>
      <c r="AP532" s="2" t="s">
        <v>32</v>
      </c>
      <c r="AQ532" s="2" t="s">
        <v>32</v>
      </c>
      <c r="AR532" s="2" t="s">
        <v>32</v>
      </c>
      <c r="AS532" s="2">
        <v>0</v>
      </c>
      <c r="AT532" s="2" t="s">
        <v>32</v>
      </c>
      <c r="AU532" s="2" t="s">
        <v>32</v>
      </c>
      <c r="AV532" s="2" t="s">
        <v>32</v>
      </c>
      <c r="AW532" s="2">
        <v>0</v>
      </c>
      <c r="AX532" s="2" t="s">
        <v>32</v>
      </c>
      <c r="AY532" s="2">
        <v>0</v>
      </c>
      <c r="AZ532" s="2" t="s">
        <v>1658</v>
      </c>
      <c r="BA532" s="2">
        <v>15</v>
      </c>
      <c r="BB532" s="2">
        <v>92</v>
      </c>
      <c r="BC532" s="2" t="s">
        <v>1658</v>
      </c>
      <c r="BD532" s="2">
        <v>15</v>
      </c>
      <c r="BE532" s="2" t="s">
        <v>1660</v>
      </c>
      <c r="BF532" s="2">
        <v>0</v>
      </c>
      <c r="BG532" s="2" t="s">
        <v>1660</v>
      </c>
      <c r="BH532" s="2">
        <v>0</v>
      </c>
      <c r="BI532" s="2" t="s">
        <v>32</v>
      </c>
      <c r="BJ532" s="2" t="s">
        <v>32</v>
      </c>
      <c r="BK532" s="2" t="s">
        <v>1660</v>
      </c>
      <c r="BL532" s="2">
        <v>0</v>
      </c>
      <c r="BM532" s="2" t="s">
        <v>32</v>
      </c>
      <c r="BN532" s="2" t="s">
        <v>32</v>
      </c>
      <c r="BO532" s="2" t="s">
        <v>1660</v>
      </c>
      <c r="BP532" s="2">
        <v>0</v>
      </c>
      <c r="BQ532" s="2" t="s">
        <v>1660</v>
      </c>
      <c r="BR532" s="2">
        <v>0</v>
      </c>
      <c r="BS532" s="2" t="s">
        <v>1660</v>
      </c>
      <c r="BT532" s="2">
        <v>0</v>
      </c>
      <c r="BU532" s="2">
        <v>0</v>
      </c>
      <c r="BV532" s="2" t="s">
        <v>1660</v>
      </c>
      <c r="BW532" s="2"/>
      <c r="BX532" s="2"/>
      <c r="BY532" s="2" t="s">
        <v>1807</v>
      </c>
      <c r="BZ532" s="2" t="b">
        <f>OR( (Dashboard[[#This Row],[ref_as_hh]]&gt;=1),(Dashboard[[#This Row],[ret_as_hh]] &gt;=1), (Dashboard[[#This Row],[idp_as_hh]]&gt;=1))</f>
        <v>0</v>
      </c>
      <c r="CA532" s="2">
        <f>Dashboard[[#This Row],[ret_hi_hh]]</f>
        <v>15</v>
      </c>
      <c r="CB532" s="2">
        <f>Dashboard[[#This Row],[idp_fa_hh]]+Dashboard[[#This Row],[ref_fa_hh]]+Dashboard[[#This Row],[ret_fa_hh]]</f>
        <v>0</v>
      </c>
      <c r="CC532" s="2">
        <f>Dashboard[[#This Row],[idp_loc_hh]]+Dashboard[[#This Row],[ref_loc_hh]]+Dashboard[[#This Row],[ret_loc_hh]]</f>
        <v>0</v>
      </c>
      <c r="CD532" s="2">
        <f>Dashboard[[#This Row],[idp_cc_hh]]+Dashboard[[#This Row],[ref_cc_hh]]+Dashboard[[#This Row],[ret_cc_hh]]</f>
        <v>0</v>
      </c>
      <c r="CE532" s="2">
        <f>Dashboard[[#This Row],[idp_as_hh]]+Dashboard[[#This Row],[ref_as_hh]]+Dashboard[[#This Row],[ret_as_hh]]</f>
        <v>0</v>
      </c>
      <c r="CF532" s="2">
        <f>Dashboard[[#This Row],[idp_al_hh]]+Dashboard[[#This Row],[ref_al_hh]]+Dashboard[[#This Row],[ret_al_hh]]</f>
        <v>0</v>
      </c>
    </row>
    <row r="533" spans="1:84" x14ac:dyDescent="0.25">
      <c r="A533" s="27">
        <v>513</v>
      </c>
      <c r="B533" s="2" t="s">
        <v>22</v>
      </c>
      <c r="C533" s="2" t="s">
        <v>23</v>
      </c>
      <c r="D533" s="2" t="s">
        <v>184</v>
      </c>
      <c r="E533" s="2" t="s">
        <v>183</v>
      </c>
      <c r="F533" s="2" t="s">
        <v>471</v>
      </c>
      <c r="G533" s="2" t="s">
        <v>472</v>
      </c>
      <c r="H533" s="2" t="s">
        <v>1324</v>
      </c>
      <c r="I533" s="2" t="s">
        <v>474</v>
      </c>
      <c r="J533" s="2" t="s">
        <v>3206</v>
      </c>
      <c r="K533" s="2" t="s">
        <v>3207</v>
      </c>
      <c r="L533" s="2" t="s">
        <v>2074</v>
      </c>
      <c r="M533" s="2">
        <v>1500</v>
      </c>
      <c r="N533" s="2" t="s">
        <v>1658</v>
      </c>
      <c r="O533" s="2">
        <v>31</v>
      </c>
      <c r="P533" s="2">
        <v>153</v>
      </c>
      <c r="Q533" s="2" t="s">
        <v>1658</v>
      </c>
      <c r="R533" s="2">
        <v>9</v>
      </c>
      <c r="S533" s="2" t="s">
        <v>1660</v>
      </c>
      <c r="T533" s="2">
        <v>0</v>
      </c>
      <c r="U533" s="2" t="s">
        <v>32</v>
      </c>
      <c r="V533" s="2" t="s">
        <v>32</v>
      </c>
      <c r="W533" s="2" t="s">
        <v>1660</v>
      </c>
      <c r="X533" s="2">
        <v>0</v>
      </c>
      <c r="Y533" s="2" t="s">
        <v>32</v>
      </c>
      <c r="Z533" s="2" t="s">
        <v>32</v>
      </c>
      <c r="AA533" s="2" t="s">
        <v>1658</v>
      </c>
      <c r="AB533" s="2">
        <v>22</v>
      </c>
      <c r="AC533" s="2" t="s">
        <v>1660</v>
      </c>
      <c r="AD533" s="2">
        <v>0</v>
      </c>
      <c r="AE533" s="2" t="s">
        <v>1660</v>
      </c>
      <c r="AF533" s="2">
        <v>0</v>
      </c>
      <c r="AG533" s="2">
        <v>0</v>
      </c>
      <c r="AH533" s="2" t="s">
        <v>32</v>
      </c>
      <c r="AI533" s="2" t="s">
        <v>32</v>
      </c>
      <c r="AJ533" s="2" t="s">
        <v>32</v>
      </c>
      <c r="AK533" s="2" t="s">
        <v>32</v>
      </c>
      <c r="AL533" s="2" t="s">
        <v>32</v>
      </c>
      <c r="AM533" s="2">
        <v>0</v>
      </c>
      <c r="AN533" s="2" t="s">
        <v>32</v>
      </c>
      <c r="AO533" s="2">
        <v>0</v>
      </c>
      <c r="AP533" s="2" t="s">
        <v>32</v>
      </c>
      <c r="AQ533" s="2" t="s">
        <v>32</v>
      </c>
      <c r="AR533" s="2" t="s">
        <v>32</v>
      </c>
      <c r="AS533" s="2">
        <v>0</v>
      </c>
      <c r="AT533" s="2" t="s">
        <v>32</v>
      </c>
      <c r="AU533" s="2" t="s">
        <v>32</v>
      </c>
      <c r="AV533" s="2" t="s">
        <v>32</v>
      </c>
      <c r="AW533" s="2">
        <v>0</v>
      </c>
      <c r="AX533" s="2" t="s">
        <v>32</v>
      </c>
      <c r="AY533" s="2">
        <v>0</v>
      </c>
      <c r="AZ533" s="2" t="s">
        <v>1660</v>
      </c>
      <c r="BA533" s="2">
        <v>0</v>
      </c>
      <c r="BB533" s="2">
        <v>0</v>
      </c>
      <c r="BC533" s="2" t="s">
        <v>32</v>
      </c>
      <c r="BD533" s="2">
        <v>0</v>
      </c>
      <c r="BE533" s="2" t="s">
        <v>32</v>
      </c>
      <c r="BF533" s="2">
        <v>0</v>
      </c>
      <c r="BG533" s="2" t="s">
        <v>32</v>
      </c>
      <c r="BH533" s="2">
        <v>0</v>
      </c>
      <c r="BI533" s="2" t="s">
        <v>32</v>
      </c>
      <c r="BJ533" s="2" t="s">
        <v>32</v>
      </c>
      <c r="BK533" s="2" t="s">
        <v>32</v>
      </c>
      <c r="BL533" s="2">
        <v>0</v>
      </c>
      <c r="BM533" s="2" t="s">
        <v>32</v>
      </c>
      <c r="BN533" s="2" t="s">
        <v>32</v>
      </c>
      <c r="BO533" s="2" t="s">
        <v>32</v>
      </c>
      <c r="BP533" s="2">
        <v>0</v>
      </c>
      <c r="BQ533" s="2" t="s">
        <v>32</v>
      </c>
      <c r="BR533" s="2">
        <v>0</v>
      </c>
      <c r="BS533" s="2" t="s">
        <v>1660</v>
      </c>
      <c r="BT533" s="2">
        <v>0</v>
      </c>
      <c r="BU533" s="2">
        <v>0</v>
      </c>
      <c r="BV533" s="2" t="s">
        <v>1660</v>
      </c>
      <c r="BW533" s="2"/>
      <c r="BX533" s="2"/>
      <c r="BY533" s="2" t="s">
        <v>1807</v>
      </c>
      <c r="BZ533" s="2" t="b">
        <f>OR( (Dashboard[[#This Row],[ref_as_hh]]&gt;=1),(Dashboard[[#This Row],[ret_as_hh]] &gt;=1), (Dashboard[[#This Row],[idp_as_hh]]&gt;=1))</f>
        <v>1</v>
      </c>
      <c r="CA533" s="2">
        <f>Dashboard[[#This Row],[ret_hi_hh]]</f>
        <v>0</v>
      </c>
      <c r="CB533" s="2">
        <f>Dashboard[[#This Row],[idp_fa_hh]]+Dashboard[[#This Row],[ref_fa_hh]]+Dashboard[[#This Row],[ret_fa_hh]]</f>
        <v>9</v>
      </c>
      <c r="CC533" s="2">
        <f>Dashboard[[#This Row],[idp_loc_hh]]+Dashboard[[#This Row],[ref_loc_hh]]+Dashboard[[#This Row],[ret_loc_hh]]</f>
        <v>0</v>
      </c>
      <c r="CD533" s="2">
        <f>Dashboard[[#This Row],[idp_cc_hh]]+Dashboard[[#This Row],[ref_cc_hh]]+Dashboard[[#This Row],[ret_cc_hh]]</f>
        <v>0</v>
      </c>
      <c r="CE533" s="2">
        <f>Dashboard[[#This Row],[idp_as_hh]]+Dashboard[[#This Row],[ref_as_hh]]+Dashboard[[#This Row],[ret_as_hh]]</f>
        <v>22</v>
      </c>
      <c r="CF533" s="2">
        <f>Dashboard[[#This Row],[idp_al_hh]]+Dashboard[[#This Row],[ref_al_hh]]+Dashboard[[#This Row],[ret_al_hh]]</f>
        <v>0</v>
      </c>
    </row>
    <row r="534" spans="1:84" x14ac:dyDescent="0.25">
      <c r="A534" s="27">
        <v>516</v>
      </c>
      <c r="B534" s="2" t="s">
        <v>22</v>
      </c>
      <c r="C534" s="2" t="s">
        <v>23</v>
      </c>
      <c r="D534" s="2" t="s">
        <v>184</v>
      </c>
      <c r="E534" s="2" t="s">
        <v>183</v>
      </c>
      <c r="F534" s="2" t="s">
        <v>471</v>
      </c>
      <c r="G534" s="2" t="s">
        <v>472</v>
      </c>
      <c r="H534" s="2" t="s">
        <v>1328</v>
      </c>
      <c r="I534" s="2" t="s">
        <v>478</v>
      </c>
      <c r="J534" s="2" t="s">
        <v>3216</v>
      </c>
      <c r="K534" s="2" t="s">
        <v>3217</v>
      </c>
      <c r="L534" s="2" t="s">
        <v>2074</v>
      </c>
      <c r="M534" s="2">
        <v>2000</v>
      </c>
      <c r="N534" s="2" t="s">
        <v>1658</v>
      </c>
      <c r="O534" s="2">
        <v>26</v>
      </c>
      <c r="P534" s="2">
        <v>164</v>
      </c>
      <c r="Q534" s="2" t="s">
        <v>1660</v>
      </c>
      <c r="R534" s="2">
        <v>0</v>
      </c>
      <c r="S534" s="2" t="s">
        <v>1660</v>
      </c>
      <c r="T534" s="2">
        <v>0</v>
      </c>
      <c r="U534" s="2" t="s">
        <v>32</v>
      </c>
      <c r="V534" s="2" t="s">
        <v>32</v>
      </c>
      <c r="W534" s="2" t="s">
        <v>1660</v>
      </c>
      <c r="X534" s="2">
        <v>0</v>
      </c>
      <c r="Y534" s="2" t="s">
        <v>32</v>
      </c>
      <c r="Z534" s="2" t="s">
        <v>32</v>
      </c>
      <c r="AA534" s="2" t="s">
        <v>1658</v>
      </c>
      <c r="AB534" s="2">
        <v>24</v>
      </c>
      <c r="AC534" s="2" t="s">
        <v>1658</v>
      </c>
      <c r="AD534" s="2">
        <v>2</v>
      </c>
      <c r="AE534" s="2" t="s">
        <v>1660</v>
      </c>
      <c r="AF534" s="2">
        <v>0</v>
      </c>
      <c r="AG534" s="2">
        <v>0</v>
      </c>
      <c r="AH534" s="2" t="s">
        <v>32</v>
      </c>
      <c r="AI534" s="2" t="s">
        <v>32</v>
      </c>
      <c r="AJ534" s="2" t="s">
        <v>32</v>
      </c>
      <c r="AK534" s="2" t="s">
        <v>32</v>
      </c>
      <c r="AL534" s="2" t="s">
        <v>32</v>
      </c>
      <c r="AM534" s="2">
        <v>0</v>
      </c>
      <c r="AN534" s="2" t="s">
        <v>32</v>
      </c>
      <c r="AO534" s="2">
        <v>0</v>
      </c>
      <c r="AP534" s="2" t="s">
        <v>32</v>
      </c>
      <c r="AQ534" s="2" t="s">
        <v>32</v>
      </c>
      <c r="AR534" s="2" t="s">
        <v>32</v>
      </c>
      <c r="AS534" s="2">
        <v>0</v>
      </c>
      <c r="AT534" s="2" t="s">
        <v>32</v>
      </c>
      <c r="AU534" s="2" t="s">
        <v>32</v>
      </c>
      <c r="AV534" s="2" t="s">
        <v>32</v>
      </c>
      <c r="AW534" s="2">
        <v>0</v>
      </c>
      <c r="AX534" s="2" t="s">
        <v>32</v>
      </c>
      <c r="AY534" s="2">
        <v>0</v>
      </c>
      <c r="AZ534" s="2" t="s">
        <v>1660</v>
      </c>
      <c r="BA534" s="2">
        <v>0</v>
      </c>
      <c r="BB534" s="2">
        <v>0</v>
      </c>
      <c r="BC534" s="2" t="s">
        <v>32</v>
      </c>
      <c r="BD534" s="2">
        <v>0</v>
      </c>
      <c r="BE534" s="2" t="s">
        <v>32</v>
      </c>
      <c r="BF534" s="2">
        <v>0</v>
      </c>
      <c r="BG534" s="2" t="s">
        <v>32</v>
      </c>
      <c r="BH534" s="2">
        <v>0</v>
      </c>
      <c r="BI534" s="2" t="s">
        <v>32</v>
      </c>
      <c r="BJ534" s="2" t="s">
        <v>32</v>
      </c>
      <c r="BK534" s="2" t="s">
        <v>32</v>
      </c>
      <c r="BL534" s="2">
        <v>0</v>
      </c>
      <c r="BM534" s="2" t="s">
        <v>32</v>
      </c>
      <c r="BN534" s="2" t="s">
        <v>32</v>
      </c>
      <c r="BO534" s="2" t="s">
        <v>32</v>
      </c>
      <c r="BP534" s="2">
        <v>0</v>
      </c>
      <c r="BQ534" s="2" t="s">
        <v>32</v>
      </c>
      <c r="BR534" s="2">
        <v>0</v>
      </c>
      <c r="BS534" s="2" t="s">
        <v>1660</v>
      </c>
      <c r="BT534" s="2">
        <v>0</v>
      </c>
      <c r="BU534" s="2">
        <v>0</v>
      </c>
      <c r="BV534" s="2" t="s">
        <v>1660</v>
      </c>
      <c r="BW534" s="2"/>
      <c r="BX534" s="2"/>
      <c r="BY534" s="2" t="s">
        <v>1807</v>
      </c>
      <c r="BZ534" s="2" t="b">
        <f>OR( (Dashboard[[#This Row],[ref_as_hh]]&gt;=1),(Dashboard[[#This Row],[ret_as_hh]] &gt;=1), (Dashboard[[#This Row],[idp_as_hh]]&gt;=1))</f>
        <v>1</v>
      </c>
      <c r="CA534" s="2">
        <f>Dashboard[[#This Row],[ret_hi_hh]]</f>
        <v>0</v>
      </c>
      <c r="CB534" s="2">
        <f>Dashboard[[#This Row],[idp_fa_hh]]+Dashboard[[#This Row],[ref_fa_hh]]+Dashboard[[#This Row],[ret_fa_hh]]</f>
        <v>0</v>
      </c>
      <c r="CC534" s="2">
        <f>Dashboard[[#This Row],[idp_loc_hh]]+Dashboard[[#This Row],[ref_loc_hh]]+Dashboard[[#This Row],[ret_loc_hh]]</f>
        <v>0</v>
      </c>
      <c r="CD534" s="2">
        <f>Dashboard[[#This Row],[idp_cc_hh]]+Dashboard[[#This Row],[ref_cc_hh]]+Dashboard[[#This Row],[ret_cc_hh]]</f>
        <v>0</v>
      </c>
      <c r="CE534" s="2">
        <f>Dashboard[[#This Row],[idp_as_hh]]+Dashboard[[#This Row],[ref_as_hh]]+Dashboard[[#This Row],[ret_as_hh]]</f>
        <v>24</v>
      </c>
      <c r="CF534" s="2">
        <f>Dashboard[[#This Row],[idp_al_hh]]+Dashboard[[#This Row],[ref_al_hh]]+Dashboard[[#This Row],[ret_al_hh]]</f>
        <v>2</v>
      </c>
    </row>
    <row r="535" spans="1:84" x14ac:dyDescent="0.25">
      <c r="A535" s="27">
        <v>541</v>
      </c>
      <c r="B535" s="2" t="s">
        <v>22</v>
      </c>
      <c r="C535" s="2" t="s">
        <v>23</v>
      </c>
      <c r="D535" s="2" t="s">
        <v>184</v>
      </c>
      <c r="E535" s="2" t="s">
        <v>183</v>
      </c>
      <c r="F535" s="2" t="s">
        <v>471</v>
      </c>
      <c r="G535" s="2" t="s">
        <v>472</v>
      </c>
      <c r="H535" s="2" t="s">
        <v>1329</v>
      </c>
      <c r="I535" s="2" t="s">
        <v>479</v>
      </c>
      <c r="J535" s="2" t="s">
        <v>3218</v>
      </c>
      <c r="K535" s="2" t="s">
        <v>3219</v>
      </c>
      <c r="L535" s="2" t="s">
        <v>2074</v>
      </c>
      <c r="M535" s="2">
        <v>2000</v>
      </c>
      <c r="N535" s="2" t="s">
        <v>1658</v>
      </c>
      <c r="O535" s="2">
        <v>28</v>
      </c>
      <c r="P535" s="2">
        <v>172</v>
      </c>
      <c r="Q535" s="2" t="s">
        <v>1658</v>
      </c>
      <c r="R535" s="2">
        <v>15</v>
      </c>
      <c r="S535" s="2" t="s">
        <v>1660</v>
      </c>
      <c r="T535" s="2">
        <v>0</v>
      </c>
      <c r="U535" s="2" t="s">
        <v>32</v>
      </c>
      <c r="V535" s="2" t="s">
        <v>32</v>
      </c>
      <c r="W535" s="2" t="s">
        <v>1660</v>
      </c>
      <c r="X535" s="2">
        <v>0</v>
      </c>
      <c r="Y535" s="2" t="s">
        <v>32</v>
      </c>
      <c r="Z535" s="2" t="s">
        <v>32</v>
      </c>
      <c r="AA535" s="2" t="s">
        <v>1658</v>
      </c>
      <c r="AB535" s="2">
        <v>13</v>
      </c>
      <c r="AC535" s="2" t="s">
        <v>1660</v>
      </c>
      <c r="AD535" s="2">
        <v>0</v>
      </c>
      <c r="AE535" s="2" t="s">
        <v>1660</v>
      </c>
      <c r="AF535" s="2">
        <v>0</v>
      </c>
      <c r="AG535" s="2">
        <v>0</v>
      </c>
      <c r="AH535" s="2" t="s">
        <v>32</v>
      </c>
      <c r="AI535" s="2" t="s">
        <v>32</v>
      </c>
      <c r="AJ535" s="2" t="s">
        <v>32</v>
      </c>
      <c r="AK535" s="2" t="s">
        <v>32</v>
      </c>
      <c r="AL535" s="2" t="s">
        <v>32</v>
      </c>
      <c r="AM535" s="2">
        <v>0</v>
      </c>
      <c r="AN535" s="2" t="s">
        <v>32</v>
      </c>
      <c r="AO535" s="2">
        <v>0</v>
      </c>
      <c r="AP535" s="2" t="s">
        <v>32</v>
      </c>
      <c r="AQ535" s="2" t="s">
        <v>32</v>
      </c>
      <c r="AR535" s="2" t="s">
        <v>32</v>
      </c>
      <c r="AS535" s="2">
        <v>0</v>
      </c>
      <c r="AT535" s="2" t="s">
        <v>32</v>
      </c>
      <c r="AU535" s="2" t="s">
        <v>32</v>
      </c>
      <c r="AV535" s="2" t="s">
        <v>32</v>
      </c>
      <c r="AW535" s="2">
        <v>0</v>
      </c>
      <c r="AX535" s="2" t="s">
        <v>32</v>
      </c>
      <c r="AY535" s="2">
        <v>0</v>
      </c>
      <c r="AZ535" s="2" t="s">
        <v>1660</v>
      </c>
      <c r="BA535" s="2">
        <v>0</v>
      </c>
      <c r="BB535" s="2">
        <v>0</v>
      </c>
      <c r="BC535" s="2" t="s">
        <v>32</v>
      </c>
      <c r="BD535" s="2">
        <v>0</v>
      </c>
      <c r="BE535" s="2" t="s">
        <v>32</v>
      </c>
      <c r="BF535" s="2">
        <v>0</v>
      </c>
      <c r="BG535" s="2" t="s">
        <v>32</v>
      </c>
      <c r="BH535" s="2">
        <v>0</v>
      </c>
      <c r="BI535" s="2" t="s">
        <v>32</v>
      </c>
      <c r="BJ535" s="2" t="s">
        <v>32</v>
      </c>
      <c r="BK535" s="2" t="s">
        <v>32</v>
      </c>
      <c r="BL535" s="2">
        <v>0</v>
      </c>
      <c r="BM535" s="2" t="s">
        <v>32</v>
      </c>
      <c r="BN535" s="2" t="s">
        <v>32</v>
      </c>
      <c r="BO535" s="2" t="s">
        <v>32</v>
      </c>
      <c r="BP535" s="2">
        <v>0</v>
      </c>
      <c r="BQ535" s="2" t="s">
        <v>32</v>
      </c>
      <c r="BR535" s="2">
        <v>0</v>
      </c>
      <c r="BS535" s="2" t="s">
        <v>1660</v>
      </c>
      <c r="BT535" s="2">
        <v>0</v>
      </c>
      <c r="BU535" s="2">
        <v>0</v>
      </c>
      <c r="BV535" s="2" t="s">
        <v>1660</v>
      </c>
      <c r="BW535" s="2"/>
      <c r="BX535" s="2"/>
      <c r="BY535" s="2" t="s">
        <v>1807</v>
      </c>
      <c r="BZ535" s="2" t="b">
        <f>OR( (Dashboard[[#This Row],[ref_as_hh]]&gt;=1),(Dashboard[[#This Row],[ret_as_hh]] &gt;=1), (Dashboard[[#This Row],[idp_as_hh]]&gt;=1))</f>
        <v>1</v>
      </c>
      <c r="CA535" s="2">
        <f>Dashboard[[#This Row],[ret_hi_hh]]</f>
        <v>0</v>
      </c>
      <c r="CB535" s="2">
        <f>Dashboard[[#This Row],[idp_fa_hh]]+Dashboard[[#This Row],[ref_fa_hh]]+Dashboard[[#This Row],[ret_fa_hh]]</f>
        <v>15</v>
      </c>
      <c r="CC535" s="2">
        <f>Dashboard[[#This Row],[idp_loc_hh]]+Dashboard[[#This Row],[ref_loc_hh]]+Dashboard[[#This Row],[ret_loc_hh]]</f>
        <v>0</v>
      </c>
      <c r="CD535" s="2">
        <f>Dashboard[[#This Row],[idp_cc_hh]]+Dashboard[[#This Row],[ref_cc_hh]]+Dashboard[[#This Row],[ret_cc_hh]]</f>
        <v>0</v>
      </c>
      <c r="CE535" s="2">
        <f>Dashboard[[#This Row],[idp_as_hh]]+Dashboard[[#This Row],[ref_as_hh]]+Dashboard[[#This Row],[ret_as_hh]]</f>
        <v>13</v>
      </c>
      <c r="CF535" s="2">
        <f>Dashboard[[#This Row],[idp_al_hh]]+Dashboard[[#This Row],[ref_al_hh]]+Dashboard[[#This Row],[ret_al_hh]]</f>
        <v>0</v>
      </c>
    </row>
    <row r="536" spans="1:84" x14ac:dyDescent="0.25">
      <c r="A536" s="27">
        <v>572</v>
      </c>
      <c r="B536" s="2" t="s">
        <v>22</v>
      </c>
      <c r="C536" s="2" t="s">
        <v>23</v>
      </c>
      <c r="D536" s="2" t="s">
        <v>184</v>
      </c>
      <c r="E536" s="2" t="s">
        <v>183</v>
      </c>
      <c r="F536" s="2" t="s">
        <v>471</v>
      </c>
      <c r="G536" s="2" t="s">
        <v>472</v>
      </c>
      <c r="H536" s="2" t="s">
        <v>1330</v>
      </c>
      <c r="I536" s="2" t="s">
        <v>480</v>
      </c>
      <c r="J536" s="2" t="s">
        <v>3220</v>
      </c>
      <c r="K536" s="2" t="s">
        <v>3221</v>
      </c>
      <c r="L536" s="2" t="s">
        <v>2074</v>
      </c>
      <c r="M536" s="2">
        <v>2000</v>
      </c>
      <c r="N536" s="2" t="s">
        <v>1658</v>
      </c>
      <c r="O536" s="2">
        <v>17</v>
      </c>
      <c r="P536" s="2">
        <v>97</v>
      </c>
      <c r="Q536" s="2" t="s">
        <v>1658</v>
      </c>
      <c r="R536" s="2">
        <v>8</v>
      </c>
      <c r="S536" s="2" t="s">
        <v>1660</v>
      </c>
      <c r="T536" s="2">
        <v>0</v>
      </c>
      <c r="U536" s="2" t="s">
        <v>32</v>
      </c>
      <c r="V536" s="2" t="s">
        <v>32</v>
      </c>
      <c r="W536" s="2" t="s">
        <v>1660</v>
      </c>
      <c r="X536" s="2">
        <v>0</v>
      </c>
      <c r="Y536" s="2" t="s">
        <v>32</v>
      </c>
      <c r="Z536" s="2" t="s">
        <v>32</v>
      </c>
      <c r="AA536" s="2" t="s">
        <v>1658</v>
      </c>
      <c r="AB536" s="2">
        <v>9</v>
      </c>
      <c r="AC536" s="2" t="s">
        <v>1660</v>
      </c>
      <c r="AD536" s="2">
        <v>0</v>
      </c>
      <c r="AE536" s="2" t="s">
        <v>1660</v>
      </c>
      <c r="AF536" s="2">
        <v>0</v>
      </c>
      <c r="AG536" s="2">
        <v>0</v>
      </c>
      <c r="AH536" s="2" t="s">
        <v>32</v>
      </c>
      <c r="AI536" s="2" t="s">
        <v>32</v>
      </c>
      <c r="AJ536" s="2" t="s">
        <v>32</v>
      </c>
      <c r="AK536" s="2" t="s">
        <v>32</v>
      </c>
      <c r="AL536" s="2" t="s">
        <v>32</v>
      </c>
      <c r="AM536" s="2">
        <v>0</v>
      </c>
      <c r="AN536" s="2" t="s">
        <v>32</v>
      </c>
      <c r="AO536" s="2">
        <v>0</v>
      </c>
      <c r="AP536" s="2" t="s">
        <v>32</v>
      </c>
      <c r="AQ536" s="2" t="s">
        <v>32</v>
      </c>
      <c r="AR536" s="2" t="s">
        <v>32</v>
      </c>
      <c r="AS536" s="2">
        <v>0</v>
      </c>
      <c r="AT536" s="2" t="s">
        <v>32</v>
      </c>
      <c r="AU536" s="2" t="s">
        <v>32</v>
      </c>
      <c r="AV536" s="2" t="s">
        <v>32</v>
      </c>
      <c r="AW536" s="2">
        <v>0</v>
      </c>
      <c r="AX536" s="2" t="s">
        <v>32</v>
      </c>
      <c r="AY536" s="2">
        <v>0</v>
      </c>
      <c r="AZ536" s="2" t="s">
        <v>1660</v>
      </c>
      <c r="BA536" s="2">
        <v>0</v>
      </c>
      <c r="BB536" s="2">
        <v>0</v>
      </c>
      <c r="BC536" s="2" t="s">
        <v>32</v>
      </c>
      <c r="BD536" s="2">
        <v>0</v>
      </c>
      <c r="BE536" s="2" t="s">
        <v>32</v>
      </c>
      <c r="BF536" s="2">
        <v>0</v>
      </c>
      <c r="BG536" s="2" t="s">
        <v>32</v>
      </c>
      <c r="BH536" s="2">
        <v>0</v>
      </c>
      <c r="BI536" s="2" t="s">
        <v>32</v>
      </c>
      <c r="BJ536" s="2" t="s">
        <v>32</v>
      </c>
      <c r="BK536" s="2" t="s">
        <v>32</v>
      </c>
      <c r="BL536" s="2">
        <v>0</v>
      </c>
      <c r="BM536" s="2" t="s">
        <v>32</v>
      </c>
      <c r="BN536" s="2" t="s">
        <v>32</v>
      </c>
      <c r="BO536" s="2" t="s">
        <v>32</v>
      </c>
      <c r="BP536" s="2">
        <v>0</v>
      </c>
      <c r="BQ536" s="2" t="s">
        <v>32</v>
      </c>
      <c r="BR536" s="2">
        <v>0</v>
      </c>
      <c r="BS536" s="2" t="s">
        <v>1660</v>
      </c>
      <c r="BT536" s="2">
        <v>0</v>
      </c>
      <c r="BU536" s="2">
        <v>0</v>
      </c>
      <c r="BV536" s="2" t="s">
        <v>1660</v>
      </c>
      <c r="BW536" s="2"/>
      <c r="BX536" s="2"/>
      <c r="BY536" s="2" t="s">
        <v>1807</v>
      </c>
      <c r="BZ536" s="2" t="b">
        <f>OR( (Dashboard[[#This Row],[ref_as_hh]]&gt;=1),(Dashboard[[#This Row],[ret_as_hh]] &gt;=1), (Dashboard[[#This Row],[idp_as_hh]]&gt;=1))</f>
        <v>1</v>
      </c>
      <c r="CA536" s="2">
        <f>Dashboard[[#This Row],[ret_hi_hh]]</f>
        <v>0</v>
      </c>
      <c r="CB536" s="2">
        <f>Dashboard[[#This Row],[idp_fa_hh]]+Dashboard[[#This Row],[ref_fa_hh]]+Dashboard[[#This Row],[ret_fa_hh]]</f>
        <v>8</v>
      </c>
      <c r="CC536" s="2">
        <f>Dashboard[[#This Row],[idp_loc_hh]]+Dashboard[[#This Row],[ref_loc_hh]]+Dashboard[[#This Row],[ret_loc_hh]]</f>
        <v>0</v>
      </c>
      <c r="CD536" s="2">
        <f>Dashboard[[#This Row],[idp_cc_hh]]+Dashboard[[#This Row],[ref_cc_hh]]+Dashboard[[#This Row],[ret_cc_hh]]</f>
        <v>0</v>
      </c>
      <c r="CE536" s="2">
        <f>Dashboard[[#This Row],[idp_as_hh]]+Dashboard[[#This Row],[ref_as_hh]]+Dashboard[[#This Row],[ret_as_hh]]</f>
        <v>9</v>
      </c>
      <c r="CF536" s="2">
        <f>Dashboard[[#This Row],[idp_al_hh]]+Dashboard[[#This Row],[ref_al_hh]]+Dashboard[[#This Row],[ret_al_hh]]</f>
        <v>0</v>
      </c>
    </row>
    <row r="537" spans="1:84" x14ac:dyDescent="0.25">
      <c r="A537" s="27">
        <v>339</v>
      </c>
      <c r="B537" s="2" t="s">
        <v>22</v>
      </c>
      <c r="C537" s="2" t="s">
        <v>23</v>
      </c>
      <c r="D537" s="2" t="s">
        <v>184</v>
      </c>
      <c r="E537" s="2" t="s">
        <v>183</v>
      </c>
      <c r="F537" s="2" t="s">
        <v>471</v>
      </c>
      <c r="G537" s="2" t="s">
        <v>472</v>
      </c>
      <c r="H537" s="2" t="s">
        <v>1325</v>
      </c>
      <c r="I537" s="2" t="s">
        <v>475</v>
      </c>
      <c r="J537" s="2" t="s">
        <v>3208</v>
      </c>
      <c r="K537" s="2" t="s">
        <v>3209</v>
      </c>
      <c r="L537" s="2" t="s">
        <v>2074</v>
      </c>
      <c r="M537" s="2">
        <v>3000</v>
      </c>
      <c r="N537" s="2" t="s">
        <v>1658</v>
      </c>
      <c r="O537" s="2">
        <v>18</v>
      </c>
      <c r="P537" s="2">
        <v>104</v>
      </c>
      <c r="Q537" s="2" t="s">
        <v>1658</v>
      </c>
      <c r="R537" s="2">
        <v>8</v>
      </c>
      <c r="S537" s="2" t="s">
        <v>1660</v>
      </c>
      <c r="T537" s="2">
        <v>0</v>
      </c>
      <c r="U537" s="2" t="s">
        <v>32</v>
      </c>
      <c r="V537" s="2" t="s">
        <v>32</v>
      </c>
      <c r="W537" s="2" t="s">
        <v>1660</v>
      </c>
      <c r="X537" s="2">
        <v>0</v>
      </c>
      <c r="Y537" s="2" t="s">
        <v>32</v>
      </c>
      <c r="Z537" s="2" t="s">
        <v>32</v>
      </c>
      <c r="AA537" s="2" t="s">
        <v>1658</v>
      </c>
      <c r="AB537" s="2">
        <v>10</v>
      </c>
      <c r="AC537" s="2" t="s">
        <v>1660</v>
      </c>
      <c r="AD537" s="2">
        <v>0</v>
      </c>
      <c r="AE537" s="2" t="s">
        <v>1660</v>
      </c>
      <c r="AF537" s="2">
        <v>0</v>
      </c>
      <c r="AG537" s="2">
        <v>0</v>
      </c>
      <c r="AH537" s="2" t="s">
        <v>32</v>
      </c>
      <c r="AI537" s="2" t="s">
        <v>32</v>
      </c>
      <c r="AJ537" s="2" t="s">
        <v>32</v>
      </c>
      <c r="AK537" s="2" t="s">
        <v>32</v>
      </c>
      <c r="AL537" s="2" t="s">
        <v>32</v>
      </c>
      <c r="AM537" s="2">
        <v>0</v>
      </c>
      <c r="AN537" s="2" t="s">
        <v>32</v>
      </c>
      <c r="AO537" s="2">
        <v>0</v>
      </c>
      <c r="AP537" s="2" t="s">
        <v>32</v>
      </c>
      <c r="AQ537" s="2" t="s">
        <v>32</v>
      </c>
      <c r="AR537" s="2" t="s">
        <v>32</v>
      </c>
      <c r="AS537" s="2">
        <v>0</v>
      </c>
      <c r="AT537" s="2" t="s">
        <v>32</v>
      </c>
      <c r="AU537" s="2" t="s">
        <v>32</v>
      </c>
      <c r="AV537" s="2" t="s">
        <v>32</v>
      </c>
      <c r="AW537" s="2">
        <v>0</v>
      </c>
      <c r="AX537" s="2" t="s">
        <v>32</v>
      </c>
      <c r="AY537" s="2">
        <v>0</v>
      </c>
      <c r="AZ537" s="2" t="s">
        <v>1660</v>
      </c>
      <c r="BA537" s="2">
        <v>0</v>
      </c>
      <c r="BB537" s="2">
        <v>0</v>
      </c>
      <c r="BC537" s="2" t="s">
        <v>32</v>
      </c>
      <c r="BD537" s="2">
        <v>0</v>
      </c>
      <c r="BE537" s="2" t="s">
        <v>32</v>
      </c>
      <c r="BF537" s="2">
        <v>0</v>
      </c>
      <c r="BG537" s="2" t="s">
        <v>32</v>
      </c>
      <c r="BH537" s="2">
        <v>0</v>
      </c>
      <c r="BI537" s="2" t="s">
        <v>32</v>
      </c>
      <c r="BJ537" s="2" t="s">
        <v>32</v>
      </c>
      <c r="BK537" s="2" t="s">
        <v>32</v>
      </c>
      <c r="BL537" s="2">
        <v>0</v>
      </c>
      <c r="BM537" s="2" t="s">
        <v>32</v>
      </c>
      <c r="BN537" s="2" t="s">
        <v>32</v>
      </c>
      <c r="BO537" s="2" t="s">
        <v>32</v>
      </c>
      <c r="BP537" s="2">
        <v>0</v>
      </c>
      <c r="BQ537" s="2" t="s">
        <v>32</v>
      </c>
      <c r="BR537" s="2">
        <v>0</v>
      </c>
      <c r="BS537" s="2" t="s">
        <v>1660</v>
      </c>
      <c r="BT537" s="2">
        <v>0</v>
      </c>
      <c r="BU537" s="2">
        <v>0</v>
      </c>
      <c r="BV537" s="2" t="s">
        <v>1660</v>
      </c>
      <c r="BW537" s="2"/>
      <c r="BX537" s="2"/>
      <c r="BY537" s="2" t="s">
        <v>1807</v>
      </c>
      <c r="BZ537" s="2" t="b">
        <f>OR( (Dashboard[[#This Row],[ref_as_hh]]&gt;=1),(Dashboard[[#This Row],[ret_as_hh]] &gt;=1), (Dashboard[[#This Row],[idp_as_hh]]&gt;=1))</f>
        <v>1</v>
      </c>
      <c r="CA537" s="2">
        <f>Dashboard[[#This Row],[ret_hi_hh]]</f>
        <v>0</v>
      </c>
      <c r="CB537" s="2">
        <f>Dashboard[[#This Row],[idp_fa_hh]]+Dashboard[[#This Row],[ref_fa_hh]]+Dashboard[[#This Row],[ret_fa_hh]]</f>
        <v>8</v>
      </c>
      <c r="CC537" s="2">
        <f>Dashboard[[#This Row],[idp_loc_hh]]+Dashboard[[#This Row],[ref_loc_hh]]+Dashboard[[#This Row],[ret_loc_hh]]</f>
        <v>0</v>
      </c>
      <c r="CD537" s="2">
        <f>Dashboard[[#This Row],[idp_cc_hh]]+Dashboard[[#This Row],[ref_cc_hh]]+Dashboard[[#This Row],[ret_cc_hh]]</f>
        <v>0</v>
      </c>
      <c r="CE537" s="2">
        <f>Dashboard[[#This Row],[idp_as_hh]]+Dashboard[[#This Row],[ref_as_hh]]+Dashboard[[#This Row],[ret_as_hh]]</f>
        <v>10</v>
      </c>
      <c r="CF537" s="2">
        <f>Dashboard[[#This Row],[idp_al_hh]]+Dashboard[[#This Row],[ref_al_hh]]+Dashboard[[#This Row],[ret_al_hh]]</f>
        <v>0</v>
      </c>
    </row>
    <row r="538" spans="1:84" x14ac:dyDescent="0.25">
      <c r="A538" s="27">
        <v>90</v>
      </c>
      <c r="B538" s="2" t="s">
        <v>22</v>
      </c>
      <c r="C538" s="2" t="s">
        <v>23</v>
      </c>
      <c r="D538" s="2" t="s">
        <v>184</v>
      </c>
      <c r="E538" s="2" t="s">
        <v>183</v>
      </c>
      <c r="F538" s="2" t="s">
        <v>471</v>
      </c>
      <c r="G538" s="2" t="s">
        <v>472</v>
      </c>
      <c r="H538" s="2" t="s">
        <v>1323</v>
      </c>
      <c r="I538" s="2" t="s">
        <v>473</v>
      </c>
      <c r="J538" s="2" t="s">
        <v>3204</v>
      </c>
      <c r="K538" s="2" t="s">
        <v>3205</v>
      </c>
      <c r="L538" s="2" t="s">
        <v>2074</v>
      </c>
      <c r="M538" s="2">
        <v>2000</v>
      </c>
      <c r="N538" s="2" t="s">
        <v>1658</v>
      </c>
      <c r="O538" s="2">
        <v>44</v>
      </c>
      <c r="P538" s="2">
        <v>313</v>
      </c>
      <c r="Q538" s="2" t="s">
        <v>1658</v>
      </c>
      <c r="R538" s="2">
        <v>15</v>
      </c>
      <c r="S538" s="2" t="s">
        <v>1660</v>
      </c>
      <c r="T538" s="2">
        <v>0</v>
      </c>
      <c r="U538" s="2" t="s">
        <v>32</v>
      </c>
      <c r="V538" s="2" t="s">
        <v>32</v>
      </c>
      <c r="W538" s="2" t="s">
        <v>1658</v>
      </c>
      <c r="X538" s="2">
        <v>1</v>
      </c>
      <c r="Y538" s="2" t="s">
        <v>686</v>
      </c>
      <c r="Z538" s="2" t="s">
        <v>32</v>
      </c>
      <c r="AA538" s="2" t="s">
        <v>1658</v>
      </c>
      <c r="AB538" s="2">
        <v>28</v>
      </c>
      <c r="AC538" s="2" t="s">
        <v>1660</v>
      </c>
      <c r="AD538" s="2">
        <v>0</v>
      </c>
      <c r="AE538" s="2" t="s">
        <v>1660</v>
      </c>
      <c r="AF538" s="2">
        <v>0</v>
      </c>
      <c r="AG538" s="2">
        <v>0</v>
      </c>
      <c r="AH538" s="2" t="s">
        <v>32</v>
      </c>
      <c r="AI538" s="2" t="s">
        <v>32</v>
      </c>
      <c r="AJ538" s="2" t="s">
        <v>32</v>
      </c>
      <c r="AK538" s="2" t="s">
        <v>32</v>
      </c>
      <c r="AL538" s="2" t="s">
        <v>32</v>
      </c>
      <c r="AM538" s="2">
        <v>0</v>
      </c>
      <c r="AN538" s="2" t="s">
        <v>32</v>
      </c>
      <c r="AO538" s="2">
        <v>0</v>
      </c>
      <c r="AP538" s="2" t="s">
        <v>32</v>
      </c>
      <c r="AQ538" s="2" t="s">
        <v>32</v>
      </c>
      <c r="AR538" s="2" t="s">
        <v>32</v>
      </c>
      <c r="AS538" s="2">
        <v>0</v>
      </c>
      <c r="AT538" s="2" t="s">
        <v>32</v>
      </c>
      <c r="AU538" s="2" t="s">
        <v>32</v>
      </c>
      <c r="AV538" s="2" t="s">
        <v>32</v>
      </c>
      <c r="AW538" s="2">
        <v>0</v>
      </c>
      <c r="AX538" s="2" t="s">
        <v>32</v>
      </c>
      <c r="AY538" s="2">
        <v>0</v>
      </c>
      <c r="AZ538" s="2" t="s">
        <v>1660</v>
      </c>
      <c r="BA538" s="2">
        <v>0</v>
      </c>
      <c r="BB538" s="2">
        <v>0</v>
      </c>
      <c r="BC538" s="2" t="s">
        <v>32</v>
      </c>
      <c r="BD538" s="2">
        <v>0</v>
      </c>
      <c r="BE538" s="2" t="s">
        <v>32</v>
      </c>
      <c r="BF538" s="2">
        <v>0</v>
      </c>
      <c r="BG538" s="2" t="s">
        <v>32</v>
      </c>
      <c r="BH538" s="2">
        <v>0</v>
      </c>
      <c r="BI538" s="2" t="s">
        <v>32</v>
      </c>
      <c r="BJ538" s="2" t="s">
        <v>32</v>
      </c>
      <c r="BK538" s="2" t="s">
        <v>32</v>
      </c>
      <c r="BL538" s="2">
        <v>0</v>
      </c>
      <c r="BM538" s="2" t="s">
        <v>32</v>
      </c>
      <c r="BN538" s="2" t="s">
        <v>32</v>
      </c>
      <c r="BO538" s="2" t="s">
        <v>32</v>
      </c>
      <c r="BP538" s="2">
        <v>0</v>
      </c>
      <c r="BQ538" s="2" t="s">
        <v>32</v>
      </c>
      <c r="BR538" s="2">
        <v>0</v>
      </c>
      <c r="BS538" s="2" t="s">
        <v>1660</v>
      </c>
      <c r="BT538" s="2">
        <v>0</v>
      </c>
      <c r="BU538" s="2">
        <v>0</v>
      </c>
      <c r="BV538" s="2" t="s">
        <v>1660</v>
      </c>
      <c r="BW538" s="2"/>
      <c r="BX538" s="2"/>
      <c r="BY538" s="2" t="s">
        <v>1807</v>
      </c>
      <c r="BZ538" s="2" t="b">
        <f>OR( (Dashboard[[#This Row],[ref_as_hh]]&gt;=1),(Dashboard[[#This Row],[ret_as_hh]] &gt;=1), (Dashboard[[#This Row],[idp_as_hh]]&gt;=1))</f>
        <v>1</v>
      </c>
      <c r="CA538" s="2">
        <f>Dashboard[[#This Row],[ret_hi_hh]]</f>
        <v>0</v>
      </c>
      <c r="CB538" s="2">
        <f>Dashboard[[#This Row],[idp_fa_hh]]+Dashboard[[#This Row],[ref_fa_hh]]+Dashboard[[#This Row],[ret_fa_hh]]</f>
        <v>15</v>
      </c>
      <c r="CC538" s="2">
        <f>Dashboard[[#This Row],[idp_loc_hh]]+Dashboard[[#This Row],[ref_loc_hh]]+Dashboard[[#This Row],[ret_loc_hh]]</f>
        <v>0</v>
      </c>
      <c r="CD538" s="2">
        <f>Dashboard[[#This Row],[idp_cc_hh]]+Dashboard[[#This Row],[ref_cc_hh]]+Dashboard[[#This Row],[ret_cc_hh]]</f>
        <v>1</v>
      </c>
      <c r="CE538" s="2">
        <f>Dashboard[[#This Row],[idp_as_hh]]+Dashboard[[#This Row],[ref_as_hh]]+Dashboard[[#This Row],[ret_as_hh]]</f>
        <v>28</v>
      </c>
      <c r="CF538" s="2">
        <f>Dashboard[[#This Row],[idp_al_hh]]+Dashboard[[#This Row],[ref_al_hh]]+Dashboard[[#This Row],[ret_al_hh]]</f>
        <v>0</v>
      </c>
    </row>
    <row r="539" spans="1:84" x14ac:dyDescent="0.25">
      <c r="A539" s="27">
        <v>620</v>
      </c>
      <c r="B539" s="2" t="s">
        <v>22</v>
      </c>
      <c r="C539" s="2" t="s">
        <v>23</v>
      </c>
      <c r="D539" s="2" t="s">
        <v>184</v>
      </c>
      <c r="E539" s="2" t="s">
        <v>183</v>
      </c>
      <c r="F539" s="2" t="s">
        <v>471</v>
      </c>
      <c r="G539" s="2" t="s">
        <v>472</v>
      </c>
      <c r="H539" s="2" t="s">
        <v>1326</v>
      </c>
      <c r="I539" s="2" t="s">
        <v>476</v>
      </c>
      <c r="J539" s="2" t="s">
        <v>3212</v>
      </c>
      <c r="K539" s="2" t="s">
        <v>3213</v>
      </c>
      <c r="L539" s="2" t="s">
        <v>2074</v>
      </c>
      <c r="M539" s="2">
        <v>3000</v>
      </c>
      <c r="N539" s="2" t="s">
        <v>1658</v>
      </c>
      <c r="O539" s="2">
        <v>37</v>
      </c>
      <c r="P539" s="2">
        <v>196</v>
      </c>
      <c r="Q539" s="2" t="s">
        <v>1658</v>
      </c>
      <c r="R539" s="2">
        <v>18</v>
      </c>
      <c r="S539" s="2" t="s">
        <v>1660</v>
      </c>
      <c r="T539" s="2">
        <v>0</v>
      </c>
      <c r="U539" s="2" t="s">
        <v>32</v>
      </c>
      <c r="V539" s="2" t="s">
        <v>32</v>
      </c>
      <c r="W539" s="2" t="s">
        <v>1660</v>
      </c>
      <c r="X539" s="2">
        <v>0</v>
      </c>
      <c r="Y539" s="2" t="s">
        <v>32</v>
      </c>
      <c r="Z539" s="2" t="s">
        <v>32</v>
      </c>
      <c r="AA539" s="2" t="s">
        <v>1658</v>
      </c>
      <c r="AB539" s="2">
        <v>19</v>
      </c>
      <c r="AC539" s="2" t="s">
        <v>1660</v>
      </c>
      <c r="AD539" s="2">
        <v>0</v>
      </c>
      <c r="AE539" s="2" t="s">
        <v>1660</v>
      </c>
      <c r="AF539" s="2">
        <v>0</v>
      </c>
      <c r="AG539" s="2">
        <v>0</v>
      </c>
      <c r="AH539" s="2" t="s">
        <v>32</v>
      </c>
      <c r="AI539" s="2" t="s">
        <v>32</v>
      </c>
      <c r="AJ539" s="2" t="s">
        <v>32</v>
      </c>
      <c r="AK539" s="2" t="s">
        <v>32</v>
      </c>
      <c r="AL539" s="2" t="s">
        <v>32</v>
      </c>
      <c r="AM539" s="2">
        <v>0</v>
      </c>
      <c r="AN539" s="2" t="s">
        <v>32</v>
      </c>
      <c r="AO539" s="2">
        <v>0</v>
      </c>
      <c r="AP539" s="2" t="s">
        <v>32</v>
      </c>
      <c r="AQ539" s="2" t="s">
        <v>32</v>
      </c>
      <c r="AR539" s="2" t="s">
        <v>32</v>
      </c>
      <c r="AS539" s="2">
        <v>0</v>
      </c>
      <c r="AT539" s="2" t="s">
        <v>32</v>
      </c>
      <c r="AU539" s="2" t="s">
        <v>32</v>
      </c>
      <c r="AV539" s="2" t="s">
        <v>32</v>
      </c>
      <c r="AW539" s="2">
        <v>0</v>
      </c>
      <c r="AX539" s="2" t="s">
        <v>32</v>
      </c>
      <c r="AY539" s="2">
        <v>0</v>
      </c>
      <c r="AZ539" s="2" t="s">
        <v>1660</v>
      </c>
      <c r="BA539" s="2">
        <v>0</v>
      </c>
      <c r="BB539" s="2">
        <v>0</v>
      </c>
      <c r="BC539" s="2" t="s">
        <v>32</v>
      </c>
      <c r="BD539" s="2">
        <v>0</v>
      </c>
      <c r="BE539" s="2" t="s">
        <v>32</v>
      </c>
      <c r="BF539" s="2">
        <v>0</v>
      </c>
      <c r="BG539" s="2" t="s">
        <v>32</v>
      </c>
      <c r="BH539" s="2">
        <v>0</v>
      </c>
      <c r="BI539" s="2" t="s">
        <v>32</v>
      </c>
      <c r="BJ539" s="2" t="s">
        <v>32</v>
      </c>
      <c r="BK539" s="2" t="s">
        <v>32</v>
      </c>
      <c r="BL539" s="2">
        <v>0</v>
      </c>
      <c r="BM539" s="2" t="s">
        <v>32</v>
      </c>
      <c r="BN539" s="2" t="s">
        <v>32</v>
      </c>
      <c r="BO539" s="2" t="s">
        <v>32</v>
      </c>
      <c r="BP539" s="2">
        <v>0</v>
      </c>
      <c r="BQ539" s="2" t="s">
        <v>32</v>
      </c>
      <c r="BR539" s="2">
        <v>0</v>
      </c>
      <c r="BS539" s="2" t="s">
        <v>1660</v>
      </c>
      <c r="BT539" s="2">
        <v>0</v>
      </c>
      <c r="BU539" s="2">
        <v>0</v>
      </c>
      <c r="BV539" s="2" t="s">
        <v>1660</v>
      </c>
      <c r="BW539" s="2"/>
      <c r="BX539" s="2"/>
      <c r="BY539" s="2" t="s">
        <v>1807</v>
      </c>
      <c r="BZ539" s="2" t="b">
        <f>OR( (Dashboard[[#This Row],[ref_as_hh]]&gt;=1),(Dashboard[[#This Row],[ret_as_hh]] &gt;=1), (Dashboard[[#This Row],[idp_as_hh]]&gt;=1))</f>
        <v>1</v>
      </c>
      <c r="CA539" s="2">
        <f>Dashboard[[#This Row],[ret_hi_hh]]</f>
        <v>0</v>
      </c>
      <c r="CB539" s="2">
        <f>Dashboard[[#This Row],[idp_fa_hh]]+Dashboard[[#This Row],[ref_fa_hh]]+Dashboard[[#This Row],[ret_fa_hh]]</f>
        <v>18</v>
      </c>
      <c r="CC539" s="2">
        <f>Dashboard[[#This Row],[idp_loc_hh]]+Dashboard[[#This Row],[ref_loc_hh]]+Dashboard[[#This Row],[ret_loc_hh]]</f>
        <v>0</v>
      </c>
      <c r="CD539" s="2">
        <f>Dashboard[[#This Row],[idp_cc_hh]]+Dashboard[[#This Row],[ref_cc_hh]]+Dashboard[[#This Row],[ret_cc_hh]]</f>
        <v>0</v>
      </c>
      <c r="CE539" s="2">
        <f>Dashboard[[#This Row],[idp_as_hh]]+Dashboard[[#This Row],[ref_as_hh]]+Dashboard[[#This Row],[ret_as_hh]]</f>
        <v>19</v>
      </c>
      <c r="CF539" s="2">
        <f>Dashboard[[#This Row],[idp_al_hh]]+Dashboard[[#This Row],[ref_al_hh]]+Dashboard[[#This Row],[ret_al_hh]]</f>
        <v>0</v>
      </c>
    </row>
    <row r="540" spans="1:84" x14ac:dyDescent="0.25">
      <c r="A540" s="27">
        <v>424</v>
      </c>
      <c r="B540" s="2" t="s">
        <v>22</v>
      </c>
      <c r="C540" s="2" t="s">
        <v>23</v>
      </c>
      <c r="D540" s="2" t="s">
        <v>184</v>
      </c>
      <c r="E540" s="2" t="s">
        <v>183</v>
      </c>
      <c r="F540" s="2" t="s">
        <v>471</v>
      </c>
      <c r="G540" s="2" t="s">
        <v>472</v>
      </c>
      <c r="H540" s="2" t="s">
        <v>1327</v>
      </c>
      <c r="I540" s="2" t="s">
        <v>477</v>
      </c>
      <c r="J540" s="2" t="s">
        <v>3214</v>
      </c>
      <c r="K540" s="2" t="s">
        <v>3215</v>
      </c>
      <c r="L540" s="2" t="s">
        <v>2074</v>
      </c>
      <c r="M540" s="2">
        <v>3000</v>
      </c>
      <c r="N540" s="2" t="s">
        <v>1658</v>
      </c>
      <c r="O540" s="2">
        <v>51</v>
      </c>
      <c r="P540" s="2">
        <v>324</v>
      </c>
      <c r="Q540" s="2" t="s">
        <v>1658</v>
      </c>
      <c r="R540" s="2">
        <v>20</v>
      </c>
      <c r="S540" s="2" t="s">
        <v>1660</v>
      </c>
      <c r="T540" s="2">
        <v>0</v>
      </c>
      <c r="U540" s="2" t="s">
        <v>32</v>
      </c>
      <c r="V540" s="2" t="s">
        <v>32</v>
      </c>
      <c r="W540" s="2" t="s">
        <v>1660</v>
      </c>
      <c r="X540" s="2">
        <v>0</v>
      </c>
      <c r="Y540" s="2" t="s">
        <v>32</v>
      </c>
      <c r="Z540" s="2" t="s">
        <v>32</v>
      </c>
      <c r="AA540" s="2" t="s">
        <v>1658</v>
      </c>
      <c r="AB540" s="2">
        <v>31</v>
      </c>
      <c r="AC540" s="2" t="s">
        <v>1660</v>
      </c>
      <c r="AD540" s="2">
        <v>0</v>
      </c>
      <c r="AE540" s="2" t="s">
        <v>1660</v>
      </c>
      <c r="AF540" s="2">
        <v>0</v>
      </c>
      <c r="AG540" s="2">
        <v>0</v>
      </c>
      <c r="AH540" s="2" t="s">
        <v>32</v>
      </c>
      <c r="AI540" s="2" t="s">
        <v>32</v>
      </c>
      <c r="AJ540" s="2" t="s">
        <v>32</v>
      </c>
      <c r="AK540" s="2" t="s">
        <v>32</v>
      </c>
      <c r="AL540" s="2" t="s">
        <v>32</v>
      </c>
      <c r="AM540" s="2">
        <v>0</v>
      </c>
      <c r="AN540" s="2" t="s">
        <v>32</v>
      </c>
      <c r="AO540" s="2">
        <v>0</v>
      </c>
      <c r="AP540" s="2" t="s">
        <v>32</v>
      </c>
      <c r="AQ540" s="2" t="s">
        <v>32</v>
      </c>
      <c r="AR540" s="2" t="s">
        <v>32</v>
      </c>
      <c r="AS540" s="2">
        <v>0</v>
      </c>
      <c r="AT540" s="2" t="s">
        <v>32</v>
      </c>
      <c r="AU540" s="2" t="s">
        <v>32</v>
      </c>
      <c r="AV540" s="2" t="s">
        <v>32</v>
      </c>
      <c r="AW540" s="2">
        <v>0</v>
      </c>
      <c r="AX540" s="2" t="s">
        <v>32</v>
      </c>
      <c r="AY540" s="2">
        <v>0</v>
      </c>
      <c r="AZ540" s="2" t="s">
        <v>1660</v>
      </c>
      <c r="BA540" s="2">
        <v>0</v>
      </c>
      <c r="BB540" s="2">
        <v>0</v>
      </c>
      <c r="BC540" s="2" t="s">
        <v>32</v>
      </c>
      <c r="BD540" s="2">
        <v>0</v>
      </c>
      <c r="BE540" s="2" t="s">
        <v>32</v>
      </c>
      <c r="BF540" s="2">
        <v>0</v>
      </c>
      <c r="BG540" s="2" t="s">
        <v>32</v>
      </c>
      <c r="BH540" s="2">
        <v>0</v>
      </c>
      <c r="BI540" s="2" t="s">
        <v>32</v>
      </c>
      <c r="BJ540" s="2" t="s">
        <v>32</v>
      </c>
      <c r="BK540" s="2" t="s">
        <v>32</v>
      </c>
      <c r="BL540" s="2">
        <v>0</v>
      </c>
      <c r="BM540" s="2" t="s">
        <v>32</v>
      </c>
      <c r="BN540" s="2" t="s">
        <v>32</v>
      </c>
      <c r="BO540" s="2" t="s">
        <v>32</v>
      </c>
      <c r="BP540" s="2">
        <v>0</v>
      </c>
      <c r="BQ540" s="2" t="s">
        <v>32</v>
      </c>
      <c r="BR540" s="2">
        <v>0</v>
      </c>
      <c r="BS540" s="2" t="s">
        <v>1660</v>
      </c>
      <c r="BT540" s="2">
        <v>0</v>
      </c>
      <c r="BU540" s="2">
        <v>0</v>
      </c>
      <c r="BV540" s="2" t="s">
        <v>1660</v>
      </c>
      <c r="BW540" s="2"/>
      <c r="BX540" s="2"/>
      <c r="BY540" s="2" t="s">
        <v>1807</v>
      </c>
      <c r="BZ540" s="2" t="b">
        <f>OR( (Dashboard[[#This Row],[ref_as_hh]]&gt;=1),(Dashboard[[#This Row],[ret_as_hh]] &gt;=1), (Dashboard[[#This Row],[idp_as_hh]]&gt;=1))</f>
        <v>1</v>
      </c>
      <c r="CA540" s="2">
        <f>Dashboard[[#This Row],[ret_hi_hh]]</f>
        <v>0</v>
      </c>
      <c r="CB540" s="2">
        <f>Dashboard[[#This Row],[idp_fa_hh]]+Dashboard[[#This Row],[ref_fa_hh]]+Dashboard[[#This Row],[ret_fa_hh]]</f>
        <v>20</v>
      </c>
      <c r="CC540" s="2">
        <f>Dashboard[[#This Row],[idp_loc_hh]]+Dashboard[[#This Row],[ref_loc_hh]]+Dashboard[[#This Row],[ret_loc_hh]]</f>
        <v>0</v>
      </c>
      <c r="CD540" s="2">
        <f>Dashboard[[#This Row],[idp_cc_hh]]+Dashboard[[#This Row],[ref_cc_hh]]+Dashboard[[#This Row],[ret_cc_hh]]</f>
        <v>0</v>
      </c>
      <c r="CE540" s="2">
        <f>Dashboard[[#This Row],[idp_as_hh]]+Dashboard[[#This Row],[ref_as_hh]]+Dashboard[[#This Row],[ret_as_hh]]</f>
        <v>31</v>
      </c>
      <c r="CF540" s="2">
        <f>Dashboard[[#This Row],[idp_al_hh]]+Dashboard[[#This Row],[ref_al_hh]]+Dashboard[[#This Row],[ret_al_hh]]</f>
        <v>0</v>
      </c>
    </row>
    <row r="541" spans="1:84" hidden="1" x14ac:dyDescent="0.25">
      <c r="A541" s="27">
        <v>190</v>
      </c>
      <c r="B541" s="2" t="s">
        <v>22</v>
      </c>
      <c r="C541" s="2" t="s">
        <v>23</v>
      </c>
      <c r="D541" s="2" t="s">
        <v>184</v>
      </c>
      <c r="E541" s="2" t="s">
        <v>183</v>
      </c>
      <c r="F541" s="2" t="s">
        <v>471</v>
      </c>
      <c r="G541" s="2" t="s">
        <v>472</v>
      </c>
      <c r="H541" s="2" t="s">
        <v>1533</v>
      </c>
      <c r="I541" s="2" t="s">
        <v>638</v>
      </c>
      <c r="J541" s="2" t="s">
        <v>3210</v>
      </c>
      <c r="K541" s="2" t="s">
        <v>3211</v>
      </c>
      <c r="L541" s="2" t="s">
        <v>3693</v>
      </c>
      <c r="M541" s="2">
        <v>10000</v>
      </c>
      <c r="N541" s="2" t="s">
        <v>1660</v>
      </c>
      <c r="O541" s="2">
        <v>0</v>
      </c>
      <c r="P541" s="2">
        <v>0</v>
      </c>
      <c r="Q541" s="2" t="s">
        <v>32</v>
      </c>
      <c r="R541" s="2">
        <v>0</v>
      </c>
      <c r="S541" s="2" t="s">
        <v>32</v>
      </c>
      <c r="T541" s="2">
        <v>0</v>
      </c>
      <c r="U541" s="2" t="s">
        <v>32</v>
      </c>
      <c r="V541" s="2" t="s">
        <v>32</v>
      </c>
      <c r="W541" s="2" t="s">
        <v>32</v>
      </c>
      <c r="X541" s="2">
        <v>0</v>
      </c>
      <c r="Y541" s="2" t="s">
        <v>32</v>
      </c>
      <c r="Z541" s="2" t="s">
        <v>32</v>
      </c>
      <c r="AA541" s="2" t="s">
        <v>32</v>
      </c>
      <c r="AB541" s="2">
        <v>0</v>
      </c>
      <c r="AC541" s="2" t="s">
        <v>32</v>
      </c>
      <c r="AD541" s="2">
        <v>0</v>
      </c>
      <c r="AE541" s="2" t="s">
        <v>1658</v>
      </c>
      <c r="AF541" s="2">
        <v>25</v>
      </c>
      <c r="AG541" s="2">
        <v>119</v>
      </c>
      <c r="AH541" s="2" t="s">
        <v>1660</v>
      </c>
      <c r="AI541" s="2" t="s">
        <v>32</v>
      </c>
      <c r="AJ541" s="2" t="s">
        <v>32</v>
      </c>
      <c r="AK541" s="2" t="s">
        <v>32</v>
      </c>
      <c r="AL541" s="2" t="s">
        <v>1658</v>
      </c>
      <c r="AM541" s="2">
        <v>10</v>
      </c>
      <c r="AN541" s="2" t="s">
        <v>1658</v>
      </c>
      <c r="AO541" s="2">
        <v>15</v>
      </c>
      <c r="AP541" s="2" t="s">
        <v>1659</v>
      </c>
      <c r="AQ541" s="2" t="s">
        <v>32</v>
      </c>
      <c r="AR541" s="2" t="s">
        <v>1660</v>
      </c>
      <c r="AS541" s="2">
        <v>0</v>
      </c>
      <c r="AT541" s="2" t="s">
        <v>32</v>
      </c>
      <c r="AU541" s="2" t="s">
        <v>32</v>
      </c>
      <c r="AV541" s="2" t="s">
        <v>1660</v>
      </c>
      <c r="AW541" s="2">
        <v>0</v>
      </c>
      <c r="AX541" s="2" t="s">
        <v>1660</v>
      </c>
      <c r="AY541" s="2">
        <v>0</v>
      </c>
      <c r="AZ541" s="2" t="s">
        <v>1658</v>
      </c>
      <c r="BA541" s="2">
        <v>7</v>
      </c>
      <c r="BB541" s="2">
        <v>41</v>
      </c>
      <c r="BC541" s="2" t="s">
        <v>1660</v>
      </c>
      <c r="BD541" s="2">
        <v>0</v>
      </c>
      <c r="BE541" s="2" t="s">
        <v>1658</v>
      </c>
      <c r="BF541" s="2">
        <v>5</v>
      </c>
      <c r="BG541" s="2" t="s">
        <v>1658</v>
      </c>
      <c r="BH541" s="2">
        <v>2</v>
      </c>
      <c r="BI541" s="2" t="s">
        <v>1661</v>
      </c>
      <c r="BJ541" s="2" t="s">
        <v>32</v>
      </c>
      <c r="BK541" s="2" t="s">
        <v>1660</v>
      </c>
      <c r="BL541" s="2">
        <v>0</v>
      </c>
      <c r="BM541" s="2" t="s">
        <v>32</v>
      </c>
      <c r="BN541" s="2" t="s">
        <v>32</v>
      </c>
      <c r="BO541" s="2" t="s">
        <v>1660</v>
      </c>
      <c r="BP541" s="2">
        <v>0</v>
      </c>
      <c r="BQ541" s="2" t="s">
        <v>1660</v>
      </c>
      <c r="BR541" s="2">
        <v>0</v>
      </c>
      <c r="BS541" s="2" t="s">
        <v>1660</v>
      </c>
      <c r="BT541" s="2">
        <v>0</v>
      </c>
      <c r="BU541" s="2">
        <v>0</v>
      </c>
      <c r="BV541" s="2" t="s">
        <v>1660</v>
      </c>
      <c r="BW541" s="2"/>
      <c r="BX541" s="2"/>
      <c r="BY541" s="2" t="s">
        <v>1807</v>
      </c>
      <c r="BZ541" s="2" t="b">
        <f>OR( (Dashboard[[#This Row],[ref_as_hh]]&gt;=1),(Dashboard[[#This Row],[ret_as_hh]] &gt;=1), (Dashboard[[#This Row],[idp_as_hh]]&gt;=1))</f>
        <v>0</v>
      </c>
      <c r="CA541" s="2">
        <f>Dashboard[[#This Row],[ret_hi_hh]]</f>
        <v>0</v>
      </c>
      <c r="CB541" s="2">
        <f>Dashboard[[#This Row],[idp_fa_hh]]+Dashboard[[#This Row],[ref_fa_hh]]+Dashboard[[#This Row],[ret_fa_hh]]</f>
        <v>15</v>
      </c>
      <c r="CC541" s="2">
        <f>Dashboard[[#This Row],[idp_loc_hh]]+Dashboard[[#This Row],[ref_loc_hh]]+Dashboard[[#This Row],[ret_loc_hh]]</f>
        <v>17</v>
      </c>
      <c r="CD541" s="2">
        <f>Dashboard[[#This Row],[idp_cc_hh]]+Dashboard[[#This Row],[ref_cc_hh]]+Dashboard[[#This Row],[ret_cc_hh]]</f>
        <v>0</v>
      </c>
      <c r="CE541" s="2">
        <f>Dashboard[[#This Row],[idp_as_hh]]+Dashboard[[#This Row],[ref_as_hh]]+Dashboard[[#This Row],[ret_as_hh]]</f>
        <v>0</v>
      </c>
      <c r="CF541" s="2">
        <f>Dashboard[[#This Row],[idp_al_hh]]+Dashboard[[#This Row],[ref_al_hh]]+Dashboard[[#This Row],[ret_al_hh]]</f>
        <v>0</v>
      </c>
    </row>
    <row r="542" spans="1:84" hidden="1" x14ac:dyDescent="0.25">
      <c r="A542" s="27">
        <v>595</v>
      </c>
      <c r="B542" s="2" t="s">
        <v>22</v>
      </c>
      <c r="C542" s="2" t="s">
        <v>23</v>
      </c>
      <c r="D542" s="2" t="s">
        <v>218</v>
      </c>
      <c r="E542" s="2" t="s">
        <v>217</v>
      </c>
      <c r="F542" s="2" t="s">
        <v>676</v>
      </c>
      <c r="G542" s="2" t="s">
        <v>677</v>
      </c>
      <c r="H542" s="2" t="s">
        <v>1574</v>
      </c>
      <c r="I542" s="2" t="s">
        <v>680</v>
      </c>
      <c r="J542" s="2" t="s">
        <v>3282</v>
      </c>
      <c r="K542" s="2" t="s">
        <v>3283</v>
      </c>
      <c r="L542" s="2" t="s">
        <v>2074</v>
      </c>
      <c r="M542" s="2">
        <v>3600</v>
      </c>
      <c r="N542" s="2" t="s">
        <v>1660</v>
      </c>
      <c r="O542" s="2">
        <v>0</v>
      </c>
      <c r="P542" s="2">
        <v>0</v>
      </c>
      <c r="Q542" s="2" t="s">
        <v>32</v>
      </c>
      <c r="R542" s="2">
        <v>0</v>
      </c>
      <c r="S542" s="2" t="s">
        <v>32</v>
      </c>
      <c r="T542" s="2">
        <v>0</v>
      </c>
      <c r="U542" s="2" t="s">
        <v>32</v>
      </c>
      <c r="V542" s="2" t="s">
        <v>32</v>
      </c>
      <c r="W542" s="2" t="s">
        <v>32</v>
      </c>
      <c r="X542" s="2">
        <v>0</v>
      </c>
      <c r="Y542" s="2" t="s">
        <v>32</v>
      </c>
      <c r="Z542" s="2" t="s">
        <v>32</v>
      </c>
      <c r="AA542" s="2" t="s">
        <v>32</v>
      </c>
      <c r="AB542" s="2">
        <v>0</v>
      </c>
      <c r="AC542" s="2" t="s">
        <v>32</v>
      </c>
      <c r="AD542" s="2">
        <v>0</v>
      </c>
      <c r="AE542" s="2" t="s">
        <v>1660</v>
      </c>
      <c r="AF542" s="2">
        <v>0</v>
      </c>
      <c r="AG542" s="2">
        <v>0</v>
      </c>
      <c r="AH542" s="2" t="s">
        <v>32</v>
      </c>
      <c r="AI542" s="2" t="s">
        <v>32</v>
      </c>
      <c r="AJ542" s="2" t="s">
        <v>32</v>
      </c>
      <c r="AK542" s="2" t="s">
        <v>32</v>
      </c>
      <c r="AL542" s="2" t="s">
        <v>32</v>
      </c>
      <c r="AM542" s="2">
        <v>0</v>
      </c>
      <c r="AN542" s="2" t="s">
        <v>32</v>
      </c>
      <c r="AO542" s="2">
        <v>0</v>
      </c>
      <c r="AP542" s="2" t="s">
        <v>32</v>
      </c>
      <c r="AQ542" s="2" t="s">
        <v>32</v>
      </c>
      <c r="AR542" s="2" t="s">
        <v>32</v>
      </c>
      <c r="AS542" s="2">
        <v>0</v>
      </c>
      <c r="AT542" s="2" t="s">
        <v>32</v>
      </c>
      <c r="AU542" s="2" t="s">
        <v>32</v>
      </c>
      <c r="AV542" s="2" t="s">
        <v>32</v>
      </c>
      <c r="AW542" s="2">
        <v>0</v>
      </c>
      <c r="AX542" s="2" t="s">
        <v>32</v>
      </c>
      <c r="AY542" s="2">
        <v>0</v>
      </c>
      <c r="AZ542" s="2" t="s">
        <v>1658</v>
      </c>
      <c r="BA542" s="2">
        <v>2</v>
      </c>
      <c r="BB542" s="2">
        <v>42</v>
      </c>
      <c r="BC542" s="2" t="s">
        <v>1660</v>
      </c>
      <c r="BD542" s="2">
        <v>0</v>
      </c>
      <c r="BE542" s="2" t="s">
        <v>1658</v>
      </c>
      <c r="BF542" s="2">
        <v>2</v>
      </c>
      <c r="BG542" s="2" t="s">
        <v>1660</v>
      </c>
      <c r="BH542" s="2">
        <v>0</v>
      </c>
      <c r="BI542" s="2" t="s">
        <v>32</v>
      </c>
      <c r="BJ542" s="2" t="s">
        <v>32</v>
      </c>
      <c r="BK542" s="2" t="s">
        <v>1660</v>
      </c>
      <c r="BL542" s="2">
        <v>0</v>
      </c>
      <c r="BM542" s="2" t="s">
        <v>32</v>
      </c>
      <c r="BN542" s="2" t="s">
        <v>32</v>
      </c>
      <c r="BO542" s="2" t="s">
        <v>1660</v>
      </c>
      <c r="BP542" s="2">
        <v>0</v>
      </c>
      <c r="BQ542" s="2" t="s">
        <v>1660</v>
      </c>
      <c r="BR542" s="2">
        <v>0</v>
      </c>
      <c r="BS542" s="2" t="s">
        <v>1660</v>
      </c>
      <c r="BT542" s="2">
        <v>0</v>
      </c>
      <c r="BU542" s="2">
        <v>0</v>
      </c>
      <c r="BV542" s="2" t="s">
        <v>1660</v>
      </c>
      <c r="BW542" s="2"/>
      <c r="BX542" s="2"/>
      <c r="BY542" s="2" t="s">
        <v>1807</v>
      </c>
      <c r="BZ542" s="2" t="b">
        <f>OR( (Dashboard[[#This Row],[ref_as_hh]]&gt;=1),(Dashboard[[#This Row],[ret_as_hh]] &gt;=1), (Dashboard[[#This Row],[idp_as_hh]]&gt;=1))</f>
        <v>0</v>
      </c>
      <c r="CA542" s="2">
        <f>Dashboard[[#This Row],[ret_hi_hh]]</f>
        <v>0</v>
      </c>
      <c r="CB542" s="2">
        <f>Dashboard[[#This Row],[idp_fa_hh]]+Dashboard[[#This Row],[ref_fa_hh]]+Dashboard[[#This Row],[ret_fa_hh]]</f>
        <v>2</v>
      </c>
      <c r="CC542" s="2">
        <f>Dashboard[[#This Row],[idp_loc_hh]]+Dashboard[[#This Row],[ref_loc_hh]]+Dashboard[[#This Row],[ret_loc_hh]]</f>
        <v>0</v>
      </c>
      <c r="CD542" s="2">
        <f>Dashboard[[#This Row],[idp_cc_hh]]+Dashboard[[#This Row],[ref_cc_hh]]+Dashboard[[#This Row],[ret_cc_hh]]</f>
        <v>0</v>
      </c>
      <c r="CE542" s="2">
        <f>Dashboard[[#This Row],[idp_as_hh]]+Dashboard[[#This Row],[ref_as_hh]]+Dashboard[[#This Row],[ret_as_hh]]</f>
        <v>0</v>
      </c>
      <c r="CF542" s="2">
        <f>Dashboard[[#This Row],[idp_al_hh]]+Dashboard[[#This Row],[ref_al_hh]]+Dashboard[[#This Row],[ret_al_hh]]</f>
        <v>0</v>
      </c>
    </row>
    <row r="543" spans="1:84" hidden="1" x14ac:dyDescent="0.25">
      <c r="A543" s="27">
        <v>440</v>
      </c>
      <c r="B543" s="2" t="s">
        <v>22</v>
      </c>
      <c r="C543" s="2" t="s">
        <v>23</v>
      </c>
      <c r="D543" s="2" t="s">
        <v>218</v>
      </c>
      <c r="E543" s="2" t="s">
        <v>217</v>
      </c>
      <c r="F543" s="2" t="s">
        <v>676</v>
      </c>
      <c r="G543" s="2" t="s">
        <v>677</v>
      </c>
      <c r="H543" s="2" t="s">
        <v>1572</v>
      </c>
      <c r="I543" s="2" t="s">
        <v>678</v>
      </c>
      <c r="J543" s="2" t="s">
        <v>3278</v>
      </c>
      <c r="K543" s="2" t="s">
        <v>3279</v>
      </c>
      <c r="L543" s="2" t="s">
        <v>2074</v>
      </c>
      <c r="M543" s="2">
        <v>1200</v>
      </c>
      <c r="N543" s="2" t="s">
        <v>1660</v>
      </c>
      <c r="O543" s="2">
        <v>0</v>
      </c>
      <c r="P543" s="2">
        <v>0</v>
      </c>
      <c r="Q543" s="2" t="s">
        <v>32</v>
      </c>
      <c r="R543" s="2">
        <v>0</v>
      </c>
      <c r="S543" s="2" t="s">
        <v>32</v>
      </c>
      <c r="T543" s="2">
        <v>0</v>
      </c>
      <c r="U543" s="2" t="s">
        <v>32</v>
      </c>
      <c r="V543" s="2" t="s">
        <v>32</v>
      </c>
      <c r="W543" s="2" t="s">
        <v>32</v>
      </c>
      <c r="X543" s="2">
        <v>0</v>
      </c>
      <c r="Y543" s="2" t="s">
        <v>32</v>
      </c>
      <c r="Z543" s="2" t="s">
        <v>32</v>
      </c>
      <c r="AA543" s="2" t="s">
        <v>32</v>
      </c>
      <c r="AB543" s="2">
        <v>0</v>
      </c>
      <c r="AC543" s="2" t="s">
        <v>32</v>
      </c>
      <c r="AD543" s="2">
        <v>0</v>
      </c>
      <c r="AE543" s="2" t="s">
        <v>1660</v>
      </c>
      <c r="AF543" s="2">
        <v>0</v>
      </c>
      <c r="AG543" s="2">
        <v>0</v>
      </c>
      <c r="AH543" s="2" t="s">
        <v>32</v>
      </c>
      <c r="AI543" s="2" t="s">
        <v>32</v>
      </c>
      <c r="AJ543" s="2" t="s">
        <v>32</v>
      </c>
      <c r="AK543" s="2" t="s">
        <v>32</v>
      </c>
      <c r="AL543" s="2" t="s">
        <v>32</v>
      </c>
      <c r="AM543" s="2">
        <v>0</v>
      </c>
      <c r="AN543" s="2" t="s">
        <v>32</v>
      </c>
      <c r="AO543" s="2">
        <v>0</v>
      </c>
      <c r="AP543" s="2" t="s">
        <v>32</v>
      </c>
      <c r="AQ543" s="2" t="s">
        <v>32</v>
      </c>
      <c r="AR543" s="2" t="s">
        <v>32</v>
      </c>
      <c r="AS543" s="2">
        <v>0</v>
      </c>
      <c r="AT543" s="2" t="s">
        <v>32</v>
      </c>
      <c r="AU543" s="2" t="s">
        <v>32</v>
      </c>
      <c r="AV543" s="2" t="s">
        <v>32</v>
      </c>
      <c r="AW543" s="2">
        <v>0</v>
      </c>
      <c r="AX543" s="2" t="s">
        <v>32</v>
      </c>
      <c r="AY543" s="2">
        <v>0</v>
      </c>
      <c r="AZ543" s="2" t="s">
        <v>1658</v>
      </c>
      <c r="BA543" s="2">
        <v>1</v>
      </c>
      <c r="BB543" s="2">
        <v>6</v>
      </c>
      <c r="BC543" s="2" t="s">
        <v>1660</v>
      </c>
      <c r="BD543" s="2">
        <v>0</v>
      </c>
      <c r="BE543" s="2" t="s">
        <v>1658</v>
      </c>
      <c r="BF543" s="2">
        <v>1</v>
      </c>
      <c r="BG543" s="2" t="s">
        <v>1660</v>
      </c>
      <c r="BH543" s="2">
        <v>0</v>
      </c>
      <c r="BI543" s="2" t="s">
        <v>32</v>
      </c>
      <c r="BJ543" s="2" t="s">
        <v>32</v>
      </c>
      <c r="BK543" s="2" t="s">
        <v>1660</v>
      </c>
      <c r="BL543" s="2">
        <v>0</v>
      </c>
      <c r="BM543" s="2" t="s">
        <v>32</v>
      </c>
      <c r="BN543" s="2" t="s">
        <v>32</v>
      </c>
      <c r="BO543" s="2" t="s">
        <v>1660</v>
      </c>
      <c r="BP543" s="2">
        <v>0</v>
      </c>
      <c r="BQ543" s="2" t="s">
        <v>1660</v>
      </c>
      <c r="BR543" s="2">
        <v>0</v>
      </c>
      <c r="BS543" s="2" t="s">
        <v>1660</v>
      </c>
      <c r="BT543" s="2">
        <v>0</v>
      </c>
      <c r="BU543" s="2">
        <v>0</v>
      </c>
      <c r="BV543" s="2" t="s">
        <v>1660</v>
      </c>
      <c r="BW543" s="2"/>
      <c r="BX543" s="2"/>
      <c r="BY543" s="2" t="s">
        <v>1807</v>
      </c>
      <c r="BZ543" s="2" t="b">
        <f>OR( (Dashboard[[#This Row],[ref_as_hh]]&gt;=1),(Dashboard[[#This Row],[ret_as_hh]] &gt;=1), (Dashboard[[#This Row],[idp_as_hh]]&gt;=1))</f>
        <v>0</v>
      </c>
      <c r="CA543" s="2">
        <f>Dashboard[[#This Row],[ret_hi_hh]]</f>
        <v>0</v>
      </c>
      <c r="CB543" s="2">
        <f>Dashboard[[#This Row],[idp_fa_hh]]+Dashboard[[#This Row],[ref_fa_hh]]+Dashboard[[#This Row],[ret_fa_hh]]</f>
        <v>1</v>
      </c>
      <c r="CC543" s="2">
        <f>Dashboard[[#This Row],[idp_loc_hh]]+Dashboard[[#This Row],[ref_loc_hh]]+Dashboard[[#This Row],[ret_loc_hh]]</f>
        <v>0</v>
      </c>
      <c r="CD543" s="2">
        <f>Dashboard[[#This Row],[idp_cc_hh]]+Dashboard[[#This Row],[ref_cc_hh]]+Dashboard[[#This Row],[ret_cc_hh]]</f>
        <v>0</v>
      </c>
      <c r="CE543" s="2">
        <f>Dashboard[[#This Row],[idp_as_hh]]+Dashboard[[#This Row],[ref_as_hh]]+Dashboard[[#This Row],[ret_as_hh]]</f>
        <v>0</v>
      </c>
      <c r="CF543" s="2">
        <f>Dashboard[[#This Row],[idp_al_hh]]+Dashboard[[#This Row],[ref_al_hh]]+Dashboard[[#This Row],[ret_al_hh]]</f>
        <v>0</v>
      </c>
    </row>
    <row r="544" spans="1:84" hidden="1" x14ac:dyDescent="0.25">
      <c r="A544" s="27">
        <v>441</v>
      </c>
      <c r="B544" s="2" t="s">
        <v>22</v>
      </c>
      <c r="C544" s="2" t="s">
        <v>23</v>
      </c>
      <c r="D544" s="2" t="s">
        <v>218</v>
      </c>
      <c r="E544" s="2" t="s">
        <v>217</v>
      </c>
      <c r="F544" s="2" t="s">
        <v>676</v>
      </c>
      <c r="G544" s="2" t="s">
        <v>677</v>
      </c>
      <c r="H544" s="2" t="s">
        <v>1573</v>
      </c>
      <c r="I544" s="2" t="s">
        <v>679</v>
      </c>
      <c r="J544" s="2" t="s">
        <v>3280</v>
      </c>
      <c r="K544" s="2" t="s">
        <v>3281</v>
      </c>
      <c r="L544" s="2" t="s">
        <v>2074</v>
      </c>
      <c r="M544" s="2">
        <v>2500</v>
      </c>
      <c r="N544" s="2" t="s">
        <v>1660</v>
      </c>
      <c r="O544" s="2">
        <v>0</v>
      </c>
      <c r="P544" s="2">
        <v>0</v>
      </c>
      <c r="Q544" s="2" t="s">
        <v>32</v>
      </c>
      <c r="R544" s="2">
        <v>0</v>
      </c>
      <c r="S544" s="2" t="s">
        <v>32</v>
      </c>
      <c r="T544" s="2">
        <v>0</v>
      </c>
      <c r="U544" s="2" t="s">
        <v>32</v>
      </c>
      <c r="V544" s="2" t="s">
        <v>32</v>
      </c>
      <c r="W544" s="2" t="s">
        <v>32</v>
      </c>
      <c r="X544" s="2">
        <v>0</v>
      </c>
      <c r="Y544" s="2" t="s">
        <v>32</v>
      </c>
      <c r="Z544" s="2" t="s">
        <v>32</v>
      </c>
      <c r="AA544" s="2" t="s">
        <v>32</v>
      </c>
      <c r="AB544" s="2">
        <v>0</v>
      </c>
      <c r="AC544" s="2" t="s">
        <v>32</v>
      </c>
      <c r="AD544" s="2">
        <v>0</v>
      </c>
      <c r="AE544" s="2" t="s">
        <v>1660</v>
      </c>
      <c r="AF544" s="2">
        <v>0</v>
      </c>
      <c r="AG544" s="2">
        <v>0</v>
      </c>
      <c r="AH544" s="2" t="s">
        <v>32</v>
      </c>
      <c r="AI544" s="2" t="s">
        <v>32</v>
      </c>
      <c r="AJ544" s="2" t="s">
        <v>32</v>
      </c>
      <c r="AK544" s="2" t="s">
        <v>32</v>
      </c>
      <c r="AL544" s="2" t="s">
        <v>32</v>
      </c>
      <c r="AM544" s="2">
        <v>0</v>
      </c>
      <c r="AN544" s="2" t="s">
        <v>32</v>
      </c>
      <c r="AO544" s="2">
        <v>0</v>
      </c>
      <c r="AP544" s="2" t="s">
        <v>32</v>
      </c>
      <c r="AQ544" s="2" t="s">
        <v>32</v>
      </c>
      <c r="AR544" s="2" t="s">
        <v>32</v>
      </c>
      <c r="AS544" s="2">
        <v>0</v>
      </c>
      <c r="AT544" s="2" t="s">
        <v>32</v>
      </c>
      <c r="AU544" s="2" t="s">
        <v>32</v>
      </c>
      <c r="AV544" s="2" t="s">
        <v>32</v>
      </c>
      <c r="AW544" s="2">
        <v>0</v>
      </c>
      <c r="AX544" s="2" t="s">
        <v>32</v>
      </c>
      <c r="AY544" s="2">
        <v>0</v>
      </c>
      <c r="AZ544" s="2" t="s">
        <v>1658</v>
      </c>
      <c r="BA544" s="2">
        <v>1</v>
      </c>
      <c r="BB544" s="2">
        <v>4</v>
      </c>
      <c r="BC544" s="2" t="s">
        <v>1660</v>
      </c>
      <c r="BD544" s="2">
        <v>0</v>
      </c>
      <c r="BE544" s="2" t="s">
        <v>1658</v>
      </c>
      <c r="BF544" s="2">
        <v>1</v>
      </c>
      <c r="BG544" s="2" t="s">
        <v>1660</v>
      </c>
      <c r="BH544" s="2">
        <v>0</v>
      </c>
      <c r="BI544" s="2" t="s">
        <v>32</v>
      </c>
      <c r="BJ544" s="2" t="s">
        <v>32</v>
      </c>
      <c r="BK544" s="2" t="s">
        <v>1660</v>
      </c>
      <c r="BL544" s="2">
        <v>0</v>
      </c>
      <c r="BM544" s="2" t="s">
        <v>32</v>
      </c>
      <c r="BN544" s="2" t="s">
        <v>32</v>
      </c>
      <c r="BO544" s="2" t="s">
        <v>1660</v>
      </c>
      <c r="BP544" s="2">
        <v>0</v>
      </c>
      <c r="BQ544" s="2" t="s">
        <v>1660</v>
      </c>
      <c r="BR544" s="2">
        <v>0</v>
      </c>
      <c r="BS544" s="2" t="s">
        <v>1660</v>
      </c>
      <c r="BT544" s="2">
        <v>0</v>
      </c>
      <c r="BU544" s="2">
        <v>0</v>
      </c>
      <c r="BV544" s="2" t="s">
        <v>1660</v>
      </c>
      <c r="BW544" s="2"/>
      <c r="BX544" s="2"/>
      <c r="BY544" s="2" t="s">
        <v>1807</v>
      </c>
      <c r="BZ544" s="2" t="b">
        <f>OR( (Dashboard[[#This Row],[ref_as_hh]]&gt;=1),(Dashboard[[#This Row],[ret_as_hh]] &gt;=1), (Dashboard[[#This Row],[idp_as_hh]]&gt;=1))</f>
        <v>0</v>
      </c>
      <c r="CA544" s="2">
        <f>Dashboard[[#This Row],[ret_hi_hh]]</f>
        <v>0</v>
      </c>
      <c r="CB544" s="2">
        <f>Dashboard[[#This Row],[idp_fa_hh]]+Dashboard[[#This Row],[ref_fa_hh]]+Dashboard[[#This Row],[ret_fa_hh]]</f>
        <v>1</v>
      </c>
      <c r="CC544" s="2">
        <f>Dashboard[[#This Row],[idp_loc_hh]]+Dashboard[[#This Row],[ref_loc_hh]]+Dashboard[[#This Row],[ret_loc_hh]]</f>
        <v>0</v>
      </c>
      <c r="CD544" s="2">
        <f>Dashboard[[#This Row],[idp_cc_hh]]+Dashboard[[#This Row],[ref_cc_hh]]+Dashboard[[#This Row],[ret_cc_hh]]</f>
        <v>0</v>
      </c>
      <c r="CE544" s="2">
        <f>Dashboard[[#This Row],[idp_as_hh]]+Dashboard[[#This Row],[ref_as_hh]]+Dashboard[[#This Row],[ret_as_hh]]</f>
        <v>0</v>
      </c>
      <c r="CF544" s="2">
        <f>Dashboard[[#This Row],[idp_al_hh]]+Dashboard[[#This Row],[ref_al_hh]]+Dashboard[[#This Row],[ret_al_hh]]</f>
        <v>0</v>
      </c>
    </row>
    <row r="545" spans="1:84" hidden="1" x14ac:dyDescent="0.25">
      <c r="A545" s="27">
        <v>501</v>
      </c>
      <c r="B545" s="2" t="s">
        <v>22</v>
      </c>
      <c r="C545" s="2" t="s">
        <v>23</v>
      </c>
      <c r="D545" s="2" t="s">
        <v>218</v>
      </c>
      <c r="E545" s="2" t="s">
        <v>217</v>
      </c>
      <c r="F545" s="2" t="s">
        <v>676</v>
      </c>
      <c r="G545" s="2" t="s">
        <v>677</v>
      </c>
      <c r="H545" s="2" t="s">
        <v>1576</v>
      </c>
      <c r="I545" s="2" t="s">
        <v>682</v>
      </c>
      <c r="J545" s="2" t="s">
        <v>3286</v>
      </c>
      <c r="K545" s="2" t="s">
        <v>3287</v>
      </c>
      <c r="L545" s="2" t="s">
        <v>3694</v>
      </c>
      <c r="M545" s="2">
        <v>1320</v>
      </c>
      <c r="N545" s="2" t="s">
        <v>1660</v>
      </c>
      <c r="O545" s="2">
        <v>0</v>
      </c>
      <c r="P545" s="2">
        <v>0</v>
      </c>
      <c r="Q545" s="2" t="s">
        <v>32</v>
      </c>
      <c r="R545" s="2">
        <v>0</v>
      </c>
      <c r="S545" s="2" t="s">
        <v>32</v>
      </c>
      <c r="T545" s="2">
        <v>0</v>
      </c>
      <c r="U545" s="2" t="s">
        <v>32</v>
      </c>
      <c r="V545" s="2" t="s">
        <v>32</v>
      </c>
      <c r="W545" s="2" t="s">
        <v>32</v>
      </c>
      <c r="X545" s="2">
        <v>0</v>
      </c>
      <c r="Y545" s="2" t="s">
        <v>32</v>
      </c>
      <c r="Z545" s="2" t="s">
        <v>32</v>
      </c>
      <c r="AA545" s="2" t="s">
        <v>32</v>
      </c>
      <c r="AB545" s="2">
        <v>0</v>
      </c>
      <c r="AC545" s="2" t="s">
        <v>32</v>
      </c>
      <c r="AD545" s="2">
        <v>0</v>
      </c>
      <c r="AE545" s="2" t="s">
        <v>1660</v>
      </c>
      <c r="AF545" s="2">
        <v>0</v>
      </c>
      <c r="AG545" s="2">
        <v>0</v>
      </c>
      <c r="AH545" s="2" t="s">
        <v>32</v>
      </c>
      <c r="AI545" s="2" t="s">
        <v>32</v>
      </c>
      <c r="AJ545" s="2" t="s">
        <v>32</v>
      </c>
      <c r="AK545" s="2" t="s">
        <v>32</v>
      </c>
      <c r="AL545" s="2" t="s">
        <v>32</v>
      </c>
      <c r="AM545" s="2">
        <v>0</v>
      </c>
      <c r="AN545" s="2" t="s">
        <v>32</v>
      </c>
      <c r="AO545" s="2">
        <v>0</v>
      </c>
      <c r="AP545" s="2" t="s">
        <v>32</v>
      </c>
      <c r="AQ545" s="2" t="s">
        <v>32</v>
      </c>
      <c r="AR545" s="2" t="s">
        <v>32</v>
      </c>
      <c r="AS545" s="2">
        <v>0</v>
      </c>
      <c r="AT545" s="2" t="s">
        <v>32</v>
      </c>
      <c r="AU545" s="2" t="s">
        <v>32</v>
      </c>
      <c r="AV545" s="2" t="s">
        <v>32</v>
      </c>
      <c r="AW545" s="2">
        <v>0</v>
      </c>
      <c r="AX545" s="2" t="s">
        <v>32</v>
      </c>
      <c r="AY545" s="2">
        <v>0</v>
      </c>
      <c r="AZ545" s="2" t="s">
        <v>1658</v>
      </c>
      <c r="BA545" s="2">
        <v>1</v>
      </c>
      <c r="BB545" s="2">
        <v>6</v>
      </c>
      <c r="BC545" s="2" t="s">
        <v>1660</v>
      </c>
      <c r="BD545" s="2">
        <v>0</v>
      </c>
      <c r="BE545" s="2" t="s">
        <v>1658</v>
      </c>
      <c r="BF545" s="2">
        <v>1</v>
      </c>
      <c r="BG545" s="2" t="s">
        <v>1660</v>
      </c>
      <c r="BH545" s="2">
        <v>0</v>
      </c>
      <c r="BI545" s="2" t="s">
        <v>32</v>
      </c>
      <c r="BJ545" s="2" t="s">
        <v>32</v>
      </c>
      <c r="BK545" s="2" t="s">
        <v>1660</v>
      </c>
      <c r="BL545" s="2">
        <v>0</v>
      </c>
      <c r="BM545" s="2" t="s">
        <v>32</v>
      </c>
      <c r="BN545" s="2" t="s">
        <v>32</v>
      </c>
      <c r="BO545" s="2" t="s">
        <v>1660</v>
      </c>
      <c r="BP545" s="2">
        <v>0</v>
      </c>
      <c r="BQ545" s="2" t="s">
        <v>1660</v>
      </c>
      <c r="BR545" s="2">
        <v>0</v>
      </c>
      <c r="BS545" s="2" t="s">
        <v>1660</v>
      </c>
      <c r="BT545" s="2">
        <v>0</v>
      </c>
      <c r="BU545" s="2">
        <v>0</v>
      </c>
      <c r="BV545" s="2" t="s">
        <v>1660</v>
      </c>
      <c r="BW545" s="2"/>
      <c r="BX545" s="2"/>
      <c r="BY545" s="2" t="s">
        <v>1807</v>
      </c>
      <c r="BZ545" s="2" t="b">
        <f>OR( (Dashboard[[#This Row],[ref_as_hh]]&gt;=1),(Dashboard[[#This Row],[ret_as_hh]] &gt;=1), (Dashboard[[#This Row],[idp_as_hh]]&gt;=1))</f>
        <v>0</v>
      </c>
      <c r="CA545" s="2">
        <f>Dashboard[[#This Row],[ret_hi_hh]]</f>
        <v>0</v>
      </c>
      <c r="CB545" s="2">
        <f>Dashboard[[#This Row],[idp_fa_hh]]+Dashboard[[#This Row],[ref_fa_hh]]+Dashboard[[#This Row],[ret_fa_hh]]</f>
        <v>1</v>
      </c>
      <c r="CC545" s="2">
        <f>Dashboard[[#This Row],[idp_loc_hh]]+Dashboard[[#This Row],[ref_loc_hh]]+Dashboard[[#This Row],[ret_loc_hh]]</f>
        <v>0</v>
      </c>
      <c r="CD545" s="2">
        <f>Dashboard[[#This Row],[idp_cc_hh]]+Dashboard[[#This Row],[ref_cc_hh]]+Dashboard[[#This Row],[ret_cc_hh]]</f>
        <v>0</v>
      </c>
      <c r="CE545" s="2">
        <f>Dashboard[[#This Row],[idp_as_hh]]+Dashboard[[#This Row],[ref_as_hh]]+Dashboard[[#This Row],[ret_as_hh]]</f>
        <v>0</v>
      </c>
      <c r="CF545" s="2">
        <f>Dashboard[[#This Row],[idp_al_hh]]+Dashboard[[#This Row],[ref_al_hh]]+Dashboard[[#This Row],[ret_al_hh]]</f>
        <v>0</v>
      </c>
    </row>
    <row r="546" spans="1:84" hidden="1" x14ac:dyDescent="0.25">
      <c r="A546" s="27">
        <v>510</v>
      </c>
      <c r="B546" s="2" t="s">
        <v>22</v>
      </c>
      <c r="C546" s="2" t="s">
        <v>23</v>
      </c>
      <c r="D546" s="2" t="s">
        <v>218</v>
      </c>
      <c r="E546" s="2" t="s">
        <v>217</v>
      </c>
      <c r="F546" s="2" t="s">
        <v>676</v>
      </c>
      <c r="G546" s="2" t="s">
        <v>677</v>
      </c>
      <c r="H546" s="2" t="s">
        <v>1575</v>
      </c>
      <c r="I546" s="2" t="s">
        <v>681</v>
      </c>
      <c r="J546" s="2" t="s">
        <v>3284</v>
      </c>
      <c r="K546" s="2" t="s">
        <v>3285</v>
      </c>
      <c r="L546" s="2" t="s">
        <v>2074</v>
      </c>
      <c r="M546" s="2">
        <v>900</v>
      </c>
      <c r="N546" s="2" t="s">
        <v>1660</v>
      </c>
      <c r="O546" s="2">
        <v>0</v>
      </c>
      <c r="P546" s="2">
        <v>0</v>
      </c>
      <c r="Q546" s="2" t="s">
        <v>32</v>
      </c>
      <c r="R546" s="2">
        <v>0</v>
      </c>
      <c r="S546" s="2" t="s">
        <v>32</v>
      </c>
      <c r="T546" s="2">
        <v>0</v>
      </c>
      <c r="U546" s="2" t="s">
        <v>32</v>
      </c>
      <c r="V546" s="2" t="s">
        <v>32</v>
      </c>
      <c r="W546" s="2" t="s">
        <v>32</v>
      </c>
      <c r="X546" s="2">
        <v>0</v>
      </c>
      <c r="Y546" s="2" t="s">
        <v>32</v>
      </c>
      <c r="Z546" s="2" t="s">
        <v>32</v>
      </c>
      <c r="AA546" s="2" t="s">
        <v>32</v>
      </c>
      <c r="AB546" s="2">
        <v>0</v>
      </c>
      <c r="AC546" s="2" t="s">
        <v>32</v>
      </c>
      <c r="AD546" s="2">
        <v>0</v>
      </c>
      <c r="AE546" s="2" t="s">
        <v>1660</v>
      </c>
      <c r="AF546" s="2">
        <v>0</v>
      </c>
      <c r="AG546" s="2">
        <v>0</v>
      </c>
      <c r="AH546" s="2" t="s">
        <v>32</v>
      </c>
      <c r="AI546" s="2" t="s">
        <v>32</v>
      </c>
      <c r="AJ546" s="2" t="s">
        <v>32</v>
      </c>
      <c r="AK546" s="2" t="s">
        <v>32</v>
      </c>
      <c r="AL546" s="2" t="s">
        <v>32</v>
      </c>
      <c r="AM546" s="2">
        <v>0</v>
      </c>
      <c r="AN546" s="2" t="s">
        <v>32</v>
      </c>
      <c r="AO546" s="2">
        <v>0</v>
      </c>
      <c r="AP546" s="2" t="s">
        <v>32</v>
      </c>
      <c r="AQ546" s="2" t="s">
        <v>32</v>
      </c>
      <c r="AR546" s="2" t="s">
        <v>32</v>
      </c>
      <c r="AS546" s="2">
        <v>0</v>
      </c>
      <c r="AT546" s="2" t="s">
        <v>32</v>
      </c>
      <c r="AU546" s="2" t="s">
        <v>32</v>
      </c>
      <c r="AV546" s="2" t="s">
        <v>32</v>
      </c>
      <c r="AW546" s="2">
        <v>0</v>
      </c>
      <c r="AX546" s="2" t="s">
        <v>32</v>
      </c>
      <c r="AY546" s="2">
        <v>0</v>
      </c>
      <c r="AZ546" s="2" t="s">
        <v>1658</v>
      </c>
      <c r="BA546" s="2">
        <v>2</v>
      </c>
      <c r="BB546" s="2">
        <v>24</v>
      </c>
      <c r="BC546" s="2" t="s">
        <v>1660</v>
      </c>
      <c r="BD546" s="2">
        <v>0</v>
      </c>
      <c r="BE546" s="2" t="s">
        <v>1658</v>
      </c>
      <c r="BF546" s="2">
        <v>2</v>
      </c>
      <c r="BG546" s="2" t="s">
        <v>1660</v>
      </c>
      <c r="BH546" s="2">
        <v>0</v>
      </c>
      <c r="BI546" s="2" t="s">
        <v>32</v>
      </c>
      <c r="BJ546" s="2" t="s">
        <v>32</v>
      </c>
      <c r="BK546" s="2" t="s">
        <v>1660</v>
      </c>
      <c r="BL546" s="2">
        <v>0</v>
      </c>
      <c r="BM546" s="2" t="s">
        <v>32</v>
      </c>
      <c r="BN546" s="2" t="s">
        <v>32</v>
      </c>
      <c r="BO546" s="2" t="s">
        <v>1660</v>
      </c>
      <c r="BP546" s="2">
        <v>0</v>
      </c>
      <c r="BQ546" s="2" t="s">
        <v>1660</v>
      </c>
      <c r="BR546" s="2">
        <v>0</v>
      </c>
      <c r="BS546" s="2" t="s">
        <v>1660</v>
      </c>
      <c r="BT546" s="2">
        <v>0</v>
      </c>
      <c r="BU546" s="2">
        <v>0</v>
      </c>
      <c r="BV546" s="2" t="s">
        <v>1660</v>
      </c>
      <c r="BW546" s="2"/>
      <c r="BX546" s="2"/>
      <c r="BY546" s="2" t="s">
        <v>1807</v>
      </c>
      <c r="BZ546" s="2" t="b">
        <f>OR( (Dashboard[[#This Row],[ref_as_hh]]&gt;=1),(Dashboard[[#This Row],[ret_as_hh]] &gt;=1), (Dashboard[[#This Row],[idp_as_hh]]&gt;=1))</f>
        <v>0</v>
      </c>
      <c r="CA546" s="2">
        <f>Dashboard[[#This Row],[ret_hi_hh]]</f>
        <v>0</v>
      </c>
      <c r="CB546" s="2">
        <f>Dashboard[[#This Row],[idp_fa_hh]]+Dashboard[[#This Row],[ref_fa_hh]]+Dashboard[[#This Row],[ret_fa_hh]]</f>
        <v>2</v>
      </c>
      <c r="CC546" s="2">
        <f>Dashboard[[#This Row],[idp_loc_hh]]+Dashboard[[#This Row],[ref_loc_hh]]+Dashboard[[#This Row],[ret_loc_hh]]</f>
        <v>0</v>
      </c>
      <c r="CD546" s="2">
        <f>Dashboard[[#This Row],[idp_cc_hh]]+Dashboard[[#This Row],[ref_cc_hh]]+Dashboard[[#This Row],[ret_cc_hh]]</f>
        <v>0</v>
      </c>
      <c r="CE546" s="2">
        <f>Dashboard[[#This Row],[idp_as_hh]]+Dashboard[[#This Row],[ref_as_hh]]+Dashboard[[#This Row],[ret_as_hh]]</f>
        <v>0</v>
      </c>
      <c r="CF546" s="2">
        <f>Dashboard[[#This Row],[idp_al_hh]]+Dashboard[[#This Row],[ref_al_hh]]+Dashboard[[#This Row],[ret_al_hh]]</f>
        <v>0</v>
      </c>
    </row>
    <row r="547" spans="1:84" hidden="1" x14ac:dyDescent="0.25">
      <c r="A547" s="27">
        <v>574</v>
      </c>
      <c r="B547" s="2" t="s">
        <v>22</v>
      </c>
      <c r="C547" s="2" t="s">
        <v>23</v>
      </c>
      <c r="D547" s="2" t="s">
        <v>218</v>
      </c>
      <c r="E547" s="2" t="s">
        <v>217</v>
      </c>
      <c r="F547" s="2" t="s">
        <v>228</v>
      </c>
      <c r="G547" s="2" t="s">
        <v>227</v>
      </c>
      <c r="H547" s="2" t="s">
        <v>1581</v>
      </c>
      <c r="I547" s="2" t="s">
        <v>229</v>
      </c>
      <c r="J547" s="2" t="s">
        <v>3312</v>
      </c>
      <c r="K547" s="2" t="s">
        <v>3313</v>
      </c>
      <c r="L547" s="2" t="s">
        <v>2074</v>
      </c>
      <c r="M547" s="2">
        <v>13121</v>
      </c>
      <c r="N547" s="2" t="s">
        <v>1660</v>
      </c>
      <c r="O547" s="2">
        <v>0</v>
      </c>
      <c r="P547" s="2">
        <v>0</v>
      </c>
      <c r="Q547" s="2" t="s">
        <v>32</v>
      </c>
      <c r="R547" s="2">
        <v>0</v>
      </c>
      <c r="S547" s="2" t="s">
        <v>32</v>
      </c>
      <c r="T547" s="2">
        <v>0</v>
      </c>
      <c r="U547" s="2" t="s">
        <v>32</v>
      </c>
      <c r="V547" s="2" t="s">
        <v>32</v>
      </c>
      <c r="W547" s="2" t="s">
        <v>32</v>
      </c>
      <c r="X547" s="2">
        <v>0</v>
      </c>
      <c r="Y547" s="2" t="s">
        <v>32</v>
      </c>
      <c r="Z547" s="2" t="s">
        <v>32</v>
      </c>
      <c r="AA547" s="2" t="s">
        <v>32</v>
      </c>
      <c r="AB547" s="2">
        <v>0</v>
      </c>
      <c r="AC547" s="2" t="s">
        <v>32</v>
      </c>
      <c r="AD547" s="2">
        <v>0</v>
      </c>
      <c r="AE547" s="2" t="s">
        <v>1660</v>
      </c>
      <c r="AF547" s="2">
        <v>0</v>
      </c>
      <c r="AG547" s="2">
        <v>0</v>
      </c>
      <c r="AH547" s="2" t="s">
        <v>32</v>
      </c>
      <c r="AI547" s="2" t="s">
        <v>32</v>
      </c>
      <c r="AJ547" s="2" t="s">
        <v>32</v>
      </c>
      <c r="AK547" s="2" t="s">
        <v>32</v>
      </c>
      <c r="AL547" s="2" t="s">
        <v>32</v>
      </c>
      <c r="AM547" s="2">
        <v>0</v>
      </c>
      <c r="AN547" s="2" t="s">
        <v>32</v>
      </c>
      <c r="AO547" s="2">
        <v>0</v>
      </c>
      <c r="AP547" s="2" t="s">
        <v>32</v>
      </c>
      <c r="AQ547" s="2" t="s">
        <v>32</v>
      </c>
      <c r="AR547" s="2" t="s">
        <v>32</v>
      </c>
      <c r="AS547" s="2">
        <v>0</v>
      </c>
      <c r="AT547" s="2" t="s">
        <v>32</v>
      </c>
      <c r="AU547" s="2" t="s">
        <v>32</v>
      </c>
      <c r="AV547" s="2" t="s">
        <v>32</v>
      </c>
      <c r="AW547" s="2">
        <v>0</v>
      </c>
      <c r="AX547" s="2" t="s">
        <v>32</v>
      </c>
      <c r="AY547" s="2">
        <v>0</v>
      </c>
      <c r="AZ547" s="2" t="s">
        <v>1658</v>
      </c>
      <c r="BA547" s="2">
        <v>64</v>
      </c>
      <c r="BB547" s="2">
        <v>357</v>
      </c>
      <c r="BC547" s="2" t="s">
        <v>1660</v>
      </c>
      <c r="BD547" s="2">
        <v>0</v>
      </c>
      <c r="BE547" s="2" t="s">
        <v>1658</v>
      </c>
      <c r="BF547" s="2">
        <v>64</v>
      </c>
      <c r="BG547" s="2" t="s">
        <v>1660</v>
      </c>
      <c r="BH547" s="2">
        <v>0</v>
      </c>
      <c r="BI547" s="2" t="s">
        <v>32</v>
      </c>
      <c r="BJ547" s="2" t="s">
        <v>32</v>
      </c>
      <c r="BK547" s="2" t="s">
        <v>1660</v>
      </c>
      <c r="BL547" s="2">
        <v>0</v>
      </c>
      <c r="BM547" s="2" t="s">
        <v>32</v>
      </c>
      <c r="BN547" s="2" t="s">
        <v>32</v>
      </c>
      <c r="BO547" s="2" t="s">
        <v>1660</v>
      </c>
      <c r="BP547" s="2">
        <v>0</v>
      </c>
      <c r="BQ547" s="2" t="s">
        <v>1660</v>
      </c>
      <c r="BR547" s="2">
        <v>0</v>
      </c>
      <c r="BS547" s="2" t="s">
        <v>1658</v>
      </c>
      <c r="BT547" s="2">
        <v>27</v>
      </c>
      <c r="BU547" s="2">
        <v>135</v>
      </c>
      <c r="BV547" s="2" t="s">
        <v>1660</v>
      </c>
      <c r="BW547" s="2"/>
      <c r="BX547" s="2"/>
      <c r="BY547" s="2" t="s">
        <v>1807</v>
      </c>
      <c r="BZ547" s="2" t="b">
        <f>OR( (Dashboard[[#This Row],[ref_as_hh]]&gt;=1),(Dashboard[[#This Row],[ret_as_hh]] &gt;=1), (Dashboard[[#This Row],[idp_as_hh]]&gt;=1))</f>
        <v>0</v>
      </c>
      <c r="CA547" s="2">
        <f>Dashboard[[#This Row],[ret_hi_hh]]</f>
        <v>0</v>
      </c>
      <c r="CB547" s="2">
        <f>Dashboard[[#This Row],[idp_fa_hh]]+Dashboard[[#This Row],[ref_fa_hh]]+Dashboard[[#This Row],[ret_fa_hh]]</f>
        <v>64</v>
      </c>
      <c r="CC547" s="2">
        <f>Dashboard[[#This Row],[idp_loc_hh]]+Dashboard[[#This Row],[ref_loc_hh]]+Dashboard[[#This Row],[ret_loc_hh]]</f>
        <v>0</v>
      </c>
      <c r="CD547" s="2">
        <f>Dashboard[[#This Row],[idp_cc_hh]]+Dashboard[[#This Row],[ref_cc_hh]]+Dashboard[[#This Row],[ret_cc_hh]]</f>
        <v>0</v>
      </c>
      <c r="CE547" s="2">
        <f>Dashboard[[#This Row],[idp_as_hh]]+Dashboard[[#This Row],[ref_as_hh]]+Dashboard[[#This Row],[ret_as_hh]]</f>
        <v>0</v>
      </c>
      <c r="CF547" s="2">
        <f>Dashboard[[#This Row],[idp_al_hh]]+Dashboard[[#This Row],[ref_al_hh]]+Dashboard[[#This Row],[ret_al_hh]]</f>
        <v>0</v>
      </c>
    </row>
    <row r="548" spans="1:84" hidden="1" x14ac:dyDescent="0.25">
      <c r="A548" s="27">
        <v>734</v>
      </c>
      <c r="B548" s="2" t="s">
        <v>22</v>
      </c>
      <c r="C548" s="2" t="s">
        <v>23</v>
      </c>
      <c r="D548" s="2" t="s">
        <v>218</v>
      </c>
      <c r="E548" s="2" t="s">
        <v>217</v>
      </c>
      <c r="F548" s="2" t="s">
        <v>228</v>
      </c>
      <c r="G548" s="2" t="s">
        <v>227</v>
      </c>
      <c r="H548" s="2" t="s">
        <v>1582</v>
      </c>
      <c r="I548" s="2" t="s">
        <v>230</v>
      </c>
      <c r="J548" s="2" t="s">
        <v>3314</v>
      </c>
      <c r="K548" s="2" t="s">
        <v>3315</v>
      </c>
      <c r="L548" s="2" t="s">
        <v>2074</v>
      </c>
      <c r="M548" s="2">
        <v>550</v>
      </c>
      <c r="N548" s="2" t="s">
        <v>1660</v>
      </c>
      <c r="O548" s="2">
        <v>0</v>
      </c>
      <c r="P548" s="2">
        <v>0</v>
      </c>
      <c r="Q548" s="2" t="s">
        <v>32</v>
      </c>
      <c r="R548" s="2">
        <v>0</v>
      </c>
      <c r="S548" s="2" t="s">
        <v>32</v>
      </c>
      <c r="T548" s="2">
        <v>0</v>
      </c>
      <c r="U548" s="2" t="s">
        <v>32</v>
      </c>
      <c r="V548" s="2" t="s">
        <v>32</v>
      </c>
      <c r="W548" s="2" t="s">
        <v>32</v>
      </c>
      <c r="X548" s="2">
        <v>0</v>
      </c>
      <c r="Y548" s="2" t="s">
        <v>32</v>
      </c>
      <c r="Z548" s="2" t="s">
        <v>32</v>
      </c>
      <c r="AA548" s="2" t="s">
        <v>32</v>
      </c>
      <c r="AB548" s="2">
        <v>0</v>
      </c>
      <c r="AC548" s="2" t="s">
        <v>32</v>
      </c>
      <c r="AD548" s="2">
        <v>0</v>
      </c>
      <c r="AE548" s="2" t="s">
        <v>1660</v>
      </c>
      <c r="AF548" s="2">
        <v>0</v>
      </c>
      <c r="AG548" s="2">
        <v>0</v>
      </c>
      <c r="AH548" s="2" t="s">
        <v>32</v>
      </c>
      <c r="AI548" s="2" t="s">
        <v>32</v>
      </c>
      <c r="AJ548" s="2" t="s">
        <v>32</v>
      </c>
      <c r="AK548" s="2" t="s">
        <v>32</v>
      </c>
      <c r="AL548" s="2" t="s">
        <v>32</v>
      </c>
      <c r="AM548" s="2">
        <v>0</v>
      </c>
      <c r="AN548" s="2" t="s">
        <v>32</v>
      </c>
      <c r="AO548" s="2">
        <v>0</v>
      </c>
      <c r="AP548" s="2" t="s">
        <v>32</v>
      </c>
      <c r="AQ548" s="2" t="s">
        <v>32</v>
      </c>
      <c r="AR548" s="2" t="s">
        <v>32</v>
      </c>
      <c r="AS548" s="2">
        <v>0</v>
      </c>
      <c r="AT548" s="2" t="s">
        <v>32</v>
      </c>
      <c r="AU548" s="2" t="s">
        <v>32</v>
      </c>
      <c r="AV548" s="2" t="s">
        <v>32</v>
      </c>
      <c r="AW548" s="2">
        <v>0</v>
      </c>
      <c r="AX548" s="2" t="s">
        <v>32</v>
      </c>
      <c r="AY548" s="2">
        <v>0</v>
      </c>
      <c r="AZ548" s="2" t="s">
        <v>1658</v>
      </c>
      <c r="BA548" s="2">
        <v>15</v>
      </c>
      <c r="BB548" s="2">
        <v>72</v>
      </c>
      <c r="BC548" s="2" t="s">
        <v>1658</v>
      </c>
      <c r="BD548" s="2">
        <v>5</v>
      </c>
      <c r="BE548" s="2" t="s">
        <v>1658</v>
      </c>
      <c r="BF548" s="2">
        <v>10</v>
      </c>
      <c r="BG548" s="2" t="s">
        <v>1660</v>
      </c>
      <c r="BH548" s="2">
        <v>0</v>
      </c>
      <c r="BI548" s="2" t="s">
        <v>32</v>
      </c>
      <c r="BJ548" s="2" t="s">
        <v>32</v>
      </c>
      <c r="BK548" s="2" t="s">
        <v>1660</v>
      </c>
      <c r="BL548" s="2">
        <v>0</v>
      </c>
      <c r="BM548" s="2" t="s">
        <v>32</v>
      </c>
      <c r="BN548" s="2" t="s">
        <v>32</v>
      </c>
      <c r="BO548" s="2" t="s">
        <v>1660</v>
      </c>
      <c r="BP548" s="2">
        <v>0</v>
      </c>
      <c r="BQ548" s="2" t="s">
        <v>1660</v>
      </c>
      <c r="BR548" s="2">
        <v>0</v>
      </c>
      <c r="BS548" s="2" t="s">
        <v>1660</v>
      </c>
      <c r="BT548" s="2">
        <v>0</v>
      </c>
      <c r="BU548" s="2">
        <v>0</v>
      </c>
      <c r="BV548" s="2" t="s">
        <v>1660</v>
      </c>
      <c r="BW548" s="2"/>
      <c r="BX548" s="2"/>
      <c r="BY548" s="2" t="s">
        <v>1807</v>
      </c>
      <c r="BZ548" s="2" t="b">
        <f>OR( (Dashboard[[#This Row],[ref_as_hh]]&gt;=1),(Dashboard[[#This Row],[ret_as_hh]] &gt;=1), (Dashboard[[#This Row],[idp_as_hh]]&gt;=1))</f>
        <v>0</v>
      </c>
      <c r="CA548" s="2">
        <f>Dashboard[[#This Row],[ret_hi_hh]]</f>
        <v>5</v>
      </c>
      <c r="CB548" s="2">
        <f>Dashboard[[#This Row],[idp_fa_hh]]+Dashboard[[#This Row],[ref_fa_hh]]+Dashboard[[#This Row],[ret_fa_hh]]</f>
        <v>10</v>
      </c>
      <c r="CC548" s="2">
        <f>Dashboard[[#This Row],[idp_loc_hh]]+Dashboard[[#This Row],[ref_loc_hh]]+Dashboard[[#This Row],[ret_loc_hh]]</f>
        <v>0</v>
      </c>
      <c r="CD548" s="2">
        <f>Dashboard[[#This Row],[idp_cc_hh]]+Dashboard[[#This Row],[ref_cc_hh]]+Dashboard[[#This Row],[ret_cc_hh]]</f>
        <v>0</v>
      </c>
      <c r="CE548" s="2">
        <f>Dashboard[[#This Row],[idp_as_hh]]+Dashboard[[#This Row],[ref_as_hh]]+Dashboard[[#This Row],[ret_as_hh]]</f>
        <v>0</v>
      </c>
      <c r="CF548" s="2">
        <f>Dashboard[[#This Row],[idp_al_hh]]+Dashboard[[#This Row],[ref_al_hh]]+Dashboard[[#This Row],[ret_al_hh]]</f>
        <v>0</v>
      </c>
    </row>
    <row r="549" spans="1:84" hidden="1" x14ac:dyDescent="0.25">
      <c r="A549" s="27">
        <v>302</v>
      </c>
      <c r="B549" s="2" t="s">
        <v>22</v>
      </c>
      <c r="C549" s="2" t="s">
        <v>23</v>
      </c>
      <c r="D549" s="2" t="s">
        <v>218</v>
      </c>
      <c r="E549" s="2" t="s">
        <v>217</v>
      </c>
      <c r="F549" s="2" t="s">
        <v>497</v>
      </c>
      <c r="G549" s="2" t="s">
        <v>498</v>
      </c>
      <c r="H549" s="2" t="s">
        <v>1357</v>
      </c>
      <c r="I549" s="2" t="s">
        <v>500</v>
      </c>
      <c r="J549" s="2" t="s">
        <v>3320</v>
      </c>
      <c r="K549" s="2" t="s">
        <v>3321</v>
      </c>
      <c r="L549" s="2" t="s">
        <v>2074</v>
      </c>
      <c r="M549" s="2">
        <v>1197</v>
      </c>
      <c r="N549" s="2" t="s">
        <v>1658</v>
      </c>
      <c r="O549" s="2">
        <v>4</v>
      </c>
      <c r="P549" s="2">
        <v>36</v>
      </c>
      <c r="Q549" s="2" t="s">
        <v>1658</v>
      </c>
      <c r="R549" s="2">
        <v>2</v>
      </c>
      <c r="S549" s="2" t="s">
        <v>1658</v>
      </c>
      <c r="T549" s="2">
        <v>2</v>
      </c>
      <c r="U549" s="2" t="s">
        <v>1659</v>
      </c>
      <c r="V549" s="2" t="s">
        <v>32</v>
      </c>
      <c r="W549" s="2" t="s">
        <v>1660</v>
      </c>
      <c r="X549" s="2">
        <v>0</v>
      </c>
      <c r="Y549" s="2" t="s">
        <v>32</v>
      </c>
      <c r="Z549" s="2" t="s">
        <v>32</v>
      </c>
      <c r="AA549" s="2" t="s">
        <v>1660</v>
      </c>
      <c r="AB549" s="2">
        <v>0</v>
      </c>
      <c r="AC549" s="2" t="s">
        <v>1660</v>
      </c>
      <c r="AD549" s="2">
        <v>0</v>
      </c>
      <c r="AE549" s="2" t="s">
        <v>1660</v>
      </c>
      <c r="AF549" s="2">
        <v>0</v>
      </c>
      <c r="AG549" s="2">
        <v>0</v>
      </c>
      <c r="AH549" s="2" t="s">
        <v>32</v>
      </c>
      <c r="AI549" s="2" t="s">
        <v>32</v>
      </c>
      <c r="AJ549" s="2" t="s">
        <v>32</v>
      </c>
      <c r="AK549" s="2" t="s">
        <v>32</v>
      </c>
      <c r="AL549" s="2" t="s">
        <v>32</v>
      </c>
      <c r="AM549" s="2">
        <v>0</v>
      </c>
      <c r="AN549" s="2" t="s">
        <v>32</v>
      </c>
      <c r="AO549" s="2">
        <v>0</v>
      </c>
      <c r="AP549" s="2" t="s">
        <v>32</v>
      </c>
      <c r="AQ549" s="2" t="s">
        <v>32</v>
      </c>
      <c r="AR549" s="2" t="s">
        <v>32</v>
      </c>
      <c r="AS549" s="2">
        <v>0</v>
      </c>
      <c r="AT549" s="2" t="s">
        <v>32</v>
      </c>
      <c r="AU549" s="2" t="s">
        <v>32</v>
      </c>
      <c r="AV549" s="2" t="s">
        <v>32</v>
      </c>
      <c r="AW549" s="2">
        <v>0</v>
      </c>
      <c r="AX549" s="2" t="s">
        <v>32</v>
      </c>
      <c r="AY549" s="2">
        <v>0</v>
      </c>
      <c r="AZ549" s="2" t="s">
        <v>1658</v>
      </c>
      <c r="BA549" s="2">
        <v>1</v>
      </c>
      <c r="BB549" s="2">
        <v>4</v>
      </c>
      <c r="BC549" s="2" t="s">
        <v>1660</v>
      </c>
      <c r="BD549" s="2">
        <v>0</v>
      </c>
      <c r="BE549" s="2" t="s">
        <v>1658</v>
      </c>
      <c r="BF549" s="2">
        <v>1</v>
      </c>
      <c r="BG549" s="2" t="s">
        <v>1660</v>
      </c>
      <c r="BH549" s="2">
        <v>0</v>
      </c>
      <c r="BI549" s="2" t="s">
        <v>32</v>
      </c>
      <c r="BJ549" s="2" t="s">
        <v>32</v>
      </c>
      <c r="BK549" s="2" t="s">
        <v>1660</v>
      </c>
      <c r="BL549" s="2">
        <v>0</v>
      </c>
      <c r="BM549" s="2" t="s">
        <v>32</v>
      </c>
      <c r="BN549" s="2" t="s">
        <v>32</v>
      </c>
      <c r="BO549" s="2" t="s">
        <v>1660</v>
      </c>
      <c r="BP549" s="2">
        <v>0</v>
      </c>
      <c r="BQ549" s="2" t="s">
        <v>1660</v>
      </c>
      <c r="BR549" s="2">
        <v>0</v>
      </c>
      <c r="BS549" s="2" t="s">
        <v>1660</v>
      </c>
      <c r="BT549" s="2">
        <v>0</v>
      </c>
      <c r="BU549" s="2">
        <v>0</v>
      </c>
      <c r="BV549" s="2" t="s">
        <v>1660</v>
      </c>
      <c r="BW549" s="2"/>
      <c r="BX549" s="2"/>
      <c r="BY549" s="2" t="s">
        <v>1807</v>
      </c>
      <c r="BZ549" s="2" t="b">
        <f>OR( (Dashboard[[#This Row],[ref_as_hh]]&gt;=1),(Dashboard[[#This Row],[ret_as_hh]] &gt;=1), (Dashboard[[#This Row],[idp_as_hh]]&gt;=1))</f>
        <v>0</v>
      </c>
      <c r="CA549" s="2">
        <f>Dashboard[[#This Row],[ret_hi_hh]]</f>
        <v>0</v>
      </c>
      <c r="CB549" s="2">
        <f>Dashboard[[#This Row],[idp_fa_hh]]+Dashboard[[#This Row],[ref_fa_hh]]+Dashboard[[#This Row],[ret_fa_hh]]</f>
        <v>3</v>
      </c>
      <c r="CC549" s="2">
        <f>Dashboard[[#This Row],[idp_loc_hh]]+Dashboard[[#This Row],[ref_loc_hh]]+Dashboard[[#This Row],[ret_loc_hh]]</f>
        <v>2</v>
      </c>
      <c r="CD549" s="2">
        <f>Dashboard[[#This Row],[idp_cc_hh]]+Dashboard[[#This Row],[ref_cc_hh]]+Dashboard[[#This Row],[ret_cc_hh]]</f>
        <v>0</v>
      </c>
      <c r="CE549" s="2">
        <f>Dashboard[[#This Row],[idp_as_hh]]+Dashboard[[#This Row],[ref_as_hh]]+Dashboard[[#This Row],[ret_as_hh]]</f>
        <v>0</v>
      </c>
      <c r="CF549" s="2">
        <f>Dashboard[[#This Row],[idp_al_hh]]+Dashboard[[#This Row],[ref_al_hh]]+Dashboard[[#This Row],[ret_al_hh]]</f>
        <v>0</v>
      </c>
    </row>
    <row r="550" spans="1:84" hidden="1" x14ac:dyDescent="0.25">
      <c r="A550" s="27">
        <v>169</v>
      </c>
      <c r="B550" s="2" t="s">
        <v>22</v>
      </c>
      <c r="C550" s="2" t="s">
        <v>23</v>
      </c>
      <c r="D550" s="2" t="s">
        <v>218</v>
      </c>
      <c r="E550" s="2" t="s">
        <v>217</v>
      </c>
      <c r="F550" s="2" t="s">
        <v>497</v>
      </c>
      <c r="G550" s="2" t="s">
        <v>498</v>
      </c>
      <c r="H550" s="2" t="s">
        <v>1535</v>
      </c>
      <c r="I550" s="2" t="s">
        <v>640</v>
      </c>
      <c r="J550" s="2" t="s">
        <v>3316</v>
      </c>
      <c r="K550" s="2" t="s">
        <v>3317</v>
      </c>
      <c r="L550" s="2" t="s">
        <v>2074</v>
      </c>
      <c r="M550" s="2">
        <v>1451</v>
      </c>
      <c r="N550" s="2" t="s">
        <v>1660</v>
      </c>
      <c r="O550" s="2">
        <v>0</v>
      </c>
      <c r="P550" s="2">
        <v>0</v>
      </c>
      <c r="Q550" s="2" t="s">
        <v>32</v>
      </c>
      <c r="R550" s="2">
        <v>0</v>
      </c>
      <c r="S550" s="2" t="s">
        <v>32</v>
      </c>
      <c r="T550" s="2">
        <v>0</v>
      </c>
      <c r="U550" s="2" t="s">
        <v>32</v>
      </c>
      <c r="V550" s="2" t="s">
        <v>32</v>
      </c>
      <c r="W550" s="2" t="s">
        <v>32</v>
      </c>
      <c r="X550" s="2">
        <v>0</v>
      </c>
      <c r="Y550" s="2" t="s">
        <v>32</v>
      </c>
      <c r="Z550" s="2" t="s">
        <v>32</v>
      </c>
      <c r="AA550" s="2" t="s">
        <v>32</v>
      </c>
      <c r="AB550" s="2">
        <v>0</v>
      </c>
      <c r="AC550" s="2" t="s">
        <v>32</v>
      </c>
      <c r="AD550" s="2">
        <v>0</v>
      </c>
      <c r="AE550" s="2" t="s">
        <v>1658</v>
      </c>
      <c r="AF550" s="2">
        <v>1</v>
      </c>
      <c r="AG550" s="2">
        <v>11</v>
      </c>
      <c r="AH550" s="2" t="s">
        <v>1660</v>
      </c>
      <c r="AI550" s="2" t="s">
        <v>32</v>
      </c>
      <c r="AJ550" s="2" t="s">
        <v>32</v>
      </c>
      <c r="AK550" s="2" t="s">
        <v>32</v>
      </c>
      <c r="AL550" s="2" t="s">
        <v>1658</v>
      </c>
      <c r="AM550" s="2">
        <v>1</v>
      </c>
      <c r="AN550" s="2" t="s">
        <v>1660</v>
      </c>
      <c r="AO550" s="2">
        <v>0</v>
      </c>
      <c r="AP550" s="2" t="s">
        <v>32</v>
      </c>
      <c r="AQ550" s="2" t="s">
        <v>32</v>
      </c>
      <c r="AR550" s="2" t="s">
        <v>1660</v>
      </c>
      <c r="AS550" s="2">
        <v>0</v>
      </c>
      <c r="AT550" s="2" t="s">
        <v>32</v>
      </c>
      <c r="AU550" s="2" t="s">
        <v>32</v>
      </c>
      <c r="AV550" s="2" t="s">
        <v>1660</v>
      </c>
      <c r="AW550" s="2">
        <v>0</v>
      </c>
      <c r="AX550" s="2" t="s">
        <v>1660</v>
      </c>
      <c r="AY550" s="2">
        <v>0</v>
      </c>
      <c r="AZ550" s="2" t="s">
        <v>1660</v>
      </c>
      <c r="BA550" s="2">
        <v>0</v>
      </c>
      <c r="BB550" s="2">
        <v>0</v>
      </c>
      <c r="BC550" s="2" t="s">
        <v>32</v>
      </c>
      <c r="BD550" s="2">
        <v>0</v>
      </c>
      <c r="BE550" s="2" t="s">
        <v>32</v>
      </c>
      <c r="BF550" s="2">
        <v>0</v>
      </c>
      <c r="BG550" s="2" t="s">
        <v>32</v>
      </c>
      <c r="BH550" s="2">
        <v>0</v>
      </c>
      <c r="BI550" s="2" t="s">
        <v>32</v>
      </c>
      <c r="BJ550" s="2" t="s">
        <v>32</v>
      </c>
      <c r="BK550" s="2" t="s">
        <v>32</v>
      </c>
      <c r="BL550" s="2">
        <v>0</v>
      </c>
      <c r="BM550" s="2" t="s">
        <v>32</v>
      </c>
      <c r="BN550" s="2" t="s">
        <v>32</v>
      </c>
      <c r="BO550" s="2" t="s">
        <v>32</v>
      </c>
      <c r="BP550" s="2">
        <v>0</v>
      </c>
      <c r="BQ550" s="2" t="s">
        <v>32</v>
      </c>
      <c r="BR550" s="2">
        <v>0</v>
      </c>
      <c r="BS550" s="2" t="s">
        <v>1660</v>
      </c>
      <c r="BT550" s="2">
        <v>0</v>
      </c>
      <c r="BU550" s="2">
        <v>0</v>
      </c>
      <c r="BV550" s="2" t="s">
        <v>1660</v>
      </c>
      <c r="BW550" s="2"/>
      <c r="BX550" s="2"/>
      <c r="BY550" s="2" t="s">
        <v>1807</v>
      </c>
      <c r="BZ550" s="2" t="b">
        <f>OR( (Dashboard[[#This Row],[ref_as_hh]]&gt;=1),(Dashboard[[#This Row],[ret_as_hh]] &gt;=1), (Dashboard[[#This Row],[idp_as_hh]]&gt;=1))</f>
        <v>0</v>
      </c>
      <c r="CA550" s="2">
        <f>Dashboard[[#This Row],[ret_hi_hh]]</f>
        <v>0</v>
      </c>
      <c r="CB550" s="2">
        <f>Dashboard[[#This Row],[idp_fa_hh]]+Dashboard[[#This Row],[ref_fa_hh]]+Dashboard[[#This Row],[ret_fa_hh]]</f>
        <v>1</v>
      </c>
      <c r="CC550" s="2">
        <f>Dashboard[[#This Row],[idp_loc_hh]]+Dashboard[[#This Row],[ref_loc_hh]]+Dashboard[[#This Row],[ret_loc_hh]]</f>
        <v>0</v>
      </c>
      <c r="CD550" s="2">
        <f>Dashboard[[#This Row],[idp_cc_hh]]+Dashboard[[#This Row],[ref_cc_hh]]+Dashboard[[#This Row],[ret_cc_hh]]</f>
        <v>0</v>
      </c>
      <c r="CE550" s="2">
        <f>Dashboard[[#This Row],[idp_as_hh]]+Dashboard[[#This Row],[ref_as_hh]]+Dashboard[[#This Row],[ret_as_hh]]</f>
        <v>0</v>
      </c>
      <c r="CF550" s="2">
        <f>Dashboard[[#This Row],[idp_al_hh]]+Dashboard[[#This Row],[ref_al_hh]]+Dashboard[[#This Row],[ret_al_hh]]</f>
        <v>0</v>
      </c>
    </row>
    <row r="551" spans="1:84" hidden="1" x14ac:dyDescent="0.25">
      <c r="A551" s="27">
        <v>170</v>
      </c>
      <c r="B551" s="2" t="s">
        <v>22</v>
      </c>
      <c r="C551" s="2" t="s">
        <v>23</v>
      </c>
      <c r="D551" s="2" t="s">
        <v>218</v>
      </c>
      <c r="E551" s="2" t="s">
        <v>217</v>
      </c>
      <c r="F551" s="2" t="s">
        <v>497</v>
      </c>
      <c r="G551" s="2" t="s">
        <v>498</v>
      </c>
      <c r="H551" s="2" t="s">
        <v>1356</v>
      </c>
      <c r="I551" s="2" t="s">
        <v>499</v>
      </c>
      <c r="J551" s="2" t="s">
        <v>3318</v>
      </c>
      <c r="K551" s="2" t="s">
        <v>3319</v>
      </c>
      <c r="L551" s="2" t="s">
        <v>2074</v>
      </c>
      <c r="M551" s="2">
        <v>5566</v>
      </c>
      <c r="N551" s="2" t="s">
        <v>1658</v>
      </c>
      <c r="O551" s="2">
        <v>3</v>
      </c>
      <c r="P551" s="2">
        <v>16</v>
      </c>
      <c r="Q551" s="2" t="s">
        <v>1658</v>
      </c>
      <c r="R551" s="2">
        <v>1</v>
      </c>
      <c r="S551" s="2" t="s">
        <v>1658</v>
      </c>
      <c r="T551" s="2">
        <v>2</v>
      </c>
      <c r="U551" s="2" t="s">
        <v>1661</v>
      </c>
      <c r="V551" s="2" t="s">
        <v>32</v>
      </c>
      <c r="W551" s="2" t="s">
        <v>1660</v>
      </c>
      <c r="X551" s="2">
        <v>0</v>
      </c>
      <c r="Y551" s="2" t="s">
        <v>32</v>
      </c>
      <c r="Z551" s="2" t="s">
        <v>32</v>
      </c>
      <c r="AA551" s="2" t="s">
        <v>1660</v>
      </c>
      <c r="AB551" s="2">
        <v>0</v>
      </c>
      <c r="AC551" s="2" t="s">
        <v>1660</v>
      </c>
      <c r="AD551" s="2">
        <v>0</v>
      </c>
      <c r="AE551" s="2" t="s">
        <v>1660</v>
      </c>
      <c r="AF551" s="2">
        <v>0</v>
      </c>
      <c r="AG551" s="2">
        <v>0</v>
      </c>
      <c r="AH551" s="2" t="s">
        <v>32</v>
      </c>
      <c r="AI551" s="2" t="s">
        <v>32</v>
      </c>
      <c r="AJ551" s="2" t="s">
        <v>32</v>
      </c>
      <c r="AK551" s="2" t="s">
        <v>32</v>
      </c>
      <c r="AL551" s="2" t="s">
        <v>32</v>
      </c>
      <c r="AM551" s="2">
        <v>0</v>
      </c>
      <c r="AN551" s="2" t="s">
        <v>32</v>
      </c>
      <c r="AO551" s="2">
        <v>0</v>
      </c>
      <c r="AP551" s="2" t="s">
        <v>32</v>
      </c>
      <c r="AQ551" s="2" t="s">
        <v>32</v>
      </c>
      <c r="AR551" s="2" t="s">
        <v>32</v>
      </c>
      <c r="AS551" s="2">
        <v>0</v>
      </c>
      <c r="AT551" s="2" t="s">
        <v>32</v>
      </c>
      <c r="AU551" s="2" t="s">
        <v>32</v>
      </c>
      <c r="AV551" s="2" t="s">
        <v>32</v>
      </c>
      <c r="AW551" s="2">
        <v>0</v>
      </c>
      <c r="AX551" s="2" t="s">
        <v>32</v>
      </c>
      <c r="AY551" s="2">
        <v>0</v>
      </c>
      <c r="AZ551" s="2" t="s">
        <v>1660</v>
      </c>
      <c r="BA551" s="2">
        <v>0</v>
      </c>
      <c r="BB551" s="2">
        <v>0</v>
      </c>
      <c r="BC551" s="2" t="s">
        <v>32</v>
      </c>
      <c r="BD551" s="2">
        <v>0</v>
      </c>
      <c r="BE551" s="2" t="s">
        <v>32</v>
      </c>
      <c r="BF551" s="2">
        <v>0</v>
      </c>
      <c r="BG551" s="2" t="s">
        <v>32</v>
      </c>
      <c r="BH551" s="2">
        <v>0</v>
      </c>
      <c r="BI551" s="2" t="s">
        <v>32</v>
      </c>
      <c r="BJ551" s="2" t="s">
        <v>32</v>
      </c>
      <c r="BK551" s="2" t="s">
        <v>32</v>
      </c>
      <c r="BL551" s="2">
        <v>0</v>
      </c>
      <c r="BM551" s="2" t="s">
        <v>32</v>
      </c>
      <c r="BN551" s="2" t="s">
        <v>32</v>
      </c>
      <c r="BO551" s="2" t="s">
        <v>32</v>
      </c>
      <c r="BP551" s="2">
        <v>0</v>
      </c>
      <c r="BQ551" s="2" t="s">
        <v>32</v>
      </c>
      <c r="BR551" s="2">
        <v>0</v>
      </c>
      <c r="BS551" s="2" t="s">
        <v>1660</v>
      </c>
      <c r="BT551" s="2">
        <v>0</v>
      </c>
      <c r="BU551" s="2">
        <v>0</v>
      </c>
      <c r="BV551" s="2" t="s">
        <v>1660</v>
      </c>
      <c r="BW551" s="2"/>
      <c r="BX551" s="2"/>
      <c r="BY551" s="2" t="s">
        <v>1807</v>
      </c>
      <c r="BZ551" s="2" t="b">
        <f>OR( (Dashboard[[#This Row],[ref_as_hh]]&gt;=1),(Dashboard[[#This Row],[ret_as_hh]] &gt;=1), (Dashboard[[#This Row],[idp_as_hh]]&gt;=1))</f>
        <v>0</v>
      </c>
      <c r="CA551" s="2">
        <f>Dashboard[[#This Row],[ret_hi_hh]]</f>
        <v>0</v>
      </c>
      <c r="CB551" s="2">
        <f>Dashboard[[#This Row],[idp_fa_hh]]+Dashboard[[#This Row],[ref_fa_hh]]+Dashboard[[#This Row],[ret_fa_hh]]</f>
        <v>1</v>
      </c>
      <c r="CC551" s="2">
        <f>Dashboard[[#This Row],[idp_loc_hh]]+Dashboard[[#This Row],[ref_loc_hh]]+Dashboard[[#This Row],[ret_loc_hh]]</f>
        <v>2</v>
      </c>
      <c r="CD551" s="2">
        <f>Dashboard[[#This Row],[idp_cc_hh]]+Dashboard[[#This Row],[ref_cc_hh]]+Dashboard[[#This Row],[ret_cc_hh]]</f>
        <v>0</v>
      </c>
      <c r="CE551" s="2">
        <f>Dashboard[[#This Row],[idp_as_hh]]+Dashboard[[#This Row],[ref_as_hh]]+Dashboard[[#This Row],[ret_as_hh]]</f>
        <v>0</v>
      </c>
      <c r="CF551" s="2">
        <f>Dashboard[[#This Row],[idp_al_hh]]+Dashboard[[#This Row],[ref_al_hh]]+Dashboard[[#This Row],[ret_al_hh]]</f>
        <v>0</v>
      </c>
    </row>
    <row r="552" spans="1:84" hidden="1" x14ac:dyDescent="0.25">
      <c r="A552" s="27">
        <v>267</v>
      </c>
      <c r="B552" s="2" t="s">
        <v>22</v>
      </c>
      <c r="C552" s="2" t="s">
        <v>23</v>
      </c>
      <c r="D552" s="2" t="s">
        <v>218</v>
      </c>
      <c r="E552" s="2" t="s">
        <v>217</v>
      </c>
      <c r="F552" s="2" t="s">
        <v>224</v>
      </c>
      <c r="G552" s="2" t="s">
        <v>223</v>
      </c>
      <c r="H552" s="2" t="s">
        <v>1355</v>
      </c>
      <c r="I552" s="2" t="s">
        <v>496</v>
      </c>
      <c r="J552" s="2" t="s">
        <v>3300</v>
      </c>
      <c r="K552" s="2" t="s">
        <v>3301</v>
      </c>
      <c r="L552" s="2" t="s">
        <v>3693</v>
      </c>
      <c r="M552" s="2">
        <v>850</v>
      </c>
      <c r="N552" s="2" t="s">
        <v>1660</v>
      </c>
      <c r="O552" s="2">
        <v>0</v>
      </c>
      <c r="P552" s="2">
        <v>0</v>
      </c>
      <c r="Q552" s="2" t="s">
        <v>32</v>
      </c>
      <c r="R552" s="2">
        <v>0</v>
      </c>
      <c r="S552" s="2" t="s">
        <v>32</v>
      </c>
      <c r="T552" s="2">
        <v>0</v>
      </c>
      <c r="U552" s="2" t="s">
        <v>32</v>
      </c>
      <c r="V552" s="2" t="s">
        <v>32</v>
      </c>
      <c r="W552" s="2" t="s">
        <v>32</v>
      </c>
      <c r="X552" s="2">
        <v>0</v>
      </c>
      <c r="Y552" s="2" t="s">
        <v>32</v>
      </c>
      <c r="Z552" s="2" t="s">
        <v>32</v>
      </c>
      <c r="AA552" s="2" t="s">
        <v>32</v>
      </c>
      <c r="AB552" s="2">
        <v>0</v>
      </c>
      <c r="AC552" s="2" t="s">
        <v>32</v>
      </c>
      <c r="AD552" s="2">
        <v>0</v>
      </c>
      <c r="AE552" s="2" t="s">
        <v>1660</v>
      </c>
      <c r="AF552" s="2">
        <v>0</v>
      </c>
      <c r="AG552" s="2">
        <v>0</v>
      </c>
      <c r="AH552" s="2" t="s">
        <v>32</v>
      </c>
      <c r="AI552" s="2" t="s">
        <v>32</v>
      </c>
      <c r="AJ552" s="2" t="s">
        <v>32</v>
      </c>
      <c r="AK552" s="2" t="s">
        <v>32</v>
      </c>
      <c r="AL552" s="2" t="s">
        <v>32</v>
      </c>
      <c r="AM552" s="2">
        <v>0</v>
      </c>
      <c r="AN552" s="2" t="s">
        <v>32</v>
      </c>
      <c r="AO552" s="2">
        <v>0</v>
      </c>
      <c r="AP552" s="2" t="s">
        <v>32</v>
      </c>
      <c r="AQ552" s="2" t="s">
        <v>32</v>
      </c>
      <c r="AR552" s="2" t="s">
        <v>32</v>
      </c>
      <c r="AS552" s="2">
        <v>0</v>
      </c>
      <c r="AT552" s="2" t="s">
        <v>32</v>
      </c>
      <c r="AU552" s="2" t="s">
        <v>32</v>
      </c>
      <c r="AV552" s="2" t="s">
        <v>32</v>
      </c>
      <c r="AW552" s="2">
        <v>0</v>
      </c>
      <c r="AX552" s="2" t="s">
        <v>32</v>
      </c>
      <c r="AY552" s="2">
        <v>0</v>
      </c>
      <c r="AZ552" s="2" t="s">
        <v>1658</v>
      </c>
      <c r="BA552" s="2">
        <v>3</v>
      </c>
      <c r="BB552" s="2">
        <v>22</v>
      </c>
      <c r="BC552" s="2" t="s">
        <v>1660</v>
      </c>
      <c r="BD552" s="2">
        <v>0</v>
      </c>
      <c r="BE552" s="2" t="s">
        <v>1658</v>
      </c>
      <c r="BF552" s="2">
        <v>3</v>
      </c>
      <c r="BG552" s="2" t="s">
        <v>1660</v>
      </c>
      <c r="BH552" s="2">
        <v>0</v>
      </c>
      <c r="BI552" s="2" t="s">
        <v>32</v>
      </c>
      <c r="BJ552" s="2" t="s">
        <v>32</v>
      </c>
      <c r="BK552" s="2" t="s">
        <v>1660</v>
      </c>
      <c r="BL552" s="2">
        <v>0</v>
      </c>
      <c r="BM552" s="2" t="s">
        <v>32</v>
      </c>
      <c r="BN552" s="2" t="s">
        <v>32</v>
      </c>
      <c r="BO552" s="2" t="s">
        <v>1660</v>
      </c>
      <c r="BP552" s="2">
        <v>0</v>
      </c>
      <c r="BQ552" s="2" t="s">
        <v>1660</v>
      </c>
      <c r="BR552" s="2">
        <v>0</v>
      </c>
      <c r="BS552" s="2" t="s">
        <v>1660</v>
      </c>
      <c r="BT552" s="2">
        <v>0</v>
      </c>
      <c r="BU552" s="2">
        <v>0</v>
      </c>
      <c r="BV552" s="2" t="s">
        <v>1660</v>
      </c>
      <c r="BW552" s="2"/>
      <c r="BX552" s="2"/>
      <c r="BY552" s="2" t="s">
        <v>1807</v>
      </c>
      <c r="BZ552" s="2" t="b">
        <f>OR( (Dashboard[[#This Row],[ref_as_hh]]&gt;=1),(Dashboard[[#This Row],[ret_as_hh]] &gt;=1), (Dashboard[[#This Row],[idp_as_hh]]&gt;=1))</f>
        <v>0</v>
      </c>
      <c r="CA552" s="2">
        <f>Dashboard[[#This Row],[ret_hi_hh]]</f>
        <v>0</v>
      </c>
      <c r="CB552" s="2">
        <f>Dashboard[[#This Row],[idp_fa_hh]]+Dashboard[[#This Row],[ref_fa_hh]]+Dashboard[[#This Row],[ret_fa_hh]]</f>
        <v>3</v>
      </c>
      <c r="CC552" s="2">
        <f>Dashboard[[#This Row],[idp_loc_hh]]+Dashboard[[#This Row],[ref_loc_hh]]+Dashboard[[#This Row],[ret_loc_hh]]</f>
        <v>0</v>
      </c>
      <c r="CD552" s="2">
        <f>Dashboard[[#This Row],[idp_cc_hh]]+Dashboard[[#This Row],[ref_cc_hh]]+Dashboard[[#This Row],[ret_cc_hh]]</f>
        <v>0</v>
      </c>
      <c r="CE552" s="2">
        <f>Dashboard[[#This Row],[idp_as_hh]]+Dashboard[[#This Row],[ref_as_hh]]+Dashboard[[#This Row],[ret_as_hh]]</f>
        <v>0</v>
      </c>
      <c r="CF552" s="2">
        <f>Dashboard[[#This Row],[idp_al_hh]]+Dashboard[[#This Row],[ref_al_hh]]+Dashboard[[#This Row],[ret_al_hh]]</f>
        <v>0</v>
      </c>
    </row>
    <row r="553" spans="1:84" hidden="1" x14ac:dyDescent="0.25">
      <c r="A553" s="27">
        <v>22</v>
      </c>
      <c r="B553" s="2" t="s">
        <v>22</v>
      </c>
      <c r="C553" s="2" t="s">
        <v>23</v>
      </c>
      <c r="D553" s="2" t="s">
        <v>218</v>
      </c>
      <c r="E553" s="2" t="s">
        <v>217</v>
      </c>
      <c r="F553" s="2" t="s">
        <v>224</v>
      </c>
      <c r="G553" s="2" t="s">
        <v>223</v>
      </c>
      <c r="H553" s="2" t="s">
        <v>1349</v>
      </c>
      <c r="I553" s="2" t="s">
        <v>490</v>
      </c>
      <c r="J553" s="2" t="s">
        <v>3288</v>
      </c>
      <c r="K553" s="2" t="s">
        <v>3289</v>
      </c>
      <c r="L553" s="2" t="s">
        <v>2074</v>
      </c>
      <c r="M553" s="2">
        <v>1500</v>
      </c>
      <c r="N553" s="2" t="s">
        <v>1660</v>
      </c>
      <c r="O553" s="2">
        <v>0</v>
      </c>
      <c r="P553" s="2">
        <v>0</v>
      </c>
      <c r="Q553" s="2" t="s">
        <v>32</v>
      </c>
      <c r="R553" s="2">
        <v>0</v>
      </c>
      <c r="S553" s="2" t="s">
        <v>32</v>
      </c>
      <c r="T553" s="2">
        <v>0</v>
      </c>
      <c r="U553" s="2" t="s">
        <v>32</v>
      </c>
      <c r="V553" s="2" t="s">
        <v>32</v>
      </c>
      <c r="W553" s="2" t="s">
        <v>32</v>
      </c>
      <c r="X553" s="2">
        <v>0</v>
      </c>
      <c r="Y553" s="2" t="s">
        <v>32</v>
      </c>
      <c r="Z553" s="2" t="s">
        <v>32</v>
      </c>
      <c r="AA553" s="2" t="s">
        <v>32</v>
      </c>
      <c r="AB553" s="2">
        <v>0</v>
      </c>
      <c r="AC553" s="2" t="s">
        <v>32</v>
      </c>
      <c r="AD553" s="2">
        <v>0</v>
      </c>
      <c r="AE553" s="2" t="s">
        <v>1660</v>
      </c>
      <c r="AF553" s="2">
        <v>0</v>
      </c>
      <c r="AG553" s="2">
        <v>0</v>
      </c>
      <c r="AH553" s="2" t="s">
        <v>32</v>
      </c>
      <c r="AI553" s="2" t="s">
        <v>32</v>
      </c>
      <c r="AJ553" s="2" t="s">
        <v>32</v>
      </c>
      <c r="AK553" s="2" t="s">
        <v>32</v>
      </c>
      <c r="AL553" s="2" t="s">
        <v>32</v>
      </c>
      <c r="AM553" s="2">
        <v>0</v>
      </c>
      <c r="AN553" s="2" t="s">
        <v>32</v>
      </c>
      <c r="AO553" s="2">
        <v>0</v>
      </c>
      <c r="AP553" s="2" t="s">
        <v>32</v>
      </c>
      <c r="AQ553" s="2" t="s">
        <v>32</v>
      </c>
      <c r="AR553" s="2" t="s">
        <v>32</v>
      </c>
      <c r="AS553" s="2">
        <v>0</v>
      </c>
      <c r="AT553" s="2" t="s">
        <v>32</v>
      </c>
      <c r="AU553" s="2" t="s">
        <v>32</v>
      </c>
      <c r="AV553" s="2" t="s">
        <v>32</v>
      </c>
      <c r="AW553" s="2">
        <v>0</v>
      </c>
      <c r="AX553" s="2" t="s">
        <v>32</v>
      </c>
      <c r="AY553" s="2">
        <v>0</v>
      </c>
      <c r="AZ553" s="2" t="s">
        <v>1658</v>
      </c>
      <c r="BA553" s="2">
        <v>4</v>
      </c>
      <c r="BB553" s="2">
        <v>24</v>
      </c>
      <c r="BC553" s="2" t="s">
        <v>1660</v>
      </c>
      <c r="BD553" s="2">
        <v>0</v>
      </c>
      <c r="BE553" s="2" t="s">
        <v>1658</v>
      </c>
      <c r="BF553" s="2">
        <v>4</v>
      </c>
      <c r="BG553" s="2" t="s">
        <v>1660</v>
      </c>
      <c r="BH553" s="2">
        <v>0</v>
      </c>
      <c r="BI553" s="2" t="s">
        <v>32</v>
      </c>
      <c r="BJ553" s="2" t="s">
        <v>32</v>
      </c>
      <c r="BK553" s="2" t="s">
        <v>1660</v>
      </c>
      <c r="BL553" s="2">
        <v>0</v>
      </c>
      <c r="BM553" s="2" t="s">
        <v>32</v>
      </c>
      <c r="BN553" s="2" t="s">
        <v>32</v>
      </c>
      <c r="BO553" s="2" t="s">
        <v>1660</v>
      </c>
      <c r="BP553" s="2">
        <v>0</v>
      </c>
      <c r="BQ553" s="2" t="s">
        <v>1660</v>
      </c>
      <c r="BR553" s="2">
        <v>0</v>
      </c>
      <c r="BS553" s="2" t="s">
        <v>1660</v>
      </c>
      <c r="BT553" s="2">
        <v>0</v>
      </c>
      <c r="BU553" s="2">
        <v>0</v>
      </c>
      <c r="BV553" s="2" t="s">
        <v>1660</v>
      </c>
      <c r="BW553" s="2"/>
      <c r="BX553" s="2"/>
      <c r="BY553" s="2" t="s">
        <v>1807</v>
      </c>
      <c r="BZ553" s="2" t="b">
        <f>OR( (Dashboard[[#This Row],[ref_as_hh]]&gt;=1),(Dashboard[[#This Row],[ret_as_hh]] &gt;=1), (Dashboard[[#This Row],[idp_as_hh]]&gt;=1))</f>
        <v>0</v>
      </c>
      <c r="CA553" s="2">
        <f>Dashboard[[#This Row],[ret_hi_hh]]</f>
        <v>0</v>
      </c>
      <c r="CB553" s="2">
        <f>Dashboard[[#This Row],[idp_fa_hh]]+Dashboard[[#This Row],[ref_fa_hh]]+Dashboard[[#This Row],[ret_fa_hh]]</f>
        <v>4</v>
      </c>
      <c r="CC553" s="2">
        <f>Dashboard[[#This Row],[idp_loc_hh]]+Dashboard[[#This Row],[ref_loc_hh]]+Dashboard[[#This Row],[ret_loc_hh]]</f>
        <v>0</v>
      </c>
      <c r="CD553" s="2">
        <f>Dashboard[[#This Row],[idp_cc_hh]]+Dashboard[[#This Row],[ref_cc_hh]]+Dashboard[[#This Row],[ret_cc_hh]]</f>
        <v>0</v>
      </c>
      <c r="CE553" s="2">
        <f>Dashboard[[#This Row],[idp_as_hh]]+Dashboard[[#This Row],[ref_as_hh]]+Dashboard[[#This Row],[ret_as_hh]]</f>
        <v>0</v>
      </c>
      <c r="CF553" s="2">
        <f>Dashboard[[#This Row],[idp_al_hh]]+Dashboard[[#This Row],[ref_al_hh]]+Dashboard[[#This Row],[ret_al_hh]]</f>
        <v>0</v>
      </c>
    </row>
    <row r="554" spans="1:84" hidden="1" x14ac:dyDescent="0.25">
      <c r="A554" s="27">
        <v>26</v>
      </c>
      <c r="B554" s="2" t="s">
        <v>22</v>
      </c>
      <c r="C554" s="2" t="s">
        <v>23</v>
      </c>
      <c r="D554" s="2" t="s">
        <v>218</v>
      </c>
      <c r="E554" s="2" t="s">
        <v>217</v>
      </c>
      <c r="F554" s="2" t="s">
        <v>224</v>
      </c>
      <c r="G554" s="2" t="s">
        <v>223</v>
      </c>
      <c r="H554" s="2" t="s">
        <v>1350</v>
      </c>
      <c r="I554" s="2" t="s">
        <v>491</v>
      </c>
      <c r="J554" s="2" t="s">
        <v>3290</v>
      </c>
      <c r="K554" s="2" t="s">
        <v>3291</v>
      </c>
      <c r="L554" s="2" t="s">
        <v>2074</v>
      </c>
      <c r="M554" s="2">
        <v>6800</v>
      </c>
      <c r="N554" s="2" t="s">
        <v>1658</v>
      </c>
      <c r="O554" s="2">
        <v>2</v>
      </c>
      <c r="P554" s="2">
        <v>18</v>
      </c>
      <c r="Q554" s="2" t="s">
        <v>1658</v>
      </c>
      <c r="R554" s="2">
        <v>2</v>
      </c>
      <c r="S554" s="2" t="s">
        <v>1660</v>
      </c>
      <c r="T554" s="2">
        <v>0</v>
      </c>
      <c r="U554" s="2" t="s">
        <v>32</v>
      </c>
      <c r="V554" s="2" t="s">
        <v>32</v>
      </c>
      <c r="W554" s="2" t="s">
        <v>1660</v>
      </c>
      <c r="X554" s="2">
        <v>0</v>
      </c>
      <c r="Y554" s="2" t="s">
        <v>32</v>
      </c>
      <c r="Z554" s="2" t="s">
        <v>32</v>
      </c>
      <c r="AA554" s="2" t="s">
        <v>1660</v>
      </c>
      <c r="AB554" s="2">
        <v>0</v>
      </c>
      <c r="AC554" s="2" t="s">
        <v>1660</v>
      </c>
      <c r="AD554" s="2">
        <v>0</v>
      </c>
      <c r="AE554" s="2" t="s">
        <v>1660</v>
      </c>
      <c r="AF554" s="2">
        <v>0</v>
      </c>
      <c r="AG554" s="2">
        <v>0</v>
      </c>
      <c r="AH554" s="2" t="s">
        <v>32</v>
      </c>
      <c r="AI554" s="2" t="s">
        <v>32</v>
      </c>
      <c r="AJ554" s="2" t="s">
        <v>32</v>
      </c>
      <c r="AK554" s="2" t="s">
        <v>32</v>
      </c>
      <c r="AL554" s="2" t="s">
        <v>32</v>
      </c>
      <c r="AM554" s="2">
        <v>0</v>
      </c>
      <c r="AN554" s="2" t="s">
        <v>32</v>
      </c>
      <c r="AO554" s="2">
        <v>0</v>
      </c>
      <c r="AP554" s="2" t="s">
        <v>32</v>
      </c>
      <c r="AQ554" s="2" t="s">
        <v>32</v>
      </c>
      <c r="AR554" s="2" t="s">
        <v>32</v>
      </c>
      <c r="AS554" s="2">
        <v>0</v>
      </c>
      <c r="AT554" s="2" t="s">
        <v>32</v>
      </c>
      <c r="AU554" s="2" t="s">
        <v>32</v>
      </c>
      <c r="AV554" s="2" t="s">
        <v>32</v>
      </c>
      <c r="AW554" s="2">
        <v>0</v>
      </c>
      <c r="AX554" s="2" t="s">
        <v>32</v>
      </c>
      <c r="AY554" s="2">
        <v>0</v>
      </c>
      <c r="AZ554" s="2" t="s">
        <v>1660</v>
      </c>
      <c r="BA554" s="2">
        <v>0</v>
      </c>
      <c r="BB554" s="2">
        <v>0</v>
      </c>
      <c r="BC554" s="2" t="s">
        <v>32</v>
      </c>
      <c r="BD554" s="2">
        <v>0</v>
      </c>
      <c r="BE554" s="2" t="s">
        <v>32</v>
      </c>
      <c r="BF554" s="2">
        <v>0</v>
      </c>
      <c r="BG554" s="2" t="s">
        <v>32</v>
      </c>
      <c r="BH554" s="2">
        <v>0</v>
      </c>
      <c r="BI554" s="2" t="s">
        <v>32</v>
      </c>
      <c r="BJ554" s="2" t="s">
        <v>32</v>
      </c>
      <c r="BK554" s="2" t="s">
        <v>32</v>
      </c>
      <c r="BL554" s="2">
        <v>0</v>
      </c>
      <c r="BM554" s="2" t="s">
        <v>32</v>
      </c>
      <c r="BN554" s="2" t="s">
        <v>32</v>
      </c>
      <c r="BO554" s="2" t="s">
        <v>32</v>
      </c>
      <c r="BP554" s="2">
        <v>0</v>
      </c>
      <c r="BQ554" s="2" t="s">
        <v>32</v>
      </c>
      <c r="BR554" s="2">
        <v>0</v>
      </c>
      <c r="BS554" s="2" t="s">
        <v>1660</v>
      </c>
      <c r="BT554" s="2">
        <v>0</v>
      </c>
      <c r="BU554" s="2">
        <v>0</v>
      </c>
      <c r="BV554" s="2" t="s">
        <v>1660</v>
      </c>
      <c r="BW554" s="2"/>
      <c r="BX554" s="2"/>
      <c r="BY554" s="2" t="s">
        <v>1807</v>
      </c>
      <c r="BZ554" s="2" t="b">
        <f>OR( (Dashboard[[#This Row],[ref_as_hh]]&gt;=1),(Dashboard[[#This Row],[ret_as_hh]] &gt;=1), (Dashboard[[#This Row],[idp_as_hh]]&gt;=1))</f>
        <v>0</v>
      </c>
      <c r="CA554" s="2">
        <f>Dashboard[[#This Row],[ret_hi_hh]]</f>
        <v>0</v>
      </c>
      <c r="CB554" s="2">
        <f>Dashboard[[#This Row],[idp_fa_hh]]+Dashboard[[#This Row],[ref_fa_hh]]+Dashboard[[#This Row],[ret_fa_hh]]</f>
        <v>2</v>
      </c>
      <c r="CC554" s="2">
        <f>Dashboard[[#This Row],[idp_loc_hh]]+Dashboard[[#This Row],[ref_loc_hh]]+Dashboard[[#This Row],[ret_loc_hh]]</f>
        <v>0</v>
      </c>
      <c r="CD554" s="2">
        <f>Dashboard[[#This Row],[idp_cc_hh]]+Dashboard[[#This Row],[ref_cc_hh]]+Dashboard[[#This Row],[ret_cc_hh]]</f>
        <v>0</v>
      </c>
      <c r="CE554" s="2">
        <f>Dashboard[[#This Row],[idp_as_hh]]+Dashboard[[#This Row],[ref_as_hh]]+Dashboard[[#This Row],[ret_as_hh]]</f>
        <v>0</v>
      </c>
      <c r="CF554" s="2">
        <f>Dashboard[[#This Row],[idp_al_hh]]+Dashboard[[#This Row],[ref_al_hh]]+Dashboard[[#This Row],[ret_al_hh]]</f>
        <v>0</v>
      </c>
    </row>
    <row r="555" spans="1:84" hidden="1" x14ac:dyDescent="0.25">
      <c r="A555" s="27">
        <v>307</v>
      </c>
      <c r="B555" s="2" t="s">
        <v>22</v>
      </c>
      <c r="C555" s="2" t="s">
        <v>23</v>
      </c>
      <c r="D555" s="2" t="s">
        <v>218</v>
      </c>
      <c r="E555" s="2" t="s">
        <v>217</v>
      </c>
      <c r="F555" s="2" t="s">
        <v>224</v>
      </c>
      <c r="G555" s="2" t="s">
        <v>223</v>
      </c>
      <c r="H555" s="2" t="s">
        <v>1353</v>
      </c>
      <c r="I555" s="2" t="s">
        <v>494</v>
      </c>
      <c r="J555" s="2" t="s">
        <v>3296</v>
      </c>
      <c r="K555" s="2" t="s">
        <v>3297</v>
      </c>
      <c r="L555" s="2" t="s">
        <v>2074</v>
      </c>
      <c r="M555" s="2">
        <v>12000</v>
      </c>
      <c r="N555" s="2" t="s">
        <v>1658</v>
      </c>
      <c r="O555" s="2">
        <v>4</v>
      </c>
      <c r="P555" s="2">
        <v>22</v>
      </c>
      <c r="Q555" s="2" t="s">
        <v>1658</v>
      </c>
      <c r="R555" s="2">
        <v>4</v>
      </c>
      <c r="S555" s="2" t="s">
        <v>1660</v>
      </c>
      <c r="T555" s="2">
        <v>0</v>
      </c>
      <c r="U555" s="2" t="s">
        <v>32</v>
      </c>
      <c r="V555" s="2" t="s">
        <v>32</v>
      </c>
      <c r="W555" s="2" t="s">
        <v>1660</v>
      </c>
      <c r="X555" s="2">
        <v>0</v>
      </c>
      <c r="Y555" s="2" t="s">
        <v>32</v>
      </c>
      <c r="Z555" s="2" t="s">
        <v>32</v>
      </c>
      <c r="AA555" s="2" t="s">
        <v>1660</v>
      </c>
      <c r="AB555" s="2">
        <v>0</v>
      </c>
      <c r="AC555" s="2" t="s">
        <v>1660</v>
      </c>
      <c r="AD555" s="2">
        <v>0</v>
      </c>
      <c r="AE555" s="2" t="s">
        <v>1660</v>
      </c>
      <c r="AF555" s="2">
        <v>0</v>
      </c>
      <c r="AG555" s="2">
        <v>0</v>
      </c>
      <c r="AH555" s="2" t="s">
        <v>32</v>
      </c>
      <c r="AI555" s="2" t="s">
        <v>32</v>
      </c>
      <c r="AJ555" s="2" t="s">
        <v>32</v>
      </c>
      <c r="AK555" s="2" t="s">
        <v>32</v>
      </c>
      <c r="AL555" s="2" t="s">
        <v>32</v>
      </c>
      <c r="AM555" s="2">
        <v>0</v>
      </c>
      <c r="AN555" s="2" t="s">
        <v>32</v>
      </c>
      <c r="AO555" s="2">
        <v>0</v>
      </c>
      <c r="AP555" s="2" t="s">
        <v>32</v>
      </c>
      <c r="AQ555" s="2" t="s">
        <v>32</v>
      </c>
      <c r="AR555" s="2" t="s">
        <v>32</v>
      </c>
      <c r="AS555" s="2">
        <v>0</v>
      </c>
      <c r="AT555" s="2" t="s">
        <v>32</v>
      </c>
      <c r="AU555" s="2" t="s">
        <v>32</v>
      </c>
      <c r="AV555" s="2" t="s">
        <v>32</v>
      </c>
      <c r="AW555" s="2">
        <v>0</v>
      </c>
      <c r="AX555" s="2" t="s">
        <v>32</v>
      </c>
      <c r="AY555" s="2">
        <v>0</v>
      </c>
      <c r="AZ555" s="2" t="s">
        <v>1660</v>
      </c>
      <c r="BA555" s="2">
        <v>0</v>
      </c>
      <c r="BB555" s="2">
        <v>0</v>
      </c>
      <c r="BC555" s="2" t="s">
        <v>32</v>
      </c>
      <c r="BD555" s="2">
        <v>0</v>
      </c>
      <c r="BE555" s="2" t="s">
        <v>32</v>
      </c>
      <c r="BF555" s="2">
        <v>0</v>
      </c>
      <c r="BG555" s="2" t="s">
        <v>32</v>
      </c>
      <c r="BH555" s="2">
        <v>0</v>
      </c>
      <c r="BI555" s="2" t="s">
        <v>32</v>
      </c>
      <c r="BJ555" s="2" t="s">
        <v>32</v>
      </c>
      <c r="BK555" s="2" t="s">
        <v>32</v>
      </c>
      <c r="BL555" s="2">
        <v>0</v>
      </c>
      <c r="BM555" s="2" t="s">
        <v>32</v>
      </c>
      <c r="BN555" s="2" t="s">
        <v>32</v>
      </c>
      <c r="BO555" s="2" t="s">
        <v>32</v>
      </c>
      <c r="BP555" s="2">
        <v>0</v>
      </c>
      <c r="BQ555" s="2" t="s">
        <v>32</v>
      </c>
      <c r="BR555" s="2">
        <v>0</v>
      </c>
      <c r="BS555" s="2" t="s">
        <v>1658</v>
      </c>
      <c r="BT555" s="2">
        <v>1</v>
      </c>
      <c r="BU555" s="2">
        <v>4</v>
      </c>
      <c r="BV555" s="2" t="s">
        <v>1660</v>
      </c>
      <c r="BW555" s="2"/>
      <c r="BX555" s="2"/>
      <c r="BY555" s="2" t="s">
        <v>1807</v>
      </c>
      <c r="BZ555" s="2" t="b">
        <f>OR( (Dashboard[[#This Row],[ref_as_hh]]&gt;=1),(Dashboard[[#This Row],[ret_as_hh]] &gt;=1), (Dashboard[[#This Row],[idp_as_hh]]&gt;=1))</f>
        <v>0</v>
      </c>
      <c r="CA555" s="2">
        <f>Dashboard[[#This Row],[ret_hi_hh]]</f>
        <v>0</v>
      </c>
      <c r="CB555" s="2">
        <f>Dashboard[[#This Row],[idp_fa_hh]]+Dashboard[[#This Row],[ref_fa_hh]]+Dashboard[[#This Row],[ret_fa_hh]]</f>
        <v>4</v>
      </c>
      <c r="CC555" s="2">
        <f>Dashboard[[#This Row],[idp_loc_hh]]+Dashboard[[#This Row],[ref_loc_hh]]+Dashboard[[#This Row],[ret_loc_hh]]</f>
        <v>0</v>
      </c>
      <c r="CD555" s="2">
        <f>Dashboard[[#This Row],[idp_cc_hh]]+Dashboard[[#This Row],[ref_cc_hh]]+Dashboard[[#This Row],[ret_cc_hh]]</f>
        <v>0</v>
      </c>
      <c r="CE555" s="2">
        <f>Dashboard[[#This Row],[idp_as_hh]]+Dashboard[[#This Row],[ref_as_hh]]+Dashboard[[#This Row],[ret_as_hh]]</f>
        <v>0</v>
      </c>
      <c r="CF555" s="2">
        <f>Dashboard[[#This Row],[idp_al_hh]]+Dashboard[[#This Row],[ref_al_hh]]+Dashboard[[#This Row],[ret_al_hh]]</f>
        <v>0</v>
      </c>
    </row>
    <row r="556" spans="1:84" hidden="1" x14ac:dyDescent="0.25">
      <c r="A556" s="27">
        <v>389</v>
      </c>
      <c r="B556" s="2" t="s">
        <v>22</v>
      </c>
      <c r="C556" s="2" t="s">
        <v>23</v>
      </c>
      <c r="D556" s="2" t="s">
        <v>218</v>
      </c>
      <c r="E556" s="2" t="s">
        <v>217</v>
      </c>
      <c r="F556" s="2" t="s">
        <v>224</v>
      </c>
      <c r="G556" s="2" t="s">
        <v>223</v>
      </c>
      <c r="H556" s="2" t="s">
        <v>1354</v>
      </c>
      <c r="I556" s="2" t="s">
        <v>495</v>
      </c>
      <c r="J556" s="2" t="s">
        <v>3298</v>
      </c>
      <c r="K556" s="2" t="s">
        <v>3299</v>
      </c>
      <c r="L556" s="2" t="s">
        <v>2074</v>
      </c>
      <c r="M556" s="2">
        <v>2000</v>
      </c>
      <c r="N556" s="2" t="s">
        <v>1660</v>
      </c>
      <c r="O556" s="2">
        <v>0</v>
      </c>
      <c r="P556" s="2">
        <v>0</v>
      </c>
      <c r="Q556" s="2" t="s">
        <v>32</v>
      </c>
      <c r="R556" s="2">
        <v>0</v>
      </c>
      <c r="S556" s="2" t="s">
        <v>32</v>
      </c>
      <c r="T556" s="2">
        <v>0</v>
      </c>
      <c r="U556" s="2" t="s">
        <v>32</v>
      </c>
      <c r="V556" s="2" t="s">
        <v>32</v>
      </c>
      <c r="W556" s="2" t="s">
        <v>32</v>
      </c>
      <c r="X556" s="2">
        <v>0</v>
      </c>
      <c r="Y556" s="2" t="s">
        <v>32</v>
      </c>
      <c r="Z556" s="2" t="s">
        <v>32</v>
      </c>
      <c r="AA556" s="2" t="s">
        <v>32</v>
      </c>
      <c r="AB556" s="2">
        <v>0</v>
      </c>
      <c r="AC556" s="2" t="s">
        <v>32</v>
      </c>
      <c r="AD556" s="2">
        <v>0</v>
      </c>
      <c r="AE556" s="2" t="s">
        <v>1660</v>
      </c>
      <c r="AF556" s="2">
        <v>0</v>
      </c>
      <c r="AG556" s="2">
        <v>0</v>
      </c>
      <c r="AH556" s="2" t="s">
        <v>32</v>
      </c>
      <c r="AI556" s="2" t="s">
        <v>32</v>
      </c>
      <c r="AJ556" s="2" t="s">
        <v>32</v>
      </c>
      <c r="AK556" s="2" t="s">
        <v>32</v>
      </c>
      <c r="AL556" s="2" t="s">
        <v>32</v>
      </c>
      <c r="AM556" s="2">
        <v>0</v>
      </c>
      <c r="AN556" s="2" t="s">
        <v>32</v>
      </c>
      <c r="AO556" s="2">
        <v>0</v>
      </c>
      <c r="AP556" s="2" t="s">
        <v>32</v>
      </c>
      <c r="AQ556" s="2" t="s">
        <v>32</v>
      </c>
      <c r="AR556" s="2" t="s">
        <v>32</v>
      </c>
      <c r="AS556" s="2">
        <v>0</v>
      </c>
      <c r="AT556" s="2" t="s">
        <v>32</v>
      </c>
      <c r="AU556" s="2" t="s">
        <v>32</v>
      </c>
      <c r="AV556" s="2" t="s">
        <v>32</v>
      </c>
      <c r="AW556" s="2">
        <v>0</v>
      </c>
      <c r="AX556" s="2" t="s">
        <v>32</v>
      </c>
      <c r="AY556" s="2">
        <v>0</v>
      </c>
      <c r="AZ556" s="2" t="s">
        <v>1658</v>
      </c>
      <c r="BA556" s="2">
        <v>1</v>
      </c>
      <c r="BB556" s="2">
        <v>6</v>
      </c>
      <c r="BC556" s="2" t="s">
        <v>1660</v>
      </c>
      <c r="BD556" s="2">
        <v>0</v>
      </c>
      <c r="BE556" s="2" t="s">
        <v>1658</v>
      </c>
      <c r="BF556" s="2">
        <v>1</v>
      </c>
      <c r="BG556" s="2" t="s">
        <v>1660</v>
      </c>
      <c r="BH556" s="2">
        <v>0</v>
      </c>
      <c r="BI556" s="2" t="s">
        <v>32</v>
      </c>
      <c r="BJ556" s="2" t="s">
        <v>32</v>
      </c>
      <c r="BK556" s="2" t="s">
        <v>1660</v>
      </c>
      <c r="BL556" s="2">
        <v>0</v>
      </c>
      <c r="BM556" s="2" t="s">
        <v>32</v>
      </c>
      <c r="BN556" s="2" t="s">
        <v>32</v>
      </c>
      <c r="BO556" s="2" t="s">
        <v>1660</v>
      </c>
      <c r="BP556" s="2">
        <v>0</v>
      </c>
      <c r="BQ556" s="2" t="s">
        <v>1660</v>
      </c>
      <c r="BR556" s="2">
        <v>0</v>
      </c>
      <c r="BS556" s="2" t="s">
        <v>1660</v>
      </c>
      <c r="BT556" s="2">
        <v>0</v>
      </c>
      <c r="BU556" s="2">
        <v>0</v>
      </c>
      <c r="BV556" s="2" t="s">
        <v>1660</v>
      </c>
      <c r="BW556" s="2"/>
      <c r="BX556" s="2"/>
      <c r="BY556" s="2" t="s">
        <v>1807</v>
      </c>
      <c r="BZ556" s="2" t="b">
        <f>OR( (Dashboard[[#This Row],[ref_as_hh]]&gt;=1),(Dashboard[[#This Row],[ret_as_hh]] &gt;=1), (Dashboard[[#This Row],[idp_as_hh]]&gt;=1))</f>
        <v>0</v>
      </c>
      <c r="CA556" s="2">
        <f>Dashboard[[#This Row],[ret_hi_hh]]</f>
        <v>0</v>
      </c>
      <c r="CB556" s="2">
        <f>Dashboard[[#This Row],[idp_fa_hh]]+Dashboard[[#This Row],[ref_fa_hh]]+Dashboard[[#This Row],[ret_fa_hh]]</f>
        <v>1</v>
      </c>
      <c r="CC556" s="2">
        <f>Dashboard[[#This Row],[idp_loc_hh]]+Dashboard[[#This Row],[ref_loc_hh]]+Dashboard[[#This Row],[ret_loc_hh]]</f>
        <v>0</v>
      </c>
      <c r="CD556" s="2">
        <f>Dashboard[[#This Row],[idp_cc_hh]]+Dashboard[[#This Row],[ref_cc_hh]]+Dashboard[[#This Row],[ret_cc_hh]]</f>
        <v>0</v>
      </c>
      <c r="CE556" s="2">
        <f>Dashboard[[#This Row],[idp_as_hh]]+Dashboard[[#This Row],[ref_as_hh]]+Dashboard[[#This Row],[ret_as_hh]]</f>
        <v>0</v>
      </c>
      <c r="CF556" s="2">
        <f>Dashboard[[#This Row],[idp_al_hh]]+Dashboard[[#This Row],[ref_al_hh]]+Dashboard[[#This Row],[ret_al_hh]]</f>
        <v>0</v>
      </c>
    </row>
    <row r="557" spans="1:84" hidden="1" x14ac:dyDescent="0.25">
      <c r="A557" s="27">
        <v>140</v>
      </c>
      <c r="B557" s="2" t="s">
        <v>22</v>
      </c>
      <c r="C557" s="2" t="s">
        <v>23</v>
      </c>
      <c r="D557" s="2" t="s">
        <v>218</v>
      </c>
      <c r="E557" s="2" t="s">
        <v>217</v>
      </c>
      <c r="F557" s="2" t="s">
        <v>224</v>
      </c>
      <c r="G557" s="2" t="s">
        <v>223</v>
      </c>
      <c r="H557" s="2" t="s">
        <v>1351</v>
      </c>
      <c r="I557" s="2" t="s">
        <v>492</v>
      </c>
      <c r="J557" s="2" t="s">
        <v>3292</v>
      </c>
      <c r="K557" s="2" t="s">
        <v>3293</v>
      </c>
      <c r="L557" s="2" t="s">
        <v>2074</v>
      </c>
      <c r="M557" s="2">
        <v>850</v>
      </c>
      <c r="N557" s="2" t="s">
        <v>1660</v>
      </c>
      <c r="O557" s="2">
        <v>0</v>
      </c>
      <c r="P557" s="2">
        <v>0</v>
      </c>
      <c r="Q557" s="2" t="s">
        <v>32</v>
      </c>
      <c r="R557" s="2">
        <v>0</v>
      </c>
      <c r="S557" s="2" t="s">
        <v>32</v>
      </c>
      <c r="T557" s="2">
        <v>0</v>
      </c>
      <c r="U557" s="2" t="s">
        <v>32</v>
      </c>
      <c r="V557" s="2" t="s">
        <v>32</v>
      </c>
      <c r="W557" s="2" t="s">
        <v>32</v>
      </c>
      <c r="X557" s="2">
        <v>0</v>
      </c>
      <c r="Y557" s="2" t="s">
        <v>32</v>
      </c>
      <c r="Z557" s="2" t="s">
        <v>32</v>
      </c>
      <c r="AA557" s="2" t="s">
        <v>32</v>
      </c>
      <c r="AB557" s="2">
        <v>0</v>
      </c>
      <c r="AC557" s="2" t="s">
        <v>32</v>
      </c>
      <c r="AD557" s="2">
        <v>0</v>
      </c>
      <c r="AE557" s="2" t="s">
        <v>1660</v>
      </c>
      <c r="AF557" s="2">
        <v>0</v>
      </c>
      <c r="AG557" s="2">
        <v>0</v>
      </c>
      <c r="AH557" s="2" t="s">
        <v>32</v>
      </c>
      <c r="AI557" s="2" t="s">
        <v>32</v>
      </c>
      <c r="AJ557" s="2" t="s">
        <v>32</v>
      </c>
      <c r="AK557" s="2" t="s">
        <v>32</v>
      </c>
      <c r="AL557" s="2" t="s">
        <v>32</v>
      </c>
      <c r="AM557" s="2">
        <v>0</v>
      </c>
      <c r="AN557" s="2" t="s">
        <v>32</v>
      </c>
      <c r="AO557" s="2">
        <v>0</v>
      </c>
      <c r="AP557" s="2" t="s">
        <v>32</v>
      </c>
      <c r="AQ557" s="2" t="s">
        <v>32</v>
      </c>
      <c r="AR557" s="2" t="s">
        <v>32</v>
      </c>
      <c r="AS557" s="2">
        <v>0</v>
      </c>
      <c r="AT557" s="2" t="s">
        <v>32</v>
      </c>
      <c r="AU557" s="2" t="s">
        <v>32</v>
      </c>
      <c r="AV557" s="2" t="s">
        <v>32</v>
      </c>
      <c r="AW557" s="2">
        <v>0</v>
      </c>
      <c r="AX557" s="2" t="s">
        <v>32</v>
      </c>
      <c r="AY557" s="2">
        <v>0</v>
      </c>
      <c r="AZ557" s="2" t="s">
        <v>1658</v>
      </c>
      <c r="BA557" s="2">
        <v>4</v>
      </c>
      <c r="BB557" s="2">
        <v>58</v>
      </c>
      <c r="BC557" s="2" t="s">
        <v>1660</v>
      </c>
      <c r="BD557" s="2">
        <v>0</v>
      </c>
      <c r="BE557" s="2" t="s">
        <v>1658</v>
      </c>
      <c r="BF557" s="2">
        <v>4</v>
      </c>
      <c r="BG557" s="2" t="s">
        <v>1660</v>
      </c>
      <c r="BH557" s="2">
        <v>0</v>
      </c>
      <c r="BI557" s="2" t="s">
        <v>32</v>
      </c>
      <c r="BJ557" s="2" t="s">
        <v>32</v>
      </c>
      <c r="BK557" s="2" t="s">
        <v>1660</v>
      </c>
      <c r="BL557" s="2">
        <v>0</v>
      </c>
      <c r="BM557" s="2" t="s">
        <v>32</v>
      </c>
      <c r="BN557" s="2" t="s">
        <v>32</v>
      </c>
      <c r="BO557" s="2" t="s">
        <v>1660</v>
      </c>
      <c r="BP557" s="2">
        <v>0</v>
      </c>
      <c r="BQ557" s="2" t="s">
        <v>1660</v>
      </c>
      <c r="BR557" s="2">
        <v>0</v>
      </c>
      <c r="BS557" s="2" t="s">
        <v>1660</v>
      </c>
      <c r="BT557" s="2">
        <v>0</v>
      </c>
      <c r="BU557" s="2">
        <v>0</v>
      </c>
      <c r="BV557" s="2" t="s">
        <v>1660</v>
      </c>
      <c r="BW557" s="2"/>
      <c r="BX557" s="2"/>
      <c r="BY557" s="2" t="s">
        <v>1807</v>
      </c>
      <c r="BZ557" s="2" t="b">
        <f>OR( (Dashboard[[#This Row],[ref_as_hh]]&gt;=1),(Dashboard[[#This Row],[ret_as_hh]] &gt;=1), (Dashboard[[#This Row],[idp_as_hh]]&gt;=1))</f>
        <v>0</v>
      </c>
      <c r="CA557" s="2">
        <f>Dashboard[[#This Row],[ret_hi_hh]]</f>
        <v>0</v>
      </c>
      <c r="CB557" s="2">
        <f>Dashboard[[#This Row],[idp_fa_hh]]+Dashboard[[#This Row],[ref_fa_hh]]+Dashboard[[#This Row],[ret_fa_hh]]</f>
        <v>4</v>
      </c>
      <c r="CC557" s="2">
        <f>Dashboard[[#This Row],[idp_loc_hh]]+Dashboard[[#This Row],[ref_loc_hh]]+Dashboard[[#This Row],[ret_loc_hh]]</f>
        <v>0</v>
      </c>
      <c r="CD557" s="2">
        <f>Dashboard[[#This Row],[idp_cc_hh]]+Dashboard[[#This Row],[ref_cc_hh]]+Dashboard[[#This Row],[ret_cc_hh]]</f>
        <v>0</v>
      </c>
      <c r="CE557" s="2">
        <f>Dashboard[[#This Row],[idp_as_hh]]+Dashboard[[#This Row],[ref_as_hh]]+Dashboard[[#This Row],[ret_as_hh]]</f>
        <v>0</v>
      </c>
      <c r="CF557" s="2">
        <f>Dashboard[[#This Row],[idp_al_hh]]+Dashboard[[#This Row],[ref_al_hh]]+Dashboard[[#This Row],[ret_al_hh]]</f>
        <v>0</v>
      </c>
    </row>
    <row r="558" spans="1:84" hidden="1" x14ac:dyDescent="0.25">
      <c r="A558" s="27">
        <v>192</v>
      </c>
      <c r="B558" s="2" t="s">
        <v>22</v>
      </c>
      <c r="C558" s="2" t="s">
        <v>23</v>
      </c>
      <c r="D558" s="2" t="s">
        <v>218</v>
      </c>
      <c r="E558" s="2" t="s">
        <v>217</v>
      </c>
      <c r="F558" s="2" t="s">
        <v>224</v>
      </c>
      <c r="G558" s="2" t="s">
        <v>223</v>
      </c>
      <c r="H558" s="2" t="s">
        <v>1352</v>
      </c>
      <c r="I558" s="2" t="s">
        <v>493</v>
      </c>
      <c r="J558" s="2" t="s">
        <v>3294</v>
      </c>
      <c r="K558" s="2" t="s">
        <v>3295</v>
      </c>
      <c r="L558" s="2" t="s">
        <v>3693</v>
      </c>
      <c r="M558" s="2">
        <v>12500</v>
      </c>
      <c r="N558" s="2" t="s">
        <v>1658</v>
      </c>
      <c r="O558" s="2">
        <v>6</v>
      </c>
      <c r="P558" s="2">
        <v>37</v>
      </c>
      <c r="Q558" s="2" t="s">
        <v>1658</v>
      </c>
      <c r="R558" s="2">
        <v>5</v>
      </c>
      <c r="S558" s="2" t="s">
        <v>1658</v>
      </c>
      <c r="T558" s="2">
        <v>1</v>
      </c>
      <c r="U558" s="2" t="s">
        <v>1659</v>
      </c>
      <c r="V558" s="2" t="s">
        <v>32</v>
      </c>
      <c r="W558" s="2" t="s">
        <v>1660</v>
      </c>
      <c r="X558" s="2">
        <v>0</v>
      </c>
      <c r="Y558" s="2" t="s">
        <v>32</v>
      </c>
      <c r="Z558" s="2" t="s">
        <v>32</v>
      </c>
      <c r="AA558" s="2" t="s">
        <v>1660</v>
      </c>
      <c r="AB558" s="2">
        <v>0</v>
      </c>
      <c r="AC558" s="2" t="s">
        <v>1660</v>
      </c>
      <c r="AD558" s="2">
        <v>0</v>
      </c>
      <c r="AE558" s="2" t="s">
        <v>1660</v>
      </c>
      <c r="AF558" s="2">
        <v>0</v>
      </c>
      <c r="AG558" s="2">
        <v>0</v>
      </c>
      <c r="AH558" s="2" t="s">
        <v>32</v>
      </c>
      <c r="AI558" s="2" t="s">
        <v>32</v>
      </c>
      <c r="AJ558" s="2" t="s">
        <v>32</v>
      </c>
      <c r="AK558" s="2" t="s">
        <v>32</v>
      </c>
      <c r="AL558" s="2" t="s">
        <v>32</v>
      </c>
      <c r="AM558" s="2">
        <v>0</v>
      </c>
      <c r="AN558" s="2" t="s">
        <v>32</v>
      </c>
      <c r="AO558" s="2">
        <v>0</v>
      </c>
      <c r="AP558" s="2" t="s">
        <v>32</v>
      </c>
      <c r="AQ558" s="2" t="s">
        <v>32</v>
      </c>
      <c r="AR558" s="2" t="s">
        <v>32</v>
      </c>
      <c r="AS558" s="2">
        <v>0</v>
      </c>
      <c r="AT558" s="2" t="s">
        <v>32</v>
      </c>
      <c r="AU558" s="2" t="s">
        <v>32</v>
      </c>
      <c r="AV558" s="2" t="s">
        <v>32</v>
      </c>
      <c r="AW558" s="2">
        <v>0</v>
      </c>
      <c r="AX558" s="2" t="s">
        <v>32</v>
      </c>
      <c r="AY558" s="2">
        <v>0</v>
      </c>
      <c r="AZ558" s="2" t="s">
        <v>1658</v>
      </c>
      <c r="BA558" s="2">
        <v>1</v>
      </c>
      <c r="BB558" s="2">
        <v>5</v>
      </c>
      <c r="BC558" s="2" t="s">
        <v>1660</v>
      </c>
      <c r="BD558" s="2">
        <v>0</v>
      </c>
      <c r="BE558" s="2" t="s">
        <v>1660</v>
      </c>
      <c r="BF558" s="2">
        <v>0</v>
      </c>
      <c r="BG558" s="2" t="s">
        <v>1658</v>
      </c>
      <c r="BH558" s="2">
        <v>1</v>
      </c>
      <c r="BI558" s="2" t="s">
        <v>1659</v>
      </c>
      <c r="BJ558" s="2" t="s">
        <v>32</v>
      </c>
      <c r="BK558" s="2" t="s">
        <v>1660</v>
      </c>
      <c r="BL558" s="2">
        <v>0</v>
      </c>
      <c r="BM558" s="2" t="s">
        <v>32</v>
      </c>
      <c r="BN558" s="2" t="s">
        <v>32</v>
      </c>
      <c r="BO558" s="2" t="s">
        <v>1660</v>
      </c>
      <c r="BP558" s="2">
        <v>0</v>
      </c>
      <c r="BQ558" s="2" t="s">
        <v>1660</v>
      </c>
      <c r="BR558" s="2">
        <v>0</v>
      </c>
      <c r="BS558" s="2" t="s">
        <v>1660</v>
      </c>
      <c r="BT558" s="2">
        <v>0</v>
      </c>
      <c r="BU558" s="2">
        <v>0</v>
      </c>
      <c r="BV558" s="2" t="s">
        <v>1660</v>
      </c>
      <c r="BW558" s="2"/>
      <c r="BX558" s="2"/>
      <c r="BY558" s="2" t="s">
        <v>1807</v>
      </c>
      <c r="BZ558" s="2" t="b">
        <f>OR( (Dashboard[[#This Row],[ref_as_hh]]&gt;=1),(Dashboard[[#This Row],[ret_as_hh]] &gt;=1), (Dashboard[[#This Row],[idp_as_hh]]&gt;=1))</f>
        <v>0</v>
      </c>
      <c r="CA558" s="2">
        <f>Dashboard[[#This Row],[ret_hi_hh]]</f>
        <v>0</v>
      </c>
      <c r="CB558" s="2">
        <f>Dashboard[[#This Row],[idp_fa_hh]]+Dashboard[[#This Row],[ref_fa_hh]]+Dashboard[[#This Row],[ret_fa_hh]]</f>
        <v>5</v>
      </c>
      <c r="CC558" s="2">
        <f>Dashboard[[#This Row],[idp_loc_hh]]+Dashboard[[#This Row],[ref_loc_hh]]+Dashboard[[#This Row],[ret_loc_hh]]</f>
        <v>2</v>
      </c>
      <c r="CD558" s="2">
        <f>Dashboard[[#This Row],[idp_cc_hh]]+Dashboard[[#This Row],[ref_cc_hh]]+Dashboard[[#This Row],[ret_cc_hh]]</f>
        <v>0</v>
      </c>
      <c r="CE558" s="2">
        <f>Dashboard[[#This Row],[idp_as_hh]]+Dashboard[[#This Row],[ref_as_hh]]+Dashboard[[#This Row],[ret_as_hh]]</f>
        <v>0</v>
      </c>
      <c r="CF558" s="2">
        <f>Dashboard[[#This Row],[idp_al_hh]]+Dashboard[[#This Row],[ref_al_hh]]+Dashboard[[#This Row],[ret_al_hh]]</f>
        <v>0</v>
      </c>
    </row>
    <row r="559" spans="1:84" hidden="1" x14ac:dyDescent="0.25">
      <c r="A559" s="27">
        <v>593</v>
      </c>
      <c r="B559" s="2" t="s">
        <v>22</v>
      </c>
      <c r="C559" s="2" t="s">
        <v>23</v>
      </c>
      <c r="D559" s="2" t="s">
        <v>218</v>
      </c>
      <c r="E559" s="2" t="s">
        <v>217</v>
      </c>
      <c r="F559" s="2" t="s">
        <v>220</v>
      </c>
      <c r="G559" s="2" t="s">
        <v>219</v>
      </c>
      <c r="H559" s="2" t="s">
        <v>1577</v>
      </c>
      <c r="I559" s="2" t="s">
        <v>222</v>
      </c>
      <c r="J559" s="2" t="s">
        <v>3304</v>
      </c>
      <c r="K559" s="2" t="s">
        <v>3305</v>
      </c>
      <c r="L559" s="2" t="s">
        <v>2074</v>
      </c>
      <c r="M559" s="2">
        <v>1315</v>
      </c>
      <c r="N559" s="2" t="s">
        <v>1660</v>
      </c>
      <c r="O559" s="2">
        <v>0</v>
      </c>
      <c r="P559" s="2">
        <v>0</v>
      </c>
      <c r="Q559" s="2" t="s">
        <v>32</v>
      </c>
      <c r="R559" s="2">
        <v>0</v>
      </c>
      <c r="S559" s="2" t="s">
        <v>32</v>
      </c>
      <c r="T559" s="2">
        <v>0</v>
      </c>
      <c r="U559" s="2" t="s">
        <v>32</v>
      </c>
      <c r="V559" s="2" t="s">
        <v>32</v>
      </c>
      <c r="W559" s="2" t="s">
        <v>32</v>
      </c>
      <c r="X559" s="2">
        <v>0</v>
      </c>
      <c r="Y559" s="2" t="s">
        <v>32</v>
      </c>
      <c r="Z559" s="2" t="s">
        <v>32</v>
      </c>
      <c r="AA559" s="2" t="s">
        <v>32</v>
      </c>
      <c r="AB559" s="2">
        <v>0</v>
      </c>
      <c r="AC559" s="2" t="s">
        <v>32</v>
      </c>
      <c r="AD559" s="2">
        <v>0</v>
      </c>
      <c r="AE559" s="2" t="s">
        <v>1660</v>
      </c>
      <c r="AF559" s="2">
        <v>0</v>
      </c>
      <c r="AG559" s="2">
        <v>0</v>
      </c>
      <c r="AH559" s="2" t="s">
        <v>32</v>
      </c>
      <c r="AI559" s="2" t="s">
        <v>32</v>
      </c>
      <c r="AJ559" s="2" t="s">
        <v>32</v>
      </c>
      <c r="AK559" s="2" t="s">
        <v>32</v>
      </c>
      <c r="AL559" s="2" t="s">
        <v>32</v>
      </c>
      <c r="AM559" s="2">
        <v>0</v>
      </c>
      <c r="AN559" s="2" t="s">
        <v>32</v>
      </c>
      <c r="AO559" s="2">
        <v>0</v>
      </c>
      <c r="AP559" s="2" t="s">
        <v>32</v>
      </c>
      <c r="AQ559" s="2" t="s">
        <v>32</v>
      </c>
      <c r="AR559" s="2" t="s">
        <v>32</v>
      </c>
      <c r="AS559" s="2">
        <v>0</v>
      </c>
      <c r="AT559" s="2" t="s">
        <v>32</v>
      </c>
      <c r="AU559" s="2" t="s">
        <v>32</v>
      </c>
      <c r="AV559" s="2" t="s">
        <v>32</v>
      </c>
      <c r="AW559" s="2">
        <v>0</v>
      </c>
      <c r="AX559" s="2" t="s">
        <v>32</v>
      </c>
      <c r="AY559" s="2">
        <v>0</v>
      </c>
      <c r="AZ559" s="2" t="s">
        <v>1658</v>
      </c>
      <c r="BA559" s="2">
        <v>3</v>
      </c>
      <c r="BB559" s="2">
        <v>16</v>
      </c>
      <c r="BC559" s="2" t="s">
        <v>1660</v>
      </c>
      <c r="BD559" s="2">
        <v>0</v>
      </c>
      <c r="BE559" s="2" t="s">
        <v>1658</v>
      </c>
      <c r="BF559" s="2">
        <v>3</v>
      </c>
      <c r="BG559" s="2" t="s">
        <v>1660</v>
      </c>
      <c r="BH559" s="2">
        <v>0</v>
      </c>
      <c r="BI559" s="2" t="s">
        <v>32</v>
      </c>
      <c r="BJ559" s="2" t="s">
        <v>32</v>
      </c>
      <c r="BK559" s="2" t="s">
        <v>1660</v>
      </c>
      <c r="BL559" s="2">
        <v>0</v>
      </c>
      <c r="BM559" s="2" t="s">
        <v>32</v>
      </c>
      <c r="BN559" s="2" t="s">
        <v>32</v>
      </c>
      <c r="BO559" s="2" t="s">
        <v>1660</v>
      </c>
      <c r="BP559" s="2">
        <v>0</v>
      </c>
      <c r="BQ559" s="2" t="s">
        <v>1660</v>
      </c>
      <c r="BR559" s="2">
        <v>0</v>
      </c>
      <c r="BS559" s="2" t="s">
        <v>1660</v>
      </c>
      <c r="BT559" s="2">
        <v>0</v>
      </c>
      <c r="BU559" s="2">
        <v>0</v>
      </c>
      <c r="BV559" s="2" t="s">
        <v>1660</v>
      </c>
      <c r="BW559" s="2"/>
      <c r="BX559" s="2"/>
      <c r="BY559" s="2" t="s">
        <v>1807</v>
      </c>
      <c r="BZ559" s="2" t="b">
        <f>OR( (Dashboard[[#This Row],[ref_as_hh]]&gt;=1),(Dashboard[[#This Row],[ret_as_hh]] &gt;=1), (Dashboard[[#This Row],[idp_as_hh]]&gt;=1))</f>
        <v>0</v>
      </c>
      <c r="CA559" s="2">
        <f>Dashboard[[#This Row],[ret_hi_hh]]</f>
        <v>0</v>
      </c>
      <c r="CB559" s="2">
        <f>Dashboard[[#This Row],[idp_fa_hh]]+Dashboard[[#This Row],[ref_fa_hh]]+Dashboard[[#This Row],[ret_fa_hh]]</f>
        <v>3</v>
      </c>
      <c r="CC559" s="2">
        <f>Dashboard[[#This Row],[idp_loc_hh]]+Dashboard[[#This Row],[ref_loc_hh]]+Dashboard[[#This Row],[ret_loc_hh]]</f>
        <v>0</v>
      </c>
      <c r="CD559" s="2">
        <f>Dashboard[[#This Row],[idp_cc_hh]]+Dashboard[[#This Row],[ref_cc_hh]]+Dashboard[[#This Row],[ret_cc_hh]]</f>
        <v>0</v>
      </c>
      <c r="CE559" s="2">
        <f>Dashboard[[#This Row],[idp_as_hh]]+Dashboard[[#This Row],[ref_as_hh]]+Dashboard[[#This Row],[ret_as_hh]]</f>
        <v>0</v>
      </c>
      <c r="CF559" s="2">
        <f>Dashboard[[#This Row],[idp_al_hh]]+Dashboard[[#This Row],[ref_al_hh]]+Dashboard[[#This Row],[ret_al_hh]]</f>
        <v>0</v>
      </c>
    </row>
    <row r="560" spans="1:84" hidden="1" x14ac:dyDescent="0.25">
      <c r="A560" s="27">
        <v>594</v>
      </c>
      <c r="B560" s="2" t="s">
        <v>22</v>
      </c>
      <c r="C560" s="2" t="s">
        <v>23</v>
      </c>
      <c r="D560" s="2" t="s">
        <v>218</v>
      </c>
      <c r="E560" s="2" t="s">
        <v>217</v>
      </c>
      <c r="F560" s="2" t="s">
        <v>220</v>
      </c>
      <c r="G560" s="2" t="s">
        <v>219</v>
      </c>
      <c r="H560" s="2" t="s">
        <v>1580</v>
      </c>
      <c r="I560" s="2" t="s">
        <v>1579</v>
      </c>
      <c r="J560" s="2" t="s">
        <v>3310</v>
      </c>
      <c r="K560" s="2" t="s">
        <v>3311</v>
      </c>
      <c r="L560" s="2" t="s">
        <v>2074</v>
      </c>
      <c r="M560" s="2">
        <v>1200</v>
      </c>
      <c r="N560" s="2" t="s">
        <v>1660</v>
      </c>
      <c r="O560" s="2">
        <v>0</v>
      </c>
      <c r="P560" s="2">
        <v>0</v>
      </c>
      <c r="Q560" s="2" t="s">
        <v>32</v>
      </c>
      <c r="R560" s="2">
        <v>0</v>
      </c>
      <c r="S560" s="2" t="s">
        <v>32</v>
      </c>
      <c r="T560" s="2">
        <v>0</v>
      </c>
      <c r="U560" s="2" t="s">
        <v>32</v>
      </c>
      <c r="V560" s="2" t="s">
        <v>32</v>
      </c>
      <c r="W560" s="2" t="s">
        <v>32</v>
      </c>
      <c r="X560" s="2">
        <v>0</v>
      </c>
      <c r="Y560" s="2" t="s">
        <v>32</v>
      </c>
      <c r="Z560" s="2" t="s">
        <v>32</v>
      </c>
      <c r="AA560" s="2" t="s">
        <v>32</v>
      </c>
      <c r="AB560" s="2">
        <v>0</v>
      </c>
      <c r="AC560" s="2" t="s">
        <v>32</v>
      </c>
      <c r="AD560" s="2">
        <v>0</v>
      </c>
      <c r="AE560" s="2" t="s">
        <v>1660</v>
      </c>
      <c r="AF560" s="2">
        <v>0</v>
      </c>
      <c r="AG560" s="2">
        <v>0</v>
      </c>
      <c r="AH560" s="2" t="s">
        <v>32</v>
      </c>
      <c r="AI560" s="2" t="s">
        <v>32</v>
      </c>
      <c r="AJ560" s="2" t="s">
        <v>32</v>
      </c>
      <c r="AK560" s="2" t="s">
        <v>32</v>
      </c>
      <c r="AL560" s="2" t="s">
        <v>32</v>
      </c>
      <c r="AM560" s="2">
        <v>0</v>
      </c>
      <c r="AN560" s="2" t="s">
        <v>32</v>
      </c>
      <c r="AO560" s="2">
        <v>0</v>
      </c>
      <c r="AP560" s="2" t="s">
        <v>32</v>
      </c>
      <c r="AQ560" s="2" t="s">
        <v>32</v>
      </c>
      <c r="AR560" s="2" t="s">
        <v>32</v>
      </c>
      <c r="AS560" s="2">
        <v>0</v>
      </c>
      <c r="AT560" s="2" t="s">
        <v>32</v>
      </c>
      <c r="AU560" s="2" t="s">
        <v>32</v>
      </c>
      <c r="AV560" s="2" t="s">
        <v>32</v>
      </c>
      <c r="AW560" s="2">
        <v>0</v>
      </c>
      <c r="AX560" s="2" t="s">
        <v>32</v>
      </c>
      <c r="AY560" s="2">
        <v>0</v>
      </c>
      <c r="AZ560" s="2" t="s">
        <v>1658</v>
      </c>
      <c r="BA560" s="2">
        <v>4</v>
      </c>
      <c r="BB560" s="2">
        <v>13</v>
      </c>
      <c r="BC560" s="2" t="s">
        <v>1660</v>
      </c>
      <c r="BD560" s="2">
        <v>0</v>
      </c>
      <c r="BE560" s="2" t="s">
        <v>1658</v>
      </c>
      <c r="BF560" s="2">
        <v>4</v>
      </c>
      <c r="BG560" s="2" t="s">
        <v>1660</v>
      </c>
      <c r="BH560" s="2">
        <v>0</v>
      </c>
      <c r="BI560" s="2" t="s">
        <v>32</v>
      </c>
      <c r="BJ560" s="2" t="s">
        <v>32</v>
      </c>
      <c r="BK560" s="2" t="s">
        <v>1660</v>
      </c>
      <c r="BL560" s="2">
        <v>0</v>
      </c>
      <c r="BM560" s="2" t="s">
        <v>32</v>
      </c>
      <c r="BN560" s="2" t="s">
        <v>32</v>
      </c>
      <c r="BO560" s="2" t="s">
        <v>1660</v>
      </c>
      <c r="BP560" s="2">
        <v>0</v>
      </c>
      <c r="BQ560" s="2" t="s">
        <v>1660</v>
      </c>
      <c r="BR560" s="2">
        <v>0</v>
      </c>
      <c r="BS560" s="2" t="s">
        <v>1660</v>
      </c>
      <c r="BT560" s="2">
        <v>0</v>
      </c>
      <c r="BU560" s="2">
        <v>0</v>
      </c>
      <c r="BV560" s="2" t="s">
        <v>1660</v>
      </c>
      <c r="BW560" s="2"/>
      <c r="BX560" s="2"/>
      <c r="BY560" s="2" t="s">
        <v>1807</v>
      </c>
      <c r="BZ560" s="2" t="b">
        <f>OR( (Dashboard[[#This Row],[ref_as_hh]]&gt;=1),(Dashboard[[#This Row],[ret_as_hh]] &gt;=1), (Dashboard[[#This Row],[idp_as_hh]]&gt;=1))</f>
        <v>0</v>
      </c>
      <c r="CA560" s="2">
        <f>Dashboard[[#This Row],[ret_hi_hh]]</f>
        <v>0</v>
      </c>
      <c r="CB560" s="2">
        <f>Dashboard[[#This Row],[idp_fa_hh]]+Dashboard[[#This Row],[ref_fa_hh]]+Dashboard[[#This Row],[ret_fa_hh]]</f>
        <v>4</v>
      </c>
      <c r="CC560" s="2">
        <f>Dashboard[[#This Row],[idp_loc_hh]]+Dashboard[[#This Row],[ref_loc_hh]]+Dashboard[[#This Row],[ret_loc_hh]]</f>
        <v>0</v>
      </c>
      <c r="CD560" s="2">
        <f>Dashboard[[#This Row],[idp_cc_hh]]+Dashboard[[#This Row],[ref_cc_hh]]+Dashboard[[#This Row],[ret_cc_hh]]</f>
        <v>0</v>
      </c>
      <c r="CE560" s="2">
        <f>Dashboard[[#This Row],[idp_as_hh]]+Dashboard[[#This Row],[ref_as_hh]]+Dashboard[[#This Row],[ret_as_hh]]</f>
        <v>0</v>
      </c>
      <c r="CF560" s="2">
        <f>Dashboard[[#This Row],[idp_al_hh]]+Dashboard[[#This Row],[ref_al_hh]]+Dashboard[[#This Row],[ret_al_hh]]</f>
        <v>0</v>
      </c>
    </row>
    <row r="561" spans="1:84" hidden="1" x14ac:dyDescent="0.25">
      <c r="A561" s="27">
        <v>600</v>
      </c>
      <c r="B561" s="2" t="s">
        <v>22</v>
      </c>
      <c r="C561" s="2" t="s">
        <v>23</v>
      </c>
      <c r="D561" s="2" t="s">
        <v>218</v>
      </c>
      <c r="E561" s="2" t="s">
        <v>217</v>
      </c>
      <c r="F561" s="2" t="s">
        <v>220</v>
      </c>
      <c r="G561" s="2" t="s">
        <v>219</v>
      </c>
      <c r="H561" s="2" t="s">
        <v>1534</v>
      </c>
      <c r="I561" s="2" t="s">
        <v>225</v>
      </c>
      <c r="J561" s="2" t="s">
        <v>3306</v>
      </c>
      <c r="K561" s="2" t="s">
        <v>3307</v>
      </c>
      <c r="L561" s="2" t="s">
        <v>2074</v>
      </c>
      <c r="M561" s="2">
        <v>1258</v>
      </c>
      <c r="N561" s="2" t="s">
        <v>1660</v>
      </c>
      <c r="O561" s="2">
        <v>0</v>
      </c>
      <c r="P561" s="2">
        <v>0</v>
      </c>
      <c r="Q561" s="2" t="s">
        <v>32</v>
      </c>
      <c r="R561" s="2">
        <v>0</v>
      </c>
      <c r="S561" s="2" t="s">
        <v>32</v>
      </c>
      <c r="T561" s="2">
        <v>0</v>
      </c>
      <c r="U561" s="2" t="s">
        <v>32</v>
      </c>
      <c r="V561" s="2" t="s">
        <v>32</v>
      </c>
      <c r="W561" s="2" t="s">
        <v>32</v>
      </c>
      <c r="X561" s="2">
        <v>0</v>
      </c>
      <c r="Y561" s="2" t="s">
        <v>32</v>
      </c>
      <c r="Z561" s="2" t="s">
        <v>32</v>
      </c>
      <c r="AA561" s="2" t="s">
        <v>32</v>
      </c>
      <c r="AB561" s="2">
        <v>0</v>
      </c>
      <c r="AC561" s="2" t="s">
        <v>32</v>
      </c>
      <c r="AD561" s="2">
        <v>0</v>
      </c>
      <c r="AE561" s="2" t="s">
        <v>1658</v>
      </c>
      <c r="AF561" s="2">
        <v>2</v>
      </c>
      <c r="AG561" s="2">
        <v>9</v>
      </c>
      <c r="AH561" s="2" t="s">
        <v>1660</v>
      </c>
      <c r="AI561" s="2" t="s">
        <v>32</v>
      </c>
      <c r="AJ561" s="2" t="s">
        <v>32</v>
      </c>
      <c r="AK561" s="2" t="s">
        <v>32</v>
      </c>
      <c r="AL561" s="2" t="s">
        <v>1658</v>
      </c>
      <c r="AM561" s="2">
        <v>1</v>
      </c>
      <c r="AN561" s="2" t="s">
        <v>1658</v>
      </c>
      <c r="AO561" s="2">
        <v>1</v>
      </c>
      <c r="AP561" s="2" t="s">
        <v>1661</v>
      </c>
      <c r="AQ561" s="2" t="s">
        <v>32</v>
      </c>
      <c r="AR561" s="2" t="s">
        <v>1660</v>
      </c>
      <c r="AS561" s="2">
        <v>0</v>
      </c>
      <c r="AT561" s="2" t="s">
        <v>32</v>
      </c>
      <c r="AU561" s="2" t="s">
        <v>32</v>
      </c>
      <c r="AV561" s="2" t="s">
        <v>1660</v>
      </c>
      <c r="AW561" s="2">
        <v>0</v>
      </c>
      <c r="AX561" s="2" t="s">
        <v>1660</v>
      </c>
      <c r="AY561" s="2">
        <v>0</v>
      </c>
      <c r="AZ561" s="2" t="s">
        <v>1660</v>
      </c>
      <c r="BA561" s="2">
        <v>0</v>
      </c>
      <c r="BB561" s="2">
        <v>0</v>
      </c>
      <c r="BC561" s="2" t="s">
        <v>32</v>
      </c>
      <c r="BD561" s="2">
        <v>0</v>
      </c>
      <c r="BE561" s="2" t="s">
        <v>32</v>
      </c>
      <c r="BF561" s="2">
        <v>0</v>
      </c>
      <c r="BG561" s="2" t="s">
        <v>32</v>
      </c>
      <c r="BH561" s="2">
        <v>0</v>
      </c>
      <c r="BI561" s="2" t="s">
        <v>32</v>
      </c>
      <c r="BJ561" s="2" t="s">
        <v>32</v>
      </c>
      <c r="BK561" s="2" t="s">
        <v>32</v>
      </c>
      <c r="BL561" s="2">
        <v>0</v>
      </c>
      <c r="BM561" s="2" t="s">
        <v>32</v>
      </c>
      <c r="BN561" s="2" t="s">
        <v>32</v>
      </c>
      <c r="BO561" s="2" t="s">
        <v>32</v>
      </c>
      <c r="BP561" s="2">
        <v>0</v>
      </c>
      <c r="BQ561" s="2" t="s">
        <v>32</v>
      </c>
      <c r="BR561" s="2">
        <v>0</v>
      </c>
      <c r="BS561" s="2" t="s">
        <v>1660</v>
      </c>
      <c r="BT561" s="2">
        <v>0</v>
      </c>
      <c r="BU561" s="2">
        <v>0</v>
      </c>
      <c r="BV561" s="2" t="s">
        <v>1660</v>
      </c>
      <c r="BW561" s="2"/>
      <c r="BX561" s="2"/>
      <c r="BY561" s="2" t="s">
        <v>1807</v>
      </c>
      <c r="BZ561" s="2" t="b">
        <f>OR( (Dashboard[[#This Row],[ref_as_hh]]&gt;=1),(Dashboard[[#This Row],[ret_as_hh]] &gt;=1), (Dashboard[[#This Row],[idp_as_hh]]&gt;=1))</f>
        <v>0</v>
      </c>
      <c r="CA561" s="2">
        <f>Dashboard[[#This Row],[ret_hi_hh]]</f>
        <v>0</v>
      </c>
      <c r="CB561" s="2">
        <f>Dashboard[[#This Row],[idp_fa_hh]]+Dashboard[[#This Row],[ref_fa_hh]]+Dashboard[[#This Row],[ret_fa_hh]]</f>
        <v>1</v>
      </c>
      <c r="CC561" s="2">
        <f>Dashboard[[#This Row],[idp_loc_hh]]+Dashboard[[#This Row],[ref_loc_hh]]+Dashboard[[#This Row],[ret_loc_hh]]</f>
        <v>1</v>
      </c>
      <c r="CD561" s="2">
        <f>Dashboard[[#This Row],[idp_cc_hh]]+Dashboard[[#This Row],[ref_cc_hh]]+Dashboard[[#This Row],[ret_cc_hh]]</f>
        <v>0</v>
      </c>
      <c r="CE561" s="2">
        <f>Dashboard[[#This Row],[idp_as_hh]]+Dashboard[[#This Row],[ref_as_hh]]+Dashboard[[#This Row],[ret_as_hh]]</f>
        <v>0</v>
      </c>
      <c r="CF561" s="2">
        <f>Dashboard[[#This Row],[idp_al_hh]]+Dashboard[[#This Row],[ref_al_hh]]+Dashboard[[#This Row],[ret_al_hh]]</f>
        <v>0</v>
      </c>
    </row>
    <row r="562" spans="1:84" hidden="1" x14ac:dyDescent="0.25">
      <c r="A562" s="27">
        <v>432</v>
      </c>
      <c r="B562" s="2" t="s">
        <v>22</v>
      </c>
      <c r="C562" s="2" t="s">
        <v>23</v>
      </c>
      <c r="D562" s="2" t="s">
        <v>218</v>
      </c>
      <c r="E562" s="2" t="s">
        <v>217</v>
      </c>
      <c r="F562" s="2" t="s">
        <v>220</v>
      </c>
      <c r="G562" s="2" t="s">
        <v>219</v>
      </c>
      <c r="H562" s="2" t="s">
        <v>1690</v>
      </c>
      <c r="I562" s="2" t="s">
        <v>221</v>
      </c>
      <c r="J562" s="2" t="s">
        <v>3302</v>
      </c>
      <c r="K562" s="2" t="s">
        <v>3303</v>
      </c>
      <c r="L562" s="2" t="s">
        <v>2074</v>
      </c>
      <c r="M562" s="2">
        <v>83</v>
      </c>
      <c r="N562" s="2" t="s">
        <v>1660</v>
      </c>
      <c r="O562" s="2">
        <v>0</v>
      </c>
      <c r="P562" s="2">
        <v>0</v>
      </c>
      <c r="Q562" s="2" t="s">
        <v>32</v>
      </c>
      <c r="R562" s="2">
        <v>0</v>
      </c>
      <c r="S562" s="2" t="s">
        <v>32</v>
      </c>
      <c r="T562" s="2">
        <v>0</v>
      </c>
      <c r="U562" s="2" t="s">
        <v>32</v>
      </c>
      <c r="V562" s="2" t="s">
        <v>32</v>
      </c>
      <c r="W562" s="2" t="s">
        <v>32</v>
      </c>
      <c r="X562" s="2">
        <v>0</v>
      </c>
      <c r="Y562" s="2" t="s">
        <v>32</v>
      </c>
      <c r="Z562" s="2" t="s">
        <v>32</v>
      </c>
      <c r="AA562" s="2" t="s">
        <v>32</v>
      </c>
      <c r="AB562" s="2">
        <v>0</v>
      </c>
      <c r="AC562" s="2" t="s">
        <v>32</v>
      </c>
      <c r="AD562" s="2">
        <v>0</v>
      </c>
      <c r="AE562" s="2" t="s">
        <v>1660</v>
      </c>
      <c r="AF562" s="2">
        <v>0</v>
      </c>
      <c r="AG562" s="2">
        <v>0</v>
      </c>
      <c r="AH562" s="2" t="s">
        <v>32</v>
      </c>
      <c r="AI562" s="2" t="s">
        <v>32</v>
      </c>
      <c r="AJ562" s="2" t="s">
        <v>32</v>
      </c>
      <c r="AK562" s="2" t="s">
        <v>32</v>
      </c>
      <c r="AL562" s="2" t="s">
        <v>32</v>
      </c>
      <c r="AM562" s="2">
        <v>0</v>
      </c>
      <c r="AN562" s="2" t="s">
        <v>32</v>
      </c>
      <c r="AO562" s="2">
        <v>0</v>
      </c>
      <c r="AP562" s="2" t="s">
        <v>32</v>
      </c>
      <c r="AQ562" s="2" t="s">
        <v>32</v>
      </c>
      <c r="AR562" s="2" t="s">
        <v>32</v>
      </c>
      <c r="AS562" s="2">
        <v>0</v>
      </c>
      <c r="AT562" s="2" t="s">
        <v>32</v>
      </c>
      <c r="AU562" s="2" t="s">
        <v>32</v>
      </c>
      <c r="AV562" s="2" t="s">
        <v>32</v>
      </c>
      <c r="AW562" s="2">
        <v>0</v>
      </c>
      <c r="AX562" s="2" t="s">
        <v>32</v>
      </c>
      <c r="AY562" s="2">
        <v>0</v>
      </c>
      <c r="AZ562" s="2" t="s">
        <v>1660</v>
      </c>
      <c r="BA562" s="2">
        <v>0</v>
      </c>
      <c r="BB562" s="2">
        <v>0</v>
      </c>
      <c r="BC562" s="2" t="s">
        <v>32</v>
      </c>
      <c r="BD562" s="2">
        <v>0</v>
      </c>
      <c r="BE562" s="2" t="s">
        <v>32</v>
      </c>
      <c r="BF562" s="2">
        <v>0</v>
      </c>
      <c r="BG562" s="2" t="s">
        <v>32</v>
      </c>
      <c r="BH562" s="2">
        <v>0</v>
      </c>
      <c r="BI562" s="2" t="s">
        <v>32</v>
      </c>
      <c r="BJ562" s="2" t="s">
        <v>32</v>
      </c>
      <c r="BK562" s="2" t="s">
        <v>32</v>
      </c>
      <c r="BL562" s="2">
        <v>0</v>
      </c>
      <c r="BM562" s="2" t="s">
        <v>32</v>
      </c>
      <c r="BN562" s="2" t="s">
        <v>32</v>
      </c>
      <c r="BO562" s="2" t="s">
        <v>32</v>
      </c>
      <c r="BP562" s="2">
        <v>0</v>
      </c>
      <c r="BQ562" s="2" t="s">
        <v>32</v>
      </c>
      <c r="BR562" s="2">
        <v>0</v>
      </c>
      <c r="BS562" s="2" t="s">
        <v>1660</v>
      </c>
      <c r="BT562" s="2">
        <v>0</v>
      </c>
      <c r="BU562" s="2">
        <v>0</v>
      </c>
      <c r="BV562" s="2" t="s">
        <v>1660</v>
      </c>
      <c r="BW562" s="2"/>
      <c r="BX562" s="2"/>
      <c r="BY562" s="2" t="s">
        <v>1807</v>
      </c>
      <c r="BZ562" s="2" t="b">
        <f>OR( (Dashboard[[#This Row],[ref_as_hh]]&gt;=1),(Dashboard[[#This Row],[ret_as_hh]] &gt;=1), (Dashboard[[#This Row],[idp_as_hh]]&gt;=1))</f>
        <v>0</v>
      </c>
      <c r="CA562" s="2">
        <f>Dashboard[[#This Row],[ret_hi_hh]]</f>
        <v>0</v>
      </c>
      <c r="CB562" s="2">
        <f>Dashboard[[#This Row],[idp_fa_hh]]+Dashboard[[#This Row],[ref_fa_hh]]+Dashboard[[#This Row],[ret_fa_hh]]</f>
        <v>0</v>
      </c>
      <c r="CC562" s="2">
        <f>Dashboard[[#This Row],[idp_loc_hh]]+Dashboard[[#This Row],[ref_loc_hh]]+Dashboard[[#This Row],[ret_loc_hh]]</f>
        <v>0</v>
      </c>
      <c r="CD562" s="2">
        <f>Dashboard[[#This Row],[idp_cc_hh]]+Dashboard[[#This Row],[ref_cc_hh]]+Dashboard[[#This Row],[ret_cc_hh]]</f>
        <v>0</v>
      </c>
      <c r="CE562" s="2">
        <f>Dashboard[[#This Row],[idp_as_hh]]+Dashboard[[#This Row],[ref_as_hh]]+Dashboard[[#This Row],[ret_as_hh]]</f>
        <v>0</v>
      </c>
      <c r="CF562" s="2">
        <f>Dashboard[[#This Row],[idp_al_hh]]+Dashboard[[#This Row],[ref_al_hh]]+Dashboard[[#This Row],[ret_al_hh]]</f>
        <v>0</v>
      </c>
    </row>
    <row r="563" spans="1:84" hidden="1" x14ac:dyDescent="0.25">
      <c r="A563" s="27">
        <v>433</v>
      </c>
      <c r="B563" s="2" t="s">
        <v>22</v>
      </c>
      <c r="C563" s="2" t="s">
        <v>23</v>
      </c>
      <c r="D563" s="2" t="s">
        <v>218</v>
      </c>
      <c r="E563" s="2" t="s">
        <v>217</v>
      </c>
      <c r="F563" s="2" t="s">
        <v>220</v>
      </c>
      <c r="G563" s="2" t="s">
        <v>219</v>
      </c>
      <c r="H563" s="2" t="s">
        <v>1578</v>
      </c>
      <c r="I563" s="2" t="s">
        <v>226</v>
      </c>
      <c r="J563" s="2" t="s">
        <v>3308</v>
      </c>
      <c r="K563" s="2" t="s">
        <v>3309</v>
      </c>
      <c r="L563" s="2" t="s">
        <v>2074</v>
      </c>
      <c r="M563" s="2">
        <v>852</v>
      </c>
      <c r="N563" s="2" t="s">
        <v>1660</v>
      </c>
      <c r="O563" s="2">
        <v>0</v>
      </c>
      <c r="P563" s="2">
        <v>0</v>
      </c>
      <c r="Q563" s="2" t="s">
        <v>32</v>
      </c>
      <c r="R563" s="2">
        <v>0</v>
      </c>
      <c r="S563" s="2" t="s">
        <v>32</v>
      </c>
      <c r="T563" s="2">
        <v>0</v>
      </c>
      <c r="U563" s="2" t="s">
        <v>32</v>
      </c>
      <c r="V563" s="2" t="s">
        <v>32</v>
      </c>
      <c r="W563" s="2" t="s">
        <v>32</v>
      </c>
      <c r="X563" s="2">
        <v>0</v>
      </c>
      <c r="Y563" s="2" t="s">
        <v>32</v>
      </c>
      <c r="Z563" s="2" t="s">
        <v>32</v>
      </c>
      <c r="AA563" s="2" t="s">
        <v>32</v>
      </c>
      <c r="AB563" s="2">
        <v>0</v>
      </c>
      <c r="AC563" s="2" t="s">
        <v>32</v>
      </c>
      <c r="AD563" s="2">
        <v>0</v>
      </c>
      <c r="AE563" s="2" t="s">
        <v>1660</v>
      </c>
      <c r="AF563" s="2">
        <v>0</v>
      </c>
      <c r="AG563" s="2">
        <v>0</v>
      </c>
      <c r="AH563" s="2" t="s">
        <v>32</v>
      </c>
      <c r="AI563" s="2" t="s">
        <v>32</v>
      </c>
      <c r="AJ563" s="2" t="s">
        <v>32</v>
      </c>
      <c r="AK563" s="2" t="s">
        <v>32</v>
      </c>
      <c r="AL563" s="2" t="s">
        <v>32</v>
      </c>
      <c r="AM563" s="2">
        <v>0</v>
      </c>
      <c r="AN563" s="2" t="s">
        <v>32</v>
      </c>
      <c r="AO563" s="2">
        <v>0</v>
      </c>
      <c r="AP563" s="2" t="s">
        <v>32</v>
      </c>
      <c r="AQ563" s="2" t="s">
        <v>32</v>
      </c>
      <c r="AR563" s="2" t="s">
        <v>32</v>
      </c>
      <c r="AS563" s="2">
        <v>0</v>
      </c>
      <c r="AT563" s="2" t="s">
        <v>32</v>
      </c>
      <c r="AU563" s="2" t="s">
        <v>32</v>
      </c>
      <c r="AV563" s="2" t="s">
        <v>32</v>
      </c>
      <c r="AW563" s="2">
        <v>0</v>
      </c>
      <c r="AX563" s="2" t="s">
        <v>32</v>
      </c>
      <c r="AY563" s="2">
        <v>0</v>
      </c>
      <c r="AZ563" s="2" t="s">
        <v>1658</v>
      </c>
      <c r="BA563" s="2">
        <v>1</v>
      </c>
      <c r="BB563" s="2">
        <v>8</v>
      </c>
      <c r="BC563" s="2" t="s">
        <v>1660</v>
      </c>
      <c r="BD563" s="2">
        <v>0</v>
      </c>
      <c r="BE563" s="2" t="s">
        <v>1658</v>
      </c>
      <c r="BF563" s="2">
        <v>1</v>
      </c>
      <c r="BG563" s="2" t="s">
        <v>1660</v>
      </c>
      <c r="BH563" s="2">
        <v>0</v>
      </c>
      <c r="BI563" s="2" t="s">
        <v>32</v>
      </c>
      <c r="BJ563" s="2" t="s">
        <v>32</v>
      </c>
      <c r="BK563" s="2" t="s">
        <v>1660</v>
      </c>
      <c r="BL563" s="2">
        <v>0</v>
      </c>
      <c r="BM563" s="2" t="s">
        <v>32</v>
      </c>
      <c r="BN563" s="2" t="s">
        <v>32</v>
      </c>
      <c r="BO563" s="2" t="s">
        <v>1660</v>
      </c>
      <c r="BP563" s="2">
        <v>0</v>
      </c>
      <c r="BQ563" s="2" t="s">
        <v>1660</v>
      </c>
      <c r="BR563" s="2">
        <v>0</v>
      </c>
      <c r="BS563" s="2" t="s">
        <v>1660</v>
      </c>
      <c r="BT563" s="2">
        <v>0</v>
      </c>
      <c r="BU563" s="2">
        <v>0</v>
      </c>
      <c r="BV563" s="2" t="s">
        <v>1660</v>
      </c>
      <c r="BW563" s="2"/>
      <c r="BX563" s="2"/>
      <c r="BY563" s="2" t="s">
        <v>1807</v>
      </c>
      <c r="BZ563" s="2" t="b">
        <f>OR( (Dashboard[[#This Row],[ref_as_hh]]&gt;=1),(Dashboard[[#This Row],[ret_as_hh]] &gt;=1), (Dashboard[[#This Row],[idp_as_hh]]&gt;=1))</f>
        <v>0</v>
      </c>
      <c r="CA563" s="2">
        <f>Dashboard[[#This Row],[ret_hi_hh]]</f>
        <v>0</v>
      </c>
      <c r="CB563" s="2">
        <f>Dashboard[[#This Row],[idp_fa_hh]]+Dashboard[[#This Row],[ref_fa_hh]]+Dashboard[[#This Row],[ret_fa_hh]]</f>
        <v>1</v>
      </c>
      <c r="CC563" s="2">
        <f>Dashboard[[#This Row],[idp_loc_hh]]+Dashboard[[#This Row],[ref_loc_hh]]+Dashboard[[#This Row],[ret_loc_hh]]</f>
        <v>0</v>
      </c>
      <c r="CD563" s="2">
        <f>Dashboard[[#This Row],[idp_cc_hh]]+Dashboard[[#This Row],[ref_cc_hh]]+Dashboard[[#This Row],[ret_cc_hh]]</f>
        <v>0</v>
      </c>
      <c r="CE563" s="2">
        <f>Dashboard[[#This Row],[idp_as_hh]]+Dashboard[[#This Row],[ref_as_hh]]+Dashboard[[#This Row],[ret_as_hh]]</f>
        <v>0</v>
      </c>
      <c r="CF563" s="2">
        <f>Dashboard[[#This Row],[idp_al_hh]]+Dashboard[[#This Row],[ref_al_hh]]+Dashboard[[#This Row],[ret_al_hh]]</f>
        <v>0</v>
      </c>
    </row>
    <row r="564" spans="1:84" hidden="1" x14ac:dyDescent="0.25">
      <c r="A564" s="27">
        <v>604</v>
      </c>
      <c r="B564" s="2" t="s">
        <v>22</v>
      </c>
      <c r="C564" s="2" t="s">
        <v>23</v>
      </c>
      <c r="D564" s="2" t="s">
        <v>48</v>
      </c>
      <c r="E564" s="2" t="s">
        <v>47</v>
      </c>
      <c r="F564" s="2" t="s">
        <v>232</v>
      </c>
      <c r="G564" s="2" t="s">
        <v>231</v>
      </c>
      <c r="H564" s="2" t="s">
        <v>1698</v>
      </c>
      <c r="I564" s="2" t="s">
        <v>710</v>
      </c>
      <c r="J564" s="2" t="s">
        <v>3346</v>
      </c>
      <c r="K564" s="2" t="s">
        <v>3347</v>
      </c>
      <c r="L564" s="2" t="s">
        <v>2074</v>
      </c>
      <c r="M564" s="2">
        <v>750</v>
      </c>
      <c r="N564" s="2" t="s">
        <v>1660</v>
      </c>
      <c r="O564" s="2">
        <v>0</v>
      </c>
      <c r="P564" s="2">
        <v>0</v>
      </c>
      <c r="Q564" s="2" t="s">
        <v>32</v>
      </c>
      <c r="R564" s="2">
        <v>0</v>
      </c>
      <c r="S564" s="2" t="s">
        <v>32</v>
      </c>
      <c r="T564" s="2">
        <v>0</v>
      </c>
      <c r="U564" s="2" t="s">
        <v>32</v>
      </c>
      <c r="V564" s="2" t="s">
        <v>32</v>
      </c>
      <c r="W564" s="2" t="s">
        <v>32</v>
      </c>
      <c r="X564" s="2">
        <v>0</v>
      </c>
      <c r="Y564" s="2" t="s">
        <v>32</v>
      </c>
      <c r="Z564" s="2" t="s">
        <v>32</v>
      </c>
      <c r="AA564" s="2" t="s">
        <v>32</v>
      </c>
      <c r="AB564" s="2">
        <v>0</v>
      </c>
      <c r="AC564" s="2" t="s">
        <v>32</v>
      </c>
      <c r="AD564" s="2">
        <v>0</v>
      </c>
      <c r="AE564" s="2" t="s">
        <v>1660</v>
      </c>
      <c r="AF564" s="2">
        <v>0</v>
      </c>
      <c r="AG564" s="2">
        <v>0</v>
      </c>
      <c r="AH564" s="2" t="s">
        <v>32</v>
      </c>
      <c r="AI564" s="2" t="s">
        <v>32</v>
      </c>
      <c r="AJ564" s="2" t="s">
        <v>32</v>
      </c>
      <c r="AK564" s="2" t="s">
        <v>32</v>
      </c>
      <c r="AL564" s="2" t="s">
        <v>32</v>
      </c>
      <c r="AM564" s="2">
        <v>0</v>
      </c>
      <c r="AN564" s="2" t="s">
        <v>32</v>
      </c>
      <c r="AO564" s="2">
        <v>0</v>
      </c>
      <c r="AP564" s="2" t="s">
        <v>32</v>
      </c>
      <c r="AQ564" s="2" t="s">
        <v>32</v>
      </c>
      <c r="AR564" s="2" t="s">
        <v>32</v>
      </c>
      <c r="AS564" s="2">
        <v>0</v>
      </c>
      <c r="AT564" s="2" t="s">
        <v>32</v>
      </c>
      <c r="AU564" s="2" t="s">
        <v>32</v>
      </c>
      <c r="AV564" s="2" t="s">
        <v>32</v>
      </c>
      <c r="AW564" s="2">
        <v>0</v>
      </c>
      <c r="AX564" s="2" t="s">
        <v>32</v>
      </c>
      <c r="AY564" s="2">
        <v>0</v>
      </c>
      <c r="AZ564" s="2" t="s">
        <v>1660</v>
      </c>
      <c r="BA564" s="2">
        <v>0</v>
      </c>
      <c r="BB564" s="2">
        <v>0</v>
      </c>
      <c r="BC564" s="2" t="s">
        <v>32</v>
      </c>
      <c r="BD564" s="2">
        <v>0</v>
      </c>
      <c r="BE564" s="2" t="s">
        <v>32</v>
      </c>
      <c r="BF564" s="2">
        <v>0</v>
      </c>
      <c r="BG564" s="2" t="s">
        <v>32</v>
      </c>
      <c r="BH564" s="2">
        <v>0</v>
      </c>
      <c r="BI564" s="2" t="s">
        <v>32</v>
      </c>
      <c r="BJ564" s="2" t="s">
        <v>32</v>
      </c>
      <c r="BK564" s="2" t="s">
        <v>32</v>
      </c>
      <c r="BL564" s="2">
        <v>0</v>
      </c>
      <c r="BM564" s="2" t="s">
        <v>32</v>
      </c>
      <c r="BN564" s="2" t="s">
        <v>32</v>
      </c>
      <c r="BO564" s="2" t="s">
        <v>32</v>
      </c>
      <c r="BP564" s="2">
        <v>0</v>
      </c>
      <c r="BQ564" s="2" t="s">
        <v>32</v>
      </c>
      <c r="BR564" s="2">
        <v>0</v>
      </c>
      <c r="BS564" s="2" t="s">
        <v>1658</v>
      </c>
      <c r="BT564" s="2">
        <v>75</v>
      </c>
      <c r="BU564" s="2">
        <v>750</v>
      </c>
      <c r="BV564" s="2" t="s">
        <v>1660</v>
      </c>
      <c r="BW564" s="2"/>
      <c r="BX564" s="2"/>
      <c r="BY564" s="2" t="s">
        <v>1807</v>
      </c>
      <c r="BZ564" s="2" t="b">
        <f>OR( (Dashboard[[#This Row],[ref_as_hh]]&gt;=1),(Dashboard[[#This Row],[ret_as_hh]] &gt;=1), (Dashboard[[#This Row],[idp_as_hh]]&gt;=1))</f>
        <v>0</v>
      </c>
      <c r="CA564" s="2">
        <f>Dashboard[[#This Row],[ret_hi_hh]]</f>
        <v>0</v>
      </c>
      <c r="CB564" s="2">
        <f>Dashboard[[#This Row],[idp_fa_hh]]+Dashboard[[#This Row],[ref_fa_hh]]+Dashboard[[#This Row],[ret_fa_hh]]</f>
        <v>0</v>
      </c>
      <c r="CC564" s="2">
        <f>Dashboard[[#This Row],[idp_loc_hh]]+Dashboard[[#This Row],[ref_loc_hh]]+Dashboard[[#This Row],[ret_loc_hh]]</f>
        <v>0</v>
      </c>
      <c r="CD564" s="2">
        <f>Dashboard[[#This Row],[idp_cc_hh]]+Dashboard[[#This Row],[ref_cc_hh]]+Dashboard[[#This Row],[ret_cc_hh]]</f>
        <v>0</v>
      </c>
      <c r="CE564" s="2">
        <f>Dashboard[[#This Row],[idp_as_hh]]+Dashboard[[#This Row],[ref_as_hh]]+Dashboard[[#This Row],[ret_as_hh]]</f>
        <v>0</v>
      </c>
      <c r="CF564" s="2">
        <f>Dashboard[[#This Row],[idp_al_hh]]+Dashboard[[#This Row],[ref_al_hh]]+Dashboard[[#This Row],[ret_al_hh]]</f>
        <v>0</v>
      </c>
    </row>
    <row r="565" spans="1:84" hidden="1" x14ac:dyDescent="0.25">
      <c r="A565" s="27">
        <v>605</v>
      </c>
      <c r="B565" s="2" t="s">
        <v>22</v>
      </c>
      <c r="C565" s="2" t="s">
        <v>23</v>
      </c>
      <c r="D565" s="2" t="s">
        <v>48</v>
      </c>
      <c r="E565" s="2" t="s">
        <v>47</v>
      </c>
      <c r="F565" s="2" t="s">
        <v>232</v>
      </c>
      <c r="G565" s="2" t="s">
        <v>231</v>
      </c>
      <c r="H565" s="2" t="s">
        <v>1693</v>
      </c>
      <c r="I565" s="2" t="s">
        <v>705</v>
      </c>
      <c r="J565" s="2" t="s">
        <v>3348</v>
      </c>
      <c r="K565" s="2" t="s">
        <v>3349</v>
      </c>
      <c r="L565" s="2" t="s">
        <v>2074</v>
      </c>
      <c r="M565" s="2">
        <v>117</v>
      </c>
      <c r="N565" s="2" t="s">
        <v>1660</v>
      </c>
      <c r="O565" s="2">
        <v>0</v>
      </c>
      <c r="P565" s="2">
        <v>0</v>
      </c>
      <c r="Q565" s="2" t="s">
        <v>32</v>
      </c>
      <c r="R565" s="2">
        <v>0</v>
      </c>
      <c r="S565" s="2" t="s">
        <v>32</v>
      </c>
      <c r="T565" s="2">
        <v>0</v>
      </c>
      <c r="U565" s="2" t="s">
        <v>32</v>
      </c>
      <c r="V565" s="2" t="s">
        <v>32</v>
      </c>
      <c r="W565" s="2" t="s">
        <v>32</v>
      </c>
      <c r="X565" s="2">
        <v>0</v>
      </c>
      <c r="Y565" s="2" t="s">
        <v>32</v>
      </c>
      <c r="Z565" s="2" t="s">
        <v>32</v>
      </c>
      <c r="AA565" s="2" t="s">
        <v>32</v>
      </c>
      <c r="AB565" s="2">
        <v>0</v>
      </c>
      <c r="AC565" s="2" t="s">
        <v>32</v>
      </c>
      <c r="AD565" s="2">
        <v>0</v>
      </c>
      <c r="AE565" s="2" t="s">
        <v>1660</v>
      </c>
      <c r="AF565" s="2">
        <v>0</v>
      </c>
      <c r="AG565" s="2">
        <v>0</v>
      </c>
      <c r="AH565" s="2" t="s">
        <v>32</v>
      </c>
      <c r="AI565" s="2" t="s">
        <v>32</v>
      </c>
      <c r="AJ565" s="2" t="s">
        <v>32</v>
      </c>
      <c r="AK565" s="2" t="s">
        <v>32</v>
      </c>
      <c r="AL565" s="2" t="s">
        <v>32</v>
      </c>
      <c r="AM565" s="2">
        <v>0</v>
      </c>
      <c r="AN565" s="2" t="s">
        <v>32</v>
      </c>
      <c r="AO565" s="2">
        <v>0</v>
      </c>
      <c r="AP565" s="2" t="s">
        <v>32</v>
      </c>
      <c r="AQ565" s="2" t="s">
        <v>32</v>
      </c>
      <c r="AR565" s="2" t="s">
        <v>32</v>
      </c>
      <c r="AS565" s="2">
        <v>0</v>
      </c>
      <c r="AT565" s="2" t="s">
        <v>32</v>
      </c>
      <c r="AU565" s="2" t="s">
        <v>32</v>
      </c>
      <c r="AV565" s="2" t="s">
        <v>32</v>
      </c>
      <c r="AW565" s="2">
        <v>0</v>
      </c>
      <c r="AX565" s="2" t="s">
        <v>32</v>
      </c>
      <c r="AY565" s="2">
        <v>0</v>
      </c>
      <c r="AZ565" s="2" t="s">
        <v>1660</v>
      </c>
      <c r="BA565" s="2">
        <v>0</v>
      </c>
      <c r="BB565" s="2">
        <v>0</v>
      </c>
      <c r="BC565" s="2" t="s">
        <v>32</v>
      </c>
      <c r="BD565" s="2">
        <v>0</v>
      </c>
      <c r="BE565" s="2" t="s">
        <v>32</v>
      </c>
      <c r="BF565" s="2">
        <v>0</v>
      </c>
      <c r="BG565" s="2" t="s">
        <v>32</v>
      </c>
      <c r="BH565" s="2">
        <v>0</v>
      </c>
      <c r="BI565" s="2" t="s">
        <v>32</v>
      </c>
      <c r="BJ565" s="2" t="s">
        <v>32</v>
      </c>
      <c r="BK565" s="2" t="s">
        <v>32</v>
      </c>
      <c r="BL565" s="2">
        <v>0</v>
      </c>
      <c r="BM565" s="2" t="s">
        <v>32</v>
      </c>
      <c r="BN565" s="2" t="s">
        <v>32</v>
      </c>
      <c r="BO565" s="2" t="s">
        <v>32</v>
      </c>
      <c r="BP565" s="2">
        <v>0</v>
      </c>
      <c r="BQ565" s="2" t="s">
        <v>32</v>
      </c>
      <c r="BR565" s="2">
        <v>0</v>
      </c>
      <c r="BS565" s="2" t="s">
        <v>1658</v>
      </c>
      <c r="BT565" s="2">
        <v>17</v>
      </c>
      <c r="BU565" s="2">
        <v>117</v>
      </c>
      <c r="BV565" s="2" t="s">
        <v>1660</v>
      </c>
      <c r="BW565" s="2"/>
      <c r="BX565" s="2"/>
      <c r="BY565" s="2" t="s">
        <v>1807</v>
      </c>
      <c r="BZ565" s="2" t="b">
        <f>OR( (Dashboard[[#This Row],[ref_as_hh]]&gt;=1),(Dashboard[[#This Row],[ret_as_hh]] &gt;=1), (Dashboard[[#This Row],[idp_as_hh]]&gt;=1))</f>
        <v>0</v>
      </c>
      <c r="CA565" s="2">
        <f>Dashboard[[#This Row],[ret_hi_hh]]</f>
        <v>0</v>
      </c>
      <c r="CB565" s="2">
        <f>Dashboard[[#This Row],[idp_fa_hh]]+Dashboard[[#This Row],[ref_fa_hh]]+Dashboard[[#This Row],[ret_fa_hh]]</f>
        <v>0</v>
      </c>
      <c r="CC565" s="2">
        <f>Dashboard[[#This Row],[idp_loc_hh]]+Dashboard[[#This Row],[ref_loc_hh]]+Dashboard[[#This Row],[ret_loc_hh]]</f>
        <v>0</v>
      </c>
      <c r="CD565" s="2">
        <f>Dashboard[[#This Row],[idp_cc_hh]]+Dashboard[[#This Row],[ref_cc_hh]]+Dashboard[[#This Row],[ret_cc_hh]]</f>
        <v>0</v>
      </c>
      <c r="CE565" s="2">
        <f>Dashboard[[#This Row],[idp_as_hh]]+Dashboard[[#This Row],[ref_as_hh]]+Dashboard[[#This Row],[ret_as_hh]]</f>
        <v>0</v>
      </c>
      <c r="CF565" s="2">
        <f>Dashboard[[#This Row],[idp_al_hh]]+Dashboard[[#This Row],[ref_al_hh]]+Dashboard[[#This Row],[ret_al_hh]]</f>
        <v>0</v>
      </c>
    </row>
    <row r="566" spans="1:84" hidden="1" x14ac:dyDescent="0.25">
      <c r="A566" s="27">
        <v>606</v>
      </c>
      <c r="B566" s="2" t="s">
        <v>22</v>
      </c>
      <c r="C566" s="2" t="s">
        <v>23</v>
      </c>
      <c r="D566" s="2" t="s">
        <v>48</v>
      </c>
      <c r="E566" s="2" t="s">
        <v>47</v>
      </c>
      <c r="F566" s="2" t="s">
        <v>232</v>
      </c>
      <c r="G566" s="2" t="s">
        <v>231</v>
      </c>
      <c r="H566" s="2" t="s">
        <v>1691</v>
      </c>
      <c r="I566" s="2" t="s">
        <v>1692</v>
      </c>
      <c r="J566" s="2" t="s">
        <v>3342</v>
      </c>
      <c r="K566" s="2" t="s">
        <v>3343</v>
      </c>
      <c r="L566" s="2" t="s">
        <v>2074</v>
      </c>
      <c r="M566" s="2">
        <v>849</v>
      </c>
      <c r="N566" s="2" t="s">
        <v>1660</v>
      </c>
      <c r="O566" s="2">
        <v>0</v>
      </c>
      <c r="P566" s="2">
        <v>0</v>
      </c>
      <c r="Q566" s="2" t="s">
        <v>32</v>
      </c>
      <c r="R566" s="2">
        <v>0</v>
      </c>
      <c r="S566" s="2" t="s">
        <v>32</v>
      </c>
      <c r="T566" s="2">
        <v>0</v>
      </c>
      <c r="U566" s="2" t="s">
        <v>32</v>
      </c>
      <c r="V566" s="2" t="s">
        <v>32</v>
      </c>
      <c r="W566" s="2" t="s">
        <v>32</v>
      </c>
      <c r="X566" s="2">
        <v>0</v>
      </c>
      <c r="Y566" s="2" t="s">
        <v>32</v>
      </c>
      <c r="Z566" s="2" t="s">
        <v>32</v>
      </c>
      <c r="AA566" s="2" t="s">
        <v>32</v>
      </c>
      <c r="AB566" s="2">
        <v>0</v>
      </c>
      <c r="AC566" s="2" t="s">
        <v>32</v>
      </c>
      <c r="AD566" s="2">
        <v>0</v>
      </c>
      <c r="AE566" s="2" t="s">
        <v>1660</v>
      </c>
      <c r="AF566" s="2">
        <v>0</v>
      </c>
      <c r="AG566" s="2">
        <v>0</v>
      </c>
      <c r="AH566" s="2" t="s">
        <v>32</v>
      </c>
      <c r="AI566" s="2" t="s">
        <v>32</v>
      </c>
      <c r="AJ566" s="2" t="s">
        <v>32</v>
      </c>
      <c r="AK566" s="2" t="s">
        <v>32</v>
      </c>
      <c r="AL566" s="2" t="s">
        <v>32</v>
      </c>
      <c r="AM566" s="2">
        <v>0</v>
      </c>
      <c r="AN566" s="2" t="s">
        <v>32</v>
      </c>
      <c r="AO566" s="2">
        <v>0</v>
      </c>
      <c r="AP566" s="2" t="s">
        <v>32</v>
      </c>
      <c r="AQ566" s="2" t="s">
        <v>32</v>
      </c>
      <c r="AR566" s="2" t="s">
        <v>32</v>
      </c>
      <c r="AS566" s="2">
        <v>0</v>
      </c>
      <c r="AT566" s="2" t="s">
        <v>32</v>
      </c>
      <c r="AU566" s="2" t="s">
        <v>32</v>
      </c>
      <c r="AV566" s="2" t="s">
        <v>32</v>
      </c>
      <c r="AW566" s="2">
        <v>0</v>
      </c>
      <c r="AX566" s="2" t="s">
        <v>32</v>
      </c>
      <c r="AY566" s="2">
        <v>0</v>
      </c>
      <c r="AZ566" s="2" t="s">
        <v>1660</v>
      </c>
      <c r="BA566" s="2">
        <v>0</v>
      </c>
      <c r="BB566" s="2">
        <v>0</v>
      </c>
      <c r="BC566" s="2" t="s">
        <v>32</v>
      </c>
      <c r="BD566" s="2">
        <v>0</v>
      </c>
      <c r="BE566" s="2" t="s">
        <v>32</v>
      </c>
      <c r="BF566" s="2">
        <v>0</v>
      </c>
      <c r="BG566" s="2" t="s">
        <v>32</v>
      </c>
      <c r="BH566" s="2">
        <v>0</v>
      </c>
      <c r="BI566" s="2" t="s">
        <v>32</v>
      </c>
      <c r="BJ566" s="2" t="s">
        <v>32</v>
      </c>
      <c r="BK566" s="2" t="s">
        <v>32</v>
      </c>
      <c r="BL566" s="2">
        <v>0</v>
      </c>
      <c r="BM566" s="2" t="s">
        <v>32</v>
      </c>
      <c r="BN566" s="2" t="s">
        <v>32</v>
      </c>
      <c r="BO566" s="2" t="s">
        <v>32</v>
      </c>
      <c r="BP566" s="2">
        <v>0</v>
      </c>
      <c r="BQ566" s="2" t="s">
        <v>32</v>
      </c>
      <c r="BR566" s="2">
        <v>0</v>
      </c>
      <c r="BS566" s="2" t="s">
        <v>1658</v>
      </c>
      <c r="BT566" s="2">
        <v>149</v>
      </c>
      <c r="BU566" s="2">
        <v>849</v>
      </c>
      <c r="BV566" s="2" t="s">
        <v>1660</v>
      </c>
      <c r="BW566" s="2"/>
      <c r="BX566" s="2"/>
      <c r="BY566" s="2" t="s">
        <v>1807</v>
      </c>
      <c r="BZ566" s="2" t="b">
        <f>OR( (Dashboard[[#This Row],[ref_as_hh]]&gt;=1),(Dashboard[[#This Row],[ret_as_hh]] &gt;=1), (Dashboard[[#This Row],[idp_as_hh]]&gt;=1))</f>
        <v>0</v>
      </c>
      <c r="CA566" s="2">
        <f>Dashboard[[#This Row],[ret_hi_hh]]</f>
        <v>0</v>
      </c>
      <c r="CB566" s="2">
        <f>Dashboard[[#This Row],[idp_fa_hh]]+Dashboard[[#This Row],[ref_fa_hh]]+Dashboard[[#This Row],[ret_fa_hh]]</f>
        <v>0</v>
      </c>
      <c r="CC566" s="2">
        <f>Dashboard[[#This Row],[idp_loc_hh]]+Dashboard[[#This Row],[ref_loc_hh]]+Dashboard[[#This Row],[ret_loc_hh]]</f>
        <v>0</v>
      </c>
      <c r="CD566" s="2">
        <f>Dashboard[[#This Row],[idp_cc_hh]]+Dashboard[[#This Row],[ref_cc_hh]]+Dashboard[[#This Row],[ret_cc_hh]]</f>
        <v>0</v>
      </c>
      <c r="CE566" s="2">
        <f>Dashboard[[#This Row],[idp_as_hh]]+Dashboard[[#This Row],[ref_as_hh]]+Dashboard[[#This Row],[ret_as_hh]]</f>
        <v>0</v>
      </c>
      <c r="CF566" s="2">
        <f>Dashboard[[#This Row],[idp_al_hh]]+Dashboard[[#This Row],[ref_al_hh]]+Dashboard[[#This Row],[ret_al_hh]]</f>
        <v>0</v>
      </c>
    </row>
    <row r="567" spans="1:84" hidden="1" x14ac:dyDescent="0.25">
      <c r="A567" s="27">
        <v>608</v>
      </c>
      <c r="B567" s="2" t="s">
        <v>22</v>
      </c>
      <c r="C567" s="2" t="s">
        <v>23</v>
      </c>
      <c r="D567" s="2" t="s">
        <v>48</v>
      </c>
      <c r="E567" s="2" t="s">
        <v>47</v>
      </c>
      <c r="F567" s="2" t="s">
        <v>232</v>
      </c>
      <c r="G567" s="2" t="s">
        <v>231</v>
      </c>
      <c r="H567" s="2" t="s">
        <v>1694</v>
      </c>
      <c r="I567" s="2" t="s">
        <v>709</v>
      </c>
      <c r="J567" s="2" t="s">
        <v>3324</v>
      </c>
      <c r="K567" s="2" t="s">
        <v>3325</v>
      </c>
      <c r="L567" s="2" t="s">
        <v>2074</v>
      </c>
      <c r="M567" s="2">
        <v>475</v>
      </c>
      <c r="N567" s="2" t="s">
        <v>1660</v>
      </c>
      <c r="O567" s="2">
        <v>0</v>
      </c>
      <c r="P567" s="2">
        <v>0</v>
      </c>
      <c r="Q567" s="2" t="s">
        <v>32</v>
      </c>
      <c r="R567" s="2">
        <v>0</v>
      </c>
      <c r="S567" s="2" t="s">
        <v>32</v>
      </c>
      <c r="T567" s="2">
        <v>0</v>
      </c>
      <c r="U567" s="2" t="s">
        <v>32</v>
      </c>
      <c r="V567" s="2" t="s">
        <v>32</v>
      </c>
      <c r="W567" s="2" t="s">
        <v>32</v>
      </c>
      <c r="X567" s="2">
        <v>0</v>
      </c>
      <c r="Y567" s="2" t="s">
        <v>32</v>
      </c>
      <c r="Z567" s="2" t="s">
        <v>32</v>
      </c>
      <c r="AA567" s="2" t="s">
        <v>32</v>
      </c>
      <c r="AB567" s="2">
        <v>0</v>
      </c>
      <c r="AC567" s="2" t="s">
        <v>32</v>
      </c>
      <c r="AD567" s="2">
        <v>0</v>
      </c>
      <c r="AE567" s="2" t="s">
        <v>1660</v>
      </c>
      <c r="AF567" s="2">
        <v>0</v>
      </c>
      <c r="AG567" s="2">
        <v>0</v>
      </c>
      <c r="AH567" s="2" t="s">
        <v>32</v>
      </c>
      <c r="AI567" s="2" t="s">
        <v>32</v>
      </c>
      <c r="AJ567" s="2" t="s">
        <v>32</v>
      </c>
      <c r="AK567" s="2" t="s">
        <v>32</v>
      </c>
      <c r="AL567" s="2" t="s">
        <v>32</v>
      </c>
      <c r="AM567" s="2">
        <v>0</v>
      </c>
      <c r="AN567" s="2" t="s">
        <v>32</v>
      </c>
      <c r="AO567" s="2">
        <v>0</v>
      </c>
      <c r="AP567" s="2" t="s">
        <v>32</v>
      </c>
      <c r="AQ567" s="2" t="s">
        <v>32</v>
      </c>
      <c r="AR567" s="2" t="s">
        <v>32</v>
      </c>
      <c r="AS567" s="2">
        <v>0</v>
      </c>
      <c r="AT567" s="2" t="s">
        <v>32</v>
      </c>
      <c r="AU567" s="2" t="s">
        <v>32</v>
      </c>
      <c r="AV567" s="2" t="s">
        <v>32</v>
      </c>
      <c r="AW567" s="2">
        <v>0</v>
      </c>
      <c r="AX567" s="2" t="s">
        <v>32</v>
      </c>
      <c r="AY567" s="2">
        <v>0</v>
      </c>
      <c r="AZ567" s="2" t="s">
        <v>1660</v>
      </c>
      <c r="BA567" s="2">
        <v>0</v>
      </c>
      <c r="BB567" s="2">
        <v>0</v>
      </c>
      <c r="BC567" s="2" t="s">
        <v>32</v>
      </c>
      <c r="BD567" s="2">
        <v>0</v>
      </c>
      <c r="BE567" s="2" t="s">
        <v>32</v>
      </c>
      <c r="BF567" s="2">
        <v>0</v>
      </c>
      <c r="BG567" s="2" t="s">
        <v>32</v>
      </c>
      <c r="BH567" s="2">
        <v>0</v>
      </c>
      <c r="BI567" s="2" t="s">
        <v>32</v>
      </c>
      <c r="BJ567" s="2" t="s">
        <v>32</v>
      </c>
      <c r="BK567" s="2" t="s">
        <v>32</v>
      </c>
      <c r="BL567" s="2">
        <v>0</v>
      </c>
      <c r="BM567" s="2" t="s">
        <v>32</v>
      </c>
      <c r="BN567" s="2" t="s">
        <v>32</v>
      </c>
      <c r="BO567" s="2" t="s">
        <v>32</v>
      </c>
      <c r="BP567" s="2">
        <v>0</v>
      </c>
      <c r="BQ567" s="2" t="s">
        <v>32</v>
      </c>
      <c r="BR567" s="2">
        <v>0</v>
      </c>
      <c r="BS567" s="2" t="s">
        <v>1658</v>
      </c>
      <c r="BT567" s="2">
        <v>94</v>
      </c>
      <c r="BU567" s="2">
        <v>475</v>
      </c>
      <c r="BV567" s="2" t="s">
        <v>1660</v>
      </c>
      <c r="BW567" s="2"/>
      <c r="BX567" s="2"/>
      <c r="BY567" s="2" t="s">
        <v>1807</v>
      </c>
      <c r="BZ567" s="2" t="b">
        <f>OR( (Dashboard[[#This Row],[ref_as_hh]]&gt;=1),(Dashboard[[#This Row],[ret_as_hh]] &gt;=1), (Dashboard[[#This Row],[idp_as_hh]]&gt;=1))</f>
        <v>0</v>
      </c>
      <c r="CA567" s="2">
        <f>Dashboard[[#This Row],[ret_hi_hh]]</f>
        <v>0</v>
      </c>
      <c r="CB567" s="2">
        <f>Dashboard[[#This Row],[idp_fa_hh]]+Dashboard[[#This Row],[ref_fa_hh]]+Dashboard[[#This Row],[ret_fa_hh]]</f>
        <v>0</v>
      </c>
      <c r="CC567" s="2">
        <f>Dashboard[[#This Row],[idp_loc_hh]]+Dashboard[[#This Row],[ref_loc_hh]]+Dashboard[[#This Row],[ret_loc_hh]]</f>
        <v>0</v>
      </c>
      <c r="CD567" s="2">
        <f>Dashboard[[#This Row],[idp_cc_hh]]+Dashboard[[#This Row],[ref_cc_hh]]+Dashboard[[#This Row],[ret_cc_hh]]</f>
        <v>0</v>
      </c>
      <c r="CE567" s="2">
        <f>Dashboard[[#This Row],[idp_as_hh]]+Dashboard[[#This Row],[ref_as_hh]]+Dashboard[[#This Row],[ret_as_hh]]</f>
        <v>0</v>
      </c>
      <c r="CF567" s="2">
        <f>Dashboard[[#This Row],[idp_al_hh]]+Dashboard[[#This Row],[ref_al_hh]]+Dashboard[[#This Row],[ret_al_hh]]</f>
        <v>0</v>
      </c>
    </row>
    <row r="568" spans="1:84" hidden="1" x14ac:dyDescent="0.25">
      <c r="A568" s="27">
        <v>610</v>
      </c>
      <c r="B568" s="2" t="s">
        <v>22</v>
      </c>
      <c r="C568" s="2" t="s">
        <v>23</v>
      </c>
      <c r="D568" s="2" t="s">
        <v>48</v>
      </c>
      <c r="E568" s="2" t="s">
        <v>47</v>
      </c>
      <c r="F568" s="2" t="s">
        <v>232</v>
      </c>
      <c r="G568" s="2" t="s">
        <v>231</v>
      </c>
      <c r="H568" s="2" t="s">
        <v>1696</v>
      </c>
      <c r="I568" s="2" t="s">
        <v>711</v>
      </c>
      <c r="J568" s="2" t="s">
        <v>3330</v>
      </c>
      <c r="K568" s="2" t="s">
        <v>3331</v>
      </c>
      <c r="L568" s="2" t="s">
        <v>2074</v>
      </c>
      <c r="M568" s="2">
        <v>246</v>
      </c>
      <c r="N568" s="2" t="s">
        <v>1660</v>
      </c>
      <c r="O568" s="2">
        <v>0</v>
      </c>
      <c r="P568" s="2">
        <v>0</v>
      </c>
      <c r="Q568" s="2" t="s">
        <v>32</v>
      </c>
      <c r="R568" s="2">
        <v>0</v>
      </c>
      <c r="S568" s="2" t="s">
        <v>32</v>
      </c>
      <c r="T568" s="2">
        <v>0</v>
      </c>
      <c r="U568" s="2" t="s">
        <v>32</v>
      </c>
      <c r="V568" s="2" t="s">
        <v>32</v>
      </c>
      <c r="W568" s="2" t="s">
        <v>32</v>
      </c>
      <c r="X568" s="2">
        <v>0</v>
      </c>
      <c r="Y568" s="2" t="s">
        <v>32</v>
      </c>
      <c r="Z568" s="2" t="s">
        <v>32</v>
      </c>
      <c r="AA568" s="2" t="s">
        <v>32</v>
      </c>
      <c r="AB568" s="2">
        <v>0</v>
      </c>
      <c r="AC568" s="2" t="s">
        <v>32</v>
      </c>
      <c r="AD568" s="2">
        <v>0</v>
      </c>
      <c r="AE568" s="2" t="s">
        <v>1660</v>
      </c>
      <c r="AF568" s="2">
        <v>0</v>
      </c>
      <c r="AG568" s="2">
        <v>0</v>
      </c>
      <c r="AH568" s="2" t="s">
        <v>32</v>
      </c>
      <c r="AI568" s="2" t="s">
        <v>32</v>
      </c>
      <c r="AJ568" s="2" t="s">
        <v>32</v>
      </c>
      <c r="AK568" s="2" t="s">
        <v>32</v>
      </c>
      <c r="AL568" s="2" t="s">
        <v>32</v>
      </c>
      <c r="AM568" s="2">
        <v>0</v>
      </c>
      <c r="AN568" s="2" t="s">
        <v>32</v>
      </c>
      <c r="AO568" s="2">
        <v>0</v>
      </c>
      <c r="AP568" s="2" t="s">
        <v>32</v>
      </c>
      <c r="AQ568" s="2" t="s">
        <v>32</v>
      </c>
      <c r="AR568" s="2" t="s">
        <v>32</v>
      </c>
      <c r="AS568" s="2">
        <v>0</v>
      </c>
      <c r="AT568" s="2" t="s">
        <v>32</v>
      </c>
      <c r="AU568" s="2" t="s">
        <v>32</v>
      </c>
      <c r="AV568" s="2" t="s">
        <v>32</v>
      </c>
      <c r="AW568" s="2">
        <v>0</v>
      </c>
      <c r="AX568" s="2" t="s">
        <v>32</v>
      </c>
      <c r="AY568" s="2">
        <v>0</v>
      </c>
      <c r="AZ568" s="2" t="s">
        <v>1660</v>
      </c>
      <c r="BA568" s="2">
        <v>0</v>
      </c>
      <c r="BB568" s="2">
        <v>0</v>
      </c>
      <c r="BC568" s="2" t="s">
        <v>32</v>
      </c>
      <c r="BD568" s="2">
        <v>0</v>
      </c>
      <c r="BE568" s="2" t="s">
        <v>32</v>
      </c>
      <c r="BF568" s="2">
        <v>0</v>
      </c>
      <c r="BG568" s="2" t="s">
        <v>32</v>
      </c>
      <c r="BH568" s="2">
        <v>0</v>
      </c>
      <c r="BI568" s="2" t="s">
        <v>32</v>
      </c>
      <c r="BJ568" s="2" t="s">
        <v>32</v>
      </c>
      <c r="BK568" s="2" t="s">
        <v>32</v>
      </c>
      <c r="BL568" s="2">
        <v>0</v>
      </c>
      <c r="BM568" s="2" t="s">
        <v>32</v>
      </c>
      <c r="BN568" s="2" t="s">
        <v>32</v>
      </c>
      <c r="BO568" s="2" t="s">
        <v>32</v>
      </c>
      <c r="BP568" s="2">
        <v>0</v>
      </c>
      <c r="BQ568" s="2" t="s">
        <v>32</v>
      </c>
      <c r="BR568" s="2">
        <v>0</v>
      </c>
      <c r="BS568" s="2" t="s">
        <v>1658</v>
      </c>
      <c r="BT568" s="2">
        <v>35</v>
      </c>
      <c r="BU568" s="2">
        <v>246</v>
      </c>
      <c r="BV568" s="2" t="s">
        <v>1660</v>
      </c>
      <c r="BW568" s="2"/>
      <c r="BX568" s="2"/>
      <c r="BY568" s="2" t="s">
        <v>1807</v>
      </c>
      <c r="BZ568" s="2" t="b">
        <f>OR( (Dashboard[[#This Row],[ref_as_hh]]&gt;=1),(Dashboard[[#This Row],[ret_as_hh]] &gt;=1), (Dashboard[[#This Row],[idp_as_hh]]&gt;=1))</f>
        <v>0</v>
      </c>
      <c r="CA568" s="2">
        <f>Dashboard[[#This Row],[ret_hi_hh]]</f>
        <v>0</v>
      </c>
      <c r="CB568" s="2">
        <f>Dashboard[[#This Row],[idp_fa_hh]]+Dashboard[[#This Row],[ref_fa_hh]]+Dashboard[[#This Row],[ret_fa_hh]]</f>
        <v>0</v>
      </c>
      <c r="CC568" s="2">
        <f>Dashboard[[#This Row],[idp_loc_hh]]+Dashboard[[#This Row],[ref_loc_hh]]+Dashboard[[#This Row],[ret_loc_hh]]</f>
        <v>0</v>
      </c>
      <c r="CD568" s="2">
        <f>Dashboard[[#This Row],[idp_cc_hh]]+Dashboard[[#This Row],[ref_cc_hh]]+Dashboard[[#This Row],[ret_cc_hh]]</f>
        <v>0</v>
      </c>
      <c r="CE568" s="2">
        <f>Dashboard[[#This Row],[idp_as_hh]]+Dashboard[[#This Row],[ref_as_hh]]+Dashboard[[#This Row],[ret_as_hh]]</f>
        <v>0</v>
      </c>
      <c r="CF568" s="2">
        <f>Dashboard[[#This Row],[idp_al_hh]]+Dashboard[[#This Row],[ref_al_hh]]+Dashboard[[#This Row],[ret_al_hh]]</f>
        <v>0</v>
      </c>
    </row>
    <row r="569" spans="1:84" hidden="1" x14ac:dyDescent="0.25">
      <c r="A569" s="27">
        <v>612</v>
      </c>
      <c r="B569" s="2" t="s">
        <v>22</v>
      </c>
      <c r="C569" s="2" t="s">
        <v>23</v>
      </c>
      <c r="D569" s="2" t="s">
        <v>48</v>
      </c>
      <c r="E569" s="2" t="s">
        <v>47</v>
      </c>
      <c r="F569" s="2" t="s">
        <v>232</v>
      </c>
      <c r="G569" s="2" t="s">
        <v>231</v>
      </c>
      <c r="H569" s="2" t="s">
        <v>1697</v>
      </c>
      <c r="I569" s="2" t="s">
        <v>708</v>
      </c>
      <c r="J569" s="2" t="s">
        <v>3332</v>
      </c>
      <c r="K569" s="2" t="s">
        <v>3333</v>
      </c>
      <c r="L569" s="2" t="s">
        <v>3696</v>
      </c>
      <c r="M569" s="2">
        <v>252</v>
      </c>
      <c r="N569" s="2" t="s">
        <v>1660</v>
      </c>
      <c r="O569" s="2">
        <v>0</v>
      </c>
      <c r="P569" s="2">
        <v>0</v>
      </c>
      <c r="Q569" s="2" t="s">
        <v>32</v>
      </c>
      <c r="R569" s="2">
        <v>0</v>
      </c>
      <c r="S569" s="2" t="s">
        <v>32</v>
      </c>
      <c r="T569" s="2">
        <v>0</v>
      </c>
      <c r="U569" s="2" t="s">
        <v>32</v>
      </c>
      <c r="V569" s="2" t="s">
        <v>32</v>
      </c>
      <c r="W569" s="2" t="s">
        <v>32</v>
      </c>
      <c r="X569" s="2">
        <v>0</v>
      </c>
      <c r="Y569" s="2" t="s">
        <v>32</v>
      </c>
      <c r="Z569" s="2" t="s">
        <v>32</v>
      </c>
      <c r="AA569" s="2" t="s">
        <v>32</v>
      </c>
      <c r="AB569" s="2">
        <v>0</v>
      </c>
      <c r="AC569" s="2" t="s">
        <v>32</v>
      </c>
      <c r="AD569" s="2">
        <v>0</v>
      </c>
      <c r="AE569" s="2" t="s">
        <v>1660</v>
      </c>
      <c r="AF569" s="2">
        <v>0</v>
      </c>
      <c r="AG569" s="2">
        <v>0</v>
      </c>
      <c r="AH569" s="2" t="s">
        <v>32</v>
      </c>
      <c r="AI569" s="2" t="s">
        <v>32</v>
      </c>
      <c r="AJ569" s="2" t="s">
        <v>32</v>
      </c>
      <c r="AK569" s="2" t="s">
        <v>32</v>
      </c>
      <c r="AL569" s="2" t="s">
        <v>32</v>
      </c>
      <c r="AM569" s="2">
        <v>0</v>
      </c>
      <c r="AN569" s="2" t="s">
        <v>32</v>
      </c>
      <c r="AO569" s="2">
        <v>0</v>
      </c>
      <c r="AP569" s="2" t="s">
        <v>32</v>
      </c>
      <c r="AQ569" s="2" t="s">
        <v>32</v>
      </c>
      <c r="AR569" s="2" t="s">
        <v>32</v>
      </c>
      <c r="AS569" s="2">
        <v>0</v>
      </c>
      <c r="AT569" s="2" t="s">
        <v>32</v>
      </c>
      <c r="AU569" s="2" t="s">
        <v>32</v>
      </c>
      <c r="AV569" s="2" t="s">
        <v>32</v>
      </c>
      <c r="AW569" s="2">
        <v>0</v>
      </c>
      <c r="AX569" s="2" t="s">
        <v>32</v>
      </c>
      <c r="AY569" s="2">
        <v>0</v>
      </c>
      <c r="AZ569" s="2" t="s">
        <v>1660</v>
      </c>
      <c r="BA569" s="2">
        <v>0</v>
      </c>
      <c r="BB569" s="2">
        <v>0</v>
      </c>
      <c r="BC569" s="2" t="s">
        <v>32</v>
      </c>
      <c r="BD569" s="2">
        <v>0</v>
      </c>
      <c r="BE569" s="2" t="s">
        <v>32</v>
      </c>
      <c r="BF569" s="2">
        <v>0</v>
      </c>
      <c r="BG569" s="2" t="s">
        <v>32</v>
      </c>
      <c r="BH569" s="2">
        <v>0</v>
      </c>
      <c r="BI569" s="2" t="s">
        <v>32</v>
      </c>
      <c r="BJ569" s="2" t="s">
        <v>32</v>
      </c>
      <c r="BK569" s="2" t="s">
        <v>32</v>
      </c>
      <c r="BL569" s="2">
        <v>0</v>
      </c>
      <c r="BM569" s="2" t="s">
        <v>32</v>
      </c>
      <c r="BN569" s="2" t="s">
        <v>32</v>
      </c>
      <c r="BO569" s="2" t="s">
        <v>32</v>
      </c>
      <c r="BP569" s="2">
        <v>0</v>
      </c>
      <c r="BQ569" s="2" t="s">
        <v>32</v>
      </c>
      <c r="BR569" s="2">
        <v>0</v>
      </c>
      <c r="BS569" s="2" t="s">
        <v>1658</v>
      </c>
      <c r="BT569" s="2">
        <v>36</v>
      </c>
      <c r="BU569" s="2">
        <v>252</v>
      </c>
      <c r="BV569" s="2" t="s">
        <v>1660</v>
      </c>
      <c r="BW569" s="2"/>
      <c r="BX569" s="2"/>
      <c r="BY569" s="2" t="s">
        <v>1807</v>
      </c>
      <c r="BZ569" s="2" t="b">
        <f>OR( (Dashboard[[#This Row],[ref_as_hh]]&gt;=1),(Dashboard[[#This Row],[ret_as_hh]] &gt;=1), (Dashboard[[#This Row],[idp_as_hh]]&gt;=1))</f>
        <v>0</v>
      </c>
      <c r="CA569" s="2">
        <f>Dashboard[[#This Row],[ret_hi_hh]]</f>
        <v>0</v>
      </c>
      <c r="CB569" s="2">
        <f>Dashboard[[#This Row],[idp_fa_hh]]+Dashboard[[#This Row],[ref_fa_hh]]+Dashboard[[#This Row],[ret_fa_hh]]</f>
        <v>0</v>
      </c>
      <c r="CC569" s="2">
        <f>Dashboard[[#This Row],[idp_loc_hh]]+Dashboard[[#This Row],[ref_loc_hh]]+Dashboard[[#This Row],[ret_loc_hh]]</f>
        <v>0</v>
      </c>
      <c r="CD569" s="2">
        <f>Dashboard[[#This Row],[idp_cc_hh]]+Dashboard[[#This Row],[ref_cc_hh]]+Dashboard[[#This Row],[ret_cc_hh]]</f>
        <v>0</v>
      </c>
      <c r="CE569" s="2">
        <f>Dashboard[[#This Row],[idp_as_hh]]+Dashboard[[#This Row],[ref_as_hh]]+Dashboard[[#This Row],[ret_as_hh]]</f>
        <v>0</v>
      </c>
      <c r="CF569" s="2">
        <f>Dashboard[[#This Row],[idp_al_hh]]+Dashboard[[#This Row],[ref_al_hh]]+Dashboard[[#This Row],[ret_al_hh]]</f>
        <v>0</v>
      </c>
    </row>
    <row r="570" spans="1:84" hidden="1" x14ac:dyDescent="0.25">
      <c r="A570" s="27">
        <v>417</v>
      </c>
      <c r="B570" s="2" t="s">
        <v>22</v>
      </c>
      <c r="C570" s="2" t="s">
        <v>23</v>
      </c>
      <c r="D570" s="2" t="s">
        <v>48</v>
      </c>
      <c r="E570" s="2" t="s">
        <v>47</v>
      </c>
      <c r="F570" s="2" t="s">
        <v>232</v>
      </c>
      <c r="G570" s="2" t="s">
        <v>231</v>
      </c>
      <c r="H570" s="2" t="s">
        <v>1695</v>
      </c>
      <c r="I570" s="2" t="s">
        <v>501</v>
      </c>
      <c r="J570" s="2" t="s">
        <v>3328</v>
      </c>
      <c r="K570" s="2" t="s">
        <v>3329</v>
      </c>
      <c r="L570" s="2" t="s">
        <v>2074</v>
      </c>
      <c r="M570" s="2">
        <v>1875</v>
      </c>
      <c r="N570" s="2" t="s">
        <v>1660</v>
      </c>
      <c r="O570" s="2">
        <v>0</v>
      </c>
      <c r="P570" s="2">
        <v>0</v>
      </c>
      <c r="Q570" s="2" t="s">
        <v>32</v>
      </c>
      <c r="R570" s="2">
        <v>0</v>
      </c>
      <c r="S570" s="2" t="s">
        <v>32</v>
      </c>
      <c r="T570" s="2">
        <v>0</v>
      </c>
      <c r="U570" s="2" t="s">
        <v>32</v>
      </c>
      <c r="V570" s="2" t="s">
        <v>32</v>
      </c>
      <c r="W570" s="2" t="s">
        <v>32</v>
      </c>
      <c r="X570" s="2">
        <v>0</v>
      </c>
      <c r="Y570" s="2" t="s">
        <v>32</v>
      </c>
      <c r="Z570" s="2" t="s">
        <v>32</v>
      </c>
      <c r="AA570" s="2" t="s">
        <v>32</v>
      </c>
      <c r="AB570" s="2">
        <v>0</v>
      </c>
      <c r="AC570" s="2" t="s">
        <v>32</v>
      </c>
      <c r="AD570" s="2">
        <v>0</v>
      </c>
      <c r="AE570" s="2" t="s">
        <v>1660</v>
      </c>
      <c r="AF570" s="2">
        <v>0</v>
      </c>
      <c r="AG570" s="2">
        <v>0</v>
      </c>
      <c r="AH570" s="2" t="s">
        <v>32</v>
      </c>
      <c r="AI570" s="2" t="s">
        <v>32</v>
      </c>
      <c r="AJ570" s="2" t="s">
        <v>32</v>
      </c>
      <c r="AK570" s="2" t="s">
        <v>32</v>
      </c>
      <c r="AL570" s="2" t="s">
        <v>32</v>
      </c>
      <c r="AM570" s="2">
        <v>0</v>
      </c>
      <c r="AN570" s="2" t="s">
        <v>32</v>
      </c>
      <c r="AO570" s="2">
        <v>0</v>
      </c>
      <c r="AP570" s="2" t="s">
        <v>32</v>
      </c>
      <c r="AQ570" s="2" t="s">
        <v>32</v>
      </c>
      <c r="AR570" s="2" t="s">
        <v>32</v>
      </c>
      <c r="AS570" s="2">
        <v>0</v>
      </c>
      <c r="AT570" s="2" t="s">
        <v>32</v>
      </c>
      <c r="AU570" s="2" t="s">
        <v>32</v>
      </c>
      <c r="AV570" s="2" t="s">
        <v>32</v>
      </c>
      <c r="AW570" s="2">
        <v>0</v>
      </c>
      <c r="AX570" s="2" t="s">
        <v>32</v>
      </c>
      <c r="AY570" s="2">
        <v>0</v>
      </c>
      <c r="AZ570" s="2" t="s">
        <v>1660</v>
      </c>
      <c r="BA570" s="2">
        <v>0</v>
      </c>
      <c r="BB570" s="2">
        <v>0</v>
      </c>
      <c r="BC570" s="2" t="s">
        <v>32</v>
      </c>
      <c r="BD570" s="2">
        <v>0</v>
      </c>
      <c r="BE570" s="2" t="s">
        <v>32</v>
      </c>
      <c r="BF570" s="2">
        <v>0</v>
      </c>
      <c r="BG570" s="2" t="s">
        <v>32</v>
      </c>
      <c r="BH570" s="2">
        <v>0</v>
      </c>
      <c r="BI570" s="2" t="s">
        <v>32</v>
      </c>
      <c r="BJ570" s="2" t="s">
        <v>32</v>
      </c>
      <c r="BK570" s="2" t="s">
        <v>32</v>
      </c>
      <c r="BL570" s="2">
        <v>0</v>
      </c>
      <c r="BM570" s="2" t="s">
        <v>32</v>
      </c>
      <c r="BN570" s="2" t="s">
        <v>32</v>
      </c>
      <c r="BO570" s="2" t="s">
        <v>32</v>
      </c>
      <c r="BP570" s="2">
        <v>0</v>
      </c>
      <c r="BQ570" s="2" t="s">
        <v>32</v>
      </c>
      <c r="BR570" s="2">
        <v>0</v>
      </c>
      <c r="BS570" s="2" t="s">
        <v>1658</v>
      </c>
      <c r="BT570" s="2">
        <v>260</v>
      </c>
      <c r="BU570" s="2">
        <v>1875</v>
      </c>
      <c r="BV570" s="2" t="s">
        <v>1660</v>
      </c>
      <c r="BW570" s="2"/>
      <c r="BX570" s="2"/>
      <c r="BY570" s="2" t="s">
        <v>1807</v>
      </c>
      <c r="BZ570" s="2" t="b">
        <f>OR( (Dashboard[[#This Row],[ref_as_hh]]&gt;=1),(Dashboard[[#This Row],[ret_as_hh]] &gt;=1), (Dashboard[[#This Row],[idp_as_hh]]&gt;=1))</f>
        <v>0</v>
      </c>
      <c r="CA570" s="2">
        <f>Dashboard[[#This Row],[ret_hi_hh]]</f>
        <v>0</v>
      </c>
      <c r="CB570" s="2">
        <f>Dashboard[[#This Row],[idp_fa_hh]]+Dashboard[[#This Row],[ref_fa_hh]]+Dashboard[[#This Row],[ret_fa_hh]]</f>
        <v>0</v>
      </c>
      <c r="CC570" s="2">
        <f>Dashboard[[#This Row],[idp_loc_hh]]+Dashboard[[#This Row],[ref_loc_hh]]+Dashboard[[#This Row],[ret_loc_hh]]</f>
        <v>0</v>
      </c>
      <c r="CD570" s="2">
        <f>Dashboard[[#This Row],[idp_cc_hh]]+Dashboard[[#This Row],[ref_cc_hh]]+Dashboard[[#This Row],[ret_cc_hh]]</f>
        <v>0</v>
      </c>
      <c r="CE570" s="2">
        <f>Dashboard[[#This Row],[idp_as_hh]]+Dashboard[[#This Row],[ref_as_hh]]+Dashboard[[#This Row],[ret_as_hh]]</f>
        <v>0</v>
      </c>
      <c r="CF570" s="2">
        <f>Dashboard[[#This Row],[idp_al_hh]]+Dashboard[[#This Row],[ref_al_hh]]+Dashboard[[#This Row],[ret_al_hh]]</f>
        <v>0</v>
      </c>
    </row>
    <row r="571" spans="1:84" x14ac:dyDescent="0.25">
      <c r="A571" s="27">
        <v>420</v>
      </c>
      <c r="B571" s="2" t="s">
        <v>22</v>
      </c>
      <c r="C571" s="2" t="s">
        <v>23</v>
      </c>
      <c r="D571" s="2" t="s">
        <v>48</v>
      </c>
      <c r="E571" s="2" t="s">
        <v>47</v>
      </c>
      <c r="F571" s="2" t="s">
        <v>232</v>
      </c>
      <c r="G571" s="2" t="s">
        <v>231</v>
      </c>
      <c r="H571" s="2" t="s">
        <v>1361</v>
      </c>
      <c r="I571" s="2" t="s">
        <v>1360</v>
      </c>
      <c r="J571" s="2" t="s">
        <v>3338</v>
      </c>
      <c r="K571" s="2" t="s">
        <v>3339</v>
      </c>
      <c r="L571" s="2" t="s">
        <v>3693</v>
      </c>
      <c r="M571" s="2">
        <v>10920</v>
      </c>
      <c r="N571" s="2" t="s">
        <v>1658</v>
      </c>
      <c r="O571" s="2">
        <v>579</v>
      </c>
      <c r="P571" s="2">
        <v>4624</v>
      </c>
      <c r="Q571" s="2" t="s">
        <v>1658</v>
      </c>
      <c r="R571" s="2">
        <v>230</v>
      </c>
      <c r="S571" s="2" t="s">
        <v>1658</v>
      </c>
      <c r="T571" s="2">
        <v>37</v>
      </c>
      <c r="U571" s="2" t="s">
        <v>637</v>
      </c>
      <c r="V571" s="2" t="s">
        <v>3711</v>
      </c>
      <c r="W571" s="2" t="s">
        <v>1658</v>
      </c>
      <c r="X571" s="2">
        <v>15</v>
      </c>
      <c r="Y571" s="2" t="s">
        <v>686</v>
      </c>
      <c r="Z571" s="2" t="s">
        <v>32</v>
      </c>
      <c r="AA571" s="2" t="s">
        <v>1658</v>
      </c>
      <c r="AB571" s="2">
        <v>297</v>
      </c>
      <c r="AC571" s="2" t="s">
        <v>1660</v>
      </c>
      <c r="AD571" s="2">
        <v>0</v>
      </c>
      <c r="AE571" s="2" t="s">
        <v>1660</v>
      </c>
      <c r="AF571" s="2">
        <v>0</v>
      </c>
      <c r="AG571" s="2">
        <v>0</v>
      </c>
      <c r="AH571" s="2" t="s">
        <v>32</v>
      </c>
      <c r="AI571" s="2" t="s">
        <v>32</v>
      </c>
      <c r="AJ571" s="2" t="s">
        <v>32</v>
      </c>
      <c r="AK571" s="2" t="s">
        <v>32</v>
      </c>
      <c r="AL571" s="2" t="s">
        <v>32</v>
      </c>
      <c r="AM571" s="2">
        <v>0</v>
      </c>
      <c r="AN571" s="2" t="s">
        <v>32</v>
      </c>
      <c r="AO571" s="2">
        <v>0</v>
      </c>
      <c r="AP571" s="2" t="s">
        <v>32</v>
      </c>
      <c r="AQ571" s="2" t="s">
        <v>32</v>
      </c>
      <c r="AR571" s="2" t="s">
        <v>32</v>
      </c>
      <c r="AS571" s="2">
        <v>0</v>
      </c>
      <c r="AT571" s="2" t="s">
        <v>32</v>
      </c>
      <c r="AU571" s="2" t="s">
        <v>32</v>
      </c>
      <c r="AV571" s="2" t="s">
        <v>32</v>
      </c>
      <c r="AW571" s="2">
        <v>0</v>
      </c>
      <c r="AX571" s="2" t="s">
        <v>32</v>
      </c>
      <c r="AY571" s="2">
        <v>0</v>
      </c>
      <c r="AZ571" s="2" t="s">
        <v>1658</v>
      </c>
      <c r="BA571" s="2">
        <v>17</v>
      </c>
      <c r="BB571" s="2">
        <v>119</v>
      </c>
      <c r="BC571" s="2" t="s">
        <v>1658</v>
      </c>
      <c r="BD571" s="2">
        <v>14</v>
      </c>
      <c r="BE571" s="2" t="s">
        <v>1658</v>
      </c>
      <c r="BF571" s="2">
        <v>3</v>
      </c>
      <c r="BG571" s="2" t="s">
        <v>1660</v>
      </c>
      <c r="BH571" s="2">
        <v>0</v>
      </c>
      <c r="BI571" s="2" t="s">
        <v>32</v>
      </c>
      <c r="BJ571" s="2" t="s">
        <v>32</v>
      </c>
      <c r="BK571" s="2" t="s">
        <v>1660</v>
      </c>
      <c r="BL571" s="2">
        <v>0</v>
      </c>
      <c r="BM571" s="2" t="s">
        <v>32</v>
      </c>
      <c r="BN571" s="2" t="s">
        <v>32</v>
      </c>
      <c r="BO571" s="2" t="s">
        <v>1660</v>
      </c>
      <c r="BP571" s="2">
        <v>0</v>
      </c>
      <c r="BQ571" s="2" t="s">
        <v>1660</v>
      </c>
      <c r="BR571" s="2">
        <v>0</v>
      </c>
      <c r="BS571" s="2" t="s">
        <v>1658</v>
      </c>
      <c r="BT571" s="2">
        <v>562</v>
      </c>
      <c r="BU571" s="2">
        <v>4496</v>
      </c>
      <c r="BV571" s="2" t="s">
        <v>1658</v>
      </c>
      <c r="BW571" s="2">
        <v>170</v>
      </c>
      <c r="BX571" s="2">
        <v>1360</v>
      </c>
      <c r="BY571" s="2" t="s">
        <v>1807</v>
      </c>
      <c r="BZ571" s="2" t="b">
        <f>OR( (Dashboard[[#This Row],[ref_as_hh]]&gt;=1),(Dashboard[[#This Row],[ret_as_hh]] &gt;=1), (Dashboard[[#This Row],[idp_as_hh]]&gt;=1))</f>
        <v>1</v>
      </c>
      <c r="CA571" s="2">
        <f>Dashboard[[#This Row],[ret_hi_hh]]</f>
        <v>14</v>
      </c>
      <c r="CB571" s="2">
        <f>Dashboard[[#This Row],[idp_fa_hh]]+Dashboard[[#This Row],[ref_fa_hh]]+Dashboard[[#This Row],[ret_fa_hh]]</f>
        <v>233</v>
      </c>
      <c r="CC571" s="2">
        <f>Dashboard[[#This Row],[idp_loc_hh]]+Dashboard[[#This Row],[ref_loc_hh]]+Dashboard[[#This Row],[ret_loc_hh]]</f>
        <v>37</v>
      </c>
      <c r="CD571" s="2">
        <f>Dashboard[[#This Row],[idp_cc_hh]]+Dashboard[[#This Row],[ref_cc_hh]]+Dashboard[[#This Row],[ret_cc_hh]]</f>
        <v>15</v>
      </c>
      <c r="CE571" s="2">
        <f>Dashboard[[#This Row],[idp_as_hh]]+Dashboard[[#This Row],[ref_as_hh]]+Dashboard[[#This Row],[ret_as_hh]]</f>
        <v>297</v>
      </c>
      <c r="CF571" s="2">
        <f>Dashboard[[#This Row],[idp_al_hh]]+Dashboard[[#This Row],[ref_al_hh]]+Dashboard[[#This Row],[ret_al_hh]]</f>
        <v>0</v>
      </c>
    </row>
    <row r="572" spans="1:84" x14ac:dyDescent="0.25">
      <c r="A572" s="27">
        <v>740</v>
      </c>
      <c r="B572" s="2" t="s">
        <v>22</v>
      </c>
      <c r="C572" s="2" t="s">
        <v>23</v>
      </c>
      <c r="D572" s="2" t="s">
        <v>48</v>
      </c>
      <c r="E572" s="2" t="s">
        <v>47</v>
      </c>
      <c r="F572" s="2" t="s">
        <v>232</v>
      </c>
      <c r="G572" s="2" t="s">
        <v>231</v>
      </c>
      <c r="H572" s="2" t="s">
        <v>1358</v>
      </c>
      <c r="I572" s="2" t="s">
        <v>233</v>
      </c>
      <c r="J572" s="2" t="s">
        <v>3326</v>
      </c>
      <c r="K572" s="2" t="s">
        <v>3327</v>
      </c>
      <c r="L572" s="2" t="s">
        <v>2074</v>
      </c>
      <c r="M572" s="2">
        <v>33816</v>
      </c>
      <c r="N572" s="2" t="s">
        <v>1658</v>
      </c>
      <c r="O572" s="2">
        <v>566</v>
      </c>
      <c r="P572" s="2">
        <v>3888</v>
      </c>
      <c r="Q572" s="2" t="s">
        <v>1658</v>
      </c>
      <c r="R572" s="2">
        <v>365</v>
      </c>
      <c r="S572" s="2" t="s">
        <v>1660</v>
      </c>
      <c r="T572" s="2">
        <v>0</v>
      </c>
      <c r="U572" s="2" t="s">
        <v>32</v>
      </c>
      <c r="V572" s="2" t="s">
        <v>32</v>
      </c>
      <c r="W572" s="2" t="s">
        <v>1660</v>
      </c>
      <c r="X572" s="2">
        <v>0</v>
      </c>
      <c r="Y572" s="2" t="s">
        <v>32</v>
      </c>
      <c r="Z572" s="2" t="s">
        <v>32</v>
      </c>
      <c r="AA572" s="2" t="s">
        <v>1658</v>
      </c>
      <c r="AB572" s="2">
        <v>201</v>
      </c>
      <c r="AC572" s="2" t="s">
        <v>1660</v>
      </c>
      <c r="AD572" s="2">
        <v>0</v>
      </c>
      <c r="AE572" s="2" t="s">
        <v>1660</v>
      </c>
      <c r="AF572" s="2">
        <v>0</v>
      </c>
      <c r="AG572" s="2">
        <v>0</v>
      </c>
      <c r="AH572" s="2" t="s">
        <v>32</v>
      </c>
      <c r="AI572" s="2" t="s">
        <v>32</v>
      </c>
      <c r="AJ572" s="2" t="s">
        <v>32</v>
      </c>
      <c r="AK572" s="2" t="s">
        <v>32</v>
      </c>
      <c r="AL572" s="2" t="s">
        <v>32</v>
      </c>
      <c r="AM572" s="2">
        <v>0</v>
      </c>
      <c r="AN572" s="2" t="s">
        <v>32</v>
      </c>
      <c r="AO572" s="2">
        <v>0</v>
      </c>
      <c r="AP572" s="2" t="s">
        <v>32</v>
      </c>
      <c r="AQ572" s="2" t="s">
        <v>32</v>
      </c>
      <c r="AR572" s="2" t="s">
        <v>32</v>
      </c>
      <c r="AS572" s="2">
        <v>0</v>
      </c>
      <c r="AT572" s="2" t="s">
        <v>32</v>
      </c>
      <c r="AU572" s="2" t="s">
        <v>32</v>
      </c>
      <c r="AV572" s="2" t="s">
        <v>32</v>
      </c>
      <c r="AW572" s="2">
        <v>0</v>
      </c>
      <c r="AX572" s="2" t="s">
        <v>32</v>
      </c>
      <c r="AY572" s="2">
        <v>0</v>
      </c>
      <c r="AZ572" s="2" t="s">
        <v>1658</v>
      </c>
      <c r="BA572" s="2">
        <v>1098</v>
      </c>
      <c r="BB572" s="2">
        <v>7967</v>
      </c>
      <c r="BC572" s="2" t="s">
        <v>1658</v>
      </c>
      <c r="BD572" s="2">
        <v>278</v>
      </c>
      <c r="BE572" s="2" t="s">
        <v>1658</v>
      </c>
      <c r="BF572" s="2">
        <v>820</v>
      </c>
      <c r="BG572" s="2" t="s">
        <v>1660</v>
      </c>
      <c r="BH572" s="2">
        <v>0</v>
      </c>
      <c r="BI572" s="2" t="s">
        <v>32</v>
      </c>
      <c r="BJ572" s="2" t="s">
        <v>32</v>
      </c>
      <c r="BK572" s="2" t="s">
        <v>1660</v>
      </c>
      <c r="BL572" s="2">
        <v>0</v>
      </c>
      <c r="BM572" s="2" t="s">
        <v>32</v>
      </c>
      <c r="BN572" s="2" t="s">
        <v>32</v>
      </c>
      <c r="BO572" s="2" t="s">
        <v>1660</v>
      </c>
      <c r="BP572" s="2">
        <v>0</v>
      </c>
      <c r="BQ572" s="2" t="s">
        <v>1660</v>
      </c>
      <c r="BR572" s="2">
        <v>0</v>
      </c>
      <c r="BS572" s="2" t="s">
        <v>1658</v>
      </c>
      <c r="BT572" s="2">
        <v>3298</v>
      </c>
      <c r="BU572" s="2">
        <v>18728</v>
      </c>
      <c r="BV572" s="2" t="s">
        <v>1660</v>
      </c>
      <c r="BW572" s="2"/>
      <c r="BX572" s="2"/>
      <c r="BY572" s="2" t="s">
        <v>1807</v>
      </c>
      <c r="BZ572" s="2" t="b">
        <f>OR( (Dashboard[[#This Row],[ref_as_hh]]&gt;=1),(Dashboard[[#This Row],[ret_as_hh]] &gt;=1), (Dashboard[[#This Row],[idp_as_hh]]&gt;=1))</f>
        <v>1</v>
      </c>
      <c r="CA572" s="2">
        <f>Dashboard[[#This Row],[ret_hi_hh]]</f>
        <v>278</v>
      </c>
      <c r="CB572" s="2">
        <f>Dashboard[[#This Row],[idp_fa_hh]]+Dashboard[[#This Row],[ref_fa_hh]]+Dashboard[[#This Row],[ret_fa_hh]]</f>
        <v>1185</v>
      </c>
      <c r="CC572" s="2">
        <f>Dashboard[[#This Row],[idp_loc_hh]]+Dashboard[[#This Row],[ref_loc_hh]]+Dashboard[[#This Row],[ret_loc_hh]]</f>
        <v>0</v>
      </c>
      <c r="CD572" s="2">
        <f>Dashboard[[#This Row],[idp_cc_hh]]+Dashboard[[#This Row],[ref_cc_hh]]+Dashboard[[#This Row],[ret_cc_hh]]</f>
        <v>0</v>
      </c>
      <c r="CE572" s="2">
        <f>Dashboard[[#This Row],[idp_as_hh]]+Dashboard[[#This Row],[ref_as_hh]]+Dashboard[[#This Row],[ret_as_hh]]</f>
        <v>201</v>
      </c>
      <c r="CF572" s="2">
        <f>Dashboard[[#This Row],[idp_al_hh]]+Dashboard[[#This Row],[ref_al_hh]]+Dashboard[[#This Row],[ret_al_hh]]</f>
        <v>0</v>
      </c>
    </row>
    <row r="573" spans="1:84" hidden="1" x14ac:dyDescent="0.25">
      <c r="A573" s="27">
        <v>741</v>
      </c>
      <c r="B573" s="2" t="s">
        <v>22</v>
      </c>
      <c r="C573" s="2" t="s">
        <v>23</v>
      </c>
      <c r="D573" s="2" t="s">
        <v>48</v>
      </c>
      <c r="E573" s="2" t="s">
        <v>47</v>
      </c>
      <c r="F573" s="2" t="s">
        <v>232</v>
      </c>
      <c r="G573" s="2" t="s">
        <v>231</v>
      </c>
      <c r="H573" s="2" t="s">
        <v>1584</v>
      </c>
      <c r="I573" s="2" t="s">
        <v>707</v>
      </c>
      <c r="J573" s="2" t="s">
        <v>3344</v>
      </c>
      <c r="K573" s="2" t="s">
        <v>3345</v>
      </c>
      <c r="L573" s="2" t="s">
        <v>3712</v>
      </c>
      <c r="M573" s="2">
        <v>304</v>
      </c>
      <c r="N573" s="2" t="s">
        <v>1660</v>
      </c>
      <c r="O573" s="2">
        <v>0</v>
      </c>
      <c r="P573" s="2">
        <v>0</v>
      </c>
      <c r="Q573" s="2" t="s">
        <v>32</v>
      </c>
      <c r="R573" s="2">
        <v>0</v>
      </c>
      <c r="S573" s="2" t="s">
        <v>32</v>
      </c>
      <c r="T573" s="2">
        <v>0</v>
      </c>
      <c r="U573" s="2" t="s">
        <v>32</v>
      </c>
      <c r="V573" s="2" t="s">
        <v>32</v>
      </c>
      <c r="W573" s="2" t="s">
        <v>32</v>
      </c>
      <c r="X573" s="2">
        <v>0</v>
      </c>
      <c r="Y573" s="2" t="s">
        <v>32</v>
      </c>
      <c r="Z573" s="2" t="s">
        <v>32</v>
      </c>
      <c r="AA573" s="2" t="s">
        <v>32</v>
      </c>
      <c r="AB573" s="2">
        <v>0</v>
      </c>
      <c r="AC573" s="2" t="s">
        <v>32</v>
      </c>
      <c r="AD573" s="2">
        <v>0</v>
      </c>
      <c r="AE573" s="2" t="s">
        <v>1660</v>
      </c>
      <c r="AF573" s="2">
        <v>0</v>
      </c>
      <c r="AG573" s="2">
        <v>0</v>
      </c>
      <c r="AH573" s="2" t="s">
        <v>32</v>
      </c>
      <c r="AI573" s="2" t="s">
        <v>32</v>
      </c>
      <c r="AJ573" s="2" t="s">
        <v>32</v>
      </c>
      <c r="AK573" s="2" t="s">
        <v>32</v>
      </c>
      <c r="AL573" s="2" t="s">
        <v>32</v>
      </c>
      <c r="AM573" s="2">
        <v>0</v>
      </c>
      <c r="AN573" s="2" t="s">
        <v>32</v>
      </c>
      <c r="AO573" s="2">
        <v>0</v>
      </c>
      <c r="AP573" s="2" t="s">
        <v>32</v>
      </c>
      <c r="AQ573" s="2" t="s">
        <v>32</v>
      </c>
      <c r="AR573" s="2" t="s">
        <v>32</v>
      </c>
      <c r="AS573" s="2">
        <v>0</v>
      </c>
      <c r="AT573" s="2" t="s">
        <v>32</v>
      </c>
      <c r="AU573" s="2" t="s">
        <v>32</v>
      </c>
      <c r="AV573" s="2" t="s">
        <v>32</v>
      </c>
      <c r="AW573" s="2">
        <v>0</v>
      </c>
      <c r="AX573" s="2" t="s">
        <v>32</v>
      </c>
      <c r="AY573" s="2">
        <v>0</v>
      </c>
      <c r="AZ573" s="2" t="s">
        <v>1658</v>
      </c>
      <c r="BA573" s="2">
        <v>20</v>
      </c>
      <c r="BB573" s="2">
        <v>105</v>
      </c>
      <c r="BC573" s="2" t="s">
        <v>1658</v>
      </c>
      <c r="BD573" s="2">
        <v>20</v>
      </c>
      <c r="BE573" s="2" t="s">
        <v>1660</v>
      </c>
      <c r="BF573" s="2">
        <v>0</v>
      </c>
      <c r="BG573" s="2" t="s">
        <v>1660</v>
      </c>
      <c r="BH573" s="2">
        <v>0</v>
      </c>
      <c r="BI573" s="2" t="s">
        <v>32</v>
      </c>
      <c r="BJ573" s="2" t="s">
        <v>32</v>
      </c>
      <c r="BK573" s="2" t="s">
        <v>1660</v>
      </c>
      <c r="BL573" s="2">
        <v>0</v>
      </c>
      <c r="BM573" s="2" t="s">
        <v>32</v>
      </c>
      <c r="BN573" s="2" t="s">
        <v>32</v>
      </c>
      <c r="BO573" s="2" t="s">
        <v>1660</v>
      </c>
      <c r="BP573" s="2">
        <v>0</v>
      </c>
      <c r="BQ573" s="2" t="s">
        <v>1660</v>
      </c>
      <c r="BR573" s="2">
        <v>0</v>
      </c>
      <c r="BS573" s="2" t="s">
        <v>1658</v>
      </c>
      <c r="BT573" s="2">
        <v>38</v>
      </c>
      <c r="BU573" s="2">
        <v>245</v>
      </c>
      <c r="BV573" s="2" t="s">
        <v>1660</v>
      </c>
      <c r="BW573" s="2"/>
      <c r="BX573" s="2"/>
      <c r="BY573" s="2" t="s">
        <v>1807</v>
      </c>
      <c r="BZ573" s="2" t="b">
        <f>OR( (Dashboard[[#This Row],[ref_as_hh]]&gt;=1),(Dashboard[[#This Row],[ret_as_hh]] &gt;=1), (Dashboard[[#This Row],[idp_as_hh]]&gt;=1))</f>
        <v>0</v>
      </c>
      <c r="CA573" s="2">
        <f>Dashboard[[#This Row],[ret_hi_hh]]</f>
        <v>20</v>
      </c>
      <c r="CB573" s="2">
        <f>Dashboard[[#This Row],[idp_fa_hh]]+Dashboard[[#This Row],[ref_fa_hh]]+Dashboard[[#This Row],[ret_fa_hh]]</f>
        <v>0</v>
      </c>
      <c r="CC573" s="2">
        <f>Dashboard[[#This Row],[idp_loc_hh]]+Dashboard[[#This Row],[ref_loc_hh]]+Dashboard[[#This Row],[ret_loc_hh]]</f>
        <v>0</v>
      </c>
      <c r="CD573" s="2">
        <f>Dashboard[[#This Row],[idp_cc_hh]]+Dashboard[[#This Row],[ref_cc_hh]]+Dashboard[[#This Row],[ret_cc_hh]]</f>
        <v>0</v>
      </c>
      <c r="CE573" s="2">
        <f>Dashboard[[#This Row],[idp_as_hh]]+Dashboard[[#This Row],[ref_as_hh]]+Dashboard[[#This Row],[ret_as_hh]]</f>
        <v>0</v>
      </c>
      <c r="CF573" s="2">
        <f>Dashboard[[#This Row],[idp_al_hh]]+Dashboard[[#This Row],[ref_al_hh]]+Dashboard[[#This Row],[ret_al_hh]]</f>
        <v>0</v>
      </c>
    </row>
    <row r="574" spans="1:84" hidden="1" x14ac:dyDescent="0.25">
      <c r="A574" s="27">
        <v>742</v>
      </c>
      <c r="B574" s="2" t="s">
        <v>22</v>
      </c>
      <c r="C574" s="2" t="s">
        <v>23</v>
      </c>
      <c r="D574" s="2" t="s">
        <v>48</v>
      </c>
      <c r="E574" s="2" t="s">
        <v>47</v>
      </c>
      <c r="F574" s="2" t="s">
        <v>232</v>
      </c>
      <c r="G574" s="2" t="s">
        <v>231</v>
      </c>
      <c r="H574" s="2" t="s">
        <v>1583</v>
      </c>
      <c r="I574" s="2" t="s">
        <v>706</v>
      </c>
      <c r="J574" s="2" t="s">
        <v>3334</v>
      </c>
      <c r="K574" s="2" t="s">
        <v>3335</v>
      </c>
      <c r="L574" s="2" t="s">
        <v>2074</v>
      </c>
      <c r="M574" s="2">
        <v>182</v>
      </c>
      <c r="N574" s="2" t="s">
        <v>1660</v>
      </c>
      <c r="O574" s="2">
        <v>0</v>
      </c>
      <c r="P574" s="2">
        <v>0</v>
      </c>
      <c r="Q574" s="2" t="s">
        <v>32</v>
      </c>
      <c r="R574" s="2">
        <v>0</v>
      </c>
      <c r="S574" s="2" t="s">
        <v>32</v>
      </c>
      <c r="T574" s="2">
        <v>0</v>
      </c>
      <c r="U574" s="2" t="s">
        <v>32</v>
      </c>
      <c r="V574" s="2" t="s">
        <v>32</v>
      </c>
      <c r="W574" s="2" t="s">
        <v>32</v>
      </c>
      <c r="X574" s="2">
        <v>0</v>
      </c>
      <c r="Y574" s="2" t="s">
        <v>32</v>
      </c>
      <c r="Z574" s="2" t="s">
        <v>32</v>
      </c>
      <c r="AA574" s="2" t="s">
        <v>32</v>
      </c>
      <c r="AB574" s="2">
        <v>0</v>
      </c>
      <c r="AC574" s="2" t="s">
        <v>32</v>
      </c>
      <c r="AD574" s="2">
        <v>0</v>
      </c>
      <c r="AE574" s="2" t="s">
        <v>1660</v>
      </c>
      <c r="AF574" s="2">
        <v>0</v>
      </c>
      <c r="AG574" s="2">
        <v>0</v>
      </c>
      <c r="AH574" s="2" t="s">
        <v>32</v>
      </c>
      <c r="AI574" s="2" t="s">
        <v>32</v>
      </c>
      <c r="AJ574" s="2" t="s">
        <v>32</v>
      </c>
      <c r="AK574" s="2" t="s">
        <v>32</v>
      </c>
      <c r="AL574" s="2" t="s">
        <v>32</v>
      </c>
      <c r="AM574" s="2">
        <v>0</v>
      </c>
      <c r="AN574" s="2" t="s">
        <v>32</v>
      </c>
      <c r="AO574" s="2">
        <v>0</v>
      </c>
      <c r="AP574" s="2" t="s">
        <v>32</v>
      </c>
      <c r="AQ574" s="2" t="s">
        <v>32</v>
      </c>
      <c r="AR574" s="2" t="s">
        <v>32</v>
      </c>
      <c r="AS574" s="2">
        <v>0</v>
      </c>
      <c r="AT574" s="2" t="s">
        <v>32</v>
      </c>
      <c r="AU574" s="2" t="s">
        <v>32</v>
      </c>
      <c r="AV574" s="2" t="s">
        <v>32</v>
      </c>
      <c r="AW574" s="2">
        <v>0</v>
      </c>
      <c r="AX574" s="2" t="s">
        <v>32</v>
      </c>
      <c r="AY574" s="2">
        <v>0</v>
      </c>
      <c r="AZ574" s="2" t="s">
        <v>1658</v>
      </c>
      <c r="BA574" s="2">
        <v>16</v>
      </c>
      <c r="BB574" s="2">
        <v>75</v>
      </c>
      <c r="BC574" s="2" t="s">
        <v>1658</v>
      </c>
      <c r="BD574" s="2">
        <v>16</v>
      </c>
      <c r="BE574" s="2" t="s">
        <v>1660</v>
      </c>
      <c r="BF574" s="2">
        <v>0</v>
      </c>
      <c r="BG574" s="2" t="s">
        <v>1660</v>
      </c>
      <c r="BH574" s="2">
        <v>0</v>
      </c>
      <c r="BI574" s="2" t="s">
        <v>32</v>
      </c>
      <c r="BJ574" s="2" t="s">
        <v>32</v>
      </c>
      <c r="BK574" s="2" t="s">
        <v>1660</v>
      </c>
      <c r="BL574" s="2">
        <v>0</v>
      </c>
      <c r="BM574" s="2" t="s">
        <v>32</v>
      </c>
      <c r="BN574" s="2" t="s">
        <v>32</v>
      </c>
      <c r="BO574" s="2" t="s">
        <v>1660</v>
      </c>
      <c r="BP574" s="2">
        <v>0</v>
      </c>
      <c r="BQ574" s="2" t="s">
        <v>1660</v>
      </c>
      <c r="BR574" s="2">
        <v>0</v>
      </c>
      <c r="BS574" s="2" t="s">
        <v>1658</v>
      </c>
      <c r="BT574" s="2">
        <v>20</v>
      </c>
      <c r="BU574" s="2">
        <v>107</v>
      </c>
      <c r="BV574" s="2" t="s">
        <v>1660</v>
      </c>
      <c r="BW574" s="2"/>
      <c r="BX574" s="2"/>
      <c r="BY574" s="2" t="s">
        <v>1807</v>
      </c>
      <c r="BZ574" s="2" t="b">
        <f>OR( (Dashboard[[#This Row],[ref_as_hh]]&gt;=1),(Dashboard[[#This Row],[ret_as_hh]] &gt;=1), (Dashboard[[#This Row],[idp_as_hh]]&gt;=1))</f>
        <v>0</v>
      </c>
      <c r="CA574" s="2">
        <f>Dashboard[[#This Row],[ret_hi_hh]]</f>
        <v>16</v>
      </c>
      <c r="CB574" s="2">
        <f>Dashboard[[#This Row],[idp_fa_hh]]+Dashboard[[#This Row],[ref_fa_hh]]+Dashboard[[#This Row],[ret_fa_hh]]</f>
        <v>0</v>
      </c>
      <c r="CC574" s="2">
        <f>Dashboard[[#This Row],[idp_loc_hh]]+Dashboard[[#This Row],[ref_loc_hh]]+Dashboard[[#This Row],[ret_loc_hh]]</f>
        <v>0</v>
      </c>
      <c r="CD574" s="2">
        <f>Dashboard[[#This Row],[idp_cc_hh]]+Dashboard[[#This Row],[ref_cc_hh]]+Dashboard[[#This Row],[ret_cc_hh]]</f>
        <v>0</v>
      </c>
      <c r="CE574" s="2">
        <f>Dashboard[[#This Row],[idp_as_hh]]+Dashboard[[#This Row],[ref_as_hh]]+Dashboard[[#This Row],[ret_as_hh]]</f>
        <v>0</v>
      </c>
      <c r="CF574" s="2">
        <f>Dashboard[[#This Row],[idp_al_hh]]+Dashboard[[#This Row],[ref_al_hh]]+Dashboard[[#This Row],[ret_al_hh]]</f>
        <v>0</v>
      </c>
    </row>
    <row r="575" spans="1:84" x14ac:dyDescent="0.25">
      <c r="A575" s="27">
        <v>744</v>
      </c>
      <c r="B575" s="2" t="s">
        <v>22</v>
      </c>
      <c r="C575" s="2" t="s">
        <v>23</v>
      </c>
      <c r="D575" s="2" t="s">
        <v>48</v>
      </c>
      <c r="E575" s="2" t="s">
        <v>47</v>
      </c>
      <c r="F575" s="2" t="s">
        <v>232</v>
      </c>
      <c r="G575" s="2" t="s">
        <v>231</v>
      </c>
      <c r="H575" s="2" t="s">
        <v>1362</v>
      </c>
      <c r="I575" s="2" t="s">
        <v>234</v>
      </c>
      <c r="J575" s="2" t="s">
        <v>3340</v>
      </c>
      <c r="K575" s="2" t="s">
        <v>3341</v>
      </c>
      <c r="L575" s="2" t="s">
        <v>2078</v>
      </c>
      <c r="M575" s="2">
        <v>19537</v>
      </c>
      <c r="N575" s="2" t="s">
        <v>1658</v>
      </c>
      <c r="O575" s="2">
        <v>961</v>
      </c>
      <c r="P575" s="2">
        <v>5827</v>
      </c>
      <c r="Q575" s="2" t="s">
        <v>1658</v>
      </c>
      <c r="R575" s="2">
        <v>67</v>
      </c>
      <c r="S575" s="2" t="s">
        <v>1658</v>
      </c>
      <c r="T575" s="2">
        <v>87</v>
      </c>
      <c r="U575" s="2" t="s">
        <v>1661</v>
      </c>
      <c r="V575" s="2" t="s">
        <v>32</v>
      </c>
      <c r="W575" s="2" t="s">
        <v>1660</v>
      </c>
      <c r="X575" s="2">
        <v>0</v>
      </c>
      <c r="Y575" s="2" t="s">
        <v>32</v>
      </c>
      <c r="Z575" s="2" t="s">
        <v>32</v>
      </c>
      <c r="AA575" s="2" t="s">
        <v>1658</v>
      </c>
      <c r="AB575" s="2">
        <v>807</v>
      </c>
      <c r="AC575" s="2" t="s">
        <v>1660</v>
      </c>
      <c r="AD575" s="2">
        <v>0</v>
      </c>
      <c r="AE575" s="2" t="s">
        <v>1660</v>
      </c>
      <c r="AF575" s="2">
        <v>0</v>
      </c>
      <c r="AG575" s="2">
        <v>0</v>
      </c>
      <c r="AH575" s="2" t="s">
        <v>32</v>
      </c>
      <c r="AI575" s="2" t="s">
        <v>32</v>
      </c>
      <c r="AJ575" s="2" t="s">
        <v>32</v>
      </c>
      <c r="AK575" s="2" t="s">
        <v>32</v>
      </c>
      <c r="AL575" s="2" t="s">
        <v>32</v>
      </c>
      <c r="AM575" s="2">
        <v>0</v>
      </c>
      <c r="AN575" s="2" t="s">
        <v>32</v>
      </c>
      <c r="AO575" s="2">
        <v>0</v>
      </c>
      <c r="AP575" s="2" t="s">
        <v>32</v>
      </c>
      <c r="AQ575" s="2" t="s">
        <v>32</v>
      </c>
      <c r="AR575" s="2" t="s">
        <v>32</v>
      </c>
      <c r="AS575" s="2">
        <v>0</v>
      </c>
      <c r="AT575" s="2" t="s">
        <v>32</v>
      </c>
      <c r="AU575" s="2" t="s">
        <v>32</v>
      </c>
      <c r="AV575" s="2" t="s">
        <v>32</v>
      </c>
      <c r="AW575" s="2">
        <v>0</v>
      </c>
      <c r="AX575" s="2" t="s">
        <v>32</v>
      </c>
      <c r="AY575" s="2">
        <v>0</v>
      </c>
      <c r="AZ575" s="2" t="s">
        <v>1658</v>
      </c>
      <c r="BA575" s="2">
        <v>115</v>
      </c>
      <c r="BB575" s="2">
        <v>650</v>
      </c>
      <c r="BC575" s="2" t="s">
        <v>1658</v>
      </c>
      <c r="BD575" s="2">
        <v>115</v>
      </c>
      <c r="BE575" s="2" t="s">
        <v>1660</v>
      </c>
      <c r="BF575" s="2">
        <v>0</v>
      </c>
      <c r="BG575" s="2" t="s">
        <v>1660</v>
      </c>
      <c r="BH575" s="2">
        <v>0</v>
      </c>
      <c r="BI575" s="2" t="s">
        <v>32</v>
      </c>
      <c r="BJ575" s="2" t="s">
        <v>32</v>
      </c>
      <c r="BK575" s="2" t="s">
        <v>1660</v>
      </c>
      <c r="BL575" s="2">
        <v>0</v>
      </c>
      <c r="BM575" s="2" t="s">
        <v>32</v>
      </c>
      <c r="BN575" s="2" t="s">
        <v>32</v>
      </c>
      <c r="BO575" s="2" t="s">
        <v>1660</v>
      </c>
      <c r="BP575" s="2">
        <v>0</v>
      </c>
      <c r="BQ575" s="2" t="s">
        <v>1660</v>
      </c>
      <c r="BR575" s="2">
        <v>0</v>
      </c>
      <c r="BS575" s="2" t="s">
        <v>1658</v>
      </c>
      <c r="BT575" s="2">
        <v>44</v>
      </c>
      <c r="BU575" s="2">
        <v>165</v>
      </c>
      <c r="BV575" s="2" t="s">
        <v>1660</v>
      </c>
      <c r="BW575" s="2"/>
      <c r="BX575" s="2"/>
      <c r="BY575" s="2" t="s">
        <v>1807</v>
      </c>
      <c r="BZ575" s="2" t="b">
        <f>OR( (Dashboard[[#This Row],[ref_as_hh]]&gt;=1),(Dashboard[[#This Row],[ret_as_hh]] &gt;=1), (Dashboard[[#This Row],[idp_as_hh]]&gt;=1))</f>
        <v>1</v>
      </c>
      <c r="CA575" s="2">
        <f>Dashboard[[#This Row],[ret_hi_hh]]</f>
        <v>115</v>
      </c>
      <c r="CB575" s="2">
        <f>Dashboard[[#This Row],[idp_fa_hh]]+Dashboard[[#This Row],[ref_fa_hh]]+Dashboard[[#This Row],[ret_fa_hh]]</f>
        <v>67</v>
      </c>
      <c r="CC575" s="2">
        <f>Dashboard[[#This Row],[idp_loc_hh]]+Dashboard[[#This Row],[ref_loc_hh]]+Dashboard[[#This Row],[ret_loc_hh]]</f>
        <v>87</v>
      </c>
      <c r="CD575" s="2">
        <f>Dashboard[[#This Row],[idp_cc_hh]]+Dashboard[[#This Row],[ref_cc_hh]]+Dashboard[[#This Row],[ret_cc_hh]]</f>
        <v>0</v>
      </c>
      <c r="CE575" s="2">
        <f>Dashboard[[#This Row],[idp_as_hh]]+Dashboard[[#This Row],[ref_as_hh]]+Dashboard[[#This Row],[ret_as_hh]]</f>
        <v>807</v>
      </c>
      <c r="CF575" s="2">
        <f>Dashboard[[#This Row],[idp_al_hh]]+Dashboard[[#This Row],[ref_al_hh]]+Dashboard[[#This Row],[ret_al_hh]]</f>
        <v>0</v>
      </c>
    </row>
    <row r="576" spans="1:84" hidden="1" x14ac:dyDescent="0.25">
      <c r="A576" s="27">
        <v>745</v>
      </c>
      <c r="B576" s="2" t="s">
        <v>22</v>
      </c>
      <c r="C576" s="2" t="s">
        <v>23</v>
      </c>
      <c r="D576" s="2" t="s">
        <v>48</v>
      </c>
      <c r="E576" s="2" t="s">
        <v>47</v>
      </c>
      <c r="F576" s="2" t="s">
        <v>232</v>
      </c>
      <c r="G576" s="2" t="s">
        <v>231</v>
      </c>
      <c r="H576" s="2" t="s">
        <v>1359</v>
      </c>
      <c r="I576" s="2" t="s">
        <v>834</v>
      </c>
      <c r="J576" s="2" t="s">
        <v>3336</v>
      </c>
      <c r="K576" s="2" t="s">
        <v>3337</v>
      </c>
      <c r="L576" s="2" t="s">
        <v>2074</v>
      </c>
      <c r="M576" s="2">
        <v>4102</v>
      </c>
      <c r="N576" s="2" t="s">
        <v>1658</v>
      </c>
      <c r="O576" s="2">
        <v>23</v>
      </c>
      <c r="P576" s="2">
        <v>182</v>
      </c>
      <c r="Q576" s="2" t="s">
        <v>1658</v>
      </c>
      <c r="R576" s="2">
        <v>15</v>
      </c>
      <c r="S576" s="2" t="s">
        <v>1658</v>
      </c>
      <c r="T576" s="2">
        <v>8</v>
      </c>
      <c r="U576" s="2" t="s">
        <v>1661</v>
      </c>
      <c r="V576" s="2" t="s">
        <v>32</v>
      </c>
      <c r="W576" s="2" t="s">
        <v>1660</v>
      </c>
      <c r="X576" s="2">
        <v>0</v>
      </c>
      <c r="Y576" s="2" t="s">
        <v>32</v>
      </c>
      <c r="Z576" s="2" t="s">
        <v>32</v>
      </c>
      <c r="AA576" s="2" t="s">
        <v>1660</v>
      </c>
      <c r="AB576" s="2">
        <v>0</v>
      </c>
      <c r="AC576" s="2" t="s">
        <v>1660</v>
      </c>
      <c r="AD576" s="2">
        <v>0</v>
      </c>
      <c r="AE576" s="2" t="s">
        <v>1660</v>
      </c>
      <c r="AF576" s="2">
        <v>0</v>
      </c>
      <c r="AG576" s="2">
        <v>0</v>
      </c>
      <c r="AH576" s="2" t="s">
        <v>32</v>
      </c>
      <c r="AI576" s="2" t="s">
        <v>32</v>
      </c>
      <c r="AJ576" s="2" t="s">
        <v>32</v>
      </c>
      <c r="AK576" s="2" t="s">
        <v>32</v>
      </c>
      <c r="AL576" s="2" t="s">
        <v>32</v>
      </c>
      <c r="AM576" s="2">
        <v>0</v>
      </c>
      <c r="AN576" s="2" t="s">
        <v>32</v>
      </c>
      <c r="AO576" s="2">
        <v>0</v>
      </c>
      <c r="AP576" s="2" t="s">
        <v>32</v>
      </c>
      <c r="AQ576" s="2" t="s">
        <v>32</v>
      </c>
      <c r="AR576" s="2" t="s">
        <v>32</v>
      </c>
      <c r="AS576" s="2">
        <v>0</v>
      </c>
      <c r="AT576" s="2" t="s">
        <v>32</v>
      </c>
      <c r="AU576" s="2" t="s">
        <v>32</v>
      </c>
      <c r="AV576" s="2" t="s">
        <v>32</v>
      </c>
      <c r="AW576" s="2">
        <v>0</v>
      </c>
      <c r="AX576" s="2" t="s">
        <v>32</v>
      </c>
      <c r="AY576" s="2">
        <v>0</v>
      </c>
      <c r="AZ576" s="2" t="s">
        <v>1658</v>
      </c>
      <c r="BA576" s="2">
        <v>35</v>
      </c>
      <c r="BB576" s="2">
        <v>212</v>
      </c>
      <c r="BC576" s="2" t="s">
        <v>1658</v>
      </c>
      <c r="BD576" s="2">
        <v>35</v>
      </c>
      <c r="BE576" s="2" t="s">
        <v>1660</v>
      </c>
      <c r="BF576" s="2">
        <v>0</v>
      </c>
      <c r="BG576" s="2" t="s">
        <v>1660</v>
      </c>
      <c r="BH576" s="2">
        <v>0</v>
      </c>
      <c r="BI576" s="2" t="s">
        <v>32</v>
      </c>
      <c r="BJ576" s="2" t="s">
        <v>32</v>
      </c>
      <c r="BK576" s="2" t="s">
        <v>1660</v>
      </c>
      <c r="BL576" s="2">
        <v>0</v>
      </c>
      <c r="BM576" s="2" t="s">
        <v>32</v>
      </c>
      <c r="BN576" s="2" t="s">
        <v>32</v>
      </c>
      <c r="BO576" s="2" t="s">
        <v>1660</v>
      </c>
      <c r="BP576" s="2">
        <v>0</v>
      </c>
      <c r="BQ576" s="2" t="s">
        <v>1660</v>
      </c>
      <c r="BR576" s="2">
        <v>0</v>
      </c>
      <c r="BS576" s="2" t="s">
        <v>1658</v>
      </c>
      <c r="BT576" s="2">
        <v>13</v>
      </c>
      <c r="BU576" s="2">
        <v>114</v>
      </c>
      <c r="BV576" s="2" t="s">
        <v>1660</v>
      </c>
      <c r="BW576" s="2"/>
      <c r="BX576" s="2"/>
      <c r="BY576" s="2" t="s">
        <v>1807</v>
      </c>
      <c r="BZ576" s="2" t="b">
        <f>OR( (Dashboard[[#This Row],[ref_as_hh]]&gt;=1),(Dashboard[[#This Row],[ret_as_hh]] &gt;=1), (Dashboard[[#This Row],[idp_as_hh]]&gt;=1))</f>
        <v>0</v>
      </c>
      <c r="CA576" s="2">
        <f>Dashboard[[#This Row],[ret_hi_hh]]</f>
        <v>35</v>
      </c>
      <c r="CB576" s="2">
        <f>Dashboard[[#This Row],[idp_fa_hh]]+Dashboard[[#This Row],[ref_fa_hh]]+Dashboard[[#This Row],[ret_fa_hh]]</f>
        <v>15</v>
      </c>
      <c r="CC576" s="2">
        <f>Dashboard[[#This Row],[idp_loc_hh]]+Dashboard[[#This Row],[ref_loc_hh]]+Dashboard[[#This Row],[ret_loc_hh]]</f>
        <v>8</v>
      </c>
      <c r="CD576" s="2">
        <f>Dashboard[[#This Row],[idp_cc_hh]]+Dashboard[[#This Row],[ref_cc_hh]]+Dashboard[[#This Row],[ret_cc_hh]]</f>
        <v>0</v>
      </c>
      <c r="CE576" s="2">
        <f>Dashboard[[#This Row],[idp_as_hh]]+Dashboard[[#This Row],[ref_as_hh]]+Dashboard[[#This Row],[ret_as_hh]]</f>
        <v>0</v>
      </c>
      <c r="CF576" s="2">
        <f>Dashboard[[#This Row],[idp_al_hh]]+Dashboard[[#This Row],[ref_al_hh]]+Dashboard[[#This Row],[ret_al_hh]]</f>
        <v>0</v>
      </c>
    </row>
    <row r="577" spans="1:84" hidden="1" x14ac:dyDescent="0.25">
      <c r="A577" s="27">
        <v>747</v>
      </c>
      <c r="B577" s="2" t="s">
        <v>22</v>
      </c>
      <c r="C577" s="2" t="s">
        <v>23</v>
      </c>
      <c r="D577" s="2" t="s">
        <v>48</v>
      </c>
      <c r="E577" s="2" t="s">
        <v>47</v>
      </c>
      <c r="F577" s="2" t="s">
        <v>232</v>
      </c>
      <c r="G577" s="2" t="s">
        <v>231</v>
      </c>
      <c r="H577" s="2" t="s">
        <v>2017</v>
      </c>
      <c r="I577" s="2" t="s">
        <v>2016</v>
      </c>
      <c r="J577" s="2" t="s">
        <v>3322</v>
      </c>
      <c r="K577" s="2" t="s">
        <v>3323</v>
      </c>
      <c r="L577" s="2" t="s">
        <v>2074</v>
      </c>
      <c r="M577" s="2">
        <v>750</v>
      </c>
      <c r="N577" s="2" t="s">
        <v>1660</v>
      </c>
      <c r="O577" s="2">
        <v>0</v>
      </c>
      <c r="P577" s="2">
        <v>0</v>
      </c>
      <c r="Q577" s="2" t="s">
        <v>32</v>
      </c>
      <c r="R577" s="2">
        <v>0</v>
      </c>
      <c r="S577" s="2" t="s">
        <v>32</v>
      </c>
      <c r="T577" s="2">
        <v>0</v>
      </c>
      <c r="U577" s="2" t="s">
        <v>32</v>
      </c>
      <c r="V577" s="2" t="s">
        <v>32</v>
      </c>
      <c r="W577" s="2" t="s">
        <v>32</v>
      </c>
      <c r="X577" s="2">
        <v>0</v>
      </c>
      <c r="Y577" s="2" t="s">
        <v>32</v>
      </c>
      <c r="Z577" s="2" t="s">
        <v>32</v>
      </c>
      <c r="AA577" s="2" t="s">
        <v>32</v>
      </c>
      <c r="AB577" s="2">
        <v>0</v>
      </c>
      <c r="AC577" s="2" t="s">
        <v>32</v>
      </c>
      <c r="AD577" s="2">
        <v>0</v>
      </c>
      <c r="AE577" s="2" t="s">
        <v>1660</v>
      </c>
      <c r="AF577" s="2">
        <v>0</v>
      </c>
      <c r="AG577" s="2">
        <v>0</v>
      </c>
      <c r="AH577" s="2" t="s">
        <v>32</v>
      </c>
      <c r="AI577" s="2" t="s">
        <v>32</v>
      </c>
      <c r="AJ577" s="2" t="s">
        <v>32</v>
      </c>
      <c r="AK577" s="2" t="s">
        <v>32</v>
      </c>
      <c r="AL577" s="2" t="s">
        <v>32</v>
      </c>
      <c r="AM577" s="2">
        <v>0</v>
      </c>
      <c r="AN577" s="2" t="s">
        <v>32</v>
      </c>
      <c r="AO577" s="2">
        <v>0</v>
      </c>
      <c r="AP577" s="2" t="s">
        <v>32</v>
      </c>
      <c r="AQ577" s="2" t="s">
        <v>32</v>
      </c>
      <c r="AR577" s="2" t="s">
        <v>32</v>
      </c>
      <c r="AS577" s="2">
        <v>0</v>
      </c>
      <c r="AT577" s="2" t="s">
        <v>32</v>
      </c>
      <c r="AU577" s="2" t="s">
        <v>32</v>
      </c>
      <c r="AV577" s="2" t="s">
        <v>32</v>
      </c>
      <c r="AW577" s="2">
        <v>0</v>
      </c>
      <c r="AX577" s="2" t="s">
        <v>32</v>
      </c>
      <c r="AY577" s="2">
        <v>0</v>
      </c>
      <c r="AZ577" s="2" t="s">
        <v>1660</v>
      </c>
      <c r="BA577" s="2">
        <v>0</v>
      </c>
      <c r="BB577" s="2">
        <v>0</v>
      </c>
      <c r="BC577" s="2" t="s">
        <v>32</v>
      </c>
      <c r="BD577" s="2">
        <v>0</v>
      </c>
      <c r="BE577" s="2" t="s">
        <v>32</v>
      </c>
      <c r="BF577" s="2">
        <v>0</v>
      </c>
      <c r="BG577" s="2" t="s">
        <v>32</v>
      </c>
      <c r="BH577" s="2">
        <v>0</v>
      </c>
      <c r="BI577" s="2" t="s">
        <v>32</v>
      </c>
      <c r="BJ577" s="2" t="s">
        <v>32</v>
      </c>
      <c r="BK577" s="2" t="s">
        <v>32</v>
      </c>
      <c r="BL577" s="2">
        <v>0</v>
      </c>
      <c r="BM577" s="2" t="s">
        <v>32</v>
      </c>
      <c r="BN577" s="2" t="s">
        <v>32</v>
      </c>
      <c r="BO577" s="2" t="s">
        <v>32</v>
      </c>
      <c r="BP577" s="2">
        <v>0</v>
      </c>
      <c r="BQ577" s="2" t="s">
        <v>32</v>
      </c>
      <c r="BR577" s="2">
        <v>0</v>
      </c>
      <c r="BS577" s="2" t="s">
        <v>1658</v>
      </c>
      <c r="BT577" s="2">
        <v>192</v>
      </c>
      <c r="BU577" s="2">
        <v>749</v>
      </c>
      <c r="BV577" s="2" t="s">
        <v>1660</v>
      </c>
      <c r="BW577" s="2"/>
      <c r="BX577" s="2"/>
      <c r="BY577" s="2" t="s">
        <v>1807</v>
      </c>
      <c r="BZ577" s="2" t="b">
        <f>OR( (Dashboard[[#This Row],[ref_as_hh]]&gt;=1),(Dashboard[[#This Row],[ret_as_hh]] &gt;=1), (Dashboard[[#This Row],[idp_as_hh]]&gt;=1))</f>
        <v>0</v>
      </c>
      <c r="CA577" s="2">
        <f>Dashboard[[#This Row],[ret_hi_hh]]</f>
        <v>0</v>
      </c>
      <c r="CB577" s="2">
        <f>Dashboard[[#This Row],[idp_fa_hh]]+Dashboard[[#This Row],[ref_fa_hh]]+Dashboard[[#This Row],[ret_fa_hh]]</f>
        <v>0</v>
      </c>
      <c r="CC577" s="2">
        <f>Dashboard[[#This Row],[idp_loc_hh]]+Dashboard[[#This Row],[ref_loc_hh]]+Dashboard[[#This Row],[ret_loc_hh]]</f>
        <v>0</v>
      </c>
      <c r="CD577" s="2">
        <f>Dashboard[[#This Row],[idp_cc_hh]]+Dashboard[[#This Row],[ref_cc_hh]]+Dashboard[[#This Row],[ret_cc_hh]]</f>
        <v>0</v>
      </c>
      <c r="CE577" s="2">
        <f>Dashboard[[#This Row],[idp_as_hh]]+Dashboard[[#This Row],[ref_as_hh]]+Dashboard[[#This Row],[ret_as_hh]]</f>
        <v>0</v>
      </c>
      <c r="CF577" s="2">
        <f>Dashboard[[#This Row],[idp_al_hh]]+Dashboard[[#This Row],[ref_al_hh]]+Dashboard[[#This Row],[ret_al_hh]]</f>
        <v>0</v>
      </c>
    </row>
    <row r="578" spans="1:84" hidden="1" x14ac:dyDescent="0.25">
      <c r="A578" s="27">
        <v>641</v>
      </c>
      <c r="B578" s="2" t="s">
        <v>22</v>
      </c>
      <c r="C578" s="2" t="s">
        <v>23</v>
      </c>
      <c r="D578" s="2" t="s">
        <v>48</v>
      </c>
      <c r="E578" s="2" t="s">
        <v>47</v>
      </c>
      <c r="F578" s="2" t="s">
        <v>62</v>
      </c>
      <c r="G578" s="2" t="s">
        <v>61</v>
      </c>
      <c r="H578" s="2" t="s">
        <v>1386</v>
      </c>
      <c r="I578" s="2" t="s">
        <v>521</v>
      </c>
      <c r="J578" s="2" t="s">
        <v>3400</v>
      </c>
      <c r="K578" s="2" t="s">
        <v>3401</v>
      </c>
      <c r="L578" s="2" t="s">
        <v>2074</v>
      </c>
      <c r="M578" s="2">
        <v>1251</v>
      </c>
      <c r="N578" s="2" t="s">
        <v>1658</v>
      </c>
      <c r="O578" s="2">
        <v>50</v>
      </c>
      <c r="P578" s="2">
        <v>413</v>
      </c>
      <c r="Q578" s="2" t="s">
        <v>1658</v>
      </c>
      <c r="R578" s="2">
        <v>12</v>
      </c>
      <c r="S578" s="2" t="s">
        <v>1658</v>
      </c>
      <c r="T578" s="2">
        <v>38</v>
      </c>
      <c r="U578" s="2" t="s">
        <v>1661</v>
      </c>
      <c r="V578" s="2" t="s">
        <v>32</v>
      </c>
      <c r="W578" s="2" t="s">
        <v>1660</v>
      </c>
      <c r="X578" s="2">
        <v>0</v>
      </c>
      <c r="Y578" s="2" t="s">
        <v>32</v>
      </c>
      <c r="Z578" s="2" t="s">
        <v>32</v>
      </c>
      <c r="AA578" s="2" t="s">
        <v>1660</v>
      </c>
      <c r="AB578" s="2">
        <v>0</v>
      </c>
      <c r="AC578" s="2" t="s">
        <v>1660</v>
      </c>
      <c r="AD578" s="2">
        <v>0</v>
      </c>
      <c r="AE578" s="2" t="s">
        <v>1660</v>
      </c>
      <c r="AF578" s="2">
        <v>0</v>
      </c>
      <c r="AG578" s="2">
        <v>0</v>
      </c>
      <c r="AH578" s="2" t="s">
        <v>32</v>
      </c>
      <c r="AI578" s="2" t="s">
        <v>32</v>
      </c>
      <c r="AJ578" s="2" t="s">
        <v>32</v>
      </c>
      <c r="AK578" s="2" t="s">
        <v>32</v>
      </c>
      <c r="AL578" s="2" t="s">
        <v>32</v>
      </c>
      <c r="AM578" s="2">
        <v>0</v>
      </c>
      <c r="AN578" s="2" t="s">
        <v>32</v>
      </c>
      <c r="AO578" s="2">
        <v>0</v>
      </c>
      <c r="AP578" s="2" t="s">
        <v>32</v>
      </c>
      <c r="AQ578" s="2" t="s">
        <v>32</v>
      </c>
      <c r="AR578" s="2" t="s">
        <v>32</v>
      </c>
      <c r="AS578" s="2">
        <v>0</v>
      </c>
      <c r="AT578" s="2" t="s">
        <v>32</v>
      </c>
      <c r="AU578" s="2" t="s">
        <v>32</v>
      </c>
      <c r="AV578" s="2" t="s">
        <v>32</v>
      </c>
      <c r="AW578" s="2">
        <v>0</v>
      </c>
      <c r="AX578" s="2" t="s">
        <v>32</v>
      </c>
      <c r="AY578" s="2">
        <v>0</v>
      </c>
      <c r="AZ578" s="2" t="s">
        <v>1660</v>
      </c>
      <c r="BA578" s="2">
        <v>0</v>
      </c>
      <c r="BB578" s="2">
        <v>0</v>
      </c>
      <c r="BC578" s="2" t="s">
        <v>32</v>
      </c>
      <c r="BD578" s="2">
        <v>0</v>
      </c>
      <c r="BE578" s="2" t="s">
        <v>32</v>
      </c>
      <c r="BF578" s="2">
        <v>0</v>
      </c>
      <c r="BG578" s="2" t="s">
        <v>32</v>
      </c>
      <c r="BH578" s="2">
        <v>0</v>
      </c>
      <c r="BI578" s="2" t="s">
        <v>32</v>
      </c>
      <c r="BJ578" s="2" t="s">
        <v>32</v>
      </c>
      <c r="BK578" s="2" t="s">
        <v>32</v>
      </c>
      <c r="BL578" s="2">
        <v>0</v>
      </c>
      <c r="BM578" s="2" t="s">
        <v>32</v>
      </c>
      <c r="BN578" s="2" t="s">
        <v>32</v>
      </c>
      <c r="BO578" s="2" t="s">
        <v>32</v>
      </c>
      <c r="BP578" s="2">
        <v>0</v>
      </c>
      <c r="BQ578" s="2" t="s">
        <v>32</v>
      </c>
      <c r="BR578" s="2">
        <v>0</v>
      </c>
      <c r="BS578" s="2" t="s">
        <v>1660</v>
      </c>
      <c r="BT578" s="2">
        <v>0</v>
      </c>
      <c r="BU578" s="2">
        <v>0</v>
      </c>
      <c r="BV578" s="2" t="s">
        <v>1660</v>
      </c>
      <c r="BW578" s="2"/>
      <c r="BX578" s="2"/>
      <c r="BY578" s="2" t="s">
        <v>1807</v>
      </c>
      <c r="BZ578" s="2" t="b">
        <f>OR( (Dashboard[[#This Row],[ref_as_hh]]&gt;=1),(Dashboard[[#This Row],[ret_as_hh]] &gt;=1), (Dashboard[[#This Row],[idp_as_hh]]&gt;=1))</f>
        <v>0</v>
      </c>
      <c r="CA578" s="2">
        <f>Dashboard[[#This Row],[ret_hi_hh]]</f>
        <v>0</v>
      </c>
      <c r="CB578" s="2">
        <f>Dashboard[[#This Row],[idp_fa_hh]]+Dashboard[[#This Row],[ref_fa_hh]]+Dashboard[[#This Row],[ret_fa_hh]]</f>
        <v>12</v>
      </c>
      <c r="CC578" s="2">
        <f>Dashboard[[#This Row],[idp_loc_hh]]+Dashboard[[#This Row],[ref_loc_hh]]+Dashboard[[#This Row],[ret_loc_hh]]</f>
        <v>38</v>
      </c>
      <c r="CD578" s="2">
        <f>Dashboard[[#This Row],[idp_cc_hh]]+Dashboard[[#This Row],[ref_cc_hh]]+Dashboard[[#This Row],[ret_cc_hh]]</f>
        <v>0</v>
      </c>
      <c r="CE578" s="2">
        <f>Dashboard[[#This Row],[idp_as_hh]]+Dashboard[[#This Row],[ref_as_hh]]+Dashboard[[#This Row],[ret_as_hh]]</f>
        <v>0</v>
      </c>
      <c r="CF578" s="2">
        <f>Dashboard[[#This Row],[idp_al_hh]]+Dashboard[[#This Row],[ref_al_hh]]+Dashboard[[#This Row],[ret_al_hh]]</f>
        <v>0</v>
      </c>
    </row>
    <row r="579" spans="1:84" hidden="1" x14ac:dyDescent="0.25">
      <c r="A579" s="27">
        <v>642</v>
      </c>
      <c r="B579" s="2" t="s">
        <v>22</v>
      </c>
      <c r="C579" s="2" t="s">
        <v>23</v>
      </c>
      <c r="D579" s="2" t="s">
        <v>48</v>
      </c>
      <c r="E579" s="2" t="s">
        <v>47</v>
      </c>
      <c r="F579" s="2" t="s">
        <v>62</v>
      </c>
      <c r="G579" s="2" t="s">
        <v>61</v>
      </c>
      <c r="H579" s="2" t="s">
        <v>1381</v>
      </c>
      <c r="I579" s="2" t="s">
        <v>516</v>
      </c>
      <c r="J579" s="2" t="s">
        <v>3390</v>
      </c>
      <c r="K579" s="2" t="s">
        <v>3391</v>
      </c>
      <c r="L579" s="2" t="s">
        <v>2074</v>
      </c>
      <c r="M579" s="2">
        <v>1552</v>
      </c>
      <c r="N579" s="2" t="s">
        <v>1658</v>
      </c>
      <c r="O579" s="2">
        <v>188</v>
      </c>
      <c r="P579" s="2">
        <v>400</v>
      </c>
      <c r="Q579" s="2" t="s">
        <v>1658</v>
      </c>
      <c r="R579" s="2">
        <v>28</v>
      </c>
      <c r="S579" s="2" t="s">
        <v>1658</v>
      </c>
      <c r="T579" s="2">
        <v>160</v>
      </c>
      <c r="U579" s="2" t="s">
        <v>1661</v>
      </c>
      <c r="V579" s="2" t="s">
        <v>32</v>
      </c>
      <c r="W579" s="2" t="s">
        <v>1660</v>
      </c>
      <c r="X579" s="2">
        <v>0</v>
      </c>
      <c r="Y579" s="2" t="s">
        <v>32</v>
      </c>
      <c r="Z579" s="2" t="s">
        <v>32</v>
      </c>
      <c r="AA579" s="2" t="s">
        <v>1660</v>
      </c>
      <c r="AB579" s="2">
        <v>0</v>
      </c>
      <c r="AC579" s="2" t="s">
        <v>1660</v>
      </c>
      <c r="AD579" s="2">
        <v>0</v>
      </c>
      <c r="AE579" s="2" t="s">
        <v>1660</v>
      </c>
      <c r="AF579" s="2">
        <v>0</v>
      </c>
      <c r="AG579" s="2">
        <v>0</v>
      </c>
      <c r="AH579" s="2" t="s">
        <v>32</v>
      </c>
      <c r="AI579" s="2" t="s">
        <v>32</v>
      </c>
      <c r="AJ579" s="2" t="s">
        <v>32</v>
      </c>
      <c r="AK579" s="2" t="s">
        <v>32</v>
      </c>
      <c r="AL579" s="2" t="s">
        <v>32</v>
      </c>
      <c r="AM579" s="2">
        <v>0</v>
      </c>
      <c r="AN579" s="2" t="s">
        <v>32</v>
      </c>
      <c r="AO579" s="2">
        <v>0</v>
      </c>
      <c r="AP579" s="2" t="s">
        <v>32</v>
      </c>
      <c r="AQ579" s="2" t="s">
        <v>32</v>
      </c>
      <c r="AR579" s="2" t="s">
        <v>32</v>
      </c>
      <c r="AS579" s="2">
        <v>0</v>
      </c>
      <c r="AT579" s="2" t="s">
        <v>32</v>
      </c>
      <c r="AU579" s="2" t="s">
        <v>32</v>
      </c>
      <c r="AV579" s="2" t="s">
        <v>32</v>
      </c>
      <c r="AW579" s="2">
        <v>0</v>
      </c>
      <c r="AX579" s="2" t="s">
        <v>32</v>
      </c>
      <c r="AY579" s="2">
        <v>0</v>
      </c>
      <c r="AZ579" s="2" t="s">
        <v>1660</v>
      </c>
      <c r="BA579" s="2">
        <v>0</v>
      </c>
      <c r="BB579" s="2">
        <v>0</v>
      </c>
      <c r="BC579" s="2" t="s">
        <v>32</v>
      </c>
      <c r="BD579" s="2">
        <v>0</v>
      </c>
      <c r="BE579" s="2" t="s">
        <v>32</v>
      </c>
      <c r="BF579" s="2">
        <v>0</v>
      </c>
      <c r="BG579" s="2" t="s">
        <v>32</v>
      </c>
      <c r="BH579" s="2">
        <v>0</v>
      </c>
      <c r="BI579" s="2" t="s">
        <v>32</v>
      </c>
      <c r="BJ579" s="2" t="s">
        <v>32</v>
      </c>
      <c r="BK579" s="2" t="s">
        <v>32</v>
      </c>
      <c r="BL579" s="2">
        <v>0</v>
      </c>
      <c r="BM579" s="2" t="s">
        <v>32</v>
      </c>
      <c r="BN579" s="2" t="s">
        <v>32</v>
      </c>
      <c r="BO579" s="2" t="s">
        <v>32</v>
      </c>
      <c r="BP579" s="2">
        <v>0</v>
      </c>
      <c r="BQ579" s="2" t="s">
        <v>32</v>
      </c>
      <c r="BR579" s="2">
        <v>0</v>
      </c>
      <c r="BS579" s="2" t="s">
        <v>1660</v>
      </c>
      <c r="BT579" s="2">
        <v>0</v>
      </c>
      <c r="BU579" s="2">
        <v>0</v>
      </c>
      <c r="BV579" s="2" t="s">
        <v>1660</v>
      </c>
      <c r="BW579" s="2"/>
      <c r="BX579" s="2"/>
      <c r="BY579" s="2" t="s">
        <v>1807</v>
      </c>
      <c r="BZ579" s="2" t="b">
        <f>OR( (Dashboard[[#This Row],[ref_as_hh]]&gt;=1),(Dashboard[[#This Row],[ret_as_hh]] &gt;=1), (Dashboard[[#This Row],[idp_as_hh]]&gt;=1))</f>
        <v>0</v>
      </c>
      <c r="CA579" s="2">
        <f>Dashboard[[#This Row],[ret_hi_hh]]</f>
        <v>0</v>
      </c>
      <c r="CB579" s="2">
        <f>Dashboard[[#This Row],[idp_fa_hh]]+Dashboard[[#This Row],[ref_fa_hh]]+Dashboard[[#This Row],[ret_fa_hh]]</f>
        <v>28</v>
      </c>
      <c r="CC579" s="2">
        <f>Dashboard[[#This Row],[idp_loc_hh]]+Dashboard[[#This Row],[ref_loc_hh]]+Dashboard[[#This Row],[ret_loc_hh]]</f>
        <v>160</v>
      </c>
      <c r="CD579" s="2">
        <f>Dashboard[[#This Row],[idp_cc_hh]]+Dashboard[[#This Row],[ref_cc_hh]]+Dashboard[[#This Row],[ret_cc_hh]]</f>
        <v>0</v>
      </c>
      <c r="CE579" s="2">
        <f>Dashboard[[#This Row],[idp_as_hh]]+Dashboard[[#This Row],[ref_as_hh]]+Dashboard[[#This Row],[ret_as_hh]]</f>
        <v>0</v>
      </c>
      <c r="CF579" s="2">
        <f>Dashboard[[#This Row],[idp_al_hh]]+Dashboard[[#This Row],[ref_al_hh]]+Dashboard[[#This Row],[ret_al_hh]]</f>
        <v>0</v>
      </c>
    </row>
    <row r="580" spans="1:84" hidden="1" x14ac:dyDescent="0.25">
      <c r="A580" s="27">
        <v>644</v>
      </c>
      <c r="B580" s="2" t="s">
        <v>22</v>
      </c>
      <c r="C580" s="2" t="s">
        <v>23</v>
      </c>
      <c r="D580" s="2" t="s">
        <v>48</v>
      </c>
      <c r="E580" s="2" t="s">
        <v>47</v>
      </c>
      <c r="F580" s="2" t="s">
        <v>62</v>
      </c>
      <c r="G580" s="2" t="s">
        <v>61</v>
      </c>
      <c r="H580" s="2" t="s">
        <v>1369</v>
      </c>
      <c r="I580" s="2" t="s">
        <v>507</v>
      </c>
      <c r="J580" s="2" t="s">
        <v>3364</v>
      </c>
      <c r="K580" s="2" t="s">
        <v>3365</v>
      </c>
      <c r="L580" s="2" t="s">
        <v>3713</v>
      </c>
      <c r="M580" s="2">
        <v>1971</v>
      </c>
      <c r="N580" s="2" t="s">
        <v>1658</v>
      </c>
      <c r="O580" s="2">
        <v>119</v>
      </c>
      <c r="P580" s="2">
        <v>555</v>
      </c>
      <c r="Q580" s="2" t="s">
        <v>1658</v>
      </c>
      <c r="R580" s="2">
        <v>5</v>
      </c>
      <c r="S580" s="2" t="s">
        <v>1658</v>
      </c>
      <c r="T580" s="2">
        <v>114</v>
      </c>
      <c r="U580" s="2" t="s">
        <v>1661</v>
      </c>
      <c r="V580" s="2" t="s">
        <v>32</v>
      </c>
      <c r="W580" s="2" t="s">
        <v>1660</v>
      </c>
      <c r="X580" s="2">
        <v>0</v>
      </c>
      <c r="Y580" s="2" t="s">
        <v>32</v>
      </c>
      <c r="Z580" s="2" t="s">
        <v>32</v>
      </c>
      <c r="AA580" s="2" t="s">
        <v>1660</v>
      </c>
      <c r="AB580" s="2">
        <v>0</v>
      </c>
      <c r="AC580" s="2" t="s">
        <v>1660</v>
      </c>
      <c r="AD580" s="2">
        <v>0</v>
      </c>
      <c r="AE580" s="2" t="s">
        <v>1660</v>
      </c>
      <c r="AF580" s="2">
        <v>0</v>
      </c>
      <c r="AG580" s="2">
        <v>0</v>
      </c>
      <c r="AH580" s="2" t="s">
        <v>32</v>
      </c>
      <c r="AI580" s="2" t="s">
        <v>32</v>
      </c>
      <c r="AJ580" s="2" t="s">
        <v>32</v>
      </c>
      <c r="AK580" s="2" t="s">
        <v>32</v>
      </c>
      <c r="AL580" s="2" t="s">
        <v>32</v>
      </c>
      <c r="AM580" s="2">
        <v>0</v>
      </c>
      <c r="AN580" s="2" t="s">
        <v>32</v>
      </c>
      <c r="AO580" s="2">
        <v>0</v>
      </c>
      <c r="AP580" s="2" t="s">
        <v>32</v>
      </c>
      <c r="AQ580" s="2" t="s">
        <v>32</v>
      </c>
      <c r="AR580" s="2" t="s">
        <v>32</v>
      </c>
      <c r="AS580" s="2">
        <v>0</v>
      </c>
      <c r="AT580" s="2" t="s">
        <v>32</v>
      </c>
      <c r="AU580" s="2" t="s">
        <v>32</v>
      </c>
      <c r="AV580" s="2" t="s">
        <v>32</v>
      </c>
      <c r="AW580" s="2">
        <v>0</v>
      </c>
      <c r="AX580" s="2" t="s">
        <v>32</v>
      </c>
      <c r="AY580" s="2">
        <v>0</v>
      </c>
      <c r="AZ580" s="2" t="s">
        <v>1660</v>
      </c>
      <c r="BA580" s="2">
        <v>0</v>
      </c>
      <c r="BB580" s="2">
        <v>0</v>
      </c>
      <c r="BC580" s="2" t="s">
        <v>32</v>
      </c>
      <c r="BD580" s="2">
        <v>0</v>
      </c>
      <c r="BE580" s="2" t="s">
        <v>32</v>
      </c>
      <c r="BF580" s="2">
        <v>0</v>
      </c>
      <c r="BG580" s="2" t="s">
        <v>32</v>
      </c>
      <c r="BH580" s="2">
        <v>0</v>
      </c>
      <c r="BI580" s="2" t="s">
        <v>32</v>
      </c>
      <c r="BJ580" s="2" t="s">
        <v>32</v>
      </c>
      <c r="BK580" s="2" t="s">
        <v>32</v>
      </c>
      <c r="BL580" s="2">
        <v>0</v>
      </c>
      <c r="BM580" s="2" t="s">
        <v>32</v>
      </c>
      <c r="BN580" s="2" t="s">
        <v>32</v>
      </c>
      <c r="BO580" s="2" t="s">
        <v>32</v>
      </c>
      <c r="BP580" s="2">
        <v>0</v>
      </c>
      <c r="BQ580" s="2" t="s">
        <v>32</v>
      </c>
      <c r="BR580" s="2">
        <v>0</v>
      </c>
      <c r="BS580" s="2" t="s">
        <v>1660</v>
      </c>
      <c r="BT580" s="2">
        <v>0</v>
      </c>
      <c r="BU580" s="2">
        <v>0</v>
      </c>
      <c r="BV580" s="2" t="s">
        <v>1660</v>
      </c>
      <c r="BW580" s="2"/>
      <c r="BX580" s="2"/>
      <c r="BY580" s="2" t="s">
        <v>1807</v>
      </c>
      <c r="BZ580" s="2" t="b">
        <f>OR( (Dashboard[[#This Row],[ref_as_hh]]&gt;=1),(Dashboard[[#This Row],[ret_as_hh]] &gt;=1), (Dashboard[[#This Row],[idp_as_hh]]&gt;=1))</f>
        <v>0</v>
      </c>
      <c r="CA580" s="2">
        <f>Dashboard[[#This Row],[ret_hi_hh]]</f>
        <v>0</v>
      </c>
      <c r="CB580" s="2">
        <f>Dashboard[[#This Row],[idp_fa_hh]]+Dashboard[[#This Row],[ref_fa_hh]]+Dashboard[[#This Row],[ret_fa_hh]]</f>
        <v>5</v>
      </c>
      <c r="CC580" s="2">
        <f>Dashboard[[#This Row],[idp_loc_hh]]+Dashboard[[#This Row],[ref_loc_hh]]+Dashboard[[#This Row],[ret_loc_hh]]</f>
        <v>114</v>
      </c>
      <c r="CD580" s="2">
        <f>Dashboard[[#This Row],[idp_cc_hh]]+Dashboard[[#This Row],[ref_cc_hh]]+Dashboard[[#This Row],[ret_cc_hh]]</f>
        <v>0</v>
      </c>
      <c r="CE580" s="2">
        <f>Dashboard[[#This Row],[idp_as_hh]]+Dashboard[[#This Row],[ref_as_hh]]+Dashboard[[#This Row],[ret_as_hh]]</f>
        <v>0</v>
      </c>
      <c r="CF580" s="2">
        <f>Dashboard[[#This Row],[idp_al_hh]]+Dashboard[[#This Row],[ref_al_hh]]+Dashboard[[#This Row],[ret_al_hh]]</f>
        <v>0</v>
      </c>
    </row>
    <row r="581" spans="1:84" hidden="1" x14ac:dyDescent="0.25">
      <c r="A581" s="27">
        <v>646</v>
      </c>
      <c r="B581" s="2" t="s">
        <v>22</v>
      </c>
      <c r="C581" s="2" t="s">
        <v>23</v>
      </c>
      <c r="D581" s="2" t="s">
        <v>48</v>
      </c>
      <c r="E581" s="2" t="s">
        <v>47</v>
      </c>
      <c r="F581" s="2" t="s">
        <v>62</v>
      </c>
      <c r="G581" s="2" t="s">
        <v>61</v>
      </c>
      <c r="H581" s="2" t="s">
        <v>1370</v>
      </c>
      <c r="I581" s="2" t="s">
        <v>508</v>
      </c>
      <c r="J581" s="2" t="s">
        <v>3366</v>
      </c>
      <c r="K581" s="2" t="s">
        <v>3367</v>
      </c>
      <c r="L581" s="2" t="s">
        <v>2074</v>
      </c>
      <c r="M581" s="2">
        <v>1930</v>
      </c>
      <c r="N581" s="2" t="s">
        <v>1658</v>
      </c>
      <c r="O581" s="2">
        <v>129</v>
      </c>
      <c r="P581" s="2">
        <v>530</v>
      </c>
      <c r="Q581" s="2" t="s">
        <v>1658</v>
      </c>
      <c r="R581" s="2">
        <v>12</v>
      </c>
      <c r="S581" s="2" t="s">
        <v>1658</v>
      </c>
      <c r="T581" s="2">
        <v>117</v>
      </c>
      <c r="U581" s="2" t="s">
        <v>1661</v>
      </c>
      <c r="V581" s="2" t="s">
        <v>32</v>
      </c>
      <c r="W581" s="2" t="s">
        <v>1660</v>
      </c>
      <c r="X581" s="2">
        <v>0</v>
      </c>
      <c r="Y581" s="2" t="s">
        <v>32</v>
      </c>
      <c r="Z581" s="2" t="s">
        <v>32</v>
      </c>
      <c r="AA581" s="2" t="s">
        <v>1660</v>
      </c>
      <c r="AB581" s="2">
        <v>0</v>
      </c>
      <c r="AC581" s="2" t="s">
        <v>1660</v>
      </c>
      <c r="AD581" s="2">
        <v>0</v>
      </c>
      <c r="AE581" s="2" t="s">
        <v>1660</v>
      </c>
      <c r="AF581" s="2">
        <v>0</v>
      </c>
      <c r="AG581" s="2">
        <v>0</v>
      </c>
      <c r="AH581" s="2" t="s">
        <v>32</v>
      </c>
      <c r="AI581" s="2" t="s">
        <v>32</v>
      </c>
      <c r="AJ581" s="2" t="s">
        <v>32</v>
      </c>
      <c r="AK581" s="2" t="s">
        <v>32</v>
      </c>
      <c r="AL581" s="2" t="s">
        <v>32</v>
      </c>
      <c r="AM581" s="2">
        <v>0</v>
      </c>
      <c r="AN581" s="2" t="s">
        <v>32</v>
      </c>
      <c r="AO581" s="2">
        <v>0</v>
      </c>
      <c r="AP581" s="2" t="s">
        <v>32</v>
      </c>
      <c r="AQ581" s="2" t="s">
        <v>32</v>
      </c>
      <c r="AR581" s="2" t="s">
        <v>32</v>
      </c>
      <c r="AS581" s="2">
        <v>0</v>
      </c>
      <c r="AT581" s="2" t="s">
        <v>32</v>
      </c>
      <c r="AU581" s="2" t="s">
        <v>32</v>
      </c>
      <c r="AV581" s="2" t="s">
        <v>32</v>
      </c>
      <c r="AW581" s="2">
        <v>0</v>
      </c>
      <c r="AX581" s="2" t="s">
        <v>32</v>
      </c>
      <c r="AY581" s="2">
        <v>0</v>
      </c>
      <c r="AZ581" s="2" t="s">
        <v>1660</v>
      </c>
      <c r="BA581" s="2">
        <v>0</v>
      </c>
      <c r="BB581" s="2">
        <v>0</v>
      </c>
      <c r="BC581" s="2" t="s">
        <v>32</v>
      </c>
      <c r="BD581" s="2">
        <v>0</v>
      </c>
      <c r="BE581" s="2" t="s">
        <v>32</v>
      </c>
      <c r="BF581" s="2">
        <v>0</v>
      </c>
      <c r="BG581" s="2" t="s">
        <v>32</v>
      </c>
      <c r="BH581" s="2">
        <v>0</v>
      </c>
      <c r="BI581" s="2" t="s">
        <v>32</v>
      </c>
      <c r="BJ581" s="2" t="s">
        <v>32</v>
      </c>
      <c r="BK581" s="2" t="s">
        <v>32</v>
      </c>
      <c r="BL581" s="2">
        <v>0</v>
      </c>
      <c r="BM581" s="2" t="s">
        <v>32</v>
      </c>
      <c r="BN581" s="2" t="s">
        <v>32</v>
      </c>
      <c r="BO581" s="2" t="s">
        <v>32</v>
      </c>
      <c r="BP581" s="2">
        <v>0</v>
      </c>
      <c r="BQ581" s="2" t="s">
        <v>32</v>
      </c>
      <c r="BR581" s="2">
        <v>0</v>
      </c>
      <c r="BS581" s="2" t="s">
        <v>1660</v>
      </c>
      <c r="BT581" s="2">
        <v>0</v>
      </c>
      <c r="BU581" s="2">
        <v>0</v>
      </c>
      <c r="BV581" s="2" t="s">
        <v>1660</v>
      </c>
      <c r="BW581" s="2"/>
      <c r="BX581" s="2"/>
      <c r="BY581" s="2" t="s">
        <v>1807</v>
      </c>
      <c r="BZ581" s="2" t="b">
        <f>OR( (Dashboard[[#This Row],[ref_as_hh]]&gt;=1),(Dashboard[[#This Row],[ret_as_hh]] &gt;=1), (Dashboard[[#This Row],[idp_as_hh]]&gt;=1))</f>
        <v>0</v>
      </c>
      <c r="CA581" s="2">
        <f>Dashboard[[#This Row],[ret_hi_hh]]</f>
        <v>0</v>
      </c>
      <c r="CB581" s="2">
        <f>Dashboard[[#This Row],[idp_fa_hh]]+Dashboard[[#This Row],[ref_fa_hh]]+Dashboard[[#This Row],[ret_fa_hh]]</f>
        <v>12</v>
      </c>
      <c r="CC581" s="2">
        <f>Dashboard[[#This Row],[idp_loc_hh]]+Dashboard[[#This Row],[ref_loc_hh]]+Dashboard[[#This Row],[ret_loc_hh]]</f>
        <v>117</v>
      </c>
      <c r="CD581" s="2">
        <f>Dashboard[[#This Row],[idp_cc_hh]]+Dashboard[[#This Row],[ref_cc_hh]]+Dashboard[[#This Row],[ret_cc_hh]]</f>
        <v>0</v>
      </c>
      <c r="CE581" s="2">
        <f>Dashboard[[#This Row],[idp_as_hh]]+Dashboard[[#This Row],[ref_as_hh]]+Dashboard[[#This Row],[ret_as_hh]]</f>
        <v>0</v>
      </c>
      <c r="CF581" s="2">
        <f>Dashboard[[#This Row],[idp_al_hh]]+Dashboard[[#This Row],[ref_al_hh]]+Dashboard[[#This Row],[ret_al_hh]]</f>
        <v>0</v>
      </c>
    </row>
    <row r="582" spans="1:84" hidden="1" x14ac:dyDescent="0.25">
      <c r="A582" s="27">
        <v>647</v>
      </c>
      <c r="B582" s="2" t="s">
        <v>22</v>
      </c>
      <c r="C582" s="2" t="s">
        <v>23</v>
      </c>
      <c r="D582" s="2" t="s">
        <v>48</v>
      </c>
      <c r="E582" s="2" t="s">
        <v>47</v>
      </c>
      <c r="F582" s="2" t="s">
        <v>62</v>
      </c>
      <c r="G582" s="2" t="s">
        <v>61</v>
      </c>
      <c r="H582" s="2" t="s">
        <v>1374</v>
      </c>
      <c r="I582" s="2" t="s">
        <v>511</v>
      </c>
      <c r="J582" s="2" t="s">
        <v>3374</v>
      </c>
      <c r="K582" s="2" t="s">
        <v>3375</v>
      </c>
      <c r="L582" s="2" t="s">
        <v>3714</v>
      </c>
      <c r="M582" s="2">
        <v>2206</v>
      </c>
      <c r="N582" s="2" t="s">
        <v>1658</v>
      </c>
      <c r="O582" s="2">
        <v>100</v>
      </c>
      <c r="P582" s="2">
        <v>465</v>
      </c>
      <c r="Q582" s="2" t="s">
        <v>1658</v>
      </c>
      <c r="R582" s="2">
        <v>13</v>
      </c>
      <c r="S582" s="2" t="s">
        <v>1658</v>
      </c>
      <c r="T582" s="2">
        <v>87</v>
      </c>
      <c r="U582" s="2" t="s">
        <v>1661</v>
      </c>
      <c r="V582" s="2" t="s">
        <v>32</v>
      </c>
      <c r="W582" s="2" t="s">
        <v>1660</v>
      </c>
      <c r="X582" s="2">
        <v>0</v>
      </c>
      <c r="Y582" s="2" t="s">
        <v>32</v>
      </c>
      <c r="Z582" s="2" t="s">
        <v>32</v>
      </c>
      <c r="AA582" s="2" t="s">
        <v>1660</v>
      </c>
      <c r="AB582" s="2">
        <v>0</v>
      </c>
      <c r="AC582" s="2" t="s">
        <v>1660</v>
      </c>
      <c r="AD582" s="2">
        <v>0</v>
      </c>
      <c r="AE582" s="2" t="s">
        <v>1660</v>
      </c>
      <c r="AF582" s="2">
        <v>0</v>
      </c>
      <c r="AG582" s="2">
        <v>0</v>
      </c>
      <c r="AH582" s="2" t="s">
        <v>32</v>
      </c>
      <c r="AI582" s="2" t="s">
        <v>32</v>
      </c>
      <c r="AJ582" s="2" t="s">
        <v>32</v>
      </c>
      <c r="AK582" s="2" t="s">
        <v>32</v>
      </c>
      <c r="AL582" s="2" t="s">
        <v>32</v>
      </c>
      <c r="AM582" s="2">
        <v>0</v>
      </c>
      <c r="AN582" s="2" t="s">
        <v>32</v>
      </c>
      <c r="AO582" s="2">
        <v>0</v>
      </c>
      <c r="AP582" s="2" t="s">
        <v>32</v>
      </c>
      <c r="AQ582" s="2" t="s">
        <v>32</v>
      </c>
      <c r="AR582" s="2" t="s">
        <v>32</v>
      </c>
      <c r="AS582" s="2">
        <v>0</v>
      </c>
      <c r="AT582" s="2" t="s">
        <v>32</v>
      </c>
      <c r="AU582" s="2" t="s">
        <v>32</v>
      </c>
      <c r="AV582" s="2" t="s">
        <v>32</v>
      </c>
      <c r="AW582" s="2">
        <v>0</v>
      </c>
      <c r="AX582" s="2" t="s">
        <v>32</v>
      </c>
      <c r="AY582" s="2">
        <v>0</v>
      </c>
      <c r="AZ582" s="2" t="s">
        <v>1660</v>
      </c>
      <c r="BA582" s="2">
        <v>0</v>
      </c>
      <c r="BB582" s="2">
        <v>0</v>
      </c>
      <c r="BC582" s="2" t="s">
        <v>32</v>
      </c>
      <c r="BD582" s="2">
        <v>0</v>
      </c>
      <c r="BE582" s="2" t="s">
        <v>32</v>
      </c>
      <c r="BF582" s="2">
        <v>0</v>
      </c>
      <c r="BG582" s="2" t="s">
        <v>32</v>
      </c>
      <c r="BH582" s="2">
        <v>0</v>
      </c>
      <c r="BI582" s="2" t="s">
        <v>32</v>
      </c>
      <c r="BJ582" s="2" t="s">
        <v>32</v>
      </c>
      <c r="BK582" s="2" t="s">
        <v>32</v>
      </c>
      <c r="BL582" s="2">
        <v>0</v>
      </c>
      <c r="BM582" s="2" t="s">
        <v>32</v>
      </c>
      <c r="BN582" s="2" t="s">
        <v>32</v>
      </c>
      <c r="BO582" s="2" t="s">
        <v>32</v>
      </c>
      <c r="BP582" s="2">
        <v>0</v>
      </c>
      <c r="BQ582" s="2" t="s">
        <v>32</v>
      </c>
      <c r="BR582" s="2">
        <v>0</v>
      </c>
      <c r="BS582" s="2" t="s">
        <v>1660</v>
      </c>
      <c r="BT582" s="2">
        <v>0</v>
      </c>
      <c r="BU582" s="2">
        <v>0</v>
      </c>
      <c r="BV582" s="2" t="s">
        <v>1660</v>
      </c>
      <c r="BW582" s="2"/>
      <c r="BX582" s="2"/>
      <c r="BY582" s="2" t="s">
        <v>1807</v>
      </c>
      <c r="BZ582" s="2" t="b">
        <f>OR( (Dashboard[[#This Row],[ref_as_hh]]&gt;=1),(Dashboard[[#This Row],[ret_as_hh]] &gt;=1), (Dashboard[[#This Row],[idp_as_hh]]&gt;=1))</f>
        <v>0</v>
      </c>
      <c r="CA582" s="2">
        <f>Dashboard[[#This Row],[ret_hi_hh]]</f>
        <v>0</v>
      </c>
      <c r="CB582" s="2">
        <f>Dashboard[[#This Row],[idp_fa_hh]]+Dashboard[[#This Row],[ref_fa_hh]]+Dashboard[[#This Row],[ret_fa_hh]]</f>
        <v>13</v>
      </c>
      <c r="CC582" s="2">
        <f>Dashboard[[#This Row],[idp_loc_hh]]+Dashboard[[#This Row],[ref_loc_hh]]+Dashboard[[#This Row],[ret_loc_hh]]</f>
        <v>87</v>
      </c>
      <c r="CD582" s="2">
        <f>Dashboard[[#This Row],[idp_cc_hh]]+Dashboard[[#This Row],[ref_cc_hh]]+Dashboard[[#This Row],[ret_cc_hh]]</f>
        <v>0</v>
      </c>
      <c r="CE582" s="2">
        <f>Dashboard[[#This Row],[idp_as_hh]]+Dashboard[[#This Row],[ref_as_hh]]+Dashboard[[#This Row],[ret_as_hh]]</f>
        <v>0</v>
      </c>
      <c r="CF582" s="2">
        <f>Dashboard[[#This Row],[idp_al_hh]]+Dashboard[[#This Row],[ref_al_hh]]+Dashboard[[#This Row],[ret_al_hh]]</f>
        <v>0</v>
      </c>
    </row>
    <row r="583" spans="1:84" hidden="1" x14ac:dyDescent="0.25">
      <c r="A583" s="27">
        <v>648</v>
      </c>
      <c r="B583" s="2" t="s">
        <v>22</v>
      </c>
      <c r="C583" s="2" t="s">
        <v>23</v>
      </c>
      <c r="D583" s="2" t="s">
        <v>48</v>
      </c>
      <c r="E583" s="2" t="s">
        <v>47</v>
      </c>
      <c r="F583" s="2" t="s">
        <v>62</v>
      </c>
      <c r="G583" s="2" t="s">
        <v>61</v>
      </c>
      <c r="H583" s="2" t="s">
        <v>1373</v>
      </c>
      <c r="I583" s="2" t="s">
        <v>510</v>
      </c>
      <c r="J583" s="2" t="s">
        <v>3372</v>
      </c>
      <c r="K583" s="2" t="s">
        <v>3373</v>
      </c>
      <c r="L583" s="2" t="s">
        <v>3715</v>
      </c>
      <c r="M583" s="2">
        <v>2049</v>
      </c>
      <c r="N583" s="2" t="s">
        <v>1658</v>
      </c>
      <c r="O583" s="2">
        <v>179</v>
      </c>
      <c r="P583" s="2">
        <v>523</v>
      </c>
      <c r="Q583" s="2" t="s">
        <v>1658</v>
      </c>
      <c r="R583" s="2">
        <v>37</v>
      </c>
      <c r="S583" s="2" t="s">
        <v>1658</v>
      </c>
      <c r="T583" s="2">
        <v>142</v>
      </c>
      <c r="U583" s="2" t="s">
        <v>1661</v>
      </c>
      <c r="V583" s="2" t="s">
        <v>32</v>
      </c>
      <c r="W583" s="2" t="s">
        <v>1660</v>
      </c>
      <c r="X583" s="2">
        <v>0</v>
      </c>
      <c r="Y583" s="2" t="s">
        <v>32</v>
      </c>
      <c r="Z583" s="2" t="s">
        <v>32</v>
      </c>
      <c r="AA583" s="2" t="s">
        <v>1660</v>
      </c>
      <c r="AB583" s="2">
        <v>0</v>
      </c>
      <c r="AC583" s="2" t="s">
        <v>1660</v>
      </c>
      <c r="AD583" s="2">
        <v>0</v>
      </c>
      <c r="AE583" s="2" t="s">
        <v>1660</v>
      </c>
      <c r="AF583" s="2">
        <v>0</v>
      </c>
      <c r="AG583" s="2">
        <v>0</v>
      </c>
      <c r="AH583" s="2" t="s">
        <v>32</v>
      </c>
      <c r="AI583" s="2" t="s">
        <v>32</v>
      </c>
      <c r="AJ583" s="2" t="s">
        <v>32</v>
      </c>
      <c r="AK583" s="2" t="s">
        <v>32</v>
      </c>
      <c r="AL583" s="2" t="s">
        <v>32</v>
      </c>
      <c r="AM583" s="2">
        <v>0</v>
      </c>
      <c r="AN583" s="2" t="s">
        <v>32</v>
      </c>
      <c r="AO583" s="2">
        <v>0</v>
      </c>
      <c r="AP583" s="2" t="s">
        <v>32</v>
      </c>
      <c r="AQ583" s="2" t="s">
        <v>32</v>
      </c>
      <c r="AR583" s="2" t="s">
        <v>32</v>
      </c>
      <c r="AS583" s="2">
        <v>0</v>
      </c>
      <c r="AT583" s="2" t="s">
        <v>32</v>
      </c>
      <c r="AU583" s="2" t="s">
        <v>32</v>
      </c>
      <c r="AV583" s="2" t="s">
        <v>32</v>
      </c>
      <c r="AW583" s="2">
        <v>0</v>
      </c>
      <c r="AX583" s="2" t="s">
        <v>32</v>
      </c>
      <c r="AY583" s="2">
        <v>0</v>
      </c>
      <c r="AZ583" s="2" t="s">
        <v>1660</v>
      </c>
      <c r="BA583" s="2">
        <v>0</v>
      </c>
      <c r="BB583" s="2">
        <v>0</v>
      </c>
      <c r="BC583" s="2" t="s">
        <v>32</v>
      </c>
      <c r="BD583" s="2">
        <v>0</v>
      </c>
      <c r="BE583" s="2" t="s">
        <v>32</v>
      </c>
      <c r="BF583" s="2">
        <v>0</v>
      </c>
      <c r="BG583" s="2" t="s">
        <v>32</v>
      </c>
      <c r="BH583" s="2">
        <v>0</v>
      </c>
      <c r="BI583" s="2" t="s">
        <v>32</v>
      </c>
      <c r="BJ583" s="2" t="s">
        <v>32</v>
      </c>
      <c r="BK583" s="2" t="s">
        <v>32</v>
      </c>
      <c r="BL583" s="2">
        <v>0</v>
      </c>
      <c r="BM583" s="2" t="s">
        <v>32</v>
      </c>
      <c r="BN583" s="2" t="s">
        <v>32</v>
      </c>
      <c r="BO583" s="2" t="s">
        <v>32</v>
      </c>
      <c r="BP583" s="2">
        <v>0</v>
      </c>
      <c r="BQ583" s="2" t="s">
        <v>32</v>
      </c>
      <c r="BR583" s="2">
        <v>0</v>
      </c>
      <c r="BS583" s="2" t="s">
        <v>1660</v>
      </c>
      <c r="BT583" s="2">
        <v>0</v>
      </c>
      <c r="BU583" s="2">
        <v>0</v>
      </c>
      <c r="BV583" s="2" t="s">
        <v>1660</v>
      </c>
      <c r="BW583" s="2"/>
      <c r="BX583" s="2"/>
      <c r="BY583" s="2" t="s">
        <v>1807</v>
      </c>
      <c r="BZ583" s="2" t="b">
        <f>OR( (Dashboard[[#This Row],[ref_as_hh]]&gt;=1),(Dashboard[[#This Row],[ret_as_hh]] &gt;=1), (Dashboard[[#This Row],[idp_as_hh]]&gt;=1))</f>
        <v>0</v>
      </c>
      <c r="CA583" s="2">
        <f>Dashboard[[#This Row],[ret_hi_hh]]</f>
        <v>0</v>
      </c>
      <c r="CB583" s="2">
        <f>Dashboard[[#This Row],[idp_fa_hh]]+Dashboard[[#This Row],[ref_fa_hh]]+Dashboard[[#This Row],[ret_fa_hh]]</f>
        <v>37</v>
      </c>
      <c r="CC583" s="2">
        <f>Dashboard[[#This Row],[idp_loc_hh]]+Dashboard[[#This Row],[ref_loc_hh]]+Dashboard[[#This Row],[ret_loc_hh]]</f>
        <v>142</v>
      </c>
      <c r="CD583" s="2">
        <f>Dashboard[[#This Row],[idp_cc_hh]]+Dashboard[[#This Row],[ref_cc_hh]]+Dashboard[[#This Row],[ret_cc_hh]]</f>
        <v>0</v>
      </c>
      <c r="CE583" s="2">
        <f>Dashboard[[#This Row],[idp_as_hh]]+Dashboard[[#This Row],[ref_as_hh]]+Dashboard[[#This Row],[ret_as_hh]]</f>
        <v>0</v>
      </c>
      <c r="CF583" s="2">
        <f>Dashboard[[#This Row],[idp_al_hh]]+Dashboard[[#This Row],[ref_al_hh]]+Dashboard[[#This Row],[ret_al_hh]]</f>
        <v>0</v>
      </c>
    </row>
    <row r="584" spans="1:84" x14ac:dyDescent="0.25">
      <c r="A584" s="27">
        <v>649</v>
      </c>
      <c r="B584" s="2" t="s">
        <v>22</v>
      </c>
      <c r="C584" s="2" t="s">
        <v>23</v>
      </c>
      <c r="D584" s="2" t="s">
        <v>48</v>
      </c>
      <c r="E584" s="2" t="s">
        <v>47</v>
      </c>
      <c r="F584" s="2" t="s">
        <v>62</v>
      </c>
      <c r="G584" s="2" t="s">
        <v>61</v>
      </c>
      <c r="H584" s="2" t="s">
        <v>1377</v>
      </c>
      <c r="I584" s="2" t="s">
        <v>513</v>
      </c>
      <c r="J584" s="2" t="s">
        <v>3380</v>
      </c>
      <c r="K584" s="2" t="s">
        <v>3381</v>
      </c>
      <c r="L584" s="2" t="s">
        <v>2074</v>
      </c>
      <c r="M584" s="2">
        <v>6522</v>
      </c>
      <c r="N584" s="2" t="s">
        <v>1658</v>
      </c>
      <c r="O584" s="2">
        <v>554</v>
      </c>
      <c r="P584" s="2">
        <v>3089</v>
      </c>
      <c r="Q584" s="2" t="s">
        <v>1658</v>
      </c>
      <c r="R584" s="2">
        <v>100</v>
      </c>
      <c r="S584" s="2" t="s">
        <v>1658</v>
      </c>
      <c r="T584" s="2">
        <v>217</v>
      </c>
      <c r="U584" s="2" t="s">
        <v>1661</v>
      </c>
      <c r="V584" s="2" t="s">
        <v>32</v>
      </c>
      <c r="W584" s="2" t="s">
        <v>1660</v>
      </c>
      <c r="X584" s="2">
        <v>0</v>
      </c>
      <c r="Y584" s="2" t="s">
        <v>32</v>
      </c>
      <c r="Z584" s="2" t="s">
        <v>32</v>
      </c>
      <c r="AA584" s="2" t="s">
        <v>1658</v>
      </c>
      <c r="AB584" s="2">
        <v>237</v>
      </c>
      <c r="AC584" s="2" t="s">
        <v>1660</v>
      </c>
      <c r="AD584" s="2">
        <v>0</v>
      </c>
      <c r="AE584" s="2" t="s">
        <v>1660</v>
      </c>
      <c r="AF584" s="2">
        <v>0</v>
      </c>
      <c r="AG584" s="2">
        <v>0</v>
      </c>
      <c r="AH584" s="2" t="s">
        <v>32</v>
      </c>
      <c r="AI584" s="2" t="s">
        <v>32</v>
      </c>
      <c r="AJ584" s="2" t="s">
        <v>32</v>
      </c>
      <c r="AK584" s="2" t="s">
        <v>32</v>
      </c>
      <c r="AL584" s="2" t="s">
        <v>32</v>
      </c>
      <c r="AM584" s="2">
        <v>0</v>
      </c>
      <c r="AN584" s="2" t="s">
        <v>32</v>
      </c>
      <c r="AO584" s="2">
        <v>0</v>
      </c>
      <c r="AP584" s="2" t="s">
        <v>32</v>
      </c>
      <c r="AQ584" s="2" t="s">
        <v>32</v>
      </c>
      <c r="AR584" s="2" t="s">
        <v>32</v>
      </c>
      <c r="AS584" s="2">
        <v>0</v>
      </c>
      <c r="AT584" s="2" t="s">
        <v>32</v>
      </c>
      <c r="AU584" s="2" t="s">
        <v>32</v>
      </c>
      <c r="AV584" s="2" t="s">
        <v>32</v>
      </c>
      <c r="AW584" s="2">
        <v>0</v>
      </c>
      <c r="AX584" s="2" t="s">
        <v>32</v>
      </c>
      <c r="AY584" s="2">
        <v>0</v>
      </c>
      <c r="AZ584" s="2" t="s">
        <v>1660</v>
      </c>
      <c r="BA584" s="2">
        <v>0</v>
      </c>
      <c r="BB584" s="2">
        <v>0</v>
      </c>
      <c r="BC584" s="2" t="s">
        <v>32</v>
      </c>
      <c r="BD584" s="2">
        <v>0</v>
      </c>
      <c r="BE584" s="2" t="s">
        <v>32</v>
      </c>
      <c r="BF584" s="2">
        <v>0</v>
      </c>
      <c r="BG584" s="2" t="s">
        <v>32</v>
      </c>
      <c r="BH584" s="2">
        <v>0</v>
      </c>
      <c r="BI584" s="2" t="s">
        <v>32</v>
      </c>
      <c r="BJ584" s="2" t="s">
        <v>32</v>
      </c>
      <c r="BK584" s="2" t="s">
        <v>32</v>
      </c>
      <c r="BL584" s="2">
        <v>0</v>
      </c>
      <c r="BM584" s="2" t="s">
        <v>32</v>
      </c>
      <c r="BN584" s="2" t="s">
        <v>32</v>
      </c>
      <c r="BO584" s="2" t="s">
        <v>32</v>
      </c>
      <c r="BP584" s="2">
        <v>0</v>
      </c>
      <c r="BQ584" s="2" t="s">
        <v>32</v>
      </c>
      <c r="BR584" s="2">
        <v>0</v>
      </c>
      <c r="BS584" s="2" t="s">
        <v>1660</v>
      </c>
      <c r="BT584" s="2">
        <v>0</v>
      </c>
      <c r="BU584" s="2">
        <v>0</v>
      </c>
      <c r="BV584" s="2" t="s">
        <v>1660</v>
      </c>
      <c r="BW584" s="2"/>
      <c r="BX584" s="2"/>
      <c r="BY584" s="2" t="s">
        <v>1807</v>
      </c>
      <c r="BZ584" s="2" t="b">
        <f>OR( (Dashboard[[#This Row],[ref_as_hh]]&gt;=1),(Dashboard[[#This Row],[ret_as_hh]] &gt;=1), (Dashboard[[#This Row],[idp_as_hh]]&gt;=1))</f>
        <v>1</v>
      </c>
      <c r="CA584" s="2">
        <f>Dashboard[[#This Row],[ret_hi_hh]]</f>
        <v>0</v>
      </c>
      <c r="CB584" s="2">
        <f>Dashboard[[#This Row],[idp_fa_hh]]+Dashboard[[#This Row],[ref_fa_hh]]+Dashboard[[#This Row],[ret_fa_hh]]</f>
        <v>100</v>
      </c>
      <c r="CC584" s="2">
        <f>Dashboard[[#This Row],[idp_loc_hh]]+Dashboard[[#This Row],[ref_loc_hh]]+Dashboard[[#This Row],[ret_loc_hh]]</f>
        <v>217</v>
      </c>
      <c r="CD584" s="2">
        <f>Dashboard[[#This Row],[idp_cc_hh]]+Dashboard[[#This Row],[ref_cc_hh]]+Dashboard[[#This Row],[ret_cc_hh]]</f>
        <v>0</v>
      </c>
      <c r="CE584" s="2">
        <f>Dashboard[[#This Row],[idp_as_hh]]+Dashboard[[#This Row],[ref_as_hh]]+Dashboard[[#This Row],[ret_as_hh]]</f>
        <v>237</v>
      </c>
      <c r="CF584" s="2">
        <f>Dashboard[[#This Row],[idp_al_hh]]+Dashboard[[#This Row],[ref_al_hh]]+Dashboard[[#This Row],[ret_al_hh]]</f>
        <v>0</v>
      </c>
    </row>
    <row r="585" spans="1:84" hidden="1" x14ac:dyDescent="0.25">
      <c r="A585" s="27">
        <v>650</v>
      </c>
      <c r="B585" s="2" t="s">
        <v>22</v>
      </c>
      <c r="C585" s="2" t="s">
        <v>23</v>
      </c>
      <c r="D585" s="2" t="s">
        <v>48</v>
      </c>
      <c r="E585" s="2" t="s">
        <v>47</v>
      </c>
      <c r="F585" s="2" t="s">
        <v>62</v>
      </c>
      <c r="G585" s="2" t="s">
        <v>61</v>
      </c>
      <c r="H585" s="2" t="s">
        <v>1387</v>
      </c>
      <c r="I585" s="2" t="s">
        <v>522</v>
      </c>
      <c r="J585" s="2" t="s">
        <v>3402</v>
      </c>
      <c r="K585" s="2" t="s">
        <v>3403</v>
      </c>
      <c r="L585" s="2" t="s">
        <v>3716</v>
      </c>
      <c r="M585" s="2">
        <v>2485</v>
      </c>
      <c r="N585" s="2" t="s">
        <v>1658</v>
      </c>
      <c r="O585" s="2">
        <v>118</v>
      </c>
      <c r="P585" s="2">
        <v>665</v>
      </c>
      <c r="Q585" s="2" t="s">
        <v>1658</v>
      </c>
      <c r="R585" s="2">
        <v>17</v>
      </c>
      <c r="S585" s="2" t="s">
        <v>1658</v>
      </c>
      <c r="T585" s="2">
        <v>101</v>
      </c>
      <c r="U585" s="2" t="s">
        <v>1661</v>
      </c>
      <c r="V585" s="2" t="s">
        <v>32</v>
      </c>
      <c r="W585" s="2" t="s">
        <v>1660</v>
      </c>
      <c r="X585" s="2">
        <v>0</v>
      </c>
      <c r="Y585" s="2" t="s">
        <v>32</v>
      </c>
      <c r="Z585" s="2" t="s">
        <v>32</v>
      </c>
      <c r="AA585" s="2" t="s">
        <v>1660</v>
      </c>
      <c r="AB585" s="2">
        <v>0</v>
      </c>
      <c r="AC585" s="2" t="s">
        <v>1660</v>
      </c>
      <c r="AD585" s="2">
        <v>0</v>
      </c>
      <c r="AE585" s="2" t="s">
        <v>1660</v>
      </c>
      <c r="AF585" s="2">
        <v>0</v>
      </c>
      <c r="AG585" s="2">
        <v>0</v>
      </c>
      <c r="AH585" s="2" t="s">
        <v>32</v>
      </c>
      <c r="AI585" s="2" t="s">
        <v>32</v>
      </c>
      <c r="AJ585" s="2" t="s">
        <v>32</v>
      </c>
      <c r="AK585" s="2" t="s">
        <v>32</v>
      </c>
      <c r="AL585" s="2" t="s">
        <v>32</v>
      </c>
      <c r="AM585" s="2">
        <v>0</v>
      </c>
      <c r="AN585" s="2" t="s">
        <v>32</v>
      </c>
      <c r="AO585" s="2">
        <v>0</v>
      </c>
      <c r="AP585" s="2" t="s">
        <v>32</v>
      </c>
      <c r="AQ585" s="2" t="s">
        <v>32</v>
      </c>
      <c r="AR585" s="2" t="s">
        <v>32</v>
      </c>
      <c r="AS585" s="2">
        <v>0</v>
      </c>
      <c r="AT585" s="2" t="s">
        <v>32</v>
      </c>
      <c r="AU585" s="2" t="s">
        <v>32</v>
      </c>
      <c r="AV585" s="2" t="s">
        <v>32</v>
      </c>
      <c r="AW585" s="2">
        <v>0</v>
      </c>
      <c r="AX585" s="2" t="s">
        <v>32</v>
      </c>
      <c r="AY585" s="2">
        <v>0</v>
      </c>
      <c r="AZ585" s="2" t="s">
        <v>1660</v>
      </c>
      <c r="BA585" s="2">
        <v>0</v>
      </c>
      <c r="BB585" s="2">
        <v>0</v>
      </c>
      <c r="BC585" s="2" t="s">
        <v>32</v>
      </c>
      <c r="BD585" s="2">
        <v>0</v>
      </c>
      <c r="BE585" s="2" t="s">
        <v>32</v>
      </c>
      <c r="BF585" s="2">
        <v>0</v>
      </c>
      <c r="BG585" s="2" t="s">
        <v>32</v>
      </c>
      <c r="BH585" s="2">
        <v>0</v>
      </c>
      <c r="BI585" s="2" t="s">
        <v>32</v>
      </c>
      <c r="BJ585" s="2" t="s">
        <v>32</v>
      </c>
      <c r="BK585" s="2" t="s">
        <v>32</v>
      </c>
      <c r="BL585" s="2">
        <v>0</v>
      </c>
      <c r="BM585" s="2" t="s">
        <v>32</v>
      </c>
      <c r="BN585" s="2" t="s">
        <v>32</v>
      </c>
      <c r="BO585" s="2" t="s">
        <v>32</v>
      </c>
      <c r="BP585" s="2">
        <v>0</v>
      </c>
      <c r="BQ585" s="2" t="s">
        <v>32</v>
      </c>
      <c r="BR585" s="2">
        <v>0</v>
      </c>
      <c r="BS585" s="2" t="s">
        <v>1660</v>
      </c>
      <c r="BT585" s="2">
        <v>0</v>
      </c>
      <c r="BU585" s="2">
        <v>0</v>
      </c>
      <c r="BV585" s="2" t="s">
        <v>1660</v>
      </c>
      <c r="BW585" s="2"/>
      <c r="BX585" s="2"/>
      <c r="BY585" s="2" t="s">
        <v>1807</v>
      </c>
      <c r="BZ585" s="2" t="b">
        <f>OR( (Dashboard[[#This Row],[ref_as_hh]]&gt;=1),(Dashboard[[#This Row],[ret_as_hh]] &gt;=1), (Dashboard[[#This Row],[idp_as_hh]]&gt;=1))</f>
        <v>0</v>
      </c>
      <c r="CA585" s="2">
        <f>Dashboard[[#This Row],[ret_hi_hh]]</f>
        <v>0</v>
      </c>
      <c r="CB585" s="2">
        <f>Dashboard[[#This Row],[idp_fa_hh]]+Dashboard[[#This Row],[ref_fa_hh]]+Dashboard[[#This Row],[ret_fa_hh]]</f>
        <v>17</v>
      </c>
      <c r="CC585" s="2">
        <f>Dashboard[[#This Row],[idp_loc_hh]]+Dashboard[[#This Row],[ref_loc_hh]]+Dashboard[[#This Row],[ret_loc_hh]]</f>
        <v>101</v>
      </c>
      <c r="CD585" s="2">
        <f>Dashboard[[#This Row],[idp_cc_hh]]+Dashboard[[#This Row],[ref_cc_hh]]+Dashboard[[#This Row],[ret_cc_hh]]</f>
        <v>0</v>
      </c>
      <c r="CE585" s="2">
        <f>Dashboard[[#This Row],[idp_as_hh]]+Dashboard[[#This Row],[ref_as_hh]]+Dashboard[[#This Row],[ret_as_hh]]</f>
        <v>0</v>
      </c>
      <c r="CF585" s="2">
        <f>Dashboard[[#This Row],[idp_al_hh]]+Dashboard[[#This Row],[ref_al_hh]]+Dashboard[[#This Row],[ret_al_hh]]</f>
        <v>0</v>
      </c>
    </row>
    <row r="586" spans="1:84" x14ac:dyDescent="0.25">
      <c r="A586" s="27">
        <v>651</v>
      </c>
      <c r="B586" s="2" t="s">
        <v>22</v>
      </c>
      <c r="C586" s="2" t="s">
        <v>23</v>
      </c>
      <c r="D586" s="2" t="s">
        <v>48</v>
      </c>
      <c r="E586" s="2" t="s">
        <v>47</v>
      </c>
      <c r="F586" s="2" t="s">
        <v>62</v>
      </c>
      <c r="G586" s="2" t="s">
        <v>61</v>
      </c>
      <c r="H586" s="2" t="s">
        <v>1368</v>
      </c>
      <c r="I586" s="2" t="s">
        <v>506</v>
      </c>
      <c r="J586" s="2" t="s">
        <v>3362</v>
      </c>
      <c r="K586" s="2" t="s">
        <v>3363</v>
      </c>
      <c r="L586" s="2" t="s">
        <v>2074</v>
      </c>
      <c r="M586" s="2">
        <v>2192</v>
      </c>
      <c r="N586" s="2" t="s">
        <v>1658</v>
      </c>
      <c r="O586" s="2">
        <v>127</v>
      </c>
      <c r="P586" s="2">
        <v>412</v>
      </c>
      <c r="Q586" s="2" t="s">
        <v>1658</v>
      </c>
      <c r="R586" s="2">
        <v>18</v>
      </c>
      <c r="S586" s="2" t="s">
        <v>1658</v>
      </c>
      <c r="T586" s="2">
        <v>23</v>
      </c>
      <c r="U586" s="2" t="s">
        <v>1661</v>
      </c>
      <c r="V586" s="2" t="s">
        <v>32</v>
      </c>
      <c r="W586" s="2" t="s">
        <v>1660</v>
      </c>
      <c r="X586" s="2">
        <v>0</v>
      </c>
      <c r="Y586" s="2" t="s">
        <v>32</v>
      </c>
      <c r="Z586" s="2" t="s">
        <v>32</v>
      </c>
      <c r="AA586" s="2" t="s">
        <v>1658</v>
      </c>
      <c r="AB586" s="2">
        <v>86</v>
      </c>
      <c r="AC586" s="2" t="s">
        <v>1660</v>
      </c>
      <c r="AD586" s="2">
        <v>0</v>
      </c>
      <c r="AE586" s="2" t="s">
        <v>1660</v>
      </c>
      <c r="AF586" s="2">
        <v>0</v>
      </c>
      <c r="AG586" s="2">
        <v>0</v>
      </c>
      <c r="AH586" s="2" t="s">
        <v>32</v>
      </c>
      <c r="AI586" s="2" t="s">
        <v>32</v>
      </c>
      <c r="AJ586" s="2" t="s">
        <v>32</v>
      </c>
      <c r="AK586" s="2" t="s">
        <v>32</v>
      </c>
      <c r="AL586" s="2" t="s">
        <v>32</v>
      </c>
      <c r="AM586" s="2">
        <v>0</v>
      </c>
      <c r="AN586" s="2" t="s">
        <v>32</v>
      </c>
      <c r="AO586" s="2">
        <v>0</v>
      </c>
      <c r="AP586" s="2" t="s">
        <v>32</v>
      </c>
      <c r="AQ586" s="2" t="s">
        <v>32</v>
      </c>
      <c r="AR586" s="2" t="s">
        <v>32</v>
      </c>
      <c r="AS586" s="2">
        <v>0</v>
      </c>
      <c r="AT586" s="2" t="s">
        <v>32</v>
      </c>
      <c r="AU586" s="2" t="s">
        <v>32</v>
      </c>
      <c r="AV586" s="2" t="s">
        <v>32</v>
      </c>
      <c r="AW586" s="2">
        <v>0</v>
      </c>
      <c r="AX586" s="2" t="s">
        <v>32</v>
      </c>
      <c r="AY586" s="2">
        <v>0</v>
      </c>
      <c r="AZ586" s="2" t="s">
        <v>1658</v>
      </c>
      <c r="BA586" s="2">
        <v>290</v>
      </c>
      <c r="BB586" s="2">
        <v>1697</v>
      </c>
      <c r="BC586" s="2" t="s">
        <v>1658</v>
      </c>
      <c r="BD586" s="2">
        <v>280</v>
      </c>
      <c r="BE586" s="2" t="s">
        <v>1658</v>
      </c>
      <c r="BF586" s="2">
        <v>10</v>
      </c>
      <c r="BG586" s="2" t="s">
        <v>1660</v>
      </c>
      <c r="BH586" s="2">
        <v>0</v>
      </c>
      <c r="BI586" s="2" t="s">
        <v>32</v>
      </c>
      <c r="BJ586" s="2" t="s">
        <v>32</v>
      </c>
      <c r="BK586" s="2" t="s">
        <v>1660</v>
      </c>
      <c r="BL586" s="2">
        <v>0</v>
      </c>
      <c r="BM586" s="2" t="s">
        <v>32</v>
      </c>
      <c r="BN586" s="2" t="s">
        <v>32</v>
      </c>
      <c r="BO586" s="2" t="s">
        <v>1660</v>
      </c>
      <c r="BP586" s="2">
        <v>0</v>
      </c>
      <c r="BQ586" s="2" t="s">
        <v>1660</v>
      </c>
      <c r="BR586" s="2">
        <v>0</v>
      </c>
      <c r="BS586" s="2" t="s">
        <v>1660</v>
      </c>
      <c r="BT586" s="2">
        <v>0</v>
      </c>
      <c r="BU586" s="2">
        <v>0</v>
      </c>
      <c r="BV586" s="2" t="s">
        <v>1660</v>
      </c>
      <c r="BW586" s="2"/>
      <c r="BX586" s="2"/>
      <c r="BY586" s="2" t="s">
        <v>1807</v>
      </c>
      <c r="BZ586" s="2" t="b">
        <f>OR( (Dashboard[[#This Row],[ref_as_hh]]&gt;=1),(Dashboard[[#This Row],[ret_as_hh]] &gt;=1), (Dashboard[[#This Row],[idp_as_hh]]&gt;=1))</f>
        <v>1</v>
      </c>
      <c r="CA586" s="2">
        <f>Dashboard[[#This Row],[ret_hi_hh]]</f>
        <v>280</v>
      </c>
      <c r="CB586" s="2">
        <f>Dashboard[[#This Row],[idp_fa_hh]]+Dashboard[[#This Row],[ref_fa_hh]]+Dashboard[[#This Row],[ret_fa_hh]]</f>
        <v>28</v>
      </c>
      <c r="CC586" s="2">
        <f>Dashboard[[#This Row],[idp_loc_hh]]+Dashboard[[#This Row],[ref_loc_hh]]+Dashboard[[#This Row],[ret_loc_hh]]</f>
        <v>23</v>
      </c>
      <c r="CD586" s="2">
        <f>Dashboard[[#This Row],[idp_cc_hh]]+Dashboard[[#This Row],[ref_cc_hh]]+Dashboard[[#This Row],[ret_cc_hh]]</f>
        <v>0</v>
      </c>
      <c r="CE586" s="2">
        <f>Dashboard[[#This Row],[idp_as_hh]]+Dashboard[[#This Row],[ref_as_hh]]+Dashboard[[#This Row],[ret_as_hh]]</f>
        <v>86</v>
      </c>
      <c r="CF586" s="2">
        <f>Dashboard[[#This Row],[idp_al_hh]]+Dashboard[[#This Row],[ref_al_hh]]+Dashboard[[#This Row],[ret_al_hh]]</f>
        <v>0</v>
      </c>
    </row>
    <row r="587" spans="1:84" x14ac:dyDescent="0.25">
      <c r="A587" s="27">
        <v>654</v>
      </c>
      <c r="B587" s="2" t="s">
        <v>22</v>
      </c>
      <c r="C587" s="2" t="s">
        <v>23</v>
      </c>
      <c r="D587" s="2" t="s">
        <v>48</v>
      </c>
      <c r="E587" s="2" t="s">
        <v>47</v>
      </c>
      <c r="F587" s="2" t="s">
        <v>62</v>
      </c>
      <c r="G587" s="2" t="s">
        <v>61</v>
      </c>
      <c r="H587" s="2" t="s">
        <v>1378</v>
      </c>
      <c r="I587" s="2" t="s">
        <v>840</v>
      </c>
      <c r="J587" s="2" t="s">
        <v>3384</v>
      </c>
      <c r="K587" s="2" t="s">
        <v>3385</v>
      </c>
      <c r="L587" s="2" t="s">
        <v>2074</v>
      </c>
      <c r="M587" s="2">
        <v>1022</v>
      </c>
      <c r="N587" s="2" t="s">
        <v>1658</v>
      </c>
      <c r="O587" s="2">
        <v>63</v>
      </c>
      <c r="P587" s="2">
        <v>521</v>
      </c>
      <c r="Q587" s="2" t="s">
        <v>1658</v>
      </c>
      <c r="R587" s="2">
        <v>9</v>
      </c>
      <c r="S587" s="2" t="s">
        <v>1658</v>
      </c>
      <c r="T587" s="2">
        <v>13</v>
      </c>
      <c r="U587" s="2" t="s">
        <v>1661</v>
      </c>
      <c r="V587" s="2" t="s">
        <v>32</v>
      </c>
      <c r="W587" s="2" t="s">
        <v>1660</v>
      </c>
      <c r="X587" s="2">
        <v>0</v>
      </c>
      <c r="Y587" s="2" t="s">
        <v>32</v>
      </c>
      <c r="Z587" s="2" t="s">
        <v>32</v>
      </c>
      <c r="AA587" s="2" t="s">
        <v>1658</v>
      </c>
      <c r="AB587" s="2">
        <v>41</v>
      </c>
      <c r="AC587" s="2" t="s">
        <v>1660</v>
      </c>
      <c r="AD587" s="2">
        <v>0</v>
      </c>
      <c r="AE587" s="2" t="s">
        <v>1660</v>
      </c>
      <c r="AF587" s="2">
        <v>0</v>
      </c>
      <c r="AG587" s="2">
        <v>0</v>
      </c>
      <c r="AH587" s="2" t="s">
        <v>32</v>
      </c>
      <c r="AI587" s="2" t="s">
        <v>32</v>
      </c>
      <c r="AJ587" s="2" t="s">
        <v>32</v>
      </c>
      <c r="AK587" s="2" t="s">
        <v>32</v>
      </c>
      <c r="AL587" s="2" t="s">
        <v>32</v>
      </c>
      <c r="AM587" s="2">
        <v>0</v>
      </c>
      <c r="AN587" s="2" t="s">
        <v>32</v>
      </c>
      <c r="AO587" s="2">
        <v>0</v>
      </c>
      <c r="AP587" s="2" t="s">
        <v>32</v>
      </c>
      <c r="AQ587" s="2" t="s">
        <v>32</v>
      </c>
      <c r="AR587" s="2" t="s">
        <v>32</v>
      </c>
      <c r="AS587" s="2">
        <v>0</v>
      </c>
      <c r="AT587" s="2" t="s">
        <v>32</v>
      </c>
      <c r="AU587" s="2" t="s">
        <v>32</v>
      </c>
      <c r="AV587" s="2" t="s">
        <v>32</v>
      </c>
      <c r="AW587" s="2">
        <v>0</v>
      </c>
      <c r="AX587" s="2" t="s">
        <v>32</v>
      </c>
      <c r="AY587" s="2">
        <v>0</v>
      </c>
      <c r="AZ587" s="2" t="s">
        <v>1658</v>
      </c>
      <c r="BA587" s="2">
        <v>138</v>
      </c>
      <c r="BB587" s="2">
        <v>923</v>
      </c>
      <c r="BC587" s="2" t="s">
        <v>1658</v>
      </c>
      <c r="BD587" s="2">
        <v>131</v>
      </c>
      <c r="BE587" s="2" t="s">
        <v>1658</v>
      </c>
      <c r="BF587" s="2">
        <v>7</v>
      </c>
      <c r="BG587" s="2" t="s">
        <v>1660</v>
      </c>
      <c r="BH587" s="2">
        <v>0</v>
      </c>
      <c r="BI587" s="2" t="s">
        <v>32</v>
      </c>
      <c r="BJ587" s="2" t="s">
        <v>32</v>
      </c>
      <c r="BK587" s="2" t="s">
        <v>1660</v>
      </c>
      <c r="BL587" s="2">
        <v>0</v>
      </c>
      <c r="BM587" s="2" t="s">
        <v>32</v>
      </c>
      <c r="BN587" s="2" t="s">
        <v>32</v>
      </c>
      <c r="BO587" s="2" t="s">
        <v>1660</v>
      </c>
      <c r="BP587" s="2">
        <v>0</v>
      </c>
      <c r="BQ587" s="2" t="s">
        <v>1660</v>
      </c>
      <c r="BR587" s="2">
        <v>0</v>
      </c>
      <c r="BS587" s="2" t="s">
        <v>1660</v>
      </c>
      <c r="BT587" s="2">
        <v>0</v>
      </c>
      <c r="BU587" s="2">
        <v>0</v>
      </c>
      <c r="BV587" s="2" t="s">
        <v>1660</v>
      </c>
      <c r="BW587" s="2"/>
      <c r="BX587" s="2"/>
      <c r="BY587" s="2" t="s">
        <v>1807</v>
      </c>
      <c r="BZ587" s="2" t="b">
        <f>OR( (Dashboard[[#This Row],[ref_as_hh]]&gt;=1),(Dashboard[[#This Row],[ret_as_hh]] &gt;=1), (Dashboard[[#This Row],[idp_as_hh]]&gt;=1))</f>
        <v>1</v>
      </c>
      <c r="CA587" s="2">
        <f>Dashboard[[#This Row],[ret_hi_hh]]</f>
        <v>131</v>
      </c>
      <c r="CB587" s="2">
        <f>Dashboard[[#This Row],[idp_fa_hh]]+Dashboard[[#This Row],[ref_fa_hh]]+Dashboard[[#This Row],[ret_fa_hh]]</f>
        <v>16</v>
      </c>
      <c r="CC587" s="2">
        <f>Dashboard[[#This Row],[idp_loc_hh]]+Dashboard[[#This Row],[ref_loc_hh]]+Dashboard[[#This Row],[ret_loc_hh]]</f>
        <v>13</v>
      </c>
      <c r="CD587" s="2">
        <f>Dashboard[[#This Row],[idp_cc_hh]]+Dashboard[[#This Row],[ref_cc_hh]]+Dashboard[[#This Row],[ret_cc_hh]]</f>
        <v>0</v>
      </c>
      <c r="CE587" s="2">
        <f>Dashboard[[#This Row],[idp_as_hh]]+Dashboard[[#This Row],[ref_as_hh]]+Dashboard[[#This Row],[ret_as_hh]]</f>
        <v>41</v>
      </c>
      <c r="CF587" s="2">
        <f>Dashboard[[#This Row],[idp_al_hh]]+Dashboard[[#This Row],[ref_al_hh]]+Dashboard[[#This Row],[ret_al_hh]]</f>
        <v>0</v>
      </c>
    </row>
    <row r="588" spans="1:84" x14ac:dyDescent="0.25">
      <c r="A588" s="27">
        <v>659</v>
      </c>
      <c r="B588" s="2" t="s">
        <v>22</v>
      </c>
      <c r="C588" s="2" t="s">
        <v>23</v>
      </c>
      <c r="D588" s="2" t="s">
        <v>48</v>
      </c>
      <c r="E588" s="2" t="s">
        <v>47</v>
      </c>
      <c r="F588" s="2" t="s">
        <v>62</v>
      </c>
      <c r="G588" s="2" t="s">
        <v>61</v>
      </c>
      <c r="H588" s="2" t="s">
        <v>1376</v>
      </c>
      <c r="I588" s="2" t="s">
        <v>837</v>
      </c>
      <c r="J588" s="2" t="s">
        <v>3378</v>
      </c>
      <c r="K588" s="2" t="s">
        <v>3379</v>
      </c>
      <c r="L588" s="2" t="s">
        <v>2074</v>
      </c>
      <c r="M588" s="2">
        <v>16235</v>
      </c>
      <c r="N588" s="2" t="s">
        <v>1658</v>
      </c>
      <c r="O588" s="2">
        <v>1716</v>
      </c>
      <c r="P588" s="2">
        <v>10403</v>
      </c>
      <c r="Q588" s="2" t="s">
        <v>1658</v>
      </c>
      <c r="R588" s="2">
        <v>29</v>
      </c>
      <c r="S588" s="2" t="s">
        <v>1658</v>
      </c>
      <c r="T588" s="2">
        <v>12</v>
      </c>
      <c r="U588" s="2" t="s">
        <v>1661</v>
      </c>
      <c r="V588" s="2" t="s">
        <v>32</v>
      </c>
      <c r="W588" s="2" t="s">
        <v>1660</v>
      </c>
      <c r="X588" s="2">
        <v>0</v>
      </c>
      <c r="Y588" s="2" t="s">
        <v>32</v>
      </c>
      <c r="Z588" s="2" t="s">
        <v>32</v>
      </c>
      <c r="AA588" s="2" t="s">
        <v>1658</v>
      </c>
      <c r="AB588" s="2">
        <v>1675</v>
      </c>
      <c r="AC588" s="2" t="s">
        <v>1660</v>
      </c>
      <c r="AD588" s="2">
        <v>0</v>
      </c>
      <c r="AE588" s="2" t="s">
        <v>1660</v>
      </c>
      <c r="AF588" s="2">
        <v>0</v>
      </c>
      <c r="AG588" s="2">
        <v>0</v>
      </c>
      <c r="AH588" s="2" t="s">
        <v>32</v>
      </c>
      <c r="AI588" s="2" t="s">
        <v>32</v>
      </c>
      <c r="AJ588" s="2" t="s">
        <v>32</v>
      </c>
      <c r="AK588" s="2" t="s">
        <v>32</v>
      </c>
      <c r="AL588" s="2" t="s">
        <v>32</v>
      </c>
      <c r="AM588" s="2">
        <v>0</v>
      </c>
      <c r="AN588" s="2" t="s">
        <v>32</v>
      </c>
      <c r="AO588" s="2">
        <v>0</v>
      </c>
      <c r="AP588" s="2" t="s">
        <v>32</v>
      </c>
      <c r="AQ588" s="2" t="s">
        <v>32</v>
      </c>
      <c r="AR588" s="2" t="s">
        <v>32</v>
      </c>
      <c r="AS588" s="2">
        <v>0</v>
      </c>
      <c r="AT588" s="2" t="s">
        <v>32</v>
      </c>
      <c r="AU588" s="2" t="s">
        <v>32</v>
      </c>
      <c r="AV588" s="2" t="s">
        <v>32</v>
      </c>
      <c r="AW588" s="2">
        <v>0</v>
      </c>
      <c r="AX588" s="2" t="s">
        <v>32</v>
      </c>
      <c r="AY588" s="2">
        <v>0</v>
      </c>
      <c r="AZ588" s="2" t="s">
        <v>1658</v>
      </c>
      <c r="BA588" s="2">
        <v>173</v>
      </c>
      <c r="BB588" s="2">
        <v>1177</v>
      </c>
      <c r="BC588" s="2" t="s">
        <v>1658</v>
      </c>
      <c r="BD588" s="2">
        <v>162</v>
      </c>
      <c r="BE588" s="2" t="s">
        <v>1658</v>
      </c>
      <c r="BF588" s="2">
        <v>11</v>
      </c>
      <c r="BG588" s="2" t="s">
        <v>1660</v>
      </c>
      <c r="BH588" s="2">
        <v>0</v>
      </c>
      <c r="BI588" s="2" t="s">
        <v>32</v>
      </c>
      <c r="BJ588" s="2" t="s">
        <v>32</v>
      </c>
      <c r="BK588" s="2" t="s">
        <v>1660</v>
      </c>
      <c r="BL588" s="2">
        <v>0</v>
      </c>
      <c r="BM588" s="2" t="s">
        <v>32</v>
      </c>
      <c r="BN588" s="2" t="s">
        <v>32</v>
      </c>
      <c r="BO588" s="2" t="s">
        <v>1660</v>
      </c>
      <c r="BP588" s="2">
        <v>0</v>
      </c>
      <c r="BQ588" s="2" t="s">
        <v>1660</v>
      </c>
      <c r="BR588" s="2">
        <v>0</v>
      </c>
      <c r="BS588" s="2" t="s">
        <v>1658</v>
      </c>
      <c r="BT588" s="2">
        <v>15</v>
      </c>
      <c r="BU588" s="2">
        <v>50</v>
      </c>
      <c r="BV588" s="2" t="s">
        <v>1660</v>
      </c>
      <c r="BW588" s="2"/>
      <c r="BX588" s="2"/>
      <c r="BY588" s="2" t="s">
        <v>1807</v>
      </c>
      <c r="BZ588" s="2" t="b">
        <f>OR( (Dashboard[[#This Row],[ref_as_hh]]&gt;=1),(Dashboard[[#This Row],[ret_as_hh]] &gt;=1), (Dashboard[[#This Row],[idp_as_hh]]&gt;=1))</f>
        <v>1</v>
      </c>
      <c r="CA588" s="2">
        <f>Dashboard[[#This Row],[ret_hi_hh]]</f>
        <v>162</v>
      </c>
      <c r="CB588" s="2">
        <f>Dashboard[[#This Row],[idp_fa_hh]]+Dashboard[[#This Row],[ref_fa_hh]]+Dashboard[[#This Row],[ret_fa_hh]]</f>
        <v>40</v>
      </c>
      <c r="CC588" s="2">
        <f>Dashboard[[#This Row],[idp_loc_hh]]+Dashboard[[#This Row],[ref_loc_hh]]+Dashboard[[#This Row],[ret_loc_hh]]</f>
        <v>12</v>
      </c>
      <c r="CD588" s="2">
        <f>Dashboard[[#This Row],[idp_cc_hh]]+Dashboard[[#This Row],[ref_cc_hh]]+Dashboard[[#This Row],[ret_cc_hh]]</f>
        <v>0</v>
      </c>
      <c r="CE588" s="2">
        <f>Dashboard[[#This Row],[idp_as_hh]]+Dashboard[[#This Row],[ref_as_hh]]+Dashboard[[#This Row],[ret_as_hh]]</f>
        <v>1675</v>
      </c>
      <c r="CF588" s="2">
        <f>Dashboard[[#This Row],[idp_al_hh]]+Dashboard[[#This Row],[ref_al_hh]]+Dashboard[[#This Row],[ret_al_hh]]</f>
        <v>0</v>
      </c>
    </row>
    <row r="589" spans="1:84" hidden="1" x14ac:dyDescent="0.25">
      <c r="A589" s="27">
        <v>675</v>
      </c>
      <c r="B589" s="2" t="s">
        <v>22</v>
      </c>
      <c r="C589" s="2" t="s">
        <v>23</v>
      </c>
      <c r="D589" s="2" t="s">
        <v>48</v>
      </c>
      <c r="E589" s="2" t="s">
        <v>47</v>
      </c>
      <c r="F589" s="2" t="s">
        <v>62</v>
      </c>
      <c r="G589" s="2" t="s">
        <v>61</v>
      </c>
      <c r="H589" s="2" t="s">
        <v>1364</v>
      </c>
      <c r="I589" s="2" t="s">
        <v>503</v>
      </c>
      <c r="J589" s="2" t="s">
        <v>3352</v>
      </c>
      <c r="K589" s="2" t="s">
        <v>3353</v>
      </c>
      <c r="L589" s="2" t="s">
        <v>2074</v>
      </c>
      <c r="M589" s="2">
        <v>3632</v>
      </c>
      <c r="N589" s="2" t="s">
        <v>1658</v>
      </c>
      <c r="O589" s="2">
        <v>50</v>
      </c>
      <c r="P589" s="2">
        <v>259</v>
      </c>
      <c r="Q589" s="2" t="s">
        <v>1658</v>
      </c>
      <c r="R589" s="2">
        <v>38</v>
      </c>
      <c r="S589" s="2" t="s">
        <v>1658</v>
      </c>
      <c r="T589" s="2">
        <v>12</v>
      </c>
      <c r="U589" s="2" t="s">
        <v>1661</v>
      </c>
      <c r="V589" s="2" t="s">
        <v>32</v>
      </c>
      <c r="W589" s="2" t="s">
        <v>1660</v>
      </c>
      <c r="X589" s="2">
        <v>0</v>
      </c>
      <c r="Y589" s="2" t="s">
        <v>32</v>
      </c>
      <c r="Z589" s="2" t="s">
        <v>32</v>
      </c>
      <c r="AA589" s="2" t="s">
        <v>1660</v>
      </c>
      <c r="AB589" s="2">
        <v>0</v>
      </c>
      <c r="AC589" s="2" t="s">
        <v>1660</v>
      </c>
      <c r="AD589" s="2">
        <v>0</v>
      </c>
      <c r="AE589" s="2" t="s">
        <v>1660</v>
      </c>
      <c r="AF589" s="2">
        <v>0</v>
      </c>
      <c r="AG589" s="2">
        <v>0</v>
      </c>
      <c r="AH589" s="2" t="s">
        <v>32</v>
      </c>
      <c r="AI589" s="2" t="s">
        <v>32</v>
      </c>
      <c r="AJ589" s="2" t="s">
        <v>32</v>
      </c>
      <c r="AK589" s="2" t="s">
        <v>32</v>
      </c>
      <c r="AL589" s="2" t="s">
        <v>32</v>
      </c>
      <c r="AM589" s="2">
        <v>0</v>
      </c>
      <c r="AN589" s="2" t="s">
        <v>32</v>
      </c>
      <c r="AO589" s="2">
        <v>0</v>
      </c>
      <c r="AP589" s="2" t="s">
        <v>32</v>
      </c>
      <c r="AQ589" s="2" t="s">
        <v>32</v>
      </c>
      <c r="AR589" s="2" t="s">
        <v>32</v>
      </c>
      <c r="AS589" s="2">
        <v>0</v>
      </c>
      <c r="AT589" s="2" t="s">
        <v>32</v>
      </c>
      <c r="AU589" s="2" t="s">
        <v>32</v>
      </c>
      <c r="AV589" s="2" t="s">
        <v>32</v>
      </c>
      <c r="AW589" s="2">
        <v>0</v>
      </c>
      <c r="AX589" s="2" t="s">
        <v>32</v>
      </c>
      <c r="AY589" s="2">
        <v>0</v>
      </c>
      <c r="AZ589" s="2" t="s">
        <v>1660</v>
      </c>
      <c r="BA589" s="2">
        <v>0</v>
      </c>
      <c r="BB589" s="2">
        <v>0</v>
      </c>
      <c r="BC589" s="2" t="s">
        <v>32</v>
      </c>
      <c r="BD589" s="2">
        <v>0</v>
      </c>
      <c r="BE589" s="2" t="s">
        <v>32</v>
      </c>
      <c r="BF589" s="2">
        <v>0</v>
      </c>
      <c r="BG589" s="2" t="s">
        <v>32</v>
      </c>
      <c r="BH589" s="2">
        <v>0</v>
      </c>
      <c r="BI589" s="2" t="s">
        <v>32</v>
      </c>
      <c r="BJ589" s="2" t="s">
        <v>32</v>
      </c>
      <c r="BK589" s="2" t="s">
        <v>32</v>
      </c>
      <c r="BL589" s="2">
        <v>0</v>
      </c>
      <c r="BM589" s="2" t="s">
        <v>32</v>
      </c>
      <c r="BN589" s="2" t="s">
        <v>32</v>
      </c>
      <c r="BO589" s="2" t="s">
        <v>32</v>
      </c>
      <c r="BP589" s="2">
        <v>0</v>
      </c>
      <c r="BQ589" s="2" t="s">
        <v>32</v>
      </c>
      <c r="BR589" s="2">
        <v>0</v>
      </c>
      <c r="BS589" s="2" t="s">
        <v>1660</v>
      </c>
      <c r="BT589" s="2">
        <v>0</v>
      </c>
      <c r="BU589" s="2">
        <v>0</v>
      </c>
      <c r="BV589" s="2" t="s">
        <v>1660</v>
      </c>
      <c r="BW589" s="2"/>
      <c r="BX589" s="2"/>
      <c r="BY589" s="2" t="s">
        <v>1807</v>
      </c>
      <c r="BZ589" s="2" t="b">
        <f>OR( (Dashboard[[#This Row],[ref_as_hh]]&gt;=1),(Dashboard[[#This Row],[ret_as_hh]] &gt;=1), (Dashboard[[#This Row],[idp_as_hh]]&gt;=1))</f>
        <v>0</v>
      </c>
      <c r="CA589" s="2">
        <f>Dashboard[[#This Row],[ret_hi_hh]]</f>
        <v>0</v>
      </c>
      <c r="CB589" s="2">
        <f>Dashboard[[#This Row],[idp_fa_hh]]+Dashboard[[#This Row],[ref_fa_hh]]+Dashboard[[#This Row],[ret_fa_hh]]</f>
        <v>38</v>
      </c>
      <c r="CC589" s="2">
        <f>Dashboard[[#This Row],[idp_loc_hh]]+Dashboard[[#This Row],[ref_loc_hh]]+Dashboard[[#This Row],[ret_loc_hh]]</f>
        <v>12</v>
      </c>
      <c r="CD589" s="2">
        <f>Dashboard[[#This Row],[idp_cc_hh]]+Dashboard[[#This Row],[ref_cc_hh]]+Dashboard[[#This Row],[ret_cc_hh]]</f>
        <v>0</v>
      </c>
      <c r="CE589" s="2">
        <f>Dashboard[[#This Row],[idp_as_hh]]+Dashboard[[#This Row],[ref_as_hh]]+Dashboard[[#This Row],[ret_as_hh]]</f>
        <v>0</v>
      </c>
      <c r="CF589" s="2">
        <f>Dashboard[[#This Row],[idp_al_hh]]+Dashboard[[#This Row],[ref_al_hh]]+Dashboard[[#This Row],[ret_al_hh]]</f>
        <v>0</v>
      </c>
    </row>
    <row r="590" spans="1:84" hidden="1" x14ac:dyDescent="0.25">
      <c r="A590" s="27">
        <v>676</v>
      </c>
      <c r="B590" s="2" t="s">
        <v>22</v>
      </c>
      <c r="C590" s="2" t="s">
        <v>23</v>
      </c>
      <c r="D590" s="2" t="s">
        <v>48</v>
      </c>
      <c r="E590" s="2" t="s">
        <v>47</v>
      </c>
      <c r="F590" s="2" t="s">
        <v>62</v>
      </c>
      <c r="G590" s="2" t="s">
        <v>61</v>
      </c>
      <c r="H590" s="2" t="s">
        <v>1371</v>
      </c>
      <c r="I590" s="2" t="s">
        <v>509</v>
      </c>
      <c r="J590" s="2" t="s">
        <v>3368</v>
      </c>
      <c r="K590" s="2" t="s">
        <v>3369</v>
      </c>
      <c r="L590" s="2" t="s">
        <v>3693</v>
      </c>
      <c r="M590" s="2">
        <v>7200</v>
      </c>
      <c r="N590" s="2" t="s">
        <v>1658</v>
      </c>
      <c r="O590" s="2">
        <v>46</v>
      </c>
      <c r="P590" s="2">
        <v>236</v>
      </c>
      <c r="Q590" s="2" t="s">
        <v>1658</v>
      </c>
      <c r="R590" s="2">
        <v>30</v>
      </c>
      <c r="S590" s="2" t="s">
        <v>1658</v>
      </c>
      <c r="T590" s="2">
        <v>16</v>
      </c>
      <c r="U590" s="2" t="s">
        <v>1661</v>
      </c>
      <c r="V590" s="2" t="s">
        <v>32</v>
      </c>
      <c r="W590" s="2" t="s">
        <v>1660</v>
      </c>
      <c r="X590" s="2">
        <v>0</v>
      </c>
      <c r="Y590" s="2" t="s">
        <v>32</v>
      </c>
      <c r="Z590" s="2" t="s">
        <v>32</v>
      </c>
      <c r="AA590" s="2" t="s">
        <v>1660</v>
      </c>
      <c r="AB590" s="2">
        <v>0</v>
      </c>
      <c r="AC590" s="2" t="s">
        <v>1660</v>
      </c>
      <c r="AD590" s="2">
        <v>0</v>
      </c>
      <c r="AE590" s="2" t="s">
        <v>1660</v>
      </c>
      <c r="AF590" s="2">
        <v>0</v>
      </c>
      <c r="AG590" s="2">
        <v>0</v>
      </c>
      <c r="AH590" s="2" t="s">
        <v>32</v>
      </c>
      <c r="AI590" s="2" t="s">
        <v>32</v>
      </c>
      <c r="AJ590" s="2" t="s">
        <v>32</v>
      </c>
      <c r="AK590" s="2" t="s">
        <v>32</v>
      </c>
      <c r="AL590" s="2" t="s">
        <v>32</v>
      </c>
      <c r="AM590" s="2">
        <v>0</v>
      </c>
      <c r="AN590" s="2" t="s">
        <v>32</v>
      </c>
      <c r="AO590" s="2">
        <v>0</v>
      </c>
      <c r="AP590" s="2" t="s">
        <v>32</v>
      </c>
      <c r="AQ590" s="2" t="s">
        <v>32</v>
      </c>
      <c r="AR590" s="2" t="s">
        <v>32</v>
      </c>
      <c r="AS590" s="2">
        <v>0</v>
      </c>
      <c r="AT590" s="2" t="s">
        <v>32</v>
      </c>
      <c r="AU590" s="2" t="s">
        <v>32</v>
      </c>
      <c r="AV590" s="2" t="s">
        <v>32</v>
      </c>
      <c r="AW590" s="2">
        <v>0</v>
      </c>
      <c r="AX590" s="2" t="s">
        <v>32</v>
      </c>
      <c r="AY590" s="2">
        <v>0</v>
      </c>
      <c r="AZ590" s="2" t="s">
        <v>1660</v>
      </c>
      <c r="BA590" s="2">
        <v>0</v>
      </c>
      <c r="BB590" s="2">
        <v>0</v>
      </c>
      <c r="BC590" s="2" t="s">
        <v>32</v>
      </c>
      <c r="BD590" s="2">
        <v>0</v>
      </c>
      <c r="BE590" s="2" t="s">
        <v>32</v>
      </c>
      <c r="BF590" s="2">
        <v>0</v>
      </c>
      <c r="BG590" s="2" t="s">
        <v>32</v>
      </c>
      <c r="BH590" s="2">
        <v>0</v>
      </c>
      <c r="BI590" s="2" t="s">
        <v>32</v>
      </c>
      <c r="BJ590" s="2" t="s">
        <v>32</v>
      </c>
      <c r="BK590" s="2" t="s">
        <v>32</v>
      </c>
      <c r="BL590" s="2">
        <v>0</v>
      </c>
      <c r="BM590" s="2" t="s">
        <v>32</v>
      </c>
      <c r="BN590" s="2" t="s">
        <v>32</v>
      </c>
      <c r="BO590" s="2" t="s">
        <v>32</v>
      </c>
      <c r="BP590" s="2">
        <v>0</v>
      </c>
      <c r="BQ590" s="2" t="s">
        <v>32</v>
      </c>
      <c r="BR590" s="2">
        <v>0</v>
      </c>
      <c r="BS590" s="2" t="s">
        <v>1660</v>
      </c>
      <c r="BT590" s="2">
        <v>0</v>
      </c>
      <c r="BU590" s="2">
        <v>0</v>
      </c>
      <c r="BV590" s="2" t="s">
        <v>1660</v>
      </c>
      <c r="BW590" s="2"/>
      <c r="BX590" s="2"/>
      <c r="BY590" s="2" t="s">
        <v>1807</v>
      </c>
      <c r="BZ590" s="2" t="b">
        <f>OR( (Dashboard[[#This Row],[ref_as_hh]]&gt;=1),(Dashboard[[#This Row],[ret_as_hh]] &gt;=1), (Dashboard[[#This Row],[idp_as_hh]]&gt;=1))</f>
        <v>0</v>
      </c>
      <c r="CA590" s="2">
        <f>Dashboard[[#This Row],[ret_hi_hh]]</f>
        <v>0</v>
      </c>
      <c r="CB590" s="2">
        <f>Dashboard[[#This Row],[idp_fa_hh]]+Dashboard[[#This Row],[ref_fa_hh]]+Dashboard[[#This Row],[ret_fa_hh]]</f>
        <v>30</v>
      </c>
      <c r="CC590" s="2">
        <f>Dashboard[[#This Row],[idp_loc_hh]]+Dashboard[[#This Row],[ref_loc_hh]]+Dashboard[[#This Row],[ret_loc_hh]]</f>
        <v>16</v>
      </c>
      <c r="CD590" s="2">
        <f>Dashboard[[#This Row],[idp_cc_hh]]+Dashboard[[#This Row],[ref_cc_hh]]+Dashboard[[#This Row],[ret_cc_hh]]</f>
        <v>0</v>
      </c>
      <c r="CE590" s="2">
        <f>Dashboard[[#This Row],[idp_as_hh]]+Dashboard[[#This Row],[ref_as_hh]]+Dashboard[[#This Row],[ret_as_hh]]</f>
        <v>0</v>
      </c>
      <c r="CF590" s="2">
        <f>Dashboard[[#This Row],[idp_al_hh]]+Dashboard[[#This Row],[ref_al_hh]]+Dashboard[[#This Row],[ret_al_hh]]</f>
        <v>0</v>
      </c>
    </row>
    <row r="591" spans="1:84" hidden="1" x14ac:dyDescent="0.25">
      <c r="A591" s="27">
        <v>677</v>
      </c>
      <c r="B591" s="2" t="s">
        <v>22</v>
      </c>
      <c r="C591" s="2" t="s">
        <v>23</v>
      </c>
      <c r="D591" s="2" t="s">
        <v>48</v>
      </c>
      <c r="E591" s="2" t="s">
        <v>47</v>
      </c>
      <c r="F591" s="2" t="s">
        <v>62</v>
      </c>
      <c r="G591" s="2" t="s">
        <v>61</v>
      </c>
      <c r="H591" s="2" t="s">
        <v>1380</v>
      </c>
      <c r="I591" s="2" t="s">
        <v>515</v>
      </c>
      <c r="J591" s="2" t="s">
        <v>3388</v>
      </c>
      <c r="K591" s="2" t="s">
        <v>3389</v>
      </c>
      <c r="L591" s="2" t="s">
        <v>3693</v>
      </c>
      <c r="M591" s="2">
        <v>2820</v>
      </c>
      <c r="N591" s="2" t="s">
        <v>1658</v>
      </c>
      <c r="O591" s="2">
        <v>140</v>
      </c>
      <c r="P591" s="2">
        <v>409</v>
      </c>
      <c r="Q591" s="2" t="s">
        <v>1658</v>
      </c>
      <c r="R591" s="2">
        <v>47</v>
      </c>
      <c r="S591" s="2" t="s">
        <v>1658</v>
      </c>
      <c r="T591" s="2">
        <v>93</v>
      </c>
      <c r="U591" s="2" t="s">
        <v>1661</v>
      </c>
      <c r="V591" s="2" t="s">
        <v>32</v>
      </c>
      <c r="W591" s="2" t="s">
        <v>1660</v>
      </c>
      <c r="X591" s="2">
        <v>0</v>
      </c>
      <c r="Y591" s="2" t="s">
        <v>32</v>
      </c>
      <c r="Z591" s="2" t="s">
        <v>32</v>
      </c>
      <c r="AA591" s="2" t="s">
        <v>1660</v>
      </c>
      <c r="AB591" s="2">
        <v>0</v>
      </c>
      <c r="AC591" s="2" t="s">
        <v>1660</v>
      </c>
      <c r="AD591" s="2">
        <v>0</v>
      </c>
      <c r="AE591" s="2" t="s">
        <v>1660</v>
      </c>
      <c r="AF591" s="2">
        <v>0</v>
      </c>
      <c r="AG591" s="2">
        <v>0</v>
      </c>
      <c r="AH591" s="2" t="s">
        <v>32</v>
      </c>
      <c r="AI591" s="2" t="s">
        <v>32</v>
      </c>
      <c r="AJ591" s="2" t="s">
        <v>32</v>
      </c>
      <c r="AK591" s="2" t="s">
        <v>32</v>
      </c>
      <c r="AL591" s="2" t="s">
        <v>32</v>
      </c>
      <c r="AM591" s="2">
        <v>0</v>
      </c>
      <c r="AN591" s="2" t="s">
        <v>32</v>
      </c>
      <c r="AO591" s="2">
        <v>0</v>
      </c>
      <c r="AP591" s="2" t="s">
        <v>32</v>
      </c>
      <c r="AQ591" s="2" t="s">
        <v>32</v>
      </c>
      <c r="AR591" s="2" t="s">
        <v>32</v>
      </c>
      <c r="AS591" s="2">
        <v>0</v>
      </c>
      <c r="AT591" s="2" t="s">
        <v>32</v>
      </c>
      <c r="AU591" s="2" t="s">
        <v>32</v>
      </c>
      <c r="AV591" s="2" t="s">
        <v>32</v>
      </c>
      <c r="AW591" s="2">
        <v>0</v>
      </c>
      <c r="AX591" s="2" t="s">
        <v>32</v>
      </c>
      <c r="AY591" s="2">
        <v>0</v>
      </c>
      <c r="AZ591" s="2" t="s">
        <v>1660</v>
      </c>
      <c r="BA591" s="2">
        <v>0</v>
      </c>
      <c r="BB591" s="2">
        <v>0</v>
      </c>
      <c r="BC591" s="2" t="s">
        <v>32</v>
      </c>
      <c r="BD591" s="2">
        <v>0</v>
      </c>
      <c r="BE591" s="2" t="s">
        <v>32</v>
      </c>
      <c r="BF591" s="2">
        <v>0</v>
      </c>
      <c r="BG591" s="2" t="s">
        <v>32</v>
      </c>
      <c r="BH591" s="2">
        <v>0</v>
      </c>
      <c r="BI591" s="2" t="s">
        <v>32</v>
      </c>
      <c r="BJ591" s="2" t="s">
        <v>32</v>
      </c>
      <c r="BK591" s="2" t="s">
        <v>32</v>
      </c>
      <c r="BL591" s="2">
        <v>0</v>
      </c>
      <c r="BM591" s="2" t="s">
        <v>32</v>
      </c>
      <c r="BN591" s="2" t="s">
        <v>32</v>
      </c>
      <c r="BO591" s="2" t="s">
        <v>32</v>
      </c>
      <c r="BP591" s="2">
        <v>0</v>
      </c>
      <c r="BQ591" s="2" t="s">
        <v>32</v>
      </c>
      <c r="BR591" s="2">
        <v>0</v>
      </c>
      <c r="BS591" s="2" t="s">
        <v>1660</v>
      </c>
      <c r="BT591" s="2">
        <v>0</v>
      </c>
      <c r="BU591" s="2">
        <v>0</v>
      </c>
      <c r="BV591" s="2" t="s">
        <v>1660</v>
      </c>
      <c r="BW591" s="2"/>
      <c r="BX591" s="2"/>
      <c r="BY591" s="2" t="s">
        <v>1807</v>
      </c>
      <c r="BZ591" s="2" t="b">
        <f>OR( (Dashboard[[#This Row],[ref_as_hh]]&gt;=1),(Dashboard[[#This Row],[ret_as_hh]] &gt;=1), (Dashboard[[#This Row],[idp_as_hh]]&gt;=1))</f>
        <v>0</v>
      </c>
      <c r="CA591" s="2">
        <f>Dashboard[[#This Row],[ret_hi_hh]]</f>
        <v>0</v>
      </c>
      <c r="CB591" s="2">
        <f>Dashboard[[#This Row],[idp_fa_hh]]+Dashboard[[#This Row],[ref_fa_hh]]+Dashboard[[#This Row],[ret_fa_hh]]</f>
        <v>47</v>
      </c>
      <c r="CC591" s="2">
        <f>Dashboard[[#This Row],[idp_loc_hh]]+Dashboard[[#This Row],[ref_loc_hh]]+Dashboard[[#This Row],[ret_loc_hh]]</f>
        <v>93</v>
      </c>
      <c r="CD591" s="2">
        <f>Dashboard[[#This Row],[idp_cc_hh]]+Dashboard[[#This Row],[ref_cc_hh]]+Dashboard[[#This Row],[ret_cc_hh]]</f>
        <v>0</v>
      </c>
      <c r="CE591" s="2">
        <f>Dashboard[[#This Row],[idp_as_hh]]+Dashboard[[#This Row],[ref_as_hh]]+Dashboard[[#This Row],[ret_as_hh]]</f>
        <v>0</v>
      </c>
      <c r="CF591" s="2">
        <f>Dashboard[[#This Row],[idp_al_hh]]+Dashboard[[#This Row],[ref_al_hh]]+Dashboard[[#This Row],[ret_al_hh]]</f>
        <v>0</v>
      </c>
    </row>
    <row r="592" spans="1:84" hidden="1" x14ac:dyDescent="0.25">
      <c r="A592" s="27">
        <v>678</v>
      </c>
      <c r="B592" s="2" t="s">
        <v>22</v>
      </c>
      <c r="C592" s="2" t="s">
        <v>23</v>
      </c>
      <c r="D592" s="2" t="s">
        <v>48</v>
      </c>
      <c r="E592" s="2" t="s">
        <v>47</v>
      </c>
      <c r="F592" s="2" t="s">
        <v>62</v>
      </c>
      <c r="G592" s="2" t="s">
        <v>61</v>
      </c>
      <c r="H592" s="2" t="s">
        <v>1382</v>
      </c>
      <c r="I592" s="2" t="s">
        <v>517</v>
      </c>
      <c r="J592" s="2" t="s">
        <v>3392</v>
      </c>
      <c r="K592" s="2" t="s">
        <v>3393</v>
      </c>
      <c r="L592" s="2" t="s">
        <v>2074</v>
      </c>
      <c r="M592" s="2">
        <v>2220</v>
      </c>
      <c r="N592" s="2" t="s">
        <v>1658</v>
      </c>
      <c r="O592" s="2">
        <v>102</v>
      </c>
      <c r="P592" s="2">
        <v>507</v>
      </c>
      <c r="Q592" s="2" t="s">
        <v>1658</v>
      </c>
      <c r="R592" s="2">
        <v>21</v>
      </c>
      <c r="S592" s="2" t="s">
        <v>1658</v>
      </c>
      <c r="T592" s="2">
        <v>81</v>
      </c>
      <c r="U592" s="2" t="s">
        <v>1661</v>
      </c>
      <c r="V592" s="2" t="s">
        <v>32</v>
      </c>
      <c r="W592" s="2" t="s">
        <v>1660</v>
      </c>
      <c r="X592" s="2">
        <v>0</v>
      </c>
      <c r="Y592" s="2" t="s">
        <v>32</v>
      </c>
      <c r="Z592" s="2" t="s">
        <v>32</v>
      </c>
      <c r="AA592" s="2" t="s">
        <v>1660</v>
      </c>
      <c r="AB592" s="2">
        <v>0</v>
      </c>
      <c r="AC592" s="2" t="s">
        <v>1660</v>
      </c>
      <c r="AD592" s="2">
        <v>0</v>
      </c>
      <c r="AE592" s="2" t="s">
        <v>1660</v>
      </c>
      <c r="AF592" s="2">
        <v>0</v>
      </c>
      <c r="AG592" s="2">
        <v>0</v>
      </c>
      <c r="AH592" s="2" t="s">
        <v>32</v>
      </c>
      <c r="AI592" s="2" t="s">
        <v>32</v>
      </c>
      <c r="AJ592" s="2" t="s">
        <v>32</v>
      </c>
      <c r="AK592" s="2" t="s">
        <v>32</v>
      </c>
      <c r="AL592" s="2" t="s">
        <v>32</v>
      </c>
      <c r="AM592" s="2">
        <v>0</v>
      </c>
      <c r="AN592" s="2" t="s">
        <v>32</v>
      </c>
      <c r="AO592" s="2">
        <v>0</v>
      </c>
      <c r="AP592" s="2" t="s">
        <v>32</v>
      </c>
      <c r="AQ592" s="2" t="s">
        <v>32</v>
      </c>
      <c r="AR592" s="2" t="s">
        <v>32</v>
      </c>
      <c r="AS592" s="2">
        <v>0</v>
      </c>
      <c r="AT592" s="2" t="s">
        <v>32</v>
      </c>
      <c r="AU592" s="2" t="s">
        <v>32</v>
      </c>
      <c r="AV592" s="2" t="s">
        <v>32</v>
      </c>
      <c r="AW592" s="2">
        <v>0</v>
      </c>
      <c r="AX592" s="2" t="s">
        <v>32</v>
      </c>
      <c r="AY592" s="2">
        <v>0</v>
      </c>
      <c r="AZ592" s="2" t="s">
        <v>1660</v>
      </c>
      <c r="BA592" s="2">
        <v>0</v>
      </c>
      <c r="BB592" s="2">
        <v>0</v>
      </c>
      <c r="BC592" s="2" t="s">
        <v>32</v>
      </c>
      <c r="BD592" s="2">
        <v>0</v>
      </c>
      <c r="BE592" s="2" t="s">
        <v>32</v>
      </c>
      <c r="BF592" s="2">
        <v>0</v>
      </c>
      <c r="BG592" s="2" t="s">
        <v>32</v>
      </c>
      <c r="BH592" s="2">
        <v>0</v>
      </c>
      <c r="BI592" s="2" t="s">
        <v>32</v>
      </c>
      <c r="BJ592" s="2" t="s">
        <v>32</v>
      </c>
      <c r="BK592" s="2" t="s">
        <v>32</v>
      </c>
      <c r="BL592" s="2">
        <v>0</v>
      </c>
      <c r="BM592" s="2" t="s">
        <v>32</v>
      </c>
      <c r="BN592" s="2" t="s">
        <v>32</v>
      </c>
      <c r="BO592" s="2" t="s">
        <v>32</v>
      </c>
      <c r="BP592" s="2">
        <v>0</v>
      </c>
      <c r="BQ592" s="2" t="s">
        <v>32</v>
      </c>
      <c r="BR592" s="2">
        <v>0</v>
      </c>
      <c r="BS592" s="2" t="s">
        <v>1660</v>
      </c>
      <c r="BT592" s="2">
        <v>0</v>
      </c>
      <c r="BU592" s="2">
        <v>0</v>
      </c>
      <c r="BV592" s="2" t="s">
        <v>1660</v>
      </c>
      <c r="BW592" s="2"/>
      <c r="BX592" s="2"/>
      <c r="BY592" s="2" t="s">
        <v>1807</v>
      </c>
      <c r="BZ592" s="2" t="b">
        <f>OR( (Dashboard[[#This Row],[ref_as_hh]]&gt;=1),(Dashboard[[#This Row],[ret_as_hh]] &gt;=1), (Dashboard[[#This Row],[idp_as_hh]]&gt;=1))</f>
        <v>0</v>
      </c>
      <c r="CA592" s="2">
        <f>Dashboard[[#This Row],[ret_hi_hh]]</f>
        <v>0</v>
      </c>
      <c r="CB592" s="2">
        <f>Dashboard[[#This Row],[idp_fa_hh]]+Dashboard[[#This Row],[ref_fa_hh]]+Dashboard[[#This Row],[ret_fa_hh]]</f>
        <v>21</v>
      </c>
      <c r="CC592" s="2">
        <f>Dashboard[[#This Row],[idp_loc_hh]]+Dashboard[[#This Row],[ref_loc_hh]]+Dashboard[[#This Row],[ret_loc_hh]]</f>
        <v>81</v>
      </c>
      <c r="CD592" s="2">
        <f>Dashboard[[#This Row],[idp_cc_hh]]+Dashboard[[#This Row],[ref_cc_hh]]+Dashboard[[#This Row],[ret_cc_hh]]</f>
        <v>0</v>
      </c>
      <c r="CE592" s="2">
        <f>Dashboard[[#This Row],[idp_as_hh]]+Dashboard[[#This Row],[ref_as_hh]]+Dashboard[[#This Row],[ret_as_hh]]</f>
        <v>0</v>
      </c>
      <c r="CF592" s="2">
        <f>Dashboard[[#This Row],[idp_al_hh]]+Dashboard[[#This Row],[ref_al_hh]]+Dashboard[[#This Row],[ret_al_hh]]</f>
        <v>0</v>
      </c>
    </row>
    <row r="593" spans="1:84" hidden="1" x14ac:dyDescent="0.25">
      <c r="A593" s="27">
        <v>680</v>
      </c>
      <c r="B593" s="2" t="s">
        <v>22</v>
      </c>
      <c r="C593" s="2" t="s">
        <v>23</v>
      </c>
      <c r="D593" s="2" t="s">
        <v>48</v>
      </c>
      <c r="E593" s="2" t="s">
        <v>47</v>
      </c>
      <c r="F593" s="2" t="s">
        <v>62</v>
      </c>
      <c r="G593" s="2" t="s">
        <v>61</v>
      </c>
      <c r="H593" s="2" t="s">
        <v>1384</v>
      </c>
      <c r="I593" s="2" t="s">
        <v>519</v>
      </c>
      <c r="J593" s="2" t="s">
        <v>3396</v>
      </c>
      <c r="K593" s="2" t="s">
        <v>3397</v>
      </c>
      <c r="L593" s="2" t="s">
        <v>2074</v>
      </c>
      <c r="M593" s="2">
        <v>2500</v>
      </c>
      <c r="N593" s="2" t="s">
        <v>1658</v>
      </c>
      <c r="O593" s="2">
        <v>76</v>
      </c>
      <c r="P593" s="2">
        <v>168</v>
      </c>
      <c r="Q593" s="2" t="s">
        <v>1658</v>
      </c>
      <c r="R593" s="2">
        <v>16</v>
      </c>
      <c r="S593" s="2" t="s">
        <v>1658</v>
      </c>
      <c r="T593" s="2">
        <v>60</v>
      </c>
      <c r="U593" s="2" t="s">
        <v>1661</v>
      </c>
      <c r="V593" s="2" t="s">
        <v>32</v>
      </c>
      <c r="W593" s="2" t="s">
        <v>1660</v>
      </c>
      <c r="X593" s="2">
        <v>0</v>
      </c>
      <c r="Y593" s="2" t="s">
        <v>32</v>
      </c>
      <c r="Z593" s="2" t="s">
        <v>32</v>
      </c>
      <c r="AA593" s="2" t="s">
        <v>1660</v>
      </c>
      <c r="AB593" s="2">
        <v>0</v>
      </c>
      <c r="AC593" s="2" t="s">
        <v>1660</v>
      </c>
      <c r="AD593" s="2">
        <v>0</v>
      </c>
      <c r="AE593" s="2" t="s">
        <v>1660</v>
      </c>
      <c r="AF593" s="2">
        <v>0</v>
      </c>
      <c r="AG593" s="2">
        <v>0</v>
      </c>
      <c r="AH593" s="2" t="s">
        <v>32</v>
      </c>
      <c r="AI593" s="2" t="s">
        <v>32</v>
      </c>
      <c r="AJ593" s="2" t="s">
        <v>32</v>
      </c>
      <c r="AK593" s="2" t="s">
        <v>32</v>
      </c>
      <c r="AL593" s="2" t="s">
        <v>32</v>
      </c>
      <c r="AM593" s="2">
        <v>0</v>
      </c>
      <c r="AN593" s="2" t="s">
        <v>32</v>
      </c>
      <c r="AO593" s="2">
        <v>0</v>
      </c>
      <c r="AP593" s="2" t="s">
        <v>32</v>
      </c>
      <c r="AQ593" s="2" t="s">
        <v>32</v>
      </c>
      <c r="AR593" s="2" t="s">
        <v>32</v>
      </c>
      <c r="AS593" s="2">
        <v>0</v>
      </c>
      <c r="AT593" s="2" t="s">
        <v>32</v>
      </c>
      <c r="AU593" s="2" t="s">
        <v>32</v>
      </c>
      <c r="AV593" s="2" t="s">
        <v>32</v>
      </c>
      <c r="AW593" s="2">
        <v>0</v>
      </c>
      <c r="AX593" s="2" t="s">
        <v>32</v>
      </c>
      <c r="AY593" s="2">
        <v>0</v>
      </c>
      <c r="AZ593" s="2" t="s">
        <v>1660</v>
      </c>
      <c r="BA593" s="2">
        <v>0</v>
      </c>
      <c r="BB593" s="2">
        <v>0</v>
      </c>
      <c r="BC593" s="2" t="s">
        <v>32</v>
      </c>
      <c r="BD593" s="2">
        <v>0</v>
      </c>
      <c r="BE593" s="2" t="s">
        <v>32</v>
      </c>
      <c r="BF593" s="2">
        <v>0</v>
      </c>
      <c r="BG593" s="2" t="s">
        <v>32</v>
      </c>
      <c r="BH593" s="2">
        <v>0</v>
      </c>
      <c r="BI593" s="2" t="s">
        <v>32</v>
      </c>
      <c r="BJ593" s="2" t="s">
        <v>32</v>
      </c>
      <c r="BK593" s="2" t="s">
        <v>32</v>
      </c>
      <c r="BL593" s="2">
        <v>0</v>
      </c>
      <c r="BM593" s="2" t="s">
        <v>32</v>
      </c>
      <c r="BN593" s="2" t="s">
        <v>32</v>
      </c>
      <c r="BO593" s="2" t="s">
        <v>32</v>
      </c>
      <c r="BP593" s="2">
        <v>0</v>
      </c>
      <c r="BQ593" s="2" t="s">
        <v>32</v>
      </c>
      <c r="BR593" s="2">
        <v>0</v>
      </c>
      <c r="BS593" s="2" t="s">
        <v>1660</v>
      </c>
      <c r="BT593" s="2">
        <v>0</v>
      </c>
      <c r="BU593" s="2">
        <v>0</v>
      </c>
      <c r="BV593" s="2" t="s">
        <v>1660</v>
      </c>
      <c r="BW593" s="2"/>
      <c r="BX593" s="2"/>
      <c r="BY593" s="2" t="s">
        <v>1807</v>
      </c>
      <c r="BZ593" s="2" t="b">
        <f>OR( (Dashboard[[#This Row],[ref_as_hh]]&gt;=1),(Dashboard[[#This Row],[ret_as_hh]] &gt;=1), (Dashboard[[#This Row],[idp_as_hh]]&gt;=1))</f>
        <v>0</v>
      </c>
      <c r="CA593" s="2">
        <f>Dashboard[[#This Row],[ret_hi_hh]]</f>
        <v>0</v>
      </c>
      <c r="CB593" s="2">
        <f>Dashboard[[#This Row],[idp_fa_hh]]+Dashboard[[#This Row],[ref_fa_hh]]+Dashboard[[#This Row],[ret_fa_hh]]</f>
        <v>16</v>
      </c>
      <c r="CC593" s="2">
        <f>Dashboard[[#This Row],[idp_loc_hh]]+Dashboard[[#This Row],[ref_loc_hh]]+Dashboard[[#This Row],[ret_loc_hh]]</f>
        <v>60</v>
      </c>
      <c r="CD593" s="2">
        <f>Dashboard[[#This Row],[idp_cc_hh]]+Dashboard[[#This Row],[ref_cc_hh]]+Dashboard[[#This Row],[ret_cc_hh]]</f>
        <v>0</v>
      </c>
      <c r="CE593" s="2">
        <f>Dashboard[[#This Row],[idp_as_hh]]+Dashboard[[#This Row],[ref_as_hh]]+Dashboard[[#This Row],[ret_as_hh]]</f>
        <v>0</v>
      </c>
      <c r="CF593" s="2">
        <f>Dashboard[[#This Row],[idp_al_hh]]+Dashboard[[#This Row],[ref_al_hh]]+Dashboard[[#This Row],[ret_al_hh]]</f>
        <v>0</v>
      </c>
    </row>
    <row r="594" spans="1:84" hidden="1" x14ac:dyDescent="0.25">
      <c r="A594" s="27">
        <v>684</v>
      </c>
      <c r="B594" s="2" t="s">
        <v>22</v>
      </c>
      <c r="C594" s="2" t="s">
        <v>23</v>
      </c>
      <c r="D594" s="2" t="s">
        <v>48</v>
      </c>
      <c r="E594" s="2" t="s">
        <v>47</v>
      </c>
      <c r="F594" s="2" t="s">
        <v>62</v>
      </c>
      <c r="G594" s="2" t="s">
        <v>61</v>
      </c>
      <c r="H594" s="2" t="s">
        <v>1385</v>
      </c>
      <c r="I594" s="2" t="s">
        <v>520</v>
      </c>
      <c r="J594" s="2" t="s">
        <v>3398</v>
      </c>
      <c r="K594" s="2" t="s">
        <v>3399</v>
      </c>
      <c r="L594" s="2" t="s">
        <v>2074</v>
      </c>
      <c r="M594" s="2">
        <v>4237</v>
      </c>
      <c r="N594" s="2" t="s">
        <v>1658</v>
      </c>
      <c r="O594" s="2">
        <v>58</v>
      </c>
      <c r="P594" s="2">
        <v>349</v>
      </c>
      <c r="Q594" s="2" t="s">
        <v>1658</v>
      </c>
      <c r="R594" s="2">
        <v>50</v>
      </c>
      <c r="S594" s="2" t="s">
        <v>1658</v>
      </c>
      <c r="T594" s="2">
        <v>8</v>
      </c>
      <c r="U594" s="2" t="s">
        <v>1661</v>
      </c>
      <c r="V594" s="2" t="s">
        <v>32</v>
      </c>
      <c r="W594" s="2" t="s">
        <v>1660</v>
      </c>
      <c r="X594" s="2">
        <v>0</v>
      </c>
      <c r="Y594" s="2" t="s">
        <v>32</v>
      </c>
      <c r="Z594" s="2" t="s">
        <v>32</v>
      </c>
      <c r="AA594" s="2" t="s">
        <v>1660</v>
      </c>
      <c r="AB594" s="2">
        <v>0</v>
      </c>
      <c r="AC594" s="2" t="s">
        <v>1660</v>
      </c>
      <c r="AD594" s="2">
        <v>0</v>
      </c>
      <c r="AE594" s="2" t="s">
        <v>1660</v>
      </c>
      <c r="AF594" s="2">
        <v>0</v>
      </c>
      <c r="AG594" s="2">
        <v>0</v>
      </c>
      <c r="AH594" s="2" t="s">
        <v>32</v>
      </c>
      <c r="AI594" s="2" t="s">
        <v>32</v>
      </c>
      <c r="AJ594" s="2" t="s">
        <v>32</v>
      </c>
      <c r="AK594" s="2" t="s">
        <v>32</v>
      </c>
      <c r="AL594" s="2" t="s">
        <v>32</v>
      </c>
      <c r="AM594" s="2">
        <v>0</v>
      </c>
      <c r="AN594" s="2" t="s">
        <v>32</v>
      </c>
      <c r="AO594" s="2">
        <v>0</v>
      </c>
      <c r="AP594" s="2" t="s">
        <v>32</v>
      </c>
      <c r="AQ594" s="2" t="s">
        <v>32</v>
      </c>
      <c r="AR594" s="2" t="s">
        <v>32</v>
      </c>
      <c r="AS594" s="2">
        <v>0</v>
      </c>
      <c r="AT594" s="2" t="s">
        <v>32</v>
      </c>
      <c r="AU594" s="2" t="s">
        <v>32</v>
      </c>
      <c r="AV594" s="2" t="s">
        <v>32</v>
      </c>
      <c r="AW594" s="2">
        <v>0</v>
      </c>
      <c r="AX594" s="2" t="s">
        <v>32</v>
      </c>
      <c r="AY594" s="2">
        <v>0</v>
      </c>
      <c r="AZ594" s="2" t="s">
        <v>1660</v>
      </c>
      <c r="BA594" s="2">
        <v>0</v>
      </c>
      <c r="BB594" s="2">
        <v>0</v>
      </c>
      <c r="BC594" s="2" t="s">
        <v>32</v>
      </c>
      <c r="BD594" s="2">
        <v>0</v>
      </c>
      <c r="BE594" s="2" t="s">
        <v>32</v>
      </c>
      <c r="BF594" s="2">
        <v>0</v>
      </c>
      <c r="BG594" s="2" t="s">
        <v>32</v>
      </c>
      <c r="BH594" s="2">
        <v>0</v>
      </c>
      <c r="BI594" s="2" t="s">
        <v>32</v>
      </c>
      <c r="BJ594" s="2" t="s">
        <v>32</v>
      </c>
      <c r="BK594" s="2" t="s">
        <v>32</v>
      </c>
      <c r="BL594" s="2">
        <v>0</v>
      </c>
      <c r="BM594" s="2" t="s">
        <v>32</v>
      </c>
      <c r="BN594" s="2" t="s">
        <v>32</v>
      </c>
      <c r="BO594" s="2" t="s">
        <v>32</v>
      </c>
      <c r="BP594" s="2">
        <v>0</v>
      </c>
      <c r="BQ594" s="2" t="s">
        <v>32</v>
      </c>
      <c r="BR594" s="2">
        <v>0</v>
      </c>
      <c r="BS594" s="2" t="s">
        <v>1660</v>
      </c>
      <c r="BT594" s="2">
        <v>0</v>
      </c>
      <c r="BU594" s="2">
        <v>0</v>
      </c>
      <c r="BV594" s="2" t="s">
        <v>1660</v>
      </c>
      <c r="BW594" s="2"/>
      <c r="BX594" s="2"/>
      <c r="BY594" s="2" t="s">
        <v>1807</v>
      </c>
      <c r="BZ594" s="2" t="b">
        <f>OR( (Dashboard[[#This Row],[ref_as_hh]]&gt;=1),(Dashboard[[#This Row],[ret_as_hh]] &gt;=1), (Dashboard[[#This Row],[idp_as_hh]]&gt;=1))</f>
        <v>0</v>
      </c>
      <c r="CA594" s="2">
        <f>Dashboard[[#This Row],[ret_hi_hh]]</f>
        <v>0</v>
      </c>
      <c r="CB594" s="2">
        <f>Dashboard[[#This Row],[idp_fa_hh]]+Dashboard[[#This Row],[ref_fa_hh]]+Dashboard[[#This Row],[ret_fa_hh]]</f>
        <v>50</v>
      </c>
      <c r="CC594" s="2">
        <f>Dashboard[[#This Row],[idp_loc_hh]]+Dashboard[[#This Row],[ref_loc_hh]]+Dashboard[[#This Row],[ret_loc_hh]]</f>
        <v>8</v>
      </c>
      <c r="CD594" s="2">
        <f>Dashboard[[#This Row],[idp_cc_hh]]+Dashboard[[#This Row],[ref_cc_hh]]+Dashboard[[#This Row],[ret_cc_hh]]</f>
        <v>0</v>
      </c>
      <c r="CE594" s="2">
        <f>Dashboard[[#This Row],[idp_as_hh]]+Dashboard[[#This Row],[ref_as_hh]]+Dashboard[[#This Row],[ret_as_hh]]</f>
        <v>0</v>
      </c>
      <c r="CF594" s="2">
        <f>Dashboard[[#This Row],[idp_al_hh]]+Dashboard[[#This Row],[ref_al_hh]]+Dashboard[[#This Row],[ret_al_hh]]</f>
        <v>0</v>
      </c>
    </row>
    <row r="595" spans="1:84" hidden="1" x14ac:dyDescent="0.25">
      <c r="A595" s="27">
        <v>685</v>
      </c>
      <c r="B595" s="2" t="s">
        <v>22</v>
      </c>
      <c r="C595" s="2" t="s">
        <v>23</v>
      </c>
      <c r="D595" s="2" t="s">
        <v>48</v>
      </c>
      <c r="E595" s="2" t="s">
        <v>47</v>
      </c>
      <c r="F595" s="2" t="s">
        <v>62</v>
      </c>
      <c r="G595" s="2" t="s">
        <v>61</v>
      </c>
      <c r="H595" s="2" t="s">
        <v>1391</v>
      </c>
      <c r="I595" s="2" t="s">
        <v>526</v>
      </c>
      <c r="J595" s="2" t="s">
        <v>3410</v>
      </c>
      <c r="K595" s="2" t="s">
        <v>3411</v>
      </c>
      <c r="L595" s="2" t="s">
        <v>2074</v>
      </c>
      <c r="M595" s="2">
        <v>2174</v>
      </c>
      <c r="N595" s="2" t="s">
        <v>1658</v>
      </c>
      <c r="O595" s="2">
        <v>133</v>
      </c>
      <c r="P595" s="2">
        <v>540</v>
      </c>
      <c r="Q595" s="2" t="s">
        <v>1658</v>
      </c>
      <c r="R595" s="2">
        <v>20</v>
      </c>
      <c r="S595" s="2" t="s">
        <v>1658</v>
      </c>
      <c r="T595" s="2">
        <v>113</v>
      </c>
      <c r="U595" s="2" t="s">
        <v>1661</v>
      </c>
      <c r="V595" s="2" t="s">
        <v>32</v>
      </c>
      <c r="W595" s="2" t="s">
        <v>1660</v>
      </c>
      <c r="X595" s="2">
        <v>0</v>
      </c>
      <c r="Y595" s="2" t="s">
        <v>32</v>
      </c>
      <c r="Z595" s="2" t="s">
        <v>32</v>
      </c>
      <c r="AA595" s="2" t="s">
        <v>1660</v>
      </c>
      <c r="AB595" s="2">
        <v>0</v>
      </c>
      <c r="AC595" s="2" t="s">
        <v>1660</v>
      </c>
      <c r="AD595" s="2">
        <v>0</v>
      </c>
      <c r="AE595" s="2" t="s">
        <v>1660</v>
      </c>
      <c r="AF595" s="2">
        <v>0</v>
      </c>
      <c r="AG595" s="2">
        <v>0</v>
      </c>
      <c r="AH595" s="2" t="s">
        <v>32</v>
      </c>
      <c r="AI595" s="2" t="s">
        <v>32</v>
      </c>
      <c r="AJ595" s="2" t="s">
        <v>32</v>
      </c>
      <c r="AK595" s="2" t="s">
        <v>32</v>
      </c>
      <c r="AL595" s="2" t="s">
        <v>32</v>
      </c>
      <c r="AM595" s="2">
        <v>0</v>
      </c>
      <c r="AN595" s="2" t="s">
        <v>32</v>
      </c>
      <c r="AO595" s="2">
        <v>0</v>
      </c>
      <c r="AP595" s="2" t="s">
        <v>32</v>
      </c>
      <c r="AQ595" s="2" t="s">
        <v>32</v>
      </c>
      <c r="AR595" s="2" t="s">
        <v>32</v>
      </c>
      <c r="AS595" s="2">
        <v>0</v>
      </c>
      <c r="AT595" s="2" t="s">
        <v>32</v>
      </c>
      <c r="AU595" s="2" t="s">
        <v>32</v>
      </c>
      <c r="AV595" s="2" t="s">
        <v>32</v>
      </c>
      <c r="AW595" s="2">
        <v>0</v>
      </c>
      <c r="AX595" s="2" t="s">
        <v>32</v>
      </c>
      <c r="AY595" s="2">
        <v>0</v>
      </c>
      <c r="AZ595" s="2" t="s">
        <v>1660</v>
      </c>
      <c r="BA595" s="2">
        <v>0</v>
      </c>
      <c r="BB595" s="2">
        <v>0</v>
      </c>
      <c r="BC595" s="2" t="s">
        <v>32</v>
      </c>
      <c r="BD595" s="2">
        <v>0</v>
      </c>
      <c r="BE595" s="2" t="s">
        <v>32</v>
      </c>
      <c r="BF595" s="2">
        <v>0</v>
      </c>
      <c r="BG595" s="2" t="s">
        <v>32</v>
      </c>
      <c r="BH595" s="2">
        <v>0</v>
      </c>
      <c r="BI595" s="2" t="s">
        <v>32</v>
      </c>
      <c r="BJ595" s="2" t="s">
        <v>32</v>
      </c>
      <c r="BK595" s="2" t="s">
        <v>32</v>
      </c>
      <c r="BL595" s="2">
        <v>0</v>
      </c>
      <c r="BM595" s="2" t="s">
        <v>32</v>
      </c>
      <c r="BN595" s="2" t="s">
        <v>32</v>
      </c>
      <c r="BO595" s="2" t="s">
        <v>32</v>
      </c>
      <c r="BP595" s="2">
        <v>0</v>
      </c>
      <c r="BQ595" s="2" t="s">
        <v>32</v>
      </c>
      <c r="BR595" s="2">
        <v>0</v>
      </c>
      <c r="BS595" s="2" t="s">
        <v>1660</v>
      </c>
      <c r="BT595" s="2">
        <v>0</v>
      </c>
      <c r="BU595" s="2">
        <v>0</v>
      </c>
      <c r="BV595" s="2" t="s">
        <v>1660</v>
      </c>
      <c r="BW595" s="2"/>
      <c r="BX595" s="2"/>
      <c r="BY595" s="2" t="s">
        <v>1807</v>
      </c>
      <c r="BZ595" s="2" t="b">
        <f>OR( (Dashboard[[#This Row],[ref_as_hh]]&gt;=1),(Dashboard[[#This Row],[ret_as_hh]] &gt;=1), (Dashboard[[#This Row],[idp_as_hh]]&gt;=1))</f>
        <v>0</v>
      </c>
      <c r="CA595" s="2">
        <f>Dashboard[[#This Row],[ret_hi_hh]]</f>
        <v>0</v>
      </c>
      <c r="CB595" s="2">
        <f>Dashboard[[#This Row],[idp_fa_hh]]+Dashboard[[#This Row],[ref_fa_hh]]+Dashboard[[#This Row],[ret_fa_hh]]</f>
        <v>20</v>
      </c>
      <c r="CC595" s="2">
        <f>Dashboard[[#This Row],[idp_loc_hh]]+Dashboard[[#This Row],[ref_loc_hh]]+Dashboard[[#This Row],[ret_loc_hh]]</f>
        <v>113</v>
      </c>
      <c r="CD595" s="2">
        <f>Dashboard[[#This Row],[idp_cc_hh]]+Dashboard[[#This Row],[ref_cc_hh]]+Dashboard[[#This Row],[ret_cc_hh]]</f>
        <v>0</v>
      </c>
      <c r="CE595" s="2">
        <f>Dashboard[[#This Row],[idp_as_hh]]+Dashboard[[#This Row],[ref_as_hh]]+Dashboard[[#This Row],[ret_as_hh]]</f>
        <v>0</v>
      </c>
      <c r="CF595" s="2">
        <f>Dashboard[[#This Row],[idp_al_hh]]+Dashboard[[#This Row],[ref_al_hh]]+Dashboard[[#This Row],[ret_al_hh]]</f>
        <v>0</v>
      </c>
    </row>
    <row r="596" spans="1:84" hidden="1" x14ac:dyDescent="0.25">
      <c r="A596" s="27">
        <v>686</v>
      </c>
      <c r="B596" s="2" t="s">
        <v>22</v>
      </c>
      <c r="C596" s="2" t="s">
        <v>23</v>
      </c>
      <c r="D596" s="2" t="s">
        <v>48</v>
      </c>
      <c r="E596" s="2" t="s">
        <v>47</v>
      </c>
      <c r="F596" s="2" t="s">
        <v>62</v>
      </c>
      <c r="G596" s="2" t="s">
        <v>61</v>
      </c>
      <c r="H596" s="2" t="s">
        <v>1390</v>
      </c>
      <c r="I596" s="2" t="s">
        <v>525</v>
      </c>
      <c r="J596" s="2" t="s">
        <v>3408</v>
      </c>
      <c r="K596" s="2" t="s">
        <v>3409</v>
      </c>
      <c r="L596" s="2" t="s">
        <v>2074</v>
      </c>
      <c r="M596" s="2">
        <v>1995</v>
      </c>
      <c r="N596" s="2" t="s">
        <v>1658</v>
      </c>
      <c r="O596" s="2">
        <v>118</v>
      </c>
      <c r="P596" s="2">
        <v>417</v>
      </c>
      <c r="Q596" s="2" t="s">
        <v>1658</v>
      </c>
      <c r="R596" s="2">
        <v>16</v>
      </c>
      <c r="S596" s="2" t="s">
        <v>1658</v>
      </c>
      <c r="T596" s="2">
        <v>102</v>
      </c>
      <c r="U596" s="2" t="s">
        <v>1661</v>
      </c>
      <c r="V596" s="2" t="s">
        <v>32</v>
      </c>
      <c r="W596" s="2" t="s">
        <v>1660</v>
      </c>
      <c r="X596" s="2">
        <v>0</v>
      </c>
      <c r="Y596" s="2" t="s">
        <v>32</v>
      </c>
      <c r="Z596" s="2" t="s">
        <v>32</v>
      </c>
      <c r="AA596" s="2" t="s">
        <v>1660</v>
      </c>
      <c r="AB596" s="2">
        <v>0</v>
      </c>
      <c r="AC596" s="2" t="s">
        <v>1660</v>
      </c>
      <c r="AD596" s="2">
        <v>0</v>
      </c>
      <c r="AE596" s="2" t="s">
        <v>1660</v>
      </c>
      <c r="AF596" s="2">
        <v>0</v>
      </c>
      <c r="AG596" s="2">
        <v>0</v>
      </c>
      <c r="AH596" s="2" t="s">
        <v>32</v>
      </c>
      <c r="AI596" s="2" t="s">
        <v>32</v>
      </c>
      <c r="AJ596" s="2" t="s">
        <v>32</v>
      </c>
      <c r="AK596" s="2" t="s">
        <v>32</v>
      </c>
      <c r="AL596" s="2" t="s">
        <v>32</v>
      </c>
      <c r="AM596" s="2">
        <v>0</v>
      </c>
      <c r="AN596" s="2" t="s">
        <v>32</v>
      </c>
      <c r="AO596" s="2">
        <v>0</v>
      </c>
      <c r="AP596" s="2" t="s">
        <v>32</v>
      </c>
      <c r="AQ596" s="2" t="s">
        <v>32</v>
      </c>
      <c r="AR596" s="2" t="s">
        <v>32</v>
      </c>
      <c r="AS596" s="2">
        <v>0</v>
      </c>
      <c r="AT596" s="2" t="s">
        <v>32</v>
      </c>
      <c r="AU596" s="2" t="s">
        <v>32</v>
      </c>
      <c r="AV596" s="2" t="s">
        <v>32</v>
      </c>
      <c r="AW596" s="2">
        <v>0</v>
      </c>
      <c r="AX596" s="2" t="s">
        <v>32</v>
      </c>
      <c r="AY596" s="2">
        <v>0</v>
      </c>
      <c r="AZ596" s="2" t="s">
        <v>1660</v>
      </c>
      <c r="BA596" s="2">
        <v>0</v>
      </c>
      <c r="BB596" s="2">
        <v>0</v>
      </c>
      <c r="BC596" s="2" t="s">
        <v>32</v>
      </c>
      <c r="BD596" s="2">
        <v>0</v>
      </c>
      <c r="BE596" s="2" t="s">
        <v>32</v>
      </c>
      <c r="BF596" s="2">
        <v>0</v>
      </c>
      <c r="BG596" s="2" t="s">
        <v>32</v>
      </c>
      <c r="BH596" s="2">
        <v>0</v>
      </c>
      <c r="BI596" s="2" t="s">
        <v>32</v>
      </c>
      <c r="BJ596" s="2" t="s">
        <v>32</v>
      </c>
      <c r="BK596" s="2" t="s">
        <v>32</v>
      </c>
      <c r="BL596" s="2">
        <v>0</v>
      </c>
      <c r="BM596" s="2" t="s">
        <v>32</v>
      </c>
      <c r="BN596" s="2" t="s">
        <v>32</v>
      </c>
      <c r="BO596" s="2" t="s">
        <v>32</v>
      </c>
      <c r="BP596" s="2">
        <v>0</v>
      </c>
      <c r="BQ596" s="2" t="s">
        <v>32</v>
      </c>
      <c r="BR596" s="2">
        <v>0</v>
      </c>
      <c r="BS596" s="2" t="s">
        <v>1660</v>
      </c>
      <c r="BT596" s="2">
        <v>0</v>
      </c>
      <c r="BU596" s="2">
        <v>0</v>
      </c>
      <c r="BV596" s="2" t="s">
        <v>1660</v>
      </c>
      <c r="BW596" s="2"/>
      <c r="BX596" s="2"/>
      <c r="BY596" s="2" t="s">
        <v>1807</v>
      </c>
      <c r="BZ596" s="2" t="b">
        <f>OR( (Dashboard[[#This Row],[ref_as_hh]]&gt;=1),(Dashboard[[#This Row],[ret_as_hh]] &gt;=1), (Dashboard[[#This Row],[idp_as_hh]]&gt;=1))</f>
        <v>0</v>
      </c>
      <c r="CA596" s="2">
        <f>Dashboard[[#This Row],[ret_hi_hh]]</f>
        <v>0</v>
      </c>
      <c r="CB596" s="2">
        <f>Dashboard[[#This Row],[idp_fa_hh]]+Dashboard[[#This Row],[ref_fa_hh]]+Dashboard[[#This Row],[ret_fa_hh]]</f>
        <v>16</v>
      </c>
      <c r="CC596" s="2">
        <f>Dashboard[[#This Row],[idp_loc_hh]]+Dashboard[[#This Row],[ref_loc_hh]]+Dashboard[[#This Row],[ret_loc_hh]]</f>
        <v>102</v>
      </c>
      <c r="CD596" s="2">
        <f>Dashboard[[#This Row],[idp_cc_hh]]+Dashboard[[#This Row],[ref_cc_hh]]+Dashboard[[#This Row],[ret_cc_hh]]</f>
        <v>0</v>
      </c>
      <c r="CE596" s="2">
        <f>Dashboard[[#This Row],[idp_as_hh]]+Dashboard[[#This Row],[ref_as_hh]]+Dashboard[[#This Row],[ret_as_hh]]</f>
        <v>0</v>
      </c>
      <c r="CF596" s="2">
        <f>Dashboard[[#This Row],[idp_al_hh]]+Dashboard[[#This Row],[ref_al_hh]]+Dashboard[[#This Row],[ret_al_hh]]</f>
        <v>0</v>
      </c>
    </row>
    <row r="597" spans="1:84" hidden="1" x14ac:dyDescent="0.25">
      <c r="A597" s="27">
        <v>697</v>
      </c>
      <c r="B597" s="2" t="s">
        <v>22</v>
      </c>
      <c r="C597" s="2" t="s">
        <v>23</v>
      </c>
      <c r="D597" s="2" t="s">
        <v>48</v>
      </c>
      <c r="E597" s="2" t="s">
        <v>47</v>
      </c>
      <c r="F597" s="2" t="s">
        <v>62</v>
      </c>
      <c r="G597" s="2" t="s">
        <v>61</v>
      </c>
      <c r="H597" s="2" t="s">
        <v>1363</v>
      </c>
      <c r="I597" s="2" t="s">
        <v>502</v>
      </c>
      <c r="J597" s="2" t="s">
        <v>3350</v>
      </c>
      <c r="K597" s="2" t="s">
        <v>3351</v>
      </c>
      <c r="L597" s="2" t="s">
        <v>2076</v>
      </c>
      <c r="M597" s="2">
        <v>2175</v>
      </c>
      <c r="N597" s="2" t="s">
        <v>1658</v>
      </c>
      <c r="O597" s="2">
        <v>187</v>
      </c>
      <c r="P597" s="2">
        <v>836</v>
      </c>
      <c r="Q597" s="2" t="s">
        <v>1658</v>
      </c>
      <c r="R597" s="2">
        <v>30</v>
      </c>
      <c r="S597" s="2" t="s">
        <v>1658</v>
      </c>
      <c r="T597" s="2">
        <v>157</v>
      </c>
      <c r="U597" s="2" t="s">
        <v>1661</v>
      </c>
      <c r="V597" s="2" t="s">
        <v>32</v>
      </c>
      <c r="W597" s="2" t="s">
        <v>1660</v>
      </c>
      <c r="X597" s="2">
        <v>0</v>
      </c>
      <c r="Y597" s="2" t="s">
        <v>32</v>
      </c>
      <c r="Z597" s="2" t="s">
        <v>32</v>
      </c>
      <c r="AA597" s="2" t="s">
        <v>1660</v>
      </c>
      <c r="AB597" s="2">
        <v>0</v>
      </c>
      <c r="AC597" s="2" t="s">
        <v>1660</v>
      </c>
      <c r="AD597" s="2">
        <v>0</v>
      </c>
      <c r="AE597" s="2" t="s">
        <v>1660</v>
      </c>
      <c r="AF597" s="2">
        <v>0</v>
      </c>
      <c r="AG597" s="2">
        <v>0</v>
      </c>
      <c r="AH597" s="2" t="s">
        <v>32</v>
      </c>
      <c r="AI597" s="2" t="s">
        <v>32</v>
      </c>
      <c r="AJ597" s="2" t="s">
        <v>32</v>
      </c>
      <c r="AK597" s="2" t="s">
        <v>32</v>
      </c>
      <c r="AL597" s="2" t="s">
        <v>32</v>
      </c>
      <c r="AM597" s="2">
        <v>0</v>
      </c>
      <c r="AN597" s="2" t="s">
        <v>32</v>
      </c>
      <c r="AO597" s="2">
        <v>0</v>
      </c>
      <c r="AP597" s="2" t="s">
        <v>32</v>
      </c>
      <c r="AQ597" s="2" t="s">
        <v>32</v>
      </c>
      <c r="AR597" s="2" t="s">
        <v>32</v>
      </c>
      <c r="AS597" s="2">
        <v>0</v>
      </c>
      <c r="AT597" s="2" t="s">
        <v>32</v>
      </c>
      <c r="AU597" s="2" t="s">
        <v>32</v>
      </c>
      <c r="AV597" s="2" t="s">
        <v>32</v>
      </c>
      <c r="AW597" s="2">
        <v>0</v>
      </c>
      <c r="AX597" s="2" t="s">
        <v>32</v>
      </c>
      <c r="AY597" s="2">
        <v>0</v>
      </c>
      <c r="AZ597" s="2" t="s">
        <v>1660</v>
      </c>
      <c r="BA597" s="2">
        <v>0</v>
      </c>
      <c r="BB597" s="2">
        <v>0</v>
      </c>
      <c r="BC597" s="2" t="s">
        <v>32</v>
      </c>
      <c r="BD597" s="2">
        <v>0</v>
      </c>
      <c r="BE597" s="2" t="s">
        <v>32</v>
      </c>
      <c r="BF597" s="2">
        <v>0</v>
      </c>
      <c r="BG597" s="2" t="s">
        <v>32</v>
      </c>
      <c r="BH597" s="2">
        <v>0</v>
      </c>
      <c r="BI597" s="2" t="s">
        <v>32</v>
      </c>
      <c r="BJ597" s="2" t="s">
        <v>32</v>
      </c>
      <c r="BK597" s="2" t="s">
        <v>32</v>
      </c>
      <c r="BL597" s="2">
        <v>0</v>
      </c>
      <c r="BM597" s="2" t="s">
        <v>32</v>
      </c>
      <c r="BN597" s="2" t="s">
        <v>32</v>
      </c>
      <c r="BO597" s="2" t="s">
        <v>32</v>
      </c>
      <c r="BP597" s="2">
        <v>0</v>
      </c>
      <c r="BQ597" s="2" t="s">
        <v>32</v>
      </c>
      <c r="BR597" s="2">
        <v>0</v>
      </c>
      <c r="BS597" s="2" t="s">
        <v>1660</v>
      </c>
      <c r="BT597" s="2">
        <v>0</v>
      </c>
      <c r="BU597" s="2">
        <v>0</v>
      </c>
      <c r="BV597" s="2" t="s">
        <v>1660</v>
      </c>
      <c r="BW597" s="2"/>
      <c r="BX597" s="2"/>
      <c r="BY597" s="2" t="s">
        <v>1807</v>
      </c>
      <c r="BZ597" s="2" t="b">
        <f>OR( (Dashboard[[#This Row],[ref_as_hh]]&gt;=1),(Dashboard[[#This Row],[ret_as_hh]] &gt;=1), (Dashboard[[#This Row],[idp_as_hh]]&gt;=1))</f>
        <v>0</v>
      </c>
      <c r="CA597" s="2">
        <f>Dashboard[[#This Row],[ret_hi_hh]]</f>
        <v>0</v>
      </c>
      <c r="CB597" s="2">
        <f>Dashboard[[#This Row],[idp_fa_hh]]+Dashboard[[#This Row],[ref_fa_hh]]+Dashboard[[#This Row],[ret_fa_hh]]</f>
        <v>30</v>
      </c>
      <c r="CC597" s="2">
        <f>Dashboard[[#This Row],[idp_loc_hh]]+Dashboard[[#This Row],[ref_loc_hh]]+Dashboard[[#This Row],[ret_loc_hh]]</f>
        <v>157</v>
      </c>
      <c r="CD597" s="2">
        <f>Dashboard[[#This Row],[idp_cc_hh]]+Dashboard[[#This Row],[ref_cc_hh]]+Dashboard[[#This Row],[ret_cc_hh]]</f>
        <v>0</v>
      </c>
      <c r="CE597" s="2">
        <f>Dashboard[[#This Row],[idp_as_hh]]+Dashboard[[#This Row],[ref_as_hh]]+Dashboard[[#This Row],[ret_as_hh]]</f>
        <v>0</v>
      </c>
      <c r="CF597" s="2">
        <f>Dashboard[[#This Row],[idp_al_hh]]+Dashboard[[#This Row],[ref_al_hh]]+Dashboard[[#This Row],[ret_al_hh]]</f>
        <v>0</v>
      </c>
    </row>
    <row r="598" spans="1:84" hidden="1" x14ac:dyDescent="0.25">
      <c r="A598" s="27">
        <v>698</v>
      </c>
      <c r="B598" s="2" t="s">
        <v>22</v>
      </c>
      <c r="C598" s="2" t="s">
        <v>23</v>
      </c>
      <c r="D598" s="2" t="s">
        <v>48</v>
      </c>
      <c r="E598" s="2" t="s">
        <v>47</v>
      </c>
      <c r="F598" s="2" t="s">
        <v>62</v>
      </c>
      <c r="G598" s="2" t="s">
        <v>61</v>
      </c>
      <c r="H598" s="2" t="s">
        <v>1388</v>
      </c>
      <c r="I598" s="2" t="s">
        <v>523</v>
      </c>
      <c r="J598" s="2" t="s">
        <v>3404</v>
      </c>
      <c r="K598" s="2" t="s">
        <v>3405</v>
      </c>
      <c r="L598" s="2" t="s">
        <v>2074</v>
      </c>
      <c r="M598" s="2">
        <v>2222</v>
      </c>
      <c r="N598" s="2" t="s">
        <v>1658</v>
      </c>
      <c r="O598" s="2">
        <v>140</v>
      </c>
      <c r="P598" s="2">
        <v>386</v>
      </c>
      <c r="Q598" s="2" t="s">
        <v>1658</v>
      </c>
      <c r="R598" s="2">
        <v>21</v>
      </c>
      <c r="S598" s="2" t="s">
        <v>1658</v>
      </c>
      <c r="T598" s="2">
        <v>119</v>
      </c>
      <c r="U598" s="2" t="s">
        <v>1661</v>
      </c>
      <c r="V598" s="2" t="s">
        <v>32</v>
      </c>
      <c r="W598" s="2" t="s">
        <v>1660</v>
      </c>
      <c r="X598" s="2">
        <v>0</v>
      </c>
      <c r="Y598" s="2" t="s">
        <v>32</v>
      </c>
      <c r="Z598" s="2" t="s">
        <v>32</v>
      </c>
      <c r="AA598" s="2" t="s">
        <v>1660</v>
      </c>
      <c r="AB598" s="2">
        <v>0</v>
      </c>
      <c r="AC598" s="2" t="s">
        <v>1660</v>
      </c>
      <c r="AD598" s="2">
        <v>0</v>
      </c>
      <c r="AE598" s="2" t="s">
        <v>1660</v>
      </c>
      <c r="AF598" s="2">
        <v>0</v>
      </c>
      <c r="AG598" s="2">
        <v>0</v>
      </c>
      <c r="AH598" s="2" t="s">
        <v>32</v>
      </c>
      <c r="AI598" s="2" t="s">
        <v>32</v>
      </c>
      <c r="AJ598" s="2" t="s">
        <v>32</v>
      </c>
      <c r="AK598" s="2" t="s">
        <v>32</v>
      </c>
      <c r="AL598" s="2" t="s">
        <v>32</v>
      </c>
      <c r="AM598" s="2">
        <v>0</v>
      </c>
      <c r="AN598" s="2" t="s">
        <v>32</v>
      </c>
      <c r="AO598" s="2">
        <v>0</v>
      </c>
      <c r="AP598" s="2" t="s">
        <v>32</v>
      </c>
      <c r="AQ598" s="2" t="s">
        <v>32</v>
      </c>
      <c r="AR598" s="2" t="s">
        <v>32</v>
      </c>
      <c r="AS598" s="2">
        <v>0</v>
      </c>
      <c r="AT598" s="2" t="s">
        <v>32</v>
      </c>
      <c r="AU598" s="2" t="s">
        <v>32</v>
      </c>
      <c r="AV598" s="2" t="s">
        <v>32</v>
      </c>
      <c r="AW598" s="2">
        <v>0</v>
      </c>
      <c r="AX598" s="2" t="s">
        <v>32</v>
      </c>
      <c r="AY598" s="2">
        <v>0</v>
      </c>
      <c r="AZ598" s="2" t="s">
        <v>1660</v>
      </c>
      <c r="BA598" s="2">
        <v>0</v>
      </c>
      <c r="BB598" s="2">
        <v>0</v>
      </c>
      <c r="BC598" s="2" t="s">
        <v>32</v>
      </c>
      <c r="BD598" s="2">
        <v>0</v>
      </c>
      <c r="BE598" s="2" t="s">
        <v>32</v>
      </c>
      <c r="BF598" s="2">
        <v>0</v>
      </c>
      <c r="BG598" s="2" t="s">
        <v>32</v>
      </c>
      <c r="BH598" s="2">
        <v>0</v>
      </c>
      <c r="BI598" s="2" t="s">
        <v>32</v>
      </c>
      <c r="BJ598" s="2" t="s">
        <v>32</v>
      </c>
      <c r="BK598" s="2" t="s">
        <v>32</v>
      </c>
      <c r="BL598" s="2">
        <v>0</v>
      </c>
      <c r="BM598" s="2" t="s">
        <v>32</v>
      </c>
      <c r="BN598" s="2" t="s">
        <v>32</v>
      </c>
      <c r="BO598" s="2" t="s">
        <v>32</v>
      </c>
      <c r="BP598" s="2">
        <v>0</v>
      </c>
      <c r="BQ598" s="2" t="s">
        <v>32</v>
      </c>
      <c r="BR598" s="2">
        <v>0</v>
      </c>
      <c r="BS598" s="2" t="s">
        <v>1660</v>
      </c>
      <c r="BT598" s="2">
        <v>0</v>
      </c>
      <c r="BU598" s="2">
        <v>0</v>
      </c>
      <c r="BV598" s="2" t="s">
        <v>1660</v>
      </c>
      <c r="BW598" s="2"/>
      <c r="BX598" s="2"/>
      <c r="BY598" s="2" t="s">
        <v>1807</v>
      </c>
      <c r="BZ598" s="2" t="b">
        <f>OR( (Dashboard[[#This Row],[ref_as_hh]]&gt;=1),(Dashboard[[#This Row],[ret_as_hh]] &gt;=1), (Dashboard[[#This Row],[idp_as_hh]]&gt;=1))</f>
        <v>0</v>
      </c>
      <c r="CA598" s="2">
        <f>Dashboard[[#This Row],[ret_hi_hh]]</f>
        <v>0</v>
      </c>
      <c r="CB598" s="2">
        <f>Dashboard[[#This Row],[idp_fa_hh]]+Dashboard[[#This Row],[ref_fa_hh]]+Dashboard[[#This Row],[ret_fa_hh]]</f>
        <v>21</v>
      </c>
      <c r="CC598" s="2">
        <f>Dashboard[[#This Row],[idp_loc_hh]]+Dashboard[[#This Row],[ref_loc_hh]]+Dashboard[[#This Row],[ret_loc_hh]]</f>
        <v>119</v>
      </c>
      <c r="CD598" s="2">
        <f>Dashboard[[#This Row],[idp_cc_hh]]+Dashboard[[#This Row],[ref_cc_hh]]+Dashboard[[#This Row],[ret_cc_hh]]</f>
        <v>0</v>
      </c>
      <c r="CE598" s="2">
        <f>Dashboard[[#This Row],[idp_as_hh]]+Dashboard[[#This Row],[ref_as_hh]]+Dashboard[[#This Row],[ret_as_hh]]</f>
        <v>0</v>
      </c>
      <c r="CF598" s="2">
        <f>Dashboard[[#This Row],[idp_al_hh]]+Dashboard[[#This Row],[ref_al_hh]]+Dashboard[[#This Row],[ret_al_hh]]</f>
        <v>0</v>
      </c>
    </row>
    <row r="599" spans="1:84" x14ac:dyDescent="0.25">
      <c r="A599" s="27">
        <v>701</v>
      </c>
      <c r="B599" s="2" t="s">
        <v>22</v>
      </c>
      <c r="C599" s="2" t="s">
        <v>23</v>
      </c>
      <c r="D599" s="2" t="s">
        <v>48</v>
      </c>
      <c r="E599" s="2" t="s">
        <v>47</v>
      </c>
      <c r="F599" s="2" t="s">
        <v>62</v>
      </c>
      <c r="G599" s="2" t="s">
        <v>61</v>
      </c>
      <c r="H599" s="2" t="s">
        <v>1383</v>
      </c>
      <c r="I599" s="2" t="s">
        <v>518</v>
      </c>
      <c r="J599" s="2" t="s">
        <v>3394</v>
      </c>
      <c r="K599" s="2" t="s">
        <v>3395</v>
      </c>
      <c r="L599" s="2" t="s">
        <v>2074</v>
      </c>
      <c r="M599" s="2">
        <v>56000</v>
      </c>
      <c r="N599" s="2" t="s">
        <v>1658</v>
      </c>
      <c r="O599" s="2">
        <v>2124</v>
      </c>
      <c r="P599" s="2">
        <v>16541</v>
      </c>
      <c r="Q599" s="2" t="s">
        <v>1658</v>
      </c>
      <c r="R599" s="2">
        <v>213</v>
      </c>
      <c r="S599" s="2" t="s">
        <v>1658</v>
      </c>
      <c r="T599" s="2">
        <v>409</v>
      </c>
      <c r="U599" s="2" t="s">
        <v>1661</v>
      </c>
      <c r="V599" s="2" t="s">
        <v>32</v>
      </c>
      <c r="W599" s="2" t="s">
        <v>1660</v>
      </c>
      <c r="X599" s="2">
        <v>0</v>
      </c>
      <c r="Y599" s="2" t="s">
        <v>32</v>
      </c>
      <c r="Z599" s="2" t="s">
        <v>32</v>
      </c>
      <c r="AA599" s="2" t="s">
        <v>1658</v>
      </c>
      <c r="AB599" s="2">
        <v>1502</v>
      </c>
      <c r="AC599" s="2" t="s">
        <v>1660</v>
      </c>
      <c r="AD599" s="2">
        <v>0</v>
      </c>
      <c r="AE599" s="2" t="s">
        <v>1660</v>
      </c>
      <c r="AF599" s="2">
        <v>0</v>
      </c>
      <c r="AG599" s="2">
        <v>0</v>
      </c>
      <c r="AH599" s="2" t="s">
        <v>32</v>
      </c>
      <c r="AI599" s="2" t="s">
        <v>32</v>
      </c>
      <c r="AJ599" s="2" t="s">
        <v>32</v>
      </c>
      <c r="AK599" s="2" t="s">
        <v>32</v>
      </c>
      <c r="AL599" s="2" t="s">
        <v>32</v>
      </c>
      <c r="AM599" s="2">
        <v>0</v>
      </c>
      <c r="AN599" s="2" t="s">
        <v>32</v>
      </c>
      <c r="AO599" s="2">
        <v>0</v>
      </c>
      <c r="AP599" s="2" t="s">
        <v>32</v>
      </c>
      <c r="AQ599" s="2" t="s">
        <v>32</v>
      </c>
      <c r="AR599" s="2" t="s">
        <v>32</v>
      </c>
      <c r="AS599" s="2">
        <v>0</v>
      </c>
      <c r="AT599" s="2" t="s">
        <v>32</v>
      </c>
      <c r="AU599" s="2" t="s">
        <v>32</v>
      </c>
      <c r="AV599" s="2" t="s">
        <v>32</v>
      </c>
      <c r="AW599" s="2">
        <v>0</v>
      </c>
      <c r="AX599" s="2" t="s">
        <v>32</v>
      </c>
      <c r="AY599" s="2">
        <v>0</v>
      </c>
      <c r="AZ599" s="2" t="s">
        <v>1660</v>
      </c>
      <c r="BA599" s="2">
        <v>0</v>
      </c>
      <c r="BB599" s="2">
        <v>0</v>
      </c>
      <c r="BC599" s="2" t="s">
        <v>32</v>
      </c>
      <c r="BD599" s="2">
        <v>0</v>
      </c>
      <c r="BE599" s="2" t="s">
        <v>32</v>
      </c>
      <c r="BF599" s="2">
        <v>0</v>
      </c>
      <c r="BG599" s="2" t="s">
        <v>32</v>
      </c>
      <c r="BH599" s="2">
        <v>0</v>
      </c>
      <c r="BI599" s="2" t="s">
        <v>32</v>
      </c>
      <c r="BJ599" s="2" t="s">
        <v>32</v>
      </c>
      <c r="BK599" s="2" t="s">
        <v>32</v>
      </c>
      <c r="BL599" s="2">
        <v>0</v>
      </c>
      <c r="BM599" s="2" t="s">
        <v>32</v>
      </c>
      <c r="BN599" s="2" t="s">
        <v>32</v>
      </c>
      <c r="BO599" s="2" t="s">
        <v>32</v>
      </c>
      <c r="BP599" s="2">
        <v>0</v>
      </c>
      <c r="BQ599" s="2" t="s">
        <v>32</v>
      </c>
      <c r="BR599" s="2">
        <v>0</v>
      </c>
      <c r="BS599" s="2" t="s">
        <v>1660</v>
      </c>
      <c r="BT599" s="2">
        <v>0</v>
      </c>
      <c r="BU599" s="2">
        <v>0</v>
      </c>
      <c r="BV599" s="2" t="s">
        <v>1660</v>
      </c>
      <c r="BW599" s="2"/>
      <c r="BX599" s="2"/>
      <c r="BY599" s="2" t="s">
        <v>1807</v>
      </c>
      <c r="BZ599" s="2" t="b">
        <f>OR( (Dashboard[[#This Row],[ref_as_hh]]&gt;=1),(Dashboard[[#This Row],[ret_as_hh]] &gt;=1), (Dashboard[[#This Row],[idp_as_hh]]&gt;=1))</f>
        <v>1</v>
      </c>
      <c r="CA599" s="2">
        <f>Dashboard[[#This Row],[ret_hi_hh]]</f>
        <v>0</v>
      </c>
      <c r="CB599" s="2">
        <f>Dashboard[[#This Row],[idp_fa_hh]]+Dashboard[[#This Row],[ref_fa_hh]]+Dashboard[[#This Row],[ret_fa_hh]]</f>
        <v>213</v>
      </c>
      <c r="CC599" s="2">
        <f>Dashboard[[#This Row],[idp_loc_hh]]+Dashboard[[#This Row],[ref_loc_hh]]+Dashboard[[#This Row],[ret_loc_hh]]</f>
        <v>409</v>
      </c>
      <c r="CD599" s="2">
        <f>Dashboard[[#This Row],[idp_cc_hh]]+Dashboard[[#This Row],[ref_cc_hh]]+Dashboard[[#This Row],[ret_cc_hh]]</f>
        <v>0</v>
      </c>
      <c r="CE599" s="2">
        <f>Dashboard[[#This Row],[idp_as_hh]]+Dashboard[[#This Row],[ref_as_hh]]+Dashboard[[#This Row],[ret_as_hh]]</f>
        <v>1502</v>
      </c>
      <c r="CF599" s="2">
        <f>Dashboard[[#This Row],[idp_al_hh]]+Dashboard[[#This Row],[ref_al_hh]]+Dashboard[[#This Row],[ret_al_hh]]</f>
        <v>0</v>
      </c>
    </row>
    <row r="600" spans="1:84" x14ac:dyDescent="0.25">
      <c r="A600" s="27">
        <v>702</v>
      </c>
      <c r="B600" s="2" t="s">
        <v>22</v>
      </c>
      <c r="C600" s="2" t="s">
        <v>23</v>
      </c>
      <c r="D600" s="2" t="s">
        <v>48</v>
      </c>
      <c r="E600" s="2" t="s">
        <v>47</v>
      </c>
      <c r="F600" s="2" t="s">
        <v>62</v>
      </c>
      <c r="G600" s="2" t="s">
        <v>61</v>
      </c>
      <c r="H600" s="2" t="s">
        <v>1367</v>
      </c>
      <c r="I600" s="2" t="s">
        <v>505</v>
      </c>
      <c r="J600" s="2" t="s">
        <v>3360</v>
      </c>
      <c r="K600" s="2" t="s">
        <v>3361</v>
      </c>
      <c r="L600" s="2" t="s">
        <v>2074</v>
      </c>
      <c r="M600" s="2">
        <v>5100</v>
      </c>
      <c r="N600" s="2" t="s">
        <v>1658</v>
      </c>
      <c r="O600" s="2">
        <v>518</v>
      </c>
      <c r="P600" s="2">
        <v>1780</v>
      </c>
      <c r="Q600" s="2" t="s">
        <v>1658</v>
      </c>
      <c r="R600" s="2">
        <v>120</v>
      </c>
      <c r="S600" s="2" t="s">
        <v>1658</v>
      </c>
      <c r="T600" s="2">
        <v>37</v>
      </c>
      <c r="U600" s="2" t="s">
        <v>1661</v>
      </c>
      <c r="V600" s="2" t="s">
        <v>32</v>
      </c>
      <c r="W600" s="2" t="s">
        <v>1660</v>
      </c>
      <c r="X600" s="2">
        <v>0</v>
      </c>
      <c r="Y600" s="2" t="s">
        <v>32</v>
      </c>
      <c r="Z600" s="2" t="s">
        <v>32</v>
      </c>
      <c r="AA600" s="2" t="s">
        <v>1658</v>
      </c>
      <c r="AB600" s="2">
        <v>361</v>
      </c>
      <c r="AC600" s="2" t="s">
        <v>1660</v>
      </c>
      <c r="AD600" s="2">
        <v>0</v>
      </c>
      <c r="AE600" s="2" t="s">
        <v>1660</v>
      </c>
      <c r="AF600" s="2">
        <v>0</v>
      </c>
      <c r="AG600" s="2">
        <v>0</v>
      </c>
      <c r="AH600" s="2" t="s">
        <v>32</v>
      </c>
      <c r="AI600" s="2" t="s">
        <v>32</v>
      </c>
      <c r="AJ600" s="2" t="s">
        <v>32</v>
      </c>
      <c r="AK600" s="2" t="s">
        <v>32</v>
      </c>
      <c r="AL600" s="2" t="s">
        <v>32</v>
      </c>
      <c r="AM600" s="2">
        <v>0</v>
      </c>
      <c r="AN600" s="2" t="s">
        <v>32</v>
      </c>
      <c r="AO600" s="2">
        <v>0</v>
      </c>
      <c r="AP600" s="2" t="s">
        <v>32</v>
      </c>
      <c r="AQ600" s="2" t="s">
        <v>32</v>
      </c>
      <c r="AR600" s="2" t="s">
        <v>32</v>
      </c>
      <c r="AS600" s="2">
        <v>0</v>
      </c>
      <c r="AT600" s="2" t="s">
        <v>32</v>
      </c>
      <c r="AU600" s="2" t="s">
        <v>32</v>
      </c>
      <c r="AV600" s="2" t="s">
        <v>32</v>
      </c>
      <c r="AW600" s="2">
        <v>0</v>
      </c>
      <c r="AX600" s="2" t="s">
        <v>32</v>
      </c>
      <c r="AY600" s="2">
        <v>0</v>
      </c>
      <c r="AZ600" s="2" t="s">
        <v>1658</v>
      </c>
      <c r="BA600" s="2">
        <v>41</v>
      </c>
      <c r="BB600" s="2">
        <v>231</v>
      </c>
      <c r="BC600" s="2" t="s">
        <v>1658</v>
      </c>
      <c r="BD600" s="2">
        <v>35</v>
      </c>
      <c r="BE600" s="2" t="s">
        <v>1658</v>
      </c>
      <c r="BF600" s="2">
        <v>6</v>
      </c>
      <c r="BG600" s="2" t="s">
        <v>1660</v>
      </c>
      <c r="BH600" s="2">
        <v>0</v>
      </c>
      <c r="BI600" s="2" t="s">
        <v>32</v>
      </c>
      <c r="BJ600" s="2" t="s">
        <v>32</v>
      </c>
      <c r="BK600" s="2" t="s">
        <v>1660</v>
      </c>
      <c r="BL600" s="2">
        <v>0</v>
      </c>
      <c r="BM600" s="2" t="s">
        <v>32</v>
      </c>
      <c r="BN600" s="2" t="s">
        <v>32</v>
      </c>
      <c r="BO600" s="2" t="s">
        <v>1660</v>
      </c>
      <c r="BP600" s="2">
        <v>0</v>
      </c>
      <c r="BQ600" s="2" t="s">
        <v>1660</v>
      </c>
      <c r="BR600" s="2">
        <v>0</v>
      </c>
      <c r="BS600" s="2" t="s">
        <v>1660</v>
      </c>
      <c r="BT600" s="2">
        <v>0</v>
      </c>
      <c r="BU600" s="2">
        <v>0</v>
      </c>
      <c r="BV600" s="2" t="s">
        <v>1660</v>
      </c>
      <c r="BW600" s="2"/>
      <c r="BX600" s="2"/>
      <c r="BY600" s="2" t="s">
        <v>1807</v>
      </c>
      <c r="BZ600" s="2" t="b">
        <f>OR( (Dashboard[[#This Row],[ref_as_hh]]&gt;=1),(Dashboard[[#This Row],[ret_as_hh]] &gt;=1), (Dashboard[[#This Row],[idp_as_hh]]&gt;=1))</f>
        <v>1</v>
      </c>
      <c r="CA600" s="2">
        <f>Dashboard[[#This Row],[ret_hi_hh]]</f>
        <v>35</v>
      </c>
      <c r="CB600" s="2">
        <f>Dashboard[[#This Row],[idp_fa_hh]]+Dashboard[[#This Row],[ref_fa_hh]]+Dashboard[[#This Row],[ret_fa_hh]]</f>
        <v>126</v>
      </c>
      <c r="CC600" s="2">
        <f>Dashboard[[#This Row],[idp_loc_hh]]+Dashboard[[#This Row],[ref_loc_hh]]+Dashboard[[#This Row],[ret_loc_hh]]</f>
        <v>37</v>
      </c>
      <c r="CD600" s="2">
        <f>Dashboard[[#This Row],[idp_cc_hh]]+Dashboard[[#This Row],[ref_cc_hh]]+Dashboard[[#This Row],[ret_cc_hh]]</f>
        <v>0</v>
      </c>
      <c r="CE600" s="2">
        <f>Dashboard[[#This Row],[idp_as_hh]]+Dashboard[[#This Row],[ref_as_hh]]+Dashboard[[#This Row],[ret_as_hh]]</f>
        <v>361</v>
      </c>
      <c r="CF600" s="2">
        <f>Dashboard[[#This Row],[idp_al_hh]]+Dashboard[[#This Row],[ref_al_hh]]+Dashboard[[#This Row],[ret_al_hh]]</f>
        <v>0</v>
      </c>
    </row>
    <row r="601" spans="1:84" hidden="1" x14ac:dyDescent="0.25">
      <c r="A601" s="27">
        <v>703</v>
      </c>
      <c r="B601" s="2" t="s">
        <v>22</v>
      </c>
      <c r="C601" s="2" t="s">
        <v>23</v>
      </c>
      <c r="D601" s="2" t="s">
        <v>48</v>
      </c>
      <c r="E601" s="2" t="s">
        <v>47</v>
      </c>
      <c r="F601" s="2" t="s">
        <v>62</v>
      </c>
      <c r="G601" s="2" t="s">
        <v>61</v>
      </c>
      <c r="H601" s="2" t="s">
        <v>1379</v>
      </c>
      <c r="I601" s="2" t="s">
        <v>514</v>
      </c>
      <c r="J601" s="2" t="s">
        <v>3386</v>
      </c>
      <c r="K601" s="2" t="s">
        <v>3387</v>
      </c>
      <c r="L601" s="2" t="s">
        <v>2074</v>
      </c>
      <c r="M601" s="2">
        <v>980</v>
      </c>
      <c r="N601" s="2" t="s">
        <v>1658</v>
      </c>
      <c r="O601" s="2">
        <v>48</v>
      </c>
      <c r="P601" s="2">
        <v>289</v>
      </c>
      <c r="Q601" s="2" t="s">
        <v>1658</v>
      </c>
      <c r="R601" s="2">
        <v>12</v>
      </c>
      <c r="S601" s="2" t="s">
        <v>1658</v>
      </c>
      <c r="T601" s="2">
        <v>36</v>
      </c>
      <c r="U601" s="2" t="s">
        <v>1661</v>
      </c>
      <c r="V601" s="2" t="s">
        <v>32</v>
      </c>
      <c r="W601" s="2" t="s">
        <v>1660</v>
      </c>
      <c r="X601" s="2">
        <v>0</v>
      </c>
      <c r="Y601" s="2" t="s">
        <v>32</v>
      </c>
      <c r="Z601" s="2" t="s">
        <v>32</v>
      </c>
      <c r="AA601" s="2" t="s">
        <v>1660</v>
      </c>
      <c r="AB601" s="2">
        <v>0</v>
      </c>
      <c r="AC601" s="2" t="s">
        <v>1660</v>
      </c>
      <c r="AD601" s="2">
        <v>0</v>
      </c>
      <c r="AE601" s="2" t="s">
        <v>1660</v>
      </c>
      <c r="AF601" s="2">
        <v>0</v>
      </c>
      <c r="AG601" s="2">
        <v>0</v>
      </c>
      <c r="AH601" s="2" t="s">
        <v>32</v>
      </c>
      <c r="AI601" s="2" t="s">
        <v>32</v>
      </c>
      <c r="AJ601" s="2" t="s">
        <v>32</v>
      </c>
      <c r="AK601" s="2" t="s">
        <v>32</v>
      </c>
      <c r="AL601" s="2" t="s">
        <v>32</v>
      </c>
      <c r="AM601" s="2">
        <v>0</v>
      </c>
      <c r="AN601" s="2" t="s">
        <v>32</v>
      </c>
      <c r="AO601" s="2">
        <v>0</v>
      </c>
      <c r="AP601" s="2" t="s">
        <v>32</v>
      </c>
      <c r="AQ601" s="2" t="s">
        <v>32</v>
      </c>
      <c r="AR601" s="2" t="s">
        <v>32</v>
      </c>
      <c r="AS601" s="2">
        <v>0</v>
      </c>
      <c r="AT601" s="2" t="s">
        <v>32</v>
      </c>
      <c r="AU601" s="2" t="s">
        <v>32</v>
      </c>
      <c r="AV601" s="2" t="s">
        <v>32</v>
      </c>
      <c r="AW601" s="2">
        <v>0</v>
      </c>
      <c r="AX601" s="2" t="s">
        <v>32</v>
      </c>
      <c r="AY601" s="2">
        <v>0</v>
      </c>
      <c r="AZ601" s="2" t="s">
        <v>1660</v>
      </c>
      <c r="BA601" s="2">
        <v>0</v>
      </c>
      <c r="BB601" s="2">
        <v>0</v>
      </c>
      <c r="BC601" s="2" t="s">
        <v>32</v>
      </c>
      <c r="BD601" s="2">
        <v>0</v>
      </c>
      <c r="BE601" s="2" t="s">
        <v>32</v>
      </c>
      <c r="BF601" s="2">
        <v>0</v>
      </c>
      <c r="BG601" s="2" t="s">
        <v>32</v>
      </c>
      <c r="BH601" s="2">
        <v>0</v>
      </c>
      <c r="BI601" s="2" t="s">
        <v>32</v>
      </c>
      <c r="BJ601" s="2" t="s">
        <v>32</v>
      </c>
      <c r="BK601" s="2" t="s">
        <v>32</v>
      </c>
      <c r="BL601" s="2">
        <v>0</v>
      </c>
      <c r="BM601" s="2" t="s">
        <v>32</v>
      </c>
      <c r="BN601" s="2" t="s">
        <v>32</v>
      </c>
      <c r="BO601" s="2" t="s">
        <v>32</v>
      </c>
      <c r="BP601" s="2">
        <v>0</v>
      </c>
      <c r="BQ601" s="2" t="s">
        <v>32</v>
      </c>
      <c r="BR601" s="2">
        <v>0</v>
      </c>
      <c r="BS601" s="2" t="s">
        <v>1660</v>
      </c>
      <c r="BT601" s="2">
        <v>0</v>
      </c>
      <c r="BU601" s="2">
        <v>0</v>
      </c>
      <c r="BV601" s="2" t="s">
        <v>1660</v>
      </c>
      <c r="BW601" s="2"/>
      <c r="BX601" s="2"/>
      <c r="BY601" s="2" t="s">
        <v>1807</v>
      </c>
      <c r="BZ601" s="2" t="b">
        <f>OR( (Dashboard[[#This Row],[ref_as_hh]]&gt;=1),(Dashboard[[#This Row],[ret_as_hh]] &gt;=1), (Dashboard[[#This Row],[idp_as_hh]]&gt;=1))</f>
        <v>0</v>
      </c>
      <c r="CA601" s="2">
        <f>Dashboard[[#This Row],[ret_hi_hh]]</f>
        <v>0</v>
      </c>
      <c r="CB601" s="2">
        <f>Dashboard[[#This Row],[idp_fa_hh]]+Dashboard[[#This Row],[ref_fa_hh]]+Dashboard[[#This Row],[ret_fa_hh]]</f>
        <v>12</v>
      </c>
      <c r="CC601" s="2">
        <f>Dashboard[[#This Row],[idp_loc_hh]]+Dashboard[[#This Row],[ref_loc_hh]]+Dashboard[[#This Row],[ret_loc_hh]]</f>
        <v>36</v>
      </c>
      <c r="CD601" s="2">
        <f>Dashboard[[#This Row],[idp_cc_hh]]+Dashboard[[#This Row],[ref_cc_hh]]+Dashboard[[#This Row],[ret_cc_hh]]</f>
        <v>0</v>
      </c>
      <c r="CE601" s="2">
        <f>Dashboard[[#This Row],[idp_as_hh]]+Dashboard[[#This Row],[ref_as_hh]]+Dashboard[[#This Row],[ret_as_hh]]</f>
        <v>0</v>
      </c>
      <c r="CF601" s="2">
        <f>Dashboard[[#This Row],[idp_al_hh]]+Dashboard[[#This Row],[ref_al_hh]]+Dashboard[[#This Row],[ret_al_hh]]</f>
        <v>0</v>
      </c>
    </row>
    <row r="602" spans="1:84" hidden="1" x14ac:dyDescent="0.25">
      <c r="A602" s="27">
        <v>706</v>
      </c>
      <c r="B602" s="2" t="s">
        <v>22</v>
      </c>
      <c r="C602" s="2" t="s">
        <v>23</v>
      </c>
      <c r="D602" s="2" t="s">
        <v>48</v>
      </c>
      <c r="E602" s="2" t="s">
        <v>47</v>
      </c>
      <c r="F602" s="2" t="s">
        <v>62</v>
      </c>
      <c r="G602" s="2" t="s">
        <v>61</v>
      </c>
      <c r="H602" s="2" t="s">
        <v>1585</v>
      </c>
      <c r="I602" s="2" t="s">
        <v>839</v>
      </c>
      <c r="J602" s="2" t="s">
        <v>3356</v>
      </c>
      <c r="K602" s="2" t="s">
        <v>3357</v>
      </c>
      <c r="L602" s="2" t="s">
        <v>2074</v>
      </c>
      <c r="M602" s="2">
        <v>5142</v>
      </c>
      <c r="N602" s="2" t="s">
        <v>1660</v>
      </c>
      <c r="O602" s="2">
        <v>0</v>
      </c>
      <c r="P602" s="2">
        <v>0</v>
      </c>
      <c r="Q602" s="2" t="s">
        <v>32</v>
      </c>
      <c r="R602" s="2">
        <v>0</v>
      </c>
      <c r="S602" s="2" t="s">
        <v>32</v>
      </c>
      <c r="T602" s="2">
        <v>0</v>
      </c>
      <c r="U602" s="2" t="s">
        <v>32</v>
      </c>
      <c r="V602" s="2" t="s">
        <v>32</v>
      </c>
      <c r="W602" s="2" t="s">
        <v>32</v>
      </c>
      <c r="X602" s="2">
        <v>0</v>
      </c>
      <c r="Y602" s="2" t="s">
        <v>32</v>
      </c>
      <c r="Z602" s="2" t="s">
        <v>32</v>
      </c>
      <c r="AA602" s="2" t="s">
        <v>32</v>
      </c>
      <c r="AB602" s="2">
        <v>0</v>
      </c>
      <c r="AC602" s="2" t="s">
        <v>32</v>
      </c>
      <c r="AD602" s="2">
        <v>0</v>
      </c>
      <c r="AE602" s="2" t="s">
        <v>1660</v>
      </c>
      <c r="AF602" s="2">
        <v>0</v>
      </c>
      <c r="AG602" s="2">
        <v>0</v>
      </c>
      <c r="AH602" s="2" t="s">
        <v>32</v>
      </c>
      <c r="AI602" s="2" t="s">
        <v>32</v>
      </c>
      <c r="AJ602" s="2" t="s">
        <v>32</v>
      </c>
      <c r="AK602" s="2" t="s">
        <v>32</v>
      </c>
      <c r="AL602" s="2" t="s">
        <v>32</v>
      </c>
      <c r="AM602" s="2">
        <v>0</v>
      </c>
      <c r="AN602" s="2" t="s">
        <v>32</v>
      </c>
      <c r="AO602" s="2">
        <v>0</v>
      </c>
      <c r="AP602" s="2" t="s">
        <v>32</v>
      </c>
      <c r="AQ602" s="2" t="s">
        <v>32</v>
      </c>
      <c r="AR602" s="2" t="s">
        <v>32</v>
      </c>
      <c r="AS602" s="2">
        <v>0</v>
      </c>
      <c r="AT602" s="2" t="s">
        <v>32</v>
      </c>
      <c r="AU602" s="2" t="s">
        <v>32</v>
      </c>
      <c r="AV602" s="2" t="s">
        <v>32</v>
      </c>
      <c r="AW602" s="2">
        <v>0</v>
      </c>
      <c r="AX602" s="2" t="s">
        <v>32</v>
      </c>
      <c r="AY602" s="2">
        <v>0</v>
      </c>
      <c r="AZ602" s="2" t="s">
        <v>1658</v>
      </c>
      <c r="BA602" s="2">
        <v>305</v>
      </c>
      <c r="BB602" s="2">
        <v>1722</v>
      </c>
      <c r="BC602" s="2" t="s">
        <v>1658</v>
      </c>
      <c r="BD602" s="2">
        <v>286</v>
      </c>
      <c r="BE602" s="2" t="s">
        <v>1658</v>
      </c>
      <c r="BF602" s="2">
        <v>19</v>
      </c>
      <c r="BG602" s="2" t="s">
        <v>1660</v>
      </c>
      <c r="BH602" s="2">
        <v>0</v>
      </c>
      <c r="BI602" s="2" t="s">
        <v>32</v>
      </c>
      <c r="BJ602" s="2" t="s">
        <v>32</v>
      </c>
      <c r="BK602" s="2" t="s">
        <v>1660</v>
      </c>
      <c r="BL602" s="2">
        <v>0</v>
      </c>
      <c r="BM602" s="2" t="s">
        <v>32</v>
      </c>
      <c r="BN602" s="2" t="s">
        <v>32</v>
      </c>
      <c r="BO602" s="2" t="s">
        <v>1660</v>
      </c>
      <c r="BP602" s="2">
        <v>0</v>
      </c>
      <c r="BQ602" s="2" t="s">
        <v>1660</v>
      </c>
      <c r="BR602" s="2">
        <v>0</v>
      </c>
      <c r="BS602" s="2" t="s">
        <v>1660</v>
      </c>
      <c r="BT602" s="2">
        <v>0</v>
      </c>
      <c r="BU602" s="2">
        <v>0</v>
      </c>
      <c r="BV602" s="2" t="s">
        <v>1660</v>
      </c>
      <c r="BW602" s="2"/>
      <c r="BX602" s="2"/>
      <c r="BY602" s="2" t="s">
        <v>1807</v>
      </c>
      <c r="BZ602" s="2" t="b">
        <f>OR( (Dashboard[[#This Row],[ref_as_hh]]&gt;=1),(Dashboard[[#This Row],[ret_as_hh]] &gt;=1), (Dashboard[[#This Row],[idp_as_hh]]&gt;=1))</f>
        <v>0</v>
      </c>
      <c r="CA602" s="2">
        <f>Dashboard[[#This Row],[ret_hi_hh]]</f>
        <v>286</v>
      </c>
      <c r="CB602" s="2">
        <f>Dashboard[[#This Row],[idp_fa_hh]]+Dashboard[[#This Row],[ref_fa_hh]]+Dashboard[[#This Row],[ret_fa_hh]]</f>
        <v>19</v>
      </c>
      <c r="CC602" s="2">
        <f>Dashboard[[#This Row],[idp_loc_hh]]+Dashboard[[#This Row],[ref_loc_hh]]+Dashboard[[#This Row],[ret_loc_hh]]</f>
        <v>0</v>
      </c>
      <c r="CD602" s="2">
        <f>Dashboard[[#This Row],[idp_cc_hh]]+Dashboard[[#This Row],[ref_cc_hh]]+Dashboard[[#This Row],[ret_cc_hh]]</f>
        <v>0</v>
      </c>
      <c r="CE602" s="2">
        <f>Dashboard[[#This Row],[idp_as_hh]]+Dashboard[[#This Row],[ref_as_hh]]+Dashboard[[#This Row],[ret_as_hh]]</f>
        <v>0</v>
      </c>
      <c r="CF602" s="2">
        <f>Dashboard[[#This Row],[idp_al_hh]]+Dashboard[[#This Row],[ref_al_hh]]+Dashboard[[#This Row],[ret_al_hh]]</f>
        <v>0</v>
      </c>
    </row>
    <row r="603" spans="1:84" hidden="1" x14ac:dyDescent="0.25">
      <c r="A603" s="27">
        <v>707</v>
      </c>
      <c r="B603" s="2" t="s">
        <v>22</v>
      </c>
      <c r="C603" s="2" t="s">
        <v>23</v>
      </c>
      <c r="D603" s="2" t="s">
        <v>48</v>
      </c>
      <c r="E603" s="2" t="s">
        <v>47</v>
      </c>
      <c r="F603" s="2" t="s">
        <v>62</v>
      </c>
      <c r="G603" s="2" t="s">
        <v>61</v>
      </c>
      <c r="H603" s="2" t="s">
        <v>1587</v>
      </c>
      <c r="I603" s="2" t="s">
        <v>841</v>
      </c>
      <c r="J603" s="2" t="s">
        <v>3412</v>
      </c>
      <c r="K603" s="2" t="s">
        <v>3413</v>
      </c>
      <c r="L603" s="2" t="s">
        <v>2074</v>
      </c>
      <c r="M603" s="2">
        <v>3215</v>
      </c>
      <c r="N603" s="2" t="s">
        <v>1660</v>
      </c>
      <c r="O603" s="2">
        <v>0</v>
      </c>
      <c r="P603" s="2">
        <v>0</v>
      </c>
      <c r="Q603" s="2" t="s">
        <v>32</v>
      </c>
      <c r="R603" s="2">
        <v>0</v>
      </c>
      <c r="S603" s="2" t="s">
        <v>32</v>
      </c>
      <c r="T603" s="2">
        <v>0</v>
      </c>
      <c r="U603" s="2" t="s">
        <v>32</v>
      </c>
      <c r="V603" s="2" t="s">
        <v>32</v>
      </c>
      <c r="W603" s="2" t="s">
        <v>32</v>
      </c>
      <c r="X603" s="2">
        <v>0</v>
      </c>
      <c r="Y603" s="2" t="s">
        <v>32</v>
      </c>
      <c r="Z603" s="2" t="s">
        <v>32</v>
      </c>
      <c r="AA603" s="2" t="s">
        <v>32</v>
      </c>
      <c r="AB603" s="2">
        <v>0</v>
      </c>
      <c r="AC603" s="2" t="s">
        <v>32</v>
      </c>
      <c r="AD603" s="2">
        <v>0</v>
      </c>
      <c r="AE603" s="2" t="s">
        <v>1660</v>
      </c>
      <c r="AF603" s="2">
        <v>0</v>
      </c>
      <c r="AG603" s="2">
        <v>0</v>
      </c>
      <c r="AH603" s="2" t="s">
        <v>32</v>
      </c>
      <c r="AI603" s="2" t="s">
        <v>32</v>
      </c>
      <c r="AJ603" s="2" t="s">
        <v>32</v>
      </c>
      <c r="AK603" s="2" t="s">
        <v>32</v>
      </c>
      <c r="AL603" s="2" t="s">
        <v>32</v>
      </c>
      <c r="AM603" s="2">
        <v>0</v>
      </c>
      <c r="AN603" s="2" t="s">
        <v>32</v>
      </c>
      <c r="AO603" s="2">
        <v>0</v>
      </c>
      <c r="AP603" s="2" t="s">
        <v>32</v>
      </c>
      <c r="AQ603" s="2" t="s">
        <v>32</v>
      </c>
      <c r="AR603" s="2" t="s">
        <v>32</v>
      </c>
      <c r="AS603" s="2">
        <v>0</v>
      </c>
      <c r="AT603" s="2" t="s">
        <v>32</v>
      </c>
      <c r="AU603" s="2" t="s">
        <v>32</v>
      </c>
      <c r="AV603" s="2" t="s">
        <v>32</v>
      </c>
      <c r="AW603" s="2">
        <v>0</v>
      </c>
      <c r="AX603" s="2" t="s">
        <v>32</v>
      </c>
      <c r="AY603" s="2">
        <v>0</v>
      </c>
      <c r="AZ603" s="2" t="s">
        <v>1658</v>
      </c>
      <c r="BA603" s="2">
        <v>90</v>
      </c>
      <c r="BB603" s="2">
        <v>512</v>
      </c>
      <c r="BC603" s="2" t="s">
        <v>1658</v>
      </c>
      <c r="BD603" s="2">
        <v>86</v>
      </c>
      <c r="BE603" s="2" t="s">
        <v>1658</v>
      </c>
      <c r="BF603" s="2">
        <v>4</v>
      </c>
      <c r="BG603" s="2" t="s">
        <v>1660</v>
      </c>
      <c r="BH603" s="2">
        <v>0</v>
      </c>
      <c r="BI603" s="2" t="s">
        <v>32</v>
      </c>
      <c r="BJ603" s="2" t="s">
        <v>32</v>
      </c>
      <c r="BK603" s="2" t="s">
        <v>1660</v>
      </c>
      <c r="BL603" s="2">
        <v>0</v>
      </c>
      <c r="BM603" s="2" t="s">
        <v>32</v>
      </c>
      <c r="BN603" s="2" t="s">
        <v>32</v>
      </c>
      <c r="BO603" s="2" t="s">
        <v>1660</v>
      </c>
      <c r="BP603" s="2">
        <v>0</v>
      </c>
      <c r="BQ603" s="2" t="s">
        <v>1660</v>
      </c>
      <c r="BR603" s="2">
        <v>0</v>
      </c>
      <c r="BS603" s="2" t="s">
        <v>1660</v>
      </c>
      <c r="BT603" s="2">
        <v>0</v>
      </c>
      <c r="BU603" s="2">
        <v>0</v>
      </c>
      <c r="BV603" s="2" t="s">
        <v>1660</v>
      </c>
      <c r="BW603" s="2"/>
      <c r="BX603" s="2"/>
      <c r="BY603" s="2" t="s">
        <v>1807</v>
      </c>
      <c r="BZ603" s="2" t="b">
        <f>OR( (Dashboard[[#This Row],[ref_as_hh]]&gt;=1),(Dashboard[[#This Row],[ret_as_hh]] &gt;=1), (Dashboard[[#This Row],[idp_as_hh]]&gt;=1))</f>
        <v>0</v>
      </c>
      <c r="CA603" s="2">
        <f>Dashboard[[#This Row],[ret_hi_hh]]</f>
        <v>86</v>
      </c>
      <c r="CB603" s="2">
        <f>Dashboard[[#This Row],[idp_fa_hh]]+Dashboard[[#This Row],[ref_fa_hh]]+Dashboard[[#This Row],[ret_fa_hh]]</f>
        <v>4</v>
      </c>
      <c r="CC603" s="2">
        <f>Dashboard[[#This Row],[idp_loc_hh]]+Dashboard[[#This Row],[ref_loc_hh]]+Dashboard[[#This Row],[ret_loc_hh]]</f>
        <v>0</v>
      </c>
      <c r="CD603" s="2">
        <f>Dashboard[[#This Row],[idp_cc_hh]]+Dashboard[[#This Row],[ref_cc_hh]]+Dashboard[[#This Row],[ret_cc_hh]]</f>
        <v>0</v>
      </c>
      <c r="CE603" s="2">
        <f>Dashboard[[#This Row],[idp_as_hh]]+Dashboard[[#This Row],[ref_as_hh]]+Dashboard[[#This Row],[ret_as_hh]]</f>
        <v>0</v>
      </c>
      <c r="CF603" s="2">
        <f>Dashboard[[#This Row],[idp_al_hh]]+Dashboard[[#This Row],[ref_al_hh]]+Dashboard[[#This Row],[ret_al_hh]]</f>
        <v>0</v>
      </c>
    </row>
    <row r="604" spans="1:84" x14ac:dyDescent="0.25">
      <c r="A604" s="27">
        <v>709</v>
      </c>
      <c r="B604" s="2" t="s">
        <v>22</v>
      </c>
      <c r="C604" s="2" t="s">
        <v>23</v>
      </c>
      <c r="D604" s="2" t="s">
        <v>48</v>
      </c>
      <c r="E604" s="2" t="s">
        <v>47</v>
      </c>
      <c r="F604" s="2" t="s">
        <v>62</v>
      </c>
      <c r="G604" s="2" t="s">
        <v>61</v>
      </c>
      <c r="H604" s="2" t="s">
        <v>1365</v>
      </c>
      <c r="I604" s="2" t="s">
        <v>836</v>
      </c>
      <c r="J604" s="2" t="s">
        <v>3354</v>
      </c>
      <c r="K604" s="2" t="s">
        <v>3355</v>
      </c>
      <c r="L604" s="2" t="s">
        <v>2074</v>
      </c>
      <c r="M604" s="2">
        <v>1802</v>
      </c>
      <c r="N604" s="2" t="s">
        <v>1658</v>
      </c>
      <c r="O604" s="2">
        <v>56</v>
      </c>
      <c r="P604" s="2">
        <v>285</v>
      </c>
      <c r="Q604" s="2" t="s">
        <v>1658</v>
      </c>
      <c r="R604" s="2">
        <v>8</v>
      </c>
      <c r="S604" s="2" t="s">
        <v>1658</v>
      </c>
      <c r="T604" s="2">
        <v>11</v>
      </c>
      <c r="U604" s="2" t="s">
        <v>1661</v>
      </c>
      <c r="V604" s="2" t="s">
        <v>32</v>
      </c>
      <c r="W604" s="2" t="s">
        <v>1660</v>
      </c>
      <c r="X604" s="2">
        <v>0</v>
      </c>
      <c r="Y604" s="2" t="s">
        <v>32</v>
      </c>
      <c r="Z604" s="2" t="s">
        <v>32</v>
      </c>
      <c r="AA604" s="2" t="s">
        <v>1658</v>
      </c>
      <c r="AB604" s="2">
        <v>37</v>
      </c>
      <c r="AC604" s="2" t="s">
        <v>1660</v>
      </c>
      <c r="AD604" s="2">
        <v>0</v>
      </c>
      <c r="AE604" s="2" t="s">
        <v>1660</v>
      </c>
      <c r="AF604" s="2">
        <v>0</v>
      </c>
      <c r="AG604" s="2">
        <v>0</v>
      </c>
      <c r="AH604" s="2" t="s">
        <v>32</v>
      </c>
      <c r="AI604" s="2" t="s">
        <v>32</v>
      </c>
      <c r="AJ604" s="2" t="s">
        <v>32</v>
      </c>
      <c r="AK604" s="2" t="s">
        <v>32</v>
      </c>
      <c r="AL604" s="2" t="s">
        <v>32</v>
      </c>
      <c r="AM604" s="2">
        <v>0</v>
      </c>
      <c r="AN604" s="2" t="s">
        <v>32</v>
      </c>
      <c r="AO604" s="2">
        <v>0</v>
      </c>
      <c r="AP604" s="2" t="s">
        <v>32</v>
      </c>
      <c r="AQ604" s="2" t="s">
        <v>32</v>
      </c>
      <c r="AR604" s="2" t="s">
        <v>32</v>
      </c>
      <c r="AS604" s="2">
        <v>0</v>
      </c>
      <c r="AT604" s="2" t="s">
        <v>32</v>
      </c>
      <c r="AU604" s="2" t="s">
        <v>32</v>
      </c>
      <c r="AV604" s="2" t="s">
        <v>32</v>
      </c>
      <c r="AW604" s="2">
        <v>0</v>
      </c>
      <c r="AX604" s="2" t="s">
        <v>32</v>
      </c>
      <c r="AY604" s="2">
        <v>0</v>
      </c>
      <c r="AZ604" s="2" t="s">
        <v>1660</v>
      </c>
      <c r="BA604" s="2">
        <v>0</v>
      </c>
      <c r="BB604" s="2">
        <v>0</v>
      </c>
      <c r="BC604" s="2" t="s">
        <v>32</v>
      </c>
      <c r="BD604" s="2">
        <v>0</v>
      </c>
      <c r="BE604" s="2" t="s">
        <v>32</v>
      </c>
      <c r="BF604" s="2">
        <v>0</v>
      </c>
      <c r="BG604" s="2" t="s">
        <v>32</v>
      </c>
      <c r="BH604" s="2">
        <v>0</v>
      </c>
      <c r="BI604" s="2" t="s">
        <v>32</v>
      </c>
      <c r="BJ604" s="2" t="s">
        <v>32</v>
      </c>
      <c r="BK604" s="2" t="s">
        <v>32</v>
      </c>
      <c r="BL604" s="2">
        <v>0</v>
      </c>
      <c r="BM604" s="2" t="s">
        <v>32</v>
      </c>
      <c r="BN604" s="2" t="s">
        <v>32</v>
      </c>
      <c r="BO604" s="2" t="s">
        <v>32</v>
      </c>
      <c r="BP604" s="2">
        <v>0</v>
      </c>
      <c r="BQ604" s="2" t="s">
        <v>32</v>
      </c>
      <c r="BR604" s="2">
        <v>0</v>
      </c>
      <c r="BS604" s="2" t="s">
        <v>1660</v>
      </c>
      <c r="BT604" s="2">
        <v>0</v>
      </c>
      <c r="BU604" s="2">
        <v>0</v>
      </c>
      <c r="BV604" s="2" t="s">
        <v>1660</v>
      </c>
      <c r="BW604" s="2"/>
      <c r="BX604" s="2"/>
      <c r="BY604" s="2" t="s">
        <v>1807</v>
      </c>
      <c r="BZ604" s="2" t="b">
        <f>OR( (Dashboard[[#This Row],[ref_as_hh]]&gt;=1),(Dashboard[[#This Row],[ret_as_hh]] &gt;=1), (Dashboard[[#This Row],[idp_as_hh]]&gt;=1))</f>
        <v>1</v>
      </c>
      <c r="CA604" s="2">
        <f>Dashboard[[#This Row],[ret_hi_hh]]</f>
        <v>0</v>
      </c>
      <c r="CB604" s="2">
        <f>Dashboard[[#This Row],[idp_fa_hh]]+Dashboard[[#This Row],[ref_fa_hh]]+Dashboard[[#This Row],[ret_fa_hh]]</f>
        <v>8</v>
      </c>
      <c r="CC604" s="2">
        <f>Dashboard[[#This Row],[idp_loc_hh]]+Dashboard[[#This Row],[ref_loc_hh]]+Dashboard[[#This Row],[ret_loc_hh]]</f>
        <v>11</v>
      </c>
      <c r="CD604" s="2">
        <f>Dashboard[[#This Row],[idp_cc_hh]]+Dashboard[[#This Row],[ref_cc_hh]]+Dashboard[[#This Row],[ret_cc_hh]]</f>
        <v>0</v>
      </c>
      <c r="CE604" s="2">
        <f>Dashboard[[#This Row],[idp_as_hh]]+Dashboard[[#This Row],[ref_as_hh]]+Dashboard[[#This Row],[ret_as_hh]]</f>
        <v>37</v>
      </c>
      <c r="CF604" s="2">
        <f>Dashboard[[#This Row],[idp_al_hh]]+Dashboard[[#This Row],[ref_al_hh]]+Dashboard[[#This Row],[ret_al_hh]]</f>
        <v>0</v>
      </c>
    </row>
    <row r="605" spans="1:84" hidden="1" x14ac:dyDescent="0.25">
      <c r="A605" s="27">
        <v>710</v>
      </c>
      <c r="B605" s="2" t="s">
        <v>22</v>
      </c>
      <c r="C605" s="2" t="s">
        <v>23</v>
      </c>
      <c r="D605" s="2" t="s">
        <v>48</v>
      </c>
      <c r="E605" s="2" t="s">
        <v>47</v>
      </c>
      <c r="F605" s="2" t="s">
        <v>62</v>
      </c>
      <c r="G605" s="2" t="s">
        <v>61</v>
      </c>
      <c r="H605" s="2" t="s">
        <v>1586</v>
      </c>
      <c r="I605" s="2" t="s">
        <v>838</v>
      </c>
      <c r="J605" s="2" t="s">
        <v>3382</v>
      </c>
      <c r="K605" s="2" t="s">
        <v>3383</v>
      </c>
      <c r="L605" s="2" t="s">
        <v>2074</v>
      </c>
      <c r="M605" s="2">
        <v>3566</v>
      </c>
      <c r="N605" s="2" t="s">
        <v>1658</v>
      </c>
      <c r="O605" s="2">
        <v>2</v>
      </c>
      <c r="P605" s="2">
        <v>17</v>
      </c>
      <c r="Q605" s="2" t="s">
        <v>1660</v>
      </c>
      <c r="R605" s="2">
        <v>0</v>
      </c>
      <c r="S605" s="2" t="s">
        <v>1658</v>
      </c>
      <c r="T605" s="2">
        <v>2</v>
      </c>
      <c r="U605" s="2" t="s">
        <v>1661</v>
      </c>
      <c r="V605" s="2" t="s">
        <v>32</v>
      </c>
      <c r="W605" s="2" t="s">
        <v>1660</v>
      </c>
      <c r="X605" s="2">
        <v>0</v>
      </c>
      <c r="Y605" s="2" t="s">
        <v>32</v>
      </c>
      <c r="Z605" s="2" t="s">
        <v>32</v>
      </c>
      <c r="AA605" s="2" t="s">
        <v>1660</v>
      </c>
      <c r="AB605" s="2">
        <v>0</v>
      </c>
      <c r="AC605" s="2" t="s">
        <v>1660</v>
      </c>
      <c r="AD605" s="2">
        <v>0</v>
      </c>
      <c r="AE605" s="2" t="s">
        <v>1660</v>
      </c>
      <c r="AF605" s="2">
        <v>0</v>
      </c>
      <c r="AG605" s="2">
        <v>0</v>
      </c>
      <c r="AH605" s="2" t="s">
        <v>32</v>
      </c>
      <c r="AI605" s="2" t="s">
        <v>32</v>
      </c>
      <c r="AJ605" s="2" t="s">
        <v>32</v>
      </c>
      <c r="AK605" s="2" t="s">
        <v>32</v>
      </c>
      <c r="AL605" s="2" t="s">
        <v>32</v>
      </c>
      <c r="AM605" s="2">
        <v>0</v>
      </c>
      <c r="AN605" s="2" t="s">
        <v>32</v>
      </c>
      <c r="AO605" s="2">
        <v>0</v>
      </c>
      <c r="AP605" s="2" t="s">
        <v>32</v>
      </c>
      <c r="AQ605" s="2" t="s">
        <v>32</v>
      </c>
      <c r="AR605" s="2" t="s">
        <v>32</v>
      </c>
      <c r="AS605" s="2">
        <v>0</v>
      </c>
      <c r="AT605" s="2" t="s">
        <v>32</v>
      </c>
      <c r="AU605" s="2" t="s">
        <v>32</v>
      </c>
      <c r="AV605" s="2" t="s">
        <v>32</v>
      </c>
      <c r="AW605" s="2">
        <v>0</v>
      </c>
      <c r="AX605" s="2" t="s">
        <v>32</v>
      </c>
      <c r="AY605" s="2">
        <v>0</v>
      </c>
      <c r="AZ605" s="2" t="s">
        <v>1658</v>
      </c>
      <c r="BA605" s="2">
        <v>261</v>
      </c>
      <c r="BB605" s="2">
        <v>1738</v>
      </c>
      <c r="BC605" s="2" t="s">
        <v>1658</v>
      </c>
      <c r="BD605" s="2">
        <v>246</v>
      </c>
      <c r="BE605" s="2" t="s">
        <v>1658</v>
      </c>
      <c r="BF605" s="2">
        <v>15</v>
      </c>
      <c r="BG605" s="2" t="s">
        <v>1660</v>
      </c>
      <c r="BH605" s="2">
        <v>0</v>
      </c>
      <c r="BI605" s="2" t="s">
        <v>32</v>
      </c>
      <c r="BJ605" s="2" t="s">
        <v>32</v>
      </c>
      <c r="BK605" s="2" t="s">
        <v>1660</v>
      </c>
      <c r="BL605" s="2">
        <v>0</v>
      </c>
      <c r="BM605" s="2" t="s">
        <v>32</v>
      </c>
      <c r="BN605" s="2" t="s">
        <v>32</v>
      </c>
      <c r="BO605" s="2" t="s">
        <v>1660</v>
      </c>
      <c r="BP605" s="2">
        <v>0</v>
      </c>
      <c r="BQ605" s="2" t="s">
        <v>1660</v>
      </c>
      <c r="BR605" s="2">
        <v>0</v>
      </c>
      <c r="BS605" s="2" t="s">
        <v>1660</v>
      </c>
      <c r="BT605" s="2">
        <v>0</v>
      </c>
      <c r="BU605" s="2">
        <v>0</v>
      </c>
      <c r="BV605" s="2" t="s">
        <v>1660</v>
      </c>
      <c r="BW605" s="2"/>
      <c r="BX605" s="2"/>
      <c r="BY605" s="2" t="s">
        <v>1807</v>
      </c>
      <c r="BZ605" s="2" t="b">
        <f>OR( (Dashboard[[#This Row],[ref_as_hh]]&gt;=1),(Dashboard[[#This Row],[ret_as_hh]] &gt;=1), (Dashboard[[#This Row],[idp_as_hh]]&gt;=1))</f>
        <v>0</v>
      </c>
      <c r="CA605" s="2">
        <f>Dashboard[[#This Row],[ret_hi_hh]]</f>
        <v>246</v>
      </c>
      <c r="CB605" s="2">
        <f>Dashboard[[#This Row],[idp_fa_hh]]+Dashboard[[#This Row],[ref_fa_hh]]+Dashboard[[#This Row],[ret_fa_hh]]</f>
        <v>15</v>
      </c>
      <c r="CC605" s="2">
        <f>Dashboard[[#This Row],[idp_loc_hh]]+Dashboard[[#This Row],[ref_loc_hh]]+Dashboard[[#This Row],[ret_loc_hh]]</f>
        <v>2</v>
      </c>
      <c r="CD605" s="2">
        <f>Dashboard[[#This Row],[idp_cc_hh]]+Dashboard[[#This Row],[ref_cc_hh]]+Dashboard[[#This Row],[ret_cc_hh]]</f>
        <v>0</v>
      </c>
      <c r="CE605" s="2">
        <f>Dashboard[[#This Row],[idp_as_hh]]+Dashboard[[#This Row],[ref_as_hh]]+Dashboard[[#This Row],[ret_as_hh]]</f>
        <v>0</v>
      </c>
      <c r="CF605" s="2">
        <f>Dashboard[[#This Row],[idp_al_hh]]+Dashboard[[#This Row],[ref_al_hh]]+Dashboard[[#This Row],[ret_al_hh]]</f>
        <v>0</v>
      </c>
    </row>
    <row r="606" spans="1:84" hidden="1" x14ac:dyDescent="0.25">
      <c r="A606" s="27">
        <v>721</v>
      </c>
      <c r="B606" s="2" t="s">
        <v>22</v>
      </c>
      <c r="C606" s="2" t="s">
        <v>23</v>
      </c>
      <c r="D606" s="2" t="s">
        <v>48</v>
      </c>
      <c r="E606" s="2" t="s">
        <v>47</v>
      </c>
      <c r="F606" s="2" t="s">
        <v>62</v>
      </c>
      <c r="G606" s="2" t="s">
        <v>61</v>
      </c>
      <c r="H606" s="2" t="s">
        <v>1366</v>
      </c>
      <c r="I606" s="2" t="s">
        <v>504</v>
      </c>
      <c r="J606" s="2" t="s">
        <v>3358</v>
      </c>
      <c r="K606" s="2" t="s">
        <v>3359</v>
      </c>
      <c r="L606" s="2" t="s">
        <v>2074</v>
      </c>
      <c r="M606" s="2">
        <v>2313</v>
      </c>
      <c r="N606" s="2" t="s">
        <v>1658</v>
      </c>
      <c r="O606" s="2">
        <v>59</v>
      </c>
      <c r="P606" s="2">
        <v>365</v>
      </c>
      <c r="Q606" s="2" t="s">
        <v>1658</v>
      </c>
      <c r="R606" s="2">
        <v>35</v>
      </c>
      <c r="S606" s="2" t="s">
        <v>1658</v>
      </c>
      <c r="T606" s="2">
        <v>24</v>
      </c>
      <c r="U606" s="2" t="s">
        <v>1661</v>
      </c>
      <c r="V606" s="2" t="s">
        <v>32</v>
      </c>
      <c r="W606" s="2" t="s">
        <v>1660</v>
      </c>
      <c r="X606" s="2">
        <v>0</v>
      </c>
      <c r="Y606" s="2" t="s">
        <v>32</v>
      </c>
      <c r="Z606" s="2" t="s">
        <v>32</v>
      </c>
      <c r="AA606" s="2" t="s">
        <v>1660</v>
      </c>
      <c r="AB606" s="2">
        <v>0</v>
      </c>
      <c r="AC606" s="2" t="s">
        <v>1660</v>
      </c>
      <c r="AD606" s="2">
        <v>0</v>
      </c>
      <c r="AE606" s="2" t="s">
        <v>1660</v>
      </c>
      <c r="AF606" s="2">
        <v>0</v>
      </c>
      <c r="AG606" s="2">
        <v>0</v>
      </c>
      <c r="AH606" s="2" t="s">
        <v>32</v>
      </c>
      <c r="AI606" s="2" t="s">
        <v>32</v>
      </c>
      <c r="AJ606" s="2" t="s">
        <v>32</v>
      </c>
      <c r="AK606" s="2" t="s">
        <v>32</v>
      </c>
      <c r="AL606" s="2" t="s">
        <v>32</v>
      </c>
      <c r="AM606" s="2">
        <v>0</v>
      </c>
      <c r="AN606" s="2" t="s">
        <v>32</v>
      </c>
      <c r="AO606" s="2">
        <v>0</v>
      </c>
      <c r="AP606" s="2" t="s">
        <v>32</v>
      </c>
      <c r="AQ606" s="2" t="s">
        <v>32</v>
      </c>
      <c r="AR606" s="2" t="s">
        <v>32</v>
      </c>
      <c r="AS606" s="2">
        <v>0</v>
      </c>
      <c r="AT606" s="2" t="s">
        <v>32</v>
      </c>
      <c r="AU606" s="2" t="s">
        <v>32</v>
      </c>
      <c r="AV606" s="2" t="s">
        <v>32</v>
      </c>
      <c r="AW606" s="2">
        <v>0</v>
      </c>
      <c r="AX606" s="2" t="s">
        <v>32</v>
      </c>
      <c r="AY606" s="2">
        <v>0</v>
      </c>
      <c r="AZ606" s="2" t="s">
        <v>1660</v>
      </c>
      <c r="BA606" s="2">
        <v>0</v>
      </c>
      <c r="BB606" s="2">
        <v>0</v>
      </c>
      <c r="BC606" s="2" t="s">
        <v>32</v>
      </c>
      <c r="BD606" s="2">
        <v>0</v>
      </c>
      <c r="BE606" s="2" t="s">
        <v>32</v>
      </c>
      <c r="BF606" s="2">
        <v>0</v>
      </c>
      <c r="BG606" s="2" t="s">
        <v>32</v>
      </c>
      <c r="BH606" s="2">
        <v>0</v>
      </c>
      <c r="BI606" s="2" t="s">
        <v>32</v>
      </c>
      <c r="BJ606" s="2" t="s">
        <v>32</v>
      </c>
      <c r="BK606" s="2" t="s">
        <v>32</v>
      </c>
      <c r="BL606" s="2">
        <v>0</v>
      </c>
      <c r="BM606" s="2" t="s">
        <v>32</v>
      </c>
      <c r="BN606" s="2" t="s">
        <v>32</v>
      </c>
      <c r="BO606" s="2" t="s">
        <v>32</v>
      </c>
      <c r="BP606" s="2">
        <v>0</v>
      </c>
      <c r="BQ606" s="2" t="s">
        <v>32</v>
      </c>
      <c r="BR606" s="2">
        <v>0</v>
      </c>
      <c r="BS606" s="2" t="s">
        <v>1660</v>
      </c>
      <c r="BT606" s="2">
        <v>0</v>
      </c>
      <c r="BU606" s="2">
        <v>0</v>
      </c>
      <c r="BV606" s="2" t="s">
        <v>1660</v>
      </c>
      <c r="BW606" s="2"/>
      <c r="BX606" s="2"/>
      <c r="BY606" s="2" t="s">
        <v>1807</v>
      </c>
      <c r="BZ606" s="2" t="b">
        <f>OR( (Dashboard[[#This Row],[ref_as_hh]]&gt;=1),(Dashboard[[#This Row],[ret_as_hh]] &gt;=1), (Dashboard[[#This Row],[idp_as_hh]]&gt;=1))</f>
        <v>0</v>
      </c>
      <c r="CA606" s="2">
        <f>Dashboard[[#This Row],[ret_hi_hh]]</f>
        <v>0</v>
      </c>
      <c r="CB606" s="2">
        <f>Dashboard[[#This Row],[idp_fa_hh]]+Dashboard[[#This Row],[ref_fa_hh]]+Dashboard[[#This Row],[ret_fa_hh]]</f>
        <v>35</v>
      </c>
      <c r="CC606" s="2">
        <f>Dashboard[[#This Row],[idp_loc_hh]]+Dashboard[[#This Row],[ref_loc_hh]]+Dashboard[[#This Row],[ret_loc_hh]]</f>
        <v>24</v>
      </c>
      <c r="CD606" s="2">
        <f>Dashboard[[#This Row],[idp_cc_hh]]+Dashboard[[#This Row],[ref_cc_hh]]+Dashboard[[#This Row],[ret_cc_hh]]</f>
        <v>0</v>
      </c>
      <c r="CE606" s="2">
        <f>Dashboard[[#This Row],[idp_as_hh]]+Dashboard[[#This Row],[ref_as_hh]]+Dashboard[[#This Row],[ret_as_hh]]</f>
        <v>0</v>
      </c>
      <c r="CF606" s="2">
        <f>Dashboard[[#This Row],[idp_al_hh]]+Dashboard[[#This Row],[ref_al_hh]]+Dashboard[[#This Row],[ret_al_hh]]</f>
        <v>0</v>
      </c>
    </row>
    <row r="607" spans="1:84" hidden="1" x14ac:dyDescent="0.25">
      <c r="A607" s="27">
        <v>722</v>
      </c>
      <c r="B607" s="2" t="s">
        <v>22</v>
      </c>
      <c r="C607" s="2" t="s">
        <v>23</v>
      </c>
      <c r="D607" s="2" t="s">
        <v>48</v>
      </c>
      <c r="E607" s="2" t="s">
        <v>47</v>
      </c>
      <c r="F607" s="2" t="s">
        <v>62</v>
      </c>
      <c r="G607" s="2" t="s">
        <v>61</v>
      </c>
      <c r="H607" s="2" t="s">
        <v>1375</v>
      </c>
      <c r="I607" s="2" t="s">
        <v>512</v>
      </c>
      <c r="J607" s="2" t="s">
        <v>3376</v>
      </c>
      <c r="K607" s="2" t="s">
        <v>3377</v>
      </c>
      <c r="L607" s="2" t="s">
        <v>2074</v>
      </c>
      <c r="M607" s="2">
        <v>3121</v>
      </c>
      <c r="N607" s="2" t="s">
        <v>1658</v>
      </c>
      <c r="O607" s="2">
        <v>668</v>
      </c>
      <c r="P607" s="2">
        <v>1512</v>
      </c>
      <c r="Q607" s="2" t="s">
        <v>1658</v>
      </c>
      <c r="R607" s="2">
        <v>90</v>
      </c>
      <c r="S607" s="2" t="s">
        <v>1658</v>
      </c>
      <c r="T607" s="2">
        <v>578</v>
      </c>
      <c r="U607" s="2" t="s">
        <v>1661</v>
      </c>
      <c r="V607" s="2" t="s">
        <v>32</v>
      </c>
      <c r="W607" s="2" t="s">
        <v>1660</v>
      </c>
      <c r="X607" s="2">
        <v>0</v>
      </c>
      <c r="Y607" s="2" t="s">
        <v>32</v>
      </c>
      <c r="Z607" s="2" t="s">
        <v>32</v>
      </c>
      <c r="AA607" s="2" t="s">
        <v>1660</v>
      </c>
      <c r="AB607" s="2">
        <v>0</v>
      </c>
      <c r="AC607" s="2" t="s">
        <v>1660</v>
      </c>
      <c r="AD607" s="2">
        <v>0</v>
      </c>
      <c r="AE607" s="2" t="s">
        <v>1660</v>
      </c>
      <c r="AF607" s="2">
        <v>0</v>
      </c>
      <c r="AG607" s="2">
        <v>0</v>
      </c>
      <c r="AH607" s="2" t="s">
        <v>32</v>
      </c>
      <c r="AI607" s="2" t="s">
        <v>32</v>
      </c>
      <c r="AJ607" s="2" t="s">
        <v>32</v>
      </c>
      <c r="AK607" s="2" t="s">
        <v>32</v>
      </c>
      <c r="AL607" s="2" t="s">
        <v>32</v>
      </c>
      <c r="AM607" s="2">
        <v>0</v>
      </c>
      <c r="AN607" s="2" t="s">
        <v>32</v>
      </c>
      <c r="AO607" s="2">
        <v>0</v>
      </c>
      <c r="AP607" s="2" t="s">
        <v>32</v>
      </c>
      <c r="AQ607" s="2" t="s">
        <v>32</v>
      </c>
      <c r="AR607" s="2" t="s">
        <v>32</v>
      </c>
      <c r="AS607" s="2">
        <v>0</v>
      </c>
      <c r="AT607" s="2" t="s">
        <v>32</v>
      </c>
      <c r="AU607" s="2" t="s">
        <v>32</v>
      </c>
      <c r="AV607" s="2" t="s">
        <v>32</v>
      </c>
      <c r="AW607" s="2">
        <v>0</v>
      </c>
      <c r="AX607" s="2" t="s">
        <v>32</v>
      </c>
      <c r="AY607" s="2">
        <v>0</v>
      </c>
      <c r="AZ607" s="2" t="s">
        <v>1660</v>
      </c>
      <c r="BA607" s="2">
        <v>0</v>
      </c>
      <c r="BB607" s="2">
        <v>0</v>
      </c>
      <c r="BC607" s="2" t="s">
        <v>32</v>
      </c>
      <c r="BD607" s="2">
        <v>0</v>
      </c>
      <c r="BE607" s="2" t="s">
        <v>32</v>
      </c>
      <c r="BF607" s="2">
        <v>0</v>
      </c>
      <c r="BG607" s="2" t="s">
        <v>32</v>
      </c>
      <c r="BH607" s="2">
        <v>0</v>
      </c>
      <c r="BI607" s="2" t="s">
        <v>32</v>
      </c>
      <c r="BJ607" s="2" t="s">
        <v>32</v>
      </c>
      <c r="BK607" s="2" t="s">
        <v>32</v>
      </c>
      <c r="BL607" s="2">
        <v>0</v>
      </c>
      <c r="BM607" s="2" t="s">
        <v>32</v>
      </c>
      <c r="BN607" s="2" t="s">
        <v>32</v>
      </c>
      <c r="BO607" s="2" t="s">
        <v>32</v>
      </c>
      <c r="BP607" s="2">
        <v>0</v>
      </c>
      <c r="BQ607" s="2" t="s">
        <v>32</v>
      </c>
      <c r="BR607" s="2">
        <v>0</v>
      </c>
      <c r="BS607" s="2" t="s">
        <v>1660</v>
      </c>
      <c r="BT607" s="2">
        <v>0</v>
      </c>
      <c r="BU607" s="2">
        <v>0</v>
      </c>
      <c r="BV607" s="2" t="s">
        <v>1660</v>
      </c>
      <c r="BW607" s="2"/>
      <c r="BX607" s="2"/>
      <c r="BY607" s="2" t="s">
        <v>1807</v>
      </c>
      <c r="BZ607" s="2" t="b">
        <f>OR( (Dashboard[[#This Row],[ref_as_hh]]&gt;=1),(Dashboard[[#This Row],[ret_as_hh]] &gt;=1), (Dashboard[[#This Row],[idp_as_hh]]&gt;=1))</f>
        <v>0</v>
      </c>
      <c r="CA607" s="2">
        <f>Dashboard[[#This Row],[ret_hi_hh]]</f>
        <v>0</v>
      </c>
      <c r="CB607" s="2">
        <f>Dashboard[[#This Row],[idp_fa_hh]]+Dashboard[[#This Row],[ref_fa_hh]]+Dashboard[[#This Row],[ret_fa_hh]]</f>
        <v>90</v>
      </c>
      <c r="CC607" s="2">
        <f>Dashboard[[#This Row],[idp_loc_hh]]+Dashboard[[#This Row],[ref_loc_hh]]+Dashboard[[#This Row],[ret_loc_hh]]</f>
        <v>578</v>
      </c>
      <c r="CD607" s="2">
        <f>Dashboard[[#This Row],[idp_cc_hh]]+Dashboard[[#This Row],[ref_cc_hh]]+Dashboard[[#This Row],[ret_cc_hh]]</f>
        <v>0</v>
      </c>
      <c r="CE607" s="2">
        <f>Dashboard[[#This Row],[idp_as_hh]]+Dashboard[[#This Row],[ref_as_hh]]+Dashboard[[#This Row],[ret_as_hh]]</f>
        <v>0</v>
      </c>
      <c r="CF607" s="2">
        <f>Dashboard[[#This Row],[idp_al_hh]]+Dashboard[[#This Row],[ref_al_hh]]+Dashboard[[#This Row],[ret_al_hh]]</f>
        <v>0</v>
      </c>
    </row>
    <row r="608" spans="1:84" hidden="1" x14ac:dyDescent="0.25">
      <c r="A608" s="27">
        <v>723</v>
      </c>
      <c r="B608" s="2" t="s">
        <v>22</v>
      </c>
      <c r="C608" s="2" t="s">
        <v>23</v>
      </c>
      <c r="D608" s="2" t="s">
        <v>48</v>
      </c>
      <c r="E608" s="2" t="s">
        <v>47</v>
      </c>
      <c r="F608" s="2" t="s">
        <v>62</v>
      </c>
      <c r="G608" s="2" t="s">
        <v>61</v>
      </c>
      <c r="H608" s="2" t="s">
        <v>1389</v>
      </c>
      <c r="I608" s="2" t="s">
        <v>524</v>
      </c>
      <c r="J608" s="2" t="s">
        <v>3406</v>
      </c>
      <c r="K608" s="2" t="s">
        <v>3407</v>
      </c>
      <c r="L608" s="2" t="s">
        <v>2074</v>
      </c>
      <c r="M608" s="2">
        <v>2117</v>
      </c>
      <c r="N608" s="2" t="s">
        <v>1658</v>
      </c>
      <c r="O608" s="2">
        <v>51</v>
      </c>
      <c r="P608" s="2">
        <v>300</v>
      </c>
      <c r="Q608" s="2" t="s">
        <v>1658</v>
      </c>
      <c r="R608" s="2">
        <v>11</v>
      </c>
      <c r="S608" s="2" t="s">
        <v>1658</v>
      </c>
      <c r="T608" s="2">
        <v>40</v>
      </c>
      <c r="U608" s="2" t="s">
        <v>1661</v>
      </c>
      <c r="V608" s="2" t="s">
        <v>32</v>
      </c>
      <c r="W608" s="2" t="s">
        <v>1660</v>
      </c>
      <c r="X608" s="2">
        <v>0</v>
      </c>
      <c r="Y608" s="2" t="s">
        <v>32</v>
      </c>
      <c r="Z608" s="2" t="s">
        <v>32</v>
      </c>
      <c r="AA608" s="2" t="s">
        <v>1660</v>
      </c>
      <c r="AB608" s="2">
        <v>0</v>
      </c>
      <c r="AC608" s="2" t="s">
        <v>1660</v>
      </c>
      <c r="AD608" s="2">
        <v>0</v>
      </c>
      <c r="AE608" s="2" t="s">
        <v>1660</v>
      </c>
      <c r="AF608" s="2">
        <v>0</v>
      </c>
      <c r="AG608" s="2">
        <v>0</v>
      </c>
      <c r="AH608" s="2" t="s">
        <v>32</v>
      </c>
      <c r="AI608" s="2" t="s">
        <v>32</v>
      </c>
      <c r="AJ608" s="2" t="s">
        <v>32</v>
      </c>
      <c r="AK608" s="2" t="s">
        <v>32</v>
      </c>
      <c r="AL608" s="2" t="s">
        <v>32</v>
      </c>
      <c r="AM608" s="2">
        <v>0</v>
      </c>
      <c r="AN608" s="2" t="s">
        <v>32</v>
      </c>
      <c r="AO608" s="2">
        <v>0</v>
      </c>
      <c r="AP608" s="2" t="s">
        <v>32</v>
      </c>
      <c r="AQ608" s="2" t="s">
        <v>32</v>
      </c>
      <c r="AR608" s="2" t="s">
        <v>32</v>
      </c>
      <c r="AS608" s="2">
        <v>0</v>
      </c>
      <c r="AT608" s="2" t="s">
        <v>32</v>
      </c>
      <c r="AU608" s="2" t="s">
        <v>32</v>
      </c>
      <c r="AV608" s="2" t="s">
        <v>32</v>
      </c>
      <c r="AW608" s="2">
        <v>0</v>
      </c>
      <c r="AX608" s="2" t="s">
        <v>32</v>
      </c>
      <c r="AY608" s="2">
        <v>0</v>
      </c>
      <c r="AZ608" s="2" t="s">
        <v>1660</v>
      </c>
      <c r="BA608" s="2">
        <v>0</v>
      </c>
      <c r="BB608" s="2">
        <v>0</v>
      </c>
      <c r="BC608" s="2" t="s">
        <v>32</v>
      </c>
      <c r="BD608" s="2">
        <v>0</v>
      </c>
      <c r="BE608" s="2" t="s">
        <v>32</v>
      </c>
      <c r="BF608" s="2">
        <v>0</v>
      </c>
      <c r="BG608" s="2" t="s">
        <v>32</v>
      </c>
      <c r="BH608" s="2">
        <v>0</v>
      </c>
      <c r="BI608" s="2" t="s">
        <v>32</v>
      </c>
      <c r="BJ608" s="2" t="s">
        <v>32</v>
      </c>
      <c r="BK608" s="2" t="s">
        <v>32</v>
      </c>
      <c r="BL608" s="2">
        <v>0</v>
      </c>
      <c r="BM608" s="2" t="s">
        <v>32</v>
      </c>
      <c r="BN608" s="2" t="s">
        <v>32</v>
      </c>
      <c r="BO608" s="2" t="s">
        <v>32</v>
      </c>
      <c r="BP608" s="2">
        <v>0</v>
      </c>
      <c r="BQ608" s="2" t="s">
        <v>32</v>
      </c>
      <c r="BR608" s="2">
        <v>0</v>
      </c>
      <c r="BS608" s="2" t="s">
        <v>1660</v>
      </c>
      <c r="BT608" s="2">
        <v>0</v>
      </c>
      <c r="BU608" s="2">
        <v>0</v>
      </c>
      <c r="BV608" s="2" t="s">
        <v>1660</v>
      </c>
      <c r="BW608" s="2"/>
      <c r="BX608" s="2"/>
      <c r="BY608" s="2" t="s">
        <v>1807</v>
      </c>
      <c r="BZ608" s="2" t="b">
        <f>OR( (Dashboard[[#This Row],[ref_as_hh]]&gt;=1),(Dashboard[[#This Row],[ret_as_hh]] &gt;=1), (Dashboard[[#This Row],[idp_as_hh]]&gt;=1))</f>
        <v>0</v>
      </c>
      <c r="CA608" s="2">
        <f>Dashboard[[#This Row],[ret_hi_hh]]</f>
        <v>0</v>
      </c>
      <c r="CB608" s="2">
        <f>Dashboard[[#This Row],[idp_fa_hh]]+Dashboard[[#This Row],[ref_fa_hh]]+Dashboard[[#This Row],[ret_fa_hh]]</f>
        <v>11</v>
      </c>
      <c r="CC608" s="2">
        <f>Dashboard[[#This Row],[idp_loc_hh]]+Dashboard[[#This Row],[ref_loc_hh]]+Dashboard[[#This Row],[ret_loc_hh]]</f>
        <v>40</v>
      </c>
      <c r="CD608" s="2">
        <f>Dashboard[[#This Row],[idp_cc_hh]]+Dashboard[[#This Row],[ref_cc_hh]]+Dashboard[[#This Row],[ret_cc_hh]]</f>
        <v>0</v>
      </c>
      <c r="CE608" s="2">
        <f>Dashboard[[#This Row],[idp_as_hh]]+Dashboard[[#This Row],[ref_as_hh]]+Dashboard[[#This Row],[ret_as_hh]]</f>
        <v>0</v>
      </c>
      <c r="CF608" s="2">
        <f>Dashboard[[#This Row],[idp_al_hh]]+Dashboard[[#This Row],[ref_al_hh]]+Dashboard[[#This Row],[ret_al_hh]]</f>
        <v>0</v>
      </c>
    </row>
    <row r="609" spans="1:84" hidden="1" x14ac:dyDescent="0.25">
      <c r="A609" s="27">
        <v>724</v>
      </c>
      <c r="B609" s="2" t="s">
        <v>22</v>
      </c>
      <c r="C609" s="2" t="s">
        <v>23</v>
      </c>
      <c r="D609" s="2" t="s">
        <v>48</v>
      </c>
      <c r="E609" s="2" t="s">
        <v>47</v>
      </c>
      <c r="F609" s="2" t="s">
        <v>62</v>
      </c>
      <c r="G609" s="2" t="s">
        <v>61</v>
      </c>
      <c r="H609" s="2" t="s">
        <v>1372</v>
      </c>
      <c r="I609" s="2" t="s">
        <v>835</v>
      </c>
      <c r="J609" s="2" t="s">
        <v>3370</v>
      </c>
      <c r="K609" s="2" t="s">
        <v>3371</v>
      </c>
      <c r="L609" s="2" t="s">
        <v>2074</v>
      </c>
      <c r="M609" s="2">
        <v>6871</v>
      </c>
      <c r="N609" s="2" t="s">
        <v>1658</v>
      </c>
      <c r="O609" s="2">
        <v>21</v>
      </c>
      <c r="P609" s="2">
        <v>85</v>
      </c>
      <c r="Q609" s="2" t="s">
        <v>1658</v>
      </c>
      <c r="R609" s="2">
        <v>15</v>
      </c>
      <c r="S609" s="2" t="s">
        <v>1658</v>
      </c>
      <c r="T609" s="2">
        <v>6</v>
      </c>
      <c r="U609" s="2" t="s">
        <v>1661</v>
      </c>
      <c r="V609" s="2" t="s">
        <v>32</v>
      </c>
      <c r="W609" s="2" t="s">
        <v>1660</v>
      </c>
      <c r="X609" s="2">
        <v>0</v>
      </c>
      <c r="Y609" s="2" t="s">
        <v>32</v>
      </c>
      <c r="Z609" s="2" t="s">
        <v>32</v>
      </c>
      <c r="AA609" s="2" t="s">
        <v>1660</v>
      </c>
      <c r="AB609" s="2">
        <v>0</v>
      </c>
      <c r="AC609" s="2" t="s">
        <v>1660</v>
      </c>
      <c r="AD609" s="2">
        <v>0</v>
      </c>
      <c r="AE609" s="2" t="s">
        <v>1660</v>
      </c>
      <c r="AF609" s="2">
        <v>0</v>
      </c>
      <c r="AG609" s="2">
        <v>0</v>
      </c>
      <c r="AH609" s="2" t="s">
        <v>32</v>
      </c>
      <c r="AI609" s="2" t="s">
        <v>32</v>
      </c>
      <c r="AJ609" s="2" t="s">
        <v>32</v>
      </c>
      <c r="AK609" s="2" t="s">
        <v>32</v>
      </c>
      <c r="AL609" s="2" t="s">
        <v>32</v>
      </c>
      <c r="AM609" s="2">
        <v>0</v>
      </c>
      <c r="AN609" s="2" t="s">
        <v>32</v>
      </c>
      <c r="AO609" s="2">
        <v>0</v>
      </c>
      <c r="AP609" s="2" t="s">
        <v>32</v>
      </c>
      <c r="AQ609" s="2" t="s">
        <v>32</v>
      </c>
      <c r="AR609" s="2" t="s">
        <v>32</v>
      </c>
      <c r="AS609" s="2">
        <v>0</v>
      </c>
      <c r="AT609" s="2" t="s">
        <v>32</v>
      </c>
      <c r="AU609" s="2" t="s">
        <v>32</v>
      </c>
      <c r="AV609" s="2" t="s">
        <v>32</v>
      </c>
      <c r="AW609" s="2">
        <v>0</v>
      </c>
      <c r="AX609" s="2" t="s">
        <v>32</v>
      </c>
      <c r="AY609" s="2">
        <v>0</v>
      </c>
      <c r="AZ609" s="2" t="s">
        <v>1660</v>
      </c>
      <c r="BA609" s="2">
        <v>0</v>
      </c>
      <c r="BB609" s="2">
        <v>0</v>
      </c>
      <c r="BC609" s="2" t="s">
        <v>32</v>
      </c>
      <c r="BD609" s="2">
        <v>0</v>
      </c>
      <c r="BE609" s="2" t="s">
        <v>32</v>
      </c>
      <c r="BF609" s="2">
        <v>0</v>
      </c>
      <c r="BG609" s="2" t="s">
        <v>32</v>
      </c>
      <c r="BH609" s="2">
        <v>0</v>
      </c>
      <c r="BI609" s="2" t="s">
        <v>32</v>
      </c>
      <c r="BJ609" s="2" t="s">
        <v>32</v>
      </c>
      <c r="BK609" s="2" t="s">
        <v>32</v>
      </c>
      <c r="BL609" s="2">
        <v>0</v>
      </c>
      <c r="BM609" s="2" t="s">
        <v>32</v>
      </c>
      <c r="BN609" s="2" t="s">
        <v>32</v>
      </c>
      <c r="BO609" s="2" t="s">
        <v>32</v>
      </c>
      <c r="BP609" s="2">
        <v>0</v>
      </c>
      <c r="BQ609" s="2" t="s">
        <v>32</v>
      </c>
      <c r="BR609" s="2">
        <v>0</v>
      </c>
      <c r="BS609" s="2" t="s">
        <v>1660</v>
      </c>
      <c r="BT609" s="2">
        <v>0</v>
      </c>
      <c r="BU609" s="2">
        <v>0</v>
      </c>
      <c r="BV609" s="2" t="s">
        <v>1660</v>
      </c>
      <c r="BW609" s="2"/>
      <c r="BX609" s="2"/>
      <c r="BY609" s="2" t="s">
        <v>1807</v>
      </c>
      <c r="BZ609" s="2" t="b">
        <f>OR( (Dashboard[[#This Row],[ref_as_hh]]&gt;=1),(Dashboard[[#This Row],[ret_as_hh]] &gt;=1), (Dashboard[[#This Row],[idp_as_hh]]&gt;=1))</f>
        <v>0</v>
      </c>
      <c r="CA609" s="2">
        <f>Dashboard[[#This Row],[ret_hi_hh]]</f>
        <v>0</v>
      </c>
      <c r="CB609" s="2">
        <f>Dashboard[[#This Row],[idp_fa_hh]]+Dashboard[[#This Row],[ref_fa_hh]]+Dashboard[[#This Row],[ret_fa_hh]]</f>
        <v>15</v>
      </c>
      <c r="CC609" s="2">
        <f>Dashboard[[#This Row],[idp_loc_hh]]+Dashboard[[#This Row],[ref_loc_hh]]+Dashboard[[#This Row],[ret_loc_hh]]</f>
        <v>6</v>
      </c>
      <c r="CD609" s="2">
        <f>Dashboard[[#This Row],[idp_cc_hh]]+Dashboard[[#This Row],[ref_cc_hh]]+Dashboard[[#This Row],[ret_cc_hh]]</f>
        <v>0</v>
      </c>
      <c r="CE609" s="2">
        <f>Dashboard[[#This Row],[idp_as_hh]]+Dashboard[[#This Row],[ref_as_hh]]+Dashboard[[#This Row],[ret_as_hh]]</f>
        <v>0</v>
      </c>
      <c r="CF609" s="2">
        <f>Dashboard[[#This Row],[idp_al_hh]]+Dashboard[[#This Row],[ref_al_hh]]+Dashboard[[#This Row],[ret_al_hh]]</f>
        <v>0</v>
      </c>
    </row>
    <row r="610" spans="1:84" hidden="1" x14ac:dyDescent="0.25">
      <c r="A610" s="27">
        <v>525</v>
      </c>
      <c r="B610" s="2" t="s">
        <v>22</v>
      </c>
      <c r="C610" s="2" t="s">
        <v>23</v>
      </c>
      <c r="D610" s="2" t="s">
        <v>48</v>
      </c>
      <c r="E610" s="2" t="s">
        <v>47</v>
      </c>
      <c r="F610" s="2" t="s">
        <v>527</v>
      </c>
      <c r="G610" s="2" t="s">
        <v>528</v>
      </c>
      <c r="H610" s="2" t="s">
        <v>1393</v>
      </c>
      <c r="I610" s="2" t="s">
        <v>529</v>
      </c>
      <c r="J610" s="2" t="s">
        <v>3420</v>
      </c>
      <c r="K610" s="2" t="s">
        <v>3421</v>
      </c>
      <c r="L610" s="2" t="s">
        <v>2074</v>
      </c>
      <c r="M610" s="2">
        <v>3617</v>
      </c>
      <c r="N610" s="2" t="s">
        <v>1658</v>
      </c>
      <c r="O610" s="2">
        <v>6</v>
      </c>
      <c r="P610" s="2">
        <v>23</v>
      </c>
      <c r="Q610" s="2" t="s">
        <v>1658</v>
      </c>
      <c r="R610" s="2">
        <v>4</v>
      </c>
      <c r="S610" s="2" t="s">
        <v>1658</v>
      </c>
      <c r="T610" s="2">
        <v>2</v>
      </c>
      <c r="U610" s="2" t="s">
        <v>1661</v>
      </c>
      <c r="V610" s="2" t="s">
        <v>32</v>
      </c>
      <c r="W610" s="2" t="s">
        <v>1660</v>
      </c>
      <c r="X610" s="2">
        <v>0</v>
      </c>
      <c r="Y610" s="2" t="s">
        <v>32</v>
      </c>
      <c r="Z610" s="2" t="s">
        <v>32</v>
      </c>
      <c r="AA610" s="2" t="s">
        <v>1660</v>
      </c>
      <c r="AB610" s="2">
        <v>0</v>
      </c>
      <c r="AC610" s="2" t="s">
        <v>1660</v>
      </c>
      <c r="AD610" s="2">
        <v>0</v>
      </c>
      <c r="AE610" s="2" t="s">
        <v>1660</v>
      </c>
      <c r="AF610" s="2">
        <v>0</v>
      </c>
      <c r="AG610" s="2">
        <v>0</v>
      </c>
      <c r="AH610" s="2" t="s">
        <v>32</v>
      </c>
      <c r="AI610" s="2" t="s">
        <v>32</v>
      </c>
      <c r="AJ610" s="2" t="s">
        <v>32</v>
      </c>
      <c r="AK610" s="2" t="s">
        <v>32</v>
      </c>
      <c r="AL610" s="2" t="s">
        <v>32</v>
      </c>
      <c r="AM610" s="2">
        <v>0</v>
      </c>
      <c r="AN610" s="2" t="s">
        <v>32</v>
      </c>
      <c r="AO610" s="2">
        <v>0</v>
      </c>
      <c r="AP610" s="2" t="s">
        <v>32</v>
      </c>
      <c r="AQ610" s="2" t="s">
        <v>32</v>
      </c>
      <c r="AR610" s="2" t="s">
        <v>32</v>
      </c>
      <c r="AS610" s="2">
        <v>0</v>
      </c>
      <c r="AT610" s="2" t="s">
        <v>32</v>
      </c>
      <c r="AU610" s="2" t="s">
        <v>32</v>
      </c>
      <c r="AV610" s="2" t="s">
        <v>32</v>
      </c>
      <c r="AW610" s="2">
        <v>0</v>
      </c>
      <c r="AX610" s="2" t="s">
        <v>32</v>
      </c>
      <c r="AY610" s="2">
        <v>0</v>
      </c>
      <c r="AZ610" s="2" t="s">
        <v>1660</v>
      </c>
      <c r="BA610" s="2">
        <v>0</v>
      </c>
      <c r="BB610" s="2">
        <v>0</v>
      </c>
      <c r="BC610" s="2" t="s">
        <v>32</v>
      </c>
      <c r="BD610" s="2">
        <v>0</v>
      </c>
      <c r="BE610" s="2" t="s">
        <v>32</v>
      </c>
      <c r="BF610" s="2">
        <v>0</v>
      </c>
      <c r="BG610" s="2" t="s">
        <v>32</v>
      </c>
      <c r="BH610" s="2">
        <v>0</v>
      </c>
      <c r="BI610" s="2" t="s">
        <v>32</v>
      </c>
      <c r="BJ610" s="2" t="s">
        <v>32</v>
      </c>
      <c r="BK610" s="2" t="s">
        <v>32</v>
      </c>
      <c r="BL610" s="2">
        <v>0</v>
      </c>
      <c r="BM610" s="2" t="s">
        <v>32</v>
      </c>
      <c r="BN610" s="2" t="s">
        <v>32</v>
      </c>
      <c r="BO610" s="2" t="s">
        <v>32</v>
      </c>
      <c r="BP610" s="2">
        <v>0</v>
      </c>
      <c r="BQ610" s="2" t="s">
        <v>32</v>
      </c>
      <c r="BR610" s="2">
        <v>0</v>
      </c>
      <c r="BS610" s="2" t="s">
        <v>1660</v>
      </c>
      <c r="BT610" s="2">
        <v>0</v>
      </c>
      <c r="BU610" s="2">
        <v>0</v>
      </c>
      <c r="BV610" s="2" t="s">
        <v>1660</v>
      </c>
      <c r="BW610" s="2"/>
      <c r="BX610" s="2"/>
      <c r="BY610" s="2" t="s">
        <v>1807</v>
      </c>
      <c r="BZ610" s="2" t="b">
        <f>OR( (Dashboard[[#This Row],[ref_as_hh]]&gt;=1),(Dashboard[[#This Row],[ret_as_hh]] &gt;=1), (Dashboard[[#This Row],[idp_as_hh]]&gt;=1))</f>
        <v>0</v>
      </c>
      <c r="CA610" s="2">
        <f>Dashboard[[#This Row],[ret_hi_hh]]</f>
        <v>0</v>
      </c>
      <c r="CB610" s="2">
        <f>Dashboard[[#This Row],[idp_fa_hh]]+Dashboard[[#This Row],[ref_fa_hh]]+Dashboard[[#This Row],[ret_fa_hh]]</f>
        <v>4</v>
      </c>
      <c r="CC610" s="2">
        <f>Dashboard[[#This Row],[idp_loc_hh]]+Dashboard[[#This Row],[ref_loc_hh]]+Dashboard[[#This Row],[ret_loc_hh]]</f>
        <v>2</v>
      </c>
      <c r="CD610" s="2">
        <f>Dashboard[[#This Row],[idp_cc_hh]]+Dashboard[[#This Row],[ref_cc_hh]]+Dashboard[[#This Row],[ret_cc_hh]]</f>
        <v>0</v>
      </c>
      <c r="CE610" s="2">
        <f>Dashboard[[#This Row],[idp_as_hh]]+Dashboard[[#This Row],[ref_as_hh]]+Dashboard[[#This Row],[ret_as_hh]]</f>
        <v>0</v>
      </c>
      <c r="CF610" s="2">
        <f>Dashboard[[#This Row],[idp_al_hh]]+Dashboard[[#This Row],[ref_al_hh]]+Dashboard[[#This Row],[ret_al_hh]]</f>
        <v>0</v>
      </c>
    </row>
    <row r="611" spans="1:84" hidden="1" x14ac:dyDescent="0.25">
      <c r="A611" s="27">
        <v>526</v>
      </c>
      <c r="B611" s="2" t="s">
        <v>22</v>
      </c>
      <c r="C611" s="2" t="s">
        <v>23</v>
      </c>
      <c r="D611" s="2" t="s">
        <v>48</v>
      </c>
      <c r="E611" s="2" t="s">
        <v>47</v>
      </c>
      <c r="F611" s="2" t="s">
        <v>527</v>
      </c>
      <c r="G611" s="2" t="s">
        <v>528</v>
      </c>
      <c r="H611" s="2" t="s">
        <v>1396</v>
      </c>
      <c r="I611" s="2" t="s">
        <v>532</v>
      </c>
      <c r="J611" s="2" t="s">
        <v>3426</v>
      </c>
      <c r="K611" s="2" t="s">
        <v>3427</v>
      </c>
      <c r="L611" s="2" t="s">
        <v>2074</v>
      </c>
      <c r="M611" s="2">
        <v>9832</v>
      </c>
      <c r="N611" s="2" t="s">
        <v>1658</v>
      </c>
      <c r="O611" s="2">
        <v>38</v>
      </c>
      <c r="P611" s="2">
        <v>93</v>
      </c>
      <c r="Q611" s="2" t="s">
        <v>1658</v>
      </c>
      <c r="R611" s="2">
        <v>33</v>
      </c>
      <c r="S611" s="2" t="s">
        <v>1658</v>
      </c>
      <c r="T611" s="2">
        <v>5</v>
      </c>
      <c r="U611" s="2" t="s">
        <v>1661</v>
      </c>
      <c r="V611" s="2" t="s">
        <v>32</v>
      </c>
      <c r="W611" s="2" t="s">
        <v>1660</v>
      </c>
      <c r="X611" s="2">
        <v>0</v>
      </c>
      <c r="Y611" s="2" t="s">
        <v>32</v>
      </c>
      <c r="Z611" s="2" t="s">
        <v>32</v>
      </c>
      <c r="AA611" s="2" t="s">
        <v>1660</v>
      </c>
      <c r="AB611" s="2">
        <v>0</v>
      </c>
      <c r="AC611" s="2" t="s">
        <v>1660</v>
      </c>
      <c r="AD611" s="2">
        <v>0</v>
      </c>
      <c r="AE611" s="2" t="s">
        <v>1660</v>
      </c>
      <c r="AF611" s="2">
        <v>0</v>
      </c>
      <c r="AG611" s="2">
        <v>0</v>
      </c>
      <c r="AH611" s="2" t="s">
        <v>32</v>
      </c>
      <c r="AI611" s="2" t="s">
        <v>32</v>
      </c>
      <c r="AJ611" s="2" t="s">
        <v>32</v>
      </c>
      <c r="AK611" s="2" t="s">
        <v>32</v>
      </c>
      <c r="AL611" s="2" t="s">
        <v>32</v>
      </c>
      <c r="AM611" s="2">
        <v>0</v>
      </c>
      <c r="AN611" s="2" t="s">
        <v>32</v>
      </c>
      <c r="AO611" s="2">
        <v>0</v>
      </c>
      <c r="AP611" s="2" t="s">
        <v>32</v>
      </c>
      <c r="AQ611" s="2" t="s">
        <v>32</v>
      </c>
      <c r="AR611" s="2" t="s">
        <v>32</v>
      </c>
      <c r="AS611" s="2">
        <v>0</v>
      </c>
      <c r="AT611" s="2" t="s">
        <v>32</v>
      </c>
      <c r="AU611" s="2" t="s">
        <v>32</v>
      </c>
      <c r="AV611" s="2" t="s">
        <v>32</v>
      </c>
      <c r="AW611" s="2">
        <v>0</v>
      </c>
      <c r="AX611" s="2" t="s">
        <v>32</v>
      </c>
      <c r="AY611" s="2">
        <v>0</v>
      </c>
      <c r="AZ611" s="2" t="s">
        <v>1660</v>
      </c>
      <c r="BA611" s="2">
        <v>0</v>
      </c>
      <c r="BB611" s="2">
        <v>0</v>
      </c>
      <c r="BC611" s="2" t="s">
        <v>32</v>
      </c>
      <c r="BD611" s="2">
        <v>0</v>
      </c>
      <c r="BE611" s="2" t="s">
        <v>32</v>
      </c>
      <c r="BF611" s="2">
        <v>0</v>
      </c>
      <c r="BG611" s="2" t="s">
        <v>32</v>
      </c>
      <c r="BH611" s="2">
        <v>0</v>
      </c>
      <c r="BI611" s="2" t="s">
        <v>32</v>
      </c>
      <c r="BJ611" s="2" t="s">
        <v>32</v>
      </c>
      <c r="BK611" s="2" t="s">
        <v>32</v>
      </c>
      <c r="BL611" s="2">
        <v>0</v>
      </c>
      <c r="BM611" s="2" t="s">
        <v>32</v>
      </c>
      <c r="BN611" s="2" t="s">
        <v>32</v>
      </c>
      <c r="BO611" s="2" t="s">
        <v>32</v>
      </c>
      <c r="BP611" s="2">
        <v>0</v>
      </c>
      <c r="BQ611" s="2" t="s">
        <v>32</v>
      </c>
      <c r="BR611" s="2">
        <v>0</v>
      </c>
      <c r="BS611" s="2" t="s">
        <v>1660</v>
      </c>
      <c r="BT611" s="2">
        <v>0</v>
      </c>
      <c r="BU611" s="2">
        <v>0</v>
      </c>
      <c r="BV611" s="2" t="s">
        <v>1660</v>
      </c>
      <c r="BW611" s="2"/>
      <c r="BX611" s="2"/>
      <c r="BY611" s="2" t="s">
        <v>1807</v>
      </c>
      <c r="BZ611" s="2" t="b">
        <f>OR( (Dashboard[[#This Row],[ref_as_hh]]&gt;=1),(Dashboard[[#This Row],[ret_as_hh]] &gt;=1), (Dashboard[[#This Row],[idp_as_hh]]&gt;=1))</f>
        <v>0</v>
      </c>
      <c r="CA611" s="2">
        <f>Dashboard[[#This Row],[ret_hi_hh]]</f>
        <v>0</v>
      </c>
      <c r="CB611" s="2">
        <f>Dashboard[[#This Row],[idp_fa_hh]]+Dashboard[[#This Row],[ref_fa_hh]]+Dashboard[[#This Row],[ret_fa_hh]]</f>
        <v>33</v>
      </c>
      <c r="CC611" s="2">
        <f>Dashboard[[#This Row],[idp_loc_hh]]+Dashboard[[#This Row],[ref_loc_hh]]+Dashboard[[#This Row],[ret_loc_hh]]</f>
        <v>5</v>
      </c>
      <c r="CD611" s="2">
        <f>Dashboard[[#This Row],[idp_cc_hh]]+Dashboard[[#This Row],[ref_cc_hh]]+Dashboard[[#This Row],[ret_cc_hh]]</f>
        <v>0</v>
      </c>
      <c r="CE611" s="2">
        <f>Dashboard[[#This Row],[idp_as_hh]]+Dashboard[[#This Row],[ref_as_hh]]+Dashboard[[#This Row],[ret_as_hh]]</f>
        <v>0</v>
      </c>
      <c r="CF611" s="2">
        <f>Dashboard[[#This Row],[idp_al_hh]]+Dashboard[[#This Row],[ref_al_hh]]+Dashboard[[#This Row],[ret_al_hh]]</f>
        <v>0</v>
      </c>
    </row>
    <row r="612" spans="1:84" hidden="1" x14ac:dyDescent="0.25">
      <c r="A612" s="27">
        <v>527</v>
      </c>
      <c r="B612" s="2" t="s">
        <v>22</v>
      </c>
      <c r="C612" s="2" t="s">
        <v>23</v>
      </c>
      <c r="D612" s="2" t="s">
        <v>48</v>
      </c>
      <c r="E612" s="2" t="s">
        <v>47</v>
      </c>
      <c r="F612" s="2" t="s">
        <v>527</v>
      </c>
      <c r="G612" s="2" t="s">
        <v>528</v>
      </c>
      <c r="H612" s="2" t="s">
        <v>1395</v>
      </c>
      <c r="I612" s="2" t="s">
        <v>531</v>
      </c>
      <c r="J612" s="2" t="s">
        <v>3424</v>
      </c>
      <c r="K612" s="2" t="s">
        <v>3425</v>
      </c>
      <c r="L612" s="2" t="s">
        <v>2074</v>
      </c>
      <c r="M612" s="2">
        <v>4134</v>
      </c>
      <c r="N612" s="2" t="s">
        <v>1658</v>
      </c>
      <c r="O612" s="2">
        <v>33</v>
      </c>
      <c r="P612" s="2">
        <v>356</v>
      </c>
      <c r="Q612" s="2" t="s">
        <v>1658</v>
      </c>
      <c r="R612" s="2">
        <v>26</v>
      </c>
      <c r="S612" s="2" t="s">
        <v>1658</v>
      </c>
      <c r="T612" s="2">
        <v>7</v>
      </c>
      <c r="U612" s="2" t="s">
        <v>1661</v>
      </c>
      <c r="V612" s="2" t="s">
        <v>32</v>
      </c>
      <c r="W612" s="2" t="s">
        <v>1660</v>
      </c>
      <c r="X612" s="2">
        <v>0</v>
      </c>
      <c r="Y612" s="2" t="s">
        <v>32</v>
      </c>
      <c r="Z612" s="2" t="s">
        <v>32</v>
      </c>
      <c r="AA612" s="2" t="s">
        <v>1660</v>
      </c>
      <c r="AB612" s="2">
        <v>0</v>
      </c>
      <c r="AC612" s="2" t="s">
        <v>1660</v>
      </c>
      <c r="AD612" s="2">
        <v>0</v>
      </c>
      <c r="AE612" s="2" t="s">
        <v>1660</v>
      </c>
      <c r="AF612" s="2">
        <v>0</v>
      </c>
      <c r="AG612" s="2">
        <v>0</v>
      </c>
      <c r="AH612" s="2" t="s">
        <v>32</v>
      </c>
      <c r="AI612" s="2" t="s">
        <v>32</v>
      </c>
      <c r="AJ612" s="2" t="s">
        <v>32</v>
      </c>
      <c r="AK612" s="2" t="s">
        <v>32</v>
      </c>
      <c r="AL612" s="2" t="s">
        <v>32</v>
      </c>
      <c r="AM612" s="2">
        <v>0</v>
      </c>
      <c r="AN612" s="2" t="s">
        <v>32</v>
      </c>
      <c r="AO612" s="2">
        <v>0</v>
      </c>
      <c r="AP612" s="2" t="s">
        <v>32</v>
      </c>
      <c r="AQ612" s="2" t="s">
        <v>32</v>
      </c>
      <c r="AR612" s="2" t="s">
        <v>32</v>
      </c>
      <c r="AS612" s="2">
        <v>0</v>
      </c>
      <c r="AT612" s="2" t="s">
        <v>32</v>
      </c>
      <c r="AU612" s="2" t="s">
        <v>32</v>
      </c>
      <c r="AV612" s="2" t="s">
        <v>32</v>
      </c>
      <c r="AW612" s="2">
        <v>0</v>
      </c>
      <c r="AX612" s="2" t="s">
        <v>32</v>
      </c>
      <c r="AY612" s="2">
        <v>0</v>
      </c>
      <c r="AZ612" s="2" t="s">
        <v>1660</v>
      </c>
      <c r="BA612" s="2">
        <v>0</v>
      </c>
      <c r="BB612" s="2">
        <v>0</v>
      </c>
      <c r="BC612" s="2" t="s">
        <v>32</v>
      </c>
      <c r="BD612" s="2">
        <v>0</v>
      </c>
      <c r="BE612" s="2" t="s">
        <v>32</v>
      </c>
      <c r="BF612" s="2">
        <v>0</v>
      </c>
      <c r="BG612" s="2" t="s">
        <v>32</v>
      </c>
      <c r="BH612" s="2">
        <v>0</v>
      </c>
      <c r="BI612" s="2" t="s">
        <v>32</v>
      </c>
      <c r="BJ612" s="2" t="s">
        <v>32</v>
      </c>
      <c r="BK612" s="2" t="s">
        <v>32</v>
      </c>
      <c r="BL612" s="2">
        <v>0</v>
      </c>
      <c r="BM612" s="2" t="s">
        <v>32</v>
      </c>
      <c r="BN612" s="2" t="s">
        <v>32</v>
      </c>
      <c r="BO612" s="2" t="s">
        <v>32</v>
      </c>
      <c r="BP612" s="2">
        <v>0</v>
      </c>
      <c r="BQ612" s="2" t="s">
        <v>32</v>
      </c>
      <c r="BR612" s="2">
        <v>0</v>
      </c>
      <c r="BS612" s="2" t="s">
        <v>1660</v>
      </c>
      <c r="BT612" s="2">
        <v>0</v>
      </c>
      <c r="BU612" s="2">
        <v>0</v>
      </c>
      <c r="BV612" s="2" t="s">
        <v>1660</v>
      </c>
      <c r="BW612" s="2"/>
      <c r="BX612" s="2"/>
      <c r="BY612" s="2" t="s">
        <v>1807</v>
      </c>
      <c r="BZ612" s="2" t="b">
        <f>OR( (Dashboard[[#This Row],[ref_as_hh]]&gt;=1),(Dashboard[[#This Row],[ret_as_hh]] &gt;=1), (Dashboard[[#This Row],[idp_as_hh]]&gt;=1))</f>
        <v>0</v>
      </c>
      <c r="CA612" s="2">
        <f>Dashboard[[#This Row],[ret_hi_hh]]</f>
        <v>0</v>
      </c>
      <c r="CB612" s="2">
        <f>Dashboard[[#This Row],[idp_fa_hh]]+Dashboard[[#This Row],[ref_fa_hh]]+Dashboard[[#This Row],[ret_fa_hh]]</f>
        <v>26</v>
      </c>
      <c r="CC612" s="2">
        <f>Dashboard[[#This Row],[idp_loc_hh]]+Dashboard[[#This Row],[ref_loc_hh]]+Dashboard[[#This Row],[ret_loc_hh]]</f>
        <v>7</v>
      </c>
      <c r="CD612" s="2">
        <f>Dashboard[[#This Row],[idp_cc_hh]]+Dashboard[[#This Row],[ref_cc_hh]]+Dashboard[[#This Row],[ret_cc_hh]]</f>
        <v>0</v>
      </c>
      <c r="CE612" s="2">
        <f>Dashboard[[#This Row],[idp_as_hh]]+Dashboard[[#This Row],[ref_as_hh]]+Dashboard[[#This Row],[ret_as_hh]]</f>
        <v>0</v>
      </c>
      <c r="CF612" s="2">
        <f>Dashboard[[#This Row],[idp_al_hh]]+Dashboard[[#This Row],[ref_al_hh]]+Dashboard[[#This Row],[ret_al_hh]]</f>
        <v>0</v>
      </c>
    </row>
    <row r="613" spans="1:84" hidden="1" x14ac:dyDescent="0.25">
      <c r="A613" s="27">
        <v>528</v>
      </c>
      <c r="B613" s="2" t="s">
        <v>22</v>
      </c>
      <c r="C613" s="2" t="s">
        <v>23</v>
      </c>
      <c r="D613" s="2" t="s">
        <v>48</v>
      </c>
      <c r="E613" s="2" t="s">
        <v>47</v>
      </c>
      <c r="F613" s="2" t="s">
        <v>527</v>
      </c>
      <c r="G613" s="2" t="s">
        <v>528</v>
      </c>
      <c r="H613" s="2" t="s">
        <v>1394</v>
      </c>
      <c r="I613" s="2" t="s">
        <v>530</v>
      </c>
      <c r="J613" s="2" t="s">
        <v>3422</v>
      </c>
      <c r="K613" s="2" t="s">
        <v>3423</v>
      </c>
      <c r="L613" s="2" t="s">
        <v>2074</v>
      </c>
      <c r="M613" s="2">
        <v>8613</v>
      </c>
      <c r="N613" s="2" t="s">
        <v>1658</v>
      </c>
      <c r="O613" s="2">
        <v>153</v>
      </c>
      <c r="P613" s="2">
        <v>320</v>
      </c>
      <c r="Q613" s="2" t="s">
        <v>1658</v>
      </c>
      <c r="R613" s="2">
        <v>132</v>
      </c>
      <c r="S613" s="2" t="s">
        <v>1658</v>
      </c>
      <c r="T613" s="2">
        <v>21</v>
      </c>
      <c r="U613" s="2" t="s">
        <v>1661</v>
      </c>
      <c r="V613" s="2" t="s">
        <v>32</v>
      </c>
      <c r="W613" s="2" t="s">
        <v>1660</v>
      </c>
      <c r="X613" s="2">
        <v>0</v>
      </c>
      <c r="Y613" s="2" t="s">
        <v>32</v>
      </c>
      <c r="Z613" s="2" t="s">
        <v>32</v>
      </c>
      <c r="AA613" s="2" t="s">
        <v>1660</v>
      </c>
      <c r="AB613" s="2">
        <v>0</v>
      </c>
      <c r="AC613" s="2" t="s">
        <v>1660</v>
      </c>
      <c r="AD613" s="2">
        <v>0</v>
      </c>
      <c r="AE613" s="2" t="s">
        <v>1660</v>
      </c>
      <c r="AF613" s="2">
        <v>0</v>
      </c>
      <c r="AG613" s="2">
        <v>0</v>
      </c>
      <c r="AH613" s="2" t="s">
        <v>32</v>
      </c>
      <c r="AI613" s="2" t="s">
        <v>32</v>
      </c>
      <c r="AJ613" s="2" t="s">
        <v>32</v>
      </c>
      <c r="AK613" s="2" t="s">
        <v>32</v>
      </c>
      <c r="AL613" s="2" t="s">
        <v>32</v>
      </c>
      <c r="AM613" s="2">
        <v>0</v>
      </c>
      <c r="AN613" s="2" t="s">
        <v>32</v>
      </c>
      <c r="AO613" s="2">
        <v>0</v>
      </c>
      <c r="AP613" s="2" t="s">
        <v>32</v>
      </c>
      <c r="AQ613" s="2" t="s">
        <v>32</v>
      </c>
      <c r="AR613" s="2" t="s">
        <v>32</v>
      </c>
      <c r="AS613" s="2">
        <v>0</v>
      </c>
      <c r="AT613" s="2" t="s">
        <v>32</v>
      </c>
      <c r="AU613" s="2" t="s">
        <v>32</v>
      </c>
      <c r="AV613" s="2" t="s">
        <v>32</v>
      </c>
      <c r="AW613" s="2">
        <v>0</v>
      </c>
      <c r="AX613" s="2" t="s">
        <v>32</v>
      </c>
      <c r="AY613" s="2">
        <v>0</v>
      </c>
      <c r="AZ613" s="2" t="s">
        <v>1660</v>
      </c>
      <c r="BA613" s="2">
        <v>0</v>
      </c>
      <c r="BB613" s="2">
        <v>0</v>
      </c>
      <c r="BC613" s="2" t="s">
        <v>32</v>
      </c>
      <c r="BD613" s="2">
        <v>0</v>
      </c>
      <c r="BE613" s="2" t="s">
        <v>32</v>
      </c>
      <c r="BF613" s="2">
        <v>0</v>
      </c>
      <c r="BG613" s="2" t="s">
        <v>32</v>
      </c>
      <c r="BH613" s="2">
        <v>0</v>
      </c>
      <c r="BI613" s="2" t="s">
        <v>32</v>
      </c>
      <c r="BJ613" s="2" t="s">
        <v>32</v>
      </c>
      <c r="BK613" s="2" t="s">
        <v>32</v>
      </c>
      <c r="BL613" s="2">
        <v>0</v>
      </c>
      <c r="BM613" s="2" t="s">
        <v>32</v>
      </c>
      <c r="BN613" s="2" t="s">
        <v>32</v>
      </c>
      <c r="BO613" s="2" t="s">
        <v>32</v>
      </c>
      <c r="BP613" s="2">
        <v>0</v>
      </c>
      <c r="BQ613" s="2" t="s">
        <v>32</v>
      </c>
      <c r="BR613" s="2">
        <v>0</v>
      </c>
      <c r="BS613" s="2" t="s">
        <v>1660</v>
      </c>
      <c r="BT613" s="2">
        <v>0</v>
      </c>
      <c r="BU613" s="2">
        <v>0</v>
      </c>
      <c r="BV613" s="2" t="s">
        <v>1660</v>
      </c>
      <c r="BW613" s="2"/>
      <c r="BX613" s="2"/>
      <c r="BY613" s="2" t="s">
        <v>1807</v>
      </c>
      <c r="BZ613" s="2" t="b">
        <f>OR( (Dashboard[[#This Row],[ref_as_hh]]&gt;=1),(Dashboard[[#This Row],[ret_as_hh]] &gt;=1), (Dashboard[[#This Row],[idp_as_hh]]&gt;=1))</f>
        <v>0</v>
      </c>
      <c r="CA613" s="2">
        <f>Dashboard[[#This Row],[ret_hi_hh]]</f>
        <v>0</v>
      </c>
      <c r="CB613" s="2">
        <f>Dashboard[[#This Row],[idp_fa_hh]]+Dashboard[[#This Row],[ref_fa_hh]]+Dashboard[[#This Row],[ret_fa_hh]]</f>
        <v>132</v>
      </c>
      <c r="CC613" s="2">
        <f>Dashboard[[#This Row],[idp_loc_hh]]+Dashboard[[#This Row],[ref_loc_hh]]+Dashboard[[#This Row],[ret_loc_hh]]</f>
        <v>21</v>
      </c>
      <c r="CD613" s="2">
        <f>Dashboard[[#This Row],[idp_cc_hh]]+Dashboard[[#This Row],[ref_cc_hh]]+Dashboard[[#This Row],[ret_cc_hh]]</f>
        <v>0</v>
      </c>
      <c r="CE613" s="2">
        <f>Dashboard[[#This Row],[idp_as_hh]]+Dashboard[[#This Row],[ref_as_hh]]+Dashboard[[#This Row],[ret_as_hh]]</f>
        <v>0</v>
      </c>
      <c r="CF613" s="2">
        <f>Dashboard[[#This Row],[idp_al_hh]]+Dashboard[[#This Row],[ref_al_hh]]+Dashboard[[#This Row],[ret_al_hh]]</f>
        <v>0</v>
      </c>
    </row>
    <row r="614" spans="1:84" hidden="1" x14ac:dyDescent="0.25">
      <c r="A614" s="27">
        <v>601</v>
      </c>
      <c r="B614" s="2" t="s">
        <v>22</v>
      </c>
      <c r="C614" s="2" t="s">
        <v>23</v>
      </c>
      <c r="D614" s="2" t="s">
        <v>48</v>
      </c>
      <c r="E614" s="2" t="s">
        <v>47</v>
      </c>
      <c r="F614" s="2" t="s">
        <v>527</v>
      </c>
      <c r="G614" s="2" t="s">
        <v>528</v>
      </c>
      <c r="H614" s="2" t="s">
        <v>1397</v>
      </c>
      <c r="I614" s="2" t="s">
        <v>533</v>
      </c>
      <c r="J614" s="2" t="s">
        <v>3428</v>
      </c>
      <c r="K614" s="2" t="s">
        <v>3429</v>
      </c>
      <c r="L614" s="2" t="s">
        <v>2074</v>
      </c>
      <c r="M614" s="2">
        <v>2101</v>
      </c>
      <c r="N614" s="2" t="s">
        <v>1658</v>
      </c>
      <c r="O614" s="2">
        <v>12</v>
      </c>
      <c r="P614" s="2">
        <v>118</v>
      </c>
      <c r="Q614" s="2" t="s">
        <v>1658</v>
      </c>
      <c r="R614" s="2">
        <v>12</v>
      </c>
      <c r="S614" s="2" t="s">
        <v>1660</v>
      </c>
      <c r="T614" s="2">
        <v>0</v>
      </c>
      <c r="U614" s="2" t="s">
        <v>32</v>
      </c>
      <c r="V614" s="2" t="s">
        <v>32</v>
      </c>
      <c r="W614" s="2" t="s">
        <v>1660</v>
      </c>
      <c r="X614" s="2">
        <v>0</v>
      </c>
      <c r="Y614" s="2" t="s">
        <v>32</v>
      </c>
      <c r="Z614" s="2" t="s">
        <v>32</v>
      </c>
      <c r="AA614" s="2" t="s">
        <v>1660</v>
      </c>
      <c r="AB614" s="2">
        <v>0</v>
      </c>
      <c r="AC614" s="2" t="s">
        <v>1660</v>
      </c>
      <c r="AD614" s="2">
        <v>0</v>
      </c>
      <c r="AE614" s="2" t="s">
        <v>1660</v>
      </c>
      <c r="AF614" s="2">
        <v>0</v>
      </c>
      <c r="AG614" s="2">
        <v>0</v>
      </c>
      <c r="AH614" s="2" t="s">
        <v>32</v>
      </c>
      <c r="AI614" s="2" t="s">
        <v>32</v>
      </c>
      <c r="AJ614" s="2" t="s">
        <v>32</v>
      </c>
      <c r="AK614" s="2" t="s">
        <v>32</v>
      </c>
      <c r="AL614" s="2" t="s">
        <v>32</v>
      </c>
      <c r="AM614" s="2">
        <v>0</v>
      </c>
      <c r="AN614" s="2" t="s">
        <v>32</v>
      </c>
      <c r="AO614" s="2">
        <v>0</v>
      </c>
      <c r="AP614" s="2" t="s">
        <v>32</v>
      </c>
      <c r="AQ614" s="2" t="s">
        <v>32</v>
      </c>
      <c r="AR614" s="2" t="s">
        <v>32</v>
      </c>
      <c r="AS614" s="2">
        <v>0</v>
      </c>
      <c r="AT614" s="2" t="s">
        <v>32</v>
      </c>
      <c r="AU614" s="2" t="s">
        <v>32</v>
      </c>
      <c r="AV614" s="2" t="s">
        <v>32</v>
      </c>
      <c r="AW614" s="2">
        <v>0</v>
      </c>
      <c r="AX614" s="2" t="s">
        <v>32</v>
      </c>
      <c r="AY614" s="2">
        <v>0</v>
      </c>
      <c r="AZ614" s="2" t="s">
        <v>1660</v>
      </c>
      <c r="BA614" s="2">
        <v>0</v>
      </c>
      <c r="BB614" s="2">
        <v>0</v>
      </c>
      <c r="BC614" s="2" t="s">
        <v>32</v>
      </c>
      <c r="BD614" s="2">
        <v>0</v>
      </c>
      <c r="BE614" s="2" t="s">
        <v>32</v>
      </c>
      <c r="BF614" s="2">
        <v>0</v>
      </c>
      <c r="BG614" s="2" t="s">
        <v>32</v>
      </c>
      <c r="BH614" s="2">
        <v>0</v>
      </c>
      <c r="BI614" s="2" t="s">
        <v>32</v>
      </c>
      <c r="BJ614" s="2" t="s">
        <v>32</v>
      </c>
      <c r="BK614" s="2" t="s">
        <v>32</v>
      </c>
      <c r="BL614" s="2">
        <v>0</v>
      </c>
      <c r="BM614" s="2" t="s">
        <v>32</v>
      </c>
      <c r="BN614" s="2" t="s">
        <v>32</v>
      </c>
      <c r="BO614" s="2" t="s">
        <v>32</v>
      </c>
      <c r="BP614" s="2">
        <v>0</v>
      </c>
      <c r="BQ614" s="2" t="s">
        <v>32</v>
      </c>
      <c r="BR614" s="2">
        <v>0</v>
      </c>
      <c r="BS614" s="2" t="s">
        <v>1660</v>
      </c>
      <c r="BT614" s="2">
        <v>0</v>
      </c>
      <c r="BU614" s="2">
        <v>0</v>
      </c>
      <c r="BV614" s="2" t="s">
        <v>1660</v>
      </c>
      <c r="BW614" s="2"/>
      <c r="BX614" s="2"/>
      <c r="BY614" s="2" t="s">
        <v>1807</v>
      </c>
      <c r="BZ614" s="2" t="b">
        <f>OR( (Dashboard[[#This Row],[ref_as_hh]]&gt;=1),(Dashboard[[#This Row],[ret_as_hh]] &gt;=1), (Dashboard[[#This Row],[idp_as_hh]]&gt;=1))</f>
        <v>0</v>
      </c>
      <c r="CA614" s="2">
        <f>Dashboard[[#This Row],[ret_hi_hh]]</f>
        <v>0</v>
      </c>
      <c r="CB614" s="2">
        <f>Dashboard[[#This Row],[idp_fa_hh]]+Dashboard[[#This Row],[ref_fa_hh]]+Dashboard[[#This Row],[ret_fa_hh]]</f>
        <v>12</v>
      </c>
      <c r="CC614" s="2">
        <f>Dashboard[[#This Row],[idp_loc_hh]]+Dashboard[[#This Row],[ref_loc_hh]]+Dashboard[[#This Row],[ret_loc_hh]]</f>
        <v>0</v>
      </c>
      <c r="CD614" s="2">
        <f>Dashboard[[#This Row],[idp_cc_hh]]+Dashboard[[#This Row],[ref_cc_hh]]+Dashboard[[#This Row],[ret_cc_hh]]</f>
        <v>0</v>
      </c>
      <c r="CE614" s="2">
        <f>Dashboard[[#This Row],[idp_as_hh]]+Dashboard[[#This Row],[ref_as_hh]]+Dashboard[[#This Row],[ret_as_hh]]</f>
        <v>0</v>
      </c>
      <c r="CF614" s="2">
        <f>Dashboard[[#This Row],[idp_al_hh]]+Dashboard[[#This Row],[ref_al_hh]]+Dashboard[[#This Row],[ret_al_hh]]</f>
        <v>0</v>
      </c>
    </row>
    <row r="615" spans="1:84" hidden="1" x14ac:dyDescent="0.25">
      <c r="A615" s="27">
        <v>602</v>
      </c>
      <c r="B615" s="2" t="s">
        <v>22</v>
      </c>
      <c r="C615" s="2" t="s">
        <v>23</v>
      </c>
      <c r="D615" s="2" t="s">
        <v>48</v>
      </c>
      <c r="E615" s="2" t="s">
        <v>47</v>
      </c>
      <c r="F615" s="2" t="s">
        <v>527</v>
      </c>
      <c r="G615" s="2" t="s">
        <v>528</v>
      </c>
      <c r="H615" s="2" t="s">
        <v>1398</v>
      </c>
      <c r="I615" s="2" t="s">
        <v>534</v>
      </c>
      <c r="J615" s="2" t="s">
        <v>3430</v>
      </c>
      <c r="K615" s="2" t="s">
        <v>3431</v>
      </c>
      <c r="L615" s="2" t="s">
        <v>3693</v>
      </c>
      <c r="M615" s="2">
        <v>3696</v>
      </c>
      <c r="N615" s="2" t="s">
        <v>1658</v>
      </c>
      <c r="O615" s="2">
        <v>29</v>
      </c>
      <c r="P615" s="2">
        <v>113</v>
      </c>
      <c r="Q615" s="2" t="s">
        <v>1658</v>
      </c>
      <c r="R615" s="2">
        <v>20</v>
      </c>
      <c r="S615" s="2" t="s">
        <v>1658</v>
      </c>
      <c r="T615" s="2">
        <v>9</v>
      </c>
      <c r="U615" s="2" t="s">
        <v>1661</v>
      </c>
      <c r="V615" s="2" t="s">
        <v>32</v>
      </c>
      <c r="W615" s="2" t="s">
        <v>1660</v>
      </c>
      <c r="X615" s="2">
        <v>0</v>
      </c>
      <c r="Y615" s="2" t="s">
        <v>32</v>
      </c>
      <c r="Z615" s="2" t="s">
        <v>32</v>
      </c>
      <c r="AA615" s="2" t="s">
        <v>1660</v>
      </c>
      <c r="AB615" s="2">
        <v>0</v>
      </c>
      <c r="AC615" s="2" t="s">
        <v>1660</v>
      </c>
      <c r="AD615" s="2">
        <v>0</v>
      </c>
      <c r="AE615" s="2" t="s">
        <v>1660</v>
      </c>
      <c r="AF615" s="2">
        <v>0</v>
      </c>
      <c r="AG615" s="2">
        <v>0</v>
      </c>
      <c r="AH615" s="2" t="s">
        <v>32</v>
      </c>
      <c r="AI615" s="2" t="s">
        <v>32</v>
      </c>
      <c r="AJ615" s="2" t="s">
        <v>32</v>
      </c>
      <c r="AK615" s="2" t="s">
        <v>32</v>
      </c>
      <c r="AL615" s="2" t="s">
        <v>32</v>
      </c>
      <c r="AM615" s="2">
        <v>0</v>
      </c>
      <c r="AN615" s="2" t="s">
        <v>32</v>
      </c>
      <c r="AO615" s="2">
        <v>0</v>
      </c>
      <c r="AP615" s="2" t="s">
        <v>32</v>
      </c>
      <c r="AQ615" s="2" t="s">
        <v>32</v>
      </c>
      <c r="AR615" s="2" t="s">
        <v>32</v>
      </c>
      <c r="AS615" s="2">
        <v>0</v>
      </c>
      <c r="AT615" s="2" t="s">
        <v>32</v>
      </c>
      <c r="AU615" s="2" t="s">
        <v>32</v>
      </c>
      <c r="AV615" s="2" t="s">
        <v>32</v>
      </c>
      <c r="AW615" s="2">
        <v>0</v>
      </c>
      <c r="AX615" s="2" t="s">
        <v>32</v>
      </c>
      <c r="AY615" s="2">
        <v>0</v>
      </c>
      <c r="AZ615" s="2" t="s">
        <v>1660</v>
      </c>
      <c r="BA615" s="2">
        <v>0</v>
      </c>
      <c r="BB615" s="2">
        <v>0</v>
      </c>
      <c r="BC615" s="2" t="s">
        <v>32</v>
      </c>
      <c r="BD615" s="2">
        <v>0</v>
      </c>
      <c r="BE615" s="2" t="s">
        <v>32</v>
      </c>
      <c r="BF615" s="2">
        <v>0</v>
      </c>
      <c r="BG615" s="2" t="s">
        <v>32</v>
      </c>
      <c r="BH615" s="2">
        <v>0</v>
      </c>
      <c r="BI615" s="2" t="s">
        <v>32</v>
      </c>
      <c r="BJ615" s="2" t="s">
        <v>32</v>
      </c>
      <c r="BK615" s="2" t="s">
        <v>32</v>
      </c>
      <c r="BL615" s="2">
        <v>0</v>
      </c>
      <c r="BM615" s="2" t="s">
        <v>32</v>
      </c>
      <c r="BN615" s="2" t="s">
        <v>32</v>
      </c>
      <c r="BO615" s="2" t="s">
        <v>32</v>
      </c>
      <c r="BP615" s="2">
        <v>0</v>
      </c>
      <c r="BQ615" s="2" t="s">
        <v>32</v>
      </c>
      <c r="BR615" s="2">
        <v>0</v>
      </c>
      <c r="BS615" s="2" t="s">
        <v>1660</v>
      </c>
      <c r="BT615" s="2">
        <v>0</v>
      </c>
      <c r="BU615" s="2">
        <v>0</v>
      </c>
      <c r="BV615" s="2" t="s">
        <v>1660</v>
      </c>
      <c r="BW615" s="2"/>
      <c r="BX615" s="2"/>
      <c r="BY615" s="2" t="s">
        <v>1807</v>
      </c>
      <c r="BZ615" s="2" t="b">
        <f>OR( (Dashboard[[#This Row],[ref_as_hh]]&gt;=1),(Dashboard[[#This Row],[ret_as_hh]] &gt;=1), (Dashboard[[#This Row],[idp_as_hh]]&gt;=1))</f>
        <v>0</v>
      </c>
      <c r="CA615" s="2">
        <f>Dashboard[[#This Row],[ret_hi_hh]]</f>
        <v>0</v>
      </c>
      <c r="CB615" s="2">
        <f>Dashboard[[#This Row],[idp_fa_hh]]+Dashboard[[#This Row],[ref_fa_hh]]+Dashboard[[#This Row],[ret_fa_hh]]</f>
        <v>20</v>
      </c>
      <c r="CC615" s="2">
        <f>Dashboard[[#This Row],[idp_loc_hh]]+Dashboard[[#This Row],[ref_loc_hh]]+Dashboard[[#This Row],[ret_loc_hh]]</f>
        <v>9</v>
      </c>
      <c r="CD615" s="2">
        <f>Dashboard[[#This Row],[idp_cc_hh]]+Dashboard[[#This Row],[ref_cc_hh]]+Dashboard[[#This Row],[ret_cc_hh]]</f>
        <v>0</v>
      </c>
      <c r="CE615" s="2">
        <f>Dashboard[[#This Row],[idp_as_hh]]+Dashboard[[#This Row],[ref_as_hh]]+Dashboard[[#This Row],[ret_as_hh]]</f>
        <v>0</v>
      </c>
      <c r="CF615" s="2">
        <f>Dashboard[[#This Row],[idp_al_hh]]+Dashboard[[#This Row],[ref_al_hh]]+Dashboard[[#This Row],[ret_al_hh]]</f>
        <v>0</v>
      </c>
    </row>
    <row r="616" spans="1:84" hidden="1" x14ac:dyDescent="0.25">
      <c r="A616" s="27">
        <v>603</v>
      </c>
      <c r="B616" s="2" t="s">
        <v>22</v>
      </c>
      <c r="C616" s="2" t="s">
        <v>23</v>
      </c>
      <c r="D616" s="2" t="s">
        <v>48</v>
      </c>
      <c r="E616" s="2" t="s">
        <v>47</v>
      </c>
      <c r="F616" s="2" t="s">
        <v>527</v>
      </c>
      <c r="G616" s="2" t="s">
        <v>528</v>
      </c>
      <c r="H616" s="2" t="s">
        <v>1400</v>
      </c>
      <c r="I616" s="2" t="s">
        <v>536</v>
      </c>
      <c r="J616" s="2" t="s">
        <v>3434</v>
      </c>
      <c r="K616" s="2" t="s">
        <v>3435</v>
      </c>
      <c r="L616" s="2" t="s">
        <v>2074</v>
      </c>
      <c r="M616" s="2">
        <v>2972</v>
      </c>
      <c r="N616" s="2" t="s">
        <v>1658</v>
      </c>
      <c r="O616" s="2">
        <v>49</v>
      </c>
      <c r="P616" s="2">
        <v>71</v>
      </c>
      <c r="Q616" s="2" t="s">
        <v>1658</v>
      </c>
      <c r="R616" s="2">
        <v>34</v>
      </c>
      <c r="S616" s="2" t="s">
        <v>1658</v>
      </c>
      <c r="T616" s="2">
        <v>15</v>
      </c>
      <c r="U616" s="2" t="s">
        <v>1661</v>
      </c>
      <c r="V616" s="2" t="s">
        <v>32</v>
      </c>
      <c r="W616" s="2" t="s">
        <v>1660</v>
      </c>
      <c r="X616" s="2">
        <v>0</v>
      </c>
      <c r="Y616" s="2" t="s">
        <v>32</v>
      </c>
      <c r="Z616" s="2" t="s">
        <v>32</v>
      </c>
      <c r="AA616" s="2" t="s">
        <v>1660</v>
      </c>
      <c r="AB616" s="2">
        <v>0</v>
      </c>
      <c r="AC616" s="2" t="s">
        <v>1660</v>
      </c>
      <c r="AD616" s="2">
        <v>0</v>
      </c>
      <c r="AE616" s="2" t="s">
        <v>1660</v>
      </c>
      <c r="AF616" s="2">
        <v>0</v>
      </c>
      <c r="AG616" s="2">
        <v>0</v>
      </c>
      <c r="AH616" s="2" t="s">
        <v>32</v>
      </c>
      <c r="AI616" s="2" t="s">
        <v>32</v>
      </c>
      <c r="AJ616" s="2" t="s">
        <v>32</v>
      </c>
      <c r="AK616" s="2" t="s">
        <v>32</v>
      </c>
      <c r="AL616" s="2" t="s">
        <v>32</v>
      </c>
      <c r="AM616" s="2">
        <v>0</v>
      </c>
      <c r="AN616" s="2" t="s">
        <v>32</v>
      </c>
      <c r="AO616" s="2">
        <v>0</v>
      </c>
      <c r="AP616" s="2" t="s">
        <v>32</v>
      </c>
      <c r="AQ616" s="2" t="s">
        <v>32</v>
      </c>
      <c r="AR616" s="2" t="s">
        <v>32</v>
      </c>
      <c r="AS616" s="2">
        <v>0</v>
      </c>
      <c r="AT616" s="2" t="s">
        <v>32</v>
      </c>
      <c r="AU616" s="2" t="s">
        <v>32</v>
      </c>
      <c r="AV616" s="2" t="s">
        <v>32</v>
      </c>
      <c r="AW616" s="2">
        <v>0</v>
      </c>
      <c r="AX616" s="2" t="s">
        <v>32</v>
      </c>
      <c r="AY616" s="2">
        <v>0</v>
      </c>
      <c r="AZ616" s="2" t="s">
        <v>1660</v>
      </c>
      <c r="BA616" s="2">
        <v>0</v>
      </c>
      <c r="BB616" s="2">
        <v>0</v>
      </c>
      <c r="BC616" s="2" t="s">
        <v>32</v>
      </c>
      <c r="BD616" s="2">
        <v>0</v>
      </c>
      <c r="BE616" s="2" t="s">
        <v>32</v>
      </c>
      <c r="BF616" s="2">
        <v>0</v>
      </c>
      <c r="BG616" s="2" t="s">
        <v>32</v>
      </c>
      <c r="BH616" s="2">
        <v>0</v>
      </c>
      <c r="BI616" s="2" t="s">
        <v>32</v>
      </c>
      <c r="BJ616" s="2" t="s">
        <v>32</v>
      </c>
      <c r="BK616" s="2" t="s">
        <v>32</v>
      </c>
      <c r="BL616" s="2">
        <v>0</v>
      </c>
      <c r="BM616" s="2" t="s">
        <v>32</v>
      </c>
      <c r="BN616" s="2" t="s">
        <v>32</v>
      </c>
      <c r="BO616" s="2" t="s">
        <v>32</v>
      </c>
      <c r="BP616" s="2">
        <v>0</v>
      </c>
      <c r="BQ616" s="2" t="s">
        <v>32</v>
      </c>
      <c r="BR616" s="2">
        <v>0</v>
      </c>
      <c r="BS616" s="2" t="s">
        <v>1660</v>
      </c>
      <c r="BT616" s="2">
        <v>0</v>
      </c>
      <c r="BU616" s="2">
        <v>0</v>
      </c>
      <c r="BV616" s="2" t="s">
        <v>1660</v>
      </c>
      <c r="BW616" s="2"/>
      <c r="BX616" s="2"/>
      <c r="BY616" s="2" t="s">
        <v>1807</v>
      </c>
      <c r="BZ616" s="2" t="b">
        <f>OR( (Dashboard[[#This Row],[ref_as_hh]]&gt;=1),(Dashboard[[#This Row],[ret_as_hh]] &gt;=1), (Dashboard[[#This Row],[idp_as_hh]]&gt;=1))</f>
        <v>0</v>
      </c>
      <c r="CA616" s="2">
        <f>Dashboard[[#This Row],[ret_hi_hh]]</f>
        <v>0</v>
      </c>
      <c r="CB616" s="2">
        <f>Dashboard[[#This Row],[idp_fa_hh]]+Dashboard[[#This Row],[ref_fa_hh]]+Dashboard[[#This Row],[ret_fa_hh]]</f>
        <v>34</v>
      </c>
      <c r="CC616" s="2">
        <f>Dashboard[[#This Row],[idp_loc_hh]]+Dashboard[[#This Row],[ref_loc_hh]]+Dashboard[[#This Row],[ret_loc_hh]]</f>
        <v>15</v>
      </c>
      <c r="CD616" s="2">
        <f>Dashboard[[#This Row],[idp_cc_hh]]+Dashboard[[#This Row],[ref_cc_hh]]+Dashboard[[#This Row],[ret_cc_hh]]</f>
        <v>0</v>
      </c>
      <c r="CE616" s="2">
        <f>Dashboard[[#This Row],[idp_as_hh]]+Dashboard[[#This Row],[ref_as_hh]]+Dashboard[[#This Row],[ret_as_hh]]</f>
        <v>0</v>
      </c>
      <c r="CF616" s="2">
        <f>Dashboard[[#This Row],[idp_al_hh]]+Dashboard[[#This Row],[ref_al_hh]]+Dashboard[[#This Row],[ret_al_hh]]</f>
        <v>0</v>
      </c>
    </row>
    <row r="617" spans="1:84" hidden="1" x14ac:dyDescent="0.25">
      <c r="A617" s="27">
        <v>655</v>
      </c>
      <c r="B617" s="2" t="s">
        <v>22</v>
      </c>
      <c r="C617" s="2" t="s">
        <v>23</v>
      </c>
      <c r="D617" s="2" t="s">
        <v>48</v>
      </c>
      <c r="E617" s="2" t="s">
        <v>47</v>
      </c>
      <c r="F617" s="2" t="s">
        <v>527</v>
      </c>
      <c r="G617" s="2" t="s">
        <v>528</v>
      </c>
      <c r="H617" s="2" t="s">
        <v>1401</v>
      </c>
      <c r="I617" s="2" t="s">
        <v>537</v>
      </c>
      <c r="J617" s="2" t="s">
        <v>3436</v>
      </c>
      <c r="K617" s="2" t="s">
        <v>3437</v>
      </c>
      <c r="L617" s="2" t="s">
        <v>2074</v>
      </c>
      <c r="M617" s="2">
        <v>3039</v>
      </c>
      <c r="N617" s="2" t="s">
        <v>1658</v>
      </c>
      <c r="O617" s="2">
        <v>8</v>
      </c>
      <c r="P617" s="2">
        <v>51</v>
      </c>
      <c r="Q617" s="2" t="s">
        <v>1658</v>
      </c>
      <c r="R617" s="2">
        <v>5</v>
      </c>
      <c r="S617" s="2" t="s">
        <v>1658</v>
      </c>
      <c r="T617" s="2">
        <v>3</v>
      </c>
      <c r="U617" s="2" t="s">
        <v>1661</v>
      </c>
      <c r="V617" s="2" t="s">
        <v>32</v>
      </c>
      <c r="W617" s="2" t="s">
        <v>1660</v>
      </c>
      <c r="X617" s="2">
        <v>0</v>
      </c>
      <c r="Y617" s="2" t="s">
        <v>32</v>
      </c>
      <c r="Z617" s="2" t="s">
        <v>32</v>
      </c>
      <c r="AA617" s="2" t="s">
        <v>1660</v>
      </c>
      <c r="AB617" s="2">
        <v>0</v>
      </c>
      <c r="AC617" s="2" t="s">
        <v>1660</v>
      </c>
      <c r="AD617" s="2">
        <v>0</v>
      </c>
      <c r="AE617" s="2" t="s">
        <v>1660</v>
      </c>
      <c r="AF617" s="2">
        <v>0</v>
      </c>
      <c r="AG617" s="2">
        <v>0</v>
      </c>
      <c r="AH617" s="2" t="s">
        <v>32</v>
      </c>
      <c r="AI617" s="2" t="s">
        <v>32</v>
      </c>
      <c r="AJ617" s="2" t="s">
        <v>32</v>
      </c>
      <c r="AK617" s="2" t="s">
        <v>32</v>
      </c>
      <c r="AL617" s="2" t="s">
        <v>32</v>
      </c>
      <c r="AM617" s="2">
        <v>0</v>
      </c>
      <c r="AN617" s="2" t="s">
        <v>32</v>
      </c>
      <c r="AO617" s="2">
        <v>0</v>
      </c>
      <c r="AP617" s="2" t="s">
        <v>32</v>
      </c>
      <c r="AQ617" s="2" t="s">
        <v>32</v>
      </c>
      <c r="AR617" s="2" t="s">
        <v>32</v>
      </c>
      <c r="AS617" s="2">
        <v>0</v>
      </c>
      <c r="AT617" s="2" t="s">
        <v>32</v>
      </c>
      <c r="AU617" s="2" t="s">
        <v>32</v>
      </c>
      <c r="AV617" s="2" t="s">
        <v>32</v>
      </c>
      <c r="AW617" s="2">
        <v>0</v>
      </c>
      <c r="AX617" s="2" t="s">
        <v>32</v>
      </c>
      <c r="AY617" s="2">
        <v>0</v>
      </c>
      <c r="AZ617" s="2" t="s">
        <v>1660</v>
      </c>
      <c r="BA617" s="2">
        <v>0</v>
      </c>
      <c r="BB617" s="2">
        <v>0</v>
      </c>
      <c r="BC617" s="2" t="s">
        <v>32</v>
      </c>
      <c r="BD617" s="2">
        <v>0</v>
      </c>
      <c r="BE617" s="2" t="s">
        <v>32</v>
      </c>
      <c r="BF617" s="2">
        <v>0</v>
      </c>
      <c r="BG617" s="2" t="s">
        <v>32</v>
      </c>
      <c r="BH617" s="2">
        <v>0</v>
      </c>
      <c r="BI617" s="2" t="s">
        <v>32</v>
      </c>
      <c r="BJ617" s="2" t="s">
        <v>32</v>
      </c>
      <c r="BK617" s="2" t="s">
        <v>32</v>
      </c>
      <c r="BL617" s="2">
        <v>0</v>
      </c>
      <c r="BM617" s="2" t="s">
        <v>32</v>
      </c>
      <c r="BN617" s="2" t="s">
        <v>32</v>
      </c>
      <c r="BO617" s="2" t="s">
        <v>32</v>
      </c>
      <c r="BP617" s="2">
        <v>0</v>
      </c>
      <c r="BQ617" s="2" t="s">
        <v>32</v>
      </c>
      <c r="BR617" s="2">
        <v>0</v>
      </c>
      <c r="BS617" s="2" t="s">
        <v>1660</v>
      </c>
      <c r="BT617" s="2">
        <v>0</v>
      </c>
      <c r="BU617" s="2">
        <v>0</v>
      </c>
      <c r="BV617" s="2" t="s">
        <v>1660</v>
      </c>
      <c r="BW617" s="2"/>
      <c r="BX617" s="2"/>
      <c r="BY617" s="2" t="s">
        <v>1807</v>
      </c>
      <c r="BZ617" s="2" t="b">
        <f>OR( (Dashboard[[#This Row],[ref_as_hh]]&gt;=1),(Dashboard[[#This Row],[ret_as_hh]] &gt;=1), (Dashboard[[#This Row],[idp_as_hh]]&gt;=1))</f>
        <v>0</v>
      </c>
      <c r="CA617" s="2">
        <f>Dashboard[[#This Row],[ret_hi_hh]]</f>
        <v>0</v>
      </c>
      <c r="CB617" s="2">
        <f>Dashboard[[#This Row],[idp_fa_hh]]+Dashboard[[#This Row],[ref_fa_hh]]+Dashboard[[#This Row],[ret_fa_hh]]</f>
        <v>5</v>
      </c>
      <c r="CC617" s="2">
        <f>Dashboard[[#This Row],[idp_loc_hh]]+Dashboard[[#This Row],[ref_loc_hh]]+Dashboard[[#This Row],[ret_loc_hh]]</f>
        <v>3</v>
      </c>
      <c r="CD617" s="2">
        <f>Dashboard[[#This Row],[idp_cc_hh]]+Dashboard[[#This Row],[ref_cc_hh]]+Dashboard[[#This Row],[ret_cc_hh]]</f>
        <v>0</v>
      </c>
      <c r="CE617" s="2">
        <f>Dashboard[[#This Row],[idp_as_hh]]+Dashboard[[#This Row],[ref_as_hh]]+Dashboard[[#This Row],[ret_as_hh]]</f>
        <v>0</v>
      </c>
      <c r="CF617" s="2">
        <f>Dashboard[[#This Row],[idp_al_hh]]+Dashboard[[#This Row],[ref_al_hh]]+Dashboard[[#This Row],[ret_al_hh]]</f>
        <v>0</v>
      </c>
    </row>
    <row r="618" spans="1:84" hidden="1" x14ac:dyDescent="0.25">
      <c r="A618" s="27">
        <v>656</v>
      </c>
      <c r="B618" s="2" t="s">
        <v>22</v>
      </c>
      <c r="C618" s="2" t="s">
        <v>23</v>
      </c>
      <c r="D618" s="2" t="s">
        <v>48</v>
      </c>
      <c r="E618" s="2" t="s">
        <v>47</v>
      </c>
      <c r="F618" s="2" t="s">
        <v>527</v>
      </c>
      <c r="G618" s="2" t="s">
        <v>528</v>
      </c>
      <c r="H618" s="2" t="s">
        <v>1403</v>
      </c>
      <c r="I618" s="2" t="s">
        <v>539</v>
      </c>
      <c r="J618" s="2" t="s">
        <v>3440</v>
      </c>
      <c r="K618" s="2" t="s">
        <v>3441</v>
      </c>
      <c r="L618" s="2" t="s">
        <v>3692</v>
      </c>
      <c r="M618" s="2">
        <v>9141</v>
      </c>
      <c r="N618" s="2" t="s">
        <v>1658</v>
      </c>
      <c r="O618" s="2">
        <v>52</v>
      </c>
      <c r="P618" s="2">
        <v>260</v>
      </c>
      <c r="Q618" s="2" t="s">
        <v>1658</v>
      </c>
      <c r="R618" s="2">
        <v>22</v>
      </c>
      <c r="S618" s="2" t="s">
        <v>1658</v>
      </c>
      <c r="T618" s="2">
        <v>30</v>
      </c>
      <c r="U618" s="2" t="s">
        <v>1661</v>
      </c>
      <c r="V618" s="2" t="s">
        <v>32</v>
      </c>
      <c r="W618" s="2" t="s">
        <v>1660</v>
      </c>
      <c r="X618" s="2">
        <v>0</v>
      </c>
      <c r="Y618" s="2" t="s">
        <v>32</v>
      </c>
      <c r="Z618" s="2" t="s">
        <v>32</v>
      </c>
      <c r="AA618" s="2" t="s">
        <v>1660</v>
      </c>
      <c r="AB618" s="2">
        <v>0</v>
      </c>
      <c r="AC618" s="2" t="s">
        <v>1660</v>
      </c>
      <c r="AD618" s="2">
        <v>0</v>
      </c>
      <c r="AE618" s="2" t="s">
        <v>1660</v>
      </c>
      <c r="AF618" s="2">
        <v>0</v>
      </c>
      <c r="AG618" s="2">
        <v>0</v>
      </c>
      <c r="AH618" s="2" t="s">
        <v>32</v>
      </c>
      <c r="AI618" s="2" t="s">
        <v>32</v>
      </c>
      <c r="AJ618" s="2" t="s">
        <v>32</v>
      </c>
      <c r="AK618" s="2" t="s">
        <v>32</v>
      </c>
      <c r="AL618" s="2" t="s">
        <v>32</v>
      </c>
      <c r="AM618" s="2">
        <v>0</v>
      </c>
      <c r="AN618" s="2" t="s">
        <v>32</v>
      </c>
      <c r="AO618" s="2">
        <v>0</v>
      </c>
      <c r="AP618" s="2" t="s">
        <v>32</v>
      </c>
      <c r="AQ618" s="2" t="s">
        <v>32</v>
      </c>
      <c r="AR618" s="2" t="s">
        <v>32</v>
      </c>
      <c r="AS618" s="2">
        <v>0</v>
      </c>
      <c r="AT618" s="2" t="s">
        <v>32</v>
      </c>
      <c r="AU618" s="2" t="s">
        <v>32</v>
      </c>
      <c r="AV618" s="2" t="s">
        <v>32</v>
      </c>
      <c r="AW618" s="2">
        <v>0</v>
      </c>
      <c r="AX618" s="2" t="s">
        <v>32</v>
      </c>
      <c r="AY618" s="2">
        <v>0</v>
      </c>
      <c r="AZ618" s="2" t="s">
        <v>1660</v>
      </c>
      <c r="BA618" s="2">
        <v>0</v>
      </c>
      <c r="BB618" s="2">
        <v>0</v>
      </c>
      <c r="BC618" s="2" t="s">
        <v>32</v>
      </c>
      <c r="BD618" s="2">
        <v>0</v>
      </c>
      <c r="BE618" s="2" t="s">
        <v>32</v>
      </c>
      <c r="BF618" s="2">
        <v>0</v>
      </c>
      <c r="BG618" s="2" t="s">
        <v>32</v>
      </c>
      <c r="BH618" s="2">
        <v>0</v>
      </c>
      <c r="BI618" s="2" t="s">
        <v>32</v>
      </c>
      <c r="BJ618" s="2" t="s">
        <v>32</v>
      </c>
      <c r="BK618" s="2" t="s">
        <v>32</v>
      </c>
      <c r="BL618" s="2">
        <v>0</v>
      </c>
      <c r="BM618" s="2" t="s">
        <v>32</v>
      </c>
      <c r="BN618" s="2" t="s">
        <v>32</v>
      </c>
      <c r="BO618" s="2" t="s">
        <v>32</v>
      </c>
      <c r="BP618" s="2">
        <v>0</v>
      </c>
      <c r="BQ618" s="2" t="s">
        <v>32</v>
      </c>
      <c r="BR618" s="2">
        <v>0</v>
      </c>
      <c r="BS618" s="2" t="s">
        <v>1660</v>
      </c>
      <c r="BT618" s="2">
        <v>0</v>
      </c>
      <c r="BU618" s="2">
        <v>0</v>
      </c>
      <c r="BV618" s="2" t="s">
        <v>1660</v>
      </c>
      <c r="BW618" s="2"/>
      <c r="BX618" s="2"/>
      <c r="BY618" s="2" t="s">
        <v>1807</v>
      </c>
      <c r="BZ618" s="2" t="b">
        <f>OR( (Dashboard[[#This Row],[ref_as_hh]]&gt;=1),(Dashboard[[#This Row],[ret_as_hh]] &gt;=1), (Dashboard[[#This Row],[idp_as_hh]]&gt;=1))</f>
        <v>0</v>
      </c>
      <c r="CA618" s="2">
        <f>Dashboard[[#This Row],[ret_hi_hh]]</f>
        <v>0</v>
      </c>
      <c r="CB618" s="2">
        <f>Dashboard[[#This Row],[idp_fa_hh]]+Dashboard[[#This Row],[ref_fa_hh]]+Dashboard[[#This Row],[ret_fa_hh]]</f>
        <v>22</v>
      </c>
      <c r="CC618" s="2">
        <f>Dashboard[[#This Row],[idp_loc_hh]]+Dashboard[[#This Row],[ref_loc_hh]]+Dashboard[[#This Row],[ret_loc_hh]]</f>
        <v>30</v>
      </c>
      <c r="CD618" s="2">
        <f>Dashboard[[#This Row],[idp_cc_hh]]+Dashboard[[#This Row],[ref_cc_hh]]+Dashboard[[#This Row],[ret_cc_hh]]</f>
        <v>0</v>
      </c>
      <c r="CE618" s="2">
        <f>Dashboard[[#This Row],[idp_as_hh]]+Dashboard[[#This Row],[ref_as_hh]]+Dashboard[[#This Row],[ret_as_hh]]</f>
        <v>0</v>
      </c>
      <c r="CF618" s="2">
        <f>Dashboard[[#This Row],[idp_al_hh]]+Dashboard[[#This Row],[ref_al_hh]]+Dashboard[[#This Row],[ret_al_hh]]</f>
        <v>0</v>
      </c>
    </row>
    <row r="619" spans="1:84" hidden="1" x14ac:dyDescent="0.25">
      <c r="A619" s="27">
        <v>658</v>
      </c>
      <c r="B619" s="2" t="s">
        <v>22</v>
      </c>
      <c r="C619" s="2" t="s">
        <v>23</v>
      </c>
      <c r="D619" s="2" t="s">
        <v>48</v>
      </c>
      <c r="E619" s="2" t="s">
        <v>47</v>
      </c>
      <c r="F619" s="2" t="s">
        <v>527</v>
      </c>
      <c r="G619" s="2" t="s">
        <v>528</v>
      </c>
      <c r="H619" s="2" t="s">
        <v>1402</v>
      </c>
      <c r="I619" s="2" t="s">
        <v>538</v>
      </c>
      <c r="J619" s="2" t="s">
        <v>3438</v>
      </c>
      <c r="K619" s="2" t="s">
        <v>3439</v>
      </c>
      <c r="L619" s="2" t="s">
        <v>2074</v>
      </c>
      <c r="M619" s="2">
        <v>3141</v>
      </c>
      <c r="N619" s="2" t="s">
        <v>1658</v>
      </c>
      <c r="O619" s="2">
        <v>21</v>
      </c>
      <c r="P619" s="2">
        <v>132</v>
      </c>
      <c r="Q619" s="2" t="s">
        <v>1658</v>
      </c>
      <c r="R619" s="2">
        <v>13</v>
      </c>
      <c r="S619" s="2" t="s">
        <v>1658</v>
      </c>
      <c r="T619" s="2">
        <v>8</v>
      </c>
      <c r="U619" s="2" t="s">
        <v>1661</v>
      </c>
      <c r="V619" s="2" t="s">
        <v>32</v>
      </c>
      <c r="W619" s="2" t="s">
        <v>1660</v>
      </c>
      <c r="X619" s="2">
        <v>0</v>
      </c>
      <c r="Y619" s="2" t="s">
        <v>32</v>
      </c>
      <c r="Z619" s="2" t="s">
        <v>32</v>
      </c>
      <c r="AA619" s="2" t="s">
        <v>1660</v>
      </c>
      <c r="AB619" s="2">
        <v>0</v>
      </c>
      <c r="AC619" s="2" t="s">
        <v>1660</v>
      </c>
      <c r="AD619" s="2">
        <v>0</v>
      </c>
      <c r="AE619" s="2" t="s">
        <v>1660</v>
      </c>
      <c r="AF619" s="2">
        <v>0</v>
      </c>
      <c r="AG619" s="2">
        <v>0</v>
      </c>
      <c r="AH619" s="2" t="s">
        <v>32</v>
      </c>
      <c r="AI619" s="2" t="s">
        <v>32</v>
      </c>
      <c r="AJ619" s="2" t="s">
        <v>32</v>
      </c>
      <c r="AK619" s="2" t="s">
        <v>32</v>
      </c>
      <c r="AL619" s="2" t="s">
        <v>32</v>
      </c>
      <c r="AM619" s="2">
        <v>0</v>
      </c>
      <c r="AN619" s="2" t="s">
        <v>32</v>
      </c>
      <c r="AO619" s="2">
        <v>0</v>
      </c>
      <c r="AP619" s="2" t="s">
        <v>32</v>
      </c>
      <c r="AQ619" s="2" t="s">
        <v>32</v>
      </c>
      <c r="AR619" s="2" t="s">
        <v>32</v>
      </c>
      <c r="AS619" s="2">
        <v>0</v>
      </c>
      <c r="AT619" s="2" t="s">
        <v>32</v>
      </c>
      <c r="AU619" s="2" t="s">
        <v>32</v>
      </c>
      <c r="AV619" s="2" t="s">
        <v>32</v>
      </c>
      <c r="AW619" s="2">
        <v>0</v>
      </c>
      <c r="AX619" s="2" t="s">
        <v>32</v>
      </c>
      <c r="AY619" s="2">
        <v>0</v>
      </c>
      <c r="AZ619" s="2" t="s">
        <v>1660</v>
      </c>
      <c r="BA619" s="2">
        <v>0</v>
      </c>
      <c r="BB619" s="2">
        <v>0</v>
      </c>
      <c r="BC619" s="2" t="s">
        <v>32</v>
      </c>
      <c r="BD619" s="2">
        <v>0</v>
      </c>
      <c r="BE619" s="2" t="s">
        <v>32</v>
      </c>
      <c r="BF619" s="2">
        <v>0</v>
      </c>
      <c r="BG619" s="2" t="s">
        <v>32</v>
      </c>
      <c r="BH619" s="2">
        <v>0</v>
      </c>
      <c r="BI619" s="2" t="s">
        <v>32</v>
      </c>
      <c r="BJ619" s="2" t="s">
        <v>32</v>
      </c>
      <c r="BK619" s="2" t="s">
        <v>32</v>
      </c>
      <c r="BL619" s="2">
        <v>0</v>
      </c>
      <c r="BM619" s="2" t="s">
        <v>32</v>
      </c>
      <c r="BN619" s="2" t="s">
        <v>32</v>
      </c>
      <c r="BO619" s="2" t="s">
        <v>32</v>
      </c>
      <c r="BP619" s="2">
        <v>0</v>
      </c>
      <c r="BQ619" s="2" t="s">
        <v>32</v>
      </c>
      <c r="BR619" s="2">
        <v>0</v>
      </c>
      <c r="BS619" s="2" t="s">
        <v>1660</v>
      </c>
      <c r="BT619" s="2">
        <v>0</v>
      </c>
      <c r="BU619" s="2">
        <v>0</v>
      </c>
      <c r="BV619" s="2" t="s">
        <v>1660</v>
      </c>
      <c r="BW619" s="2"/>
      <c r="BX619" s="2"/>
      <c r="BY619" s="2" t="s">
        <v>1807</v>
      </c>
      <c r="BZ619" s="2" t="b">
        <f>OR( (Dashboard[[#This Row],[ref_as_hh]]&gt;=1),(Dashboard[[#This Row],[ret_as_hh]] &gt;=1), (Dashboard[[#This Row],[idp_as_hh]]&gt;=1))</f>
        <v>0</v>
      </c>
      <c r="CA619" s="2">
        <f>Dashboard[[#This Row],[ret_hi_hh]]</f>
        <v>0</v>
      </c>
      <c r="CB619" s="2">
        <f>Dashboard[[#This Row],[idp_fa_hh]]+Dashboard[[#This Row],[ref_fa_hh]]+Dashboard[[#This Row],[ret_fa_hh]]</f>
        <v>13</v>
      </c>
      <c r="CC619" s="2">
        <f>Dashboard[[#This Row],[idp_loc_hh]]+Dashboard[[#This Row],[ref_loc_hh]]+Dashboard[[#This Row],[ret_loc_hh]]</f>
        <v>8</v>
      </c>
      <c r="CD619" s="2">
        <f>Dashboard[[#This Row],[idp_cc_hh]]+Dashboard[[#This Row],[ref_cc_hh]]+Dashboard[[#This Row],[ret_cc_hh]]</f>
        <v>0</v>
      </c>
      <c r="CE619" s="2">
        <f>Dashboard[[#This Row],[idp_as_hh]]+Dashboard[[#This Row],[ref_as_hh]]+Dashboard[[#This Row],[ret_as_hh]]</f>
        <v>0</v>
      </c>
      <c r="CF619" s="2">
        <f>Dashboard[[#This Row],[idp_al_hh]]+Dashboard[[#This Row],[ref_al_hh]]+Dashboard[[#This Row],[ret_al_hh]]</f>
        <v>0</v>
      </c>
    </row>
    <row r="620" spans="1:84" hidden="1" x14ac:dyDescent="0.25">
      <c r="A620" s="27">
        <v>695</v>
      </c>
      <c r="B620" s="2" t="s">
        <v>22</v>
      </c>
      <c r="C620" s="2" t="s">
        <v>23</v>
      </c>
      <c r="D620" s="2" t="s">
        <v>48</v>
      </c>
      <c r="E620" s="2" t="s">
        <v>47</v>
      </c>
      <c r="F620" s="2" t="s">
        <v>527</v>
      </c>
      <c r="G620" s="2" t="s">
        <v>528</v>
      </c>
      <c r="H620" s="2" t="s">
        <v>1399</v>
      </c>
      <c r="I620" s="2" t="s">
        <v>535</v>
      </c>
      <c r="J620" s="2" t="s">
        <v>3432</v>
      </c>
      <c r="K620" s="2" t="s">
        <v>3433</v>
      </c>
      <c r="L620" s="2" t="s">
        <v>2074</v>
      </c>
      <c r="M620" s="2">
        <v>3616</v>
      </c>
      <c r="N620" s="2" t="s">
        <v>1658</v>
      </c>
      <c r="O620" s="2">
        <v>42</v>
      </c>
      <c r="P620" s="2">
        <v>191</v>
      </c>
      <c r="Q620" s="2" t="s">
        <v>1658</v>
      </c>
      <c r="R620" s="2">
        <v>34</v>
      </c>
      <c r="S620" s="2" t="s">
        <v>1658</v>
      </c>
      <c r="T620" s="2">
        <v>8</v>
      </c>
      <c r="U620" s="2" t="s">
        <v>1661</v>
      </c>
      <c r="V620" s="2" t="s">
        <v>32</v>
      </c>
      <c r="W620" s="2" t="s">
        <v>1660</v>
      </c>
      <c r="X620" s="2">
        <v>0</v>
      </c>
      <c r="Y620" s="2" t="s">
        <v>32</v>
      </c>
      <c r="Z620" s="2" t="s">
        <v>32</v>
      </c>
      <c r="AA620" s="2" t="s">
        <v>1660</v>
      </c>
      <c r="AB620" s="2">
        <v>0</v>
      </c>
      <c r="AC620" s="2" t="s">
        <v>1660</v>
      </c>
      <c r="AD620" s="2">
        <v>0</v>
      </c>
      <c r="AE620" s="2" t="s">
        <v>1660</v>
      </c>
      <c r="AF620" s="2">
        <v>0</v>
      </c>
      <c r="AG620" s="2">
        <v>0</v>
      </c>
      <c r="AH620" s="2" t="s">
        <v>32</v>
      </c>
      <c r="AI620" s="2" t="s">
        <v>32</v>
      </c>
      <c r="AJ620" s="2" t="s">
        <v>32</v>
      </c>
      <c r="AK620" s="2" t="s">
        <v>32</v>
      </c>
      <c r="AL620" s="2" t="s">
        <v>32</v>
      </c>
      <c r="AM620" s="2">
        <v>0</v>
      </c>
      <c r="AN620" s="2" t="s">
        <v>32</v>
      </c>
      <c r="AO620" s="2">
        <v>0</v>
      </c>
      <c r="AP620" s="2" t="s">
        <v>32</v>
      </c>
      <c r="AQ620" s="2" t="s">
        <v>32</v>
      </c>
      <c r="AR620" s="2" t="s">
        <v>32</v>
      </c>
      <c r="AS620" s="2">
        <v>0</v>
      </c>
      <c r="AT620" s="2" t="s">
        <v>32</v>
      </c>
      <c r="AU620" s="2" t="s">
        <v>32</v>
      </c>
      <c r="AV620" s="2" t="s">
        <v>32</v>
      </c>
      <c r="AW620" s="2">
        <v>0</v>
      </c>
      <c r="AX620" s="2" t="s">
        <v>32</v>
      </c>
      <c r="AY620" s="2">
        <v>0</v>
      </c>
      <c r="AZ620" s="2" t="s">
        <v>1660</v>
      </c>
      <c r="BA620" s="2">
        <v>0</v>
      </c>
      <c r="BB620" s="2">
        <v>0</v>
      </c>
      <c r="BC620" s="2" t="s">
        <v>32</v>
      </c>
      <c r="BD620" s="2">
        <v>0</v>
      </c>
      <c r="BE620" s="2" t="s">
        <v>32</v>
      </c>
      <c r="BF620" s="2">
        <v>0</v>
      </c>
      <c r="BG620" s="2" t="s">
        <v>32</v>
      </c>
      <c r="BH620" s="2">
        <v>0</v>
      </c>
      <c r="BI620" s="2" t="s">
        <v>32</v>
      </c>
      <c r="BJ620" s="2" t="s">
        <v>32</v>
      </c>
      <c r="BK620" s="2" t="s">
        <v>32</v>
      </c>
      <c r="BL620" s="2">
        <v>0</v>
      </c>
      <c r="BM620" s="2" t="s">
        <v>32</v>
      </c>
      <c r="BN620" s="2" t="s">
        <v>32</v>
      </c>
      <c r="BO620" s="2" t="s">
        <v>32</v>
      </c>
      <c r="BP620" s="2">
        <v>0</v>
      </c>
      <c r="BQ620" s="2" t="s">
        <v>32</v>
      </c>
      <c r="BR620" s="2">
        <v>0</v>
      </c>
      <c r="BS620" s="2" t="s">
        <v>1660</v>
      </c>
      <c r="BT620" s="2">
        <v>0</v>
      </c>
      <c r="BU620" s="2">
        <v>0</v>
      </c>
      <c r="BV620" s="2" t="s">
        <v>1660</v>
      </c>
      <c r="BW620" s="2"/>
      <c r="BX620" s="2"/>
      <c r="BY620" s="2" t="s">
        <v>1807</v>
      </c>
      <c r="BZ620" s="2" t="b">
        <f>OR( (Dashboard[[#This Row],[ref_as_hh]]&gt;=1),(Dashboard[[#This Row],[ret_as_hh]] &gt;=1), (Dashboard[[#This Row],[idp_as_hh]]&gt;=1))</f>
        <v>0</v>
      </c>
      <c r="CA620" s="2">
        <f>Dashboard[[#This Row],[ret_hi_hh]]</f>
        <v>0</v>
      </c>
      <c r="CB620" s="2">
        <f>Dashboard[[#This Row],[idp_fa_hh]]+Dashboard[[#This Row],[ref_fa_hh]]+Dashboard[[#This Row],[ret_fa_hh]]</f>
        <v>34</v>
      </c>
      <c r="CC620" s="2">
        <f>Dashboard[[#This Row],[idp_loc_hh]]+Dashboard[[#This Row],[ref_loc_hh]]+Dashboard[[#This Row],[ret_loc_hh]]</f>
        <v>8</v>
      </c>
      <c r="CD620" s="2">
        <f>Dashboard[[#This Row],[idp_cc_hh]]+Dashboard[[#This Row],[ref_cc_hh]]+Dashboard[[#This Row],[ret_cc_hh]]</f>
        <v>0</v>
      </c>
      <c r="CE620" s="2">
        <f>Dashboard[[#This Row],[idp_as_hh]]+Dashboard[[#This Row],[ref_as_hh]]+Dashboard[[#This Row],[ret_as_hh]]</f>
        <v>0</v>
      </c>
      <c r="CF620" s="2">
        <f>Dashboard[[#This Row],[idp_al_hh]]+Dashboard[[#This Row],[ref_al_hh]]+Dashboard[[#This Row],[ret_al_hh]]</f>
        <v>0</v>
      </c>
    </row>
    <row r="621" spans="1:84" hidden="1" x14ac:dyDescent="0.25">
      <c r="A621" s="27">
        <v>442</v>
      </c>
      <c r="B621" s="2" t="s">
        <v>22</v>
      </c>
      <c r="C621" s="2" t="s">
        <v>23</v>
      </c>
      <c r="D621" s="2" t="s">
        <v>48</v>
      </c>
      <c r="E621" s="2" t="s">
        <v>47</v>
      </c>
      <c r="F621" s="2" t="s">
        <v>527</v>
      </c>
      <c r="G621" s="2" t="s">
        <v>528</v>
      </c>
      <c r="H621" s="2" t="s">
        <v>1699</v>
      </c>
      <c r="I621" s="2" t="s">
        <v>842</v>
      </c>
      <c r="J621" s="2" t="s">
        <v>3414</v>
      </c>
      <c r="K621" s="2" t="s">
        <v>3415</v>
      </c>
      <c r="L621" s="2" t="s">
        <v>2074</v>
      </c>
      <c r="M621" s="2">
        <v>2109</v>
      </c>
      <c r="N621" s="2" t="s">
        <v>1660</v>
      </c>
      <c r="O621" s="2">
        <v>0</v>
      </c>
      <c r="P621" s="2">
        <v>0</v>
      </c>
      <c r="Q621" s="2" t="s">
        <v>32</v>
      </c>
      <c r="R621" s="2">
        <v>0</v>
      </c>
      <c r="S621" s="2" t="s">
        <v>32</v>
      </c>
      <c r="T621" s="2">
        <v>0</v>
      </c>
      <c r="U621" s="2" t="s">
        <v>32</v>
      </c>
      <c r="V621" s="2" t="s">
        <v>32</v>
      </c>
      <c r="W621" s="2" t="s">
        <v>32</v>
      </c>
      <c r="X621" s="2">
        <v>0</v>
      </c>
      <c r="Y621" s="2" t="s">
        <v>32</v>
      </c>
      <c r="Z621" s="2" t="s">
        <v>32</v>
      </c>
      <c r="AA621" s="2" t="s">
        <v>32</v>
      </c>
      <c r="AB621" s="2">
        <v>0</v>
      </c>
      <c r="AC621" s="2" t="s">
        <v>32</v>
      </c>
      <c r="AD621" s="2">
        <v>0</v>
      </c>
      <c r="AE621" s="2" t="s">
        <v>1660</v>
      </c>
      <c r="AF621" s="2">
        <v>0</v>
      </c>
      <c r="AG621" s="2">
        <v>0</v>
      </c>
      <c r="AH621" s="2" t="s">
        <v>32</v>
      </c>
      <c r="AI621" s="2" t="s">
        <v>32</v>
      </c>
      <c r="AJ621" s="2" t="s">
        <v>32</v>
      </c>
      <c r="AK621" s="2" t="s">
        <v>32</v>
      </c>
      <c r="AL621" s="2" t="s">
        <v>32</v>
      </c>
      <c r="AM621" s="2">
        <v>0</v>
      </c>
      <c r="AN621" s="2" t="s">
        <v>32</v>
      </c>
      <c r="AO621" s="2">
        <v>0</v>
      </c>
      <c r="AP621" s="2" t="s">
        <v>32</v>
      </c>
      <c r="AQ621" s="2" t="s">
        <v>32</v>
      </c>
      <c r="AR621" s="2" t="s">
        <v>32</v>
      </c>
      <c r="AS621" s="2">
        <v>0</v>
      </c>
      <c r="AT621" s="2" t="s">
        <v>32</v>
      </c>
      <c r="AU621" s="2" t="s">
        <v>32</v>
      </c>
      <c r="AV621" s="2" t="s">
        <v>32</v>
      </c>
      <c r="AW621" s="2">
        <v>0</v>
      </c>
      <c r="AX621" s="2" t="s">
        <v>32</v>
      </c>
      <c r="AY621" s="2">
        <v>0</v>
      </c>
      <c r="AZ621" s="2" t="s">
        <v>1660</v>
      </c>
      <c r="BA621" s="2">
        <v>0</v>
      </c>
      <c r="BB621" s="2">
        <v>0</v>
      </c>
      <c r="BC621" s="2" t="s">
        <v>32</v>
      </c>
      <c r="BD621" s="2">
        <v>0</v>
      </c>
      <c r="BE621" s="2" t="s">
        <v>32</v>
      </c>
      <c r="BF621" s="2">
        <v>0</v>
      </c>
      <c r="BG621" s="2" t="s">
        <v>32</v>
      </c>
      <c r="BH621" s="2">
        <v>0</v>
      </c>
      <c r="BI621" s="2" t="s">
        <v>32</v>
      </c>
      <c r="BJ621" s="2" t="s">
        <v>32</v>
      </c>
      <c r="BK621" s="2" t="s">
        <v>32</v>
      </c>
      <c r="BL621" s="2">
        <v>0</v>
      </c>
      <c r="BM621" s="2" t="s">
        <v>32</v>
      </c>
      <c r="BN621" s="2" t="s">
        <v>32</v>
      </c>
      <c r="BO621" s="2" t="s">
        <v>32</v>
      </c>
      <c r="BP621" s="2">
        <v>0</v>
      </c>
      <c r="BQ621" s="2" t="s">
        <v>32</v>
      </c>
      <c r="BR621" s="2">
        <v>0</v>
      </c>
      <c r="BS621" s="2" t="s">
        <v>1660</v>
      </c>
      <c r="BT621" s="2">
        <v>0</v>
      </c>
      <c r="BU621" s="2">
        <v>0</v>
      </c>
      <c r="BV621" s="2" t="s">
        <v>1660</v>
      </c>
      <c r="BW621" s="2"/>
      <c r="BX621" s="2"/>
      <c r="BY621" s="2" t="s">
        <v>1807</v>
      </c>
      <c r="BZ621" s="2" t="b">
        <f>OR( (Dashboard[[#This Row],[ref_as_hh]]&gt;=1),(Dashboard[[#This Row],[ret_as_hh]] &gt;=1), (Dashboard[[#This Row],[idp_as_hh]]&gt;=1))</f>
        <v>0</v>
      </c>
      <c r="CA621" s="2">
        <f>Dashboard[[#This Row],[ret_hi_hh]]</f>
        <v>0</v>
      </c>
      <c r="CB621" s="2">
        <f>Dashboard[[#This Row],[idp_fa_hh]]+Dashboard[[#This Row],[ref_fa_hh]]+Dashboard[[#This Row],[ret_fa_hh]]</f>
        <v>0</v>
      </c>
      <c r="CC621" s="2">
        <f>Dashboard[[#This Row],[idp_loc_hh]]+Dashboard[[#This Row],[ref_loc_hh]]+Dashboard[[#This Row],[ret_loc_hh]]</f>
        <v>0</v>
      </c>
      <c r="CD621" s="2">
        <f>Dashboard[[#This Row],[idp_cc_hh]]+Dashboard[[#This Row],[ref_cc_hh]]+Dashboard[[#This Row],[ret_cc_hh]]</f>
        <v>0</v>
      </c>
      <c r="CE621" s="2">
        <f>Dashboard[[#This Row],[idp_as_hh]]+Dashboard[[#This Row],[ref_as_hh]]+Dashboard[[#This Row],[ret_as_hh]]</f>
        <v>0</v>
      </c>
      <c r="CF621" s="2">
        <f>Dashboard[[#This Row],[idp_al_hh]]+Dashboard[[#This Row],[ref_al_hh]]+Dashboard[[#This Row],[ret_al_hh]]</f>
        <v>0</v>
      </c>
    </row>
    <row r="622" spans="1:84" hidden="1" x14ac:dyDescent="0.25">
      <c r="A622" s="27">
        <v>443</v>
      </c>
      <c r="B622" s="2" t="s">
        <v>22</v>
      </c>
      <c r="C622" s="2" t="s">
        <v>23</v>
      </c>
      <c r="D622" s="2" t="s">
        <v>48</v>
      </c>
      <c r="E622" s="2" t="s">
        <v>47</v>
      </c>
      <c r="F622" s="2" t="s">
        <v>527</v>
      </c>
      <c r="G622" s="2" t="s">
        <v>528</v>
      </c>
      <c r="H622" s="2" t="s">
        <v>1700</v>
      </c>
      <c r="I622" s="2" t="s">
        <v>843</v>
      </c>
      <c r="J622" s="2" t="s">
        <v>3418</v>
      </c>
      <c r="K622" s="2" t="s">
        <v>3419</v>
      </c>
      <c r="L622" s="2" t="s">
        <v>2074</v>
      </c>
      <c r="M622" s="2">
        <v>2066</v>
      </c>
      <c r="N622" s="2" t="s">
        <v>1660</v>
      </c>
      <c r="O622" s="2">
        <v>0</v>
      </c>
      <c r="P622" s="2">
        <v>0</v>
      </c>
      <c r="Q622" s="2" t="s">
        <v>32</v>
      </c>
      <c r="R622" s="2">
        <v>0</v>
      </c>
      <c r="S622" s="2" t="s">
        <v>32</v>
      </c>
      <c r="T622" s="2">
        <v>0</v>
      </c>
      <c r="U622" s="2" t="s">
        <v>32</v>
      </c>
      <c r="V622" s="2" t="s">
        <v>32</v>
      </c>
      <c r="W622" s="2" t="s">
        <v>32</v>
      </c>
      <c r="X622" s="2">
        <v>0</v>
      </c>
      <c r="Y622" s="2" t="s">
        <v>32</v>
      </c>
      <c r="Z622" s="2" t="s">
        <v>32</v>
      </c>
      <c r="AA622" s="2" t="s">
        <v>32</v>
      </c>
      <c r="AB622" s="2">
        <v>0</v>
      </c>
      <c r="AC622" s="2" t="s">
        <v>32</v>
      </c>
      <c r="AD622" s="2">
        <v>0</v>
      </c>
      <c r="AE622" s="2" t="s">
        <v>1660</v>
      </c>
      <c r="AF622" s="2">
        <v>0</v>
      </c>
      <c r="AG622" s="2">
        <v>0</v>
      </c>
      <c r="AH622" s="2" t="s">
        <v>32</v>
      </c>
      <c r="AI622" s="2" t="s">
        <v>32</v>
      </c>
      <c r="AJ622" s="2" t="s">
        <v>32</v>
      </c>
      <c r="AK622" s="2" t="s">
        <v>32</v>
      </c>
      <c r="AL622" s="2" t="s">
        <v>32</v>
      </c>
      <c r="AM622" s="2">
        <v>0</v>
      </c>
      <c r="AN622" s="2" t="s">
        <v>32</v>
      </c>
      <c r="AO622" s="2">
        <v>0</v>
      </c>
      <c r="AP622" s="2" t="s">
        <v>32</v>
      </c>
      <c r="AQ622" s="2" t="s">
        <v>32</v>
      </c>
      <c r="AR622" s="2" t="s">
        <v>32</v>
      </c>
      <c r="AS622" s="2">
        <v>0</v>
      </c>
      <c r="AT622" s="2" t="s">
        <v>32</v>
      </c>
      <c r="AU622" s="2" t="s">
        <v>32</v>
      </c>
      <c r="AV622" s="2" t="s">
        <v>32</v>
      </c>
      <c r="AW622" s="2">
        <v>0</v>
      </c>
      <c r="AX622" s="2" t="s">
        <v>32</v>
      </c>
      <c r="AY622" s="2">
        <v>0</v>
      </c>
      <c r="AZ622" s="2" t="s">
        <v>1660</v>
      </c>
      <c r="BA622" s="2">
        <v>0</v>
      </c>
      <c r="BB622" s="2">
        <v>0</v>
      </c>
      <c r="BC622" s="2" t="s">
        <v>32</v>
      </c>
      <c r="BD622" s="2">
        <v>0</v>
      </c>
      <c r="BE622" s="2" t="s">
        <v>32</v>
      </c>
      <c r="BF622" s="2">
        <v>0</v>
      </c>
      <c r="BG622" s="2" t="s">
        <v>32</v>
      </c>
      <c r="BH622" s="2">
        <v>0</v>
      </c>
      <c r="BI622" s="2" t="s">
        <v>32</v>
      </c>
      <c r="BJ622" s="2" t="s">
        <v>32</v>
      </c>
      <c r="BK622" s="2" t="s">
        <v>32</v>
      </c>
      <c r="BL622" s="2">
        <v>0</v>
      </c>
      <c r="BM622" s="2" t="s">
        <v>32</v>
      </c>
      <c r="BN622" s="2" t="s">
        <v>32</v>
      </c>
      <c r="BO622" s="2" t="s">
        <v>32</v>
      </c>
      <c r="BP622" s="2">
        <v>0</v>
      </c>
      <c r="BQ622" s="2" t="s">
        <v>32</v>
      </c>
      <c r="BR622" s="2">
        <v>0</v>
      </c>
      <c r="BS622" s="2" t="s">
        <v>1660</v>
      </c>
      <c r="BT622" s="2">
        <v>0</v>
      </c>
      <c r="BU622" s="2">
        <v>0</v>
      </c>
      <c r="BV622" s="2" t="s">
        <v>1660</v>
      </c>
      <c r="BW622" s="2"/>
      <c r="BX622" s="2"/>
      <c r="BY622" s="2" t="s">
        <v>1807</v>
      </c>
      <c r="BZ622" s="2" t="b">
        <f>OR( (Dashboard[[#This Row],[ref_as_hh]]&gt;=1),(Dashboard[[#This Row],[ret_as_hh]] &gt;=1), (Dashboard[[#This Row],[idp_as_hh]]&gt;=1))</f>
        <v>0</v>
      </c>
      <c r="CA622" s="2">
        <f>Dashboard[[#This Row],[ret_hi_hh]]</f>
        <v>0</v>
      </c>
      <c r="CB622" s="2">
        <f>Dashboard[[#This Row],[idp_fa_hh]]+Dashboard[[#This Row],[ref_fa_hh]]+Dashboard[[#This Row],[ret_fa_hh]]</f>
        <v>0</v>
      </c>
      <c r="CC622" s="2">
        <f>Dashboard[[#This Row],[idp_loc_hh]]+Dashboard[[#This Row],[ref_loc_hh]]+Dashboard[[#This Row],[ret_loc_hh]]</f>
        <v>0</v>
      </c>
      <c r="CD622" s="2">
        <f>Dashboard[[#This Row],[idp_cc_hh]]+Dashboard[[#This Row],[ref_cc_hh]]+Dashboard[[#This Row],[ret_cc_hh]]</f>
        <v>0</v>
      </c>
      <c r="CE622" s="2">
        <f>Dashboard[[#This Row],[idp_as_hh]]+Dashboard[[#This Row],[ref_as_hh]]+Dashboard[[#This Row],[ret_as_hh]]</f>
        <v>0</v>
      </c>
      <c r="CF622" s="2">
        <f>Dashboard[[#This Row],[idp_al_hh]]+Dashboard[[#This Row],[ref_al_hh]]+Dashboard[[#This Row],[ret_al_hh]]</f>
        <v>0</v>
      </c>
    </row>
    <row r="623" spans="1:84" hidden="1" x14ac:dyDescent="0.25">
      <c r="A623" s="27">
        <v>444</v>
      </c>
      <c r="B623" s="2" t="s">
        <v>22</v>
      </c>
      <c r="C623" s="2" t="s">
        <v>23</v>
      </c>
      <c r="D623" s="2" t="s">
        <v>48</v>
      </c>
      <c r="E623" s="2" t="s">
        <v>47</v>
      </c>
      <c r="F623" s="2" t="s">
        <v>527</v>
      </c>
      <c r="G623" s="2" t="s">
        <v>528</v>
      </c>
      <c r="H623" s="2" t="s">
        <v>1392</v>
      </c>
      <c r="I623" s="2" t="s">
        <v>844</v>
      </c>
      <c r="J623" s="2" t="s">
        <v>3416</v>
      </c>
      <c r="K623" s="2" t="s">
        <v>3417</v>
      </c>
      <c r="L623" s="2" t="s">
        <v>2074</v>
      </c>
      <c r="M623" s="2">
        <v>2109</v>
      </c>
      <c r="N623" s="2" t="s">
        <v>1660</v>
      </c>
      <c r="O623" s="2">
        <v>0</v>
      </c>
      <c r="P623" s="2">
        <v>0</v>
      </c>
      <c r="Q623" s="2" t="s">
        <v>32</v>
      </c>
      <c r="R623" s="2">
        <v>0</v>
      </c>
      <c r="S623" s="2" t="s">
        <v>32</v>
      </c>
      <c r="T623" s="2">
        <v>0</v>
      </c>
      <c r="U623" s="2" t="s">
        <v>32</v>
      </c>
      <c r="V623" s="2" t="s">
        <v>32</v>
      </c>
      <c r="W623" s="2" t="s">
        <v>32</v>
      </c>
      <c r="X623" s="2">
        <v>0</v>
      </c>
      <c r="Y623" s="2" t="s">
        <v>32</v>
      </c>
      <c r="Z623" s="2" t="s">
        <v>32</v>
      </c>
      <c r="AA623" s="2" t="s">
        <v>32</v>
      </c>
      <c r="AB623" s="2">
        <v>0</v>
      </c>
      <c r="AC623" s="2" t="s">
        <v>32</v>
      </c>
      <c r="AD623" s="2">
        <v>0</v>
      </c>
      <c r="AE623" s="2" t="s">
        <v>1660</v>
      </c>
      <c r="AF623" s="2">
        <v>0</v>
      </c>
      <c r="AG623" s="2">
        <v>0</v>
      </c>
      <c r="AH623" s="2" t="s">
        <v>32</v>
      </c>
      <c r="AI623" s="2" t="s">
        <v>32</v>
      </c>
      <c r="AJ623" s="2" t="s">
        <v>32</v>
      </c>
      <c r="AK623" s="2" t="s">
        <v>32</v>
      </c>
      <c r="AL623" s="2" t="s">
        <v>32</v>
      </c>
      <c r="AM623" s="2">
        <v>0</v>
      </c>
      <c r="AN623" s="2" t="s">
        <v>32</v>
      </c>
      <c r="AO623" s="2">
        <v>0</v>
      </c>
      <c r="AP623" s="2" t="s">
        <v>32</v>
      </c>
      <c r="AQ623" s="2" t="s">
        <v>32</v>
      </c>
      <c r="AR623" s="2" t="s">
        <v>32</v>
      </c>
      <c r="AS623" s="2">
        <v>0</v>
      </c>
      <c r="AT623" s="2" t="s">
        <v>32</v>
      </c>
      <c r="AU623" s="2" t="s">
        <v>32</v>
      </c>
      <c r="AV623" s="2" t="s">
        <v>32</v>
      </c>
      <c r="AW623" s="2">
        <v>0</v>
      </c>
      <c r="AX623" s="2" t="s">
        <v>32</v>
      </c>
      <c r="AY623" s="2">
        <v>0</v>
      </c>
      <c r="AZ623" s="2" t="s">
        <v>1660</v>
      </c>
      <c r="BA623" s="2">
        <v>0</v>
      </c>
      <c r="BB623" s="2">
        <v>0</v>
      </c>
      <c r="BC623" s="2" t="s">
        <v>32</v>
      </c>
      <c r="BD623" s="2">
        <v>0</v>
      </c>
      <c r="BE623" s="2" t="s">
        <v>32</v>
      </c>
      <c r="BF623" s="2">
        <v>0</v>
      </c>
      <c r="BG623" s="2" t="s">
        <v>32</v>
      </c>
      <c r="BH623" s="2">
        <v>0</v>
      </c>
      <c r="BI623" s="2" t="s">
        <v>32</v>
      </c>
      <c r="BJ623" s="2" t="s">
        <v>32</v>
      </c>
      <c r="BK623" s="2" t="s">
        <v>32</v>
      </c>
      <c r="BL623" s="2">
        <v>0</v>
      </c>
      <c r="BM623" s="2" t="s">
        <v>32</v>
      </c>
      <c r="BN623" s="2" t="s">
        <v>32</v>
      </c>
      <c r="BO623" s="2" t="s">
        <v>32</v>
      </c>
      <c r="BP623" s="2">
        <v>0</v>
      </c>
      <c r="BQ623" s="2" t="s">
        <v>32</v>
      </c>
      <c r="BR623" s="2">
        <v>0</v>
      </c>
      <c r="BS623" s="2" t="s">
        <v>1660</v>
      </c>
      <c r="BT623" s="2">
        <v>0</v>
      </c>
      <c r="BU623" s="2">
        <v>0</v>
      </c>
      <c r="BV623" s="2" t="s">
        <v>1660</v>
      </c>
      <c r="BW623" s="2"/>
      <c r="BX623" s="2"/>
      <c r="BY623" s="2" t="s">
        <v>1807</v>
      </c>
      <c r="BZ623" s="2" t="b">
        <f>OR( (Dashboard[[#This Row],[ref_as_hh]]&gt;=1),(Dashboard[[#This Row],[ret_as_hh]] &gt;=1), (Dashboard[[#This Row],[idp_as_hh]]&gt;=1))</f>
        <v>0</v>
      </c>
      <c r="CA623" s="2">
        <f>Dashboard[[#This Row],[ret_hi_hh]]</f>
        <v>0</v>
      </c>
      <c r="CB623" s="2">
        <f>Dashboard[[#This Row],[idp_fa_hh]]+Dashboard[[#This Row],[ref_fa_hh]]+Dashboard[[#This Row],[ret_fa_hh]]</f>
        <v>0</v>
      </c>
      <c r="CC623" s="2">
        <f>Dashboard[[#This Row],[idp_loc_hh]]+Dashboard[[#This Row],[ref_loc_hh]]+Dashboard[[#This Row],[ret_loc_hh]]</f>
        <v>0</v>
      </c>
      <c r="CD623" s="2">
        <f>Dashboard[[#This Row],[idp_cc_hh]]+Dashboard[[#This Row],[ref_cc_hh]]+Dashboard[[#This Row],[ret_cc_hh]]</f>
        <v>0</v>
      </c>
      <c r="CE623" s="2">
        <f>Dashboard[[#This Row],[idp_as_hh]]+Dashboard[[#This Row],[ref_as_hh]]+Dashboard[[#This Row],[ret_as_hh]]</f>
        <v>0</v>
      </c>
      <c r="CF623" s="2">
        <f>Dashboard[[#This Row],[idp_al_hh]]+Dashboard[[#This Row],[ref_al_hh]]+Dashboard[[#This Row],[ret_al_hh]]</f>
        <v>0</v>
      </c>
    </row>
    <row r="624" spans="1:84" hidden="1" x14ac:dyDescent="0.25">
      <c r="A624" s="27">
        <v>2</v>
      </c>
      <c r="B624" s="2" t="s">
        <v>22</v>
      </c>
      <c r="C624" s="2" t="s">
        <v>23</v>
      </c>
      <c r="D624" s="2" t="s">
        <v>37</v>
      </c>
      <c r="E624" s="2" t="s">
        <v>36</v>
      </c>
      <c r="F624" s="2" t="s">
        <v>244</v>
      </c>
      <c r="G624" s="2" t="s">
        <v>243</v>
      </c>
      <c r="H624" s="2" t="s">
        <v>1544</v>
      </c>
      <c r="I624" s="2" t="s">
        <v>648</v>
      </c>
      <c r="J624" s="2" t="s">
        <v>3546</v>
      </c>
      <c r="K624" s="2" t="s">
        <v>3547</v>
      </c>
      <c r="L624" s="2" t="s">
        <v>2074</v>
      </c>
      <c r="M624" s="2">
        <v>6500</v>
      </c>
      <c r="N624" s="2" t="s">
        <v>1660</v>
      </c>
      <c r="O624" s="2">
        <v>0</v>
      </c>
      <c r="P624" s="2">
        <v>0</v>
      </c>
      <c r="Q624" s="2" t="s">
        <v>32</v>
      </c>
      <c r="R624" s="2">
        <v>0</v>
      </c>
      <c r="S624" s="2" t="s">
        <v>32</v>
      </c>
      <c r="T624" s="2">
        <v>0</v>
      </c>
      <c r="U624" s="2" t="s">
        <v>32</v>
      </c>
      <c r="V624" s="2" t="s">
        <v>32</v>
      </c>
      <c r="W624" s="2" t="s">
        <v>32</v>
      </c>
      <c r="X624" s="2">
        <v>0</v>
      </c>
      <c r="Y624" s="2" t="s">
        <v>32</v>
      </c>
      <c r="Z624" s="2" t="s">
        <v>32</v>
      </c>
      <c r="AA624" s="2" t="s">
        <v>32</v>
      </c>
      <c r="AB624" s="2">
        <v>0</v>
      </c>
      <c r="AC624" s="2" t="s">
        <v>32</v>
      </c>
      <c r="AD624" s="2">
        <v>0</v>
      </c>
      <c r="AE624" s="2" t="s">
        <v>1658</v>
      </c>
      <c r="AF624" s="2">
        <v>9</v>
      </c>
      <c r="AG624" s="2">
        <v>42</v>
      </c>
      <c r="AH624" s="2" t="s">
        <v>1660</v>
      </c>
      <c r="AI624" s="2" t="s">
        <v>32</v>
      </c>
      <c r="AJ624" s="2" t="s">
        <v>32</v>
      </c>
      <c r="AK624" s="2" t="s">
        <v>32</v>
      </c>
      <c r="AL624" s="2" t="s">
        <v>1658</v>
      </c>
      <c r="AM624" s="2">
        <v>9</v>
      </c>
      <c r="AN624" s="2" t="s">
        <v>1660</v>
      </c>
      <c r="AO624" s="2">
        <v>0</v>
      </c>
      <c r="AP624" s="2" t="s">
        <v>32</v>
      </c>
      <c r="AQ624" s="2" t="s">
        <v>32</v>
      </c>
      <c r="AR624" s="2" t="s">
        <v>1660</v>
      </c>
      <c r="AS624" s="2">
        <v>0</v>
      </c>
      <c r="AT624" s="2" t="s">
        <v>32</v>
      </c>
      <c r="AU624" s="2" t="s">
        <v>32</v>
      </c>
      <c r="AV624" s="2" t="s">
        <v>1660</v>
      </c>
      <c r="AW624" s="2">
        <v>0</v>
      </c>
      <c r="AX624" s="2" t="s">
        <v>1660</v>
      </c>
      <c r="AY624" s="2">
        <v>0</v>
      </c>
      <c r="AZ624" s="2" t="s">
        <v>1658</v>
      </c>
      <c r="BA624" s="2">
        <v>14</v>
      </c>
      <c r="BB624" s="2">
        <v>37</v>
      </c>
      <c r="BC624" s="2" t="s">
        <v>1658</v>
      </c>
      <c r="BD624" s="2">
        <v>14</v>
      </c>
      <c r="BE624" s="2" t="s">
        <v>1660</v>
      </c>
      <c r="BF624" s="2">
        <v>0</v>
      </c>
      <c r="BG624" s="2" t="s">
        <v>1660</v>
      </c>
      <c r="BH624" s="2">
        <v>0</v>
      </c>
      <c r="BI624" s="2" t="s">
        <v>32</v>
      </c>
      <c r="BJ624" s="2" t="s">
        <v>32</v>
      </c>
      <c r="BK624" s="2" t="s">
        <v>1660</v>
      </c>
      <c r="BL624" s="2">
        <v>0</v>
      </c>
      <c r="BM624" s="2" t="s">
        <v>32</v>
      </c>
      <c r="BN624" s="2" t="s">
        <v>32</v>
      </c>
      <c r="BO624" s="2" t="s">
        <v>1660</v>
      </c>
      <c r="BP624" s="2">
        <v>0</v>
      </c>
      <c r="BQ624" s="2" t="s">
        <v>1660</v>
      </c>
      <c r="BR624" s="2">
        <v>0</v>
      </c>
      <c r="BS624" s="2" t="s">
        <v>1660</v>
      </c>
      <c r="BT624" s="2">
        <v>0</v>
      </c>
      <c r="BU624" s="2">
        <v>0</v>
      </c>
      <c r="BV624" s="2" t="s">
        <v>1660</v>
      </c>
      <c r="BW624" s="2"/>
      <c r="BX624" s="2"/>
      <c r="BY624" s="2" t="s">
        <v>1807</v>
      </c>
      <c r="BZ624" s="2" t="b">
        <f>OR( (Dashboard[[#This Row],[ref_as_hh]]&gt;=1),(Dashboard[[#This Row],[ret_as_hh]] &gt;=1), (Dashboard[[#This Row],[idp_as_hh]]&gt;=1))</f>
        <v>0</v>
      </c>
      <c r="CA624" s="2">
        <f>Dashboard[[#This Row],[ret_hi_hh]]</f>
        <v>14</v>
      </c>
      <c r="CB624" s="2">
        <f>Dashboard[[#This Row],[idp_fa_hh]]+Dashboard[[#This Row],[ref_fa_hh]]+Dashboard[[#This Row],[ret_fa_hh]]</f>
        <v>9</v>
      </c>
      <c r="CC624" s="2">
        <f>Dashboard[[#This Row],[idp_loc_hh]]+Dashboard[[#This Row],[ref_loc_hh]]+Dashboard[[#This Row],[ret_loc_hh]]</f>
        <v>0</v>
      </c>
      <c r="CD624" s="2">
        <f>Dashboard[[#This Row],[idp_cc_hh]]+Dashboard[[#This Row],[ref_cc_hh]]+Dashboard[[#This Row],[ret_cc_hh]]</f>
        <v>0</v>
      </c>
      <c r="CE624" s="2">
        <f>Dashboard[[#This Row],[idp_as_hh]]+Dashboard[[#This Row],[ref_as_hh]]+Dashboard[[#This Row],[ret_as_hh]]</f>
        <v>0</v>
      </c>
      <c r="CF624" s="2">
        <f>Dashboard[[#This Row],[idp_al_hh]]+Dashboard[[#This Row],[ref_al_hh]]+Dashboard[[#This Row],[ret_al_hh]]</f>
        <v>0</v>
      </c>
    </row>
    <row r="625" spans="1:84" hidden="1" x14ac:dyDescent="0.25">
      <c r="A625" s="27">
        <v>562</v>
      </c>
      <c r="B625" s="2" t="s">
        <v>22</v>
      </c>
      <c r="C625" s="2" t="s">
        <v>23</v>
      </c>
      <c r="D625" s="2" t="s">
        <v>37</v>
      </c>
      <c r="E625" s="2" t="s">
        <v>36</v>
      </c>
      <c r="F625" s="2" t="s">
        <v>244</v>
      </c>
      <c r="G625" s="2" t="s">
        <v>243</v>
      </c>
      <c r="H625" s="2" t="s">
        <v>1551</v>
      </c>
      <c r="I625" s="2" t="s">
        <v>655</v>
      </c>
      <c r="J625" s="2" t="s">
        <v>3560</v>
      </c>
      <c r="K625" s="2" t="s">
        <v>3561</v>
      </c>
      <c r="L625" s="2" t="s">
        <v>2074</v>
      </c>
      <c r="M625" s="2">
        <v>10692</v>
      </c>
      <c r="N625" s="2" t="s">
        <v>1660</v>
      </c>
      <c r="O625" s="2">
        <v>0</v>
      </c>
      <c r="P625" s="2">
        <v>0</v>
      </c>
      <c r="Q625" s="2" t="s">
        <v>32</v>
      </c>
      <c r="R625" s="2">
        <v>0</v>
      </c>
      <c r="S625" s="2" t="s">
        <v>32</v>
      </c>
      <c r="T625" s="2">
        <v>0</v>
      </c>
      <c r="U625" s="2" t="s">
        <v>32</v>
      </c>
      <c r="V625" s="2" t="s">
        <v>32</v>
      </c>
      <c r="W625" s="2" t="s">
        <v>32</v>
      </c>
      <c r="X625" s="2">
        <v>0</v>
      </c>
      <c r="Y625" s="2" t="s">
        <v>32</v>
      </c>
      <c r="Z625" s="2" t="s">
        <v>32</v>
      </c>
      <c r="AA625" s="2" t="s">
        <v>32</v>
      </c>
      <c r="AB625" s="2">
        <v>0</v>
      </c>
      <c r="AC625" s="2" t="s">
        <v>32</v>
      </c>
      <c r="AD625" s="2">
        <v>0</v>
      </c>
      <c r="AE625" s="2" t="s">
        <v>1658</v>
      </c>
      <c r="AF625" s="2">
        <v>25</v>
      </c>
      <c r="AG625" s="2">
        <v>202</v>
      </c>
      <c r="AH625" s="2" t="s">
        <v>1660</v>
      </c>
      <c r="AI625" s="2" t="s">
        <v>32</v>
      </c>
      <c r="AJ625" s="2" t="s">
        <v>32</v>
      </c>
      <c r="AK625" s="2" t="s">
        <v>32</v>
      </c>
      <c r="AL625" s="2" t="s">
        <v>1658</v>
      </c>
      <c r="AM625" s="2">
        <v>25</v>
      </c>
      <c r="AN625" s="2" t="s">
        <v>1660</v>
      </c>
      <c r="AO625" s="2">
        <v>0</v>
      </c>
      <c r="AP625" s="2" t="s">
        <v>32</v>
      </c>
      <c r="AQ625" s="2" t="s">
        <v>32</v>
      </c>
      <c r="AR625" s="2" t="s">
        <v>1660</v>
      </c>
      <c r="AS625" s="2">
        <v>0</v>
      </c>
      <c r="AT625" s="2" t="s">
        <v>32</v>
      </c>
      <c r="AU625" s="2" t="s">
        <v>32</v>
      </c>
      <c r="AV625" s="2" t="s">
        <v>1660</v>
      </c>
      <c r="AW625" s="2">
        <v>0</v>
      </c>
      <c r="AX625" s="2" t="s">
        <v>1660</v>
      </c>
      <c r="AY625" s="2">
        <v>0</v>
      </c>
      <c r="AZ625" s="2" t="s">
        <v>1658</v>
      </c>
      <c r="BA625" s="2">
        <v>5</v>
      </c>
      <c r="BB625" s="2">
        <v>31</v>
      </c>
      <c r="BC625" s="2" t="s">
        <v>1658</v>
      </c>
      <c r="BD625" s="2">
        <v>4</v>
      </c>
      <c r="BE625" s="2" t="s">
        <v>1658</v>
      </c>
      <c r="BF625" s="2">
        <v>1</v>
      </c>
      <c r="BG625" s="2" t="s">
        <v>1660</v>
      </c>
      <c r="BH625" s="2">
        <v>0</v>
      </c>
      <c r="BI625" s="2" t="s">
        <v>32</v>
      </c>
      <c r="BJ625" s="2" t="s">
        <v>32</v>
      </c>
      <c r="BK625" s="2" t="s">
        <v>1660</v>
      </c>
      <c r="BL625" s="2">
        <v>0</v>
      </c>
      <c r="BM625" s="2" t="s">
        <v>32</v>
      </c>
      <c r="BN625" s="2" t="s">
        <v>32</v>
      </c>
      <c r="BO625" s="2" t="s">
        <v>1660</v>
      </c>
      <c r="BP625" s="2">
        <v>0</v>
      </c>
      <c r="BQ625" s="2" t="s">
        <v>1660</v>
      </c>
      <c r="BR625" s="2">
        <v>0</v>
      </c>
      <c r="BS625" s="2" t="s">
        <v>1660</v>
      </c>
      <c r="BT625" s="2">
        <v>0</v>
      </c>
      <c r="BU625" s="2">
        <v>0</v>
      </c>
      <c r="BV625" s="2" t="s">
        <v>1660</v>
      </c>
      <c r="BW625" s="2"/>
      <c r="BX625" s="2"/>
      <c r="BY625" s="2" t="s">
        <v>1807</v>
      </c>
      <c r="BZ625" s="2" t="b">
        <f>OR( (Dashboard[[#This Row],[ref_as_hh]]&gt;=1),(Dashboard[[#This Row],[ret_as_hh]] &gt;=1), (Dashboard[[#This Row],[idp_as_hh]]&gt;=1))</f>
        <v>0</v>
      </c>
      <c r="CA625" s="2">
        <f>Dashboard[[#This Row],[ret_hi_hh]]</f>
        <v>4</v>
      </c>
      <c r="CB625" s="2">
        <f>Dashboard[[#This Row],[idp_fa_hh]]+Dashboard[[#This Row],[ref_fa_hh]]+Dashboard[[#This Row],[ret_fa_hh]]</f>
        <v>26</v>
      </c>
      <c r="CC625" s="2">
        <f>Dashboard[[#This Row],[idp_loc_hh]]+Dashboard[[#This Row],[ref_loc_hh]]+Dashboard[[#This Row],[ret_loc_hh]]</f>
        <v>0</v>
      </c>
      <c r="CD625" s="2">
        <f>Dashboard[[#This Row],[idp_cc_hh]]+Dashboard[[#This Row],[ref_cc_hh]]+Dashboard[[#This Row],[ret_cc_hh]]</f>
        <v>0</v>
      </c>
      <c r="CE625" s="2">
        <f>Dashboard[[#This Row],[idp_as_hh]]+Dashboard[[#This Row],[ref_as_hh]]+Dashboard[[#This Row],[ret_as_hh]]</f>
        <v>0</v>
      </c>
      <c r="CF625" s="2">
        <f>Dashboard[[#This Row],[idp_al_hh]]+Dashboard[[#This Row],[ref_al_hh]]+Dashboard[[#This Row],[ret_al_hh]]</f>
        <v>0</v>
      </c>
    </row>
    <row r="626" spans="1:84" hidden="1" x14ac:dyDescent="0.25">
      <c r="A626" s="27">
        <v>70</v>
      </c>
      <c r="B626" s="2" t="s">
        <v>22</v>
      </c>
      <c r="C626" s="2" t="s">
        <v>23</v>
      </c>
      <c r="D626" s="2" t="s">
        <v>37</v>
      </c>
      <c r="E626" s="2" t="s">
        <v>36</v>
      </c>
      <c r="F626" s="2" t="s">
        <v>244</v>
      </c>
      <c r="G626" s="2" t="s">
        <v>243</v>
      </c>
      <c r="H626" s="2" t="s">
        <v>1545</v>
      </c>
      <c r="I626" s="2" t="s">
        <v>649</v>
      </c>
      <c r="J626" s="2" t="s">
        <v>3548</v>
      </c>
      <c r="K626" s="2" t="s">
        <v>3549</v>
      </c>
      <c r="L626" s="2" t="s">
        <v>2074</v>
      </c>
      <c r="M626" s="2">
        <v>5000</v>
      </c>
      <c r="N626" s="2" t="s">
        <v>1660</v>
      </c>
      <c r="O626" s="2">
        <v>0</v>
      </c>
      <c r="P626" s="2">
        <v>0</v>
      </c>
      <c r="Q626" s="2" t="s">
        <v>32</v>
      </c>
      <c r="R626" s="2">
        <v>0</v>
      </c>
      <c r="S626" s="2" t="s">
        <v>32</v>
      </c>
      <c r="T626" s="2">
        <v>0</v>
      </c>
      <c r="U626" s="2" t="s">
        <v>32</v>
      </c>
      <c r="V626" s="2" t="s">
        <v>32</v>
      </c>
      <c r="W626" s="2" t="s">
        <v>32</v>
      </c>
      <c r="X626" s="2">
        <v>0</v>
      </c>
      <c r="Y626" s="2" t="s">
        <v>32</v>
      </c>
      <c r="Z626" s="2" t="s">
        <v>32</v>
      </c>
      <c r="AA626" s="2" t="s">
        <v>32</v>
      </c>
      <c r="AB626" s="2">
        <v>0</v>
      </c>
      <c r="AC626" s="2" t="s">
        <v>32</v>
      </c>
      <c r="AD626" s="2">
        <v>0</v>
      </c>
      <c r="AE626" s="2" t="s">
        <v>1658</v>
      </c>
      <c r="AF626" s="2">
        <v>15</v>
      </c>
      <c r="AG626" s="2">
        <v>100</v>
      </c>
      <c r="AH626" s="2" t="s">
        <v>1660</v>
      </c>
      <c r="AI626" s="2" t="s">
        <v>32</v>
      </c>
      <c r="AJ626" s="2" t="s">
        <v>32</v>
      </c>
      <c r="AK626" s="2" t="s">
        <v>32</v>
      </c>
      <c r="AL626" s="2" t="s">
        <v>1658</v>
      </c>
      <c r="AM626" s="2">
        <v>11</v>
      </c>
      <c r="AN626" s="2" t="s">
        <v>1658</v>
      </c>
      <c r="AO626" s="2">
        <v>4</v>
      </c>
      <c r="AP626" s="2" t="s">
        <v>1661</v>
      </c>
      <c r="AQ626" s="2" t="s">
        <v>32</v>
      </c>
      <c r="AR626" s="2" t="s">
        <v>1660</v>
      </c>
      <c r="AS626" s="2">
        <v>0</v>
      </c>
      <c r="AT626" s="2" t="s">
        <v>32</v>
      </c>
      <c r="AU626" s="2" t="s">
        <v>32</v>
      </c>
      <c r="AV626" s="2" t="s">
        <v>1660</v>
      </c>
      <c r="AW626" s="2">
        <v>0</v>
      </c>
      <c r="AX626" s="2" t="s">
        <v>1660</v>
      </c>
      <c r="AY626" s="2">
        <v>0</v>
      </c>
      <c r="AZ626" s="2" t="s">
        <v>1658</v>
      </c>
      <c r="BA626" s="2">
        <v>16</v>
      </c>
      <c r="BB626" s="2">
        <v>69</v>
      </c>
      <c r="BC626" s="2" t="s">
        <v>1658</v>
      </c>
      <c r="BD626" s="2">
        <v>16</v>
      </c>
      <c r="BE626" s="2" t="s">
        <v>1660</v>
      </c>
      <c r="BF626" s="2">
        <v>0</v>
      </c>
      <c r="BG626" s="2" t="s">
        <v>1660</v>
      </c>
      <c r="BH626" s="2">
        <v>0</v>
      </c>
      <c r="BI626" s="2" t="s">
        <v>32</v>
      </c>
      <c r="BJ626" s="2" t="s">
        <v>32</v>
      </c>
      <c r="BK626" s="2" t="s">
        <v>1660</v>
      </c>
      <c r="BL626" s="2">
        <v>0</v>
      </c>
      <c r="BM626" s="2" t="s">
        <v>32</v>
      </c>
      <c r="BN626" s="2" t="s">
        <v>32</v>
      </c>
      <c r="BO626" s="2" t="s">
        <v>1660</v>
      </c>
      <c r="BP626" s="2">
        <v>0</v>
      </c>
      <c r="BQ626" s="2" t="s">
        <v>1660</v>
      </c>
      <c r="BR626" s="2">
        <v>0</v>
      </c>
      <c r="BS626" s="2" t="s">
        <v>1660</v>
      </c>
      <c r="BT626" s="2">
        <v>0</v>
      </c>
      <c r="BU626" s="2">
        <v>0</v>
      </c>
      <c r="BV626" s="2" t="s">
        <v>1660</v>
      </c>
      <c r="BW626" s="2"/>
      <c r="BX626" s="2"/>
      <c r="BY626" s="2" t="s">
        <v>1807</v>
      </c>
      <c r="BZ626" s="2" t="b">
        <f>OR( (Dashboard[[#This Row],[ref_as_hh]]&gt;=1),(Dashboard[[#This Row],[ret_as_hh]] &gt;=1), (Dashboard[[#This Row],[idp_as_hh]]&gt;=1))</f>
        <v>0</v>
      </c>
      <c r="CA626" s="2">
        <f>Dashboard[[#This Row],[ret_hi_hh]]</f>
        <v>16</v>
      </c>
      <c r="CB626" s="2">
        <f>Dashboard[[#This Row],[idp_fa_hh]]+Dashboard[[#This Row],[ref_fa_hh]]+Dashboard[[#This Row],[ret_fa_hh]]</f>
        <v>11</v>
      </c>
      <c r="CC626" s="2">
        <f>Dashboard[[#This Row],[idp_loc_hh]]+Dashboard[[#This Row],[ref_loc_hh]]+Dashboard[[#This Row],[ret_loc_hh]]</f>
        <v>4</v>
      </c>
      <c r="CD626" s="2">
        <f>Dashboard[[#This Row],[idp_cc_hh]]+Dashboard[[#This Row],[ref_cc_hh]]+Dashboard[[#This Row],[ret_cc_hh]]</f>
        <v>0</v>
      </c>
      <c r="CE626" s="2">
        <f>Dashboard[[#This Row],[idp_as_hh]]+Dashboard[[#This Row],[ref_as_hh]]+Dashboard[[#This Row],[ret_as_hh]]</f>
        <v>0</v>
      </c>
      <c r="CF626" s="2">
        <f>Dashboard[[#This Row],[idp_al_hh]]+Dashboard[[#This Row],[ref_al_hh]]+Dashboard[[#This Row],[ret_al_hh]]</f>
        <v>0</v>
      </c>
    </row>
    <row r="627" spans="1:84" hidden="1" x14ac:dyDescent="0.25">
      <c r="A627" s="27">
        <v>87</v>
      </c>
      <c r="B627" s="2" t="s">
        <v>22</v>
      </c>
      <c r="C627" s="2" t="s">
        <v>23</v>
      </c>
      <c r="D627" s="2" t="s">
        <v>37</v>
      </c>
      <c r="E627" s="2" t="s">
        <v>36</v>
      </c>
      <c r="F627" s="2" t="s">
        <v>244</v>
      </c>
      <c r="G627" s="2" t="s">
        <v>243</v>
      </c>
      <c r="H627" s="2" t="s">
        <v>1543</v>
      </c>
      <c r="I627" s="2" t="s">
        <v>245</v>
      </c>
      <c r="J627" s="2" t="s">
        <v>3544</v>
      </c>
      <c r="K627" s="2" t="s">
        <v>3545</v>
      </c>
      <c r="L627" s="2" t="s">
        <v>2074</v>
      </c>
      <c r="M627" s="2">
        <v>12692</v>
      </c>
      <c r="N627" s="2" t="s">
        <v>1660</v>
      </c>
      <c r="O627" s="2">
        <v>0</v>
      </c>
      <c r="P627" s="2">
        <v>0</v>
      </c>
      <c r="Q627" s="2" t="s">
        <v>32</v>
      </c>
      <c r="R627" s="2">
        <v>0</v>
      </c>
      <c r="S627" s="2" t="s">
        <v>32</v>
      </c>
      <c r="T627" s="2">
        <v>0</v>
      </c>
      <c r="U627" s="2" t="s">
        <v>32</v>
      </c>
      <c r="V627" s="2" t="s">
        <v>32</v>
      </c>
      <c r="W627" s="2" t="s">
        <v>32</v>
      </c>
      <c r="X627" s="2">
        <v>0</v>
      </c>
      <c r="Y627" s="2" t="s">
        <v>32</v>
      </c>
      <c r="Z627" s="2" t="s">
        <v>32</v>
      </c>
      <c r="AA627" s="2" t="s">
        <v>32</v>
      </c>
      <c r="AB627" s="2">
        <v>0</v>
      </c>
      <c r="AC627" s="2" t="s">
        <v>32</v>
      </c>
      <c r="AD627" s="2">
        <v>0</v>
      </c>
      <c r="AE627" s="2" t="s">
        <v>1658</v>
      </c>
      <c r="AF627" s="2">
        <v>30</v>
      </c>
      <c r="AG627" s="2">
        <v>270</v>
      </c>
      <c r="AH627" s="2" t="s">
        <v>1660</v>
      </c>
      <c r="AI627" s="2" t="s">
        <v>32</v>
      </c>
      <c r="AJ627" s="2" t="s">
        <v>32</v>
      </c>
      <c r="AK627" s="2" t="s">
        <v>32</v>
      </c>
      <c r="AL627" s="2" t="s">
        <v>1658</v>
      </c>
      <c r="AM627" s="2">
        <v>28</v>
      </c>
      <c r="AN627" s="2" t="s">
        <v>1658</v>
      </c>
      <c r="AO627" s="2">
        <v>2</v>
      </c>
      <c r="AP627" s="2" t="s">
        <v>1661</v>
      </c>
      <c r="AQ627" s="2" t="s">
        <v>32</v>
      </c>
      <c r="AR627" s="2" t="s">
        <v>1660</v>
      </c>
      <c r="AS627" s="2">
        <v>0</v>
      </c>
      <c r="AT627" s="2" t="s">
        <v>32</v>
      </c>
      <c r="AU627" s="2" t="s">
        <v>32</v>
      </c>
      <c r="AV627" s="2" t="s">
        <v>1660</v>
      </c>
      <c r="AW627" s="2">
        <v>0</v>
      </c>
      <c r="AX627" s="2" t="s">
        <v>1660</v>
      </c>
      <c r="AY627" s="2">
        <v>0</v>
      </c>
      <c r="AZ627" s="2" t="s">
        <v>1658</v>
      </c>
      <c r="BA627" s="2">
        <v>50</v>
      </c>
      <c r="BB627" s="2">
        <v>300</v>
      </c>
      <c r="BC627" s="2" t="s">
        <v>1658</v>
      </c>
      <c r="BD627" s="2">
        <v>40</v>
      </c>
      <c r="BE627" s="2" t="s">
        <v>1658</v>
      </c>
      <c r="BF627" s="2">
        <v>10</v>
      </c>
      <c r="BG627" s="2" t="s">
        <v>1660</v>
      </c>
      <c r="BH627" s="2">
        <v>0</v>
      </c>
      <c r="BI627" s="2" t="s">
        <v>32</v>
      </c>
      <c r="BJ627" s="2" t="s">
        <v>32</v>
      </c>
      <c r="BK627" s="2" t="s">
        <v>1660</v>
      </c>
      <c r="BL627" s="2">
        <v>0</v>
      </c>
      <c r="BM627" s="2" t="s">
        <v>32</v>
      </c>
      <c r="BN627" s="2" t="s">
        <v>32</v>
      </c>
      <c r="BO627" s="2" t="s">
        <v>1660</v>
      </c>
      <c r="BP627" s="2">
        <v>0</v>
      </c>
      <c r="BQ627" s="2" t="s">
        <v>1660</v>
      </c>
      <c r="BR627" s="2">
        <v>0</v>
      </c>
      <c r="BS627" s="2" t="s">
        <v>1660</v>
      </c>
      <c r="BT627" s="2">
        <v>0</v>
      </c>
      <c r="BU627" s="2">
        <v>0</v>
      </c>
      <c r="BV627" s="2" t="s">
        <v>1660</v>
      </c>
      <c r="BW627" s="2"/>
      <c r="BX627" s="2"/>
      <c r="BY627" s="2" t="s">
        <v>1807</v>
      </c>
      <c r="BZ627" s="2" t="b">
        <f>OR( (Dashboard[[#This Row],[ref_as_hh]]&gt;=1),(Dashboard[[#This Row],[ret_as_hh]] &gt;=1), (Dashboard[[#This Row],[idp_as_hh]]&gt;=1))</f>
        <v>0</v>
      </c>
      <c r="CA627" s="2">
        <f>Dashboard[[#This Row],[ret_hi_hh]]</f>
        <v>40</v>
      </c>
      <c r="CB627" s="2">
        <f>Dashboard[[#This Row],[idp_fa_hh]]+Dashboard[[#This Row],[ref_fa_hh]]+Dashboard[[#This Row],[ret_fa_hh]]</f>
        <v>38</v>
      </c>
      <c r="CC627" s="2">
        <f>Dashboard[[#This Row],[idp_loc_hh]]+Dashboard[[#This Row],[ref_loc_hh]]+Dashboard[[#This Row],[ret_loc_hh]]</f>
        <v>2</v>
      </c>
      <c r="CD627" s="2">
        <f>Dashboard[[#This Row],[idp_cc_hh]]+Dashboard[[#This Row],[ref_cc_hh]]+Dashboard[[#This Row],[ret_cc_hh]]</f>
        <v>0</v>
      </c>
      <c r="CE627" s="2">
        <f>Dashboard[[#This Row],[idp_as_hh]]+Dashboard[[#This Row],[ref_as_hh]]+Dashboard[[#This Row],[ret_as_hh]]</f>
        <v>0</v>
      </c>
      <c r="CF627" s="2">
        <f>Dashboard[[#This Row],[idp_al_hh]]+Dashboard[[#This Row],[ref_al_hh]]+Dashboard[[#This Row],[ret_al_hh]]</f>
        <v>0</v>
      </c>
    </row>
    <row r="628" spans="1:84" hidden="1" x14ac:dyDescent="0.25">
      <c r="A628" s="27">
        <v>349</v>
      </c>
      <c r="B628" s="2" t="s">
        <v>22</v>
      </c>
      <c r="C628" s="2" t="s">
        <v>23</v>
      </c>
      <c r="D628" s="2" t="s">
        <v>37</v>
      </c>
      <c r="E628" s="2" t="s">
        <v>36</v>
      </c>
      <c r="F628" s="2" t="s">
        <v>244</v>
      </c>
      <c r="G628" s="2" t="s">
        <v>243</v>
      </c>
      <c r="H628" s="2" t="s">
        <v>1546</v>
      </c>
      <c r="I628" s="2" t="s">
        <v>650</v>
      </c>
      <c r="J628" s="2" t="s">
        <v>3550</v>
      </c>
      <c r="K628" s="2" t="s">
        <v>3551</v>
      </c>
      <c r="L628" s="2" t="s">
        <v>3693</v>
      </c>
      <c r="M628" s="2">
        <v>7888</v>
      </c>
      <c r="N628" s="2" t="s">
        <v>1660</v>
      </c>
      <c r="O628" s="2">
        <v>0</v>
      </c>
      <c r="P628" s="2">
        <v>0</v>
      </c>
      <c r="Q628" s="2" t="s">
        <v>32</v>
      </c>
      <c r="R628" s="2">
        <v>0</v>
      </c>
      <c r="S628" s="2" t="s">
        <v>32</v>
      </c>
      <c r="T628" s="2">
        <v>0</v>
      </c>
      <c r="U628" s="2" t="s">
        <v>32</v>
      </c>
      <c r="V628" s="2" t="s">
        <v>32</v>
      </c>
      <c r="W628" s="2" t="s">
        <v>32</v>
      </c>
      <c r="X628" s="2">
        <v>0</v>
      </c>
      <c r="Y628" s="2" t="s">
        <v>32</v>
      </c>
      <c r="Z628" s="2" t="s">
        <v>32</v>
      </c>
      <c r="AA628" s="2" t="s">
        <v>32</v>
      </c>
      <c r="AB628" s="2">
        <v>0</v>
      </c>
      <c r="AC628" s="2" t="s">
        <v>32</v>
      </c>
      <c r="AD628" s="2">
        <v>0</v>
      </c>
      <c r="AE628" s="2" t="s">
        <v>1658</v>
      </c>
      <c r="AF628" s="2">
        <v>22</v>
      </c>
      <c r="AG628" s="2">
        <v>103</v>
      </c>
      <c r="AH628" s="2" t="s">
        <v>1660</v>
      </c>
      <c r="AI628" s="2" t="s">
        <v>32</v>
      </c>
      <c r="AJ628" s="2" t="s">
        <v>32</v>
      </c>
      <c r="AK628" s="2" t="s">
        <v>32</v>
      </c>
      <c r="AL628" s="2" t="s">
        <v>1658</v>
      </c>
      <c r="AM628" s="2">
        <v>20</v>
      </c>
      <c r="AN628" s="2" t="s">
        <v>1658</v>
      </c>
      <c r="AO628" s="2">
        <v>2</v>
      </c>
      <c r="AP628" s="2" t="s">
        <v>1661</v>
      </c>
      <c r="AQ628" s="2" t="s">
        <v>32</v>
      </c>
      <c r="AR628" s="2" t="s">
        <v>1660</v>
      </c>
      <c r="AS628" s="2">
        <v>0</v>
      </c>
      <c r="AT628" s="2" t="s">
        <v>32</v>
      </c>
      <c r="AU628" s="2" t="s">
        <v>32</v>
      </c>
      <c r="AV628" s="2" t="s">
        <v>1660</v>
      </c>
      <c r="AW628" s="2">
        <v>0</v>
      </c>
      <c r="AX628" s="2" t="s">
        <v>1660</v>
      </c>
      <c r="AY628" s="2">
        <v>0</v>
      </c>
      <c r="AZ628" s="2" t="s">
        <v>1658</v>
      </c>
      <c r="BA628" s="2">
        <v>17</v>
      </c>
      <c r="BB628" s="2">
        <v>80</v>
      </c>
      <c r="BC628" s="2" t="s">
        <v>1658</v>
      </c>
      <c r="BD628" s="2">
        <v>17</v>
      </c>
      <c r="BE628" s="2" t="s">
        <v>1660</v>
      </c>
      <c r="BF628" s="2">
        <v>0</v>
      </c>
      <c r="BG628" s="2" t="s">
        <v>1660</v>
      </c>
      <c r="BH628" s="2">
        <v>0</v>
      </c>
      <c r="BI628" s="2" t="s">
        <v>32</v>
      </c>
      <c r="BJ628" s="2" t="s">
        <v>32</v>
      </c>
      <c r="BK628" s="2" t="s">
        <v>1660</v>
      </c>
      <c r="BL628" s="2">
        <v>0</v>
      </c>
      <c r="BM628" s="2" t="s">
        <v>32</v>
      </c>
      <c r="BN628" s="2" t="s">
        <v>32</v>
      </c>
      <c r="BO628" s="2" t="s">
        <v>1660</v>
      </c>
      <c r="BP628" s="2">
        <v>0</v>
      </c>
      <c r="BQ628" s="2" t="s">
        <v>1660</v>
      </c>
      <c r="BR628" s="2">
        <v>0</v>
      </c>
      <c r="BS628" s="2" t="s">
        <v>1660</v>
      </c>
      <c r="BT628" s="2">
        <v>0</v>
      </c>
      <c r="BU628" s="2">
        <v>0</v>
      </c>
      <c r="BV628" s="2" t="s">
        <v>1660</v>
      </c>
      <c r="BW628" s="2"/>
      <c r="BX628" s="2"/>
      <c r="BY628" s="2" t="s">
        <v>1807</v>
      </c>
      <c r="BZ628" s="2" t="b">
        <f>OR( (Dashboard[[#This Row],[ref_as_hh]]&gt;=1),(Dashboard[[#This Row],[ret_as_hh]] &gt;=1), (Dashboard[[#This Row],[idp_as_hh]]&gt;=1))</f>
        <v>0</v>
      </c>
      <c r="CA628" s="2">
        <f>Dashboard[[#This Row],[ret_hi_hh]]</f>
        <v>17</v>
      </c>
      <c r="CB628" s="2">
        <f>Dashboard[[#This Row],[idp_fa_hh]]+Dashboard[[#This Row],[ref_fa_hh]]+Dashboard[[#This Row],[ret_fa_hh]]</f>
        <v>20</v>
      </c>
      <c r="CC628" s="2">
        <f>Dashboard[[#This Row],[idp_loc_hh]]+Dashboard[[#This Row],[ref_loc_hh]]+Dashboard[[#This Row],[ret_loc_hh]]</f>
        <v>2</v>
      </c>
      <c r="CD628" s="2">
        <f>Dashboard[[#This Row],[idp_cc_hh]]+Dashboard[[#This Row],[ref_cc_hh]]+Dashboard[[#This Row],[ret_cc_hh]]</f>
        <v>0</v>
      </c>
      <c r="CE628" s="2">
        <f>Dashboard[[#This Row],[idp_as_hh]]+Dashboard[[#This Row],[ref_as_hh]]+Dashboard[[#This Row],[ret_as_hh]]</f>
        <v>0</v>
      </c>
      <c r="CF628" s="2">
        <f>Dashboard[[#This Row],[idp_al_hh]]+Dashboard[[#This Row],[ref_al_hh]]+Dashboard[[#This Row],[ret_al_hh]]</f>
        <v>0</v>
      </c>
    </row>
    <row r="629" spans="1:84" hidden="1" x14ac:dyDescent="0.25">
      <c r="A629" s="27">
        <v>350</v>
      </c>
      <c r="B629" s="2" t="s">
        <v>22</v>
      </c>
      <c r="C629" s="2" t="s">
        <v>23</v>
      </c>
      <c r="D629" s="2" t="s">
        <v>37</v>
      </c>
      <c r="E629" s="2" t="s">
        <v>36</v>
      </c>
      <c r="F629" s="2" t="s">
        <v>244</v>
      </c>
      <c r="G629" s="2" t="s">
        <v>243</v>
      </c>
      <c r="H629" s="2" t="s">
        <v>1538</v>
      </c>
      <c r="I629" s="2" t="s">
        <v>645</v>
      </c>
      <c r="J629" s="2" t="s">
        <v>3536</v>
      </c>
      <c r="K629" s="2" t="s">
        <v>3537</v>
      </c>
      <c r="L629" s="2" t="s">
        <v>2074</v>
      </c>
      <c r="M629" s="2">
        <v>8000</v>
      </c>
      <c r="N629" s="2" t="s">
        <v>1660</v>
      </c>
      <c r="O629" s="2">
        <v>0</v>
      </c>
      <c r="P629" s="2">
        <v>0</v>
      </c>
      <c r="Q629" s="2" t="s">
        <v>32</v>
      </c>
      <c r="R629" s="2">
        <v>0</v>
      </c>
      <c r="S629" s="2" t="s">
        <v>32</v>
      </c>
      <c r="T629" s="2">
        <v>0</v>
      </c>
      <c r="U629" s="2" t="s">
        <v>32</v>
      </c>
      <c r="V629" s="2" t="s">
        <v>32</v>
      </c>
      <c r="W629" s="2" t="s">
        <v>32</v>
      </c>
      <c r="X629" s="2">
        <v>0</v>
      </c>
      <c r="Y629" s="2" t="s">
        <v>32</v>
      </c>
      <c r="Z629" s="2" t="s">
        <v>32</v>
      </c>
      <c r="AA629" s="2" t="s">
        <v>32</v>
      </c>
      <c r="AB629" s="2">
        <v>0</v>
      </c>
      <c r="AC629" s="2" t="s">
        <v>32</v>
      </c>
      <c r="AD629" s="2">
        <v>0</v>
      </c>
      <c r="AE629" s="2" t="s">
        <v>1658</v>
      </c>
      <c r="AF629" s="2">
        <v>30</v>
      </c>
      <c r="AG629" s="2">
        <v>152</v>
      </c>
      <c r="AH629" s="2" t="s">
        <v>1660</v>
      </c>
      <c r="AI629" s="2" t="s">
        <v>32</v>
      </c>
      <c r="AJ629" s="2" t="s">
        <v>32</v>
      </c>
      <c r="AK629" s="2" t="s">
        <v>32</v>
      </c>
      <c r="AL629" s="2" t="s">
        <v>1658</v>
      </c>
      <c r="AM629" s="2">
        <v>26</v>
      </c>
      <c r="AN629" s="2" t="s">
        <v>1658</v>
      </c>
      <c r="AO629" s="2">
        <v>4</v>
      </c>
      <c r="AP629" s="2" t="s">
        <v>1661</v>
      </c>
      <c r="AQ629" s="2" t="s">
        <v>32</v>
      </c>
      <c r="AR629" s="2" t="s">
        <v>1660</v>
      </c>
      <c r="AS629" s="2">
        <v>0</v>
      </c>
      <c r="AT629" s="2" t="s">
        <v>32</v>
      </c>
      <c r="AU629" s="2" t="s">
        <v>32</v>
      </c>
      <c r="AV629" s="2" t="s">
        <v>1660</v>
      </c>
      <c r="AW629" s="2">
        <v>0</v>
      </c>
      <c r="AX629" s="2" t="s">
        <v>1660</v>
      </c>
      <c r="AY629" s="2">
        <v>0</v>
      </c>
      <c r="AZ629" s="2" t="s">
        <v>1658</v>
      </c>
      <c r="BA629" s="2">
        <v>13</v>
      </c>
      <c r="BB629" s="2">
        <v>73</v>
      </c>
      <c r="BC629" s="2" t="s">
        <v>1658</v>
      </c>
      <c r="BD629" s="2">
        <v>13</v>
      </c>
      <c r="BE629" s="2" t="s">
        <v>1660</v>
      </c>
      <c r="BF629" s="2">
        <v>0</v>
      </c>
      <c r="BG629" s="2" t="s">
        <v>1660</v>
      </c>
      <c r="BH629" s="2">
        <v>0</v>
      </c>
      <c r="BI629" s="2" t="s">
        <v>32</v>
      </c>
      <c r="BJ629" s="2" t="s">
        <v>32</v>
      </c>
      <c r="BK629" s="2" t="s">
        <v>1660</v>
      </c>
      <c r="BL629" s="2">
        <v>0</v>
      </c>
      <c r="BM629" s="2" t="s">
        <v>32</v>
      </c>
      <c r="BN629" s="2" t="s">
        <v>32</v>
      </c>
      <c r="BO629" s="2" t="s">
        <v>1660</v>
      </c>
      <c r="BP629" s="2">
        <v>0</v>
      </c>
      <c r="BQ629" s="2" t="s">
        <v>1660</v>
      </c>
      <c r="BR629" s="2">
        <v>0</v>
      </c>
      <c r="BS629" s="2" t="s">
        <v>1660</v>
      </c>
      <c r="BT629" s="2">
        <v>0</v>
      </c>
      <c r="BU629" s="2">
        <v>0</v>
      </c>
      <c r="BV629" s="2" t="s">
        <v>1660</v>
      </c>
      <c r="BW629" s="2"/>
      <c r="BX629" s="2"/>
      <c r="BY629" s="2" t="s">
        <v>1807</v>
      </c>
      <c r="BZ629" s="2" t="b">
        <f>OR( (Dashboard[[#This Row],[ref_as_hh]]&gt;=1),(Dashboard[[#This Row],[ret_as_hh]] &gt;=1), (Dashboard[[#This Row],[idp_as_hh]]&gt;=1))</f>
        <v>0</v>
      </c>
      <c r="CA629" s="2">
        <f>Dashboard[[#This Row],[ret_hi_hh]]</f>
        <v>13</v>
      </c>
      <c r="CB629" s="2">
        <f>Dashboard[[#This Row],[idp_fa_hh]]+Dashboard[[#This Row],[ref_fa_hh]]+Dashboard[[#This Row],[ret_fa_hh]]</f>
        <v>26</v>
      </c>
      <c r="CC629" s="2">
        <f>Dashboard[[#This Row],[idp_loc_hh]]+Dashboard[[#This Row],[ref_loc_hh]]+Dashboard[[#This Row],[ret_loc_hh]]</f>
        <v>4</v>
      </c>
      <c r="CD629" s="2">
        <f>Dashboard[[#This Row],[idp_cc_hh]]+Dashboard[[#This Row],[ref_cc_hh]]+Dashboard[[#This Row],[ret_cc_hh]]</f>
        <v>0</v>
      </c>
      <c r="CE629" s="2">
        <f>Dashboard[[#This Row],[idp_as_hh]]+Dashboard[[#This Row],[ref_as_hh]]+Dashboard[[#This Row],[ret_as_hh]]</f>
        <v>0</v>
      </c>
      <c r="CF629" s="2">
        <f>Dashboard[[#This Row],[idp_al_hh]]+Dashboard[[#This Row],[ref_al_hh]]+Dashboard[[#This Row],[ret_al_hh]]</f>
        <v>0</v>
      </c>
    </row>
    <row r="630" spans="1:84" hidden="1" x14ac:dyDescent="0.25">
      <c r="A630" s="27">
        <v>613</v>
      </c>
      <c r="B630" s="2" t="s">
        <v>22</v>
      </c>
      <c r="C630" s="2" t="s">
        <v>23</v>
      </c>
      <c r="D630" s="2" t="s">
        <v>37</v>
      </c>
      <c r="E630" s="2" t="s">
        <v>36</v>
      </c>
      <c r="F630" s="2" t="s">
        <v>244</v>
      </c>
      <c r="G630" s="2" t="s">
        <v>243</v>
      </c>
      <c r="H630" s="2" t="s">
        <v>1547</v>
      </c>
      <c r="I630" s="2" t="s">
        <v>651</v>
      </c>
      <c r="J630" s="2" t="s">
        <v>3552</v>
      </c>
      <c r="K630" s="2" t="s">
        <v>3553</v>
      </c>
      <c r="L630" s="2" t="s">
        <v>2074</v>
      </c>
      <c r="M630" s="2">
        <v>9547</v>
      </c>
      <c r="N630" s="2" t="s">
        <v>1660</v>
      </c>
      <c r="O630" s="2">
        <v>0</v>
      </c>
      <c r="P630" s="2">
        <v>0</v>
      </c>
      <c r="Q630" s="2" t="s">
        <v>32</v>
      </c>
      <c r="R630" s="2">
        <v>0</v>
      </c>
      <c r="S630" s="2" t="s">
        <v>32</v>
      </c>
      <c r="T630" s="2">
        <v>0</v>
      </c>
      <c r="U630" s="2" t="s">
        <v>32</v>
      </c>
      <c r="V630" s="2" t="s">
        <v>32</v>
      </c>
      <c r="W630" s="2" t="s">
        <v>32</v>
      </c>
      <c r="X630" s="2">
        <v>0</v>
      </c>
      <c r="Y630" s="2" t="s">
        <v>32</v>
      </c>
      <c r="Z630" s="2" t="s">
        <v>32</v>
      </c>
      <c r="AA630" s="2" t="s">
        <v>32</v>
      </c>
      <c r="AB630" s="2">
        <v>0</v>
      </c>
      <c r="AC630" s="2" t="s">
        <v>32</v>
      </c>
      <c r="AD630" s="2">
        <v>0</v>
      </c>
      <c r="AE630" s="2" t="s">
        <v>1658</v>
      </c>
      <c r="AF630" s="2">
        <v>30</v>
      </c>
      <c r="AG630" s="2">
        <v>87</v>
      </c>
      <c r="AH630" s="2" t="s">
        <v>1660</v>
      </c>
      <c r="AI630" s="2" t="s">
        <v>32</v>
      </c>
      <c r="AJ630" s="2" t="s">
        <v>32</v>
      </c>
      <c r="AK630" s="2" t="s">
        <v>32</v>
      </c>
      <c r="AL630" s="2" t="s">
        <v>1658</v>
      </c>
      <c r="AM630" s="2">
        <v>24</v>
      </c>
      <c r="AN630" s="2" t="s">
        <v>1658</v>
      </c>
      <c r="AO630" s="2">
        <v>6</v>
      </c>
      <c r="AP630" s="2" t="s">
        <v>1659</v>
      </c>
      <c r="AQ630" s="2" t="s">
        <v>32</v>
      </c>
      <c r="AR630" s="2" t="s">
        <v>1660</v>
      </c>
      <c r="AS630" s="2">
        <v>0</v>
      </c>
      <c r="AT630" s="2" t="s">
        <v>32</v>
      </c>
      <c r="AU630" s="2" t="s">
        <v>32</v>
      </c>
      <c r="AV630" s="2" t="s">
        <v>1660</v>
      </c>
      <c r="AW630" s="2">
        <v>0</v>
      </c>
      <c r="AX630" s="2" t="s">
        <v>1660</v>
      </c>
      <c r="AY630" s="2">
        <v>0</v>
      </c>
      <c r="AZ630" s="2" t="s">
        <v>1658</v>
      </c>
      <c r="BA630" s="2">
        <v>52</v>
      </c>
      <c r="BB630" s="2">
        <v>170</v>
      </c>
      <c r="BC630" s="2" t="s">
        <v>1658</v>
      </c>
      <c r="BD630" s="2">
        <v>48</v>
      </c>
      <c r="BE630" s="2" t="s">
        <v>1658</v>
      </c>
      <c r="BF630" s="2">
        <v>4</v>
      </c>
      <c r="BG630" s="2" t="s">
        <v>1660</v>
      </c>
      <c r="BH630" s="2">
        <v>0</v>
      </c>
      <c r="BI630" s="2" t="s">
        <v>32</v>
      </c>
      <c r="BJ630" s="2" t="s">
        <v>32</v>
      </c>
      <c r="BK630" s="2" t="s">
        <v>1660</v>
      </c>
      <c r="BL630" s="2">
        <v>0</v>
      </c>
      <c r="BM630" s="2" t="s">
        <v>32</v>
      </c>
      <c r="BN630" s="2" t="s">
        <v>32</v>
      </c>
      <c r="BO630" s="2" t="s">
        <v>1660</v>
      </c>
      <c r="BP630" s="2">
        <v>0</v>
      </c>
      <c r="BQ630" s="2" t="s">
        <v>1660</v>
      </c>
      <c r="BR630" s="2">
        <v>0</v>
      </c>
      <c r="BS630" s="2" t="s">
        <v>1660</v>
      </c>
      <c r="BT630" s="2">
        <v>0</v>
      </c>
      <c r="BU630" s="2">
        <v>0</v>
      </c>
      <c r="BV630" s="2" t="s">
        <v>1660</v>
      </c>
      <c r="BW630" s="2"/>
      <c r="BX630" s="2"/>
      <c r="BY630" s="2" t="s">
        <v>1807</v>
      </c>
      <c r="BZ630" s="2" t="b">
        <f>OR( (Dashboard[[#This Row],[ref_as_hh]]&gt;=1),(Dashboard[[#This Row],[ret_as_hh]] &gt;=1), (Dashboard[[#This Row],[idp_as_hh]]&gt;=1))</f>
        <v>0</v>
      </c>
      <c r="CA630" s="2">
        <f>Dashboard[[#This Row],[ret_hi_hh]]</f>
        <v>48</v>
      </c>
      <c r="CB630" s="2">
        <f>Dashboard[[#This Row],[idp_fa_hh]]+Dashboard[[#This Row],[ref_fa_hh]]+Dashboard[[#This Row],[ret_fa_hh]]</f>
        <v>28</v>
      </c>
      <c r="CC630" s="2">
        <f>Dashboard[[#This Row],[idp_loc_hh]]+Dashboard[[#This Row],[ref_loc_hh]]+Dashboard[[#This Row],[ret_loc_hh]]</f>
        <v>6</v>
      </c>
      <c r="CD630" s="2">
        <f>Dashboard[[#This Row],[idp_cc_hh]]+Dashboard[[#This Row],[ref_cc_hh]]+Dashboard[[#This Row],[ret_cc_hh]]</f>
        <v>0</v>
      </c>
      <c r="CE630" s="2">
        <f>Dashboard[[#This Row],[idp_as_hh]]+Dashboard[[#This Row],[ref_as_hh]]+Dashboard[[#This Row],[ret_as_hh]]</f>
        <v>0</v>
      </c>
      <c r="CF630" s="2">
        <f>Dashboard[[#This Row],[idp_al_hh]]+Dashboard[[#This Row],[ref_al_hh]]+Dashboard[[#This Row],[ret_al_hh]]</f>
        <v>0</v>
      </c>
    </row>
    <row r="631" spans="1:84" hidden="1" x14ac:dyDescent="0.25">
      <c r="A631" s="27">
        <v>637</v>
      </c>
      <c r="B631" s="2" t="s">
        <v>22</v>
      </c>
      <c r="C631" s="2" t="s">
        <v>23</v>
      </c>
      <c r="D631" s="2" t="s">
        <v>37</v>
      </c>
      <c r="E631" s="2" t="s">
        <v>36</v>
      </c>
      <c r="F631" s="2" t="s">
        <v>244</v>
      </c>
      <c r="G631" s="2" t="s">
        <v>243</v>
      </c>
      <c r="H631" s="2" t="s">
        <v>1548</v>
      </c>
      <c r="I631" s="2" t="s">
        <v>652</v>
      </c>
      <c r="J631" s="2" t="s">
        <v>3554</v>
      </c>
      <c r="K631" s="2" t="s">
        <v>3555</v>
      </c>
      <c r="L631" s="2" t="s">
        <v>2074</v>
      </c>
      <c r="M631" s="2">
        <v>11500</v>
      </c>
      <c r="N631" s="2" t="s">
        <v>1660</v>
      </c>
      <c r="O631" s="2">
        <v>0</v>
      </c>
      <c r="P631" s="2">
        <v>0</v>
      </c>
      <c r="Q631" s="2" t="s">
        <v>32</v>
      </c>
      <c r="R631" s="2">
        <v>0</v>
      </c>
      <c r="S631" s="2" t="s">
        <v>32</v>
      </c>
      <c r="T631" s="2">
        <v>0</v>
      </c>
      <c r="U631" s="2" t="s">
        <v>32</v>
      </c>
      <c r="V631" s="2" t="s">
        <v>32</v>
      </c>
      <c r="W631" s="2" t="s">
        <v>32</v>
      </c>
      <c r="X631" s="2">
        <v>0</v>
      </c>
      <c r="Y631" s="2" t="s">
        <v>32</v>
      </c>
      <c r="Z631" s="2" t="s">
        <v>32</v>
      </c>
      <c r="AA631" s="2" t="s">
        <v>32</v>
      </c>
      <c r="AB631" s="2">
        <v>0</v>
      </c>
      <c r="AC631" s="2" t="s">
        <v>32</v>
      </c>
      <c r="AD631" s="2">
        <v>0</v>
      </c>
      <c r="AE631" s="2" t="s">
        <v>1658</v>
      </c>
      <c r="AF631" s="2">
        <v>30</v>
      </c>
      <c r="AG631" s="2">
        <v>161</v>
      </c>
      <c r="AH631" s="2" t="s">
        <v>1660</v>
      </c>
      <c r="AI631" s="2" t="s">
        <v>32</v>
      </c>
      <c r="AJ631" s="2" t="s">
        <v>32</v>
      </c>
      <c r="AK631" s="2" t="s">
        <v>32</v>
      </c>
      <c r="AL631" s="2" t="s">
        <v>1658</v>
      </c>
      <c r="AM631" s="2">
        <v>30</v>
      </c>
      <c r="AN631" s="2" t="s">
        <v>1660</v>
      </c>
      <c r="AO631" s="2">
        <v>0</v>
      </c>
      <c r="AP631" s="2" t="s">
        <v>32</v>
      </c>
      <c r="AQ631" s="2" t="s">
        <v>32</v>
      </c>
      <c r="AR631" s="2" t="s">
        <v>1660</v>
      </c>
      <c r="AS631" s="2">
        <v>0</v>
      </c>
      <c r="AT631" s="2" t="s">
        <v>32</v>
      </c>
      <c r="AU631" s="2" t="s">
        <v>32</v>
      </c>
      <c r="AV631" s="2" t="s">
        <v>1660</v>
      </c>
      <c r="AW631" s="2">
        <v>0</v>
      </c>
      <c r="AX631" s="2" t="s">
        <v>1660</v>
      </c>
      <c r="AY631" s="2">
        <v>0</v>
      </c>
      <c r="AZ631" s="2" t="s">
        <v>1658</v>
      </c>
      <c r="BA631" s="2">
        <v>50</v>
      </c>
      <c r="BB631" s="2">
        <v>150</v>
      </c>
      <c r="BC631" s="2" t="s">
        <v>1658</v>
      </c>
      <c r="BD631" s="2">
        <v>47</v>
      </c>
      <c r="BE631" s="2" t="s">
        <v>1658</v>
      </c>
      <c r="BF631" s="2">
        <v>3</v>
      </c>
      <c r="BG631" s="2" t="s">
        <v>1660</v>
      </c>
      <c r="BH631" s="2">
        <v>0</v>
      </c>
      <c r="BI631" s="2" t="s">
        <v>32</v>
      </c>
      <c r="BJ631" s="2" t="s">
        <v>32</v>
      </c>
      <c r="BK631" s="2" t="s">
        <v>1660</v>
      </c>
      <c r="BL631" s="2">
        <v>0</v>
      </c>
      <c r="BM631" s="2" t="s">
        <v>32</v>
      </c>
      <c r="BN631" s="2" t="s">
        <v>32</v>
      </c>
      <c r="BO631" s="2" t="s">
        <v>1660</v>
      </c>
      <c r="BP631" s="2">
        <v>0</v>
      </c>
      <c r="BQ631" s="2" t="s">
        <v>1660</v>
      </c>
      <c r="BR631" s="2">
        <v>0</v>
      </c>
      <c r="BS631" s="2" t="s">
        <v>1660</v>
      </c>
      <c r="BT631" s="2">
        <v>0</v>
      </c>
      <c r="BU631" s="2">
        <v>0</v>
      </c>
      <c r="BV631" s="2" t="s">
        <v>1660</v>
      </c>
      <c r="BW631" s="2"/>
      <c r="BX631" s="2"/>
      <c r="BY631" s="2" t="s">
        <v>1807</v>
      </c>
      <c r="BZ631" s="2" t="b">
        <f>OR( (Dashboard[[#This Row],[ref_as_hh]]&gt;=1),(Dashboard[[#This Row],[ret_as_hh]] &gt;=1), (Dashboard[[#This Row],[idp_as_hh]]&gt;=1))</f>
        <v>0</v>
      </c>
      <c r="CA631" s="2">
        <f>Dashboard[[#This Row],[ret_hi_hh]]</f>
        <v>47</v>
      </c>
      <c r="CB631" s="2">
        <f>Dashboard[[#This Row],[idp_fa_hh]]+Dashboard[[#This Row],[ref_fa_hh]]+Dashboard[[#This Row],[ret_fa_hh]]</f>
        <v>33</v>
      </c>
      <c r="CC631" s="2">
        <f>Dashboard[[#This Row],[idp_loc_hh]]+Dashboard[[#This Row],[ref_loc_hh]]+Dashboard[[#This Row],[ret_loc_hh]]</f>
        <v>0</v>
      </c>
      <c r="CD631" s="2">
        <f>Dashboard[[#This Row],[idp_cc_hh]]+Dashboard[[#This Row],[ref_cc_hh]]+Dashboard[[#This Row],[ret_cc_hh]]</f>
        <v>0</v>
      </c>
      <c r="CE631" s="2">
        <f>Dashboard[[#This Row],[idp_as_hh]]+Dashboard[[#This Row],[ref_as_hh]]+Dashboard[[#This Row],[ret_as_hh]]</f>
        <v>0</v>
      </c>
      <c r="CF631" s="2">
        <f>Dashboard[[#This Row],[idp_al_hh]]+Dashboard[[#This Row],[ref_al_hh]]+Dashboard[[#This Row],[ret_al_hh]]</f>
        <v>0</v>
      </c>
    </row>
    <row r="632" spans="1:84" hidden="1" x14ac:dyDescent="0.25">
      <c r="A632" s="27">
        <v>664</v>
      </c>
      <c r="B632" s="2" t="s">
        <v>22</v>
      </c>
      <c r="C632" s="2" t="s">
        <v>23</v>
      </c>
      <c r="D632" s="2" t="s">
        <v>37</v>
      </c>
      <c r="E632" s="2" t="s">
        <v>36</v>
      </c>
      <c r="F632" s="2" t="s">
        <v>244</v>
      </c>
      <c r="G632" s="2" t="s">
        <v>243</v>
      </c>
      <c r="H632" s="2" t="s">
        <v>1542</v>
      </c>
      <c r="I632" s="2" t="s">
        <v>647</v>
      </c>
      <c r="J632" s="2" t="s">
        <v>3542</v>
      </c>
      <c r="K632" s="2" t="s">
        <v>3543</v>
      </c>
      <c r="L632" s="2" t="s">
        <v>2074</v>
      </c>
      <c r="M632" s="2">
        <v>3950</v>
      </c>
      <c r="N632" s="2" t="s">
        <v>1660</v>
      </c>
      <c r="O632" s="2">
        <v>0</v>
      </c>
      <c r="P632" s="2">
        <v>0</v>
      </c>
      <c r="Q632" s="2" t="s">
        <v>32</v>
      </c>
      <c r="R632" s="2">
        <v>0</v>
      </c>
      <c r="S632" s="2" t="s">
        <v>32</v>
      </c>
      <c r="T632" s="2">
        <v>0</v>
      </c>
      <c r="U632" s="2" t="s">
        <v>32</v>
      </c>
      <c r="V632" s="2" t="s">
        <v>32</v>
      </c>
      <c r="W632" s="2" t="s">
        <v>32</v>
      </c>
      <c r="X632" s="2">
        <v>0</v>
      </c>
      <c r="Y632" s="2" t="s">
        <v>32</v>
      </c>
      <c r="Z632" s="2" t="s">
        <v>32</v>
      </c>
      <c r="AA632" s="2" t="s">
        <v>32</v>
      </c>
      <c r="AB632" s="2">
        <v>0</v>
      </c>
      <c r="AC632" s="2" t="s">
        <v>32</v>
      </c>
      <c r="AD632" s="2">
        <v>0</v>
      </c>
      <c r="AE632" s="2" t="s">
        <v>1658</v>
      </c>
      <c r="AF632" s="2">
        <v>9</v>
      </c>
      <c r="AG632" s="2">
        <v>46</v>
      </c>
      <c r="AH632" s="2" t="s">
        <v>1660</v>
      </c>
      <c r="AI632" s="2" t="s">
        <v>32</v>
      </c>
      <c r="AJ632" s="2" t="s">
        <v>32</v>
      </c>
      <c r="AK632" s="2" t="s">
        <v>32</v>
      </c>
      <c r="AL632" s="2" t="s">
        <v>1658</v>
      </c>
      <c r="AM632" s="2">
        <v>9</v>
      </c>
      <c r="AN632" s="2" t="s">
        <v>1660</v>
      </c>
      <c r="AO632" s="2">
        <v>0</v>
      </c>
      <c r="AP632" s="2" t="s">
        <v>32</v>
      </c>
      <c r="AQ632" s="2" t="s">
        <v>32</v>
      </c>
      <c r="AR632" s="2" t="s">
        <v>1660</v>
      </c>
      <c r="AS632" s="2">
        <v>0</v>
      </c>
      <c r="AT632" s="2" t="s">
        <v>32</v>
      </c>
      <c r="AU632" s="2" t="s">
        <v>32</v>
      </c>
      <c r="AV632" s="2" t="s">
        <v>1660</v>
      </c>
      <c r="AW632" s="2">
        <v>0</v>
      </c>
      <c r="AX632" s="2" t="s">
        <v>1660</v>
      </c>
      <c r="AY632" s="2">
        <v>0</v>
      </c>
      <c r="AZ632" s="2" t="s">
        <v>1660</v>
      </c>
      <c r="BA632" s="2">
        <v>0</v>
      </c>
      <c r="BB632" s="2">
        <v>0</v>
      </c>
      <c r="BC632" s="2" t="s">
        <v>32</v>
      </c>
      <c r="BD632" s="2">
        <v>0</v>
      </c>
      <c r="BE632" s="2" t="s">
        <v>32</v>
      </c>
      <c r="BF632" s="2">
        <v>0</v>
      </c>
      <c r="BG632" s="2" t="s">
        <v>32</v>
      </c>
      <c r="BH632" s="2">
        <v>0</v>
      </c>
      <c r="BI632" s="2" t="s">
        <v>32</v>
      </c>
      <c r="BJ632" s="2" t="s">
        <v>32</v>
      </c>
      <c r="BK632" s="2" t="s">
        <v>32</v>
      </c>
      <c r="BL632" s="2">
        <v>0</v>
      </c>
      <c r="BM632" s="2" t="s">
        <v>32</v>
      </c>
      <c r="BN632" s="2" t="s">
        <v>32</v>
      </c>
      <c r="BO632" s="2" t="s">
        <v>32</v>
      </c>
      <c r="BP632" s="2">
        <v>0</v>
      </c>
      <c r="BQ632" s="2" t="s">
        <v>32</v>
      </c>
      <c r="BR632" s="2">
        <v>0</v>
      </c>
      <c r="BS632" s="2" t="s">
        <v>1660</v>
      </c>
      <c r="BT632" s="2">
        <v>0</v>
      </c>
      <c r="BU632" s="2">
        <v>0</v>
      </c>
      <c r="BV632" s="2" t="s">
        <v>1660</v>
      </c>
      <c r="BW632" s="2"/>
      <c r="BX632" s="2"/>
      <c r="BY632" s="2" t="s">
        <v>1807</v>
      </c>
      <c r="BZ632" s="2" t="b">
        <f>OR( (Dashboard[[#This Row],[ref_as_hh]]&gt;=1),(Dashboard[[#This Row],[ret_as_hh]] &gt;=1), (Dashboard[[#This Row],[idp_as_hh]]&gt;=1))</f>
        <v>0</v>
      </c>
      <c r="CA632" s="2">
        <f>Dashboard[[#This Row],[ret_hi_hh]]</f>
        <v>0</v>
      </c>
      <c r="CB632" s="2">
        <f>Dashboard[[#This Row],[idp_fa_hh]]+Dashboard[[#This Row],[ref_fa_hh]]+Dashboard[[#This Row],[ret_fa_hh]]</f>
        <v>9</v>
      </c>
      <c r="CC632" s="2">
        <f>Dashboard[[#This Row],[idp_loc_hh]]+Dashboard[[#This Row],[ref_loc_hh]]+Dashboard[[#This Row],[ret_loc_hh]]</f>
        <v>0</v>
      </c>
      <c r="CD632" s="2">
        <f>Dashboard[[#This Row],[idp_cc_hh]]+Dashboard[[#This Row],[ref_cc_hh]]+Dashboard[[#This Row],[ret_cc_hh]]</f>
        <v>0</v>
      </c>
      <c r="CE632" s="2">
        <f>Dashboard[[#This Row],[idp_as_hh]]+Dashboard[[#This Row],[ref_as_hh]]+Dashboard[[#This Row],[ret_as_hh]]</f>
        <v>0</v>
      </c>
      <c r="CF632" s="2">
        <f>Dashboard[[#This Row],[idp_al_hh]]+Dashboard[[#This Row],[ref_al_hh]]+Dashboard[[#This Row],[ret_al_hh]]</f>
        <v>0</v>
      </c>
    </row>
    <row r="633" spans="1:84" hidden="1" x14ac:dyDescent="0.25">
      <c r="A633" s="27">
        <v>699</v>
      </c>
      <c r="B633" s="2" t="s">
        <v>22</v>
      </c>
      <c r="C633" s="2" t="s">
        <v>23</v>
      </c>
      <c r="D633" s="2" t="s">
        <v>37</v>
      </c>
      <c r="E633" s="2" t="s">
        <v>36</v>
      </c>
      <c r="F633" s="2" t="s">
        <v>244</v>
      </c>
      <c r="G633" s="2" t="s">
        <v>243</v>
      </c>
      <c r="H633" s="2" t="s">
        <v>2042</v>
      </c>
      <c r="I633" s="2" t="s">
        <v>2043</v>
      </c>
      <c r="J633" s="2" t="s">
        <v>3540</v>
      </c>
      <c r="K633" s="2" t="s">
        <v>3541</v>
      </c>
      <c r="L633" s="2" t="s">
        <v>2074</v>
      </c>
      <c r="M633" s="2">
        <v>5000</v>
      </c>
      <c r="N633" s="2" t="s">
        <v>1660</v>
      </c>
      <c r="O633" s="2">
        <v>0</v>
      </c>
      <c r="P633" s="2">
        <v>0</v>
      </c>
      <c r="Q633" s="2" t="s">
        <v>32</v>
      </c>
      <c r="R633" s="2">
        <v>0</v>
      </c>
      <c r="S633" s="2" t="s">
        <v>32</v>
      </c>
      <c r="T633" s="2">
        <v>0</v>
      </c>
      <c r="U633" s="2" t="s">
        <v>32</v>
      </c>
      <c r="V633" s="2" t="s">
        <v>32</v>
      </c>
      <c r="W633" s="2" t="s">
        <v>32</v>
      </c>
      <c r="X633" s="2">
        <v>0</v>
      </c>
      <c r="Y633" s="2" t="s">
        <v>32</v>
      </c>
      <c r="Z633" s="2" t="s">
        <v>32</v>
      </c>
      <c r="AA633" s="2" t="s">
        <v>32</v>
      </c>
      <c r="AB633" s="2">
        <v>0</v>
      </c>
      <c r="AC633" s="2" t="s">
        <v>32</v>
      </c>
      <c r="AD633" s="2">
        <v>0</v>
      </c>
      <c r="AE633" s="2" t="s">
        <v>1658</v>
      </c>
      <c r="AF633" s="2">
        <v>2</v>
      </c>
      <c r="AG633" s="2">
        <v>8</v>
      </c>
      <c r="AH633" s="2" t="s">
        <v>1660</v>
      </c>
      <c r="AI633" s="2" t="s">
        <v>32</v>
      </c>
      <c r="AJ633" s="2" t="s">
        <v>32</v>
      </c>
      <c r="AK633" s="2" t="s">
        <v>32</v>
      </c>
      <c r="AL633" s="2" t="s">
        <v>1658</v>
      </c>
      <c r="AM633" s="2">
        <v>2</v>
      </c>
      <c r="AN633" s="2" t="s">
        <v>1660</v>
      </c>
      <c r="AO633" s="2">
        <v>0</v>
      </c>
      <c r="AP633" s="2" t="s">
        <v>32</v>
      </c>
      <c r="AQ633" s="2" t="s">
        <v>32</v>
      </c>
      <c r="AR633" s="2" t="s">
        <v>1660</v>
      </c>
      <c r="AS633" s="2">
        <v>0</v>
      </c>
      <c r="AT633" s="2" t="s">
        <v>32</v>
      </c>
      <c r="AU633" s="2" t="s">
        <v>32</v>
      </c>
      <c r="AV633" s="2" t="s">
        <v>1660</v>
      </c>
      <c r="AW633" s="2">
        <v>0</v>
      </c>
      <c r="AX633" s="2" t="s">
        <v>1660</v>
      </c>
      <c r="AY633" s="2">
        <v>0</v>
      </c>
      <c r="AZ633" s="2" t="s">
        <v>1660</v>
      </c>
      <c r="BA633" s="2">
        <v>0</v>
      </c>
      <c r="BB633" s="2">
        <v>0</v>
      </c>
      <c r="BC633" s="2" t="s">
        <v>32</v>
      </c>
      <c r="BD633" s="2">
        <v>0</v>
      </c>
      <c r="BE633" s="2" t="s">
        <v>32</v>
      </c>
      <c r="BF633" s="2">
        <v>0</v>
      </c>
      <c r="BG633" s="2" t="s">
        <v>32</v>
      </c>
      <c r="BH633" s="2">
        <v>0</v>
      </c>
      <c r="BI633" s="2" t="s">
        <v>32</v>
      </c>
      <c r="BJ633" s="2" t="s">
        <v>32</v>
      </c>
      <c r="BK633" s="2" t="s">
        <v>32</v>
      </c>
      <c r="BL633" s="2">
        <v>0</v>
      </c>
      <c r="BM633" s="2" t="s">
        <v>32</v>
      </c>
      <c r="BN633" s="2" t="s">
        <v>32</v>
      </c>
      <c r="BO633" s="2" t="s">
        <v>32</v>
      </c>
      <c r="BP633" s="2">
        <v>0</v>
      </c>
      <c r="BQ633" s="2" t="s">
        <v>32</v>
      </c>
      <c r="BR633" s="2">
        <v>0</v>
      </c>
      <c r="BS633" s="2" t="s">
        <v>1660</v>
      </c>
      <c r="BT633" s="2">
        <v>0</v>
      </c>
      <c r="BU633" s="2">
        <v>0</v>
      </c>
      <c r="BV633" s="2" t="s">
        <v>1660</v>
      </c>
      <c r="BW633" s="2"/>
      <c r="BX633" s="2"/>
      <c r="BY633" s="2" t="s">
        <v>1807</v>
      </c>
      <c r="BZ633" s="2" t="b">
        <f>OR( (Dashboard[[#This Row],[ref_as_hh]]&gt;=1),(Dashboard[[#This Row],[ret_as_hh]] &gt;=1), (Dashboard[[#This Row],[idp_as_hh]]&gt;=1))</f>
        <v>0</v>
      </c>
      <c r="CA633" s="2">
        <f>Dashboard[[#This Row],[ret_hi_hh]]</f>
        <v>0</v>
      </c>
      <c r="CB633" s="2">
        <f>Dashboard[[#This Row],[idp_fa_hh]]+Dashboard[[#This Row],[ref_fa_hh]]+Dashboard[[#This Row],[ret_fa_hh]]</f>
        <v>2</v>
      </c>
      <c r="CC633" s="2">
        <f>Dashboard[[#This Row],[idp_loc_hh]]+Dashboard[[#This Row],[ref_loc_hh]]+Dashboard[[#This Row],[ret_loc_hh]]</f>
        <v>0</v>
      </c>
      <c r="CD633" s="2">
        <f>Dashboard[[#This Row],[idp_cc_hh]]+Dashboard[[#This Row],[ref_cc_hh]]+Dashboard[[#This Row],[ret_cc_hh]]</f>
        <v>0</v>
      </c>
      <c r="CE633" s="2">
        <f>Dashboard[[#This Row],[idp_as_hh]]+Dashboard[[#This Row],[ref_as_hh]]+Dashboard[[#This Row],[ret_as_hh]]</f>
        <v>0</v>
      </c>
      <c r="CF633" s="2">
        <f>Dashboard[[#This Row],[idp_al_hh]]+Dashboard[[#This Row],[ref_al_hh]]+Dashboard[[#This Row],[ret_al_hh]]</f>
        <v>0</v>
      </c>
    </row>
    <row r="634" spans="1:84" hidden="1" x14ac:dyDescent="0.25">
      <c r="A634" s="27">
        <v>464</v>
      </c>
      <c r="B634" s="2" t="s">
        <v>22</v>
      </c>
      <c r="C634" s="2" t="s">
        <v>23</v>
      </c>
      <c r="D634" s="2" t="s">
        <v>37</v>
      </c>
      <c r="E634" s="2" t="s">
        <v>36</v>
      </c>
      <c r="F634" s="2" t="s">
        <v>244</v>
      </c>
      <c r="G634" s="2" t="s">
        <v>243</v>
      </c>
      <c r="H634" s="2" t="s">
        <v>1537</v>
      </c>
      <c r="I634" s="2" t="s">
        <v>644</v>
      </c>
      <c r="J634" s="2" t="s">
        <v>3534</v>
      </c>
      <c r="K634" s="2" t="s">
        <v>3535</v>
      </c>
      <c r="L634" s="2" t="s">
        <v>2074</v>
      </c>
      <c r="M634" s="2">
        <v>4900</v>
      </c>
      <c r="N634" s="2" t="s">
        <v>1660</v>
      </c>
      <c r="O634" s="2">
        <v>0</v>
      </c>
      <c r="P634" s="2">
        <v>0</v>
      </c>
      <c r="Q634" s="2" t="s">
        <v>32</v>
      </c>
      <c r="R634" s="2">
        <v>0</v>
      </c>
      <c r="S634" s="2" t="s">
        <v>32</v>
      </c>
      <c r="T634" s="2">
        <v>0</v>
      </c>
      <c r="U634" s="2" t="s">
        <v>32</v>
      </c>
      <c r="V634" s="2" t="s">
        <v>32</v>
      </c>
      <c r="W634" s="2" t="s">
        <v>32</v>
      </c>
      <c r="X634" s="2">
        <v>0</v>
      </c>
      <c r="Y634" s="2" t="s">
        <v>32</v>
      </c>
      <c r="Z634" s="2" t="s">
        <v>32</v>
      </c>
      <c r="AA634" s="2" t="s">
        <v>32</v>
      </c>
      <c r="AB634" s="2">
        <v>0</v>
      </c>
      <c r="AC634" s="2" t="s">
        <v>32</v>
      </c>
      <c r="AD634" s="2">
        <v>0</v>
      </c>
      <c r="AE634" s="2" t="s">
        <v>1658</v>
      </c>
      <c r="AF634" s="2">
        <v>6</v>
      </c>
      <c r="AG634" s="2">
        <v>35</v>
      </c>
      <c r="AH634" s="2" t="s">
        <v>1660</v>
      </c>
      <c r="AI634" s="2" t="s">
        <v>32</v>
      </c>
      <c r="AJ634" s="2" t="s">
        <v>32</v>
      </c>
      <c r="AK634" s="2" t="s">
        <v>32</v>
      </c>
      <c r="AL634" s="2" t="s">
        <v>1658</v>
      </c>
      <c r="AM634" s="2">
        <v>6</v>
      </c>
      <c r="AN634" s="2" t="s">
        <v>1660</v>
      </c>
      <c r="AO634" s="2">
        <v>0</v>
      </c>
      <c r="AP634" s="2" t="s">
        <v>32</v>
      </c>
      <c r="AQ634" s="2" t="s">
        <v>32</v>
      </c>
      <c r="AR634" s="2" t="s">
        <v>1660</v>
      </c>
      <c r="AS634" s="2">
        <v>0</v>
      </c>
      <c r="AT634" s="2" t="s">
        <v>32</v>
      </c>
      <c r="AU634" s="2" t="s">
        <v>32</v>
      </c>
      <c r="AV634" s="2" t="s">
        <v>1660</v>
      </c>
      <c r="AW634" s="2">
        <v>0</v>
      </c>
      <c r="AX634" s="2" t="s">
        <v>1660</v>
      </c>
      <c r="AY634" s="2">
        <v>0</v>
      </c>
      <c r="AZ634" s="2" t="s">
        <v>1658</v>
      </c>
      <c r="BA634" s="2">
        <v>2</v>
      </c>
      <c r="BB634" s="2">
        <v>8</v>
      </c>
      <c r="BC634" s="2" t="s">
        <v>1658</v>
      </c>
      <c r="BD634" s="2">
        <v>2</v>
      </c>
      <c r="BE634" s="2" t="s">
        <v>1660</v>
      </c>
      <c r="BF634" s="2">
        <v>0</v>
      </c>
      <c r="BG634" s="2" t="s">
        <v>1660</v>
      </c>
      <c r="BH634" s="2">
        <v>0</v>
      </c>
      <c r="BI634" s="2" t="s">
        <v>32</v>
      </c>
      <c r="BJ634" s="2" t="s">
        <v>32</v>
      </c>
      <c r="BK634" s="2" t="s">
        <v>1660</v>
      </c>
      <c r="BL634" s="2">
        <v>0</v>
      </c>
      <c r="BM634" s="2" t="s">
        <v>32</v>
      </c>
      <c r="BN634" s="2" t="s">
        <v>32</v>
      </c>
      <c r="BO634" s="2" t="s">
        <v>1660</v>
      </c>
      <c r="BP634" s="2">
        <v>0</v>
      </c>
      <c r="BQ634" s="2" t="s">
        <v>1660</v>
      </c>
      <c r="BR634" s="2">
        <v>0</v>
      </c>
      <c r="BS634" s="2" t="s">
        <v>1660</v>
      </c>
      <c r="BT634" s="2">
        <v>0</v>
      </c>
      <c r="BU634" s="2">
        <v>0</v>
      </c>
      <c r="BV634" s="2" t="s">
        <v>1660</v>
      </c>
      <c r="BW634" s="2"/>
      <c r="BX634" s="2"/>
      <c r="BY634" s="2" t="s">
        <v>1807</v>
      </c>
      <c r="BZ634" s="2" t="b">
        <f>OR( (Dashboard[[#This Row],[ref_as_hh]]&gt;=1),(Dashboard[[#This Row],[ret_as_hh]] &gt;=1), (Dashboard[[#This Row],[idp_as_hh]]&gt;=1))</f>
        <v>0</v>
      </c>
      <c r="CA634" s="2">
        <f>Dashboard[[#This Row],[ret_hi_hh]]</f>
        <v>2</v>
      </c>
      <c r="CB634" s="2">
        <f>Dashboard[[#This Row],[idp_fa_hh]]+Dashboard[[#This Row],[ref_fa_hh]]+Dashboard[[#This Row],[ret_fa_hh]]</f>
        <v>6</v>
      </c>
      <c r="CC634" s="2">
        <f>Dashboard[[#This Row],[idp_loc_hh]]+Dashboard[[#This Row],[ref_loc_hh]]+Dashboard[[#This Row],[ret_loc_hh]]</f>
        <v>0</v>
      </c>
      <c r="CD634" s="2">
        <f>Dashboard[[#This Row],[idp_cc_hh]]+Dashboard[[#This Row],[ref_cc_hh]]+Dashboard[[#This Row],[ret_cc_hh]]</f>
        <v>0</v>
      </c>
      <c r="CE634" s="2">
        <f>Dashboard[[#This Row],[idp_as_hh]]+Dashboard[[#This Row],[ref_as_hh]]+Dashboard[[#This Row],[ret_as_hh]]</f>
        <v>0</v>
      </c>
      <c r="CF634" s="2">
        <f>Dashboard[[#This Row],[idp_al_hh]]+Dashboard[[#This Row],[ref_al_hh]]+Dashboard[[#This Row],[ret_al_hh]]</f>
        <v>0</v>
      </c>
    </row>
    <row r="635" spans="1:84" hidden="1" x14ac:dyDescent="0.25">
      <c r="A635" s="27">
        <v>468</v>
      </c>
      <c r="B635" s="2" t="s">
        <v>22</v>
      </c>
      <c r="C635" s="2" t="s">
        <v>23</v>
      </c>
      <c r="D635" s="2" t="s">
        <v>37</v>
      </c>
      <c r="E635" s="2" t="s">
        <v>36</v>
      </c>
      <c r="F635" s="2" t="s">
        <v>244</v>
      </c>
      <c r="G635" s="2" t="s">
        <v>243</v>
      </c>
      <c r="H635" s="2" t="s">
        <v>1550</v>
      </c>
      <c r="I635" s="2" t="s">
        <v>654</v>
      </c>
      <c r="J635" s="2" t="s">
        <v>3558</v>
      </c>
      <c r="K635" s="2" t="s">
        <v>3559</v>
      </c>
      <c r="L635" s="2" t="s">
        <v>2074</v>
      </c>
      <c r="M635" s="2">
        <v>5800</v>
      </c>
      <c r="N635" s="2" t="s">
        <v>1660</v>
      </c>
      <c r="O635" s="2">
        <v>0</v>
      </c>
      <c r="P635" s="2">
        <v>0</v>
      </c>
      <c r="Q635" s="2" t="s">
        <v>32</v>
      </c>
      <c r="R635" s="2">
        <v>0</v>
      </c>
      <c r="S635" s="2" t="s">
        <v>32</v>
      </c>
      <c r="T635" s="2">
        <v>0</v>
      </c>
      <c r="U635" s="2" t="s">
        <v>32</v>
      </c>
      <c r="V635" s="2" t="s">
        <v>32</v>
      </c>
      <c r="W635" s="2" t="s">
        <v>32</v>
      </c>
      <c r="X635" s="2">
        <v>0</v>
      </c>
      <c r="Y635" s="2" t="s">
        <v>32</v>
      </c>
      <c r="Z635" s="2" t="s">
        <v>32</v>
      </c>
      <c r="AA635" s="2" t="s">
        <v>32</v>
      </c>
      <c r="AB635" s="2">
        <v>0</v>
      </c>
      <c r="AC635" s="2" t="s">
        <v>32</v>
      </c>
      <c r="AD635" s="2">
        <v>0</v>
      </c>
      <c r="AE635" s="2" t="s">
        <v>1658</v>
      </c>
      <c r="AF635" s="2">
        <v>12</v>
      </c>
      <c r="AG635" s="2">
        <v>65</v>
      </c>
      <c r="AH635" s="2" t="s">
        <v>1660</v>
      </c>
      <c r="AI635" s="2" t="s">
        <v>32</v>
      </c>
      <c r="AJ635" s="2" t="s">
        <v>32</v>
      </c>
      <c r="AK635" s="2" t="s">
        <v>32</v>
      </c>
      <c r="AL635" s="2" t="s">
        <v>1658</v>
      </c>
      <c r="AM635" s="2">
        <v>10</v>
      </c>
      <c r="AN635" s="2" t="s">
        <v>1658</v>
      </c>
      <c r="AO635" s="2">
        <v>2</v>
      </c>
      <c r="AP635" s="2" t="s">
        <v>1661</v>
      </c>
      <c r="AQ635" s="2" t="s">
        <v>32</v>
      </c>
      <c r="AR635" s="2" t="s">
        <v>1660</v>
      </c>
      <c r="AS635" s="2">
        <v>0</v>
      </c>
      <c r="AT635" s="2" t="s">
        <v>32</v>
      </c>
      <c r="AU635" s="2" t="s">
        <v>32</v>
      </c>
      <c r="AV635" s="2" t="s">
        <v>1660</v>
      </c>
      <c r="AW635" s="2">
        <v>0</v>
      </c>
      <c r="AX635" s="2" t="s">
        <v>1660</v>
      </c>
      <c r="AY635" s="2">
        <v>0</v>
      </c>
      <c r="AZ635" s="2" t="s">
        <v>1658</v>
      </c>
      <c r="BA635" s="2">
        <v>8</v>
      </c>
      <c r="BB635" s="2">
        <v>35</v>
      </c>
      <c r="BC635" s="2" t="s">
        <v>1658</v>
      </c>
      <c r="BD635" s="2">
        <v>8</v>
      </c>
      <c r="BE635" s="2" t="s">
        <v>1660</v>
      </c>
      <c r="BF635" s="2">
        <v>0</v>
      </c>
      <c r="BG635" s="2" t="s">
        <v>1660</v>
      </c>
      <c r="BH635" s="2">
        <v>0</v>
      </c>
      <c r="BI635" s="2" t="s">
        <v>32</v>
      </c>
      <c r="BJ635" s="2" t="s">
        <v>32</v>
      </c>
      <c r="BK635" s="2" t="s">
        <v>1660</v>
      </c>
      <c r="BL635" s="2">
        <v>0</v>
      </c>
      <c r="BM635" s="2" t="s">
        <v>32</v>
      </c>
      <c r="BN635" s="2" t="s">
        <v>32</v>
      </c>
      <c r="BO635" s="2" t="s">
        <v>1660</v>
      </c>
      <c r="BP635" s="2">
        <v>0</v>
      </c>
      <c r="BQ635" s="2" t="s">
        <v>1660</v>
      </c>
      <c r="BR635" s="2">
        <v>0</v>
      </c>
      <c r="BS635" s="2" t="s">
        <v>1660</v>
      </c>
      <c r="BT635" s="2">
        <v>0</v>
      </c>
      <c r="BU635" s="2">
        <v>0</v>
      </c>
      <c r="BV635" s="2" t="s">
        <v>1660</v>
      </c>
      <c r="BW635" s="2"/>
      <c r="BX635" s="2"/>
      <c r="BY635" s="2" t="s">
        <v>1807</v>
      </c>
      <c r="BZ635" s="2" t="b">
        <f>OR( (Dashboard[[#This Row],[ref_as_hh]]&gt;=1),(Dashboard[[#This Row],[ret_as_hh]] &gt;=1), (Dashboard[[#This Row],[idp_as_hh]]&gt;=1))</f>
        <v>0</v>
      </c>
      <c r="CA635" s="2">
        <f>Dashboard[[#This Row],[ret_hi_hh]]</f>
        <v>8</v>
      </c>
      <c r="CB635" s="2">
        <f>Dashboard[[#This Row],[idp_fa_hh]]+Dashboard[[#This Row],[ref_fa_hh]]+Dashboard[[#This Row],[ret_fa_hh]]</f>
        <v>10</v>
      </c>
      <c r="CC635" s="2">
        <f>Dashboard[[#This Row],[idp_loc_hh]]+Dashboard[[#This Row],[ref_loc_hh]]+Dashboard[[#This Row],[ret_loc_hh]]</f>
        <v>2</v>
      </c>
      <c r="CD635" s="2">
        <f>Dashboard[[#This Row],[idp_cc_hh]]+Dashboard[[#This Row],[ref_cc_hh]]+Dashboard[[#This Row],[ret_cc_hh]]</f>
        <v>0</v>
      </c>
      <c r="CE635" s="2">
        <f>Dashboard[[#This Row],[idp_as_hh]]+Dashboard[[#This Row],[ref_as_hh]]+Dashboard[[#This Row],[ret_as_hh]]</f>
        <v>0</v>
      </c>
      <c r="CF635" s="2">
        <f>Dashboard[[#This Row],[idp_al_hh]]+Dashboard[[#This Row],[ref_al_hh]]+Dashboard[[#This Row],[ret_al_hh]]</f>
        <v>0</v>
      </c>
    </row>
    <row r="636" spans="1:84" hidden="1" x14ac:dyDescent="0.25">
      <c r="A636" s="27">
        <v>225</v>
      </c>
      <c r="B636" s="2" t="s">
        <v>22</v>
      </c>
      <c r="C636" s="2" t="s">
        <v>23</v>
      </c>
      <c r="D636" s="2" t="s">
        <v>37</v>
      </c>
      <c r="E636" s="2" t="s">
        <v>36</v>
      </c>
      <c r="F636" s="2" t="s">
        <v>244</v>
      </c>
      <c r="G636" s="2" t="s">
        <v>243</v>
      </c>
      <c r="H636" s="2" t="s">
        <v>1539</v>
      </c>
      <c r="I636" s="2" t="s">
        <v>646</v>
      </c>
      <c r="J636" s="2" t="s">
        <v>3538</v>
      </c>
      <c r="K636" s="2" t="s">
        <v>3539</v>
      </c>
      <c r="L636" s="2" t="s">
        <v>2074</v>
      </c>
      <c r="M636" s="2">
        <v>3700</v>
      </c>
      <c r="N636" s="2" t="s">
        <v>1660</v>
      </c>
      <c r="O636" s="2">
        <v>0</v>
      </c>
      <c r="P636" s="2">
        <v>0</v>
      </c>
      <c r="Q636" s="2" t="s">
        <v>32</v>
      </c>
      <c r="R636" s="2">
        <v>0</v>
      </c>
      <c r="S636" s="2" t="s">
        <v>32</v>
      </c>
      <c r="T636" s="2">
        <v>0</v>
      </c>
      <c r="U636" s="2" t="s">
        <v>32</v>
      </c>
      <c r="V636" s="2" t="s">
        <v>32</v>
      </c>
      <c r="W636" s="2" t="s">
        <v>32</v>
      </c>
      <c r="X636" s="2">
        <v>0</v>
      </c>
      <c r="Y636" s="2" t="s">
        <v>32</v>
      </c>
      <c r="Z636" s="2" t="s">
        <v>32</v>
      </c>
      <c r="AA636" s="2" t="s">
        <v>32</v>
      </c>
      <c r="AB636" s="2">
        <v>0</v>
      </c>
      <c r="AC636" s="2" t="s">
        <v>32</v>
      </c>
      <c r="AD636" s="2">
        <v>0</v>
      </c>
      <c r="AE636" s="2" t="s">
        <v>1658</v>
      </c>
      <c r="AF636" s="2">
        <v>5</v>
      </c>
      <c r="AG636" s="2">
        <v>20</v>
      </c>
      <c r="AH636" s="2" t="s">
        <v>1660</v>
      </c>
      <c r="AI636" s="2" t="s">
        <v>32</v>
      </c>
      <c r="AJ636" s="2" t="s">
        <v>32</v>
      </c>
      <c r="AK636" s="2" t="s">
        <v>32</v>
      </c>
      <c r="AL636" s="2" t="s">
        <v>1658</v>
      </c>
      <c r="AM636" s="2">
        <v>5</v>
      </c>
      <c r="AN636" s="2" t="s">
        <v>1660</v>
      </c>
      <c r="AO636" s="2">
        <v>0</v>
      </c>
      <c r="AP636" s="2" t="s">
        <v>32</v>
      </c>
      <c r="AQ636" s="2" t="s">
        <v>32</v>
      </c>
      <c r="AR636" s="2" t="s">
        <v>1660</v>
      </c>
      <c r="AS636" s="2">
        <v>0</v>
      </c>
      <c r="AT636" s="2" t="s">
        <v>32</v>
      </c>
      <c r="AU636" s="2" t="s">
        <v>32</v>
      </c>
      <c r="AV636" s="2" t="s">
        <v>1660</v>
      </c>
      <c r="AW636" s="2">
        <v>0</v>
      </c>
      <c r="AX636" s="2" t="s">
        <v>1660</v>
      </c>
      <c r="AY636" s="2">
        <v>0</v>
      </c>
      <c r="AZ636" s="2" t="s">
        <v>1658</v>
      </c>
      <c r="BA636" s="2">
        <v>5</v>
      </c>
      <c r="BB636" s="2">
        <v>30</v>
      </c>
      <c r="BC636" s="2" t="s">
        <v>1658</v>
      </c>
      <c r="BD636" s="2">
        <v>5</v>
      </c>
      <c r="BE636" s="2" t="s">
        <v>1660</v>
      </c>
      <c r="BF636" s="2">
        <v>0</v>
      </c>
      <c r="BG636" s="2" t="s">
        <v>1660</v>
      </c>
      <c r="BH636" s="2">
        <v>0</v>
      </c>
      <c r="BI636" s="2" t="s">
        <v>32</v>
      </c>
      <c r="BJ636" s="2" t="s">
        <v>32</v>
      </c>
      <c r="BK636" s="2" t="s">
        <v>1660</v>
      </c>
      <c r="BL636" s="2">
        <v>0</v>
      </c>
      <c r="BM636" s="2" t="s">
        <v>32</v>
      </c>
      <c r="BN636" s="2" t="s">
        <v>32</v>
      </c>
      <c r="BO636" s="2" t="s">
        <v>1660</v>
      </c>
      <c r="BP636" s="2">
        <v>0</v>
      </c>
      <c r="BQ636" s="2" t="s">
        <v>1660</v>
      </c>
      <c r="BR636" s="2">
        <v>0</v>
      </c>
      <c r="BS636" s="2" t="s">
        <v>1660</v>
      </c>
      <c r="BT636" s="2">
        <v>0</v>
      </c>
      <c r="BU636" s="2">
        <v>0</v>
      </c>
      <c r="BV636" s="2" t="s">
        <v>1660</v>
      </c>
      <c r="BW636" s="2"/>
      <c r="BX636" s="2"/>
      <c r="BY636" s="2" t="s">
        <v>1807</v>
      </c>
      <c r="BZ636" s="2" t="b">
        <f>OR( (Dashboard[[#This Row],[ref_as_hh]]&gt;=1),(Dashboard[[#This Row],[ret_as_hh]] &gt;=1), (Dashboard[[#This Row],[idp_as_hh]]&gt;=1))</f>
        <v>0</v>
      </c>
      <c r="CA636" s="2">
        <f>Dashboard[[#This Row],[ret_hi_hh]]</f>
        <v>5</v>
      </c>
      <c r="CB636" s="2">
        <f>Dashboard[[#This Row],[idp_fa_hh]]+Dashboard[[#This Row],[ref_fa_hh]]+Dashboard[[#This Row],[ret_fa_hh]]</f>
        <v>5</v>
      </c>
      <c r="CC636" s="2">
        <f>Dashboard[[#This Row],[idp_loc_hh]]+Dashboard[[#This Row],[ref_loc_hh]]+Dashboard[[#This Row],[ret_loc_hh]]</f>
        <v>0</v>
      </c>
      <c r="CD636" s="2">
        <f>Dashboard[[#This Row],[idp_cc_hh]]+Dashboard[[#This Row],[ref_cc_hh]]+Dashboard[[#This Row],[ret_cc_hh]]</f>
        <v>0</v>
      </c>
      <c r="CE636" s="2">
        <f>Dashboard[[#This Row],[idp_as_hh]]+Dashboard[[#This Row],[ref_as_hh]]+Dashboard[[#This Row],[ret_as_hh]]</f>
        <v>0</v>
      </c>
      <c r="CF636" s="2">
        <f>Dashboard[[#This Row],[idp_al_hh]]+Dashboard[[#This Row],[ref_al_hh]]+Dashboard[[#This Row],[ret_al_hh]]</f>
        <v>0</v>
      </c>
    </row>
    <row r="637" spans="1:84" hidden="1" x14ac:dyDescent="0.25">
      <c r="A637" s="27">
        <v>234</v>
      </c>
      <c r="B637" s="2" t="s">
        <v>22</v>
      </c>
      <c r="C637" s="2" t="s">
        <v>23</v>
      </c>
      <c r="D637" s="2" t="s">
        <v>37</v>
      </c>
      <c r="E637" s="2" t="s">
        <v>36</v>
      </c>
      <c r="F637" s="2" t="s">
        <v>244</v>
      </c>
      <c r="G637" s="2" t="s">
        <v>243</v>
      </c>
      <c r="H637" s="2" t="s">
        <v>1549</v>
      </c>
      <c r="I637" s="2" t="s">
        <v>653</v>
      </c>
      <c r="J637" s="2" t="s">
        <v>3556</v>
      </c>
      <c r="K637" s="2" t="s">
        <v>3557</v>
      </c>
      <c r="L637" s="2" t="s">
        <v>2074</v>
      </c>
      <c r="M637" s="2">
        <v>4000</v>
      </c>
      <c r="N637" s="2" t="s">
        <v>1660</v>
      </c>
      <c r="O637" s="2">
        <v>0</v>
      </c>
      <c r="P637" s="2">
        <v>0</v>
      </c>
      <c r="Q637" s="2" t="s">
        <v>32</v>
      </c>
      <c r="R637" s="2">
        <v>0</v>
      </c>
      <c r="S637" s="2" t="s">
        <v>32</v>
      </c>
      <c r="T637" s="2">
        <v>0</v>
      </c>
      <c r="U637" s="2" t="s">
        <v>32</v>
      </c>
      <c r="V637" s="2" t="s">
        <v>32</v>
      </c>
      <c r="W637" s="2" t="s">
        <v>32</v>
      </c>
      <c r="X637" s="2">
        <v>0</v>
      </c>
      <c r="Y637" s="2" t="s">
        <v>32</v>
      </c>
      <c r="Z637" s="2" t="s">
        <v>32</v>
      </c>
      <c r="AA637" s="2" t="s">
        <v>32</v>
      </c>
      <c r="AB637" s="2">
        <v>0</v>
      </c>
      <c r="AC637" s="2" t="s">
        <v>32</v>
      </c>
      <c r="AD637" s="2">
        <v>0</v>
      </c>
      <c r="AE637" s="2" t="s">
        <v>1658</v>
      </c>
      <c r="AF637" s="2">
        <v>3</v>
      </c>
      <c r="AG637" s="2">
        <v>18</v>
      </c>
      <c r="AH637" s="2" t="s">
        <v>1660</v>
      </c>
      <c r="AI637" s="2" t="s">
        <v>32</v>
      </c>
      <c r="AJ637" s="2" t="s">
        <v>32</v>
      </c>
      <c r="AK637" s="2" t="s">
        <v>32</v>
      </c>
      <c r="AL637" s="2" t="s">
        <v>1658</v>
      </c>
      <c r="AM637" s="2">
        <v>3</v>
      </c>
      <c r="AN637" s="2" t="s">
        <v>1660</v>
      </c>
      <c r="AO637" s="2">
        <v>0</v>
      </c>
      <c r="AP637" s="2" t="s">
        <v>32</v>
      </c>
      <c r="AQ637" s="2" t="s">
        <v>32</v>
      </c>
      <c r="AR637" s="2" t="s">
        <v>1660</v>
      </c>
      <c r="AS637" s="2">
        <v>0</v>
      </c>
      <c r="AT637" s="2" t="s">
        <v>32</v>
      </c>
      <c r="AU637" s="2" t="s">
        <v>32</v>
      </c>
      <c r="AV637" s="2" t="s">
        <v>1660</v>
      </c>
      <c r="AW637" s="2">
        <v>0</v>
      </c>
      <c r="AX637" s="2" t="s">
        <v>1660</v>
      </c>
      <c r="AY637" s="2">
        <v>0</v>
      </c>
      <c r="AZ637" s="2" t="s">
        <v>1660</v>
      </c>
      <c r="BA637" s="2">
        <v>0</v>
      </c>
      <c r="BB637" s="2">
        <v>0</v>
      </c>
      <c r="BC637" s="2" t="s">
        <v>32</v>
      </c>
      <c r="BD637" s="2">
        <v>0</v>
      </c>
      <c r="BE637" s="2" t="s">
        <v>32</v>
      </c>
      <c r="BF637" s="2">
        <v>0</v>
      </c>
      <c r="BG637" s="2" t="s">
        <v>32</v>
      </c>
      <c r="BH637" s="2">
        <v>0</v>
      </c>
      <c r="BI637" s="2" t="s">
        <v>32</v>
      </c>
      <c r="BJ637" s="2" t="s">
        <v>32</v>
      </c>
      <c r="BK637" s="2" t="s">
        <v>32</v>
      </c>
      <c r="BL637" s="2">
        <v>0</v>
      </c>
      <c r="BM637" s="2" t="s">
        <v>32</v>
      </c>
      <c r="BN637" s="2" t="s">
        <v>32</v>
      </c>
      <c r="BO637" s="2" t="s">
        <v>32</v>
      </c>
      <c r="BP637" s="2">
        <v>0</v>
      </c>
      <c r="BQ637" s="2" t="s">
        <v>32</v>
      </c>
      <c r="BR637" s="2">
        <v>0</v>
      </c>
      <c r="BS637" s="2" t="s">
        <v>1660</v>
      </c>
      <c r="BT637" s="2">
        <v>0</v>
      </c>
      <c r="BU637" s="2">
        <v>0</v>
      </c>
      <c r="BV637" s="2" t="s">
        <v>1660</v>
      </c>
      <c r="BW637" s="2"/>
      <c r="BX637" s="2"/>
      <c r="BY637" s="2" t="s">
        <v>1807</v>
      </c>
      <c r="BZ637" s="2" t="b">
        <f>OR( (Dashboard[[#This Row],[ref_as_hh]]&gt;=1),(Dashboard[[#This Row],[ret_as_hh]] &gt;=1), (Dashboard[[#This Row],[idp_as_hh]]&gt;=1))</f>
        <v>0</v>
      </c>
      <c r="CA637" s="2">
        <f>Dashboard[[#This Row],[ret_hi_hh]]</f>
        <v>0</v>
      </c>
      <c r="CB637" s="2">
        <f>Dashboard[[#This Row],[idp_fa_hh]]+Dashboard[[#This Row],[ref_fa_hh]]+Dashboard[[#This Row],[ret_fa_hh]]</f>
        <v>3</v>
      </c>
      <c r="CC637" s="2">
        <f>Dashboard[[#This Row],[idp_loc_hh]]+Dashboard[[#This Row],[ref_loc_hh]]+Dashboard[[#This Row],[ret_loc_hh]]</f>
        <v>0</v>
      </c>
      <c r="CD637" s="2">
        <f>Dashboard[[#This Row],[idp_cc_hh]]+Dashboard[[#This Row],[ref_cc_hh]]+Dashboard[[#This Row],[ret_cc_hh]]</f>
        <v>0</v>
      </c>
      <c r="CE637" s="2">
        <f>Dashboard[[#This Row],[idp_as_hh]]+Dashboard[[#This Row],[ref_as_hh]]+Dashboard[[#This Row],[ret_as_hh]]</f>
        <v>0</v>
      </c>
      <c r="CF637" s="2">
        <f>Dashboard[[#This Row],[idp_al_hh]]+Dashboard[[#This Row],[ref_al_hh]]+Dashboard[[#This Row],[ret_al_hh]]</f>
        <v>0</v>
      </c>
    </row>
    <row r="638" spans="1:84" hidden="1" x14ac:dyDescent="0.25">
      <c r="A638" s="27">
        <v>512</v>
      </c>
      <c r="B638" s="2" t="s">
        <v>22</v>
      </c>
      <c r="C638" s="2" t="s">
        <v>23</v>
      </c>
      <c r="D638" s="2" t="s">
        <v>37</v>
      </c>
      <c r="E638" s="2" t="s">
        <v>36</v>
      </c>
      <c r="F638" s="2" t="s">
        <v>247</v>
      </c>
      <c r="G638" s="2" t="s">
        <v>246</v>
      </c>
      <c r="H638" s="2" t="s">
        <v>1452</v>
      </c>
      <c r="I638" s="2" t="s">
        <v>248</v>
      </c>
      <c r="J638" s="2" t="s">
        <v>3592</v>
      </c>
      <c r="K638" s="2" t="s">
        <v>3593</v>
      </c>
      <c r="L638" s="2" t="s">
        <v>2074</v>
      </c>
      <c r="M638" s="2">
        <v>4357</v>
      </c>
      <c r="N638" s="2" t="s">
        <v>1658</v>
      </c>
      <c r="O638" s="2">
        <v>142</v>
      </c>
      <c r="P638" s="2">
        <v>705</v>
      </c>
      <c r="Q638" s="2" t="s">
        <v>1658</v>
      </c>
      <c r="R638" s="2">
        <v>142</v>
      </c>
      <c r="S638" s="2" t="s">
        <v>1660</v>
      </c>
      <c r="T638" s="2">
        <v>0</v>
      </c>
      <c r="U638" s="2" t="s">
        <v>32</v>
      </c>
      <c r="V638" s="2" t="s">
        <v>32</v>
      </c>
      <c r="W638" s="2" t="s">
        <v>1660</v>
      </c>
      <c r="X638" s="2">
        <v>0</v>
      </c>
      <c r="Y638" s="2" t="s">
        <v>32</v>
      </c>
      <c r="Z638" s="2" t="s">
        <v>32</v>
      </c>
      <c r="AA638" s="2" t="s">
        <v>1660</v>
      </c>
      <c r="AB638" s="2">
        <v>0</v>
      </c>
      <c r="AC638" s="2" t="s">
        <v>1660</v>
      </c>
      <c r="AD638" s="2">
        <v>0</v>
      </c>
      <c r="AE638" s="2" t="s">
        <v>1660</v>
      </c>
      <c r="AF638" s="2">
        <v>0</v>
      </c>
      <c r="AG638" s="2">
        <v>0</v>
      </c>
      <c r="AH638" s="2" t="s">
        <v>32</v>
      </c>
      <c r="AI638" s="2" t="s">
        <v>32</v>
      </c>
      <c r="AJ638" s="2" t="s">
        <v>32</v>
      </c>
      <c r="AK638" s="2" t="s">
        <v>32</v>
      </c>
      <c r="AL638" s="2" t="s">
        <v>32</v>
      </c>
      <c r="AM638" s="2">
        <v>0</v>
      </c>
      <c r="AN638" s="2" t="s">
        <v>32</v>
      </c>
      <c r="AO638" s="2">
        <v>0</v>
      </c>
      <c r="AP638" s="2" t="s">
        <v>32</v>
      </c>
      <c r="AQ638" s="2" t="s">
        <v>32</v>
      </c>
      <c r="AR638" s="2" t="s">
        <v>32</v>
      </c>
      <c r="AS638" s="2">
        <v>0</v>
      </c>
      <c r="AT638" s="2" t="s">
        <v>32</v>
      </c>
      <c r="AU638" s="2" t="s">
        <v>32</v>
      </c>
      <c r="AV638" s="2" t="s">
        <v>32</v>
      </c>
      <c r="AW638" s="2">
        <v>0</v>
      </c>
      <c r="AX638" s="2" t="s">
        <v>32</v>
      </c>
      <c r="AY638" s="2">
        <v>0</v>
      </c>
      <c r="AZ638" s="2" t="s">
        <v>1658</v>
      </c>
      <c r="BA638" s="2">
        <v>15</v>
      </c>
      <c r="BB638" s="2">
        <v>75</v>
      </c>
      <c r="BC638" s="2" t="s">
        <v>1660</v>
      </c>
      <c r="BD638" s="2">
        <v>0</v>
      </c>
      <c r="BE638" s="2" t="s">
        <v>1658</v>
      </c>
      <c r="BF638" s="2">
        <v>15</v>
      </c>
      <c r="BG638" s="2" t="s">
        <v>1660</v>
      </c>
      <c r="BH638" s="2">
        <v>0</v>
      </c>
      <c r="BI638" s="2" t="s">
        <v>32</v>
      </c>
      <c r="BJ638" s="2" t="s">
        <v>32</v>
      </c>
      <c r="BK638" s="2" t="s">
        <v>1660</v>
      </c>
      <c r="BL638" s="2">
        <v>0</v>
      </c>
      <c r="BM638" s="2" t="s">
        <v>32</v>
      </c>
      <c r="BN638" s="2" t="s">
        <v>32</v>
      </c>
      <c r="BO638" s="2" t="s">
        <v>1660</v>
      </c>
      <c r="BP638" s="2">
        <v>0</v>
      </c>
      <c r="BQ638" s="2" t="s">
        <v>1660</v>
      </c>
      <c r="BR638" s="2">
        <v>0</v>
      </c>
      <c r="BS638" s="2" t="s">
        <v>1660</v>
      </c>
      <c r="BT638" s="2">
        <v>0</v>
      </c>
      <c r="BU638" s="2">
        <v>0</v>
      </c>
      <c r="BV638" s="2" t="s">
        <v>1660</v>
      </c>
      <c r="BW638" s="2"/>
      <c r="BX638" s="2"/>
      <c r="BY638" s="2" t="s">
        <v>1807</v>
      </c>
      <c r="BZ638" s="2" t="b">
        <f>OR( (Dashboard[[#This Row],[ref_as_hh]]&gt;=1),(Dashboard[[#This Row],[ret_as_hh]] &gt;=1), (Dashboard[[#This Row],[idp_as_hh]]&gt;=1))</f>
        <v>0</v>
      </c>
      <c r="CA638" s="2">
        <f>Dashboard[[#This Row],[ret_hi_hh]]</f>
        <v>0</v>
      </c>
      <c r="CB638" s="2">
        <f>Dashboard[[#This Row],[idp_fa_hh]]+Dashboard[[#This Row],[ref_fa_hh]]+Dashboard[[#This Row],[ret_fa_hh]]</f>
        <v>157</v>
      </c>
      <c r="CC638" s="2">
        <f>Dashboard[[#This Row],[idp_loc_hh]]+Dashboard[[#This Row],[ref_loc_hh]]+Dashboard[[#This Row],[ret_loc_hh]]</f>
        <v>0</v>
      </c>
      <c r="CD638" s="2">
        <f>Dashboard[[#This Row],[idp_cc_hh]]+Dashboard[[#This Row],[ref_cc_hh]]+Dashboard[[#This Row],[ret_cc_hh]]</f>
        <v>0</v>
      </c>
      <c r="CE638" s="2">
        <f>Dashboard[[#This Row],[idp_as_hh]]+Dashboard[[#This Row],[ref_as_hh]]+Dashboard[[#This Row],[ret_as_hh]]</f>
        <v>0</v>
      </c>
      <c r="CF638" s="2">
        <f>Dashboard[[#This Row],[idp_al_hh]]+Dashboard[[#This Row],[ref_al_hh]]+Dashboard[[#This Row],[ret_al_hh]]</f>
        <v>0</v>
      </c>
    </row>
    <row r="639" spans="1:84" hidden="1" x14ac:dyDescent="0.25">
      <c r="A639" s="27">
        <v>523</v>
      </c>
      <c r="B639" s="2" t="s">
        <v>22</v>
      </c>
      <c r="C639" s="2" t="s">
        <v>23</v>
      </c>
      <c r="D639" s="2" t="s">
        <v>37</v>
      </c>
      <c r="E639" s="2" t="s">
        <v>36</v>
      </c>
      <c r="F639" s="2" t="s">
        <v>247</v>
      </c>
      <c r="G639" s="2" t="s">
        <v>246</v>
      </c>
      <c r="H639" s="2" t="s">
        <v>1456</v>
      </c>
      <c r="I639" s="2" t="s">
        <v>589</v>
      </c>
      <c r="J639" s="2" t="s">
        <v>3600</v>
      </c>
      <c r="K639" s="2" t="s">
        <v>3601</v>
      </c>
      <c r="L639" s="2" t="s">
        <v>2074</v>
      </c>
      <c r="M639" s="2">
        <v>3200</v>
      </c>
      <c r="N639" s="2" t="s">
        <v>1658</v>
      </c>
      <c r="O639" s="2">
        <v>3</v>
      </c>
      <c r="P639" s="2">
        <v>15</v>
      </c>
      <c r="Q639" s="2" t="s">
        <v>1658</v>
      </c>
      <c r="R639" s="2">
        <v>3</v>
      </c>
      <c r="S639" s="2" t="s">
        <v>1660</v>
      </c>
      <c r="T639" s="2">
        <v>0</v>
      </c>
      <c r="U639" s="2" t="s">
        <v>32</v>
      </c>
      <c r="V639" s="2" t="s">
        <v>32</v>
      </c>
      <c r="W639" s="2" t="s">
        <v>1660</v>
      </c>
      <c r="X639" s="2">
        <v>0</v>
      </c>
      <c r="Y639" s="2" t="s">
        <v>32</v>
      </c>
      <c r="Z639" s="2" t="s">
        <v>32</v>
      </c>
      <c r="AA639" s="2" t="s">
        <v>1660</v>
      </c>
      <c r="AB639" s="2">
        <v>0</v>
      </c>
      <c r="AC639" s="2" t="s">
        <v>1660</v>
      </c>
      <c r="AD639" s="2">
        <v>0</v>
      </c>
      <c r="AE639" s="2" t="s">
        <v>1660</v>
      </c>
      <c r="AF639" s="2">
        <v>0</v>
      </c>
      <c r="AG639" s="2">
        <v>0</v>
      </c>
      <c r="AH639" s="2" t="s">
        <v>32</v>
      </c>
      <c r="AI639" s="2" t="s">
        <v>32</v>
      </c>
      <c r="AJ639" s="2" t="s">
        <v>32</v>
      </c>
      <c r="AK639" s="2" t="s">
        <v>32</v>
      </c>
      <c r="AL639" s="2" t="s">
        <v>32</v>
      </c>
      <c r="AM639" s="2">
        <v>0</v>
      </c>
      <c r="AN639" s="2" t="s">
        <v>32</v>
      </c>
      <c r="AO639" s="2">
        <v>0</v>
      </c>
      <c r="AP639" s="2" t="s">
        <v>32</v>
      </c>
      <c r="AQ639" s="2" t="s">
        <v>32</v>
      </c>
      <c r="AR639" s="2" t="s">
        <v>32</v>
      </c>
      <c r="AS639" s="2">
        <v>0</v>
      </c>
      <c r="AT639" s="2" t="s">
        <v>32</v>
      </c>
      <c r="AU639" s="2" t="s">
        <v>32</v>
      </c>
      <c r="AV639" s="2" t="s">
        <v>32</v>
      </c>
      <c r="AW639" s="2">
        <v>0</v>
      </c>
      <c r="AX639" s="2" t="s">
        <v>32</v>
      </c>
      <c r="AY639" s="2">
        <v>0</v>
      </c>
      <c r="AZ639" s="2" t="s">
        <v>1658</v>
      </c>
      <c r="BA639" s="2">
        <v>10</v>
      </c>
      <c r="BB639" s="2">
        <v>55</v>
      </c>
      <c r="BC639" s="2" t="s">
        <v>1660</v>
      </c>
      <c r="BD639" s="2">
        <v>0</v>
      </c>
      <c r="BE639" s="2" t="s">
        <v>1658</v>
      </c>
      <c r="BF639" s="2">
        <v>10</v>
      </c>
      <c r="BG639" s="2" t="s">
        <v>1660</v>
      </c>
      <c r="BH639" s="2">
        <v>0</v>
      </c>
      <c r="BI639" s="2" t="s">
        <v>32</v>
      </c>
      <c r="BJ639" s="2" t="s">
        <v>32</v>
      </c>
      <c r="BK639" s="2" t="s">
        <v>1660</v>
      </c>
      <c r="BL639" s="2">
        <v>0</v>
      </c>
      <c r="BM639" s="2" t="s">
        <v>32</v>
      </c>
      <c r="BN639" s="2" t="s">
        <v>32</v>
      </c>
      <c r="BO639" s="2" t="s">
        <v>1660</v>
      </c>
      <c r="BP639" s="2">
        <v>0</v>
      </c>
      <c r="BQ639" s="2" t="s">
        <v>1660</v>
      </c>
      <c r="BR639" s="2">
        <v>0</v>
      </c>
      <c r="BS639" s="2" t="s">
        <v>1660</v>
      </c>
      <c r="BT639" s="2">
        <v>0</v>
      </c>
      <c r="BU639" s="2">
        <v>0</v>
      </c>
      <c r="BV639" s="2" t="s">
        <v>1660</v>
      </c>
      <c r="BW639" s="2"/>
      <c r="BX639" s="2"/>
      <c r="BY639" s="2" t="s">
        <v>1807</v>
      </c>
      <c r="BZ639" s="2" t="b">
        <f>OR( (Dashboard[[#This Row],[ref_as_hh]]&gt;=1),(Dashboard[[#This Row],[ret_as_hh]] &gt;=1), (Dashboard[[#This Row],[idp_as_hh]]&gt;=1))</f>
        <v>0</v>
      </c>
      <c r="CA639" s="2">
        <f>Dashboard[[#This Row],[ret_hi_hh]]</f>
        <v>0</v>
      </c>
      <c r="CB639" s="2">
        <f>Dashboard[[#This Row],[idp_fa_hh]]+Dashboard[[#This Row],[ref_fa_hh]]+Dashboard[[#This Row],[ret_fa_hh]]</f>
        <v>13</v>
      </c>
      <c r="CC639" s="2">
        <f>Dashboard[[#This Row],[idp_loc_hh]]+Dashboard[[#This Row],[ref_loc_hh]]+Dashboard[[#This Row],[ret_loc_hh]]</f>
        <v>0</v>
      </c>
      <c r="CD639" s="2">
        <f>Dashboard[[#This Row],[idp_cc_hh]]+Dashboard[[#This Row],[ref_cc_hh]]+Dashboard[[#This Row],[ret_cc_hh]]</f>
        <v>0</v>
      </c>
      <c r="CE639" s="2">
        <f>Dashboard[[#This Row],[idp_as_hh]]+Dashboard[[#This Row],[ref_as_hh]]+Dashboard[[#This Row],[ret_as_hh]]</f>
        <v>0</v>
      </c>
      <c r="CF639" s="2">
        <f>Dashboard[[#This Row],[idp_al_hh]]+Dashboard[[#This Row],[ref_al_hh]]+Dashboard[[#This Row],[ret_al_hh]]</f>
        <v>0</v>
      </c>
    </row>
    <row r="640" spans="1:84" hidden="1" x14ac:dyDescent="0.25">
      <c r="A640" s="27">
        <v>14</v>
      </c>
      <c r="B640" s="2" t="s">
        <v>22</v>
      </c>
      <c r="C640" s="2" t="s">
        <v>23</v>
      </c>
      <c r="D640" s="2" t="s">
        <v>37</v>
      </c>
      <c r="E640" s="2" t="s">
        <v>36</v>
      </c>
      <c r="F640" s="2" t="s">
        <v>247</v>
      </c>
      <c r="G640" s="2" t="s">
        <v>246</v>
      </c>
      <c r="H640" s="2" t="s">
        <v>1450</v>
      </c>
      <c r="I640" s="2" t="s">
        <v>585</v>
      </c>
      <c r="J640" s="2" t="s">
        <v>3588</v>
      </c>
      <c r="K640" s="2" t="s">
        <v>3589</v>
      </c>
      <c r="L640" s="2" t="s">
        <v>2074</v>
      </c>
      <c r="M640" s="2">
        <v>2740</v>
      </c>
      <c r="N640" s="2" t="s">
        <v>1658</v>
      </c>
      <c r="O640" s="2">
        <v>12</v>
      </c>
      <c r="P640" s="2">
        <v>80</v>
      </c>
      <c r="Q640" s="2" t="s">
        <v>1658</v>
      </c>
      <c r="R640" s="2">
        <v>10</v>
      </c>
      <c r="S640" s="2" t="s">
        <v>1658</v>
      </c>
      <c r="T640" s="2">
        <v>2</v>
      </c>
      <c r="U640" s="2" t="s">
        <v>1659</v>
      </c>
      <c r="V640" s="2" t="s">
        <v>32</v>
      </c>
      <c r="W640" s="2" t="s">
        <v>1660</v>
      </c>
      <c r="X640" s="2">
        <v>0</v>
      </c>
      <c r="Y640" s="2" t="s">
        <v>32</v>
      </c>
      <c r="Z640" s="2" t="s">
        <v>32</v>
      </c>
      <c r="AA640" s="2" t="s">
        <v>1660</v>
      </c>
      <c r="AB640" s="2">
        <v>0</v>
      </c>
      <c r="AC640" s="2" t="s">
        <v>1660</v>
      </c>
      <c r="AD640" s="2">
        <v>0</v>
      </c>
      <c r="AE640" s="2" t="s">
        <v>1660</v>
      </c>
      <c r="AF640" s="2">
        <v>0</v>
      </c>
      <c r="AG640" s="2">
        <v>0</v>
      </c>
      <c r="AH640" s="2" t="s">
        <v>32</v>
      </c>
      <c r="AI640" s="2" t="s">
        <v>32</v>
      </c>
      <c r="AJ640" s="2" t="s">
        <v>32</v>
      </c>
      <c r="AK640" s="2" t="s">
        <v>32</v>
      </c>
      <c r="AL640" s="2" t="s">
        <v>32</v>
      </c>
      <c r="AM640" s="2">
        <v>0</v>
      </c>
      <c r="AN640" s="2" t="s">
        <v>32</v>
      </c>
      <c r="AO640" s="2">
        <v>0</v>
      </c>
      <c r="AP640" s="2" t="s">
        <v>32</v>
      </c>
      <c r="AQ640" s="2" t="s">
        <v>32</v>
      </c>
      <c r="AR640" s="2" t="s">
        <v>32</v>
      </c>
      <c r="AS640" s="2">
        <v>0</v>
      </c>
      <c r="AT640" s="2" t="s">
        <v>32</v>
      </c>
      <c r="AU640" s="2" t="s">
        <v>32</v>
      </c>
      <c r="AV640" s="2" t="s">
        <v>32</v>
      </c>
      <c r="AW640" s="2">
        <v>0</v>
      </c>
      <c r="AX640" s="2" t="s">
        <v>32</v>
      </c>
      <c r="AY640" s="2">
        <v>0</v>
      </c>
      <c r="AZ640" s="2" t="s">
        <v>1658</v>
      </c>
      <c r="BA640" s="2">
        <v>16</v>
      </c>
      <c r="BB640" s="2">
        <v>86</v>
      </c>
      <c r="BC640" s="2" t="s">
        <v>1660</v>
      </c>
      <c r="BD640" s="2">
        <v>0</v>
      </c>
      <c r="BE640" s="2" t="s">
        <v>1658</v>
      </c>
      <c r="BF640" s="2">
        <v>16</v>
      </c>
      <c r="BG640" s="2" t="s">
        <v>1660</v>
      </c>
      <c r="BH640" s="2">
        <v>0</v>
      </c>
      <c r="BI640" s="2" t="s">
        <v>32</v>
      </c>
      <c r="BJ640" s="2" t="s">
        <v>32</v>
      </c>
      <c r="BK640" s="2" t="s">
        <v>1660</v>
      </c>
      <c r="BL640" s="2">
        <v>0</v>
      </c>
      <c r="BM640" s="2" t="s">
        <v>32</v>
      </c>
      <c r="BN640" s="2" t="s">
        <v>32</v>
      </c>
      <c r="BO640" s="2" t="s">
        <v>1660</v>
      </c>
      <c r="BP640" s="2">
        <v>0</v>
      </c>
      <c r="BQ640" s="2" t="s">
        <v>1660</v>
      </c>
      <c r="BR640" s="2">
        <v>0</v>
      </c>
      <c r="BS640" s="2" t="s">
        <v>1660</v>
      </c>
      <c r="BT640" s="2">
        <v>0</v>
      </c>
      <c r="BU640" s="2">
        <v>0</v>
      </c>
      <c r="BV640" s="2" t="s">
        <v>1660</v>
      </c>
      <c r="BW640" s="2"/>
      <c r="BX640" s="2"/>
      <c r="BY640" s="2" t="s">
        <v>1807</v>
      </c>
      <c r="BZ640" s="2" t="b">
        <f>OR( (Dashboard[[#This Row],[ref_as_hh]]&gt;=1),(Dashboard[[#This Row],[ret_as_hh]] &gt;=1), (Dashboard[[#This Row],[idp_as_hh]]&gt;=1))</f>
        <v>0</v>
      </c>
      <c r="CA640" s="2">
        <f>Dashboard[[#This Row],[ret_hi_hh]]</f>
        <v>0</v>
      </c>
      <c r="CB640" s="2">
        <f>Dashboard[[#This Row],[idp_fa_hh]]+Dashboard[[#This Row],[ref_fa_hh]]+Dashboard[[#This Row],[ret_fa_hh]]</f>
        <v>26</v>
      </c>
      <c r="CC640" s="2">
        <f>Dashboard[[#This Row],[idp_loc_hh]]+Dashboard[[#This Row],[ref_loc_hh]]+Dashboard[[#This Row],[ret_loc_hh]]</f>
        <v>2</v>
      </c>
      <c r="CD640" s="2">
        <f>Dashboard[[#This Row],[idp_cc_hh]]+Dashboard[[#This Row],[ref_cc_hh]]+Dashboard[[#This Row],[ret_cc_hh]]</f>
        <v>0</v>
      </c>
      <c r="CE640" s="2">
        <f>Dashboard[[#This Row],[idp_as_hh]]+Dashboard[[#This Row],[ref_as_hh]]+Dashboard[[#This Row],[ret_as_hh]]</f>
        <v>0</v>
      </c>
      <c r="CF640" s="2">
        <f>Dashboard[[#This Row],[idp_al_hh]]+Dashboard[[#This Row],[ref_al_hh]]+Dashboard[[#This Row],[ret_al_hh]]</f>
        <v>0</v>
      </c>
    </row>
    <row r="641" spans="1:84" hidden="1" x14ac:dyDescent="0.25">
      <c r="A641" s="27">
        <v>537</v>
      </c>
      <c r="B641" s="2" t="s">
        <v>22</v>
      </c>
      <c r="C641" s="2" t="s">
        <v>23</v>
      </c>
      <c r="D641" s="2" t="s">
        <v>37</v>
      </c>
      <c r="E641" s="2" t="s">
        <v>36</v>
      </c>
      <c r="F641" s="2" t="s">
        <v>247</v>
      </c>
      <c r="G641" s="2" t="s">
        <v>246</v>
      </c>
      <c r="H641" s="2" t="s">
        <v>1461</v>
      </c>
      <c r="I641" s="2" t="s">
        <v>593</v>
      </c>
      <c r="J641" s="2" t="s">
        <v>3610</v>
      </c>
      <c r="K641" s="2" t="s">
        <v>3611</v>
      </c>
      <c r="L641" s="2" t="s">
        <v>2074</v>
      </c>
      <c r="M641" s="2">
        <v>1500</v>
      </c>
      <c r="N641" s="2" t="s">
        <v>1658</v>
      </c>
      <c r="O641" s="2">
        <v>20</v>
      </c>
      <c r="P641" s="2">
        <v>128</v>
      </c>
      <c r="Q641" s="2" t="s">
        <v>1658</v>
      </c>
      <c r="R641" s="2">
        <v>20</v>
      </c>
      <c r="S641" s="2" t="s">
        <v>1660</v>
      </c>
      <c r="T641" s="2">
        <v>0</v>
      </c>
      <c r="U641" s="2" t="s">
        <v>32</v>
      </c>
      <c r="V641" s="2" t="s">
        <v>32</v>
      </c>
      <c r="W641" s="2" t="s">
        <v>1660</v>
      </c>
      <c r="X641" s="2">
        <v>0</v>
      </c>
      <c r="Y641" s="2" t="s">
        <v>32</v>
      </c>
      <c r="Z641" s="2" t="s">
        <v>32</v>
      </c>
      <c r="AA641" s="2" t="s">
        <v>1660</v>
      </c>
      <c r="AB641" s="2">
        <v>0</v>
      </c>
      <c r="AC641" s="2" t="s">
        <v>1660</v>
      </c>
      <c r="AD641" s="2">
        <v>0</v>
      </c>
      <c r="AE641" s="2" t="s">
        <v>1660</v>
      </c>
      <c r="AF641" s="2">
        <v>0</v>
      </c>
      <c r="AG641" s="2">
        <v>0</v>
      </c>
      <c r="AH641" s="2" t="s">
        <v>32</v>
      </c>
      <c r="AI641" s="2" t="s">
        <v>32</v>
      </c>
      <c r="AJ641" s="2" t="s">
        <v>32</v>
      </c>
      <c r="AK641" s="2" t="s">
        <v>32</v>
      </c>
      <c r="AL641" s="2" t="s">
        <v>32</v>
      </c>
      <c r="AM641" s="2">
        <v>0</v>
      </c>
      <c r="AN641" s="2" t="s">
        <v>32</v>
      </c>
      <c r="AO641" s="2">
        <v>0</v>
      </c>
      <c r="AP641" s="2" t="s">
        <v>32</v>
      </c>
      <c r="AQ641" s="2" t="s">
        <v>32</v>
      </c>
      <c r="AR641" s="2" t="s">
        <v>32</v>
      </c>
      <c r="AS641" s="2">
        <v>0</v>
      </c>
      <c r="AT641" s="2" t="s">
        <v>32</v>
      </c>
      <c r="AU641" s="2" t="s">
        <v>32</v>
      </c>
      <c r="AV641" s="2" t="s">
        <v>32</v>
      </c>
      <c r="AW641" s="2">
        <v>0</v>
      </c>
      <c r="AX641" s="2" t="s">
        <v>32</v>
      </c>
      <c r="AY641" s="2">
        <v>0</v>
      </c>
      <c r="AZ641" s="2" t="s">
        <v>1658</v>
      </c>
      <c r="BA641" s="2">
        <v>8</v>
      </c>
      <c r="BB641" s="2">
        <v>40</v>
      </c>
      <c r="BC641" s="2" t="s">
        <v>1660</v>
      </c>
      <c r="BD641" s="2">
        <v>0</v>
      </c>
      <c r="BE641" s="2" t="s">
        <v>1658</v>
      </c>
      <c r="BF641" s="2">
        <v>8</v>
      </c>
      <c r="BG641" s="2" t="s">
        <v>1660</v>
      </c>
      <c r="BH641" s="2">
        <v>0</v>
      </c>
      <c r="BI641" s="2" t="s">
        <v>32</v>
      </c>
      <c r="BJ641" s="2" t="s">
        <v>32</v>
      </c>
      <c r="BK641" s="2" t="s">
        <v>1660</v>
      </c>
      <c r="BL641" s="2">
        <v>0</v>
      </c>
      <c r="BM641" s="2" t="s">
        <v>32</v>
      </c>
      <c r="BN641" s="2" t="s">
        <v>32</v>
      </c>
      <c r="BO641" s="2" t="s">
        <v>1660</v>
      </c>
      <c r="BP641" s="2">
        <v>0</v>
      </c>
      <c r="BQ641" s="2" t="s">
        <v>1660</v>
      </c>
      <c r="BR641" s="2">
        <v>0</v>
      </c>
      <c r="BS641" s="2" t="s">
        <v>1660</v>
      </c>
      <c r="BT641" s="2">
        <v>0</v>
      </c>
      <c r="BU641" s="2">
        <v>0</v>
      </c>
      <c r="BV641" s="2" t="s">
        <v>1660</v>
      </c>
      <c r="BW641" s="2"/>
      <c r="BX641" s="2"/>
      <c r="BY641" s="2" t="s">
        <v>1807</v>
      </c>
      <c r="BZ641" s="2" t="b">
        <f>OR( (Dashboard[[#This Row],[ref_as_hh]]&gt;=1),(Dashboard[[#This Row],[ret_as_hh]] &gt;=1), (Dashboard[[#This Row],[idp_as_hh]]&gt;=1))</f>
        <v>0</v>
      </c>
      <c r="CA641" s="2">
        <f>Dashboard[[#This Row],[ret_hi_hh]]</f>
        <v>0</v>
      </c>
      <c r="CB641" s="2">
        <f>Dashboard[[#This Row],[idp_fa_hh]]+Dashboard[[#This Row],[ref_fa_hh]]+Dashboard[[#This Row],[ret_fa_hh]]</f>
        <v>28</v>
      </c>
      <c r="CC641" s="2">
        <f>Dashboard[[#This Row],[idp_loc_hh]]+Dashboard[[#This Row],[ref_loc_hh]]+Dashboard[[#This Row],[ret_loc_hh]]</f>
        <v>0</v>
      </c>
      <c r="CD641" s="2">
        <f>Dashboard[[#This Row],[idp_cc_hh]]+Dashboard[[#This Row],[ref_cc_hh]]+Dashboard[[#This Row],[ret_cc_hh]]</f>
        <v>0</v>
      </c>
      <c r="CE641" s="2">
        <f>Dashboard[[#This Row],[idp_as_hh]]+Dashboard[[#This Row],[ref_as_hh]]+Dashboard[[#This Row],[ret_as_hh]]</f>
        <v>0</v>
      </c>
      <c r="CF641" s="2">
        <f>Dashboard[[#This Row],[idp_al_hh]]+Dashboard[[#This Row],[ref_al_hh]]+Dashboard[[#This Row],[ret_al_hh]]</f>
        <v>0</v>
      </c>
    </row>
    <row r="642" spans="1:84" hidden="1" x14ac:dyDescent="0.25">
      <c r="A642" s="27">
        <v>299</v>
      </c>
      <c r="B642" s="2" t="s">
        <v>22</v>
      </c>
      <c r="C642" s="2" t="s">
        <v>23</v>
      </c>
      <c r="D642" s="2" t="s">
        <v>37</v>
      </c>
      <c r="E642" s="2" t="s">
        <v>36</v>
      </c>
      <c r="F642" s="2" t="s">
        <v>247</v>
      </c>
      <c r="G642" s="2" t="s">
        <v>246</v>
      </c>
      <c r="H642" s="2" t="s">
        <v>1447</v>
      </c>
      <c r="I642" s="2" t="s">
        <v>583</v>
      </c>
      <c r="J642" s="2" t="s">
        <v>3580</v>
      </c>
      <c r="K642" s="2" t="s">
        <v>3581</v>
      </c>
      <c r="L642" s="2" t="s">
        <v>2074</v>
      </c>
      <c r="M642" s="2">
        <v>3300</v>
      </c>
      <c r="N642" s="2" t="s">
        <v>1660</v>
      </c>
      <c r="O642" s="2">
        <v>0</v>
      </c>
      <c r="P642" s="2">
        <v>0</v>
      </c>
      <c r="Q642" s="2" t="s">
        <v>32</v>
      </c>
      <c r="R642" s="2">
        <v>0</v>
      </c>
      <c r="S642" s="2" t="s">
        <v>32</v>
      </c>
      <c r="T642" s="2">
        <v>0</v>
      </c>
      <c r="U642" s="2" t="s">
        <v>32</v>
      </c>
      <c r="V642" s="2" t="s">
        <v>32</v>
      </c>
      <c r="W642" s="2" t="s">
        <v>32</v>
      </c>
      <c r="X642" s="2">
        <v>0</v>
      </c>
      <c r="Y642" s="2" t="s">
        <v>32</v>
      </c>
      <c r="Z642" s="2" t="s">
        <v>32</v>
      </c>
      <c r="AA642" s="2" t="s">
        <v>32</v>
      </c>
      <c r="AB642" s="2">
        <v>0</v>
      </c>
      <c r="AC642" s="2" t="s">
        <v>32</v>
      </c>
      <c r="AD642" s="2">
        <v>0</v>
      </c>
      <c r="AE642" s="2" t="s">
        <v>1660</v>
      </c>
      <c r="AF642" s="2">
        <v>0</v>
      </c>
      <c r="AG642" s="2">
        <v>0</v>
      </c>
      <c r="AH642" s="2" t="s">
        <v>32</v>
      </c>
      <c r="AI642" s="2" t="s">
        <v>32</v>
      </c>
      <c r="AJ642" s="2" t="s">
        <v>32</v>
      </c>
      <c r="AK642" s="2" t="s">
        <v>32</v>
      </c>
      <c r="AL642" s="2" t="s">
        <v>32</v>
      </c>
      <c r="AM642" s="2">
        <v>0</v>
      </c>
      <c r="AN642" s="2" t="s">
        <v>32</v>
      </c>
      <c r="AO642" s="2">
        <v>0</v>
      </c>
      <c r="AP642" s="2" t="s">
        <v>32</v>
      </c>
      <c r="AQ642" s="2" t="s">
        <v>32</v>
      </c>
      <c r="AR642" s="2" t="s">
        <v>32</v>
      </c>
      <c r="AS642" s="2">
        <v>0</v>
      </c>
      <c r="AT642" s="2" t="s">
        <v>32</v>
      </c>
      <c r="AU642" s="2" t="s">
        <v>32</v>
      </c>
      <c r="AV642" s="2" t="s">
        <v>32</v>
      </c>
      <c r="AW642" s="2">
        <v>0</v>
      </c>
      <c r="AX642" s="2" t="s">
        <v>32</v>
      </c>
      <c r="AY642" s="2">
        <v>0</v>
      </c>
      <c r="AZ642" s="2" t="s">
        <v>1658</v>
      </c>
      <c r="BA642" s="2">
        <v>6</v>
      </c>
      <c r="BB642" s="2">
        <v>48</v>
      </c>
      <c r="BC642" s="2" t="s">
        <v>1660</v>
      </c>
      <c r="BD642" s="2">
        <v>0</v>
      </c>
      <c r="BE642" s="2" t="s">
        <v>1658</v>
      </c>
      <c r="BF642" s="2">
        <v>6</v>
      </c>
      <c r="BG642" s="2" t="s">
        <v>1660</v>
      </c>
      <c r="BH642" s="2">
        <v>0</v>
      </c>
      <c r="BI642" s="2" t="s">
        <v>32</v>
      </c>
      <c r="BJ642" s="2" t="s">
        <v>32</v>
      </c>
      <c r="BK642" s="2" t="s">
        <v>1660</v>
      </c>
      <c r="BL642" s="2">
        <v>0</v>
      </c>
      <c r="BM642" s="2" t="s">
        <v>32</v>
      </c>
      <c r="BN642" s="2" t="s">
        <v>32</v>
      </c>
      <c r="BO642" s="2" t="s">
        <v>1660</v>
      </c>
      <c r="BP642" s="2">
        <v>0</v>
      </c>
      <c r="BQ642" s="2" t="s">
        <v>1660</v>
      </c>
      <c r="BR642" s="2">
        <v>0</v>
      </c>
      <c r="BS642" s="2" t="s">
        <v>1660</v>
      </c>
      <c r="BT642" s="2">
        <v>0</v>
      </c>
      <c r="BU642" s="2">
        <v>0</v>
      </c>
      <c r="BV642" s="2" t="s">
        <v>1660</v>
      </c>
      <c r="BW642" s="2"/>
      <c r="BX642" s="2"/>
      <c r="BY642" s="2" t="s">
        <v>1807</v>
      </c>
      <c r="BZ642" s="2" t="b">
        <f>OR( (Dashboard[[#This Row],[ref_as_hh]]&gt;=1),(Dashboard[[#This Row],[ret_as_hh]] &gt;=1), (Dashboard[[#This Row],[idp_as_hh]]&gt;=1))</f>
        <v>0</v>
      </c>
      <c r="CA642" s="2">
        <f>Dashboard[[#This Row],[ret_hi_hh]]</f>
        <v>0</v>
      </c>
      <c r="CB642" s="2">
        <f>Dashboard[[#This Row],[idp_fa_hh]]+Dashboard[[#This Row],[ref_fa_hh]]+Dashboard[[#This Row],[ret_fa_hh]]</f>
        <v>6</v>
      </c>
      <c r="CC642" s="2">
        <f>Dashboard[[#This Row],[idp_loc_hh]]+Dashboard[[#This Row],[ref_loc_hh]]+Dashboard[[#This Row],[ret_loc_hh]]</f>
        <v>0</v>
      </c>
      <c r="CD642" s="2">
        <f>Dashboard[[#This Row],[idp_cc_hh]]+Dashboard[[#This Row],[ref_cc_hh]]+Dashboard[[#This Row],[ret_cc_hh]]</f>
        <v>0</v>
      </c>
      <c r="CE642" s="2">
        <f>Dashboard[[#This Row],[idp_as_hh]]+Dashboard[[#This Row],[ref_as_hh]]+Dashboard[[#This Row],[ret_as_hh]]</f>
        <v>0</v>
      </c>
      <c r="CF642" s="2">
        <f>Dashboard[[#This Row],[idp_al_hh]]+Dashboard[[#This Row],[ref_al_hh]]+Dashboard[[#This Row],[ret_al_hh]]</f>
        <v>0</v>
      </c>
    </row>
    <row r="643" spans="1:84" hidden="1" x14ac:dyDescent="0.25">
      <c r="A643" s="27">
        <v>305</v>
      </c>
      <c r="B643" s="2" t="s">
        <v>22</v>
      </c>
      <c r="C643" s="2" t="s">
        <v>23</v>
      </c>
      <c r="D643" s="2" t="s">
        <v>37</v>
      </c>
      <c r="E643" s="2" t="s">
        <v>36</v>
      </c>
      <c r="F643" s="2" t="s">
        <v>247</v>
      </c>
      <c r="G643" s="2" t="s">
        <v>246</v>
      </c>
      <c r="H643" s="2" t="s">
        <v>1446</v>
      </c>
      <c r="I643" s="2" t="s">
        <v>582</v>
      </c>
      <c r="J643" s="2" t="s">
        <v>3578</v>
      </c>
      <c r="K643" s="2" t="s">
        <v>3579</v>
      </c>
      <c r="L643" s="2" t="s">
        <v>2074</v>
      </c>
      <c r="M643" s="2">
        <v>6820</v>
      </c>
      <c r="N643" s="2" t="s">
        <v>1658</v>
      </c>
      <c r="O643" s="2">
        <v>216</v>
      </c>
      <c r="P643" s="2">
        <v>1080</v>
      </c>
      <c r="Q643" s="2" t="s">
        <v>1658</v>
      </c>
      <c r="R643" s="2">
        <v>200</v>
      </c>
      <c r="S643" s="2" t="s">
        <v>1658</v>
      </c>
      <c r="T643" s="2">
        <v>16</v>
      </c>
      <c r="U643" s="2" t="s">
        <v>1661</v>
      </c>
      <c r="V643" s="2" t="s">
        <v>32</v>
      </c>
      <c r="W643" s="2" t="s">
        <v>1660</v>
      </c>
      <c r="X643" s="2">
        <v>0</v>
      </c>
      <c r="Y643" s="2" t="s">
        <v>32</v>
      </c>
      <c r="Z643" s="2" t="s">
        <v>32</v>
      </c>
      <c r="AA643" s="2" t="s">
        <v>1660</v>
      </c>
      <c r="AB643" s="2">
        <v>0</v>
      </c>
      <c r="AC643" s="2" t="s">
        <v>1660</v>
      </c>
      <c r="AD643" s="2">
        <v>0</v>
      </c>
      <c r="AE643" s="2" t="s">
        <v>1660</v>
      </c>
      <c r="AF643" s="2">
        <v>0</v>
      </c>
      <c r="AG643" s="2">
        <v>0</v>
      </c>
      <c r="AH643" s="2" t="s">
        <v>32</v>
      </c>
      <c r="AI643" s="2" t="s">
        <v>32</v>
      </c>
      <c r="AJ643" s="2" t="s">
        <v>32</v>
      </c>
      <c r="AK643" s="2" t="s">
        <v>32</v>
      </c>
      <c r="AL643" s="2" t="s">
        <v>32</v>
      </c>
      <c r="AM643" s="2">
        <v>0</v>
      </c>
      <c r="AN643" s="2" t="s">
        <v>32</v>
      </c>
      <c r="AO643" s="2">
        <v>0</v>
      </c>
      <c r="AP643" s="2" t="s">
        <v>32</v>
      </c>
      <c r="AQ643" s="2" t="s">
        <v>32</v>
      </c>
      <c r="AR643" s="2" t="s">
        <v>32</v>
      </c>
      <c r="AS643" s="2">
        <v>0</v>
      </c>
      <c r="AT643" s="2" t="s">
        <v>32</v>
      </c>
      <c r="AU643" s="2" t="s">
        <v>32</v>
      </c>
      <c r="AV643" s="2" t="s">
        <v>32</v>
      </c>
      <c r="AW643" s="2">
        <v>0</v>
      </c>
      <c r="AX643" s="2" t="s">
        <v>32</v>
      </c>
      <c r="AY643" s="2">
        <v>0</v>
      </c>
      <c r="AZ643" s="2" t="s">
        <v>1658</v>
      </c>
      <c r="BA643" s="2">
        <v>123</v>
      </c>
      <c r="BB643" s="2">
        <v>617</v>
      </c>
      <c r="BC643" s="2" t="s">
        <v>1658</v>
      </c>
      <c r="BD643" s="2">
        <v>90</v>
      </c>
      <c r="BE643" s="2" t="s">
        <v>1658</v>
      </c>
      <c r="BF643" s="2">
        <v>33</v>
      </c>
      <c r="BG643" s="2" t="s">
        <v>1660</v>
      </c>
      <c r="BH643" s="2">
        <v>0</v>
      </c>
      <c r="BI643" s="2" t="s">
        <v>32</v>
      </c>
      <c r="BJ643" s="2" t="s">
        <v>32</v>
      </c>
      <c r="BK643" s="2" t="s">
        <v>1660</v>
      </c>
      <c r="BL643" s="2">
        <v>0</v>
      </c>
      <c r="BM643" s="2" t="s">
        <v>32</v>
      </c>
      <c r="BN643" s="2" t="s">
        <v>32</v>
      </c>
      <c r="BO643" s="2" t="s">
        <v>1660</v>
      </c>
      <c r="BP643" s="2">
        <v>0</v>
      </c>
      <c r="BQ643" s="2" t="s">
        <v>1660</v>
      </c>
      <c r="BR643" s="2">
        <v>0</v>
      </c>
      <c r="BS643" s="2" t="s">
        <v>1660</v>
      </c>
      <c r="BT643" s="2">
        <v>0</v>
      </c>
      <c r="BU643" s="2">
        <v>0</v>
      </c>
      <c r="BV643" s="2" t="s">
        <v>1660</v>
      </c>
      <c r="BW643" s="2"/>
      <c r="BX643" s="2"/>
      <c r="BY643" s="2" t="s">
        <v>1807</v>
      </c>
      <c r="BZ643" s="2" t="b">
        <f>OR( (Dashboard[[#This Row],[ref_as_hh]]&gt;=1),(Dashboard[[#This Row],[ret_as_hh]] &gt;=1), (Dashboard[[#This Row],[idp_as_hh]]&gt;=1))</f>
        <v>0</v>
      </c>
      <c r="CA643" s="2">
        <f>Dashboard[[#This Row],[ret_hi_hh]]</f>
        <v>90</v>
      </c>
      <c r="CB643" s="2">
        <f>Dashboard[[#This Row],[idp_fa_hh]]+Dashboard[[#This Row],[ref_fa_hh]]+Dashboard[[#This Row],[ret_fa_hh]]</f>
        <v>233</v>
      </c>
      <c r="CC643" s="2">
        <f>Dashboard[[#This Row],[idp_loc_hh]]+Dashboard[[#This Row],[ref_loc_hh]]+Dashboard[[#This Row],[ret_loc_hh]]</f>
        <v>16</v>
      </c>
      <c r="CD643" s="2">
        <f>Dashboard[[#This Row],[idp_cc_hh]]+Dashboard[[#This Row],[ref_cc_hh]]+Dashboard[[#This Row],[ret_cc_hh]]</f>
        <v>0</v>
      </c>
      <c r="CE643" s="2">
        <f>Dashboard[[#This Row],[idp_as_hh]]+Dashboard[[#This Row],[ref_as_hh]]+Dashboard[[#This Row],[ret_as_hh]]</f>
        <v>0</v>
      </c>
      <c r="CF643" s="2">
        <f>Dashboard[[#This Row],[idp_al_hh]]+Dashboard[[#This Row],[ref_al_hh]]+Dashboard[[#This Row],[ret_al_hh]]</f>
        <v>0</v>
      </c>
    </row>
    <row r="644" spans="1:84" hidden="1" x14ac:dyDescent="0.25">
      <c r="A644" s="27">
        <v>77</v>
      </c>
      <c r="B644" s="2" t="s">
        <v>22</v>
      </c>
      <c r="C644" s="2" t="s">
        <v>23</v>
      </c>
      <c r="D644" s="2" t="s">
        <v>37</v>
      </c>
      <c r="E644" s="2" t="s">
        <v>36</v>
      </c>
      <c r="F644" s="2" t="s">
        <v>247</v>
      </c>
      <c r="G644" s="2" t="s">
        <v>246</v>
      </c>
      <c r="H644" s="2" t="s">
        <v>1459</v>
      </c>
      <c r="I644" s="2" t="s">
        <v>591</v>
      </c>
      <c r="J644" s="2" t="s">
        <v>3606</v>
      </c>
      <c r="K644" s="2" t="s">
        <v>3607</v>
      </c>
      <c r="L644" s="2" t="s">
        <v>2074</v>
      </c>
      <c r="M644" s="2">
        <v>4600</v>
      </c>
      <c r="N644" s="2" t="s">
        <v>1658</v>
      </c>
      <c r="O644" s="2">
        <v>36</v>
      </c>
      <c r="P644" s="2">
        <v>180</v>
      </c>
      <c r="Q644" s="2" t="s">
        <v>1658</v>
      </c>
      <c r="R644" s="2">
        <v>30</v>
      </c>
      <c r="S644" s="2" t="s">
        <v>1658</v>
      </c>
      <c r="T644" s="2">
        <v>6</v>
      </c>
      <c r="U644" s="2" t="s">
        <v>1659</v>
      </c>
      <c r="V644" s="2" t="s">
        <v>32</v>
      </c>
      <c r="W644" s="2" t="s">
        <v>1660</v>
      </c>
      <c r="X644" s="2">
        <v>0</v>
      </c>
      <c r="Y644" s="2" t="s">
        <v>32</v>
      </c>
      <c r="Z644" s="2" t="s">
        <v>32</v>
      </c>
      <c r="AA644" s="2" t="s">
        <v>1660</v>
      </c>
      <c r="AB644" s="2">
        <v>0</v>
      </c>
      <c r="AC644" s="2" t="s">
        <v>1660</v>
      </c>
      <c r="AD644" s="2">
        <v>0</v>
      </c>
      <c r="AE644" s="2" t="s">
        <v>1660</v>
      </c>
      <c r="AF644" s="2">
        <v>0</v>
      </c>
      <c r="AG644" s="2">
        <v>0</v>
      </c>
      <c r="AH644" s="2" t="s">
        <v>32</v>
      </c>
      <c r="AI644" s="2" t="s">
        <v>32</v>
      </c>
      <c r="AJ644" s="2" t="s">
        <v>32</v>
      </c>
      <c r="AK644" s="2" t="s">
        <v>32</v>
      </c>
      <c r="AL644" s="2" t="s">
        <v>32</v>
      </c>
      <c r="AM644" s="2">
        <v>0</v>
      </c>
      <c r="AN644" s="2" t="s">
        <v>32</v>
      </c>
      <c r="AO644" s="2">
        <v>0</v>
      </c>
      <c r="AP644" s="2" t="s">
        <v>32</v>
      </c>
      <c r="AQ644" s="2" t="s">
        <v>32</v>
      </c>
      <c r="AR644" s="2" t="s">
        <v>32</v>
      </c>
      <c r="AS644" s="2">
        <v>0</v>
      </c>
      <c r="AT644" s="2" t="s">
        <v>32</v>
      </c>
      <c r="AU644" s="2" t="s">
        <v>32</v>
      </c>
      <c r="AV644" s="2" t="s">
        <v>32</v>
      </c>
      <c r="AW644" s="2">
        <v>0</v>
      </c>
      <c r="AX644" s="2" t="s">
        <v>32</v>
      </c>
      <c r="AY644" s="2">
        <v>0</v>
      </c>
      <c r="AZ644" s="2" t="s">
        <v>1658</v>
      </c>
      <c r="BA644" s="2">
        <v>7</v>
      </c>
      <c r="BB644" s="2">
        <v>41</v>
      </c>
      <c r="BC644" s="2" t="s">
        <v>1658</v>
      </c>
      <c r="BD644" s="2">
        <v>0</v>
      </c>
      <c r="BE644" s="2" t="s">
        <v>1658</v>
      </c>
      <c r="BF644" s="2">
        <v>5</v>
      </c>
      <c r="BG644" s="2" t="s">
        <v>1658</v>
      </c>
      <c r="BH644" s="2">
        <v>2</v>
      </c>
      <c r="BI644" s="2" t="s">
        <v>1659</v>
      </c>
      <c r="BJ644" s="2" t="s">
        <v>32</v>
      </c>
      <c r="BK644" s="2" t="s">
        <v>1660</v>
      </c>
      <c r="BL644" s="2">
        <v>0</v>
      </c>
      <c r="BM644" s="2" t="s">
        <v>32</v>
      </c>
      <c r="BN644" s="2" t="s">
        <v>32</v>
      </c>
      <c r="BO644" s="2" t="s">
        <v>1660</v>
      </c>
      <c r="BP644" s="2">
        <v>0</v>
      </c>
      <c r="BQ644" s="2" t="s">
        <v>1660</v>
      </c>
      <c r="BR644" s="2">
        <v>0</v>
      </c>
      <c r="BS644" s="2" t="s">
        <v>1660</v>
      </c>
      <c r="BT644" s="2">
        <v>0</v>
      </c>
      <c r="BU644" s="2">
        <v>0</v>
      </c>
      <c r="BV644" s="2" t="s">
        <v>1660</v>
      </c>
      <c r="BW644" s="2"/>
      <c r="BX644" s="2"/>
      <c r="BY644" s="2" t="s">
        <v>1807</v>
      </c>
      <c r="BZ644" s="2" t="b">
        <f>OR( (Dashboard[[#This Row],[ref_as_hh]]&gt;=1),(Dashboard[[#This Row],[ret_as_hh]] &gt;=1), (Dashboard[[#This Row],[idp_as_hh]]&gt;=1))</f>
        <v>0</v>
      </c>
      <c r="CA644" s="2">
        <f>Dashboard[[#This Row],[ret_hi_hh]]</f>
        <v>0</v>
      </c>
      <c r="CB644" s="2">
        <f>Dashboard[[#This Row],[idp_fa_hh]]+Dashboard[[#This Row],[ref_fa_hh]]+Dashboard[[#This Row],[ret_fa_hh]]</f>
        <v>35</v>
      </c>
      <c r="CC644" s="2">
        <f>Dashboard[[#This Row],[idp_loc_hh]]+Dashboard[[#This Row],[ref_loc_hh]]+Dashboard[[#This Row],[ret_loc_hh]]</f>
        <v>8</v>
      </c>
      <c r="CD644" s="2">
        <f>Dashboard[[#This Row],[idp_cc_hh]]+Dashboard[[#This Row],[ref_cc_hh]]+Dashboard[[#This Row],[ret_cc_hh]]</f>
        <v>0</v>
      </c>
      <c r="CE644" s="2">
        <f>Dashboard[[#This Row],[idp_as_hh]]+Dashboard[[#This Row],[ref_as_hh]]+Dashboard[[#This Row],[ret_as_hh]]</f>
        <v>0</v>
      </c>
      <c r="CF644" s="2">
        <f>Dashboard[[#This Row],[idp_al_hh]]+Dashboard[[#This Row],[ref_al_hh]]+Dashboard[[#This Row],[ret_al_hh]]</f>
        <v>0</v>
      </c>
    </row>
    <row r="645" spans="1:84" hidden="1" x14ac:dyDescent="0.25">
      <c r="A645" s="27">
        <v>597</v>
      </c>
      <c r="B645" s="2" t="s">
        <v>22</v>
      </c>
      <c r="C645" s="2" t="s">
        <v>23</v>
      </c>
      <c r="D645" s="2" t="s">
        <v>37</v>
      </c>
      <c r="E645" s="2" t="s">
        <v>36</v>
      </c>
      <c r="F645" s="2" t="s">
        <v>247</v>
      </c>
      <c r="G645" s="2" t="s">
        <v>246</v>
      </c>
      <c r="H645" s="2" t="s">
        <v>1453</v>
      </c>
      <c r="I645" s="2" t="s">
        <v>587</v>
      </c>
      <c r="J645" s="2" t="s">
        <v>3594</v>
      </c>
      <c r="K645" s="2" t="s">
        <v>3595</v>
      </c>
      <c r="L645" s="2" t="s">
        <v>2074</v>
      </c>
      <c r="M645" s="2">
        <v>4700</v>
      </c>
      <c r="N645" s="2" t="s">
        <v>1658</v>
      </c>
      <c r="O645" s="2">
        <v>40</v>
      </c>
      <c r="P645" s="2">
        <v>228</v>
      </c>
      <c r="Q645" s="2" t="s">
        <v>1658</v>
      </c>
      <c r="R645" s="2">
        <v>30</v>
      </c>
      <c r="S645" s="2" t="s">
        <v>1658</v>
      </c>
      <c r="T645" s="2">
        <v>10</v>
      </c>
      <c r="U645" s="2" t="s">
        <v>1659</v>
      </c>
      <c r="V645" s="2" t="s">
        <v>32</v>
      </c>
      <c r="W645" s="2" t="s">
        <v>1660</v>
      </c>
      <c r="X645" s="2">
        <v>0</v>
      </c>
      <c r="Y645" s="2" t="s">
        <v>32</v>
      </c>
      <c r="Z645" s="2" t="s">
        <v>32</v>
      </c>
      <c r="AA645" s="2" t="s">
        <v>1660</v>
      </c>
      <c r="AB645" s="2">
        <v>0</v>
      </c>
      <c r="AC645" s="2" t="s">
        <v>1660</v>
      </c>
      <c r="AD645" s="2">
        <v>0</v>
      </c>
      <c r="AE645" s="2" t="s">
        <v>1660</v>
      </c>
      <c r="AF645" s="2">
        <v>0</v>
      </c>
      <c r="AG645" s="2">
        <v>0</v>
      </c>
      <c r="AH645" s="2" t="s">
        <v>32</v>
      </c>
      <c r="AI645" s="2" t="s">
        <v>32</v>
      </c>
      <c r="AJ645" s="2" t="s">
        <v>32</v>
      </c>
      <c r="AK645" s="2" t="s">
        <v>32</v>
      </c>
      <c r="AL645" s="2" t="s">
        <v>32</v>
      </c>
      <c r="AM645" s="2">
        <v>0</v>
      </c>
      <c r="AN645" s="2" t="s">
        <v>32</v>
      </c>
      <c r="AO645" s="2">
        <v>0</v>
      </c>
      <c r="AP645" s="2" t="s">
        <v>32</v>
      </c>
      <c r="AQ645" s="2" t="s">
        <v>32</v>
      </c>
      <c r="AR645" s="2" t="s">
        <v>32</v>
      </c>
      <c r="AS645" s="2">
        <v>0</v>
      </c>
      <c r="AT645" s="2" t="s">
        <v>32</v>
      </c>
      <c r="AU645" s="2" t="s">
        <v>32</v>
      </c>
      <c r="AV645" s="2" t="s">
        <v>32</v>
      </c>
      <c r="AW645" s="2">
        <v>0</v>
      </c>
      <c r="AX645" s="2" t="s">
        <v>32</v>
      </c>
      <c r="AY645" s="2">
        <v>0</v>
      </c>
      <c r="AZ645" s="2" t="s">
        <v>1658</v>
      </c>
      <c r="BA645" s="2">
        <v>127</v>
      </c>
      <c r="BB645" s="2">
        <v>686</v>
      </c>
      <c r="BC645" s="2" t="s">
        <v>1660</v>
      </c>
      <c r="BD645" s="2">
        <v>0</v>
      </c>
      <c r="BE645" s="2" t="s">
        <v>1658</v>
      </c>
      <c r="BF645" s="2">
        <v>93</v>
      </c>
      <c r="BG645" s="2" t="s">
        <v>1658</v>
      </c>
      <c r="BH645" s="2">
        <v>34</v>
      </c>
      <c r="BI645" s="2" t="s">
        <v>1659</v>
      </c>
      <c r="BJ645" s="2" t="s">
        <v>32</v>
      </c>
      <c r="BK645" s="2" t="s">
        <v>1660</v>
      </c>
      <c r="BL645" s="2">
        <v>0</v>
      </c>
      <c r="BM645" s="2" t="s">
        <v>32</v>
      </c>
      <c r="BN645" s="2" t="s">
        <v>32</v>
      </c>
      <c r="BO645" s="2" t="s">
        <v>1660</v>
      </c>
      <c r="BP645" s="2">
        <v>0</v>
      </c>
      <c r="BQ645" s="2" t="s">
        <v>1660</v>
      </c>
      <c r="BR645" s="2">
        <v>0</v>
      </c>
      <c r="BS645" s="2" t="s">
        <v>1660</v>
      </c>
      <c r="BT645" s="2">
        <v>0</v>
      </c>
      <c r="BU645" s="2">
        <v>0</v>
      </c>
      <c r="BV645" s="2" t="s">
        <v>1660</v>
      </c>
      <c r="BW645" s="2"/>
      <c r="BX645" s="2"/>
      <c r="BY645" s="2" t="s">
        <v>1807</v>
      </c>
      <c r="BZ645" s="2" t="b">
        <f>OR( (Dashboard[[#This Row],[ref_as_hh]]&gt;=1),(Dashboard[[#This Row],[ret_as_hh]] &gt;=1), (Dashboard[[#This Row],[idp_as_hh]]&gt;=1))</f>
        <v>0</v>
      </c>
      <c r="CA645" s="2">
        <f>Dashboard[[#This Row],[ret_hi_hh]]</f>
        <v>0</v>
      </c>
      <c r="CB645" s="2">
        <f>Dashboard[[#This Row],[idp_fa_hh]]+Dashboard[[#This Row],[ref_fa_hh]]+Dashboard[[#This Row],[ret_fa_hh]]</f>
        <v>123</v>
      </c>
      <c r="CC645" s="2">
        <f>Dashboard[[#This Row],[idp_loc_hh]]+Dashboard[[#This Row],[ref_loc_hh]]+Dashboard[[#This Row],[ret_loc_hh]]</f>
        <v>44</v>
      </c>
      <c r="CD645" s="2">
        <f>Dashboard[[#This Row],[idp_cc_hh]]+Dashboard[[#This Row],[ref_cc_hh]]+Dashboard[[#This Row],[ret_cc_hh]]</f>
        <v>0</v>
      </c>
      <c r="CE645" s="2">
        <f>Dashboard[[#This Row],[idp_as_hh]]+Dashboard[[#This Row],[ref_as_hh]]+Dashboard[[#This Row],[ret_as_hh]]</f>
        <v>0</v>
      </c>
      <c r="CF645" s="2">
        <f>Dashboard[[#This Row],[idp_al_hh]]+Dashboard[[#This Row],[ref_al_hh]]+Dashboard[[#This Row],[ret_al_hh]]</f>
        <v>0</v>
      </c>
    </row>
    <row r="646" spans="1:84" hidden="1" x14ac:dyDescent="0.25">
      <c r="A646" s="27">
        <v>619</v>
      </c>
      <c r="B646" s="2" t="s">
        <v>22</v>
      </c>
      <c r="C646" s="2" t="s">
        <v>23</v>
      </c>
      <c r="D646" s="2" t="s">
        <v>37</v>
      </c>
      <c r="E646" s="2" t="s">
        <v>36</v>
      </c>
      <c r="F646" s="2" t="s">
        <v>247</v>
      </c>
      <c r="G646" s="2" t="s">
        <v>246</v>
      </c>
      <c r="H646" s="2" t="s">
        <v>1444</v>
      </c>
      <c r="I646" s="2" t="s">
        <v>580</v>
      </c>
      <c r="J646" s="2" t="s">
        <v>3572</v>
      </c>
      <c r="K646" s="2" t="s">
        <v>3573</v>
      </c>
      <c r="L646" s="2" t="s">
        <v>2074</v>
      </c>
      <c r="M646" s="2">
        <v>4500</v>
      </c>
      <c r="N646" s="2" t="s">
        <v>1658</v>
      </c>
      <c r="O646" s="2">
        <v>70</v>
      </c>
      <c r="P646" s="2">
        <v>350</v>
      </c>
      <c r="Q646" s="2" t="s">
        <v>1658</v>
      </c>
      <c r="R646" s="2">
        <v>70</v>
      </c>
      <c r="S646" s="2" t="s">
        <v>1660</v>
      </c>
      <c r="T646" s="2">
        <v>0</v>
      </c>
      <c r="U646" s="2" t="s">
        <v>32</v>
      </c>
      <c r="V646" s="2" t="s">
        <v>32</v>
      </c>
      <c r="W646" s="2" t="s">
        <v>1660</v>
      </c>
      <c r="X646" s="2">
        <v>0</v>
      </c>
      <c r="Y646" s="2" t="s">
        <v>32</v>
      </c>
      <c r="Z646" s="2" t="s">
        <v>32</v>
      </c>
      <c r="AA646" s="2" t="s">
        <v>1660</v>
      </c>
      <c r="AB646" s="2">
        <v>0</v>
      </c>
      <c r="AC646" s="2" t="s">
        <v>1660</v>
      </c>
      <c r="AD646" s="2">
        <v>0</v>
      </c>
      <c r="AE646" s="2" t="s">
        <v>1658</v>
      </c>
      <c r="AF646" s="2">
        <v>32</v>
      </c>
      <c r="AG646" s="2">
        <v>160</v>
      </c>
      <c r="AH646" s="2" t="s">
        <v>1660</v>
      </c>
      <c r="AI646" s="2" t="s">
        <v>32</v>
      </c>
      <c r="AJ646" s="2" t="s">
        <v>32</v>
      </c>
      <c r="AK646" s="2" t="s">
        <v>32</v>
      </c>
      <c r="AL646" s="2" t="s">
        <v>1658</v>
      </c>
      <c r="AM646" s="2">
        <v>32</v>
      </c>
      <c r="AN646" s="2" t="s">
        <v>1660</v>
      </c>
      <c r="AO646" s="2">
        <v>0</v>
      </c>
      <c r="AP646" s="2" t="s">
        <v>32</v>
      </c>
      <c r="AQ646" s="2" t="s">
        <v>32</v>
      </c>
      <c r="AR646" s="2" t="s">
        <v>1660</v>
      </c>
      <c r="AS646" s="2">
        <v>0</v>
      </c>
      <c r="AT646" s="2" t="s">
        <v>32</v>
      </c>
      <c r="AU646" s="2" t="s">
        <v>32</v>
      </c>
      <c r="AV646" s="2" t="s">
        <v>1660</v>
      </c>
      <c r="AW646" s="2">
        <v>0</v>
      </c>
      <c r="AX646" s="2" t="s">
        <v>1660</v>
      </c>
      <c r="AY646" s="2">
        <v>0</v>
      </c>
      <c r="AZ646" s="2" t="s">
        <v>1658</v>
      </c>
      <c r="BA646" s="2">
        <v>20</v>
      </c>
      <c r="BB646" s="2">
        <v>100</v>
      </c>
      <c r="BC646" s="2" t="s">
        <v>1658</v>
      </c>
      <c r="BD646" s="2">
        <v>5</v>
      </c>
      <c r="BE646" s="2" t="s">
        <v>1658</v>
      </c>
      <c r="BF646" s="2">
        <v>15</v>
      </c>
      <c r="BG646" s="2" t="s">
        <v>1660</v>
      </c>
      <c r="BH646" s="2">
        <v>0</v>
      </c>
      <c r="BI646" s="2" t="s">
        <v>32</v>
      </c>
      <c r="BJ646" s="2" t="s">
        <v>32</v>
      </c>
      <c r="BK646" s="2" t="s">
        <v>1660</v>
      </c>
      <c r="BL646" s="2">
        <v>0</v>
      </c>
      <c r="BM646" s="2" t="s">
        <v>32</v>
      </c>
      <c r="BN646" s="2" t="s">
        <v>32</v>
      </c>
      <c r="BO646" s="2" t="s">
        <v>1660</v>
      </c>
      <c r="BP646" s="2">
        <v>0</v>
      </c>
      <c r="BQ646" s="2" t="s">
        <v>1660</v>
      </c>
      <c r="BR646" s="2">
        <v>0</v>
      </c>
      <c r="BS646" s="2" t="s">
        <v>1660</v>
      </c>
      <c r="BT646" s="2">
        <v>0</v>
      </c>
      <c r="BU646" s="2">
        <v>0</v>
      </c>
      <c r="BV646" s="2" t="s">
        <v>1660</v>
      </c>
      <c r="BW646" s="2"/>
      <c r="BX646" s="2"/>
      <c r="BY646" s="2" t="s">
        <v>1807</v>
      </c>
      <c r="BZ646" s="2" t="b">
        <f>OR( (Dashboard[[#This Row],[ref_as_hh]]&gt;=1),(Dashboard[[#This Row],[ret_as_hh]] &gt;=1), (Dashboard[[#This Row],[idp_as_hh]]&gt;=1))</f>
        <v>0</v>
      </c>
      <c r="CA646" s="2">
        <f>Dashboard[[#This Row],[ret_hi_hh]]</f>
        <v>5</v>
      </c>
      <c r="CB646" s="2">
        <f>Dashboard[[#This Row],[idp_fa_hh]]+Dashboard[[#This Row],[ref_fa_hh]]+Dashboard[[#This Row],[ret_fa_hh]]</f>
        <v>117</v>
      </c>
      <c r="CC646" s="2">
        <f>Dashboard[[#This Row],[idp_loc_hh]]+Dashboard[[#This Row],[ref_loc_hh]]+Dashboard[[#This Row],[ret_loc_hh]]</f>
        <v>0</v>
      </c>
      <c r="CD646" s="2">
        <f>Dashboard[[#This Row],[idp_cc_hh]]+Dashboard[[#This Row],[ref_cc_hh]]+Dashboard[[#This Row],[ret_cc_hh]]</f>
        <v>0</v>
      </c>
      <c r="CE646" s="2">
        <f>Dashboard[[#This Row],[idp_as_hh]]+Dashboard[[#This Row],[ref_as_hh]]+Dashboard[[#This Row],[ret_as_hh]]</f>
        <v>0</v>
      </c>
      <c r="CF646" s="2">
        <f>Dashboard[[#This Row],[idp_al_hh]]+Dashboard[[#This Row],[ref_al_hh]]+Dashboard[[#This Row],[ret_al_hh]]</f>
        <v>0</v>
      </c>
    </row>
    <row r="647" spans="1:84" hidden="1" x14ac:dyDescent="0.25">
      <c r="A647" s="27">
        <v>633</v>
      </c>
      <c r="B647" s="2" t="s">
        <v>22</v>
      </c>
      <c r="C647" s="2" t="s">
        <v>23</v>
      </c>
      <c r="D647" s="2" t="s">
        <v>37</v>
      </c>
      <c r="E647" s="2" t="s">
        <v>36</v>
      </c>
      <c r="F647" s="2" t="s">
        <v>247</v>
      </c>
      <c r="G647" s="2" t="s">
        <v>246</v>
      </c>
      <c r="H647" s="2" t="s">
        <v>1457</v>
      </c>
      <c r="I647" s="2" t="s">
        <v>1968</v>
      </c>
      <c r="J647" s="2" t="s">
        <v>3602</v>
      </c>
      <c r="K647" s="2" t="s">
        <v>3603</v>
      </c>
      <c r="L647" s="2" t="s">
        <v>2074</v>
      </c>
      <c r="M647" s="2">
        <v>5500</v>
      </c>
      <c r="N647" s="2" t="s">
        <v>1658</v>
      </c>
      <c r="O647" s="2">
        <v>62</v>
      </c>
      <c r="P647" s="2">
        <v>375</v>
      </c>
      <c r="Q647" s="2" t="s">
        <v>1658</v>
      </c>
      <c r="R647" s="2">
        <v>55</v>
      </c>
      <c r="S647" s="2" t="s">
        <v>1658</v>
      </c>
      <c r="T647" s="2">
        <v>7</v>
      </c>
      <c r="U647" s="2" t="s">
        <v>1661</v>
      </c>
      <c r="V647" s="2" t="s">
        <v>32</v>
      </c>
      <c r="W647" s="2" t="s">
        <v>1660</v>
      </c>
      <c r="X647" s="2">
        <v>0</v>
      </c>
      <c r="Y647" s="2" t="s">
        <v>32</v>
      </c>
      <c r="Z647" s="2" t="s">
        <v>32</v>
      </c>
      <c r="AA647" s="2" t="s">
        <v>1660</v>
      </c>
      <c r="AB647" s="2">
        <v>0</v>
      </c>
      <c r="AC647" s="2" t="s">
        <v>1660</v>
      </c>
      <c r="AD647" s="2">
        <v>0</v>
      </c>
      <c r="AE647" s="2" t="s">
        <v>1660</v>
      </c>
      <c r="AF647" s="2">
        <v>0</v>
      </c>
      <c r="AG647" s="2">
        <v>0</v>
      </c>
      <c r="AH647" s="2" t="s">
        <v>32</v>
      </c>
      <c r="AI647" s="2" t="s">
        <v>32</v>
      </c>
      <c r="AJ647" s="2" t="s">
        <v>32</v>
      </c>
      <c r="AK647" s="2" t="s">
        <v>32</v>
      </c>
      <c r="AL647" s="2" t="s">
        <v>32</v>
      </c>
      <c r="AM647" s="2">
        <v>0</v>
      </c>
      <c r="AN647" s="2" t="s">
        <v>32</v>
      </c>
      <c r="AO647" s="2">
        <v>0</v>
      </c>
      <c r="AP647" s="2" t="s">
        <v>32</v>
      </c>
      <c r="AQ647" s="2" t="s">
        <v>32</v>
      </c>
      <c r="AR647" s="2" t="s">
        <v>32</v>
      </c>
      <c r="AS647" s="2">
        <v>0</v>
      </c>
      <c r="AT647" s="2" t="s">
        <v>32</v>
      </c>
      <c r="AU647" s="2" t="s">
        <v>32</v>
      </c>
      <c r="AV647" s="2" t="s">
        <v>32</v>
      </c>
      <c r="AW647" s="2">
        <v>0</v>
      </c>
      <c r="AX647" s="2" t="s">
        <v>32</v>
      </c>
      <c r="AY647" s="2">
        <v>0</v>
      </c>
      <c r="AZ647" s="2" t="s">
        <v>1658</v>
      </c>
      <c r="BA647" s="2">
        <v>11</v>
      </c>
      <c r="BB647" s="2">
        <v>67</v>
      </c>
      <c r="BC647" s="2" t="s">
        <v>1660</v>
      </c>
      <c r="BD647" s="2">
        <v>0</v>
      </c>
      <c r="BE647" s="2" t="s">
        <v>1658</v>
      </c>
      <c r="BF647" s="2">
        <v>6</v>
      </c>
      <c r="BG647" s="2" t="s">
        <v>1658</v>
      </c>
      <c r="BH647" s="2">
        <v>5</v>
      </c>
      <c r="BI647" s="2" t="s">
        <v>1659</v>
      </c>
      <c r="BJ647" s="2" t="s">
        <v>32</v>
      </c>
      <c r="BK647" s="2" t="s">
        <v>1660</v>
      </c>
      <c r="BL647" s="2">
        <v>0</v>
      </c>
      <c r="BM647" s="2" t="s">
        <v>32</v>
      </c>
      <c r="BN647" s="2" t="s">
        <v>32</v>
      </c>
      <c r="BO647" s="2" t="s">
        <v>1660</v>
      </c>
      <c r="BP647" s="2">
        <v>0</v>
      </c>
      <c r="BQ647" s="2" t="s">
        <v>1660</v>
      </c>
      <c r="BR647" s="2">
        <v>0</v>
      </c>
      <c r="BS647" s="2" t="s">
        <v>1660</v>
      </c>
      <c r="BT647" s="2">
        <v>0</v>
      </c>
      <c r="BU647" s="2">
        <v>0</v>
      </c>
      <c r="BV647" s="2" t="s">
        <v>1660</v>
      </c>
      <c r="BW647" s="2"/>
      <c r="BX647" s="2"/>
      <c r="BY647" s="2" t="s">
        <v>1807</v>
      </c>
      <c r="BZ647" s="2" t="b">
        <f>OR( (Dashboard[[#This Row],[ref_as_hh]]&gt;=1),(Dashboard[[#This Row],[ret_as_hh]] &gt;=1), (Dashboard[[#This Row],[idp_as_hh]]&gt;=1))</f>
        <v>0</v>
      </c>
      <c r="CA647" s="2">
        <f>Dashboard[[#This Row],[ret_hi_hh]]</f>
        <v>0</v>
      </c>
      <c r="CB647" s="2">
        <f>Dashboard[[#This Row],[idp_fa_hh]]+Dashboard[[#This Row],[ref_fa_hh]]+Dashboard[[#This Row],[ret_fa_hh]]</f>
        <v>61</v>
      </c>
      <c r="CC647" s="2">
        <f>Dashboard[[#This Row],[idp_loc_hh]]+Dashboard[[#This Row],[ref_loc_hh]]+Dashboard[[#This Row],[ret_loc_hh]]</f>
        <v>12</v>
      </c>
      <c r="CD647" s="2">
        <f>Dashboard[[#This Row],[idp_cc_hh]]+Dashboard[[#This Row],[ref_cc_hh]]+Dashboard[[#This Row],[ret_cc_hh]]</f>
        <v>0</v>
      </c>
      <c r="CE647" s="2">
        <f>Dashboard[[#This Row],[idp_as_hh]]+Dashboard[[#This Row],[ref_as_hh]]+Dashboard[[#This Row],[ret_as_hh]]</f>
        <v>0</v>
      </c>
      <c r="CF647" s="2">
        <f>Dashboard[[#This Row],[idp_al_hh]]+Dashboard[[#This Row],[ref_al_hh]]+Dashboard[[#This Row],[ret_al_hh]]</f>
        <v>0</v>
      </c>
    </row>
    <row r="648" spans="1:84" hidden="1" x14ac:dyDescent="0.25">
      <c r="A648" s="27">
        <v>634</v>
      </c>
      <c r="B648" s="2" t="s">
        <v>22</v>
      </c>
      <c r="C648" s="2" t="s">
        <v>23</v>
      </c>
      <c r="D648" s="2" t="s">
        <v>37</v>
      </c>
      <c r="E648" s="2" t="s">
        <v>36</v>
      </c>
      <c r="F648" s="2" t="s">
        <v>247</v>
      </c>
      <c r="G648" s="2" t="s">
        <v>246</v>
      </c>
      <c r="H648" s="2" t="s">
        <v>1462</v>
      </c>
      <c r="I648" s="2" t="s">
        <v>594</v>
      </c>
      <c r="J648" s="2" t="s">
        <v>3612</v>
      </c>
      <c r="K648" s="2" t="s">
        <v>3613</v>
      </c>
      <c r="L648" s="2" t="s">
        <v>2074</v>
      </c>
      <c r="M648" s="2">
        <v>2700</v>
      </c>
      <c r="N648" s="2" t="s">
        <v>1658</v>
      </c>
      <c r="O648" s="2">
        <v>49</v>
      </c>
      <c r="P648" s="2">
        <v>243</v>
      </c>
      <c r="Q648" s="2" t="s">
        <v>1658</v>
      </c>
      <c r="R648" s="2">
        <v>45</v>
      </c>
      <c r="S648" s="2" t="s">
        <v>1658</v>
      </c>
      <c r="T648" s="2">
        <v>4</v>
      </c>
      <c r="U648" s="2" t="s">
        <v>1661</v>
      </c>
      <c r="V648" s="2" t="s">
        <v>32</v>
      </c>
      <c r="W648" s="2" t="s">
        <v>1660</v>
      </c>
      <c r="X648" s="2">
        <v>0</v>
      </c>
      <c r="Y648" s="2" t="s">
        <v>32</v>
      </c>
      <c r="Z648" s="2" t="s">
        <v>32</v>
      </c>
      <c r="AA648" s="2" t="s">
        <v>1660</v>
      </c>
      <c r="AB648" s="2">
        <v>0</v>
      </c>
      <c r="AC648" s="2" t="s">
        <v>1660</v>
      </c>
      <c r="AD648" s="2">
        <v>0</v>
      </c>
      <c r="AE648" s="2" t="s">
        <v>1660</v>
      </c>
      <c r="AF648" s="2">
        <v>0</v>
      </c>
      <c r="AG648" s="2">
        <v>0</v>
      </c>
      <c r="AH648" s="2" t="s">
        <v>32</v>
      </c>
      <c r="AI648" s="2" t="s">
        <v>32</v>
      </c>
      <c r="AJ648" s="2" t="s">
        <v>32</v>
      </c>
      <c r="AK648" s="2" t="s">
        <v>32</v>
      </c>
      <c r="AL648" s="2" t="s">
        <v>32</v>
      </c>
      <c r="AM648" s="2">
        <v>0</v>
      </c>
      <c r="AN648" s="2" t="s">
        <v>32</v>
      </c>
      <c r="AO648" s="2">
        <v>0</v>
      </c>
      <c r="AP648" s="2" t="s">
        <v>32</v>
      </c>
      <c r="AQ648" s="2" t="s">
        <v>32</v>
      </c>
      <c r="AR648" s="2" t="s">
        <v>32</v>
      </c>
      <c r="AS648" s="2">
        <v>0</v>
      </c>
      <c r="AT648" s="2" t="s">
        <v>32</v>
      </c>
      <c r="AU648" s="2" t="s">
        <v>32</v>
      </c>
      <c r="AV648" s="2" t="s">
        <v>32</v>
      </c>
      <c r="AW648" s="2">
        <v>0</v>
      </c>
      <c r="AX648" s="2" t="s">
        <v>32</v>
      </c>
      <c r="AY648" s="2">
        <v>0</v>
      </c>
      <c r="AZ648" s="2" t="s">
        <v>1658</v>
      </c>
      <c r="BA648" s="2">
        <v>7</v>
      </c>
      <c r="BB648" s="2">
        <v>37</v>
      </c>
      <c r="BC648" s="2" t="s">
        <v>1660</v>
      </c>
      <c r="BD648" s="2">
        <v>0</v>
      </c>
      <c r="BE648" s="2" t="s">
        <v>1658</v>
      </c>
      <c r="BF648" s="2">
        <v>5</v>
      </c>
      <c r="BG648" s="2" t="s">
        <v>1658</v>
      </c>
      <c r="BH648" s="2">
        <v>2</v>
      </c>
      <c r="BI648" s="2" t="s">
        <v>1661</v>
      </c>
      <c r="BJ648" s="2" t="s">
        <v>32</v>
      </c>
      <c r="BK648" s="2" t="s">
        <v>1660</v>
      </c>
      <c r="BL648" s="2">
        <v>0</v>
      </c>
      <c r="BM648" s="2" t="s">
        <v>32</v>
      </c>
      <c r="BN648" s="2" t="s">
        <v>32</v>
      </c>
      <c r="BO648" s="2" t="s">
        <v>1660</v>
      </c>
      <c r="BP648" s="2">
        <v>0</v>
      </c>
      <c r="BQ648" s="2" t="s">
        <v>1660</v>
      </c>
      <c r="BR648" s="2">
        <v>0</v>
      </c>
      <c r="BS648" s="2" t="s">
        <v>1660</v>
      </c>
      <c r="BT648" s="2">
        <v>0</v>
      </c>
      <c r="BU648" s="2">
        <v>0</v>
      </c>
      <c r="BV648" s="2" t="s">
        <v>1660</v>
      </c>
      <c r="BW648" s="2"/>
      <c r="BX648" s="2"/>
      <c r="BY648" s="2" t="s">
        <v>1807</v>
      </c>
      <c r="BZ648" s="2" t="b">
        <f>OR( (Dashboard[[#This Row],[ref_as_hh]]&gt;=1),(Dashboard[[#This Row],[ret_as_hh]] &gt;=1), (Dashboard[[#This Row],[idp_as_hh]]&gt;=1))</f>
        <v>0</v>
      </c>
      <c r="CA648" s="2">
        <f>Dashboard[[#This Row],[ret_hi_hh]]</f>
        <v>0</v>
      </c>
      <c r="CB648" s="2">
        <f>Dashboard[[#This Row],[idp_fa_hh]]+Dashboard[[#This Row],[ref_fa_hh]]+Dashboard[[#This Row],[ret_fa_hh]]</f>
        <v>50</v>
      </c>
      <c r="CC648" s="2">
        <f>Dashboard[[#This Row],[idp_loc_hh]]+Dashboard[[#This Row],[ref_loc_hh]]+Dashboard[[#This Row],[ret_loc_hh]]</f>
        <v>6</v>
      </c>
      <c r="CD648" s="2">
        <f>Dashboard[[#This Row],[idp_cc_hh]]+Dashboard[[#This Row],[ref_cc_hh]]+Dashboard[[#This Row],[ret_cc_hh]]</f>
        <v>0</v>
      </c>
      <c r="CE648" s="2">
        <f>Dashboard[[#This Row],[idp_as_hh]]+Dashboard[[#This Row],[ref_as_hh]]+Dashboard[[#This Row],[ret_as_hh]]</f>
        <v>0</v>
      </c>
      <c r="CF648" s="2">
        <f>Dashboard[[#This Row],[idp_al_hh]]+Dashboard[[#This Row],[ref_al_hh]]+Dashboard[[#This Row],[ret_al_hh]]</f>
        <v>0</v>
      </c>
    </row>
    <row r="649" spans="1:84" hidden="1" x14ac:dyDescent="0.25">
      <c r="A649" s="27">
        <v>635</v>
      </c>
      <c r="B649" s="2" t="s">
        <v>22</v>
      </c>
      <c r="C649" s="2" t="s">
        <v>23</v>
      </c>
      <c r="D649" s="2" t="s">
        <v>37</v>
      </c>
      <c r="E649" s="2" t="s">
        <v>36</v>
      </c>
      <c r="F649" s="2" t="s">
        <v>247</v>
      </c>
      <c r="G649" s="2" t="s">
        <v>246</v>
      </c>
      <c r="H649" s="2" t="s">
        <v>1463</v>
      </c>
      <c r="I649" s="2" t="s">
        <v>595</v>
      </c>
      <c r="J649" s="2" t="s">
        <v>3614</v>
      </c>
      <c r="K649" s="2" t="s">
        <v>3615</v>
      </c>
      <c r="L649" s="2" t="s">
        <v>2074</v>
      </c>
      <c r="M649" s="2">
        <v>7429</v>
      </c>
      <c r="N649" s="2" t="s">
        <v>1658</v>
      </c>
      <c r="O649" s="2">
        <v>60</v>
      </c>
      <c r="P649" s="2">
        <v>356</v>
      </c>
      <c r="Q649" s="2" t="s">
        <v>1658</v>
      </c>
      <c r="R649" s="2">
        <v>60</v>
      </c>
      <c r="S649" s="2" t="s">
        <v>1660</v>
      </c>
      <c r="T649" s="2">
        <v>0</v>
      </c>
      <c r="U649" s="2" t="s">
        <v>32</v>
      </c>
      <c r="V649" s="2" t="s">
        <v>32</v>
      </c>
      <c r="W649" s="2" t="s">
        <v>1660</v>
      </c>
      <c r="X649" s="2">
        <v>0</v>
      </c>
      <c r="Y649" s="2" t="s">
        <v>32</v>
      </c>
      <c r="Z649" s="2" t="s">
        <v>32</v>
      </c>
      <c r="AA649" s="2" t="s">
        <v>1660</v>
      </c>
      <c r="AB649" s="2">
        <v>0</v>
      </c>
      <c r="AC649" s="2" t="s">
        <v>1660</v>
      </c>
      <c r="AD649" s="2">
        <v>0</v>
      </c>
      <c r="AE649" s="2" t="s">
        <v>1660</v>
      </c>
      <c r="AF649" s="2">
        <v>0</v>
      </c>
      <c r="AG649" s="2">
        <v>0</v>
      </c>
      <c r="AH649" s="2" t="s">
        <v>32</v>
      </c>
      <c r="AI649" s="2" t="s">
        <v>32</v>
      </c>
      <c r="AJ649" s="2" t="s">
        <v>32</v>
      </c>
      <c r="AK649" s="2" t="s">
        <v>32</v>
      </c>
      <c r="AL649" s="2" t="s">
        <v>32</v>
      </c>
      <c r="AM649" s="2">
        <v>0</v>
      </c>
      <c r="AN649" s="2" t="s">
        <v>32</v>
      </c>
      <c r="AO649" s="2">
        <v>0</v>
      </c>
      <c r="AP649" s="2" t="s">
        <v>32</v>
      </c>
      <c r="AQ649" s="2" t="s">
        <v>32</v>
      </c>
      <c r="AR649" s="2" t="s">
        <v>32</v>
      </c>
      <c r="AS649" s="2">
        <v>0</v>
      </c>
      <c r="AT649" s="2" t="s">
        <v>32</v>
      </c>
      <c r="AU649" s="2" t="s">
        <v>32</v>
      </c>
      <c r="AV649" s="2" t="s">
        <v>32</v>
      </c>
      <c r="AW649" s="2">
        <v>0</v>
      </c>
      <c r="AX649" s="2" t="s">
        <v>32</v>
      </c>
      <c r="AY649" s="2">
        <v>0</v>
      </c>
      <c r="AZ649" s="2" t="s">
        <v>1658</v>
      </c>
      <c r="BA649" s="2">
        <v>8</v>
      </c>
      <c r="BB649" s="2">
        <v>40</v>
      </c>
      <c r="BC649" s="2" t="s">
        <v>1658</v>
      </c>
      <c r="BD649" s="2">
        <v>8</v>
      </c>
      <c r="BE649" s="2" t="s">
        <v>1660</v>
      </c>
      <c r="BF649" s="2">
        <v>0</v>
      </c>
      <c r="BG649" s="2" t="s">
        <v>1660</v>
      </c>
      <c r="BH649" s="2">
        <v>0</v>
      </c>
      <c r="BI649" s="2" t="s">
        <v>32</v>
      </c>
      <c r="BJ649" s="2" t="s">
        <v>32</v>
      </c>
      <c r="BK649" s="2" t="s">
        <v>1660</v>
      </c>
      <c r="BL649" s="2">
        <v>0</v>
      </c>
      <c r="BM649" s="2" t="s">
        <v>32</v>
      </c>
      <c r="BN649" s="2" t="s">
        <v>32</v>
      </c>
      <c r="BO649" s="2" t="s">
        <v>1660</v>
      </c>
      <c r="BP649" s="2">
        <v>0</v>
      </c>
      <c r="BQ649" s="2" t="s">
        <v>1660</v>
      </c>
      <c r="BR649" s="2">
        <v>0</v>
      </c>
      <c r="BS649" s="2" t="s">
        <v>1660</v>
      </c>
      <c r="BT649" s="2">
        <v>0</v>
      </c>
      <c r="BU649" s="2">
        <v>0</v>
      </c>
      <c r="BV649" s="2" t="s">
        <v>1660</v>
      </c>
      <c r="BW649" s="2"/>
      <c r="BX649" s="2"/>
      <c r="BY649" s="2" t="s">
        <v>1807</v>
      </c>
      <c r="BZ649" s="2" t="b">
        <f>OR( (Dashboard[[#This Row],[ref_as_hh]]&gt;=1),(Dashboard[[#This Row],[ret_as_hh]] &gt;=1), (Dashboard[[#This Row],[idp_as_hh]]&gt;=1))</f>
        <v>0</v>
      </c>
      <c r="CA649" s="2">
        <f>Dashboard[[#This Row],[ret_hi_hh]]</f>
        <v>8</v>
      </c>
      <c r="CB649" s="2">
        <f>Dashboard[[#This Row],[idp_fa_hh]]+Dashboard[[#This Row],[ref_fa_hh]]+Dashboard[[#This Row],[ret_fa_hh]]</f>
        <v>60</v>
      </c>
      <c r="CC649" s="2">
        <f>Dashboard[[#This Row],[idp_loc_hh]]+Dashboard[[#This Row],[ref_loc_hh]]+Dashboard[[#This Row],[ret_loc_hh]]</f>
        <v>0</v>
      </c>
      <c r="CD649" s="2">
        <f>Dashboard[[#This Row],[idp_cc_hh]]+Dashboard[[#This Row],[ref_cc_hh]]+Dashboard[[#This Row],[ret_cc_hh]]</f>
        <v>0</v>
      </c>
      <c r="CE649" s="2">
        <f>Dashboard[[#This Row],[idp_as_hh]]+Dashboard[[#This Row],[ref_as_hh]]+Dashboard[[#This Row],[ret_as_hh]]</f>
        <v>0</v>
      </c>
      <c r="CF649" s="2">
        <f>Dashboard[[#This Row],[idp_al_hh]]+Dashboard[[#This Row],[ref_al_hh]]+Dashboard[[#This Row],[ret_al_hh]]</f>
        <v>0</v>
      </c>
    </row>
    <row r="650" spans="1:84" hidden="1" x14ac:dyDescent="0.25">
      <c r="A650" s="27">
        <v>636</v>
      </c>
      <c r="B650" s="2" t="s">
        <v>22</v>
      </c>
      <c r="C650" s="2" t="s">
        <v>23</v>
      </c>
      <c r="D650" s="2" t="s">
        <v>37</v>
      </c>
      <c r="E650" s="2" t="s">
        <v>36</v>
      </c>
      <c r="F650" s="2" t="s">
        <v>247</v>
      </c>
      <c r="G650" s="2" t="s">
        <v>246</v>
      </c>
      <c r="H650" s="2" t="s">
        <v>1442</v>
      </c>
      <c r="I650" s="2" t="s">
        <v>578</v>
      </c>
      <c r="J650" s="2" t="s">
        <v>3568</v>
      </c>
      <c r="K650" s="2" t="s">
        <v>3569</v>
      </c>
      <c r="L650" s="2" t="s">
        <v>2074</v>
      </c>
      <c r="M650" s="2">
        <v>1030</v>
      </c>
      <c r="N650" s="2" t="s">
        <v>1658</v>
      </c>
      <c r="O650" s="2">
        <v>2</v>
      </c>
      <c r="P650" s="2">
        <v>14</v>
      </c>
      <c r="Q650" s="2" t="s">
        <v>1658</v>
      </c>
      <c r="R650" s="2">
        <v>2</v>
      </c>
      <c r="S650" s="2" t="s">
        <v>1660</v>
      </c>
      <c r="T650" s="2">
        <v>0</v>
      </c>
      <c r="U650" s="2" t="s">
        <v>32</v>
      </c>
      <c r="V650" s="2" t="s">
        <v>32</v>
      </c>
      <c r="W650" s="2" t="s">
        <v>1660</v>
      </c>
      <c r="X650" s="2">
        <v>0</v>
      </c>
      <c r="Y650" s="2" t="s">
        <v>32</v>
      </c>
      <c r="Z650" s="2" t="s">
        <v>32</v>
      </c>
      <c r="AA650" s="2" t="s">
        <v>1660</v>
      </c>
      <c r="AB650" s="2">
        <v>0</v>
      </c>
      <c r="AC650" s="2" t="s">
        <v>1660</v>
      </c>
      <c r="AD650" s="2">
        <v>0</v>
      </c>
      <c r="AE650" s="2" t="s">
        <v>1660</v>
      </c>
      <c r="AF650" s="2">
        <v>0</v>
      </c>
      <c r="AG650" s="2">
        <v>0</v>
      </c>
      <c r="AH650" s="2" t="s">
        <v>32</v>
      </c>
      <c r="AI650" s="2" t="s">
        <v>32</v>
      </c>
      <c r="AJ650" s="2" t="s">
        <v>32</v>
      </c>
      <c r="AK650" s="2" t="s">
        <v>32</v>
      </c>
      <c r="AL650" s="2" t="s">
        <v>32</v>
      </c>
      <c r="AM650" s="2">
        <v>0</v>
      </c>
      <c r="AN650" s="2" t="s">
        <v>32</v>
      </c>
      <c r="AO650" s="2">
        <v>0</v>
      </c>
      <c r="AP650" s="2" t="s">
        <v>32</v>
      </c>
      <c r="AQ650" s="2" t="s">
        <v>32</v>
      </c>
      <c r="AR650" s="2" t="s">
        <v>32</v>
      </c>
      <c r="AS650" s="2">
        <v>0</v>
      </c>
      <c r="AT650" s="2" t="s">
        <v>32</v>
      </c>
      <c r="AU650" s="2" t="s">
        <v>32</v>
      </c>
      <c r="AV650" s="2" t="s">
        <v>32</v>
      </c>
      <c r="AW650" s="2">
        <v>0</v>
      </c>
      <c r="AX650" s="2" t="s">
        <v>32</v>
      </c>
      <c r="AY650" s="2">
        <v>0</v>
      </c>
      <c r="AZ650" s="2" t="s">
        <v>1660</v>
      </c>
      <c r="BA650" s="2">
        <v>0</v>
      </c>
      <c r="BB650" s="2">
        <v>0</v>
      </c>
      <c r="BC650" s="2" t="s">
        <v>32</v>
      </c>
      <c r="BD650" s="2">
        <v>0</v>
      </c>
      <c r="BE650" s="2" t="s">
        <v>32</v>
      </c>
      <c r="BF650" s="2">
        <v>0</v>
      </c>
      <c r="BG650" s="2" t="s">
        <v>32</v>
      </c>
      <c r="BH650" s="2">
        <v>0</v>
      </c>
      <c r="BI650" s="2" t="s">
        <v>32</v>
      </c>
      <c r="BJ650" s="2" t="s">
        <v>32</v>
      </c>
      <c r="BK650" s="2" t="s">
        <v>32</v>
      </c>
      <c r="BL650" s="2">
        <v>0</v>
      </c>
      <c r="BM650" s="2" t="s">
        <v>32</v>
      </c>
      <c r="BN650" s="2" t="s">
        <v>32</v>
      </c>
      <c r="BO650" s="2" t="s">
        <v>32</v>
      </c>
      <c r="BP650" s="2">
        <v>0</v>
      </c>
      <c r="BQ650" s="2" t="s">
        <v>32</v>
      </c>
      <c r="BR650" s="2">
        <v>0</v>
      </c>
      <c r="BS650" s="2" t="s">
        <v>1660</v>
      </c>
      <c r="BT650" s="2">
        <v>0</v>
      </c>
      <c r="BU650" s="2">
        <v>0</v>
      </c>
      <c r="BV650" s="2" t="s">
        <v>1660</v>
      </c>
      <c r="BW650" s="2"/>
      <c r="BX650" s="2"/>
      <c r="BY650" s="2" t="s">
        <v>1807</v>
      </c>
      <c r="BZ650" s="2" t="b">
        <f>OR( (Dashboard[[#This Row],[ref_as_hh]]&gt;=1),(Dashboard[[#This Row],[ret_as_hh]] &gt;=1), (Dashboard[[#This Row],[idp_as_hh]]&gt;=1))</f>
        <v>0</v>
      </c>
      <c r="CA650" s="2">
        <f>Dashboard[[#This Row],[ret_hi_hh]]</f>
        <v>0</v>
      </c>
      <c r="CB650" s="2">
        <f>Dashboard[[#This Row],[idp_fa_hh]]+Dashboard[[#This Row],[ref_fa_hh]]+Dashboard[[#This Row],[ret_fa_hh]]</f>
        <v>2</v>
      </c>
      <c r="CC650" s="2">
        <f>Dashboard[[#This Row],[idp_loc_hh]]+Dashboard[[#This Row],[ref_loc_hh]]+Dashboard[[#This Row],[ret_loc_hh]]</f>
        <v>0</v>
      </c>
      <c r="CD650" s="2">
        <f>Dashboard[[#This Row],[idp_cc_hh]]+Dashboard[[#This Row],[ref_cc_hh]]+Dashboard[[#This Row],[ret_cc_hh]]</f>
        <v>0</v>
      </c>
      <c r="CE650" s="2">
        <f>Dashboard[[#This Row],[idp_as_hh]]+Dashboard[[#This Row],[ref_as_hh]]+Dashboard[[#This Row],[ret_as_hh]]</f>
        <v>0</v>
      </c>
      <c r="CF650" s="2">
        <f>Dashboard[[#This Row],[idp_al_hh]]+Dashboard[[#This Row],[ref_al_hh]]+Dashboard[[#This Row],[ret_al_hh]]</f>
        <v>0</v>
      </c>
    </row>
    <row r="651" spans="1:84" hidden="1" x14ac:dyDescent="0.25">
      <c r="A651" s="27">
        <v>657</v>
      </c>
      <c r="B651" s="2" t="s">
        <v>22</v>
      </c>
      <c r="C651" s="2" t="s">
        <v>23</v>
      </c>
      <c r="D651" s="2" t="s">
        <v>37</v>
      </c>
      <c r="E651" s="2" t="s">
        <v>36</v>
      </c>
      <c r="F651" s="2" t="s">
        <v>247</v>
      </c>
      <c r="G651" s="2" t="s">
        <v>246</v>
      </c>
      <c r="H651" s="2" t="s">
        <v>1458</v>
      </c>
      <c r="I651" s="2" t="s">
        <v>590</v>
      </c>
      <c r="J651" s="2" t="s">
        <v>3604</v>
      </c>
      <c r="K651" s="2" t="s">
        <v>3605</v>
      </c>
      <c r="L651" s="2" t="s">
        <v>2074</v>
      </c>
      <c r="M651" s="2">
        <v>2559</v>
      </c>
      <c r="N651" s="2" t="s">
        <v>1658</v>
      </c>
      <c r="O651" s="2">
        <v>39</v>
      </c>
      <c r="P651" s="2">
        <v>312</v>
      </c>
      <c r="Q651" s="2" t="s">
        <v>1658</v>
      </c>
      <c r="R651" s="2">
        <v>39</v>
      </c>
      <c r="S651" s="2" t="s">
        <v>1660</v>
      </c>
      <c r="T651" s="2">
        <v>0</v>
      </c>
      <c r="U651" s="2" t="s">
        <v>32</v>
      </c>
      <c r="V651" s="2" t="s">
        <v>32</v>
      </c>
      <c r="W651" s="2" t="s">
        <v>1660</v>
      </c>
      <c r="X651" s="2">
        <v>0</v>
      </c>
      <c r="Y651" s="2" t="s">
        <v>32</v>
      </c>
      <c r="Z651" s="2" t="s">
        <v>32</v>
      </c>
      <c r="AA651" s="2" t="s">
        <v>1660</v>
      </c>
      <c r="AB651" s="2">
        <v>0</v>
      </c>
      <c r="AC651" s="2" t="s">
        <v>1660</v>
      </c>
      <c r="AD651" s="2">
        <v>0</v>
      </c>
      <c r="AE651" s="2" t="s">
        <v>1660</v>
      </c>
      <c r="AF651" s="2">
        <v>0</v>
      </c>
      <c r="AG651" s="2">
        <v>0</v>
      </c>
      <c r="AH651" s="2" t="s">
        <v>32</v>
      </c>
      <c r="AI651" s="2" t="s">
        <v>32</v>
      </c>
      <c r="AJ651" s="2" t="s">
        <v>32</v>
      </c>
      <c r="AK651" s="2" t="s">
        <v>32</v>
      </c>
      <c r="AL651" s="2" t="s">
        <v>32</v>
      </c>
      <c r="AM651" s="2">
        <v>0</v>
      </c>
      <c r="AN651" s="2" t="s">
        <v>32</v>
      </c>
      <c r="AO651" s="2">
        <v>0</v>
      </c>
      <c r="AP651" s="2" t="s">
        <v>32</v>
      </c>
      <c r="AQ651" s="2" t="s">
        <v>32</v>
      </c>
      <c r="AR651" s="2" t="s">
        <v>32</v>
      </c>
      <c r="AS651" s="2">
        <v>0</v>
      </c>
      <c r="AT651" s="2" t="s">
        <v>32</v>
      </c>
      <c r="AU651" s="2" t="s">
        <v>32</v>
      </c>
      <c r="AV651" s="2" t="s">
        <v>32</v>
      </c>
      <c r="AW651" s="2">
        <v>0</v>
      </c>
      <c r="AX651" s="2" t="s">
        <v>32</v>
      </c>
      <c r="AY651" s="2">
        <v>0</v>
      </c>
      <c r="AZ651" s="2" t="s">
        <v>1658</v>
      </c>
      <c r="BA651" s="2">
        <v>60</v>
      </c>
      <c r="BB651" s="2">
        <v>478</v>
      </c>
      <c r="BC651" s="2" t="s">
        <v>1660</v>
      </c>
      <c r="BD651" s="2">
        <v>0</v>
      </c>
      <c r="BE651" s="2" t="s">
        <v>1658</v>
      </c>
      <c r="BF651" s="2">
        <v>60</v>
      </c>
      <c r="BG651" s="2" t="s">
        <v>1660</v>
      </c>
      <c r="BH651" s="2">
        <v>0</v>
      </c>
      <c r="BI651" s="2" t="s">
        <v>32</v>
      </c>
      <c r="BJ651" s="2" t="s">
        <v>32</v>
      </c>
      <c r="BK651" s="2" t="s">
        <v>1660</v>
      </c>
      <c r="BL651" s="2">
        <v>0</v>
      </c>
      <c r="BM651" s="2" t="s">
        <v>32</v>
      </c>
      <c r="BN651" s="2" t="s">
        <v>32</v>
      </c>
      <c r="BO651" s="2" t="s">
        <v>1660</v>
      </c>
      <c r="BP651" s="2">
        <v>0</v>
      </c>
      <c r="BQ651" s="2" t="s">
        <v>1660</v>
      </c>
      <c r="BR651" s="2">
        <v>0</v>
      </c>
      <c r="BS651" s="2" t="s">
        <v>1660</v>
      </c>
      <c r="BT651" s="2">
        <v>0</v>
      </c>
      <c r="BU651" s="2">
        <v>0</v>
      </c>
      <c r="BV651" s="2" t="s">
        <v>1660</v>
      </c>
      <c r="BW651" s="2"/>
      <c r="BX651" s="2"/>
      <c r="BY651" s="2" t="s">
        <v>1807</v>
      </c>
      <c r="BZ651" s="2" t="b">
        <f>OR( (Dashboard[[#This Row],[ref_as_hh]]&gt;=1),(Dashboard[[#This Row],[ret_as_hh]] &gt;=1), (Dashboard[[#This Row],[idp_as_hh]]&gt;=1))</f>
        <v>0</v>
      </c>
      <c r="CA651" s="2">
        <f>Dashboard[[#This Row],[ret_hi_hh]]</f>
        <v>0</v>
      </c>
      <c r="CB651" s="2">
        <f>Dashboard[[#This Row],[idp_fa_hh]]+Dashboard[[#This Row],[ref_fa_hh]]+Dashboard[[#This Row],[ret_fa_hh]]</f>
        <v>99</v>
      </c>
      <c r="CC651" s="2">
        <f>Dashboard[[#This Row],[idp_loc_hh]]+Dashboard[[#This Row],[ref_loc_hh]]+Dashboard[[#This Row],[ret_loc_hh]]</f>
        <v>0</v>
      </c>
      <c r="CD651" s="2">
        <f>Dashboard[[#This Row],[idp_cc_hh]]+Dashboard[[#This Row],[ref_cc_hh]]+Dashboard[[#This Row],[ret_cc_hh]]</f>
        <v>0</v>
      </c>
      <c r="CE651" s="2">
        <f>Dashboard[[#This Row],[idp_as_hh]]+Dashboard[[#This Row],[ref_as_hh]]+Dashboard[[#This Row],[ret_as_hh]]</f>
        <v>0</v>
      </c>
      <c r="CF651" s="2">
        <f>Dashboard[[#This Row],[idp_al_hh]]+Dashboard[[#This Row],[ref_al_hh]]+Dashboard[[#This Row],[ret_al_hh]]</f>
        <v>0</v>
      </c>
    </row>
    <row r="652" spans="1:84" hidden="1" x14ac:dyDescent="0.25">
      <c r="A652" s="27">
        <v>660</v>
      </c>
      <c r="B652" s="2" t="s">
        <v>22</v>
      </c>
      <c r="C652" s="2" t="s">
        <v>23</v>
      </c>
      <c r="D652" s="2" t="s">
        <v>37</v>
      </c>
      <c r="E652" s="2" t="s">
        <v>36</v>
      </c>
      <c r="F652" s="2" t="s">
        <v>247</v>
      </c>
      <c r="G652" s="2" t="s">
        <v>246</v>
      </c>
      <c r="H652" s="2" t="s">
        <v>1448</v>
      </c>
      <c r="I652" s="2" t="s">
        <v>242</v>
      </c>
      <c r="J652" s="2" t="s">
        <v>3582</v>
      </c>
      <c r="K652" s="2" t="s">
        <v>3583</v>
      </c>
      <c r="L652" s="2" t="s">
        <v>2074</v>
      </c>
      <c r="M652" s="2">
        <v>5700</v>
      </c>
      <c r="N652" s="2" t="s">
        <v>1658</v>
      </c>
      <c r="O652" s="2">
        <v>120</v>
      </c>
      <c r="P652" s="2">
        <v>952</v>
      </c>
      <c r="Q652" s="2" t="s">
        <v>1658</v>
      </c>
      <c r="R652" s="2">
        <v>50</v>
      </c>
      <c r="S652" s="2" t="s">
        <v>1658</v>
      </c>
      <c r="T652" s="2">
        <v>70</v>
      </c>
      <c r="U652" s="2" t="s">
        <v>1659</v>
      </c>
      <c r="V652" s="2" t="s">
        <v>32</v>
      </c>
      <c r="W652" s="2" t="s">
        <v>1660</v>
      </c>
      <c r="X652" s="2">
        <v>0</v>
      </c>
      <c r="Y652" s="2" t="s">
        <v>32</v>
      </c>
      <c r="Z652" s="2" t="s">
        <v>32</v>
      </c>
      <c r="AA652" s="2" t="s">
        <v>1660</v>
      </c>
      <c r="AB652" s="2">
        <v>0</v>
      </c>
      <c r="AC652" s="2" t="s">
        <v>1660</v>
      </c>
      <c r="AD652" s="2">
        <v>0</v>
      </c>
      <c r="AE652" s="2" t="s">
        <v>1660</v>
      </c>
      <c r="AF652" s="2">
        <v>0</v>
      </c>
      <c r="AG652" s="2">
        <v>0</v>
      </c>
      <c r="AH652" s="2" t="s">
        <v>32</v>
      </c>
      <c r="AI652" s="2" t="s">
        <v>32</v>
      </c>
      <c r="AJ652" s="2" t="s">
        <v>32</v>
      </c>
      <c r="AK652" s="2" t="s">
        <v>32</v>
      </c>
      <c r="AL652" s="2" t="s">
        <v>32</v>
      </c>
      <c r="AM652" s="2">
        <v>0</v>
      </c>
      <c r="AN652" s="2" t="s">
        <v>32</v>
      </c>
      <c r="AO652" s="2">
        <v>0</v>
      </c>
      <c r="AP652" s="2" t="s">
        <v>32</v>
      </c>
      <c r="AQ652" s="2" t="s">
        <v>32</v>
      </c>
      <c r="AR652" s="2" t="s">
        <v>32</v>
      </c>
      <c r="AS652" s="2">
        <v>0</v>
      </c>
      <c r="AT652" s="2" t="s">
        <v>32</v>
      </c>
      <c r="AU652" s="2" t="s">
        <v>32</v>
      </c>
      <c r="AV652" s="2" t="s">
        <v>32</v>
      </c>
      <c r="AW652" s="2">
        <v>0</v>
      </c>
      <c r="AX652" s="2" t="s">
        <v>32</v>
      </c>
      <c r="AY652" s="2">
        <v>0</v>
      </c>
      <c r="AZ652" s="2" t="s">
        <v>1658</v>
      </c>
      <c r="BA652" s="2">
        <v>15</v>
      </c>
      <c r="BB652" s="2">
        <v>114</v>
      </c>
      <c r="BC652" s="2" t="s">
        <v>1660</v>
      </c>
      <c r="BD652" s="2">
        <v>0</v>
      </c>
      <c r="BE652" s="2" t="s">
        <v>1658</v>
      </c>
      <c r="BF652" s="2">
        <v>15</v>
      </c>
      <c r="BG652" s="2" t="s">
        <v>1660</v>
      </c>
      <c r="BH652" s="2">
        <v>0</v>
      </c>
      <c r="BI652" s="2" t="s">
        <v>32</v>
      </c>
      <c r="BJ652" s="2" t="s">
        <v>32</v>
      </c>
      <c r="BK652" s="2" t="s">
        <v>1660</v>
      </c>
      <c r="BL652" s="2">
        <v>0</v>
      </c>
      <c r="BM652" s="2" t="s">
        <v>32</v>
      </c>
      <c r="BN652" s="2" t="s">
        <v>32</v>
      </c>
      <c r="BO652" s="2" t="s">
        <v>1660</v>
      </c>
      <c r="BP652" s="2">
        <v>0</v>
      </c>
      <c r="BQ652" s="2" t="s">
        <v>1660</v>
      </c>
      <c r="BR652" s="2">
        <v>0</v>
      </c>
      <c r="BS652" s="2" t="s">
        <v>1660</v>
      </c>
      <c r="BT652" s="2">
        <v>0</v>
      </c>
      <c r="BU652" s="2">
        <v>0</v>
      </c>
      <c r="BV652" s="2" t="s">
        <v>1660</v>
      </c>
      <c r="BW652" s="2"/>
      <c r="BX652" s="2"/>
      <c r="BY652" s="2" t="s">
        <v>1807</v>
      </c>
      <c r="BZ652" s="2" t="b">
        <f>OR( (Dashboard[[#This Row],[ref_as_hh]]&gt;=1),(Dashboard[[#This Row],[ret_as_hh]] &gt;=1), (Dashboard[[#This Row],[idp_as_hh]]&gt;=1))</f>
        <v>0</v>
      </c>
      <c r="CA652" s="2">
        <f>Dashboard[[#This Row],[ret_hi_hh]]</f>
        <v>0</v>
      </c>
      <c r="CB652" s="2">
        <f>Dashboard[[#This Row],[idp_fa_hh]]+Dashboard[[#This Row],[ref_fa_hh]]+Dashboard[[#This Row],[ret_fa_hh]]</f>
        <v>65</v>
      </c>
      <c r="CC652" s="2">
        <f>Dashboard[[#This Row],[idp_loc_hh]]+Dashboard[[#This Row],[ref_loc_hh]]+Dashboard[[#This Row],[ret_loc_hh]]</f>
        <v>70</v>
      </c>
      <c r="CD652" s="2">
        <f>Dashboard[[#This Row],[idp_cc_hh]]+Dashboard[[#This Row],[ref_cc_hh]]+Dashboard[[#This Row],[ret_cc_hh]]</f>
        <v>0</v>
      </c>
      <c r="CE652" s="2">
        <f>Dashboard[[#This Row],[idp_as_hh]]+Dashboard[[#This Row],[ref_as_hh]]+Dashboard[[#This Row],[ret_as_hh]]</f>
        <v>0</v>
      </c>
      <c r="CF652" s="2">
        <f>Dashboard[[#This Row],[idp_al_hh]]+Dashboard[[#This Row],[ref_al_hh]]+Dashboard[[#This Row],[ret_al_hh]]</f>
        <v>0</v>
      </c>
    </row>
    <row r="653" spans="1:84" hidden="1" x14ac:dyDescent="0.25">
      <c r="A653" s="27">
        <v>661</v>
      </c>
      <c r="B653" s="2" t="s">
        <v>22</v>
      </c>
      <c r="C653" s="2" t="s">
        <v>23</v>
      </c>
      <c r="D653" s="2" t="s">
        <v>37</v>
      </c>
      <c r="E653" s="2" t="s">
        <v>36</v>
      </c>
      <c r="F653" s="2" t="s">
        <v>247</v>
      </c>
      <c r="G653" s="2" t="s">
        <v>246</v>
      </c>
      <c r="H653" s="2" t="s">
        <v>1465</v>
      </c>
      <c r="I653" s="2" t="s">
        <v>252</v>
      </c>
      <c r="J653" s="2" t="s">
        <v>3618</v>
      </c>
      <c r="K653" s="2" t="s">
        <v>3619</v>
      </c>
      <c r="L653" s="2" t="s">
        <v>2074</v>
      </c>
      <c r="M653" s="2">
        <v>3450</v>
      </c>
      <c r="N653" s="2" t="s">
        <v>1658</v>
      </c>
      <c r="O653" s="2">
        <v>263</v>
      </c>
      <c r="P653" s="2">
        <v>1326</v>
      </c>
      <c r="Q653" s="2" t="s">
        <v>1658</v>
      </c>
      <c r="R653" s="2">
        <v>263</v>
      </c>
      <c r="S653" s="2" t="s">
        <v>1660</v>
      </c>
      <c r="T653" s="2">
        <v>0</v>
      </c>
      <c r="U653" s="2" t="s">
        <v>32</v>
      </c>
      <c r="V653" s="2" t="s">
        <v>32</v>
      </c>
      <c r="W653" s="2" t="s">
        <v>1660</v>
      </c>
      <c r="X653" s="2">
        <v>0</v>
      </c>
      <c r="Y653" s="2" t="s">
        <v>32</v>
      </c>
      <c r="Z653" s="2" t="s">
        <v>32</v>
      </c>
      <c r="AA653" s="2" t="s">
        <v>1660</v>
      </c>
      <c r="AB653" s="2">
        <v>0</v>
      </c>
      <c r="AC653" s="2" t="s">
        <v>1660</v>
      </c>
      <c r="AD653" s="2">
        <v>0</v>
      </c>
      <c r="AE653" s="2" t="s">
        <v>1660</v>
      </c>
      <c r="AF653" s="2">
        <v>0</v>
      </c>
      <c r="AG653" s="2">
        <v>0</v>
      </c>
      <c r="AH653" s="2" t="s">
        <v>32</v>
      </c>
      <c r="AI653" s="2" t="s">
        <v>32</v>
      </c>
      <c r="AJ653" s="2" t="s">
        <v>32</v>
      </c>
      <c r="AK653" s="2" t="s">
        <v>32</v>
      </c>
      <c r="AL653" s="2" t="s">
        <v>32</v>
      </c>
      <c r="AM653" s="2">
        <v>0</v>
      </c>
      <c r="AN653" s="2" t="s">
        <v>32</v>
      </c>
      <c r="AO653" s="2">
        <v>0</v>
      </c>
      <c r="AP653" s="2" t="s">
        <v>32</v>
      </c>
      <c r="AQ653" s="2" t="s">
        <v>32</v>
      </c>
      <c r="AR653" s="2" t="s">
        <v>32</v>
      </c>
      <c r="AS653" s="2">
        <v>0</v>
      </c>
      <c r="AT653" s="2" t="s">
        <v>32</v>
      </c>
      <c r="AU653" s="2" t="s">
        <v>32</v>
      </c>
      <c r="AV653" s="2" t="s">
        <v>32</v>
      </c>
      <c r="AW653" s="2">
        <v>0</v>
      </c>
      <c r="AX653" s="2" t="s">
        <v>32</v>
      </c>
      <c r="AY653" s="2">
        <v>0</v>
      </c>
      <c r="AZ653" s="2" t="s">
        <v>1658</v>
      </c>
      <c r="BA653" s="2">
        <v>57</v>
      </c>
      <c r="BB653" s="2">
        <v>283</v>
      </c>
      <c r="BC653" s="2" t="s">
        <v>1658</v>
      </c>
      <c r="BD653" s="2">
        <v>21</v>
      </c>
      <c r="BE653" s="2" t="s">
        <v>1658</v>
      </c>
      <c r="BF653" s="2">
        <v>36</v>
      </c>
      <c r="BG653" s="2" t="s">
        <v>1660</v>
      </c>
      <c r="BH653" s="2">
        <v>0</v>
      </c>
      <c r="BI653" s="2" t="s">
        <v>32</v>
      </c>
      <c r="BJ653" s="2" t="s">
        <v>32</v>
      </c>
      <c r="BK653" s="2" t="s">
        <v>1660</v>
      </c>
      <c r="BL653" s="2">
        <v>0</v>
      </c>
      <c r="BM653" s="2" t="s">
        <v>32</v>
      </c>
      <c r="BN653" s="2" t="s">
        <v>32</v>
      </c>
      <c r="BO653" s="2" t="s">
        <v>1660</v>
      </c>
      <c r="BP653" s="2">
        <v>0</v>
      </c>
      <c r="BQ653" s="2" t="s">
        <v>1660</v>
      </c>
      <c r="BR653" s="2">
        <v>0</v>
      </c>
      <c r="BS653" s="2" t="s">
        <v>1660</v>
      </c>
      <c r="BT653" s="2">
        <v>0</v>
      </c>
      <c r="BU653" s="2">
        <v>0</v>
      </c>
      <c r="BV653" s="2" t="s">
        <v>1660</v>
      </c>
      <c r="BW653" s="2"/>
      <c r="BX653" s="2"/>
      <c r="BY653" s="2" t="s">
        <v>1807</v>
      </c>
      <c r="BZ653" s="2" t="b">
        <f>OR( (Dashboard[[#This Row],[ref_as_hh]]&gt;=1),(Dashboard[[#This Row],[ret_as_hh]] &gt;=1), (Dashboard[[#This Row],[idp_as_hh]]&gt;=1))</f>
        <v>0</v>
      </c>
      <c r="CA653" s="2">
        <f>Dashboard[[#This Row],[ret_hi_hh]]</f>
        <v>21</v>
      </c>
      <c r="CB653" s="2">
        <f>Dashboard[[#This Row],[idp_fa_hh]]+Dashboard[[#This Row],[ref_fa_hh]]+Dashboard[[#This Row],[ret_fa_hh]]</f>
        <v>299</v>
      </c>
      <c r="CC653" s="2">
        <f>Dashboard[[#This Row],[idp_loc_hh]]+Dashboard[[#This Row],[ref_loc_hh]]+Dashboard[[#This Row],[ret_loc_hh]]</f>
        <v>0</v>
      </c>
      <c r="CD653" s="2">
        <f>Dashboard[[#This Row],[idp_cc_hh]]+Dashboard[[#This Row],[ref_cc_hh]]+Dashboard[[#This Row],[ret_cc_hh]]</f>
        <v>0</v>
      </c>
      <c r="CE653" s="2">
        <f>Dashboard[[#This Row],[idp_as_hh]]+Dashboard[[#This Row],[ref_as_hh]]+Dashboard[[#This Row],[ret_as_hh]]</f>
        <v>0</v>
      </c>
      <c r="CF653" s="2">
        <f>Dashboard[[#This Row],[idp_al_hh]]+Dashboard[[#This Row],[ref_al_hh]]+Dashboard[[#This Row],[ret_al_hh]]</f>
        <v>0</v>
      </c>
    </row>
    <row r="654" spans="1:84" hidden="1" x14ac:dyDescent="0.25">
      <c r="A654" s="27">
        <v>674</v>
      </c>
      <c r="B654" s="2" t="s">
        <v>22</v>
      </c>
      <c r="C654" s="2" t="s">
        <v>23</v>
      </c>
      <c r="D654" s="2" t="s">
        <v>37</v>
      </c>
      <c r="E654" s="2" t="s">
        <v>36</v>
      </c>
      <c r="F654" s="2" t="s">
        <v>247</v>
      </c>
      <c r="G654" s="2" t="s">
        <v>246</v>
      </c>
      <c r="H654" s="2" t="s">
        <v>1974</v>
      </c>
      <c r="I654" s="2" t="s">
        <v>1973</v>
      </c>
      <c r="J654" s="2" t="s">
        <v>3584</v>
      </c>
      <c r="K654" s="2" t="s">
        <v>3585</v>
      </c>
      <c r="L654" s="2" t="s">
        <v>2074</v>
      </c>
      <c r="M654" s="2">
        <v>6045</v>
      </c>
      <c r="N654" s="2" t="s">
        <v>1660</v>
      </c>
      <c r="O654" s="2">
        <v>0</v>
      </c>
      <c r="P654" s="2">
        <v>0</v>
      </c>
      <c r="Q654" s="2" t="s">
        <v>32</v>
      </c>
      <c r="R654" s="2">
        <v>0</v>
      </c>
      <c r="S654" s="2" t="s">
        <v>32</v>
      </c>
      <c r="T654" s="2">
        <v>0</v>
      </c>
      <c r="U654" s="2" t="s">
        <v>32</v>
      </c>
      <c r="V654" s="2" t="s">
        <v>32</v>
      </c>
      <c r="W654" s="2" t="s">
        <v>32</v>
      </c>
      <c r="X654" s="2">
        <v>0</v>
      </c>
      <c r="Y654" s="2" t="s">
        <v>32</v>
      </c>
      <c r="Z654" s="2" t="s">
        <v>32</v>
      </c>
      <c r="AA654" s="2" t="s">
        <v>32</v>
      </c>
      <c r="AB654" s="2">
        <v>0</v>
      </c>
      <c r="AC654" s="2" t="s">
        <v>32</v>
      </c>
      <c r="AD654" s="2">
        <v>0</v>
      </c>
      <c r="AE654" s="2" t="s">
        <v>1658</v>
      </c>
      <c r="AF654" s="2">
        <v>42</v>
      </c>
      <c r="AG654" s="2">
        <v>271</v>
      </c>
      <c r="AH654" s="2" t="s">
        <v>1660</v>
      </c>
      <c r="AI654" s="2" t="s">
        <v>32</v>
      </c>
      <c r="AJ654" s="2" t="s">
        <v>32</v>
      </c>
      <c r="AK654" s="2" t="s">
        <v>32</v>
      </c>
      <c r="AL654" s="2" t="s">
        <v>1658</v>
      </c>
      <c r="AM654" s="2">
        <v>29</v>
      </c>
      <c r="AN654" s="2" t="s">
        <v>1658</v>
      </c>
      <c r="AO654" s="2">
        <v>13</v>
      </c>
      <c r="AP654" s="2" t="s">
        <v>1659</v>
      </c>
      <c r="AQ654" s="2" t="s">
        <v>32</v>
      </c>
      <c r="AR654" s="2" t="s">
        <v>1660</v>
      </c>
      <c r="AS654" s="2">
        <v>0</v>
      </c>
      <c r="AT654" s="2" t="s">
        <v>32</v>
      </c>
      <c r="AU654" s="2" t="s">
        <v>32</v>
      </c>
      <c r="AV654" s="2" t="s">
        <v>1660</v>
      </c>
      <c r="AW654" s="2">
        <v>0</v>
      </c>
      <c r="AX654" s="2" t="s">
        <v>1660</v>
      </c>
      <c r="AY654" s="2">
        <v>0</v>
      </c>
      <c r="AZ654" s="2" t="s">
        <v>1658</v>
      </c>
      <c r="BA654" s="2">
        <v>36</v>
      </c>
      <c r="BB654" s="2">
        <v>184</v>
      </c>
      <c r="BC654" s="2" t="s">
        <v>1658</v>
      </c>
      <c r="BD654" s="2">
        <v>30</v>
      </c>
      <c r="BE654" s="2" t="s">
        <v>1658</v>
      </c>
      <c r="BF654" s="2">
        <v>6</v>
      </c>
      <c r="BG654" s="2" t="s">
        <v>1660</v>
      </c>
      <c r="BH654" s="2">
        <v>0</v>
      </c>
      <c r="BI654" s="2" t="s">
        <v>32</v>
      </c>
      <c r="BJ654" s="2" t="s">
        <v>32</v>
      </c>
      <c r="BK654" s="2" t="s">
        <v>1660</v>
      </c>
      <c r="BL654" s="2">
        <v>0</v>
      </c>
      <c r="BM654" s="2" t="s">
        <v>32</v>
      </c>
      <c r="BN654" s="2" t="s">
        <v>32</v>
      </c>
      <c r="BO654" s="2" t="s">
        <v>1660</v>
      </c>
      <c r="BP654" s="2">
        <v>0</v>
      </c>
      <c r="BQ654" s="2" t="s">
        <v>1660</v>
      </c>
      <c r="BR654" s="2">
        <v>0</v>
      </c>
      <c r="BS654" s="2" t="s">
        <v>1660</v>
      </c>
      <c r="BT654" s="2">
        <v>0</v>
      </c>
      <c r="BU654" s="2">
        <v>0</v>
      </c>
      <c r="BV654" s="2" t="s">
        <v>1660</v>
      </c>
      <c r="BW654" s="2"/>
      <c r="BX654" s="2"/>
      <c r="BY654" s="2" t="s">
        <v>1807</v>
      </c>
      <c r="BZ654" s="2" t="b">
        <f>OR( (Dashboard[[#This Row],[ref_as_hh]]&gt;=1),(Dashboard[[#This Row],[ret_as_hh]] &gt;=1), (Dashboard[[#This Row],[idp_as_hh]]&gt;=1))</f>
        <v>0</v>
      </c>
      <c r="CA654" s="2">
        <f>Dashboard[[#This Row],[ret_hi_hh]]</f>
        <v>30</v>
      </c>
      <c r="CB654" s="2">
        <f>Dashboard[[#This Row],[idp_fa_hh]]+Dashboard[[#This Row],[ref_fa_hh]]+Dashboard[[#This Row],[ret_fa_hh]]</f>
        <v>35</v>
      </c>
      <c r="CC654" s="2">
        <f>Dashboard[[#This Row],[idp_loc_hh]]+Dashboard[[#This Row],[ref_loc_hh]]+Dashboard[[#This Row],[ret_loc_hh]]</f>
        <v>13</v>
      </c>
      <c r="CD654" s="2">
        <f>Dashboard[[#This Row],[idp_cc_hh]]+Dashboard[[#This Row],[ref_cc_hh]]+Dashboard[[#This Row],[ret_cc_hh]]</f>
        <v>0</v>
      </c>
      <c r="CE654" s="2">
        <f>Dashboard[[#This Row],[idp_as_hh]]+Dashboard[[#This Row],[ref_as_hh]]+Dashboard[[#This Row],[ret_as_hh]]</f>
        <v>0</v>
      </c>
      <c r="CF654" s="2">
        <f>Dashboard[[#This Row],[idp_al_hh]]+Dashboard[[#This Row],[ref_al_hh]]+Dashboard[[#This Row],[ret_al_hh]]</f>
        <v>0</v>
      </c>
    </row>
    <row r="655" spans="1:84" hidden="1" x14ac:dyDescent="0.25">
      <c r="A655" s="27">
        <v>167</v>
      </c>
      <c r="B655" s="2" t="s">
        <v>22</v>
      </c>
      <c r="C655" s="2" t="s">
        <v>23</v>
      </c>
      <c r="D655" s="2" t="s">
        <v>37</v>
      </c>
      <c r="E655" s="2" t="s">
        <v>36</v>
      </c>
      <c r="F655" s="2" t="s">
        <v>247</v>
      </c>
      <c r="G655" s="2" t="s">
        <v>246</v>
      </c>
      <c r="H655" s="2" t="s">
        <v>1445</v>
      </c>
      <c r="I655" s="2" t="s">
        <v>581</v>
      </c>
      <c r="J655" s="2" t="s">
        <v>3574</v>
      </c>
      <c r="K655" s="2" t="s">
        <v>3575</v>
      </c>
      <c r="L655" s="2" t="s">
        <v>2074</v>
      </c>
      <c r="M655" s="2">
        <v>1450</v>
      </c>
      <c r="N655" s="2" t="s">
        <v>1658</v>
      </c>
      <c r="O655" s="2">
        <v>9</v>
      </c>
      <c r="P655" s="2">
        <v>45</v>
      </c>
      <c r="Q655" s="2" t="s">
        <v>1658</v>
      </c>
      <c r="R655" s="2">
        <v>9</v>
      </c>
      <c r="S655" s="2" t="s">
        <v>1660</v>
      </c>
      <c r="T655" s="2">
        <v>0</v>
      </c>
      <c r="U655" s="2" t="s">
        <v>32</v>
      </c>
      <c r="V655" s="2" t="s">
        <v>32</v>
      </c>
      <c r="W655" s="2" t="s">
        <v>1660</v>
      </c>
      <c r="X655" s="2">
        <v>0</v>
      </c>
      <c r="Y655" s="2" t="s">
        <v>32</v>
      </c>
      <c r="Z655" s="2" t="s">
        <v>32</v>
      </c>
      <c r="AA655" s="2" t="s">
        <v>1660</v>
      </c>
      <c r="AB655" s="2">
        <v>0</v>
      </c>
      <c r="AC655" s="2" t="s">
        <v>1660</v>
      </c>
      <c r="AD655" s="2">
        <v>0</v>
      </c>
      <c r="AE655" s="2" t="s">
        <v>1660</v>
      </c>
      <c r="AF655" s="2">
        <v>0</v>
      </c>
      <c r="AG655" s="2">
        <v>0</v>
      </c>
      <c r="AH655" s="2" t="s">
        <v>32</v>
      </c>
      <c r="AI655" s="2" t="s">
        <v>32</v>
      </c>
      <c r="AJ655" s="2" t="s">
        <v>32</v>
      </c>
      <c r="AK655" s="2" t="s">
        <v>32</v>
      </c>
      <c r="AL655" s="2" t="s">
        <v>32</v>
      </c>
      <c r="AM655" s="2">
        <v>0</v>
      </c>
      <c r="AN655" s="2" t="s">
        <v>32</v>
      </c>
      <c r="AO655" s="2">
        <v>0</v>
      </c>
      <c r="AP655" s="2" t="s">
        <v>32</v>
      </c>
      <c r="AQ655" s="2" t="s">
        <v>32</v>
      </c>
      <c r="AR655" s="2" t="s">
        <v>32</v>
      </c>
      <c r="AS655" s="2">
        <v>0</v>
      </c>
      <c r="AT655" s="2" t="s">
        <v>32</v>
      </c>
      <c r="AU655" s="2" t="s">
        <v>32</v>
      </c>
      <c r="AV655" s="2" t="s">
        <v>32</v>
      </c>
      <c r="AW655" s="2">
        <v>0</v>
      </c>
      <c r="AX655" s="2" t="s">
        <v>32</v>
      </c>
      <c r="AY655" s="2">
        <v>0</v>
      </c>
      <c r="AZ655" s="2" t="s">
        <v>1660</v>
      </c>
      <c r="BA655" s="2">
        <v>0</v>
      </c>
      <c r="BB655" s="2">
        <v>0</v>
      </c>
      <c r="BC655" s="2" t="s">
        <v>32</v>
      </c>
      <c r="BD655" s="2">
        <v>0</v>
      </c>
      <c r="BE655" s="2" t="s">
        <v>32</v>
      </c>
      <c r="BF655" s="2">
        <v>0</v>
      </c>
      <c r="BG655" s="2" t="s">
        <v>32</v>
      </c>
      <c r="BH655" s="2">
        <v>0</v>
      </c>
      <c r="BI655" s="2" t="s">
        <v>32</v>
      </c>
      <c r="BJ655" s="2" t="s">
        <v>32</v>
      </c>
      <c r="BK655" s="2" t="s">
        <v>32</v>
      </c>
      <c r="BL655" s="2">
        <v>0</v>
      </c>
      <c r="BM655" s="2" t="s">
        <v>32</v>
      </c>
      <c r="BN655" s="2" t="s">
        <v>32</v>
      </c>
      <c r="BO655" s="2" t="s">
        <v>32</v>
      </c>
      <c r="BP655" s="2">
        <v>0</v>
      </c>
      <c r="BQ655" s="2" t="s">
        <v>32</v>
      </c>
      <c r="BR655" s="2">
        <v>0</v>
      </c>
      <c r="BS655" s="2" t="s">
        <v>1660</v>
      </c>
      <c r="BT655" s="2">
        <v>0</v>
      </c>
      <c r="BU655" s="2">
        <v>0</v>
      </c>
      <c r="BV655" s="2" t="s">
        <v>1660</v>
      </c>
      <c r="BW655" s="2"/>
      <c r="BX655" s="2"/>
      <c r="BY655" s="2" t="s">
        <v>1807</v>
      </c>
      <c r="BZ655" s="2" t="b">
        <f>OR( (Dashboard[[#This Row],[ref_as_hh]]&gt;=1),(Dashboard[[#This Row],[ret_as_hh]] &gt;=1), (Dashboard[[#This Row],[idp_as_hh]]&gt;=1))</f>
        <v>0</v>
      </c>
      <c r="CA655" s="2">
        <f>Dashboard[[#This Row],[ret_hi_hh]]</f>
        <v>0</v>
      </c>
      <c r="CB655" s="2">
        <f>Dashboard[[#This Row],[idp_fa_hh]]+Dashboard[[#This Row],[ref_fa_hh]]+Dashboard[[#This Row],[ret_fa_hh]]</f>
        <v>9</v>
      </c>
      <c r="CC655" s="2">
        <f>Dashboard[[#This Row],[idp_loc_hh]]+Dashboard[[#This Row],[ref_loc_hh]]+Dashboard[[#This Row],[ret_loc_hh]]</f>
        <v>0</v>
      </c>
      <c r="CD655" s="2">
        <f>Dashboard[[#This Row],[idp_cc_hh]]+Dashboard[[#This Row],[ref_cc_hh]]+Dashboard[[#This Row],[ret_cc_hh]]</f>
        <v>0</v>
      </c>
      <c r="CE655" s="2">
        <f>Dashboard[[#This Row],[idp_as_hh]]+Dashboard[[#This Row],[ref_as_hh]]+Dashboard[[#This Row],[ret_as_hh]]</f>
        <v>0</v>
      </c>
      <c r="CF655" s="2">
        <f>Dashboard[[#This Row],[idp_al_hh]]+Dashboard[[#This Row],[ref_al_hh]]+Dashboard[[#This Row],[ret_al_hh]]</f>
        <v>0</v>
      </c>
    </row>
    <row r="656" spans="1:84" hidden="1" x14ac:dyDescent="0.25">
      <c r="A656" s="27">
        <v>679</v>
      </c>
      <c r="B656" s="2" t="s">
        <v>22</v>
      </c>
      <c r="C656" s="2" t="s">
        <v>23</v>
      </c>
      <c r="D656" s="2" t="s">
        <v>37</v>
      </c>
      <c r="E656" s="2" t="s">
        <v>36</v>
      </c>
      <c r="F656" s="2" t="s">
        <v>247</v>
      </c>
      <c r="G656" s="2" t="s">
        <v>246</v>
      </c>
      <c r="H656" s="2" t="s">
        <v>2046</v>
      </c>
      <c r="I656" s="2" t="s">
        <v>2047</v>
      </c>
      <c r="J656" s="2" t="s">
        <v>3576</v>
      </c>
      <c r="K656" s="2" t="s">
        <v>3577</v>
      </c>
      <c r="L656" s="2" t="s">
        <v>2074</v>
      </c>
      <c r="M656" s="2">
        <v>1900</v>
      </c>
      <c r="N656" s="2" t="s">
        <v>1658</v>
      </c>
      <c r="O656" s="2">
        <v>256</v>
      </c>
      <c r="P656" s="2">
        <v>1709</v>
      </c>
      <c r="Q656" s="2" t="s">
        <v>1660</v>
      </c>
      <c r="R656" s="2">
        <v>0</v>
      </c>
      <c r="S656" s="2" t="s">
        <v>1660</v>
      </c>
      <c r="T656" s="2">
        <v>0</v>
      </c>
      <c r="U656" s="2" t="s">
        <v>32</v>
      </c>
      <c r="V656" s="2" t="s">
        <v>32</v>
      </c>
      <c r="W656" s="2" t="s">
        <v>1660</v>
      </c>
      <c r="X656" s="2">
        <v>0</v>
      </c>
      <c r="Y656" s="2" t="s">
        <v>32</v>
      </c>
      <c r="Z656" s="2" t="s">
        <v>32</v>
      </c>
      <c r="AA656" s="2" t="s">
        <v>1660</v>
      </c>
      <c r="AB656" s="2">
        <v>0</v>
      </c>
      <c r="AC656" s="2" t="s">
        <v>1658</v>
      </c>
      <c r="AD656" s="2">
        <v>256</v>
      </c>
      <c r="AE656" s="2" t="s">
        <v>1660</v>
      </c>
      <c r="AF656" s="2">
        <v>0</v>
      </c>
      <c r="AG656" s="2">
        <v>0</v>
      </c>
      <c r="AH656" s="2" t="s">
        <v>32</v>
      </c>
      <c r="AI656" s="2" t="s">
        <v>32</v>
      </c>
      <c r="AJ656" s="2" t="s">
        <v>32</v>
      </c>
      <c r="AK656" s="2" t="s">
        <v>32</v>
      </c>
      <c r="AL656" s="2" t="s">
        <v>32</v>
      </c>
      <c r="AM656" s="2">
        <v>0</v>
      </c>
      <c r="AN656" s="2" t="s">
        <v>32</v>
      </c>
      <c r="AO656" s="2">
        <v>0</v>
      </c>
      <c r="AP656" s="2" t="s">
        <v>32</v>
      </c>
      <c r="AQ656" s="2" t="s">
        <v>32</v>
      </c>
      <c r="AR656" s="2" t="s">
        <v>32</v>
      </c>
      <c r="AS656" s="2">
        <v>0</v>
      </c>
      <c r="AT656" s="2" t="s">
        <v>32</v>
      </c>
      <c r="AU656" s="2" t="s">
        <v>32</v>
      </c>
      <c r="AV656" s="2" t="s">
        <v>32</v>
      </c>
      <c r="AW656" s="2">
        <v>0</v>
      </c>
      <c r="AX656" s="2" t="s">
        <v>32</v>
      </c>
      <c r="AY656" s="2">
        <v>0</v>
      </c>
      <c r="AZ656" s="2" t="s">
        <v>1658</v>
      </c>
      <c r="BA656" s="2">
        <v>30</v>
      </c>
      <c r="BB656" s="2">
        <v>248</v>
      </c>
      <c r="BC656" s="2" t="s">
        <v>1658</v>
      </c>
      <c r="BD656" s="2">
        <v>30</v>
      </c>
      <c r="BE656" s="2" t="s">
        <v>1660</v>
      </c>
      <c r="BF656" s="2">
        <v>0</v>
      </c>
      <c r="BG656" s="2" t="s">
        <v>1660</v>
      </c>
      <c r="BH656" s="2">
        <v>0</v>
      </c>
      <c r="BI656" s="2" t="s">
        <v>32</v>
      </c>
      <c r="BJ656" s="2" t="s">
        <v>32</v>
      </c>
      <c r="BK656" s="2" t="s">
        <v>1660</v>
      </c>
      <c r="BL656" s="2">
        <v>0</v>
      </c>
      <c r="BM656" s="2" t="s">
        <v>32</v>
      </c>
      <c r="BN656" s="2" t="s">
        <v>32</v>
      </c>
      <c r="BO656" s="2" t="s">
        <v>1660</v>
      </c>
      <c r="BP656" s="2">
        <v>0</v>
      </c>
      <c r="BQ656" s="2" t="s">
        <v>1660</v>
      </c>
      <c r="BR656" s="2">
        <v>0</v>
      </c>
      <c r="BS656" s="2" t="s">
        <v>1660</v>
      </c>
      <c r="BT656" s="2">
        <v>0</v>
      </c>
      <c r="BU656" s="2">
        <v>0</v>
      </c>
      <c r="BV656" s="2" t="s">
        <v>1660</v>
      </c>
      <c r="BW656" s="2"/>
      <c r="BX656" s="2"/>
      <c r="BY656" s="2" t="s">
        <v>1807</v>
      </c>
      <c r="BZ656" s="2" t="b">
        <f>OR( (Dashboard[[#This Row],[ref_as_hh]]&gt;=1),(Dashboard[[#This Row],[ret_as_hh]] &gt;=1), (Dashboard[[#This Row],[idp_as_hh]]&gt;=1))</f>
        <v>0</v>
      </c>
      <c r="CA656" s="2">
        <f>Dashboard[[#This Row],[ret_hi_hh]]</f>
        <v>30</v>
      </c>
      <c r="CB656" s="2">
        <f>Dashboard[[#This Row],[idp_fa_hh]]+Dashboard[[#This Row],[ref_fa_hh]]+Dashboard[[#This Row],[ret_fa_hh]]</f>
        <v>0</v>
      </c>
      <c r="CC656" s="2">
        <f>Dashboard[[#This Row],[idp_loc_hh]]+Dashboard[[#This Row],[ref_loc_hh]]+Dashboard[[#This Row],[ret_loc_hh]]</f>
        <v>0</v>
      </c>
      <c r="CD656" s="2">
        <f>Dashboard[[#This Row],[idp_cc_hh]]+Dashboard[[#This Row],[ref_cc_hh]]+Dashboard[[#This Row],[ret_cc_hh]]</f>
        <v>0</v>
      </c>
      <c r="CE656" s="2">
        <f>Dashboard[[#This Row],[idp_as_hh]]+Dashboard[[#This Row],[ref_as_hh]]+Dashboard[[#This Row],[ret_as_hh]]</f>
        <v>0</v>
      </c>
      <c r="CF656" s="2">
        <f>Dashboard[[#This Row],[idp_al_hh]]+Dashboard[[#This Row],[ref_al_hh]]+Dashboard[[#This Row],[ret_al_hh]]</f>
        <v>256</v>
      </c>
    </row>
    <row r="657" spans="1:84" hidden="1" x14ac:dyDescent="0.25">
      <c r="A657" s="27">
        <v>174</v>
      </c>
      <c r="B657" s="2" t="s">
        <v>22</v>
      </c>
      <c r="C657" s="2" t="s">
        <v>23</v>
      </c>
      <c r="D657" s="2" t="s">
        <v>37</v>
      </c>
      <c r="E657" s="2" t="s">
        <v>36</v>
      </c>
      <c r="F657" s="2" t="s">
        <v>247</v>
      </c>
      <c r="G657" s="2" t="s">
        <v>246</v>
      </c>
      <c r="H657" s="2" t="s">
        <v>1460</v>
      </c>
      <c r="I657" s="2" t="s">
        <v>592</v>
      </c>
      <c r="J657" s="2" t="s">
        <v>3608</v>
      </c>
      <c r="K657" s="2" t="s">
        <v>3609</v>
      </c>
      <c r="L657" s="2" t="s">
        <v>2074</v>
      </c>
      <c r="M657" s="2">
        <v>1500</v>
      </c>
      <c r="N657" s="2" t="s">
        <v>1658</v>
      </c>
      <c r="O657" s="2">
        <v>30</v>
      </c>
      <c r="P657" s="2">
        <v>150</v>
      </c>
      <c r="Q657" s="2" t="s">
        <v>1658</v>
      </c>
      <c r="R657" s="2">
        <v>30</v>
      </c>
      <c r="S657" s="2" t="s">
        <v>1660</v>
      </c>
      <c r="T657" s="2">
        <v>0</v>
      </c>
      <c r="U657" s="2" t="s">
        <v>32</v>
      </c>
      <c r="V657" s="2" t="s">
        <v>32</v>
      </c>
      <c r="W657" s="2" t="s">
        <v>1660</v>
      </c>
      <c r="X657" s="2">
        <v>0</v>
      </c>
      <c r="Y657" s="2" t="s">
        <v>32</v>
      </c>
      <c r="Z657" s="2" t="s">
        <v>32</v>
      </c>
      <c r="AA657" s="2" t="s">
        <v>1660</v>
      </c>
      <c r="AB657" s="2">
        <v>0</v>
      </c>
      <c r="AC657" s="2" t="s">
        <v>1660</v>
      </c>
      <c r="AD657" s="2">
        <v>0</v>
      </c>
      <c r="AE657" s="2" t="s">
        <v>1660</v>
      </c>
      <c r="AF657" s="2">
        <v>0</v>
      </c>
      <c r="AG657" s="2">
        <v>0</v>
      </c>
      <c r="AH657" s="2" t="s">
        <v>32</v>
      </c>
      <c r="AI657" s="2" t="s">
        <v>32</v>
      </c>
      <c r="AJ657" s="2" t="s">
        <v>32</v>
      </c>
      <c r="AK657" s="2" t="s">
        <v>32</v>
      </c>
      <c r="AL657" s="2" t="s">
        <v>32</v>
      </c>
      <c r="AM657" s="2">
        <v>0</v>
      </c>
      <c r="AN657" s="2" t="s">
        <v>32</v>
      </c>
      <c r="AO657" s="2">
        <v>0</v>
      </c>
      <c r="AP657" s="2" t="s">
        <v>32</v>
      </c>
      <c r="AQ657" s="2" t="s">
        <v>32</v>
      </c>
      <c r="AR657" s="2" t="s">
        <v>32</v>
      </c>
      <c r="AS657" s="2">
        <v>0</v>
      </c>
      <c r="AT657" s="2" t="s">
        <v>32</v>
      </c>
      <c r="AU657" s="2" t="s">
        <v>32</v>
      </c>
      <c r="AV657" s="2" t="s">
        <v>32</v>
      </c>
      <c r="AW657" s="2">
        <v>0</v>
      </c>
      <c r="AX657" s="2" t="s">
        <v>32</v>
      </c>
      <c r="AY657" s="2">
        <v>0</v>
      </c>
      <c r="AZ657" s="2" t="s">
        <v>1660</v>
      </c>
      <c r="BA657" s="2">
        <v>0</v>
      </c>
      <c r="BB657" s="2">
        <v>0</v>
      </c>
      <c r="BC657" s="2" t="s">
        <v>32</v>
      </c>
      <c r="BD657" s="2">
        <v>0</v>
      </c>
      <c r="BE657" s="2" t="s">
        <v>32</v>
      </c>
      <c r="BF657" s="2">
        <v>0</v>
      </c>
      <c r="BG657" s="2" t="s">
        <v>32</v>
      </c>
      <c r="BH657" s="2">
        <v>0</v>
      </c>
      <c r="BI657" s="2" t="s">
        <v>32</v>
      </c>
      <c r="BJ657" s="2" t="s">
        <v>32</v>
      </c>
      <c r="BK657" s="2" t="s">
        <v>32</v>
      </c>
      <c r="BL657" s="2">
        <v>0</v>
      </c>
      <c r="BM657" s="2" t="s">
        <v>32</v>
      </c>
      <c r="BN657" s="2" t="s">
        <v>32</v>
      </c>
      <c r="BO657" s="2" t="s">
        <v>32</v>
      </c>
      <c r="BP657" s="2">
        <v>0</v>
      </c>
      <c r="BQ657" s="2" t="s">
        <v>32</v>
      </c>
      <c r="BR657" s="2">
        <v>0</v>
      </c>
      <c r="BS657" s="2" t="s">
        <v>1660</v>
      </c>
      <c r="BT657" s="2">
        <v>0</v>
      </c>
      <c r="BU657" s="2">
        <v>0</v>
      </c>
      <c r="BV657" s="2" t="s">
        <v>1660</v>
      </c>
      <c r="BW657" s="2"/>
      <c r="BX657" s="2"/>
      <c r="BY657" s="2" t="s">
        <v>1807</v>
      </c>
      <c r="BZ657" s="2" t="b">
        <f>OR( (Dashboard[[#This Row],[ref_as_hh]]&gt;=1),(Dashboard[[#This Row],[ret_as_hh]] &gt;=1), (Dashboard[[#This Row],[idp_as_hh]]&gt;=1))</f>
        <v>0</v>
      </c>
      <c r="CA657" s="2">
        <f>Dashboard[[#This Row],[ret_hi_hh]]</f>
        <v>0</v>
      </c>
      <c r="CB657" s="2">
        <f>Dashboard[[#This Row],[idp_fa_hh]]+Dashboard[[#This Row],[ref_fa_hh]]+Dashboard[[#This Row],[ret_fa_hh]]</f>
        <v>30</v>
      </c>
      <c r="CC657" s="2">
        <f>Dashboard[[#This Row],[idp_loc_hh]]+Dashboard[[#This Row],[ref_loc_hh]]+Dashboard[[#This Row],[ret_loc_hh]]</f>
        <v>0</v>
      </c>
      <c r="CD657" s="2">
        <f>Dashboard[[#This Row],[idp_cc_hh]]+Dashboard[[#This Row],[ref_cc_hh]]+Dashboard[[#This Row],[ret_cc_hh]]</f>
        <v>0</v>
      </c>
      <c r="CE657" s="2">
        <f>Dashboard[[#This Row],[idp_as_hh]]+Dashboard[[#This Row],[ref_as_hh]]+Dashboard[[#This Row],[ret_as_hh]]</f>
        <v>0</v>
      </c>
      <c r="CF657" s="2">
        <f>Dashboard[[#This Row],[idp_al_hh]]+Dashboard[[#This Row],[ref_al_hh]]+Dashboard[[#This Row],[ret_al_hh]]</f>
        <v>0</v>
      </c>
    </row>
    <row r="658" spans="1:84" hidden="1" x14ac:dyDescent="0.25">
      <c r="A658" s="27">
        <v>430</v>
      </c>
      <c r="B658" s="2" t="s">
        <v>22</v>
      </c>
      <c r="C658" s="2" t="s">
        <v>23</v>
      </c>
      <c r="D658" s="2" t="s">
        <v>37</v>
      </c>
      <c r="E658" s="2" t="s">
        <v>36</v>
      </c>
      <c r="F658" s="2" t="s">
        <v>247</v>
      </c>
      <c r="G658" s="2" t="s">
        <v>246</v>
      </c>
      <c r="H658" s="2" t="s">
        <v>1451</v>
      </c>
      <c r="I658" s="2" t="s">
        <v>586</v>
      </c>
      <c r="J658" s="2" t="s">
        <v>3590</v>
      </c>
      <c r="K658" s="2" t="s">
        <v>3591</v>
      </c>
      <c r="L658" s="2" t="s">
        <v>2074</v>
      </c>
      <c r="M658" s="2">
        <v>3800</v>
      </c>
      <c r="N658" s="2" t="s">
        <v>1658</v>
      </c>
      <c r="O658" s="2">
        <v>24</v>
      </c>
      <c r="P658" s="2">
        <v>120</v>
      </c>
      <c r="Q658" s="2" t="s">
        <v>1658</v>
      </c>
      <c r="R658" s="2">
        <v>24</v>
      </c>
      <c r="S658" s="2" t="s">
        <v>1660</v>
      </c>
      <c r="T658" s="2">
        <v>0</v>
      </c>
      <c r="U658" s="2" t="s">
        <v>32</v>
      </c>
      <c r="V658" s="2" t="s">
        <v>32</v>
      </c>
      <c r="W658" s="2" t="s">
        <v>1660</v>
      </c>
      <c r="X658" s="2">
        <v>0</v>
      </c>
      <c r="Y658" s="2" t="s">
        <v>32</v>
      </c>
      <c r="Z658" s="2" t="s">
        <v>32</v>
      </c>
      <c r="AA658" s="2" t="s">
        <v>1660</v>
      </c>
      <c r="AB658" s="2">
        <v>0</v>
      </c>
      <c r="AC658" s="2" t="s">
        <v>1660</v>
      </c>
      <c r="AD658" s="2">
        <v>0</v>
      </c>
      <c r="AE658" s="2" t="s">
        <v>1660</v>
      </c>
      <c r="AF658" s="2">
        <v>0</v>
      </c>
      <c r="AG658" s="2">
        <v>0</v>
      </c>
      <c r="AH658" s="2" t="s">
        <v>32</v>
      </c>
      <c r="AI658" s="2" t="s">
        <v>32</v>
      </c>
      <c r="AJ658" s="2" t="s">
        <v>32</v>
      </c>
      <c r="AK658" s="2" t="s">
        <v>32</v>
      </c>
      <c r="AL658" s="2" t="s">
        <v>32</v>
      </c>
      <c r="AM658" s="2">
        <v>0</v>
      </c>
      <c r="AN658" s="2" t="s">
        <v>32</v>
      </c>
      <c r="AO658" s="2">
        <v>0</v>
      </c>
      <c r="AP658" s="2" t="s">
        <v>32</v>
      </c>
      <c r="AQ658" s="2" t="s">
        <v>32</v>
      </c>
      <c r="AR658" s="2" t="s">
        <v>32</v>
      </c>
      <c r="AS658" s="2">
        <v>0</v>
      </c>
      <c r="AT658" s="2" t="s">
        <v>32</v>
      </c>
      <c r="AU658" s="2" t="s">
        <v>32</v>
      </c>
      <c r="AV658" s="2" t="s">
        <v>32</v>
      </c>
      <c r="AW658" s="2">
        <v>0</v>
      </c>
      <c r="AX658" s="2" t="s">
        <v>32</v>
      </c>
      <c r="AY658" s="2">
        <v>0</v>
      </c>
      <c r="AZ658" s="2" t="s">
        <v>1658</v>
      </c>
      <c r="BA658" s="2">
        <v>19</v>
      </c>
      <c r="BB658" s="2">
        <v>94</v>
      </c>
      <c r="BC658" s="2" t="s">
        <v>1658</v>
      </c>
      <c r="BD658" s="2">
        <v>9</v>
      </c>
      <c r="BE658" s="2" t="s">
        <v>1658</v>
      </c>
      <c r="BF658" s="2">
        <v>10</v>
      </c>
      <c r="BG658" s="2" t="s">
        <v>1660</v>
      </c>
      <c r="BH658" s="2">
        <v>0</v>
      </c>
      <c r="BI658" s="2" t="s">
        <v>32</v>
      </c>
      <c r="BJ658" s="2" t="s">
        <v>32</v>
      </c>
      <c r="BK658" s="2" t="s">
        <v>1660</v>
      </c>
      <c r="BL658" s="2">
        <v>0</v>
      </c>
      <c r="BM658" s="2" t="s">
        <v>32</v>
      </c>
      <c r="BN658" s="2" t="s">
        <v>32</v>
      </c>
      <c r="BO658" s="2" t="s">
        <v>1660</v>
      </c>
      <c r="BP658" s="2">
        <v>0</v>
      </c>
      <c r="BQ658" s="2" t="s">
        <v>1660</v>
      </c>
      <c r="BR658" s="2">
        <v>0</v>
      </c>
      <c r="BS658" s="2" t="s">
        <v>1660</v>
      </c>
      <c r="BT658" s="2">
        <v>0</v>
      </c>
      <c r="BU658" s="2">
        <v>0</v>
      </c>
      <c r="BV658" s="2" t="s">
        <v>1660</v>
      </c>
      <c r="BW658" s="2"/>
      <c r="BX658" s="2"/>
      <c r="BY658" s="2" t="s">
        <v>1807</v>
      </c>
      <c r="BZ658" s="2" t="b">
        <f>OR( (Dashboard[[#This Row],[ref_as_hh]]&gt;=1),(Dashboard[[#This Row],[ret_as_hh]] &gt;=1), (Dashboard[[#This Row],[idp_as_hh]]&gt;=1))</f>
        <v>0</v>
      </c>
      <c r="CA658" s="2">
        <f>Dashboard[[#This Row],[ret_hi_hh]]</f>
        <v>9</v>
      </c>
      <c r="CB658" s="2">
        <f>Dashboard[[#This Row],[idp_fa_hh]]+Dashboard[[#This Row],[ref_fa_hh]]+Dashboard[[#This Row],[ret_fa_hh]]</f>
        <v>34</v>
      </c>
      <c r="CC658" s="2">
        <f>Dashboard[[#This Row],[idp_loc_hh]]+Dashboard[[#This Row],[ref_loc_hh]]+Dashboard[[#This Row],[ret_loc_hh]]</f>
        <v>0</v>
      </c>
      <c r="CD658" s="2">
        <f>Dashboard[[#This Row],[idp_cc_hh]]+Dashboard[[#This Row],[ref_cc_hh]]+Dashboard[[#This Row],[ret_cc_hh]]</f>
        <v>0</v>
      </c>
      <c r="CE658" s="2">
        <f>Dashboard[[#This Row],[idp_as_hh]]+Dashboard[[#This Row],[ref_as_hh]]+Dashboard[[#This Row],[ret_as_hh]]</f>
        <v>0</v>
      </c>
      <c r="CF658" s="2">
        <f>Dashboard[[#This Row],[idp_al_hh]]+Dashboard[[#This Row],[ref_al_hh]]+Dashboard[[#This Row],[ret_al_hh]]</f>
        <v>0</v>
      </c>
    </row>
    <row r="659" spans="1:84" hidden="1" x14ac:dyDescent="0.25">
      <c r="A659" s="27">
        <v>175</v>
      </c>
      <c r="B659" s="2" t="s">
        <v>22</v>
      </c>
      <c r="C659" s="2" t="s">
        <v>23</v>
      </c>
      <c r="D659" s="2" t="s">
        <v>37</v>
      </c>
      <c r="E659" s="2" t="s">
        <v>36</v>
      </c>
      <c r="F659" s="2" t="s">
        <v>247</v>
      </c>
      <c r="G659" s="2" t="s">
        <v>246</v>
      </c>
      <c r="H659" s="2" t="s">
        <v>1590</v>
      </c>
      <c r="I659" s="2" t="s">
        <v>683</v>
      </c>
      <c r="J659" s="2" t="s">
        <v>3566</v>
      </c>
      <c r="K659" s="2" t="s">
        <v>3567</v>
      </c>
      <c r="L659" s="2" t="s">
        <v>2078</v>
      </c>
      <c r="M659" s="2">
        <v>1500</v>
      </c>
      <c r="N659" s="2" t="s">
        <v>1660</v>
      </c>
      <c r="O659" s="2">
        <v>0</v>
      </c>
      <c r="P659" s="2">
        <v>0</v>
      </c>
      <c r="Q659" s="2" t="s">
        <v>32</v>
      </c>
      <c r="R659" s="2">
        <v>0</v>
      </c>
      <c r="S659" s="2" t="s">
        <v>32</v>
      </c>
      <c r="T659" s="2">
        <v>0</v>
      </c>
      <c r="U659" s="2" t="s">
        <v>32</v>
      </c>
      <c r="V659" s="2" t="s">
        <v>32</v>
      </c>
      <c r="W659" s="2" t="s">
        <v>32</v>
      </c>
      <c r="X659" s="2">
        <v>0</v>
      </c>
      <c r="Y659" s="2" t="s">
        <v>32</v>
      </c>
      <c r="Z659" s="2" t="s">
        <v>32</v>
      </c>
      <c r="AA659" s="2" t="s">
        <v>32</v>
      </c>
      <c r="AB659" s="2">
        <v>0</v>
      </c>
      <c r="AC659" s="2" t="s">
        <v>32</v>
      </c>
      <c r="AD659" s="2">
        <v>0</v>
      </c>
      <c r="AE659" s="2" t="s">
        <v>1660</v>
      </c>
      <c r="AF659" s="2">
        <v>0</v>
      </c>
      <c r="AG659" s="2">
        <v>0</v>
      </c>
      <c r="AH659" s="2" t="s">
        <v>32</v>
      </c>
      <c r="AI659" s="2" t="s">
        <v>32</v>
      </c>
      <c r="AJ659" s="2" t="s">
        <v>32</v>
      </c>
      <c r="AK659" s="2" t="s">
        <v>32</v>
      </c>
      <c r="AL659" s="2" t="s">
        <v>32</v>
      </c>
      <c r="AM659" s="2">
        <v>0</v>
      </c>
      <c r="AN659" s="2" t="s">
        <v>32</v>
      </c>
      <c r="AO659" s="2">
        <v>0</v>
      </c>
      <c r="AP659" s="2" t="s">
        <v>32</v>
      </c>
      <c r="AQ659" s="2" t="s">
        <v>32</v>
      </c>
      <c r="AR659" s="2" t="s">
        <v>32</v>
      </c>
      <c r="AS659" s="2">
        <v>0</v>
      </c>
      <c r="AT659" s="2" t="s">
        <v>32</v>
      </c>
      <c r="AU659" s="2" t="s">
        <v>32</v>
      </c>
      <c r="AV659" s="2" t="s">
        <v>32</v>
      </c>
      <c r="AW659" s="2">
        <v>0</v>
      </c>
      <c r="AX659" s="2" t="s">
        <v>32</v>
      </c>
      <c r="AY659" s="2">
        <v>0</v>
      </c>
      <c r="AZ659" s="2" t="s">
        <v>1658</v>
      </c>
      <c r="BA659" s="2">
        <v>2</v>
      </c>
      <c r="BB659" s="2">
        <v>8</v>
      </c>
      <c r="BC659" s="2" t="s">
        <v>1658</v>
      </c>
      <c r="BD659" s="2">
        <v>1</v>
      </c>
      <c r="BE659" s="2" t="s">
        <v>1658</v>
      </c>
      <c r="BF659" s="2">
        <v>1</v>
      </c>
      <c r="BG659" s="2" t="s">
        <v>1660</v>
      </c>
      <c r="BH659" s="2">
        <v>0</v>
      </c>
      <c r="BI659" s="2" t="s">
        <v>32</v>
      </c>
      <c r="BJ659" s="2" t="s">
        <v>32</v>
      </c>
      <c r="BK659" s="2" t="s">
        <v>1660</v>
      </c>
      <c r="BL659" s="2">
        <v>0</v>
      </c>
      <c r="BM659" s="2" t="s">
        <v>32</v>
      </c>
      <c r="BN659" s="2" t="s">
        <v>32</v>
      </c>
      <c r="BO659" s="2" t="s">
        <v>1660</v>
      </c>
      <c r="BP659" s="2">
        <v>0</v>
      </c>
      <c r="BQ659" s="2" t="s">
        <v>1660</v>
      </c>
      <c r="BR659" s="2">
        <v>0</v>
      </c>
      <c r="BS659" s="2" t="s">
        <v>1660</v>
      </c>
      <c r="BT659" s="2">
        <v>0</v>
      </c>
      <c r="BU659" s="2">
        <v>0</v>
      </c>
      <c r="BV659" s="2" t="s">
        <v>1660</v>
      </c>
      <c r="BW659" s="2"/>
      <c r="BX659" s="2"/>
      <c r="BY659" s="2" t="s">
        <v>1807</v>
      </c>
      <c r="BZ659" s="2" t="b">
        <f>OR( (Dashboard[[#This Row],[ref_as_hh]]&gt;=1),(Dashboard[[#This Row],[ret_as_hh]] &gt;=1), (Dashboard[[#This Row],[idp_as_hh]]&gt;=1))</f>
        <v>0</v>
      </c>
      <c r="CA659" s="2">
        <f>Dashboard[[#This Row],[ret_hi_hh]]</f>
        <v>1</v>
      </c>
      <c r="CB659" s="2">
        <f>Dashboard[[#This Row],[idp_fa_hh]]+Dashboard[[#This Row],[ref_fa_hh]]+Dashboard[[#This Row],[ret_fa_hh]]</f>
        <v>1</v>
      </c>
      <c r="CC659" s="2">
        <f>Dashboard[[#This Row],[idp_loc_hh]]+Dashboard[[#This Row],[ref_loc_hh]]+Dashboard[[#This Row],[ret_loc_hh]]</f>
        <v>0</v>
      </c>
      <c r="CD659" s="2">
        <f>Dashboard[[#This Row],[idp_cc_hh]]+Dashboard[[#This Row],[ref_cc_hh]]+Dashboard[[#This Row],[ret_cc_hh]]</f>
        <v>0</v>
      </c>
      <c r="CE659" s="2">
        <f>Dashboard[[#This Row],[idp_as_hh]]+Dashboard[[#This Row],[ref_as_hh]]+Dashboard[[#This Row],[ret_as_hh]]</f>
        <v>0</v>
      </c>
      <c r="CF659" s="2">
        <f>Dashboard[[#This Row],[idp_al_hh]]+Dashboard[[#This Row],[ref_al_hh]]+Dashboard[[#This Row],[ret_al_hh]]</f>
        <v>0</v>
      </c>
    </row>
    <row r="660" spans="1:84" hidden="1" x14ac:dyDescent="0.25">
      <c r="A660" s="27">
        <v>176</v>
      </c>
      <c r="B660" s="2" t="s">
        <v>22</v>
      </c>
      <c r="C660" s="2" t="s">
        <v>23</v>
      </c>
      <c r="D660" s="2" t="s">
        <v>37</v>
      </c>
      <c r="E660" s="2" t="s">
        <v>36</v>
      </c>
      <c r="F660" s="2" t="s">
        <v>247</v>
      </c>
      <c r="G660" s="2" t="s">
        <v>246</v>
      </c>
      <c r="H660" s="2" t="s">
        <v>1443</v>
      </c>
      <c r="I660" s="2" t="s">
        <v>579</v>
      </c>
      <c r="J660" s="2" t="s">
        <v>3570</v>
      </c>
      <c r="K660" s="2" t="s">
        <v>3571</v>
      </c>
      <c r="L660" s="2" t="s">
        <v>2074</v>
      </c>
      <c r="M660" s="2">
        <v>4600</v>
      </c>
      <c r="N660" s="2" t="s">
        <v>1658</v>
      </c>
      <c r="O660" s="2">
        <v>37</v>
      </c>
      <c r="P660" s="2">
        <v>304</v>
      </c>
      <c r="Q660" s="2" t="s">
        <v>1658</v>
      </c>
      <c r="R660" s="2">
        <v>30</v>
      </c>
      <c r="S660" s="2" t="s">
        <v>1658</v>
      </c>
      <c r="T660" s="2">
        <v>7</v>
      </c>
      <c r="U660" s="2" t="s">
        <v>1661</v>
      </c>
      <c r="V660" s="2" t="s">
        <v>32</v>
      </c>
      <c r="W660" s="2" t="s">
        <v>1660</v>
      </c>
      <c r="X660" s="2">
        <v>0</v>
      </c>
      <c r="Y660" s="2" t="s">
        <v>32</v>
      </c>
      <c r="Z660" s="2" t="s">
        <v>32</v>
      </c>
      <c r="AA660" s="2" t="s">
        <v>1660</v>
      </c>
      <c r="AB660" s="2">
        <v>0</v>
      </c>
      <c r="AC660" s="2" t="s">
        <v>1660</v>
      </c>
      <c r="AD660" s="2">
        <v>0</v>
      </c>
      <c r="AE660" s="2" t="s">
        <v>1660</v>
      </c>
      <c r="AF660" s="2">
        <v>0</v>
      </c>
      <c r="AG660" s="2">
        <v>0</v>
      </c>
      <c r="AH660" s="2" t="s">
        <v>32</v>
      </c>
      <c r="AI660" s="2" t="s">
        <v>32</v>
      </c>
      <c r="AJ660" s="2" t="s">
        <v>32</v>
      </c>
      <c r="AK660" s="2" t="s">
        <v>32</v>
      </c>
      <c r="AL660" s="2" t="s">
        <v>32</v>
      </c>
      <c r="AM660" s="2">
        <v>0</v>
      </c>
      <c r="AN660" s="2" t="s">
        <v>32</v>
      </c>
      <c r="AO660" s="2">
        <v>0</v>
      </c>
      <c r="AP660" s="2" t="s">
        <v>32</v>
      </c>
      <c r="AQ660" s="2" t="s">
        <v>32</v>
      </c>
      <c r="AR660" s="2" t="s">
        <v>32</v>
      </c>
      <c r="AS660" s="2">
        <v>0</v>
      </c>
      <c r="AT660" s="2" t="s">
        <v>32</v>
      </c>
      <c r="AU660" s="2" t="s">
        <v>32</v>
      </c>
      <c r="AV660" s="2" t="s">
        <v>32</v>
      </c>
      <c r="AW660" s="2">
        <v>0</v>
      </c>
      <c r="AX660" s="2" t="s">
        <v>32</v>
      </c>
      <c r="AY660" s="2">
        <v>0</v>
      </c>
      <c r="AZ660" s="2" t="s">
        <v>1658</v>
      </c>
      <c r="BA660" s="2">
        <v>6</v>
      </c>
      <c r="BB660" s="2">
        <v>48</v>
      </c>
      <c r="BC660" s="2" t="s">
        <v>1660</v>
      </c>
      <c r="BD660" s="2">
        <v>0</v>
      </c>
      <c r="BE660" s="2" t="s">
        <v>1658</v>
      </c>
      <c r="BF660" s="2">
        <v>4</v>
      </c>
      <c r="BG660" s="2" t="s">
        <v>1658</v>
      </c>
      <c r="BH660" s="2">
        <v>2</v>
      </c>
      <c r="BI660" s="2" t="s">
        <v>1661</v>
      </c>
      <c r="BJ660" s="2" t="s">
        <v>32</v>
      </c>
      <c r="BK660" s="2" t="s">
        <v>1660</v>
      </c>
      <c r="BL660" s="2">
        <v>0</v>
      </c>
      <c r="BM660" s="2" t="s">
        <v>32</v>
      </c>
      <c r="BN660" s="2" t="s">
        <v>32</v>
      </c>
      <c r="BO660" s="2" t="s">
        <v>1660</v>
      </c>
      <c r="BP660" s="2">
        <v>0</v>
      </c>
      <c r="BQ660" s="2" t="s">
        <v>1660</v>
      </c>
      <c r="BR660" s="2">
        <v>0</v>
      </c>
      <c r="BS660" s="2" t="s">
        <v>1660</v>
      </c>
      <c r="BT660" s="2">
        <v>0</v>
      </c>
      <c r="BU660" s="2">
        <v>0</v>
      </c>
      <c r="BV660" s="2" t="s">
        <v>1660</v>
      </c>
      <c r="BW660" s="2"/>
      <c r="BX660" s="2"/>
      <c r="BY660" s="2" t="s">
        <v>1807</v>
      </c>
      <c r="BZ660" s="2" t="b">
        <f>OR( (Dashboard[[#This Row],[ref_as_hh]]&gt;=1),(Dashboard[[#This Row],[ret_as_hh]] &gt;=1), (Dashboard[[#This Row],[idp_as_hh]]&gt;=1))</f>
        <v>0</v>
      </c>
      <c r="CA660" s="2">
        <f>Dashboard[[#This Row],[ret_hi_hh]]</f>
        <v>0</v>
      </c>
      <c r="CB660" s="2">
        <f>Dashboard[[#This Row],[idp_fa_hh]]+Dashboard[[#This Row],[ref_fa_hh]]+Dashboard[[#This Row],[ret_fa_hh]]</f>
        <v>34</v>
      </c>
      <c r="CC660" s="2">
        <f>Dashboard[[#This Row],[idp_loc_hh]]+Dashboard[[#This Row],[ref_loc_hh]]+Dashboard[[#This Row],[ret_loc_hh]]</f>
        <v>9</v>
      </c>
      <c r="CD660" s="2">
        <f>Dashboard[[#This Row],[idp_cc_hh]]+Dashboard[[#This Row],[ref_cc_hh]]+Dashboard[[#This Row],[ret_cc_hh]]</f>
        <v>0</v>
      </c>
      <c r="CE660" s="2">
        <f>Dashboard[[#This Row],[idp_as_hh]]+Dashboard[[#This Row],[ref_as_hh]]+Dashboard[[#This Row],[ret_as_hh]]</f>
        <v>0</v>
      </c>
      <c r="CF660" s="2">
        <f>Dashboard[[#This Row],[idp_al_hh]]+Dashboard[[#This Row],[ref_al_hh]]+Dashboard[[#This Row],[ret_al_hh]]</f>
        <v>0</v>
      </c>
    </row>
    <row r="661" spans="1:84" hidden="1" x14ac:dyDescent="0.25">
      <c r="A661" s="27">
        <v>435</v>
      </c>
      <c r="B661" s="2" t="s">
        <v>22</v>
      </c>
      <c r="C661" s="2" t="s">
        <v>23</v>
      </c>
      <c r="D661" s="2" t="s">
        <v>37</v>
      </c>
      <c r="E661" s="2" t="s">
        <v>36</v>
      </c>
      <c r="F661" s="2" t="s">
        <v>247</v>
      </c>
      <c r="G661" s="2" t="s">
        <v>246</v>
      </c>
      <c r="H661" s="2" t="s">
        <v>1449</v>
      </c>
      <c r="I661" s="2" t="s">
        <v>584</v>
      </c>
      <c r="J661" s="2" t="s">
        <v>3586</v>
      </c>
      <c r="K661" s="2" t="s">
        <v>3587</v>
      </c>
      <c r="L661" s="2" t="s">
        <v>2074</v>
      </c>
      <c r="M661" s="2">
        <v>4800</v>
      </c>
      <c r="N661" s="2" t="s">
        <v>1658</v>
      </c>
      <c r="O661" s="2">
        <v>92</v>
      </c>
      <c r="P661" s="2">
        <v>551</v>
      </c>
      <c r="Q661" s="2" t="s">
        <v>1658</v>
      </c>
      <c r="R661" s="2">
        <v>81</v>
      </c>
      <c r="S661" s="2" t="s">
        <v>1658</v>
      </c>
      <c r="T661" s="2">
        <v>11</v>
      </c>
      <c r="U661" s="2" t="s">
        <v>1661</v>
      </c>
      <c r="V661" s="2" t="s">
        <v>32</v>
      </c>
      <c r="W661" s="2" t="s">
        <v>1660</v>
      </c>
      <c r="X661" s="2">
        <v>0</v>
      </c>
      <c r="Y661" s="2" t="s">
        <v>32</v>
      </c>
      <c r="Z661" s="2" t="s">
        <v>32</v>
      </c>
      <c r="AA661" s="2" t="s">
        <v>1660</v>
      </c>
      <c r="AB661" s="2">
        <v>0</v>
      </c>
      <c r="AC661" s="2" t="s">
        <v>1660</v>
      </c>
      <c r="AD661" s="2">
        <v>0</v>
      </c>
      <c r="AE661" s="2" t="s">
        <v>1660</v>
      </c>
      <c r="AF661" s="2">
        <v>0</v>
      </c>
      <c r="AG661" s="2">
        <v>0</v>
      </c>
      <c r="AH661" s="2" t="s">
        <v>32</v>
      </c>
      <c r="AI661" s="2" t="s">
        <v>32</v>
      </c>
      <c r="AJ661" s="2" t="s">
        <v>32</v>
      </c>
      <c r="AK661" s="2" t="s">
        <v>32</v>
      </c>
      <c r="AL661" s="2" t="s">
        <v>32</v>
      </c>
      <c r="AM661" s="2">
        <v>0</v>
      </c>
      <c r="AN661" s="2" t="s">
        <v>32</v>
      </c>
      <c r="AO661" s="2">
        <v>0</v>
      </c>
      <c r="AP661" s="2" t="s">
        <v>32</v>
      </c>
      <c r="AQ661" s="2" t="s">
        <v>32</v>
      </c>
      <c r="AR661" s="2" t="s">
        <v>32</v>
      </c>
      <c r="AS661" s="2">
        <v>0</v>
      </c>
      <c r="AT661" s="2" t="s">
        <v>32</v>
      </c>
      <c r="AU661" s="2" t="s">
        <v>32</v>
      </c>
      <c r="AV661" s="2" t="s">
        <v>32</v>
      </c>
      <c r="AW661" s="2">
        <v>0</v>
      </c>
      <c r="AX661" s="2" t="s">
        <v>32</v>
      </c>
      <c r="AY661" s="2">
        <v>0</v>
      </c>
      <c r="AZ661" s="2" t="s">
        <v>1658</v>
      </c>
      <c r="BA661" s="2">
        <v>5</v>
      </c>
      <c r="BB661" s="2">
        <v>25</v>
      </c>
      <c r="BC661" s="2" t="s">
        <v>1658</v>
      </c>
      <c r="BD661" s="2">
        <v>2</v>
      </c>
      <c r="BE661" s="2" t="s">
        <v>1658</v>
      </c>
      <c r="BF661" s="2">
        <v>3</v>
      </c>
      <c r="BG661" s="2" t="s">
        <v>1660</v>
      </c>
      <c r="BH661" s="2">
        <v>0</v>
      </c>
      <c r="BI661" s="2" t="s">
        <v>32</v>
      </c>
      <c r="BJ661" s="2" t="s">
        <v>32</v>
      </c>
      <c r="BK661" s="2" t="s">
        <v>1660</v>
      </c>
      <c r="BL661" s="2">
        <v>0</v>
      </c>
      <c r="BM661" s="2" t="s">
        <v>32</v>
      </c>
      <c r="BN661" s="2" t="s">
        <v>32</v>
      </c>
      <c r="BO661" s="2" t="s">
        <v>1660</v>
      </c>
      <c r="BP661" s="2">
        <v>0</v>
      </c>
      <c r="BQ661" s="2" t="s">
        <v>1660</v>
      </c>
      <c r="BR661" s="2">
        <v>0</v>
      </c>
      <c r="BS661" s="2" t="s">
        <v>1660</v>
      </c>
      <c r="BT661" s="2">
        <v>0</v>
      </c>
      <c r="BU661" s="2">
        <v>0</v>
      </c>
      <c r="BV661" s="2" t="s">
        <v>1660</v>
      </c>
      <c r="BW661" s="2"/>
      <c r="BX661" s="2"/>
      <c r="BY661" s="2" t="s">
        <v>1807</v>
      </c>
      <c r="BZ661" s="2" t="b">
        <f>OR( (Dashboard[[#This Row],[ref_as_hh]]&gt;=1),(Dashboard[[#This Row],[ret_as_hh]] &gt;=1), (Dashboard[[#This Row],[idp_as_hh]]&gt;=1))</f>
        <v>0</v>
      </c>
      <c r="CA661" s="2">
        <f>Dashboard[[#This Row],[ret_hi_hh]]</f>
        <v>2</v>
      </c>
      <c r="CB661" s="2">
        <f>Dashboard[[#This Row],[idp_fa_hh]]+Dashboard[[#This Row],[ref_fa_hh]]+Dashboard[[#This Row],[ret_fa_hh]]</f>
        <v>84</v>
      </c>
      <c r="CC661" s="2">
        <f>Dashboard[[#This Row],[idp_loc_hh]]+Dashboard[[#This Row],[ref_loc_hh]]+Dashboard[[#This Row],[ret_loc_hh]]</f>
        <v>11</v>
      </c>
      <c r="CD661" s="2">
        <f>Dashboard[[#This Row],[idp_cc_hh]]+Dashboard[[#This Row],[ref_cc_hh]]+Dashboard[[#This Row],[ret_cc_hh]]</f>
        <v>0</v>
      </c>
      <c r="CE661" s="2">
        <f>Dashboard[[#This Row],[idp_as_hh]]+Dashboard[[#This Row],[ref_as_hh]]+Dashboard[[#This Row],[ret_as_hh]]</f>
        <v>0</v>
      </c>
      <c r="CF661" s="2">
        <f>Dashboard[[#This Row],[idp_al_hh]]+Dashboard[[#This Row],[ref_al_hh]]+Dashboard[[#This Row],[ret_al_hh]]</f>
        <v>0</v>
      </c>
    </row>
    <row r="662" spans="1:84" hidden="1" x14ac:dyDescent="0.25">
      <c r="A662" s="27">
        <v>694</v>
      </c>
      <c r="B662" s="2" t="s">
        <v>22</v>
      </c>
      <c r="C662" s="2" t="s">
        <v>23</v>
      </c>
      <c r="D662" s="2" t="s">
        <v>37</v>
      </c>
      <c r="E662" s="2" t="s">
        <v>36</v>
      </c>
      <c r="F662" s="2" t="s">
        <v>247</v>
      </c>
      <c r="G662" s="2" t="s">
        <v>246</v>
      </c>
      <c r="H662" s="2" t="s">
        <v>1552</v>
      </c>
      <c r="I662" s="2" t="s">
        <v>684</v>
      </c>
      <c r="J662" s="2" t="s">
        <v>3622</v>
      </c>
      <c r="K662" s="2" t="s">
        <v>3623</v>
      </c>
      <c r="L662" s="2" t="s">
        <v>2074</v>
      </c>
      <c r="M662" s="2">
        <v>2300</v>
      </c>
      <c r="N662" s="2" t="s">
        <v>1660</v>
      </c>
      <c r="O662" s="2">
        <v>0</v>
      </c>
      <c r="P662" s="2">
        <v>0</v>
      </c>
      <c r="Q662" s="2" t="s">
        <v>32</v>
      </c>
      <c r="R662" s="2">
        <v>0</v>
      </c>
      <c r="S662" s="2" t="s">
        <v>32</v>
      </c>
      <c r="T662" s="2">
        <v>0</v>
      </c>
      <c r="U662" s="2" t="s">
        <v>32</v>
      </c>
      <c r="V662" s="2" t="s">
        <v>32</v>
      </c>
      <c r="W662" s="2" t="s">
        <v>32</v>
      </c>
      <c r="X662" s="2">
        <v>0</v>
      </c>
      <c r="Y662" s="2" t="s">
        <v>32</v>
      </c>
      <c r="Z662" s="2" t="s">
        <v>32</v>
      </c>
      <c r="AA662" s="2" t="s">
        <v>32</v>
      </c>
      <c r="AB662" s="2">
        <v>0</v>
      </c>
      <c r="AC662" s="2" t="s">
        <v>32</v>
      </c>
      <c r="AD662" s="2">
        <v>0</v>
      </c>
      <c r="AE662" s="2" t="s">
        <v>1660</v>
      </c>
      <c r="AF662" s="2">
        <v>0</v>
      </c>
      <c r="AG662" s="2">
        <v>0</v>
      </c>
      <c r="AH662" s="2" t="s">
        <v>32</v>
      </c>
      <c r="AI662" s="2" t="s">
        <v>32</v>
      </c>
      <c r="AJ662" s="2" t="s">
        <v>32</v>
      </c>
      <c r="AK662" s="2" t="s">
        <v>32</v>
      </c>
      <c r="AL662" s="2" t="s">
        <v>32</v>
      </c>
      <c r="AM662" s="2">
        <v>0</v>
      </c>
      <c r="AN662" s="2" t="s">
        <v>32</v>
      </c>
      <c r="AO662" s="2">
        <v>0</v>
      </c>
      <c r="AP662" s="2" t="s">
        <v>32</v>
      </c>
      <c r="AQ662" s="2" t="s">
        <v>32</v>
      </c>
      <c r="AR662" s="2" t="s">
        <v>32</v>
      </c>
      <c r="AS662" s="2">
        <v>0</v>
      </c>
      <c r="AT662" s="2" t="s">
        <v>32</v>
      </c>
      <c r="AU662" s="2" t="s">
        <v>32</v>
      </c>
      <c r="AV662" s="2" t="s">
        <v>32</v>
      </c>
      <c r="AW662" s="2">
        <v>0</v>
      </c>
      <c r="AX662" s="2" t="s">
        <v>32</v>
      </c>
      <c r="AY662" s="2">
        <v>0</v>
      </c>
      <c r="AZ662" s="2" t="s">
        <v>1658</v>
      </c>
      <c r="BA662" s="2">
        <v>183</v>
      </c>
      <c r="BB662" s="2">
        <v>1448</v>
      </c>
      <c r="BC662" s="2" t="s">
        <v>1660</v>
      </c>
      <c r="BD662" s="2">
        <v>0</v>
      </c>
      <c r="BE662" s="2" t="s">
        <v>1658</v>
      </c>
      <c r="BF662" s="2">
        <v>173</v>
      </c>
      <c r="BG662" s="2" t="s">
        <v>1658</v>
      </c>
      <c r="BH662" s="2">
        <v>10</v>
      </c>
      <c r="BI662" s="2" t="s">
        <v>1661</v>
      </c>
      <c r="BJ662" s="2" t="s">
        <v>32</v>
      </c>
      <c r="BK662" s="2" t="s">
        <v>1660</v>
      </c>
      <c r="BL662" s="2">
        <v>0</v>
      </c>
      <c r="BM662" s="2" t="s">
        <v>32</v>
      </c>
      <c r="BN662" s="2" t="s">
        <v>32</v>
      </c>
      <c r="BO662" s="2" t="s">
        <v>1660</v>
      </c>
      <c r="BP662" s="2">
        <v>0</v>
      </c>
      <c r="BQ662" s="2" t="s">
        <v>1660</v>
      </c>
      <c r="BR662" s="2">
        <v>0</v>
      </c>
      <c r="BS662" s="2" t="s">
        <v>1660</v>
      </c>
      <c r="BT662" s="2">
        <v>0</v>
      </c>
      <c r="BU662" s="2">
        <v>0</v>
      </c>
      <c r="BV662" s="2" t="s">
        <v>1660</v>
      </c>
      <c r="BW662" s="2"/>
      <c r="BX662" s="2"/>
      <c r="BY662" s="2" t="s">
        <v>1807</v>
      </c>
      <c r="BZ662" s="2" t="b">
        <f>OR( (Dashboard[[#This Row],[ref_as_hh]]&gt;=1),(Dashboard[[#This Row],[ret_as_hh]] &gt;=1), (Dashboard[[#This Row],[idp_as_hh]]&gt;=1))</f>
        <v>0</v>
      </c>
      <c r="CA662" s="2">
        <f>Dashboard[[#This Row],[ret_hi_hh]]</f>
        <v>0</v>
      </c>
      <c r="CB662" s="2">
        <f>Dashboard[[#This Row],[idp_fa_hh]]+Dashboard[[#This Row],[ref_fa_hh]]+Dashboard[[#This Row],[ret_fa_hh]]</f>
        <v>173</v>
      </c>
      <c r="CC662" s="2">
        <f>Dashboard[[#This Row],[idp_loc_hh]]+Dashboard[[#This Row],[ref_loc_hh]]+Dashboard[[#This Row],[ret_loc_hh]]</f>
        <v>10</v>
      </c>
      <c r="CD662" s="2">
        <f>Dashboard[[#This Row],[idp_cc_hh]]+Dashboard[[#This Row],[ref_cc_hh]]+Dashboard[[#This Row],[ret_cc_hh]]</f>
        <v>0</v>
      </c>
      <c r="CE662" s="2">
        <f>Dashboard[[#This Row],[idp_as_hh]]+Dashboard[[#This Row],[ref_as_hh]]+Dashboard[[#This Row],[ret_as_hh]]</f>
        <v>0</v>
      </c>
      <c r="CF662" s="2">
        <f>Dashboard[[#This Row],[idp_al_hh]]+Dashboard[[#This Row],[ref_al_hh]]+Dashboard[[#This Row],[ret_al_hh]]</f>
        <v>0</v>
      </c>
    </row>
    <row r="663" spans="1:84" hidden="1" x14ac:dyDescent="0.25">
      <c r="A663" s="27">
        <v>700</v>
      </c>
      <c r="B663" s="2" t="s">
        <v>22</v>
      </c>
      <c r="C663" s="2" t="s">
        <v>23</v>
      </c>
      <c r="D663" s="2" t="s">
        <v>37</v>
      </c>
      <c r="E663" s="2" t="s">
        <v>36</v>
      </c>
      <c r="F663" s="2" t="s">
        <v>247</v>
      </c>
      <c r="G663" s="2" t="s">
        <v>246</v>
      </c>
      <c r="H663" s="2" t="s">
        <v>1441</v>
      </c>
      <c r="I663" s="2" t="s">
        <v>577</v>
      </c>
      <c r="J663" s="2" t="s">
        <v>3564</v>
      </c>
      <c r="K663" s="2" t="s">
        <v>3565</v>
      </c>
      <c r="L663" s="2" t="s">
        <v>2074</v>
      </c>
      <c r="M663" s="2">
        <v>1550</v>
      </c>
      <c r="N663" s="2" t="s">
        <v>1658</v>
      </c>
      <c r="O663" s="2">
        <v>24</v>
      </c>
      <c r="P663" s="2">
        <v>152</v>
      </c>
      <c r="Q663" s="2" t="s">
        <v>1658</v>
      </c>
      <c r="R663" s="2">
        <v>20</v>
      </c>
      <c r="S663" s="2" t="s">
        <v>1658</v>
      </c>
      <c r="T663" s="2">
        <v>4</v>
      </c>
      <c r="U663" s="2" t="s">
        <v>1661</v>
      </c>
      <c r="V663" s="2" t="s">
        <v>32</v>
      </c>
      <c r="W663" s="2" t="s">
        <v>1660</v>
      </c>
      <c r="X663" s="2">
        <v>0</v>
      </c>
      <c r="Y663" s="2" t="s">
        <v>32</v>
      </c>
      <c r="Z663" s="2" t="s">
        <v>32</v>
      </c>
      <c r="AA663" s="2" t="s">
        <v>1660</v>
      </c>
      <c r="AB663" s="2">
        <v>0</v>
      </c>
      <c r="AC663" s="2" t="s">
        <v>1660</v>
      </c>
      <c r="AD663" s="2">
        <v>0</v>
      </c>
      <c r="AE663" s="2" t="s">
        <v>1660</v>
      </c>
      <c r="AF663" s="2">
        <v>0</v>
      </c>
      <c r="AG663" s="2">
        <v>0</v>
      </c>
      <c r="AH663" s="2" t="s">
        <v>32</v>
      </c>
      <c r="AI663" s="2" t="s">
        <v>32</v>
      </c>
      <c r="AJ663" s="2" t="s">
        <v>32</v>
      </c>
      <c r="AK663" s="2" t="s">
        <v>32</v>
      </c>
      <c r="AL663" s="2" t="s">
        <v>32</v>
      </c>
      <c r="AM663" s="2">
        <v>0</v>
      </c>
      <c r="AN663" s="2" t="s">
        <v>32</v>
      </c>
      <c r="AO663" s="2">
        <v>0</v>
      </c>
      <c r="AP663" s="2" t="s">
        <v>32</v>
      </c>
      <c r="AQ663" s="2" t="s">
        <v>32</v>
      </c>
      <c r="AR663" s="2" t="s">
        <v>32</v>
      </c>
      <c r="AS663" s="2">
        <v>0</v>
      </c>
      <c r="AT663" s="2" t="s">
        <v>32</v>
      </c>
      <c r="AU663" s="2" t="s">
        <v>32</v>
      </c>
      <c r="AV663" s="2" t="s">
        <v>32</v>
      </c>
      <c r="AW663" s="2">
        <v>0</v>
      </c>
      <c r="AX663" s="2" t="s">
        <v>32</v>
      </c>
      <c r="AY663" s="2">
        <v>0</v>
      </c>
      <c r="AZ663" s="2" t="s">
        <v>1658</v>
      </c>
      <c r="BA663" s="2">
        <v>156</v>
      </c>
      <c r="BB663" s="2">
        <v>1221</v>
      </c>
      <c r="BC663" s="2" t="s">
        <v>1658</v>
      </c>
      <c r="BD663" s="2">
        <v>20</v>
      </c>
      <c r="BE663" s="2" t="s">
        <v>1658</v>
      </c>
      <c r="BF663" s="2">
        <v>80</v>
      </c>
      <c r="BG663" s="2" t="s">
        <v>1658</v>
      </c>
      <c r="BH663" s="2">
        <v>56</v>
      </c>
      <c r="BI663" s="2" t="s">
        <v>1661</v>
      </c>
      <c r="BJ663" s="2" t="s">
        <v>32</v>
      </c>
      <c r="BK663" s="2" t="s">
        <v>1660</v>
      </c>
      <c r="BL663" s="2">
        <v>0</v>
      </c>
      <c r="BM663" s="2" t="s">
        <v>32</v>
      </c>
      <c r="BN663" s="2" t="s">
        <v>32</v>
      </c>
      <c r="BO663" s="2" t="s">
        <v>1660</v>
      </c>
      <c r="BP663" s="2">
        <v>0</v>
      </c>
      <c r="BQ663" s="2" t="s">
        <v>1660</v>
      </c>
      <c r="BR663" s="2">
        <v>0</v>
      </c>
      <c r="BS663" s="2" t="s">
        <v>1660</v>
      </c>
      <c r="BT663" s="2">
        <v>0</v>
      </c>
      <c r="BU663" s="2">
        <v>0</v>
      </c>
      <c r="BV663" s="2" t="s">
        <v>1660</v>
      </c>
      <c r="BW663" s="2"/>
      <c r="BX663" s="2"/>
      <c r="BY663" s="2" t="s">
        <v>1807</v>
      </c>
      <c r="BZ663" s="2" t="b">
        <f>OR( (Dashboard[[#This Row],[ref_as_hh]]&gt;=1),(Dashboard[[#This Row],[ret_as_hh]] &gt;=1), (Dashboard[[#This Row],[idp_as_hh]]&gt;=1))</f>
        <v>0</v>
      </c>
      <c r="CA663" s="2">
        <f>Dashboard[[#This Row],[ret_hi_hh]]</f>
        <v>20</v>
      </c>
      <c r="CB663" s="2">
        <f>Dashboard[[#This Row],[idp_fa_hh]]+Dashboard[[#This Row],[ref_fa_hh]]+Dashboard[[#This Row],[ret_fa_hh]]</f>
        <v>100</v>
      </c>
      <c r="CC663" s="2">
        <f>Dashboard[[#This Row],[idp_loc_hh]]+Dashboard[[#This Row],[ref_loc_hh]]+Dashboard[[#This Row],[ret_loc_hh]]</f>
        <v>60</v>
      </c>
      <c r="CD663" s="2">
        <f>Dashboard[[#This Row],[idp_cc_hh]]+Dashboard[[#This Row],[ref_cc_hh]]+Dashboard[[#This Row],[ret_cc_hh]]</f>
        <v>0</v>
      </c>
      <c r="CE663" s="2">
        <f>Dashboard[[#This Row],[idp_as_hh]]+Dashboard[[#This Row],[ref_as_hh]]+Dashboard[[#This Row],[ret_as_hh]]</f>
        <v>0</v>
      </c>
      <c r="CF663" s="2">
        <f>Dashboard[[#This Row],[idp_al_hh]]+Dashboard[[#This Row],[ref_al_hh]]+Dashboard[[#This Row],[ret_al_hh]]</f>
        <v>0</v>
      </c>
    </row>
    <row r="664" spans="1:84" hidden="1" x14ac:dyDescent="0.25">
      <c r="A664" s="27">
        <v>704</v>
      </c>
      <c r="B664" s="2" t="s">
        <v>22</v>
      </c>
      <c r="C664" s="2" t="s">
        <v>23</v>
      </c>
      <c r="D664" s="2" t="s">
        <v>37</v>
      </c>
      <c r="E664" s="2" t="s">
        <v>36</v>
      </c>
      <c r="F664" s="2" t="s">
        <v>247</v>
      </c>
      <c r="G664" s="2" t="s">
        <v>246</v>
      </c>
      <c r="H664" s="2" t="s">
        <v>2044</v>
      </c>
      <c r="I664" s="2" t="s">
        <v>2045</v>
      </c>
      <c r="J664" s="2" t="s">
        <v>3562</v>
      </c>
      <c r="K664" s="2" t="s">
        <v>3563</v>
      </c>
      <c r="L664" s="2" t="s">
        <v>3693</v>
      </c>
      <c r="M664" s="2">
        <v>16000</v>
      </c>
      <c r="N664" s="2" t="s">
        <v>1658</v>
      </c>
      <c r="O664" s="2">
        <v>9</v>
      </c>
      <c r="P664" s="2">
        <v>45</v>
      </c>
      <c r="Q664" s="2" t="s">
        <v>1658</v>
      </c>
      <c r="R664" s="2">
        <v>7</v>
      </c>
      <c r="S664" s="2" t="s">
        <v>1658</v>
      </c>
      <c r="T664" s="2">
        <v>2</v>
      </c>
      <c r="U664" s="2" t="s">
        <v>1659</v>
      </c>
      <c r="V664" s="2" t="s">
        <v>32</v>
      </c>
      <c r="W664" s="2" t="s">
        <v>1660</v>
      </c>
      <c r="X664" s="2">
        <v>0</v>
      </c>
      <c r="Y664" s="2" t="s">
        <v>32</v>
      </c>
      <c r="Z664" s="2" t="s">
        <v>32</v>
      </c>
      <c r="AA664" s="2" t="s">
        <v>1660</v>
      </c>
      <c r="AB664" s="2">
        <v>0</v>
      </c>
      <c r="AC664" s="2" t="s">
        <v>1660</v>
      </c>
      <c r="AD664" s="2">
        <v>0</v>
      </c>
      <c r="AE664" s="2" t="s">
        <v>1660</v>
      </c>
      <c r="AF664" s="2">
        <v>0</v>
      </c>
      <c r="AG664" s="2">
        <v>0</v>
      </c>
      <c r="AH664" s="2" t="s">
        <v>32</v>
      </c>
      <c r="AI664" s="2" t="s">
        <v>32</v>
      </c>
      <c r="AJ664" s="2" t="s">
        <v>32</v>
      </c>
      <c r="AK664" s="2" t="s">
        <v>32</v>
      </c>
      <c r="AL664" s="2" t="s">
        <v>32</v>
      </c>
      <c r="AM664" s="2">
        <v>0</v>
      </c>
      <c r="AN664" s="2" t="s">
        <v>32</v>
      </c>
      <c r="AO664" s="2">
        <v>0</v>
      </c>
      <c r="AP664" s="2" t="s">
        <v>32</v>
      </c>
      <c r="AQ664" s="2" t="s">
        <v>32</v>
      </c>
      <c r="AR664" s="2" t="s">
        <v>32</v>
      </c>
      <c r="AS664" s="2">
        <v>0</v>
      </c>
      <c r="AT664" s="2" t="s">
        <v>32</v>
      </c>
      <c r="AU664" s="2" t="s">
        <v>32</v>
      </c>
      <c r="AV664" s="2" t="s">
        <v>32</v>
      </c>
      <c r="AW664" s="2">
        <v>0</v>
      </c>
      <c r="AX664" s="2" t="s">
        <v>32</v>
      </c>
      <c r="AY664" s="2">
        <v>0</v>
      </c>
      <c r="AZ664" s="2" t="s">
        <v>1658</v>
      </c>
      <c r="BA664" s="2">
        <v>1</v>
      </c>
      <c r="BB664" s="2">
        <v>4</v>
      </c>
      <c r="BC664" s="2" t="s">
        <v>1658</v>
      </c>
      <c r="BD664" s="2">
        <v>1</v>
      </c>
      <c r="BE664" s="2" t="s">
        <v>1660</v>
      </c>
      <c r="BF664" s="2">
        <v>0</v>
      </c>
      <c r="BG664" s="2" t="s">
        <v>1660</v>
      </c>
      <c r="BH664" s="2">
        <v>0</v>
      </c>
      <c r="BI664" s="2" t="s">
        <v>32</v>
      </c>
      <c r="BJ664" s="2" t="s">
        <v>32</v>
      </c>
      <c r="BK664" s="2" t="s">
        <v>1660</v>
      </c>
      <c r="BL664" s="2">
        <v>0</v>
      </c>
      <c r="BM664" s="2" t="s">
        <v>32</v>
      </c>
      <c r="BN664" s="2" t="s">
        <v>32</v>
      </c>
      <c r="BO664" s="2" t="s">
        <v>1660</v>
      </c>
      <c r="BP664" s="2">
        <v>0</v>
      </c>
      <c r="BQ664" s="2" t="s">
        <v>1660</v>
      </c>
      <c r="BR664" s="2">
        <v>0</v>
      </c>
      <c r="BS664" s="2" t="s">
        <v>1660</v>
      </c>
      <c r="BT664" s="2">
        <v>0</v>
      </c>
      <c r="BU664" s="2">
        <v>0</v>
      </c>
      <c r="BV664" s="2" t="s">
        <v>1660</v>
      </c>
      <c r="BW664" s="2"/>
      <c r="BX664" s="2"/>
      <c r="BY664" s="2" t="s">
        <v>1807</v>
      </c>
      <c r="BZ664" s="2" t="b">
        <f>OR( (Dashboard[[#This Row],[ref_as_hh]]&gt;=1),(Dashboard[[#This Row],[ret_as_hh]] &gt;=1), (Dashboard[[#This Row],[idp_as_hh]]&gt;=1))</f>
        <v>0</v>
      </c>
      <c r="CA664" s="2">
        <f>Dashboard[[#This Row],[ret_hi_hh]]</f>
        <v>1</v>
      </c>
      <c r="CB664" s="2">
        <f>Dashboard[[#This Row],[idp_fa_hh]]+Dashboard[[#This Row],[ref_fa_hh]]+Dashboard[[#This Row],[ret_fa_hh]]</f>
        <v>7</v>
      </c>
      <c r="CC664" s="2">
        <f>Dashboard[[#This Row],[idp_loc_hh]]+Dashboard[[#This Row],[ref_loc_hh]]+Dashboard[[#This Row],[ret_loc_hh]]</f>
        <v>2</v>
      </c>
      <c r="CD664" s="2">
        <f>Dashboard[[#This Row],[idp_cc_hh]]+Dashboard[[#This Row],[ref_cc_hh]]+Dashboard[[#This Row],[ret_cc_hh]]</f>
        <v>0</v>
      </c>
      <c r="CE664" s="2">
        <f>Dashboard[[#This Row],[idp_as_hh]]+Dashboard[[#This Row],[ref_as_hh]]+Dashboard[[#This Row],[ret_as_hh]]</f>
        <v>0</v>
      </c>
      <c r="CF664" s="2">
        <f>Dashboard[[#This Row],[idp_al_hh]]+Dashboard[[#This Row],[ref_al_hh]]+Dashboard[[#This Row],[ret_al_hh]]</f>
        <v>0</v>
      </c>
    </row>
    <row r="665" spans="1:84" hidden="1" x14ac:dyDescent="0.25">
      <c r="A665" s="27">
        <v>705</v>
      </c>
      <c r="B665" s="2" t="s">
        <v>22</v>
      </c>
      <c r="C665" s="2" t="s">
        <v>23</v>
      </c>
      <c r="D665" s="2" t="s">
        <v>37</v>
      </c>
      <c r="E665" s="2" t="s">
        <v>36</v>
      </c>
      <c r="F665" s="2" t="s">
        <v>247</v>
      </c>
      <c r="G665" s="2" t="s">
        <v>246</v>
      </c>
      <c r="H665" s="2" t="s">
        <v>1454</v>
      </c>
      <c r="I665" s="2" t="s">
        <v>251</v>
      </c>
      <c r="J665" s="2" t="s">
        <v>3596</v>
      </c>
      <c r="K665" s="2" t="s">
        <v>3597</v>
      </c>
      <c r="L665" s="2" t="s">
        <v>2074</v>
      </c>
      <c r="M665" s="2">
        <v>4000</v>
      </c>
      <c r="N665" s="2" t="s">
        <v>1658</v>
      </c>
      <c r="O665" s="2">
        <v>14</v>
      </c>
      <c r="P665" s="2">
        <v>70</v>
      </c>
      <c r="Q665" s="2" t="s">
        <v>1658</v>
      </c>
      <c r="R665" s="2">
        <v>14</v>
      </c>
      <c r="S665" s="2" t="s">
        <v>1660</v>
      </c>
      <c r="T665" s="2">
        <v>0</v>
      </c>
      <c r="U665" s="2" t="s">
        <v>32</v>
      </c>
      <c r="V665" s="2" t="s">
        <v>32</v>
      </c>
      <c r="W665" s="2" t="s">
        <v>1660</v>
      </c>
      <c r="X665" s="2">
        <v>0</v>
      </c>
      <c r="Y665" s="2" t="s">
        <v>32</v>
      </c>
      <c r="Z665" s="2" t="s">
        <v>32</v>
      </c>
      <c r="AA665" s="2" t="s">
        <v>1660</v>
      </c>
      <c r="AB665" s="2">
        <v>0</v>
      </c>
      <c r="AC665" s="2" t="s">
        <v>1660</v>
      </c>
      <c r="AD665" s="2">
        <v>0</v>
      </c>
      <c r="AE665" s="2" t="s">
        <v>1660</v>
      </c>
      <c r="AF665" s="2">
        <v>0</v>
      </c>
      <c r="AG665" s="2">
        <v>0</v>
      </c>
      <c r="AH665" s="2" t="s">
        <v>32</v>
      </c>
      <c r="AI665" s="2" t="s">
        <v>32</v>
      </c>
      <c r="AJ665" s="2" t="s">
        <v>32</v>
      </c>
      <c r="AK665" s="2" t="s">
        <v>32</v>
      </c>
      <c r="AL665" s="2" t="s">
        <v>32</v>
      </c>
      <c r="AM665" s="2">
        <v>0</v>
      </c>
      <c r="AN665" s="2" t="s">
        <v>32</v>
      </c>
      <c r="AO665" s="2">
        <v>0</v>
      </c>
      <c r="AP665" s="2" t="s">
        <v>32</v>
      </c>
      <c r="AQ665" s="2" t="s">
        <v>32</v>
      </c>
      <c r="AR665" s="2" t="s">
        <v>32</v>
      </c>
      <c r="AS665" s="2">
        <v>0</v>
      </c>
      <c r="AT665" s="2" t="s">
        <v>32</v>
      </c>
      <c r="AU665" s="2" t="s">
        <v>32</v>
      </c>
      <c r="AV665" s="2" t="s">
        <v>32</v>
      </c>
      <c r="AW665" s="2">
        <v>0</v>
      </c>
      <c r="AX665" s="2" t="s">
        <v>32</v>
      </c>
      <c r="AY665" s="2">
        <v>0</v>
      </c>
      <c r="AZ665" s="2" t="s">
        <v>1658</v>
      </c>
      <c r="BA665" s="2">
        <v>23</v>
      </c>
      <c r="BB665" s="2">
        <v>120</v>
      </c>
      <c r="BC665" s="2" t="s">
        <v>1658</v>
      </c>
      <c r="BD665" s="2">
        <v>20</v>
      </c>
      <c r="BE665" s="2" t="s">
        <v>1658</v>
      </c>
      <c r="BF665" s="2">
        <v>3</v>
      </c>
      <c r="BG665" s="2" t="s">
        <v>1660</v>
      </c>
      <c r="BH665" s="2">
        <v>0</v>
      </c>
      <c r="BI665" s="2" t="s">
        <v>32</v>
      </c>
      <c r="BJ665" s="2" t="s">
        <v>32</v>
      </c>
      <c r="BK665" s="2" t="s">
        <v>1660</v>
      </c>
      <c r="BL665" s="2">
        <v>0</v>
      </c>
      <c r="BM665" s="2" t="s">
        <v>32</v>
      </c>
      <c r="BN665" s="2" t="s">
        <v>32</v>
      </c>
      <c r="BO665" s="2" t="s">
        <v>1660</v>
      </c>
      <c r="BP665" s="2">
        <v>0</v>
      </c>
      <c r="BQ665" s="2" t="s">
        <v>1660</v>
      </c>
      <c r="BR665" s="2">
        <v>0</v>
      </c>
      <c r="BS665" s="2" t="s">
        <v>1660</v>
      </c>
      <c r="BT665" s="2">
        <v>0</v>
      </c>
      <c r="BU665" s="2">
        <v>0</v>
      </c>
      <c r="BV665" s="2" t="s">
        <v>1660</v>
      </c>
      <c r="BW665" s="2"/>
      <c r="BX665" s="2"/>
      <c r="BY665" s="2" t="s">
        <v>1807</v>
      </c>
      <c r="BZ665" s="2" t="b">
        <f>OR( (Dashboard[[#This Row],[ref_as_hh]]&gt;=1),(Dashboard[[#This Row],[ret_as_hh]] &gt;=1), (Dashboard[[#This Row],[idp_as_hh]]&gt;=1))</f>
        <v>0</v>
      </c>
      <c r="CA665" s="2">
        <f>Dashboard[[#This Row],[ret_hi_hh]]</f>
        <v>20</v>
      </c>
      <c r="CB665" s="2">
        <f>Dashboard[[#This Row],[idp_fa_hh]]+Dashboard[[#This Row],[ref_fa_hh]]+Dashboard[[#This Row],[ret_fa_hh]]</f>
        <v>17</v>
      </c>
      <c r="CC665" s="2">
        <f>Dashboard[[#This Row],[idp_loc_hh]]+Dashboard[[#This Row],[ref_loc_hh]]+Dashboard[[#This Row],[ret_loc_hh]]</f>
        <v>0</v>
      </c>
      <c r="CD665" s="2">
        <f>Dashboard[[#This Row],[idp_cc_hh]]+Dashboard[[#This Row],[ref_cc_hh]]+Dashboard[[#This Row],[ret_cc_hh]]</f>
        <v>0</v>
      </c>
      <c r="CE665" s="2">
        <f>Dashboard[[#This Row],[idp_as_hh]]+Dashboard[[#This Row],[ref_as_hh]]+Dashboard[[#This Row],[ret_as_hh]]</f>
        <v>0</v>
      </c>
      <c r="CF665" s="2">
        <f>Dashboard[[#This Row],[idp_al_hh]]+Dashboard[[#This Row],[ref_al_hh]]+Dashboard[[#This Row],[ret_al_hh]]</f>
        <v>0</v>
      </c>
    </row>
    <row r="666" spans="1:84" hidden="1" x14ac:dyDescent="0.25">
      <c r="A666" s="27">
        <v>718</v>
      </c>
      <c r="B666" s="2" t="s">
        <v>22</v>
      </c>
      <c r="C666" s="2" t="s">
        <v>23</v>
      </c>
      <c r="D666" s="2" t="s">
        <v>37</v>
      </c>
      <c r="E666" s="2" t="s">
        <v>36</v>
      </c>
      <c r="F666" s="2" t="s">
        <v>247</v>
      </c>
      <c r="G666" s="2" t="s">
        <v>246</v>
      </c>
      <c r="H666" s="2" t="s">
        <v>1455</v>
      </c>
      <c r="I666" s="2" t="s">
        <v>588</v>
      </c>
      <c r="J666" s="2" t="s">
        <v>3598</v>
      </c>
      <c r="K666" s="2" t="s">
        <v>3599</v>
      </c>
      <c r="L666" s="2" t="s">
        <v>2074</v>
      </c>
      <c r="M666" s="2">
        <v>2100</v>
      </c>
      <c r="N666" s="2" t="s">
        <v>1658</v>
      </c>
      <c r="O666" s="2">
        <v>17</v>
      </c>
      <c r="P666" s="2">
        <v>102</v>
      </c>
      <c r="Q666" s="2" t="s">
        <v>1658</v>
      </c>
      <c r="R666" s="2">
        <v>10</v>
      </c>
      <c r="S666" s="2" t="s">
        <v>1658</v>
      </c>
      <c r="T666" s="2">
        <v>7</v>
      </c>
      <c r="U666" s="2" t="s">
        <v>1661</v>
      </c>
      <c r="V666" s="2" t="s">
        <v>32</v>
      </c>
      <c r="W666" s="2" t="s">
        <v>1660</v>
      </c>
      <c r="X666" s="2">
        <v>0</v>
      </c>
      <c r="Y666" s="2" t="s">
        <v>32</v>
      </c>
      <c r="Z666" s="2" t="s">
        <v>32</v>
      </c>
      <c r="AA666" s="2" t="s">
        <v>1660</v>
      </c>
      <c r="AB666" s="2">
        <v>0</v>
      </c>
      <c r="AC666" s="2" t="s">
        <v>1660</v>
      </c>
      <c r="AD666" s="2">
        <v>0</v>
      </c>
      <c r="AE666" s="2" t="s">
        <v>1660</v>
      </c>
      <c r="AF666" s="2">
        <v>0</v>
      </c>
      <c r="AG666" s="2">
        <v>0</v>
      </c>
      <c r="AH666" s="2" t="s">
        <v>32</v>
      </c>
      <c r="AI666" s="2" t="s">
        <v>32</v>
      </c>
      <c r="AJ666" s="2" t="s">
        <v>32</v>
      </c>
      <c r="AK666" s="2" t="s">
        <v>32</v>
      </c>
      <c r="AL666" s="2" t="s">
        <v>32</v>
      </c>
      <c r="AM666" s="2">
        <v>0</v>
      </c>
      <c r="AN666" s="2" t="s">
        <v>32</v>
      </c>
      <c r="AO666" s="2">
        <v>0</v>
      </c>
      <c r="AP666" s="2" t="s">
        <v>32</v>
      </c>
      <c r="AQ666" s="2" t="s">
        <v>32</v>
      </c>
      <c r="AR666" s="2" t="s">
        <v>32</v>
      </c>
      <c r="AS666" s="2">
        <v>0</v>
      </c>
      <c r="AT666" s="2" t="s">
        <v>32</v>
      </c>
      <c r="AU666" s="2" t="s">
        <v>32</v>
      </c>
      <c r="AV666" s="2" t="s">
        <v>32</v>
      </c>
      <c r="AW666" s="2">
        <v>0</v>
      </c>
      <c r="AX666" s="2" t="s">
        <v>32</v>
      </c>
      <c r="AY666" s="2">
        <v>0</v>
      </c>
      <c r="AZ666" s="2" t="s">
        <v>1658</v>
      </c>
      <c r="BA666" s="2">
        <v>6</v>
      </c>
      <c r="BB666" s="2">
        <v>32</v>
      </c>
      <c r="BC666" s="2" t="s">
        <v>1660</v>
      </c>
      <c r="BD666" s="2">
        <v>0</v>
      </c>
      <c r="BE666" s="2" t="s">
        <v>1658</v>
      </c>
      <c r="BF666" s="2">
        <v>6</v>
      </c>
      <c r="BG666" s="2" t="s">
        <v>1660</v>
      </c>
      <c r="BH666" s="2">
        <v>0</v>
      </c>
      <c r="BI666" s="2" t="s">
        <v>32</v>
      </c>
      <c r="BJ666" s="2" t="s">
        <v>32</v>
      </c>
      <c r="BK666" s="2" t="s">
        <v>1660</v>
      </c>
      <c r="BL666" s="2">
        <v>0</v>
      </c>
      <c r="BM666" s="2" t="s">
        <v>32</v>
      </c>
      <c r="BN666" s="2" t="s">
        <v>32</v>
      </c>
      <c r="BO666" s="2" t="s">
        <v>1660</v>
      </c>
      <c r="BP666" s="2">
        <v>0</v>
      </c>
      <c r="BQ666" s="2" t="s">
        <v>1660</v>
      </c>
      <c r="BR666" s="2">
        <v>0</v>
      </c>
      <c r="BS666" s="2" t="s">
        <v>1660</v>
      </c>
      <c r="BT666" s="2">
        <v>0</v>
      </c>
      <c r="BU666" s="2">
        <v>0</v>
      </c>
      <c r="BV666" s="2" t="s">
        <v>1660</v>
      </c>
      <c r="BW666" s="2"/>
      <c r="BX666" s="2"/>
      <c r="BY666" s="2" t="s">
        <v>1807</v>
      </c>
      <c r="BZ666" s="2" t="b">
        <f>OR( (Dashboard[[#This Row],[ref_as_hh]]&gt;=1),(Dashboard[[#This Row],[ret_as_hh]] &gt;=1), (Dashboard[[#This Row],[idp_as_hh]]&gt;=1))</f>
        <v>0</v>
      </c>
      <c r="CA666" s="2">
        <f>Dashboard[[#This Row],[ret_hi_hh]]</f>
        <v>0</v>
      </c>
      <c r="CB666" s="2">
        <f>Dashboard[[#This Row],[idp_fa_hh]]+Dashboard[[#This Row],[ref_fa_hh]]+Dashboard[[#This Row],[ret_fa_hh]]</f>
        <v>16</v>
      </c>
      <c r="CC666" s="2">
        <f>Dashboard[[#This Row],[idp_loc_hh]]+Dashboard[[#This Row],[ref_loc_hh]]+Dashboard[[#This Row],[ret_loc_hh]]</f>
        <v>7</v>
      </c>
      <c r="CD666" s="2">
        <f>Dashboard[[#This Row],[idp_cc_hh]]+Dashboard[[#This Row],[ref_cc_hh]]+Dashboard[[#This Row],[ret_cc_hh]]</f>
        <v>0</v>
      </c>
      <c r="CE666" s="2">
        <f>Dashboard[[#This Row],[idp_as_hh]]+Dashboard[[#This Row],[ref_as_hh]]+Dashboard[[#This Row],[ret_as_hh]]</f>
        <v>0</v>
      </c>
      <c r="CF666" s="2">
        <f>Dashboard[[#This Row],[idp_al_hh]]+Dashboard[[#This Row],[ref_al_hh]]+Dashboard[[#This Row],[ret_al_hh]]</f>
        <v>0</v>
      </c>
    </row>
    <row r="667" spans="1:84" hidden="1" x14ac:dyDescent="0.25">
      <c r="A667" s="27">
        <v>725</v>
      </c>
      <c r="B667" s="2" t="s">
        <v>22</v>
      </c>
      <c r="C667" s="2" t="s">
        <v>23</v>
      </c>
      <c r="D667" s="2" t="s">
        <v>37</v>
      </c>
      <c r="E667" s="2" t="s">
        <v>36</v>
      </c>
      <c r="F667" s="2" t="s">
        <v>247</v>
      </c>
      <c r="G667" s="2" t="s">
        <v>246</v>
      </c>
      <c r="H667" s="2" t="s">
        <v>1466</v>
      </c>
      <c r="I667" s="2" t="s">
        <v>597</v>
      </c>
      <c r="J667" s="2" t="s">
        <v>3620</v>
      </c>
      <c r="K667" s="2" t="s">
        <v>3621</v>
      </c>
      <c r="L667" s="2" t="s">
        <v>3693</v>
      </c>
      <c r="M667" s="2">
        <v>5543</v>
      </c>
      <c r="N667" s="2" t="s">
        <v>1658</v>
      </c>
      <c r="O667" s="2">
        <v>210</v>
      </c>
      <c r="P667" s="2">
        <v>896</v>
      </c>
      <c r="Q667" s="2" t="s">
        <v>32</v>
      </c>
      <c r="R667" s="2">
        <v>0</v>
      </c>
      <c r="S667" s="2" t="s">
        <v>1660</v>
      </c>
      <c r="T667" s="2">
        <v>0</v>
      </c>
      <c r="U667" s="2" t="s">
        <v>32</v>
      </c>
      <c r="V667" s="2" t="s">
        <v>32</v>
      </c>
      <c r="W667" s="2" t="s">
        <v>1658</v>
      </c>
      <c r="X667" s="2">
        <v>210</v>
      </c>
      <c r="Y667" s="2" t="s">
        <v>637</v>
      </c>
      <c r="Z667" s="2" t="s">
        <v>1839</v>
      </c>
      <c r="AA667" s="2" t="s">
        <v>1660</v>
      </c>
      <c r="AB667" s="2">
        <v>0</v>
      </c>
      <c r="AC667" s="2" t="s">
        <v>1660</v>
      </c>
      <c r="AD667" s="2">
        <v>0</v>
      </c>
      <c r="AE667" s="2" t="s">
        <v>1660</v>
      </c>
      <c r="AF667" s="2">
        <v>0</v>
      </c>
      <c r="AG667" s="2">
        <v>0</v>
      </c>
      <c r="AH667" s="2" t="s">
        <v>32</v>
      </c>
      <c r="AI667" s="2" t="s">
        <v>32</v>
      </c>
      <c r="AJ667" s="2" t="s">
        <v>32</v>
      </c>
      <c r="AK667" s="2" t="s">
        <v>32</v>
      </c>
      <c r="AL667" s="2" t="s">
        <v>32</v>
      </c>
      <c r="AM667" s="2">
        <v>0</v>
      </c>
      <c r="AN667" s="2" t="s">
        <v>32</v>
      </c>
      <c r="AO667" s="2">
        <v>0</v>
      </c>
      <c r="AP667" s="2" t="s">
        <v>32</v>
      </c>
      <c r="AQ667" s="2" t="s">
        <v>32</v>
      </c>
      <c r="AR667" s="2" t="s">
        <v>32</v>
      </c>
      <c r="AS667" s="2">
        <v>0</v>
      </c>
      <c r="AT667" s="2" t="s">
        <v>32</v>
      </c>
      <c r="AU667" s="2" t="s">
        <v>32</v>
      </c>
      <c r="AV667" s="2" t="s">
        <v>32</v>
      </c>
      <c r="AW667" s="2">
        <v>0</v>
      </c>
      <c r="AX667" s="2" t="s">
        <v>32</v>
      </c>
      <c r="AY667" s="2">
        <v>0</v>
      </c>
      <c r="AZ667" s="2" t="s">
        <v>1658</v>
      </c>
      <c r="BA667" s="2">
        <v>8</v>
      </c>
      <c r="BB667" s="2">
        <v>40</v>
      </c>
      <c r="BC667" s="2" t="s">
        <v>1658</v>
      </c>
      <c r="BD667" s="2">
        <v>8</v>
      </c>
      <c r="BE667" s="2" t="s">
        <v>32</v>
      </c>
      <c r="BF667" s="2">
        <v>0</v>
      </c>
      <c r="BG667" s="2" t="s">
        <v>1660</v>
      </c>
      <c r="BH667" s="2">
        <v>0</v>
      </c>
      <c r="BI667" s="2" t="s">
        <v>32</v>
      </c>
      <c r="BJ667" s="2" t="s">
        <v>32</v>
      </c>
      <c r="BK667" s="2" t="s">
        <v>1660</v>
      </c>
      <c r="BL667" s="2">
        <v>0</v>
      </c>
      <c r="BM667" s="2" t="s">
        <v>32</v>
      </c>
      <c r="BN667" s="2" t="s">
        <v>32</v>
      </c>
      <c r="BO667" s="2" t="s">
        <v>1660</v>
      </c>
      <c r="BP667" s="2">
        <v>0</v>
      </c>
      <c r="BQ667" s="2" t="s">
        <v>1660</v>
      </c>
      <c r="BR667" s="2">
        <v>0</v>
      </c>
      <c r="BS667" s="2" t="s">
        <v>1660</v>
      </c>
      <c r="BT667" s="2">
        <v>0</v>
      </c>
      <c r="BU667" s="2">
        <v>0</v>
      </c>
      <c r="BV667" s="2" t="s">
        <v>1660</v>
      </c>
      <c r="BW667" s="2"/>
      <c r="BX667" s="2"/>
      <c r="BY667" s="2" t="s">
        <v>1807</v>
      </c>
      <c r="BZ667" s="2" t="b">
        <f>OR( (Dashboard[[#This Row],[ref_as_hh]]&gt;=1),(Dashboard[[#This Row],[ret_as_hh]] &gt;=1), (Dashboard[[#This Row],[idp_as_hh]]&gt;=1))</f>
        <v>0</v>
      </c>
      <c r="CA667" s="2">
        <f>Dashboard[[#This Row],[ret_hi_hh]]</f>
        <v>8</v>
      </c>
      <c r="CB667" s="2">
        <f>Dashboard[[#This Row],[idp_fa_hh]]+Dashboard[[#This Row],[ref_fa_hh]]+Dashboard[[#This Row],[ret_fa_hh]]</f>
        <v>0</v>
      </c>
      <c r="CC667" s="2">
        <f>Dashboard[[#This Row],[idp_loc_hh]]+Dashboard[[#This Row],[ref_loc_hh]]+Dashboard[[#This Row],[ret_loc_hh]]</f>
        <v>0</v>
      </c>
      <c r="CD667" s="2">
        <f>Dashboard[[#This Row],[idp_cc_hh]]+Dashboard[[#This Row],[ref_cc_hh]]+Dashboard[[#This Row],[ret_cc_hh]]</f>
        <v>210</v>
      </c>
      <c r="CE667" s="2">
        <f>Dashboard[[#This Row],[idp_as_hh]]+Dashboard[[#This Row],[ref_as_hh]]+Dashboard[[#This Row],[ret_as_hh]]</f>
        <v>0</v>
      </c>
      <c r="CF667" s="2">
        <f>Dashboard[[#This Row],[idp_al_hh]]+Dashboard[[#This Row],[ref_al_hh]]+Dashboard[[#This Row],[ret_al_hh]]</f>
        <v>0</v>
      </c>
    </row>
    <row r="668" spans="1:84" hidden="1" x14ac:dyDescent="0.25">
      <c r="A668" s="27">
        <v>493</v>
      </c>
      <c r="B668" s="2" t="s">
        <v>22</v>
      </c>
      <c r="C668" s="2" t="s">
        <v>23</v>
      </c>
      <c r="D668" s="2" t="s">
        <v>37</v>
      </c>
      <c r="E668" s="2" t="s">
        <v>36</v>
      </c>
      <c r="F668" s="2" t="s">
        <v>247</v>
      </c>
      <c r="G668" s="2" t="s">
        <v>246</v>
      </c>
      <c r="H668" s="2" t="s">
        <v>1464</v>
      </c>
      <c r="I668" s="2" t="s">
        <v>596</v>
      </c>
      <c r="J668" s="2" t="s">
        <v>3616</v>
      </c>
      <c r="K668" s="2" t="s">
        <v>3617</v>
      </c>
      <c r="L668" s="2" t="s">
        <v>2074</v>
      </c>
      <c r="M668" s="2">
        <v>4500</v>
      </c>
      <c r="N668" s="2" t="s">
        <v>1658</v>
      </c>
      <c r="O668" s="2">
        <v>30</v>
      </c>
      <c r="P668" s="2">
        <v>150</v>
      </c>
      <c r="Q668" s="2" t="s">
        <v>1658</v>
      </c>
      <c r="R668" s="2">
        <v>30</v>
      </c>
      <c r="S668" s="2" t="s">
        <v>1660</v>
      </c>
      <c r="T668" s="2">
        <v>0</v>
      </c>
      <c r="U668" s="2" t="s">
        <v>32</v>
      </c>
      <c r="V668" s="2" t="s">
        <v>32</v>
      </c>
      <c r="W668" s="2" t="s">
        <v>1660</v>
      </c>
      <c r="X668" s="2">
        <v>0</v>
      </c>
      <c r="Y668" s="2" t="s">
        <v>32</v>
      </c>
      <c r="Z668" s="2" t="s">
        <v>32</v>
      </c>
      <c r="AA668" s="2" t="s">
        <v>1660</v>
      </c>
      <c r="AB668" s="2">
        <v>0</v>
      </c>
      <c r="AC668" s="2" t="s">
        <v>1660</v>
      </c>
      <c r="AD668" s="2">
        <v>0</v>
      </c>
      <c r="AE668" s="2" t="s">
        <v>1660</v>
      </c>
      <c r="AF668" s="2">
        <v>0</v>
      </c>
      <c r="AG668" s="2">
        <v>0</v>
      </c>
      <c r="AH668" s="2" t="s">
        <v>32</v>
      </c>
      <c r="AI668" s="2" t="s">
        <v>32</v>
      </c>
      <c r="AJ668" s="2" t="s">
        <v>32</v>
      </c>
      <c r="AK668" s="2" t="s">
        <v>32</v>
      </c>
      <c r="AL668" s="2" t="s">
        <v>32</v>
      </c>
      <c r="AM668" s="2">
        <v>0</v>
      </c>
      <c r="AN668" s="2" t="s">
        <v>32</v>
      </c>
      <c r="AO668" s="2">
        <v>0</v>
      </c>
      <c r="AP668" s="2" t="s">
        <v>32</v>
      </c>
      <c r="AQ668" s="2" t="s">
        <v>32</v>
      </c>
      <c r="AR668" s="2" t="s">
        <v>32</v>
      </c>
      <c r="AS668" s="2">
        <v>0</v>
      </c>
      <c r="AT668" s="2" t="s">
        <v>32</v>
      </c>
      <c r="AU668" s="2" t="s">
        <v>32</v>
      </c>
      <c r="AV668" s="2" t="s">
        <v>32</v>
      </c>
      <c r="AW668" s="2">
        <v>0</v>
      </c>
      <c r="AX668" s="2" t="s">
        <v>32</v>
      </c>
      <c r="AY668" s="2">
        <v>0</v>
      </c>
      <c r="AZ668" s="2" t="s">
        <v>1658</v>
      </c>
      <c r="BA668" s="2">
        <v>25</v>
      </c>
      <c r="BB668" s="2">
        <v>129</v>
      </c>
      <c r="BC668" s="2" t="s">
        <v>1658</v>
      </c>
      <c r="BD668" s="2">
        <v>20</v>
      </c>
      <c r="BE668" s="2" t="s">
        <v>1658</v>
      </c>
      <c r="BF668" s="2">
        <v>5</v>
      </c>
      <c r="BG668" s="2" t="s">
        <v>1660</v>
      </c>
      <c r="BH668" s="2">
        <v>0</v>
      </c>
      <c r="BI668" s="2" t="s">
        <v>32</v>
      </c>
      <c r="BJ668" s="2" t="s">
        <v>32</v>
      </c>
      <c r="BK668" s="2" t="s">
        <v>1660</v>
      </c>
      <c r="BL668" s="2">
        <v>0</v>
      </c>
      <c r="BM668" s="2" t="s">
        <v>32</v>
      </c>
      <c r="BN668" s="2" t="s">
        <v>32</v>
      </c>
      <c r="BO668" s="2" t="s">
        <v>1660</v>
      </c>
      <c r="BP668" s="2">
        <v>0</v>
      </c>
      <c r="BQ668" s="2" t="s">
        <v>1660</v>
      </c>
      <c r="BR668" s="2">
        <v>0</v>
      </c>
      <c r="BS668" s="2" t="s">
        <v>1660</v>
      </c>
      <c r="BT668" s="2">
        <v>0</v>
      </c>
      <c r="BU668" s="2">
        <v>0</v>
      </c>
      <c r="BV668" s="2" t="s">
        <v>1660</v>
      </c>
      <c r="BW668" s="2"/>
      <c r="BX668" s="2"/>
      <c r="BY668" s="2" t="s">
        <v>1807</v>
      </c>
      <c r="BZ668" s="2" t="b">
        <f>OR( (Dashboard[[#This Row],[ref_as_hh]]&gt;=1),(Dashboard[[#This Row],[ret_as_hh]] &gt;=1), (Dashboard[[#This Row],[idp_as_hh]]&gt;=1))</f>
        <v>0</v>
      </c>
      <c r="CA668" s="2">
        <f>Dashboard[[#This Row],[ret_hi_hh]]</f>
        <v>20</v>
      </c>
      <c r="CB668" s="2">
        <f>Dashboard[[#This Row],[idp_fa_hh]]+Dashboard[[#This Row],[ref_fa_hh]]+Dashboard[[#This Row],[ret_fa_hh]]</f>
        <v>35</v>
      </c>
      <c r="CC668" s="2">
        <f>Dashboard[[#This Row],[idp_loc_hh]]+Dashboard[[#This Row],[ref_loc_hh]]+Dashboard[[#This Row],[ret_loc_hh]]</f>
        <v>0</v>
      </c>
      <c r="CD668" s="2">
        <f>Dashboard[[#This Row],[idp_cc_hh]]+Dashboard[[#This Row],[ref_cc_hh]]+Dashboard[[#This Row],[ret_cc_hh]]</f>
        <v>0</v>
      </c>
      <c r="CE668" s="2">
        <f>Dashboard[[#This Row],[idp_as_hh]]+Dashboard[[#This Row],[ref_as_hh]]+Dashboard[[#This Row],[ret_as_hh]]</f>
        <v>0</v>
      </c>
      <c r="CF668" s="2">
        <f>Dashboard[[#This Row],[idp_al_hh]]+Dashboard[[#This Row],[ref_al_hh]]+Dashboard[[#This Row],[ret_al_hh]]</f>
        <v>0</v>
      </c>
    </row>
    <row r="669" spans="1:84" hidden="1" x14ac:dyDescent="0.25">
      <c r="A669" s="27">
        <v>275</v>
      </c>
      <c r="B669" s="2" t="s">
        <v>22</v>
      </c>
      <c r="C669" s="2" t="s">
        <v>23</v>
      </c>
      <c r="D669" s="2" t="s">
        <v>37</v>
      </c>
      <c r="E669" s="2" t="s">
        <v>36</v>
      </c>
      <c r="F669" s="2" t="s">
        <v>540</v>
      </c>
      <c r="G669" s="2" t="s">
        <v>541</v>
      </c>
      <c r="H669" s="2" t="s">
        <v>1407</v>
      </c>
      <c r="I669" s="2" t="s">
        <v>544</v>
      </c>
      <c r="J669" s="2" t="s">
        <v>3456</v>
      </c>
      <c r="K669" s="2" t="s">
        <v>3457</v>
      </c>
      <c r="L669" s="2" t="s">
        <v>2074</v>
      </c>
      <c r="M669" s="2">
        <v>1065</v>
      </c>
      <c r="N669" s="2" t="s">
        <v>1658</v>
      </c>
      <c r="O669" s="2">
        <v>8</v>
      </c>
      <c r="P669" s="2">
        <v>55</v>
      </c>
      <c r="Q669" s="2" t="s">
        <v>1658</v>
      </c>
      <c r="R669" s="2">
        <v>8</v>
      </c>
      <c r="S669" s="2" t="s">
        <v>1660</v>
      </c>
      <c r="T669" s="2">
        <v>0</v>
      </c>
      <c r="U669" s="2" t="s">
        <v>32</v>
      </c>
      <c r="V669" s="2" t="s">
        <v>32</v>
      </c>
      <c r="W669" s="2" t="s">
        <v>1660</v>
      </c>
      <c r="X669" s="2">
        <v>0</v>
      </c>
      <c r="Y669" s="2" t="s">
        <v>32</v>
      </c>
      <c r="Z669" s="2" t="s">
        <v>32</v>
      </c>
      <c r="AA669" s="2" t="s">
        <v>1660</v>
      </c>
      <c r="AB669" s="2">
        <v>0</v>
      </c>
      <c r="AC669" s="2" t="s">
        <v>1660</v>
      </c>
      <c r="AD669" s="2">
        <v>0</v>
      </c>
      <c r="AE669" s="2" t="s">
        <v>1660</v>
      </c>
      <c r="AF669" s="2">
        <v>0</v>
      </c>
      <c r="AG669" s="2">
        <v>0</v>
      </c>
      <c r="AH669" s="2" t="s">
        <v>32</v>
      </c>
      <c r="AI669" s="2" t="s">
        <v>32</v>
      </c>
      <c r="AJ669" s="2" t="s">
        <v>32</v>
      </c>
      <c r="AK669" s="2" t="s">
        <v>32</v>
      </c>
      <c r="AL669" s="2" t="s">
        <v>32</v>
      </c>
      <c r="AM669" s="2">
        <v>0</v>
      </c>
      <c r="AN669" s="2" t="s">
        <v>32</v>
      </c>
      <c r="AO669" s="2">
        <v>0</v>
      </c>
      <c r="AP669" s="2" t="s">
        <v>32</v>
      </c>
      <c r="AQ669" s="2" t="s">
        <v>32</v>
      </c>
      <c r="AR669" s="2" t="s">
        <v>32</v>
      </c>
      <c r="AS669" s="2">
        <v>0</v>
      </c>
      <c r="AT669" s="2" t="s">
        <v>32</v>
      </c>
      <c r="AU669" s="2" t="s">
        <v>32</v>
      </c>
      <c r="AV669" s="2" t="s">
        <v>32</v>
      </c>
      <c r="AW669" s="2">
        <v>0</v>
      </c>
      <c r="AX669" s="2" t="s">
        <v>32</v>
      </c>
      <c r="AY669" s="2">
        <v>0</v>
      </c>
      <c r="AZ669" s="2" t="s">
        <v>1658</v>
      </c>
      <c r="BA669" s="2">
        <v>5</v>
      </c>
      <c r="BB669" s="2">
        <v>35</v>
      </c>
      <c r="BC669" s="2" t="s">
        <v>1658</v>
      </c>
      <c r="BD669" s="2">
        <v>5</v>
      </c>
      <c r="BE669" s="2" t="s">
        <v>1660</v>
      </c>
      <c r="BF669" s="2">
        <v>0</v>
      </c>
      <c r="BG669" s="2" t="s">
        <v>1660</v>
      </c>
      <c r="BH669" s="2">
        <v>0</v>
      </c>
      <c r="BI669" s="2" t="s">
        <v>32</v>
      </c>
      <c r="BJ669" s="2" t="s">
        <v>32</v>
      </c>
      <c r="BK669" s="2" t="s">
        <v>1660</v>
      </c>
      <c r="BL669" s="2">
        <v>0</v>
      </c>
      <c r="BM669" s="2" t="s">
        <v>32</v>
      </c>
      <c r="BN669" s="2" t="s">
        <v>32</v>
      </c>
      <c r="BO669" s="2" t="s">
        <v>1660</v>
      </c>
      <c r="BP669" s="2">
        <v>0</v>
      </c>
      <c r="BQ669" s="2" t="s">
        <v>1660</v>
      </c>
      <c r="BR669" s="2">
        <v>0</v>
      </c>
      <c r="BS669" s="2" t="s">
        <v>1660</v>
      </c>
      <c r="BT669" s="2">
        <v>0</v>
      </c>
      <c r="BU669" s="2">
        <v>0</v>
      </c>
      <c r="BV669" s="2" t="s">
        <v>1660</v>
      </c>
      <c r="BW669" s="2"/>
      <c r="BX669" s="2"/>
      <c r="BY669" s="2" t="s">
        <v>1807</v>
      </c>
      <c r="BZ669" s="2" t="b">
        <f>OR( (Dashboard[[#This Row],[ref_as_hh]]&gt;=1),(Dashboard[[#This Row],[ret_as_hh]] &gt;=1), (Dashboard[[#This Row],[idp_as_hh]]&gt;=1))</f>
        <v>0</v>
      </c>
      <c r="CA669" s="2">
        <f>Dashboard[[#This Row],[ret_hi_hh]]</f>
        <v>5</v>
      </c>
      <c r="CB669" s="2">
        <f>Dashboard[[#This Row],[idp_fa_hh]]+Dashboard[[#This Row],[ref_fa_hh]]+Dashboard[[#This Row],[ret_fa_hh]]</f>
        <v>8</v>
      </c>
      <c r="CC669" s="2">
        <f>Dashboard[[#This Row],[idp_loc_hh]]+Dashboard[[#This Row],[ref_loc_hh]]+Dashboard[[#This Row],[ret_loc_hh]]</f>
        <v>0</v>
      </c>
      <c r="CD669" s="2">
        <f>Dashboard[[#This Row],[idp_cc_hh]]+Dashboard[[#This Row],[ref_cc_hh]]+Dashboard[[#This Row],[ret_cc_hh]]</f>
        <v>0</v>
      </c>
      <c r="CE669" s="2">
        <f>Dashboard[[#This Row],[idp_as_hh]]+Dashboard[[#This Row],[ref_as_hh]]+Dashboard[[#This Row],[ret_as_hh]]</f>
        <v>0</v>
      </c>
      <c r="CF669" s="2">
        <f>Dashboard[[#This Row],[idp_al_hh]]+Dashboard[[#This Row],[ref_al_hh]]+Dashboard[[#This Row],[ret_al_hh]]</f>
        <v>0</v>
      </c>
    </row>
    <row r="670" spans="1:84" hidden="1" x14ac:dyDescent="0.25">
      <c r="A670" s="27">
        <v>592</v>
      </c>
      <c r="B670" s="2" t="s">
        <v>22</v>
      </c>
      <c r="C670" s="2" t="s">
        <v>23</v>
      </c>
      <c r="D670" s="2" t="s">
        <v>37</v>
      </c>
      <c r="E670" s="2" t="s">
        <v>36</v>
      </c>
      <c r="F670" s="2" t="s">
        <v>540</v>
      </c>
      <c r="G670" s="2" t="s">
        <v>541</v>
      </c>
      <c r="H670" s="2" t="s">
        <v>1406</v>
      </c>
      <c r="I670" s="2" t="s">
        <v>543</v>
      </c>
      <c r="J670" s="2" t="s">
        <v>3454</v>
      </c>
      <c r="K670" s="2" t="s">
        <v>3455</v>
      </c>
      <c r="L670" s="2" t="s">
        <v>2074</v>
      </c>
      <c r="M670" s="2">
        <v>2015</v>
      </c>
      <c r="N670" s="2" t="s">
        <v>1658</v>
      </c>
      <c r="O670" s="2">
        <v>19</v>
      </c>
      <c r="P670" s="2">
        <v>129</v>
      </c>
      <c r="Q670" s="2" t="s">
        <v>1658</v>
      </c>
      <c r="R670" s="2">
        <v>19</v>
      </c>
      <c r="S670" s="2" t="s">
        <v>1660</v>
      </c>
      <c r="T670" s="2">
        <v>0</v>
      </c>
      <c r="U670" s="2" t="s">
        <v>32</v>
      </c>
      <c r="V670" s="2" t="s">
        <v>32</v>
      </c>
      <c r="W670" s="2" t="s">
        <v>1660</v>
      </c>
      <c r="X670" s="2">
        <v>0</v>
      </c>
      <c r="Y670" s="2" t="s">
        <v>32</v>
      </c>
      <c r="Z670" s="2" t="s">
        <v>32</v>
      </c>
      <c r="AA670" s="2" t="s">
        <v>1660</v>
      </c>
      <c r="AB670" s="2">
        <v>0</v>
      </c>
      <c r="AC670" s="2" t="s">
        <v>1660</v>
      </c>
      <c r="AD670" s="2">
        <v>0</v>
      </c>
      <c r="AE670" s="2" t="s">
        <v>1660</v>
      </c>
      <c r="AF670" s="2">
        <v>0</v>
      </c>
      <c r="AG670" s="2">
        <v>0</v>
      </c>
      <c r="AH670" s="2" t="s">
        <v>32</v>
      </c>
      <c r="AI670" s="2" t="s">
        <v>32</v>
      </c>
      <c r="AJ670" s="2" t="s">
        <v>32</v>
      </c>
      <c r="AK670" s="2" t="s">
        <v>32</v>
      </c>
      <c r="AL670" s="2" t="s">
        <v>32</v>
      </c>
      <c r="AM670" s="2">
        <v>0</v>
      </c>
      <c r="AN670" s="2" t="s">
        <v>32</v>
      </c>
      <c r="AO670" s="2">
        <v>0</v>
      </c>
      <c r="AP670" s="2" t="s">
        <v>32</v>
      </c>
      <c r="AQ670" s="2" t="s">
        <v>32</v>
      </c>
      <c r="AR670" s="2" t="s">
        <v>32</v>
      </c>
      <c r="AS670" s="2">
        <v>0</v>
      </c>
      <c r="AT670" s="2" t="s">
        <v>32</v>
      </c>
      <c r="AU670" s="2" t="s">
        <v>32</v>
      </c>
      <c r="AV670" s="2" t="s">
        <v>32</v>
      </c>
      <c r="AW670" s="2">
        <v>0</v>
      </c>
      <c r="AX670" s="2" t="s">
        <v>32</v>
      </c>
      <c r="AY670" s="2">
        <v>0</v>
      </c>
      <c r="AZ670" s="2" t="s">
        <v>1658</v>
      </c>
      <c r="BA670" s="2">
        <v>11</v>
      </c>
      <c r="BB670" s="2">
        <v>65</v>
      </c>
      <c r="BC670" s="2" t="s">
        <v>1658</v>
      </c>
      <c r="BD670" s="2">
        <v>11</v>
      </c>
      <c r="BE670" s="2" t="s">
        <v>1660</v>
      </c>
      <c r="BF670" s="2">
        <v>0</v>
      </c>
      <c r="BG670" s="2" t="s">
        <v>1660</v>
      </c>
      <c r="BH670" s="2">
        <v>0</v>
      </c>
      <c r="BI670" s="2" t="s">
        <v>32</v>
      </c>
      <c r="BJ670" s="2" t="s">
        <v>32</v>
      </c>
      <c r="BK670" s="2" t="s">
        <v>1660</v>
      </c>
      <c r="BL670" s="2">
        <v>0</v>
      </c>
      <c r="BM670" s="2" t="s">
        <v>32</v>
      </c>
      <c r="BN670" s="2" t="s">
        <v>32</v>
      </c>
      <c r="BO670" s="2" t="s">
        <v>1660</v>
      </c>
      <c r="BP670" s="2">
        <v>0</v>
      </c>
      <c r="BQ670" s="2" t="s">
        <v>1660</v>
      </c>
      <c r="BR670" s="2">
        <v>0</v>
      </c>
      <c r="BS670" s="2" t="s">
        <v>1660</v>
      </c>
      <c r="BT670" s="2">
        <v>0</v>
      </c>
      <c r="BU670" s="2">
        <v>0</v>
      </c>
      <c r="BV670" s="2" t="s">
        <v>1660</v>
      </c>
      <c r="BW670" s="2"/>
      <c r="BX670" s="2"/>
      <c r="BY670" s="2" t="s">
        <v>1807</v>
      </c>
      <c r="BZ670" s="2" t="b">
        <f>OR( (Dashboard[[#This Row],[ref_as_hh]]&gt;=1),(Dashboard[[#This Row],[ret_as_hh]] &gt;=1), (Dashboard[[#This Row],[idp_as_hh]]&gt;=1))</f>
        <v>0</v>
      </c>
      <c r="CA670" s="2">
        <f>Dashboard[[#This Row],[ret_hi_hh]]</f>
        <v>11</v>
      </c>
      <c r="CB670" s="2">
        <f>Dashboard[[#This Row],[idp_fa_hh]]+Dashboard[[#This Row],[ref_fa_hh]]+Dashboard[[#This Row],[ret_fa_hh]]</f>
        <v>19</v>
      </c>
      <c r="CC670" s="2">
        <f>Dashboard[[#This Row],[idp_loc_hh]]+Dashboard[[#This Row],[ref_loc_hh]]+Dashboard[[#This Row],[ret_loc_hh]]</f>
        <v>0</v>
      </c>
      <c r="CD670" s="2">
        <f>Dashboard[[#This Row],[idp_cc_hh]]+Dashboard[[#This Row],[ref_cc_hh]]+Dashboard[[#This Row],[ret_cc_hh]]</f>
        <v>0</v>
      </c>
      <c r="CE670" s="2">
        <f>Dashboard[[#This Row],[idp_as_hh]]+Dashboard[[#This Row],[ref_as_hh]]+Dashboard[[#This Row],[ret_as_hh]]</f>
        <v>0</v>
      </c>
      <c r="CF670" s="2">
        <f>Dashboard[[#This Row],[idp_al_hh]]+Dashboard[[#This Row],[ref_al_hh]]+Dashboard[[#This Row],[ret_al_hh]]</f>
        <v>0</v>
      </c>
    </row>
    <row r="671" spans="1:84" hidden="1" x14ac:dyDescent="0.25">
      <c r="A671" s="27">
        <v>390</v>
      </c>
      <c r="B671" s="2" t="s">
        <v>22</v>
      </c>
      <c r="C671" s="2" t="s">
        <v>23</v>
      </c>
      <c r="D671" s="2" t="s">
        <v>37</v>
      </c>
      <c r="E671" s="2" t="s">
        <v>36</v>
      </c>
      <c r="F671" s="2" t="s">
        <v>540</v>
      </c>
      <c r="G671" s="2" t="s">
        <v>541</v>
      </c>
      <c r="H671" s="2" t="s">
        <v>1405</v>
      </c>
      <c r="I671" s="2" t="s">
        <v>542</v>
      </c>
      <c r="J671" s="2" t="s">
        <v>3452</v>
      </c>
      <c r="K671" s="2" t="s">
        <v>3453</v>
      </c>
      <c r="L671" s="2" t="s">
        <v>2074</v>
      </c>
      <c r="M671" s="2">
        <v>1565</v>
      </c>
      <c r="N671" s="2" t="s">
        <v>1658</v>
      </c>
      <c r="O671" s="2">
        <v>7</v>
      </c>
      <c r="P671" s="2">
        <v>55</v>
      </c>
      <c r="Q671" s="2" t="s">
        <v>1658</v>
      </c>
      <c r="R671" s="2">
        <v>7</v>
      </c>
      <c r="S671" s="2" t="s">
        <v>1660</v>
      </c>
      <c r="T671" s="2">
        <v>0</v>
      </c>
      <c r="U671" s="2" t="s">
        <v>32</v>
      </c>
      <c r="V671" s="2" t="s">
        <v>32</v>
      </c>
      <c r="W671" s="2" t="s">
        <v>1660</v>
      </c>
      <c r="X671" s="2">
        <v>0</v>
      </c>
      <c r="Y671" s="2" t="s">
        <v>32</v>
      </c>
      <c r="Z671" s="2" t="s">
        <v>32</v>
      </c>
      <c r="AA671" s="2" t="s">
        <v>1660</v>
      </c>
      <c r="AB671" s="2">
        <v>0</v>
      </c>
      <c r="AC671" s="2" t="s">
        <v>1660</v>
      </c>
      <c r="AD671" s="2">
        <v>0</v>
      </c>
      <c r="AE671" s="2" t="s">
        <v>1660</v>
      </c>
      <c r="AF671" s="2">
        <v>0</v>
      </c>
      <c r="AG671" s="2">
        <v>0</v>
      </c>
      <c r="AH671" s="2" t="s">
        <v>32</v>
      </c>
      <c r="AI671" s="2" t="s">
        <v>32</v>
      </c>
      <c r="AJ671" s="2" t="s">
        <v>32</v>
      </c>
      <c r="AK671" s="2" t="s">
        <v>32</v>
      </c>
      <c r="AL671" s="2" t="s">
        <v>32</v>
      </c>
      <c r="AM671" s="2">
        <v>0</v>
      </c>
      <c r="AN671" s="2" t="s">
        <v>32</v>
      </c>
      <c r="AO671" s="2">
        <v>0</v>
      </c>
      <c r="AP671" s="2" t="s">
        <v>32</v>
      </c>
      <c r="AQ671" s="2" t="s">
        <v>32</v>
      </c>
      <c r="AR671" s="2" t="s">
        <v>32</v>
      </c>
      <c r="AS671" s="2">
        <v>0</v>
      </c>
      <c r="AT671" s="2" t="s">
        <v>32</v>
      </c>
      <c r="AU671" s="2" t="s">
        <v>32</v>
      </c>
      <c r="AV671" s="2" t="s">
        <v>32</v>
      </c>
      <c r="AW671" s="2">
        <v>0</v>
      </c>
      <c r="AX671" s="2" t="s">
        <v>32</v>
      </c>
      <c r="AY671" s="2">
        <v>0</v>
      </c>
      <c r="AZ671" s="2" t="s">
        <v>1658</v>
      </c>
      <c r="BA671" s="2">
        <v>5</v>
      </c>
      <c r="BB671" s="2">
        <v>35</v>
      </c>
      <c r="BC671" s="2" t="s">
        <v>1658</v>
      </c>
      <c r="BD671" s="2">
        <v>5</v>
      </c>
      <c r="BE671" s="2" t="s">
        <v>1660</v>
      </c>
      <c r="BF671" s="2">
        <v>0</v>
      </c>
      <c r="BG671" s="2" t="s">
        <v>1660</v>
      </c>
      <c r="BH671" s="2">
        <v>0</v>
      </c>
      <c r="BI671" s="2" t="s">
        <v>32</v>
      </c>
      <c r="BJ671" s="2" t="s">
        <v>32</v>
      </c>
      <c r="BK671" s="2" t="s">
        <v>1660</v>
      </c>
      <c r="BL671" s="2">
        <v>0</v>
      </c>
      <c r="BM671" s="2" t="s">
        <v>32</v>
      </c>
      <c r="BN671" s="2" t="s">
        <v>32</v>
      </c>
      <c r="BO671" s="2" t="s">
        <v>1660</v>
      </c>
      <c r="BP671" s="2">
        <v>0</v>
      </c>
      <c r="BQ671" s="2" t="s">
        <v>1660</v>
      </c>
      <c r="BR671" s="2">
        <v>0</v>
      </c>
      <c r="BS671" s="2" t="s">
        <v>1660</v>
      </c>
      <c r="BT671" s="2">
        <v>0</v>
      </c>
      <c r="BU671" s="2">
        <v>0</v>
      </c>
      <c r="BV671" s="2" t="s">
        <v>1660</v>
      </c>
      <c r="BW671" s="2"/>
      <c r="BX671" s="2"/>
      <c r="BY671" s="2" t="s">
        <v>1807</v>
      </c>
      <c r="BZ671" s="2" t="b">
        <f>OR( (Dashboard[[#This Row],[ref_as_hh]]&gt;=1),(Dashboard[[#This Row],[ret_as_hh]] &gt;=1), (Dashboard[[#This Row],[idp_as_hh]]&gt;=1))</f>
        <v>0</v>
      </c>
      <c r="CA671" s="2">
        <f>Dashboard[[#This Row],[ret_hi_hh]]</f>
        <v>5</v>
      </c>
      <c r="CB671" s="2">
        <f>Dashboard[[#This Row],[idp_fa_hh]]+Dashboard[[#This Row],[ref_fa_hh]]+Dashboard[[#This Row],[ret_fa_hh]]</f>
        <v>7</v>
      </c>
      <c r="CC671" s="2">
        <f>Dashboard[[#This Row],[idp_loc_hh]]+Dashboard[[#This Row],[ref_loc_hh]]+Dashboard[[#This Row],[ret_loc_hh]]</f>
        <v>0</v>
      </c>
      <c r="CD671" s="2">
        <f>Dashboard[[#This Row],[idp_cc_hh]]+Dashboard[[#This Row],[ref_cc_hh]]+Dashboard[[#This Row],[ret_cc_hh]]</f>
        <v>0</v>
      </c>
      <c r="CE671" s="2">
        <f>Dashboard[[#This Row],[idp_as_hh]]+Dashboard[[#This Row],[ref_as_hh]]+Dashboard[[#This Row],[ret_as_hh]]</f>
        <v>0</v>
      </c>
      <c r="CF671" s="2">
        <f>Dashboard[[#This Row],[idp_al_hh]]+Dashboard[[#This Row],[ref_al_hh]]+Dashboard[[#This Row],[ret_al_hh]]</f>
        <v>0</v>
      </c>
    </row>
    <row r="672" spans="1:84" hidden="1" x14ac:dyDescent="0.25">
      <c r="A672" s="27">
        <v>157</v>
      </c>
      <c r="B672" s="2" t="s">
        <v>22</v>
      </c>
      <c r="C672" s="2" t="s">
        <v>23</v>
      </c>
      <c r="D672" s="2" t="s">
        <v>37</v>
      </c>
      <c r="E672" s="2" t="s">
        <v>36</v>
      </c>
      <c r="F672" s="2" t="s">
        <v>540</v>
      </c>
      <c r="G672" s="2" t="s">
        <v>541</v>
      </c>
      <c r="H672" s="2" t="s">
        <v>1408</v>
      </c>
      <c r="I672" s="2" t="s">
        <v>545</v>
      </c>
      <c r="J672" s="2" t="s">
        <v>3458</v>
      </c>
      <c r="K672" s="2" t="s">
        <v>3459</v>
      </c>
      <c r="L672" s="2" t="s">
        <v>2074</v>
      </c>
      <c r="M672" s="2">
        <v>1785</v>
      </c>
      <c r="N672" s="2" t="s">
        <v>1658</v>
      </c>
      <c r="O672" s="2">
        <v>26</v>
      </c>
      <c r="P672" s="2">
        <v>148</v>
      </c>
      <c r="Q672" s="2" t="s">
        <v>1658</v>
      </c>
      <c r="R672" s="2">
        <v>26</v>
      </c>
      <c r="S672" s="2" t="s">
        <v>1660</v>
      </c>
      <c r="T672" s="2">
        <v>0</v>
      </c>
      <c r="U672" s="2" t="s">
        <v>32</v>
      </c>
      <c r="V672" s="2" t="s">
        <v>32</v>
      </c>
      <c r="W672" s="2" t="s">
        <v>1660</v>
      </c>
      <c r="X672" s="2">
        <v>0</v>
      </c>
      <c r="Y672" s="2" t="s">
        <v>32</v>
      </c>
      <c r="Z672" s="2" t="s">
        <v>32</v>
      </c>
      <c r="AA672" s="2" t="s">
        <v>1660</v>
      </c>
      <c r="AB672" s="2">
        <v>0</v>
      </c>
      <c r="AC672" s="2" t="s">
        <v>1660</v>
      </c>
      <c r="AD672" s="2">
        <v>0</v>
      </c>
      <c r="AE672" s="2" t="s">
        <v>1660</v>
      </c>
      <c r="AF672" s="2">
        <v>0</v>
      </c>
      <c r="AG672" s="2">
        <v>0</v>
      </c>
      <c r="AH672" s="2" t="s">
        <v>32</v>
      </c>
      <c r="AI672" s="2" t="s">
        <v>32</v>
      </c>
      <c r="AJ672" s="2" t="s">
        <v>32</v>
      </c>
      <c r="AK672" s="2" t="s">
        <v>32</v>
      </c>
      <c r="AL672" s="2" t="s">
        <v>32</v>
      </c>
      <c r="AM672" s="2">
        <v>0</v>
      </c>
      <c r="AN672" s="2" t="s">
        <v>32</v>
      </c>
      <c r="AO672" s="2">
        <v>0</v>
      </c>
      <c r="AP672" s="2" t="s">
        <v>32</v>
      </c>
      <c r="AQ672" s="2" t="s">
        <v>32</v>
      </c>
      <c r="AR672" s="2" t="s">
        <v>32</v>
      </c>
      <c r="AS672" s="2">
        <v>0</v>
      </c>
      <c r="AT672" s="2" t="s">
        <v>32</v>
      </c>
      <c r="AU672" s="2" t="s">
        <v>32</v>
      </c>
      <c r="AV672" s="2" t="s">
        <v>32</v>
      </c>
      <c r="AW672" s="2">
        <v>0</v>
      </c>
      <c r="AX672" s="2" t="s">
        <v>32</v>
      </c>
      <c r="AY672" s="2">
        <v>0</v>
      </c>
      <c r="AZ672" s="2" t="s">
        <v>1658</v>
      </c>
      <c r="BA672" s="2">
        <v>12</v>
      </c>
      <c r="BB672" s="2">
        <v>80</v>
      </c>
      <c r="BC672" s="2" t="s">
        <v>1658</v>
      </c>
      <c r="BD672" s="2">
        <v>9</v>
      </c>
      <c r="BE672" s="2" t="s">
        <v>1660</v>
      </c>
      <c r="BF672" s="2">
        <v>0</v>
      </c>
      <c r="BG672" s="2" t="s">
        <v>1658</v>
      </c>
      <c r="BH672" s="2">
        <v>3</v>
      </c>
      <c r="BI672" s="2" t="s">
        <v>1659</v>
      </c>
      <c r="BJ672" s="2" t="s">
        <v>32</v>
      </c>
      <c r="BK672" s="2" t="s">
        <v>1660</v>
      </c>
      <c r="BL672" s="2">
        <v>0</v>
      </c>
      <c r="BM672" s="2" t="s">
        <v>32</v>
      </c>
      <c r="BN672" s="2" t="s">
        <v>32</v>
      </c>
      <c r="BO672" s="2" t="s">
        <v>1660</v>
      </c>
      <c r="BP672" s="2">
        <v>0</v>
      </c>
      <c r="BQ672" s="2" t="s">
        <v>1660</v>
      </c>
      <c r="BR672" s="2">
        <v>0</v>
      </c>
      <c r="BS672" s="2" t="s">
        <v>1660</v>
      </c>
      <c r="BT672" s="2">
        <v>0</v>
      </c>
      <c r="BU672" s="2">
        <v>0</v>
      </c>
      <c r="BV672" s="2" t="s">
        <v>1660</v>
      </c>
      <c r="BW672" s="2"/>
      <c r="BX672" s="2"/>
      <c r="BY672" s="2" t="s">
        <v>1807</v>
      </c>
      <c r="BZ672" s="2" t="b">
        <f>OR( (Dashboard[[#This Row],[ref_as_hh]]&gt;=1),(Dashboard[[#This Row],[ret_as_hh]] &gt;=1), (Dashboard[[#This Row],[idp_as_hh]]&gt;=1))</f>
        <v>0</v>
      </c>
      <c r="CA672" s="2">
        <f>Dashboard[[#This Row],[ret_hi_hh]]</f>
        <v>9</v>
      </c>
      <c r="CB672" s="2">
        <f>Dashboard[[#This Row],[idp_fa_hh]]+Dashboard[[#This Row],[ref_fa_hh]]+Dashboard[[#This Row],[ret_fa_hh]]</f>
        <v>26</v>
      </c>
      <c r="CC672" s="2">
        <f>Dashboard[[#This Row],[idp_loc_hh]]+Dashboard[[#This Row],[ref_loc_hh]]+Dashboard[[#This Row],[ret_loc_hh]]</f>
        <v>3</v>
      </c>
      <c r="CD672" s="2">
        <f>Dashboard[[#This Row],[idp_cc_hh]]+Dashboard[[#This Row],[ref_cc_hh]]+Dashboard[[#This Row],[ret_cc_hh]]</f>
        <v>0</v>
      </c>
      <c r="CE672" s="2">
        <f>Dashboard[[#This Row],[idp_as_hh]]+Dashboard[[#This Row],[ref_as_hh]]+Dashboard[[#This Row],[ret_as_hh]]</f>
        <v>0</v>
      </c>
      <c r="CF672" s="2">
        <f>Dashboard[[#This Row],[idp_al_hh]]+Dashboard[[#This Row],[ref_al_hh]]+Dashboard[[#This Row],[ret_al_hh]]</f>
        <v>0</v>
      </c>
    </row>
    <row r="673" spans="1:84" hidden="1" x14ac:dyDescent="0.25">
      <c r="A673" s="27">
        <v>168</v>
      </c>
      <c r="B673" s="2" t="s">
        <v>22</v>
      </c>
      <c r="C673" s="2" t="s">
        <v>23</v>
      </c>
      <c r="D673" s="2" t="s">
        <v>37</v>
      </c>
      <c r="E673" s="2" t="s">
        <v>36</v>
      </c>
      <c r="F673" s="2" t="s">
        <v>540</v>
      </c>
      <c r="G673" s="2" t="s">
        <v>541</v>
      </c>
      <c r="H673" s="2" t="s">
        <v>1409</v>
      </c>
      <c r="I673" s="2" t="s">
        <v>285</v>
      </c>
      <c r="J673" s="2" t="s">
        <v>3460</v>
      </c>
      <c r="K673" s="2" t="s">
        <v>3461</v>
      </c>
      <c r="L673" s="2" t="s">
        <v>2074</v>
      </c>
      <c r="M673" s="2">
        <v>417</v>
      </c>
      <c r="N673" s="2" t="s">
        <v>1658</v>
      </c>
      <c r="O673" s="2">
        <v>4</v>
      </c>
      <c r="P673" s="2">
        <v>17</v>
      </c>
      <c r="Q673" s="2" t="s">
        <v>1658</v>
      </c>
      <c r="R673" s="2">
        <v>4</v>
      </c>
      <c r="S673" s="2" t="s">
        <v>1660</v>
      </c>
      <c r="T673" s="2">
        <v>0</v>
      </c>
      <c r="U673" s="2" t="s">
        <v>32</v>
      </c>
      <c r="V673" s="2" t="s">
        <v>32</v>
      </c>
      <c r="W673" s="2" t="s">
        <v>1660</v>
      </c>
      <c r="X673" s="2">
        <v>0</v>
      </c>
      <c r="Y673" s="2" t="s">
        <v>32</v>
      </c>
      <c r="Z673" s="2" t="s">
        <v>32</v>
      </c>
      <c r="AA673" s="2" t="s">
        <v>1660</v>
      </c>
      <c r="AB673" s="2">
        <v>0</v>
      </c>
      <c r="AC673" s="2" t="s">
        <v>1660</v>
      </c>
      <c r="AD673" s="2">
        <v>0</v>
      </c>
      <c r="AE673" s="2" t="s">
        <v>1660</v>
      </c>
      <c r="AF673" s="2">
        <v>0</v>
      </c>
      <c r="AG673" s="2">
        <v>0</v>
      </c>
      <c r="AH673" s="2" t="s">
        <v>32</v>
      </c>
      <c r="AI673" s="2" t="s">
        <v>32</v>
      </c>
      <c r="AJ673" s="2" t="s">
        <v>32</v>
      </c>
      <c r="AK673" s="2" t="s">
        <v>32</v>
      </c>
      <c r="AL673" s="2" t="s">
        <v>32</v>
      </c>
      <c r="AM673" s="2">
        <v>0</v>
      </c>
      <c r="AN673" s="2" t="s">
        <v>32</v>
      </c>
      <c r="AO673" s="2">
        <v>0</v>
      </c>
      <c r="AP673" s="2" t="s">
        <v>32</v>
      </c>
      <c r="AQ673" s="2" t="s">
        <v>32</v>
      </c>
      <c r="AR673" s="2" t="s">
        <v>32</v>
      </c>
      <c r="AS673" s="2">
        <v>0</v>
      </c>
      <c r="AT673" s="2" t="s">
        <v>32</v>
      </c>
      <c r="AU673" s="2" t="s">
        <v>32</v>
      </c>
      <c r="AV673" s="2" t="s">
        <v>32</v>
      </c>
      <c r="AW673" s="2">
        <v>0</v>
      </c>
      <c r="AX673" s="2" t="s">
        <v>32</v>
      </c>
      <c r="AY673" s="2">
        <v>0</v>
      </c>
      <c r="AZ673" s="2" t="s">
        <v>1658</v>
      </c>
      <c r="BA673" s="2">
        <v>1</v>
      </c>
      <c r="BB673" s="2">
        <v>3</v>
      </c>
      <c r="BC673" s="2" t="s">
        <v>1658</v>
      </c>
      <c r="BD673" s="2">
        <v>1</v>
      </c>
      <c r="BE673" s="2" t="s">
        <v>1660</v>
      </c>
      <c r="BF673" s="2">
        <v>0</v>
      </c>
      <c r="BG673" s="2" t="s">
        <v>1660</v>
      </c>
      <c r="BH673" s="2">
        <v>0</v>
      </c>
      <c r="BI673" s="2" t="s">
        <v>32</v>
      </c>
      <c r="BJ673" s="2" t="s">
        <v>32</v>
      </c>
      <c r="BK673" s="2" t="s">
        <v>1660</v>
      </c>
      <c r="BL673" s="2">
        <v>0</v>
      </c>
      <c r="BM673" s="2" t="s">
        <v>32</v>
      </c>
      <c r="BN673" s="2" t="s">
        <v>32</v>
      </c>
      <c r="BO673" s="2" t="s">
        <v>1660</v>
      </c>
      <c r="BP673" s="2">
        <v>0</v>
      </c>
      <c r="BQ673" s="2" t="s">
        <v>1660</v>
      </c>
      <c r="BR673" s="2">
        <v>0</v>
      </c>
      <c r="BS673" s="2" t="s">
        <v>1660</v>
      </c>
      <c r="BT673" s="2">
        <v>0</v>
      </c>
      <c r="BU673" s="2">
        <v>0</v>
      </c>
      <c r="BV673" s="2" t="s">
        <v>1660</v>
      </c>
      <c r="BW673" s="2"/>
      <c r="BX673" s="2"/>
      <c r="BY673" s="2" t="s">
        <v>1807</v>
      </c>
      <c r="BZ673" s="2" t="b">
        <f>OR( (Dashboard[[#This Row],[ref_as_hh]]&gt;=1),(Dashboard[[#This Row],[ret_as_hh]] &gt;=1), (Dashboard[[#This Row],[idp_as_hh]]&gt;=1))</f>
        <v>0</v>
      </c>
      <c r="CA673" s="2">
        <f>Dashboard[[#This Row],[ret_hi_hh]]</f>
        <v>1</v>
      </c>
      <c r="CB673" s="2">
        <f>Dashboard[[#This Row],[idp_fa_hh]]+Dashboard[[#This Row],[ref_fa_hh]]+Dashboard[[#This Row],[ret_fa_hh]]</f>
        <v>4</v>
      </c>
      <c r="CC673" s="2">
        <f>Dashboard[[#This Row],[idp_loc_hh]]+Dashboard[[#This Row],[ref_loc_hh]]+Dashboard[[#This Row],[ret_loc_hh]]</f>
        <v>0</v>
      </c>
      <c r="CD673" s="2">
        <f>Dashboard[[#This Row],[idp_cc_hh]]+Dashboard[[#This Row],[ref_cc_hh]]+Dashboard[[#This Row],[ret_cc_hh]]</f>
        <v>0</v>
      </c>
      <c r="CE673" s="2">
        <f>Dashboard[[#This Row],[idp_as_hh]]+Dashboard[[#This Row],[ref_as_hh]]+Dashboard[[#This Row],[ret_as_hh]]</f>
        <v>0</v>
      </c>
      <c r="CF673" s="2">
        <f>Dashboard[[#This Row],[idp_al_hh]]+Dashboard[[#This Row],[ref_al_hh]]+Dashboard[[#This Row],[ret_al_hh]]</f>
        <v>0</v>
      </c>
    </row>
    <row r="674" spans="1:84" hidden="1" x14ac:dyDescent="0.25">
      <c r="A674" s="27">
        <v>490</v>
      </c>
      <c r="B674" s="2" t="s">
        <v>22</v>
      </c>
      <c r="C674" s="2" t="s">
        <v>23</v>
      </c>
      <c r="D674" s="2" t="s">
        <v>37</v>
      </c>
      <c r="E674" s="2" t="s">
        <v>36</v>
      </c>
      <c r="F674" s="2" t="s">
        <v>540</v>
      </c>
      <c r="G674" s="2" t="s">
        <v>541</v>
      </c>
      <c r="H674" s="2" t="s">
        <v>1410</v>
      </c>
      <c r="I674" s="2" t="s">
        <v>546</v>
      </c>
      <c r="J674" s="2" t="s">
        <v>3462</v>
      </c>
      <c r="K674" s="2" t="s">
        <v>3463</v>
      </c>
      <c r="L674" s="2" t="s">
        <v>2074</v>
      </c>
      <c r="M674" s="2">
        <v>1055</v>
      </c>
      <c r="N674" s="2" t="s">
        <v>1660</v>
      </c>
      <c r="O674" s="2">
        <v>0</v>
      </c>
      <c r="P674" s="2">
        <v>0</v>
      </c>
      <c r="Q674" s="2" t="s">
        <v>32</v>
      </c>
      <c r="R674" s="2">
        <v>0</v>
      </c>
      <c r="S674" s="2" t="s">
        <v>32</v>
      </c>
      <c r="T674" s="2">
        <v>0</v>
      </c>
      <c r="U674" s="2" t="s">
        <v>32</v>
      </c>
      <c r="V674" s="2" t="s">
        <v>32</v>
      </c>
      <c r="W674" s="2" t="s">
        <v>32</v>
      </c>
      <c r="X674" s="2">
        <v>0</v>
      </c>
      <c r="Y674" s="2" t="s">
        <v>32</v>
      </c>
      <c r="Z674" s="2" t="s">
        <v>32</v>
      </c>
      <c r="AA674" s="2" t="s">
        <v>32</v>
      </c>
      <c r="AB674" s="2">
        <v>0</v>
      </c>
      <c r="AC674" s="2" t="s">
        <v>32</v>
      </c>
      <c r="AD674" s="2">
        <v>0</v>
      </c>
      <c r="AE674" s="2" t="s">
        <v>1660</v>
      </c>
      <c r="AF674" s="2">
        <v>0</v>
      </c>
      <c r="AG674" s="2">
        <v>0</v>
      </c>
      <c r="AH674" s="2" t="s">
        <v>32</v>
      </c>
      <c r="AI674" s="2" t="s">
        <v>32</v>
      </c>
      <c r="AJ674" s="2" t="s">
        <v>32</v>
      </c>
      <c r="AK674" s="2" t="s">
        <v>32</v>
      </c>
      <c r="AL674" s="2" t="s">
        <v>32</v>
      </c>
      <c r="AM674" s="2">
        <v>0</v>
      </c>
      <c r="AN674" s="2" t="s">
        <v>32</v>
      </c>
      <c r="AO674" s="2">
        <v>0</v>
      </c>
      <c r="AP674" s="2" t="s">
        <v>32</v>
      </c>
      <c r="AQ674" s="2" t="s">
        <v>32</v>
      </c>
      <c r="AR674" s="2" t="s">
        <v>32</v>
      </c>
      <c r="AS674" s="2">
        <v>0</v>
      </c>
      <c r="AT674" s="2" t="s">
        <v>32</v>
      </c>
      <c r="AU674" s="2" t="s">
        <v>32</v>
      </c>
      <c r="AV674" s="2" t="s">
        <v>32</v>
      </c>
      <c r="AW674" s="2">
        <v>0</v>
      </c>
      <c r="AX674" s="2" t="s">
        <v>32</v>
      </c>
      <c r="AY674" s="2">
        <v>0</v>
      </c>
      <c r="AZ674" s="2" t="s">
        <v>1658</v>
      </c>
      <c r="BA674" s="2">
        <v>6</v>
      </c>
      <c r="BB674" s="2">
        <v>35</v>
      </c>
      <c r="BC674" s="2" t="s">
        <v>1658</v>
      </c>
      <c r="BD674" s="2">
        <v>6</v>
      </c>
      <c r="BE674" s="2" t="s">
        <v>1660</v>
      </c>
      <c r="BF674" s="2">
        <v>0</v>
      </c>
      <c r="BG674" s="2" t="s">
        <v>1660</v>
      </c>
      <c r="BH674" s="2">
        <v>0</v>
      </c>
      <c r="BI674" s="2" t="s">
        <v>32</v>
      </c>
      <c r="BJ674" s="2" t="s">
        <v>32</v>
      </c>
      <c r="BK674" s="2" t="s">
        <v>1660</v>
      </c>
      <c r="BL674" s="2">
        <v>0</v>
      </c>
      <c r="BM674" s="2" t="s">
        <v>32</v>
      </c>
      <c r="BN674" s="2" t="s">
        <v>32</v>
      </c>
      <c r="BO674" s="2" t="s">
        <v>1660</v>
      </c>
      <c r="BP674" s="2">
        <v>0</v>
      </c>
      <c r="BQ674" s="2" t="s">
        <v>1660</v>
      </c>
      <c r="BR674" s="2">
        <v>0</v>
      </c>
      <c r="BS674" s="2" t="s">
        <v>1660</v>
      </c>
      <c r="BT674" s="2">
        <v>0</v>
      </c>
      <c r="BU674" s="2">
        <v>0</v>
      </c>
      <c r="BV674" s="2" t="s">
        <v>1660</v>
      </c>
      <c r="BW674" s="2"/>
      <c r="BX674" s="2"/>
      <c r="BY674" s="2" t="s">
        <v>1807</v>
      </c>
      <c r="BZ674" s="2" t="b">
        <f>OR( (Dashboard[[#This Row],[ref_as_hh]]&gt;=1),(Dashboard[[#This Row],[ret_as_hh]] &gt;=1), (Dashboard[[#This Row],[idp_as_hh]]&gt;=1))</f>
        <v>0</v>
      </c>
      <c r="CA674" s="2">
        <f>Dashboard[[#This Row],[ret_hi_hh]]</f>
        <v>6</v>
      </c>
      <c r="CB674" s="2">
        <f>Dashboard[[#This Row],[idp_fa_hh]]+Dashboard[[#This Row],[ref_fa_hh]]+Dashboard[[#This Row],[ret_fa_hh]]</f>
        <v>0</v>
      </c>
      <c r="CC674" s="2">
        <f>Dashboard[[#This Row],[idp_loc_hh]]+Dashboard[[#This Row],[ref_loc_hh]]+Dashboard[[#This Row],[ret_loc_hh]]</f>
        <v>0</v>
      </c>
      <c r="CD674" s="2">
        <f>Dashboard[[#This Row],[idp_cc_hh]]+Dashboard[[#This Row],[ref_cc_hh]]+Dashboard[[#This Row],[ret_cc_hh]]</f>
        <v>0</v>
      </c>
      <c r="CE674" s="2">
        <f>Dashboard[[#This Row],[idp_as_hh]]+Dashboard[[#This Row],[ref_as_hh]]+Dashboard[[#This Row],[ret_as_hh]]</f>
        <v>0</v>
      </c>
      <c r="CF674" s="2">
        <f>Dashboard[[#This Row],[idp_al_hh]]+Dashboard[[#This Row],[ref_al_hh]]+Dashboard[[#This Row],[ret_al_hh]]</f>
        <v>0</v>
      </c>
    </row>
    <row r="675" spans="1:84" hidden="1" x14ac:dyDescent="0.25">
      <c r="A675" s="27">
        <v>522</v>
      </c>
      <c r="B675" s="2" t="s">
        <v>22</v>
      </c>
      <c r="C675" s="2" t="s">
        <v>23</v>
      </c>
      <c r="D675" s="2" t="s">
        <v>37</v>
      </c>
      <c r="E675" s="2" t="s">
        <v>36</v>
      </c>
      <c r="F675" s="2" t="s">
        <v>547</v>
      </c>
      <c r="G675" s="2" t="s">
        <v>548</v>
      </c>
      <c r="H675" s="2" t="s">
        <v>1424</v>
      </c>
      <c r="I675" s="2" t="s">
        <v>562</v>
      </c>
      <c r="J675" s="2" t="s">
        <v>3492</v>
      </c>
      <c r="K675" s="2" t="s">
        <v>3493</v>
      </c>
      <c r="L675" s="2" t="s">
        <v>2074</v>
      </c>
      <c r="M675" s="2">
        <v>1800</v>
      </c>
      <c r="N675" s="2" t="s">
        <v>1658</v>
      </c>
      <c r="O675" s="2">
        <v>51</v>
      </c>
      <c r="P675" s="2">
        <v>438</v>
      </c>
      <c r="Q675" s="2" t="s">
        <v>1658</v>
      </c>
      <c r="R675" s="2">
        <v>22</v>
      </c>
      <c r="S675" s="2" t="s">
        <v>1658</v>
      </c>
      <c r="T675" s="2">
        <v>29</v>
      </c>
      <c r="U675" s="2" t="s">
        <v>1661</v>
      </c>
      <c r="V675" s="2" t="s">
        <v>32</v>
      </c>
      <c r="W675" s="2" t="s">
        <v>1660</v>
      </c>
      <c r="X675" s="2">
        <v>0</v>
      </c>
      <c r="Y675" s="2" t="s">
        <v>32</v>
      </c>
      <c r="Z675" s="2" t="s">
        <v>32</v>
      </c>
      <c r="AA675" s="2" t="s">
        <v>1660</v>
      </c>
      <c r="AB675" s="2">
        <v>0</v>
      </c>
      <c r="AC675" s="2" t="s">
        <v>1660</v>
      </c>
      <c r="AD675" s="2">
        <v>0</v>
      </c>
      <c r="AE675" s="2" t="s">
        <v>1660</v>
      </c>
      <c r="AF675" s="2">
        <v>0</v>
      </c>
      <c r="AG675" s="2">
        <v>0</v>
      </c>
      <c r="AH675" s="2" t="s">
        <v>32</v>
      </c>
      <c r="AI675" s="2" t="s">
        <v>32</v>
      </c>
      <c r="AJ675" s="2" t="s">
        <v>32</v>
      </c>
      <c r="AK675" s="2" t="s">
        <v>32</v>
      </c>
      <c r="AL675" s="2" t="s">
        <v>32</v>
      </c>
      <c r="AM675" s="2">
        <v>0</v>
      </c>
      <c r="AN675" s="2" t="s">
        <v>32</v>
      </c>
      <c r="AO675" s="2">
        <v>0</v>
      </c>
      <c r="AP675" s="2" t="s">
        <v>32</v>
      </c>
      <c r="AQ675" s="2" t="s">
        <v>32</v>
      </c>
      <c r="AR675" s="2" t="s">
        <v>32</v>
      </c>
      <c r="AS675" s="2">
        <v>0</v>
      </c>
      <c r="AT675" s="2" t="s">
        <v>32</v>
      </c>
      <c r="AU675" s="2" t="s">
        <v>32</v>
      </c>
      <c r="AV675" s="2" t="s">
        <v>32</v>
      </c>
      <c r="AW675" s="2">
        <v>0</v>
      </c>
      <c r="AX675" s="2" t="s">
        <v>32</v>
      </c>
      <c r="AY675" s="2">
        <v>0</v>
      </c>
      <c r="AZ675" s="2" t="s">
        <v>1658</v>
      </c>
      <c r="BA675" s="2">
        <v>11</v>
      </c>
      <c r="BB675" s="2">
        <v>69</v>
      </c>
      <c r="BC675" s="2" t="s">
        <v>1658</v>
      </c>
      <c r="BD675" s="2">
        <v>9</v>
      </c>
      <c r="BE675" s="2" t="s">
        <v>1658</v>
      </c>
      <c r="BF675" s="2">
        <v>2</v>
      </c>
      <c r="BG675" s="2" t="s">
        <v>1660</v>
      </c>
      <c r="BH675" s="2">
        <v>0</v>
      </c>
      <c r="BI675" s="2" t="s">
        <v>32</v>
      </c>
      <c r="BJ675" s="2" t="s">
        <v>32</v>
      </c>
      <c r="BK675" s="2" t="s">
        <v>1660</v>
      </c>
      <c r="BL675" s="2">
        <v>0</v>
      </c>
      <c r="BM675" s="2" t="s">
        <v>32</v>
      </c>
      <c r="BN675" s="2" t="s">
        <v>32</v>
      </c>
      <c r="BO675" s="2" t="s">
        <v>1660</v>
      </c>
      <c r="BP675" s="2">
        <v>0</v>
      </c>
      <c r="BQ675" s="2" t="s">
        <v>1660</v>
      </c>
      <c r="BR675" s="2">
        <v>0</v>
      </c>
      <c r="BS675" s="2" t="s">
        <v>1660</v>
      </c>
      <c r="BT675" s="2">
        <v>0</v>
      </c>
      <c r="BU675" s="2">
        <v>0</v>
      </c>
      <c r="BV675" s="2" t="s">
        <v>1660</v>
      </c>
      <c r="BW675" s="2"/>
      <c r="BX675" s="2"/>
      <c r="BY675" s="2" t="s">
        <v>1807</v>
      </c>
      <c r="BZ675" s="2" t="b">
        <f>OR( (Dashboard[[#This Row],[ref_as_hh]]&gt;=1),(Dashboard[[#This Row],[ret_as_hh]] &gt;=1), (Dashboard[[#This Row],[idp_as_hh]]&gt;=1))</f>
        <v>0</v>
      </c>
      <c r="CA675" s="2">
        <f>Dashboard[[#This Row],[ret_hi_hh]]</f>
        <v>9</v>
      </c>
      <c r="CB675" s="2">
        <f>Dashboard[[#This Row],[idp_fa_hh]]+Dashboard[[#This Row],[ref_fa_hh]]+Dashboard[[#This Row],[ret_fa_hh]]</f>
        <v>24</v>
      </c>
      <c r="CC675" s="2">
        <f>Dashboard[[#This Row],[idp_loc_hh]]+Dashboard[[#This Row],[ref_loc_hh]]+Dashboard[[#This Row],[ret_loc_hh]]</f>
        <v>29</v>
      </c>
      <c r="CD675" s="2">
        <f>Dashboard[[#This Row],[idp_cc_hh]]+Dashboard[[#This Row],[ref_cc_hh]]+Dashboard[[#This Row],[ret_cc_hh]]</f>
        <v>0</v>
      </c>
      <c r="CE675" s="2">
        <f>Dashboard[[#This Row],[idp_as_hh]]+Dashboard[[#This Row],[ref_as_hh]]+Dashboard[[#This Row],[ret_as_hh]]</f>
        <v>0</v>
      </c>
      <c r="CF675" s="2">
        <f>Dashboard[[#This Row],[idp_al_hh]]+Dashboard[[#This Row],[ref_al_hh]]+Dashboard[[#This Row],[ret_al_hh]]</f>
        <v>0</v>
      </c>
    </row>
    <row r="676" spans="1:84" hidden="1" x14ac:dyDescent="0.25">
      <c r="A676" s="27">
        <v>15</v>
      </c>
      <c r="B676" s="2" t="s">
        <v>22</v>
      </c>
      <c r="C676" s="2" t="s">
        <v>23</v>
      </c>
      <c r="D676" s="2" t="s">
        <v>37</v>
      </c>
      <c r="E676" s="2" t="s">
        <v>36</v>
      </c>
      <c r="F676" s="2" t="s">
        <v>547</v>
      </c>
      <c r="G676" s="2" t="s">
        <v>548</v>
      </c>
      <c r="H676" s="2" t="s">
        <v>1420</v>
      </c>
      <c r="I676" s="2" t="s">
        <v>558</v>
      </c>
      <c r="J676" s="2" t="s">
        <v>3484</v>
      </c>
      <c r="K676" s="2" t="s">
        <v>3485</v>
      </c>
      <c r="L676" s="2" t="s">
        <v>2074</v>
      </c>
      <c r="M676" s="2">
        <v>3500</v>
      </c>
      <c r="N676" s="2" t="s">
        <v>1658</v>
      </c>
      <c r="O676" s="2">
        <v>30</v>
      </c>
      <c r="P676" s="2">
        <v>221</v>
      </c>
      <c r="Q676" s="2" t="s">
        <v>1658</v>
      </c>
      <c r="R676" s="2">
        <v>19</v>
      </c>
      <c r="S676" s="2" t="s">
        <v>1658</v>
      </c>
      <c r="T676" s="2">
        <v>11</v>
      </c>
      <c r="U676" s="2" t="s">
        <v>1661</v>
      </c>
      <c r="V676" s="2" t="s">
        <v>32</v>
      </c>
      <c r="W676" s="2" t="s">
        <v>1660</v>
      </c>
      <c r="X676" s="2">
        <v>0</v>
      </c>
      <c r="Y676" s="2" t="s">
        <v>32</v>
      </c>
      <c r="Z676" s="2" t="s">
        <v>32</v>
      </c>
      <c r="AA676" s="2" t="s">
        <v>1660</v>
      </c>
      <c r="AB676" s="2">
        <v>0</v>
      </c>
      <c r="AC676" s="2" t="s">
        <v>1660</v>
      </c>
      <c r="AD676" s="2">
        <v>0</v>
      </c>
      <c r="AE676" s="2" t="s">
        <v>1660</v>
      </c>
      <c r="AF676" s="2">
        <v>0</v>
      </c>
      <c r="AG676" s="2">
        <v>0</v>
      </c>
      <c r="AH676" s="2" t="s">
        <v>32</v>
      </c>
      <c r="AI676" s="2" t="s">
        <v>32</v>
      </c>
      <c r="AJ676" s="2" t="s">
        <v>32</v>
      </c>
      <c r="AK676" s="2" t="s">
        <v>32</v>
      </c>
      <c r="AL676" s="2" t="s">
        <v>32</v>
      </c>
      <c r="AM676" s="2">
        <v>0</v>
      </c>
      <c r="AN676" s="2" t="s">
        <v>32</v>
      </c>
      <c r="AO676" s="2">
        <v>0</v>
      </c>
      <c r="AP676" s="2" t="s">
        <v>32</v>
      </c>
      <c r="AQ676" s="2" t="s">
        <v>32</v>
      </c>
      <c r="AR676" s="2" t="s">
        <v>32</v>
      </c>
      <c r="AS676" s="2">
        <v>0</v>
      </c>
      <c r="AT676" s="2" t="s">
        <v>32</v>
      </c>
      <c r="AU676" s="2" t="s">
        <v>32</v>
      </c>
      <c r="AV676" s="2" t="s">
        <v>32</v>
      </c>
      <c r="AW676" s="2">
        <v>0</v>
      </c>
      <c r="AX676" s="2" t="s">
        <v>32</v>
      </c>
      <c r="AY676" s="2">
        <v>0</v>
      </c>
      <c r="AZ676" s="2" t="s">
        <v>1658</v>
      </c>
      <c r="BA676" s="2">
        <v>6</v>
      </c>
      <c r="BB676" s="2">
        <v>48</v>
      </c>
      <c r="BC676" s="2" t="s">
        <v>1658</v>
      </c>
      <c r="BD676" s="2">
        <v>4</v>
      </c>
      <c r="BE676" s="2" t="s">
        <v>1658</v>
      </c>
      <c r="BF676" s="2">
        <v>2</v>
      </c>
      <c r="BG676" s="2" t="s">
        <v>1660</v>
      </c>
      <c r="BH676" s="2">
        <v>0</v>
      </c>
      <c r="BI676" s="2" t="s">
        <v>32</v>
      </c>
      <c r="BJ676" s="2" t="s">
        <v>32</v>
      </c>
      <c r="BK676" s="2" t="s">
        <v>1660</v>
      </c>
      <c r="BL676" s="2">
        <v>0</v>
      </c>
      <c r="BM676" s="2" t="s">
        <v>32</v>
      </c>
      <c r="BN676" s="2" t="s">
        <v>32</v>
      </c>
      <c r="BO676" s="2" t="s">
        <v>1660</v>
      </c>
      <c r="BP676" s="2">
        <v>0</v>
      </c>
      <c r="BQ676" s="2" t="s">
        <v>1660</v>
      </c>
      <c r="BR676" s="2">
        <v>0</v>
      </c>
      <c r="BS676" s="2" t="s">
        <v>1660</v>
      </c>
      <c r="BT676" s="2">
        <v>0</v>
      </c>
      <c r="BU676" s="2">
        <v>0</v>
      </c>
      <c r="BV676" s="2" t="s">
        <v>1660</v>
      </c>
      <c r="BW676" s="2"/>
      <c r="BX676" s="2"/>
      <c r="BY676" s="2" t="s">
        <v>1807</v>
      </c>
      <c r="BZ676" s="2" t="b">
        <f>OR( (Dashboard[[#This Row],[ref_as_hh]]&gt;=1),(Dashboard[[#This Row],[ret_as_hh]] &gt;=1), (Dashboard[[#This Row],[idp_as_hh]]&gt;=1))</f>
        <v>0</v>
      </c>
      <c r="CA676" s="2">
        <f>Dashboard[[#This Row],[ret_hi_hh]]</f>
        <v>4</v>
      </c>
      <c r="CB676" s="2">
        <f>Dashboard[[#This Row],[idp_fa_hh]]+Dashboard[[#This Row],[ref_fa_hh]]+Dashboard[[#This Row],[ret_fa_hh]]</f>
        <v>21</v>
      </c>
      <c r="CC676" s="2">
        <f>Dashboard[[#This Row],[idp_loc_hh]]+Dashboard[[#This Row],[ref_loc_hh]]+Dashboard[[#This Row],[ret_loc_hh]]</f>
        <v>11</v>
      </c>
      <c r="CD676" s="2">
        <f>Dashboard[[#This Row],[idp_cc_hh]]+Dashboard[[#This Row],[ref_cc_hh]]+Dashboard[[#This Row],[ret_cc_hh]]</f>
        <v>0</v>
      </c>
      <c r="CE676" s="2">
        <f>Dashboard[[#This Row],[idp_as_hh]]+Dashboard[[#This Row],[ref_as_hh]]+Dashboard[[#This Row],[ret_as_hh]]</f>
        <v>0</v>
      </c>
      <c r="CF676" s="2">
        <f>Dashboard[[#This Row],[idp_al_hh]]+Dashboard[[#This Row],[ref_al_hh]]+Dashboard[[#This Row],[ret_al_hh]]</f>
        <v>0</v>
      </c>
    </row>
    <row r="677" spans="1:84" hidden="1" x14ac:dyDescent="0.25">
      <c r="A677" s="27">
        <v>283</v>
      </c>
      <c r="B677" s="2" t="s">
        <v>22</v>
      </c>
      <c r="C677" s="2" t="s">
        <v>23</v>
      </c>
      <c r="D677" s="2" t="s">
        <v>37</v>
      </c>
      <c r="E677" s="2" t="s">
        <v>36</v>
      </c>
      <c r="F677" s="2" t="s">
        <v>547</v>
      </c>
      <c r="G677" s="2" t="s">
        <v>548</v>
      </c>
      <c r="H677" s="2" t="s">
        <v>1440</v>
      </c>
      <c r="I677" s="2" t="s">
        <v>576</v>
      </c>
      <c r="J677" s="2" t="s">
        <v>3532</v>
      </c>
      <c r="K677" s="2" t="s">
        <v>3533</v>
      </c>
      <c r="L677" s="2" t="s">
        <v>2074</v>
      </c>
      <c r="M677" s="2">
        <v>1700</v>
      </c>
      <c r="N677" s="2" t="s">
        <v>1658</v>
      </c>
      <c r="O677" s="2">
        <v>73</v>
      </c>
      <c r="P677" s="2">
        <v>549</v>
      </c>
      <c r="Q677" s="2" t="s">
        <v>1658</v>
      </c>
      <c r="R677" s="2">
        <v>51</v>
      </c>
      <c r="S677" s="2" t="s">
        <v>1658</v>
      </c>
      <c r="T677" s="2">
        <v>22</v>
      </c>
      <c r="U677" s="2" t="s">
        <v>1661</v>
      </c>
      <c r="V677" s="2" t="s">
        <v>32</v>
      </c>
      <c r="W677" s="2" t="s">
        <v>1660</v>
      </c>
      <c r="X677" s="2">
        <v>0</v>
      </c>
      <c r="Y677" s="2" t="s">
        <v>32</v>
      </c>
      <c r="Z677" s="2" t="s">
        <v>32</v>
      </c>
      <c r="AA677" s="2" t="s">
        <v>1660</v>
      </c>
      <c r="AB677" s="2">
        <v>0</v>
      </c>
      <c r="AC677" s="2" t="s">
        <v>1660</v>
      </c>
      <c r="AD677" s="2">
        <v>0</v>
      </c>
      <c r="AE677" s="2" t="s">
        <v>1658</v>
      </c>
      <c r="AF677" s="2">
        <v>1</v>
      </c>
      <c r="AG677" s="2">
        <v>3</v>
      </c>
      <c r="AH677" s="2" t="s">
        <v>1660</v>
      </c>
      <c r="AI677" s="2" t="s">
        <v>32</v>
      </c>
      <c r="AJ677" s="2" t="s">
        <v>32</v>
      </c>
      <c r="AK677" s="2" t="s">
        <v>32</v>
      </c>
      <c r="AL677" s="2" t="s">
        <v>1660</v>
      </c>
      <c r="AM677" s="2">
        <v>0</v>
      </c>
      <c r="AN677" s="2" t="s">
        <v>1658</v>
      </c>
      <c r="AO677" s="2">
        <v>1</v>
      </c>
      <c r="AP677" s="2" t="s">
        <v>1659</v>
      </c>
      <c r="AQ677" s="2" t="s">
        <v>32</v>
      </c>
      <c r="AR677" s="2" t="s">
        <v>1660</v>
      </c>
      <c r="AS677" s="2">
        <v>0</v>
      </c>
      <c r="AT677" s="2" t="s">
        <v>32</v>
      </c>
      <c r="AU677" s="2" t="s">
        <v>32</v>
      </c>
      <c r="AV677" s="2" t="s">
        <v>1660</v>
      </c>
      <c r="AW677" s="2">
        <v>0</v>
      </c>
      <c r="AX677" s="2" t="s">
        <v>1660</v>
      </c>
      <c r="AY677" s="2">
        <v>0</v>
      </c>
      <c r="AZ677" s="2" t="s">
        <v>1660</v>
      </c>
      <c r="BA677" s="2">
        <v>0</v>
      </c>
      <c r="BB677" s="2">
        <v>0</v>
      </c>
      <c r="BC677" s="2" t="s">
        <v>32</v>
      </c>
      <c r="BD677" s="2">
        <v>0</v>
      </c>
      <c r="BE677" s="2" t="s">
        <v>32</v>
      </c>
      <c r="BF677" s="2">
        <v>0</v>
      </c>
      <c r="BG677" s="2" t="s">
        <v>32</v>
      </c>
      <c r="BH677" s="2">
        <v>0</v>
      </c>
      <c r="BI677" s="2" t="s">
        <v>32</v>
      </c>
      <c r="BJ677" s="2" t="s">
        <v>32</v>
      </c>
      <c r="BK677" s="2" t="s">
        <v>32</v>
      </c>
      <c r="BL677" s="2">
        <v>0</v>
      </c>
      <c r="BM677" s="2" t="s">
        <v>32</v>
      </c>
      <c r="BN677" s="2" t="s">
        <v>32</v>
      </c>
      <c r="BO677" s="2" t="s">
        <v>32</v>
      </c>
      <c r="BP677" s="2">
        <v>0</v>
      </c>
      <c r="BQ677" s="2" t="s">
        <v>32</v>
      </c>
      <c r="BR677" s="2">
        <v>0</v>
      </c>
      <c r="BS677" s="2" t="s">
        <v>1660</v>
      </c>
      <c r="BT677" s="2">
        <v>0</v>
      </c>
      <c r="BU677" s="2">
        <v>0</v>
      </c>
      <c r="BV677" s="2" t="s">
        <v>1660</v>
      </c>
      <c r="BW677" s="2"/>
      <c r="BX677" s="2"/>
      <c r="BY677" s="2" t="s">
        <v>1807</v>
      </c>
      <c r="BZ677" s="2" t="b">
        <f>OR( (Dashboard[[#This Row],[ref_as_hh]]&gt;=1),(Dashboard[[#This Row],[ret_as_hh]] &gt;=1), (Dashboard[[#This Row],[idp_as_hh]]&gt;=1))</f>
        <v>0</v>
      </c>
      <c r="CA677" s="2">
        <f>Dashboard[[#This Row],[ret_hi_hh]]</f>
        <v>0</v>
      </c>
      <c r="CB677" s="2">
        <f>Dashboard[[#This Row],[idp_fa_hh]]+Dashboard[[#This Row],[ref_fa_hh]]+Dashboard[[#This Row],[ret_fa_hh]]</f>
        <v>51</v>
      </c>
      <c r="CC677" s="2">
        <f>Dashboard[[#This Row],[idp_loc_hh]]+Dashboard[[#This Row],[ref_loc_hh]]+Dashboard[[#This Row],[ret_loc_hh]]</f>
        <v>23</v>
      </c>
      <c r="CD677" s="2">
        <f>Dashboard[[#This Row],[idp_cc_hh]]+Dashboard[[#This Row],[ref_cc_hh]]+Dashboard[[#This Row],[ret_cc_hh]]</f>
        <v>0</v>
      </c>
      <c r="CE677" s="2">
        <f>Dashboard[[#This Row],[idp_as_hh]]+Dashboard[[#This Row],[ref_as_hh]]+Dashboard[[#This Row],[ret_as_hh]]</f>
        <v>0</v>
      </c>
      <c r="CF677" s="2">
        <f>Dashboard[[#This Row],[idp_al_hh]]+Dashboard[[#This Row],[ref_al_hh]]+Dashboard[[#This Row],[ret_al_hh]]</f>
        <v>0</v>
      </c>
    </row>
    <row r="678" spans="1:84" hidden="1" x14ac:dyDescent="0.25">
      <c r="A678" s="27">
        <v>297</v>
      </c>
      <c r="B678" s="2" t="s">
        <v>22</v>
      </c>
      <c r="C678" s="2" t="s">
        <v>23</v>
      </c>
      <c r="D678" s="2" t="s">
        <v>37</v>
      </c>
      <c r="E678" s="2" t="s">
        <v>36</v>
      </c>
      <c r="F678" s="2" t="s">
        <v>547</v>
      </c>
      <c r="G678" s="2" t="s">
        <v>548</v>
      </c>
      <c r="H678" s="2" t="s">
        <v>1840</v>
      </c>
      <c r="I678" s="2" t="s">
        <v>845</v>
      </c>
      <c r="J678" s="2" t="s">
        <v>3482</v>
      </c>
      <c r="K678" s="2" t="s">
        <v>3483</v>
      </c>
      <c r="L678" s="2" t="s">
        <v>2074</v>
      </c>
      <c r="M678" s="2">
        <v>3000</v>
      </c>
      <c r="N678" s="2" t="s">
        <v>1658</v>
      </c>
      <c r="O678" s="2">
        <v>10</v>
      </c>
      <c r="P678" s="2">
        <v>49</v>
      </c>
      <c r="Q678" s="2" t="s">
        <v>1658</v>
      </c>
      <c r="R678" s="2">
        <v>10</v>
      </c>
      <c r="S678" s="2" t="s">
        <v>1658</v>
      </c>
      <c r="T678" s="2">
        <v>0</v>
      </c>
      <c r="U678" s="2" t="s">
        <v>1661</v>
      </c>
      <c r="V678" s="2" t="s">
        <v>32</v>
      </c>
      <c r="W678" s="2" t="s">
        <v>1660</v>
      </c>
      <c r="X678" s="2">
        <v>0</v>
      </c>
      <c r="Y678" s="2" t="s">
        <v>32</v>
      </c>
      <c r="Z678" s="2" t="s">
        <v>32</v>
      </c>
      <c r="AA678" s="2" t="s">
        <v>1660</v>
      </c>
      <c r="AB678" s="2">
        <v>0</v>
      </c>
      <c r="AC678" s="2" t="s">
        <v>1660</v>
      </c>
      <c r="AD678" s="2">
        <v>0</v>
      </c>
      <c r="AE678" s="2" t="s">
        <v>1660</v>
      </c>
      <c r="AF678" s="2">
        <v>0</v>
      </c>
      <c r="AG678" s="2">
        <v>0</v>
      </c>
      <c r="AH678" s="2" t="s">
        <v>32</v>
      </c>
      <c r="AI678" s="2" t="s">
        <v>32</v>
      </c>
      <c r="AJ678" s="2" t="s">
        <v>32</v>
      </c>
      <c r="AK678" s="2" t="s">
        <v>32</v>
      </c>
      <c r="AL678" s="2" t="s">
        <v>32</v>
      </c>
      <c r="AM678" s="2">
        <v>0</v>
      </c>
      <c r="AN678" s="2" t="s">
        <v>32</v>
      </c>
      <c r="AO678" s="2">
        <v>0</v>
      </c>
      <c r="AP678" s="2" t="s">
        <v>32</v>
      </c>
      <c r="AQ678" s="2" t="s">
        <v>32</v>
      </c>
      <c r="AR678" s="2" t="s">
        <v>32</v>
      </c>
      <c r="AS678" s="2">
        <v>0</v>
      </c>
      <c r="AT678" s="2" t="s">
        <v>32</v>
      </c>
      <c r="AU678" s="2" t="s">
        <v>32</v>
      </c>
      <c r="AV678" s="2" t="s">
        <v>32</v>
      </c>
      <c r="AW678" s="2">
        <v>0</v>
      </c>
      <c r="AX678" s="2" t="s">
        <v>32</v>
      </c>
      <c r="AY678" s="2">
        <v>0</v>
      </c>
      <c r="AZ678" s="2" t="s">
        <v>1658</v>
      </c>
      <c r="BA678" s="2">
        <v>15</v>
      </c>
      <c r="BB678" s="2">
        <v>82</v>
      </c>
      <c r="BC678" s="2" t="s">
        <v>1658</v>
      </c>
      <c r="BD678" s="2">
        <v>12</v>
      </c>
      <c r="BE678" s="2" t="s">
        <v>1658</v>
      </c>
      <c r="BF678" s="2">
        <v>3</v>
      </c>
      <c r="BG678" s="2" t="s">
        <v>1660</v>
      </c>
      <c r="BH678" s="2">
        <v>0</v>
      </c>
      <c r="BI678" s="2" t="s">
        <v>32</v>
      </c>
      <c r="BJ678" s="2" t="s">
        <v>32</v>
      </c>
      <c r="BK678" s="2" t="s">
        <v>1660</v>
      </c>
      <c r="BL678" s="2">
        <v>0</v>
      </c>
      <c r="BM678" s="2" t="s">
        <v>32</v>
      </c>
      <c r="BN678" s="2" t="s">
        <v>32</v>
      </c>
      <c r="BO678" s="2" t="s">
        <v>1660</v>
      </c>
      <c r="BP678" s="2">
        <v>0</v>
      </c>
      <c r="BQ678" s="2" t="s">
        <v>1660</v>
      </c>
      <c r="BR678" s="2">
        <v>0</v>
      </c>
      <c r="BS678" s="2" t="s">
        <v>1660</v>
      </c>
      <c r="BT678" s="2">
        <v>0</v>
      </c>
      <c r="BU678" s="2">
        <v>0</v>
      </c>
      <c r="BV678" s="2" t="s">
        <v>1660</v>
      </c>
      <c r="BW678" s="2"/>
      <c r="BX678" s="2"/>
      <c r="BY678" s="2" t="s">
        <v>1807</v>
      </c>
      <c r="BZ678" s="2" t="b">
        <f>OR( (Dashboard[[#This Row],[ref_as_hh]]&gt;=1),(Dashboard[[#This Row],[ret_as_hh]] &gt;=1), (Dashboard[[#This Row],[idp_as_hh]]&gt;=1))</f>
        <v>0</v>
      </c>
      <c r="CA678" s="2">
        <f>Dashboard[[#This Row],[ret_hi_hh]]</f>
        <v>12</v>
      </c>
      <c r="CB678" s="2">
        <f>Dashboard[[#This Row],[idp_fa_hh]]+Dashboard[[#This Row],[ref_fa_hh]]+Dashboard[[#This Row],[ret_fa_hh]]</f>
        <v>13</v>
      </c>
      <c r="CC678" s="2">
        <f>Dashboard[[#This Row],[idp_loc_hh]]+Dashboard[[#This Row],[ref_loc_hh]]+Dashboard[[#This Row],[ret_loc_hh]]</f>
        <v>0</v>
      </c>
      <c r="CD678" s="2">
        <f>Dashboard[[#This Row],[idp_cc_hh]]+Dashboard[[#This Row],[ref_cc_hh]]+Dashboard[[#This Row],[ret_cc_hh]]</f>
        <v>0</v>
      </c>
      <c r="CE678" s="2">
        <f>Dashboard[[#This Row],[idp_as_hh]]+Dashboard[[#This Row],[ref_as_hh]]+Dashboard[[#This Row],[ret_as_hh]]</f>
        <v>0</v>
      </c>
      <c r="CF678" s="2">
        <f>Dashboard[[#This Row],[idp_al_hh]]+Dashboard[[#This Row],[ref_al_hh]]+Dashboard[[#This Row],[ret_al_hh]]</f>
        <v>0</v>
      </c>
    </row>
    <row r="679" spans="1:84" hidden="1" x14ac:dyDescent="0.25">
      <c r="A679" s="27">
        <v>300</v>
      </c>
      <c r="B679" s="2" t="s">
        <v>22</v>
      </c>
      <c r="C679" s="2" t="s">
        <v>23</v>
      </c>
      <c r="D679" s="2" t="s">
        <v>37</v>
      </c>
      <c r="E679" s="2" t="s">
        <v>36</v>
      </c>
      <c r="F679" s="2" t="s">
        <v>547</v>
      </c>
      <c r="G679" s="2" t="s">
        <v>548</v>
      </c>
      <c r="H679" s="2" t="s">
        <v>1436</v>
      </c>
      <c r="I679" s="2" t="s">
        <v>572</v>
      </c>
      <c r="J679" s="2" t="s">
        <v>3522</v>
      </c>
      <c r="K679" s="2" t="s">
        <v>3523</v>
      </c>
      <c r="L679" s="2" t="s">
        <v>2074</v>
      </c>
      <c r="M679" s="2">
        <v>2550</v>
      </c>
      <c r="N679" s="2" t="s">
        <v>1658</v>
      </c>
      <c r="O679" s="2">
        <v>152</v>
      </c>
      <c r="P679" s="2">
        <v>1138</v>
      </c>
      <c r="Q679" s="2" t="s">
        <v>1658</v>
      </c>
      <c r="R679" s="2">
        <v>108</v>
      </c>
      <c r="S679" s="2" t="s">
        <v>1658</v>
      </c>
      <c r="T679" s="2">
        <v>44</v>
      </c>
      <c r="U679" s="2" t="s">
        <v>1661</v>
      </c>
      <c r="V679" s="2" t="s">
        <v>32</v>
      </c>
      <c r="W679" s="2" t="s">
        <v>1660</v>
      </c>
      <c r="X679" s="2">
        <v>0</v>
      </c>
      <c r="Y679" s="2" t="s">
        <v>32</v>
      </c>
      <c r="Z679" s="2" t="s">
        <v>32</v>
      </c>
      <c r="AA679" s="2" t="s">
        <v>1660</v>
      </c>
      <c r="AB679" s="2">
        <v>0</v>
      </c>
      <c r="AC679" s="2" t="s">
        <v>1660</v>
      </c>
      <c r="AD679" s="2">
        <v>0</v>
      </c>
      <c r="AE679" s="2" t="s">
        <v>1660</v>
      </c>
      <c r="AF679" s="2">
        <v>0</v>
      </c>
      <c r="AG679" s="2">
        <v>0</v>
      </c>
      <c r="AH679" s="2" t="s">
        <v>32</v>
      </c>
      <c r="AI679" s="2" t="s">
        <v>32</v>
      </c>
      <c r="AJ679" s="2" t="s">
        <v>32</v>
      </c>
      <c r="AK679" s="2" t="s">
        <v>32</v>
      </c>
      <c r="AL679" s="2" t="s">
        <v>32</v>
      </c>
      <c r="AM679" s="2">
        <v>0</v>
      </c>
      <c r="AN679" s="2" t="s">
        <v>32</v>
      </c>
      <c r="AO679" s="2">
        <v>0</v>
      </c>
      <c r="AP679" s="2" t="s">
        <v>32</v>
      </c>
      <c r="AQ679" s="2" t="s">
        <v>32</v>
      </c>
      <c r="AR679" s="2" t="s">
        <v>32</v>
      </c>
      <c r="AS679" s="2">
        <v>0</v>
      </c>
      <c r="AT679" s="2" t="s">
        <v>32</v>
      </c>
      <c r="AU679" s="2" t="s">
        <v>32</v>
      </c>
      <c r="AV679" s="2" t="s">
        <v>32</v>
      </c>
      <c r="AW679" s="2">
        <v>0</v>
      </c>
      <c r="AX679" s="2" t="s">
        <v>32</v>
      </c>
      <c r="AY679" s="2">
        <v>0</v>
      </c>
      <c r="AZ679" s="2" t="s">
        <v>1658</v>
      </c>
      <c r="BA679" s="2">
        <v>18</v>
      </c>
      <c r="BB679" s="2">
        <v>135</v>
      </c>
      <c r="BC679" s="2" t="s">
        <v>1658</v>
      </c>
      <c r="BD679" s="2">
        <v>11</v>
      </c>
      <c r="BE679" s="2" t="s">
        <v>1658</v>
      </c>
      <c r="BF679" s="2">
        <v>7</v>
      </c>
      <c r="BG679" s="2" t="s">
        <v>1660</v>
      </c>
      <c r="BH679" s="2">
        <v>0</v>
      </c>
      <c r="BI679" s="2" t="s">
        <v>32</v>
      </c>
      <c r="BJ679" s="2" t="s">
        <v>32</v>
      </c>
      <c r="BK679" s="2" t="s">
        <v>1660</v>
      </c>
      <c r="BL679" s="2">
        <v>0</v>
      </c>
      <c r="BM679" s="2" t="s">
        <v>32</v>
      </c>
      <c r="BN679" s="2" t="s">
        <v>32</v>
      </c>
      <c r="BO679" s="2" t="s">
        <v>1660</v>
      </c>
      <c r="BP679" s="2">
        <v>0</v>
      </c>
      <c r="BQ679" s="2" t="s">
        <v>1660</v>
      </c>
      <c r="BR679" s="2">
        <v>0</v>
      </c>
      <c r="BS679" s="2" t="s">
        <v>1660</v>
      </c>
      <c r="BT679" s="2">
        <v>0</v>
      </c>
      <c r="BU679" s="2">
        <v>0</v>
      </c>
      <c r="BV679" s="2" t="s">
        <v>1660</v>
      </c>
      <c r="BW679" s="2"/>
      <c r="BX679" s="2"/>
      <c r="BY679" s="2" t="s">
        <v>1807</v>
      </c>
      <c r="BZ679" s="2" t="b">
        <f>OR( (Dashboard[[#This Row],[ref_as_hh]]&gt;=1),(Dashboard[[#This Row],[ret_as_hh]] &gt;=1), (Dashboard[[#This Row],[idp_as_hh]]&gt;=1))</f>
        <v>0</v>
      </c>
      <c r="CA679" s="2">
        <f>Dashboard[[#This Row],[ret_hi_hh]]</f>
        <v>11</v>
      </c>
      <c r="CB679" s="2">
        <f>Dashboard[[#This Row],[idp_fa_hh]]+Dashboard[[#This Row],[ref_fa_hh]]+Dashboard[[#This Row],[ret_fa_hh]]</f>
        <v>115</v>
      </c>
      <c r="CC679" s="2">
        <f>Dashboard[[#This Row],[idp_loc_hh]]+Dashboard[[#This Row],[ref_loc_hh]]+Dashboard[[#This Row],[ret_loc_hh]]</f>
        <v>44</v>
      </c>
      <c r="CD679" s="2">
        <f>Dashboard[[#This Row],[idp_cc_hh]]+Dashboard[[#This Row],[ref_cc_hh]]+Dashboard[[#This Row],[ret_cc_hh]]</f>
        <v>0</v>
      </c>
      <c r="CE679" s="2">
        <f>Dashboard[[#This Row],[idp_as_hh]]+Dashboard[[#This Row],[ref_as_hh]]+Dashboard[[#This Row],[ret_as_hh]]</f>
        <v>0</v>
      </c>
      <c r="CF679" s="2">
        <f>Dashboard[[#This Row],[idp_al_hh]]+Dashboard[[#This Row],[ref_al_hh]]+Dashboard[[#This Row],[ret_al_hh]]</f>
        <v>0</v>
      </c>
    </row>
    <row r="680" spans="1:84" hidden="1" x14ac:dyDescent="0.25">
      <c r="A680" s="27">
        <v>303</v>
      </c>
      <c r="B680" s="2" t="s">
        <v>22</v>
      </c>
      <c r="C680" s="2" t="s">
        <v>23</v>
      </c>
      <c r="D680" s="2" t="s">
        <v>37</v>
      </c>
      <c r="E680" s="2" t="s">
        <v>36</v>
      </c>
      <c r="F680" s="2" t="s">
        <v>547</v>
      </c>
      <c r="G680" s="2" t="s">
        <v>548</v>
      </c>
      <c r="H680" s="2" t="s">
        <v>1412</v>
      </c>
      <c r="I680" s="2" t="s">
        <v>550</v>
      </c>
      <c r="J680" s="2" t="s">
        <v>3466</v>
      </c>
      <c r="K680" s="2" t="s">
        <v>3467</v>
      </c>
      <c r="L680" s="2" t="s">
        <v>2074</v>
      </c>
      <c r="M680" s="2">
        <v>6069</v>
      </c>
      <c r="N680" s="2" t="s">
        <v>1658</v>
      </c>
      <c r="O680" s="2">
        <v>42</v>
      </c>
      <c r="P680" s="2">
        <v>226</v>
      </c>
      <c r="Q680" s="2" t="s">
        <v>1658</v>
      </c>
      <c r="R680" s="2">
        <v>32</v>
      </c>
      <c r="S680" s="2" t="s">
        <v>1658</v>
      </c>
      <c r="T680" s="2">
        <v>10</v>
      </c>
      <c r="U680" s="2" t="s">
        <v>1661</v>
      </c>
      <c r="V680" s="2" t="s">
        <v>32</v>
      </c>
      <c r="W680" s="2" t="s">
        <v>1660</v>
      </c>
      <c r="X680" s="2">
        <v>0</v>
      </c>
      <c r="Y680" s="2" t="s">
        <v>32</v>
      </c>
      <c r="Z680" s="2" t="s">
        <v>32</v>
      </c>
      <c r="AA680" s="2" t="s">
        <v>1660</v>
      </c>
      <c r="AB680" s="2">
        <v>0</v>
      </c>
      <c r="AC680" s="2" t="s">
        <v>1660</v>
      </c>
      <c r="AD680" s="2">
        <v>0</v>
      </c>
      <c r="AE680" s="2" t="s">
        <v>1660</v>
      </c>
      <c r="AF680" s="2">
        <v>0</v>
      </c>
      <c r="AG680" s="2">
        <v>0</v>
      </c>
      <c r="AH680" s="2" t="s">
        <v>32</v>
      </c>
      <c r="AI680" s="2" t="s">
        <v>32</v>
      </c>
      <c r="AJ680" s="2" t="s">
        <v>32</v>
      </c>
      <c r="AK680" s="2" t="s">
        <v>32</v>
      </c>
      <c r="AL680" s="2" t="s">
        <v>32</v>
      </c>
      <c r="AM680" s="2">
        <v>0</v>
      </c>
      <c r="AN680" s="2" t="s">
        <v>32</v>
      </c>
      <c r="AO680" s="2">
        <v>0</v>
      </c>
      <c r="AP680" s="2" t="s">
        <v>32</v>
      </c>
      <c r="AQ680" s="2" t="s">
        <v>32</v>
      </c>
      <c r="AR680" s="2" t="s">
        <v>32</v>
      </c>
      <c r="AS680" s="2">
        <v>0</v>
      </c>
      <c r="AT680" s="2" t="s">
        <v>32</v>
      </c>
      <c r="AU680" s="2" t="s">
        <v>32</v>
      </c>
      <c r="AV680" s="2" t="s">
        <v>32</v>
      </c>
      <c r="AW680" s="2">
        <v>0</v>
      </c>
      <c r="AX680" s="2" t="s">
        <v>32</v>
      </c>
      <c r="AY680" s="2">
        <v>0</v>
      </c>
      <c r="AZ680" s="2" t="s">
        <v>1658</v>
      </c>
      <c r="BA680" s="2">
        <v>11</v>
      </c>
      <c r="BB680" s="2">
        <v>62</v>
      </c>
      <c r="BC680" s="2" t="s">
        <v>1658</v>
      </c>
      <c r="BD680" s="2">
        <v>7</v>
      </c>
      <c r="BE680" s="2" t="s">
        <v>1658</v>
      </c>
      <c r="BF680" s="2">
        <v>4</v>
      </c>
      <c r="BG680" s="2" t="s">
        <v>1660</v>
      </c>
      <c r="BH680" s="2">
        <v>0</v>
      </c>
      <c r="BI680" s="2" t="s">
        <v>32</v>
      </c>
      <c r="BJ680" s="2" t="s">
        <v>32</v>
      </c>
      <c r="BK680" s="2" t="s">
        <v>1660</v>
      </c>
      <c r="BL680" s="2">
        <v>0</v>
      </c>
      <c r="BM680" s="2" t="s">
        <v>32</v>
      </c>
      <c r="BN680" s="2" t="s">
        <v>32</v>
      </c>
      <c r="BO680" s="2" t="s">
        <v>1660</v>
      </c>
      <c r="BP680" s="2">
        <v>0</v>
      </c>
      <c r="BQ680" s="2" t="s">
        <v>1660</v>
      </c>
      <c r="BR680" s="2">
        <v>0</v>
      </c>
      <c r="BS680" s="2" t="s">
        <v>1660</v>
      </c>
      <c r="BT680" s="2">
        <v>0</v>
      </c>
      <c r="BU680" s="2">
        <v>0</v>
      </c>
      <c r="BV680" s="2" t="s">
        <v>1660</v>
      </c>
      <c r="BW680" s="2"/>
      <c r="BX680" s="2"/>
      <c r="BY680" s="2" t="s">
        <v>1807</v>
      </c>
      <c r="BZ680" s="2" t="b">
        <f>OR( (Dashboard[[#This Row],[ref_as_hh]]&gt;=1),(Dashboard[[#This Row],[ret_as_hh]] &gt;=1), (Dashboard[[#This Row],[idp_as_hh]]&gt;=1))</f>
        <v>0</v>
      </c>
      <c r="CA680" s="2">
        <f>Dashboard[[#This Row],[ret_hi_hh]]</f>
        <v>7</v>
      </c>
      <c r="CB680" s="2">
        <f>Dashboard[[#This Row],[idp_fa_hh]]+Dashboard[[#This Row],[ref_fa_hh]]+Dashboard[[#This Row],[ret_fa_hh]]</f>
        <v>36</v>
      </c>
      <c r="CC680" s="2">
        <f>Dashboard[[#This Row],[idp_loc_hh]]+Dashboard[[#This Row],[ref_loc_hh]]+Dashboard[[#This Row],[ret_loc_hh]]</f>
        <v>10</v>
      </c>
      <c r="CD680" s="2">
        <f>Dashboard[[#This Row],[idp_cc_hh]]+Dashboard[[#This Row],[ref_cc_hh]]+Dashboard[[#This Row],[ret_cc_hh]]</f>
        <v>0</v>
      </c>
      <c r="CE680" s="2">
        <f>Dashboard[[#This Row],[idp_as_hh]]+Dashboard[[#This Row],[ref_as_hh]]+Dashboard[[#This Row],[ret_as_hh]]</f>
        <v>0</v>
      </c>
      <c r="CF680" s="2">
        <f>Dashboard[[#This Row],[idp_al_hh]]+Dashboard[[#This Row],[ref_al_hh]]+Dashboard[[#This Row],[ret_al_hh]]</f>
        <v>0</v>
      </c>
    </row>
    <row r="681" spans="1:84" hidden="1" x14ac:dyDescent="0.25">
      <c r="A681" s="27">
        <v>560</v>
      </c>
      <c r="B681" s="2" t="s">
        <v>22</v>
      </c>
      <c r="C681" s="2" t="s">
        <v>23</v>
      </c>
      <c r="D681" s="2" t="s">
        <v>37</v>
      </c>
      <c r="E681" s="2" t="s">
        <v>36</v>
      </c>
      <c r="F681" s="2" t="s">
        <v>547</v>
      </c>
      <c r="G681" s="2" t="s">
        <v>548</v>
      </c>
      <c r="H681" s="2" t="s">
        <v>1432</v>
      </c>
      <c r="I681" s="2" t="s">
        <v>568</v>
      </c>
      <c r="J681" s="2" t="s">
        <v>3514</v>
      </c>
      <c r="K681" s="2" t="s">
        <v>3515</v>
      </c>
      <c r="L681" s="2" t="s">
        <v>2074</v>
      </c>
      <c r="M681" s="2">
        <v>4700</v>
      </c>
      <c r="N681" s="2" t="s">
        <v>1658</v>
      </c>
      <c r="O681" s="2">
        <v>43</v>
      </c>
      <c r="P681" s="2">
        <v>302</v>
      </c>
      <c r="Q681" s="2" t="s">
        <v>1658</v>
      </c>
      <c r="R681" s="2">
        <v>18</v>
      </c>
      <c r="S681" s="2" t="s">
        <v>1658</v>
      </c>
      <c r="T681" s="2">
        <v>25</v>
      </c>
      <c r="U681" s="2" t="s">
        <v>1661</v>
      </c>
      <c r="V681" s="2" t="s">
        <v>32</v>
      </c>
      <c r="W681" s="2" t="s">
        <v>1660</v>
      </c>
      <c r="X681" s="2">
        <v>0</v>
      </c>
      <c r="Y681" s="2" t="s">
        <v>32</v>
      </c>
      <c r="Z681" s="2" t="s">
        <v>32</v>
      </c>
      <c r="AA681" s="2" t="s">
        <v>1660</v>
      </c>
      <c r="AB681" s="2">
        <v>0</v>
      </c>
      <c r="AC681" s="2" t="s">
        <v>1660</v>
      </c>
      <c r="AD681" s="2">
        <v>0</v>
      </c>
      <c r="AE681" s="2" t="s">
        <v>1660</v>
      </c>
      <c r="AF681" s="2">
        <v>0</v>
      </c>
      <c r="AG681" s="2">
        <v>0</v>
      </c>
      <c r="AH681" s="2" t="s">
        <v>32</v>
      </c>
      <c r="AI681" s="2" t="s">
        <v>32</v>
      </c>
      <c r="AJ681" s="2" t="s">
        <v>32</v>
      </c>
      <c r="AK681" s="2" t="s">
        <v>32</v>
      </c>
      <c r="AL681" s="2" t="s">
        <v>32</v>
      </c>
      <c r="AM681" s="2">
        <v>0</v>
      </c>
      <c r="AN681" s="2" t="s">
        <v>32</v>
      </c>
      <c r="AO681" s="2">
        <v>0</v>
      </c>
      <c r="AP681" s="2" t="s">
        <v>32</v>
      </c>
      <c r="AQ681" s="2" t="s">
        <v>32</v>
      </c>
      <c r="AR681" s="2" t="s">
        <v>32</v>
      </c>
      <c r="AS681" s="2">
        <v>0</v>
      </c>
      <c r="AT681" s="2" t="s">
        <v>32</v>
      </c>
      <c r="AU681" s="2" t="s">
        <v>32</v>
      </c>
      <c r="AV681" s="2" t="s">
        <v>32</v>
      </c>
      <c r="AW681" s="2">
        <v>0</v>
      </c>
      <c r="AX681" s="2" t="s">
        <v>32</v>
      </c>
      <c r="AY681" s="2">
        <v>0</v>
      </c>
      <c r="AZ681" s="2" t="s">
        <v>1658</v>
      </c>
      <c r="BA681" s="2">
        <v>8</v>
      </c>
      <c r="BB681" s="2">
        <v>48</v>
      </c>
      <c r="BC681" s="2" t="s">
        <v>1658</v>
      </c>
      <c r="BD681" s="2">
        <v>7</v>
      </c>
      <c r="BE681" s="2" t="s">
        <v>1660</v>
      </c>
      <c r="BF681" s="2">
        <v>0</v>
      </c>
      <c r="BG681" s="2" t="s">
        <v>1658</v>
      </c>
      <c r="BH681" s="2">
        <v>1</v>
      </c>
      <c r="BI681" s="2" t="s">
        <v>1661</v>
      </c>
      <c r="BJ681" s="2" t="s">
        <v>32</v>
      </c>
      <c r="BK681" s="2" t="s">
        <v>1660</v>
      </c>
      <c r="BL681" s="2">
        <v>0</v>
      </c>
      <c r="BM681" s="2" t="s">
        <v>32</v>
      </c>
      <c r="BN681" s="2" t="s">
        <v>32</v>
      </c>
      <c r="BO681" s="2" t="s">
        <v>1660</v>
      </c>
      <c r="BP681" s="2">
        <v>0</v>
      </c>
      <c r="BQ681" s="2" t="s">
        <v>1660</v>
      </c>
      <c r="BR681" s="2">
        <v>0</v>
      </c>
      <c r="BS681" s="2" t="s">
        <v>1660</v>
      </c>
      <c r="BT681" s="2">
        <v>0</v>
      </c>
      <c r="BU681" s="2">
        <v>0</v>
      </c>
      <c r="BV681" s="2" t="s">
        <v>1660</v>
      </c>
      <c r="BW681" s="2"/>
      <c r="BX681" s="2"/>
      <c r="BY681" s="2" t="s">
        <v>1807</v>
      </c>
      <c r="BZ681" s="2" t="b">
        <f>OR( (Dashboard[[#This Row],[ref_as_hh]]&gt;=1),(Dashboard[[#This Row],[ret_as_hh]] &gt;=1), (Dashboard[[#This Row],[idp_as_hh]]&gt;=1))</f>
        <v>0</v>
      </c>
      <c r="CA681" s="2">
        <f>Dashboard[[#This Row],[ret_hi_hh]]</f>
        <v>7</v>
      </c>
      <c r="CB681" s="2">
        <f>Dashboard[[#This Row],[idp_fa_hh]]+Dashboard[[#This Row],[ref_fa_hh]]+Dashboard[[#This Row],[ret_fa_hh]]</f>
        <v>18</v>
      </c>
      <c r="CC681" s="2">
        <f>Dashboard[[#This Row],[idp_loc_hh]]+Dashboard[[#This Row],[ref_loc_hh]]+Dashboard[[#This Row],[ret_loc_hh]]</f>
        <v>26</v>
      </c>
      <c r="CD681" s="2">
        <f>Dashboard[[#This Row],[idp_cc_hh]]+Dashboard[[#This Row],[ref_cc_hh]]+Dashboard[[#This Row],[ret_cc_hh]]</f>
        <v>0</v>
      </c>
      <c r="CE681" s="2">
        <f>Dashboard[[#This Row],[idp_as_hh]]+Dashboard[[#This Row],[ref_as_hh]]+Dashboard[[#This Row],[ret_as_hh]]</f>
        <v>0</v>
      </c>
      <c r="CF681" s="2">
        <f>Dashboard[[#This Row],[idp_al_hh]]+Dashboard[[#This Row],[ref_al_hh]]+Dashboard[[#This Row],[ret_al_hh]]</f>
        <v>0</v>
      </c>
    </row>
    <row r="682" spans="1:84" hidden="1" x14ac:dyDescent="0.25">
      <c r="A682" s="27">
        <v>66</v>
      </c>
      <c r="B682" s="2" t="s">
        <v>22</v>
      </c>
      <c r="C682" s="2" t="s">
        <v>23</v>
      </c>
      <c r="D682" s="2" t="s">
        <v>37</v>
      </c>
      <c r="E682" s="2" t="s">
        <v>36</v>
      </c>
      <c r="F682" s="2" t="s">
        <v>547</v>
      </c>
      <c r="G682" s="2" t="s">
        <v>548</v>
      </c>
      <c r="H682" s="2" t="s">
        <v>1413</v>
      </c>
      <c r="I682" s="2" t="s">
        <v>551</v>
      </c>
      <c r="J682" s="2" t="s">
        <v>3468</v>
      </c>
      <c r="K682" s="2" t="s">
        <v>3469</v>
      </c>
      <c r="L682" s="2" t="s">
        <v>2074</v>
      </c>
      <c r="M682" s="2">
        <v>3584</v>
      </c>
      <c r="N682" s="2" t="s">
        <v>1658</v>
      </c>
      <c r="O682" s="2">
        <v>36</v>
      </c>
      <c r="P682" s="2">
        <v>260</v>
      </c>
      <c r="Q682" s="2" t="s">
        <v>1658</v>
      </c>
      <c r="R682" s="2">
        <v>24</v>
      </c>
      <c r="S682" s="2" t="s">
        <v>1658</v>
      </c>
      <c r="T682" s="2">
        <v>12</v>
      </c>
      <c r="U682" s="2" t="s">
        <v>1661</v>
      </c>
      <c r="V682" s="2" t="s">
        <v>32</v>
      </c>
      <c r="W682" s="2" t="s">
        <v>1660</v>
      </c>
      <c r="X682" s="2">
        <v>0</v>
      </c>
      <c r="Y682" s="2" t="s">
        <v>32</v>
      </c>
      <c r="Z682" s="2" t="s">
        <v>32</v>
      </c>
      <c r="AA682" s="2" t="s">
        <v>1660</v>
      </c>
      <c r="AB682" s="2">
        <v>0</v>
      </c>
      <c r="AC682" s="2" t="s">
        <v>1660</v>
      </c>
      <c r="AD682" s="2">
        <v>0</v>
      </c>
      <c r="AE682" s="2" t="s">
        <v>1660</v>
      </c>
      <c r="AF682" s="2">
        <v>0</v>
      </c>
      <c r="AG682" s="2">
        <v>0</v>
      </c>
      <c r="AH682" s="2" t="s">
        <v>32</v>
      </c>
      <c r="AI682" s="2" t="s">
        <v>32</v>
      </c>
      <c r="AJ682" s="2" t="s">
        <v>32</v>
      </c>
      <c r="AK682" s="2" t="s">
        <v>32</v>
      </c>
      <c r="AL682" s="2" t="s">
        <v>32</v>
      </c>
      <c r="AM682" s="2">
        <v>0</v>
      </c>
      <c r="AN682" s="2" t="s">
        <v>32</v>
      </c>
      <c r="AO682" s="2">
        <v>0</v>
      </c>
      <c r="AP682" s="2" t="s">
        <v>32</v>
      </c>
      <c r="AQ682" s="2" t="s">
        <v>32</v>
      </c>
      <c r="AR682" s="2" t="s">
        <v>32</v>
      </c>
      <c r="AS682" s="2">
        <v>0</v>
      </c>
      <c r="AT682" s="2" t="s">
        <v>32</v>
      </c>
      <c r="AU682" s="2" t="s">
        <v>32</v>
      </c>
      <c r="AV682" s="2" t="s">
        <v>32</v>
      </c>
      <c r="AW682" s="2">
        <v>0</v>
      </c>
      <c r="AX682" s="2" t="s">
        <v>32</v>
      </c>
      <c r="AY682" s="2">
        <v>0</v>
      </c>
      <c r="AZ682" s="2" t="s">
        <v>1658</v>
      </c>
      <c r="BA682" s="2">
        <v>6</v>
      </c>
      <c r="BB682" s="2">
        <v>48</v>
      </c>
      <c r="BC682" s="2" t="s">
        <v>1658</v>
      </c>
      <c r="BD682" s="2">
        <v>4</v>
      </c>
      <c r="BE682" s="2" t="s">
        <v>1658</v>
      </c>
      <c r="BF682" s="2">
        <v>2</v>
      </c>
      <c r="BG682" s="2" t="s">
        <v>1660</v>
      </c>
      <c r="BH682" s="2">
        <v>0</v>
      </c>
      <c r="BI682" s="2" t="s">
        <v>32</v>
      </c>
      <c r="BJ682" s="2" t="s">
        <v>32</v>
      </c>
      <c r="BK682" s="2" t="s">
        <v>1660</v>
      </c>
      <c r="BL682" s="2">
        <v>0</v>
      </c>
      <c r="BM682" s="2" t="s">
        <v>32</v>
      </c>
      <c r="BN682" s="2" t="s">
        <v>32</v>
      </c>
      <c r="BO682" s="2" t="s">
        <v>1660</v>
      </c>
      <c r="BP682" s="2">
        <v>0</v>
      </c>
      <c r="BQ682" s="2" t="s">
        <v>1660</v>
      </c>
      <c r="BR682" s="2">
        <v>0</v>
      </c>
      <c r="BS682" s="2" t="s">
        <v>1660</v>
      </c>
      <c r="BT682" s="2">
        <v>0</v>
      </c>
      <c r="BU682" s="2">
        <v>0</v>
      </c>
      <c r="BV682" s="2" t="s">
        <v>1660</v>
      </c>
      <c r="BW682" s="2"/>
      <c r="BX682" s="2"/>
      <c r="BY682" s="2" t="s">
        <v>1807</v>
      </c>
      <c r="BZ682" s="2" t="b">
        <f>OR( (Dashboard[[#This Row],[ref_as_hh]]&gt;=1),(Dashboard[[#This Row],[ret_as_hh]] &gt;=1), (Dashboard[[#This Row],[idp_as_hh]]&gt;=1))</f>
        <v>0</v>
      </c>
      <c r="CA682" s="2">
        <f>Dashboard[[#This Row],[ret_hi_hh]]</f>
        <v>4</v>
      </c>
      <c r="CB682" s="2">
        <f>Dashboard[[#This Row],[idp_fa_hh]]+Dashboard[[#This Row],[ref_fa_hh]]+Dashboard[[#This Row],[ret_fa_hh]]</f>
        <v>26</v>
      </c>
      <c r="CC682" s="2">
        <f>Dashboard[[#This Row],[idp_loc_hh]]+Dashboard[[#This Row],[ref_loc_hh]]+Dashboard[[#This Row],[ret_loc_hh]]</f>
        <v>12</v>
      </c>
      <c r="CD682" s="2">
        <f>Dashboard[[#This Row],[idp_cc_hh]]+Dashboard[[#This Row],[ref_cc_hh]]+Dashboard[[#This Row],[ret_cc_hh]]</f>
        <v>0</v>
      </c>
      <c r="CE682" s="2">
        <f>Dashboard[[#This Row],[idp_as_hh]]+Dashboard[[#This Row],[ref_as_hh]]+Dashboard[[#This Row],[ret_as_hh]]</f>
        <v>0</v>
      </c>
      <c r="CF682" s="2">
        <f>Dashboard[[#This Row],[idp_al_hh]]+Dashboard[[#This Row],[ref_al_hh]]+Dashboard[[#This Row],[ret_al_hh]]</f>
        <v>0</v>
      </c>
    </row>
    <row r="683" spans="1:84" hidden="1" x14ac:dyDescent="0.25">
      <c r="A683" s="27">
        <v>72</v>
      </c>
      <c r="B683" s="2" t="s">
        <v>22</v>
      </c>
      <c r="C683" s="2" t="s">
        <v>23</v>
      </c>
      <c r="D683" s="2" t="s">
        <v>37</v>
      </c>
      <c r="E683" s="2" t="s">
        <v>36</v>
      </c>
      <c r="F683" s="2" t="s">
        <v>547</v>
      </c>
      <c r="G683" s="2" t="s">
        <v>548</v>
      </c>
      <c r="H683" s="2" t="s">
        <v>1428</v>
      </c>
      <c r="I683" s="2" t="s">
        <v>242</v>
      </c>
      <c r="J683" s="2" t="s">
        <v>3504</v>
      </c>
      <c r="K683" s="2" t="s">
        <v>3505</v>
      </c>
      <c r="L683" s="2" t="s">
        <v>2074</v>
      </c>
      <c r="M683" s="2">
        <v>2500</v>
      </c>
      <c r="N683" s="2" t="s">
        <v>1658</v>
      </c>
      <c r="O683" s="2">
        <v>131</v>
      </c>
      <c r="P683" s="2">
        <v>948</v>
      </c>
      <c r="Q683" s="2" t="s">
        <v>1658</v>
      </c>
      <c r="R683" s="2">
        <v>94</v>
      </c>
      <c r="S683" s="2" t="s">
        <v>1658</v>
      </c>
      <c r="T683" s="2">
        <v>37</v>
      </c>
      <c r="U683" s="2" t="s">
        <v>1661</v>
      </c>
      <c r="V683" s="2" t="s">
        <v>32</v>
      </c>
      <c r="W683" s="2" t="s">
        <v>1660</v>
      </c>
      <c r="X683" s="2">
        <v>0</v>
      </c>
      <c r="Y683" s="2" t="s">
        <v>32</v>
      </c>
      <c r="Z683" s="2" t="s">
        <v>32</v>
      </c>
      <c r="AA683" s="2" t="s">
        <v>1660</v>
      </c>
      <c r="AB683" s="2">
        <v>0</v>
      </c>
      <c r="AC683" s="2" t="s">
        <v>1660</v>
      </c>
      <c r="AD683" s="2">
        <v>0</v>
      </c>
      <c r="AE683" s="2" t="s">
        <v>1660</v>
      </c>
      <c r="AF683" s="2">
        <v>0</v>
      </c>
      <c r="AG683" s="2">
        <v>0</v>
      </c>
      <c r="AH683" s="2" t="s">
        <v>32</v>
      </c>
      <c r="AI683" s="2" t="s">
        <v>32</v>
      </c>
      <c r="AJ683" s="2" t="s">
        <v>32</v>
      </c>
      <c r="AK683" s="2" t="s">
        <v>32</v>
      </c>
      <c r="AL683" s="2" t="s">
        <v>32</v>
      </c>
      <c r="AM683" s="2">
        <v>0</v>
      </c>
      <c r="AN683" s="2" t="s">
        <v>32</v>
      </c>
      <c r="AO683" s="2">
        <v>0</v>
      </c>
      <c r="AP683" s="2" t="s">
        <v>32</v>
      </c>
      <c r="AQ683" s="2" t="s">
        <v>32</v>
      </c>
      <c r="AR683" s="2" t="s">
        <v>32</v>
      </c>
      <c r="AS683" s="2">
        <v>0</v>
      </c>
      <c r="AT683" s="2" t="s">
        <v>32</v>
      </c>
      <c r="AU683" s="2" t="s">
        <v>32</v>
      </c>
      <c r="AV683" s="2" t="s">
        <v>32</v>
      </c>
      <c r="AW683" s="2">
        <v>0</v>
      </c>
      <c r="AX683" s="2" t="s">
        <v>32</v>
      </c>
      <c r="AY683" s="2">
        <v>0</v>
      </c>
      <c r="AZ683" s="2" t="s">
        <v>1658</v>
      </c>
      <c r="BA683" s="2">
        <v>5</v>
      </c>
      <c r="BB683" s="2">
        <v>32</v>
      </c>
      <c r="BC683" s="2" t="s">
        <v>1658</v>
      </c>
      <c r="BD683" s="2">
        <v>3</v>
      </c>
      <c r="BE683" s="2" t="s">
        <v>1658</v>
      </c>
      <c r="BF683" s="2">
        <v>2</v>
      </c>
      <c r="BG683" s="2" t="s">
        <v>1660</v>
      </c>
      <c r="BH683" s="2">
        <v>0</v>
      </c>
      <c r="BI683" s="2" t="s">
        <v>32</v>
      </c>
      <c r="BJ683" s="2" t="s">
        <v>32</v>
      </c>
      <c r="BK683" s="2" t="s">
        <v>1660</v>
      </c>
      <c r="BL683" s="2">
        <v>0</v>
      </c>
      <c r="BM683" s="2" t="s">
        <v>32</v>
      </c>
      <c r="BN683" s="2" t="s">
        <v>32</v>
      </c>
      <c r="BO683" s="2" t="s">
        <v>1660</v>
      </c>
      <c r="BP683" s="2">
        <v>0</v>
      </c>
      <c r="BQ683" s="2" t="s">
        <v>1660</v>
      </c>
      <c r="BR683" s="2">
        <v>0</v>
      </c>
      <c r="BS683" s="2" t="s">
        <v>1660</v>
      </c>
      <c r="BT683" s="2">
        <v>0</v>
      </c>
      <c r="BU683" s="2">
        <v>0</v>
      </c>
      <c r="BV683" s="2" t="s">
        <v>1660</v>
      </c>
      <c r="BW683" s="2"/>
      <c r="BX683" s="2"/>
      <c r="BY683" s="2" t="s">
        <v>1807</v>
      </c>
      <c r="BZ683" s="2" t="b">
        <f>OR( (Dashboard[[#This Row],[ref_as_hh]]&gt;=1),(Dashboard[[#This Row],[ret_as_hh]] &gt;=1), (Dashboard[[#This Row],[idp_as_hh]]&gt;=1))</f>
        <v>0</v>
      </c>
      <c r="CA683" s="2">
        <f>Dashboard[[#This Row],[ret_hi_hh]]</f>
        <v>3</v>
      </c>
      <c r="CB683" s="2">
        <f>Dashboard[[#This Row],[idp_fa_hh]]+Dashboard[[#This Row],[ref_fa_hh]]+Dashboard[[#This Row],[ret_fa_hh]]</f>
        <v>96</v>
      </c>
      <c r="CC683" s="2">
        <f>Dashboard[[#This Row],[idp_loc_hh]]+Dashboard[[#This Row],[ref_loc_hh]]+Dashboard[[#This Row],[ret_loc_hh]]</f>
        <v>37</v>
      </c>
      <c r="CD683" s="2">
        <f>Dashboard[[#This Row],[idp_cc_hh]]+Dashboard[[#This Row],[ref_cc_hh]]+Dashboard[[#This Row],[ret_cc_hh]]</f>
        <v>0</v>
      </c>
      <c r="CE683" s="2">
        <f>Dashboard[[#This Row],[idp_as_hh]]+Dashboard[[#This Row],[ref_as_hh]]+Dashboard[[#This Row],[ret_as_hh]]</f>
        <v>0</v>
      </c>
      <c r="CF683" s="2">
        <f>Dashboard[[#This Row],[idp_al_hh]]+Dashboard[[#This Row],[ref_al_hh]]+Dashboard[[#This Row],[ret_al_hh]]</f>
        <v>0</v>
      </c>
    </row>
    <row r="684" spans="1:84" hidden="1" x14ac:dyDescent="0.25">
      <c r="A684" s="27">
        <v>584</v>
      </c>
      <c r="B684" s="2" t="s">
        <v>22</v>
      </c>
      <c r="C684" s="2" t="s">
        <v>23</v>
      </c>
      <c r="D684" s="2" t="s">
        <v>37</v>
      </c>
      <c r="E684" s="2" t="s">
        <v>36</v>
      </c>
      <c r="F684" s="2" t="s">
        <v>547</v>
      </c>
      <c r="G684" s="2" t="s">
        <v>548</v>
      </c>
      <c r="H684" s="2" t="s">
        <v>1411</v>
      </c>
      <c r="I684" s="2" t="s">
        <v>549</v>
      </c>
      <c r="J684" s="2" t="s">
        <v>3464</v>
      </c>
      <c r="K684" s="2" t="s">
        <v>3465</v>
      </c>
      <c r="L684" s="2" t="s">
        <v>2074</v>
      </c>
      <c r="M684" s="2">
        <v>1500</v>
      </c>
      <c r="N684" s="2" t="s">
        <v>1658</v>
      </c>
      <c r="O684" s="2">
        <v>37</v>
      </c>
      <c r="P684" s="2">
        <v>192</v>
      </c>
      <c r="Q684" s="2" t="s">
        <v>1658</v>
      </c>
      <c r="R684" s="2">
        <v>35</v>
      </c>
      <c r="S684" s="2" t="s">
        <v>1658</v>
      </c>
      <c r="T684" s="2">
        <v>2</v>
      </c>
      <c r="U684" s="2" t="s">
        <v>1661</v>
      </c>
      <c r="V684" s="2" t="s">
        <v>32</v>
      </c>
      <c r="W684" s="2" t="s">
        <v>1660</v>
      </c>
      <c r="X684" s="2">
        <v>0</v>
      </c>
      <c r="Y684" s="2" t="s">
        <v>32</v>
      </c>
      <c r="Z684" s="2" t="s">
        <v>32</v>
      </c>
      <c r="AA684" s="2" t="s">
        <v>1660</v>
      </c>
      <c r="AB684" s="2">
        <v>0</v>
      </c>
      <c r="AC684" s="2" t="s">
        <v>1660</v>
      </c>
      <c r="AD684" s="2">
        <v>0</v>
      </c>
      <c r="AE684" s="2" t="s">
        <v>1660</v>
      </c>
      <c r="AF684" s="2">
        <v>0</v>
      </c>
      <c r="AG684" s="2">
        <v>0</v>
      </c>
      <c r="AH684" s="2" t="s">
        <v>32</v>
      </c>
      <c r="AI684" s="2" t="s">
        <v>32</v>
      </c>
      <c r="AJ684" s="2" t="s">
        <v>32</v>
      </c>
      <c r="AK684" s="2" t="s">
        <v>32</v>
      </c>
      <c r="AL684" s="2" t="s">
        <v>32</v>
      </c>
      <c r="AM684" s="2">
        <v>0</v>
      </c>
      <c r="AN684" s="2" t="s">
        <v>32</v>
      </c>
      <c r="AO684" s="2">
        <v>0</v>
      </c>
      <c r="AP684" s="2" t="s">
        <v>32</v>
      </c>
      <c r="AQ684" s="2" t="s">
        <v>32</v>
      </c>
      <c r="AR684" s="2" t="s">
        <v>32</v>
      </c>
      <c r="AS684" s="2">
        <v>0</v>
      </c>
      <c r="AT684" s="2" t="s">
        <v>32</v>
      </c>
      <c r="AU684" s="2" t="s">
        <v>32</v>
      </c>
      <c r="AV684" s="2" t="s">
        <v>32</v>
      </c>
      <c r="AW684" s="2">
        <v>0</v>
      </c>
      <c r="AX684" s="2" t="s">
        <v>32</v>
      </c>
      <c r="AY684" s="2">
        <v>0</v>
      </c>
      <c r="AZ684" s="2" t="s">
        <v>1658</v>
      </c>
      <c r="BA684" s="2">
        <v>13</v>
      </c>
      <c r="BB684" s="2">
        <v>42</v>
      </c>
      <c r="BC684" s="2" t="s">
        <v>1658</v>
      </c>
      <c r="BD684" s="2">
        <v>8</v>
      </c>
      <c r="BE684" s="2" t="s">
        <v>1660</v>
      </c>
      <c r="BF684" s="2">
        <v>0</v>
      </c>
      <c r="BG684" s="2" t="s">
        <v>1658</v>
      </c>
      <c r="BH684" s="2">
        <v>5</v>
      </c>
      <c r="BI684" s="2" t="s">
        <v>1661</v>
      </c>
      <c r="BJ684" s="2" t="s">
        <v>32</v>
      </c>
      <c r="BK684" s="2" t="s">
        <v>1660</v>
      </c>
      <c r="BL684" s="2">
        <v>0</v>
      </c>
      <c r="BM684" s="2" t="s">
        <v>32</v>
      </c>
      <c r="BN684" s="2" t="s">
        <v>32</v>
      </c>
      <c r="BO684" s="2" t="s">
        <v>1660</v>
      </c>
      <c r="BP684" s="2">
        <v>0</v>
      </c>
      <c r="BQ684" s="2" t="s">
        <v>1660</v>
      </c>
      <c r="BR684" s="2">
        <v>0</v>
      </c>
      <c r="BS684" s="2" t="s">
        <v>1660</v>
      </c>
      <c r="BT684" s="2">
        <v>0</v>
      </c>
      <c r="BU684" s="2">
        <v>0</v>
      </c>
      <c r="BV684" s="2" t="s">
        <v>1660</v>
      </c>
      <c r="BW684" s="2"/>
      <c r="BX684" s="2"/>
      <c r="BY684" s="2" t="s">
        <v>1807</v>
      </c>
      <c r="BZ684" s="2" t="b">
        <f>OR( (Dashboard[[#This Row],[ref_as_hh]]&gt;=1),(Dashboard[[#This Row],[ret_as_hh]] &gt;=1), (Dashboard[[#This Row],[idp_as_hh]]&gt;=1))</f>
        <v>0</v>
      </c>
      <c r="CA684" s="2">
        <f>Dashboard[[#This Row],[ret_hi_hh]]</f>
        <v>8</v>
      </c>
      <c r="CB684" s="2">
        <f>Dashboard[[#This Row],[idp_fa_hh]]+Dashboard[[#This Row],[ref_fa_hh]]+Dashboard[[#This Row],[ret_fa_hh]]</f>
        <v>35</v>
      </c>
      <c r="CC684" s="2">
        <f>Dashboard[[#This Row],[idp_loc_hh]]+Dashboard[[#This Row],[ref_loc_hh]]+Dashboard[[#This Row],[ret_loc_hh]]</f>
        <v>7</v>
      </c>
      <c r="CD684" s="2">
        <f>Dashboard[[#This Row],[idp_cc_hh]]+Dashboard[[#This Row],[ref_cc_hh]]+Dashboard[[#This Row],[ret_cc_hh]]</f>
        <v>0</v>
      </c>
      <c r="CE684" s="2">
        <f>Dashboard[[#This Row],[idp_as_hh]]+Dashboard[[#This Row],[ref_as_hh]]+Dashboard[[#This Row],[ret_as_hh]]</f>
        <v>0</v>
      </c>
      <c r="CF684" s="2">
        <f>Dashboard[[#This Row],[idp_al_hh]]+Dashboard[[#This Row],[ref_al_hh]]+Dashboard[[#This Row],[ret_al_hh]]</f>
        <v>0</v>
      </c>
    </row>
    <row r="685" spans="1:84" hidden="1" x14ac:dyDescent="0.25">
      <c r="A685" s="27">
        <v>73</v>
      </c>
      <c r="B685" s="2" t="s">
        <v>22</v>
      </c>
      <c r="C685" s="2" t="s">
        <v>23</v>
      </c>
      <c r="D685" s="2" t="s">
        <v>37</v>
      </c>
      <c r="E685" s="2" t="s">
        <v>36</v>
      </c>
      <c r="F685" s="2" t="s">
        <v>547</v>
      </c>
      <c r="G685" s="2" t="s">
        <v>548</v>
      </c>
      <c r="H685" s="2" t="s">
        <v>1414</v>
      </c>
      <c r="I685" s="2" t="s">
        <v>552</v>
      </c>
      <c r="J685" s="2" t="s">
        <v>3470</v>
      </c>
      <c r="K685" s="2" t="s">
        <v>3471</v>
      </c>
      <c r="L685" s="2" t="s">
        <v>2074</v>
      </c>
      <c r="M685" s="2">
        <v>800</v>
      </c>
      <c r="N685" s="2" t="s">
        <v>1658</v>
      </c>
      <c r="O685" s="2">
        <v>38</v>
      </c>
      <c r="P685" s="2">
        <v>238</v>
      </c>
      <c r="Q685" s="2" t="s">
        <v>1658</v>
      </c>
      <c r="R685" s="2">
        <v>29</v>
      </c>
      <c r="S685" s="2" t="s">
        <v>1658</v>
      </c>
      <c r="T685" s="2">
        <v>9</v>
      </c>
      <c r="U685" s="2" t="s">
        <v>1661</v>
      </c>
      <c r="V685" s="2" t="s">
        <v>32</v>
      </c>
      <c r="W685" s="2" t="s">
        <v>1660</v>
      </c>
      <c r="X685" s="2">
        <v>0</v>
      </c>
      <c r="Y685" s="2" t="s">
        <v>32</v>
      </c>
      <c r="Z685" s="2" t="s">
        <v>32</v>
      </c>
      <c r="AA685" s="2" t="s">
        <v>1660</v>
      </c>
      <c r="AB685" s="2">
        <v>0</v>
      </c>
      <c r="AC685" s="2" t="s">
        <v>1660</v>
      </c>
      <c r="AD685" s="2">
        <v>0</v>
      </c>
      <c r="AE685" s="2" t="s">
        <v>1658</v>
      </c>
      <c r="AF685" s="2">
        <v>1</v>
      </c>
      <c r="AG685" s="2">
        <v>3</v>
      </c>
      <c r="AH685" s="2" t="s">
        <v>1658</v>
      </c>
      <c r="AI685" s="2" t="s">
        <v>37</v>
      </c>
      <c r="AJ685" s="2" t="s">
        <v>250</v>
      </c>
      <c r="AK685" s="2" t="s">
        <v>257</v>
      </c>
      <c r="AL685" s="2" t="s">
        <v>1658</v>
      </c>
      <c r="AM685" s="2">
        <v>1</v>
      </c>
      <c r="AN685" s="2" t="s">
        <v>1660</v>
      </c>
      <c r="AO685" s="2">
        <v>0</v>
      </c>
      <c r="AP685" s="2" t="s">
        <v>32</v>
      </c>
      <c r="AQ685" s="2" t="s">
        <v>32</v>
      </c>
      <c r="AR685" s="2" t="s">
        <v>1660</v>
      </c>
      <c r="AS685" s="2">
        <v>0</v>
      </c>
      <c r="AT685" s="2" t="s">
        <v>32</v>
      </c>
      <c r="AU685" s="2" t="s">
        <v>32</v>
      </c>
      <c r="AV685" s="2" t="s">
        <v>1660</v>
      </c>
      <c r="AW685" s="2">
        <v>0</v>
      </c>
      <c r="AX685" s="2" t="s">
        <v>1660</v>
      </c>
      <c r="AY685" s="2">
        <v>0</v>
      </c>
      <c r="AZ685" s="2" t="s">
        <v>1658</v>
      </c>
      <c r="BA685" s="2">
        <v>4</v>
      </c>
      <c r="BB685" s="2">
        <v>18</v>
      </c>
      <c r="BC685" s="2" t="s">
        <v>1658</v>
      </c>
      <c r="BD685" s="2">
        <v>3</v>
      </c>
      <c r="BE685" s="2" t="s">
        <v>1658</v>
      </c>
      <c r="BF685" s="2">
        <v>1</v>
      </c>
      <c r="BG685" s="2" t="s">
        <v>1660</v>
      </c>
      <c r="BH685" s="2">
        <v>0</v>
      </c>
      <c r="BI685" s="2" t="s">
        <v>32</v>
      </c>
      <c r="BJ685" s="2" t="s">
        <v>32</v>
      </c>
      <c r="BK685" s="2" t="s">
        <v>1660</v>
      </c>
      <c r="BL685" s="2">
        <v>0</v>
      </c>
      <c r="BM685" s="2" t="s">
        <v>32</v>
      </c>
      <c r="BN685" s="2" t="s">
        <v>32</v>
      </c>
      <c r="BO685" s="2" t="s">
        <v>1660</v>
      </c>
      <c r="BP685" s="2">
        <v>0</v>
      </c>
      <c r="BQ685" s="2" t="s">
        <v>1660</v>
      </c>
      <c r="BR685" s="2">
        <v>0</v>
      </c>
      <c r="BS685" s="2" t="s">
        <v>1660</v>
      </c>
      <c r="BT685" s="2">
        <v>0</v>
      </c>
      <c r="BU685" s="2">
        <v>0</v>
      </c>
      <c r="BV685" s="2" t="s">
        <v>1660</v>
      </c>
      <c r="BW685" s="2"/>
      <c r="BX685" s="2"/>
      <c r="BY685" s="2" t="s">
        <v>1807</v>
      </c>
      <c r="BZ685" s="2" t="b">
        <f>OR( (Dashboard[[#This Row],[ref_as_hh]]&gt;=1),(Dashboard[[#This Row],[ret_as_hh]] &gt;=1), (Dashboard[[#This Row],[idp_as_hh]]&gt;=1))</f>
        <v>0</v>
      </c>
      <c r="CA685" s="2">
        <f>Dashboard[[#This Row],[ret_hi_hh]]</f>
        <v>3</v>
      </c>
      <c r="CB685" s="2">
        <f>Dashboard[[#This Row],[idp_fa_hh]]+Dashboard[[#This Row],[ref_fa_hh]]+Dashboard[[#This Row],[ret_fa_hh]]</f>
        <v>31</v>
      </c>
      <c r="CC685" s="2">
        <f>Dashboard[[#This Row],[idp_loc_hh]]+Dashboard[[#This Row],[ref_loc_hh]]+Dashboard[[#This Row],[ret_loc_hh]]</f>
        <v>9</v>
      </c>
      <c r="CD685" s="2">
        <f>Dashboard[[#This Row],[idp_cc_hh]]+Dashboard[[#This Row],[ref_cc_hh]]+Dashboard[[#This Row],[ret_cc_hh]]</f>
        <v>0</v>
      </c>
      <c r="CE685" s="2">
        <f>Dashboard[[#This Row],[idp_as_hh]]+Dashboard[[#This Row],[ref_as_hh]]+Dashboard[[#This Row],[ret_as_hh]]</f>
        <v>0</v>
      </c>
      <c r="CF685" s="2">
        <f>Dashboard[[#This Row],[idp_al_hh]]+Dashboard[[#This Row],[ref_al_hh]]+Dashboard[[#This Row],[ret_al_hh]]</f>
        <v>0</v>
      </c>
    </row>
    <row r="686" spans="1:84" hidden="1" x14ac:dyDescent="0.25">
      <c r="A686" s="27">
        <v>585</v>
      </c>
      <c r="B686" s="2" t="s">
        <v>22</v>
      </c>
      <c r="C686" s="2" t="s">
        <v>23</v>
      </c>
      <c r="D686" s="2" t="s">
        <v>37</v>
      </c>
      <c r="E686" s="2" t="s">
        <v>36</v>
      </c>
      <c r="F686" s="2" t="s">
        <v>547</v>
      </c>
      <c r="G686" s="2" t="s">
        <v>548</v>
      </c>
      <c r="H686" s="2" t="s">
        <v>1419</v>
      </c>
      <c r="I686" s="2" t="s">
        <v>557</v>
      </c>
      <c r="J686" s="2" t="s">
        <v>3480</v>
      </c>
      <c r="K686" s="2" t="s">
        <v>3481</v>
      </c>
      <c r="L686" s="2" t="s">
        <v>3693</v>
      </c>
      <c r="M686" s="2">
        <v>3400</v>
      </c>
      <c r="N686" s="2" t="s">
        <v>1658</v>
      </c>
      <c r="O686" s="2">
        <v>111</v>
      </c>
      <c r="P686" s="2">
        <v>836</v>
      </c>
      <c r="Q686" s="2" t="s">
        <v>1658</v>
      </c>
      <c r="R686" s="2">
        <v>60</v>
      </c>
      <c r="S686" s="2" t="s">
        <v>1658</v>
      </c>
      <c r="T686" s="2">
        <v>51</v>
      </c>
      <c r="U686" s="2" t="s">
        <v>1661</v>
      </c>
      <c r="V686" s="2" t="s">
        <v>32</v>
      </c>
      <c r="W686" s="2" t="s">
        <v>1660</v>
      </c>
      <c r="X686" s="2">
        <v>0</v>
      </c>
      <c r="Y686" s="2" t="s">
        <v>32</v>
      </c>
      <c r="Z686" s="2" t="s">
        <v>32</v>
      </c>
      <c r="AA686" s="2" t="s">
        <v>1660</v>
      </c>
      <c r="AB686" s="2">
        <v>0</v>
      </c>
      <c r="AC686" s="2" t="s">
        <v>1660</v>
      </c>
      <c r="AD686" s="2">
        <v>0</v>
      </c>
      <c r="AE686" s="2" t="s">
        <v>1660</v>
      </c>
      <c r="AF686" s="2">
        <v>0</v>
      </c>
      <c r="AG686" s="2">
        <v>0</v>
      </c>
      <c r="AH686" s="2" t="s">
        <v>32</v>
      </c>
      <c r="AI686" s="2" t="s">
        <v>32</v>
      </c>
      <c r="AJ686" s="2" t="s">
        <v>32</v>
      </c>
      <c r="AK686" s="2" t="s">
        <v>32</v>
      </c>
      <c r="AL686" s="2" t="s">
        <v>32</v>
      </c>
      <c r="AM686" s="2">
        <v>0</v>
      </c>
      <c r="AN686" s="2" t="s">
        <v>32</v>
      </c>
      <c r="AO686" s="2">
        <v>0</v>
      </c>
      <c r="AP686" s="2" t="s">
        <v>32</v>
      </c>
      <c r="AQ686" s="2" t="s">
        <v>32</v>
      </c>
      <c r="AR686" s="2" t="s">
        <v>32</v>
      </c>
      <c r="AS686" s="2">
        <v>0</v>
      </c>
      <c r="AT686" s="2" t="s">
        <v>32</v>
      </c>
      <c r="AU686" s="2" t="s">
        <v>32</v>
      </c>
      <c r="AV686" s="2" t="s">
        <v>32</v>
      </c>
      <c r="AW686" s="2">
        <v>0</v>
      </c>
      <c r="AX686" s="2" t="s">
        <v>32</v>
      </c>
      <c r="AY686" s="2">
        <v>0</v>
      </c>
      <c r="AZ686" s="2" t="s">
        <v>1658</v>
      </c>
      <c r="BA686" s="2">
        <v>4</v>
      </c>
      <c r="BB686" s="2">
        <v>28</v>
      </c>
      <c r="BC686" s="2" t="s">
        <v>1658</v>
      </c>
      <c r="BD686" s="2">
        <v>1</v>
      </c>
      <c r="BE686" s="2" t="s">
        <v>1658</v>
      </c>
      <c r="BF686" s="2">
        <v>3</v>
      </c>
      <c r="BG686" s="2" t="s">
        <v>1660</v>
      </c>
      <c r="BH686" s="2">
        <v>0</v>
      </c>
      <c r="BI686" s="2" t="s">
        <v>32</v>
      </c>
      <c r="BJ686" s="2" t="s">
        <v>32</v>
      </c>
      <c r="BK686" s="2" t="s">
        <v>1660</v>
      </c>
      <c r="BL686" s="2">
        <v>0</v>
      </c>
      <c r="BM686" s="2" t="s">
        <v>32</v>
      </c>
      <c r="BN686" s="2" t="s">
        <v>32</v>
      </c>
      <c r="BO686" s="2" t="s">
        <v>1660</v>
      </c>
      <c r="BP686" s="2">
        <v>0</v>
      </c>
      <c r="BQ686" s="2" t="s">
        <v>1660</v>
      </c>
      <c r="BR686" s="2">
        <v>0</v>
      </c>
      <c r="BS686" s="2" t="s">
        <v>1660</v>
      </c>
      <c r="BT686" s="2">
        <v>0</v>
      </c>
      <c r="BU686" s="2">
        <v>0</v>
      </c>
      <c r="BV686" s="2" t="s">
        <v>1660</v>
      </c>
      <c r="BW686" s="2"/>
      <c r="BX686" s="2"/>
      <c r="BY686" s="2" t="s">
        <v>1807</v>
      </c>
      <c r="BZ686" s="2" t="b">
        <f>OR( (Dashboard[[#This Row],[ref_as_hh]]&gt;=1),(Dashboard[[#This Row],[ret_as_hh]] &gt;=1), (Dashboard[[#This Row],[idp_as_hh]]&gt;=1))</f>
        <v>0</v>
      </c>
      <c r="CA686" s="2">
        <f>Dashboard[[#This Row],[ret_hi_hh]]</f>
        <v>1</v>
      </c>
      <c r="CB686" s="2">
        <f>Dashboard[[#This Row],[idp_fa_hh]]+Dashboard[[#This Row],[ref_fa_hh]]+Dashboard[[#This Row],[ret_fa_hh]]</f>
        <v>63</v>
      </c>
      <c r="CC686" s="2">
        <f>Dashboard[[#This Row],[idp_loc_hh]]+Dashboard[[#This Row],[ref_loc_hh]]+Dashboard[[#This Row],[ret_loc_hh]]</f>
        <v>51</v>
      </c>
      <c r="CD686" s="2">
        <f>Dashboard[[#This Row],[idp_cc_hh]]+Dashboard[[#This Row],[ref_cc_hh]]+Dashboard[[#This Row],[ret_cc_hh]]</f>
        <v>0</v>
      </c>
      <c r="CE686" s="2">
        <f>Dashboard[[#This Row],[idp_as_hh]]+Dashboard[[#This Row],[ref_as_hh]]+Dashboard[[#This Row],[ret_as_hh]]</f>
        <v>0</v>
      </c>
      <c r="CF686" s="2">
        <f>Dashboard[[#This Row],[idp_al_hh]]+Dashboard[[#This Row],[ref_al_hh]]+Dashboard[[#This Row],[ret_al_hh]]</f>
        <v>0</v>
      </c>
    </row>
    <row r="687" spans="1:84" hidden="1" x14ac:dyDescent="0.25">
      <c r="A687" s="27">
        <v>598</v>
      </c>
      <c r="B687" s="2" t="s">
        <v>22</v>
      </c>
      <c r="C687" s="2" t="s">
        <v>23</v>
      </c>
      <c r="D687" s="2" t="s">
        <v>37</v>
      </c>
      <c r="E687" s="2" t="s">
        <v>36</v>
      </c>
      <c r="F687" s="2" t="s">
        <v>547</v>
      </c>
      <c r="G687" s="2" t="s">
        <v>548</v>
      </c>
      <c r="H687" s="2" t="s">
        <v>1423</v>
      </c>
      <c r="I687" s="2" t="s">
        <v>561</v>
      </c>
      <c r="J687" s="2" t="s">
        <v>3490</v>
      </c>
      <c r="K687" s="2" t="s">
        <v>3491</v>
      </c>
      <c r="L687" s="2" t="s">
        <v>2074</v>
      </c>
      <c r="M687" s="2">
        <v>1872</v>
      </c>
      <c r="N687" s="2" t="s">
        <v>1658</v>
      </c>
      <c r="O687" s="2">
        <v>54</v>
      </c>
      <c r="P687" s="2">
        <v>416</v>
      </c>
      <c r="Q687" s="2" t="s">
        <v>1658</v>
      </c>
      <c r="R687" s="2">
        <v>32</v>
      </c>
      <c r="S687" s="2" t="s">
        <v>1658</v>
      </c>
      <c r="T687" s="2">
        <v>22</v>
      </c>
      <c r="U687" s="2" t="s">
        <v>1661</v>
      </c>
      <c r="V687" s="2" t="s">
        <v>32</v>
      </c>
      <c r="W687" s="2" t="s">
        <v>1660</v>
      </c>
      <c r="X687" s="2">
        <v>0</v>
      </c>
      <c r="Y687" s="2" t="s">
        <v>32</v>
      </c>
      <c r="Z687" s="2" t="s">
        <v>32</v>
      </c>
      <c r="AA687" s="2" t="s">
        <v>1660</v>
      </c>
      <c r="AB687" s="2">
        <v>0</v>
      </c>
      <c r="AC687" s="2" t="s">
        <v>1660</v>
      </c>
      <c r="AD687" s="2">
        <v>0</v>
      </c>
      <c r="AE687" s="2" t="s">
        <v>1658</v>
      </c>
      <c r="AF687" s="2">
        <v>1</v>
      </c>
      <c r="AG687" s="2">
        <v>2</v>
      </c>
      <c r="AH687" s="2" t="s">
        <v>1660</v>
      </c>
      <c r="AI687" s="2" t="s">
        <v>32</v>
      </c>
      <c r="AJ687" s="2" t="s">
        <v>32</v>
      </c>
      <c r="AK687" s="2" t="s">
        <v>32</v>
      </c>
      <c r="AL687" s="2" t="s">
        <v>1660</v>
      </c>
      <c r="AM687" s="2">
        <v>0</v>
      </c>
      <c r="AN687" s="2" t="s">
        <v>1658</v>
      </c>
      <c r="AO687" s="2">
        <v>1</v>
      </c>
      <c r="AP687" s="2" t="s">
        <v>1661</v>
      </c>
      <c r="AQ687" s="2" t="s">
        <v>32</v>
      </c>
      <c r="AR687" s="2" t="s">
        <v>1660</v>
      </c>
      <c r="AS687" s="2">
        <v>0</v>
      </c>
      <c r="AT687" s="2" t="s">
        <v>32</v>
      </c>
      <c r="AU687" s="2" t="s">
        <v>32</v>
      </c>
      <c r="AV687" s="2" t="s">
        <v>1660</v>
      </c>
      <c r="AW687" s="2">
        <v>0</v>
      </c>
      <c r="AX687" s="2" t="s">
        <v>1660</v>
      </c>
      <c r="AY687" s="2">
        <v>0</v>
      </c>
      <c r="AZ687" s="2" t="s">
        <v>1658</v>
      </c>
      <c r="BA687" s="2">
        <v>6</v>
      </c>
      <c r="BB687" s="2">
        <v>32</v>
      </c>
      <c r="BC687" s="2" t="s">
        <v>1658</v>
      </c>
      <c r="BD687" s="2">
        <v>5</v>
      </c>
      <c r="BE687" s="2" t="s">
        <v>1660</v>
      </c>
      <c r="BF687" s="2">
        <v>0</v>
      </c>
      <c r="BG687" s="2" t="s">
        <v>1658</v>
      </c>
      <c r="BH687" s="2">
        <v>1</v>
      </c>
      <c r="BI687" s="2" t="s">
        <v>1661</v>
      </c>
      <c r="BJ687" s="2" t="s">
        <v>32</v>
      </c>
      <c r="BK687" s="2" t="s">
        <v>1660</v>
      </c>
      <c r="BL687" s="2">
        <v>0</v>
      </c>
      <c r="BM687" s="2" t="s">
        <v>32</v>
      </c>
      <c r="BN687" s="2" t="s">
        <v>32</v>
      </c>
      <c r="BO687" s="2" t="s">
        <v>1660</v>
      </c>
      <c r="BP687" s="2">
        <v>0</v>
      </c>
      <c r="BQ687" s="2" t="s">
        <v>1660</v>
      </c>
      <c r="BR687" s="2">
        <v>0</v>
      </c>
      <c r="BS687" s="2" t="s">
        <v>1660</v>
      </c>
      <c r="BT687" s="2">
        <v>0</v>
      </c>
      <c r="BU687" s="2">
        <v>0</v>
      </c>
      <c r="BV687" s="2" t="s">
        <v>1660</v>
      </c>
      <c r="BW687" s="2"/>
      <c r="BX687" s="2"/>
      <c r="BY687" s="2" t="s">
        <v>1807</v>
      </c>
      <c r="BZ687" s="2" t="b">
        <f>OR( (Dashboard[[#This Row],[ref_as_hh]]&gt;=1),(Dashboard[[#This Row],[ret_as_hh]] &gt;=1), (Dashboard[[#This Row],[idp_as_hh]]&gt;=1))</f>
        <v>0</v>
      </c>
      <c r="CA687" s="2">
        <f>Dashboard[[#This Row],[ret_hi_hh]]</f>
        <v>5</v>
      </c>
      <c r="CB687" s="2">
        <f>Dashboard[[#This Row],[idp_fa_hh]]+Dashboard[[#This Row],[ref_fa_hh]]+Dashboard[[#This Row],[ret_fa_hh]]</f>
        <v>32</v>
      </c>
      <c r="CC687" s="2">
        <f>Dashboard[[#This Row],[idp_loc_hh]]+Dashboard[[#This Row],[ref_loc_hh]]+Dashboard[[#This Row],[ret_loc_hh]]</f>
        <v>24</v>
      </c>
      <c r="CD687" s="2">
        <f>Dashboard[[#This Row],[idp_cc_hh]]+Dashboard[[#This Row],[ref_cc_hh]]+Dashboard[[#This Row],[ret_cc_hh]]</f>
        <v>0</v>
      </c>
      <c r="CE687" s="2">
        <f>Dashboard[[#This Row],[idp_as_hh]]+Dashboard[[#This Row],[ref_as_hh]]+Dashboard[[#This Row],[ret_as_hh]]</f>
        <v>0</v>
      </c>
      <c r="CF687" s="2">
        <f>Dashboard[[#This Row],[idp_al_hh]]+Dashboard[[#This Row],[ref_al_hh]]+Dashboard[[#This Row],[ret_al_hh]]</f>
        <v>0</v>
      </c>
    </row>
    <row r="688" spans="1:84" hidden="1" x14ac:dyDescent="0.25">
      <c r="A688" s="27">
        <v>599</v>
      </c>
      <c r="B688" s="2" t="s">
        <v>22</v>
      </c>
      <c r="C688" s="2" t="s">
        <v>23</v>
      </c>
      <c r="D688" s="2" t="s">
        <v>37</v>
      </c>
      <c r="E688" s="2" t="s">
        <v>36</v>
      </c>
      <c r="F688" s="2" t="s">
        <v>547</v>
      </c>
      <c r="G688" s="2" t="s">
        <v>548</v>
      </c>
      <c r="H688" s="2" t="s">
        <v>1439</v>
      </c>
      <c r="I688" s="2" t="s">
        <v>575</v>
      </c>
      <c r="J688" s="2" t="s">
        <v>3528</v>
      </c>
      <c r="K688" s="2" t="s">
        <v>3529</v>
      </c>
      <c r="L688" s="2" t="s">
        <v>2074</v>
      </c>
      <c r="M688" s="2">
        <v>1075</v>
      </c>
      <c r="N688" s="2" t="s">
        <v>1658</v>
      </c>
      <c r="O688" s="2">
        <v>49</v>
      </c>
      <c r="P688" s="2">
        <v>336</v>
      </c>
      <c r="Q688" s="2" t="s">
        <v>1658</v>
      </c>
      <c r="R688" s="2">
        <v>42</v>
      </c>
      <c r="S688" s="2" t="s">
        <v>1658</v>
      </c>
      <c r="T688" s="2">
        <v>7</v>
      </c>
      <c r="U688" s="2" t="s">
        <v>1661</v>
      </c>
      <c r="V688" s="2" t="s">
        <v>32</v>
      </c>
      <c r="W688" s="2" t="s">
        <v>1660</v>
      </c>
      <c r="X688" s="2">
        <v>0</v>
      </c>
      <c r="Y688" s="2" t="s">
        <v>32</v>
      </c>
      <c r="Z688" s="2" t="s">
        <v>32</v>
      </c>
      <c r="AA688" s="2" t="s">
        <v>1660</v>
      </c>
      <c r="AB688" s="2">
        <v>0</v>
      </c>
      <c r="AC688" s="2" t="s">
        <v>1660</v>
      </c>
      <c r="AD688" s="2">
        <v>0</v>
      </c>
      <c r="AE688" s="2" t="s">
        <v>1658</v>
      </c>
      <c r="AF688" s="2">
        <v>2</v>
      </c>
      <c r="AG688" s="2">
        <v>4</v>
      </c>
      <c r="AH688" s="2" t="s">
        <v>1660</v>
      </c>
      <c r="AI688" s="2" t="s">
        <v>32</v>
      </c>
      <c r="AJ688" s="2" t="s">
        <v>32</v>
      </c>
      <c r="AK688" s="2" t="s">
        <v>32</v>
      </c>
      <c r="AL688" s="2" t="s">
        <v>1660</v>
      </c>
      <c r="AM688" s="2">
        <v>0</v>
      </c>
      <c r="AN688" s="2" t="s">
        <v>1658</v>
      </c>
      <c r="AO688" s="2">
        <v>2</v>
      </c>
      <c r="AP688" s="2" t="s">
        <v>1661</v>
      </c>
      <c r="AQ688" s="2" t="s">
        <v>32</v>
      </c>
      <c r="AR688" s="2" t="s">
        <v>1660</v>
      </c>
      <c r="AS688" s="2">
        <v>0</v>
      </c>
      <c r="AT688" s="2" t="s">
        <v>32</v>
      </c>
      <c r="AU688" s="2" t="s">
        <v>32</v>
      </c>
      <c r="AV688" s="2" t="s">
        <v>1660</v>
      </c>
      <c r="AW688" s="2">
        <v>0</v>
      </c>
      <c r="AX688" s="2" t="s">
        <v>1660</v>
      </c>
      <c r="AY688" s="2">
        <v>0</v>
      </c>
      <c r="AZ688" s="2" t="s">
        <v>1658</v>
      </c>
      <c r="BA688" s="2">
        <v>6</v>
      </c>
      <c r="BB688" s="2">
        <v>32</v>
      </c>
      <c r="BC688" s="2" t="s">
        <v>1658</v>
      </c>
      <c r="BD688" s="2">
        <v>4</v>
      </c>
      <c r="BE688" s="2" t="s">
        <v>1658</v>
      </c>
      <c r="BF688" s="2">
        <v>2</v>
      </c>
      <c r="BG688" s="2" t="s">
        <v>1660</v>
      </c>
      <c r="BH688" s="2">
        <v>0</v>
      </c>
      <c r="BI688" s="2" t="s">
        <v>32</v>
      </c>
      <c r="BJ688" s="2" t="s">
        <v>32</v>
      </c>
      <c r="BK688" s="2" t="s">
        <v>1660</v>
      </c>
      <c r="BL688" s="2">
        <v>0</v>
      </c>
      <c r="BM688" s="2" t="s">
        <v>32</v>
      </c>
      <c r="BN688" s="2" t="s">
        <v>32</v>
      </c>
      <c r="BO688" s="2" t="s">
        <v>1660</v>
      </c>
      <c r="BP688" s="2">
        <v>0</v>
      </c>
      <c r="BQ688" s="2" t="s">
        <v>1660</v>
      </c>
      <c r="BR688" s="2">
        <v>0</v>
      </c>
      <c r="BS688" s="2" t="s">
        <v>1660</v>
      </c>
      <c r="BT688" s="2">
        <v>0</v>
      </c>
      <c r="BU688" s="2">
        <v>0</v>
      </c>
      <c r="BV688" s="2" t="s">
        <v>1660</v>
      </c>
      <c r="BW688" s="2"/>
      <c r="BX688" s="2"/>
      <c r="BY688" s="2" t="s">
        <v>1807</v>
      </c>
      <c r="BZ688" s="2" t="b">
        <f>OR( (Dashboard[[#This Row],[ref_as_hh]]&gt;=1),(Dashboard[[#This Row],[ret_as_hh]] &gt;=1), (Dashboard[[#This Row],[idp_as_hh]]&gt;=1))</f>
        <v>0</v>
      </c>
      <c r="CA688" s="2">
        <f>Dashboard[[#This Row],[ret_hi_hh]]</f>
        <v>4</v>
      </c>
      <c r="CB688" s="2">
        <f>Dashboard[[#This Row],[idp_fa_hh]]+Dashboard[[#This Row],[ref_fa_hh]]+Dashboard[[#This Row],[ret_fa_hh]]</f>
        <v>44</v>
      </c>
      <c r="CC688" s="2">
        <f>Dashboard[[#This Row],[idp_loc_hh]]+Dashboard[[#This Row],[ref_loc_hh]]+Dashboard[[#This Row],[ret_loc_hh]]</f>
        <v>9</v>
      </c>
      <c r="CD688" s="2">
        <f>Dashboard[[#This Row],[idp_cc_hh]]+Dashboard[[#This Row],[ref_cc_hh]]+Dashboard[[#This Row],[ret_cc_hh]]</f>
        <v>0</v>
      </c>
      <c r="CE688" s="2">
        <f>Dashboard[[#This Row],[idp_as_hh]]+Dashboard[[#This Row],[ref_as_hh]]+Dashboard[[#This Row],[ret_as_hh]]</f>
        <v>0</v>
      </c>
      <c r="CF688" s="2">
        <f>Dashboard[[#This Row],[idp_al_hh]]+Dashboard[[#This Row],[ref_al_hh]]+Dashboard[[#This Row],[ret_al_hh]]</f>
        <v>0</v>
      </c>
    </row>
    <row r="689" spans="1:84" hidden="1" x14ac:dyDescent="0.25">
      <c r="A689" s="27">
        <v>94</v>
      </c>
      <c r="B689" s="2" t="s">
        <v>22</v>
      </c>
      <c r="C689" s="2" t="s">
        <v>23</v>
      </c>
      <c r="D689" s="2" t="s">
        <v>37</v>
      </c>
      <c r="E689" s="2" t="s">
        <v>36</v>
      </c>
      <c r="F689" s="2" t="s">
        <v>547</v>
      </c>
      <c r="G689" s="2" t="s">
        <v>548</v>
      </c>
      <c r="H689" s="2" t="s">
        <v>1421</v>
      </c>
      <c r="I689" s="2" t="s">
        <v>559</v>
      </c>
      <c r="J689" s="2" t="s">
        <v>3486</v>
      </c>
      <c r="K689" s="2" t="s">
        <v>3487</v>
      </c>
      <c r="L689" s="2" t="s">
        <v>2074</v>
      </c>
      <c r="M689" s="2">
        <v>11848</v>
      </c>
      <c r="N689" s="2" t="s">
        <v>1658</v>
      </c>
      <c r="O689" s="2">
        <v>224</v>
      </c>
      <c r="P689" s="2">
        <v>1434</v>
      </c>
      <c r="Q689" s="2" t="s">
        <v>1658</v>
      </c>
      <c r="R689" s="2">
        <v>149</v>
      </c>
      <c r="S689" s="2" t="s">
        <v>1658</v>
      </c>
      <c r="T689" s="2">
        <v>75</v>
      </c>
      <c r="U689" s="2" t="s">
        <v>1661</v>
      </c>
      <c r="V689" s="2" t="s">
        <v>32</v>
      </c>
      <c r="W689" s="2" t="s">
        <v>1660</v>
      </c>
      <c r="X689" s="2">
        <v>0</v>
      </c>
      <c r="Y689" s="2" t="s">
        <v>32</v>
      </c>
      <c r="Z689" s="2" t="s">
        <v>32</v>
      </c>
      <c r="AA689" s="2" t="s">
        <v>1660</v>
      </c>
      <c r="AB689" s="2">
        <v>0</v>
      </c>
      <c r="AC689" s="2" t="s">
        <v>1660</v>
      </c>
      <c r="AD689" s="2">
        <v>0</v>
      </c>
      <c r="AE689" s="2" t="s">
        <v>1660</v>
      </c>
      <c r="AF689" s="2">
        <v>0</v>
      </c>
      <c r="AG689" s="2">
        <v>0</v>
      </c>
      <c r="AH689" s="2" t="s">
        <v>32</v>
      </c>
      <c r="AI689" s="2" t="s">
        <v>32</v>
      </c>
      <c r="AJ689" s="2" t="s">
        <v>32</v>
      </c>
      <c r="AK689" s="2" t="s">
        <v>32</v>
      </c>
      <c r="AL689" s="2" t="s">
        <v>32</v>
      </c>
      <c r="AM689" s="2">
        <v>0</v>
      </c>
      <c r="AN689" s="2" t="s">
        <v>32</v>
      </c>
      <c r="AO689" s="2">
        <v>0</v>
      </c>
      <c r="AP689" s="2" t="s">
        <v>32</v>
      </c>
      <c r="AQ689" s="2" t="s">
        <v>32</v>
      </c>
      <c r="AR689" s="2" t="s">
        <v>32</v>
      </c>
      <c r="AS689" s="2">
        <v>0</v>
      </c>
      <c r="AT689" s="2" t="s">
        <v>32</v>
      </c>
      <c r="AU689" s="2" t="s">
        <v>32</v>
      </c>
      <c r="AV689" s="2" t="s">
        <v>32</v>
      </c>
      <c r="AW689" s="2">
        <v>0</v>
      </c>
      <c r="AX689" s="2" t="s">
        <v>32</v>
      </c>
      <c r="AY689" s="2">
        <v>0</v>
      </c>
      <c r="AZ689" s="2" t="s">
        <v>1658</v>
      </c>
      <c r="BA689" s="2">
        <v>12</v>
      </c>
      <c r="BB689" s="2">
        <v>79</v>
      </c>
      <c r="BC689" s="2" t="s">
        <v>1658</v>
      </c>
      <c r="BD689" s="2">
        <v>10</v>
      </c>
      <c r="BE689" s="2" t="s">
        <v>1658</v>
      </c>
      <c r="BF689" s="2">
        <v>2</v>
      </c>
      <c r="BG689" s="2" t="s">
        <v>1660</v>
      </c>
      <c r="BH689" s="2">
        <v>0</v>
      </c>
      <c r="BI689" s="2" t="s">
        <v>32</v>
      </c>
      <c r="BJ689" s="2" t="s">
        <v>32</v>
      </c>
      <c r="BK689" s="2" t="s">
        <v>1660</v>
      </c>
      <c r="BL689" s="2">
        <v>0</v>
      </c>
      <c r="BM689" s="2" t="s">
        <v>32</v>
      </c>
      <c r="BN689" s="2" t="s">
        <v>32</v>
      </c>
      <c r="BO689" s="2" t="s">
        <v>1660</v>
      </c>
      <c r="BP689" s="2">
        <v>0</v>
      </c>
      <c r="BQ689" s="2" t="s">
        <v>1660</v>
      </c>
      <c r="BR689" s="2">
        <v>0</v>
      </c>
      <c r="BS689" s="2" t="s">
        <v>1660</v>
      </c>
      <c r="BT689" s="2">
        <v>0</v>
      </c>
      <c r="BU689" s="2">
        <v>0</v>
      </c>
      <c r="BV689" s="2" t="s">
        <v>1660</v>
      </c>
      <c r="BW689" s="2"/>
      <c r="BX689" s="2"/>
      <c r="BY689" s="2" t="s">
        <v>1807</v>
      </c>
      <c r="BZ689" s="2" t="b">
        <f>OR( (Dashboard[[#This Row],[ref_as_hh]]&gt;=1),(Dashboard[[#This Row],[ret_as_hh]] &gt;=1), (Dashboard[[#This Row],[idp_as_hh]]&gt;=1))</f>
        <v>0</v>
      </c>
      <c r="CA689" s="2">
        <f>Dashboard[[#This Row],[ret_hi_hh]]</f>
        <v>10</v>
      </c>
      <c r="CB689" s="2">
        <f>Dashboard[[#This Row],[idp_fa_hh]]+Dashboard[[#This Row],[ref_fa_hh]]+Dashboard[[#This Row],[ret_fa_hh]]</f>
        <v>151</v>
      </c>
      <c r="CC689" s="2">
        <f>Dashboard[[#This Row],[idp_loc_hh]]+Dashboard[[#This Row],[ref_loc_hh]]+Dashboard[[#This Row],[ret_loc_hh]]</f>
        <v>75</v>
      </c>
      <c r="CD689" s="2">
        <f>Dashboard[[#This Row],[idp_cc_hh]]+Dashboard[[#This Row],[ref_cc_hh]]+Dashboard[[#This Row],[ret_cc_hh]]</f>
        <v>0</v>
      </c>
      <c r="CE689" s="2">
        <f>Dashboard[[#This Row],[idp_as_hh]]+Dashboard[[#This Row],[ref_as_hh]]+Dashboard[[#This Row],[ret_as_hh]]</f>
        <v>0</v>
      </c>
      <c r="CF689" s="2">
        <f>Dashboard[[#This Row],[idp_al_hh]]+Dashboard[[#This Row],[ref_al_hh]]+Dashboard[[#This Row],[ret_al_hh]]</f>
        <v>0</v>
      </c>
    </row>
    <row r="690" spans="1:84" hidden="1" x14ac:dyDescent="0.25">
      <c r="A690" s="27">
        <v>614</v>
      </c>
      <c r="B690" s="2" t="s">
        <v>22</v>
      </c>
      <c r="C690" s="2" t="s">
        <v>23</v>
      </c>
      <c r="D690" s="2" t="s">
        <v>37</v>
      </c>
      <c r="E690" s="2" t="s">
        <v>36</v>
      </c>
      <c r="F690" s="2" t="s">
        <v>547</v>
      </c>
      <c r="G690" s="2" t="s">
        <v>548</v>
      </c>
      <c r="H690" s="2" t="s">
        <v>1417</v>
      </c>
      <c r="I690" s="2" t="s">
        <v>555</v>
      </c>
      <c r="J690" s="2" t="s">
        <v>3476</v>
      </c>
      <c r="K690" s="2" t="s">
        <v>3477</v>
      </c>
      <c r="L690" s="2" t="s">
        <v>3693</v>
      </c>
      <c r="M690" s="2">
        <v>2650</v>
      </c>
      <c r="N690" s="2" t="s">
        <v>1658</v>
      </c>
      <c r="O690" s="2">
        <v>73</v>
      </c>
      <c r="P690" s="2">
        <v>498</v>
      </c>
      <c r="Q690" s="2" t="s">
        <v>1658</v>
      </c>
      <c r="R690" s="2">
        <v>50</v>
      </c>
      <c r="S690" s="2" t="s">
        <v>1658</v>
      </c>
      <c r="T690" s="2">
        <v>23</v>
      </c>
      <c r="U690" s="2" t="s">
        <v>1661</v>
      </c>
      <c r="V690" s="2" t="s">
        <v>32</v>
      </c>
      <c r="W690" s="2" t="s">
        <v>1660</v>
      </c>
      <c r="X690" s="2">
        <v>0</v>
      </c>
      <c r="Y690" s="2" t="s">
        <v>32</v>
      </c>
      <c r="Z690" s="2" t="s">
        <v>32</v>
      </c>
      <c r="AA690" s="2" t="s">
        <v>1660</v>
      </c>
      <c r="AB690" s="2">
        <v>0</v>
      </c>
      <c r="AC690" s="2" t="s">
        <v>1660</v>
      </c>
      <c r="AD690" s="2">
        <v>0</v>
      </c>
      <c r="AE690" s="2" t="s">
        <v>1660</v>
      </c>
      <c r="AF690" s="2">
        <v>0</v>
      </c>
      <c r="AG690" s="2">
        <v>0</v>
      </c>
      <c r="AH690" s="2" t="s">
        <v>32</v>
      </c>
      <c r="AI690" s="2" t="s">
        <v>32</v>
      </c>
      <c r="AJ690" s="2" t="s">
        <v>32</v>
      </c>
      <c r="AK690" s="2" t="s">
        <v>32</v>
      </c>
      <c r="AL690" s="2" t="s">
        <v>32</v>
      </c>
      <c r="AM690" s="2">
        <v>0</v>
      </c>
      <c r="AN690" s="2" t="s">
        <v>32</v>
      </c>
      <c r="AO690" s="2">
        <v>0</v>
      </c>
      <c r="AP690" s="2" t="s">
        <v>32</v>
      </c>
      <c r="AQ690" s="2" t="s">
        <v>32</v>
      </c>
      <c r="AR690" s="2" t="s">
        <v>32</v>
      </c>
      <c r="AS690" s="2">
        <v>0</v>
      </c>
      <c r="AT690" s="2" t="s">
        <v>32</v>
      </c>
      <c r="AU690" s="2" t="s">
        <v>32</v>
      </c>
      <c r="AV690" s="2" t="s">
        <v>32</v>
      </c>
      <c r="AW690" s="2">
        <v>0</v>
      </c>
      <c r="AX690" s="2" t="s">
        <v>32</v>
      </c>
      <c r="AY690" s="2">
        <v>0</v>
      </c>
      <c r="AZ690" s="2" t="s">
        <v>1658</v>
      </c>
      <c r="BA690" s="2">
        <v>20</v>
      </c>
      <c r="BB690" s="2">
        <v>58</v>
      </c>
      <c r="BC690" s="2" t="s">
        <v>1658</v>
      </c>
      <c r="BD690" s="2">
        <v>12</v>
      </c>
      <c r="BE690" s="2" t="s">
        <v>1658</v>
      </c>
      <c r="BF690" s="2">
        <v>8</v>
      </c>
      <c r="BG690" s="2" t="s">
        <v>1660</v>
      </c>
      <c r="BH690" s="2">
        <v>0</v>
      </c>
      <c r="BI690" s="2" t="s">
        <v>32</v>
      </c>
      <c r="BJ690" s="2" t="s">
        <v>32</v>
      </c>
      <c r="BK690" s="2" t="s">
        <v>1660</v>
      </c>
      <c r="BL690" s="2">
        <v>0</v>
      </c>
      <c r="BM690" s="2" t="s">
        <v>32</v>
      </c>
      <c r="BN690" s="2" t="s">
        <v>32</v>
      </c>
      <c r="BO690" s="2" t="s">
        <v>1660</v>
      </c>
      <c r="BP690" s="2">
        <v>0</v>
      </c>
      <c r="BQ690" s="2" t="s">
        <v>1660</v>
      </c>
      <c r="BR690" s="2">
        <v>0</v>
      </c>
      <c r="BS690" s="2" t="s">
        <v>1660</v>
      </c>
      <c r="BT690" s="2">
        <v>0</v>
      </c>
      <c r="BU690" s="2">
        <v>0</v>
      </c>
      <c r="BV690" s="2" t="s">
        <v>1660</v>
      </c>
      <c r="BW690" s="2"/>
      <c r="BX690" s="2"/>
      <c r="BY690" s="2" t="s">
        <v>1807</v>
      </c>
      <c r="BZ690" s="2" t="b">
        <f>OR( (Dashboard[[#This Row],[ref_as_hh]]&gt;=1),(Dashboard[[#This Row],[ret_as_hh]] &gt;=1), (Dashboard[[#This Row],[idp_as_hh]]&gt;=1))</f>
        <v>0</v>
      </c>
      <c r="CA690" s="2">
        <f>Dashboard[[#This Row],[ret_hi_hh]]</f>
        <v>12</v>
      </c>
      <c r="CB690" s="2">
        <f>Dashboard[[#This Row],[idp_fa_hh]]+Dashboard[[#This Row],[ref_fa_hh]]+Dashboard[[#This Row],[ret_fa_hh]]</f>
        <v>58</v>
      </c>
      <c r="CC690" s="2">
        <f>Dashboard[[#This Row],[idp_loc_hh]]+Dashboard[[#This Row],[ref_loc_hh]]+Dashboard[[#This Row],[ret_loc_hh]]</f>
        <v>23</v>
      </c>
      <c r="CD690" s="2">
        <f>Dashboard[[#This Row],[idp_cc_hh]]+Dashboard[[#This Row],[ref_cc_hh]]+Dashboard[[#This Row],[ret_cc_hh]]</f>
        <v>0</v>
      </c>
      <c r="CE690" s="2">
        <f>Dashboard[[#This Row],[idp_as_hh]]+Dashboard[[#This Row],[ref_as_hh]]+Dashboard[[#This Row],[ret_as_hh]]</f>
        <v>0</v>
      </c>
      <c r="CF690" s="2">
        <f>Dashboard[[#This Row],[idp_al_hh]]+Dashboard[[#This Row],[ref_al_hh]]+Dashboard[[#This Row],[ret_al_hh]]</f>
        <v>0</v>
      </c>
    </row>
    <row r="691" spans="1:84" hidden="1" x14ac:dyDescent="0.25">
      <c r="A691" s="27">
        <v>615</v>
      </c>
      <c r="B691" s="2" t="s">
        <v>22</v>
      </c>
      <c r="C691" s="2" t="s">
        <v>23</v>
      </c>
      <c r="D691" s="2" t="s">
        <v>37</v>
      </c>
      <c r="E691" s="2" t="s">
        <v>36</v>
      </c>
      <c r="F691" s="2" t="s">
        <v>547</v>
      </c>
      <c r="G691" s="2" t="s">
        <v>548</v>
      </c>
      <c r="H691" s="2" t="s">
        <v>2037</v>
      </c>
      <c r="I691" s="2" t="s">
        <v>2038</v>
      </c>
      <c r="J691" s="2" t="s">
        <v>3498</v>
      </c>
      <c r="K691" s="2" t="s">
        <v>3499</v>
      </c>
      <c r="L691" s="2" t="s">
        <v>2074</v>
      </c>
      <c r="M691" s="2">
        <v>469</v>
      </c>
      <c r="N691" s="2" t="s">
        <v>1658</v>
      </c>
      <c r="O691" s="2">
        <v>11</v>
      </c>
      <c r="P691" s="2">
        <v>82</v>
      </c>
      <c r="Q691" s="2" t="s">
        <v>1658</v>
      </c>
      <c r="R691" s="2">
        <v>11</v>
      </c>
      <c r="S691" s="2" t="s">
        <v>1660</v>
      </c>
      <c r="T691" s="2">
        <v>0</v>
      </c>
      <c r="U691" s="2" t="s">
        <v>32</v>
      </c>
      <c r="V691" s="2" t="s">
        <v>32</v>
      </c>
      <c r="W691" s="2" t="s">
        <v>1660</v>
      </c>
      <c r="X691" s="2">
        <v>0</v>
      </c>
      <c r="Y691" s="2" t="s">
        <v>32</v>
      </c>
      <c r="Z691" s="2" t="s">
        <v>32</v>
      </c>
      <c r="AA691" s="2" t="s">
        <v>1660</v>
      </c>
      <c r="AB691" s="2">
        <v>0</v>
      </c>
      <c r="AC691" s="2" t="s">
        <v>1660</v>
      </c>
      <c r="AD691" s="2">
        <v>0</v>
      </c>
      <c r="AE691" s="2" t="s">
        <v>1660</v>
      </c>
      <c r="AF691" s="2">
        <v>0</v>
      </c>
      <c r="AG691" s="2">
        <v>0</v>
      </c>
      <c r="AH691" s="2" t="s">
        <v>32</v>
      </c>
      <c r="AI691" s="2" t="s">
        <v>32</v>
      </c>
      <c r="AJ691" s="2" t="s">
        <v>32</v>
      </c>
      <c r="AK691" s="2" t="s">
        <v>32</v>
      </c>
      <c r="AL691" s="2" t="s">
        <v>32</v>
      </c>
      <c r="AM691" s="2">
        <v>0</v>
      </c>
      <c r="AN691" s="2" t="s">
        <v>32</v>
      </c>
      <c r="AO691" s="2">
        <v>0</v>
      </c>
      <c r="AP691" s="2" t="s">
        <v>32</v>
      </c>
      <c r="AQ691" s="2" t="s">
        <v>32</v>
      </c>
      <c r="AR691" s="2" t="s">
        <v>32</v>
      </c>
      <c r="AS691" s="2">
        <v>0</v>
      </c>
      <c r="AT691" s="2" t="s">
        <v>32</v>
      </c>
      <c r="AU691" s="2" t="s">
        <v>32</v>
      </c>
      <c r="AV691" s="2" t="s">
        <v>32</v>
      </c>
      <c r="AW691" s="2">
        <v>0</v>
      </c>
      <c r="AX691" s="2" t="s">
        <v>32</v>
      </c>
      <c r="AY691" s="2">
        <v>0</v>
      </c>
      <c r="AZ691" s="2" t="s">
        <v>1660</v>
      </c>
      <c r="BA691" s="2">
        <v>0</v>
      </c>
      <c r="BB691" s="2">
        <v>0</v>
      </c>
      <c r="BC691" s="2" t="s">
        <v>32</v>
      </c>
      <c r="BD691" s="2">
        <v>0</v>
      </c>
      <c r="BE691" s="2" t="s">
        <v>32</v>
      </c>
      <c r="BF691" s="2">
        <v>0</v>
      </c>
      <c r="BG691" s="2" t="s">
        <v>32</v>
      </c>
      <c r="BH691" s="2">
        <v>0</v>
      </c>
      <c r="BI691" s="2" t="s">
        <v>32</v>
      </c>
      <c r="BJ691" s="2" t="s">
        <v>32</v>
      </c>
      <c r="BK691" s="2" t="s">
        <v>32</v>
      </c>
      <c r="BL691" s="2">
        <v>0</v>
      </c>
      <c r="BM691" s="2" t="s">
        <v>32</v>
      </c>
      <c r="BN691" s="2" t="s">
        <v>32</v>
      </c>
      <c r="BO691" s="2" t="s">
        <v>32</v>
      </c>
      <c r="BP691" s="2">
        <v>0</v>
      </c>
      <c r="BQ691" s="2" t="s">
        <v>32</v>
      </c>
      <c r="BR691" s="2">
        <v>0</v>
      </c>
      <c r="BS691" s="2" t="s">
        <v>1660</v>
      </c>
      <c r="BT691" s="2">
        <v>0</v>
      </c>
      <c r="BU691" s="2">
        <v>0</v>
      </c>
      <c r="BV691" s="2" t="s">
        <v>1660</v>
      </c>
      <c r="BW691" s="2"/>
      <c r="BX691" s="2"/>
      <c r="BY691" s="2" t="s">
        <v>1807</v>
      </c>
      <c r="BZ691" s="2" t="b">
        <f>OR( (Dashboard[[#This Row],[ref_as_hh]]&gt;=1),(Dashboard[[#This Row],[ret_as_hh]] &gt;=1), (Dashboard[[#This Row],[idp_as_hh]]&gt;=1))</f>
        <v>0</v>
      </c>
      <c r="CA691" s="2">
        <f>Dashboard[[#This Row],[ret_hi_hh]]</f>
        <v>0</v>
      </c>
      <c r="CB691" s="2">
        <f>Dashboard[[#This Row],[idp_fa_hh]]+Dashboard[[#This Row],[ref_fa_hh]]+Dashboard[[#This Row],[ret_fa_hh]]</f>
        <v>11</v>
      </c>
      <c r="CC691" s="2">
        <f>Dashboard[[#This Row],[idp_loc_hh]]+Dashboard[[#This Row],[ref_loc_hh]]+Dashboard[[#This Row],[ret_loc_hh]]</f>
        <v>0</v>
      </c>
      <c r="CD691" s="2">
        <f>Dashboard[[#This Row],[idp_cc_hh]]+Dashboard[[#This Row],[ref_cc_hh]]+Dashboard[[#This Row],[ret_cc_hh]]</f>
        <v>0</v>
      </c>
      <c r="CE691" s="2">
        <f>Dashboard[[#This Row],[idp_as_hh]]+Dashboard[[#This Row],[ref_as_hh]]+Dashboard[[#This Row],[ret_as_hh]]</f>
        <v>0</v>
      </c>
      <c r="CF691" s="2">
        <f>Dashboard[[#This Row],[idp_al_hh]]+Dashboard[[#This Row],[ref_al_hh]]+Dashboard[[#This Row],[ret_al_hh]]</f>
        <v>0</v>
      </c>
    </row>
    <row r="692" spans="1:84" hidden="1" x14ac:dyDescent="0.25">
      <c r="A692" s="27">
        <v>617</v>
      </c>
      <c r="B692" s="2" t="s">
        <v>22</v>
      </c>
      <c r="C692" s="2" t="s">
        <v>23</v>
      </c>
      <c r="D692" s="2" t="s">
        <v>37</v>
      </c>
      <c r="E692" s="2" t="s">
        <v>36</v>
      </c>
      <c r="F692" s="2" t="s">
        <v>547</v>
      </c>
      <c r="G692" s="2" t="s">
        <v>548</v>
      </c>
      <c r="H692" s="2" t="s">
        <v>1430</v>
      </c>
      <c r="I692" s="2" t="s">
        <v>567</v>
      </c>
      <c r="J692" s="2" t="s">
        <v>3508</v>
      </c>
      <c r="K692" s="2" t="s">
        <v>3509</v>
      </c>
      <c r="L692" s="2" t="s">
        <v>2074</v>
      </c>
      <c r="M692" s="2">
        <v>1800</v>
      </c>
      <c r="N692" s="2" t="s">
        <v>1658</v>
      </c>
      <c r="O692" s="2">
        <v>32</v>
      </c>
      <c r="P692" s="2">
        <v>180</v>
      </c>
      <c r="Q692" s="2" t="s">
        <v>1658</v>
      </c>
      <c r="R692" s="2">
        <v>32</v>
      </c>
      <c r="S692" s="2" t="s">
        <v>1660</v>
      </c>
      <c r="T692" s="2">
        <v>0</v>
      </c>
      <c r="U692" s="2" t="s">
        <v>32</v>
      </c>
      <c r="V692" s="2" t="s">
        <v>32</v>
      </c>
      <c r="W692" s="2" t="s">
        <v>1660</v>
      </c>
      <c r="X692" s="2">
        <v>0</v>
      </c>
      <c r="Y692" s="2" t="s">
        <v>32</v>
      </c>
      <c r="Z692" s="2" t="s">
        <v>32</v>
      </c>
      <c r="AA692" s="2" t="s">
        <v>1660</v>
      </c>
      <c r="AB692" s="2">
        <v>0</v>
      </c>
      <c r="AC692" s="2" t="s">
        <v>1660</v>
      </c>
      <c r="AD692" s="2">
        <v>0</v>
      </c>
      <c r="AE692" s="2" t="s">
        <v>1660</v>
      </c>
      <c r="AF692" s="2">
        <v>0</v>
      </c>
      <c r="AG692" s="2">
        <v>0</v>
      </c>
      <c r="AH692" s="2" t="s">
        <v>32</v>
      </c>
      <c r="AI692" s="2" t="s">
        <v>32</v>
      </c>
      <c r="AJ692" s="2" t="s">
        <v>32</v>
      </c>
      <c r="AK692" s="2" t="s">
        <v>32</v>
      </c>
      <c r="AL692" s="2" t="s">
        <v>32</v>
      </c>
      <c r="AM692" s="2">
        <v>0</v>
      </c>
      <c r="AN692" s="2" t="s">
        <v>32</v>
      </c>
      <c r="AO692" s="2">
        <v>0</v>
      </c>
      <c r="AP692" s="2" t="s">
        <v>32</v>
      </c>
      <c r="AQ692" s="2" t="s">
        <v>32</v>
      </c>
      <c r="AR692" s="2" t="s">
        <v>32</v>
      </c>
      <c r="AS692" s="2">
        <v>0</v>
      </c>
      <c r="AT692" s="2" t="s">
        <v>32</v>
      </c>
      <c r="AU692" s="2" t="s">
        <v>32</v>
      </c>
      <c r="AV692" s="2" t="s">
        <v>32</v>
      </c>
      <c r="AW692" s="2">
        <v>0</v>
      </c>
      <c r="AX692" s="2" t="s">
        <v>32</v>
      </c>
      <c r="AY692" s="2">
        <v>0</v>
      </c>
      <c r="AZ692" s="2" t="s">
        <v>1658</v>
      </c>
      <c r="BA692" s="2">
        <v>7</v>
      </c>
      <c r="BB692" s="2">
        <v>43</v>
      </c>
      <c r="BC692" s="2" t="s">
        <v>1658</v>
      </c>
      <c r="BD692" s="2">
        <v>5</v>
      </c>
      <c r="BE692" s="2" t="s">
        <v>1660</v>
      </c>
      <c r="BF692" s="2">
        <v>2</v>
      </c>
      <c r="BG692" s="2" t="s">
        <v>1660</v>
      </c>
      <c r="BH692" s="2">
        <v>0</v>
      </c>
      <c r="BI692" s="2" t="s">
        <v>32</v>
      </c>
      <c r="BJ692" s="2" t="s">
        <v>32</v>
      </c>
      <c r="BK692" s="2" t="s">
        <v>1660</v>
      </c>
      <c r="BL692" s="2">
        <v>0</v>
      </c>
      <c r="BM692" s="2" t="s">
        <v>32</v>
      </c>
      <c r="BN692" s="2" t="s">
        <v>32</v>
      </c>
      <c r="BO692" s="2" t="s">
        <v>1660</v>
      </c>
      <c r="BP692" s="2">
        <v>0</v>
      </c>
      <c r="BQ692" s="2" t="s">
        <v>1660</v>
      </c>
      <c r="BR692" s="2">
        <v>0</v>
      </c>
      <c r="BS692" s="2" t="s">
        <v>1660</v>
      </c>
      <c r="BT692" s="2">
        <v>0</v>
      </c>
      <c r="BU692" s="2">
        <v>0</v>
      </c>
      <c r="BV692" s="2" t="s">
        <v>1660</v>
      </c>
      <c r="BW692" s="2"/>
      <c r="BX692" s="2"/>
      <c r="BY692" s="2" t="s">
        <v>1807</v>
      </c>
      <c r="BZ692" s="2" t="b">
        <f>OR( (Dashboard[[#This Row],[ref_as_hh]]&gt;=1),(Dashboard[[#This Row],[ret_as_hh]] &gt;=1), (Dashboard[[#This Row],[idp_as_hh]]&gt;=1))</f>
        <v>0</v>
      </c>
      <c r="CA692" s="2">
        <f>Dashboard[[#This Row],[ret_hi_hh]]</f>
        <v>5</v>
      </c>
      <c r="CB692" s="2">
        <f>Dashboard[[#This Row],[idp_fa_hh]]+Dashboard[[#This Row],[ref_fa_hh]]+Dashboard[[#This Row],[ret_fa_hh]]</f>
        <v>34</v>
      </c>
      <c r="CC692" s="2">
        <f>Dashboard[[#This Row],[idp_loc_hh]]+Dashboard[[#This Row],[ref_loc_hh]]+Dashboard[[#This Row],[ret_loc_hh]]</f>
        <v>0</v>
      </c>
      <c r="CD692" s="2">
        <f>Dashboard[[#This Row],[idp_cc_hh]]+Dashboard[[#This Row],[ref_cc_hh]]+Dashboard[[#This Row],[ret_cc_hh]]</f>
        <v>0</v>
      </c>
      <c r="CE692" s="2">
        <f>Dashboard[[#This Row],[idp_as_hh]]+Dashboard[[#This Row],[ref_as_hh]]+Dashboard[[#This Row],[ret_as_hh]]</f>
        <v>0</v>
      </c>
      <c r="CF692" s="2">
        <f>Dashboard[[#This Row],[idp_al_hh]]+Dashboard[[#This Row],[ref_al_hh]]+Dashboard[[#This Row],[ret_al_hh]]</f>
        <v>0</v>
      </c>
    </row>
    <row r="693" spans="1:84" hidden="1" x14ac:dyDescent="0.25">
      <c r="A693" s="27">
        <v>382</v>
      </c>
      <c r="B693" s="2" t="s">
        <v>22</v>
      </c>
      <c r="C693" s="2" t="s">
        <v>23</v>
      </c>
      <c r="D693" s="2" t="s">
        <v>37</v>
      </c>
      <c r="E693" s="2" t="s">
        <v>36</v>
      </c>
      <c r="F693" s="2" t="s">
        <v>547</v>
      </c>
      <c r="G693" s="2" t="s">
        <v>548</v>
      </c>
      <c r="H693" s="2" t="s">
        <v>1434</v>
      </c>
      <c r="I693" s="2" t="s">
        <v>570</v>
      </c>
      <c r="J693" s="2" t="s">
        <v>3518</v>
      </c>
      <c r="K693" s="2" t="s">
        <v>3519</v>
      </c>
      <c r="L693" s="2" t="s">
        <v>2074</v>
      </c>
      <c r="M693" s="2">
        <v>5000</v>
      </c>
      <c r="N693" s="2" t="s">
        <v>1658</v>
      </c>
      <c r="O693" s="2">
        <v>73</v>
      </c>
      <c r="P693" s="2">
        <v>493</v>
      </c>
      <c r="Q693" s="2" t="s">
        <v>1658</v>
      </c>
      <c r="R693" s="2">
        <v>38</v>
      </c>
      <c r="S693" s="2" t="s">
        <v>1658</v>
      </c>
      <c r="T693" s="2">
        <v>35</v>
      </c>
      <c r="U693" s="2" t="s">
        <v>1661</v>
      </c>
      <c r="V693" s="2" t="s">
        <v>32</v>
      </c>
      <c r="W693" s="2" t="s">
        <v>1660</v>
      </c>
      <c r="X693" s="2">
        <v>0</v>
      </c>
      <c r="Y693" s="2" t="s">
        <v>32</v>
      </c>
      <c r="Z693" s="2" t="s">
        <v>32</v>
      </c>
      <c r="AA693" s="2" t="s">
        <v>1660</v>
      </c>
      <c r="AB693" s="2">
        <v>0</v>
      </c>
      <c r="AC693" s="2" t="s">
        <v>1660</v>
      </c>
      <c r="AD693" s="2">
        <v>0</v>
      </c>
      <c r="AE693" s="2" t="s">
        <v>1660</v>
      </c>
      <c r="AF693" s="2">
        <v>0</v>
      </c>
      <c r="AG693" s="2">
        <v>0</v>
      </c>
      <c r="AH693" s="2" t="s">
        <v>32</v>
      </c>
      <c r="AI693" s="2" t="s">
        <v>32</v>
      </c>
      <c r="AJ693" s="2" t="s">
        <v>32</v>
      </c>
      <c r="AK693" s="2" t="s">
        <v>32</v>
      </c>
      <c r="AL693" s="2" t="s">
        <v>32</v>
      </c>
      <c r="AM693" s="2">
        <v>0</v>
      </c>
      <c r="AN693" s="2" t="s">
        <v>32</v>
      </c>
      <c r="AO693" s="2">
        <v>0</v>
      </c>
      <c r="AP693" s="2" t="s">
        <v>32</v>
      </c>
      <c r="AQ693" s="2" t="s">
        <v>32</v>
      </c>
      <c r="AR693" s="2" t="s">
        <v>32</v>
      </c>
      <c r="AS693" s="2">
        <v>0</v>
      </c>
      <c r="AT693" s="2" t="s">
        <v>32</v>
      </c>
      <c r="AU693" s="2" t="s">
        <v>32</v>
      </c>
      <c r="AV693" s="2" t="s">
        <v>32</v>
      </c>
      <c r="AW693" s="2">
        <v>0</v>
      </c>
      <c r="AX693" s="2" t="s">
        <v>32</v>
      </c>
      <c r="AY693" s="2">
        <v>0</v>
      </c>
      <c r="AZ693" s="2" t="s">
        <v>1660</v>
      </c>
      <c r="BA693" s="2">
        <v>0</v>
      </c>
      <c r="BB693" s="2">
        <v>0</v>
      </c>
      <c r="BC693" s="2" t="s">
        <v>32</v>
      </c>
      <c r="BD693" s="2">
        <v>0</v>
      </c>
      <c r="BE693" s="2" t="s">
        <v>32</v>
      </c>
      <c r="BF693" s="2">
        <v>0</v>
      </c>
      <c r="BG693" s="2" t="s">
        <v>32</v>
      </c>
      <c r="BH693" s="2">
        <v>0</v>
      </c>
      <c r="BI693" s="2" t="s">
        <v>32</v>
      </c>
      <c r="BJ693" s="2" t="s">
        <v>32</v>
      </c>
      <c r="BK693" s="2" t="s">
        <v>32</v>
      </c>
      <c r="BL693" s="2">
        <v>0</v>
      </c>
      <c r="BM693" s="2" t="s">
        <v>32</v>
      </c>
      <c r="BN693" s="2" t="s">
        <v>32</v>
      </c>
      <c r="BO693" s="2" t="s">
        <v>32</v>
      </c>
      <c r="BP693" s="2">
        <v>0</v>
      </c>
      <c r="BQ693" s="2" t="s">
        <v>32</v>
      </c>
      <c r="BR693" s="2">
        <v>0</v>
      </c>
      <c r="BS693" s="2" t="s">
        <v>1660</v>
      </c>
      <c r="BT693" s="2">
        <v>0</v>
      </c>
      <c r="BU693" s="2">
        <v>0</v>
      </c>
      <c r="BV693" s="2" t="s">
        <v>1660</v>
      </c>
      <c r="BW693" s="2"/>
      <c r="BX693" s="2"/>
      <c r="BY693" s="2" t="s">
        <v>1807</v>
      </c>
      <c r="BZ693" s="2" t="b">
        <f>OR( (Dashboard[[#This Row],[ref_as_hh]]&gt;=1),(Dashboard[[#This Row],[ret_as_hh]] &gt;=1), (Dashboard[[#This Row],[idp_as_hh]]&gt;=1))</f>
        <v>0</v>
      </c>
      <c r="CA693" s="2">
        <f>Dashboard[[#This Row],[ret_hi_hh]]</f>
        <v>0</v>
      </c>
      <c r="CB693" s="2">
        <f>Dashboard[[#This Row],[idp_fa_hh]]+Dashboard[[#This Row],[ref_fa_hh]]+Dashboard[[#This Row],[ret_fa_hh]]</f>
        <v>38</v>
      </c>
      <c r="CC693" s="2">
        <f>Dashboard[[#This Row],[idp_loc_hh]]+Dashboard[[#This Row],[ref_loc_hh]]+Dashboard[[#This Row],[ret_loc_hh]]</f>
        <v>35</v>
      </c>
      <c r="CD693" s="2">
        <f>Dashboard[[#This Row],[idp_cc_hh]]+Dashboard[[#This Row],[ref_cc_hh]]+Dashboard[[#This Row],[ret_cc_hh]]</f>
        <v>0</v>
      </c>
      <c r="CE693" s="2">
        <f>Dashboard[[#This Row],[idp_as_hh]]+Dashboard[[#This Row],[ref_as_hh]]+Dashboard[[#This Row],[ret_as_hh]]</f>
        <v>0</v>
      </c>
      <c r="CF693" s="2">
        <f>Dashboard[[#This Row],[idp_al_hh]]+Dashboard[[#This Row],[ref_al_hh]]+Dashboard[[#This Row],[ret_al_hh]]</f>
        <v>0</v>
      </c>
    </row>
    <row r="694" spans="1:84" hidden="1" x14ac:dyDescent="0.25">
      <c r="A694" s="27">
        <v>638</v>
      </c>
      <c r="B694" s="2" t="s">
        <v>22</v>
      </c>
      <c r="C694" s="2" t="s">
        <v>23</v>
      </c>
      <c r="D694" s="2" t="s">
        <v>37</v>
      </c>
      <c r="E694" s="2" t="s">
        <v>36</v>
      </c>
      <c r="F694" s="2" t="s">
        <v>547</v>
      </c>
      <c r="G694" s="2" t="s">
        <v>548</v>
      </c>
      <c r="H694" s="2" t="s">
        <v>1437</v>
      </c>
      <c r="I694" s="2" t="s">
        <v>573</v>
      </c>
      <c r="J694" s="2" t="s">
        <v>3524</v>
      </c>
      <c r="K694" s="2" t="s">
        <v>3525</v>
      </c>
      <c r="L694" s="2" t="s">
        <v>2074</v>
      </c>
      <c r="M694" s="2">
        <v>5000</v>
      </c>
      <c r="N694" s="2" t="s">
        <v>1658</v>
      </c>
      <c r="O694" s="2">
        <v>47</v>
      </c>
      <c r="P694" s="2">
        <v>340</v>
      </c>
      <c r="Q694" s="2" t="s">
        <v>1658</v>
      </c>
      <c r="R694" s="2">
        <v>30</v>
      </c>
      <c r="S694" s="2" t="s">
        <v>1658</v>
      </c>
      <c r="T694" s="2">
        <v>17</v>
      </c>
      <c r="U694" s="2" t="s">
        <v>1661</v>
      </c>
      <c r="V694" s="2" t="s">
        <v>32</v>
      </c>
      <c r="W694" s="2" t="s">
        <v>1660</v>
      </c>
      <c r="X694" s="2">
        <v>0</v>
      </c>
      <c r="Y694" s="2" t="s">
        <v>32</v>
      </c>
      <c r="Z694" s="2" t="s">
        <v>32</v>
      </c>
      <c r="AA694" s="2" t="s">
        <v>1660</v>
      </c>
      <c r="AB694" s="2">
        <v>0</v>
      </c>
      <c r="AC694" s="2" t="s">
        <v>1660</v>
      </c>
      <c r="AD694" s="2">
        <v>0</v>
      </c>
      <c r="AE694" s="2" t="s">
        <v>1660</v>
      </c>
      <c r="AF694" s="2">
        <v>0</v>
      </c>
      <c r="AG694" s="2">
        <v>0</v>
      </c>
      <c r="AH694" s="2" t="s">
        <v>32</v>
      </c>
      <c r="AI694" s="2" t="s">
        <v>32</v>
      </c>
      <c r="AJ694" s="2" t="s">
        <v>32</v>
      </c>
      <c r="AK694" s="2" t="s">
        <v>32</v>
      </c>
      <c r="AL694" s="2" t="s">
        <v>32</v>
      </c>
      <c r="AM694" s="2">
        <v>0</v>
      </c>
      <c r="AN694" s="2" t="s">
        <v>32</v>
      </c>
      <c r="AO694" s="2">
        <v>0</v>
      </c>
      <c r="AP694" s="2" t="s">
        <v>32</v>
      </c>
      <c r="AQ694" s="2" t="s">
        <v>32</v>
      </c>
      <c r="AR694" s="2" t="s">
        <v>32</v>
      </c>
      <c r="AS694" s="2">
        <v>0</v>
      </c>
      <c r="AT694" s="2" t="s">
        <v>32</v>
      </c>
      <c r="AU694" s="2" t="s">
        <v>32</v>
      </c>
      <c r="AV694" s="2" t="s">
        <v>32</v>
      </c>
      <c r="AW694" s="2">
        <v>0</v>
      </c>
      <c r="AX694" s="2" t="s">
        <v>32</v>
      </c>
      <c r="AY694" s="2">
        <v>0</v>
      </c>
      <c r="AZ694" s="2" t="s">
        <v>1658</v>
      </c>
      <c r="BA694" s="2">
        <v>13</v>
      </c>
      <c r="BB694" s="2">
        <v>62</v>
      </c>
      <c r="BC694" s="2" t="s">
        <v>1658</v>
      </c>
      <c r="BD694" s="2">
        <v>8</v>
      </c>
      <c r="BE694" s="2" t="s">
        <v>1660</v>
      </c>
      <c r="BF694" s="2">
        <v>0</v>
      </c>
      <c r="BG694" s="2" t="s">
        <v>1658</v>
      </c>
      <c r="BH694" s="2">
        <v>5</v>
      </c>
      <c r="BI694" s="2" t="s">
        <v>1661</v>
      </c>
      <c r="BJ694" s="2" t="s">
        <v>32</v>
      </c>
      <c r="BK694" s="2" t="s">
        <v>1660</v>
      </c>
      <c r="BL694" s="2">
        <v>0</v>
      </c>
      <c r="BM694" s="2" t="s">
        <v>32</v>
      </c>
      <c r="BN694" s="2" t="s">
        <v>32</v>
      </c>
      <c r="BO694" s="2" t="s">
        <v>1660</v>
      </c>
      <c r="BP694" s="2">
        <v>0</v>
      </c>
      <c r="BQ694" s="2" t="s">
        <v>1660</v>
      </c>
      <c r="BR694" s="2">
        <v>0</v>
      </c>
      <c r="BS694" s="2" t="s">
        <v>1660</v>
      </c>
      <c r="BT694" s="2">
        <v>0</v>
      </c>
      <c r="BU694" s="2">
        <v>0</v>
      </c>
      <c r="BV694" s="2" t="s">
        <v>1660</v>
      </c>
      <c r="BW694" s="2"/>
      <c r="BX694" s="2"/>
      <c r="BY694" s="2" t="s">
        <v>1807</v>
      </c>
      <c r="BZ694" s="2" t="b">
        <f>OR( (Dashboard[[#This Row],[ref_as_hh]]&gt;=1),(Dashboard[[#This Row],[ret_as_hh]] &gt;=1), (Dashboard[[#This Row],[idp_as_hh]]&gt;=1))</f>
        <v>0</v>
      </c>
      <c r="CA694" s="2">
        <f>Dashboard[[#This Row],[ret_hi_hh]]</f>
        <v>8</v>
      </c>
      <c r="CB694" s="2">
        <f>Dashboard[[#This Row],[idp_fa_hh]]+Dashboard[[#This Row],[ref_fa_hh]]+Dashboard[[#This Row],[ret_fa_hh]]</f>
        <v>30</v>
      </c>
      <c r="CC694" s="2">
        <f>Dashboard[[#This Row],[idp_loc_hh]]+Dashboard[[#This Row],[ref_loc_hh]]+Dashboard[[#This Row],[ret_loc_hh]]</f>
        <v>22</v>
      </c>
      <c r="CD694" s="2">
        <f>Dashboard[[#This Row],[idp_cc_hh]]+Dashboard[[#This Row],[ref_cc_hh]]+Dashboard[[#This Row],[ret_cc_hh]]</f>
        <v>0</v>
      </c>
      <c r="CE694" s="2">
        <f>Dashboard[[#This Row],[idp_as_hh]]+Dashboard[[#This Row],[ref_as_hh]]+Dashboard[[#This Row],[ret_as_hh]]</f>
        <v>0</v>
      </c>
      <c r="CF694" s="2">
        <f>Dashboard[[#This Row],[idp_al_hh]]+Dashboard[[#This Row],[ref_al_hh]]+Dashboard[[#This Row],[ret_al_hh]]</f>
        <v>0</v>
      </c>
    </row>
    <row r="695" spans="1:84" hidden="1" x14ac:dyDescent="0.25">
      <c r="A695" s="27">
        <v>639</v>
      </c>
      <c r="B695" s="2" t="s">
        <v>22</v>
      </c>
      <c r="C695" s="2" t="s">
        <v>23</v>
      </c>
      <c r="D695" s="2" t="s">
        <v>37</v>
      </c>
      <c r="E695" s="2" t="s">
        <v>36</v>
      </c>
      <c r="F695" s="2" t="s">
        <v>547</v>
      </c>
      <c r="G695" s="2" t="s">
        <v>548</v>
      </c>
      <c r="H695" s="2" t="s">
        <v>1429</v>
      </c>
      <c r="I695" s="2" t="s">
        <v>566</v>
      </c>
      <c r="J695" s="2" t="s">
        <v>3506</v>
      </c>
      <c r="K695" s="2" t="s">
        <v>3507</v>
      </c>
      <c r="L695" s="2" t="s">
        <v>2074</v>
      </c>
      <c r="M695" s="2">
        <v>2900</v>
      </c>
      <c r="N695" s="2" t="s">
        <v>1658</v>
      </c>
      <c r="O695" s="2">
        <v>59</v>
      </c>
      <c r="P695" s="2">
        <v>360</v>
      </c>
      <c r="Q695" s="2" t="s">
        <v>1658</v>
      </c>
      <c r="R695" s="2">
        <v>56</v>
      </c>
      <c r="S695" s="2" t="s">
        <v>1658</v>
      </c>
      <c r="T695" s="2">
        <v>3</v>
      </c>
      <c r="U695" s="2" t="s">
        <v>1661</v>
      </c>
      <c r="V695" s="2" t="s">
        <v>32</v>
      </c>
      <c r="W695" s="2" t="s">
        <v>1660</v>
      </c>
      <c r="X695" s="2">
        <v>0</v>
      </c>
      <c r="Y695" s="2" t="s">
        <v>32</v>
      </c>
      <c r="Z695" s="2" t="s">
        <v>32</v>
      </c>
      <c r="AA695" s="2" t="s">
        <v>1660</v>
      </c>
      <c r="AB695" s="2">
        <v>0</v>
      </c>
      <c r="AC695" s="2" t="s">
        <v>1660</v>
      </c>
      <c r="AD695" s="2">
        <v>0</v>
      </c>
      <c r="AE695" s="2" t="s">
        <v>1658</v>
      </c>
      <c r="AF695" s="2">
        <v>2</v>
      </c>
      <c r="AG695" s="2">
        <v>7</v>
      </c>
      <c r="AH695" s="2" t="s">
        <v>1660</v>
      </c>
      <c r="AI695" s="2" t="s">
        <v>32</v>
      </c>
      <c r="AJ695" s="2" t="s">
        <v>32</v>
      </c>
      <c r="AK695" s="2" t="s">
        <v>32</v>
      </c>
      <c r="AL695" s="2" t="s">
        <v>1658</v>
      </c>
      <c r="AM695" s="2">
        <v>2</v>
      </c>
      <c r="AN695" s="2" t="s">
        <v>1660</v>
      </c>
      <c r="AO695" s="2">
        <v>0</v>
      </c>
      <c r="AP695" s="2" t="s">
        <v>32</v>
      </c>
      <c r="AQ695" s="2" t="s">
        <v>32</v>
      </c>
      <c r="AR695" s="2" t="s">
        <v>1660</v>
      </c>
      <c r="AS695" s="2">
        <v>0</v>
      </c>
      <c r="AT695" s="2" t="s">
        <v>32</v>
      </c>
      <c r="AU695" s="2" t="s">
        <v>32</v>
      </c>
      <c r="AV695" s="2" t="s">
        <v>1660</v>
      </c>
      <c r="AW695" s="2">
        <v>0</v>
      </c>
      <c r="AX695" s="2" t="s">
        <v>1660</v>
      </c>
      <c r="AY695" s="2">
        <v>0</v>
      </c>
      <c r="AZ695" s="2" t="s">
        <v>1658</v>
      </c>
      <c r="BA695" s="2">
        <v>12</v>
      </c>
      <c r="BB695" s="2">
        <v>67</v>
      </c>
      <c r="BC695" s="2" t="s">
        <v>1658</v>
      </c>
      <c r="BD695" s="2">
        <v>7</v>
      </c>
      <c r="BE695" s="2" t="s">
        <v>1660</v>
      </c>
      <c r="BF695" s="2">
        <v>0</v>
      </c>
      <c r="BG695" s="2" t="s">
        <v>1658</v>
      </c>
      <c r="BH695" s="2">
        <v>5</v>
      </c>
      <c r="BI695" s="2" t="s">
        <v>1661</v>
      </c>
      <c r="BJ695" s="2" t="s">
        <v>32</v>
      </c>
      <c r="BK695" s="2" t="s">
        <v>1660</v>
      </c>
      <c r="BL695" s="2">
        <v>0</v>
      </c>
      <c r="BM695" s="2" t="s">
        <v>32</v>
      </c>
      <c r="BN695" s="2" t="s">
        <v>32</v>
      </c>
      <c r="BO695" s="2" t="s">
        <v>1660</v>
      </c>
      <c r="BP695" s="2">
        <v>0</v>
      </c>
      <c r="BQ695" s="2" t="s">
        <v>1660</v>
      </c>
      <c r="BR695" s="2">
        <v>0</v>
      </c>
      <c r="BS695" s="2" t="s">
        <v>1660</v>
      </c>
      <c r="BT695" s="2">
        <v>0</v>
      </c>
      <c r="BU695" s="2">
        <v>0</v>
      </c>
      <c r="BV695" s="2" t="s">
        <v>1660</v>
      </c>
      <c r="BW695" s="2"/>
      <c r="BX695" s="2"/>
      <c r="BY695" s="2" t="s">
        <v>1807</v>
      </c>
      <c r="BZ695" s="2" t="b">
        <f>OR( (Dashboard[[#This Row],[ref_as_hh]]&gt;=1),(Dashboard[[#This Row],[ret_as_hh]] &gt;=1), (Dashboard[[#This Row],[idp_as_hh]]&gt;=1))</f>
        <v>0</v>
      </c>
      <c r="CA695" s="2">
        <f>Dashboard[[#This Row],[ret_hi_hh]]</f>
        <v>7</v>
      </c>
      <c r="CB695" s="2">
        <f>Dashboard[[#This Row],[idp_fa_hh]]+Dashboard[[#This Row],[ref_fa_hh]]+Dashboard[[#This Row],[ret_fa_hh]]</f>
        <v>58</v>
      </c>
      <c r="CC695" s="2">
        <f>Dashboard[[#This Row],[idp_loc_hh]]+Dashboard[[#This Row],[ref_loc_hh]]+Dashboard[[#This Row],[ret_loc_hh]]</f>
        <v>8</v>
      </c>
      <c r="CD695" s="2">
        <f>Dashboard[[#This Row],[idp_cc_hh]]+Dashboard[[#This Row],[ref_cc_hh]]+Dashboard[[#This Row],[ret_cc_hh]]</f>
        <v>0</v>
      </c>
      <c r="CE695" s="2">
        <f>Dashboard[[#This Row],[idp_as_hh]]+Dashboard[[#This Row],[ref_as_hh]]+Dashboard[[#This Row],[ret_as_hh]]</f>
        <v>0</v>
      </c>
      <c r="CF695" s="2">
        <f>Dashboard[[#This Row],[idp_al_hh]]+Dashboard[[#This Row],[ref_al_hh]]+Dashboard[[#This Row],[ret_al_hh]]</f>
        <v>0</v>
      </c>
    </row>
    <row r="696" spans="1:84" hidden="1" x14ac:dyDescent="0.25">
      <c r="A696" s="27">
        <v>640</v>
      </c>
      <c r="B696" s="2" t="s">
        <v>22</v>
      </c>
      <c r="C696" s="2" t="s">
        <v>23</v>
      </c>
      <c r="D696" s="2" t="s">
        <v>37</v>
      </c>
      <c r="E696" s="2" t="s">
        <v>36</v>
      </c>
      <c r="F696" s="2" t="s">
        <v>547</v>
      </c>
      <c r="G696" s="2" t="s">
        <v>548</v>
      </c>
      <c r="H696" s="2" t="s">
        <v>2039</v>
      </c>
      <c r="I696" s="2" t="s">
        <v>586</v>
      </c>
      <c r="J696" s="2" t="s">
        <v>3510</v>
      </c>
      <c r="K696" s="2" t="s">
        <v>3511</v>
      </c>
      <c r="L696" s="2" t="s">
        <v>2074</v>
      </c>
      <c r="M696" s="2">
        <v>300</v>
      </c>
      <c r="N696" s="2" t="s">
        <v>1658</v>
      </c>
      <c r="O696" s="2">
        <v>21</v>
      </c>
      <c r="P696" s="2">
        <v>142</v>
      </c>
      <c r="Q696" s="2" t="s">
        <v>1658</v>
      </c>
      <c r="R696" s="2">
        <v>18</v>
      </c>
      <c r="S696" s="2" t="s">
        <v>1658</v>
      </c>
      <c r="T696" s="2">
        <v>3</v>
      </c>
      <c r="U696" s="2" t="s">
        <v>1661</v>
      </c>
      <c r="V696" s="2" t="s">
        <v>32</v>
      </c>
      <c r="W696" s="2" t="s">
        <v>1660</v>
      </c>
      <c r="X696" s="2">
        <v>0</v>
      </c>
      <c r="Y696" s="2" t="s">
        <v>32</v>
      </c>
      <c r="Z696" s="2" t="s">
        <v>32</v>
      </c>
      <c r="AA696" s="2" t="s">
        <v>1660</v>
      </c>
      <c r="AB696" s="2">
        <v>0</v>
      </c>
      <c r="AC696" s="2" t="s">
        <v>1660</v>
      </c>
      <c r="AD696" s="2">
        <v>0</v>
      </c>
      <c r="AE696" s="2" t="s">
        <v>1660</v>
      </c>
      <c r="AF696" s="2">
        <v>0</v>
      </c>
      <c r="AG696" s="2">
        <v>0</v>
      </c>
      <c r="AH696" s="2" t="s">
        <v>32</v>
      </c>
      <c r="AI696" s="2" t="s">
        <v>32</v>
      </c>
      <c r="AJ696" s="2" t="s">
        <v>32</v>
      </c>
      <c r="AK696" s="2" t="s">
        <v>32</v>
      </c>
      <c r="AL696" s="2" t="s">
        <v>32</v>
      </c>
      <c r="AM696" s="2">
        <v>0</v>
      </c>
      <c r="AN696" s="2" t="s">
        <v>32</v>
      </c>
      <c r="AO696" s="2">
        <v>0</v>
      </c>
      <c r="AP696" s="2" t="s">
        <v>32</v>
      </c>
      <c r="AQ696" s="2" t="s">
        <v>32</v>
      </c>
      <c r="AR696" s="2" t="s">
        <v>32</v>
      </c>
      <c r="AS696" s="2">
        <v>0</v>
      </c>
      <c r="AT696" s="2" t="s">
        <v>32</v>
      </c>
      <c r="AU696" s="2" t="s">
        <v>32</v>
      </c>
      <c r="AV696" s="2" t="s">
        <v>32</v>
      </c>
      <c r="AW696" s="2">
        <v>0</v>
      </c>
      <c r="AX696" s="2" t="s">
        <v>32</v>
      </c>
      <c r="AY696" s="2">
        <v>0</v>
      </c>
      <c r="AZ696" s="2" t="s">
        <v>1660</v>
      </c>
      <c r="BA696" s="2">
        <v>0</v>
      </c>
      <c r="BB696" s="2">
        <v>0</v>
      </c>
      <c r="BC696" s="2" t="s">
        <v>32</v>
      </c>
      <c r="BD696" s="2">
        <v>0</v>
      </c>
      <c r="BE696" s="2" t="s">
        <v>32</v>
      </c>
      <c r="BF696" s="2">
        <v>0</v>
      </c>
      <c r="BG696" s="2" t="s">
        <v>32</v>
      </c>
      <c r="BH696" s="2">
        <v>0</v>
      </c>
      <c r="BI696" s="2" t="s">
        <v>32</v>
      </c>
      <c r="BJ696" s="2" t="s">
        <v>32</v>
      </c>
      <c r="BK696" s="2" t="s">
        <v>32</v>
      </c>
      <c r="BL696" s="2">
        <v>0</v>
      </c>
      <c r="BM696" s="2" t="s">
        <v>32</v>
      </c>
      <c r="BN696" s="2" t="s">
        <v>32</v>
      </c>
      <c r="BO696" s="2" t="s">
        <v>32</v>
      </c>
      <c r="BP696" s="2">
        <v>0</v>
      </c>
      <c r="BQ696" s="2" t="s">
        <v>32</v>
      </c>
      <c r="BR696" s="2">
        <v>0</v>
      </c>
      <c r="BS696" s="2" t="s">
        <v>1660</v>
      </c>
      <c r="BT696" s="2">
        <v>0</v>
      </c>
      <c r="BU696" s="2">
        <v>0</v>
      </c>
      <c r="BV696" s="2" t="s">
        <v>1660</v>
      </c>
      <c r="BW696" s="2"/>
      <c r="BX696" s="2"/>
      <c r="BY696" s="2" t="s">
        <v>1807</v>
      </c>
      <c r="BZ696" s="2" t="b">
        <f>OR( (Dashboard[[#This Row],[ref_as_hh]]&gt;=1),(Dashboard[[#This Row],[ret_as_hh]] &gt;=1), (Dashboard[[#This Row],[idp_as_hh]]&gt;=1))</f>
        <v>0</v>
      </c>
      <c r="CA696" s="2">
        <f>Dashboard[[#This Row],[ret_hi_hh]]</f>
        <v>0</v>
      </c>
      <c r="CB696" s="2">
        <f>Dashboard[[#This Row],[idp_fa_hh]]+Dashboard[[#This Row],[ref_fa_hh]]+Dashboard[[#This Row],[ret_fa_hh]]</f>
        <v>18</v>
      </c>
      <c r="CC696" s="2">
        <f>Dashboard[[#This Row],[idp_loc_hh]]+Dashboard[[#This Row],[ref_loc_hh]]+Dashboard[[#This Row],[ret_loc_hh]]</f>
        <v>3</v>
      </c>
      <c r="CD696" s="2">
        <f>Dashboard[[#This Row],[idp_cc_hh]]+Dashboard[[#This Row],[ref_cc_hh]]+Dashboard[[#This Row],[ret_cc_hh]]</f>
        <v>0</v>
      </c>
      <c r="CE696" s="2">
        <f>Dashboard[[#This Row],[idp_as_hh]]+Dashboard[[#This Row],[ref_as_hh]]+Dashboard[[#This Row],[ret_as_hh]]</f>
        <v>0</v>
      </c>
      <c r="CF696" s="2">
        <f>Dashboard[[#This Row],[idp_al_hh]]+Dashboard[[#This Row],[ref_al_hh]]+Dashboard[[#This Row],[ret_al_hh]]</f>
        <v>0</v>
      </c>
    </row>
    <row r="697" spans="1:84" hidden="1" x14ac:dyDescent="0.25">
      <c r="A697" s="27">
        <v>386</v>
      </c>
      <c r="B697" s="2" t="s">
        <v>22</v>
      </c>
      <c r="C697" s="2" t="s">
        <v>23</v>
      </c>
      <c r="D697" s="2" t="s">
        <v>37</v>
      </c>
      <c r="E697" s="2" t="s">
        <v>36</v>
      </c>
      <c r="F697" s="2" t="s">
        <v>547</v>
      </c>
      <c r="G697" s="2" t="s">
        <v>548</v>
      </c>
      <c r="H697" s="2" t="s">
        <v>1431</v>
      </c>
      <c r="I697" s="2" t="s">
        <v>599</v>
      </c>
      <c r="J697" s="2" t="s">
        <v>3512</v>
      </c>
      <c r="K697" s="2" t="s">
        <v>3513</v>
      </c>
      <c r="L697" s="2" t="s">
        <v>2074</v>
      </c>
      <c r="M697" s="2">
        <v>5700</v>
      </c>
      <c r="N697" s="2" t="s">
        <v>1658</v>
      </c>
      <c r="O697" s="2">
        <v>109</v>
      </c>
      <c r="P697" s="2">
        <v>896</v>
      </c>
      <c r="Q697" s="2" t="s">
        <v>1658</v>
      </c>
      <c r="R697" s="2">
        <v>57</v>
      </c>
      <c r="S697" s="2" t="s">
        <v>1658</v>
      </c>
      <c r="T697" s="2">
        <v>52</v>
      </c>
      <c r="U697" s="2" t="s">
        <v>1661</v>
      </c>
      <c r="V697" s="2" t="s">
        <v>32</v>
      </c>
      <c r="W697" s="2" t="s">
        <v>1660</v>
      </c>
      <c r="X697" s="2">
        <v>0</v>
      </c>
      <c r="Y697" s="2" t="s">
        <v>32</v>
      </c>
      <c r="Z697" s="2" t="s">
        <v>32</v>
      </c>
      <c r="AA697" s="2" t="s">
        <v>1660</v>
      </c>
      <c r="AB697" s="2">
        <v>0</v>
      </c>
      <c r="AC697" s="2" t="s">
        <v>1660</v>
      </c>
      <c r="AD697" s="2">
        <v>0</v>
      </c>
      <c r="AE697" s="2" t="s">
        <v>1660</v>
      </c>
      <c r="AF697" s="2">
        <v>0</v>
      </c>
      <c r="AG697" s="2">
        <v>0</v>
      </c>
      <c r="AH697" s="2" t="s">
        <v>32</v>
      </c>
      <c r="AI697" s="2" t="s">
        <v>32</v>
      </c>
      <c r="AJ697" s="2" t="s">
        <v>32</v>
      </c>
      <c r="AK697" s="2" t="s">
        <v>32</v>
      </c>
      <c r="AL697" s="2" t="s">
        <v>32</v>
      </c>
      <c r="AM697" s="2">
        <v>0</v>
      </c>
      <c r="AN697" s="2" t="s">
        <v>32</v>
      </c>
      <c r="AO697" s="2">
        <v>0</v>
      </c>
      <c r="AP697" s="2" t="s">
        <v>32</v>
      </c>
      <c r="AQ697" s="2" t="s">
        <v>32</v>
      </c>
      <c r="AR697" s="2" t="s">
        <v>32</v>
      </c>
      <c r="AS697" s="2">
        <v>0</v>
      </c>
      <c r="AT697" s="2" t="s">
        <v>32</v>
      </c>
      <c r="AU697" s="2" t="s">
        <v>32</v>
      </c>
      <c r="AV697" s="2" t="s">
        <v>32</v>
      </c>
      <c r="AW697" s="2">
        <v>0</v>
      </c>
      <c r="AX697" s="2" t="s">
        <v>32</v>
      </c>
      <c r="AY697" s="2">
        <v>0</v>
      </c>
      <c r="AZ697" s="2" t="s">
        <v>1658</v>
      </c>
      <c r="BA697" s="2">
        <v>29</v>
      </c>
      <c r="BB697" s="2">
        <v>193</v>
      </c>
      <c r="BC697" s="2" t="s">
        <v>1658</v>
      </c>
      <c r="BD697" s="2">
        <v>18</v>
      </c>
      <c r="BE697" s="2" t="s">
        <v>1658</v>
      </c>
      <c r="BF697" s="2">
        <v>11</v>
      </c>
      <c r="BG697" s="2" t="s">
        <v>1660</v>
      </c>
      <c r="BH697" s="2">
        <v>0</v>
      </c>
      <c r="BI697" s="2" t="s">
        <v>32</v>
      </c>
      <c r="BJ697" s="2" t="s">
        <v>32</v>
      </c>
      <c r="BK697" s="2" t="s">
        <v>1660</v>
      </c>
      <c r="BL697" s="2">
        <v>0</v>
      </c>
      <c r="BM697" s="2" t="s">
        <v>32</v>
      </c>
      <c r="BN697" s="2" t="s">
        <v>32</v>
      </c>
      <c r="BO697" s="2" t="s">
        <v>1660</v>
      </c>
      <c r="BP697" s="2">
        <v>0</v>
      </c>
      <c r="BQ697" s="2" t="s">
        <v>1660</v>
      </c>
      <c r="BR697" s="2">
        <v>0</v>
      </c>
      <c r="BS697" s="2" t="s">
        <v>1660</v>
      </c>
      <c r="BT697" s="2">
        <v>0</v>
      </c>
      <c r="BU697" s="2">
        <v>0</v>
      </c>
      <c r="BV697" s="2" t="s">
        <v>1660</v>
      </c>
      <c r="BW697" s="2"/>
      <c r="BX697" s="2"/>
      <c r="BY697" s="2" t="s">
        <v>1807</v>
      </c>
      <c r="BZ697" s="2" t="b">
        <f>OR( (Dashboard[[#This Row],[ref_as_hh]]&gt;=1),(Dashboard[[#This Row],[ret_as_hh]] &gt;=1), (Dashboard[[#This Row],[idp_as_hh]]&gt;=1))</f>
        <v>0</v>
      </c>
      <c r="CA697" s="2">
        <f>Dashboard[[#This Row],[ret_hi_hh]]</f>
        <v>18</v>
      </c>
      <c r="CB697" s="2">
        <f>Dashboard[[#This Row],[idp_fa_hh]]+Dashboard[[#This Row],[ref_fa_hh]]+Dashboard[[#This Row],[ret_fa_hh]]</f>
        <v>68</v>
      </c>
      <c r="CC697" s="2">
        <f>Dashboard[[#This Row],[idp_loc_hh]]+Dashboard[[#This Row],[ref_loc_hh]]+Dashboard[[#This Row],[ret_loc_hh]]</f>
        <v>52</v>
      </c>
      <c r="CD697" s="2">
        <f>Dashboard[[#This Row],[idp_cc_hh]]+Dashboard[[#This Row],[ref_cc_hh]]+Dashboard[[#This Row],[ret_cc_hh]]</f>
        <v>0</v>
      </c>
      <c r="CE697" s="2">
        <f>Dashboard[[#This Row],[idp_as_hh]]+Dashboard[[#This Row],[ref_as_hh]]+Dashboard[[#This Row],[ret_as_hh]]</f>
        <v>0</v>
      </c>
      <c r="CF697" s="2">
        <f>Dashboard[[#This Row],[idp_al_hh]]+Dashboard[[#This Row],[ref_al_hh]]+Dashboard[[#This Row],[ret_al_hh]]</f>
        <v>0</v>
      </c>
    </row>
    <row r="698" spans="1:84" hidden="1" x14ac:dyDescent="0.25">
      <c r="A698" s="27">
        <v>141</v>
      </c>
      <c r="B698" s="2" t="s">
        <v>22</v>
      </c>
      <c r="C698" s="2" t="s">
        <v>23</v>
      </c>
      <c r="D698" s="2" t="s">
        <v>37</v>
      </c>
      <c r="E698" s="2" t="s">
        <v>36</v>
      </c>
      <c r="F698" s="2" t="s">
        <v>547</v>
      </c>
      <c r="G698" s="2" t="s">
        <v>548</v>
      </c>
      <c r="H698" s="2" t="s">
        <v>1422</v>
      </c>
      <c r="I698" s="2" t="s">
        <v>560</v>
      </c>
      <c r="J698" s="2" t="s">
        <v>3488</v>
      </c>
      <c r="K698" s="2" t="s">
        <v>3489</v>
      </c>
      <c r="L698" s="2" t="s">
        <v>2074</v>
      </c>
      <c r="M698" s="2">
        <v>2000</v>
      </c>
      <c r="N698" s="2" t="s">
        <v>1658</v>
      </c>
      <c r="O698" s="2">
        <v>40</v>
      </c>
      <c r="P698" s="2">
        <v>287</v>
      </c>
      <c r="Q698" s="2" t="s">
        <v>1658</v>
      </c>
      <c r="R698" s="2">
        <v>29</v>
      </c>
      <c r="S698" s="2" t="s">
        <v>1658</v>
      </c>
      <c r="T698" s="2">
        <v>11</v>
      </c>
      <c r="U698" s="2" t="s">
        <v>1661</v>
      </c>
      <c r="V698" s="2" t="s">
        <v>32</v>
      </c>
      <c r="W698" s="2" t="s">
        <v>1660</v>
      </c>
      <c r="X698" s="2">
        <v>0</v>
      </c>
      <c r="Y698" s="2" t="s">
        <v>32</v>
      </c>
      <c r="Z698" s="2" t="s">
        <v>32</v>
      </c>
      <c r="AA698" s="2" t="s">
        <v>1660</v>
      </c>
      <c r="AB698" s="2">
        <v>0</v>
      </c>
      <c r="AC698" s="2" t="s">
        <v>1660</v>
      </c>
      <c r="AD698" s="2">
        <v>0</v>
      </c>
      <c r="AE698" s="2" t="s">
        <v>1660</v>
      </c>
      <c r="AF698" s="2">
        <v>0</v>
      </c>
      <c r="AG698" s="2">
        <v>0</v>
      </c>
      <c r="AH698" s="2" t="s">
        <v>32</v>
      </c>
      <c r="AI698" s="2" t="s">
        <v>32</v>
      </c>
      <c r="AJ698" s="2" t="s">
        <v>32</v>
      </c>
      <c r="AK698" s="2" t="s">
        <v>32</v>
      </c>
      <c r="AL698" s="2" t="s">
        <v>32</v>
      </c>
      <c r="AM698" s="2">
        <v>0</v>
      </c>
      <c r="AN698" s="2" t="s">
        <v>32</v>
      </c>
      <c r="AO698" s="2">
        <v>0</v>
      </c>
      <c r="AP698" s="2" t="s">
        <v>32</v>
      </c>
      <c r="AQ698" s="2" t="s">
        <v>32</v>
      </c>
      <c r="AR698" s="2" t="s">
        <v>32</v>
      </c>
      <c r="AS698" s="2">
        <v>0</v>
      </c>
      <c r="AT698" s="2" t="s">
        <v>32</v>
      </c>
      <c r="AU698" s="2" t="s">
        <v>32</v>
      </c>
      <c r="AV698" s="2" t="s">
        <v>32</v>
      </c>
      <c r="AW698" s="2">
        <v>0</v>
      </c>
      <c r="AX698" s="2" t="s">
        <v>32</v>
      </c>
      <c r="AY698" s="2">
        <v>0</v>
      </c>
      <c r="AZ698" s="2" t="s">
        <v>1660</v>
      </c>
      <c r="BA698" s="2">
        <v>0</v>
      </c>
      <c r="BB698" s="2">
        <v>0</v>
      </c>
      <c r="BC698" s="2" t="s">
        <v>32</v>
      </c>
      <c r="BD698" s="2">
        <v>0</v>
      </c>
      <c r="BE698" s="2" t="s">
        <v>32</v>
      </c>
      <c r="BF698" s="2">
        <v>0</v>
      </c>
      <c r="BG698" s="2" t="s">
        <v>32</v>
      </c>
      <c r="BH698" s="2">
        <v>0</v>
      </c>
      <c r="BI698" s="2" t="s">
        <v>32</v>
      </c>
      <c r="BJ698" s="2" t="s">
        <v>32</v>
      </c>
      <c r="BK698" s="2" t="s">
        <v>32</v>
      </c>
      <c r="BL698" s="2">
        <v>0</v>
      </c>
      <c r="BM698" s="2" t="s">
        <v>32</v>
      </c>
      <c r="BN698" s="2" t="s">
        <v>32</v>
      </c>
      <c r="BO698" s="2" t="s">
        <v>32</v>
      </c>
      <c r="BP698" s="2">
        <v>0</v>
      </c>
      <c r="BQ698" s="2" t="s">
        <v>32</v>
      </c>
      <c r="BR698" s="2">
        <v>0</v>
      </c>
      <c r="BS698" s="2" t="s">
        <v>1660</v>
      </c>
      <c r="BT698" s="2">
        <v>0</v>
      </c>
      <c r="BU698" s="2">
        <v>0</v>
      </c>
      <c r="BV698" s="2" t="s">
        <v>1660</v>
      </c>
      <c r="BW698" s="2"/>
      <c r="BX698" s="2"/>
      <c r="BY698" s="2" t="s">
        <v>1807</v>
      </c>
      <c r="BZ698" s="2" t="b">
        <f>OR( (Dashboard[[#This Row],[ref_as_hh]]&gt;=1),(Dashboard[[#This Row],[ret_as_hh]] &gt;=1), (Dashboard[[#This Row],[idp_as_hh]]&gt;=1))</f>
        <v>0</v>
      </c>
      <c r="CA698" s="2">
        <f>Dashboard[[#This Row],[ret_hi_hh]]</f>
        <v>0</v>
      </c>
      <c r="CB698" s="2">
        <f>Dashboard[[#This Row],[idp_fa_hh]]+Dashboard[[#This Row],[ref_fa_hh]]+Dashboard[[#This Row],[ret_fa_hh]]</f>
        <v>29</v>
      </c>
      <c r="CC698" s="2">
        <f>Dashboard[[#This Row],[idp_loc_hh]]+Dashboard[[#This Row],[ref_loc_hh]]+Dashboard[[#This Row],[ret_loc_hh]]</f>
        <v>11</v>
      </c>
      <c r="CD698" s="2">
        <f>Dashboard[[#This Row],[idp_cc_hh]]+Dashboard[[#This Row],[ref_cc_hh]]+Dashboard[[#This Row],[ret_cc_hh]]</f>
        <v>0</v>
      </c>
      <c r="CE698" s="2">
        <f>Dashboard[[#This Row],[idp_as_hh]]+Dashboard[[#This Row],[ref_as_hh]]+Dashboard[[#This Row],[ret_as_hh]]</f>
        <v>0</v>
      </c>
      <c r="CF698" s="2">
        <f>Dashboard[[#This Row],[idp_al_hh]]+Dashboard[[#This Row],[ref_al_hh]]+Dashboard[[#This Row],[ret_al_hh]]</f>
        <v>0</v>
      </c>
    </row>
    <row r="699" spans="1:84" hidden="1" x14ac:dyDescent="0.25">
      <c r="A699" s="27">
        <v>148</v>
      </c>
      <c r="B699" s="2" t="s">
        <v>22</v>
      </c>
      <c r="C699" s="2" t="s">
        <v>23</v>
      </c>
      <c r="D699" s="2" t="s">
        <v>37</v>
      </c>
      <c r="E699" s="2" t="s">
        <v>36</v>
      </c>
      <c r="F699" s="2" t="s">
        <v>547</v>
      </c>
      <c r="G699" s="2" t="s">
        <v>548</v>
      </c>
      <c r="H699" s="2" t="s">
        <v>1438</v>
      </c>
      <c r="I699" s="2" t="s">
        <v>574</v>
      </c>
      <c r="J699" s="2" t="s">
        <v>3526</v>
      </c>
      <c r="K699" s="2" t="s">
        <v>3527</v>
      </c>
      <c r="L699" s="2" t="s">
        <v>2074</v>
      </c>
      <c r="M699" s="2">
        <v>2444</v>
      </c>
      <c r="N699" s="2" t="s">
        <v>1658</v>
      </c>
      <c r="O699" s="2">
        <v>92</v>
      </c>
      <c r="P699" s="2">
        <v>646</v>
      </c>
      <c r="Q699" s="2" t="s">
        <v>1658</v>
      </c>
      <c r="R699" s="2">
        <v>11</v>
      </c>
      <c r="S699" s="2" t="s">
        <v>1658</v>
      </c>
      <c r="T699" s="2">
        <v>81</v>
      </c>
      <c r="U699" s="2" t="s">
        <v>1659</v>
      </c>
      <c r="V699" s="2" t="s">
        <v>32</v>
      </c>
      <c r="W699" s="2" t="s">
        <v>1660</v>
      </c>
      <c r="X699" s="2">
        <v>0</v>
      </c>
      <c r="Y699" s="2" t="s">
        <v>32</v>
      </c>
      <c r="Z699" s="2" t="s">
        <v>32</v>
      </c>
      <c r="AA699" s="2" t="s">
        <v>1660</v>
      </c>
      <c r="AB699" s="2">
        <v>0</v>
      </c>
      <c r="AC699" s="2" t="s">
        <v>1660</v>
      </c>
      <c r="AD699" s="2">
        <v>0</v>
      </c>
      <c r="AE699" s="2" t="s">
        <v>1660</v>
      </c>
      <c r="AF699" s="2">
        <v>0</v>
      </c>
      <c r="AG699" s="2">
        <v>0</v>
      </c>
      <c r="AH699" s="2" t="s">
        <v>32</v>
      </c>
      <c r="AI699" s="2" t="s">
        <v>32</v>
      </c>
      <c r="AJ699" s="2" t="s">
        <v>32</v>
      </c>
      <c r="AK699" s="2" t="s">
        <v>32</v>
      </c>
      <c r="AL699" s="2" t="s">
        <v>32</v>
      </c>
      <c r="AM699" s="2">
        <v>0</v>
      </c>
      <c r="AN699" s="2" t="s">
        <v>32</v>
      </c>
      <c r="AO699" s="2">
        <v>0</v>
      </c>
      <c r="AP699" s="2" t="s">
        <v>32</v>
      </c>
      <c r="AQ699" s="2" t="s">
        <v>32</v>
      </c>
      <c r="AR699" s="2" t="s">
        <v>32</v>
      </c>
      <c r="AS699" s="2">
        <v>0</v>
      </c>
      <c r="AT699" s="2" t="s">
        <v>32</v>
      </c>
      <c r="AU699" s="2" t="s">
        <v>32</v>
      </c>
      <c r="AV699" s="2" t="s">
        <v>32</v>
      </c>
      <c r="AW699" s="2">
        <v>0</v>
      </c>
      <c r="AX699" s="2" t="s">
        <v>32</v>
      </c>
      <c r="AY699" s="2">
        <v>0</v>
      </c>
      <c r="AZ699" s="2" t="s">
        <v>1658</v>
      </c>
      <c r="BA699" s="2">
        <v>16</v>
      </c>
      <c r="BB699" s="2">
        <v>109</v>
      </c>
      <c r="BC699" s="2" t="s">
        <v>1658</v>
      </c>
      <c r="BD699" s="2">
        <v>11</v>
      </c>
      <c r="BE699" s="2" t="s">
        <v>1658</v>
      </c>
      <c r="BF699" s="2">
        <v>5</v>
      </c>
      <c r="BG699" s="2" t="s">
        <v>1660</v>
      </c>
      <c r="BH699" s="2">
        <v>0</v>
      </c>
      <c r="BI699" s="2" t="s">
        <v>32</v>
      </c>
      <c r="BJ699" s="2" t="s">
        <v>32</v>
      </c>
      <c r="BK699" s="2" t="s">
        <v>1660</v>
      </c>
      <c r="BL699" s="2">
        <v>0</v>
      </c>
      <c r="BM699" s="2" t="s">
        <v>32</v>
      </c>
      <c r="BN699" s="2" t="s">
        <v>32</v>
      </c>
      <c r="BO699" s="2" t="s">
        <v>1660</v>
      </c>
      <c r="BP699" s="2">
        <v>0</v>
      </c>
      <c r="BQ699" s="2" t="s">
        <v>1660</v>
      </c>
      <c r="BR699" s="2">
        <v>0</v>
      </c>
      <c r="BS699" s="2" t="s">
        <v>1660</v>
      </c>
      <c r="BT699" s="2">
        <v>0</v>
      </c>
      <c r="BU699" s="2">
        <v>0</v>
      </c>
      <c r="BV699" s="2" t="s">
        <v>1660</v>
      </c>
      <c r="BW699" s="2"/>
      <c r="BX699" s="2"/>
      <c r="BY699" s="2" t="s">
        <v>1807</v>
      </c>
      <c r="BZ699" s="2" t="b">
        <f>OR( (Dashboard[[#This Row],[ref_as_hh]]&gt;=1),(Dashboard[[#This Row],[ret_as_hh]] &gt;=1), (Dashboard[[#This Row],[idp_as_hh]]&gt;=1))</f>
        <v>0</v>
      </c>
      <c r="CA699" s="2">
        <f>Dashboard[[#This Row],[ret_hi_hh]]</f>
        <v>11</v>
      </c>
      <c r="CB699" s="2">
        <f>Dashboard[[#This Row],[idp_fa_hh]]+Dashboard[[#This Row],[ref_fa_hh]]+Dashboard[[#This Row],[ret_fa_hh]]</f>
        <v>16</v>
      </c>
      <c r="CC699" s="2">
        <f>Dashboard[[#This Row],[idp_loc_hh]]+Dashboard[[#This Row],[ref_loc_hh]]+Dashboard[[#This Row],[ret_loc_hh]]</f>
        <v>81</v>
      </c>
      <c r="CD699" s="2">
        <f>Dashboard[[#This Row],[idp_cc_hh]]+Dashboard[[#This Row],[ref_cc_hh]]+Dashboard[[#This Row],[ret_cc_hh]]</f>
        <v>0</v>
      </c>
      <c r="CE699" s="2">
        <f>Dashboard[[#This Row],[idp_as_hh]]+Dashboard[[#This Row],[ref_as_hh]]+Dashboard[[#This Row],[ret_as_hh]]</f>
        <v>0</v>
      </c>
      <c r="CF699" s="2">
        <f>Dashboard[[#This Row],[idp_al_hh]]+Dashboard[[#This Row],[ref_al_hh]]+Dashboard[[#This Row],[ret_al_hh]]</f>
        <v>0</v>
      </c>
    </row>
    <row r="700" spans="1:84" hidden="1" x14ac:dyDescent="0.25">
      <c r="A700" s="27">
        <v>665</v>
      </c>
      <c r="B700" s="2" t="s">
        <v>22</v>
      </c>
      <c r="C700" s="2" t="s">
        <v>23</v>
      </c>
      <c r="D700" s="2" t="s">
        <v>37</v>
      </c>
      <c r="E700" s="2" t="s">
        <v>36</v>
      </c>
      <c r="F700" s="2" t="s">
        <v>547</v>
      </c>
      <c r="G700" s="2" t="s">
        <v>548</v>
      </c>
      <c r="H700" s="2" t="s">
        <v>1435</v>
      </c>
      <c r="I700" s="2" t="s">
        <v>571</v>
      </c>
      <c r="J700" s="2" t="s">
        <v>3520</v>
      </c>
      <c r="K700" s="2" t="s">
        <v>3521</v>
      </c>
      <c r="L700" s="2" t="s">
        <v>2074</v>
      </c>
      <c r="M700" s="2">
        <v>4500</v>
      </c>
      <c r="N700" s="2" t="s">
        <v>1658</v>
      </c>
      <c r="O700" s="2">
        <v>173</v>
      </c>
      <c r="P700" s="2">
        <v>1320</v>
      </c>
      <c r="Q700" s="2" t="s">
        <v>1658</v>
      </c>
      <c r="R700" s="2">
        <v>115</v>
      </c>
      <c r="S700" s="2" t="s">
        <v>1658</v>
      </c>
      <c r="T700" s="2">
        <v>58</v>
      </c>
      <c r="U700" s="2" t="s">
        <v>1661</v>
      </c>
      <c r="V700" s="2" t="s">
        <v>32</v>
      </c>
      <c r="W700" s="2" t="s">
        <v>1660</v>
      </c>
      <c r="X700" s="2">
        <v>0</v>
      </c>
      <c r="Y700" s="2" t="s">
        <v>32</v>
      </c>
      <c r="Z700" s="2" t="s">
        <v>32</v>
      </c>
      <c r="AA700" s="2" t="s">
        <v>1660</v>
      </c>
      <c r="AB700" s="2">
        <v>0</v>
      </c>
      <c r="AC700" s="2" t="s">
        <v>1660</v>
      </c>
      <c r="AD700" s="2">
        <v>0</v>
      </c>
      <c r="AE700" s="2" t="s">
        <v>1660</v>
      </c>
      <c r="AF700" s="2">
        <v>0</v>
      </c>
      <c r="AG700" s="2">
        <v>0</v>
      </c>
      <c r="AH700" s="2" t="s">
        <v>32</v>
      </c>
      <c r="AI700" s="2" t="s">
        <v>32</v>
      </c>
      <c r="AJ700" s="2" t="s">
        <v>32</v>
      </c>
      <c r="AK700" s="2" t="s">
        <v>32</v>
      </c>
      <c r="AL700" s="2" t="s">
        <v>32</v>
      </c>
      <c r="AM700" s="2">
        <v>0</v>
      </c>
      <c r="AN700" s="2" t="s">
        <v>32</v>
      </c>
      <c r="AO700" s="2">
        <v>0</v>
      </c>
      <c r="AP700" s="2" t="s">
        <v>32</v>
      </c>
      <c r="AQ700" s="2" t="s">
        <v>32</v>
      </c>
      <c r="AR700" s="2" t="s">
        <v>32</v>
      </c>
      <c r="AS700" s="2">
        <v>0</v>
      </c>
      <c r="AT700" s="2" t="s">
        <v>32</v>
      </c>
      <c r="AU700" s="2" t="s">
        <v>32</v>
      </c>
      <c r="AV700" s="2" t="s">
        <v>32</v>
      </c>
      <c r="AW700" s="2">
        <v>0</v>
      </c>
      <c r="AX700" s="2" t="s">
        <v>32</v>
      </c>
      <c r="AY700" s="2">
        <v>0</v>
      </c>
      <c r="AZ700" s="2" t="s">
        <v>1658</v>
      </c>
      <c r="BA700" s="2">
        <v>53</v>
      </c>
      <c r="BB700" s="2">
        <v>284</v>
      </c>
      <c r="BC700" s="2" t="s">
        <v>1658</v>
      </c>
      <c r="BD700" s="2">
        <v>35</v>
      </c>
      <c r="BE700" s="2" t="s">
        <v>1658</v>
      </c>
      <c r="BF700" s="2">
        <v>0</v>
      </c>
      <c r="BG700" s="2" t="s">
        <v>1658</v>
      </c>
      <c r="BH700" s="2">
        <v>18</v>
      </c>
      <c r="BI700" s="2" t="s">
        <v>1661</v>
      </c>
      <c r="BJ700" s="2" t="s">
        <v>32</v>
      </c>
      <c r="BK700" s="2" t="s">
        <v>1660</v>
      </c>
      <c r="BL700" s="2">
        <v>0</v>
      </c>
      <c r="BM700" s="2" t="s">
        <v>32</v>
      </c>
      <c r="BN700" s="2" t="s">
        <v>32</v>
      </c>
      <c r="BO700" s="2" t="s">
        <v>1660</v>
      </c>
      <c r="BP700" s="2">
        <v>0</v>
      </c>
      <c r="BQ700" s="2" t="s">
        <v>1660</v>
      </c>
      <c r="BR700" s="2">
        <v>0</v>
      </c>
      <c r="BS700" s="2" t="s">
        <v>1660</v>
      </c>
      <c r="BT700" s="2">
        <v>0</v>
      </c>
      <c r="BU700" s="2">
        <v>0</v>
      </c>
      <c r="BV700" s="2" t="s">
        <v>1660</v>
      </c>
      <c r="BW700" s="2"/>
      <c r="BX700" s="2"/>
      <c r="BY700" s="2" t="s">
        <v>1807</v>
      </c>
      <c r="BZ700" s="2" t="b">
        <f>OR( (Dashboard[[#This Row],[ref_as_hh]]&gt;=1),(Dashboard[[#This Row],[ret_as_hh]] &gt;=1), (Dashboard[[#This Row],[idp_as_hh]]&gt;=1))</f>
        <v>0</v>
      </c>
      <c r="CA700" s="2">
        <f>Dashboard[[#This Row],[ret_hi_hh]]</f>
        <v>35</v>
      </c>
      <c r="CB700" s="2">
        <f>Dashboard[[#This Row],[idp_fa_hh]]+Dashboard[[#This Row],[ref_fa_hh]]+Dashboard[[#This Row],[ret_fa_hh]]</f>
        <v>115</v>
      </c>
      <c r="CC700" s="2">
        <f>Dashboard[[#This Row],[idp_loc_hh]]+Dashboard[[#This Row],[ref_loc_hh]]+Dashboard[[#This Row],[ret_loc_hh]]</f>
        <v>76</v>
      </c>
      <c r="CD700" s="2">
        <f>Dashboard[[#This Row],[idp_cc_hh]]+Dashboard[[#This Row],[ref_cc_hh]]+Dashboard[[#This Row],[ret_cc_hh]]</f>
        <v>0</v>
      </c>
      <c r="CE700" s="2">
        <f>Dashboard[[#This Row],[idp_as_hh]]+Dashboard[[#This Row],[ref_as_hh]]+Dashboard[[#This Row],[ret_as_hh]]</f>
        <v>0</v>
      </c>
      <c r="CF700" s="2">
        <f>Dashboard[[#This Row],[idp_al_hh]]+Dashboard[[#This Row],[ref_al_hh]]+Dashboard[[#This Row],[ret_al_hh]]</f>
        <v>0</v>
      </c>
    </row>
    <row r="701" spans="1:84" hidden="1" x14ac:dyDescent="0.25">
      <c r="A701" s="27">
        <v>666</v>
      </c>
      <c r="B701" s="2" t="s">
        <v>22</v>
      </c>
      <c r="C701" s="2" t="s">
        <v>23</v>
      </c>
      <c r="D701" s="2" t="s">
        <v>37</v>
      </c>
      <c r="E701" s="2" t="s">
        <v>36</v>
      </c>
      <c r="F701" s="2" t="s">
        <v>547</v>
      </c>
      <c r="G701" s="2" t="s">
        <v>548</v>
      </c>
      <c r="H701" s="2" t="s">
        <v>1433</v>
      </c>
      <c r="I701" s="2" t="s">
        <v>569</v>
      </c>
      <c r="J701" s="2" t="s">
        <v>3516</v>
      </c>
      <c r="K701" s="2" t="s">
        <v>3517</v>
      </c>
      <c r="L701" s="2" t="s">
        <v>2074</v>
      </c>
      <c r="M701" s="2">
        <v>2500</v>
      </c>
      <c r="N701" s="2" t="s">
        <v>1658</v>
      </c>
      <c r="O701" s="2">
        <v>21</v>
      </c>
      <c r="P701" s="2">
        <v>129</v>
      </c>
      <c r="Q701" s="2" t="s">
        <v>1658</v>
      </c>
      <c r="R701" s="2">
        <v>16</v>
      </c>
      <c r="S701" s="2" t="s">
        <v>1658</v>
      </c>
      <c r="T701" s="2">
        <v>5</v>
      </c>
      <c r="U701" s="2" t="s">
        <v>1661</v>
      </c>
      <c r="V701" s="2" t="s">
        <v>32</v>
      </c>
      <c r="W701" s="2" t="s">
        <v>1660</v>
      </c>
      <c r="X701" s="2">
        <v>0</v>
      </c>
      <c r="Y701" s="2" t="s">
        <v>32</v>
      </c>
      <c r="Z701" s="2" t="s">
        <v>32</v>
      </c>
      <c r="AA701" s="2" t="s">
        <v>1660</v>
      </c>
      <c r="AB701" s="2">
        <v>0</v>
      </c>
      <c r="AC701" s="2" t="s">
        <v>1660</v>
      </c>
      <c r="AD701" s="2">
        <v>0</v>
      </c>
      <c r="AE701" s="2" t="s">
        <v>1660</v>
      </c>
      <c r="AF701" s="2">
        <v>0</v>
      </c>
      <c r="AG701" s="2">
        <v>0</v>
      </c>
      <c r="AH701" s="2" t="s">
        <v>32</v>
      </c>
      <c r="AI701" s="2" t="s">
        <v>32</v>
      </c>
      <c r="AJ701" s="2" t="s">
        <v>32</v>
      </c>
      <c r="AK701" s="2" t="s">
        <v>32</v>
      </c>
      <c r="AL701" s="2" t="s">
        <v>32</v>
      </c>
      <c r="AM701" s="2">
        <v>0</v>
      </c>
      <c r="AN701" s="2" t="s">
        <v>32</v>
      </c>
      <c r="AO701" s="2">
        <v>0</v>
      </c>
      <c r="AP701" s="2" t="s">
        <v>32</v>
      </c>
      <c r="AQ701" s="2" t="s">
        <v>32</v>
      </c>
      <c r="AR701" s="2" t="s">
        <v>32</v>
      </c>
      <c r="AS701" s="2">
        <v>0</v>
      </c>
      <c r="AT701" s="2" t="s">
        <v>32</v>
      </c>
      <c r="AU701" s="2" t="s">
        <v>32</v>
      </c>
      <c r="AV701" s="2" t="s">
        <v>32</v>
      </c>
      <c r="AW701" s="2">
        <v>0</v>
      </c>
      <c r="AX701" s="2" t="s">
        <v>32</v>
      </c>
      <c r="AY701" s="2">
        <v>0</v>
      </c>
      <c r="AZ701" s="2" t="s">
        <v>1658</v>
      </c>
      <c r="BA701" s="2">
        <v>21</v>
      </c>
      <c r="BB701" s="2">
        <v>142</v>
      </c>
      <c r="BC701" s="2" t="s">
        <v>1658</v>
      </c>
      <c r="BD701" s="2">
        <v>16</v>
      </c>
      <c r="BE701" s="2" t="s">
        <v>1658</v>
      </c>
      <c r="BF701" s="2">
        <v>5</v>
      </c>
      <c r="BG701" s="2" t="s">
        <v>1660</v>
      </c>
      <c r="BH701" s="2">
        <v>0</v>
      </c>
      <c r="BI701" s="2" t="s">
        <v>32</v>
      </c>
      <c r="BJ701" s="2" t="s">
        <v>32</v>
      </c>
      <c r="BK701" s="2" t="s">
        <v>1660</v>
      </c>
      <c r="BL701" s="2">
        <v>0</v>
      </c>
      <c r="BM701" s="2" t="s">
        <v>32</v>
      </c>
      <c r="BN701" s="2" t="s">
        <v>32</v>
      </c>
      <c r="BO701" s="2" t="s">
        <v>1660</v>
      </c>
      <c r="BP701" s="2">
        <v>0</v>
      </c>
      <c r="BQ701" s="2" t="s">
        <v>1660</v>
      </c>
      <c r="BR701" s="2">
        <v>0</v>
      </c>
      <c r="BS701" s="2" t="s">
        <v>1660</v>
      </c>
      <c r="BT701" s="2">
        <v>0</v>
      </c>
      <c r="BU701" s="2">
        <v>0</v>
      </c>
      <c r="BV701" s="2" t="s">
        <v>1660</v>
      </c>
      <c r="BW701" s="2"/>
      <c r="BX701" s="2"/>
      <c r="BY701" s="2" t="s">
        <v>1807</v>
      </c>
      <c r="BZ701" s="2" t="b">
        <f>OR( (Dashboard[[#This Row],[ref_as_hh]]&gt;=1),(Dashboard[[#This Row],[ret_as_hh]] &gt;=1), (Dashboard[[#This Row],[idp_as_hh]]&gt;=1))</f>
        <v>0</v>
      </c>
      <c r="CA701" s="2">
        <f>Dashboard[[#This Row],[ret_hi_hh]]</f>
        <v>16</v>
      </c>
      <c r="CB701" s="2">
        <f>Dashboard[[#This Row],[idp_fa_hh]]+Dashboard[[#This Row],[ref_fa_hh]]+Dashboard[[#This Row],[ret_fa_hh]]</f>
        <v>21</v>
      </c>
      <c r="CC701" s="2">
        <f>Dashboard[[#This Row],[idp_loc_hh]]+Dashboard[[#This Row],[ref_loc_hh]]+Dashboard[[#This Row],[ret_loc_hh]]</f>
        <v>5</v>
      </c>
      <c r="CD701" s="2">
        <f>Dashboard[[#This Row],[idp_cc_hh]]+Dashboard[[#This Row],[ref_cc_hh]]+Dashboard[[#This Row],[ret_cc_hh]]</f>
        <v>0</v>
      </c>
      <c r="CE701" s="2">
        <f>Dashboard[[#This Row],[idp_as_hh]]+Dashboard[[#This Row],[ref_as_hh]]+Dashboard[[#This Row],[ret_as_hh]]</f>
        <v>0</v>
      </c>
      <c r="CF701" s="2">
        <f>Dashboard[[#This Row],[idp_al_hh]]+Dashboard[[#This Row],[ref_al_hh]]+Dashboard[[#This Row],[ret_al_hh]]</f>
        <v>0</v>
      </c>
    </row>
    <row r="702" spans="1:84" hidden="1" x14ac:dyDescent="0.25">
      <c r="A702" s="27">
        <v>414</v>
      </c>
      <c r="B702" s="2" t="s">
        <v>22</v>
      </c>
      <c r="C702" s="2" t="s">
        <v>23</v>
      </c>
      <c r="D702" s="2" t="s">
        <v>37</v>
      </c>
      <c r="E702" s="2" t="s">
        <v>36</v>
      </c>
      <c r="F702" s="2" t="s">
        <v>547</v>
      </c>
      <c r="G702" s="2" t="s">
        <v>548</v>
      </c>
      <c r="H702" s="2" t="s">
        <v>1427</v>
      </c>
      <c r="I702" s="2" t="s">
        <v>565</v>
      </c>
      <c r="J702" s="2" t="s">
        <v>3502</v>
      </c>
      <c r="K702" s="2" t="s">
        <v>3503</v>
      </c>
      <c r="L702" s="2" t="s">
        <v>2074</v>
      </c>
      <c r="M702" s="2">
        <v>4140</v>
      </c>
      <c r="N702" s="2" t="s">
        <v>1658</v>
      </c>
      <c r="O702" s="2">
        <v>61</v>
      </c>
      <c r="P702" s="2">
        <v>471</v>
      </c>
      <c r="Q702" s="2" t="s">
        <v>1658</v>
      </c>
      <c r="R702" s="2">
        <v>35</v>
      </c>
      <c r="S702" s="2" t="s">
        <v>1658</v>
      </c>
      <c r="T702" s="2">
        <v>26</v>
      </c>
      <c r="U702" s="2" t="s">
        <v>1661</v>
      </c>
      <c r="V702" s="2" t="s">
        <v>32</v>
      </c>
      <c r="W702" s="2" t="s">
        <v>1660</v>
      </c>
      <c r="X702" s="2">
        <v>0</v>
      </c>
      <c r="Y702" s="2" t="s">
        <v>32</v>
      </c>
      <c r="Z702" s="2" t="s">
        <v>32</v>
      </c>
      <c r="AA702" s="2" t="s">
        <v>1660</v>
      </c>
      <c r="AB702" s="2">
        <v>0</v>
      </c>
      <c r="AC702" s="2" t="s">
        <v>1660</v>
      </c>
      <c r="AD702" s="2">
        <v>0</v>
      </c>
      <c r="AE702" s="2" t="s">
        <v>1658</v>
      </c>
      <c r="AF702" s="2">
        <v>3</v>
      </c>
      <c r="AG702" s="2">
        <v>11</v>
      </c>
      <c r="AH702" s="2" t="s">
        <v>1660</v>
      </c>
      <c r="AI702" s="2" t="s">
        <v>32</v>
      </c>
      <c r="AJ702" s="2" t="s">
        <v>32</v>
      </c>
      <c r="AK702" s="2" t="s">
        <v>32</v>
      </c>
      <c r="AL702" s="2" t="s">
        <v>1658</v>
      </c>
      <c r="AM702" s="2">
        <v>3</v>
      </c>
      <c r="AN702" s="2" t="s">
        <v>1660</v>
      </c>
      <c r="AO702" s="2">
        <v>0</v>
      </c>
      <c r="AP702" s="2" t="s">
        <v>32</v>
      </c>
      <c r="AQ702" s="2" t="s">
        <v>32</v>
      </c>
      <c r="AR702" s="2" t="s">
        <v>1660</v>
      </c>
      <c r="AS702" s="2">
        <v>0</v>
      </c>
      <c r="AT702" s="2" t="s">
        <v>32</v>
      </c>
      <c r="AU702" s="2" t="s">
        <v>32</v>
      </c>
      <c r="AV702" s="2" t="s">
        <v>1660</v>
      </c>
      <c r="AW702" s="2">
        <v>0</v>
      </c>
      <c r="AX702" s="2" t="s">
        <v>1660</v>
      </c>
      <c r="AY702" s="2">
        <v>0</v>
      </c>
      <c r="AZ702" s="2" t="s">
        <v>1658</v>
      </c>
      <c r="BA702" s="2">
        <v>23</v>
      </c>
      <c r="BB702" s="2">
        <v>115</v>
      </c>
      <c r="BC702" s="2" t="s">
        <v>1658</v>
      </c>
      <c r="BD702" s="2">
        <v>15</v>
      </c>
      <c r="BE702" s="2" t="s">
        <v>1658</v>
      </c>
      <c r="BF702" s="2">
        <v>8</v>
      </c>
      <c r="BG702" s="2" t="s">
        <v>1660</v>
      </c>
      <c r="BH702" s="2">
        <v>0</v>
      </c>
      <c r="BI702" s="2" t="s">
        <v>32</v>
      </c>
      <c r="BJ702" s="2" t="s">
        <v>32</v>
      </c>
      <c r="BK702" s="2" t="s">
        <v>1660</v>
      </c>
      <c r="BL702" s="2">
        <v>0</v>
      </c>
      <c r="BM702" s="2" t="s">
        <v>32</v>
      </c>
      <c r="BN702" s="2" t="s">
        <v>32</v>
      </c>
      <c r="BO702" s="2" t="s">
        <v>1660</v>
      </c>
      <c r="BP702" s="2">
        <v>0</v>
      </c>
      <c r="BQ702" s="2" t="s">
        <v>1660</v>
      </c>
      <c r="BR702" s="2">
        <v>0</v>
      </c>
      <c r="BS702" s="2" t="s">
        <v>1660</v>
      </c>
      <c r="BT702" s="2">
        <v>0</v>
      </c>
      <c r="BU702" s="2">
        <v>0</v>
      </c>
      <c r="BV702" s="2" t="s">
        <v>1660</v>
      </c>
      <c r="BW702" s="2"/>
      <c r="BX702" s="2"/>
      <c r="BY702" s="2" t="s">
        <v>1807</v>
      </c>
      <c r="BZ702" s="2" t="b">
        <f>OR( (Dashboard[[#This Row],[ref_as_hh]]&gt;=1),(Dashboard[[#This Row],[ret_as_hh]] &gt;=1), (Dashboard[[#This Row],[idp_as_hh]]&gt;=1))</f>
        <v>0</v>
      </c>
      <c r="CA702" s="2">
        <f>Dashboard[[#This Row],[ret_hi_hh]]</f>
        <v>15</v>
      </c>
      <c r="CB702" s="2">
        <f>Dashboard[[#This Row],[idp_fa_hh]]+Dashboard[[#This Row],[ref_fa_hh]]+Dashboard[[#This Row],[ret_fa_hh]]</f>
        <v>46</v>
      </c>
      <c r="CC702" s="2">
        <f>Dashboard[[#This Row],[idp_loc_hh]]+Dashboard[[#This Row],[ref_loc_hh]]+Dashboard[[#This Row],[ret_loc_hh]]</f>
        <v>26</v>
      </c>
      <c r="CD702" s="2">
        <f>Dashboard[[#This Row],[idp_cc_hh]]+Dashboard[[#This Row],[ref_cc_hh]]+Dashboard[[#This Row],[ret_cc_hh]]</f>
        <v>0</v>
      </c>
      <c r="CE702" s="2">
        <f>Dashboard[[#This Row],[idp_as_hh]]+Dashboard[[#This Row],[ref_as_hh]]+Dashboard[[#This Row],[ret_as_hh]]</f>
        <v>0</v>
      </c>
      <c r="CF702" s="2">
        <f>Dashboard[[#This Row],[idp_al_hh]]+Dashboard[[#This Row],[ref_al_hh]]+Dashboard[[#This Row],[ret_al_hh]]</f>
        <v>0</v>
      </c>
    </row>
    <row r="703" spans="1:84" hidden="1" x14ac:dyDescent="0.25">
      <c r="A703" s="27">
        <v>670</v>
      </c>
      <c r="B703" s="2" t="s">
        <v>22</v>
      </c>
      <c r="C703" s="2" t="s">
        <v>23</v>
      </c>
      <c r="D703" s="2" t="s">
        <v>37</v>
      </c>
      <c r="E703" s="2" t="s">
        <v>36</v>
      </c>
      <c r="F703" s="2" t="s">
        <v>547</v>
      </c>
      <c r="G703" s="2" t="s">
        <v>548</v>
      </c>
      <c r="H703" s="2" t="s">
        <v>2040</v>
      </c>
      <c r="I703" s="2" t="s">
        <v>2041</v>
      </c>
      <c r="J703" s="2" t="s">
        <v>3530</v>
      </c>
      <c r="K703" s="2" t="s">
        <v>3531</v>
      </c>
      <c r="L703" s="2" t="s">
        <v>2074</v>
      </c>
      <c r="M703" s="2">
        <v>500</v>
      </c>
      <c r="N703" s="2" t="s">
        <v>1658</v>
      </c>
      <c r="O703" s="2">
        <v>12</v>
      </c>
      <c r="P703" s="2">
        <v>63</v>
      </c>
      <c r="Q703" s="2" t="s">
        <v>1658</v>
      </c>
      <c r="R703" s="2">
        <v>4</v>
      </c>
      <c r="S703" s="2" t="s">
        <v>1658</v>
      </c>
      <c r="T703" s="2">
        <v>8</v>
      </c>
      <c r="U703" s="2" t="s">
        <v>1661</v>
      </c>
      <c r="V703" s="2" t="s">
        <v>32</v>
      </c>
      <c r="W703" s="2" t="s">
        <v>1660</v>
      </c>
      <c r="X703" s="2">
        <v>0</v>
      </c>
      <c r="Y703" s="2" t="s">
        <v>32</v>
      </c>
      <c r="Z703" s="2" t="s">
        <v>32</v>
      </c>
      <c r="AA703" s="2" t="s">
        <v>1660</v>
      </c>
      <c r="AB703" s="2">
        <v>0</v>
      </c>
      <c r="AC703" s="2" t="s">
        <v>1660</v>
      </c>
      <c r="AD703" s="2">
        <v>0</v>
      </c>
      <c r="AE703" s="2" t="s">
        <v>1660</v>
      </c>
      <c r="AF703" s="2">
        <v>0</v>
      </c>
      <c r="AG703" s="2">
        <v>0</v>
      </c>
      <c r="AH703" s="2" t="s">
        <v>32</v>
      </c>
      <c r="AI703" s="2" t="s">
        <v>32</v>
      </c>
      <c r="AJ703" s="2" t="s">
        <v>32</v>
      </c>
      <c r="AK703" s="2" t="s">
        <v>32</v>
      </c>
      <c r="AL703" s="2" t="s">
        <v>32</v>
      </c>
      <c r="AM703" s="2">
        <v>0</v>
      </c>
      <c r="AN703" s="2" t="s">
        <v>32</v>
      </c>
      <c r="AO703" s="2">
        <v>0</v>
      </c>
      <c r="AP703" s="2" t="s">
        <v>32</v>
      </c>
      <c r="AQ703" s="2" t="s">
        <v>32</v>
      </c>
      <c r="AR703" s="2" t="s">
        <v>32</v>
      </c>
      <c r="AS703" s="2">
        <v>0</v>
      </c>
      <c r="AT703" s="2" t="s">
        <v>32</v>
      </c>
      <c r="AU703" s="2" t="s">
        <v>32</v>
      </c>
      <c r="AV703" s="2" t="s">
        <v>32</v>
      </c>
      <c r="AW703" s="2">
        <v>0</v>
      </c>
      <c r="AX703" s="2" t="s">
        <v>32</v>
      </c>
      <c r="AY703" s="2">
        <v>0</v>
      </c>
      <c r="AZ703" s="2" t="s">
        <v>1658</v>
      </c>
      <c r="BA703" s="2">
        <v>2</v>
      </c>
      <c r="BB703" s="2">
        <v>11</v>
      </c>
      <c r="BC703" s="2" t="s">
        <v>1658</v>
      </c>
      <c r="BD703" s="2">
        <v>2</v>
      </c>
      <c r="BE703" s="2" t="s">
        <v>1660</v>
      </c>
      <c r="BF703" s="2">
        <v>0</v>
      </c>
      <c r="BG703" s="2" t="s">
        <v>1660</v>
      </c>
      <c r="BH703" s="2">
        <v>0</v>
      </c>
      <c r="BI703" s="2" t="s">
        <v>32</v>
      </c>
      <c r="BJ703" s="2" t="s">
        <v>32</v>
      </c>
      <c r="BK703" s="2" t="s">
        <v>1660</v>
      </c>
      <c r="BL703" s="2">
        <v>0</v>
      </c>
      <c r="BM703" s="2" t="s">
        <v>32</v>
      </c>
      <c r="BN703" s="2" t="s">
        <v>32</v>
      </c>
      <c r="BO703" s="2" t="s">
        <v>1660</v>
      </c>
      <c r="BP703" s="2">
        <v>0</v>
      </c>
      <c r="BQ703" s="2" t="s">
        <v>1660</v>
      </c>
      <c r="BR703" s="2">
        <v>0</v>
      </c>
      <c r="BS703" s="2" t="s">
        <v>1660</v>
      </c>
      <c r="BT703" s="2">
        <v>0</v>
      </c>
      <c r="BU703" s="2">
        <v>0</v>
      </c>
      <c r="BV703" s="2" t="s">
        <v>1660</v>
      </c>
      <c r="BW703" s="2"/>
      <c r="BX703" s="2"/>
      <c r="BY703" s="2" t="s">
        <v>1807</v>
      </c>
      <c r="BZ703" s="2" t="b">
        <f>OR( (Dashboard[[#This Row],[ref_as_hh]]&gt;=1),(Dashboard[[#This Row],[ret_as_hh]] &gt;=1), (Dashboard[[#This Row],[idp_as_hh]]&gt;=1))</f>
        <v>0</v>
      </c>
      <c r="CA703" s="2">
        <f>Dashboard[[#This Row],[ret_hi_hh]]</f>
        <v>2</v>
      </c>
      <c r="CB703" s="2">
        <f>Dashboard[[#This Row],[idp_fa_hh]]+Dashboard[[#This Row],[ref_fa_hh]]+Dashboard[[#This Row],[ret_fa_hh]]</f>
        <v>4</v>
      </c>
      <c r="CC703" s="2">
        <f>Dashboard[[#This Row],[idp_loc_hh]]+Dashboard[[#This Row],[ref_loc_hh]]+Dashboard[[#This Row],[ret_loc_hh]]</f>
        <v>8</v>
      </c>
      <c r="CD703" s="2">
        <f>Dashboard[[#This Row],[idp_cc_hh]]+Dashboard[[#This Row],[ref_cc_hh]]+Dashboard[[#This Row],[ret_cc_hh]]</f>
        <v>0</v>
      </c>
      <c r="CE703" s="2">
        <f>Dashboard[[#This Row],[idp_as_hh]]+Dashboard[[#This Row],[ref_as_hh]]+Dashboard[[#This Row],[ret_as_hh]]</f>
        <v>0</v>
      </c>
      <c r="CF703" s="2">
        <f>Dashboard[[#This Row],[idp_al_hh]]+Dashboard[[#This Row],[ref_al_hh]]+Dashboard[[#This Row],[ret_al_hh]]</f>
        <v>0</v>
      </c>
    </row>
    <row r="704" spans="1:84" hidden="1" x14ac:dyDescent="0.25">
      <c r="A704" s="27">
        <v>688</v>
      </c>
      <c r="B704" s="2" t="s">
        <v>22</v>
      </c>
      <c r="C704" s="2" t="s">
        <v>23</v>
      </c>
      <c r="D704" s="2" t="s">
        <v>37</v>
      </c>
      <c r="E704" s="2" t="s">
        <v>36</v>
      </c>
      <c r="F704" s="2" t="s">
        <v>547</v>
      </c>
      <c r="G704" s="2" t="s">
        <v>548</v>
      </c>
      <c r="H704" s="2" t="s">
        <v>2035</v>
      </c>
      <c r="I704" s="2" t="s">
        <v>2036</v>
      </c>
      <c r="J704" s="2" t="s">
        <v>3496</v>
      </c>
      <c r="K704" s="2" t="s">
        <v>3497</v>
      </c>
      <c r="L704" s="2" t="s">
        <v>2074</v>
      </c>
      <c r="M704" s="2">
        <v>700</v>
      </c>
      <c r="N704" s="2" t="s">
        <v>1660</v>
      </c>
      <c r="O704" s="2">
        <v>0</v>
      </c>
      <c r="P704" s="2">
        <v>0</v>
      </c>
      <c r="Q704" s="2" t="s">
        <v>32</v>
      </c>
      <c r="R704" s="2">
        <v>0</v>
      </c>
      <c r="S704" s="2" t="s">
        <v>32</v>
      </c>
      <c r="T704" s="2">
        <v>0</v>
      </c>
      <c r="U704" s="2" t="s">
        <v>32</v>
      </c>
      <c r="V704" s="2" t="s">
        <v>32</v>
      </c>
      <c r="W704" s="2" t="s">
        <v>32</v>
      </c>
      <c r="X704" s="2">
        <v>0</v>
      </c>
      <c r="Y704" s="2" t="s">
        <v>32</v>
      </c>
      <c r="Z704" s="2" t="s">
        <v>32</v>
      </c>
      <c r="AA704" s="2" t="s">
        <v>32</v>
      </c>
      <c r="AB704" s="2">
        <v>0</v>
      </c>
      <c r="AC704" s="2" t="s">
        <v>32</v>
      </c>
      <c r="AD704" s="2">
        <v>0</v>
      </c>
      <c r="AE704" s="2" t="s">
        <v>1660</v>
      </c>
      <c r="AF704" s="2">
        <v>0</v>
      </c>
      <c r="AG704" s="2">
        <v>0</v>
      </c>
      <c r="AH704" s="2" t="s">
        <v>32</v>
      </c>
      <c r="AI704" s="2" t="s">
        <v>32</v>
      </c>
      <c r="AJ704" s="2" t="s">
        <v>32</v>
      </c>
      <c r="AK704" s="2" t="s">
        <v>32</v>
      </c>
      <c r="AL704" s="2" t="s">
        <v>32</v>
      </c>
      <c r="AM704" s="2">
        <v>0</v>
      </c>
      <c r="AN704" s="2" t="s">
        <v>32</v>
      </c>
      <c r="AO704" s="2">
        <v>0</v>
      </c>
      <c r="AP704" s="2" t="s">
        <v>32</v>
      </c>
      <c r="AQ704" s="2" t="s">
        <v>32</v>
      </c>
      <c r="AR704" s="2" t="s">
        <v>32</v>
      </c>
      <c r="AS704" s="2">
        <v>0</v>
      </c>
      <c r="AT704" s="2" t="s">
        <v>32</v>
      </c>
      <c r="AU704" s="2" t="s">
        <v>32</v>
      </c>
      <c r="AV704" s="2" t="s">
        <v>32</v>
      </c>
      <c r="AW704" s="2">
        <v>0</v>
      </c>
      <c r="AX704" s="2" t="s">
        <v>32</v>
      </c>
      <c r="AY704" s="2">
        <v>0</v>
      </c>
      <c r="AZ704" s="2" t="s">
        <v>1658</v>
      </c>
      <c r="BA704" s="2">
        <v>18</v>
      </c>
      <c r="BB704" s="2">
        <v>84</v>
      </c>
      <c r="BC704" s="2" t="s">
        <v>1658</v>
      </c>
      <c r="BD704" s="2">
        <v>13</v>
      </c>
      <c r="BE704" s="2" t="s">
        <v>1658</v>
      </c>
      <c r="BF704" s="2">
        <v>5</v>
      </c>
      <c r="BG704" s="2" t="s">
        <v>1660</v>
      </c>
      <c r="BH704" s="2">
        <v>0</v>
      </c>
      <c r="BI704" s="2" t="s">
        <v>32</v>
      </c>
      <c r="BJ704" s="2" t="s">
        <v>32</v>
      </c>
      <c r="BK704" s="2" t="s">
        <v>1660</v>
      </c>
      <c r="BL704" s="2">
        <v>0</v>
      </c>
      <c r="BM704" s="2" t="s">
        <v>32</v>
      </c>
      <c r="BN704" s="2" t="s">
        <v>32</v>
      </c>
      <c r="BO704" s="2" t="s">
        <v>1660</v>
      </c>
      <c r="BP704" s="2">
        <v>0</v>
      </c>
      <c r="BQ704" s="2" t="s">
        <v>1660</v>
      </c>
      <c r="BR704" s="2">
        <v>0</v>
      </c>
      <c r="BS704" s="2" t="s">
        <v>1660</v>
      </c>
      <c r="BT704" s="2">
        <v>0</v>
      </c>
      <c r="BU704" s="2">
        <v>0</v>
      </c>
      <c r="BV704" s="2" t="s">
        <v>1660</v>
      </c>
      <c r="BW704" s="2"/>
      <c r="BX704" s="2"/>
      <c r="BY704" s="2" t="s">
        <v>1807</v>
      </c>
      <c r="BZ704" s="2" t="b">
        <f>OR( (Dashboard[[#This Row],[ref_as_hh]]&gt;=1),(Dashboard[[#This Row],[ret_as_hh]] &gt;=1), (Dashboard[[#This Row],[idp_as_hh]]&gt;=1))</f>
        <v>0</v>
      </c>
      <c r="CA704" s="2">
        <f>Dashboard[[#This Row],[ret_hi_hh]]</f>
        <v>13</v>
      </c>
      <c r="CB704" s="2">
        <f>Dashboard[[#This Row],[idp_fa_hh]]+Dashboard[[#This Row],[ref_fa_hh]]+Dashboard[[#This Row],[ret_fa_hh]]</f>
        <v>5</v>
      </c>
      <c r="CC704" s="2">
        <f>Dashboard[[#This Row],[idp_loc_hh]]+Dashboard[[#This Row],[ref_loc_hh]]+Dashboard[[#This Row],[ret_loc_hh]]</f>
        <v>0</v>
      </c>
      <c r="CD704" s="2">
        <f>Dashboard[[#This Row],[idp_cc_hh]]+Dashboard[[#This Row],[ref_cc_hh]]+Dashboard[[#This Row],[ret_cc_hh]]</f>
        <v>0</v>
      </c>
      <c r="CE704" s="2">
        <f>Dashboard[[#This Row],[idp_as_hh]]+Dashboard[[#This Row],[ref_as_hh]]+Dashboard[[#This Row],[ret_as_hh]]</f>
        <v>0</v>
      </c>
      <c r="CF704" s="2">
        <f>Dashboard[[#This Row],[idp_al_hh]]+Dashboard[[#This Row],[ref_al_hh]]+Dashboard[[#This Row],[ret_al_hh]]</f>
        <v>0</v>
      </c>
    </row>
    <row r="705" spans="1:84" hidden="1" x14ac:dyDescent="0.25">
      <c r="A705" s="27">
        <v>692</v>
      </c>
      <c r="B705" s="2" t="s">
        <v>22</v>
      </c>
      <c r="C705" s="2" t="s">
        <v>23</v>
      </c>
      <c r="D705" s="2" t="s">
        <v>37</v>
      </c>
      <c r="E705" s="2" t="s">
        <v>36</v>
      </c>
      <c r="F705" s="2" t="s">
        <v>547</v>
      </c>
      <c r="G705" s="2" t="s">
        <v>548</v>
      </c>
      <c r="H705" s="2" t="s">
        <v>1425</v>
      </c>
      <c r="I705" s="2" t="s">
        <v>563</v>
      </c>
      <c r="J705" s="2" t="s">
        <v>3494</v>
      </c>
      <c r="K705" s="2" t="s">
        <v>3495</v>
      </c>
      <c r="L705" s="2" t="s">
        <v>2074</v>
      </c>
      <c r="M705" s="2">
        <v>5200</v>
      </c>
      <c r="N705" s="2" t="s">
        <v>1658</v>
      </c>
      <c r="O705" s="2">
        <v>202</v>
      </c>
      <c r="P705" s="2">
        <v>1592</v>
      </c>
      <c r="Q705" s="2" t="s">
        <v>1658</v>
      </c>
      <c r="R705" s="2">
        <v>153</v>
      </c>
      <c r="S705" s="2" t="s">
        <v>1658</v>
      </c>
      <c r="T705" s="2">
        <v>49</v>
      </c>
      <c r="U705" s="2" t="s">
        <v>1661</v>
      </c>
      <c r="V705" s="2" t="s">
        <v>32</v>
      </c>
      <c r="W705" s="2" t="s">
        <v>1660</v>
      </c>
      <c r="X705" s="2">
        <v>0</v>
      </c>
      <c r="Y705" s="2" t="s">
        <v>32</v>
      </c>
      <c r="Z705" s="2" t="s">
        <v>32</v>
      </c>
      <c r="AA705" s="2" t="s">
        <v>1660</v>
      </c>
      <c r="AB705" s="2">
        <v>0</v>
      </c>
      <c r="AC705" s="2" t="s">
        <v>1660</v>
      </c>
      <c r="AD705" s="2">
        <v>0</v>
      </c>
      <c r="AE705" s="2" t="s">
        <v>1660</v>
      </c>
      <c r="AF705" s="2">
        <v>0</v>
      </c>
      <c r="AG705" s="2">
        <v>0</v>
      </c>
      <c r="AH705" s="2" t="s">
        <v>32</v>
      </c>
      <c r="AI705" s="2" t="s">
        <v>32</v>
      </c>
      <c r="AJ705" s="2" t="s">
        <v>32</v>
      </c>
      <c r="AK705" s="2" t="s">
        <v>32</v>
      </c>
      <c r="AL705" s="2" t="s">
        <v>32</v>
      </c>
      <c r="AM705" s="2">
        <v>0</v>
      </c>
      <c r="AN705" s="2" t="s">
        <v>32</v>
      </c>
      <c r="AO705" s="2">
        <v>0</v>
      </c>
      <c r="AP705" s="2" t="s">
        <v>32</v>
      </c>
      <c r="AQ705" s="2" t="s">
        <v>32</v>
      </c>
      <c r="AR705" s="2" t="s">
        <v>32</v>
      </c>
      <c r="AS705" s="2">
        <v>0</v>
      </c>
      <c r="AT705" s="2" t="s">
        <v>32</v>
      </c>
      <c r="AU705" s="2" t="s">
        <v>32</v>
      </c>
      <c r="AV705" s="2" t="s">
        <v>32</v>
      </c>
      <c r="AW705" s="2">
        <v>0</v>
      </c>
      <c r="AX705" s="2" t="s">
        <v>32</v>
      </c>
      <c r="AY705" s="2">
        <v>0</v>
      </c>
      <c r="AZ705" s="2" t="s">
        <v>1658</v>
      </c>
      <c r="BA705" s="2">
        <v>12</v>
      </c>
      <c r="BB705" s="2">
        <v>80</v>
      </c>
      <c r="BC705" s="2" t="s">
        <v>1658</v>
      </c>
      <c r="BD705" s="2">
        <v>9</v>
      </c>
      <c r="BE705" s="2" t="s">
        <v>1660</v>
      </c>
      <c r="BF705" s="2">
        <v>0</v>
      </c>
      <c r="BG705" s="2" t="s">
        <v>1658</v>
      </c>
      <c r="BH705" s="2">
        <v>3</v>
      </c>
      <c r="BI705" s="2" t="s">
        <v>1661</v>
      </c>
      <c r="BJ705" s="2" t="s">
        <v>32</v>
      </c>
      <c r="BK705" s="2" t="s">
        <v>1660</v>
      </c>
      <c r="BL705" s="2">
        <v>0</v>
      </c>
      <c r="BM705" s="2" t="s">
        <v>32</v>
      </c>
      <c r="BN705" s="2" t="s">
        <v>32</v>
      </c>
      <c r="BO705" s="2" t="s">
        <v>1660</v>
      </c>
      <c r="BP705" s="2">
        <v>0</v>
      </c>
      <c r="BQ705" s="2" t="s">
        <v>1660</v>
      </c>
      <c r="BR705" s="2">
        <v>0</v>
      </c>
      <c r="BS705" s="2" t="s">
        <v>1660</v>
      </c>
      <c r="BT705" s="2">
        <v>0</v>
      </c>
      <c r="BU705" s="2">
        <v>0</v>
      </c>
      <c r="BV705" s="2" t="s">
        <v>1660</v>
      </c>
      <c r="BW705" s="2"/>
      <c r="BX705" s="2"/>
      <c r="BY705" s="2" t="s">
        <v>1807</v>
      </c>
      <c r="BZ705" s="2" t="b">
        <f>OR( (Dashboard[[#This Row],[ref_as_hh]]&gt;=1),(Dashboard[[#This Row],[ret_as_hh]] &gt;=1), (Dashboard[[#This Row],[idp_as_hh]]&gt;=1))</f>
        <v>0</v>
      </c>
      <c r="CA705" s="2">
        <f>Dashboard[[#This Row],[ret_hi_hh]]</f>
        <v>9</v>
      </c>
      <c r="CB705" s="2">
        <f>Dashboard[[#This Row],[idp_fa_hh]]+Dashboard[[#This Row],[ref_fa_hh]]+Dashboard[[#This Row],[ret_fa_hh]]</f>
        <v>153</v>
      </c>
      <c r="CC705" s="2">
        <f>Dashboard[[#This Row],[idp_loc_hh]]+Dashboard[[#This Row],[ref_loc_hh]]+Dashboard[[#This Row],[ret_loc_hh]]</f>
        <v>52</v>
      </c>
      <c r="CD705" s="2">
        <f>Dashboard[[#This Row],[idp_cc_hh]]+Dashboard[[#This Row],[ref_cc_hh]]+Dashboard[[#This Row],[ret_cc_hh]]</f>
        <v>0</v>
      </c>
      <c r="CE705" s="2">
        <f>Dashboard[[#This Row],[idp_as_hh]]+Dashboard[[#This Row],[ref_as_hh]]+Dashboard[[#This Row],[ret_as_hh]]</f>
        <v>0</v>
      </c>
      <c r="CF705" s="2">
        <f>Dashboard[[#This Row],[idp_al_hh]]+Dashboard[[#This Row],[ref_al_hh]]+Dashboard[[#This Row],[ret_al_hh]]</f>
        <v>0</v>
      </c>
    </row>
    <row r="706" spans="1:84" hidden="1" x14ac:dyDescent="0.25">
      <c r="A706" s="27">
        <v>693</v>
      </c>
      <c r="B706" s="2" t="s">
        <v>22</v>
      </c>
      <c r="C706" s="2" t="s">
        <v>23</v>
      </c>
      <c r="D706" s="2" t="s">
        <v>37</v>
      </c>
      <c r="E706" s="2" t="s">
        <v>36</v>
      </c>
      <c r="F706" s="2" t="s">
        <v>547</v>
      </c>
      <c r="G706" s="2" t="s">
        <v>548</v>
      </c>
      <c r="H706" s="2" t="s">
        <v>1418</v>
      </c>
      <c r="I706" s="2" t="s">
        <v>556</v>
      </c>
      <c r="J706" s="2" t="s">
        <v>3478</v>
      </c>
      <c r="K706" s="2" t="s">
        <v>3479</v>
      </c>
      <c r="L706" s="2" t="s">
        <v>2074</v>
      </c>
      <c r="M706" s="2">
        <v>1900</v>
      </c>
      <c r="N706" s="2" t="s">
        <v>1658</v>
      </c>
      <c r="O706" s="2">
        <v>34</v>
      </c>
      <c r="P706" s="2">
        <v>205</v>
      </c>
      <c r="Q706" s="2" t="s">
        <v>1658</v>
      </c>
      <c r="R706" s="2">
        <v>22</v>
      </c>
      <c r="S706" s="2" t="s">
        <v>1658</v>
      </c>
      <c r="T706" s="2">
        <v>12</v>
      </c>
      <c r="U706" s="2" t="s">
        <v>1661</v>
      </c>
      <c r="V706" s="2" t="s">
        <v>32</v>
      </c>
      <c r="W706" s="2" t="s">
        <v>1660</v>
      </c>
      <c r="X706" s="2">
        <v>0</v>
      </c>
      <c r="Y706" s="2" t="s">
        <v>32</v>
      </c>
      <c r="Z706" s="2" t="s">
        <v>32</v>
      </c>
      <c r="AA706" s="2" t="s">
        <v>1660</v>
      </c>
      <c r="AB706" s="2">
        <v>0</v>
      </c>
      <c r="AC706" s="2" t="s">
        <v>1660</v>
      </c>
      <c r="AD706" s="2">
        <v>0</v>
      </c>
      <c r="AE706" s="2" t="s">
        <v>1660</v>
      </c>
      <c r="AF706" s="2">
        <v>0</v>
      </c>
      <c r="AG706" s="2">
        <v>0</v>
      </c>
      <c r="AH706" s="2" t="s">
        <v>32</v>
      </c>
      <c r="AI706" s="2" t="s">
        <v>32</v>
      </c>
      <c r="AJ706" s="2" t="s">
        <v>32</v>
      </c>
      <c r="AK706" s="2" t="s">
        <v>32</v>
      </c>
      <c r="AL706" s="2" t="s">
        <v>32</v>
      </c>
      <c r="AM706" s="2">
        <v>0</v>
      </c>
      <c r="AN706" s="2" t="s">
        <v>32</v>
      </c>
      <c r="AO706" s="2">
        <v>0</v>
      </c>
      <c r="AP706" s="2" t="s">
        <v>32</v>
      </c>
      <c r="AQ706" s="2" t="s">
        <v>32</v>
      </c>
      <c r="AR706" s="2" t="s">
        <v>32</v>
      </c>
      <c r="AS706" s="2">
        <v>0</v>
      </c>
      <c r="AT706" s="2" t="s">
        <v>32</v>
      </c>
      <c r="AU706" s="2" t="s">
        <v>32</v>
      </c>
      <c r="AV706" s="2" t="s">
        <v>32</v>
      </c>
      <c r="AW706" s="2">
        <v>0</v>
      </c>
      <c r="AX706" s="2" t="s">
        <v>32</v>
      </c>
      <c r="AY706" s="2">
        <v>0</v>
      </c>
      <c r="AZ706" s="2" t="s">
        <v>1658</v>
      </c>
      <c r="BA706" s="2">
        <v>16</v>
      </c>
      <c r="BB706" s="2">
        <v>58</v>
      </c>
      <c r="BC706" s="2" t="s">
        <v>1658</v>
      </c>
      <c r="BD706" s="2">
        <v>11</v>
      </c>
      <c r="BE706" s="2" t="s">
        <v>1660</v>
      </c>
      <c r="BF706" s="2">
        <v>0</v>
      </c>
      <c r="BG706" s="2" t="s">
        <v>1658</v>
      </c>
      <c r="BH706" s="2">
        <v>5</v>
      </c>
      <c r="BI706" s="2" t="s">
        <v>1661</v>
      </c>
      <c r="BJ706" s="2" t="s">
        <v>32</v>
      </c>
      <c r="BK706" s="2" t="s">
        <v>1660</v>
      </c>
      <c r="BL706" s="2">
        <v>0</v>
      </c>
      <c r="BM706" s="2" t="s">
        <v>32</v>
      </c>
      <c r="BN706" s="2" t="s">
        <v>32</v>
      </c>
      <c r="BO706" s="2" t="s">
        <v>1660</v>
      </c>
      <c r="BP706" s="2">
        <v>0</v>
      </c>
      <c r="BQ706" s="2" t="s">
        <v>1660</v>
      </c>
      <c r="BR706" s="2">
        <v>0</v>
      </c>
      <c r="BS706" s="2" t="s">
        <v>1660</v>
      </c>
      <c r="BT706" s="2">
        <v>0</v>
      </c>
      <c r="BU706" s="2">
        <v>0</v>
      </c>
      <c r="BV706" s="2" t="s">
        <v>1660</v>
      </c>
      <c r="BW706" s="2"/>
      <c r="BX706" s="2"/>
      <c r="BY706" s="2" t="s">
        <v>1807</v>
      </c>
      <c r="BZ706" s="2" t="b">
        <f>OR( (Dashboard[[#This Row],[ref_as_hh]]&gt;=1),(Dashboard[[#This Row],[ret_as_hh]] &gt;=1), (Dashboard[[#This Row],[idp_as_hh]]&gt;=1))</f>
        <v>0</v>
      </c>
      <c r="CA706" s="2">
        <f>Dashboard[[#This Row],[ret_hi_hh]]</f>
        <v>11</v>
      </c>
      <c r="CB706" s="2">
        <f>Dashboard[[#This Row],[idp_fa_hh]]+Dashboard[[#This Row],[ref_fa_hh]]+Dashboard[[#This Row],[ret_fa_hh]]</f>
        <v>22</v>
      </c>
      <c r="CC706" s="2">
        <f>Dashboard[[#This Row],[idp_loc_hh]]+Dashboard[[#This Row],[ref_loc_hh]]+Dashboard[[#This Row],[ret_loc_hh]]</f>
        <v>17</v>
      </c>
      <c r="CD706" s="2">
        <f>Dashboard[[#This Row],[idp_cc_hh]]+Dashboard[[#This Row],[ref_cc_hh]]+Dashboard[[#This Row],[ret_cc_hh]]</f>
        <v>0</v>
      </c>
      <c r="CE706" s="2">
        <f>Dashboard[[#This Row],[idp_as_hh]]+Dashboard[[#This Row],[ref_as_hh]]+Dashboard[[#This Row],[ret_as_hh]]</f>
        <v>0</v>
      </c>
      <c r="CF706" s="2">
        <f>Dashboard[[#This Row],[idp_al_hh]]+Dashboard[[#This Row],[ref_al_hh]]+Dashboard[[#This Row],[ret_al_hh]]</f>
        <v>0</v>
      </c>
    </row>
    <row r="707" spans="1:84" hidden="1" x14ac:dyDescent="0.25">
      <c r="A707" s="27">
        <v>193</v>
      </c>
      <c r="B707" s="2" t="s">
        <v>22</v>
      </c>
      <c r="C707" s="2" t="s">
        <v>23</v>
      </c>
      <c r="D707" s="2" t="s">
        <v>37</v>
      </c>
      <c r="E707" s="2" t="s">
        <v>36</v>
      </c>
      <c r="F707" s="2" t="s">
        <v>547</v>
      </c>
      <c r="G707" s="2" t="s">
        <v>548</v>
      </c>
      <c r="H707" s="2" t="s">
        <v>1415</v>
      </c>
      <c r="I707" s="2" t="s">
        <v>553</v>
      </c>
      <c r="J707" s="2" t="s">
        <v>3472</v>
      </c>
      <c r="K707" s="2" t="s">
        <v>3473</v>
      </c>
      <c r="L707" s="2" t="s">
        <v>2074</v>
      </c>
      <c r="M707" s="2">
        <v>1304</v>
      </c>
      <c r="N707" s="2" t="s">
        <v>1658</v>
      </c>
      <c r="O707" s="2">
        <v>33</v>
      </c>
      <c r="P707" s="2">
        <v>189</v>
      </c>
      <c r="Q707" s="2" t="s">
        <v>1658</v>
      </c>
      <c r="R707" s="2">
        <v>23</v>
      </c>
      <c r="S707" s="2" t="s">
        <v>1658</v>
      </c>
      <c r="T707" s="2">
        <v>10</v>
      </c>
      <c r="U707" s="2" t="s">
        <v>1661</v>
      </c>
      <c r="V707" s="2" t="s">
        <v>32</v>
      </c>
      <c r="W707" s="2" t="s">
        <v>1660</v>
      </c>
      <c r="X707" s="2">
        <v>0</v>
      </c>
      <c r="Y707" s="2" t="s">
        <v>32</v>
      </c>
      <c r="Z707" s="2" t="s">
        <v>32</v>
      </c>
      <c r="AA707" s="2" t="s">
        <v>1660</v>
      </c>
      <c r="AB707" s="2">
        <v>0</v>
      </c>
      <c r="AC707" s="2" t="s">
        <v>1660</v>
      </c>
      <c r="AD707" s="2">
        <v>0</v>
      </c>
      <c r="AE707" s="2" t="s">
        <v>1660</v>
      </c>
      <c r="AF707" s="2">
        <v>0</v>
      </c>
      <c r="AG707" s="2">
        <v>0</v>
      </c>
      <c r="AH707" s="2" t="s">
        <v>32</v>
      </c>
      <c r="AI707" s="2" t="s">
        <v>32</v>
      </c>
      <c r="AJ707" s="2" t="s">
        <v>32</v>
      </c>
      <c r="AK707" s="2" t="s">
        <v>32</v>
      </c>
      <c r="AL707" s="2" t="s">
        <v>32</v>
      </c>
      <c r="AM707" s="2">
        <v>0</v>
      </c>
      <c r="AN707" s="2" t="s">
        <v>32</v>
      </c>
      <c r="AO707" s="2">
        <v>0</v>
      </c>
      <c r="AP707" s="2" t="s">
        <v>32</v>
      </c>
      <c r="AQ707" s="2" t="s">
        <v>32</v>
      </c>
      <c r="AR707" s="2" t="s">
        <v>32</v>
      </c>
      <c r="AS707" s="2">
        <v>0</v>
      </c>
      <c r="AT707" s="2" t="s">
        <v>32</v>
      </c>
      <c r="AU707" s="2" t="s">
        <v>32</v>
      </c>
      <c r="AV707" s="2" t="s">
        <v>32</v>
      </c>
      <c r="AW707" s="2">
        <v>0</v>
      </c>
      <c r="AX707" s="2" t="s">
        <v>32</v>
      </c>
      <c r="AY707" s="2">
        <v>0</v>
      </c>
      <c r="AZ707" s="2" t="s">
        <v>1658</v>
      </c>
      <c r="BA707" s="2">
        <v>18</v>
      </c>
      <c r="BB707" s="2">
        <v>121</v>
      </c>
      <c r="BC707" s="2" t="s">
        <v>1658</v>
      </c>
      <c r="BD707" s="2">
        <v>12</v>
      </c>
      <c r="BE707" s="2" t="s">
        <v>1658</v>
      </c>
      <c r="BF707" s="2">
        <v>6</v>
      </c>
      <c r="BG707" s="2" t="s">
        <v>1660</v>
      </c>
      <c r="BH707" s="2">
        <v>0</v>
      </c>
      <c r="BI707" s="2" t="s">
        <v>32</v>
      </c>
      <c r="BJ707" s="2" t="s">
        <v>32</v>
      </c>
      <c r="BK707" s="2" t="s">
        <v>1660</v>
      </c>
      <c r="BL707" s="2">
        <v>0</v>
      </c>
      <c r="BM707" s="2" t="s">
        <v>32</v>
      </c>
      <c r="BN707" s="2" t="s">
        <v>32</v>
      </c>
      <c r="BO707" s="2" t="s">
        <v>1660</v>
      </c>
      <c r="BP707" s="2">
        <v>0</v>
      </c>
      <c r="BQ707" s="2" t="s">
        <v>1660</v>
      </c>
      <c r="BR707" s="2">
        <v>0</v>
      </c>
      <c r="BS707" s="2" t="s">
        <v>1660</v>
      </c>
      <c r="BT707" s="2">
        <v>0</v>
      </c>
      <c r="BU707" s="2">
        <v>0</v>
      </c>
      <c r="BV707" s="2" t="s">
        <v>1660</v>
      </c>
      <c r="BW707" s="2"/>
      <c r="BX707" s="2"/>
      <c r="BY707" s="2" t="s">
        <v>1807</v>
      </c>
      <c r="BZ707" s="2" t="b">
        <f>OR( (Dashboard[[#This Row],[ref_as_hh]]&gt;=1),(Dashboard[[#This Row],[ret_as_hh]] &gt;=1), (Dashboard[[#This Row],[idp_as_hh]]&gt;=1))</f>
        <v>0</v>
      </c>
      <c r="CA707" s="2">
        <f>Dashboard[[#This Row],[ret_hi_hh]]</f>
        <v>12</v>
      </c>
      <c r="CB707" s="2">
        <f>Dashboard[[#This Row],[idp_fa_hh]]+Dashboard[[#This Row],[ref_fa_hh]]+Dashboard[[#This Row],[ret_fa_hh]]</f>
        <v>29</v>
      </c>
      <c r="CC707" s="2">
        <f>Dashboard[[#This Row],[idp_loc_hh]]+Dashboard[[#This Row],[ref_loc_hh]]+Dashboard[[#This Row],[ret_loc_hh]]</f>
        <v>10</v>
      </c>
      <c r="CD707" s="2">
        <f>Dashboard[[#This Row],[idp_cc_hh]]+Dashboard[[#This Row],[ref_cc_hh]]+Dashboard[[#This Row],[ret_cc_hh]]</f>
        <v>0</v>
      </c>
      <c r="CE707" s="2">
        <f>Dashboard[[#This Row],[idp_as_hh]]+Dashboard[[#This Row],[ref_as_hh]]+Dashboard[[#This Row],[ret_as_hh]]</f>
        <v>0</v>
      </c>
      <c r="CF707" s="2">
        <f>Dashboard[[#This Row],[idp_al_hh]]+Dashboard[[#This Row],[ref_al_hh]]+Dashboard[[#This Row],[ret_al_hh]]</f>
        <v>0</v>
      </c>
    </row>
    <row r="708" spans="1:84" hidden="1" x14ac:dyDescent="0.25">
      <c r="A708" s="27">
        <v>485</v>
      </c>
      <c r="B708" s="2" t="s">
        <v>22</v>
      </c>
      <c r="C708" s="2" t="s">
        <v>23</v>
      </c>
      <c r="D708" s="2" t="s">
        <v>37</v>
      </c>
      <c r="E708" s="2" t="s">
        <v>36</v>
      </c>
      <c r="F708" s="2" t="s">
        <v>547</v>
      </c>
      <c r="G708" s="2" t="s">
        <v>548</v>
      </c>
      <c r="H708" s="2" t="s">
        <v>1426</v>
      </c>
      <c r="I708" s="2" t="s">
        <v>564</v>
      </c>
      <c r="J708" s="2" t="s">
        <v>3500</v>
      </c>
      <c r="K708" s="2" t="s">
        <v>3501</v>
      </c>
      <c r="L708" s="2" t="s">
        <v>2074</v>
      </c>
      <c r="M708" s="2">
        <v>1500</v>
      </c>
      <c r="N708" s="2" t="s">
        <v>1658</v>
      </c>
      <c r="O708" s="2">
        <v>29</v>
      </c>
      <c r="P708" s="2">
        <v>192</v>
      </c>
      <c r="Q708" s="2" t="s">
        <v>1658</v>
      </c>
      <c r="R708" s="2">
        <v>16</v>
      </c>
      <c r="S708" s="2" t="s">
        <v>1658</v>
      </c>
      <c r="T708" s="2">
        <v>13</v>
      </c>
      <c r="U708" s="2" t="s">
        <v>1661</v>
      </c>
      <c r="V708" s="2" t="s">
        <v>32</v>
      </c>
      <c r="W708" s="2" t="s">
        <v>1660</v>
      </c>
      <c r="X708" s="2">
        <v>0</v>
      </c>
      <c r="Y708" s="2" t="s">
        <v>32</v>
      </c>
      <c r="Z708" s="2" t="s">
        <v>32</v>
      </c>
      <c r="AA708" s="2" t="s">
        <v>1660</v>
      </c>
      <c r="AB708" s="2">
        <v>0</v>
      </c>
      <c r="AC708" s="2" t="s">
        <v>1660</v>
      </c>
      <c r="AD708" s="2">
        <v>0</v>
      </c>
      <c r="AE708" s="2" t="s">
        <v>1660</v>
      </c>
      <c r="AF708" s="2">
        <v>0</v>
      </c>
      <c r="AG708" s="2">
        <v>0</v>
      </c>
      <c r="AH708" s="2" t="s">
        <v>32</v>
      </c>
      <c r="AI708" s="2" t="s">
        <v>32</v>
      </c>
      <c r="AJ708" s="2" t="s">
        <v>32</v>
      </c>
      <c r="AK708" s="2" t="s">
        <v>32</v>
      </c>
      <c r="AL708" s="2" t="s">
        <v>32</v>
      </c>
      <c r="AM708" s="2">
        <v>0</v>
      </c>
      <c r="AN708" s="2" t="s">
        <v>32</v>
      </c>
      <c r="AO708" s="2">
        <v>0</v>
      </c>
      <c r="AP708" s="2" t="s">
        <v>32</v>
      </c>
      <c r="AQ708" s="2" t="s">
        <v>32</v>
      </c>
      <c r="AR708" s="2" t="s">
        <v>32</v>
      </c>
      <c r="AS708" s="2">
        <v>0</v>
      </c>
      <c r="AT708" s="2" t="s">
        <v>32</v>
      </c>
      <c r="AU708" s="2" t="s">
        <v>32</v>
      </c>
      <c r="AV708" s="2" t="s">
        <v>32</v>
      </c>
      <c r="AW708" s="2">
        <v>0</v>
      </c>
      <c r="AX708" s="2" t="s">
        <v>32</v>
      </c>
      <c r="AY708" s="2">
        <v>0</v>
      </c>
      <c r="AZ708" s="2" t="s">
        <v>1660</v>
      </c>
      <c r="BA708" s="2">
        <v>0</v>
      </c>
      <c r="BB708" s="2">
        <v>0</v>
      </c>
      <c r="BC708" s="2" t="s">
        <v>32</v>
      </c>
      <c r="BD708" s="2">
        <v>0</v>
      </c>
      <c r="BE708" s="2" t="s">
        <v>32</v>
      </c>
      <c r="BF708" s="2">
        <v>0</v>
      </c>
      <c r="BG708" s="2" t="s">
        <v>32</v>
      </c>
      <c r="BH708" s="2">
        <v>0</v>
      </c>
      <c r="BI708" s="2" t="s">
        <v>32</v>
      </c>
      <c r="BJ708" s="2" t="s">
        <v>32</v>
      </c>
      <c r="BK708" s="2" t="s">
        <v>32</v>
      </c>
      <c r="BL708" s="2">
        <v>0</v>
      </c>
      <c r="BM708" s="2" t="s">
        <v>32</v>
      </c>
      <c r="BN708" s="2" t="s">
        <v>32</v>
      </c>
      <c r="BO708" s="2" t="s">
        <v>32</v>
      </c>
      <c r="BP708" s="2">
        <v>0</v>
      </c>
      <c r="BQ708" s="2" t="s">
        <v>32</v>
      </c>
      <c r="BR708" s="2">
        <v>0</v>
      </c>
      <c r="BS708" s="2" t="s">
        <v>1660</v>
      </c>
      <c r="BT708" s="2">
        <v>0</v>
      </c>
      <c r="BU708" s="2">
        <v>0</v>
      </c>
      <c r="BV708" s="2" t="s">
        <v>1660</v>
      </c>
      <c r="BW708" s="2"/>
      <c r="BX708" s="2"/>
      <c r="BY708" s="2" t="s">
        <v>1807</v>
      </c>
      <c r="BZ708" s="2" t="b">
        <f>OR( (Dashboard[[#This Row],[ref_as_hh]]&gt;=1),(Dashboard[[#This Row],[ret_as_hh]] &gt;=1), (Dashboard[[#This Row],[idp_as_hh]]&gt;=1))</f>
        <v>0</v>
      </c>
      <c r="CA708" s="2">
        <f>Dashboard[[#This Row],[ret_hi_hh]]</f>
        <v>0</v>
      </c>
      <c r="CB708" s="2">
        <f>Dashboard[[#This Row],[idp_fa_hh]]+Dashboard[[#This Row],[ref_fa_hh]]+Dashboard[[#This Row],[ret_fa_hh]]</f>
        <v>16</v>
      </c>
      <c r="CC708" s="2">
        <f>Dashboard[[#This Row],[idp_loc_hh]]+Dashboard[[#This Row],[ref_loc_hh]]+Dashboard[[#This Row],[ret_loc_hh]]</f>
        <v>13</v>
      </c>
      <c r="CD708" s="2">
        <f>Dashboard[[#This Row],[idp_cc_hh]]+Dashboard[[#This Row],[ref_cc_hh]]+Dashboard[[#This Row],[ret_cc_hh]]</f>
        <v>0</v>
      </c>
      <c r="CE708" s="2">
        <f>Dashboard[[#This Row],[idp_as_hh]]+Dashboard[[#This Row],[ref_as_hh]]+Dashboard[[#This Row],[ret_as_hh]]</f>
        <v>0</v>
      </c>
      <c r="CF708" s="2">
        <f>Dashboard[[#This Row],[idp_al_hh]]+Dashboard[[#This Row],[ref_al_hh]]+Dashboard[[#This Row],[ret_al_hh]]</f>
        <v>0</v>
      </c>
    </row>
    <row r="709" spans="1:84" hidden="1" x14ac:dyDescent="0.25">
      <c r="A709" s="27">
        <v>503</v>
      </c>
      <c r="B709" s="2" t="s">
        <v>22</v>
      </c>
      <c r="C709" s="2" t="s">
        <v>23</v>
      </c>
      <c r="D709" s="2" t="s">
        <v>37</v>
      </c>
      <c r="E709" s="2" t="s">
        <v>36</v>
      </c>
      <c r="F709" s="2" t="s">
        <v>547</v>
      </c>
      <c r="G709" s="2" t="s">
        <v>548</v>
      </c>
      <c r="H709" s="2" t="s">
        <v>1416</v>
      </c>
      <c r="I709" s="2" t="s">
        <v>554</v>
      </c>
      <c r="J709" s="2" t="s">
        <v>3474</v>
      </c>
      <c r="K709" s="2" t="s">
        <v>3475</v>
      </c>
      <c r="L709" s="2" t="s">
        <v>2074</v>
      </c>
      <c r="M709" s="2">
        <v>3500</v>
      </c>
      <c r="N709" s="2" t="s">
        <v>1658</v>
      </c>
      <c r="O709" s="2">
        <v>98</v>
      </c>
      <c r="P709" s="2">
        <v>646</v>
      </c>
      <c r="Q709" s="2" t="s">
        <v>1658</v>
      </c>
      <c r="R709" s="2">
        <v>65</v>
      </c>
      <c r="S709" s="2" t="s">
        <v>1658</v>
      </c>
      <c r="T709" s="2">
        <v>33</v>
      </c>
      <c r="U709" s="2" t="s">
        <v>1661</v>
      </c>
      <c r="V709" s="2" t="s">
        <v>32</v>
      </c>
      <c r="W709" s="2" t="s">
        <v>1660</v>
      </c>
      <c r="X709" s="2">
        <v>0</v>
      </c>
      <c r="Y709" s="2" t="s">
        <v>32</v>
      </c>
      <c r="Z709" s="2" t="s">
        <v>32</v>
      </c>
      <c r="AA709" s="2" t="s">
        <v>1660</v>
      </c>
      <c r="AB709" s="2">
        <v>0</v>
      </c>
      <c r="AC709" s="2" t="s">
        <v>1660</v>
      </c>
      <c r="AD709" s="2">
        <v>0</v>
      </c>
      <c r="AE709" s="2" t="s">
        <v>1660</v>
      </c>
      <c r="AF709" s="2">
        <v>0</v>
      </c>
      <c r="AG709" s="2">
        <v>0</v>
      </c>
      <c r="AH709" s="2" t="s">
        <v>32</v>
      </c>
      <c r="AI709" s="2" t="s">
        <v>32</v>
      </c>
      <c r="AJ709" s="2" t="s">
        <v>32</v>
      </c>
      <c r="AK709" s="2" t="s">
        <v>32</v>
      </c>
      <c r="AL709" s="2" t="s">
        <v>32</v>
      </c>
      <c r="AM709" s="2">
        <v>0</v>
      </c>
      <c r="AN709" s="2" t="s">
        <v>32</v>
      </c>
      <c r="AO709" s="2">
        <v>0</v>
      </c>
      <c r="AP709" s="2" t="s">
        <v>32</v>
      </c>
      <c r="AQ709" s="2" t="s">
        <v>32</v>
      </c>
      <c r="AR709" s="2" t="s">
        <v>32</v>
      </c>
      <c r="AS709" s="2">
        <v>0</v>
      </c>
      <c r="AT709" s="2" t="s">
        <v>32</v>
      </c>
      <c r="AU709" s="2" t="s">
        <v>32</v>
      </c>
      <c r="AV709" s="2" t="s">
        <v>32</v>
      </c>
      <c r="AW709" s="2">
        <v>0</v>
      </c>
      <c r="AX709" s="2" t="s">
        <v>32</v>
      </c>
      <c r="AY709" s="2">
        <v>0</v>
      </c>
      <c r="AZ709" s="2" t="s">
        <v>1660</v>
      </c>
      <c r="BA709" s="2">
        <v>0</v>
      </c>
      <c r="BB709" s="2">
        <v>0</v>
      </c>
      <c r="BC709" s="2" t="s">
        <v>32</v>
      </c>
      <c r="BD709" s="2">
        <v>0</v>
      </c>
      <c r="BE709" s="2" t="s">
        <v>32</v>
      </c>
      <c r="BF709" s="2">
        <v>0</v>
      </c>
      <c r="BG709" s="2" t="s">
        <v>32</v>
      </c>
      <c r="BH709" s="2">
        <v>0</v>
      </c>
      <c r="BI709" s="2" t="s">
        <v>32</v>
      </c>
      <c r="BJ709" s="2" t="s">
        <v>32</v>
      </c>
      <c r="BK709" s="2" t="s">
        <v>32</v>
      </c>
      <c r="BL709" s="2">
        <v>0</v>
      </c>
      <c r="BM709" s="2" t="s">
        <v>32</v>
      </c>
      <c r="BN709" s="2" t="s">
        <v>32</v>
      </c>
      <c r="BO709" s="2" t="s">
        <v>32</v>
      </c>
      <c r="BP709" s="2">
        <v>0</v>
      </c>
      <c r="BQ709" s="2" t="s">
        <v>32</v>
      </c>
      <c r="BR709" s="2">
        <v>0</v>
      </c>
      <c r="BS709" s="2" t="s">
        <v>1660</v>
      </c>
      <c r="BT709" s="2">
        <v>0</v>
      </c>
      <c r="BU709" s="2">
        <v>0</v>
      </c>
      <c r="BV709" s="2" t="s">
        <v>1660</v>
      </c>
      <c r="BW709" s="2"/>
      <c r="BX709" s="2"/>
      <c r="BY709" s="2" t="s">
        <v>1807</v>
      </c>
      <c r="BZ709" s="2" t="b">
        <f>OR( (Dashboard[[#This Row],[ref_as_hh]]&gt;=1),(Dashboard[[#This Row],[ret_as_hh]] &gt;=1), (Dashboard[[#This Row],[idp_as_hh]]&gt;=1))</f>
        <v>0</v>
      </c>
      <c r="CA709" s="2">
        <f>Dashboard[[#This Row],[ret_hi_hh]]</f>
        <v>0</v>
      </c>
      <c r="CB709" s="2">
        <f>Dashboard[[#This Row],[idp_fa_hh]]+Dashboard[[#This Row],[ref_fa_hh]]+Dashboard[[#This Row],[ret_fa_hh]]</f>
        <v>65</v>
      </c>
      <c r="CC709" s="2">
        <f>Dashboard[[#This Row],[idp_loc_hh]]+Dashboard[[#This Row],[ref_loc_hh]]+Dashboard[[#This Row],[ret_loc_hh]]</f>
        <v>33</v>
      </c>
      <c r="CD709" s="2">
        <f>Dashboard[[#This Row],[idp_cc_hh]]+Dashboard[[#This Row],[ref_cc_hh]]+Dashboard[[#This Row],[ret_cc_hh]]</f>
        <v>0</v>
      </c>
      <c r="CE709" s="2">
        <f>Dashboard[[#This Row],[idp_as_hh]]+Dashboard[[#This Row],[ref_as_hh]]+Dashboard[[#This Row],[ret_as_hh]]</f>
        <v>0</v>
      </c>
      <c r="CF709" s="2">
        <f>Dashboard[[#This Row],[idp_al_hh]]+Dashboard[[#This Row],[ref_al_hh]]+Dashboard[[#This Row],[ret_al_hh]]</f>
        <v>0</v>
      </c>
    </row>
    <row r="710" spans="1:84" x14ac:dyDescent="0.25">
      <c r="A710" s="27">
        <v>529</v>
      </c>
      <c r="B710" s="2" t="s">
        <v>22</v>
      </c>
      <c r="C710" s="2" t="s">
        <v>23</v>
      </c>
      <c r="D710" s="2" t="s">
        <v>37</v>
      </c>
      <c r="E710" s="2" t="s">
        <v>36</v>
      </c>
      <c r="F710" s="2" t="s">
        <v>250</v>
      </c>
      <c r="G710" s="2" t="s">
        <v>249</v>
      </c>
      <c r="H710" s="2" t="s">
        <v>1468</v>
      </c>
      <c r="I710" s="2" t="s">
        <v>254</v>
      </c>
      <c r="J710" s="2" t="s">
        <v>3630</v>
      </c>
      <c r="K710" s="2" t="s">
        <v>3631</v>
      </c>
      <c r="L710" s="2" t="s">
        <v>2074</v>
      </c>
      <c r="M710" s="2">
        <v>3814</v>
      </c>
      <c r="N710" s="2" t="s">
        <v>1658</v>
      </c>
      <c r="O710" s="2">
        <v>80</v>
      </c>
      <c r="P710" s="2">
        <v>400</v>
      </c>
      <c r="Q710" s="2" t="s">
        <v>1658</v>
      </c>
      <c r="R710" s="2">
        <v>70</v>
      </c>
      <c r="S710" s="2" t="s">
        <v>1660</v>
      </c>
      <c r="T710" s="2">
        <v>0</v>
      </c>
      <c r="U710" s="2" t="s">
        <v>32</v>
      </c>
      <c r="V710" s="2" t="s">
        <v>32</v>
      </c>
      <c r="W710" s="2" t="s">
        <v>1660</v>
      </c>
      <c r="X710" s="2">
        <v>0</v>
      </c>
      <c r="Y710" s="2" t="s">
        <v>32</v>
      </c>
      <c r="Z710" s="2" t="s">
        <v>32</v>
      </c>
      <c r="AA710" s="2" t="s">
        <v>1658</v>
      </c>
      <c r="AB710" s="2">
        <v>10</v>
      </c>
      <c r="AC710" s="2" t="s">
        <v>1660</v>
      </c>
      <c r="AD710" s="2">
        <v>0</v>
      </c>
      <c r="AE710" s="2" t="s">
        <v>1658</v>
      </c>
      <c r="AF710" s="2">
        <v>13</v>
      </c>
      <c r="AG710" s="2">
        <v>65</v>
      </c>
      <c r="AH710" s="2" t="s">
        <v>1660</v>
      </c>
      <c r="AI710" s="2" t="s">
        <v>32</v>
      </c>
      <c r="AJ710" s="2" t="s">
        <v>32</v>
      </c>
      <c r="AK710" s="2" t="s">
        <v>32</v>
      </c>
      <c r="AL710" s="2" t="s">
        <v>1658</v>
      </c>
      <c r="AM710" s="2">
        <v>13</v>
      </c>
      <c r="AN710" s="2" t="s">
        <v>1660</v>
      </c>
      <c r="AO710" s="2">
        <v>0</v>
      </c>
      <c r="AP710" s="2" t="s">
        <v>32</v>
      </c>
      <c r="AQ710" s="2" t="s">
        <v>32</v>
      </c>
      <c r="AR710" s="2" t="s">
        <v>1660</v>
      </c>
      <c r="AS710" s="2">
        <v>0</v>
      </c>
      <c r="AT710" s="2" t="s">
        <v>32</v>
      </c>
      <c r="AU710" s="2" t="s">
        <v>32</v>
      </c>
      <c r="AV710" s="2" t="s">
        <v>1660</v>
      </c>
      <c r="AW710" s="2">
        <v>0</v>
      </c>
      <c r="AX710" s="2" t="s">
        <v>1660</v>
      </c>
      <c r="AY710" s="2">
        <v>0</v>
      </c>
      <c r="AZ710" s="2" t="s">
        <v>1660</v>
      </c>
      <c r="BA710" s="2">
        <v>0</v>
      </c>
      <c r="BB710" s="2">
        <v>0</v>
      </c>
      <c r="BC710" s="2" t="s">
        <v>32</v>
      </c>
      <c r="BD710" s="2">
        <v>0</v>
      </c>
      <c r="BE710" s="2" t="s">
        <v>32</v>
      </c>
      <c r="BF710" s="2">
        <v>0</v>
      </c>
      <c r="BG710" s="2" t="s">
        <v>32</v>
      </c>
      <c r="BH710" s="2">
        <v>0</v>
      </c>
      <c r="BI710" s="2" t="s">
        <v>32</v>
      </c>
      <c r="BJ710" s="2" t="s">
        <v>32</v>
      </c>
      <c r="BK710" s="2" t="s">
        <v>32</v>
      </c>
      <c r="BL710" s="2">
        <v>0</v>
      </c>
      <c r="BM710" s="2" t="s">
        <v>32</v>
      </c>
      <c r="BN710" s="2" t="s">
        <v>32</v>
      </c>
      <c r="BO710" s="2" t="s">
        <v>32</v>
      </c>
      <c r="BP710" s="2">
        <v>0</v>
      </c>
      <c r="BQ710" s="2" t="s">
        <v>32</v>
      </c>
      <c r="BR710" s="2">
        <v>0</v>
      </c>
      <c r="BS710" s="2" t="s">
        <v>1658</v>
      </c>
      <c r="BT710" s="2">
        <v>8</v>
      </c>
      <c r="BU710" s="2">
        <v>40</v>
      </c>
      <c r="BV710" s="2" t="s">
        <v>1660</v>
      </c>
      <c r="BW710" s="2"/>
      <c r="BX710" s="2"/>
      <c r="BY710" s="2" t="s">
        <v>1807</v>
      </c>
      <c r="BZ710" s="2" t="b">
        <f>OR( (Dashboard[[#This Row],[ref_as_hh]]&gt;=1),(Dashboard[[#This Row],[ret_as_hh]] &gt;=1), (Dashboard[[#This Row],[idp_as_hh]]&gt;=1))</f>
        <v>1</v>
      </c>
      <c r="CA710" s="2">
        <f>Dashboard[[#This Row],[ret_hi_hh]]</f>
        <v>0</v>
      </c>
      <c r="CB710" s="2">
        <f>Dashboard[[#This Row],[idp_fa_hh]]+Dashboard[[#This Row],[ref_fa_hh]]+Dashboard[[#This Row],[ret_fa_hh]]</f>
        <v>83</v>
      </c>
      <c r="CC710" s="2">
        <f>Dashboard[[#This Row],[idp_loc_hh]]+Dashboard[[#This Row],[ref_loc_hh]]+Dashboard[[#This Row],[ret_loc_hh]]</f>
        <v>0</v>
      </c>
      <c r="CD710" s="2">
        <f>Dashboard[[#This Row],[idp_cc_hh]]+Dashboard[[#This Row],[ref_cc_hh]]+Dashboard[[#This Row],[ret_cc_hh]]</f>
        <v>0</v>
      </c>
      <c r="CE710" s="2">
        <f>Dashboard[[#This Row],[idp_as_hh]]+Dashboard[[#This Row],[ref_as_hh]]+Dashboard[[#This Row],[ret_as_hh]]</f>
        <v>10</v>
      </c>
      <c r="CF710" s="2">
        <f>Dashboard[[#This Row],[idp_al_hh]]+Dashboard[[#This Row],[ref_al_hh]]+Dashboard[[#This Row],[ret_al_hh]]</f>
        <v>0</v>
      </c>
    </row>
    <row r="711" spans="1:84" hidden="1" x14ac:dyDescent="0.25">
      <c r="A711" s="27">
        <v>530</v>
      </c>
      <c r="B711" s="2" t="s">
        <v>22</v>
      </c>
      <c r="C711" s="2" t="s">
        <v>23</v>
      </c>
      <c r="D711" s="2" t="s">
        <v>37</v>
      </c>
      <c r="E711" s="2" t="s">
        <v>36</v>
      </c>
      <c r="F711" s="2" t="s">
        <v>250</v>
      </c>
      <c r="G711" s="2" t="s">
        <v>249</v>
      </c>
      <c r="H711" s="2" t="s">
        <v>2050</v>
      </c>
      <c r="I711" s="2" t="s">
        <v>2051</v>
      </c>
      <c r="J711" s="2" t="s">
        <v>3670</v>
      </c>
      <c r="K711" s="2" t="s">
        <v>3671</v>
      </c>
      <c r="L711" s="2" t="s">
        <v>2074</v>
      </c>
      <c r="M711" s="2">
        <v>1096</v>
      </c>
      <c r="N711" s="2" t="s">
        <v>1658</v>
      </c>
      <c r="O711" s="2">
        <v>21</v>
      </c>
      <c r="P711" s="2">
        <v>114</v>
      </c>
      <c r="Q711" s="2" t="s">
        <v>1658</v>
      </c>
      <c r="R711" s="2">
        <v>21</v>
      </c>
      <c r="S711" s="2" t="s">
        <v>1660</v>
      </c>
      <c r="T711" s="2">
        <v>0</v>
      </c>
      <c r="U711" s="2" t="s">
        <v>32</v>
      </c>
      <c r="V711" s="2" t="s">
        <v>32</v>
      </c>
      <c r="W711" s="2" t="s">
        <v>1660</v>
      </c>
      <c r="X711" s="2">
        <v>0</v>
      </c>
      <c r="Y711" s="2" t="s">
        <v>32</v>
      </c>
      <c r="Z711" s="2" t="s">
        <v>32</v>
      </c>
      <c r="AA711" s="2" t="s">
        <v>1660</v>
      </c>
      <c r="AB711" s="2">
        <v>0</v>
      </c>
      <c r="AC711" s="2" t="s">
        <v>1660</v>
      </c>
      <c r="AD711" s="2">
        <v>0</v>
      </c>
      <c r="AE711" s="2" t="s">
        <v>1660</v>
      </c>
      <c r="AF711" s="2">
        <v>0</v>
      </c>
      <c r="AG711" s="2">
        <v>0</v>
      </c>
      <c r="AH711" s="2" t="s">
        <v>32</v>
      </c>
      <c r="AI711" s="2" t="s">
        <v>32</v>
      </c>
      <c r="AJ711" s="2" t="s">
        <v>32</v>
      </c>
      <c r="AK711" s="2" t="s">
        <v>32</v>
      </c>
      <c r="AL711" s="2" t="s">
        <v>32</v>
      </c>
      <c r="AM711" s="2">
        <v>0</v>
      </c>
      <c r="AN711" s="2" t="s">
        <v>32</v>
      </c>
      <c r="AO711" s="2">
        <v>0</v>
      </c>
      <c r="AP711" s="2" t="s">
        <v>32</v>
      </c>
      <c r="AQ711" s="2" t="s">
        <v>32</v>
      </c>
      <c r="AR711" s="2" t="s">
        <v>32</v>
      </c>
      <c r="AS711" s="2">
        <v>0</v>
      </c>
      <c r="AT711" s="2" t="s">
        <v>32</v>
      </c>
      <c r="AU711" s="2" t="s">
        <v>32</v>
      </c>
      <c r="AV711" s="2" t="s">
        <v>32</v>
      </c>
      <c r="AW711" s="2">
        <v>0</v>
      </c>
      <c r="AX711" s="2" t="s">
        <v>32</v>
      </c>
      <c r="AY711" s="2">
        <v>0</v>
      </c>
      <c r="AZ711" s="2" t="s">
        <v>1658</v>
      </c>
      <c r="BA711" s="2">
        <v>46</v>
      </c>
      <c r="BB711" s="2">
        <v>276</v>
      </c>
      <c r="BC711" s="2" t="s">
        <v>1658</v>
      </c>
      <c r="BD711" s="2">
        <v>37</v>
      </c>
      <c r="BE711" s="2" t="s">
        <v>1658</v>
      </c>
      <c r="BF711" s="2">
        <v>9</v>
      </c>
      <c r="BG711" s="2" t="s">
        <v>1660</v>
      </c>
      <c r="BH711" s="2">
        <v>0</v>
      </c>
      <c r="BI711" s="2" t="s">
        <v>32</v>
      </c>
      <c r="BJ711" s="2" t="s">
        <v>32</v>
      </c>
      <c r="BK711" s="2" t="s">
        <v>1660</v>
      </c>
      <c r="BL711" s="2">
        <v>0</v>
      </c>
      <c r="BM711" s="2" t="s">
        <v>32</v>
      </c>
      <c r="BN711" s="2" t="s">
        <v>32</v>
      </c>
      <c r="BO711" s="2" t="s">
        <v>1660</v>
      </c>
      <c r="BP711" s="2">
        <v>0</v>
      </c>
      <c r="BQ711" s="2" t="s">
        <v>1660</v>
      </c>
      <c r="BR711" s="2">
        <v>0</v>
      </c>
      <c r="BS711" s="2" t="s">
        <v>1660</v>
      </c>
      <c r="BT711" s="2">
        <v>0</v>
      </c>
      <c r="BU711" s="2">
        <v>0</v>
      </c>
      <c r="BV711" s="2" t="s">
        <v>1660</v>
      </c>
      <c r="BW711" s="2"/>
      <c r="BX711" s="2"/>
      <c r="BY711" s="2" t="s">
        <v>1807</v>
      </c>
      <c r="BZ711" s="2" t="b">
        <f>OR( (Dashboard[[#This Row],[ref_as_hh]]&gt;=1),(Dashboard[[#This Row],[ret_as_hh]] &gt;=1), (Dashboard[[#This Row],[idp_as_hh]]&gt;=1))</f>
        <v>0</v>
      </c>
      <c r="CA711" s="2">
        <f>Dashboard[[#This Row],[ret_hi_hh]]</f>
        <v>37</v>
      </c>
      <c r="CB711" s="2">
        <f>Dashboard[[#This Row],[idp_fa_hh]]+Dashboard[[#This Row],[ref_fa_hh]]+Dashboard[[#This Row],[ret_fa_hh]]</f>
        <v>30</v>
      </c>
      <c r="CC711" s="2">
        <f>Dashboard[[#This Row],[idp_loc_hh]]+Dashboard[[#This Row],[ref_loc_hh]]+Dashboard[[#This Row],[ret_loc_hh]]</f>
        <v>0</v>
      </c>
      <c r="CD711" s="2">
        <f>Dashboard[[#This Row],[idp_cc_hh]]+Dashboard[[#This Row],[ref_cc_hh]]+Dashboard[[#This Row],[ret_cc_hh]]</f>
        <v>0</v>
      </c>
      <c r="CE711" s="2">
        <f>Dashboard[[#This Row],[idp_as_hh]]+Dashboard[[#This Row],[ref_as_hh]]+Dashboard[[#This Row],[ret_as_hh]]</f>
        <v>0</v>
      </c>
      <c r="CF711" s="2">
        <f>Dashboard[[#This Row],[idp_al_hh]]+Dashboard[[#This Row],[ref_al_hh]]+Dashboard[[#This Row],[ret_al_hh]]</f>
        <v>0</v>
      </c>
    </row>
    <row r="712" spans="1:84" hidden="1" x14ac:dyDescent="0.25">
      <c r="A712" s="27">
        <v>531</v>
      </c>
      <c r="B712" s="2" t="s">
        <v>22</v>
      </c>
      <c r="C712" s="2" t="s">
        <v>23</v>
      </c>
      <c r="D712" s="2" t="s">
        <v>37</v>
      </c>
      <c r="E712" s="2" t="s">
        <v>36</v>
      </c>
      <c r="F712" s="2" t="s">
        <v>250</v>
      </c>
      <c r="G712" s="2" t="s">
        <v>249</v>
      </c>
      <c r="H712" s="2" t="s">
        <v>1485</v>
      </c>
      <c r="I712" s="2" t="s">
        <v>605</v>
      </c>
      <c r="J712" s="2" t="s">
        <v>3664</v>
      </c>
      <c r="K712" s="2" t="s">
        <v>3665</v>
      </c>
      <c r="L712" s="2" t="s">
        <v>2074</v>
      </c>
      <c r="M712" s="2">
        <v>9736</v>
      </c>
      <c r="N712" s="2" t="s">
        <v>1658</v>
      </c>
      <c r="O712" s="2">
        <v>138</v>
      </c>
      <c r="P712" s="2">
        <v>707</v>
      </c>
      <c r="Q712" s="2" t="s">
        <v>1658</v>
      </c>
      <c r="R712" s="2">
        <v>132</v>
      </c>
      <c r="S712" s="2" t="s">
        <v>1658</v>
      </c>
      <c r="T712" s="2">
        <v>6</v>
      </c>
      <c r="U712" s="2" t="s">
        <v>1659</v>
      </c>
      <c r="V712" s="2" t="s">
        <v>32</v>
      </c>
      <c r="W712" s="2" t="s">
        <v>1660</v>
      </c>
      <c r="X712" s="2">
        <v>0</v>
      </c>
      <c r="Y712" s="2" t="s">
        <v>32</v>
      </c>
      <c r="Z712" s="2" t="s">
        <v>32</v>
      </c>
      <c r="AA712" s="2" t="s">
        <v>1660</v>
      </c>
      <c r="AB712" s="2">
        <v>0</v>
      </c>
      <c r="AC712" s="2" t="s">
        <v>1660</v>
      </c>
      <c r="AD712" s="2">
        <v>0</v>
      </c>
      <c r="AE712" s="2" t="s">
        <v>1660</v>
      </c>
      <c r="AF712" s="2">
        <v>0</v>
      </c>
      <c r="AG712" s="2">
        <v>0</v>
      </c>
      <c r="AH712" s="2" t="s">
        <v>32</v>
      </c>
      <c r="AI712" s="2" t="s">
        <v>32</v>
      </c>
      <c r="AJ712" s="2" t="s">
        <v>32</v>
      </c>
      <c r="AK712" s="2" t="s">
        <v>32</v>
      </c>
      <c r="AL712" s="2" t="s">
        <v>32</v>
      </c>
      <c r="AM712" s="2">
        <v>0</v>
      </c>
      <c r="AN712" s="2" t="s">
        <v>32</v>
      </c>
      <c r="AO712" s="2">
        <v>0</v>
      </c>
      <c r="AP712" s="2" t="s">
        <v>32</v>
      </c>
      <c r="AQ712" s="2" t="s">
        <v>32</v>
      </c>
      <c r="AR712" s="2" t="s">
        <v>32</v>
      </c>
      <c r="AS712" s="2">
        <v>0</v>
      </c>
      <c r="AT712" s="2" t="s">
        <v>32</v>
      </c>
      <c r="AU712" s="2" t="s">
        <v>32</v>
      </c>
      <c r="AV712" s="2" t="s">
        <v>32</v>
      </c>
      <c r="AW712" s="2">
        <v>0</v>
      </c>
      <c r="AX712" s="2" t="s">
        <v>32</v>
      </c>
      <c r="AY712" s="2">
        <v>0</v>
      </c>
      <c r="AZ712" s="2" t="s">
        <v>1658</v>
      </c>
      <c r="BA712" s="2">
        <v>176</v>
      </c>
      <c r="BB712" s="2">
        <v>905</v>
      </c>
      <c r="BC712" s="2" t="s">
        <v>1658</v>
      </c>
      <c r="BD712" s="2">
        <v>171</v>
      </c>
      <c r="BE712" s="2" t="s">
        <v>1658</v>
      </c>
      <c r="BF712" s="2">
        <v>5</v>
      </c>
      <c r="BG712" s="2" t="s">
        <v>1660</v>
      </c>
      <c r="BH712" s="2">
        <v>0</v>
      </c>
      <c r="BI712" s="2" t="s">
        <v>32</v>
      </c>
      <c r="BJ712" s="2" t="s">
        <v>32</v>
      </c>
      <c r="BK712" s="2" t="s">
        <v>1660</v>
      </c>
      <c r="BL712" s="2">
        <v>0</v>
      </c>
      <c r="BM712" s="2" t="s">
        <v>32</v>
      </c>
      <c r="BN712" s="2" t="s">
        <v>32</v>
      </c>
      <c r="BO712" s="2" t="s">
        <v>1660</v>
      </c>
      <c r="BP712" s="2">
        <v>0</v>
      </c>
      <c r="BQ712" s="2" t="s">
        <v>1660</v>
      </c>
      <c r="BR712" s="2">
        <v>0</v>
      </c>
      <c r="BS712" s="2" t="s">
        <v>1658</v>
      </c>
      <c r="BT712" s="2">
        <v>43</v>
      </c>
      <c r="BU712" s="2">
        <v>217</v>
      </c>
      <c r="BV712" s="2" t="s">
        <v>1660</v>
      </c>
      <c r="BW712" s="2"/>
      <c r="BX712" s="2"/>
      <c r="BY712" s="2" t="s">
        <v>1807</v>
      </c>
      <c r="BZ712" s="2" t="b">
        <f>OR( (Dashboard[[#This Row],[ref_as_hh]]&gt;=1),(Dashboard[[#This Row],[ret_as_hh]] &gt;=1), (Dashboard[[#This Row],[idp_as_hh]]&gt;=1))</f>
        <v>0</v>
      </c>
      <c r="CA712" s="2">
        <f>Dashboard[[#This Row],[ret_hi_hh]]</f>
        <v>171</v>
      </c>
      <c r="CB712" s="2">
        <f>Dashboard[[#This Row],[idp_fa_hh]]+Dashboard[[#This Row],[ref_fa_hh]]+Dashboard[[#This Row],[ret_fa_hh]]</f>
        <v>137</v>
      </c>
      <c r="CC712" s="2">
        <f>Dashboard[[#This Row],[idp_loc_hh]]+Dashboard[[#This Row],[ref_loc_hh]]+Dashboard[[#This Row],[ret_loc_hh]]</f>
        <v>6</v>
      </c>
      <c r="CD712" s="2">
        <f>Dashboard[[#This Row],[idp_cc_hh]]+Dashboard[[#This Row],[ref_cc_hh]]+Dashboard[[#This Row],[ret_cc_hh]]</f>
        <v>0</v>
      </c>
      <c r="CE712" s="2">
        <f>Dashboard[[#This Row],[idp_as_hh]]+Dashboard[[#This Row],[ref_as_hh]]+Dashboard[[#This Row],[ret_as_hh]]</f>
        <v>0</v>
      </c>
      <c r="CF712" s="2">
        <f>Dashboard[[#This Row],[idp_al_hh]]+Dashboard[[#This Row],[ref_al_hh]]+Dashboard[[#This Row],[ret_al_hh]]</f>
        <v>0</v>
      </c>
    </row>
    <row r="713" spans="1:84" hidden="1" x14ac:dyDescent="0.25">
      <c r="A713" s="27">
        <v>532</v>
      </c>
      <c r="B713" s="2" t="s">
        <v>22</v>
      </c>
      <c r="C713" s="2" t="s">
        <v>23</v>
      </c>
      <c r="D713" s="2" t="s">
        <v>37</v>
      </c>
      <c r="E713" s="2" t="s">
        <v>36</v>
      </c>
      <c r="F713" s="2" t="s">
        <v>250</v>
      </c>
      <c r="G713" s="2" t="s">
        <v>249</v>
      </c>
      <c r="H713" s="2" t="s">
        <v>1486</v>
      </c>
      <c r="I713" s="2" t="s">
        <v>606</v>
      </c>
      <c r="J713" s="2" t="s">
        <v>3666</v>
      </c>
      <c r="K713" s="2" t="s">
        <v>3667</v>
      </c>
      <c r="L713" s="2" t="s">
        <v>2074</v>
      </c>
      <c r="M713" s="2">
        <v>2441</v>
      </c>
      <c r="N713" s="2" t="s">
        <v>1658</v>
      </c>
      <c r="O713" s="2">
        <v>42</v>
      </c>
      <c r="P713" s="2">
        <v>213</v>
      </c>
      <c r="Q713" s="2" t="s">
        <v>1658</v>
      </c>
      <c r="R713" s="2">
        <v>42</v>
      </c>
      <c r="S713" s="2" t="s">
        <v>1660</v>
      </c>
      <c r="T713" s="2">
        <v>0</v>
      </c>
      <c r="U713" s="2" t="s">
        <v>32</v>
      </c>
      <c r="V713" s="2" t="s">
        <v>32</v>
      </c>
      <c r="W713" s="2" t="s">
        <v>1660</v>
      </c>
      <c r="X713" s="2">
        <v>0</v>
      </c>
      <c r="Y713" s="2" t="s">
        <v>32</v>
      </c>
      <c r="Z713" s="2" t="s">
        <v>32</v>
      </c>
      <c r="AA713" s="2" t="s">
        <v>1660</v>
      </c>
      <c r="AB713" s="2">
        <v>0</v>
      </c>
      <c r="AC713" s="2" t="s">
        <v>1660</v>
      </c>
      <c r="AD713" s="2">
        <v>0</v>
      </c>
      <c r="AE713" s="2" t="s">
        <v>1658</v>
      </c>
      <c r="AF713" s="2">
        <v>17</v>
      </c>
      <c r="AG713" s="2">
        <v>85</v>
      </c>
      <c r="AH713" s="2" t="s">
        <v>1660</v>
      </c>
      <c r="AI713" s="2" t="s">
        <v>32</v>
      </c>
      <c r="AJ713" s="2" t="s">
        <v>32</v>
      </c>
      <c r="AK713" s="2" t="s">
        <v>32</v>
      </c>
      <c r="AL713" s="2" t="s">
        <v>1658</v>
      </c>
      <c r="AM713" s="2">
        <v>17</v>
      </c>
      <c r="AN713" s="2" t="s">
        <v>1660</v>
      </c>
      <c r="AO713" s="2">
        <v>0</v>
      </c>
      <c r="AP713" s="2" t="s">
        <v>32</v>
      </c>
      <c r="AQ713" s="2" t="s">
        <v>32</v>
      </c>
      <c r="AR713" s="2" t="s">
        <v>1660</v>
      </c>
      <c r="AS713" s="2">
        <v>0</v>
      </c>
      <c r="AT713" s="2" t="s">
        <v>32</v>
      </c>
      <c r="AU713" s="2" t="s">
        <v>32</v>
      </c>
      <c r="AV713" s="2" t="s">
        <v>1660</v>
      </c>
      <c r="AW713" s="2">
        <v>0</v>
      </c>
      <c r="AX713" s="2" t="s">
        <v>1660</v>
      </c>
      <c r="AY713" s="2">
        <v>0</v>
      </c>
      <c r="AZ713" s="2" t="s">
        <v>1660</v>
      </c>
      <c r="BA713" s="2">
        <v>0</v>
      </c>
      <c r="BB713" s="2">
        <v>0</v>
      </c>
      <c r="BC713" s="2" t="s">
        <v>32</v>
      </c>
      <c r="BD713" s="2">
        <v>0</v>
      </c>
      <c r="BE713" s="2" t="s">
        <v>32</v>
      </c>
      <c r="BF713" s="2">
        <v>0</v>
      </c>
      <c r="BG713" s="2" t="s">
        <v>32</v>
      </c>
      <c r="BH713" s="2">
        <v>0</v>
      </c>
      <c r="BI713" s="2" t="s">
        <v>32</v>
      </c>
      <c r="BJ713" s="2" t="s">
        <v>32</v>
      </c>
      <c r="BK713" s="2" t="s">
        <v>32</v>
      </c>
      <c r="BL713" s="2">
        <v>0</v>
      </c>
      <c r="BM713" s="2" t="s">
        <v>32</v>
      </c>
      <c r="BN713" s="2" t="s">
        <v>32</v>
      </c>
      <c r="BO713" s="2" t="s">
        <v>32</v>
      </c>
      <c r="BP713" s="2">
        <v>0</v>
      </c>
      <c r="BQ713" s="2" t="s">
        <v>32</v>
      </c>
      <c r="BR713" s="2">
        <v>0</v>
      </c>
      <c r="BS713" s="2" t="s">
        <v>1660</v>
      </c>
      <c r="BT713" s="2">
        <v>0</v>
      </c>
      <c r="BU713" s="2">
        <v>0</v>
      </c>
      <c r="BV713" s="2" t="s">
        <v>1660</v>
      </c>
      <c r="BW713" s="2"/>
      <c r="BX713" s="2"/>
      <c r="BY713" s="2" t="s">
        <v>1807</v>
      </c>
      <c r="BZ713" s="2" t="b">
        <f>OR( (Dashboard[[#This Row],[ref_as_hh]]&gt;=1),(Dashboard[[#This Row],[ret_as_hh]] &gt;=1), (Dashboard[[#This Row],[idp_as_hh]]&gt;=1))</f>
        <v>0</v>
      </c>
      <c r="CA713" s="2">
        <f>Dashboard[[#This Row],[ret_hi_hh]]</f>
        <v>0</v>
      </c>
      <c r="CB713" s="2">
        <f>Dashboard[[#This Row],[idp_fa_hh]]+Dashboard[[#This Row],[ref_fa_hh]]+Dashboard[[#This Row],[ret_fa_hh]]</f>
        <v>59</v>
      </c>
      <c r="CC713" s="2">
        <f>Dashboard[[#This Row],[idp_loc_hh]]+Dashboard[[#This Row],[ref_loc_hh]]+Dashboard[[#This Row],[ret_loc_hh]]</f>
        <v>0</v>
      </c>
      <c r="CD713" s="2">
        <f>Dashboard[[#This Row],[idp_cc_hh]]+Dashboard[[#This Row],[ref_cc_hh]]+Dashboard[[#This Row],[ret_cc_hh]]</f>
        <v>0</v>
      </c>
      <c r="CE713" s="2">
        <f>Dashboard[[#This Row],[idp_as_hh]]+Dashboard[[#This Row],[ref_as_hh]]+Dashboard[[#This Row],[ret_as_hh]]</f>
        <v>0</v>
      </c>
      <c r="CF713" s="2">
        <f>Dashboard[[#This Row],[idp_al_hh]]+Dashboard[[#This Row],[ref_al_hh]]+Dashboard[[#This Row],[ret_al_hh]]</f>
        <v>0</v>
      </c>
    </row>
    <row r="714" spans="1:84" hidden="1" x14ac:dyDescent="0.25">
      <c r="A714" s="2">
        <v>53</v>
      </c>
      <c r="B714" s="2" t="s">
        <v>22</v>
      </c>
      <c r="C714" s="2" t="s">
        <v>23</v>
      </c>
      <c r="D714" s="2" t="s">
        <v>37</v>
      </c>
      <c r="E714" s="2" t="s">
        <v>36</v>
      </c>
      <c r="F714" s="2" t="s">
        <v>250</v>
      </c>
      <c r="G714" s="2" t="s">
        <v>249</v>
      </c>
      <c r="H714" s="2" t="s">
        <v>1473</v>
      </c>
      <c r="I714" s="2" t="s">
        <v>257</v>
      </c>
      <c r="J714" s="2" t="s">
        <v>3640</v>
      </c>
      <c r="K714" s="2" t="s">
        <v>3641</v>
      </c>
      <c r="L714" s="2" t="s">
        <v>2074</v>
      </c>
      <c r="M714" s="2">
        <v>456</v>
      </c>
      <c r="N714" s="2" t="s">
        <v>1658</v>
      </c>
      <c r="O714" s="2">
        <v>12</v>
      </c>
      <c r="P714" s="2">
        <v>60</v>
      </c>
      <c r="Q714" s="2" t="s">
        <v>1658</v>
      </c>
      <c r="R714" s="2">
        <v>12</v>
      </c>
      <c r="S714" s="2" t="s">
        <v>1660</v>
      </c>
      <c r="T714" s="2">
        <v>0</v>
      </c>
      <c r="U714" s="2" t="s">
        <v>32</v>
      </c>
      <c r="V714" s="2" t="s">
        <v>32</v>
      </c>
      <c r="W714" s="2" t="s">
        <v>1660</v>
      </c>
      <c r="X714" s="2">
        <v>0</v>
      </c>
      <c r="Y714" s="2" t="s">
        <v>32</v>
      </c>
      <c r="Z714" s="2" t="s">
        <v>32</v>
      </c>
      <c r="AA714" s="2" t="s">
        <v>1660</v>
      </c>
      <c r="AB714" s="2">
        <v>0</v>
      </c>
      <c r="AC714" s="2" t="s">
        <v>1660</v>
      </c>
      <c r="AD714" s="2">
        <v>0</v>
      </c>
      <c r="AE714" s="2" t="s">
        <v>1660</v>
      </c>
      <c r="AF714" s="2">
        <v>0</v>
      </c>
      <c r="AG714" s="2">
        <v>0</v>
      </c>
      <c r="AH714" s="2" t="s">
        <v>32</v>
      </c>
      <c r="AI714" s="2" t="s">
        <v>32</v>
      </c>
      <c r="AJ714" s="2" t="s">
        <v>32</v>
      </c>
      <c r="AK714" s="2" t="s">
        <v>32</v>
      </c>
      <c r="AL714" s="2" t="s">
        <v>32</v>
      </c>
      <c r="AM714" s="2">
        <v>0</v>
      </c>
      <c r="AN714" s="2" t="s">
        <v>32</v>
      </c>
      <c r="AO714" s="2">
        <v>0</v>
      </c>
      <c r="AP714" s="2" t="s">
        <v>32</v>
      </c>
      <c r="AQ714" s="2" t="s">
        <v>32</v>
      </c>
      <c r="AR714" s="2" t="s">
        <v>32</v>
      </c>
      <c r="AS714" s="2">
        <v>0</v>
      </c>
      <c r="AT714" s="2" t="s">
        <v>32</v>
      </c>
      <c r="AU714" s="2" t="s">
        <v>32</v>
      </c>
      <c r="AV714" s="2" t="s">
        <v>32</v>
      </c>
      <c r="AW714" s="2">
        <v>0</v>
      </c>
      <c r="AX714" s="2" t="s">
        <v>32</v>
      </c>
      <c r="AY714" s="2">
        <v>0</v>
      </c>
      <c r="AZ714" s="2" t="s">
        <v>1658</v>
      </c>
      <c r="BA714" s="2">
        <v>6</v>
      </c>
      <c r="BB714" s="2">
        <v>30</v>
      </c>
      <c r="BC714" s="2" t="s">
        <v>1660</v>
      </c>
      <c r="BD714" s="2">
        <v>0</v>
      </c>
      <c r="BE714" s="2" t="s">
        <v>1658</v>
      </c>
      <c r="BF714" s="2">
        <v>6</v>
      </c>
      <c r="BG714" s="2" t="s">
        <v>1660</v>
      </c>
      <c r="BH714" s="2">
        <v>0</v>
      </c>
      <c r="BI714" s="2" t="s">
        <v>32</v>
      </c>
      <c r="BJ714" s="2" t="s">
        <v>32</v>
      </c>
      <c r="BK714" s="2" t="s">
        <v>1660</v>
      </c>
      <c r="BL714" s="2">
        <v>0</v>
      </c>
      <c r="BM714" s="2" t="s">
        <v>32</v>
      </c>
      <c r="BN714" s="2" t="s">
        <v>32</v>
      </c>
      <c r="BO714" s="2" t="s">
        <v>1660</v>
      </c>
      <c r="BP714" s="2">
        <v>0</v>
      </c>
      <c r="BQ714" s="2" t="s">
        <v>1660</v>
      </c>
      <c r="BR714" s="2">
        <v>0</v>
      </c>
      <c r="BS714" s="2" t="s">
        <v>1658</v>
      </c>
      <c r="BT714" s="2">
        <v>5</v>
      </c>
      <c r="BU714" s="2">
        <v>25</v>
      </c>
      <c r="BV714" s="2" t="s">
        <v>1660</v>
      </c>
      <c r="BW714" s="2"/>
      <c r="BX714" s="2"/>
      <c r="BY714" s="2" t="s">
        <v>1807</v>
      </c>
      <c r="BZ714" s="2" t="b">
        <f>OR( (Dashboard[[#This Row],[ref_as_hh]]&gt;=1),(Dashboard[[#This Row],[ret_as_hh]] &gt;=1), (Dashboard[[#This Row],[idp_as_hh]]&gt;=1))</f>
        <v>0</v>
      </c>
      <c r="CA714" s="2">
        <f>Dashboard[[#This Row],[ret_hi_hh]]</f>
        <v>0</v>
      </c>
      <c r="CB714" s="2">
        <f>Dashboard[[#This Row],[idp_fa_hh]]+Dashboard[[#This Row],[ref_fa_hh]]+Dashboard[[#This Row],[ret_fa_hh]]</f>
        <v>18</v>
      </c>
      <c r="CC714" s="2">
        <f>Dashboard[[#This Row],[idp_loc_hh]]+Dashboard[[#This Row],[ref_loc_hh]]+Dashboard[[#This Row],[ret_loc_hh]]</f>
        <v>0</v>
      </c>
      <c r="CD714" s="2">
        <f>Dashboard[[#This Row],[idp_cc_hh]]+Dashboard[[#This Row],[ref_cc_hh]]+Dashboard[[#This Row],[ret_cc_hh]]</f>
        <v>0</v>
      </c>
      <c r="CE714" s="2">
        <f>Dashboard[[#This Row],[idp_as_hh]]+Dashboard[[#This Row],[ref_as_hh]]+Dashboard[[#This Row],[ret_as_hh]]</f>
        <v>0</v>
      </c>
      <c r="CF714" s="2">
        <f>Dashboard[[#This Row],[idp_al_hh]]+Dashboard[[#This Row],[ref_al_hh]]+Dashboard[[#This Row],[ret_al_hh]]</f>
        <v>0</v>
      </c>
    </row>
    <row r="715" spans="1:84" hidden="1" x14ac:dyDescent="0.25">
      <c r="A715" s="2">
        <v>63</v>
      </c>
      <c r="B715" s="2" t="s">
        <v>22</v>
      </c>
      <c r="C715" s="2" t="s">
        <v>23</v>
      </c>
      <c r="D715" s="2" t="s">
        <v>37</v>
      </c>
      <c r="E715" s="2" t="s">
        <v>36</v>
      </c>
      <c r="F715" s="2" t="s">
        <v>250</v>
      </c>
      <c r="G715" s="2" t="s">
        <v>249</v>
      </c>
      <c r="H715" s="2" t="s">
        <v>1479</v>
      </c>
      <c r="I715" s="2" t="s">
        <v>599</v>
      </c>
      <c r="J715" s="2" t="s">
        <v>3652</v>
      </c>
      <c r="K715" s="2" t="s">
        <v>3653</v>
      </c>
      <c r="L715" s="2" t="s">
        <v>2074</v>
      </c>
      <c r="M715" s="2">
        <v>3834</v>
      </c>
      <c r="N715" s="2" t="s">
        <v>1658</v>
      </c>
      <c r="O715" s="2">
        <v>133</v>
      </c>
      <c r="P715" s="2">
        <v>669</v>
      </c>
      <c r="Q715" s="2" t="s">
        <v>1658</v>
      </c>
      <c r="R715" s="2">
        <v>121</v>
      </c>
      <c r="S715" s="2" t="s">
        <v>1658</v>
      </c>
      <c r="T715" s="2">
        <v>12</v>
      </c>
      <c r="U715" s="2" t="s">
        <v>1661</v>
      </c>
      <c r="V715" s="2" t="s">
        <v>32</v>
      </c>
      <c r="W715" s="2" t="s">
        <v>1660</v>
      </c>
      <c r="X715" s="2">
        <v>0</v>
      </c>
      <c r="Y715" s="2" t="s">
        <v>32</v>
      </c>
      <c r="Z715" s="2" t="s">
        <v>32</v>
      </c>
      <c r="AA715" s="2" t="s">
        <v>1660</v>
      </c>
      <c r="AB715" s="2">
        <v>0</v>
      </c>
      <c r="AC715" s="2" t="s">
        <v>1660</v>
      </c>
      <c r="AD715" s="2">
        <v>0</v>
      </c>
      <c r="AE715" s="2" t="s">
        <v>1660</v>
      </c>
      <c r="AF715" s="2">
        <v>0</v>
      </c>
      <c r="AG715" s="2">
        <v>0</v>
      </c>
      <c r="AH715" s="2" t="s">
        <v>32</v>
      </c>
      <c r="AI715" s="2" t="s">
        <v>32</v>
      </c>
      <c r="AJ715" s="2" t="s">
        <v>32</v>
      </c>
      <c r="AK715" s="2" t="s">
        <v>32</v>
      </c>
      <c r="AL715" s="2" t="s">
        <v>32</v>
      </c>
      <c r="AM715" s="2">
        <v>0</v>
      </c>
      <c r="AN715" s="2" t="s">
        <v>32</v>
      </c>
      <c r="AO715" s="2">
        <v>0</v>
      </c>
      <c r="AP715" s="2" t="s">
        <v>32</v>
      </c>
      <c r="AQ715" s="2" t="s">
        <v>32</v>
      </c>
      <c r="AR715" s="2" t="s">
        <v>32</v>
      </c>
      <c r="AS715" s="2">
        <v>0</v>
      </c>
      <c r="AT715" s="2" t="s">
        <v>32</v>
      </c>
      <c r="AU715" s="2" t="s">
        <v>32</v>
      </c>
      <c r="AV715" s="2" t="s">
        <v>32</v>
      </c>
      <c r="AW715" s="2">
        <v>0</v>
      </c>
      <c r="AX715" s="2" t="s">
        <v>32</v>
      </c>
      <c r="AY715" s="2">
        <v>0</v>
      </c>
      <c r="AZ715" s="2" t="s">
        <v>1658</v>
      </c>
      <c r="BA715" s="2">
        <v>6</v>
      </c>
      <c r="BB715" s="2">
        <v>30</v>
      </c>
      <c r="BC715" s="2" t="s">
        <v>1658</v>
      </c>
      <c r="BD715" s="2">
        <v>5</v>
      </c>
      <c r="BE715" s="2" t="s">
        <v>1658</v>
      </c>
      <c r="BF715" s="2">
        <v>1</v>
      </c>
      <c r="BG715" s="2" t="s">
        <v>1660</v>
      </c>
      <c r="BH715" s="2">
        <v>0</v>
      </c>
      <c r="BI715" s="2" t="s">
        <v>32</v>
      </c>
      <c r="BJ715" s="2" t="s">
        <v>32</v>
      </c>
      <c r="BK715" s="2" t="s">
        <v>1660</v>
      </c>
      <c r="BL715" s="2">
        <v>0</v>
      </c>
      <c r="BM715" s="2" t="s">
        <v>32</v>
      </c>
      <c r="BN715" s="2" t="s">
        <v>32</v>
      </c>
      <c r="BO715" s="2" t="s">
        <v>1660</v>
      </c>
      <c r="BP715" s="2">
        <v>0</v>
      </c>
      <c r="BQ715" s="2" t="s">
        <v>1660</v>
      </c>
      <c r="BR715" s="2">
        <v>0</v>
      </c>
      <c r="BS715" s="2" t="s">
        <v>1658</v>
      </c>
      <c r="BT715" s="2">
        <v>9</v>
      </c>
      <c r="BU715" s="2">
        <v>45</v>
      </c>
      <c r="BV715" s="2" t="s">
        <v>1660</v>
      </c>
      <c r="BW715" s="2"/>
      <c r="BX715" s="2"/>
      <c r="BY715" s="2" t="s">
        <v>1807</v>
      </c>
      <c r="BZ715" s="2" t="b">
        <f>OR( (Dashboard[[#This Row],[ref_as_hh]]&gt;=1),(Dashboard[[#This Row],[ret_as_hh]] &gt;=1), (Dashboard[[#This Row],[idp_as_hh]]&gt;=1))</f>
        <v>0</v>
      </c>
      <c r="CA715" s="2">
        <f>Dashboard[[#This Row],[ret_hi_hh]]</f>
        <v>5</v>
      </c>
      <c r="CB715" s="2">
        <f>Dashboard[[#This Row],[idp_fa_hh]]+Dashboard[[#This Row],[ref_fa_hh]]+Dashboard[[#This Row],[ret_fa_hh]]</f>
        <v>122</v>
      </c>
      <c r="CC715" s="2">
        <f>Dashboard[[#This Row],[idp_loc_hh]]+Dashboard[[#This Row],[ref_loc_hh]]+Dashboard[[#This Row],[ret_loc_hh]]</f>
        <v>12</v>
      </c>
      <c r="CD715" s="2">
        <f>Dashboard[[#This Row],[idp_cc_hh]]+Dashboard[[#This Row],[ref_cc_hh]]+Dashboard[[#This Row],[ret_cc_hh]]</f>
        <v>0</v>
      </c>
      <c r="CE715" s="2">
        <f>Dashboard[[#This Row],[idp_as_hh]]+Dashboard[[#This Row],[ref_as_hh]]+Dashboard[[#This Row],[ret_as_hh]]</f>
        <v>0</v>
      </c>
      <c r="CF715" s="2">
        <f>Dashboard[[#This Row],[idp_al_hh]]+Dashboard[[#This Row],[ref_al_hh]]+Dashboard[[#This Row],[ret_al_hh]]</f>
        <v>0</v>
      </c>
    </row>
    <row r="716" spans="1:84" hidden="1" x14ac:dyDescent="0.25">
      <c r="A716" s="2">
        <v>622</v>
      </c>
      <c r="B716" s="2" t="s">
        <v>22</v>
      </c>
      <c r="C716" s="2" t="s">
        <v>23</v>
      </c>
      <c r="D716" s="2" t="s">
        <v>37</v>
      </c>
      <c r="E716" s="2" t="s">
        <v>36</v>
      </c>
      <c r="F716" s="2" t="s">
        <v>250</v>
      </c>
      <c r="G716" s="2" t="s">
        <v>249</v>
      </c>
      <c r="H716" s="2" t="s">
        <v>1480</v>
      </c>
      <c r="I716" s="2" t="s">
        <v>600</v>
      </c>
      <c r="J716" s="2" t="s">
        <v>3654</v>
      </c>
      <c r="K716" s="2" t="s">
        <v>3655</v>
      </c>
      <c r="L716" s="2" t="s">
        <v>2074</v>
      </c>
      <c r="M716" s="2">
        <v>1206</v>
      </c>
      <c r="N716" s="2" t="s">
        <v>1658</v>
      </c>
      <c r="O716" s="2">
        <v>16</v>
      </c>
      <c r="P716" s="2">
        <v>80</v>
      </c>
      <c r="Q716" s="2" t="s">
        <v>1658</v>
      </c>
      <c r="R716" s="2">
        <v>16</v>
      </c>
      <c r="S716" s="2" t="s">
        <v>1660</v>
      </c>
      <c r="T716" s="2">
        <v>0</v>
      </c>
      <c r="U716" s="2" t="s">
        <v>32</v>
      </c>
      <c r="V716" s="2" t="s">
        <v>32</v>
      </c>
      <c r="W716" s="2" t="s">
        <v>1660</v>
      </c>
      <c r="X716" s="2">
        <v>0</v>
      </c>
      <c r="Y716" s="2" t="s">
        <v>32</v>
      </c>
      <c r="Z716" s="2" t="s">
        <v>32</v>
      </c>
      <c r="AA716" s="2" t="s">
        <v>1660</v>
      </c>
      <c r="AB716" s="2">
        <v>0</v>
      </c>
      <c r="AC716" s="2" t="s">
        <v>1660</v>
      </c>
      <c r="AD716" s="2">
        <v>0</v>
      </c>
      <c r="AE716" s="2" t="s">
        <v>1660</v>
      </c>
      <c r="AF716" s="2">
        <v>0</v>
      </c>
      <c r="AG716" s="2">
        <v>0</v>
      </c>
      <c r="AH716" s="2" t="s">
        <v>32</v>
      </c>
      <c r="AI716" s="2" t="s">
        <v>32</v>
      </c>
      <c r="AJ716" s="2" t="s">
        <v>32</v>
      </c>
      <c r="AK716" s="2" t="s">
        <v>32</v>
      </c>
      <c r="AL716" s="2" t="s">
        <v>32</v>
      </c>
      <c r="AM716" s="2">
        <v>0</v>
      </c>
      <c r="AN716" s="2" t="s">
        <v>32</v>
      </c>
      <c r="AO716" s="2">
        <v>0</v>
      </c>
      <c r="AP716" s="2" t="s">
        <v>32</v>
      </c>
      <c r="AQ716" s="2" t="s">
        <v>32</v>
      </c>
      <c r="AR716" s="2" t="s">
        <v>32</v>
      </c>
      <c r="AS716" s="2">
        <v>0</v>
      </c>
      <c r="AT716" s="2" t="s">
        <v>32</v>
      </c>
      <c r="AU716" s="2" t="s">
        <v>32</v>
      </c>
      <c r="AV716" s="2" t="s">
        <v>32</v>
      </c>
      <c r="AW716" s="2">
        <v>0</v>
      </c>
      <c r="AX716" s="2" t="s">
        <v>32</v>
      </c>
      <c r="AY716" s="2">
        <v>0</v>
      </c>
      <c r="AZ716" s="2" t="s">
        <v>1658</v>
      </c>
      <c r="BA716" s="2">
        <v>10</v>
      </c>
      <c r="BB716" s="2">
        <v>48</v>
      </c>
      <c r="BC716" s="2" t="s">
        <v>1660</v>
      </c>
      <c r="BD716" s="2">
        <v>0</v>
      </c>
      <c r="BE716" s="2" t="s">
        <v>1658</v>
      </c>
      <c r="BF716" s="2">
        <v>10</v>
      </c>
      <c r="BG716" s="2" t="s">
        <v>1660</v>
      </c>
      <c r="BH716" s="2">
        <v>0</v>
      </c>
      <c r="BI716" s="2" t="s">
        <v>32</v>
      </c>
      <c r="BJ716" s="2" t="s">
        <v>32</v>
      </c>
      <c r="BK716" s="2" t="s">
        <v>1660</v>
      </c>
      <c r="BL716" s="2">
        <v>0</v>
      </c>
      <c r="BM716" s="2" t="s">
        <v>32</v>
      </c>
      <c r="BN716" s="2" t="s">
        <v>32</v>
      </c>
      <c r="BO716" s="2" t="s">
        <v>1660</v>
      </c>
      <c r="BP716" s="2">
        <v>0</v>
      </c>
      <c r="BQ716" s="2" t="s">
        <v>1660</v>
      </c>
      <c r="BR716" s="2">
        <v>0</v>
      </c>
      <c r="BS716" s="2" t="s">
        <v>1658</v>
      </c>
      <c r="BT716" s="2">
        <v>2</v>
      </c>
      <c r="BU716" s="2">
        <v>10</v>
      </c>
      <c r="BV716" s="2" t="s">
        <v>1660</v>
      </c>
      <c r="BW716" s="2"/>
      <c r="BX716" s="2"/>
      <c r="BY716" s="2" t="s">
        <v>1807</v>
      </c>
      <c r="BZ716" s="2" t="b">
        <f>OR( (Dashboard[[#This Row],[ref_as_hh]]&gt;=1),(Dashboard[[#This Row],[ret_as_hh]] &gt;=1), (Dashboard[[#This Row],[idp_as_hh]]&gt;=1))</f>
        <v>0</v>
      </c>
      <c r="CA716" s="2">
        <f>Dashboard[[#This Row],[ret_hi_hh]]</f>
        <v>0</v>
      </c>
      <c r="CB716" s="2">
        <f>Dashboard[[#This Row],[idp_fa_hh]]+Dashboard[[#This Row],[ref_fa_hh]]+Dashboard[[#This Row],[ret_fa_hh]]</f>
        <v>26</v>
      </c>
      <c r="CC716" s="2">
        <f>Dashboard[[#This Row],[idp_loc_hh]]+Dashboard[[#This Row],[ref_loc_hh]]+Dashboard[[#This Row],[ret_loc_hh]]</f>
        <v>0</v>
      </c>
      <c r="CD716" s="2">
        <f>Dashboard[[#This Row],[idp_cc_hh]]+Dashboard[[#This Row],[ref_cc_hh]]+Dashboard[[#This Row],[ret_cc_hh]]</f>
        <v>0</v>
      </c>
      <c r="CE716" s="2">
        <f>Dashboard[[#This Row],[idp_as_hh]]+Dashboard[[#This Row],[ref_as_hh]]+Dashboard[[#This Row],[ret_as_hh]]</f>
        <v>0</v>
      </c>
      <c r="CF716" s="2">
        <f>Dashboard[[#This Row],[idp_al_hh]]+Dashboard[[#This Row],[ref_al_hh]]+Dashboard[[#This Row],[ret_al_hh]]</f>
        <v>0</v>
      </c>
    </row>
    <row r="717" spans="1:84" x14ac:dyDescent="0.25">
      <c r="A717" s="2">
        <v>395</v>
      </c>
      <c r="B717" s="2" t="s">
        <v>22</v>
      </c>
      <c r="C717" s="2" t="s">
        <v>23</v>
      </c>
      <c r="D717" s="2" t="s">
        <v>37</v>
      </c>
      <c r="E717" s="2" t="s">
        <v>36</v>
      </c>
      <c r="F717" s="2" t="s">
        <v>250</v>
      </c>
      <c r="G717" s="2" t="s">
        <v>249</v>
      </c>
      <c r="H717" s="2" t="s">
        <v>1474</v>
      </c>
      <c r="I717" s="2" t="s">
        <v>258</v>
      </c>
      <c r="J717" s="2" t="s">
        <v>3642</v>
      </c>
      <c r="K717" s="2" t="s">
        <v>3643</v>
      </c>
      <c r="L717" s="2" t="s">
        <v>2074</v>
      </c>
      <c r="M717" s="2">
        <v>604</v>
      </c>
      <c r="N717" s="2" t="s">
        <v>1658</v>
      </c>
      <c r="O717" s="2">
        <v>69</v>
      </c>
      <c r="P717" s="2">
        <v>345</v>
      </c>
      <c r="Q717" s="2" t="s">
        <v>1658</v>
      </c>
      <c r="R717" s="2">
        <v>52</v>
      </c>
      <c r="S717" s="2" t="s">
        <v>1660</v>
      </c>
      <c r="T717" s="2">
        <v>0</v>
      </c>
      <c r="U717" s="2" t="s">
        <v>32</v>
      </c>
      <c r="V717" s="2" t="s">
        <v>32</v>
      </c>
      <c r="W717" s="2" t="s">
        <v>1660</v>
      </c>
      <c r="X717" s="2">
        <v>0</v>
      </c>
      <c r="Y717" s="2" t="s">
        <v>32</v>
      </c>
      <c r="Z717" s="2" t="s">
        <v>32</v>
      </c>
      <c r="AA717" s="2" t="s">
        <v>1658</v>
      </c>
      <c r="AB717" s="2">
        <v>17</v>
      </c>
      <c r="AC717" s="2" t="s">
        <v>1660</v>
      </c>
      <c r="AD717" s="2">
        <v>0</v>
      </c>
      <c r="AE717" s="2" t="s">
        <v>1660</v>
      </c>
      <c r="AF717" s="2">
        <v>0</v>
      </c>
      <c r="AG717" s="2">
        <v>0</v>
      </c>
      <c r="AH717" s="2" t="s">
        <v>32</v>
      </c>
      <c r="AI717" s="2" t="s">
        <v>32</v>
      </c>
      <c r="AJ717" s="2" t="s">
        <v>32</v>
      </c>
      <c r="AK717" s="2" t="s">
        <v>32</v>
      </c>
      <c r="AL717" s="2" t="s">
        <v>32</v>
      </c>
      <c r="AM717" s="2">
        <v>0</v>
      </c>
      <c r="AN717" s="2" t="s">
        <v>32</v>
      </c>
      <c r="AO717" s="2">
        <v>0</v>
      </c>
      <c r="AP717" s="2" t="s">
        <v>32</v>
      </c>
      <c r="AQ717" s="2" t="s">
        <v>32</v>
      </c>
      <c r="AR717" s="2" t="s">
        <v>32</v>
      </c>
      <c r="AS717" s="2">
        <v>0</v>
      </c>
      <c r="AT717" s="2" t="s">
        <v>32</v>
      </c>
      <c r="AU717" s="2" t="s">
        <v>32</v>
      </c>
      <c r="AV717" s="2" t="s">
        <v>32</v>
      </c>
      <c r="AW717" s="2">
        <v>0</v>
      </c>
      <c r="AX717" s="2" t="s">
        <v>32</v>
      </c>
      <c r="AY717" s="2">
        <v>0</v>
      </c>
      <c r="AZ717" s="2" t="s">
        <v>1658</v>
      </c>
      <c r="BA717" s="2">
        <v>11</v>
      </c>
      <c r="BB717" s="2">
        <v>55</v>
      </c>
      <c r="BC717" s="2" t="s">
        <v>1658</v>
      </c>
      <c r="BD717" s="2">
        <v>8</v>
      </c>
      <c r="BE717" s="2" t="s">
        <v>1658</v>
      </c>
      <c r="BF717" s="2">
        <v>3</v>
      </c>
      <c r="BG717" s="2" t="s">
        <v>1660</v>
      </c>
      <c r="BH717" s="2">
        <v>0</v>
      </c>
      <c r="BI717" s="2" t="s">
        <v>32</v>
      </c>
      <c r="BJ717" s="2" t="s">
        <v>32</v>
      </c>
      <c r="BK717" s="2" t="s">
        <v>1660</v>
      </c>
      <c r="BL717" s="2">
        <v>0</v>
      </c>
      <c r="BM717" s="2" t="s">
        <v>32</v>
      </c>
      <c r="BN717" s="2" t="s">
        <v>32</v>
      </c>
      <c r="BO717" s="2" t="s">
        <v>1660</v>
      </c>
      <c r="BP717" s="2">
        <v>0</v>
      </c>
      <c r="BQ717" s="2" t="s">
        <v>1660</v>
      </c>
      <c r="BR717" s="2">
        <v>0</v>
      </c>
      <c r="BS717" s="2" t="s">
        <v>1658</v>
      </c>
      <c r="BT717" s="2">
        <v>11</v>
      </c>
      <c r="BU717" s="2">
        <v>55</v>
      </c>
      <c r="BV717" s="2" t="s">
        <v>1660</v>
      </c>
      <c r="BW717" s="2"/>
      <c r="BX717" s="2"/>
      <c r="BY717" s="2" t="s">
        <v>1807</v>
      </c>
      <c r="BZ717" s="2" t="b">
        <f>OR( (Dashboard[[#This Row],[ref_as_hh]]&gt;=1),(Dashboard[[#This Row],[ret_as_hh]] &gt;=1), (Dashboard[[#This Row],[idp_as_hh]]&gt;=1))</f>
        <v>1</v>
      </c>
      <c r="CA717" s="2">
        <f>Dashboard[[#This Row],[ret_hi_hh]]</f>
        <v>8</v>
      </c>
      <c r="CB717" s="2">
        <f>Dashboard[[#This Row],[idp_fa_hh]]+Dashboard[[#This Row],[ref_fa_hh]]+Dashboard[[#This Row],[ret_fa_hh]]</f>
        <v>55</v>
      </c>
      <c r="CC717" s="2">
        <f>Dashboard[[#This Row],[idp_loc_hh]]+Dashboard[[#This Row],[ref_loc_hh]]+Dashboard[[#This Row],[ret_loc_hh]]</f>
        <v>0</v>
      </c>
      <c r="CD717" s="2">
        <f>Dashboard[[#This Row],[idp_cc_hh]]+Dashboard[[#This Row],[ref_cc_hh]]+Dashboard[[#This Row],[ret_cc_hh]]</f>
        <v>0</v>
      </c>
      <c r="CE717" s="2">
        <f>Dashboard[[#This Row],[idp_as_hh]]+Dashboard[[#This Row],[ref_as_hh]]+Dashboard[[#This Row],[ret_as_hh]]</f>
        <v>17</v>
      </c>
      <c r="CF717" s="2">
        <f>Dashboard[[#This Row],[idp_al_hh]]+Dashboard[[#This Row],[ref_al_hh]]+Dashboard[[#This Row],[ret_al_hh]]</f>
        <v>0</v>
      </c>
    </row>
    <row r="718" spans="1:84" x14ac:dyDescent="0.25">
      <c r="A718" s="2">
        <v>396</v>
      </c>
      <c r="B718" s="2" t="s">
        <v>22</v>
      </c>
      <c r="C718" s="2" t="s">
        <v>23</v>
      </c>
      <c r="D718" s="2" t="s">
        <v>37</v>
      </c>
      <c r="E718" s="2" t="s">
        <v>36</v>
      </c>
      <c r="F718" s="2" t="s">
        <v>250</v>
      </c>
      <c r="G718" s="2" t="s">
        <v>249</v>
      </c>
      <c r="H718" s="2" t="s">
        <v>1469</v>
      </c>
      <c r="I718" s="2" t="s">
        <v>255</v>
      </c>
      <c r="J718" s="2" t="s">
        <v>3632</v>
      </c>
      <c r="K718" s="2" t="s">
        <v>3633</v>
      </c>
      <c r="L718" s="2" t="s">
        <v>2074</v>
      </c>
      <c r="M718" s="2">
        <v>2364</v>
      </c>
      <c r="N718" s="2" t="s">
        <v>1658</v>
      </c>
      <c r="O718" s="2">
        <v>74</v>
      </c>
      <c r="P718" s="2">
        <v>372</v>
      </c>
      <c r="Q718" s="2" t="s">
        <v>1658</v>
      </c>
      <c r="R718" s="2">
        <v>38</v>
      </c>
      <c r="S718" s="2" t="s">
        <v>1660</v>
      </c>
      <c r="T718" s="2">
        <v>0</v>
      </c>
      <c r="U718" s="2" t="s">
        <v>32</v>
      </c>
      <c r="V718" s="2" t="s">
        <v>32</v>
      </c>
      <c r="W718" s="2" t="s">
        <v>1658</v>
      </c>
      <c r="X718" s="2">
        <v>27</v>
      </c>
      <c r="Y718" s="2" t="s">
        <v>686</v>
      </c>
      <c r="Z718" s="2" t="s">
        <v>32</v>
      </c>
      <c r="AA718" s="2" t="s">
        <v>1658</v>
      </c>
      <c r="AB718" s="2">
        <v>9</v>
      </c>
      <c r="AC718" s="2" t="s">
        <v>1660</v>
      </c>
      <c r="AD718" s="2">
        <v>0</v>
      </c>
      <c r="AE718" s="2" t="s">
        <v>1660</v>
      </c>
      <c r="AF718" s="2">
        <v>0</v>
      </c>
      <c r="AG718" s="2">
        <v>0</v>
      </c>
      <c r="AH718" s="2" t="s">
        <v>32</v>
      </c>
      <c r="AI718" s="2" t="s">
        <v>32</v>
      </c>
      <c r="AJ718" s="2" t="s">
        <v>32</v>
      </c>
      <c r="AK718" s="2" t="s">
        <v>32</v>
      </c>
      <c r="AL718" s="2" t="s">
        <v>32</v>
      </c>
      <c r="AM718" s="2">
        <v>0</v>
      </c>
      <c r="AN718" s="2" t="s">
        <v>32</v>
      </c>
      <c r="AO718" s="2">
        <v>0</v>
      </c>
      <c r="AP718" s="2" t="s">
        <v>32</v>
      </c>
      <c r="AQ718" s="2" t="s">
        <v>32</v>
      </c>
      <c r="AR718" s="2" t="s">
        <v>32</v>
      </c>
      <c r="AS718" s="2">
        <v>0</v>
      </c>
      <c r="AT718" s="2" t="s">
        <v>32</v>
      </c>
      <c r="AU718" s="2" t="s">
        <v>32</v>
      </c>
      <c r="AV718" s="2" t="s">
        <v>32</v>
      </c>
      <c r="AW718" s="2">
        <v>0</v>
      </c>
      <c r="AX718" s="2" t="s">
        <v>32</v>
      </c>
      <c r="AY718" s="2">
        <v>0</v>
      </c>
      <c r="AZ718" s="2" t="s">
        <v>1658</v>
      </c>
      <c r="BA718" s="2">
        <v>60</v>
      </c>
      <c r="BB718" s="2">
        <v>324</v>
      </c>
      <c r="BC718" s="2" t="s">
        <v>1658</v>
      </c>
      <c r="BD718" s="2">
        <v>60</v>
      </c>
      <c r="BE718" s="2" t="s">
        <v>1660</v>
      </c>
      <c r="BF718" s="2">
        <v>0</v>
      </c>
      <c r="BG718" s="2" t="s">
        <v>1660</v>
      </c>
      <c r="BH718" s="2">
        <v>0</v>
      </c>
      <c r="BI718" s="2" t="s">
        <v>32</v>
      </c>
      <c r="BJ718" s="2" t="s">
        <v>32</v>
      </c>
      <c r="BK718" s="2" t="s">
        <v>1660</v>
      </c>
      <c r="BL718" s="2">
        <v>0</v>
      </c>
      <c r="BM718" s="2" t="s">
        <v>32</v>
      </c>
      <c r="BN718" s="2" t="s">
        <v>32</v>
      </c>
      <c r="BO718" s="2" t="s">
        <v>1660</v>
      </c>
      <c r="BP718" s="2">
        <v>0</v>
      </c>
      <c r="BQ718" s="2" t="s">
        <v>1660</v>
      </c>
      <c r="BR718" s="2">
        <v>0</v>
      </c>
      <c r="BS718" s="2" t="s">
        <v>1660</v>
      </c>
      <c r="BT718" s="2">
        <v>0</v>
      </c>
      <c r="BU718" s="2">
        <v>0</v>
      </c>
      <c r="BV718" s="2" t="s">
        <v>1660</v>
      </c>
      <c r="BW718" s="2"/>
      <c r="BX718" s="2"/>
      <c r="BY718" s="2" t="s">
        <v>1807</v>
      </c>
      <c r="BZ718" s="2" t="b">
        <f>OR( (Dashboard[[#This Row],[ref_as_hh]]&gt;=1),(Dashboard[[#This Row],[ret_as_hh]] &gt;=1), (Dashboard[[#This Row],[idp_as_hh]]&gt;=1))</f>
        <v>1</v>
      </c>
      <c r="CA718" s="2">
        <f>Dashboard[[#This Row],[ret_hi_hh]]</f>
        <v>60</v>
      </c>
      <c r="CB718" s="2">
        <f>Dashboard[[#This Row],[idp_fa_hh]]+Dashboard[[#This Row],[ref_fa_hh]]+Dashboard[[#This Row],[ret_fa_hh]]</f>
        <v>38</v>
      </c>
      <c r="CC718" s="2">
        <f>Dashboard[[#This Row],[idp_loc_hh]]+Dashboard[[#This Row],[ref_loc_hh]]+Dashboard[[#This Row],[ret_loc_hh]]</f>
        <v>0</v>
      </c>
      <c r="CD718" s="2">
        <f>Dashboard[[#This Row],[idp_cc_hh]]+Dashboard[[#This Row],[ref_cc_hh]]+Dashboard[[#This Row],[ret_cc_hh]]</f>
        <v>27</v>
      </c>
      <c r="CE718" s="2">
        <f>Dashboard[[#This Row],[idp_as_hh]]+Dashboard[[#This Row],[ref_as_hh]]+Dashboard[[#This Row],[ret_as_hh]]</f>
        <v>9</v>
      </c>
      <c r="CF718" s="2">
        <f>Dashboard[[#This Row],[idp_al_hh]]+Dashboard[[#This Row],[ref_al_hh]]+Dashboard[[#This Row],[ret_al_hh]]</f>
        <v>0</v>
      </c>
    </row>
    <row r="719" spans="1:84" hidden="1" x14ac:dyDescent="0.25">
      <c r="A719" s="2">
        <v>667</v>
      </c>
      <c r="B719" s="2" t="s">
        <v>22</v>
      </c>
      <c r="C719" s="2" t="s">
        <v>23</v>
      </c>
      <c r="D719" s="2" t="s">
        <v>37</v>
      </c>
      <c r="E719" s="2" t="s">
        <v>36</v>
      </c>
      <c r="F719" s="2" t="s">
        <v>250</v>
      </c>
      <c r="G719" s="2" t="s">
        <v>249</v>
      </c>
      <c r="H719" s="2" t="s">
        <v>1478</v>
      </c>
      <c r="I719" s="2" t="s">
        <v>262</v>
      </c>
      <c r="J719" s="2" t="s">
        <v>3650</v>
      </c>
      <c r="K719" s="2" t="s">
        <v>3651</v>
      </c>
      <c r="L719" s="2" t="s">
        <v>3693</v>
      </c>
      <c r="M719" s="2">
        <v>3527</v>
      </c>
      <c r="N719" s="2" t="s">
        <v>1658</v>
      </c>
      <c r="O719" s="2">
        <v>24</v>
      </c>
      <c r="P719" s="2">
        <v>120</v>
      </c>
      <c r="Q719" s="2" t="s">
        <v>1658</v>
      </c>
      <c r="R719" s="2">
        <v>24</v>
      </c>
      <c r="S719" s="2" t="s">
        <v>1660</v>
      </c>
      <c r="T719" s="2">
        <v>0</v>
      </c>
      <c r="U719" s="2" t="s">
        <v>32</v>
      </c>
      <c r="V719" s="2" t="s">
        <v>32</v>
      </c>
      <c r="W719" s="2" t="s">
        <v>1660</v>
      </c>
      <c r="X719" s="2">
        <v>0</v>
      </c>
      <c r="Y719" s="2" t="s">
        <v>32</v>
      </c>
      <c r="Z719" s="2" t="s">
        <v>32</v>
      </c>
      <c r="AA719" s="2" t="s">
        <v>1660</v>
      </c>
      <c r="AB719" s="2">
        <v>0</v>
      </c>
      <c r="AC719" s="2" t="s">
        <v>1660</v>
      </c>
      <c r="AD719" s="2">
        <v>0</v>
      </c>
      <c r="AE719" s="2" t="s">
        <v>1658</v>
      </c>
      <c r="AF719" s="2">
        <v>25</v>
      </c>
      <c r="AG719" s="2">
        <v>125</v>
      </c>
      <c r="AH719" s="2" t="s">
        <v>1660</v>
      </c>
      <c r="AI719" s="2" t="s">
        <v>32</v>
      </c>
      <c r="AJ719" s="2" t="s">
        <v>32</v>
      </c>
      <c r="AK719" s="2" t="s">
        <v>32</v>
      </c>
      <c r="AL719" s="2" t="s">
        <v>1658</v>
      </c>
      <c r="AM719" s="2">
        <v>25</v>
      </c>
      <c r="AN719" s="2" t="s">
        <v>1660</v>
      </c>
      <c r="AO719" s="2">
        <v>0</v>
      </c>
      <c r="AP719" s="2" t="s">
        <v>32</v>
      </c>
      <c r="AQ719" s="2" t="s">
        <v>32</v>
      </c>
      <c r="AR719" s="2" t="s">
        <v>1660</v>
      </c>
      <c r="AS719" s="2">
        <v>0</v>
      </c>
      <c r="AT719" s="2" t="s">
        <v>32</v>
      </c>
      <c r="AU719" s="2" t="s">
        <v>32</v>
      </c>
      <c r="AV719" s="2" t="s">
        <v>1660</v>
      </c>
      <c r="AW719" s="2">
        <v>0</v>
      </c>
      <c r="AX719" s="2" t="s">
        <v>1660</v>
      </c>
      <c r="AY719" s="2">
        <v>0</v>
      </c>
      <c r="AZ719" s="2" t="s">
        <v>1658</v>
      </c>
      <c r="BA719" s="2">
        <v>17</v>
      </c>
      <c r="BB719" s="2">
        <v>85</v>
      </c>
      <c r="BC719" s="2" t="s">
        <v>1658</v>
      </c>
      <c r="BD719" s="2">
        <v>13</v>
      </c>
      <c r="BE719" s="2" t="s">
        <v>1658</v>
      </c>
      <c r="BF719" s="2">
        <v>4</v>
      </c>
      <c r="BG719" s="2" t="s">
        <v>1660</v>
      </c>
      <c r="BH719" s="2">
        <v>0</v>
      </c>
      <c r="BI719" s="2" t="s">
        <v>32</v>
      </c>
      <c r="BJ719" s="2" t="s">
        <v>32</v>
      </c>
      <c r="BK719" s="2" t="s">
        <v>1660</v>
      </c>
      <c r="BL719" s="2">
        <v>0</v>
      </c>
      <c r="BM719" s="2" t="s">
        <v>32</v>
      </c>
      <c r="BN719" s="2" t="s">
        <v>32</v>
      </c>
      <c r="BO719" s="2" t="s">
        <v>1660</v>
      </c>
      <c r="BP719" s="2">
        <v>0</v>
      </c>
      <c r="BQ719" s="2" t="s">
        <v>1660</v>
      </c>
      <c r="BR719" s="2">
        <v>0</v>
      </c>
      <c r="BS719" s="2" t="s">
        <v>1658</v>
      </c>
      <c r="BT719" s="2">
        <v>10</v>
      </c>
      <c r="BU719" s="2">
        <v>50</v>
      </c>
      <c r="BV719" s="2" t="s">
        <v>1660</v>
      </c>
      <c r="BW719" s="2"/>
      <c r="BX719" s="2"/>
      <c r="BY719" s="2" t="s">
        <v>1807</v>
      </c>
      <c r="BZ719" s="2" t="b">
        <f>OR( (Dashboard[[#This Row],[ref_as_hh]]&gt;=1),(Dashboard[[#This Row],[ret_as_hh]] &gt;=1), (Dashboard[[#This Row],[idp_as_hh]]&gt;=1))</f>
        <v>0</v>
      </c>
      <c r="CA719" s="2">
        <f>Dashboard[[#This Row],[ret_hi_hh]]</f>
        <v>13</v>
      </c>
      <c r="CB719" s="2">
        <f>Dashboard[[#This Row],[idp_fa_hh]]+Dashboard[[#This Row],[ref_fa_hh]]+Dashboard[[#This Row],[ret_fa_hh]]</f>
        <v>53</v>
      </c>
      <c r="CC719" s="2">
        <f>Dashboard[[#This Row],[idp_loc_hh]]+Dashboard[[#This Row],[ref_loc_hh]]+Dashboard[[#This Row],[ret_loc_hh]]</f>
        <v>0</v>
      </c>
      <c r="CD719" s="2">
        <f>Dashboard[[#This Row],[idp_cc_hh]]+Dashboard[[#This Row],[ref_cc_hh]]+Dashboard[[#This Row],[ret_cc_hh]]</f>
        <v>0</v>
      </c>
      <c r="CE719" s="2">
        <f>Dashboard[[#This Row],[idp_as_hh]]+Dashboard[[#This Row],[ref_as_hh]]+Dashboard[[#This Row],[ret_as_hh]]</f>
        <v>0</v>
      </c>
      <c r="CF719" s="2">
        <f>Dashboard[[#This Row],[idp_al_hh]]+Dashboard[[#This Row],[ref_al_hh]]+Dashboard[[#This Row],[ret_al_hh]]</f>
        <v>0</v>
      </c>
    </row>
    <row r="720" spans="1:84" hidden="1" x14ac:dyDescent="0.25">
      <c r="A720" s="2">
        <v>671</v>
      </c>
      <c r="B720" s="2" t="s">
        <v>22</v>
      </c>
      <c r="C720" s="2" t="s">
        <v>23</v>
      </c>
      <c r="D720" s="2" t="s">
        <v>37</v>
      </c>
      <c r="E720" s="2" t="s">
        <v>36</v>
      </c>
      <c r="F720" s="2" t="s">
        <v>250</v>
      </c>
      <c r="G720" s="2" t="s">
        <v>249</v>
      </c>
      <c r="H720" s="2" t="s">
        <v>2048</v>
      </c>
      <c r="I720" s="2" t="s">
        <v>2049</v>
      </c>
      <c r="J720" s="2" t="s">
        <v>3626</v>
      </c>
      <c r="K720" s="2" t="s">
        <v>3627</v>
      </c>
      <c r="L720" s="2" t="s">
        <v>2074</v>
      </c>
      <c r="M720" s="2">
        <v>938</v>
      </c>
      <c r="N720" s="2" t="s">
        <v>1658</v>
      </c>
      <c r="O720" s="2">
        <v>32</v>
      </c>
      <c r="P720" s="2">
        <v>168</v>
      </c>
      <c r="Q720" s="2" t="s">
        <v>1658</v>
      </c>
      <c r="R720" s="2">
        <v>32</v>
      </c>
      <c r="S720" s="2" t="s">
        <v>1660</v>
      </c>
      <c r="T720" s="2">
        <v>0</v>
      </c>
      <c r="U720" s="2" t="s">
        <v>32</v>
      </c>
      <c r="V720" s="2" t="s">
        <v>32</v>
      </c>
      <c r="W720" s="2" t="s">
        <v>1660</v>
      </c>
      <c r="X720" s="2">
        <v>0</v>
      </c>
      <c r="Y720" s="2" t="s">
        <v>32</v>
      </c>
      <c r="Z720" s="2" t="s">
        <v>32</v>
      </c>
      <c r="AA720" s="2" t="s">
        <v>1660</v>
      </c>
      <c r="AB720" s="2">
        <v>0</v>
      </c>
      <c r="AC720" s="2" t="s">
        <v>1660</v>
      </c>
      <c r="AD720" s="2">
        <v>0</v>
      </c>
      <c r="AE720" s="2" t="s">
        <v>1660</v>
      </c>
      <c r="AF720" s="2">
        <v>0</v>
      </c>
      <c r="AG720" s="2">
        <v>0</v>
      </c>
      <c r="AH720" s="2" t="s">
        <v>32</v>
      </c>
      <c r="AI720" s="2" t="s">
        <v>32</v>
      </c>
      <c r="AJ720" s="2" t="s">
        <v>32</v>
      </c>
      <c r="AK720" s="2" t="s">
        <v>32</v>
      </c>
      <c r="AL720" s="2" t="s">
        <v>32</v>
      </c>
      <c r="AM720" s="2">
        <v>0</v>
      </c>
      <c r="AN720" s="2" t="s">
        <v>32</v>
      </c>
      <c r="AO720" s="2">
        <v>0</v>
      </c>
      <c r="AP720" s="2" t="s">
        <v>32</v>
      </c>
      <c r="AQ720" s="2" t="s">
        <v>32</v>
      </c>
      <c r="AR720" s="2" t="s">
        <v>32</v>
      </c>
      <c r="AS720" s="2">
        <v>0</v>
      </c>
      <c r="AT720" s="2" t="s">
        <v>32</v>
      </c>
      <c r="AU720" s="2" t="s">
        <v>32</v>
      </c>
      <c r="AV720" s="2" t="s">
        <v>32</v>
      </c>
      <c r="AW720" s="2">
        <v>0</v>
      </c>
      <c r="AX720" s="2" t="s">
        <v>32</v>
      </c>
      <c r="AY720" s="2">
        <v>0</v>
      </c>
      <c r="AZ720" s="2" t="s">
        <v>1658</v>
      </c>
      <c r="BA720" s="2">
        <v>6</v>
      </c>
      <c r="BB720" s="2">
        <v>31</v>
      </c>
      <c r="BC720" s="2" t="s">
        <v>1658</v>
      </c>
      <c r="BD720" s="2">
        <v>6</v>
      </c>
      <c r="BE720" s="2" t="s">
        <v>1660</v>
      </c>
      <c r="BF720" s="2">
        <v>0</v>
      </c>
      <c r="BG720" s="2" t="s">
        <v>1660</v>
      </c>
      <c r="BH720" s="2">
        <v>0</v>
      </c>
      <c r="BI720" s="2" t="s">
        <v>32</v>
      </c>
      <c r="BJ720" s="2" t="s">
        <v>32</v>
      </c>
      <c r="BK720" s="2" t="s">
        <v>1660</v>
      </c>
      <c r="BL720" s="2">
        <v>0</v>
      </c>
      <c r="BM720" s="2" t="s">
        <v>32</v>
      </c>
      <c r="BN720" s="2" t="s">
        <v>32</v>
      </c>
      <c r="BO720" s="2" t="s">
        <v>1660</v>
      </c>
      <c r="BP720" s="2">
        <v>0</v>
      </c>
      <c r="BQ720" s="2" t="s">
        <v>1660</v>
      </c>
      <c r="BR720" s="2">
        <v>0</v>
      </c>
      <c r="BS720" s="2" t="s">
        <v>1660</v>
      </c>
      <c r="BT720" s="2">
        <v>0</v>
      </c>
      <c r="BU720" s="2">
        <v>0</v>
      </c>
      <c r="BV720" s="2" t="s">
        <v>1660</v>
      </c>
      <c r="BW720" s="2"/>
      <c r="BX720" s="2"/>
      <c r="BY720" s="2" t="s">
        <v>1807</v>
      </c>
      <c r="BZ720" s="2" t="b">
        <f>OR( (Dashboard[[#This Row],[ref_as_hh]]&gt;=1),(Dashboard[[#This Row],[ret_as_hh]] &gt;=1), (Dashboard[[#This Row],[idp_as_hh]]&gt;=1))</f>
        <v>0</v>
      </c>
      <c r="CA720" s="2">
        <f>Dashboard[[#This Row],[ret_hi_hh]]</f>
        <v>6</v>
      </c>
      <c r="CB720" s="2">
        <f>Dashboard[[#This Row],[idp_fa_hh]]+Dashboard[[#This Row],[ref_fa_hh]]+Dashboard[[#This Row],[ret_fa_hh]]</f>
        <v>32</v>
      </c>
      <c r="CC720" s="2">
        <f>Dashboard[[#This Row],[idp_loc_hh]]+Dashboard[[#This Row],[ref_loc_hh]]+Dashboard[[#This Row],[ret_loc_hh]]</f>
        <v>0</v>
      </c>
      <c r="CD720" s="2">
        <f>Dashboard[[#This Row],[idp_cc_hh]]+Dashboard[[#This Row],[ref_cc_hh]]+Dashboard[[#This Row],[ret_cc_hh]]</f>
        <v>0</v>
      </c>
      <c r="CE720" s="2">
        <f>Dashboard[[#This Row],[idp_as_hh]]+Dashboard[[#This Row],[ref_as_hh]]+Dashboard[[#This Row],[ret_as_hh]]</f>
        <v>0</v>
      </c>
      <c r="CF720" s="2">
        <f>Dashboard[[#This Row],[idp_al_hh]]+Dashboard[[#This Row],[ref_al_hh]]+Dashboard[[#This Row],[ret_al_hh]]</f>
        <v>0</v>
      </c>
    </row>
    <row r="721" spans="1:84" hidden="1" x14ac:dyDescent="0.25">
      <c r="A721" s="2">
        <v>672</v>
      </c>
      <c r="B721" s="2" t="s">
        <v>22</v>
      </c>
      <c r="C721" s="2" t="s">
        <v>23</v>
      </c>
      <c r="D721" s="2" t="s">
        <v>37</v>
      </c>
      <c r="E721" s="2" t="s">
        <v>36</v>
      </c>
      <c r="F721" s="2" t="s">
        <v>250</v>
      </c>
      <c r="G721" s="2" t="s">
        <v>249</v>
      </c>
      <c r="H721" s="2" t="s">
        <v>1481</v>
      </c>
      <c r="I721" s="2" t="s">
        <v>601</v>
      </c>
      <c r="J721" s="2" t="s">
        <v>3656</v>
      </c>
      <c r="K721" s="2" t="s">
        <v>3657</v>
      </c>
      <c r="L721" s="2" t="s">
        <v>2074</v>
      </c>
      <c r="M721" s="2">
        <v>11521</v>
      </c>
      <c r="N721" s="2" t="s">
        <v>1658</v>
      </c>
      <c r="O721" s="2">
        <v>184</v>
      </c>
      <c r="P721" s="2">
        <v>937</v>
      </c>
      <c r="Q721" s="2" t="s">
        <v>1658</v>
      </c>
      <c r="R721" s="2">
        <v>147</v>
      </c>
      <c r="S721" s="2" t="s">
        <v>1658</v>
      </c>
      <c r="T721" s="2">
        <v>28</v>
      </c>
      <c r="U721" s="2" t="s">
        <v>1661</v>
      </c>
      <c r="V721" s="2" t="s">
        <v>32</v>
      </c>
      <c r="W721" s="2" t="s">
        <v>1658</v>
      </c>
      <c r="X721" s="2">
        <v>9</v>
      </c>
      <c r="Y721" s="2" t="s">
        <v>2081</v>
      </c>
      <c r="Z721" s="2" t="s">
        <v>32</v>
      </c>
      <c r="AA721" s="2" t="s">
        <v>1660</v>
      </c>
      <c r="AB721" s="2">
        <v>0</v>
      </c>
      <c r="AC721" s="2" t="s">
        <v>1660</v>
      </c>
      <c r="AD721" s="2">
        <v>0</v>
      </c>
      <c r="AE721" s="2" t="s">
        <v>1660</v>
      </c>
      <c r="AF721" s="2">
        <v>0</v>
      </c>
      <c r="AG721" s="2">
        <v>0</v>
      </c>
      <c r="AH721" s="2" t="s">
        <v>32</v>
      </c>
      <c r="AI721" s="2" t="s">
        <v>32</v>
      </c>
      <c r="AJ721" s="2" t="s">
        <v>32</v>
      </c>
      <c r="AK721" s="2" t="s">
        <v>32</v>
      </c>
      <c r="AL721" s="2" t="s">
        <v>32</v>
      </c>
      <c r="AM721" s="2">
        <v>0</v>
      </c>
      <c r="AN721" s="2" t="s">
        <v>32</v>
      </c>
      <c r="AO721" s="2">
        <v>0</v>
      </c>
      <c r="AP721" s="2" t="s">
        <v>32</v>
      </c>
      <c r="AQ721" s="2" t="s">
        <v>32</v>
      </c>
      <c r="AR721" s="2" t="s">
        <v>32</v>
      </c>
      <c r="AS721" s="2">
        <v>0</v>
      </c>
      <c r="AT721" s="2" t="s">
        <v>32</v>
      </c>
      <c r="AU721" s="2" t="s">
        <v>32</v>
      </c>
      <c r="AV721" s="2" t="s">
        <v>32</v>
      </c>
      <c r="AW721" s="2">
        <v>0</v>
      </c>
      <c r="AX721" s="2" t="s">
        <v>32</v>
      </c>
      <c r="AY721" s="2">
        <v>0</v>
      </c>
      <c r="AZ721" s="2" t="s">
        <v>1658</v>
      </c>
      <c r="BA721" s="2">
        <v>140</v>
      </c>
      <c r="BB721" s="2">
        <v>700</v>
      </c>
      <c r="BC721" s="2" t="s">
        <v>1658</v>
      </c>
      <c r="BD721" s="2">
        <v>132</v>
      </c>
      <c r="BE721" s="2" t="s">
        <v>1658</v>
      </c>
      <c r="BF721" s="2">
        <v>8</v>
      </c>
      <c r="BG721" s="2" t="s">
        <v>1660</v>
      </c>
      <c r="BH721" s="2">
        <v>0</v>
      </c>
      <c r="BI721" s="2" t="s">
        <v>32</v>
      </c>
      <c r="BJ721" s="2" t="s">
        <v>32</v>
      </c>
      <c r="BK721" s="2" t="s">
        <v>1660</v>
      </c>
      <c r="BL721" s="2">
        <v>0</v>
      </c>
      <c r="BM721" s="2" t="s">
        <v>32</v>
      </c>
      <c r="BN721" s="2" t="s">
        <v>32</v>
      </c>
      <c r="BO721" s="2" t="s">
        <v>1660</v>
      </c>
      <c r="BP721" s="2">
        <v>0</v>
      </c>
      <c r="BQ721" s="2" t="s">
        <v>1660</v>
      </c>
      <c r="BR721" s="2">
        <v>0</v>
      </c>
      <c r="BS721" s="2" t="s">
        <v>1658</v>
      </c>
      <c r="BT721" s="2">
        <v>96</v>
      </c>
      <c r="BU721" s="2">
        <v>484</v>
      </c>
      <c r="BV721" s="2" t="s">
        <v>1660</v>
      </c>
      <c r="BW721" s="2"/>
      <c r="BX721" s="2"/>
      <c r="BY721" s="2" t="s">
        <v>1807</v>
      </c>
      <c r="BZ721" s="2" t="b">
        <f>OR( (Dashboard[[#This Row],[ref_as_hh]]&gt;=1),(Dashboard[[#This Row],[ret_as_hh]] &gt;=1), (Dashboard[[#This Row],[idp_as_hh]]&gt;=1))</f>
        <v>0</v>
      </c>
      <c r="CA721" s="2">
        <f>Dashboard[[#This Row],[ret_hi_hh]]</f>
        <v>132</v>
      </c>
      <c r="CB721" s="2">
        <f>Dashboard[[#This Row],[idp_fa_hh]]+Dashboard[[#This Row],[ref_fa_hh]]+Dashboard[[#This Row],[ret_fa_hh]]</f>
        <v>155</v>
      </c>
      <c r="CC721" s="2">
        <f>Dashboard[[#This Row],[idp_loc_hh]]+Dashboard[[#This Row],[ref_loc_hh]]+Dashboard[[#This Row],[ret_loc_hh]]</f>
        <v>28</v>
      </c>
      <c r="CD721" s="2">
        <f>Dashboard[[#This Row],[idp_cc_hh]]+Dashboard[[#This Row],[ref_cc_hh]]+Dashboard[[#This Row],[ret_cc_hh]]</f>
        <v>9</v>
      </c>
      <c r="CE721" s="2">
        <f>Dashboard[[#This Row],[idp_as_hh]]+Dashboard[[#This Row],[ref_as_hh]]+Dashboard[[#This Row],[ret_as_hh]]</f>
        <v>0</v>
      </c>
      <c r="CF721" s="2">
        <f>Dashboard[[#This Row],[idp_al_hh]]+Dashboard[[#This Row],[ref_al_hh]]+Dashboard[[#This Row],[ret_al_hh]]</f>
        <v>0</v>
      </c>
    </row>
    <row r="722" spans="1:84" hidden="1" x14ac:dyDescent="0.25">
      <c r="A722" s="2">
        <v>673</v>
      </c>
      <c r="B722" s="2" t="s">
        <v>22</v>
      </c>
      <c r="C722" s="2" t="s">
        <v>23</v>
      </c>
      <c r="D722" s="2" t="s">
        <v>37</v>
      </c>
      <c r="E722" s="2" t="s">
        <v>36</v>
      </c>
      <c r="F722" s="2" t="s">
        <v>250</v>
      </c>
      <c r="G722" s="2" t="s">
        <v>249</v>
      </c>
      <c r="H722" s="2" t="s">
        <v>1471</v>
      </c>
      <c r="I722" s="2" t="s">
        <v>598</v>
      </c>
      <c r="J722" s="2" t="s">
        <v>3636</v>
      </c>
      <c r="K722" s="2" t="s">
        <v>3637</v>
      </c>
      <c r="L722" s="2" t="s">
        <v>2074</v>
      </c>
      <c r="M722" s="2">
        <v>2134</v>
      </c>
      <c r="N722" s="2" t="s">
        <v>1658</v>
      </c>
      <c r="O722" s="2">
        <v>27</v>
      </c>
      <c r="P722" s="2">
        <v>136</v>
      </c>
      <c r="Q722" s="2" t="s">
        <v>1658</v>
      </c>
      <c r="R722" s="2">
        <v>27</v>
      </c>
      <c r="S722" s="2" t="s">
        <v>1660</v>
      </c>
      <c r="T722" s="2">
        <v>0</v>
      </c>
      <c r="U722" s="2" t="s">
        <v>32</v>
      </c>
      <c r="V722" s="2" t="s">
        <v>32</v>
      </c>
      <c r="W722" s="2" t="s">
        <v>1660</v>
      </c>
      <c r="X722" s="2">
        <v>0</v>
      </c>
      <c r="Y722" s="2" t="s">
        <v>32</v>
      </c>
      <c r="Z722" s="2" t="s">
        <v>32</v>
      </c>
      <c r="AA722" s="2" t="s">
        <v>1660</v>
      </c>
      <c r="AB722" s="2">
        <v>0</v>
      </c>
      <c r="AC722" s="2" t="s">
        <v>1660</v>
      </c>
      <c r="AD722" s="2">
        <v>0</v>
      </c>
      <c r="AE722" s="2" t="s">
        <v>1660</v>
      </c>
      <c r="AF722" s="2">
        <v>0</v>
      </c>
      <c r="AG722" s="2">
        <v>0</v>
      </c>
      <c r="AH722" s="2" t="s">
        <v>32</v>
      </c>
      <c r="AI722" s="2" t="s">
        <v>32</v>
      </c>
      <c r="AJ722" s="2" t="s">
        <v>32</v>
      </c>
      <c r="AK722" s="2" t="s">
        <v>32</v>
      </c>
      <c r="AL722" s="2" t="s">
        <v>32</v>
      </c>
      <c r="AM722" s="2">
        <v>0</v>
      </c>
      <c r="AN722" s="2" t="s">
        <v>32</v>
      </c>
      <c r="AO722" s="2">
        <v>0</v>
      </c>
      <c r="AP722" s="2" t="s">
        <v>32</v>
      </c>
      <c r="AQ722" s="2" t="s">
        <v>32</v>
      </c>
      <c r="AR722" s="2" t="s">
        <v>32</v>
      </c>
      <c r="AS722" s="2">
        <v>0</v>
      </c>
      <c r="AT722" s="2" t="s">
        <v>32</v>
      </c>
      <c r="AU722" s="2" t="s">
        <v>32</v>
      </c>
      <c r="AV722" s="2" t="s">
        <v>32</v>
      </c>
      <c r="AW722" s="2">
        <v>0</v>
      </c>
      <c r="AX722" s="2" t="s">
        <v>32</v>
      </c>
      <c r="AY722" s="2">
        <v>0</v>
      </c>
      <c r="AZ722" s="2" t="s">
        <v>1660</v>
      </c>
      <c r="BA722" s="2">
        <v>0</v>
      </c>
      <c r="BB722" s="2">
        <v>0</v>
      </c>
      <c r="BC722" s="2" t="s">
        <v>32</v>
      </c>
      <c r="BD722" s="2">
        <v>0</v>
      </c>
      <c r="BE722" s="2" t="s">
        <v>32</v>
      </c>
      <c r="BF722" s="2">
        <v>0</v>
      </c>
      <c r="BG722" s="2" t="s">
        <v>32</v>
      </c>
      <c r="BH722" s="2">
        <v>0</v>
      </c>
      <c r="BI722" s="2" t="s">
        <v>32</v>
      </c>
      <c r="BJ722" s="2" t="s">
        <v>32</v>
      </c>
      <c r="BK722" s="2" t="s">
        <v>32</v>
      </c>
      <c r="BL722" s="2">
        <v>0</v>
      </c>
      <c r="BM722" s="2" t="s">
        <v>32</v>
      </c>
      <c r="BN722" s="2" t="s">
        <v>32</v>
      </c>
      <c r="BO722" s="2" t="s">
        <v>32</v>
      </c>
      <c r="BP722" s="2">
        <v>0</v>
      </c>
      <c r="BQ722" s="2" t="s">
        <v>32</v>
      </c>
      <c r="BR722" s="2">
        <v>0</v>
      </c>
      <c r="BS722" s="2" t="s">
        <v>1660</v>
      </c>
      <c r="BT722" s="2">
        <v>0</v>
      </c>
      <c r="BU722" s="2">
        <v>0</v>
      </c>
      <c r="BV722" s="2" t="s">
        <v>1660</v>
      </c>
      <c r="BW722" s="2"/>
      <c r="BX722" s="2"/>
      <c r="BY722" s="2" t="s">
        <v>1807</v>
      </c>
      <c r="BZ722" s="2" t="b">
        <f>OR( (Dashboard[[#This Row],[ref_as_hh]]&gt;=1),(Dashboard[[#This Row],[ret_as_hh]] &gt;=1), (Dashboard[[#This Row],[idp_as_hh]]&gt;=1))</f>
        <v>0</v>
      </c>
      <c r="CA722" s="2">
        <f>Dashboard[[#This Row],[ret_hi_hh]]</f>
        <v>0</v>
      </c>
      <c r="CB722" s="2">
        <f>Dashboard[[#This Row],[idp_fa_hh]]+Dashboard[[#This Row],[ref_fa_hh]]+Dashboard[[#This Row],[ret_fa_hh]]</f>
        <v>27</v>
      </c>
      <c r="CC722" s="2">
        <f>Dashboard[[#This Row],[idp_loc_hh]]+Dashboard[[#This Row],[ref_loc_hh]]+Dashboard[[#This Row],[ret_loc_hh]]</f>
        <v>0</v>
      </c>
      <c r="CD722" s="2">
        <f>Dashboard[[#This Row],[idp_cc_hh]]+Dashboard[[#This Row],[ref_cc_hh]]+Dashboard[[#This Row],[ret_cc_hh]]</f>
        <v>0</v>
      </c>
      <c r="CE722" s="2">
        <f>Dashboard[[#This Row],[idp_as_hh]]+Dashboard[[#This Row],[ref_as_hh]]+Dashboard[[#This Row],[ret_as_hh]]</f>
        <v>0</v>
      </c>
      <c r="CF722" s="2">
        <f>Dashboard[[#This Row],[idp_al_hh]]+Dashboard[[#This Row],[ref_al_hh]]+Dashboard[[#This Row],[ret_al_hh]]</f>
        <v>0</v>
      </c>
    </row>
    <row r="723" spans="1:84" hidden="1" x14ac:dyDescent="0.25">
      <c r="A723" s="2">
        <v>418</v>
      </c>
      <c r="B723" s="2" t="s">
        <v>22</v>
      </c>
      <c r="C723" s="2" t="s">
        <v>23</v>
      </c>
      <c r="D723" s="2" t="s">
        <v>37</v>
      </c>
      <c r="E723" s="2" t="s">
        <v>36</v>
      </c>
      <c r="F723" s="2" t="s">
        <v>250</v>
      </c>
      <c r="G723" s="2" t="s">
        <v>249</v>
      </c>
      <c r="H723" s="2" t="s">
        <v>1488</v>
      </c>
      <c r="I723" s="2" t="s">
        <v>685</v>
      </c>
      <c r="J723" s="2" t="s">
        <v>3672</v>
      </c>
      <c r="K723" s="2" t="s">
        <v>3673</v>
      </c>
      <c r="L723" s="2" t="s">
        <v>2075</v>
      </c>
      <c r="M723" s="2">
        <v>518</v>
      </c>
      <c r="N723" s="2" t="s">
        <v>1658</v>
      </c>
      <c r="O723" s="2">
        <v>3</v>
      </c>
      <c r="P723" s="2">
        <v>16</v>
      </c>
      <c r="Q723" s="2" t="s">
        <v>1658</v>
      </c>
      <c r="R723" s="2">
        <v>3</v>
      </c>
      <c r="S723" s="2" t="s">
        <v>1660</v>
      </c>
      <c r="T723" s="2">
        <v>0</v>
      </c>
      <c r="U723" s="2" t="s">
        <v>32</v>
      </c>
      <c r="V723" s="2" t="s">
        <v>32</v>
      </c>
      <c r="W723" s="2" t="s">
        <v>1660</v>
      </c>
      <c r="X723" s="2">
        <v>0</v>
      </c>
      <c r="Y723" s="2" t="s">
        <v>32</v>
      </c>
      <c r="Z723" s="2" t="s">
        <v>32</v>
      </c>
      <c r="AA723" s="2" t="s">
        <v>1660</v>
      </c>
      <c r="AB723" s="2">
        <v>0</v>
      </c>
      <c r="AC723" s="2" t="s">
        <v>1660</v>
      </c>
      <c r="AD723" s="2">
        <v>0</v>
      </c>
      <c r="AE723" s="2" t="s">
        <v>1660</v>
      </c>
      <c r="AF723" s="2">
        <v>0</v>
      </c>
      <c r="AG723" s="2">
        <v>0</v>
      </c>
      <c r="AH723" s="2" t="s">
        <v>32</v>
      </c>
      <c r="AI723" s="2" t="s">
        <v>32</v>
      </c>
      <c r="AJ723" s="2" t="s">
        <v>32</v>
      </c>
      <c r="AK723" s="2" t="s">
        <v>32</v>
      </c>
      <c r="AL723" s="2" t="s">
        <v>32</v>
      </c>
      <c r="AM723" s="2">
        <v>0</v>
      </c>
      <c r="AN723" s="2" t="s">
        <v>32</v>
      </c>
      <c r="AO723" s="2">
        <v>0</v>
      </c>
      <c r="AP723" s="2" t="s">
        <v>32</v>
      </c>
      <c r="AQ723" s="2" t="s">
        <v>32</v>
      </c>
      <c r="AR723" s="2" t="s">
        <v>32</v>
      </c>
      <c r="AS723" s="2">
        <v>0</v>
      </c>
      <c r="AT723" s="2" t="s">
        <v>32</v>
      </c>
      <c r="AU723" s="2" t="s">
        <v>32</v>
      </c>
      <c r="AV723" s="2" t="s">
        <v>32</v>
      </c>
      <c r="AW723" s="2">
        <v>0</v>
      </c>
      <c r="AX723" s="2" t="s">
        <v>32</v>
      </c>
      <c r="AY723" s="2">
        <v>0</v>
      </c>
      <c r="AZ723" s="2" t="s">
        <v>1658</v>
      </c>
      <c r="BA723" s="2">
        <v>54</v>
      </c>
      <c r="BB723" s="2">
        <v>350</v>
      </c>
      <c r="BC723" s="2" t="s">
        <v>1660</v>
      </c>
      <c r="BD723" s="2">
        <v>0</v>
      </c>
      <c r="BE723" s="2" t="s">
        <v>1658</v>
      </c>
      <c r="BF723" s="2">
        <v>54</v>
      </c>
      <c r="BG723" s="2" t="s">
        <v>1660</v>
      </c>
      <c r="BH723" s="2">
        <v>0</v>
      </c>
      <c r="BI723" s="2" t="s">
        <v>32</v>
      </c>
      <c r="BJ723" s="2" t="s">
        <v>32</v>
      </c>
      <c r="BK723" s="2" t="s">
        <v>1660</v>
      </c>
      <c r="BL723" s="2">
        <v>0</v>
      </c>
      <c r="BM723" s="2" t="s">
        <v>32</v>
      </c>
      <c r="BN723" s="2" t="s">
        <v>32</v>
      </c>
      <c r="BO723" s="2" t="s">
        <v>1660</v>
      </c>
      <c r="BP723" s="2">
        <v>0</v>
      </c>
      <c r="BQ723" s="2" t="s">
        <v>1660</v>
      </c>
      <c r="BR723" s="2">
        <v>0</v>
      </c>
      <c r="BS723" s="2" t="s">
        <v>1658</v>
      </c>
      <c r="BT723" s="2">
        <v>44</v>
      </c>
      <c r="BU723" s="2">
        <v>220</v>
      </c>
      <c r="BV723" s="2" t="s">
        <v>1660</v>
      </c>
      <c r="BW723" s="2"/>
      <c r="BX723" s="2"/>
      <c r="BY723" s="2" t="s">
        <v>1807</v>
      </c>
      <c r="BZ723" s="2" t="b">
        <f>OR( (Dashboard[[#This Row],[ref_as_hh]]&gt;=1),(Dashboard[[#This Row],[ret_as_hh]] &gt;=1), (Dashboard[[#This Row],[idp_as_hh]]&gt;=1))</f>
        <v>0</v>
      </c>
      <c r="CA723" s="2">
        <f>Dashboard[[#This Row],[ret_hi_hh]]</f>
        <v>0</v>
      </c>
      <c r="CB723" s="2">
        <f>Dashboard[[#This Row],[idp_fa_hh]]+Dashboard[[#This Row],[ref_fa_hh]]+Dashboard[[#This Row],[ret_fa_hh]]</f>
        <v>57</v>
      </c>
      <c r="CC723" s="2">
        <f>Dashboard[[#This Row],[idp_loc_hh]]+Dashboard[[#This Row],[ref_loc_hh]]+Dashboard[[#This Row],[ret_loc_hh]]</f>
        <v>0</v>
      </c>
      <c r="CD723" s="2">
        <f>Dashboard[[#This Row],[idp_cc_hh]]+Dashboard[[#This Row],[ref_cc_hh]]+Dashboard[[#This Row],[ret_cc_hh]]</f>
        <v>0</v>
      </c>
      <c r="CE723" s="2">
        <f>Dashboard[[#This Row],[idp_as_hh]]+Dashboard[[#This Row],[ref_as_hh]]+Dashboard[[#This Row],[ret_as_hh]]</f>
        <v>0</v>
      </c>
      <c r="CF723" s="2">
        <f>Dashboard[[#This Row],[idp_al_hh]]+Dashboard[[#This Row],[ref_al_hh]]+Dashboard[[#This Row],[ret_al_hh]]</f>
        <v>0</v>
      </c>
    </row>
    <row r="724" spans="1:84" hidden="1" x14ac:dyDescent="0.25">
      <c r="A724" s="2">
        <v>681</v>
      </c>
      <c r="B724" s="2" t="s">
        <v>22</v>
      </c>
      <c r="C724" s="2" t="s">
        <v>23</v>
      </c>
      <c r="D724" s="2" t="s">
        <v>37</v>
      </c>
      <c r="E724" s="2" t="s">
        <v>36</v>
      </c>
      <c r="F724" s="2" t="s">
        <v>250</v>
      </c>
      <c r="G724" s="2" t="s">
        <v>249</v>
      </c>
      <c r="H724" s="2" t="s">
        <v>1477</v>
      </c>
      <c r="I724" s="2" t="s">
        <v>261</v>
      </c>
      <c r="J724" s="2" t="s">
        <v>3648</v>
      </c>
      <c r="K724" s="2" t="s">
        <v>3649</v>
      </c>
      <c r="L724" s="2" t="s">
        <v>3692</v>
      </c>
      <c r="M724" s="2">
        <v>343</v>
      </c>
      <c r="N724" s="2" t="s">
        <v>1658</v>
      </c>
      <c r="O724" s="2">
        <v>7</v>
      </c>
      <c r="P724" s="2">
        <v>35</v>
      </c>
      <c r="Q724" s="2" t="s">
        <v>1658</v>
      </c>
      <c r="R724" s="2">
        <v>7</v>
      </c>
      <c r="S724" s="2" t="s">
        <v>1660</v>
      </c>
      <c r="T724" s="2">
        <v>0</v>
      </c>
      <c r="U724" s="2" t="s">
        <v>32</v>
      </c>
      <c r="V724" s="2" t="s">
        <v>32</v>
      </c>
      <c r="W724" s="2" t="s">
        <v>1660</v>
      </c>
      <c r="X724" s="2">
        <v>0</v>
      </c>
      <c r="Y724" s="2" t="s">
        <v>32</v>
      </c>
      <c r="Z724" s="2" t="s">
        <v>32</v>
      </c>
      <c r="AA724" s="2" t="s">
        <v>1660</v>
      </c>
      <c r="AB724" s="2">
        <v>0</v>
      </c>
      <c r="AC724" s="2" t="s">
        <v>1660</v>
      </c>
      <c r="AD724" s="2">
        <v>0</v>
      </c>
      <c r="AE724" s="2" t="s">
        <v>1660</v>
      </c>
      <c r="AF724" s="2">
        <v>0</v>
      </c>
      <c r="AG724" s="2">
        <v>0</v>
      </c>
      <c r="AH724" s="2" t="s">
        <v>32</v>
      </c>
      <c r="AI724" s="2" t="s">
        <v>32</v>
      </c>
      <c r="AJ724" s="2" t="s">
        <v>32</v>
      </c>
      <c r="AK724" s="2" t="s">
        <v>32</v>
      </c>
      <c r="AL724" s="2" t="s">
        <v>32</v>
      </c>
      <c r="AM724" s="2">
        <v>0</v>
      </c>
      <c r="AN724" s="2" t="s">
        <v>32</v>
      </c>
      <c r="AO724" s="2">
        <v>0</v>
      </c>
      <c r="AP724" s="2" t="s">
        <v>32</v>
      </c>
      <c r="AQ724" s="2" t="s">
        <v>32</v>
      </c>
      <c r="AR724" s="2" t="s">
        <v>32</v>
      </c>
      <c r="AS724" s="2">
        <v>0</v>
      </c>
      <c r="AT724" s="2" t="s">
        <v>32</v>
      </c>
      <c r="AU724" s="2" t="s">
        <v>32</v>
      </c>
      <c r="AV724" s="2" t="s">
        <v>32</v>
      </c>
      <c r="AW724" s="2">
        <v>0</v>
      </c>
      <c r="AX724" s="2" t="s">
        <v>32</v>
      </c>
      <c r="AY724" s="2">
        <v>0</v>
      </c>
      <c r="AZ724" s="2" t="s">
        <v>1658</v>
      </c>
      <c r="BA724" s="2">
        <v>2</v>
      </c>
      <c r="BB724" s="2">
        <v>10</v>
      </c>
      <c r="BC724" s="2" t="s">
        <v>1658</v>
      </c>
      <c r="BD724" s="2">
        <v>2</v>
      </c>
      <c r="BE724" s="2" t="s">
        <v>1660</v>
      </c>
      <c r="BF724" s="2">
        <v>0</v>
      </c>
      <c r="BG724" s="2" t="s">
        <v>1660</v>
      </c>
      <c r="BH724" s="2">
        <v>0</v>
      </c>
      <c r="BI724" s="2" t="s">
        <v>32</v>
      </c>
      <c r="BJ724" s="2" t="s">
        <v>32</v>
      </c>
      <c r="BK724" s="2" t="s">
        <v>1660</v>
      </c>
      <c r="BL724" s="2">
        <v>0</v>
      </c>
      <c r="BM724" s="2" t="s">
        <v>32</v>
      </c>
      <c r="BN724" s="2" t="s">
        <v>32</v>
      </c>
      <c r="BO724" s="2" t="s">
        <v>1660</v>
      </c>
      <c r="BP724" s="2">
        <v>0</v>
      </c>
      <c r="BQ724" s="2" t="s">
        <v>1660</v>
      </c>
      <c r="BR724" s="2">
        <v>0</v>
      </c>
      <c r="BS724" s="2" t="s">
        <v>1658</v>
      </c>
      <c r="BT724" s="2">
        <v>23</v>
      </c>
      <c r="BU724" s="2">
        <v>117</v>
      </c>
      <c r="BV724" s="2" t="s">
        <v>1660</v>
      </c>
      <c r="BW724" s="2"/>
      <c r="BX724" s="2"/>
      <c r="BY724" s="2" t="s">
        <v>1807</v>
      </c>
      <c r="BZ724" s="2" t="b">
        <f>OR( (Dashboard[[#This Row],[ref_as_hh]]&gt;=1),(Dashboard[[#This Row],[ret_as_hh]] &gt;=1), (Dashboard[[#This Row],[idp_as_hh]]&gt;=1))</f>
        <v>0</v>
      </c>
      <c r="CA724" s="2">
        <f>Dashboard[[#This Row],[ret_hi_hh]]</f>
        <v>2</v>
      </c>
      <c r="CB724" s="2">
        <f>Dashboard[[#This Row],[idp_fa_hh]]+Dashboard[[#This Row],[ref_fa_hh]]+Dashboard[[#This Row],[ret_fa_hh]]</f>
        <v>7</v>
      </c>
      <c r="CC724" s="2">
        <f>Dashboard[[#This Row],[idp_loc_hh]]+Dashboard[[#This Row],[ref_loc_hh]]+Dashboard[[#This Row],[ret_loc_hh]]</f>
        <v>0</v>
      </c>
      <c r="CD724" s="2">
        <f>Dashboard[[#This Row],[idp_cc_hh]]+Dashboard[[#This Row],[ref_cc_hh]]+Dashboard[[#This Row],[ret_cc_hh]]</f>
        <v>0</v>
      </c>
      <c r="CE724" s="2">
        <f>Dashboard[[#This Row],[idp_as_hh]]+Dashboard[[#This Row],[ref_as_hh]]+Dashboard[[#This Row],[ret_as_hh]]</f>
        <v>0</v>
      </c>
      <c r="CF724" s="2">
        <f>Dashboard[[#This Row],[idp_al_hh]]+Dashboard[[#This Row],[ref_al_hh]]+Dashboard[[#This Row],[ret_al_hh]]</f>
        <v>0</v>
      </c>
    </row>
    <row r="725" spans="1:84" x14ac:dyDescent="0.25">
      <c r="A725" s="2">
        <v>682</v>
      </c>
      <c r="B725" s="2" t="s">
        <v>22</v>
      </c>
      <c r="C725" s="2" t="s">
        <v>23</v>
      </c>
      <c r="D725" s="2" t="s">
        <v>37</v>
      </c>
      <c r="E725" s="2" t="s">
        <v>36</v>
      </c>
      <c r="F725" s="2" t="s">
        <v>250</v>
      </c>
      <c r="G725" s="2" t="s">
        <v>249</v>
      </c>
      <c r="H725" s="2" t="s">
        <v>1484</v>
      </c>
      <c r="I725" s="2" t="s">
        <v>604</v>
      </c>
      <c r="J725" s="2" t="s">
        <v>3662</v>
      </c>
      <c r="K725" s="2" t="s">
        <v>3663</v>
      </c>
      <c r="L725" s="2" t="s">
        <v>2074</v>
      </c>
      <c r="M725" s="2">
        <v>1622</v>
      </c>
      <c r="N725" s="2" t="s">
        <v>1658</v>
      </c>
      <c r="O725" s="2">
        <v>97</v>
      </c>
      <c r="P725" s="2">
        <v>491</v>
      </c>
      <c r="Q725" s="2" t="s">
        <v>1658</v>
      </c>
      <c r="R725" s="2">
        <v>90</v>
      </c>
      <c r="S725" s="2" t="s">
        <v>1660</v>
      </c>
      <c r="T725" s="2">
        <v>0</v>
      </c>
      <c r="U725" s="2" t="s">
        <v>32</v>
      </c>
      <c r="V725" s="2" t="s">
        <v>32</v>
      </c>
      <c r="W725" s="2" t="s">
        <v>1660</v>
      </c>
      <c r="X725" s="2">
        <v>0</v>
      </c>
      <c r="Y725" s="2" t="s">
        <v>32</v>
      </c>
      <c r="Z725" s="2" t="s">
        <v>32</v>
      </c>
      <c r="AA725" s="2" t="s">
        <v>1658</v>
      </c>
      <c r="AB725" s="2">
        <v>7</v>
      </c>
      <c r="AC725" s="2" t="s">
        <v>1660</v>
      </c>
      <c r="AD725" s="2">
        <v>0</v>
      </c>
      <c r="AE725" s="2" t="s">
        <v>1660</v>
      </c>
      <c r="AF725" s="2">
        <v>0</v>
      </c>
      <c r="AG725" s="2">
        <v>0</v>
      </c>
      <c r="AH725" s="2" t="s">
        <v>32</v>
      </c>
      <c r="AI725" s="2" t="s">
        <v>32</v>
      </c>
      <c r="AJ725" s="2" t="s">
        <v>32</v>
      </c>
      <c r="AK725" s="2" t="s">
        <v>32</v>
      </c>
      <c r="AL725" s="2" t="s">
        <v>32</v>
      </c>
      <c r="AM725" s="2">
        <v>0</v>
      </c>
      <c r="AN725" s="2" t="s">
        <v>32</v>
      </c>
      <c r="AO725" s="2">
        <v>0</v>
      </c>
      <c r="AP725" s="2" t="s">
        <v>32</v>
      </c>
      <c r="AQ725" s="2" t="s">
        <v>32</v>
      </c>
      <c r="AR725" s="2" t="s">
        <v>32</v>
      </c>
      <c r="AS725" s="2">
        <v>0</v>
      </c>
      <c r="AT725" s="2" t="s">
        <v>32</v>
      </c>
      <c r="AU725" s="2" t="s">
        <v>32</v>
      </c>
      <c r="AV725" s="2" t="s">
        <v>32</v>
      </c>
      <c r="AW725" s="2">
        <v>0</v>
      </c>
      <c r="AX725" s="2" t="s">
        <v>32</v>
      </c>
      <c r="AY725" s="2">
        <v>0</v>
      </c>
      <c r="AZ725" s="2" t="s">
        <v>1658</v>
      </c>
      <c r="BA725" s="2">
        <v>87</v>
      </c>
      <c r="BB725" s="2">
        <v>474</v>
      </c>
      <c r="BC725" s="2" t="s">
        <v>1658</v>
      </c>
      <c r="BD725" s="2">
        <v>83</v>
      </c>
      <c r="BE725" s="2" t="s">
        <v>1658</v>
      </c>
      <c r="BF725" s="2">
        <v>4</v>
      </c>
      <c r="BG725" s="2" t="s">
        <v>1660</v>
      </c>
      <c r="BH725" s="2">
        <v>0</v>
      </c>
      <c r="BI725" s="2" t="s">
        <v>32</v>
      </c>
      <c r="BJ725" s="2" t="s">
        <v>32</v>
      </c>
      <c r="BK725" s="2" t="s">
        <v>1660</v>
      </c>
      <c r="BL725" s="2">
        <v>0</v>
      </c>
      <c r="BM725" s="2" t="s">
        <v>32</v>
      </c>
      <c r="BN725" s="2" t="s">
        <v>32</v>
      </c>
      <c r="BO725" s="2" t="s">
        <v>1660</v>
      </c>
      <c r="BP725" s="2">
        <v>0</v>
      </c>
      <c r="BQ725" s="2" t="s">
        <v>1660</v>
      </c>
      <c r="BR725" s="2">
        <v>0</v>
      </c>
      <c r="BS725" s="2" t="s">
        <v>1658</v>
      </c>
      <c r="BT725" s="2">
        <v>10</v>
      </c>
      <c r="BU725" s="2">
        <v>50</v>
      </c>
      <c r="BV725" s="2" t="s">
        <v>1660</v>
      </c>
      <c r="BW725" s="2"/>
      <c r="BX725" s="2"/>
      <c r="BY725" s="2" t="s">
        <v>1807</v>
      </c>
      <c r="BZ725" s="2" t="b">
        <f>OR( (Dashboard[[#This Row],[ref_as_hh]]&gt;=1),(Dashboard[[#This Row],[ret_as_hh]] &gt;=1), (Dashboard[[#This Row],[idp_as_hh]]&gt;=1))</f>
        <v>1</v>
      </c>
      <c r="CA725" s="2">
        <f>Dashboard[[#This Row],[ret_hi_hh]]</f>
        <v>83</v>
      </c>
      <c r="CB725" s="2">
        <f>Dashboard[[#This Row],[idp_fa_hh]]+Dashboard[[#This Row],[ref_fa_hh]]+Dashboard[[#This Row],[ret_fa_hh]]</f>
        <v>94</v>
      </c>
      <c r="CC725" s="2">
        <f>Dashboard[[#This Row],[idp_loc_hh]]+Dashboard[[#This Row],[ref_loc_hh]]+Dashboard[[#This Row],[ret_loc_hh]]</f>
        <v>0</v>
      </c>
      <c r="CD725" s="2">
        <f>Dashboard[[#This Row],[idp_cc_hh]]+Dashboard[[#This Row],[ref_cc_hh]]+Dashboard[[#This Row],[ret_cc_hh]]</f>
        <v>0</v>
      </c>
      <c r="CE725" s="2">
        <f>Dashboard[[#This Row],[idp_as_hh]]+Dashboard[[#This Row],[ref_as_hh]]+Dashboard[[#This Row],[ret_as_hh]]</f>
        <v>7</v>
      </c>
      <c r="CF725" s="2">
        <f>Dashboard[[#This Row],[idp_al_hh]]+Dashboard[[#This Row],[ref_al_hh]]+Dashboard[[#This Row],[ret_al_hh]]</f>
        <v>0</v>
      </c>
    </row>
    <row r="726" spans="1:84" hidden="1" x14ac:dyDescent="0.25">
      <c r="A726" s="2">
        <v>683</v>
      </c>
      <c r="B726" s="2" t="s">
        <v>22</v>
      </c>
      <c r="C726" s="2" t="s">
        <v>23</v>
      </c>
      <c r="D726" s="2" t="s">
        <v>37</v>
      </c>
      <c r="E726" s="2" t="s">
        <v>36</v>
      </c>
      <c r="F726" s="2" t="s">
        <v>250</v>
      </c>
      <c r="G726" s="2" t="s">
        <v>249</v>
      </c>
      <c r="H726" s="2" t="s">
        <v>2052</v>
      </c>
      <c r="I726" s="2" t="s">
        <v>2053</v>
      </c>
      <c r="J726" s="2" t="s">
        <v>3674</v>
      </c>
      <c r="K726" s="2" t="s">
        <v>3675</v>
      </c>
      <c r="L726" s="2" t="s">
        <v>2074</v>
      </c>
      <c r="M726" s="2">
        <v>639</v>
      </c>
      <c r="N726" s="2" t="s">
        <v>1658</v>
      </c>
      <c r="O726" s="2">
        <v>9</v>
      </c>
      <c r="P726" s="2">
        <v>48</v>
      </c>
      <c r="Q726" s="2" t="s">
        <v>1658</v>
      </c>
      <c r="R726" s="2">
        <v>9</v>
      </c>
      <c r="S726" s="2" t="s">
        <v>1660</v>
      </c>
      <c r="T726" s="2">
        <v>0</v>
      </c>
      <c r="U726" s="2" t="s">
        <v>32</v>
      </c>
      <c r="V726" s="2" t="s">
        <v>32</v>
      </c>
      <c r="W726" s="2" t="s">
        <v>1660</v>
      </c>
      <c r="X726" s="2">
        <v>0</v>
      </c>
      <c r="Y726" s="2" t="s">
        <v>32</v>
      </c>
      <c r="Z726" s="2" t="s">
        <v>32</v>
      </c>
      <c r="AA726" s="2" t="s">
        <v>1660</v>
      </c>
      <c r="AB726" s="2">
        <v>0</v>
      </c>
      <c r="AC726" s="2" t="s">
        <v>1660</v>
      </c>
      <c r="AD726" s="2">
        <v>0</v>
      </c>
      <c r="AE726" s="2" t="s">
        <v>1660</v>
      </c>
      <c r="AF726" s="2">
        <v>0</v>
      </c>
      <c r="AG726" s="2">
        <v>0</v>
      </c>
      <c r="AH726" s="2" t="s">
        <v>32</v>
      </c>
      <c r="AI726" s="2" t="s">
        <v>32</v>
      </c>
      <c r="AJ726" s="2" t="s">
        <v>32</v>
      </c>
      <c r="AK726" s="2" t="s">
        <v>32</v>
      </c>
      <c r="AL726" s="2" t="s">
        <v>32</v>
      </c>
      <c r="AM726" s="2">
        <v>0</v>
      </c>
      <c r="AN726" s="2" t="s">
        <v>32</v>
      </c>
      <c r="AO726" s="2">
        <v>0</v>
      </c>
      <c r="AP726" s="2" t="s">
        <v>32</v>
      </c>
      <c r="AQ726" s="2" t="s">
        <v>32</v>
      </c>
      <c r="AR726" s="2" t="s">
        <v>32</v>
      </c>
      <c r="AS726" s="2">
        <v>0</v>
      </c>
      <c r="AT726" s="2" t="s">
        <v>32</v>
      </c>
      <c r="AU726" s="2" t="s">
        <v>32</v>
      </c>
      <c r="AV726" s="2" t="s">
        <v>32</v>
      </c>
      <c r="AW726" s="2">
        <v>0</v>
      </c>
      <c r="AX726" s="2" t="s">
        <v>32</v>
      </c>
      <c r="AY726" s="2">
        <v>0</v>
      </c>
      <c r="AZ726" s="2" t="s">
        <v>1658</v>
      </c>
      <c r="BA726" s="2">
        <v>32</v>
      </c>
      <c r="BB726" s="2">
        <v>167</v>
      </c>
      <c r="BC726" s="2" t="s">
        <v>1658</v>
      </c>
      <c r="BD726" s="2">
        <v>32</v>
      </c>
      <c r="BE726" s="2" t="s">
        <v>1660</v>
      </c>
      <c r="BF726" s="2">
        <v>0</v>
      </c>
      <c r="BG726" s="2" t="s">
        <v>1660</v>
      </c>
      <c r="BH726" s="2">
        <v>0</v>
      </c>
      <c r="BI726" s="2" t="s">
        <v>32</v>
      </c>
      <c r="BJ726" s="2" t="s">
        <v>32</v>
      </c>
      <c r="BK726" s="2" t="s">
        <v>1660</v>
      </c>
      <c r="BL726" s="2">
        <v>0</v>
      </c>
      <c r="BM726" s="2" t="s">
        <v>32</v>
      </c>
      <c r="BN726" s="2" t="s">
        <v>32</v>
      </c>
      <c r="BO726" s="2" t="s">
        <v>1660</v>
      </c>
      <c r="BP726" s="2">
        <v>0</v>
      </c>
      <c r="BQ726" s="2" t="s">
        <v>1660</v>
      </c>
      <c r="BR726" s="2">
        <v>0</v>
      </c>
      <c r="BS726" s="2" t="s">
        <v>1660</v>
      </c>
      <c r="BT726" s="2">
        <v>0</v>
      </c>
      <c r="BU726" s="2">
        <v>0</v>
      </c>
      <c r="BV726" s="2" t="s">
        <v>1660</v>
      </c>
      <c r="BW726" s="2"/>
      <c r="BX726" s="2"/>
      <c r="BY726" s="2" t="s">
        <v>1807</v>
      </c>
      <c r="BZ726" s="2" t="b">
        <f>OR( (Dashboard[[#This Row],[ref_as_hh]]&gt;=1),(Dashboard[[#This Row],[ret_as_hh]] &gt;=1), (Dashboard[[#This Row],[idp_as_hh]]&gt;=1))</f>
        <v>0</v>
      </c>
      <c r="CA726" s="2">
        <f>Dashboard[[#This Row],[ret_hi_hh]]</f>
        <v>32</v>
      </c>
      <c r="CB726" s="2">
        <f>Dashboard[[#This Row],[idp_fa_hh]]+Dashboard[[#This Row],[ref_fa_hh]]+Dashboard[[#This Row],[ret_fa_hh]]</f>
        <v>9</v>
      </c>
      <c r="CC726" s="2">
        <f>Dashboard[[#This Row],[idp_loc_hh]]+Dashboard[[#This Row],[ref_loc_hh]]+Dashboard[[#This Row],[ret_loc_hh]]</f>
        <v>0</v>
      </c>
      <c r="CD726" s="2">
        <f>Dashboard[[#This Row],[idp_cc_hh]]+Dashboard[[#This Row],[ref_cc_hh]]+Dashboard[[#This Row],[ret_cc_hh]]</f>
        <v>0</v>
      </c>
      <c r="CE726" s="2">
        <f>Dashboard[[#This Row],[idp_as_hh]]+Dashboard[[#This Row],[ref_as_hh]]+Dashboard[[#This Row],[ret_as_hh]]</f>
        <v>0</v>
      </c>
      <c r="CF726" s="2">
        <f>Dashboard[[#This Row],[idp_al_hh]]+Dashboard[[#This Row],[ref_al_hh]]+Dashboard[[#This Row],[ret_al_hh]]</f>
        <v>0</v>
      </c>
    </row>
    <row r="727" spans="1:84" hidden="1" x14ac:dyDescent="0.25">
      <c r="A727" s="2">
        <v>689</v>
      </c>
      <c r="B727" s="2" t="s">
        <v>22</v>
      </c>
      <c r="C727" s="2" t="s">
        <v>23</v>
      </c>
      <c r="D727" s="2" t="s">
        <v>37</v>
      </c>
      <c r="E727" s="2" t="s">
        <v>36</v>
      </c>
      <c r="F727" s="2" t="s">
        <v>250</v>
      </c>
      <c r="G727" s="2" t="s">
        <v>249</v>
      </c>
      <c r="H727" s="2" t="s">
        <v>1482</v>
      </c>
      <c r="I727" s="2" t="s">
        <v>602</v>
      </c>
      <c r="J727" s="2" t="s">
        <v>3658</v>
      </c>
      <c r="K727" s="2" t="s">
        <v>3659</v>
      </c>
      <c r="L727" s="2" t="s">
        <v>2074</v>
      </c>
      <c r="M727" s="2">
        <v>7687</v>
      </c>
      <c r="N727" s="2" t="s">
        <v>1658</v>
      </c>
      <c r="O727" s="2">
        <v>107</v>
      </c>
      <c r="P727" s="2">
        <v>545</v>
      </c>
      <c r="Q727" s="2" t="s">
        <v>1658</v>
      </c>
      <c r="R727" s="2">
        <v>95</v>
      </c>
      <c r="S727" s="2" t="s">
        <v>1658</v>
      </c>
      <c r="T727" s="2">
        <v>12</v>
      </c>
      <c r="U727" s="2" t="s">
        <v>1659</v>
      </c>
      <c r="V727" s="2" t="s">
        <v>32</v>
      </c>
      <c r="W727" s="2" t="s">
        <v>1660</v>
      </c>
      <c r="X727" s="2">
        <v>0</v>
      </c>
      <c r="Y727" s="2" t="s">
        <v>32</v>
      </c>
      <c r="Z727" s="2" t="s">
        <v>32</v>
      </c>
      <c r="AA727" s="2" t="s">
        <v>1660</v>
      </c>
      <c r="AB727" s="2">
        <v>0</v>
      </c>
      <c r="AC727" s="2" t="s">
        <v>1660</v>
      </c>
      <c r="AD727" s="2">
        <v>0</v>
      </c>
      <c r="AE727" s="2" t="s">
        <v>1660</v>
      </c>
      <c r="AF727" s="2">
        <v>0</v>
      </c>
      <c r="AG727" s="2">
        <v>0</v>
      </c>
      <c r="AH727" s="2" t="s">
        <v>32</v>
      </c>
      <c r="AI727" s="2" t="s">
        <v>32</v>
      </c>
      <c r="AJ727" s="2" t="s">
        <v>32</v>
      </c>
      <c r="AK727" s="2" t="s">
        <v>32</v>
      </c>
      <c r="AL727" s="2" t="s">
        <v>32</v>
      </c>
      <c r="AM727" s="2">
        <v>0</v>
      </c>
      <c r="AN727" s="2" t="s">
        <v>32</v>
      </c>
      <c r="AO727" s="2">
        <v>0</v>
      </c>
      <c r="AP727" s="2" t="s">
        <v>32</v>
      </c>
      <c r="AQ727" s="2" t="s">
        <v>32</v>
      </c>
      <c r="AR727" s="2" t="s">
        <v>32</v>
      </c>
      <c r="AS727" s="2">
        <v>0</v>
      </c>
      <c r="AT727" s="2" t="s">
        <v>32</v>
      </c>
      <c r="AU727" s="2" t="s">
        <v>32</v>
      </c>
      <c r="AV727" s="2" t="s">
        <v>32</v>
      </c>
      <c r="AW727" s="2">
        <v>0</v>
      </c>
      <c r="AX727" s="2" t="s">
        <v>32</v>
      </c>
      <c r="AY727" s="2">
        <v>0</v>
      </c>
      <c r="AZ727" s="2" t="s">
        <v>1658</v>
      </c>
      <c r="BA727" s="2">
        <v>75</v>
      </c>
      <c r="BB727" s="2">
        <v>428</v>
      </c>
      <c r="BC727" s="2" t="s">
        <v>1658</v>
      </c>
      <c r="BD727" s="2">
        <v>72</v>
      </c>
      <c r="BE727" s="2" t="s">
        <v>1658</v>
      </c>
      <c r="BF727" s="2">
        <v>3</v>
      </c>
      <c r="BG727" s="2" t="s">
        <v>1660</v>
      </c>
      <c r="BH727" s="2">
        <v>0</v>
      </c>
      <c r="BI727" s="2" t="s">
        <v>32</v>
      </c>
      <c r="BJ727" s="2" t="s">
        <v>32</v>
      </c>
      <c r="BK727" s="2" t="s">
        <v>1660</v>
      </c>
      <c r="BL727" s="2">
        <v>0</v>
      </c>
      <c r="BM727" s="2" t="s">
        <v>32</v>
      </c>
      <c r="BN727" s="2" t="s">
        <v>32</v>
      </c>
      <c r="BO727" s="2" t="s">
        <v>1660</v>
      </c>
      <c r="BP727" s="2">
        <v>0</v>
      </c>
      <c r="BQ727" s="2" t="s">
        <v>1660</v>
      </c>
      <c r="BR727" s="2">
        <v>0</v>
      </c>
      <c r="BS727" s="2" t="s">
        <v>1658</v>
      </c>
      <c r="BT727" s="2">
        <v>5</v>
      </c>
      <c r="BU727" s="2">
        <v>25</v>
      </c>
      <c r="BV727" s="2" t="s">
        <v>1660</v>
      </c>
      <c r="BW727" s="2"/>
      <c r="BX727" s="2"/>
      <c r="BY727" s="2" t="s">
        <v>1807</v>
      </c>
      <c r="BZ727" s="2" t="b">
        <f>OR( (Dashboard[[#This Row],[ref_as_hh]]&gt;=1),(Dashboard[[#This Row],[ret_as_hh]] &gt;=1), (Dashboard[[#This Row],[idp_as_hh]]&gt;=1))</f>
        <v>0</v>
      </c>
      <c r="CA727" s="2">
        <f>Dashboard[[#This Row],[ret_hi_hh]]</f>
        <v>72</v>
      </c>
      <c r="CB727" s="2">
        <f>Dashboard[[#This Row],[idp_fa_hh]]+Dashboard[[#This Row],[ref_fa_hh]]+Dashboard[[#This Row],[ret_fa_hh]]</f>
        <v>98</v>
      </c>
      <c r="CC727" s="2">
        <f>Dashboard[[#This Row],[idp_loc_hh]]+Dashboard[[#This Row],[ref_loc_hh]]+Dashboard[[#This Row],[ret_loc_hh]]</f>
        <v>12</v>
      </c>
      <c r="CD727" s="2">
        <f>Dashboard[[#This Row],[idp_cc_hh]]+Dashboard[[#This Row],[ref_cc_hh]]+Dashboard[[#This Row],[ret_cc_hh]]</f>
        <v>0</v>
      </c>
      <c r="CE727" s="2">
        <f>Dashboard[[#This Row],[idp_as_hh]]+Dashboard[[#This Row],[ref_as_hh]]+Dashboard[[#This Row],[ret_as_hh]]</f>
        <v>0</v>
      </c>
      <c r="CF727" s="2">
        <f>Dashboard[[#This Row],[idp_al_hh]]+Dashboard[[#This Row],[ref_al_hh]]+Dashboard[[#This Row],[ret_al_hh]]</f>
        <v>0</v>
      </c>
    </row>
    <row r="728" spans="1:84" x14ac:dyDescent="0.25">
      <c r="A728" s="2">
        <v>178</v>
      </c>
      <c r="B728" s="2" t="s">
        <v>22</v>
      </c>
      <c r="C728" s="2" t="s">
        <v>23</v>
      </c>
      <c r="D728" s="2" t="s">
        <v>37</v>
      </c>
      <c r="E728" s="2" t="s">
        <v>36</v>
      </c>
      <c r="F728" s="2" t="s">
        <v>250</v>
      </c>
      <c r="G728" s="2" t="s">
        <v>249</v>
      </c>
      <c r="H728" s="2" t="s">
        <v>1467</v>
      </c>
      <c r="I728" s="2" t="s">
        <v>253</v>
      </c>
      <c r="J728" s="2" t="s">
        <v>3628</v>
      </c>
      <c r="K728" s="2" t="s">
        <v>3629</v>
      </c>
      <c r="L728" s="2" t="s">
        <v>2074</v>
      </c>
      <c r="M728" s="2">
        <v>4152</v>
      </c>
      <c r="N728" s="2" t="s">
        <v>1658</v>
      </c>
      <c r="O728" s="2">
        <v>142</v>
      </c>
      <c r="P728" s="2">
        <v>710</v>
      </c>
      <c r="Q728" s="2" t="s">
        <v>1658</v>
      </c>
      <c r="R728" s="2">
        <v>60</v>
      </c>
      <c r="S728" s="2" t="s">
        <v>1658</v>
      </c>
      <c r="T728" s="2">
        <v>20</v>
      </c>
      <c r="U728" s="2" t="s">
        <v>1661</v>
      </c>
      <c r="V728" s="2" t="s">
        <v>32</v>
      </c>
      <c r="W728" s="2" t="s">
        <v>1660</v>
      </c>
      <c r="X728" s="2">
        <v>0</v>
      </c>
      <c r="Y728" s="2" t="s">
        <v>32</v>
      </c>
      <c r="Z728" s="2" t="s">
        <v>32</v>
      </c>
      <c r="AA728" s="2" t="s">
        <v>1658</v>
      </c>
      <c r="AB728" s="2">
        <v>62</v>
      </c>
      <c r="AC728" s="2" t="s">
        <v>1660</v>
      </c>
      <c r="AD728" s="2">
        <v>0</v>
      </c>
      <c r="AE728" s="2" t="s">
        <v>1660</v>
      </c>
      <c r="AF728" s="2">
        <v>0</v>
      </c>
      <c r="AG728" s="2">
        <v>0</v>
      </c>
      <c r="AH728" s="2" t="s">
        <v>32</v>
      </c>
      <c r="AI728" s="2" t="s">
        <v>32</v>
      </c>
      <c r="AJ728" s="2" t="s">
        <v>32</v>
      </c>
      <c r="AK728" s="2" t="s">
        <v>32</v>
      </c>
      <c r="AL728" s="2" t="s">
        <v>32</v>
      </c>
      <c r="AM728" s="2">
        <v>0</v>
      </c>
      <c r="AN728" s="2" t="s">
        <v>32</v>
      </c>
      <c r="AO728" s="2">
        <v>0</v>
      </c>
      <c r="AP728" s="2" t="s">
        <v>32</v>
      </c>
      <c r="AQ728" s="2" t="s">
        <v>32</v>
      </c>
      <c r="AR728" s="2" t="s">
        <v>32</v>
      </c>
      <c r="AS728" s="2">
        <v>0</v>
      </c>
      <c r="AT728" s="2" t="s">
        <v>32</v>
      </c>
      <c r="AU728" s="2" t="s">
        <v>32</v>
      </c>
      <c r="AV728" s="2" t="s">
        <v>32</v>
      </c>
      <c r="AW728" s="2">
        <v>0</v>
      </c>
      <c r="AX728" s="2" t="s">
        <v>32</v>
      </c>
      <c r="AY728" s="2">
        <v>0</v>
      </c>
      <c r="AZ728" s="2" t="s">
        <v>1658</v>
      </c>
      <c r="BA728" s="2">
        <v>17</v>
      </c>
      <c r="BB728" s="2">
        <v>85</v>
      </c>
      <c r="BC728" s="2" t="s">
        <v>1658</v>
      </c>
      <c r="BD728" s="2">
        <v>14</v>
      </c>
      <c r="BE728" s="2" t="s">
        <v>1658</v>
      </c>
      <c r="BF728" s="2">
        <v>3</v>
      </c>
      <c r="BG728" s="2" t="s">
        <v>1660</v>
      </c>
      <c r="BH728" s="2">
        <v>0</v>
      </c>
      <c r="BI728" s="2" t="s">
        <v>32</v>
      </c>
      <c r="BJ728" s="2" t="s">
        <v>32</v>
      </c>
      <c r="BK728" s="2" t="s">
        <v>1660</v>
      </c>
      <c r="BL728" s="2">
        <v>0</v>
      </c>
      <c r="BM728" s="2" t="s">
        <v>32</v>
      </c>
      <c r="BN728" s="2" t="s">
        <v>32</v>
      </c>
      <c r="BO728" s="2" t="s">
        <v>1660</v>
      </c>
      <c r="BP728" s="2">
        <v>0</v>
      </c>
      <c r="BQ728" s="2" t="s">
        <v>1660</v>
      </c>
      <c r="BR728" s="2">
        <v>0</v>
      </c>
      <c r="BS728" s="2" t="s">
        <v>1658</v>
      </c>
      <c r="BT728" s="2">
        <v>16</v>
      </c>
      <c r="BU728" s="2">
        <v>80</v>
      </c>
      <c r="BV728" s="2" t="s">
        <v>1660</v>
      </c>
      <c r="BW728" s="2"/>
      <c r="BX728" s="2"/>
      <c r="BY728" s="2" t="s">
        <v>1807</v>
      </c>
      <c r="BZ728" s="2" t="b">
        <f>OR( (Dashboard[[#This Row],[ref_as_hh]]&gt;=1),(Dashboard[[#This Row],[ret_as_hh]] &gt;=1), (Dashboard[[#This Row],[idp_as_hh]]&gt;=1))</f>
        <v>1</v>
      </c>
      <c r="CA728" s="2">
        <f>Dashboard[[#This Row],[ret_hi_hh]]</f>
        <v>14</v>
      </c>
      <c r="CB728" s="2">
        <f>Dashboard[[#This Row],[idp_fa_hh]]+Dashboard[[#This Row],[ref_fa_hh]]+Dashboard[[#This Row],[ret_fa_hh]]</f>
        <v>63</v>
      </c>
      <c r="CC728" s="2">
        <f>Dashboard[[#This Row],[idp_loc_hh]]+Dashboard[[#This Row],[ref_loc_hh]]+Dashboard[[#This Row],[ret_loc_hh]]</f>
        <v>20</v>
      </c>
      <c r="CD728" s="2">
        <f>Dashboard[[#This Row],[idp_cc_hh]]+Dashboard[[#This Row],[ref_cc_hh]]+Dashboard[[#This Row],[ret_cc_hh]]</f>
        <v>0</v>
      </c>
      <c r="CE728" s="2">
        <f>Dashboard[[#This Row],[idp_as_hh]]+Dashboard[[#This Row],[ref_as_hh]]+Dashboard[[#This Row],[ret_as_hh]]</f>
        <v>62</v>
      </c>
      <c r="CF728" s="2">
        <f>Dashboard[[#This Row],[idp_al_hh]]+Dashboard[[#This Row],[ref_al_hh]]+Dashboard[[#This Row],[ret_al_hh]]</f>
        <v>0</v>
      </c>
    </row>
    <row r="729" spans="1:84" hidden="1" x14ac:dyDescent="0.25">
      <c r="A729" s="2">
        <v>690</v>
      </c>
      <c r="B729" s="2" t="s">
        <v>22</v>
      </c>
      <c r="C729" s="2" t="s">
        <v>23</v>
      </c>
      <c r="D729" s="2" t="s">
        <v>37</v>
      </c>
      <c r="E729" s="2" t="s">
        <v>36</v>
      </c>
      <c r="F729" s="2" t="s">
        <v>250</v>
      </c>
      <c r="G729" s="2" t="s">
        <v>249</v>
      </c>
      <c r="H729" s="2" t="s">
        <v>1487</v>
      </c>
      <c r="I729" s="2" t="s">
        <v>607</v>
      </c>
      <c r="J729" s="2" t="s">
        <v>3668</v>
      </c>
      <c r="K729" s="2" t="s">
        <v>3669</v>
      </c>
      <c r="L729" s="2" t="s">
        <v>2074</v>
      </c>
      <c r="M729" s="2">
        <v>246</v>
      </c>
      <c r="N729" s="2" t="s">
        <v>1658</v>
      </c>
      <c r="O729" s="2">
        <v>12</v>
      </c>
      <c r="P729" s="2">
        <v>60</v>
      </c>
      <c r="Q729" s="2" t="s">
        <v>1658</v>
      </c>
      <c r="R729" s="2">
        <v>2</v>
      </c>
      <c r="S729" s="2" t="s">
        <v>1658</v>
      </c>
      <c r="T729" s="2">
        <v>10</v>
      </c>
      <c r="U729" s="2" t="s">
        <v>1661</v>
      </c>
      <c r="V729" s="2" t="s">
        <v>32</v>
      </c>
      <c r="W729" s="2" t="s">
        <v>1660</v>
      </c>
      <c r="X729" s="2">
        <v>0</v>
      </c>
      <c r="Y729" s="2" t="s">
        <v>32</v>
      </c>
      <c r="Z729" s="2" t="s">
        <v>32</v>
      </c>
      <c r="AA729" s="2" t="s">
        <v>1660</v>
      </c>
      <c r="AB729" s="2">
        <v>0</v>
      </c>
      <c r="AC729" s="2" t="s">
        <v>1660</v>
      </c>
      <c r="AD729" s="2">
        <v>0</v>
      </c>
      <c r="AE729" s="2" t="s">
        <v>1660</v>
      </c>
      <c r="AF729" s="2">
        <v>0</v>
      </c>
      <c r="AG729" s="2">
        <v>0</v>
      </c>
      <c r="AH729" s="2" t="s">
        <v>32</v>
      </c>
      <c r="AI729" s="2" t="s">
        <v>32</v>
      </c>
      <c r="AJ729" s="2" t="s">
        <v>32</v>
      </c>
      <c r="AK729" s="2" t="s">
        <v>32</v>
      </c>
      <c r="AL729" s="2" t="s">
        <v>32</v>
      </c>
      <c r="AM729" s="2">
        <v>0</v>
      </c>
      <c r="AN729" s="2" t="s">
        <v>32</v>
      </c>
      <c r="AO729" s="2">
        <v>0</v>
      </c>
      <c r="AP729" s="2" t="s">
        <v>32</v>
      </c>
      <c r="AQ729" s="2" t="s">
        <v>32</v>
      </c>
      <c r="AR729" s="2" t="s">
        <v>32</v>
      </c>
      <c r="AS729" s="2">
        <v>0</v>
      </c>
      <c r="AT729" s="2" t="s">
        <v>32</v>
      </c>
      <c r="AU729" s="2" t="s">
        <v>32</v>
      </c>
      <c r="AV729" s="2" t="s">
        <v>32</v>
      </c>
      <c r="AW729" s="2">
        <v>0</v>
      </c>
      <c r="AX729" s="2" t="s">
        <v>32</v>
      </c>
      <c r="AY729" s="2">
        <v>0</v>
      </c>
      <c r="AZ729" s="2" t="s">
        <v>1658</v>
      </c>
      <c r="BA729" s="2">
        <v>6</v>
      </c>
      <c r="BB729" s="2">
        <v>30</v>
      </c>
      <c r="BC729" s="2" t="s">
        <v>1658</v>
      </c>
      <c r="BD729" s="2">
        <v>5</v>
      </c>
      <c r="BE729" s="2" t="s">
        <v>1658</v>
      </c>
      <c r="BF729" s="2">
        <v>1</v>
      </c>
      <c r="BG729" s="2" t="s">
        <v>1660</v>
      </c>
      <c r="BH729" s="2">
        <v>0</v>
      </c>
      <c r="BI729" s="2" t="s">
        <v>32</v>
      </c>
      <c r="BJ729" s="2" t="s">
        <v>32</v>
      </c>
      <c r="BK729" s="2" t="s">
        <v>1660</v>
      </c>
      <c r="BL729" s="2">
        <v>0</v>
      </c>
      <c r="BM729" s="2" t="s">
        <v>32</v>
      </c>
      <c r="BN729" s="2" t="s">
        <v>32</v>
      </c>
      <c r="BO729" s="2" t="s">
        <v>1660</v>
      </c>
      <c r="BP729" s="2">
        <v>0</v>
      </c>
      <c r="BQ729" s="2" t="s">
        <v>1660</v>
      </c>
      <c r="BR729" s="2">
        <v>0</v>
      </c>
      <c r="BS729" s="2" t="s">
        <v>1658</v>
      </c>
      <c r="BT729" s="2">
        <v>64</v>
      </c>
      <c r="BU729" s="2">
        <v>322</v>
      </c>
      <c r="BV729" s="2" t="s">
        <v>1660</v>
      </c>
      <c r="BW729" s="2"/>
      <c r="BX729" s="2"/>
      <c r="BY729" s="2" t="s">
        <v>1807</v>
      </c>
      <c r="BZ729" s="2" t="b">
        <f>OR( (Dashboard[[#This Row],[ref_as_hh]]&gt;=1),(Dashboard[[#This Row],[ret_as_hh]] &gt;=1), (Dashboard[[#This Row],[idp_as_hh]]&gt;=1))</f>
        <v>0</v>
      </c>
      <c r="CA729" s="2">
        <f>Dashboard[[#This Row],[ret_hi_hh]]</f>
        <v>5</v>
      </c>
      <c r="CB729" s="2">
        <f>Dashboard[[#This Row],[idp_fa_hh]]+Dashboard[[#This Row],[ref_fa_hh]]+Dashboard[[#This Row],[ret_fa_hh]]</f>
        <v>3</v>
      </c>
      <c r="CC729" s="2">
        <f>Dashboard[[#This Row],[idp_loc_hh]]+Dashboard[[#This Row],[ref_loc_hh]]+Dashboard[[#This Row],[ret_loc_hh]]</f>
        <v>10</v>
      </c>
      <c r="CD729" s="2">
        <f>Dashboard[[#This Row],[idp_cc_hh]]+Dashboard[[#This Row],[ref_cc_hh]]+Dashboard[[#This Row],[ret_cc_hh]]</f>
        <v>0</v>
      </c>
      <c r="CE729" s="2">
        <f>Dashboard[[#This Row],[idp_as_hh]]+Dashboard[[#This Row],[ref_as_hh]]+Dashboard[[#This Row],[ret_as_hh]]</f>
        <v>0</v>
      </c>
      <c r="CF729" s="2">
        <f>Dashboard[[#This Row],[idp_al_hh]]+Dashboard[[#This Row],[ref_al_hh]]+Dashboard[[#This Row],[ret_al_hh]]</f>
        <v>0</v>
      </c>
    </row>
    <row r="730" spans="1:84" x14ac:dyDescent="0.25">
      <c r="A730" s="2">
        <v>179</v>
      </c>
      <c r="B730" s="2" t="s">
        <v>22</v>
      </c>
      <c r="C730" s="2" t="s">
        <v>23</v>
      </c>
      <c r="D730" s="2" t="s">
        <v>37</v>
      </c>
      <c r="E730" s="2" t="s">
        <v>36</v>
      </c>
      <c r="F730" s="2" t="s">
        <v>250</v>
      </c>
      <c r="G730" s="2" t="s">
        <v>249</v>
      </c>
      <c r="H730" s="2" t="s">
        <v>1475</v>
      </c>
      <c r="I730" s="2" t="s">
        <v>259</v>
      </c>
      <c r="J730" s="2" t="s">
        <v>3644</v>
      </c>
      <c r="K730" s="2" t="s">
        <v>3645</v>
      </c>
      <c r="L730" s="2" t="s">
        <v>2074</v>
      </c>
      <c r="M730" s="2">
        <v>2378</v>
      </c>
      <c r="N730" s="2" t="s">
        <v>1658</v>
      </c>
      <c r="O730" s="2">
        <v>209</v>
      </c>
      <c r="P730" s="2">
        <v>1096</v>
      </c>
      <c r="Q730" s="2" t="s">
        <v>1658</v>
      </c>
      <c r="R730" s="2">
        <v>206</v>
      </c>
      <c r="S730" s="2" t="s">
        <v>1660</v>
      </c>
      <c r="T730" s="2">
        <v>0</v>
      </c>
      <c r="U730" s="2" t="s">
        <v>32</v>
      </c>
      <c r="V730" s="2" t="s">
        <v>32</v>
      </c>
      <c r="W730" s="2" t="s">
        <v>1660</v>
      </c>
      <c r="X730" s="2">
        <v>0</v>
      </c>
      <c r="Y730" s="2" t="s">
        <v>32</v>
      </c>
      <c r="Z730" s="2" t="s">
        <v>32</v>
      </c>
      <c r="AA730" s="2" t="s">
        <v>1658</v>
      </c>
      <c r="AB730" s="2">
        <v>3</v>
      </c>
      <c r="AC730" s="2" t="s">
        <v>1660</v>
      </c>
      <c r="AD730" s="2">
        <v>0</v>
      </c>
      <c r="AE730" s="2" t="s">
        <v>1658</v>
      </c>
      <c r="AF730" s="2">
        <v>36</v>
      </c>
      <c r="AG730" s="2">
        <v>195</v>
      </c>
      <c r="AH730" s="2" t="s">
        <v>1660</v>
      </c>
      <c r="AI730" s="2" t="s">
        <v>32</v>
      </c>
      <c r="AJ730" s="2" t="s">
        <v>32</v>
      </c>
      <c r="AK730" s="2" t="s">
        <v>32</v>
      </c>
      <c r="AL730" s="2" t="s">
        <v>1658</v>
      </c>
      <c r="AM730" s="2">
        <v>36</v>
      </c>
      <c r="AN730" s="2" t="s">
        <v>1660</v>
      </c>
      <c r="AO730" s="2">
        <v>0</v>
      </c>
      <c r="AP730" s="2" t="s">
        <v>32</v>
      </c>
      <c r="AQ730" s="2" t="s">
        <v>32</v>
      </c>
      <c r="AR730" s="2" t="s">
        <v>1660</v>
      </c>
      <c r="AS730" s="2">
        <v>0</v>
      </c>
      <c r="AT730" s="2" t="s">
        <v>32</v>
      </c>
      <c r="AU730" s="2" t="s">
        <v>32</v>
      </c>
      <c r="AV730" s="2" t="s">
        <v>1660</v>
      </c>
      <c r="AW730" s="2">
        <v>0</v>
      </c>
      <c r="AX730" s="2" t="s">
        <v>1660</v>
      </c>
      <c r="AY730" s="2">
        <v>0</v>
      </c>
      <c r="AZ730" s="2" t="s">
        <v>1658</v>
      </c>
      <c r="BA730" s="2">
        <v>33</v>
      </c>
      <c r="BB730" s="2">
        <v>185</v>
      </c>
      <c r="BC730" s="2" t="s">
        <v>1658</v>
      </c>
      <c r="BD730" s="2">
        <v>33</v>
      </c>
      <c r="BE730" s="2" t="s">
        <v>1660</v>
      </c>
      <c r="BF730" s="2">
        <v>0</v>
      </c>
      <c r="BG730" s="2" t="s">
        <v>1660</v>
      </c>
      <c r="BH730" s="2">
        <v>0</v>
      </c>
      <c r="BI730" s="2" t="s">
        <v>32</v>
      </c>
      <c r="BJ730" s="2" t="s">
        <v>32</v>
      </c>
      <c r="BK730" s="2" t="s">
        <v>1660</v>
      </c>
      <c r="BL730" s="2">
        <v>0</v>
      </c>
      <c r="BM730" s="2" t="s">
        <v>32</v>
      </c>
      <c r="BN730" s="2" t="s">
        <v>32</v>
      </c>
      <c r="BO730" s="2" t="s">
        <v>1660</v>
      </c>
      <c r="BP730" s="2">
        <v>0</v>
      </c>
      <c r="BQ730" s="2" t="s">
        <v>1660</v>
      </c>
      <c r="BR730" s="2">
        <v>0</v>
      </c>
      <c r="BS730" s="2" t="s">
        <v>1658</v>
      </c>
      <c r="BT730" s="2">
        <v>2</v>
      </c>
      <c r="BU730" s="2">
        <v>10</v>
      </c>
      <c r="BV730" s="2" t="s">
        <v>1660</v>
      </c>
      <c r="BW730" s="2"/>
      <c r="BX730" s="2"/>
      <c r="BY730" s="2" t="s">
        <v>1807</v>
      </c>
      <c r="BZ730" s="2" t="b">
        <f>OR( (Dashboard[[#This Row],[ref_as_hh]]&gt;=1),(Dashboard[[#This Row],[ret_as_hh]] &gt;=1), (Dashboard[[#This Row],[idp_as_hh]]&gt;=1))</f>
        <v>1</v>
      </c>
      <c r="CA730" s="2">
        <f>Dashboard[[#This Row],[ret_hi_hh]]</f>
        <v>33</v>
      </c>
      <c r="CB730" s="2">
        <f>Dashboard[[#This Row],[idp_fa_hh]]+Dashboard[[#This Row],[ref_fa_hh]]+Dashboard[[#This Row],[ret_fa_hh]]</f>
        <v>242</v>
      </c>
      <c r="CC730" s="2">
        <f>Dashboard[[#This Row],[idp_loc_hh]]+Dashboard[[#This Row],[ref_loc_hh]]+Dashboard[[#This Row],[ret_loc_hh]]</f>
        <v>0</v>
      </c>
      <c r="CD730" s="2">
        <f>Dashboard[[#This Row],[idp_cc_hh]]+Dashboard[[#This Row],[ref_cc_hh]]+Dashboard[[#This Row],[ret_cc_hh]]</f>
        <v>0</v>
      </c>
      <c r="CE730" s="2">
        <f>Dashboard[[#This Row],[idp_as_hh]]+Dashboard[[#This Row],[ref_as_hh]]+Dashboard[[#This Row],[ret_as_hh]]</f>
        <v>3</v>
      </c>
      <c r="CF730" s="2">
        <f>Dashboard[[#This Row],[idp_al_hh]]+Dashboard[[#This Row],[ref_al_hh]]+Dashboard[[#This Row],[ret_al_hh]]</f>
        <v>0</v>
      </c>
    </row>
    <row r="731" spans="1:84" hidden="1" x14ac:dyDescent="0.25">
      <c r="A731" s="2">
        <v>691</v>
      </c>
      <c r="B731" s="2" t="s">
        <v>22</v>
      </c>
      <c r="C731" s="2" t="s">
        <v>23</v>
      </c>
      <c r="D731" s="2" t="s">
        <v>37</v>
      </c>
      <c r="E731" s="2" t="s">
        <v>36</v>
      </c>
      <c r="F731" s="2" t="s">
        <v>250</v>
      </c>
      <c r="G731" s="2" t="s">
        <v>249</v>
      </c>
      <c r="H731" s="2" t="s">
        <v>1483</v>
      </c>
      <c r="I731" s="2" t="s">
        <v>603</v>
      </c>
      <c r="J731" s="2" t="s">
        <v>3660</v>
      </c>
      <c r="K731" s="2" t="s">
        <v>3661</v>
      </c>
      <c r="L731" s="2" t="s">
        <v>2074</v>
      </c>
      <c r="M731" s="2">
        <v>6747</v>
      </c>
      <c r="N731" s="2" t="s">
        <v>1658</v>
      </c>
      <c r="O731" s="2">
        <v>300</v>
      </c>
      <c r="P731" s="2">
        <v>1503</v>
      </c>
      <c r="Q731" s="2" t="s">
        <v>1658</v>
      </c>
      <c r="R731" s="2">
        <v>248</v>
      </c>
      <c r="S731" s="2" t="s">
        <v>1658</v>
      </c>
      <c r="T731" s="2">
        <v>52</v>
      </c>
      <c r="U731" s="2" t="s">
        <v>1659</v>
      </c>
      <c r="V731" s="2" t="s">
        <v>32</v>
      </c>
      <c r="W731" s="2" t="s">
        <v>1660</v>
      </c>
      <c r="X731" s="2">
        <v>0</v>
      </c>
      <c r="Y731" s="2" t="s">
        <v>32</v>
      </c>
      <c r="Z731" s="2" t="s">
        <v>32</v>
      </c>
      <c r="AA731" s="2" t="s">
        <v>1660</v>
      </c>
      <c r="AB731" s="2">
        <v>0</v>
      </c>
      <c r="AC731" s="2" t="s">
        <v>1660</v>
      </c>
      <c r="AD731" s="2">
        <v>0</v>
      </c>
      <c r="AE731" s="2" t="s">
        <v>1660</v>
      </c>
      <c r="AF731" s="2">
        <v>0</v>
      </c>
      <c r="AG731" s="2">
        <v>0</v>
      </c>
      <c r="AH731" s="2" t="s">
        <v>32</v>
      </c>
      <c r="AI731" s="2" t="s">
        <v>32</v>
      </c>
      <c r="AJ731" s="2" t="s">
        <v>32</v>
      </c>
      <c r="AK731" s="2" t="s">
        <v>32</v>
      </c>
      <c r="AL731" s="2" t="s">
        <v>32</v>
      </c>
      <c r="AM731" s="2">
        <v>0</v>
      </c>
      <c r="AN731" s="2" t="s">
        <v>32</v>
      </c>
      <c r="AO731" s="2">
        <v>0</v>
      </c>
      <c r="AP731" s="2" t="s">
        <v>32</v>
      </c>
      <c r="AQ731" s="2" t="s">
        <v>32</v>
      </c>
      <c r="AR731" s="2" t="s">
        <v>32</v>
      </c>
      <c r="AS731" s="2">
        <v>0</v>
      </c>
      <c r="AT731" s="2" t="s">
        <v>32</v>
      </c>
      <c r="AU731" s="2" t="s">
        <v>32</v>
      </c>
      <c r="AV731" s="2" t="s">
        <v>32</v>
      </c>
      <c r="AW731" s="2">
        <v>0</v>
      </c>
      <c r="AX731" s="2" t="s">
        <v>32</v>
      </c>
      <c r="AY731" s="2">
        <v>0</v>
      </c>
      <c r="AZ731" s="2" t="s">
        <v>1658</v>
      </c>
      <c r="BA731" s="2">
        <v>75</v>
      </c>
      <c r="BB731" s="2">
        <v>410</v>
      </c>
      <c r="BC731" s="2" t="s">
        <v>1658</v>
      </c>
      <c r="BD731" s="2">
        <v>75</v>
      </c>
      <c r="BE731" s="2" t="s">
        <v>1660</v>
      </c>
      <c r="BF731" s="2">
        <v>0</v>
      </c>
      <c r="BG731" s="2" t="s">
        <v>1660</v>
      </c>
      <c r="BH731" s="2">
        <v>0</v>
      </c>
      <c r="BI731" s="2" t="s">
        <v>32</v>
      </c>
      <c r="BJ731" s="2" t="s">
        <v>32</v>
      </c>
      <c r="BK731" s="2" t="s">
        <v>1660</v>
      </c>
      <c r="BL731" s="2">
        <v>0</v>
      </c>
      <c r="BM731" s="2" t="s">
        <v>32</v>
      </c>
      <c r="BN731" s="2" t="s">
        <v>32</v>
      </c>
      <c r="BO731" s="2" t="s">
        <v>1660</v>
      </c>
      <c r="BP731" s="2">
        <v>0</v>
      </c>
      <c r="BQ731" s="2" t="s">
        <v>1660</v>
      </c>
      <c r="BR731" s="2">
        <v>0</v>
      </c>
      <c r="BS731" s="2" t="s">
        <v>1658</v>
      </c>
      <c r="BT731" s="2">
        <v>6</v>
      </c>
      <c r="BU731" s="2">
        <v>30</v>
      </c>
      <c r="BV731" s="2" t="s">
        <v>1658</v>
      </c>
      <c r="BW731" s="2">
        <v>30</v>
      </c>
      <c r="BX731" s="2">
        <v>150</v>
      </c>
      <c r="BY731" s="2" t="s">
        <v>1807</v>
      </c>
      <c r="BZ731" s="2" t="b">
        <f>OR( (Dashboard[[#This Row],[ref_as_hh]]&gt;=1),(Dashboard[[#This Row],[ret_as_hh]] &gt;=1), (Dashboard[[#This Row],[idp_as_hh]]&gt;=1))</f>
        <v>0</v>
      </c>
      <c r="CA731" s="2">
        <f>Dashboard[[#This Row],[ret_hi_hh]]</f>
        <v>75</v>
      </c>
      <c r="CB731" s="2">
        <f>Dashboard[[#This Row],[idp_fa_hh]]+Dashboard[[#This Row],[ref_fa_hh]]+Dashboard[[#This Row],[ret_fa_hh]]</f>
        <v>248</v>
      </c>
      <c r="CC731" s="2">
        <f>Dashboard[[#This Row],[idp_loc_hh]]+Dashboard[[#This Row],[ref_loc_hh]]+Dashboard[[#This Row],[ret_loc_hh]]</f>
        <v>52</v>
      </c>
      <c r="CD731" s="2">
        <f>Dashboard[[#This Row],[idp_cc_hh]]+Dashboard[[#This Row],[ref_cc_hh]]+Dashboard[[#This Row],[ret_cc_hh]]</f>
        <v>0</v>
      </c>
      <c r="CE731" s="2">
        <f>Dashboard[[#This Row],[idp_as_hh]]+Dashboard[[#This Row],[ref_as_hh]]+Dashboard[[#This Row],[ret_as_hh]]</f>
        <v>0</v>
      </c>
      <c r="CF731" s="2">
        <f>Dashboard[[#This Row],[idp_al_hh]]+Dashboard[[#This Row],[ref_al_hh]]+Dashboard[[#This Row],[ret_al_hh]]</f>
        <v>0</v>
      </c>
    </row>
    <row r="732" spans="1:84" x14ac:dyDescent="0.25">
      <c r="A732" s="2">
        <v>180</v>
      </c>
      <c r="B732" s="2" t="s">
        <v>22</v>
      </c>
      <c r="C732" s="2" t="s">
        <v>23</v>
      </c>
      <c r="D732" s="2" t="s">
        <v>37</v>
      </c>
      <c r="E732" s="2" t="s">
        <v>36</v>
      </c>
      <c r="F732" s="2" t="s">
        <v>250</v>
      </c>
      <c r="G732" s="2" t="s">
        <v>249</v>
      </c>
      <c r="H732" s="2" t="s">
        <v>1472</v>
      </c>
      <c r="I732" s="2" t="s">
        <v>256</v>
      </c>
      <c r="J732" s="2" t="s">
        <v>3638</v>
      </c>
      <c r="K732" s="2" t="s">
        <v>3639</v>
      </c>
      <c r="L732" s="2" t="s">
        <v>2074</v>
      </c>
      <c r="M732" s="2">
        <v>1267</v>
      </c>
      <c r="N732" s="2" t="s">
        <v>1658</v>
      </c>
      <c r="O732" s="2">
        <v>89</v>
      </c>
      <c r="P732" s="2">
        <v>489</v>
      </c>
      <c r="Q732" s="2" t="s">
        <v>1658</v>
      </c>
      <c r="R732" s="2">
        <v>87</v>
      </c>
      <c r="S732" s="2" t="s">
        <v>1660</v>
      </c>
      <c r="T732" s="2">
        <v>0</v>
      </c>
      <c r="U732" s="2" t="s">
        <v>32</v>
      </c>
      <c r="V732" s="2" t="s">
        <v>32</v>
      </c>
      <c r="W732" s="2" t="s">
        <v>1660</v>
      </c>
      <c r="X732" s="2">
        <v>0</v>
      </c>
      <c r="Y732" s="2" t="s">
        <v>32</v>
      </c>
      <c r="Z732" s="2" t="s">
        <v>32</v>
      </c>
      <c r="AA732" s="2" t="s">
        <v>1658</v>
      </c>
      <c r="AB732" s="2">
        <v>2</v>
      </c>
      <c r="AC732" s="2" t="s">
        <v>1660</v>
      </c>
      <c r="AD732" s="2">
        <v>0</v>
      </c>
      <c r="AE732" s="2" t="s">
        <v>1658</v>
      </c>
      <c r="AF732" s="2">
        <v>18</v>
      </c>
      <c r="AG732" s="2">
        <v>100</v>
      </c>
      <c r="AH732" s="2" t="s">
        <v>1660</v>
      </c>
      <c r="AI732" s="2" t="s">
        <v>32</v>
      </c>
      <c r="AJ732" s="2" t="s">
        <v>32</v>
      </c>
      <c r="AK732" s="2" t="s">
        <v>32</v>
      </c>
      <c r="AL732" s="2" t="s">
        <v>1658</v>
      </c>
      <c r="AM732" s="2">
        <v>18</v>
      </c>
      <c r="AN732" s="2" t="s">
        <v>1660</v>
      </c>
      <c r="AO732" s="2">
        <v>0</v>
      </c>
      <c r="AP732" s="2" t="s">
        <v>32</v>
      </c>
      <c r="AQ732" s="2" t="s">
        <v>32</v>
      </c>
      <c r="AR732" s="2" t="s">
        <v>1660</v>
      </c>
      <c r="AS732" s="2">
        <v>0</v>
      </c>
      <c r="AT732" s="2" t="s">
        <v>32</v>
      </c>
      <c r="AU732" s="2" t="s">
        <v>32</v>
      </c>
      <c r="AV732" s="2" t="s">
        <v>1660</v>
      </c>
      <c r="AW732" s="2">
        <v>0</v>
      </c>
      <c r="AX732" s="2" t="s">
        <v>1660</v>
      </c>
      <c r="AY732" s="2">
        <v>0</v>
      </c>
      <c r="AZ732" s="2" t="s">
        <v>1658</v>
      </c>
      <c r="BA732" s="2">
        <v>17</v>
      </c>
      <c r="BB732" s="2">
        <v>102</v>
      </c>
      <c r="BC732" s="2" t="s">
        <v>1658</v>
      </c>
      <c r="BD732" s="2">
        <v>17</v>
      </c>
      <c r="BE732" s="2" t="s">
        <v>1660</v>
      </c>
      <c r="BF732" s="2">
        <v>0</v>
      </c>
      <c r="BG732" s="2" t="s">
        <v>1660</v>
      </c>
      <c r="BH732" s="2">
        <v>0</v>
      </c>
      <c r="BI732" s="2" t="s">
        <v>32</v>
      </c>
      <c r="BJ732" s="2" t="s">
        <v>32</v>
      </c>
      <c r="BK732" s="2" t="s">
        <v>1660</v>
      </c>
      <c r="BL732" s="2">
        <v>0</v>
      </c>
      <c r="BM732" s="2" t="s">
        <v>32</v>
      </c>
      <c r="BN732" s="2" t="s">
        <v>32</v>
      </c>
      <c r="BO732" s="2" t="s">
        <v>1660</v>
      </c>
      <c r="BP732" s="2">
        <v>0</v>
      </c>
      <c r="BQ732" s="2" t="s">
        <v>1660</v>
      </c>
      <c r="BR732" s="2">
        <v>0</v>
      </c>
      <c r="BS732" s="2" t="s">
        <v>1658</v>
      </c>
      <c r="BT732" s="2">
        <v>6</v>
      </c>
      <c r="BU732" s="2">
        <v>36</v>
      </c>
      <c r="BV732" s="2" t="s">
        <v>1660</v>
      </c>
      <c r="BW732" s="2"/>
      <c r="BX732" s="2"/>
      <c r="BY732" s="2" t="s">
        <v>1807</v>
      </c>
      <c r="BZ732" s="2" t="b">
        <f>OR( (Dashboard[[#This Row],[ref_as_hh]]&gt;=1),(Dashboard[[#This Row],[ret_as_hh]] &gt;=1), (Dashboard[[#This Row],[idp_as_hh]]&gt;=1))</f>
        <v>1</v>
      </c>
      <c r="CA732" s="2">
        <f>Dashboard[[#This Row],[ret_hi_hh]]</f>
        <v>17</v>
      </c>
      <c r="CB732" s="2">
        <f>Dashboard[[#This Row],[idp_fa_hh]]+Dashboard[[#This Row],[ref_fa_hh]]+Dashboard[[#This Row],[ret_fa_hh]]</f>
        <v>105</v>
      </c>
      <c r="CC732" s="2">
        <f>Dashboard[[#This Row],[idp_loc_hh]]+Dashboard[[#This Row],[ref_loc_hh]]+Dashboard[[#This Row],[ret_loc_hh]]</f>
        <v>0</v>
      </c>
      <c r="CD732" s="2">
        <f>Dashboard[[#This Row],[idp_cc_hh]]+Dashboard[[#This Row],[ref_cc_hh]]+Dashboard[[#This Row],[ret_cc_hh]]</f>
        <v>0</v>
      </c>
      <c r="CE732" s="2">
        <f>Dashboard[[#This Row],[idp_as_hh]]+Dashboard[[#This Row],[ref_as_hh]]+Dashboard[[#This Row],[ret_as_hh]]</f>
        <v>2</v>
      </c>
      <c r="CF732" s="2">
        <f>Dashboard[[#This Row],[idp_al_hh]]+Dashboard[[#This Row],[ref_al_hh]]+Dashboard[[#This Row],[ret_al_hh]]</f>
        <v>0</v>
      </c>
    </row>
    <row r="733" spans="1:84" x14ac:dyDescent="0.25">
      <c r="A733" s="2">
        <v>437</v>
      </c>
      <c r="B733" s="2" t="s">
        <v>22</v>
      </c>
      <c r="C733" s="2" t="s">
        <v>23</v>
      </c>
      <c r="D733" s="2" t="s">
        <v>37</v>
      </c>
      <c r="E733" s="2" t="s">
        <v>36</v>
      </c>
      <c r="F733" s="2" t="s">
        <v>250</v>
      </c>
      <c r="G733" s="2" t="s">
        <v>249</v>
      </c>
      <c r="H733" s="2" t="s">
        <v>1476</v>
      </c>
      <c r="I733" s="2" t="s">
        <v>260</v>
      </c>
      <c r="J733" s="2" t="s">
        <v>3646</v>
      </c>
      <c r="K733" s="2" t="s">
        <v>3647</v>
      </c>
      <c r="L733" s="2" t="s">
        <v>2074</v>
      </c>
      <c r="M733" s="2">
        <v>2820</v>
      </c>
      <c r="N733" s="2" t="s">
        <v>1658</v>
      </c>
      <c r="O733" s="2">
        <v>45</v>
      </c>
      <c r="P733" s="2">
        <v>225</v>
      </c>
      <c r="Q733" s="2" t="s">
        <v>1658</v>
      </c>
      <c r="R733" s="2">
        <v>34</v>
      </c>
      <c r="S733" s="2" t="s">
        <v>1660</v>
      </c>
      <c r="T733" s="2">
        <v>0</v>
      </c>
      <c r="U733" s="2" t="s">
        <v>32</v>
      </c>
      <c r="V733" s="2" t="s">
        <v>32</v>
      </c>
      <c r="W733" s="2" t="s">
        <v>1660</v>
      </c>
      <c r="X733" s="2">
        <v>0</v>
      </c>
      <c r="Y733" s="2" t="s">
        <v>32</v>
      </c>
      <c r="Z733" s="2" t="s">
        <v>32</v>
      </c>
      <c r="AA733" s="2" t="s">
        <v>1658</v>
      </c>
      <c r="AB733" s="2">
        <v>11</v>
      </c>
      <c r="AC733" s="2" t="s">
        <v>1660</v>
      </c>
      <c r="AD733" s="2">
        <v>0</v>
      </c>
      <c r="AE733" s="2" t="s">
        <v>1660</v>
      </c>
      <c r="AF733" s="2">
        <v>0</v>
      </c>
      <c r="AG733" s="2">
        <v>0</v>
      </c>
      <c r="AH733" s="2" t="s">
        <v>32</v>
      </c>
      <c r="AI733" s="2" t="s">
        <v>32</v>
      </c>
      <c r="AJ733" s="2" t="s">
        <v>32</v>
      </c>
      <c r="AK733" s="2" t="s">
        <v>32</v>
      </c>
      <c r="AL733" s="2" t="s">
        <v>32</v>
      </c>
      <c r="AM733" s="2">
        <v>0</v>
      </c>
      <c r="AN733" s="2" t="s">
        <v>32</v>
      </c>
      <c r="AO733" s="2">
        <v>0</v>
      </c>
      <c r="AP733" s="2" t="s">
        <v>32</v>
      </c>
      <c r="AQ733" s="2" t="s">
        <v>32</v>
      </c>
      <c r="AR733" s="2" t="s">
        <v>32</v>
      </c>
      <c r="AS733" s="2">
        <v>0</v>
      </c>
      <c r="AT733" s="2" t="s">
        <v>32</v>
      </c>
      <c r="AU733" s="2" t="s">
        <v>32</v>
      </c>
      <c r="AV733" s="2" t="s">
        <v>32</v>
      </c>
      <c r="AW733" s="2">
        <v>0</v>
      </c>
      <c r="AX733" s="2" t="s">
        <v>32</v>
      </c>
      <c r="AY733" s="2">
        <v>0</v>
      </c>
      <c r="AZ733" s="2" t="s">
        <v>1658</v>
      </c>
      <c r="BA733" s="2">
        <v>27</v>
      </c>
      <c r="BB733" s="2">
        <v>135</v>
      </c>
      <c r="BC733" s="2" t="s">
        <v>1658</v>
      </c>
      <c r="BD733" s="2">
        <v>26</v>
      </c>
      <c r="BE733" s="2" t="s">
        <v>1658</v>
      </c>
      <c r="BF733" s="2">
        <v>1</v>
      </c>
      <c r="BG733" s="2" t="s">
        <v>1660</v>
      </c>
      <c r="BH733" s="2">
        <v>0</v>
      </c>
      <c r="BI733" s="2" t="s">
        <v>32</v>
      </c>
      <c r="BJ733" s="2" t="s">
        <v>32</v>
      </c>
      <c r="BK733" s="2" t="s">
        <v>1660</v>
      </c>
      <c r="BL733" s="2">
        <v>0</v>
      </c>
      <c r="BM733" s="2" t="s">
        <v>32</v>
      </c>
      <c r="BN733" s="2" t="s">
        <v>32</v>
      </c>
      <c r="BO733" s="2" t="s">
        <v>1660</v>
      </c>
      <c r="BP733" s="2">
        <v>0</v>
      </c>
      <c r="BQ733" s="2" t="s">
        <v>1660</v>
      </c>
      <c r="BR733" s="2">
        <v>0</v>
      </c>
      <c r="BS733" s="2" t="s">
        <v>1658</v>
      </c>
      <c r="BT733" s="2">
        <v>9</v>
      </c>
      <c r="BU733" s="2">
        <v>45</v>
      </c>
      <c r="BV733" s="2" t="s">
        <v>1660</v>
      </c>
      <c r="BW733" s="2"/>
      <c r="BX733" s="2"/>
      <c r="BY733" s="2" t="s">
        <v>1807</v>
      </c>
      <c r="BZ733" s="2" t="b">
        <f>OR( (Dashboard[[#This Row],[ref_as_hh]]&gt;=1),(Dashboard[[#This Row],[ret_as_hh]] &gt;=1), (Dashboard[[#This Row],[idp_as_hh]]&gt;=1))</f>
        <v>1</v>
      </c>
      <c r="CA733" s="2">
        <f>Dashboard[[#This Row],[ret_hi_hh]]</f>
        <v>26</v>
      </c>
      <c r="CB733" s="2">
        <f>Dashboard[[#This Row],[idp_fa_hh]]+Dashboard[[#This Row],[ref_fa_hh]]+Dashboard[[#This Row],[ret_fa_hh]]</f>
        <v>35</v>
      </c>
      <c r="CC733" s="2">
        <f>Dashboard[[#This Row],[idp_loc_hh]]+Dashboard[[#This Row],[ref_loc_hh]]+Dashboard[[#This Row],[ret_loc_hh]]</f>
        <v>0</v>
      </c>
      <c r="CD733" s="2">
        <f>Dashboard[[#This Row],[idp_cc_hh]]+Dashboard[[#This Row],[ref_cc_hh]]+Dashboard[[#This Row],[ret_cc_hh]]</f>
        <v>0</v>
      </c>
      <c r="CE733" s="2">
        <f>Dashboard[[#This Row],[idp_as_hh]]+Dashboard[[#This Row],[ref_as_hh]]+Dashboard[[#This Row],[ret_as_hh]]</f>
        <v>11</v>
      </c>
      <c r="CF733" s="2">
        <f>Dashboard[[#This Row],[idp_al_hh]]+Dashboard[[#This Row],[ref_al_hh]]+Dashboard[[#This Row],[ret_al_hh]]</f>
        <v>0</v>
      </c>
    </row>
    <row r="734" spans="1:84" hidden="1" x14ac:dyDescent="0.25">
      <c r="A734" s="2">
        <v>438</v>
      </c>
      <c r="B734" s="2" t="s">
        <v>22</v>
      </c>
      <c r="C734" s="2" t="s">
        <v>23</v>
      </c>
      <c r="D734" s="2" t="s">
        <v>37</v>
      </c>
      <c r="E734" s="2" t="s">
        <v>36</v>
      </c>
      <c r="F734" s="2" t="s">
        <v>250</v>
      </c>
      <c r="G734" s="2" t="s">
        <v>249</v>
      </c>
      <c r="H734" s="2" t="s">
        <v>1470</v>
      </c>
      <c r="I734" s="2" t="s">
        <v>846</v>
      </c>
      <c r="J734" s="2" t="s">
        <v>3634</v>
      </c>
      <c r="K734" s="2" t="s">
        <v>3635</v>
      </c>
      <c r="L734" s="2" t="s">
        <v>2074</v>
      </c>
      <c r="M734" s="2">
        <v>6029</v>
      </c>
      <c r="N734" s="2" t="s">
        <v>1658</v>
      </c>
      <c r="O734" s="2">
        <v>48</v>
      </c>
      <c r="P734" s="2">
        <v>240</v>
      </c>
      <c r="Q734" s="2" t="s">
        <v>1658</v>
      </c>
      <c r="R734" s="2">
        <v>48</v>
      </c>
      <c r="S734" s="2" t="s">
        <v>1660</v>
      </c>
      <c r="T734" s="2">
        <v>0</v>
      </c>
      <c r="U734" s="2" t="s">
        <v>32</v>
      </c>
      <c r="V734" s="2" t="s">
        <v>32</v>
      </c>
      <c r="W734" s="2" t="s">
        <v>1660</v>
      </c>
      <c r="X734" s="2">
        <v>0</v>
      </c>
      <c r="Y734" s="2" t="s">
        <v>32</v>
      </c>
      <c r="Z734" s="2" t="s">
        <v>32</v>
      </c>
      <c r="AA734" s="2" t="s">
        <v>1660</v>
      </c>
      <c r="AB734" s="2">
        <v>0</v>
      </c>
      <c r="AC734" s="2" t="s">
        <v>1660</v>
      </c>
      <c r="AD734" s="2">
        <v>0</v>
      </c>
      <c r="AE734" s="2" t="s">
        <v>1660</v>
      </c>
      <c r="AF734" s="2">
        <v>0</v>
      </c>
      <c r="AG734" s="2">
        <v>0</v>
      </c>
      <c r="AH734" s="2" t="s">
        <v>32</v>
      </c>
      <c r="AI734" s="2" t="s">
        <v>32</v>
      </c>
      <c r="AJ734" s="2" t="s">
        <v>32</v>
      </c>
      <c r="AK734" s="2" t="s">
        <v>32</v>
      </c>
      <c r="AL734" s="2" t="s">
        <v>32</v>
      </c>
      <c r="AM734" s="2">
        <v>0</v>
      </c>
      <c r="AN734" s="2" t="s">
        <v>32</v>
      </c>
      <c r="AO734" s="2">
        <v>0</v>
      </c>
      <c r="AP734" s="2" t="s">
        <v>32</v>
      </c>
      <c r="AQ734" s="2" t="s">
        <v>32</v>
      </c>
      <c r="AR734" s="2" t="s">
        <v>32</v>
      </c>
      <c r="AS734" s="2">
        <v>0</v>
      </c>
      <c r="AT734" s="2" t="s">
        <v>32</v>
      </c>
      <c r="AU734" s="2" t="s">
        <v>32</v>
      </c>
      <c r="AV734" s="2" t="s">
        <v>32</v>
      </c>
      <c r="AW734" s="2">
        <v>0</v>
      </c>
      <c r="AX734" s="2" t="s">
        <v>32</v>
      </c>
      <c r="AY734" s="2">
        <v>0</v>
      </c>
      <c r="AZ734" s="2" t="s">
        <v>1658</v>
      </c>
      <c r="BA734" s="2">
        <v>56</v>
      </c>
      <c r="BB734" s="2">
        <v>286</v>
      </c>
      <c r="BC734" s="2" t="s">
        <v>1658</v>
      </c>
      <c r="BD734" s="2">
        <v>39</v>
      </c>
      <c r="BE734" s="2" t="s">
        <v>1658</v>
      </c>
      <c r="BF734" s="2">
        <v>17</v>
      </c>
      <c r="BG734" s="2" t="s">
        <v>1660</v>
      </c>
      <c r="BH734" s="2">
        <v>0</v>
      </c>
      <c r="BI734" s="2" t="s">
        <v>32</v>
      </c>
      <c r="BJ734" s="2" t="s">
        <v>32</v>
      </c>
      <c r="BK734" s="2" t="s">
        <v>1660</v>
      </c>
      <c r="BL734" s="2">
        <v>0</v>
      </c>
      <c r="BM734" s="2" t="s">
        <v>32</v>
      </c>
      <c r="BN734" s="2" t="s">
        <v>32</v>
      </c>
      <c r="BO734" s="2" t="s">
        <v>1660</v>
      </c>
      <c r="BP734" s="2">
        <v>0</v>
      </c>
      <c r="BQ734" s="2" t="s">
        <v>1660</v>
      </c>
      <c r="BR734" s="2">
        <v>0</v>
      </c>
      <c r="BS734" s="2" t="s">
        <v>1658</v>
      </c>
      <c r="BT734" s="2">
        <v>12</v>
      </c>
      <c r="BU734" s="2">
        <v>60</v>
      </c>
      <c r="BV734" s="2" t="s">
        <v>1660</v>
      </c>
      <c r="BW734" s="2"/>
      <c r="BX734" s="2"/>
      <c r="BY734" s="2" t="s">
        <v>1807</v>
      </c>
      <c r="BZ734" s="2" t="b">
        <f>OR( (Dashboard[[#This Row],[ref_as_hh]]&gt;=1),(Dashboard[[#This Row],[ret_as_hh]] &gt;=1), (Dashboard[[#This Row],[idp_as_hh]]&gt;=1))</f>
        <v>0</v>
      </c>
      <c r="CA734" s="2">
        <f>Dashboard[[#This Row],[ret_hi_hh]]</f>
        <v>39</v>
      </c>
      <c r="CB734" s="2">
        <f>Dashboard[[#This Row],[idp_fa_hh]]+Dashboard[[#This Row],[ref_fa_hh]]+Dashboard[[#This Row],[ret_fa_hh]]</f>
        <v>65</v>
      </c>
      <c r="CC734" s="2">
        <f>Dashboard[[#This Row],[idp_loc_hh]]+Dashboard[[#This Row],[ref_loc_hh]]+Dashboard[[#This Row],[ret_loc_hh]]</f>
        <v>0</v>
      </c>
      <c r="CD734" s="2">
        <f>Dashboard[[#This Row],[idp_cc_hh]]+Dashboard[[#This Row],[ref_cc_hh]]+Dashboard[[#This Row],[ret_cc_hh]]</f>
        <v>0</v>
      </c>
      <c r="CE734" s="2">
        <f>Dashboard[[#This Row],[idp_as_hh]]+Dashboard[[#This Row],[ref_as_hh]]+Dashboard[[#This Row],[ret_as_hh]]</f>
        <v>0</v>
      </c>
      <c r="CF734" s="2">
        <f>Dashboard[[#This Row],[idp_al_hh]]+Dashboard[[#This Row],[ref_al_hh]]+Dashboard[[#This Row],[ret_al_hh]]</f>
        <v>0</v>
      </c>
    </row>
    <row r="735" spans="1:84" hidden="1" x14ac:dyDescent="0.25">
      <c r="A735" s="2">
        <v>729</v>
      </c>
      <c r="B735" s="2" t="s">
        <v>22</v>
      </c>
      <c r="C735" s="2" t="s">
        <v>23</v>
      </c>
      <c r="D735" s="2" t="s">
        <v>37</v>
      </c>
      <c r="E735" s="2" t="s">
        <v>36</v>
      </c>
      <c r="F735" s="2" t="s">
        <v>250</v>
      </c>
      <c r="G735" s="2" t="s">
        <v>249</v>
      </c>
      <c r="H735" s="2" t="s">
        <v>2143</v>
      </c>
      <c r="I735" s="2" t="s">
        <v>2142</v>
      </c>
      <c r="J735" s="2" t="s">
        <v>3624</v>
      </c>
      <c r="K735" s="2" t="s">
        <v>3625</v>
      </c>
      <c r="L735" s="2" t="s">
        <v>3694</v>
      </c>
      <c r="M735" s="2">
        <v>5700</v>
      </c>
      <c r="N735" s="2" t="s">
        <v>1658</v>
      </c>
      <c r="O735" s="2">
        <v>287</v>
      </c>
      <c r="P735" s="2">
        <v>1957</v>
      </c>
      <c r="Q735" s="2" t="s">
        <v>32</v>
      </c>
      <c r="R735" s="2">
        <v>0</v>
      </c>
      <c r="S735" s="2" t="s">
        <v>1660</v>
      </c>
      <c r="T735" s="2">
        <v>0</v>
      </c>
      <c r="U735" s="2" t="s">
        <v>32</v>
      </c>
      <c r="V735" s="2" t="s">
        <v>32</v>
      </c>
      <c r="W735" s="2" t="s">
        <v>1658</v>
      </c>
      <c r="X735" s="2">
        <v>287</v>
      </c>
      <c r="Y735" s="2" t="s">
        <v>3710</v>
      </c>
      <c r="Z735" s="2" t="s">
        <v>32</v>
      </c>
      <c r="AA735" s="2" t="s">
        <v>1660</v>
      </c>
      <c r="AB735" s="2">
        <v>0</v>
      </c>
      <c r="AC735" s="2" t="s">
        <v>1660</v>
      </c>
      <c r="AD735" s="2">
        <v>0</v>
      </c>
      <c r="AE735" s="2" t="s">
        <v>1658</v>
      </c>
      <c r="AF735" s="2">
        <v>476</v>
      </c>
      <c r="AG735" s="2">
        <v>2748</v>
      </c>
      <c r="AH735" s="2" t="s">
        <v>1660</v>
      </c>
      <c r="AI735" s="2" t="s">
        <v>32</v>
      </c>
      <c r="AJ735" s="2" t="s">
        <v>32</v>
      </c>
      <c r="AK735" s="2" t="s">
        <v>32</v>
      </c>
      <c r="AL735" s="2" t="s">
        <v>32</v>
      </c>
      <c r="AM735" s="2">
        <v>0</v>
      </c>
      <c r="AN735" s="2" t="s">
        <v>1660</v>
      </c>
      <c r="AO735" s="2">
        <v>0</v>
      </c>
      <c r="AP735" s="2" t="s">
        <v>32</v>
      </c>
      <c r="AQ735" s="2" t="s">
        <v>32</v>
      </c>
      <c r="AR735" s="2" t="s">
        <v>1658</v>
      </c>
      <c r="AS735" s="2">
        <v>476</v>
      </c>
      <c r="AT735" s="2" t="s">
        <v>3710</v>
      </c>
      <c r="AU735" s="2" t="s">
        <v>32</v>
      </c>
      <c r="AV735" s="2" t="s">
        <v>1660</v>
      </c>
      <c r="AW735" s="2">
        <v>0</v>
      </c>
      <c r="AX735" s="2" t="s">
        <v>1660</v>
      </c>
      <c r="AY735" s="2">
        <v>0</v>
      </c>
      <c r="AZ735" s="2" t="s">
        <v>1658</v>
      </c>
      <c r="BA735" s="2">
        <v>90</v>
      </c>
      <c r="BB735" s="2">
        <v>580</v>
      </c>
      <c r="BC735" s="2" t="s">
        <v>1658</v>
      </c>
      <c r="BD735" s="2">
        <v>90</v>
      </c>
      <c r="BE735" s="2" t="s">
        <v>32</v>
      </c>
      <c r="BF735" s="2">
        <v>0</v>
      </c>
      <c r="BG735" s="2" t="s">
        <v>1660</v>
      </c>
      <c r="BH735" s="2">
        <v>0</v>
      </c>
      <c r="BI735" s="2" t="s">
        <v>32</v>
      </c>
      <c r="BJ735" s="2" t="s">
        <v>32</v>
      </c>
      <c r="BK735" s="2" t="s">
        <v>1660</v>
      </c>
      <c r="BL735" s="2">
        <v>0</v>
      </c>
      <c r="BM735" s="2" t="s">
        <v>32</v>
      </c>
      <c r="BN735" s="2" t="s">
        <v>32</v>
      </c>
      <c r="BO735" s="2" t="s">
        <v>1660</v>
      </c>
      <c r="BP735" s="2">
        <v>0</v>
      </c>
      <c r="BQ735" s="2" t="s">
        <v>1660</v>
      </c>
      <c r="BR735" s="2">
        <v>0</v>
      </c>
      <c r="BS735" s="2" t="s">
        <v>1658</v>
      </c>
      <c r="BT735" s="2">
        <v>360</v>
      </c>
      <c r="BU735" s="2">
        <v>2276</v>
      </c>
      <c r="BV735" s="2" t="s">
        <v>1660</v>
      </c>
      <c r="BW735" s="2"/>
      <c r="BX735" s="2"/>
      <c r="BY735" s="2" t="s">
        <v>1810</v>
      </c>
      <c r="BZ735" s="2" t="b">
        <f>OR( (Dashboard[[#This Row],[ref_as_hh]]&gt;=1),(Dashboard[[#This Row],[ret_as_hh]] &gt;=1), (Dashboard[[#This Row],[idp_as_hh]]&gt;=1))</f>
        <v>0</v>
      </c>
      <c r="CA735" s="2">
        <f>Dashboard[[#This Row],[ret_hi_hh]]</f>
        <v>90</v>
      </c>
      <c r="CB735" s="2">
        <f>Dashboard[[#This Row],[idp_fa_hh]]+Dashboard[[#This Row],[ref_fa_hh]]+Dashboard[[#This Row],[ret_fa_hh]]</f>
        <v>0</v>
      </c>
      <c r="CC735" s="2">
        <f>Dashboard[[#This Row],[idp_loc_hh]]+Dashboard[[#This Row],[ref_loc_hh]]+Dashboard[[#This Row],[ret_loc_hh]]</f>
        <v>0</v>
      </c>
      <c r="CD735" s="2">
        <f>Dashboard[[#This Row],[idp_cc_hh]]+Dashboard[[#This Row],[ref_cc_hh]]+Dashboard[[#This Row],[ret_cc_hh]]</f>
        <v>763</v>
      </c>
      <c r="CE735" s="2">
        <f>Dashboard[[#This Row],[idp_as_hh]]+Dashboard[[#This Row],[ref_as_hh]]+Dashboard[[#This Row],[ret_as_hh]]</f>
        <v>0</v>
      </c>
      <c r="CF735" s="2">
        <f>Dashboard[[#This Row],[idp_al_hh]]+Dashboard[[#This Row],[ref_al_hh]]+Dashboard[[#This Row],[ret_al_hh]]</f>
        <v>0</v>
      </c>
    </row>
    <row r="736" spans="1:84" hidden="1" x14ac:dyDescent="0.25">
      <c r="A736" s="2">
        <v>76</v>
      </c>
      <c r="B736" s="2" t="s">
        <v>22</v>
      </c>
      <c r="C736" s="2" t="s">
        <v>23</v>
      </c>
      <c r="D736" s="2" t="s">
        <v>37</v>
      </c>
      <c r="E736" s="2" t="s">
        <v>36</v>
      </c>
      <c r="F736" s="2" t="s">
        <v>608</v>
      </c>
      <c r="G736" s="2" t="s">
        <v>609</v>
      </c>
      <c r="H736" s="2" t="s">
        <v>1489</v>
      </c>
      <c r="I736" s="2" t="s">
        <v>2144</v>
      </c>
      <c r="J736" s="2" t="s">
        <v>3676</v>
      </c>
      <c r="K736" s="2" t="s">
        <v>3677</v>
      </c>
      <c r="L736" s="2" t="s">
        <v>2075</v>
      </c>
      <c r="M736" s="2">
        <v>1870</v>
      </c>
      <c r="N736" s="2" t="s">
        <v>1658</v>
      </c>
      <c r="O736" s="2">
        <v>40</v>
      </c>
      <c r="P736" s="2">
        <v>167</v>
      </c>
      <c r="Q736" s="2" t="s">
        <v>1658</v>
      </c>
      <c r="R736" s="2">
        <v>40</v>
      </c>
      <c r="S736" s="2" t="s">
        <v>1660</v>
      </c>
      <c r="T736" s="2">
        <v>0</v>
      </c>
      <c r="U736" s="2" t="s">
        <v>32</v>
      </c>
      <c r="V736" s="2" t="s">
        <v>32</v>
      </c>
      <c r="W736" s="2" t="s">
        <v>1660</v>
      </c>
      <c r="X736" s="2">
        <v>0</v>
      </c>
      <c r="Y736" s="2" t="s">
        <v>32</v>
      </c>
      <c r="Z736" s="2" t="s">
        <v>32</v>
      </c>
      <c r="AA736" s="2" t="s">
        <v>1660</v>
      </c>
      <c r="AB736" s="2">
        <v>0</v>
      </c>
      <c r="AC736" s="2" t="s">
        <v>1660</v>
      </c>
      <c r="AD736" s="2">
        <v>0</v>
      </c>
      <c r="AE736" s="2" t="s">
        <v>1660</v>
      </c>
      <c r="AF736" s="2">
        <v>0</v>
      </c>
      <c r="AG736" s="2">
        <v>0</v>
      </c>
      <c r="AH736" s="2" t="s">
        <v>32</v>
      </c>
      <c r="AI736" s="2" t="s">
        <v>32</v>
      </c>
      <c r="AJ736" s="2" t="s">
        <v>32</v>
      </c>
      <c r="AK736" s="2" t="s">
        <v>32</v>
      </c>
      <c r="AL736" s="2" t="s">
        <v>32</v>
      </c>
      <c r="AM736" s="2">
        <v>0</v>
      </c>
      <c r="AN736" s="2" t="s">
        <v>32</v>
      </c>
      <c r="AO736" s="2">
        <v>0</v>
      </c>
      <c r="AP736" s="2" t="s">
        <v>32</v>
      </c>
      <c r="AQ736" s="2" t="s">
        <v>32</v>
      </c>
      <c r="AR736" s="2" t="s">
        <v>32</v>
      </c>
      <c r="AS736" s="2">
        <v>0</v>
      </c>
      <c r="AT736" s="2" t="s">
        <v>32</v>
      </c>
      <c r="AU736" s="2" t="s">
        <v>32</v>
      </c>
      <c r="AV736" s="2" t="s">
        <v>32</v>
      </c>
      <c r="AW736" s="2">
        <v>0</v>
      </c>
      <c r="AX736" s="2" t="s">
        <v>32</v>
      </c>
      <c r="AY736" s="2">
        <v>0</v>
      </c>
      <c r="AZ736" s="2" t="s">
        <v>1658</v>
      </c>
      <c r="BA736" s="2">
        <v>6</v>
      </c>
      <c r="BB736" s="2">
        <v>30</v>
      </c>
      <c r="BC736" s="2" t="s">
        <v>1658</v>
      </c>
      <c r="BD736" s="2">
        <v>6</v>
      </c>
      <c r="BE736" s="2" t="s">
        <v>1660</v>
      </c>
      <c r="BF736" s="2">
        <v>0</v>
      </c>
      <c r="BG736" s="2" t="s">
        <v>1660</v>
      </c>
      <c r="BH736" s="2">
        <v>0</v>
      </c>
      <c r="BI736" s="2" t="s">
        <v>32</v>
      </c>
      <c r="BJ736" s="2" t="s">
        <v>32</v>
      </c>
      <c r="BK736" s="2" t="s">
        <v>1660</v>
      </c>
      <c r="BL736" s="2">
        <v>0</v>
      </c>
      <c r="BM736" s="2" t="s">
        <v>32</v>
      </c>
      <c r="BN736" s="2" t="s">
        <v>32</v>
      </c>
      <c r="BO736" s="2" t="s">
        <v>1660</v>
      </c>
      <c r="BP736" s="2">
        <v>0</v>
      </c>
      <c r="BQ736" s="2" t="s">
        <v>1660</v>
      </c>
      <c r="BR736" s="2">
        <v>0</v>
      </c>
      <c r="BS736" s="2" t="s">
        <v>1660</v>
      </c>
      <c r="BT736" s="2">
        <v>0</v>
      </c>
      <c r="BU736" s="2">
        <v>0</v>
      </c>
      <c r="BV736" s="2" t="s">
        <v>1660</v>
      </c>
      <c r="BW736" s="2"/>
      <c r="BX736" s="2"/>
      <c r="BY736" s="2" t="s">
        <v>1807</v>
      </c>
      <c r="BZ736" s="2" t="b">
        <f>OR( (Dashboard[[#This Row],[ref_as_hh]]&gt;=1),(Dashboard[[#This Row],[ret_as_hh]] &gt;=1), (Dashboard[[#This Row],[idp_as_hh]]&gt;=1))</f>
        <v>0</v>
      </c>
      <c r="CA736" s="2">
        <f>Dashboard[[#This Row],[ret_hi_hh]]</f>
        <v>6</v>
      </c>
      <c r="CB736" s="2">
        <f>Dashboard[[#This Row],[idp_fa_hh]]+Dashboard[[#This Row],[ref_fa_hh]]+Dashboard[[#This Row],[ret_fa_hh]]</f>
        <v>40</v>
      </c>
      <c r="CC736" s="2">
        <f>Dashboard[[#This Row],[idp_loc_hh]]+Dashboard[[#This Row],[ref_loc_hh]]+Dashboard[[#This Row],[ret_loc_hh]]</f>
        <v>0</v>
      </c>
      <c r="CD736" s="2">
        <f>Dashboard[[#This Row],[idp_cc_hh]]+Dashboard[[#This Row],[ref_cc_hh]]+Dashboard[[#This Row],[ret_cc_hh]]</f>
        <v>0</v>
      </c>
      <c r="CE736" s="2">
        <f>Dashboard[[#This Row],[idp_as_hh]]+Dashboard[[#This Row],[ref_as_hh]]+Dashboard[[#This Row],[ret_as_hh]]</f>
        <v>0</v>
      </c>
      <c r="CF736" s="2">
        <f>Dashboard[[#This Row],[idp_al_hh]]+Dashboard[[#This Row],[ref_al_hh]]+Dashboard[[#This Row],[ret_al_hh]]</f>
        <v>0</v>
      </c>
    </row>
    <row r="737" spans="1:84" hidden="1" x14ac:dyDescent="0.25">
      <c r="A737" s="2">
        <v>596</v>
      </c>
      <c r="B737" s="2" t="s">
        <v>22</v>
      </c>
      <c r="C737" s="2" t="s">
        <v>23</v>
      </c>
      <c r="D737" s="2" t="s">
        <v>37</v>
      </c>
      <c r="E737" s="2" t="s">
        <v>36</v>
      </c>
      <c r="F737" s="2" t="s">
        <v>608</v>
      </c>
      <c r="G737" s="2" t="s">
        <v>609</v>
      </c>
      <c r="H737" s="2" t="s">
        <v>1493</v>
      </c>
      <c r="I737" s="2" t="s">
        <v>613</v>
      </c>
      <c r="J737" s="2" t="s">
        <v>3684</v>
      </c>
      <c r="K737" s="2" t="s">
        <v>3685</v>
      </c>
      <c r="L737" s="2" t="s">
        <v>3694</v>
      </c>
      <c r="M737" s="2">
        <v>1830</v>
      </c>
      <c r="N737" s="2" t="s">
        <v>1658</v>
      </c>
      <c r="O737" s="2">
        <v>11</v>
      </c>
      <c r="P737" s="2">
        <v>52</v>
      </c>
      <c r="Q737" s="2" t="s">
        <v>1658</v>
      </c>
      <c r="R737" s="2">
        <v>11</v>
      </c>
      <c r="S737" s="2" t="s">
        <v>1660</v>
      </c>
      <c r="T737" s="2">
        <v>0</v>
      </c>
      <c r="U737" s="2" t="s">
        <v>32</v>
      </c>
      <c r="V737" s="2" t="s">
        <v>32</v>
      </c>
      <c r="W737" s="2" t="s">
        <v>1660</v>
      </c>
      <c r="X737" s="2">
        <v>0</v>
      </c>
      <c r="Y737" s="2" t="s">
        <v>32</v>
      </c>
      <c r="Z737" s="2" t="s">
        <v>32</v>
      </c>
      <c r="AA737" s="2" t="s">
        <v>1660</v>
      </c>
      <c r="AB737" s="2">
        <v>0</v>
      </c>
      <c r="AC737" s="2" t="s">
        <v>1660</v>
      </c>
      <c r="AD737" s="2">
        <v>0</v>
      </c>
      <c r="AE737" s="2" t="s">
        <v>1660</v>
      </c>
      <c r="AF737" s="2">
        <v>0</v>
      </c>
      <c r="AG737" s="2">
        <v>0</v>
      </c>
      <c r="AH737" s="2" t="s">
        <v>32</v>
      </c>
      <c r="AI737" s="2" t="s">
        <v>32</v>
      </c>
      <c r="AJ737" s="2" t="s">
        <v>32</v>
      </c>
      <c r="AK737" s="2" t="s">
        <v>32</v>
      </c>
      <c r="AL737" s="2" t="s">
        <v>32</v>
      </c>
      <c r="AM737" s="2">
        <v>0</v>
      </c>
      <c r="AN737" s="2" t="s">
        <v>32</v>
      </c>
      <c r="AO737" s="2">
        <v>0</v>
      </c>
      <c r="AP737" s="2" t="s">
        <v>32</v>
      </c>
      <c r="AQ737" s="2" t="s">
        <v>32</v>
      </c>
      <c r="AR737" s="2" t="s">
        <v>32</v>
      </c>
      <c r="AS737" s="2">
        <v>0</v>
      </c>
      <c r="AT737" s="2" t="s">
        <v>32</v>
      </c>
      <c r="AU737" s="2" t="s">
        <v>32</v>
      </c>
      <c r="AV737" s="2" t="s">
        <v>32</v>
      </c>
      <c r="AW737" s="2">
        <v>0</v>
      </c>
      <c r="AX737" s="2" t="s">
        <v>32</v>
      </c>
      <c r="AY737" s="2">
        <v>0</v>
      </c>
      <c r="AZ737" s="2" t="s">
        <v>1658</v>
      </c>
      <c r="BA737" s="2">
        <v>4</v>
      </c>
      <c r="BB737" s="2">
        <v>17</v>
      </c>
      <c r="BC737" s="2" t="s">
        <v>1658</v>
      </c>
      <c r="BD737" s="2">
        <v>4</v>
      </c>
      <c r="BE737" s="2" t="s">
        <v>1660</v>
      </c>
      <c r="BF737" s="2">
        <v>0</v>
      </c>
      <c r="BG737" s="2" t="s">
        <v>1660</v>
      </c>
      <c r="BH737" s="2">
        <v>0</v>
      </c>
      <c r="BI737" s="2" t="s">
        <v>32</v>
      </c>
      <c r="BJ737" s="2" t="s">
        <v>32</v>
      </c>
      <c r="BK737" s="2" t="s">
        <v>1660</v>
      </c>
      <c r="BL737" s="2">
        <v>0</v>
      </c>
      <c r="BM737" s="2" t="s">
        <v>32</v>
      </c>
      <c r="BN737" s="2" t="s">
        <v>32</v>
      </c>
      <c r="BO737" s="2" t="s">
        <v>1660</v>
      </c>
      <c r="BP737" s="2">
        <v>0</v>
      </c>
      <c r="BQ737" s="2" t="s">
        <v>1660</v>
      </c>
      <c r="BR737" s="2">
        <v>0</v>
      </c>
      <c r="BS737" s="2" t="s">
        <v>1660</v>
      </c>
      <c r="BT737" s="2">
        <v>0</v>
      </c>
      <c r="BU737" s="2">
        <v>0</v>
      </c>
      <c r="BV737" s="2" t="s">
        <v>1660</v>
      </c>
      <c r="BW737" s="2"/>
      <c r="BX737" s="2"/>
      <c r="BY737" s="2" t="s">
        <v>1807</v>
      </c>
      <c r="BZ737" s="2" t="b">
        <f>OR( (Dashboard[[#This Row],[ref_as_hh]]&gt;=1),(Dashboard[[#This Row],[ret_as_hh]] &gt;=1), (Dashboard[[#This Row],[idp_as_hh]]&gt;=1))</f>
        <v>0</v>
      </c>
      <c r="CA737" s="2">
        <f>Dashboard[[#This Row],[ret_hi_hh]]</f>
        <v>4</v>
      </c>
      <c r="CB737" s="2">
        <f>Dashboard[[#This Row],[idp_fa_hh]]+Dashboard[[#This Row],[ref_fa_hh]]+Dashboard[[#This Row],[ret_fa_hh]]</f>
        <v>11</v>
      </c>
      <c r="CC737" s="2">
        <f>Dashboard[[#This Row],[idp_loc_hh]]+Dashboard[[#This Row],[ref_loc_hh]]+Dashboard[[#This Row],[ret_loc_hh]]</f>
        <v>0</v>
      </c>
      <c r="CD737" s="2">
        <f>Dashboard[[#This Row],[idp_cc_hh]]+Dashboard[[#This Row],[ref_cc_hh]]+Dashboard[[#This Row],[ret_cc_hh]]</f>
        <v>0</v>
      </c>
      <c r="CE737" s="2">
        <f>Dashboard[[#This Row],[idp_as_hh]]+Dashboard[[#This Row],[ref_as_hh]]+Dashboard[[#This Row],[ret_as_hh]]</f>
        <v>0</v>
      </c>
      <c r="CF737" s="2">
        <f>Dashboard[[#This Row],[idp_al_hh]]+Dashboard[[#This Row],[ref_al_hh]]+Dashboard[[#This Row],[ret_al_hh]]</f>
        <v>0</v>
      </c>
    </row>
    <row r="738" spans="1:84" hidden="1" x14ac:dyDescent="0.25">
      <c r="A738" s="2">
        <v>662</v>
      </c>
      <c r="B738" s="2" t="s">
        <v>22</v>
      </c>
      <c r="C738" s="2" t="s">
        <v>23</v>
      </c>
      <c r="D738" s="2" t="s">
        <v>37</v>
      </c>
      <c r="E738" s="2" t="s">
        <v>36</v>
      </c>
      <c r="F738" s="2" t="s">
        <v>608</v>
      </c>
      <c r="G738" s="2" t="s">
        <v>609</v>
      </c>
      <c r="H738" s="2" t="s">
        <v>1490</v>
      </c>
      <c r="I738" s="2" t="s">
        <v>610</v>
      </c>
      <c r="J738" s="2" t="s">
        <v>3678</v>
      </c>
      <c r="K738" s="2" t="s">
        <v>3679</v>
      </c>
      <c r="L738" s="2" t="s">
        <v>3695</v>
      </c>
      <c r="M738" s="2">
        <v>2300</v>
      </c>
      <c r="N738" s="2" t="s">
        <v>1658</v>
      </c>
      <c r="O738" s="2">
        <v>17</v>
      </c>
      <c r="P738" s="2">
        <v>53</v>
      </c>
      <c r="Q738" s="2" t="s">
        <v>1658</v>
      </c>
      <c r="R738" s="2">
        <v>17</v>
      </c>
      <c r="S738" s="2" t="s">
        <v>1660</v>
      </c>
      <c r="T738" s="2">
        <v>0</v>
      </c>
      <c r="U738" s="2" t="s">
        <v>32</v>
      </c>
      <c r="V738" s="2" t="s">
        <v>32</v>
      </c>
      <c r="W738" s="2" t="s">
        <v>1660</v>
      </c>
      <c r="X738" s="2">
        <v>0</v>
      </c>
      <c r="Y738" s="2" t="s">
        <v>32</v>
      </c>
      <c r="Z738" s="2" t="s">
        <v>32</v>
      </c>
      <c r="AA738" s="2" t="s">
        <v>1660</v>
      </c>
      <c r="AB738" s="2">
        <v>0</v>
      </c>
      <c r="AC738" s="2" t="s">
        <v>1660</v>
      </c>
      <c r="AD738" s="2">
        <v>0</v>
      </c>
      <c r="AE738" s="2" t="s">
        <v>1660</v>
      </c>
      <c r="AF738" s="2">
        <v>0</v>
      </c>
      <c r="AG738" s="2">
        <v>0</v>
      </c>
      <c r="AH738" s="2" t="s">
        <v>32</v>
      </c>
      <c r="AI738" s="2" t="s">
        <v>32</v>
      </c>
      <c r="AJ738" s="2" t="s">
        <v>32</v>
      </c>
      <c r="AK738" s="2" t="s">
        <v>32</v>
      </c>
      <c r="AL738" s="2" t="s">
        <v>32</v>
      </c>
      <c r="AM738" s="2">
        <v>0</v>
      </c>
      <c r="AN738" s="2" t="s">
        <v>32</v>
      </c>
      <c r="AO738" s="2">
        <v>0</v>
      </c>
      <c r="AP738" s="2" t="s">
        <v>32</v>
      </c>
      <c r="AQ738" s="2" t="s">
        <v>32</v>
      </c>
      <c r="AR738" s="2" t="s">
        <v>32</v>
      </c>
      <c r="AS738" s="2">
        <v>0</v>
      </c>
      <c r="AT738" s="2" t="s">
        <v>32</v>
      </c>
      <c r="AU738" s="2" t="s">
        <v>32</v>
      </c>
      <c r="AV738" s="2" t="s">
        <v>32</v>
      </c>
      <c r="AW738" s="2">
        <v>0</v>
      </c>
      <c r="AX738" s="2" t="s">
        <v>32</v>
      </c>
      <c r="AY738" s="2">
        <v>0</v>
      </c>
      <c r="AZ738" s="2" t="s">
        <v>1658</v>
      </c>
      <c r="BA738" s="2">
        <v>5</v>
      </c>
      <c r="BB738" s="2">
        <v>22</v>
      </c>
      <c r="BC738" s="2" t="s">
        <v>1658</v>
      </c>
      <c r="BD738" s="2">
        <v>5</v>
      </c>
      <c r="BE738" s="2" t="s">
        <v>1660</v>
      </c>
      <c r="BF738" s="2">
        <v>0</v>
      </c>
      <c r="BG738" s="2" t="s">
        <v>1660</v>
      </c>
      <c r="BH738" s="2">
        <v>0</v>
      </c>
      <c r="BI738" s="2" t="s">
        <v>32</v>
      </c>
      <c r="BJ738" s="2" t="s">
        <v>32</v>
      </c>
      <c r="BK738" s="2" t="s">
        <v>1660</v>
      </c>
      <c r="BL738" s="2">
        <v>0</v>
      </c>
      <c r="BM738" s="2" t="s">
        <v>32</v>
      </c>
      <c r="BN738" s="2" t="s">
        <v>32</v>
      </c>
      <c r="BO738" s="2" t="s">
        <v>1660</v>
      </c>
      <c r="BP738" s="2">
        <v>0</v>
      </c>
      <c r="BQ738" s="2" t="s">
        <v>1660</v>
      </c>
      <c r="BR738" s="2">
        <v>0</v>
      </c>
      <c r="BS738" s="2" t="s">
        <v>1660</v>
      </c>
      <c r="BT738" s="2">
        <v>0</v>
      </c>
      <c r="BU738" s="2">
        <v>0</v>
      </c>
      <c r="BV738" s="2" t="s">
        <v>1660</v>
      </c>
      <c r="BW738" s="2"/>
      <c r="BX738" s="2"/>
      <c r="BY738" s="2" t="s">
        <v>1807</v>
      </c>
      <c r="BZ738" s="2" t="b">
        <f>OR( (Dashboard[[#This Row],[ref_as_hh]]&gt;=1),(Dashboard[[#This Row],[ret_as_hh]] &gt;=1), (Dashboard[[#This Row],[idp_as_hh]]&gt;=1))</f>
        <v>0</v>
      </c>
      <c r="CA738" s="2">
        <f>Dashboard[[#This Row],[ret_hi_hh]]</f>
        <v>5</v>
      </c>
      <c r="CB738" s="2">
        <f>Dashboard[[#This Row],[idp_fa_hh]]+Dashboard[[#This Row],[ref_fa_hh]]+Dashboard[[#This Row],[ret_fa_hh]]</f>
        <v>17</v>
      </c>
      <c r="CC738" s="2">
        <f>Dashboard[[#This Row],[idp_loc_hh]]+Dashboard[[#This Row],[ref_loc_hh]]+Dashboard[[#This Row],[ret_loc_hh]]</f>
        <v>0</v>
      </c>
      <c r="CD738" s="2">
        <f>Dashboard[[#This Row],[idp_cc_hh]]+Dashboard[[#This Row],[ref_cc_hh]]+Dashboard[[#This Row],[ret_cc_hh]]</f>
        <v>0</v>
      </c>
      <c r="CE738" s="2">
        <f>Dashboard[[#This Row],[idp_as_hh]]+Dashboard[[#This Row],[ref_as_hh]]+Dashboard[[#This Row],[ret_as_hh]]</f>
        <v>0</v>
      </c>
      <c r="CF738" s="2">
        <f>Dashboard[[#This Row],[idp_al_hh]]+Dashboard[[#This Row],[ref_al_hh]]+Dashboard[[#This Row],[ret_al_hh]]</f>
        <v>0</v>
      </c>
    </row>
    <row r="739" spans="1:84" hidden="1" x14ac:dyDescent="0.25">
      <c r="A739" s="2">
        <v>663</v>
      </c>
      <c r="B739" s="2" t="s">
        <v>22</v>
      </c>
      <c r="C739" s="2" t="s">
        <v>23</v>
      </c>
      <c r="D739" s="2" t="s">
        <v>37</v>
      </c>
      <c r="E739" s="2" t="s">
        <v>36</v>
      </c>
      <c r="F739" s="2" t="s">
        <v>608</v>
      </c>
      <c r="G739" s="2" t="s">
        <v>609</v>
      </c>
      <c r="H739" s="2" t="s">
        <v>1491</v>
      </c>
      <c r="I739" s="2" t="s">
        <v>611</v>
      </c>
      <c r="J739" s="2" t="s">
        <v>3680</v>
      </c>
      <c r="K739" s="2" t="s">
        <v>3681</v>
      </c>
      <c r="L739" s="2" t="s">
        <v>3693</v>
      </c>
      <c r="M739" s="2">
        <v>1980</v>
      </c>
      <c r="N739" s="2" t="s">
        <v>1660</v>
      </c>
      <c r="O739" s="2">
        <v>0</v>
      </c>
      <c r="P739" s="2">
        <v>0</v>
      </c>
      <c r="Q739" s="2" t="s">
        <v>32</v>
      </c>
      <c r="R739" s="2">
        <v>0</v>
      </c>
      <c r="S739" s="2" t="s">
        <v>32</v>
      </c>
      <c r="T739" s="2">
        <v>0</v>
      </c>
      <c r="U739" s="2" t="s">
        <v>32</v>
      </c>
      <c r="V739" s="2" t="s">
        <v>32</v>
      </c>
      <c r="W739" s="2" t="s">
        <v>32</v>
      </c>
      <c r="X739" s="2">
        <v>0</v>
      </c>
      <c r="Y739" s="2" t="s">
        <v>32</v>
      </c>
      <c r="Z739" s="2" t="s">
        <v>32</v>
      </c>
      <c r="AA739" s="2" t="s">
        <v>32</v>
      </c>
      <c r="AB739" s="2">
        <v>0</v>
      </c>
      <c r="AC739" s="2" t="s">
        <v>32</v>
      </c>
      <c r="AD739" s="2">
        <v>0</v>
      </c>
      <c r="AE739" s="2" t="s">
        <v>1660</v>
      </c>
      <c r="AF739" s="2">
        <v>0</v>
      </c>
      <c r="AG739" s="2">
        <v>0</v>
      </c>
      <c r="AH739" s="2" t="s">
        <v>32</v>
      </c>
      <c r="AI739" s="2" t="s">
        <v>32</v>
      </c>
      <c r="AJ739" s="2" t="s">
        <v>32</v>
      </c>
      <c r="AK739" s="2" t="s">
        <v>32</v>
      </c>
      <c r="AL739" s="2" t="s">
        <v>32</v>
      </c>
      <c r="AM739" s="2">
        <v>0</v>
      </c>
      <c r="AN739" s="2" t="s">
        <v>32</v>
      </c>
      <c r="AO739" s="2">
        <v>0</v>
      </c>
      <c r="AP739" s="2" t="s">
        <v>32</v>
      </c>
      <c r="AQ739" s="2" t="s">
        <v>32</v>
      </c>
      <c r="AR739" s="2" t="s">
        <v>32</v>
      </c>
      <c r="AS739" s="2">
        <v>0</v>
      </c>
      <c r="AT739" s="2" t="s">
        <v>32</v>
      </c>
      <c r="AU739" s="2" t="s">
        <v>32</v>
      </c>
      <c r="AV739" s="2" t="s">
        <v>32</v>
      </c>
      <c r="AW739" s="2">
        <v>0</v>
      </c>
      <c r="AX739" s="2" t="s">
        <v>32</v>
      </c>
      <c r="AY739" s="2">
        <v>0</v>
      </c>
      <c r="AZ739" s="2" t="s">
        <v>1660</v>
      </c>
      <c r="BA739" s="2">
        <v>0</v>
      </c>
      <c r="BB739" s="2">
        <v>0</v>
      </c>
      <c r="BC739" s="2" t="s">
        <v>32</v>
      </c>
      <c r="BD739" s="2">
        <v>0</v>
      </c>
      <c r="BE739" s="2" t="s">
        <v>32</v>
      </c>
      <c r="BF739" s="2">
        <v>0</v>
      </c>
      <c r="BG739" s="2" t="s">
        <v>32</v>
      </c>
      <c r="BH739" s="2">
        <v>0</v>
      </c>
      <c r="BI739" s="2" t="s">
        <v>32</v>
      </c>
      <c r="BJ739" s="2" t="s">
        <v>32</v>
      </c>
      <c r="BK739" s="2" t="s">
        <v>32</v>
      </c>
      <c r="BL739" s="2">
        <v>0</v>
      </c>
      <c r="BM739" s="2" t="s">
        <v>32</v>
      </c>
      <c r="BN739" s="2" t="s">
        <v>32</v>
      </c>
      <c r="BO739" s="2" t="s">
        <v>32</v>
      </c>
      <c r="BP739" s="2">
        <v>0</v>
      </c>
      <c r="BQ739" s="2" t="s">
        <v>32</v>
      </c>
      <c r="BR739" s="2">
        <v>0</v>
      </c>
      <c r="BS739" s="2" t="s">
        <v>1660</v>
      </c>
      <c r="BT739" s="2">
        <v>0</v>
      </c>
      <c r="BU739" s="2">
        <v>0</v>
      </c>
      <c r="BV739" s="2" t="s">
        <v>1660</v>
      </c>
      <c r="BW739" s="2"/>
      <c r="BX739" s="2"/>
      <c r="BY739" s="2" t="s">
        <v>1807</v>
      </c>
      <c r="BZ739" s="2" t="b">
        <f>OR( (Dashboard[[#This Row],[ref_as_hh]]&gt;=1),(Dashboard[[#This Row],[ret_as_hh]] &gt;=1), (Dashboard[[#This Row],[idp_as_hh]]&gt;=1))</f>
        <v>0</v>
      </c>
      <c r="CA739" s="2">
        <f>Dashboard[[#This Row],[ret_hi_hh]]</f>
        <v>0</v>
      </c>
      <c r="CB739" s="2">
        <f>Dashboard[[#This Row],[idp_fa_hh]]+Dashboard[[#This Row],[ref_fa_hh]]+Dashboard[[#This Row],[ret_fa_hh]]</f>
        <v>0</v>
      </c>
      <c r="CC739" s="2">
        <f>Dashboard[[#This Row],[idp_loc_hh]]+Dashboard[[#This Row],[ref_loc_hh]]+Dashboard[[#This Row],[ret_loc_hh]]</f>
        <v>0</v>
      </c>
      <c r="CD739" s="2">
        <f>Dashboard[[#This Row],[idp_cc_hh]]+Dashboard[[#This Row],[ref_cc_hh]]+Dashboard[[#This Row],[ret_cc_hh]]</f>
        <v>0</v>
      </c>
      <c r="CE739" s="2">
        <f>Dashboard[[#This Row],[idp_as_hh]]+Dashboard[[#This Row],[ref_as_hh]]+Dashboard[[#This Row],[ret_as_hh]]</f>
        <v>0</v>
      </c>
      <c r="CF739" s="2">
        <f>Dashboard[[#This Row],[idp_al_hh]]+Dashboard[[#This Row],[ref_al_hh]]+Dashboard[[#This Row],[ret_al_hh]]</f>
        <v>0</v>
      </c>
    </row>
    <row r="740" spans="1:84" hidden="1" x14ac:dyDescent="0.25">
      <c r="A740" s="2">
        <v>154</v>
      </c>
      <c r="B740" s="2" t="s">
        <v>22</v>
      </c>
      <c r="C740" s="2" t="s">
        <v>23</v>
      </c>
      <c r="D740" s="2" t="s">
        <v>37</v>
      </c>
      <c r="E740" s="2" t="s">
        <v>36</v>
      </c>
      <c r="F740" s="2" t="s">
        <v>608</v>
      </c>
      <c r="G740" s="2" t="s">
        <v>609</v>
      </c>
      <c r="H740" s="2" t="s">
        <v>1494</v>
      </c>
      <c r="I740" s="2" t="s">
        <v>614</v>
      </c>
      <c r="J740" s="2" t="s">
        <v>3686</v>
      </c>
      <c r="K740" s="2" t="s">
        <v>3687</v>
      </c>
      <c r="L740" s="2" t="s">
        <v>2074</v>
      </c>
      <c r="M740" s="2">
        <v>2821</v>
      </c>
      <c r="N740" s="2" t="s">
        <v>1658</v>
      </c>
      <c r="O740" s="2">
        <v>3</v>
      </c>
      <c r="P740" s="2">
        <v>18</v>
      </c>
      <c r="Q740" s="2" t="s">
        <v>1658</v>
      </c>
      <c r="R740" s="2">
        <v>3</v>
      </c>
      <c r="S740" s="2" t="s">
        <v>1660</v>
      </c>
      <c r="T740" s="2">
        <v>0</v>
      </c>
      <c r="U740" s="2" t="s">
        <v>32</v>
      </c>
      <c r="V740" s="2" t="s">
        <v>32</v>
      </c>
      <c r="W740" s="2" t="s">
        <v>1660</v>
      </c>
      <c r="X740" s="2">
        <v>0</v>
      </c>
      <c r="Y740" s="2" t="s">
        <v>32</v>
      </c>
      <c r="Z740" s="2" t="s">
        <v>32</v>
      </c>
      <c r="AA740" s="2" t="s">
        <v>1660</v>
      </c>
      <c r="AB740" s="2">
        <v>0</v>
      </c>
      <c r="AC740" s="2" t="s">
        <v>1660</v>
      </c>
      <c r="AD740" s="2">
        <v>0</v>
      </c>
      <c r="AE740" s="2" t="s">
        <v>1658</v>
      </c>
      <c r="AF740" s="2">
        <v>8</v>
      </c>
      <c r="AG740" s="2">
        <v>13</v>
      </c>
      <c r="AH740" s="2" t="s">
        <v>1660</v>
      </c>
      <c r="AI740" s="2" t="s">
        <v>32</v>
      </c>
      <c r="AJ740" s="2" t="s">
        <v>32</v>
      </c>
      <c r="AK740" s="2" t="s">
        <v>32</v>
      </c>
      <c r="AL740" s="2" t="s">
        <v>1658</v>
      </c>
      <c r="AM740" s="2">
        <v>8</v>
      </c>
      <c r="AN740" s="2" t="s">
        <v>1660</v>
      </c>
      <c r="AO740" s="2">
        <v>0</v>
      </c>
      <c r="AP740" s="2" t="s">
        <v>32</v>
      </c>
      <c r="AQ740" s="2" t="s">
        <v>32</v>
      </c>
      <c r="AR740" s="2" t="s">
        <v>1660</v>
      </c>
      <c r="AS740" s="2">
        <v>0</v>
      </c>
      <c r="AT740" s="2" t="s">
        <v>32</v>
      </c>
      <c r="AU740" s="2" t="s">
        <v>32</v>
      </c>
      <c r="AV740" s="2" t="s">
        <v>1660</v>
      </c>
      <c r="AW740" s="2">
        <v>0</v>
      </c>
      <c r="AX740" s="2" t="s">
        <v>1660</v>
      </c>
      <c r="AY740" s="2">
        <v>0</v>
      </c>
      <c r="AZ740" s="2" t="s">
        <v>1658</v>
      </c>
      <c r="BA740" s="2">
        <v>4</v>
      </c>
      <c r="BB740" s="2">
        <v>18</v>
      </c>
      <c r="BC740" s="2" t="s">
        <v>1658</v>
      </c>
      <c r="BD740" s="2">
        <v>4</v>
      </c>
      <c r="BE740" s="2" t="s">
        <v>1660</v>
      </c>
      <c r="BF740" s="2">
        <v>0</v>
      </c>
      <c r="BG740" s="2" t="s">
        <v>1660</v>
      </c>
      <c r="BH740" s="2">
        <v>0</v>
      </c>
      <c r="BI740" s="2" t="s">
        <v>32</v>
      </c>
      <c r="BJ740" s="2" t="s">
        <v>32</v>
      </c>
      <c r="BK740" s="2" t="s">
        <v>1660</v>
      </c>
      <c r="BL740" s="2">
        <v>0</v>
      </c>
      <c r="BM740" s="2" t="s">
        <v>32</v>
      </c>
      <c r="BN740" s="2" t="s">
        <v>32</v>
      </c>
      <c r="BO740" s="2" t="s">
        <v>1660</v>
      </c>
      <c r="BP740" s="2">
        <v>0</v>
      </c>
      <c r="BQ740" s="2" t="s">
        <v>1660</v>
      </c>
      <c r="BR740" s="2">
        <v>0</v>
      </c>
      <c r="BS740" s="2" t="s">
        <v>1660</v>
      </c>
      <c r="BT740" s="2">
        <v>0</v>
      </c>
      <c r="BU740" s="2">
        <v>0</v>
      </c>
      <c r="BV740" s="2" t="s">
        <v>1660</v>
      </c>
      <c r="BW740" s="2"/>
      <c r="BX740" s="2"/>
      <c r="BY740" s="2" t="s">
        <v>1807</v>
      </c>
      <c r="BZ740" s="2" t="b">
        <f>OR( (Dashboard[[#This Row],[ref_as_hh]]&gt;=1),(Dashboard[[#This Row],[ret_as_hh]] &gt;=1), (Dashboard[[#This Row],[idp_as_hh]]&gt;=1))</f>
        <v>0</v>
      </c>
      <c r="CA740" s="2">
        <f>Dashboard[[#This Row],[ret_hi_hh]]</f>
        <v>4</v>
      </c>
      <c r="CB740" s="2">
        <f>Dashboard[[#This Row],[idp_fa_hh]]+Dashboard[[#This Row],[ref_fa_hh]]+Dashboard[[#This Row],[ret_fa_hh]]</f>
        <v>11</v>
      </c>
      <c r="CC740" s="2">
        <f>Dashboard[[#This Row],[idp_loc_hh]]+Dashboard[[#This Row],[ref_loc_hh]]+Dashboard[[#This Row],[ret_loc_hh]]</f>
        <v>0</v>
      </c>
      <c r="CD740" s="2">
        <f>Dashboard[[#This Row],[idp_cc_hh]]+Dashboard[[#This Row],[ref_cc_hh]]+Dashboard[[#This Row],[ret_cc_hh]]</f>
        <v>0</v>
      </c>
      <c r="CE740" s="2">
        <f>Dashboard[[#This Row],[idp_as_hh]]+Dashboard[[#This Row],[ref_as_hh]]+Dashboard[[#This Row],[ret_as_hh]]</f>
        <v>0</v>
      </c>
      <c r="CF740" s="2">
        <f>Dashboard[[#This Row],[idp_al_hh]]+Dashboard[[#This Row],[ref_al_hh]]+Dashboard[[#This Row],[ret_al_hh]]</f>
        <v>0</v>
      </c>
    </row>
    <row r="741" spans="1:84" hidden="1" x14ac:dyDescent="0.25">
      <c r="A741" s="2">
        <v>431</v>
      </c>
      <c r="B741" s="2" t="s">
        <v>22</v>
      </c>
      <c r="C741" s="2" t="s">
        <v>23</v>
      </c>
      <c r="D741" s="2" t="s">
        <v>37</v>
      </c>
      <c r="E741" s="2" t="s">
        <v>36</v>
      </c>
      <c r="F741" s="2" t="s">
        <v>608</v>
      </c>
      <c r="G741" s="2" t="s">
        <v>609</v>
      </c>
      <c r="H741" s="2" t="s">
        <v>1496</v>
      </c>
      <c r="I741" s="2" t="s">
        <v>2145</v>
      </c>
      <c r="J741" s="2" t="s">
        <v>3690</v>
      </c>
      <c r="K741" s="2" t="s">
        <v>3691</v>
      </c>
      <c r="L741" s="2" t="s">
        <v>3694</v>
      </c>
      <c r="M741" s="2">
        <v>2056</v>
      </c>
      <c r="N741" s="2" t="s">
        <v>1658</v>
      </c>
      <c r="O741" s="2">
        <v>4</v>
      </c>
      <c r="P741" s="2">
        <v>12</v>
      </c>
      <c r="Q741" s="2" t="s">
        <v>1658</v>
      </c>
      <c r="R741" s="2">
        <v>4</v>
      </c>
      <c r="S741" s="2" t="s">
        <v>1660</v>
      </c>
      <c r="T741" s="2">
        <v>0</v>
      </c>
      <c r="U741" s="2" t="s">
        <v>32</v>
      </c>
      <c r="V741" s="2" t="s">
        <v>32</v>
      </c>
      <c r="W741" s="2" t="s">
        <v>1660</v>
      </c>
      <c r="X741" s="2">
        <v>0</v>
      </c>
      <c r="Y741" s="2" t="s">
        <v>32</v>
      </c>
      <c r="Z741" s="2" t="s">
        <v>32</v>
      </c>
      <c r="AA741" s="2" t="s">
        <v>1660</v>
      </c>
      <c r="AB741" s="2">
        <v>0</v>
      </c>
      <c r="AC741" s="2" t="s">
        <v>1660</v>
      </c>
      <c r="AD741" s="2">
        <v>0</v>
      </c>
      <c r="AE741" s="2" t="s">
        <v>1658</v>
      </c>
      <c r="AF741" s="2">
        <v>1</v>
      </c>
      <c r="AG741" s="2">
        <v>6</v>
      </c>
      <c r="AH741" s="2" t="s">
        <v>1660</v>
      </c>
      <c r="AI741" s="2" t="s">
        <v>32</v>
      </c>
      <c r="AJ741" s="2" t="s">
        <v>32</v>
      </c>
      <c r="AK741" s="2" t="s">
        <v>32</v>
      </c>
      <c r="AL741" s="2" t="s">
        <v>1658</v>
      </c>
      <c r="AM741" s="2">
        <v>1</v>
      </c>
      <c r="AN741" s="2" t="s">
        <v>1660</v>
      </c>
      <c r="AO741" s="2">
        <v>0</v>
      </c>
      <c r="AP741" s="2" t="s">
        <v>32</v>
      </c>
      <c r="AQ741" s="2" t="s">
        <v>32</v>
      </c>
      <c r="AR741" s="2" t="s">
        <v>1660</v>
      </c>
      <c r="AS741" s="2">
        <v>0</v>
      </c>
      <c r="AT741" s="2" t="s">
        <v>32</v>
      </c>
      <c r="AU741" s="2" t="s">
        <v>32</v>
      </c>
      <c r="AV741" s="2" t="s">
        <v>1660</v>
      </c>
      <c r="AW741" s="2">
        <v>0</v>
      </c>
      <c r="AX741" s="2" t="s">
        <v>1660</v>
      </c>
      <c r="AY741" s="2">
        <v>0</v>
      </c>
      <c r="AZ741" s="2" t="s">
        <v>1660</v>
      </c>
      <c r="BA741" s="2">
        <v>0</v>
      </c>
      <c r="BB741" s="2">
        <v>0</v>
      </c>
      <c r="BC741" s="2" t="s">
        <v>32</v>
      </c>
      <c r="BD741" s="2">
        <v>0</v>
      </c>
      <c r="BE741" s="2" t="s">
        <v>32</v>
      </c>
      <c r="BF741" s="2">
        <v>0</v>
      </c>
      <c r="BG741" s="2" t="s">
        <v>32</v>
      </c>
      <c r="BH741" s="2">
        <v>0</v>
      </c>
      <c r="BI741" s="2" t="s">
        <v>32</v>
      </c>
      <c r="BJ741" s="2" t="s">
        <v>32</v>
      </c>
      <c r="BK741" s="2" t="s">
        <v>32</v>
      </c>
      <c r="BL741" s="2">
        <v>0</v>
      </c>
      <c r="BM741" s="2" t="s">
        <v>32</v>
      </c>
      <c r="BN741" s="2" t="s">
        <v>32</v>
      </c>
      <c r="BO741" s="2" t="s">
        <v>32</v>
      </c>
      <c r="BP741" s="2">
        <v>0</v>
      </c>
      <c r="BQ741" s="2" t="s">
        <v>32</v>
      </c>
      <c r="BR741" s="2">
        <v>0</v>
      </c>
      <c r="BS741" s="2" t="s">
        <v>1658</v>
      </c>
      <c r="BT741" s="2">
        <v>2</v>
      </c>
      <c r="BU741" s="2">
        <v>13</v>
      </c>
      <c r="BV741" s="2" t="s">
        <v>1660</v>
      </c>
      <c r="BW741" s="2"/>
      <c r="BX741" s="2"/>
      <c r="BY741" s="2" t="s">
        <v>1807</v>
      </c>
      <c r="BZ741" s="2" t="b">
        <f>OR( (Dashboard[[#This Row],[ref_as_hh]]&gt;=1),(Dashboard[[#This Row],[ret_as_hh]] &gt;=1), (Dashboard[[#This Row],[idp_as_hh]]&gt;=1))</f>
        <v>0</v>
      </c>
      <c r="CA741" s="2">
        <f>Dashboard[[#This Row],[ret_hi_hh]]</f>
        <v>0</v>
      </c>
      <c r="CB741" s="2">
        <f>Dashboard[[#This Row],[idp_fa_hh]]+Dashboard[[#This Row],[ref_fa_hh]]+Dashboard[[#This Row],[ret_fa_hh]]</f>
        <v>5</v>
      </c>
      <c r="CC741" s="2">
        <f>Dashboard[[#This Row],[idp_loc_hh]]+Dashboard[[#This Row],[ref_loc_hh]]+Dashboard[[#This Row],[ret_loc_hh]]</f>
        <v>0</v>
      </c>
      <c r="CD741" s="2">
        <f>Dashboard[[#This Row],[idp_cc_hh]]+Dashboard[[#This Row],[ref_cc_hh]]+Dashboard[[#This Row],[ret_cc_hh]]</f>
        <v>0</v>
      </c>
      <c r="CE741" s="2">
        <f>Dashboard[[#This Row],[idp_as_hh]]+Dashboard[[#This Row],[ref_as_hh]]+Dashboard[[#This Row],[ret_as_hh]]</f>
        <v>0</v>
      </c>
      <c r="CF741" s="2">
        <f>Dashboard[[#This Row],[idp_al_hh]]+Dashboard[[#This Row],[ref_al_hh]]+Dashboard[[#This Row],[ret_al_hh]]</f>
        <v>0</v>
      </c>
    </row>
    <row r="742" spans="1:84" hidden="1" x14ac:dyDescent="0.25">
      <c r="A742" s="2">
        <v>687</v>
      </c>
      <c r="B742" s="2" t="s">
        <v>22</v>
      </c>
      <c r="C742" s="2" t="s">
        <v>23</v>
      </c>
      <c r="D742" s="2" t="s">
        <v>37</v>
      </c>
      <c r="E742" s="2" t="s">
        <v>36</v>
      </c>
      <c r="F742" s="2" t="s">
        <v>608</v>
      </c>
      <c r="G742" s="2" t="s">
        <v>609</v>
      </c>
      <c r="H742" s="2" t="s">
        <v>1492</v>
      </c>
      <c r="I742" s="2" t="s">
        <v>612</v>
      </c>
      <c r="J742" s="2" t="s">
        <v>3682</v>
      </c>
      <c r="K742" s="2" t="s">
        <v>3683</v>
      </c>
      <c r="L742" s="2" t="s">
        <v>2074</v>
      </c>
      <c r="M742" s="2">
        <v>2348</v>
      </c>
      <c r="N742" s="2" t="s">
        <v>1658</v>
      </c>
      <c r="O742" s="2">
        <v>44</v>
      </c>
      <c r="P742" s="2">
        <v>208</v>
      </c>
      <c r="Q742" s="2" t="s">
        <v>1658</v>
      </c>
      <c r="R742" s="2">
        <v>44</v>
      </c>
      <c r="S742" s="2" t="s">
        <v>1660</v>
      </c>
      <c r="T742" s="2">
        <v>0</v>
      </c>
      <c r="U742" s="2" t="s">
        <v>32</v>
      </c>
      <c r="V742" s="2" t="s">
        <v>32</v>
      </c>
      <c r="W742" s="2" t="s">
        <v>1660</v>
      </c>
      <c r="X742" s="2">
        <v>0</v>
      </c>
      <c r="Y742" s="2" t="s">
        <v>32</v>
      </c>
      <c r="Z742" s="2" t="s">
        <v>32</v>
      </c>
      <c r="AA742" s="2" t="s">
        <v>1660</v>
      </c>
      <c r="AB742" s="2">
        <v>0</v>
      </c>
      <c r="AC742" s="2" t="s">
        <v>1660</v>
      </c>
      <c r="AD742" s="2">
        <v>0</v>
      </c>
      <c r="AE742" s="2" t="s">
        <v>1660</v>
      </c>
      <c r="AF742" s="2">
        <v>0</v>
      </c>
      <c r="AG742" s="2">
        <v>0</v>
      </c>
      <c r="AH742" s="2" t="s">
        <v>32</v>
      </c>
      <c r="AI742" s="2" t="s">
        <v>32</v>
      </c>
      <c r="AJ742" s="2" t="s">
        <v>32</v>
      </c>
      <c r="AK742" s="2" t="s">
        <v>32</v>
      </c>
      <c r="AL742" s="2" t="s">
        <v>32</v>
      </c>
      <c r="AM742" s="2">
        <v>0</v>
      </c>
      <c r="AN742" s="2" t="s">
        <v>32</v>
      </c>
      <c r="AO742" s="2">
        <v>0</v>
      </c>
      <c r="AP742" s="2" t="s">
        <v>32</v>
      </c>
      <c r="AQ742" s="2" t="s">
        <v>32</v>
      </c>
      <c r="AR742" s="2" t="s">
        <v>32</v>
      </c>
      <c r="AS742" s="2">
        <v>0</v>
      </c>
      <c r="AT742" s="2" t="s">
        <v>32</v>
      </c>
      <c r="AU742" s="2" t="s">
        <v>32</v>
      </c>
      <c r="AV742" s="2" t="s">
        <v>32</v>
      </c>
      <c r="AW742" s="2">
        <v>0</v>
      </c>
      <c r="AX742" s="2" t="s">
        <v>32</v>
      </c>
      <c r="AY742" s="2">
        <v>0</v>
      </c>
      <c r="AZ742" s="2" t="s">
        <v>1658</v>
      </c>
      <c r="BA742" s="2">
        <v>6</v>
      </c>
      <c r="BB742" s="2">
        <v>31</v>
      </c>
      <c r="BC742" s="2" t="s">
        <v>1658</v>
      </c>
      <c r="BD742" s="2">
        <v>6</v>
      </c>
      <c r="BE742" s="2" t="s">
        <v>1660</v>
      </c>
      <c r="BF742" s="2">
        <v>0</v>
      </c>
      <c r="BG742" s="2" t="s">
        <v>1660</v>
      </c>
      <c r="BH742" s="2">
        <v>0</v>
      </c>
      <c r="BI742" s="2" t="s">
        <v>32</v>
      </c>
      <c r="BJ742" s="2" t="s">
        <v>32</v>
      </c>
      <c r="BK742" s="2" t="s">
        <v>1660</v>
      </c>
      <c r="BL742" s="2">
        <v>0</v>
      </c>
      <c r="BM742" s="2" t="s">
        <v>32</v>
      </c>
      <c r="BN742" s="2" t="s">
        <v>32</v>
      </c>
      <c r="BO742" s="2" t="s">
        <v>1660</v>
      </c>
      <c r="BP742" s="2">
        <v>0</v>
      </c>
      <c r="BQ742" s="2" t="s">
        <v>1660</v>
      </c>
      <c r="BR742" s="2">
        <v>0</v>
      </c>
      <c r="BS742" s="2" t="s">
        <v>1660</v>
      </c>
      <c r="BT742" s="2">
        <v>0</v>
      </c>
      <c r="BU742" s="2">
        <v>0</v>
      </c>
      <c r="BV742" s="2" t="s">
        <v>1660</v>
      </c>
      <c r="BW742" s="2"/>
      <c r="BX742" s="2"/>
      <c r="BY742" s="2" t="s">
        <v>1807</v>
      </c>
      <c r="BZ742" s="2" t="b">
        <f>OR( (Dashboard[[#This Row],[ref_as_hh]]&gt;=1),(Dashboard[[#This Row],[ret_as_hh]] &gt;=1), (Dashboard[[#This Row],[idp_as_hh]]&gt;=1))</f>
        <v>0</v>
      </c>
      <c r="CA742" s="2">
        <f>Dashboard[[#This Row],[ret_hi_hh]]</f>
        <v>6</v>
      </c>
      <c r="CB742" s="2">
        <f>Dashboard[[#This Row],[idp_fa_hh]]+Dashboard[[#This Row],[ref_fa_hh]]+Dashboard[[#This Row],[ret_fa_hh]]</f>
        <v>44</v>
      </c>
      <c r="CC742" s="2">
        <f>Dashboard[[#This Row],[idp_loc_hh]]+Dashboard[[#This Row],[ref_loc_hh]]+Dashboard[[#This Row],[ret_loc_hh]]</f>
        <v>0</v>
      </c>
      <c r="CD742" s="2">
        <f>Dashboard[[#This Row],[idp_cc_hh]]+Dashboard[[#This Row],[ref_cc_hh]]+Dashboard[[#This Row],[ret_cc_hh]]</f>
        <v>0</v>
      </c>
      <c r="CE742" s="2">
        <f>Dashboard[[#This Row],[idp_as_hh]]+Dashboard[[#This Row],[ref_as_hh]]+Dashboard[[#This Row],[ret_as_hh]]</f>
        <v>0</v>
      </c>
      <c r="CF742" s="2">
        <f>Dashboard[[#This Row],[idp_al_hh]]+Dashboard[[#This Row],[ref_al_hh]]+Dashboard[[#This Row],[ret_al_hh]]</f>
        <v>0</v>
      </c>
    </row>
    <row r="743" spans="1:84" hidden="1" x14ac:dyDescent="0.25">
      <c r="A743" s="2">
        <v>511</v>
      </c>
      <c r="B743" s="2" t="s">
        <v>22</v>
      </c>
      <c r="C743" s="2" t="s">
        <v>23</v>
      </c>
      <c r="D743" s="2" t="s">
        <v>37</v>
      </c>
      <c r="E743" s="2" t="s">
        <v>36</v>
      </c>
      <c r="F743" s="2" t="s">
        <v>608</v>
      </c>
      <c r="G743" s="2" t="s">
        <v>609</v>
      </c>
      <c r="H743" s="2" t="s">
        <v>1495</v>
      </c>
      <c r="I743" s="2" t="s">
        <v>615</v>
      </c>
      <c r="J743" s="2" t="s">
        <v>3688</v>
      </c>
      <c r="K743" s="2" t="s">
        <v>3689</v>
      </c>
      <c r="L743" s="2" t="s">
        <v>2074</v>
      </c>
      <c r="M743" s="2">
        <v>4287</v>
      </c>
      <c r="N743" s="2" t="s">
        <v>1658</v>
      </c>
      <c r="O743" s="2">
        <v>35</v>
      </c>
      <c r="P743" s="2">
        <v>238</v>
      </c>
      <c r="Q743" s="2" t="s">
        <v>1658</v>
      </c>
      <c r="R743" s="2">
        <v>35</v>
      </c>
      <c r="S743" s="2" t="s">
        <v>1660</v>
      </c>
      <c r="T743" s="2">
        <v>0</v>
      </c>
      <c r="U743" s="2" t="s">
        <v>32</v>
      </c>
      <c r="V743" s="2" t="s">
        <v>32</v>
      </c>
      <c r="W743" s="2" t="s">
        <v>1660</v>
      </c>
      <c r="X743" s="2">
        <v>0</v>
      </c>
      <c r="Y743" s="2" t="s">
        <v>32</v>
      </c>
      <c r="Z743" s="2" t="s">
        <v>32</v>
      </c>
      <c r="AA743" s="2" t="s">
        <v>1660</v>
      </c>
      <c r="AB743" s="2">
        <v>0</v>
      </c>
      <c r="AC743" s="2" t="s">
        <v>1660</v>
      </c>
      <c r="AD743" s="2">
        <v>0</v>
      </c>
      <c r="AE743" s="2" t="s">
        <v>1660</v>
      </c>
      <c r="AF743" s="2">
        <v>0</v>
      </c>
      <c r="AG743" s="2">
        <v>0</v>
      </c>
      <c r="AH743" s="2" t="s">
        <v>32</v>
      </c>
      <c r="AI743" s="2" t="s">
        <v>32</v>
      </c>
      <c r="AJ743" s="2" t="s">
        <v>32</v>
      </c>
      <c r="AK743" s="2" t="s">
        <v>32</v>
      </c>
      <c r="AL743" s="2" t="s">
        <v>32</v>
      </c>
      <c r="AM743" s="2">
        <v>0</v>
      </c>
      <c r="AN743" s="2" t="s">
        <v>32</v>
      </c>
      <c r="AO743" s="2">
        <v>0</v>
      </c>
      <c r="AP743" s="2" t="s">
        <v>32</v>
      </c>
      <c r="AQ743" s="2" t="s">
        <v>32</v>
      </c>
      <c r="AR743" s="2" t="s">
        <v>32</v>
      </c>
      <c r="AS743" s="2">
        <v>0</v>
      </c>
      <c r="AT743" s="2" t="s">
        <v>32</v>
      </c>
      <c r="AU743" s="2" t="s">
        <v>32</v>
      </c>
      <c r="AV743" s="2" t="s">
        <v>32</v>
      </c>
      <c r="AW743" s="2">
        <v>0</v>
      </c>
      <c r="AX743" s="2" t="s">
        <v>32</v>
      </c>
      <c r="AY743" s="2">
        <v>0</v>
      </c>
      <c r="AZ743" s="2" t="s">
        <v>1660</v>
      </c>
      <c r="BA743" s="2">
        <v>0</v>
      </c>
      <c r="BB743" s="2">
        <v>0</v>
      </c>
      <c r="BC743" s="2" t="s">
        <v>32</v>
      </c>
      <c r="BD743" s="2">
        <v>0</v>
      </c>
      <c r="BE743" s="2" t="s">
        <v>32</v>
      </c>
      <c r="BF743" s="2">
        <v>0</v>
      </c>
      <c r="BG743" s="2" t="s">
        <v>32</v>
      </c>
      <c r="BH743" s="2">
        <v>0</v>
      </c>
      <c r="BI743" s="2" t="s">
        <v>32</v>
      </c>
      <c r="BJ743" s="2" t="s">
        <v>32</v>
      </c>
      <c r="BK743" s="2" t="s">
        <v>32</v>
      </c>
      <c r="BL743" s="2">
        <v>0</v>
      </c>
      <c r="BM743" s="2" t="s">
        <v>32</v>
      </c>
      <c r="BN743" s="2" t="s">
        <v>32</v>
      </c>
      <c r="BO743" s="2" t="s">
        <v>32</v>
      </c>
      <c r="BP743" s="2">
        <v>0</v>
      </c>
      <c r="BQ743" s="2" t="s">
        <v>32</v>
      </c>
      <c r="BR743" s="2">
        <v>0</v>
      </c>
      <c r="BS743" s="2" t="s">
        <v>1658</v>
      </c>
      <c r="BT743" s="2">
        <v>3</v>
      </c>
      <c r="BU743" s="2">
        <v>12</v>
      </c>
      <c r="BV743" s="2" t="s">
        <v>1660</v>
      </c>
      <c r="BW743" s="2"/>
      <c r="BX743" s="2"/>
      <c r="BY743" s="2" t="s">
        <v>1807</v>
      </c>
      <c r="BZ743" s="2" t="b">
        <f>OR( (Dashboard[[#This Row],[ref_as_hh]]&gt;=1),(Dashboard[[#This Row],[ret_as_hh]] &gt;=1), (Dashboard[[#This Row],[idp_as_hh]]&gt;=1))</f>
        <v>0</v>
      </c>
      <c r="CA743" s="2">
        <f>Dashboard[[#This Row],[ret_hi_hh]]</f>
        <v>0</v>
      </c>
      <c r="CB743" s="2">
        <f>Dashboard[[#This Row],[idp_fa_hh]]+Dashboard[[#This Row],[ref_fa_hh]]+Dashboard[[#This Row],[ret_fa_hh]]</f>
        <v>35</v>
      </c>
      <c r="CC743" s="2">
        <f>Dashboard[[#This Row],[idp_loc_hh]]+Dashboard[[#This Row],[ref_loc_hh]]+Dashboard[[#This Row],[ret_loc_hh]]</f>
        <v>0</v>
      </c>
      <c r="CD743" s="2">
        <f>Dashboard[[#This Row],[idp_cc_hh]]+Dashboard[[#This Row],[ref_cc_hh]]+Dashboard[[#This Row],[ret_cc_hh]]</f>
        <v>0</v>
      </c>
      <c r="CE743" s="2">
        <f>Dashboard[[#This Row],[idp_as_hh]]+Dashboard[[#This Row],[ref_as_hh]]+Dashboard[[#This Row],[ret_as_hh]]</f>
        <v>0</v>
      </c>
      <c r="CF743" s="2">
        <f>Dashboard[[#This Row],[idp_al_hh]]+Dashboard[[#This Row],[ref_al_hh]]+Dashboard[[#This Row],[ret_al_hh]]</f>
        <v>0</v>
      </c>
    </row>
    <row r="744" spans="1:84" x14ac:dyDescent="0.25">
      <c r="A744" s="2">
        <v>49</v>
      </c>
      <c r="B744" s="2" t="s">
        <v>22</v>
      </c>
      <c r="C744" s="2" t="s">
        <v>23</v>
      </c>
      <c r="D744" s="2" t="s">
        <v>37</v>
      </c>
      <c r="E744" s="2" t="s">
        <v>36</v>
      </c>
      <c r="F744" s="2" t="s">
        <v>236</v>
      </c>
      <c r="G744" s="2" t="s">
        <v>235</v>
      </c>
      <c r="H744" s="2" t="s">
        <v>1701</v>
      </c>
      <c r="I744" s="2" t="s">
        <v>238</v>
      </c>
      <c r="J744" s="2" t="s">
        <v>3444</v>
      </c>
      <c r="K744" s="2" t="s">
        <v>3445</v>
      </c>
      <c r="L744" s="2" t="s">
        <v>3693</v>
      </c>
      <c r="M744" s="2">
        <v>10000</v>
      </c>
      <c r="N744" s="2" t="s">
        <v>1660</v>
      </c>
      <c r="O744" s="2">
        <v>0</v>
      </c>
      <c r="P744" s="2">
        <v>0</v>
      </c>
      <c r="Q744" s="2" t="s">
        <v>32</v>
      </c>
      <c r="R744" s="2">
        <v>0</v>
      </c>
      <c r="S744" s="2" t="s">
        <v>32</v>
      </c>
      <c r="T744" s="2">
        <v>0</v>
      </c>
      <c r="U744" s="2" t="s">
        <v>32</v>
      </c>
      <c r="V744" s="2" t="s">
        <v>32</v>
      </c>
      <c r="W744" s="2" t="s">
        <v>32</v>
      </c>
      <c r="X744" s="2">
        <v>0</v>
      </c>
      <c r="Y744" s="2" t="s">
        <v>32</v>
      </c>
      <c r="Z744" s="2" t="s">
        <v>32</v>
      </c>
      <c r="AA744" s="2" t="s">
        <v>32</v>
      </c>
      <c r="AB744" s="2">
        <v>0</v>
      </c>
      <c r="AC744" s="2" t="s">
        <v>32</v>
      </c>
      <c r="AD744" s="2">
        <v>0</v>
      </c>
      <c r="AE744" s="2" t="s">
        <v>1660</v>
      </c>
      <c r="AF744" s="2">
        <v>0</v>
      </c>
      <c r="AG744" s="2">
        <v>0</v>
      </c>
      <c r="AH744" s="2" t="s">
        <v>32</v>
      </c>
      <c r="AI744" s="2" t="s">
        <v>32</v>
      </c>
      <c r="AJ744" s="2" t="s">
        <v>32</v>
      </c>
      <c r="AK744" s="2" t="s">
        <v>32</v>
      </c>
      <c r="AL744" s="2" t="s">
        <v>32</v>
      </c>
      <c r="AM744" s="2">
        <v>0</v>
      </c>
      <c r="AN744" s="2" t="s">
        <v>32</v>
      </c>
      <c r="AO744" s="2">
        <v>0</v>
      </c>
      <c r="AP744" s="2" t="s">
        <v>32</v>
      </c>
      <c r="AQ744" s="2" t="s">
        <v>32</v>
      </c>
      <c r="AR744" s="2" t="s">
        <v>32</v>
      </c>
      <c r="AS744" s="2">
        <v>0</v>
      </c>
      <c r="AT744" s="2" t="s">
        <v>32</v>
      </c>
      <c r="AU744" s="2" t="s">
        <v>32</v>
      </c>
      <c r="AV744" s="2" t="s">
        <v>32</v>
      </c>
      <c r="AW744" s="2">
        <v>0</v>
      </c>
      <c r="AX744" s="2" t="s">
        <v>32</v>
      </c>
      <c r="AY744" s="2">
        <v>0</v>
      </c>
      <c r="AZ744" s="2" t="s">
        <v>1660</v>
      </c>
      <c r="BA744" s="2">
        <v>0</v>
      </c>
      <c r="BB744" s="2">
        <v>0</v>
      </c>
      <c r="BC744" s="2" t="s">
        <v>32</v>
      </c>
      <c r="BD744" s="2">
        <v>0</v>
      </c>
      <c r="BE744" s="2" t="s">
        <v>32</v>
      </c>
      <c r="BF744" s="2">
        <v>0</v>
      </c>
      <c r="BG744" s="2" t="s">
        <v>32</v>
      </c>
      <c r="BH744" s="2">
        <v>0</v>
      </c>
      <c r="BI744" s="2" t="s">
        <v>32</v>
      </c>
      <c r="BJ744" s="2" t="s">
        <v>32</v>
      </c>
      <c r="BK744" s="2" t="s">
        <v>32</v>
      </c>
      <c r="BL744" s="2">
        <v>0</v>
      </c>
      <c r="BM744" s="2" t="s">
        <v>32</v>
      </c>
      <c r="BN744" s="2" t="s">
        <v>32</v>
      </c>
      <c r="BO744" s="2" t="s">
        <v>32</v>
      </c>
      <c r="BP744" s="2">
        <v>0</v>
      </c>
      <c r="BQ744" s="2" t="s">
        <v>32</v>
      </c>
      <c r="BR744" s="2">
        <v>0</v>
      </c>
      <c r="BS744" s="2" t="s">
        <v>1660</v>
      </c>
      <c r="BT744" s="2">
        <v>0</v>
      </c>
      <c r="BU744" s="2">
        <v>0</v>
      </c>
      <c r="BV744" s="2" t="s">
        <v>1660</v>
      </c>
      <c r="BW744" s="2"/>
      <c r="BX744" s="2"/>
      <c r="BY744" s="2" t="s">
        <v>1807</v>
      </c>
      <c r="BZ744" s="2"/>
      <c r="CA744" s="2"/>
      <c r="CB744" s="2"/>
      <c r="CC744" s="2"/>
      <c r="CD744" s="2"/>
      <c r="CE744" s="2"/>
      <c r="CF744" s="2"/>
    </row>
    <row r="745" spans="1:84" x14ac:dyDescent="0.25">
      <c r="A745" s="2">
        <v>69</v>
      </c>
      <c r="B745" s="2" t="s">
        <v>22</v>
      </c>
      <c r="C745" s="2" t="s">
        <v>23</v>
      </c>
      <c r="D745" s="2" t="s">
        <v>37</v>
      </c>
      <c r="E745" s="2" t="s">
        <v>36</v>
      </c>
      <c r="F745" s="2" t="s">
        <v>236</v>
      </c>
      <c r="G745" s="2" t="s">
        <v>235</v>
      </c>
      <c r="H745" s="2" t="s">
        <v>1404</v>
      </c>
      <c r="I745" s="2" t="s">
        <v>242</v>
      </c>
      <c r="J745" s="2" t="s">
        <v>3448</v>
      </c>
      <c r="K745" s="2" t="s">
        <v>3449</v>
      </c>
      <c r="L745" s="2" t="s">
        <v>2074</v>
      </c>
      <c r="M745" s="2">
        <v>15000</v>
      </c>
      <c r="N745" s="2" t="s">
        <v>1658</v>
      </c>
      <c r="O745" s="2">
        <v>23</v>
      </c>
      <c r="P745" s="2">
        <v>123</v>
      </c>
      <c r="Q745" s="2" t="s">
        <v>1658</v>
      </c>
      <c r="R745" s="2">
        <v>17</v>
      </c>
      <c r="S745" s="2" t="s">
        <v>1658</v>
      </c>
      <c r="T745" s="2">
        <v>6</v>
      </c>
      <c r="U745" s="2" t="s">
        <v>1661</v>
      </c>
      <c r="V745" s="2" t="s">
        <v>32</v>
      </c>
      <c r="W745" s="2" t="s">
        <v>1660</v>
      </c>
      <c r="X745" s="2">
        <v>0</v>
      </c>
      <c r="Y745" s="2" t="s">
        <v>32</v>
      </c>
      <c r="Z745" s="2" t="s">
        <v>32</v>
      </c>
      <c r="AA745" s="2" t="s">
        <v>1660</v>
      </c>
      <c r="AB745" s="2">
        <v>0</v>
      </c>
      <c r="AC745" s="2" t="s">
        <v>1660</v>
      </c>
      <c r="AD745" s="2">
        <v>0</v>
      </c>
      <c r="AE745" s="2" t="s">
        <v>1660</v>
      </c>
      <c r="AF745" s="2">
        <v>0</v>
      </c>
      <c r="AG745" s="2">
        <v>0</v>
      </c>
      <c r="AH745" s="2" t="s">
        <v>32</v>
      </c>
      <c r="AI745" s="2" t="s">
        <v>32</v>
      </c>
      <c r="AJ745" s="2" t="s">
        <v>32</v>
      </c>
      <c r="AK745" s="2" t="s">
        <v>32</v>
      </c>
      <c r="AL745" s="2" t="s">
        <v>32</v>
      </c>
      <c r="AM745" s="2">
        <v>0</v>
      </c>
      <c r="AN745" s="2" t="s">
        <v>32</v>
      </c>
      <c r="AO745" s="2">
        <v>0</v>
      </c>
      <c r="AP745" s="2" t="s">
        <v>32</v>
      </c>
      <c r="AQ745" s="2" t="s">
        <v>32</v>
      </c>
      <c r="AR745" s="2" t="s">
        <v>32</v>
      </c>
      <c r="AS745" s="2">
        <v>0</v>
      </c>
      <c r="AT745" s="2" t="s">
        <v>32</v>
      </c>
      <c r="AU745" s="2" t="s">
        <v>32</v>
      </c>
      <c r="AV745" s="2" t="s">
        <v>32</v>
      </c>
      <c r="AW745" s="2">
        <v>0</v>
      </c>
      <c r="AX745" s="2" t="s">
        <v>32</v>
      </c>
      <c r="AY745" s="2">
        <v>0</v>
      </c>
      <c r="AZ745" s="2" t="s">
        <v>1658</v>
      </c>
      <c r="BA745" s="2">
        <v>121</v>
      </c>
      <c r="BB745" s="2">
        <v>616</v>
      </c>
      <c r="BC745" s="2" t="s">
        <v>1658</v>
      </c>
      <c r="BD745" s="2">
        <v>56</v>
      </c>
      <c r="BE745" s="2" t="s">
        <v>1658</v>
      </c>
      <c r="BF745" s="2">
        <v>24</v>
      </c>
      <c r="BG745" s="2" t="s">
        <v>1658</v>
      </c>
      <c r="BH745" s="2">
        <v>41</v>
      </c>
      <c r="BI745" s="2" t="s">
        <v>1661</v>
      </c>
      <c r="BJ745" s="2" t="s">
        <v>32</v>
      </c>
      <c r="BK745" s="2" t="s">
        <v>1660</v>
      </c>
      <c r="BL745" s="2">
        <v>0</v>
      </c>
      <c r="BM745" s="2" t="s">
        <v>32</v>
      </c>
      <c r="BN745" s="2" t="s">
        <v>32</v>
      </c>
      <c r="BO745" s="2" t="s">
        <v>1660</v>
      </c>
      <c r="BP745" s="2">
        <v>0</v>
      </c>
      <c r="BQ745" s="2" t="s">
        <v>1660</v>
      </c>
      <c r="BR745" s="2">
        <v>0</v>
      </c>
      <c r="BS745" s="2" t="s">
        <v>1660</v>
      </c>
      <c r="BT745" s="2">
        <v>0</v>
      </c>
      <c r="BU745" s="2">
        <v>0</v>
      </c>
      <c r="BV745" s="2" t="s">
        <v>1660</v>
      </c>
      <c r="BW745" s="2"/>
      <c r="BX745" s="2"/>
      <c r="BY745" s="2" t="s">
        <v>1807</v>
      </c>
      <c r="BZ745" s="2"/>
      <c r="CA745" s="2"/>
      <c r="CB745" s="2"/>
      <c r="CC745" s="2"/>
      <c r="CD745" s="2"/>
      <c r="CE745" s="2"/>
      <c r="CF745" s="2"/>
    </row>
    <row r="746" spans="1:84" x14ac:dyDescent="0.25">
      <c r="A746" s="2">
        <v>379</v>
      </c>
      <c r="B746" s="2" t="s">
        <v>22</v>
      </c>
      <c r="C746" s="2" t="s">
        <v>23</v>
      </c>
      <c r="D746" s="2" t="s">
        <v>37</v>
      </c>
      <c r="E746" s="2" t="s">
        <v>36</v>
      </c>
      <c r="F746" s="2" t="s">
        <v>236</v>
      </c>
      <c r="G746" s="2" t="s">
        <v>235</v>
      </c>
      <c r="H746" s="2" t="s">
        <v>1536</v>
      </c>
      <c r="I746" s="2" t="s">
        <v>643</v>
      </c>
      <c r="J746" s="2" t="s">
        <v>3450</v>
      </c>
      <c r="K746" s="2" t="s">
        <v>3451</v>
      </c>
      <c r="L746" s="2" t="s">
        <v>2074</v>
      </c>
      <c r="M746" s="2">
        <v>18000</v>
      </c>
      <c r="N746" s="2" t="s">
        <v>1660</v>
      </c>
      <c r="O746" s="2">
        <v>0</v>
      </c>
      <c r="P746" s="2">
        <v>0</v>
      </c>
      <c r="Q746" s="2" t="s">
        <v>32</v>
      </c>
      <c r="R746" s="2">
        <v>0</v>
      </c>
      <c r="S746" s="2" t="s">
        <v>32</v>
      </c>
      <c r="T746" s="2">
        <v>0</v>
      </c>
      <c r="U746" s="2" t="s">
        <v>32</v>
      </c>
      <c r="V746" s="2" t="s">
        <v>32</v>
      </c>
      <c r="W746" s="2" t="s">
        <v>32</v>
      </c>
      <c r="X746" s="2">
        <v>0</v>
      </c>
      <c r="Y746" s="2" t="s">
        <v>32</v>
      </c>
      <c r="Z746" s="2" t="s">
        <v>32</v>
      </c>
      <c r="AA746" s="2" t="s">
        <v>32</v>
      </c>
      <c r="AB746" s="2">
        <v>0</v>
      </c>
      <c r="AC746" s="2" t="s">
        <v>32</v>
      </c>
      <c r="AD746" s="2">
        <v>0</v>
      </c>
      <c r="AE746" s="2" t="s">
        <v>1658</v>
      </c>
      <c r="AF746" s="2">
        <v>16</v>
      </c>
      <c r="AG746" s="2">
        <v>90</v>
      </c>
      <c r="AH746" s="2" t="s">
        <v>1660</v>
      </c>
      <c r="AI746" s="2" t="s">
        <v>32</v>
      </c>
      <c r="AJ746" s="2" t="s">
        <v>32</v>
      </c>
      <c r="AK746" s="2" t="s">
        <v>32</v>
      </c>
      <c r="AL746" s="2" t="s">
        <v>1658</v>
      </c>
      <c r="AM746" s="2">
        <v>16</v>
      </c>
      <c r="AN746" s="2" t="s">
        <v>1660</v>
      </c>
      <c r="AO746" s="2">
        <v>0</v>
      </c>
      <c r="AP746" s="2" t="s">
        <v>32</v>
      </c>
      <c r="AQ746" s="2" t="s">
        <v>32</v>
      </c>
      <c r="AR746" s="2" t="s">
        <v>1660</v>
      </c>
      <c r="AS746" s="2">
        <v>0</v>
      </c>
      <c r="AT746" s="2" t="s">
        <v>32</v>
      </c>
      <c r="AU746" s="2" t="s">
        <v>32</v>
      </c>
      <c r="AV746" s="2" t="s">
        <v>1660</v>
      </c>
      <c r="AW746" s="2">
        <v>0</v>
      </c>
      <c r="AX746" s="2" t="s">
        <v>1660</v>
      </c>
      <c r="AY746" s="2">
        <v>0</v>
      </c>
      <c r="AZ746" s="2" t="s">
        <v>1658</v>
      </c>
      <c r="BA746" s="2">
        <v>14</v>
      </c>
      <c r="BB746" s="2">
        <v>75</v>
      </c>
      <c r="BC746" s="2" t="s">
        <v>1658</v>
      </c>
      <c r="BD746" s="2">
        <v>12</v>
      </c>
      <c r="BE746" s="2" t="s">
        <v>1658</v>
      </c>
      <c r="BF746" s="2">
        <v>2</v>
      </c>
      <c r="BG746" s="2" t="s">
        <v>1660</v>
      </c>
      <c r="BH746" s="2">
        <v>0</v>
      </c>
      <c r="BI746" s="2" t="s">
        <v>32</v>
      </c>
      <c r="BJ746" s="2" t="s">
        <v>32</v>
      </c>
      <c r="BK746" s="2" t="s">
        <v>1660</v>
      </c>
      <c r="BL746" s="2">
        <v>0</v>
      </c>
      <c r="BM746" s="2" t="s">
        <v>32</v>
      </c>
      <c r="BN746" s="2" t="s">
        <v>32</v>
      </c>
      <c r="BO746" s="2" t="s">
        <v>1660</v>
      </c>
      <c r="BP746" s="2">
        <v>0</v>
      </c>
      <c r="BQ746" s="2" t="s">
        <v>1660</v>
      </c>
      <c r="BR746" s="2">
        <v>0</v>
      </c>
      <c r="BS746" s="2" t="s">
        <v>1660</v>
      </c>
      <c r="BT746" s="2">
        <v>0</v>
      </c>
      <c r="BU746" s="2">
        <v>0</v>
      </c>
      <c r="BV746" s="2" t="s">
        <v>1660</v>
      </c>
      <c r="BW746" s="2"/>
      <c r="BX746" s="2"/>
      <c r="BY746" s="2" t="s">
        <v>1807</v>
      </c>
      <c r="BZ746" s="2"/>
      <c r="CA746" s="2"/>
      <c r="CB746" s="2"/>
      <c r="CC746" s="2"/>
      <c r="CD746" s="2"/>
      <c r="CE746" s="2"/>
      <c r="CF746" s="2"/>
    </row>
    <row r="747" spans="1:84" x14ac:dyDescent="0.25">
      <c r="A747" s="2">
        <v>235</v>
      </c>
      <c r="B747" s="2" t="s">
        <v>22</v>
      </c>
      <c r="C747" s="2" t="s">
        <v>23</v>
      </c>
      <c r="D747" s="2" t="s">
        <v>37</v>
      </c>
      <c r="E747" s="2" t="s">
        <v>36</v>
      </c>
      <c r="F747" s="2" t="s">
        <v>236</v>
      </c>
      <c r="G747" s="2" t="s">
        <v>235</v>
      </c>
      <c r="H747" s="2" t="s">
        <v>1588</v>
      </c>
      <c r="I747" s="2" t="s">
        <v>237</v>
      </c>
      <c r="J747" s="2" t="s">
        <v>3442</v>
      </c>
      <c r="K747" s="2" t="s">
        <v>3443</v>
      </c>
      <c r="L747" s="2" t="s">
        <v>2074</v>
      </c>
      <c r="M747" s="2">
        <v>20000</v>
      </c>
      <c r="N747" s="2" t="s">
        <v>1658</v>
      </c>
      <c r="O747" s="2">
        <v>10</v>
      </c>
      <c r="P747" s="2">
        <v>78</v>
      </c>
      <c r="Q747" s="2" t="s">
        <v>1658</v>
      </c>
      <c r="R747" s="2">
        <v>3</v>
      </c>
      <c r="S747" s="2" t="s">
        <v>1658</v>
      </c>
      <c r="T747" s="2">
        <v>7</v>
      </c>
      <c r="U747" s="2" t="s">
        <v>1661</v>
      </c>
      <c r="V747" s="2" t="s">
        <v>32</v>
      </c>
      <c r="W747" s="2" t="s">
        <v>1660</v>
      </c>
      <c r="X747" s="2">
        <v>0</v>
      </c>
      <c r="Y747" s="2" t="s">
        <v>32</v>
      </c>
      <c r="Z747" s="2" t="s">
        <v>32</v>
      </c>
      <c r="AA747" s="2" t="s">
        <v>1660</v>
      </c>
      <c r="AB747" s="2">
        <v>0</v>
      </c>
      <c r="AC747" s="2" t="s">
        <v>1660</v>
      </c>
      <c r="AD747" s="2">
        <v>0</v>
      </c>
      <c r="AE747" s="2" t="s">
        <v>1660</v>
      </c>
      <c r="AF747" s="2">
        <v>0</v>
      </c>
      <c r="AG747" s="2">
        <v>0</v>
      </c>
      <c r="AH747" s="2" t="s">
        <v>32</v>
      </c>
      <c r="AI747" s="2" t="s">
        <v>32</v>
      </c>
      <c r="AJ747" s="2" t="s">
        <v>32</v>
      </c>
      <c r="AK747" s="2" t="s">
        <v>32</v>
      </c>
      <c r="AL747" s="2" t="s">
        <v>32</v>
      </c>
      <c r="AM747" s="2">
        <v>0</v>
      </c>
      <c r="AN747" s="2" t="s">
        <v>32</v>
      </c>
      <c r="AO747" s="2">
        <v>0</v>
      </c>
      <c r="AP747" s="2" t="s">
        <v>32</v>
      </c>
      <c r="AQ747" s="2" t="s">
        <v>32</v>
      </c>
      <c r="AR747" s="2" t="s">
        <v>32</v>
      </c>
      <c r="AS747" s="2">
        <v>0</v>
      </c>
      <c r="AT747" s="2" t="s">
        <v>32</v>
      </c>
      <c r="AU747" s="2" t="s">
        <v>32</v>
      </c>
      <c r="AV747" s="2" t="s">
        <v>32</v>
      </c>
      <c r="AW747" s="2">
        <v>0</v>
      </c>
      <c r="AX747" s="2" t="s">
        <v>32</v>
      </c>
      <c r="AY747" s="2">
        <v>0</v>
      </c>
      <c r="AZ747" s="2" t="s">
        <v>1658</v>
      </c>
      <c r="BA747" s="2">
        <v>17</v>
      </c>
      <c r="BB747" s="2">
        <v>95</v>
      </c>
      <c r="BC747" s="2" t="s">
        <v>1658</v>
      </c>
      <c r="BD747" s="2">
        <v>9</v>
      </c>
      <c r="BE747" s="2" t="s">
        <v>1658</v>
      </c>
      <c r="BF747" s="2">
        <v>3</v>
      </c>
      <c r="BG747" s="2" t="s">
        <v>1658</v>
      </c>
      <c r="BH747" s="2">
        <v>5</v>
      </c>
      <c r="BI747" s="2" t="s">
        <v>1661</v>
      </c>
      <c r="BJ747" s="2" t="s">
        <v>32</v>
      </c>
      <c r="BK747" s="2" t="s">
        <v>1660</v>
      </c>
      <c r="BL747" s="2">
        <v>0</v>
      </c>
      <c r="BM747" s="2" t="s">
        <v>32</v>
      </c>
      <c r="BN747" s="2" t="s">
        <v>32</v>
      </c>
      <c r="BO747" s="2" t="s">
        <v>1660</v>
      </c>
      <c r="BP747" s="2">
        <v>0</v>
      </c>
      <c r="BQ747" s="2" t="s">
        <v>1660</v>
      </c>
      <c r="BR747" s="2">
        <v>0</v>
      </c>
      <c r="BS747" s="2" t="s">
        <v>1660</v>
      </c>
      <c r="BT747" s="2">
        <v>0</v>
      </c>
      <c r="BU747" s="2">
        <v>0</v>
      </c>
      <c r="BV747" s="2" t="s">
        <v>1660</v>
      </c>
      <c r="BW747" s="2"/>
      <c r="BX747" s="2"/>
      <c r="BY747" s="2" t="s">
        <v>1807</v>
      </c>
      <c r="BZ747" s="2"/>
      <c r="CA747" s="2"/>
      <c r="CB747" s="2"/>
      <c r="CC747" s="2"/>
      <c r="CD747" s="2"/>
      <c r="CE747" s="2"/>
      <c r="CF747" s="2"/>
    </row>
    <row r="748" spans="1:84" hidden="1" x14ac:dyDescent="0.25">
      <c r="A748" s="2">
        <v>491</v>
      </c>
      <c r="B748" s="2" t="s">
        <v>22</v>
      </c>
      <c r="C748" s="2" t="s">
        <v>23</v>
      </c>
      <c r="D748" s="2" t="s">
        <v>37</v>
      </c>
      <c r="E748" s="2" t="s">
        <v>36</v>
      </c>
      <c r="F748" s="2" t="s">
        <v>236</v>
      </c>
      <c r="G748" s="2" t="s">
        <v>235</v>
      </c>
      <c r="H748" s="2" t="s">
        <v>1589</v>
      </c>
      <c r="I748" s="2" t="s">
        <v>241</v>
      </c>
      <c r="J748" s="2" t="s">
        <v>3446</v>
      </c>
      <c r="K748" s="2" t="s">
        <v>3447</v>
      </c>
      <c r="L748" s="2" t="s">
        <v>2074</v>
      </c>
      <c r="M748" s="2">
        <v>30000</v>
      </c>
      <c r="N748" s="2" t="s">
        <v>1660</v>
      </c>
      <c r="O748" s="2">
        <v>0</v>
      </c>
      <c r="P748" s="2">
        <v>0</v>
      </c>
      <c r="Q748" s="2" t="s">
        <v>32</v>
      </c>
      <c r="R748" s="2">
        <v>0</v>
      </c>
      <c r="S748" s="2" t="s">
        <v>32</v>
      </c>
      <c r="T748" s="2">
        <v>0</v>
      </c>
      <c r="U748" s="2" t="s">
        <v>32</v>
      </c>
      <c r="V748" s="2" t="s">
        <v>32</v>
      </c>
      <c r="W748" s="2" t="s">
        <v>32</v>
      </c>
      <c r="X748" s="2">
        <v>0</v>
      </c>
      <c r="Y748" s="2" t="s">
        <v>32</v>
      </c>
      <c r="Z748" s="2" t="s">
        <v>32</v>
      </c>
      <c r="AA748" s="2" t="s">
        <v>32</v>
      </c>
      <c r="AB748" s="2">
        <v>0</v>
      </c>
      <c r="AC748" s="2" t="s">
        <v>32</v>
      </c>
      <c r="AD748" s="2">
        <v>0</v>
      </c>
      <c r="AE748" s="2" t="s">
        <v>1660</v>
      </c>
      <c r="AF748" s="2">
        <v>0</v>
      </c>
      <c r="AG748" s="2">
        <v>0</v>
      </c>
      <c r="AH748" s="2" t="s">
        <v>32</v>
      </c>
      <c r="AI748" s="2" t="s">
        <v>32</v>
      </c>
      <c r="AJ748" s="2" t="s">
        <v>32</v>
      </c>
      <c r="AK748" s="2" t="s">
        <v>32</v>
      </c>
      <c r="AL748" s="2" t="s">
        <v>32</v>
      </c>
      <c r="AM748" s="2">
        <v>0</v>
      </c>
      <c r="AN748" s="2" t="s">
        <v>32</v>
      </c>
      <c r="AO748" s="2">
        <v>0</v>
      </c>
      <c r="AP748" s="2" t="s">
        <v>32</v>
      </c>
      <c r="AQ748" s="2" t="s">
        <v>32</v>
      </c>
      <c r="AR748" s="2" t="s">
        <v>32</v>
      </c>
      <c r="AS748" s="2">
        <v>0</v>
      </c>
      <c r="AT748" s="2" t="s">
        <v>32</v>
      </c>
      <c r="AU748" s="2" t="s">
        <v>32</v>
      </c>
      <c r="AV748" s="2" t="s">
        <v>32</v>
      </c>
      <c r="AW748" s="2">
        <v>0</v>
      </c>
      <c r="AX748" s="2" t="s">
        <v>32</v>
      </c>
      <c r="AY748" s="2">
        <v>0</v>
      </c>
      <c r="AZ748" s="2" t="s">
        <v>1658</v>
      </c>
      <c r="BA748" s="2">
        <v>156</v>
      </c>
      <c r="BB748" s="2">
        <v>780</v>
      </c>
      <c r="BC748" s="2" t="s">
        <v>1658</v>
      </c>
      <c r="BD748" s="2">
        <v>59</v>
      </c>
      <c r="BE748" s="2" t="s">
        <v>1658</v>
      </c>
      <c r="BF748" s="2">
        <v>41</v>
      </c>
      <c r="BG748" s="2" t="s">
        <v>1658</v>
      </c>
      <c r="BH748" s="2">
        <v>56</v>
      </c>
      <c r="BI748" s="2" t="s">
        <v>1661</v>
      </c>
      <c r="BJ748" s="2" t="s">
        <v>32</v>
      </c>
      <c r="BK748" s="2" t="s">
        <v>1660</v>
      </c>
      <c r="BL748" s="2">
        <v>0</v>
      </c>
      <c r="BM748" s="2" t="s">
        <v>32</v>
      </c>
      <c r="BN748" s="2" t="s">
        <v>32</v>
      </c>
      <c r="BO748" s="2" t="s">
        <v>1660</v>
      </c>
      <c r="BP748" s="2">
        <v>0</v>
      </c>
      <c r="BQ748" s="2" t="s">
        <v>1660</v>
      </c>
      <c r="BR748" s="2">
        <v>0</v>
      </c>
      <c r="BS748" s="2" t="s">
        <v>1660</v>
      </c>
      <c r="BT748" s="2">
        <v>0</v>
      </c>
      <c r="BU748" s="2">
        <v>0</v>
      </c>
      <c r="BV748" s="2" t="s">
        <v>1660</v>
      </c>
      <c r="BW748" s="2"/>
      <c r="BX748" s="2"/>
      <c r="BY748" s="2" t="s">
        <v>1807</v>
      </c>
      <c r="BZ748" s="2" t="b">
        <f>OR( (Dashboard[[#This Row],[ref_as_hh]]&gt;=1),(Dashboard[[#This Row],[ret_as_hh]] &gt;=1), (Dashboard[[#This Row],[idp_as_hh]]&gt;=1))</f>
        <v>0</v>
      </c>
      <c r="CA748" s="2">
        <f>Dashboard[[#This Row],[ret_hi_hh]]</f>
        <v>59</v>
      </c>
      <c r="CB748" s="2">
        <f>Dashboard[[#This Row],[idp_fa_hh]]+Dashboard[[#This Row],[ref_fa_hh]]+Dashboard[[#This Row],[ret_fa_hh]]</f>
        <v>41</v>
      </c>
      <c r="CC748" s="2">
        <f>Dashboard[[#This Row],[idp_loc_hh]]+Dashboard[[#This Row],[ref_loc_hh]]+Dashboard[[#This Row],[ret_loc_hh]]</f>
        <v>56</v>
      </c>
      <c r="CD748" s="2">
        <f>Dashboard[[#This Row],[idp_cc_hh]]+Dashboard[[#This Row],[ref_cc_hh]]+Dashboard[[#This Row],[ret_cc_hh]]</f>
        <v>0</v>
      </c>
      <c r="CE748" s="2">
        <f>Dashboard[[#This Row],[idp_as_hh]]+Dashboard[[#This Row],[ref_as_hh]]+Dashboard[[#This Row],[ret_as_hh]]</f>
        <v>0</v>
      </c>
      <c r="CF748" s="2">
        <f>Dashboard[[#This Row],[idp_al_hh]]+Dashboard[[#This Row],[ref_al_hh]]+Dashboard[[#This Row],[ret_al_hh]]</f>
        <v>0</v>
      </c>
    </row>
  </sheetData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U4380"/>
  <sheetViews>
    <sheetView zoomScale="85" zoomScaleNormal="85" workbookViewId="0">
      <selection activeCell="E10" sqref="E10"/>
    </sheetView>
  </sheetViews>
  <sheetFormatPr defaultColWidth="11.42578125" defaultRowHeight="15" x14ac:dyDescent="0.25"/>
  <cols>
    <col min="1" max="1" width="13" style="96" customWidth="1"/>
    <col min="2" max="2" width="20.28515625" style="96" bestFit="1" customWidth="1"/>
    <col min="3" max="5" width="11.42578125" style="96"/>
    <col min="6" max="6" width="14" style="96" customWidth="1"/>
    <col min="7" max="7" width="16.28515625" style="96" bestFit="1" customWidth="1"/>
    <col min="8" max="11" width="11.42578125" style="96"/>
    <col min="12" max="12" width="12.85546875" style="96" bestFit="1" customWidth="1"/>
    <col min="13" max="13" width="11.42578125" style="96"/>
    <col min="14" max="14" width="12.5703125" style="96" bestFit="1" customWidth="1"/>
    <col min="15" max="15" width="11.42578125" style="96"/>
    <col min="16" max="16" width="7.42578125" style="96" customWidth="1"/>
    <col min="17" max="17" width="11.42578125" style="96"/>
    <col min="18" max="18" width="7.85546875" style="96" customWidth="1"/>
    <col min="19" max="19" width="6.42578125" style="96" customWidth="1"/>
    <col min="20" max="20" width="7.28515625" style="96" customWidth="1"/>
    <col min="21" max="16384" width="11.42578125" style="96"/>
  </cols>
  <sheetData>
    <row r="1" spans="1:21" x14ac:dyDescent="0.25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3" spans="1:21" x14ac:dyDescent="0.25">
      <c r="A3" s="370" t="s">
        <v>740</v>
      </c>
      <c r="B3" s="370"/>
      <c r="C3" s="370" t="s">
        <v>733</v>
      </c>
      <c r="D3" s="370"/>
      <c r="E3" s="370" t="s">
        <v>734</v>
      </c>
      <c r="F3" s="370"/>
      <c r="G3" s="370" t="s">
        <v>735</v>
      </c>
      <c r="H3" s="370"/>
      <c r="I3" s="370" t="s">
        <v>736</v>
      </c>
      <c r="J3" s="370"/>
      <c r="K3" s="370" t="s">
        <v>737</v>
      </c>
      <c r="L3" s="370"/>
      <c r="M3" s="370" t="s">
        <v>715</v>
      </c>
      <c r="N3" s="370"/>
    </row>
    <row r="4" spans="1:21" x14ac:dyDescent="0.25">
      <c r="A4" s="289" t="s">
        <v>738</v>
      </c>
      <c r="B4" s="289" t="s">
        <v>739</v>
      </c>
      <c r="C4" s="289" t="s">
        <v>738</v>
      </c>
      <c r="D4" s="289" t="s">
        <v>739</v>
      </c>
      <c r="E4" s="289" t="s">
        <v>738</v>
      </c>
      <c r="F4" s="289" t="s">
        <v>739</v>
      </c>
      <c r="G4" s="289" t="s">
        <v>738</v>
      </c>
      <c r="H4" s="289" t="s">
        <v>739</v>
      </c>
      <c r="I4" s="289" t="s">
        <v>738</v>
      </c>
      <c r="J4" s="289" t="s">
        <v>739</v>
      </c>
      <c r="K4" s="289" t="s">
        <v>738</v>
      </c>
      <c r="L4" s="289" t="s">
        <v>739</v>
      </c>
      <c r="M4" s="289" t="s">
        <v>738</v>
      </c>
      <c r="N4" s="289" t="s">
        <v>739</v>
      </c>
    </row>
    <row r="5" spans="1:21" x14ac:dyDescent="0.25">
      <c r="A5" s="299">
        <f>SUM(A41:A4379)</f>
        <v>1887</v>
      </c>
      <c r="B5" s="299">
        <f>SUM(B41:B4379)</f>
        <v>1516</v>
      </c>
      <c r="C5" s="299">
        <f>SUM(C41:C4379)</f>
        <v>2898</v>
      </c>
      <c r="D5" s="299">
        <f t="shared" ref="D5:K5" si="0">SUM(D41:D4379)</f>
        <v>2796</v>
      </c>
      <c r="E5" s="299">
        <f t="shared" si="0"/>
        <v>4046</v>
      </c>
      <c r="F5" s="299">
        <f t="shared" si="0"/>
        <v>3435</v>
      </c>
      <c r="G5" s="299">
        <f t="shared" si="0"/>
        <v>2475</v>
      </c>
      <c r="H5" s="299">
        <f t="shared" si="0"/>
        <v>2093</v>
      </c>
      <c r="I5" s="299">
        <f t="shared" si="0"/>
        <v>4749</v>
      </c>
      <c r="J5" s="299">
        <f t="shared" si="0"/>
        <v>5597</v>
      </c>
      <c r="K5" s="299">
        <f t="shared" si="0"/>
        <v>499</v>
      </c>
      <c r="L5" s="299">
        <f>SUM(L41:L4379)</f>
        <v>363</v>
      </c>
      <c r="M5" s="299">
        <f t="shared" ref="M5:N5" si="1">SUM(M41:M4379)</f>
        <v>16554</v>
      </c>
      <c r="N5" s="299">
        <f t="shared" si="1"/>
        <v>15800</v>
      </c>
    </row>
    <row r="7" spans="1:21" x14ac:dyDescent="0.25">
      <c r="L7" s="216"/>
      <c r="M7" s="290"/>
    </row>
    <row r="8" spans="1:21" x14ac:dyDescent="0.25">
      <c r="A8" s="300" t="s">
        <v>741</v>
      </c>
      <c r="B8" s="301"/>
      <c r="C8" s="301"/>
      <c r="D8" s="302"/>
      <c r="E8" s="291">
        <v>0.95151036525173005</v>
      </c>
      <c r="G8" s="300" t="s">
        <v>742</v>
      </c>
      <c r="H8" s="292">
        <f>SUM(A5:H5)/SUM(M5:N5)</f>
        <v>0.6535822463992087</v>
      </c>
    </row>
    <row r="9" spans="1:21" x14ac:dyDescent="0.25">
      <c r="A9" s="303" t="s">
        <v>743</v>
      </c>
      <c r="B9" s="12"/>
      <c r="C9" s="12"/>
      <c r="D9" s="304"/>
      <c r="E9" s="293">
        <v>7.45</v>
      </c>
      <c r="G9" s="300" t="s">
        <v>744</v>
      </c>
      <c r="H9" s="294">
        <f>SUM(K5:L5)/SUM(M5:N5)</f>
        <v>2.6642764418619028E-2</v>
      </c>
    </row>
    <row r="10" spans="1:21" x14ac:dyDescent="0.25">
      <c r="A10" s="300" t="s">
        <v>745</v>
      </c>
      <c r="B10" s="301"/>
      <c r="C10" s="301"/>
      <c r="D10" s="302"/>
      <c r="E10" s="293">
        <v>4.71</v>
      </c>
      <c r="U10" s="227"/>
    </row>
    <row r="11" spans="1:21" x14ac:dyDescent="0.25">
      <c r="A11" s="12" t="s">
        <v>746</v>
      </c>
      <c r="B11" s="12"/>
      <c r="C11" s="12"/>
      <c r="D11" s="12"/>
      <c r="E11" s="292">
        <f>SUM(D14:D15)/SUM(D14:D17)</f>
        <v>0.43019956492953748</v>
      </c>
      <c r="G11" s="98"/>
    </row>
    <row r="13" spans="1:21" x14ac:dyDescent="0.25">
      <c r="A13" s="309" t="s">
        <v>747</v>
      </c>
      <c r="B13" s="309" t="s">
        <v>738</v>
      </c>
      <c r="C13" s="309" t="s">
        <v>739</v>
      </c>
      <c r="D13" s="309" t="s">
        <v>715</v>
      </c>
      <c r="E13" s="295"/>
      <c r="F13" s="310" t="s">
        <v>747</v>
      </c>
      <c r="G13" s="310" t="s">
        <v>738</v>
      </c>
      <c r="H13" s="310" t="s">
        <v>739</v>
      </c>
      <c r="I13" s="310" t="s">
        <v>715</v>
      </c>
    </row>
    <row r="14" spans="1:21" x14ac:dyDescent="0.25">
      <c r="A14" s="305" t="s">
        <v>740</v>
      </c>
      <c r="B14" s="296">
        <f>A5</f>
        <v>1887</v>
      </c>
      <c r="C14" s="296">
        <f>B5</f>
        <v>1516</v>
      </c>
      <c r="D14" s="296">
        <f t="shared" ref="D14:D20" si="2">SUM(B14:C14)</f>
        <v>3403</v>
      </c>
      <c r="E14" s="295"/>
      <c r="F14" s="305" t="s">
        <v>740</v>
      </c>
      <c r="G14" s="297">
        <f>B14/B$20</f>
        <v>0.11399057629575933</v>
      </c>
      <c r="H14" s="297">
        <f t="shared" ref="G14:I19" si="3">C14/C$20</f>
        <v>9.5949367088607601E-2</v>
      </c>
      <c r="I14" s="297">
        <f t="shared" si="3"/>
        <v>0.10518019410273846</v>
      </c>
    </row>
    <row r="15" spans="1:21" x14ac:dyDescent="0.25">
      <c r="A15" s="305" t="s">
        <v>733</v>
      </c>
      <c r="B15" s="296">
        <f>C5</f>
        <v>2898</v>
      </c>
      <c r="C15" s="296">
        <f>D5</f>
        <v>2796</v>
      </c>
      <c r="D15" s="296">
        <f t="shared" si="2"/>
        <v>5694</v>
      </c>
      <c r="E15" s="295"/>
      <c r="F15" s="305" t="s">
        <v>733</v>
      </c>
      <c r="G15" s="297">
        <f t="shared" si="3"/>
        <v>0.17506342877854295</v>
      </c>
      <c r="H15" s="297">
        <f t="shared" si="3"/>
        <v>0.17696202531645569</v>
      </c>
      <c r="I15" s="297">
        <f t="shared" si="3"/>
        <v>0.17599060394387092</v>
      </c>
    </row>
    <row r="16" spans="1:21" x14ac:dyDescent="0.25">
      <c r="A16" s="305" t="s">
        <v>734</v>
      </c>
      <c r="B16" s="296">
        <f>E5</f>
        <v>4046</v>
      </c>
      <c r="C16" s="296">
        <f>F5</f>
        <v>3435</v>
      </c>
      <c r="D16" s="296">
        <f t="shared" si="2"/>
        <v>7481</v>
      </c>
      <c r="E16" s="295"/>
      <c r="F16" s="305" t="s">
        <v>734</v>
      </c>
      <c r="G16" s="297">
        <f t="shared" si="3"/>
        <v>0.24441222665216866</v>
      </c>
      <c r="H16" s="297">
        <f t="shared" si="3"/>
        <v>0.21740506329113923</v>
      </c>
      <c r="I16" s="297">
        <f t="shared" si="3"/>
        <v>0.23122334178154169</v>
      </c>
    </row>
    <row r="17" spans="1:17" x14ac:dyDescent="0.25">
      <c r="A17" s="305" t="s">
        <v>735</v>
      </c>
      <c r="B17" s="296">
        <f>G5</f>
        <v>2475</v>
      </c>
      <c r="C17" s="296">
        <f>H5</f>
        <v>2093</v>
      </c>
      <c r="D17" s="296">
        <f t="shared" si="2"/>
        <v>4568</v>
      </c>
      <c r="E17" s="295"/>
      <c r="F17" s="305" t="s">
        <v>735</v>
      </c>
      <c r="G17" s="297">
        <f t="shared" si="3"/>
        <v>0.14951069227981154</v>
      </c>
      <c r="H17" s="297">
        <f t="shared" si="3"/>
        <v>0.13246835443037974</v>
      </c>
      <c r="I17" s="297">
        <f t="shared" si="3"/>
        <v>0.14118810657105768</v>
      </c>
    </row>
    <row r="18" spans="1:17" x14ac:dyDescent="0.25">
      <c r="A18" s="305" t="s">
        <v>736</v>
      </c>
      <c r="B18" s="296">
        <f>I5</f>
        <v>4749</v>
      </c>
      <c r="C18" s="296">
        <f>J5</f>
        <v>5597</v>
      </c>
      <c r="D18" s="296">
        <f t="shared" si="2"/>
        <v>10346</v>
      </c>
      <c r="E18" s="295"/>
      <c r="F18" s="305" t="s">
        <v>736</v>
      </c>
      <c r="G18" s="297">
        <f t="shared" si="3"/>
        <v>0.28687930409568685</v>
      </c>
      <c r="H18" s="297">
        <f t="shared" si="3"/>
        <v>0.35424050632911391</v>
      </c>
      <c r="I18" s="297">
        <f t="shared" si="3"/>
        <v>0.31977498918217223</v>
      </c>
    </row>
    <row r="19" spans="1:17" x14ac:dyDescent="0.25">
      <c r="A19" s="305" t="s">
        <v>737</v>
      </c>
      <c r="B19" s="296">
        <f>K5</f>
        <v>499</v>
      </c>
      <c r="C19" s="296">
        <f>L5</f>
        <v>363</v>
      </c>
      <c r="D19" s="296">
        <f t="shared" si="2"/>
        <v>862</v>
      </c>
      <c r="E19" s="295"/>
      <c r="F19" s="305" t="s">
        <v>737</v>
      </c>
      <c r="G19" s="297">
        <f t="shared" si="3"/>
        <v>3.0143771898030688E-2</v>
      </c>
      <c r="H19" s="297">
        <f t="shared" si="3"/>
        <v>2.2974683544303799E-2</v>
      </c>
      <c r="I19" s="297">
        <f t="shared" si="3"/>
        <v>2.6642764418619028E-2</v>
      </c>
    </row>
    <row r="20" spans="1:17" x14ac:dyDescent="0.25">
      <c r="A20" s="310" t="s">
        <v>715</v>
      </c>
      <c r="B20" s="311">
        <f>M5</f>
        <v>16554</v>
      </c>
      <c r="C20" s="311">
        <f>N5</f>
        <v>15800</v>
      </c>
      <c r="D20" s="311">
        <f t="shared" si="2"/>
        <v>32354</v>
      </c>
      <c r="E20" s="298"/>
      <c r="F20" s="310" t="s">
        <v>715</v>
      </c>
      <c r="G20" s="312">
        <f>B20/$D20</f>
        <v>0.51165234592322428</v>
      </c>
      <c r="H20" s="312">
        <f>C20/$D20</f>
        <v>0.48834765407677566</v>
      </c>
      <c r="I20" s="312">
        <f>SUM(I14:I19)</f>
        <v>0.99999999999999989</v>
      </c>
    </row>
    <row r="24" spans="1:17" x14ac:dyDescent="0.25">
      <c r="A24" s="3" t="s">
        <v>747</v>
      </c>
      <c r="B24" s="3" t="s">
        <v>748</v>
      </c>
      <c r="C24" s="3" t="s">
        <v>749</v>
      </c>
      <c r="D24" s="3" t="s">
        <v>750</v>
      </c>
      <c r="E24" s="3" t="s">
        <v>751</v>
      </c>
      <c r="F24" s="3" t="s">
        <v>752</v>
      </c>
      <c r="J24" s="3" t="s">
        <v>747</v>
      </c>
      <c r="K24" s="3" t="s">
        <v>1793</v>
      </c>
      <c r="L24" s="3" t="s">
        <v>1963</v>
      </c>
      <c r="M24" s="3" t="s">
        <v>750</v>
      </c>
      <c r="N24" s="3" t="s">
        <v>1964</v>
      </c>
      <c r="O24" s="3" t="s">
        <v>1794</v>
      </c>
    </row>
    <row r="25" spans="1:17" x14ac:dyDescent="0.25">
      <c r="A25" s="306" t="s">
        <v>1756</v>
      </c>
      <c r="B25" s="307">
        <f t="shared" ref="B25:B30" si="4">0.5-C25</f>
        <v>0.38600942370424068</v>
      </c>
      <c r="C25" s="308">
        <f>G14</f>
        <v>0.11399057629575933</v>
      </c>
      <c r="D25" s="306">
        <v>0.01</v>
      </c>
      <c r="E25" s="308">
        <f t="shared" ref="E25:E30" si="5">H14</f>
        <v>9.5949367088607601E-2</v>
      </c>
      <c r="F25" s="307">
        <f t="shared" ref="F25:F30" si="6">0.5-E25</f>
        <v>0.40405063291139243</v>
      </c>
      <c r="J25" s="306" t="s">
        <v>1787</v>
      </c>
      <c r="K25" s="307">
        <f>0.5-L25</f>
        <v>0.38600942370424068</v>
      </c>
      <c r="L25" s="308">
        <f>G14</f>
        <v>0.11399057629575933</v>
      </c>
      <c r="M25" s="306">
        <v>0.01</v>
      </c>
      <c r="N25" s="308">
        <f>H14</f>
        <v>9.5949367088607601E-2</v>
      </c>
      <c r="O25" s="307">
        <f>0.5-N25</f>
        <v>0.40405063291139243</v>
      </c>
    </row>
    <row r="26" spans="1:17" x14ac:dyDescent="0.25">
      <c r="A26" s="306" t="s">
        <v>1757</v>
      </c>
      <c r="B26" s="307">
        <f t="shared" si="4"/>
        <v>0.32493657122145703</v>
      </c>
      <c r="C26" s="308">
        <f t="shared" ref="C26:C30" si="7">G15</f>
        <v>0.17506342877854295</v>
      </c>
      <c r="D26" s="306">
        <v>0.01</v>
      </c>
      <c r="E26" s="308">
        <f t="shared" si="5"/>
        <v>0.17696202531645569</v>
      </c>
      <c r="F26" s="307">
        <f t="shared" si="6"/>
        <v>0.32303797468354434</v>
      </c>
      <c r="J26" s="306" t="s">
        <v>1788</v>
      </c>
      <c r="K26" s="307">
        <f t="shared" ref="K26:K30" si="8">0.5-L26</f>
        <v>0.32493657122145703</v>
      </c>
      <c r="L26" s="308">
        <f t="shared" ref="L26:L30" si="9">G15</f>
        <v>0.17506342877854295</v>
      </c>
      <c r="M26" s="306">
        <v>0.01</v>
      </c>
      <c r="N26" s="308">
        <f t="shared" ref="N26:N30" si="10">H15</f>
        <v>0.17696202531645569</v>
      </c>
      <c r="O26" s="307">
        <f t="shared" ref="O26:O30" si="11">0.5-N26</f>
        <v>0.32303797468354434</v>
      </c>
    </row>
    <row r="27" spans="1:17" x14ac:dyDescent="0.25">
      <c r="A27" s="306" t="s">
        <v>1758</v>
      </c>
      <c r="B27" s="307">
        <f t="shared" si="4"/>
        <v>0.25558777334783134</v>
      </c>
      <c r="C27" s="308">
        <f t="shared" si="7"/>
        <v>0.24441222665216866</v>
      </c>
      <c r="D27" s="306">
        <v>0.01</v>
      </c>
      <c r="E27" s="308">
        <f t="shared" si="5"/>
        <v>0.21740506329113923</v>
      </c>
      <c r="F27" s="307">
        <f t="shared" si="6"/>
        <v>0.28259493670886077</v>
      </c>
      <c r="J27" s="306" t="s">
        <v>1789</v>
      </c>
      <c r="K27" s="307">
        <f t="shared" si="8"/>
        <v>0.25558777334783134</v>
      </c>
      <c r="L27" s="308">
        <f t="shared" si="9"/>
        <v>0.24441222665216866</v>
      </c>
      <c r="M27" s="306">
        <v>0.01</v>
      </c>
      <c r="N27" s="308">
        <f t="shared" si="10"/>
        <v>0.21740506329113923</v>
      </c>
      <c r="O27" s="307">
        <f t="shared" si="11"/>
        <v>0.28259493670886077</v>
      </c>
    </row>
    <row r="28" spans="1:17" x14ac:dyDescent="0.25">
      <c r="A28" s="306" t="s">
        <v>1759</v>
      </c>
      <c r="B28" s="307">
        <f t="shared" si="4"/>
        <v>0.35048930772018849</v>
      </c>
      <c r="C28" s="308">
        <f t="shared" si="7"/>
        <v>0.14951069227981154</v>
      </c>
      <c r="D28" s="306">
        <v>0.01</v>
      </c>
      <c r="E28" s="308">
        <f t="shared" si="5"/>
        <v>0.13246835443037974</v>
      </c>
      <c r="F28" s="307">
        <f t="shared" si="6"/>
        <v>0.36753164556962026</v>
      </c>
      <c r="H28" s="227"/>
      <c r="J28" s="306" t="s">
        <v>1790</v>
      </c>
      <c r="K28" s="307">
        <f t="shared" si="8"/>
        <v>0.35048930772018849</v>
      </c>
      <c r="L28" s="308">
        <f t="shared" si="9"/>
        <v>0.14951069227981154</v>
      </c>
      <c r="M28" s="306">
        <v>0.01</v>
      </c>
      <c r="N28" s="308">
        <f t="shared" si="10"/>
        <v>0.13246835443037974</v>
      </c>
      <c r="O28" s="307">
        <f t="shared" si="11"/>
        <v>0.36753164556962026</v>
      </c>
    </row>
    <row r="29" spans="1:17" x14ac:dyDescent="0.25">
      <c r="A29" s="306" t="s">
        <v>1760</v>
      </c>
      <c r="B29" s="307">
        <f t="shared" si="4"/>
        <v>0.21312069590431315</v>
      </c>
      <c r="C29" s="308">
        <f t="shared" si="7"/>
        <v>0.28687930409568685</v>
      </c>
      <c r="D29" s="306">
        <v>0.01</v>
      </c>
      <c r="E29" s="308">
        <f t="shared" si="5"/>
        <v>0.35424050632911391</v>
      </c>
      <c r="F29" s="307">
        <f t="shared" si="6"/>
        <v>0.14575949367088609</v>
      </c>
      <c r="J29" s="306" t="s">
        <v>1791</v>
      </c>
      <c r="K29" s="307">
        <f t="shared" si="8"/>
        <v>0.21312069590431315</v>
      </c>
      <c r="L29" s="308">
        <f t="shared" si="9"/>
        <v>0.28687930409568685</v>
      </c>
      <c r="M29" s="306">
        <v>0.01</v>
      </c>
      <c r="N29" s="308">
        <f t="shared" si="10"/>
        <v>0.35424050632911391</v>
      </c>
      <c r="O29" s="307">
        <f t="shared" si="11"/>
        <v>0.14575949367088609</v>
      </c>
    </row>
    <row r="30" spans="1:17" x14ac:dyDescent="0.25">
      <c r="A30" s="306" t="s">
        <v>1761</v>
      </c>
      <c r="B30" s="307">
        <f t="shared" si="4"/>
        <v>0.46985622810196931</v>
      </c>
      <c r="C30" s="308">
        <f t="shared" si="7"/>
        <v>3.0143771898030688E-2</v>
      </c>
      <c r="D30" s="306">
        <v>0.01</v>
      </c>
      <c r="E30" s="308">
        <f t="shared" si="5"/>
        <v>2.2974683544303799E-2</v>
      </c>
      <c r="F30" s="307">
        <f t="shared" si="6"/>
        <v>0.47702531645569618</v>
      </c>
      <c r="J30" s="306" t="s">
        <v>1792</v>
      </c>
      <c r="K30" s="307">
        <f t="shared" si="8"/>
        <v>0.46985622810196931</v>
      </c>
      <c r="L30" s="308">
        <f t="shared" si="9"/>
        <v>3.0143771898030688E-2</v>
      </c>
      <c r="M30" s="306">
        <v>0.01</v>
      </c>
      <c r="N30" s="308">
        <f t="shared" si="10"/>
        <v>2.2974683544303799E-2</v>
      </c>
      <c r="O30" s="307">
        <f t="shared" si="11"/>
        <v>0.47702531645569618</v>
      </c>
    </row>
    <row r="31" spans="1:17" x14ac:dyDescent="0.25">
      <c r="A31" s="97"/>
      <c r="B31" s="98"/>
      <c r="C31" s="98"/>
      <c r="D31" s="98"/>
      <c r="E31" s="98"/>
      <c r="F31" s="98"/>
      <c r="G31" s="98"/>
      <c r="Q31" s="227"/>
    </row>
    <row r="32" spans="1:17" x14ac:dyDescent="0.25">
      <c r="C32" s="98"/>
      <c r="D32" s="98"/>
      <c r="E32" s="98"/>
      <c r="F32" s="98"/>
    </row>
    <row r="38" spans="1:14" hidden="1" x14ac:dyDescent="0.25"/>
    <row r="39" spans="1:14" hidden="1" x14ac:dyDescent="0.25">
      <c r="A39" s="371" t="s">
        <v>732</v>
      </c>
      <c r="B39" s="372"/>
      <c r="C39" s="371" t="s">
        <v>733</v>
      </c>
      <c r="D39" s="372"/>
      <c r="E39" s="371" t="s">
        <v>734</v>
      </c>
      <c r="F39" s="372"/>
      <c r="G39" s="371" t="s">
        <v>735</v>
      </c>
      <c r="H39" s="372"/>
      <c r="I39" s="371" t="s">
        <v>736</v>
      </c>
      <c r="J39" s="372"/>
      <c r="K39" s="371" t="s">
        <v>737</v>
      </c>
      <c r="L39" s="372"/>
      <c r="M39" s="371" t="s">
        <v>715</v>
      </c>
      <c r="N39" s="372"/>
    </row>
    <row r="40" spans="1:14" hidden="1" x14ac:dyDescent="0.25">
      <c r="A40" s="353" t="s">
        <v>738</v>
      </c>
      <c r="B40" s="353" t="s">
        <v>739</v>
      </c>
      <c r="C40" s="353" t="s">
        <v>738</v>
      </c>
      <c r="D40" s="353" t="s">
        <v>739</v>
      </c>
      <c r="E40" s="353" t="s">
        <v>738</v>
      </c>
      <c r="F40" s="353" t="s">
        <v>739</v>
      </c>
      <c r="G40" s="353" t="s">
        <v>738</v>
      </c>
      <c r="H40" s="353" t="s">
        <v>739</v>
      </c>
      <c r="I40" s="353" t="s">
        <v>738</v>
      </c>
      <c r="J40" s="353" t="s">
        <v>739</v>
      </c>
      <c r="K40" s="353" t="s">
        <v>738</v>
      </c>
      <c r="L40" s="353" t="s">
        <v>739</v>
      </c>
      <c r="M40" s="353" t="s">
        <v>738</v>
      </c>
      <c r="N40" s="353" t="s">
        <v>739</v>
      </c>
    </row>
    <row r="41" spans="1:14" hidden="1" x14ac:dyDescent="0.25">
      <c r="A41" s="354">
        <v>0</v>
      </c>
      <c r="B41" s="354">
        <v>1</v>
      </c>
      <c r="C41" s="354">
        <v>1</v>
      </c>
      <c r="D41" s="354">
        <v>0</v>
      </c>
      <c r="E41" s="354">
        <v>2</v>
      </c>
      <c r="F41" s="354">
        <v>0</v>
      </c>
      <c r="G41" s="354">
        <v>0</v>
      </c>
      <c r="H41" s="354">
        <v>0</v>
      </c>
      <c r="I41" s="354">
        <v>1</v>
      </c>
      <c r="J41" s="354">
        <v>1</v>
      </c>
      <c r="K41" s="354">
        <v>0</v>
      </c>
      <c r="L41" s="354">
        <v>0</v>
      </c>
      <c r="M41" s="355">
        <v>4</v>
      </c>
      <c r="N41" s="355">
        <v>2</v>
      </c>
    </row>
    <row r="42" spans="1:14" hidden="1" x14ac:dyDescent="0.25">
      <c r="A42" s="354">
        <v>0</v>
      </c>
      <c r="B42" s="354">
        <v>2</v>
      </c>
      <c r="C42" s="354">
        <v>2</v>
      </c>
      <c r="D42" s="354">
        <v>1</v>
      </c>
      <c r="E42" s="354">
        <v>0</v>
      </c>
      <c r="F42" s="354">
        <v>0</v>
      </c>
      <c r="G42" s="354">
        <v>1</v>
      </c>
      <c r="H42" s="354">
        <v>0</v>
      </c>
      <c r="I42" s="354">
        <v>1</v>
      </c>
      <c r="J42" s="354">
        <v>1</v>
      </c>
      <c r="K42" s="354">
        <v>0</v>
      </c>
      <c r="L42" s="354">
        <v>1</v>
      </c>
      <c r="M42" s="355">
        <v>4</v>
      </c>
      <c r="N42" s="355">
        <v>5</v>
      </c>
    </row>
    <row r="43" spans="1:14" hidden="1" x14ac:dyDescent="0.25">
      <c r="A43" s="354">
        <v>0</v>
      </c>
      <c r="B43" s="354">
        <v>0</v>
      </c>
      <c r="C43" s="354">
        <v>1</v>
      </c>
      <c r="D43" s="354">
        <v>0</v>
      </c>
      <c r="E43" s="354">
        <v>1</v>
      </c>
      <c r="F43" s="354">
        <v>1</v>
      </c>
      <c r="G43" s="354">
        <v>1</v>
      </c>
      <c r="H43" s="354">
        <v>0</v>
      </c>
      <c r="I43" s="354">
        <v>1</v>
      </c>
      <c r="J43" s="354">
        <v>2</v>
      </c>
      <c r="K43" s="354">
        <v>0</v>
      </c>
      <c r="L43" s="354">
        <v>0</v>
      </c>
      <c r="M43" s="355">
        <v>4</v>
      </c>
      <c r="N43" s="355">
        <v>3</v>
      </c>
    </row>
    <row r="44" spans="1:14" hidden="1" x14ac:dyDescent="0.25">
      <c r="A44" s="354">
        <v>0</v>
      </c>
      <c r="B44" s="354">
        <v>0</v>
      </c>
      <c r="C44" s="354">
        <v>0</v>
      </c>
      <c r="D44" s="354">
        <v>1</v>
      </c>
      <c r="E44" s="354">
        <v>1</v>
      </c>
      <c r="F44" s="354">
        <v>1</v>
      </c>
      <c r="G44" s="354">
        <v>0</v>
      </c>
      <c r="H44" s="354">
        <v>0</v>
      </c>
      <c r="I44" s="354">
        <v>1</v>
      </c>
      <c r="J44" s="354">
        <v>1</v>
      </c>
      <c r="K44" s="354">
        <v>0</v>
      </c>
      <c r="L44" s="354">
        <v>0</v>
      </c>
      <c r="M44" s="355">
        <v>2</v>
      </c>
      <c r="N44" s="355">
        <v>3</v>
      </c>
    </row>
    <row r="45" spans="1:14" hidden="1" x14ac:dyDescent="0.25">
      <c r="A45" s="354">
        <v>0</v>
      </c>
      <c r="B45" s="354">
        <v>0</v>
      </c>
      <c r="C45" s="354">
        <v>1</v>
      </c>
      <c r="D45" s="354">
        <v>0</v>
      </c>
      <c r="E45" s="354">
        <v>0</v>
      </c>
      <c r="F45" s="354">
        <v>2</v>
      </c>
      <c r="G45" s="354">
        <v>1</v>
      </c>
      <c r="H45" s="354">
        <v>0</v>
      </c>
      <c r="I45" s="354">
        <v>1</v>
      </c>
      <c r="J45" s="354">
        <v>1</v>
      </c>
      <c r="K45" s="354">
        <v>0</v>
      </c>
      <c r="L45" s="354">
        <v>0</v>
      </c>
      <c r="M45" s="355">
        <v>3</v>
      </c>
      <c r="N45" s="355">
        <v>3</v>
      </c>
    </row>
    <row r="46" spans="1:14" hidden="1" x14ac:dyDescent="0.25">
      <c r="A46" s="354">
        <v>0</v>
      </c>
      <c r="B46" s="354">
        <v>0</v>
      </c>
      <c r="C46" s="354">
        <v>0</v>
      </c>
      <c r="D46" s="354">
        <v>1</v>
      </c>
      <c r="E46" s="354">
        <v>2</v>
      </c>
      <c r="F46" s="354">
        <v>0</v>
      </c>
      <c r="G46" s="354">
        <v>0</v>
      </c>
      <c r="H46" s="354">
        <v>1</v>
      </c>
      <c r="I46" s="354">
        <v>1</v>
      </c>
      <c r="J46" s="354">
        <v>1</v>
      </c>
      <c r="K46" s="354">
        <v>0</v>
      </c>
      <c r="L46" s="354">
        <v>0</v>
      </c>
      <c r="M46" s="355">
        <v>3</v>
      </c>
      <c r="N46" s="355">
        <v>3</v>
      </c>
    </row>
    <row r="47" spans="1:14" hidden="1" x14ac:dyDescent="0.25">
      <c r="A47" s="354">
        <v>0</v>
      </c>
      <c r="B47" s="354">
        <v>1</v>
      </c>
      <c r="C47" s="354">
        <v>1</v>
      </c>
      <c r="D47" s="354">
        <v>1</v>
      </c>
      <c r="E47" s="354">
        <v>0</v>
      </c>
      <c r="F47" s="354">
        <v>6</v>
      </c>
      <c r="G47" s="354">
        <v>0</v>
      </c>
      <c r="H47" s="354">
        <v>2</v>
      </c>
      <c r="I47" s="354">
        <v>1</v>
      </c>
      <c r="J47" s="354">
        <v>1</v>
      </c>
      <c r="K47" s="354">
        <v>0</v>
      </c>
      <c r="L47" s="354">
        <v>0</v>
      </c>
      <c r="M47" s="355">
        <v>2</v>
      </c>
      <c r="N47" s="355">
        <v>11</v>
      </c>
    </row>
    <row r="48" spans="1:14" hidden="1" x14ac:dyDescent="0.25">
      <c r="A48" s="354">
        <v>0</v>
      </c>
      <c r="B48" s="354">
        <v>1</v>
      </c>
      <c r="C48" s="354">
        <v>0</v>
      </c>
      <c r="D48" s="354">
        <v>1</v>
      </c>
      <c r="E48" s="354">
        <v>2</v>
      </c>
      <c r="F48" s="354">
        <v>0</v>
      </c>
      <c r="G48" s="354">
        <v>1</v>
      </c>
      <c r="H48" s="354">
        <v>0</v>
      </c>
      <c r="I48" s="354">
        <v>1</v>
      </c>
      <c r="J48" s="354">
        <v>1</v>
      </c>
      <c r="K48" s="354">
        <v>0</v>
      </c>
      <c r="L48" s="354">
        <v>0</v>
      </c>
      <c r="M48" s="355">
        <v>4</v>
      </c>
      <c r="N48" s="355">
        <v>3</v>
      </c>
    </row>
    <row r="49" spans="1:14" hidden="1" x14ac:dyDescent="0.25">
      <c r="A49" s="354">
        <v>0</v>
      </c>
      <c r="B49" s="354">
        <v>0</v>
      </c>
      <c r="C49" s="354">
        <v>2</v>
      </c>
      <c r="D49" s="354">
        <v>0</v>
      </c>
      <c r="E49" s="354">
        <v>0</v>
      </c>
      <c r="F49" s="354">
        <v>1</v>
      </c>
      <c r="G49" s="354">
        <v>0</v>
      </c>
      <c r="H49" s="354">
        <v>0</v>
      </c>
      <c r="I49" s="354">
        <v>0</v>
      </c>
      <c r="J49" s="354">
        <v>1</v>
      </c>
      <c r="K49" s="354">
        <v>0</v>
      </c>
      <c r="L49" s="354">
        <v>0</v>
      </c>
      <c r="M49" s="355">
        <v>2</v>
      </c>
      <c r="N49" s="355">
        <v>2</v>
      </c>
    </row>
    <row r="50" spans="1:14" hidden="1" x14ac:dyDescent="0.25">
      <c r="A50" s="354">
        <v>0</v>
      </c>
      <c r="B50" s="354">
        <v>1</v>
      </c>
      <c r="C50" s="354">
        <v>0</v>
      </c>
      <c r="D50" s="354">
        <v>1</v>
      </c>
      <c r="E50" s="354">
        <v>0</v>
      </c>
      <c r="F50" s="354">
        <v>0</v>
      </c>
      <c r="G50" s="354">
        <v>0</v>
      </c>
      <c r="H50" s="354">
        <v>0</v>
      </c>
      <c r="I50" s="354">
        <v>1</v>
      </c>
      <c r="J50" s="354">
        <v>1</v>
      </c>
      <c r="K50" s="354">
        <v>0</v>
      </c>
      <c r="L50" s="354">
        <v>0</v>
      </c>
      <c r="M50" s="355">
        <v>1</v>
      </c>
      <c r="N50" s="355">
        <v>3</v>
      </c>
    </row>
    <row r="51" spans="1:14" hidden="1" x14ac:dyDescent="0.25">
      <c r="A51" s="354">
        <v>1</v>
      </c>
      <c r="B51" s="354">
        <v>0</v>
      </c>
      <c r="C51" s="354">
        <v>0</v>
      </c>
      <c r="D51" s="354">
        <v>0</v>
      </c>
      <c r="E51" s="354">
        <v>0</v>
      </c>
      <c r="F51" s="354">
        <v>0</v>
      </c>
      <c r="G51" s="354">
        <v>0</v>
      </c>
      <c r="H51" s="354">
        <v>0</v>
      </c>
      <c r="I51" s="354">
        <v>1</v>
      </c>
      <c r="J51" s="354">
        <v>1</v>
      </c>
      <c r="K51" s="354">
        <v>0</v>
      </c>
      <c r="L51" s="354">
        <v>0</v>
      </c>
      <c r="M51" s="355">
        <v>2</v>
      </c>
      <c r="N51" s="355">
        <v>1</v>
      </c>
    </row>
    <row r="52" spans="1:14" hidden="1" x14ac:dyDescent="0.25">
      <c r="A52" s="354">
        <v>1</v>
      </c>
      <c r="B52" s="354">
        <v>0</v>
      </c>
      <c r="C52" s="354">
        <v>0</v>
      </c>
      <c r="D52" s="354">
        <v>1</v>
      </c>
      <c r="E52" s="354">
        <v>0</v>
      </c>
      <c r="F52" s="354">
        <v>1</v>
      </c>
      <c r="G52" s="354">
        <v>0</v>
      </c>
      <c r="H52" s="354">
        <v>0</v>
      </c>
      <c r="I52" s="354">
        <v>1</v>
      </c>
      <c r="J52" s="354">
        <v>1</v>
      </c>
      <c r="K52" s="354">
        <v>0</v>
      </c>
      <c r="L52" s="354">
        <v>0</v>
      </c>
      <c r="M52" s="355">
        <v>2</v>
      </c>
      <c r="N52" s="355">
        <v>3</v>
      </c>
    </row>
    <row r="53" spans="1:14" hidden="1" x14ac:dyDescent="0.25">
      <c r="A53" s="354">
        <v>0</v>
      </c>
      <c r="B53" s="354">
        <v>0</v>
      </c>
      <c r="C53" s="354">
        <v>0</v>
      </c>
      <c r="D53" s="354">
        <v>0</v>
      </c>
      <c r="E53" s="354">
        <v>0</v>
      </c>
      <c r="F53" s="354">
        <v>0</v>
      </c>
      <c r="G53" s="354">
        <v>0</v>
      </c>
      <c r="H53" s="354">
        <v>0</v>
      </c>
      <c r="I53" s="354">
        <v>1</v>
      </c>
      <c r="J53" s="354">
        <v>1</v>
      </c>
      <c r="K53" s="354">
        <v>0</v>
      </c>
      <c r="L53" s="354">
        <v>0</v>
      </c>
      <c r="M53" s="355">
        <v>1</v>
      </c>
      <c r="N53" s="355">
        <v>1</v>
      </c>
    </row>
    <row r="54" spans="1:14" hidden="1" x14ac:dyDescent="0.25">
      <c r="A54" s="354">
        <v>0</v>
      </c>
      <c r="B54" s="354">
        <v>0</v>
      </c>
      <c r="C54" s="354">
        <v>1</v>
      </c>
      <c r="D54" s="354">
        <v>0</v>
      </c>
      <c r="E54" s="354">
        <v>0</v>
      </c>
      <c r="F54" s="354">
        <v>1</v>
      </c>
      <c r="G54" s="354">
        <v>0</v>
      </c>
      <c r="H54" s="354">
        <v>0</v>
      </c>
      <c r="I54" s="354">
        <v>2</v>
      </c>
      <c r="J54" s="354">
        <v>1</v>
      </c>
      <c r="K54" s="354">
        <v>0</v>
      </c>
      <c r="L54" s="354">
        <v>0</v>
      </c>
      <c r="M54" s="355">
        <v>3</v>
      </c>
      <c r="N54" s="355">
        <v>2</v>
      </c>
    </row>
    <row r="55" spans="1:14" hidden="1" x14ac:dyDescent="0.25">
      <c r="A55" s="354">
        <v>0</v>
      </c>
      <c r="B55" s="354">
        <v>0</v>
      </c>
      <c r="C55" s="354">
        <v>0</v>
      </c>
      <c r="D55" s="354">
        <v>1</v>
      </c>
      <c r="E55" s="354">
        <v>2</v>
      </c>
      <c r="F55" s="354">
        <v>0</v>
      </c>
      <c r="G55" s="354">
        <v>1</v>
      </c>
      <c r="H55" s="354">
        <v>1</v>
      </c>
      <c r="I55" s="354">
        <v>1</v>
      </c>
      <c r="J55" s="354">
        <v>1</v>
      </c>
      <c r="K55" s="354">
        <v>0</v>
      </c>
      <c r="L55" s="354">
        <v>0</v>
      </c>
      <c r="M55" s="355">
        <v>4</v>
      </c>
      <c r="N55" s="355">
        <v>3</v>
      </c>
    </row>
    <row r="56" spans="1:14" hidden="1" x14ac:dyDescent="0.25">
      <c r="A56" s="354">
        <v>1</v>
      </c>
      <c r="B56" s="354">
        <v>0</v>
      </c>
      <c r="C56" s="354">
        <v>0</v>
      </c>
      <c r="D56" s="354">
        <v>1</v>
      </c>
      <c r="E56" s="354">
        <v>1</v>
      </c>
      <c r="F56" s="354">
        <v>0</v>
      </c>
      <c r="G56" s="354">
        <v>0</v>
      </c>
      <c r="H56" s="354">
        <v>0</v>
      </c>
      <c r="I56" s="354">
        <v>1</v>
      </c>
      <c r="J56" s="354">
        <v>1</v>
      </c>
      <c r="K56" s="354">
        <v>0</v>
      </c>
      <c r="L56" s="354">
        <v>0</v>
      </c>
      <c r="M56" s="355">
        <v>3</v>
      </c>
      <c r="N56" s="355">
        <v>2</v>
      </c>
    </row>
    <row r="57" spans="1:14" hidden="1" x14ac:dyDescent="0.25">
      <c r="A57" s="354">
        <v>2</v>
      </c>
      <c r="B57" s="354">
        <v>0</v>
      </c>
      <c r="C57" s="354">
        <v>1</v>
      </c>
      <c r="D57" s="354">
        <v>1</v>
      </c>
      <c r="E57" s="354">
        <v>2</v>
      </c>
      <c r="F57" s="354">
        <v>0</v>
      </c>
      <c r="G57" s="354">
        <v>1</v>
      </c>
      <c r="H57" s="354">
        <v>2</v>
      </c>
      <c r="I57" s="354">
        <v>1</v>
      </c>
      <c r="J57" s="354">
        <v>2</v>
      </c>
      <c r="K57" s="354">
        <v>0</v>
      </c>
      <c r="L57" s="354">
        <v>0</v>
      </c>
      <c r="M57" s="355">
        <v>7</v>
      </c>
      <c r="N57" s="355">
        <v>5</v>
      </c>
    </row>
    <row r="58" spans="1:14" hidden="1" x14ac:dyDescent="0.25">
      <c r="A58" s="354">
        <v>1</v>
      </c>
      <c r="B58" s="354">
        <v>0</v>
      </c>
      <c r="C58" s="354">
        <v>1</v>
      </c>
      <c r="D58" s="354">
        <v>0</v>
      </c>
      <c r="E58" s="354">
        <v>0</v>
      </c>
      <c r="F58" s="354">
        <v>2</v>
      </c>
      <c r="G58" s="354">
        <v>0</v>
      </c>
      <c r="H58" s="354">
        <v>0</v>
      </c>
      <c r="I58" s="354">
        <v>1</v>
      </c>
      <c r="J58" s="354">
        <v>1</v>
      </c>
      <c r="K58" s="354">
        <v>0</v>
      </c>
      <c r="L58" s="354">
        <v>0</v>
      </c>
      <c r="M58" s="355">
        <v>3</v>
      </c>
      <c r="N58" s="355">
        <v>3</v>
      </c>
    </row>
    <row r="59" spans="1:14" hidden="1" x14ac:dyDescent="0.25">
      <c r="A59" s="354">
        <v>0</v>
      </c>
      <c r="B59" s="354">
        <v>0</v>
      </c>
      <c r="C59" s="354">
        <v>0</v>
      </c>
      <c r="D59" s="354">
        <v>1</v>
      </c>
      <c r="E59" s="354">
        <v>1</v>
      </c>
      <c r="F59" s="354">
        <v>1</v>
      </c>
      <c r="G59" s="354">
        <v>0</v>
      </c>
      <c r="H59" s="354">
        <v>1</v>
      </c>
      <c r="I59" s="354">
        <v>0</v>
      </c>
      <c r="J59" s="354">
        <v>1</v>
      </c>
      <c r="K59" s="354">
        <v>0</v>
      </c>
      <c r="L59" s="354">
        <v>0</v>
      </c>
      <c r="M59" s="355">
        <v>1</v>
      </c>
      <c r="N59" s="355">
        <v>4</v>
      </c>
    </row>
    <row r="60" spans="1:14" hidden="1" x14ac:dyDescent="0.25">
      <c r="A60" s="354">
        <v>0</v>
      </c>
      <c r="B60" s="354">
        <v>0</v>
      </c>
      <c r="C60" s="354">
        <v>1</v>
      </c>
      <c r="D60" s="354">
        <v>0</v>
      </c>
      <c r="E60" s="354">
        <v>1</v>
      </c>
      <c r="F60" s="354">
        <v>1</v>
      </c>
      <c r="G60" s="354">
        <v>0</v>
      </c>
      <c r="H60" s="354">
        <v>1</v>
      </c>
      <c r="I60" s="354">
        <v>1</v>
      </c>
      <c r="J60" s="354">
        <v>1</v>
      </c>
      <c r="K60" s="354">
        <v>0</v>
      </c>
      <c r="L60" s="354">
        <v>0</v>
      </c>
      <c r="M60" s="355">
        <v>3</v>
      </c>
      <c r="N60" s="355">
        <v>3</v>
      </c>
    </row>
    <row r="61" spans="1:14" hidden="1" x14ac:dyDescent="0.25">
      <c r="A61" s="354">
        <v>0</v>
      </c>
      <c r="B61" s="354">
        <v>0</v>
      </c>
      <c r="C61" s="354">
        <v>0</v>
      </c>
      <c r="D61" s="354">
        <v>0</v>
      </c>
      <c r="E61" s="354">
        <v>1</v>
      </c>
      <c r="F61" s="354">
        <v>1</v>
      </c>
      <c r="G61" s="354">
        <v>0</v>
      </c>
      <c r="H61" s="354">
        <v>2</v>
      </c>
      <c r="I61" s="354">
        <v>0</v>
      </c>
      <c r="J61" s="354">
        <v>2</v>
      </c>
      <c r="K61" s="354">
        <v>0</v>
      </c>
      <c r="L61" s="354">
        <v>0</v>
      </c>
      <c r="M61" s="355">
        <v>1</v>
      </c>
      <c r="N61" s="355">
        <v>5</v>
      </c>
    </row>
    <row r="62" spans="1:14" hidden="1" x14ac:dyDescent="0.25">
      <c r="A62" s="354">
        <v>0</v>
      </c>
      <c r="B62" s="354">
        <v>1</v>
      </c>
      <c r="C62" s="354">
        <v>0</v>
      </c>
      <c r="D62" s="354">
        <v>1</v>
      </c>
      <c r="E62" s="354">
        <v>2</v>
      </c>
      <c r="F62" s="354">
        <v>0</v>
      </c>
      <c r="G62" s="354">
        <v>0</v>
      </c>
      <c r="H62" s="354">
        <v>0</v>
      </c>
      <c r="I62" s="354">
        <v>0</v>
      </c>
      <c r="J62" s="354">
        <v>1</v>
      </c>
      <c r="K62" s="354">
        <v>0</v>
      </c>
      <c r="L62" s="354">
        <v>0</v>
      </c>
      <c r="M62" s="355">
        <v>2</v>
      </c>
      <c r="N62" s="355">
        <v>3</v>
      </c>
    </row>
    <row r="63" spans="1:14" hidden="1" x14ac:dyDescent="0.25">
      <c r="A63" s="354">
        <v>0</v>
      </c>
      <c r="B63" s="354">
        <v>3</v>
      </c>
      <c r="C63" s="354">
        <v>1</v>
      </c>
      <c r="D63" s="354">
        <v>1</v>
      </c>
      <c r="E63" s="354">
        <v>2</v>
      </c>
      <c r="F63" s="354">
        <v>5</v>
      </c>
      <c r="G63" s="354">
        <v>4</v>
      </c>
      <c r="H63" s="354">
        <v>1</v>
      </c>
      <c r="I63" s="354">
        <v>1</v>
      </c>
      <c r="J63" s="354">
        <v>2</v>
      </c>
      <c r="K63" s="354">
        <v>0</v>
      </c>
      <c r="L63" s="354">
        <v>0</v>
      </c>
      <c r="M63" s="355">
        <v>8</v>
      </c>
      <c r="N63" s="355">
        <v>12</v>
      </c>
    </row>
    <row r="64" spans="1:14" hidden="1" x14ac:dyDescent="0.25">
      <c r="A64" s="354">
        <v>0</v>
      </c>
      <c r="B64" s="354">
        <v>0</v>
      </c>
      <c r="C64" s="354">
        <v>0</v>
      </c>
      <c r="D64" s="354">
        <v>0</v>
      </c>
      <c r="E64" s="354">
        <v>0</v>
      </c>
      <c r="F64" s="354">
        <v>0</v>
      </c>
      <c r="G64" s="354">
        <v>0</v>
      </c>
      <c r="H64" s="354">
        <v>0</v>
      </c>
      <c r="I64" s="354">
        <v>1</v>
      </c>
      <c r="J64" s="354">
        <v>1</v>
      </c>
      <c r="K64" s="354">
        <v>0</v>
      </c>
      <c r="L64" s="354">
        <v>0</v>
      </c>
      <c r="M64" s="355">
        <v>1</v>
      </c>
      <c r="N64" s="355">
        <v>1</v>
      </c>
    </row>
    <row r="65" spans="1:14" hidden="1" x14ac:dyDescent="0.25">
      <c r="A65" s="354">
        <v>0</v>
      </c>
      <c r="B65" s="354">
        <v>1</v>
      </c>
      <c r="C65" s="354">
        <v>0</v>
      </c>
      <c r="D65" s="354">
        <v>1</v>
      </c>
      <c r="E65" s="354">
        <v>1</v>
      </c>
      <c r="F65" s="354">
        <v>0</v>
      </c>
      <c r="G65" s="354">
        <v>0</v>
      </c>
      <c r="H65" s="354">
        <v>0</v>
      </c>
      <c r="I65" s="354">
        <v>1</v>
      </c>
      <c r="J65" s="354">
        <v>1</v>
      </c>
      <c r="K65" s="354">
        <v>0</v>
      </c>
      <c r="L65" s="354">
        <v>0</v>
      </c>
      <c r="M65" s="355">
        <v>2</v>
      </c>
      <c r="N65" s="355">
        <v>3</v>
      </c>
    </row>
    <row r="66" spans="1:14" hidden="1" x14ac:dyDescent="0.25">
      <c r="A66" s="354">
        <v>0</v>
      </c>
      <c r="B66" s="354">
        <v>0</v>
      </c>
      <c r="C66" s="354">
        <v>1</v>
      </c>
      <c r="D66" s="354">
        <v>1</v>
      </c>
      <c r="E66" s="354">
        <v>1</v>
      </c>
      <c r="F66" s="354">
        <v>2</v>
      </c>
      <c r="G66" s="354">
        <v>1</v>
      </c>
      <c r="H66" s="354">
        <v>0</v>
      </c>
      <c r="I66" s="354">
        <v>1</v>
      </c>
      <c r="J66" s="354">
        <v>1</v>
      </c>
      <c r="K66" s="354">
        <v>0</v>
      </c>
      <c r="L66" s="354">
        <v>0</v>
      </c>
      <c r="M66" s="355">
        <v>4</v>
      </c>
      <c r="N66" s="355">
        <v>4</v>
      </c>
    </row>
    <row r="67" spans="1:14" hidden="1" x14ac:dyDescent="0.25">
      <c r="A67" s="354"/>
      <c r="B67" s="354">
        <v>2</v>
      </c>
      <c r="C67" s="354">
        <v>0</v>
      </c>
      <c r="D67" s="354">
        <v>1</v>
      </c>
      <c r="E67" s="354">
        <v>1</v>
      </c>
      <c r="F67" s="354">
        <v>1</v>
      </c>
      <c r="G67" s="354">
        <v>1</v>
      </c>
      <c r="H67" s="354">
        <v>1</v>
      </c>
      <c r="I67" s="354">
        <v>1</v>
      </c>
      <c r="J67" s="354">
        <v>1</v>
      </c>
      <c r="K67" s="354">
        <v>0</v>
      </c>
      <c r="L67" s="354">
        <v>0</v>
      </c>
      <c r="M67" s="355">
        <v>3</v>
      </c>
      <c r="N67" s="355">
        <v>6</v>
      </c>
    </row>
    <row r="68" spans="1:14" hidden="1" x14ac:dyDescent="0.25">
      <c r="A68" s="354">
        <v>0</v>
      </c>
      <c r="B68" s="354">
        <v>0</v>
      </c>
      <c r="C68" s="354">
        <v>1</v>
      </c>
      <c r="D68" s="354">
        <v>1</v>
      </c>
      <c r="E68" s="354">
        <v>0</v>
      </c>
      <c r="F68" s="354">
        <v>2</v>
      </c>
      <c r="G68" s="354">
        <v>1</v>
      </c>
      <c r="H68" s="354">
        <v>2</v>
      </c>
      <c r="I68" s="354">
        <v>0</v>
      </c>
      <c r="J68" s="354">
        <v>1</v>
      </c>
      <c r="K68" s="354">
        <v>0</v>
      </c>
      <c r="L68" s="354">
        <v>0</v>
      </c>
      <c r="M68" s="355">
        <v>2</v>
      </c>
      <c r="N68" s="355">
        <v>6</v>
      </c>
    </row>
    <row r="69" spans="1:14" hidden="1" x14ac:dyDescent="0.25">
      <c r="A69" s="354">
        <v>0</v>
      </c>
      <c r="B69" s="354">
        <v>0</v>
      </c>
      <c r="C69" s="354">
        <v>0</v>
      </c>
      <c r="D69" s="354">
        <v>0</v>
      </c>
      <c r="E69" s="354">
        <v>0</v>
      </c>
      <c r="F69" s="354">
        <v>0</v>
      </c>
      <c r="G69" s="354">
        <v>0</v>
      </c>
      <c r="H69" s="354">
        <v>1</v>
      </c>
      <c r="I69" s="354">
        <v>0</v>
      </c>
      <c r="J69" s="354">
        <v>1</v>
      </c>
      <c r="K69" s="354">
        <v>0</v>
      </c>
      <c r="L69" s="354">
        <v>0</v>
      </c>
      <c r="M69" s="355">
        <v>0</v>
      </c>
      <c r="N69" s="355">
        <v>2</v>
      </c>
    </row>
    <row r="70" spans="1:14" hidden="1" x14ac:dyDescent="0.25">
      <c r="A70" s="354">
        <v>1</v>
      </c>
      <c r="B70" s="354">
        <v>0</v>
      </c>
      <c r="C70" s="354">
        <v>0</v>
      </c>
      <c r="D70" s="354">
        <v>2</v>
      </c>
      <c r="E70" s="354">
        <v>0</v>
      </c>
      <c r="F70" s="354">
        <v>0</v>
      </c>
      <c r="G70" s="354">
        <v>0</v>
      </c>
      <c r="H70" s="354">
        <v>0</v>
      </c>
      <c r="I70" s="354">
        <v>1</v>
      </c>
      <c r="J70" s="354">
        <v>1</v>
      </c>
      <c r="K70" s="354">
        <v>0</v>
      </c>
      <c r="L70" s="354">
        <v>0</v>
      </c>
      <c r="M70" s="355">
        <v>2</v>
      </c>
      <c r="N70" s="355">
        <v>3</v>
      </c>
    </row>
    <row r="71" spans="1:14" hidden="1" x14ac:dyDescent="0.25">
      <c r="A71" s="354">
        <v>0</v>
      </c>
      <c r="B71" s="354">
        <v>0</v>
      </c>
      <c r="C71" s="354">
        <v>0</v>
      </c>
      <c r="D71" s="354">
        <v>0</v>
      </c>
      <c r="E71" s="354">
        <v>0</v>
      </c>
      <c r="F71" s="354">
        <v>0</v>
      </c>
      <c r="G71" s="354">
        <v>0</v>
      </c>
      <c r="H71" s="354">
        <v>0</v>
      </c>
      <c r="I71" s="354">
        <v>1</v>
      </c>
      <c r="J71" s="354">
        <v>1</v>
      </c>
      <c r="K71" s="354">
        <v>0</v>
      </c>
      <c r="L71" s="354">
        <v>0</v>
      </c>
      <c r="M71" s="355">
        <v>1</v>
      </c>
      <c r="N71" s="355">
        <v>1</v>
      </c>
    </row>
    <row r="72" spans="1:14" hidden="1" x14ac:dyDescent="0.25">
      <c r="A72" s="354">
        <v>1</v>
      </c>
      <c r="B72" s="354">
        <v>0</v>
      </c>
      <c r="C72" s="354">
        <v>2</v>
      </c>
      <c r="D72" s="354">
        <v>0</v>
      </c>
      <c r="E72" s="354">
        <v>1</v>
      </c>
      <c r="F72" s="354">
        <v>1</v>
      </c>
      <c r="G72" s="354">
        <v>0</v>
      </c>
      <c r="H72" s="354">
        <v>1</v>
      </c>
      <c r="I72" s="354">
        <v>1</v>
      </c>
      <c r="J72" s="354">
        <v>1</v>
      </c>
      <c r="K72" s="354">
        <v>0</v>
      </c>
      <c r="L72" s="354">
        <v>0</v>
      </c>
      <c r="M72" s="355">
        <v>5</v>
      </c>
      <c r="N72" s="355">
        <v>3</v>
      </c>
    </row>
    <row r="73" spans="1:14" hidden="1" x14ac:dyDescent="0.25">
      <c r="A73" s="354">
        <v>0</v>
      </c>
      <c r="B73" s="354">
        <v>1</v>
      </c>
      <c r="C73" s="354">
        <v>0</v>
      </c>
      <c r="D73" s="354">
        <v>2</v>
      </c>
      <c r="E73" s="354">
        <v>2</v>
      </c>
      <c r="F73" s="354">
        <v>1</v>
      </c>
      <c r="G73" s="354">
        <v>0</v>
      </c>
      <c r="H73" s="354">
        <v>1</v>
      </c>
      <c r="I73" s="354">
        <v>1</v>
      </c>
      <c r="J73" s="354">
        <v>1</v>
      </c>
      <c r="K73" s="354">
        <v>0</v>
      </c>
      <c r="L73" s="354">
        <v>0</v>
      </c>
      <c r="M73" s="355">
        <v>3</v>
      </c>
      <c r="N73" s="355">
        <v>6</v>
      </c>
    </row>
    <row r="74" spans="1:14" hidden="1" x14ac:dyDescent="0.25">
      <c r="A74" s="354">
        <v>0</v>
      </c>
      <c r="B74" s="354">
        <v>0</v>
      </c>
      <c r="C74" s="354">
        <v>0</v>
      </c>
      <c r="D74" s="354">
        <v>1</v>
      </c>
      <c r="E74" s="354">
        <v>1</v>
      </c>
      <c r="F74" s="354">
        <v>0</v>
      </c>
      <c r="G74" s="354">
        <v>0</v>
      </c>
      <c r="H74" s="354">
        <v>0</v>
      </c>
      <c r="I74" s="354">
        <v>0</v>
      </c>
      <c r="J74" s="354">
        <v>1</v>
      </c>
      <c r="K74" s="354">
        <v>0</v>
      </c>
      <c r="L74" s="354">
        <v>0</v>
      </c>
      <c r="M74" s="355">
        <v>1</v>
      </c>
      <c r="N74" s="355">
        <v>2</v>
      </c>
    </row>
    <row r="75" spans="1:14" hidden="1" x14ac:dyDescent="0.25">
      <c r="A75" s="354">
        <v>1</v>
      </c>
      <c r="B75" s="354">
        <v>1</v>
      </c>
      <c r="C75" s="354">
        <v>0</v>
      </c>
      <c r="D75" s="354">
        <v>0</v>
      </c>
      <c r="E75" s="354">
        <v>2</v>
      </c>
      <c r="F75" s="354">
        <v>1</v>
      </c>
      <c r="G75" s="354">
        <v>0</v>
      </c>
      <c r="H75" s="354">
        <v>1</v>
      </c>
      <c r="I75" s="354">
        <v>2</v>
      </c>
      <c r="J75" s="354">
        <v>1</v>
      </c>
      <c r="K75" s="354">
        <v>0</v>
      </c>
      <c r="L75" s="354">
        <v>0</v>
      </c>
      <c r="M75" s="355">
        <v>5</v>
      </c>
      <c r="N75" s="355">
        <v>4</v>
      </c>
    </row>
    <row r="76" spans="1:14" hidden="1" x14ac:dyDescent="0.25">
      <c r="A76" s="354">
        <v>0</v>
      </c>
      <c r="B76" s="354">
        <v>0</v>
      </c>
      <c r="C76" s="354">
        <v>1</v>
      </c>
      <c r="D76" s="354">
        <v>0</v>
      </c>
      <c r="E76" s="354">
        <v>1</v>
      </c>
      <c r="F76" s="354">
        <v>0</v>
      </c>
      <c r="G76" s="354">
        <v>0</v>
      </c>
      <c r="H76" s="354">
        <v>0</v>
      </c>
      <c r="I76" s="354">
        <v>0</v>
      </c>
      <c r="J76" s="354">
        <v>1</v>
      </c>
      <c r="K76" s="354">
        <v>0</v>
      </c>
      <c r="L76" s="354">
        <v>0</v>
      </c>
      <c r="M76" s="355">
        <v>2</v>
      </c>
      <c r="N76" s="355">
        <v>1</v>
      </c>
    </row>
    <row r="77" spans="1:14" hidden="1" x14ac:dyDescent="0.25">
      <c r="A77" s="354">
        <v>1</v>
      </c>
      <c r="B77" s="354">
        <v>0</v>
      </c>
      <c r="C77" s="354">
        <v>0</v>
      </c>
      <c r="D77" s="354">
        <v>0</v>
      </c>
      <c r="E77" s="354">
        <v>0</v>
      </c>
      <c r="F77" s="354">
        <v>0</v>
      </c>
      <c r="G77" s="354">
        <v>0</v>
      </c>
      <c r="H77" s="354">
        <v>1</v>
      </c>
      <c r="I77" s="354">
        <v>1</v>
      </c>
      <c r="J77" s="354">
        <v>0</v>
      </c>
      <c r="K77" s="354">
        <v>0</v>
      </c>
      <c r="L77" s="354">
        <v>0</v>
      </c>
      <c r="M77" s="355">
        <v>2</v>
      </c>
      <c r="N77" s="355">
        <v>1</v>
      </c>
    </row>
    <row r="78" spans="1:14" hidden="1" x14ac:dyDescent="0.25">
      <c r="A78" s="354">
        <v>1</v>
      </c>
      <c r="B78" s="354">
        <v>0</v>
      </c>
      <c r="C78" s="354">
        <v>0</v>
      </c>
      <c r="D78" s="354">
        <v>1</v>
      </c>
      <c r="E78" s="354">
        <v>1</v>
      </c>
      <c r="F78" s="354">
        <v>2</v>
      </c>
      <c r="G78" s="354">
        <v>0</v>
      </c>
      <c r="H78" s="354">
        <v>0</v>
      </c>
      <c r="I78" s="354">
        <v>0</v>
      </c>
      <c r="J78" s="354">
        <v>1</v>
      </c>
      <c r="K78" s="354">
        <v>0</v>
      </c>
      <c r="L78" s="354">
        <v>0</v>
      </c>
      <c r="M78" s="355">
        <v>2</v>
      </c>
      <c r="N78" s="355">
        <v>4</v>
      </c>
    </row>
    <row r="79" spans="1:14" hidden="1" x14ac:dyDescent="0.25">
      <c r="A79" s="354">
        <v>1</v>
      </c>
      <c r="B79" s="354">
        <v>0</v>
      </c>
      <c r="C79" s="354">
        <v>1</v>
      </c>
      <c r="D79" s="354">
        <v>0</v>
      </c>
      <c r="E79" s="354">
        <v>2</v>
      </c>
      <c r="F79" s="354">
        <v>0</v>
      </c>
      <c r="G79" s="354">
        <v>1</v>
      </c>
      <c r="H79" s="354">
        <v>0</v>
      </c>
      <c r="I79" s="354">
        <v>1</v>
      </c>
      <c r="J79" s="354">
        <v>1</v>
      </c>
      <c r="K79" s="354">
        <v>0</v>
      </c>
      <c r="L79" s="354">
        <v>1</v>
      </c>
      <c r="M79" s="355">
        <v>6</v>
      </c>
      <c r="N79" s="355">
        <v>2</v>
      </c>
    </row>
    <row r="80" spans="1:14" hidden="1" x14ac:dyDescent="0.25">
      <c r="A80" s="354">
        <v>0</v>
      </c>
      <c r="B80" s="354">
        <v>0</v>
      </c>
      <c r="C80" s="354">
        <v>1</v>
      </c>
      <c r="D80" s="354">
        <v>1</v>
      </c>
      <c r="E80" s="354">
        <v>0</v>
      </c>
      <c r="F80" s="354">
        <v>1</v>
      </c>
      <c r="G80" s="354">
        <v>0</v>
      </c>
      <c r="H80" s="354">
        <v>0</v>
      </c>
      <c r="I80" s="354">
        <v>1</v>
      </c>
      <c r="J80" s="354">
        <v>1</v>
      </c>
      <c r="K80" s="354">
        <v>0</v>
      </c>
      <c r="L80" s="354">
        <v>0</v>
      </c>
      <c r="M80" s="355">
        <v>2</v>
      </c>
      <c r="N80" s="355">
        <v>3</v>
      </c>
    </row>
    <row r="81" spans="1:14" hidden="1" x14ac:dyDescent="0.25">
      <c r="A81" s="354">
        <v>0</v>
      </c>
      <c r="B81" s="354">
        <v>0</v>
      </c>
      <c r="C81" s="354">
        <v>0</v>
      </c>
      <c r="D81" s="354">
        <v>0</v>
      </c>
      <c r="E81" s="354">
        <v>1</v>
      </c>
      <c r="F81" s="354">
        <v>1</v>
      </c>
      <c r="G81" s="354">
        <v>0</v>
      </c>
      <c r="H81" s="354">
        <v>1</v>
      </c>
      <c r="I81" s="354">
        <v>3</v>
      </c>
      <c r="J81" s="354">
        <v>2</v>
      </c>
      <c r="K81" s="354">
        <v>0</v>
      </c>
      <c r="L81" s="354">
        <v>0</v>
      </c>
      <c r="M81" s="355">
        <v>4</v>
      </c>
      <c r="N81" s="355">
        <v>4</v>
      </c>
    </row>
    <row r="82" spans="1:14" hidden="1" x14ac:dyDescent="0.25">
      <c r="A82" s="354">
        <v>0</v>
      </c>
      <c r="B82" s="354">
        <v>1</v>
      </c>
      <c r="C82" s="354">
        <v>0</v>
      </c>
      <c r="D82" s="354">
        <v>1</v>
      </c>
      <c r="E82" s="354">
        <v>2</v>
      </c>
      <c r="F82" s="354">
        <v>1</v>
      </c>
      <c r="G82" s="354">
        <v>0</v>
      </c>
      <c r="H82" s="354">
        <v>0</v>
      </c>
      <c r="I82" s="354">
        <v>0</v>
      </c>
      <c r="J82" s="354">
        <v>1</v>
      </c>
      <c r="K82" s="354">
        <v>0</v>
      </c>
      <c r="L82" s="354">
        <v>0</v>
      </c>
      <c r="M82" s="355">
        <v>2</v>
      </c>
      <c r="N82" s="355">
        <v>4</v>
      </c>
    </row>
    <row r="83" spans="1:14" hidden="1" x14ac:dyDescent="0.25">
      <c r="A83" s="354">
        <v>1</v>
      </c>
      <c r="B83" s="354">
        <v>0</v>
      </c>
      <c r="C83" s="354">
        <v>1</v>
      </c>
      <c r="D83" s="354">
        <v>1</v>
      </c>
      <c r="E83" s="354">
        <v>0</v>
      </c>
      <c r="F83" s="354">
        <v>1</v>
      </c>
      <c r="G83" s="354">
        <v>0</v>
      </c>
      <c r="H83" s="354">
        <v>0</v>
      </c>
      <c r="I83" s="354">
        <v>1</v>
      </c>
      <c r="J83" s="354">
        <v>1</v>
      </c>
      <c r="K83" s="354">
        <v>0</v>
      </c>
      <c r="L83" s="354">
        <v>0</v>
      </c>
      <c r="M83" s="355">
        <v>3</v>
      </c>
      <c r="N83" s="355">
        <v>3</v>
      </c>
    </row>
    <row r="84" spans="1:14" hidden="1" x14ac:dyDescent="0.25">
      <c r="A84" s="354">
        <v>1</v>
      </c>
      <c r="B84" s="354">
        <v>0</v>
      </c>
      <c r="C84" s="354">
        <v>2</v>
      </c>
      <c r="D84" s="354">
        <v>0</v>
      </c>
      <c r="E84" s="354">
        <v>4</v>
      </c>
      <c r="F84" s="354">
        <v>1</v>
      </c>
      <c r="G84" s="354">
        <v>3</v>
      </c>
      <c r="H84" s="354">
        <v>1</v>
      </c>
      <c r="I84" s="354">
        <v>5</v>
      </c>
      <c r="J84" s="354">
        <v>5</v>
      </c>
      <c r="K84" s="354">
        <v>0</v>
      </c>
      <c r="L84" s="354">
        <v>0</v>
      </c>
      <c r="M84" s="355">
        <v>15</v>
      </c>
      <c r="N84" s="355">
        <v>7</v>
      </c>
    </row>
    <row r="85" spans="1:14" hidden="1" x14ac:dyDescent="0.25">
      <c r="A85" s="354">
        <v>0</v>
      </c>
      <c r="B85" s="354">
        <v>0</v>
      </c>
      <c r="C85" s="354">
        <v>1</v>
      </c>
      <c r="D85" s="354">
        <v>1</v>
      </c>
      <c r="E85" s="354">
        <v>2</v>
      </c>
      <c r="F85" s="354">
        <v>0</v>
      </c>
      <c r="G85" s="354">
        <v>3</v>
      </c>
      <c r="H85" s="354">
        <v>0</v>
      </c>
      <c r="I85" s="354">
        <v>2</v>
      </c>
      <c r="J85" s="354">
        <v>1</v>
      </c>
      <c r="K85" s="354">
        <v>0</v>
      </c>
      <c r="L85" s="354">
        <v>0</v>
      </c>
      <c r="M85" s="355">
        <v>8</v>
      </c>
      <c r="N85" s="355">
        <v>2</v>
      </c>
    </row>
    <row r="86" spans="1:14" hidden="1" x14ac:dyDescent="0.25">
      <c r="A86" s="354"/>
      <c r="B86" s="354">
        <v>1</v>
      </c>
      <c r="C86" s="354">
        <v>2</v>
      </c>
      <c r="D86" s="354">
        <v>1</v>
      </c>
      <c r="E86" s="354">
        <v>1</v>
      </c>
      <c r="F86" s="354">
        <v>0</v>
      </c>
      <c r="G86" s="354">
        <v>0</v>
      </c>
      <c r="H86" s="354">
        <v>0</v>
      </c>
      <c r="I86" s="354">
        <v>0</v>
      </c>
      <c r="J86" s="354">
        <v>1</v>
      </c>
      <c r="K86" s="354">
        <v>0</v>
      </c>
      <c r="L86" s="354">
        <v>0</v>
      </c>
      <c r="M86" s="355">
        <v>3</v>
      </c>
      <c r="N86" s="355">
        <v>3</v>
      </c>
    </row>
    <row r="87" spans="1:14" hidden="1" x14ac:dyDescent="0.25">
      <c r="A87" s="354">
        <v>0</v>
      </c>
      <c r="B87" s="354">
        <v>0</v>
      </c>
      <c r="C87" s="354">
        <v>0</v>
      </c>
      <c r="D87" s="354">
        <v>0</v>
      </c>
      <c r="E87" s="354">
        <v>0</v>
      </c>
      <c r="F87" s="354">
        <v>1</v>
      </c>
      <c r="G87" s="354">
        <v>1</v>
      </c>
      <c r="H87" s="354">
        <v>0</v>
      </c>
      <c r="I87" s="354">
        <v>3</v>
      </c>
      <c r="J87" s="354">
        <v>1</v>
      </c>
      <c r="K87" s="354">
        <v>0</v>
      </c>
      <c r="L87" s="354">
        <v>0</v>
      </c>
      <c r="M87" s="355">
        <v>4</v>
      </c>
      <c r="N87" s="355">
        <v>2</v>
      </c>
    </row>
    <row r="88" spans="1:14" hidden="1" x14ac:dyDescent="0.25">
      <c r="A88" s="354">
        <v>2</v>
      </c>
      <c r="B88" s="354">
        <v>0</v>
      </c>
      <c r="C88" s="354">
        <v>0</v>
      </c>
      <c r="D88" s="354">
        <v>1</v>
      </c>
      <c r="E88" s="354">
        <v>1</v>
      </c>
      <c r="F88" s="354">
        <v>3</v>
      </c>
      <c r="G88" s="354">
        <v>1</v>
      </c>
      <c r="H88" s="354">
        <v>2</v>
      </c>
      <c r="I88" s="354"/>
      <c r="J88" s="354">
        <v>1</v>
      </c>
      <c r="K88" s="354">
        <v>0</v>
      </c>
      <c r="L88" s="354">
        <v>0</v>
      </c>
      <c r="M88" s="355">
        <v>4</v>
      </c>
      <c r="N88" s="355">
        <v>7</v>
      </c>
    </row>
    <row r="89" spans="1:14" hidden="1" x14ac:dyDescent="0.25">
      <c r="A89" s="354">
        <v>0</v>
      </c>
      <c r="B89" s="354">
        <v>0</v>
      </c>
      <c r="C89" s="354">
        <v>0</v>
      </c>
      <c r="D89" s="354">
        <v>0</v>
      </c>
      <c r="E89" s="354">
        <v>0</v>
      </c>
      <c r="F89" s="354">
        <v>1</v>
      </c>
      <c r="G89" s="354">
        <v>0</v>
      </c>
      <c r="H89" s="354">
        <v>1</v>
      </c>
      <c r="I89" s="354">
        <v>1</v>
      </c>
      <c r="J89" s="354">
        <v>1</v>
      </c>
      <c r="K89" s="354">
        <v>0</v>
      </c>
      <c r="L89" s="354">
        <v>0</v>
      </c>
      <c r="M89" s="355">
        <v>1</v>
      </c>
      <c r="N89" s="355">
        <v>3</v>
      </c>
    </row>
    <row r="90" spans="1:14" hidden="1" x14ac:dyDescent="0.25">
      <c r="A90" s="354">
        <v>0</v>
      </c>
      <c r="B90" s="354">
        <v>1</v>
      </c>
      <c r="C90" s="354">
        <v>0</v>
      </c>
      <c r="D90" s="354">
        <v>1</v>
      </c>
      <c r="E90" s="354">
        <v>2</v>
      </c>
      <c r="F90" s="354">
        <v>1</v>
      </c>
      <c r="G90" s="354">
        <v>1</v>
      </c>
      <c r="H90" s="354">
        <v>1</v>
      </c>
      <c r="I90" s="354">
        <v>0</v>
      </c>
      <c r="J90" s="354">
        <v>1</v>
      </c>
      <c r="K90" s="354">
        <v>0</v>
      </c>
      <c r="L90" s="354">
        <v>0</v>
      </c>
      <c r="M90" s="355">
        <v>3</v>
      </c>
      <c r="N90" s="355">
        <v>5</v>
      </c>
    </row>
    <row r="91" spans="1:14" hidden="1" x14ac:dyDescent="0.25">
      <c r="A91" s="354">
        <v>1</v>
      </c>
      <c r="B91" s="354">
        <v>0</v>
      </c>
      <c r="C91" s="354">
        <v>1</v>
      </c>
      <c r="D91" s="354">
        <v>0</v>
      </c>
      <c r="E91" s="354">
        <v>2</v>
      </c>
      <c r="F91" s="354">
        <v>1</v>
      </c>
      <c r="G91" s="354">
        <v>1</v>
      </c>
      <c r="H91" s="354">
        <v>1</v>
      </c>
      <c r="I91" s="354">
        <v>1</v>
      </c>
      <c r="J91" s="354">
        <v>1</v>
      </c>
      <c r="K91" s="354">
        <v>0</v>
      </c>
      <c r="L91" s="354">
        <v>0</v>
      </c>
      <c r="M91" s="355">
        <v>6</v>
      </c>
      <c r="N91" s="355">
        <v>3</v>
      </c>
    </row>
    <row r="92" spans="1:14" hidden="1" x14ac:dyDescent="0.25">
      <c r="A92" s="354">
        <v>0</v>
      </c>
      <c r="B92" s="354">
        <v>0</v>
      </c>
      <c r="C92" s="354">
        <v>1</v>
      </c>
      <c r="D92" s="354">
        <v>0</v>
      </c>
      <c r="E92" s="354">
        <v>1</v>
      </c>
      <c r="F92" s="354">
        <v>0</v>
      </c>
      <c r="G92" s="354">
        <v>1</v>
      </c>
      <c r="H92" s="354">
        <v>0</v>
      </c>
      <c r="I92" s="354">
        <v>1</v>
      </c>
      <c r="J92" s="354">
        <v>1</v>
      </c>
      <c r="K92" s="354">
        <v>0</v>
      </c>
      <c r="L92" s="354">
        <v>0</v>
      </c>
      <c r="M92" s="355">
        <v>4</v>
      </c>
      <c r="N92" s="355">
        <v>1</v>
      </c>
    </row>
    <row r="93" spans="1:14" hidden="1" x14ac:dyDescent="0.25">
      <c r="A93" s="354">
        <v>1</v>
      </c>
      <c r="B93" s="354">
        <v>0</v>
      </c>
      <c r="C93" s="354">
        <v>0</v>
      </c>
      <c r="D93" s="354">
        <v>1</v>
      </c>
      <c r="E93" s="354">
        <v>1</v>
      </c>
      <c r="F93" s="354">
        <v>1</v>
      </c>
      <c r="G93" s="354">
        <v>0</v>
      </c>
      <c r="H93" s="354">
        <v>1</v>
      </c>
      <c r="I93" s="354">
        <v>1</v>
      </c>
      <c r="J93" s="354">
        <v>1</v>
      </c>
      <c r="K93" s="354">
        <v>0</v>
      </c>
      <c r="L93" s="354">
        <v>0</v>
      </c>
      <c r="M93" s="355">
        <v>3</v>
      </c>
      <c r="N93" s="355">
        <v>4</v>
      </c>
    </row>
    <row r="94" spans="1:14" hidden="1" x14ac:dyDescent="0.25">
      <c r="A94" s="354">
        <v>1</v>
      </c>
      <c r="B94" s="354">
        <v>0</v>
      </c>
      <c r="C94" s="354">
        <v>0</v>
      </c>
      <c r="D94" s="354">
        <v>1</v>
      </c>
      <c r="E94" s="354">
        <v>1</v>
      </c>
      <c r="F94" s="354">
        <v>1</v>
      </c>
      <c r="G94" s="354">
        <v>0</v>
      </c>
      <c r="H94" s="354">
        <v>1</v>
      </c>
      <c r="I94" s="354">
        <v>1</v>
      </c>
      <c r="J94" s="354">
        <v>1</v>
      </c>
      <c r="K94" s="354">
        <v>0</v>
      </c>
      <c r="L94" s="354">
        <v>0</v>
      </c>
      <c r="M94" s="355">
        <v>3</v>
      </c>
      <c r="N94" s="355">
        <v>4</v>
      </c>
    </row>
    <row r="95" spans="1:14" hidden="1" x14ac:dyDescent="0.25">
      <c r="A95" s="354">
        <v>0</v>
      </c>
      <c r="B95" s="354">
        <v>0</v>
      </c>
      <c r="C95" s="354">
        <v>1</v>
      </c>
      <c r="D95" s="354">
        <v>0</v>
      </c>
      <c r="E95" s="354">
        <v>1</v>
      </c>
      <c r="F95" s="354">
        <v>1</v>
      </c>
      <c r="G95" s="354">
        <v>0</v>
      </c>
      <c r="H95" s="354">
        <v>0</v>
      </c>
      <c r="I95" s="354">
        <v>0</v>
      </c>
      <c r="J95" s="354">
        <v>1</v>
      </c>
      <c r="K95" s="354">
        <v>0</v>
      </c>
      <c r="L95" s="354">
        <v>0</v>
      </c>
      <c r="M95" s="355">
        <v>2</v>
      </c>
      <c r="N95" s="355">
        <v>2</v>
      </c>
    </row>
    <row r="96" spans="1:14" hidden="1" x14ac:dyDescent="0.25">
      <c r="A96" s="354">
        <v>0</v>
      </c>
      <c r="B96" s="354">
        <v>1</v>
      </c>
      <c r="C96" s="354">
        <v>0</v>
      </c>
      <c r="D96" s="354">
        <v>0</v>
      </c>
      <c r="E96" s="354">
        <v>1</v>
      </c>
      <c r="F96" s="354">
        <v>0</v>
      </c>
      <c r="G96" s="354">
        <v>2</v>
      </c>
      <c r="H96" s="354">
        <v>1</v>
      </c>
      <c r="I96" s="354">
        <v>1</v>
      </c>
      <c r="J96" s="354">
        <v>1</v>
      </c>
      <c r="K96" s="354">
        <v>0</v>
      </c>
      <c r="L96" s="354">
        <v>0</v>
      </c>
      <c r="M96" s="355">
        <v>4</v>
      </c>
      <c r="N96" s="355">
        <v>3</v>
      </c>
    </row>
    <row r="97" spans="1:14" hidden="1" x14ac:dyDescent="0.25">
      <c r="A97" s="354">
        <v>1</v>
      </c>
      <c r="B97" s="354">
        <v>0</v>
      </c>
      <c r="C97" s="354">
        <v>0</v>
      </c>
      <c r="D97" s="354">
        <v>1</v>
      </c>
      <c r="E97" s="354">
        <v>1</v>
      </c>
      <c r="F97" s="354">
        <v>1</v>
      </c>
      <c r="G97" s="354">
        <v>0</v>
      </c>
      <c r="H97" s="354">
        <v>0</v>
      </c>
      <c r="I97" s="354">
        <v>1</v>
      </c>
      <c r="J97" s="354">
        <v>1</v>
      </c>
      <c r="K97" s="354">
        <v>0</v>
      </c>
      <c r="L97" s="354">
        <v>0</v>
      </c>
      <c r="M97" s="355">
        <v>3</v>
      </c>
      <c r="N97" s="355">
        <v>3</v>
      </c>
    </row>
    <row r="98" spans="1:14" hidden="1" x14ac:dyDescent="0.25">
      <c r="A98" s="354">
        <v>1</v>
      </c>
      <c r="B98" s="354">
        <v>0</v>
      </c>
      <c r="C98" s="354">
        <v>0</v>
      </c>
      <c r="D98" s="354">
        <v>1</v>
      </c>
      <c r="E98" s="354">
        <v>1</v>
      </c>
      <c r="F98" s="354">
        <v>1</v>
      </c>
      <c r="G98" s="354">
        <v>0</v>
      </c>
      <c r="H98" s="354">
        <v>0</v>
      </c>
      <c r="I98" s="354">
        <v>1</v>
      </c>
      <c r="J98" s="354">
        <v>1</v>
      </c>
      <c r="K98" s="354">
        <v>0</v>
      </c>
      <c r="L98" s="354">
        <v>0</v>
      </c>
      <c r="M98" s="355">
        <v>3</v>
      </c>
      <c r="N98" s="355">
        <v>3</v>
      </c>
    </row>
    <row r="99" spans="1:14" hidden="1" x14ac:dyDescent="0.25">
      <c r="A99" s="354">
        <v>1</v>
      </c>
      <c r="B99" s="354">
        <v>0</v>
      </c>
      <c r="C99" s="354">
        <v>0</v>
      </c>
      <c r="D99" s="354">
        <v>1</v>
      </c>
      <c r="E99" s="354">
        <v>1</v>
      </c>
      <c r="F99" s="354">
        <v>1</v>
      </c>
      <c r="G99" s="354">
        <v>0</v>
      </c>
      <c r="H99" s="354">
        <v>1</v>
      </c>
      <c r="I99" s="354">
        <v>1</v>
      </c>
      <c r="J99" s="354">
        <v>1</v>
      </c>
      <c r="K99" s="354">
        <v>0</v>
      </c>
      <c r="L99" s="354">
        <v>0</v>
      </c>
      <c r="M99" s="355">
        <v>3</v>
      </c>
      <c r="N99" s="355">
        <v>4</v>
      </c>
    </row>
    <row r="100" spans="1:14" hidden="1" x14ac:dyDescent="0.25">
      <c r="A100" s="354">
        <v>0</v>
      </c>
      <c r="B100" s="354">
        <v>1</v>
      </c>
      <c r="C100" s="354">
        <v>1</v>
      </c>
      <c r="D100" s="354">
        <v>0</v>
      </c>
      <c r="E100" s="354">
        <v>0</v>
      </c>
      <c r="F100" s="354">
        <v>1</v>
      </c>
      <c r="G100" s="354">
        <v>1</v>
      </c>
      <c r="H100" s="354">
        <v>0</v>
      </c>
      <c r="I100" s="354">
        <v>1</v>
      </c>
      <c r="J100" s="354">
        <v>1</v>
      </c>
      <c r="K100" s="354">
        <v>0</v>
      </c>
      <c r="L100" s="354">
        <v>0</v>
      </c>
      <c r="M100" s="355">
        <v>3</v>
      </c>
      <c r="N100" s="355">
        <v>3</v>
      </c>
    </row>
    <row r="101" spans="1:14" hidden="1" x14ac:dyDescent="0.25">
      <c r="A101" s="354">
        <v>1</v>
      </c>
      <c r="B101" s="354">
        <v>0</v>
      </c>
      <c r="C101" s="354">
        <v>1</v>
      </c>
      <c r="D101" s="354">
        <v>0</v>
      </c>
      <c r="E101" s="354">
        <v>1</v>
      </c>
      <c r="F101" s="354">
        <v>1</v>
      </c>
      <c r="G101" s="354">
        <v>0</v>
      </c>
      <c r="H101" s="354">
        <v>1</v>
      </c>
      <c r="I101" s="354">
        <v>1</v>
      </c>
      <c r="J101" s="354">
        <v>1</v>
      </c>
      <c r="K101" s="354">
        <v>0</v>
      </c>
      <c r="L101" s="354">
        <v>0</v>
      </c>
      <c r="M101" s="355">
        <v>4</v>
      </c>
      <c r="N101" s="355">
        <v>3</v>
      </c>
    </row>
    <row r="102" spans="1:14" hidden="1" x14ac:dyDescent="0.25">
      <c r="A102" s="354">
        <v>1</v>
      </c>
      <c r="B102" s="354">
        <v>0</v>
      </c>
      <c r="C102" s="354">
        <v>0</v>
      </c>
      <c r="D102" s="354">
        <v>1</v>
      </c>
      <c r="E102" s="354">
        <v>1</v>
      </c>
      <c r="F102" s="354">
        <v>2</v>
      </c>
      <c r="G102" s="354">
        <v>1</v>
      </c>
      <c r="H102" s="354">
        <v>2</v>
      </c>
      <c r="I102" s="354">
        <v>4</v>
      </c>
      <c r="J102" s="354">
        <v>7</v>
      </c>
      <c r="K102" s="354">
        <v>0</v>
      </c>
      <c r="L102" s="354">
        <v>0</v>
      </c>
      <c r="M102" s="355">
        <v>7</v>
      </c>
      <c r="N102" s="355">
        <v>12</v>
      </c>
    </row>
    <row r="103" spans="1:14" hidden="1" x14ac:dyDescent="0.25">
      <c r="A103" s="354">
        <v>0</v>
      </c>
      <c r="B103" s="354">
        <v>1</v>
      </c>
      <c r="C103" s="354">
        <v>1</v>
      </c>
      <c r="D103" s="354">
        <v>0</v>
      </c>
      <c r="E103" s="354">
        <v>1</v>
      </c>
      <c r="F103" s="354">
        <v>1</v>
      </c>
      <c r="G103" s="354">
        <v>1</v>
      </c>
      <c r="H103" s="354">
        <v>0</v>
      </c>
      <c r="I103" s="354">
        <v>1</v>
      </c>
      <c r="J103" s="354">
        <v>1</v>
      </c>
      <c r="K103" s="354">
        <v>0</v>
      </c>
      <c r="L103" s="354">
        <v>0</v>
      </c>
      <c r="M103" s="355">
        <v>4</v>
      </c>
      <c r="N103" s="355">
        <v>3</v>
      </c>
    </row>
    <row r="104" spans="1:14" hidden="1" x14ac:dyDescent="0.25">
      <c r="A104" s="354">
        <v>0</v>
      </c>
      <c r="B104" s="354">
        <v>1</v>
      </c>
      <c r="C104" s="354">
        <v>1</v>
      </c>
      <c r="D104" s="354">
        <v>0</v>
      </c>
      <c r="E104" s="354">
        <v>0</v>
      </c>
      <c r="F104" s="354">
        <v>0</v>
      </c>
      <c r="G104" s="354">
        <v>0</v>
      </c>
      <c r="H104" s="354">
        <v>0</v>
      </c>
      <c r="I104" s="354">
        <v>1</v>
      </c>
      <c r="J104" s="354">
        <v>1</v>
      </c>
      <c r="K104" s="354">
        <v>0</v>
      </c>
      <c r="L104" s="354">
        <v>0</v>
      </c>
      <c r="M104" s="355">
        <v>2</v>
      </c>
      <c r="N104" s="355">
        <v>2</v>
      </c>
    </row>
    <row r="105" spans="1:14" hidden="1" x14ac:dyDescent="0.25">
      <c r="A105" s="354">
        <v>0</v>
      </c>
      <c r="B105" s="354">
        <v>0</v>
      </c>
      <c r="C105" s="354">
        <v>1</v>
      </c>
      <c r="D105" s="354">
        <v>0</v>
      </c>
      <c r="E105" s="354">
        <v>1</v>
      </c>
      <c r="F105" s="354">
        <v>0</v>
      </c>
      <c r="G105" s="354">
        <v>0</v>
      </c>
      <c r="H105" s="354">
        <v>0</v>
      </c>
      <c r="I105" s="354">
        <v>1</v>
      </c>
      <c r="J105" s="354">
        <v>1</v>
      </c>
      <c r="K105" s="354">
        <v>0</v>
      </c>
      <c r="L105" s="354">
        <v>0</v>
      </c>
      <c r="M105" s="355">
        <v>3</v>
      </c>
      <c r="N105" s="355">
        <v>1</v>
      </c>
    </row>
    <row r="106" spans="1:14" hidden="1" x14ac:dyDescent="0.25">
      <c r="A106" s="354">
        <v>0</v>
      </c>
      <c r="B106" s="354">
        <v>0</v>
      </c>
      <c r="C106" s="354">
        <v>1</v>
      </c>
      <c r="D106" s="354">
        <v>0</v>
      </c>
      <c r="E106" s="354">
        <v>0</v>
      </c>
      <c r="F106" s="354">
        <v>0</v>
      </c>
      <c r="G106" s="354">
        <v>0</v>
      </c>
      <c r="H106" s="354">
        <v>0</v>
      </c>
      <c r="I106" s="354">
        <v>1</v>
      </c>
      <c r="J106" s="354">
        <v>1</v>
      </c>
      <c r="K106" s="354">
        <v>0</v>
      </c>
      <c r="L106" s="354">
        <v>0</v>
      </c>
      <c r="M106" s="355">
        <v>2</v>
      </c>
      <c r="N106" s="355">
        <v>1</v>
      </c>
    </row>
    <row r="107" spans="1:14" hidden="1" x14ac:dyDescent="0.25">
      <c r="A107" s="354">
        <v>1</v>
      </c>
      <c r="B107" s="354">
        <v>0</v>
      </c>
      <c r="C107" s="354">
        <v>1</v>
      </c>
      <c r="D107" s="354">
        <v>1</v>
      </c>
      <c r="E107" s="354">
        <v>0</v>
      </c>
      <c r="F107" s="354">
        <v>0</v>
      </c>
      <c r="G107" s="354">
        <v>0</v>
      </c>
      <c r="H107" s="354">
        <v>0</v>
      </c>
      <c r="I107" s="354">
        <v>1</v>
      </c>
      <c r="J107" s="354">
        <v>1</v>
      </c>
      <c r="K107" s="354">
        <v>0</v>
      </c>
      <c r="L107" s="354">
        <v>0</v>
      </c>
      <c r="M107" s="355">
        <v>3</v>
      </c>
      <c r="N107" s="355">
        <v>2</v>
      </c>
    </row>
    <row r="108" spans="1:14" hidden="1" x14ac:dyDescent="0.25">
      <c r="A108" s="354">
        <v>1</v>
      </c>
      <c r="B108" s="354">
        <v>1</v>
      </c>
      <c r="C108" s="354">
        <v>0</v>
      </c>
      <c r="D108" s="354">
        <v>0</v>
      </c>
      <c r="E108" s="354">
        <v>0</v>
      </c>
      <c r="F108" s="354">
        <v>0</v>
      </c>
      <c r="G108" s="354">
        <v>0</v>
      </c>
      <c r="H108" s="354">
        <v>0</v>
      </c>
      <c r="I108" s="354">
        <v>1</v>
      </c>
      <c r="J108" s="354">
        <v>1</v>
      </c>
      <c r="K108" s="354">
        <v>0</v>
      </c>
      <c r="L108" s="354">
        <v>0</v>
      </c>
      <c r="M108" s="355">
        <v>2</v>
      </c>
      <c r="N108" s="355">
        <v>2</v>
      </c>
    </row>
    <row r="109" spans="1:14" hidden="1" x14ac:dyDescent="0.25">
      <c r="A109" s="354">
        <v>0</v>
      </c>
      <c r="B109" s="354">
        <v>0</v>
      </c>
      <c r="C109" s="354">
        <v>1</v>
      </c>
      <c r="D109" s="354">
        <v>0</v>
      </c>
      <c r="E109" s="354">
        <v>0</v>
      </c>
      <c r="F109" s="354">
        <v>1</v>
      </c>
      <c r="G109" s="354">
        <v>0</v>
      </c>
      <c r="H109" s="354">
        <v>0</v>
      </c>
      <c r="I109" s="354">
        <v>1</v>
      </c>
      <c r="J109" s="354">
        <v>1</v>
      </c>
      <c r="K109" s="354">
        <v>0</v>
      </c>
      <c r="L109" s="354">
        <v>0</v>
      </c>
      <c r="M109" s="355">
        <v>2</v>
      </c>
      <c r="N109" s="355">
        <v>2</v>
      </c>
    </row>
    <row r="110" spans="1:14" hidden="1" x14ac:dyDescent="0.25">
      <c r="A110" s="354">
        <v>0</v>
      </c>
      <c r="B110" s="354">
        <v>1</v>
      </c>
      <c r="C110" s="354">
        <v>0</v>
      </c>
      <c r="D110" s="354">
        <v>0</v>
      </c>
      <c r="E110" s="354">
        <v>0</v>
      </c>
      <c r="F110" s="354">
        <v>0</v>
      </c>
      <c r="G110" s="354">
        <v>0</v>
      </c>
      <c r="H110" s="354">
        <v>0</v>
      </c>
      <c r="I110" s="354">
        <v>1</v>
      </c>
      <c r="J110" s="354">
        <v>1</v>
      </c>
      <c r="K110" s="354">
        <v>0</v>
      </c>
      <c r="L110" s="354">
        <v>0</v>
      </c>
      <c r="M110" s="355">
        <v>1</v>
      </c>
      <c r="N110" s="355">
        <v>2</v>
      </c>
    </row>
    <row r="111" spans="1:14" hidden="1" x14ac:dyDescent="0.25">
      <c r="A111" s="354">
        <v>0</v>
      </c>
      <c r="B111" s="354">
        <v>1</v>
      </c>
      <c r="C111" s="354">
        <v>1</v>
      </c>
      <c r="D111" s="354">
        <v>0</v>
      </c>
      <c r="E111" s="354">
        <v>0</v>
      </c>
      <c r="F111" s="354">
        <v>0</v>
      </c>
      <c r="G111" s="354">
        <v>0</v>
      </c>
      <c r="H111" s="354">
        <v>0</v>
      </c>
      <c r="I111" s="354">
        <v>1</v>
      </c>
      <c r="J111" s="354">
        <v>1</v>
      </c>
      <c r="K111" s="354">
        <v>0</v>
      </c>
      <c r="L111" s="354">
        <v>0</v>
      </c>
      <c r="M111" s="355">
        <v>2</v>
      </c>
      <c r="N111" s="355">
        <v>2</v>
      </c>
    </row>
    <row r="112" spans="1:14" hidden="1" x14ac:dyDescent="0.25">
      <c r="A112" s="354">
        <v>1</v>
      </c>
      <c r="B112" s="354">
        <v>0</v>
      </c>
      <c r="C112" s="354">
        <v>0</v>
      </c>
      <c r="D112" s="354">
        <v>1</v>
      </c>
      <c r="E112" s="354">
        <v>0</v>
      </c>
      <c r="F112" s="354">
        <v>0</v>
      </c>
      <c r="G112" s="354">
        <v>0</v>
      </c>
      <c r="H112" s="354">
        <v>0</v>
      </c>
      <c r="I112" s="354">
        <v>1</v>
      </c>
      <c r="J112" s="354">
        <v>1</v>
      </c>
      <c r="K112" s="354">
        <v>0</v>
      </c>
      <c r="L112" s="354">
        <v>0</v>
      </c>
      <c r="M112" s="355">
        <v>2</v>
      </c>
      <c r="N112" s="355">
        <v>2</v>
      </c>
    </row>
    <row r="113" spans="1:14" hidden="1" x14ac:dyDescent="0.25">
      <c r="A113" s="354">
        <v>0</v>
      </c>
      <c r="B113" s="354">
        <v>1</v>
      </c>
      <c r="C113" s="354">
        <v>1</v>
      </c>
      <c r="D113" s="354">
        <v>1</v>
      </c>
      <c r="E113" s="354">
        <v>1</v>
      </c>
      <c r="F113" s="354">
        <v>1</v>
      </c>
      <c r="G113" s="354">
        <v>1</v>
      </c>
      <c r="H113" s="354">
        <v>0</v>
      </c>
      <c r="I113" s="354">
        <v>1</v>
      </c>
      <c r="J113" s="354">
        <v>1</v>
      </c>
      <c r="K113" s="354">
        <v>0</v>
      </c>
      <c r="L113" s="354">
        <v>0</v>
      </c>
      <c r="M113" s="355">
        <v>4</v>
      </c>
      <c r="N113" s="355">
        <v>4</v>
      </c>
    </row>
    <row r="114" spans="1:14" hidden="1" x14ac:dyDescent="0.25">
      <c r="A114" s="354">
        <v>2</v>
      </c>
      <c r="B114" s="354">
        <v>1</v>
      </c>
      <c r="C114" s="354">
        <v>0</v>
      </c>
      <c r="D114" s="354">
        <v>1</v>
      </c>
      <c r="E114" s="354">
        <v>1</v>
      </c>
      <c r="F114" s="354">
        <v>1</v>
      </c>
      <c r="G114" s="354">
        <v>0</v>
      </c>
      <c r="H114" s="354">
        <v>1</v>
      </c>
      <c r="I114" s="354">
        <v>1</v>
      </c>
      <c r="J114" s="354">
        <v>1</v>
      </c>
      <c r="K114" s="354">
        <v>0</v>
      </c>
      <c r="L114" s="354">
        <v>0</v>
      </c>
      <c r="M114" s="355">
        <v>4</v>
      </c>
      <c r="N114" s="355">
        <v>5</v>
      </c>
    </row>
    <row r="115" spans="1:14" hidden="1" x14ac:dyDescent="0.25">
      <c r="A115" s="354">
        <v>1</v>
      </c>
      <c r="B115" s="354">
        <v>0</v>
      </c>
      <c r="C115" s="354">
        <v>1</v>
      </c>
      <c r="D115" s="354">
        <v>0</v>
      </c>
      <c r="E115" s="354">
        <v>4</v>
      </c>
      <c r="F115" s="354">
        <v>0</v>
      </c>
      <c r="G115" s="354">
        <v>0</v>
      </c>
      <c r="H115" s="354">
        <v>0</v>
      </c>
      <c r="I115" s="354">
        <v>1</v>
      </c>
      <c r="J115" s="354">
        <v>1</v>
      </c>
      <c r="K115" s="354">
        <v>1</v>
      </c>
      <c r="L115" s="354">
        <v>0</v>
      </c>
      <c r="M115" s="355">
        <v>8</v>
      </c>
      <c r="N115" s="355">
        <v>1</v>
      </c>
    </row>
    <row r="116" spans="1:14" hidden="1" x14ac:dyDescent="0.25">
      <c r="A116" s="354">
        <v>1</v>
      </c>
      <c r="B116" s="354">
        <v>0</v>
      </c>
      <c r="C116" s="354">
        <v>1</v>
      </c>
      <c r="D116" s="354">
        <v>0</v>
      </c>
      <c r="E116" s="354">
        <v>0</v>
      </c>
      <c r="F116" s="354">
        <v>2</v>
      </c>
      <c r="G116" s="354">
        <v>1</v>
      </c>
      <c r="H116" s="354">
        <v>0</v>
      </c>
      <c r="I116" s="354">
        <v>1</v>
      </c>
      <c r="J116" s="354">
        <v>1</v>
      </c>
      <c r="K116" s="354">
        <v>0</v>
      </c>
      <c r="L116" s="354">
        <v>0</v>
      </c>
      <c r="M116" s="355">
        <v>4</v>
      </c>
      <c r="N116" s="355">
        <v>3</v>
      </c>
    </row>
    <row r="117" spans="1:14" hidden="1" x14ac:dyDescent="0.25">
      <c r="A117" s="354">
        <v>0</v>
      </c>
      <c r="B117" s="354">
        <v>0</v>
      </c>
      <c r="C117" s="354">
        <v>1</v>
      </c>
      <c r="D117" s="354">
        <v>1</v>
      </c>
      <c r="E117" s="354">
        <v>2</v>
      </c>
      <c r="F117" s="354">
        <v>1</v>
      </c>
      <c r="G117" s="354">
        <v>0</v>
      </c>
      <c r="H117" s="354">
        <v>1</v>
      </c>
      <c r="I117" s="354">
        <v>1</v>
      </c>
      <c r="J117" s="354">
        <v>1</v>
      </c>
      <c r="K117" s="354">
        <v>0</v>
      </c>
      <c r="L117" s="354">
        <v>0</v>
      </c>
      <c r="M117" s="355">
        <v>4</v>
      </c>
      <c r="N117" s="355">
        <v>4</v>
      </c>
    </row>
    <row r="118" spans="1:14" hidden="1" x14ac:dyDescent="0.25">
      <c r="A118" s="354">
        <v>0</v>
      </c>
      <c r="B118" s="354">
        <v>0</v>
      </c>
      <c r="C118" s="354">
        <v>0</v>
      </c>
      <c r="D118" s="354">
        <v>1</v>
      </c>
      <c r="E118" s="354">
        <v>0</v>
      </c>
      <c r="F118" s="354">
        <v>1</v>
      </c>
      <c r="G118" s="354">
        <v>2</v>
      </c>
      <c r="H118" s="354">
        <v>0</v>
      </c>
      <c r="I118" s="354">
        <v>1</v>
      </c>
      <c r="J118" s="354">
        <v>1</v>
      </c>
      <c r="K118" s="354">
        <v>0</v>
      </c>
      <c r="L118" s="354">
        <v>0</v>
      </c>
      <c r="M118" s="355">
        <v>3</v>
      </c>
      <c r="N118" s="355">
        <v>3</v>
      </c>
    </row>
    <row r="119" spans="1:14" hidden="1" x14ac:dyDescent="0.25">
      <c r="A119" s="354">
        <v>0</v>
      </c>
      <c r="B119" s="354">
        <v>0</v>
      </c>
      <c r="C119" s="354">
        <v>0</v>
      </c>
      <c r="D119" s="354">
        <v>0</v>
      </c>
      <c r="E119" s="354">
        <v>0</v>
      </c>
      <c r="F119" s="354">
        <v>1</v>
      </c>
      <c r="G119" s="354">
        <v>0</v>
      </c>
      <c r="H119" s="354">
        <v>0</v>
      </c>
      <c r="I119" s="354">
        <v>1</v>
      </c>
      <c r="J119" s="354">
        <v>1</v>
      </c>
      <c r="K119" s="354">
        <v>1</v>
      </c>
      <c r="L119" s="354">
        <v>0</v>
      </c>
      <c r="M119" s="355">
        <v>2</v>
      </c>
      <c r="N119" s="355">
        <v>2</v>
      </c>
    </row>
    <row r="120" spans="1:14" hidden="1" x14ac:dyDescent="0.25">
      <c r="A120" s="354">
        <v>1</v>
      </c>
      <c r="B120" s="354">
        <v>0</v>
      </c>
      <c r="C120" s="354">
        <v>1</v>
      </c>
      <c r="D120" s="354">
        <v>1</v>
      </c>
      <c r="E120" s="354">
        <v>0</v>
      </c>
      <c r="F120" s="354">
        <v>1</v>
      </c>
      <c r="G120" s="354">
        <v>0</v>
      </c>
      <c r="H120" s="354">
        <v>1</v>
      </c>
      <c r="I120" s="354">
        <v>2</v>
      </c>
      <c r="J120" s="354">
        <v>1</v>
      </c>
      <c r="K120" s="354">
        <v>0</v>
      </c>
      <c r="L120" s="354">
        <v>0</v>
      </c>
      <c r="M120" s="355">
        <v>4</v>
      </c>
      <c r="N120" s="355">
        <v>4</v>
      </c>
    </row>
    <row r="121" spans="1:14" hidden="1" x14ac:dyDescent="0.25">
      <c r="A121" s="354">
        <v>0</v>
      </c>
      <c r="B121" s="354">
        <v>0</v>
      </c>
      <c r="C121" s="354">
        <v>0</v>
      </c>
      <c r="D121" s="354">
        <v>0</v>
      </c>
      <c r="E121" s="354">
        <v>0</v>
      </c>
      <c r="F121" s="354">
        <v>1</v>
      </c>
      <c r="G121" s="354">
        <v>0</v>
      </c>
      <c r="H121" s="354">
        <v>0</v>
      </c>
      <c r="I121" s="354">
        <v>2</v>
      </c>
      <c r="J121" s="354">
        <v>2</v>
      </c>
      <c r="K121" s="354">
        <v>0</v>
      </c>
      <c r="L121" s="354">
        <v>0</v>
      </c>
      <c r="M121" s="355">
        <v>2</v>
      </c>
      <c r="N121" s="355">
        <v>3</v>
      </c>
    </row>
    <row r="122" spans="1:14" hidden="1" x14ac:dyDescent="0.25">
      <c r="A122" s="354">
        <v>0</v>
      </c>
      <c r="B122" s="354">
        <v>1</v>
      </c>
      <c r="C122" s="354">
        <v>0</v>
      </c>
      <c r="D122" s="354">
        <v>2</v>
      </c>
      <c r="E122" s="354">
        <v>0</v>
      </c>
      <c r="F122" s="354">
        <v>2</v>
      </c>
      <c r="G122" s="354">
        <v>1</v>
      </c>
      <c r="H122" s="354">
        <v>0</v>
      </c>
      <c r="I122" s="354">
        <v>1</v>
      </c>
      <c r="J122" s="354">
        <v>1</v>
      </c>
      <c r="K122" s="354">
        <v>0</v>
      </c>
      <c r="L122" s="354">
        <v>0</v>
      </c>
      <c r="M122" s="355">
        <v>2</v>
      </c>
      <c r="N122" s="355">
        <v>6</v>
      </c>
    </row>
    <row r="123" spans="1:14" hidden="1" x14ac:dyDescent="0.25">
      <c r="A123" s="354">
        <v>1</v>
      </c>
      <c r="B123" s="354">
        <v>0</v>
      </c>
      <c r="C123" s="354">
        <v>1</v>
      </c>
      <c r="D123" s="354">
        <v>1</v>
      </c>
      <c r="E123" s="354">
        <v>1</v>
      </c>
      <c r="F123" s="354">
        <v>1</v>
      </c>
      <c r="G123" s="354">
        <v>0</v>
      </c>
      <c r="H123" s="354">
        <v>0</v>
      </c>
      <c r="I123" s="354">
        <v>1</v>
      </c>
      <c r="J123" s="354">
        <v>1</v>
      </c>
      <c r="K123" s="354">
        <v>0</v>
      </c>
      <c r="L123" s="354">
        <v>0</v>
      </c>
      <c r="M123" s="355">
        <v>4</v>
      </c>
      <c r="N123" s="355">
        <v>3</v>
      </c>
    </row>
    <row r="124" spans="1:14" hidden="1" x14ac:dyDescent="0.25">
      <c r="A124" s="354">
        <v>1</v>
      </c>
      <c r="B124" s="354">
        <v>1</v>
      </c>
      <c r="C124" s="354">
        <v>2</v>
      </c>
      <c r="D124" s="354">
        <v>0</v>
      </c>
      <c r="E124" s="354">
        <v>1</v>
      </c>
      <c r="F124" s="354">
        <v>1</v>
      </c>
      <c r="G124" s="354">
        <v>0</v>
      </c>
      <c r="H124" s="354">
        <v>0</v>
      </c>
      <c r="I124" s="354">
        <v>1</v>
      </c>
      <c r="J124" s="354">
        <v>1</v>
      </c>
      <c r="K124" s="354">
        <v>0</v>
      </c>
      <c r="L124" s="354">
        <v>0</v>
      </c>
      <c r="M124" s="355">
        <v>5</v>
      </c>
      <c r="N124" s="355">
        <v>3</v>
      </c>
    </row>
    <row r="125" spans="1:14" hidden="1" x14ac:dyDescent="0.25">
      <c r="A125" s="354">
        <v>0</v>
      </c>
      <c r="B125" s="354">
        <v>0</v>
      </c>
      <c r="C125" s="354">
        <v>1</v>
      </c>
      <c r="D125" s="354">
        <v>0</v>
      </c>
      <c r="E125" s="354">
        <v>2</v>
      </c>
      <c r="F125" s="354">
        <v>1</v>
      </c>
      <c r="G125" s="354">
        <v>1</v>
      </c>
      <c r="H125" s="354">
        <v>1</v>
      </c>
      <c r="I125" s="354">
        <v>2</v>
      </c>
      <c r="J125" s="354">
        <v>3</v>
      </c>
      <c r="K125" s="354">
        <v>0</v>
      </c>
      <c r="L125" s="354">
        <v>0</v>
      </c>
      <c r="M125" s="355">
        <v>6</v>
      </c>
      <c r="N125" s="355">
        <v>5</v>
      </c>
    </row>
    <row r="126" spans="1:14" hidden="1" x14ac:dyDescent="0.25">
      <c r="A126" s="354">
        <v>0</v>
      </c>
      <c r="B126" s="354">
        <v>1</v>
      </c>
      <c r="C126" s="354">
        <v>0</v>
      </c>
      <c r="D126" s="354">
        <v>0</v>
      </c>
      <c r="E126" s="354">
        <v>1</v>
      </c>
      <c r="F126" s="354">
        <v>0</v>
      </c>
      <c r="G126" s="354">
        <v>0</v>
      </c>
      <c r="H126" s="354">
        <v>0</v>
      </c>
      <c r="I126" s="354">
        <v>1</v>
      </c>
      <c r="J126" s="354">
        <v>1</v>
      </c>
      <c r="K126" s="354">
        <v>0</v>
      </c>
      <c r="L126" s="354">
        <v>0</v>
      </c>
      <c r="M126" s="355">
        <v>2</v>
      </c>
      <c r="N126" s="355">
        <v>2</v>
      </c>
    </row>
    <row r="127" spans="1:14" hidden="1" x14ac:dyDescent="0.25">
      <c r="A127" s="354">
        <v>0</v>
      </c>
      <c r="B127" s="354">
        <v>0</v>
      </c>
      <c r="C127" s="354">
        <v>1</v>
      </c>
      <c r="D127" s="354">
        <v>1</v>
      </c>
      <c r="E127" s="354">
        <v>1</v>
      </c>
      <c r="F127" s="354">
        <v>0</v>
      </c>
      <c r="G127" s="354">
        <v>1</v>
      </c>
      <c r="H127" s="354">
        <v>0</v>
      </c>
      <c r="I127" s="354">
        <v>1</v>
      </c>
      <c r="J127" s="354">
        <v>1</v>
      </c>
      <c r="K127" s="354">
        <v>0</v>
      </c>
      <c r="L127" s="354">
        <v>0</v>
      </c>
      <c r="M127" s="355">
        <v>4</v>
      </c>
      <c r="N127" s="355">
        <v>2</v>
      </c>
    </row>
    <row r="128" spans="1:14" hidden="1" x14ac:dyDescent="0.25">
      <c r="A128" s="354">
        <v>1</v>
      </c>
      <c r="B128" s="354">
        <v>0</v>
      </c>
      <c r="C128" s="354">
        <v>0</v>
      </c>
      <c r="D128" s="354">
        <v>2</v>
      </c>
      <c r="E128" s="354">
        <v>1</v>
      </c>
      <c r="F128" s="354">
        <v>2</v>
      </c>
      <c r="G128" s="354">
        <v>0</v>
      </c>
      <c r="H128" s="354">
        <v>1</v>
      </c>
      <c r="I128" s="354">
        <v>1</v>
      </c>
      <c r="J128" s="354">
        <v>1</v>
      </c>
      <c r="K128" s="354">
        <v>0</v>
      </c>
      <c r="L128" s="354">
        <v>0</v>
      </c>
      <c r="M128" s="355">
        <v>3</v>
      </c>
      <c r="N128" s="355">
        <v>6</v>
      </c>
    </row>
    <row r="129" spans="1:14" hidden="1" x14ac:dyDescent="0.25">
      <c r="A129" s="354">
        <v>1</v>
      </c>
      <c r="B129" s="354">
        <v>1</v>
      </c>
      <c r="C129" s="354">
        <v>0</v>
      </c>
      <c r="D129" s="354">
        <v>1</v>
      </c>
      <c r="E129" s="354">
        <v>0</v>
      </c>
      <c r="F129" s="354">
        <v>0</v>
      </c>
      <c r="G129" s="354">
        <v>0</v>
      </c>
      <c r="H129" s="354">
        <v>0</v>
      </c>
      <c r="I129" s="354">
        <v>1</v>
      </c>
      <c r="J129" s="354">
        <v>1</v>
      </c>
      <c r="K129" s="354">
        <v>0</v>
      </c>
      <c r="L129" s="354">
        <v>0</v>
      </c>
      <c r="M129" s="355">
        <v>2</v>
      </c>
      <c r="N129" s="355">
        <v>3</v>
      </c>
    </row>
    <row r="130" spans="1:14" hidden="1" x14ac:dyDescent="0.25">
      <c r="A130" s="354">
        <v>0</v>
      </c>
      <c r="B130" s="354">
        <v>1</v>
      </c>
      <c r="C130" s="354">
        <v>1</v>
      </c>
      <c r="D130" s="354">
        <v>0</v>
      </c>
      <c r="E130" s="354">
        <v>1</v>
      </c>
      <c r="F130" s="354">
        <v>1</v>
      </c>
      <c r="G130" s="354">
        <v>1</v>
      </c>
      <c r="H130" s="354">
        <v>0</v>
      </c>
      <c r="I130" s="354">
        <v>1</v>
      </c>
      <c r="J130" s="354">
        <v>1</v>
      </c>
      <c r="K130" s="354">
        <v>0</v>
      </c>
      <c r="L130" s="354">
        <v>0</v>
      </c>
      <c r="M130" s="355">
        <v>4</v>
      </c>
      <c r="N130" s="355">
        <v>3</v>
      </c>
    </row>
    <row r="131" spans="1:14" hidden="1" x14ac:dyDescent="0.25">
      <c r="A131" s="354">
        <v>0</v>
      </c>
      <c r="B131" s="354">
        <v>2</v>
      </c>
      <c r="C131" s="354">
        <v>2</v>
      </c>
      <c r="D131" s="354">
        <v>1</v>
      </c>
      <c r="E131" s="354">
        <v>2</v>
      </c>
      <c r="F131" s="354">
        <v>1</v>
      </c>
      <c r="G131" s="354">
        <v>0</v>
      </c>
      <c r="H131" s="354">
        <v>0</v>
      </c>
      <c r="I131" s="354">
        <v>1</v>
      </c>
      <c r="J131" s="354">
        <v>2</v>
      </c>
      <c r="K131" s="354">
        <v>0</v>
      </c>
      <c r="L131" s="354">
        <v>0</v>
      </c>
      <c r="M131" s="355">
        <v>5</v>
      </c>
      <c r="N131" s="355">
        <v>6</v>
      </c>
    </row>
    <row r="132" spans="1:14" hidden="1" x14ac:dyDescent="0.25">
      <c r="A132" s="354">
        <v>0</v>
      </c>
      <c r="B132" s="354">
        <v>0</v>
      </c>
      <c r="C132" s="354">
        <v>1</v>
      </c>
      <c r="D132" s="354">
        <v>1</v>
      </c>
      <c r="E132" s="354">
        <v>1</v>
      </c>
      <c r="F132" s="354">
        <v>0</v>
      </c>
      <c r="G132" s="354">
        <v>0</v>
      </c>
      <c r="H132" s="354">
        <v>0</v>
      </c>
      <c r="I132" s="354">
        <v>1</v>
      </c>
      <c r="J132" s="354">
        <v>1</v>
      </c>
      <c r="K132" s="354">
        <v>0</v>
      </c>
      <c r="L132" s="354">
        <v>0</v>
      </c>
      <c r="M132" s="355">
        <v>3</v>
      </c>
      <c r="N132" s="355">
        <v>2</v>
      </c>
    </row>
    <row r="133" spans="1:14" hidden="1" x14ac:dyDescent="0.25">
      <c r="A133" s="354">
        <v>1</v>
      </c>
      <c r="B133" s="354">
        <v>1</v>
      </c>
      <c r="C133" s="354">
        <v>1</v>
      </c>
      <c r="D133" s="354">
        <v>0</v>
      </c>
      <c r="E133" s="354">
        <v>1</v>
      </c>
      <c r="F133" s="354">
        <v>1</v>
      </c>
      <c r="G133" s="354">
        <v>1</v>
      </c>
      <c r="H133" s="354">
        <v>0</v>
      </c>
      <c r="I133" s="354">
        <v>2</v>
      </c>
      <c r="J133" s="354">
        <v>2</v>
      </c>
      <c r="K133" s="354">
        <v>0</v>
      </c>
      <c r="L133" s="354">
        <v>0</v>
      </c>
      <c r="M133" s="355">
        <v>6</v>
      </c>
      <c r="N133" s="355">
        <v>4</v>
      </c>
    </row>
    <row r="134" spans="1:14" hidden="1" x14ac:dyDescent="0.25">
      <c r="A134" s="354">
        <v>0</v>
      </c>
      <c r="B134" s="354">
        <v>0</v>
      </c>
      <c r="C134" s="354">
        <v>2</v>
      </c>
      <c r="D134" s="354">
        <v>1</v>
      </c>
      <c r="E134" s="354">
        <v>1</v>
      </c>
      <c r="F134" s="354">
        <v>1</v>
      </c>
      <c r="G134" s="354">
        <v>0</v>
      </c>
      <c r="H134" s="354">
        <v>0</v>
      </c>
      <c r="I134" s="354">
        <v>1</v>
      </c>
      <c r="J134" s="354">
        <v>1</v>
      </c>
      <c r="K134" s="354">
        <v>0</v>
      </c>
      <c r="L134" s="354">
        <v>0</v>
      </c>
      <c r="M134" s="355">
        <v>4</v>
      </c>
      <c r="N134" s="355">
        <v>3</v>
      </c>
    </row>
    <row r="135" spans="1:14" hidden="1" x14ac:dyDescent="0.25">
      <c r="A135" s="354">
        <v>1</v>
      </c>
      <c r="B135" s="354">
        <v>0</v>
      </c>
      <c r="C135" s="354">
        <v>2</v>
      </c>
      <c r="D135" s="354">
        <v>0</v>
      </c>
      <c r="E135" s="354">
        <v>1</v>
      </c>
      <c r="F135" s="354">
        <v>1</v>
      </c>
      <c r="G135" s="354">
        <v>0</v>
      </c>
      <c r="H135" s="354">
        <v>0</v>
      </c>
      <c r="I135" s="354">
        <v>1</v>
      </c>
      <c r="J135" s="354">
        <v>1</v>
      </c>
      <c r="K135" s="354">
        <v>0</v>
      </c>
      <c r="L135" s="354">
        <v>0</v>
      </c>
      <c r="M135" s="355">
        <v>5</v>
      </c>
      <c r="N135" s="355">
        <v>2</v>
      </c>
    </row>
    <row r="136" spans="1:14" hidden="1" x14ac:dyDescent="0.25">
      <c r="A136" s="354">
        <v>0</v>
      </c>
      <c r="B136" s="354">
        <v>0</v>
      </c>
      <c r="C136" s="354">
        <v>0</v>
      </c>
      <c r="D136" s="354">
        <v>1</v>
      </c>
      <c r="E136" s="354">
        <v>2</v>
      </c>
      <c r="F136" s="354">
        <v>1</v>
      </c>
      <c r="G136" s="354">
        <v>0</v>
      </c>
      <c r="H136" s="354">
        <v>1</v>
      </c>
      <c r="I136" s="354">
        <v>1</v>
      </c>
      <c r="J136" s="354">
        <v>1</v>
      </c>
      <c r="K136" s="354">
        <v>0</v>
      </c>
      <c r="L136" s="354">
        <v>0</v>
      </c>
      <c r="M136" s="355">
        <v>3</v>
      </c>
      <c r="N136" s="355">
        <v>4</v>
      </c>
    </row>
    <row r="137" spans="1:14" hidden="1" x14ac:dyDescent="0.25">
      <c r="A137" s="354">
        <v>0</v>
      </c>
      <c r="B137" s="354">
        <v>0</v>
      </c>
      <c r="C137" s="354">
        <v>1</v>
      </c>
      <c r="D137" s="354">
        <v>2</v>
      </c>
      <c r="E137" s="354">
        <v>1</v>
      </c>
      <c r="F137" s="354">
        <v>0</v>
      </c>
      <c r="G137" s="354">
        <v>0</v>
      </c>
      <c r="H137" s="354">
        <v>0</v>
      </c>
      <c r="I137" s="354">
        <v>1</v>
      </c>
      <c r="J137" s="354">
        <v>1</v>
      </c>
      <c r="K137" s="354">
        <v>0</v>
      </c>
      <c r="L137" s="354">
        <v>0</v>
      </c>
      <c r="M137" s="355">
        <v>3</v>
      </c>
      <c r="N137" s="355">
        <v>3</v>
      </c>
    </row>
    <row r="138" spans="1:14" hidden="1" x14ac:dyDescent="0.25">
      <c r="A138" s="354">
        <v>0</v>
      </c>
      <c r="B138" s="354">
        <v>0</v>
      </c>
      <c r="C138" s="354">
        <v>0</v>
      </c>
      <c r="D138" s="354">
        <v>0</v>
      </c>
      <c r="E138" s="354">
        <v>2</v>
      </c>
      <c r="F138" s="354">
        <v>1</v>
      </c>
      <c r="G138" s="354">
        <v>0</v>
      </c>
      <c r="H138" s="354">
        <v>0</v>
      </c>
      <c r="I138" s="354">
        <v>1</v>
      </c>
      <c r="J138" s="354">
        <v>1</v>
      </c>
      <c r="K138" s="354">
        <v>0</v>
      </c>
      <c r="L138" s="354">
        <v>0</v>
      </c>
      <c r="M138" s="355">
        <v>3</v>
      </c>
      <c r="N138" s="355">
        <v>2</v>
      </c>
    </row>
    <row r="139" spans="1:14" hidden="1" x14ac:dyDescent="0.25">
      <c r="A139" s="354">
        <v>0</v>
      </c>
      <c r="B139" s="354">
        <v>0</v>
      </c>
      <c r="C139" s="354">
        <v>0</v>
      </c>
      <c r="D139" s="354">
        <v>0</v>
      </c>
      <c r="E139" s="354">
        <v>2</v>
      </c>
      <c r="F139" s="354">
        <v>0</v>
      </c>
      <c r="G139" s="354">
        <v>3</v>
      </c>
      <c r="H139" s="354">
        <v>0</v>
      </c>
      <c r="I139" s="354">
        <v>1</v>
      </c>
      <c r="J139" s="354">
        <v>1</v>
      </c>
      <c r="K139" s="354">
        <v>0</v>
      </c>
      <c r="L139" s="354">
        <v>0</v>
      </c>
      <c r="M139" s="355">
        <v>6</v>
      </c>
      <c r="N139" s="355">
        <v>1</v>
      </c>
    </row>
    <row r="140" spans="1:14" hidden="1" x14ac:dyDescent="0.25">
      <c r="A140" s="354"/>
      <c r="B140" s="354">
        <v>0</v>
      </c>
      <c r="C140" s="354">
        <v>0</v>
      </c>
      <c r="D140" s="354">
        <v>2</v>
      </c>
      <c r="E140" s="354">
        <v>2</v>
      </c>
      <c r="F140" s="354">
        <v>0</v>
      </c>
      <c r="G140" s="354">
        <v>2</v>
      </c>
      <c r="H140" s="354">
        <v>2</v>
      </c>
      <c r="I140" s="354">
        <v>1</v>
      </c>
      <c r="J140" s="354">
        <v>1</v>
      </c>
      <c r="K140" s="354">
        <v>0</v>
      </c>
      <c r="L140" s="354">
        <v>0</v>
      </c>
      <c r="M140" s="355">
        <v>5</v>
      </c>
      <c r="N140" s="355">
        <v>5</v>
      </c>
    </row>
    <row r="141" spans="1:14" hidden="1" x14ac:dyDescent="0.25">
      <c r="A141" s="354"/>
      <c r="B141" s="354">
        <v>0</v>
      </c>
      <c r="C141" s="354">
        <v>0</v>
      </c>
      <c r="D141" s="354">
        <v>2</v>
      </c>
      <c r="E141" s="354">
        <v>0</v>
      </c>
      <c r="F141" s="354">
        <v>0</v>
      </c>
      <c r="G141" s="354">
        <v>2</v>
      </c>
      <c r="H141" s="354">
        <v>0</v>
      </c>
      <c r="I141" s="354">
        <v>5</v>
      </c>
      <c r="J141" s="354">
        <v>4</v>
      </c>
      <c r="K141" s="354">
        <v>0</v>
      </c>
      <c r="L141" s="354">
        <v>1</v>
      </c>
      <c r="M141" s="355">
        <v>7</v>
      </c>
      <c r="N141" s="355">
        <v>7</v>
      </c>
    </row>
    <row r="142" spans="1:14" hidden="1" x14ac:dyDescent="0.25">
      <c r="A142" s="354">
        <v>1</v>
      </c>
      <c r="B142" s="354">
        <v>0</v>
      </c>
      <c r="C142" s="354">
        <v>1</v>
      </c>
      <c r="D142" s="354">
        <v>1</v>
      </c>
      <c r="E142" s="354">
        <v>0</v>
      </c>
      <c r="F142" s="354">
        <v>1</v>
      </c>
      <c r="G142" s="354">
        <v>2</v>
      </c>
      <c r="H142" s="354">
        <v>0</v>
      </c>
      <c r="I142" s="354">
        <v>1</v>
      </c>
      <c r="J142" s="354">
        <v>1</v>
      </c>
      <c r="K142" s="354">
        <v>0</v>
      </c>
      <c r="L142" s="354">
        <v>0</v>
      </c>
      <c r="M142" s="355">
        <v>5</v>
      </c>
      <c r="N142" s="355">
        <v>3</v>
      </c>
    </row>
    <row r="143" spans="1:14" hidden="1" x14ac:dyDescent="0.25">
      <c r="A143" s="354">
        <v>0</v>
      </c>
      <c r="B143" s="354">
        <v>1</v>
      </c>
      <c r="C143" s="354">
        <v>0</v>
      </c>
      <c r="D143" s="354">
        <v>0</v>
      </c>
      <c r="E143" s="354">
        <v>2</v>
      </c>
      <c r="F143" s="354">
        <v>1</v>
      </c>
      <c r="G143" s="354">
        <v>2</v>
      </c>
      <c r="H143" s="354">
        <v>1</v>
      </c>
      <c r="I143" s="354">
        <v>2</v>
      </c>
      <c r="J143" s="354">
        <v>1</v>
      </c>
      <c r="K143" s="354">
        <v>0</v>
      </c>
      <c r="L143" s="354">
        <v>1</v>
      </c>
      <c r="M143" s="355">
        <v>6</v>
      </c>
      <c r="N143" s="355">
        <v>5</v>
      </c>
    </row>
    <row r="144" spans="1:14" hidden="1" x14ac:dyDescent="0.25">
      <c r="A144" s="354">
        <v>0</v>
      </c>
      <c r="B144" s="354">
        <v>1</v>
      </c>
      <c r="C144" s="354">
        <v>0</v>
      </c>
      <c r="D144" s="354">
        <v>3</v>
      </c>
      <c r="E144" s="354">
        <v>1</v>
      </c>
      <c r="F144" s="354">
        <v>2</v>
      </c>
      <c r="G144" s="354">
        <v>1</v>
      </c>
      <c r="H144" s="354">
        <v>0</v>
      </c>
      <c r="I144" s="354">
        <v>1</v>
      </c>
      <c r="J144" s="354">
        <v>3</v>
      </c>
      <c r="K144" s="354">
        <v>0</v>
      </c>
      <c r="L144" s="354">
        <v>0</v>
      </c>
      <c r="M144" s="355">
        <v>3</v>
      </c>
      <c r="N144" s="355">
        <v>9</v>
      </c>
    </row>
    <row r="145" spans="1:14" hidden="1" x14ac:dyDescent="0.25">
      <c r="A145" s="354">
        <v>1</v>
      </c>
      <c r="B145" s="354">
        <v>2</v>
      </c>
      <c r="C145" s="354">
        <v>1</v>
      </c>
      <c r="D145" s="354">
        <v>1</v>
      </c>
      <c r="E145" s="354">
        <v>0</v>
      </c>
      <c r="F145" s="354">
        <v>2</v>
      </c>
      <c r="G145" s="354">
        <v>0</v>
      </c>
      <c r="H145" s="354">
        <v>1</v>
      </c>
      <c r="I145" s="354">
        <v>3</v>
      </c>
      <c r="J145" s="354">
        <v>2</v>
      </c>
      <c r="K145" s="354">
        <v>0</v>
      </c>
      <c r="L145" s="354">
        <v>0</v>
      </c>
      <c r="M145" s="355">
        <v>5</v>
      </c>
      <c r="N145" s="355">
        <v>8</v>
      </c>
    </row>
    <row r="146" spans="1:14" hidden="1" x14ac:dyDescent="0.25">
      <c r="A146" s="354">
        <v>1</v>
      </c>
      <c r="B146" s="354">
        <v>1</v>
      </c>
      <c r="C146" s="354">
        <v>0</v>
      </c>
      <c r="D146" s="354">
        <v>1</v>
      </c>
      <c r="E146" s="354">
        <v>0</v>
      </c>
      <c r="F146" s="354">
        <v>1</v>
      </c>
      <c r="G146" s="354">
        <v>0</v>
      </c>
      <c r="H146" s="354">
        <v>0</v>
      </c>
      <c r="I146" s="354">
        <v>1</v>
      </c>
      <c r="J146" s="354">
        <v>2</v>
      </c>
      <c r="K146" s="354">
        <v>0</v>
      </c>
      <c r="L146" s="354">
        <v>0</v>
      </c>
      <c r="M146" s="355">
        <v>2</v>
      </c>
      <c r="N146" s="355">
        <v>5</v>
      </c>
    </row>
    <row r="147" spans="1:14" hidden="1" x14ac:dyDescent="0.25">
      <c r="A147" s="354">
        <v>0</v>
      </c>
      <c r="B147" s="354">
        <v>0</v>
      </c>
      <c r="C147" s="354">
        <v>0</v>
      </c>
      <c r="D147" s="354">
        <v>0</v>
      </c>
      <c r="E147" s="354">
        <v>1</v>
      </c>
      <c r="F147" s="354">
        <v>2</v>
      </c>
      <c r="G147" s="354">
        <v>1</v>
      </c>
      <c r="H147" s="354">
        <v>0</v>
      </c>
      <c r="I147" s="354">
        <v>0</v>
      </c>
      <c r="J147" s="354">
        <v>1</v>
      </c>
      <c r="K147" s="354">
        <v>1</v>
      </c>
      <c r="L147" s="354">
        <v>0</v>
      </c>
      <c r="M147" s="355">
        <v>3</v>
      </c>
      <c r="N147" s="355">
        <v>3</v>
      </c>
    </row>
    <row r="148" spans="1:14" hidden="1" x14ac:dyDescent="0.25">
      <c r="A148" s="354">
        <v>0</v>
      </c>
      <c r="B148" s="354">
        <v>1</v>
      </c>
      <c r="C148" s="354">
        <v>0</v>
      </c>
      <c r="D148" s="354">
        <v>1</v>
      </c>
      <c r="E148" s="354">
        <v>2</v>
      </c>
      <c r="F148" s="354">
        <v>3</v>
      </c>
      <c r="G148" s="354">
        <v>0</v>
      </c>
      <c r="H148" s="354">
        <v>0</v>
      </c>
      <c r="I148" s="354">
        <v>1</v>
      </c>
      <c r="J148" s="354">
        <v>1</v>
      </c>
      <c r="K148" s="354">
        <v>0</v>
      </c>
      <c r="L148" s="354">
        <v>0</v>
      </c>
      <c r="M148" s="355">
        <v>3</v>
      </c>
      <c r="N148" s="355">
        <v>6</v>
      </c>
    </row>
    <row r="149" spans="1:14" hidden="1" x14ac:dyDescent="0.25">
      <c r="A149" s="354">
        <v>0</v>
      </c>
      <c r="B149" s="354">
        <v>0</v>
      </c>
      <c r="C149" s="354">
        <v>1</v>
      </c>
      <c r="D149" s="354">
        <v>0</v>
      </c>
      <c r="E149" s="354">
        <v>1</v>
      </c>
      <c r="F149" s="354">
        <v>1</v>
      </c>
      <c r="G149" s="354">
        <v>0</v>
      </c>
      <c r="H149" s="354">
        <v>0</v>
      </c>
      <c r="I149" s="354">
        <v>0</v>
      </c>
      <c r="J149" s="354">
        <v>1</v>
      </c>
      <c r="K149" s="354">
        <v>1</v>
      </c>
      <c r="L149" s="354">
        <v>0</v>
      </c>
      <c r="M149" s="355">
        <v>3</v>
      </c>
      <c r="N149" s="355">
        <v>2</v>
      </c>
    </row>
    <row r="150" spans="1:14" hidden="1" x14ac:dyDescent="0.25">
      <c r="A150" s="354">
        <v>0</v>
      </c>
      <c r="B150" s="354">
        <v>0</v>
      </c>
      <c r="C150" s="354">
        <v>0</v>
      </c>
      <c r="D150" s="354">
        <v>0</v>
      </c>
      <c r="E150" s="354">
        <v>1</v>
      </c>
      <c r="F150" s="354">
        <v>1</v>
      </c>
      <c r="G150" s="354">
        <v>0</v>
      </c>
      <c r="H150" s="354">
        <v>1</v>
      </c>
      <c r="I150" s="354">
        <v>2</v>
      </c>
      <c r="J150" s="354">
        <v>1</v>
      </c>
      <c r="K150" s="354">
        <v>0</v>
      </c>
      <c r="L150" s="354">
        <v>0</v>
      </c>
      <c r="M150" s="355">
        <v>3</v>
      </c>
      <c r="N150" s="355">
        <v>3</v>
      </c>
    </row>
    <row r="151" spans="1:14" hidden="1" x14ac:dyDescent="0.25">
      <c r="A151" s="354">
        <v>0</v>
      </c>
      <c r="B151" s="354">
        <v>1</v>
      </c>
      <c r="C151" s="354">
        <v>0</v>
      </c>
      <c r="D151" s="354">
        <v>1</v>
      </c>
      <c r="E151" s="354">
        <v>1</v>
      </c>
      <c r="F151" s="354">
        <v>1</v>
      </c>
      <c r="G151" s="354">
        <v>2</v>
      </c>
      <c r="H151" s="354">
        <v>1</v>
      </c>
      <c r="I151" s="354">
        <v>3</v>
      </c>
      <c r="J151" s="354">
        <v>2</v>
      </c>
      <c r="K151" s="354">
        <v>0</v>
      </c>
      <c r="L151" s="354">
        <v>0</v>
      </c>
      <c r="M151" s="355">
        <v>6</v>
      </c>
      <c r="N151" s="355">
        <v>6</v>
      </c>
    </row>
    <row r="152" spans="1:14" hidden="1" x14ac:dyDescent="0.25">
      <c r="A152" s="354">
        <v>0</v>
      </c>
      <c r="B152" s="354">
        <v>0</v>
      </c>
      <c r="C152" s="354">
        <v>2</v>
      </c>
      <c r="D152" s="354">
        <v>0</v>
      </c>
      <c r="E152" s="354">
        <v>1</v>
      </c>
      <c r="F152" s="354">
        <v>1</v>
      </c>
      <c r="G152" s="354">
        <v>0</v>
      </c>
      <c r="H152" s="354">
        <v>0</v>
      </c>
      <c r="I152" s="354">
        <v>1</v>
      </c>
      <c r="J152" s="354">
        <v>1</v>
      </c>
      <c r="K152" s="354">
        <v>0</v>
      </c>
      <c r="L152" s="354">
        <v>0</v>
      </c>
      <c r="M152" s="355">
        <v>4</v>
      </c>
      <c r="N152" s="355">
        <v>2</v>
      </c>
    </row>
    <row r="153" spans="1:14" hidden="1" x14ac:dyDescent="0.25">
      <c r="A153" s="354">
        <v>2</v>
      </c>
      <c r="B153" s="354">
        <v>1</v>
      </c>
      <c r="C153" s="354">
        <v>4</v>
      </c>
      <c r="D153" s="354">
        <v>1</v>
      </c>
      <c r="E153" s="354">
        <v>2</v>
      </c>
      <c r="F153" s="354">
        <v>0</v>
      </c>
      <c r="G153" s="354">
        <v>2</v>
      </c>
      <c r="H153" s="354">
        <v>0</v>
      </c>
      <c r="I153" s="354">
        <v>8</v>
      </c>
      <c r="J153" s="354">
        <v>7</v>
      </c>
      <c r="K153" s="354">
        <v>1</v>
      </c>
      <c r="L153" s="354">
        <v>0</v>
      </c>
      <c r="M153" s="355">
        <v>19</v>
      </c>
      <c r="N153" s="355">
        <v>9</v>
      </c>
    </row>
    <row r="154" spans="1:14" hidden="1" x14ac:dyDescent="0.25">
      <c r="A154" s="354">
        <v>0</v>
      </c>
      <c r="B154" s="354">
        <v>1</v>
      </c>
      <c r="C154" s="354">
        <v>1</v>
      </c>
      <c r="D154" s="354">
        <v>0</v>
      </c>
      <c r="E154" s="354">
        <v>2</v>
      </c>
      <c r="F154" s="354">
        <v>1</v>
      </c>
      <c r="G154" s="354">
        <v>0</v>
      </c>
      <c r="H154" s="354">
        <v>0</v>
      </c>
      <c r="I154" s="354">
        <v>1</v>
      </c>
      <c r="J154" s="354">
        <v>1</v>
      </c>
      <c r="K154" s="354">
        <v>0</v>
      </c>
      <c r="L154" s="354">
        <v>0</v>
      </c>
      <c r="M154" s="355">
        <v>4</v>
      </c>
      <c r="N154" s="355">
        <v>3</v>
      </c>
    </row>
    <row r="155" spans="1:14" hidden="1" x14ac:dyDescent="0.25">
      <c r="A155" s="354">
        <v>1</v>
      </c>
      <c r="B155" s="354">
        <v>0</v>
      </c>
      <c r="C155" s="354">
        <v>1</v>
      </c>
      <c r="D155" s="354">
        <v>0</v>
      </c>
      <c r="E155" s="354">
        <v>0</v>
      </c>
      <c r="F155" s="354">
        <v>1</v>
      </c>
      <c r="G155" s="354">
        <v>1</v>
      </c>
      <c r="H155" s="354">
        <v>0</v>
      </c>
      <c r="I155" s="354">
        <v>2</v>
      </c>
      <c r="J155" s="354">
        <v>1</v>
      </c>
      <c r="K155" s="354">
        <v>0</v>
      </c>
      <c r="L155" s="354">
        <v>0</v>
      </c>
      <c r="M155" s="355">
        <v>5</v>
      </c>
      <c r="N155" s="355">
        <v>2</v>
      </c>
    </row>
    <row r="156" spans="1:14" hidden="1" x14ac:dyDescent="0.25">
      <c r="A156" s="354">
        <v>0</v>
      </c>
      <c r="B156" s="354">
        <v>0</v>
      </c>
      <c r="C156" s="354">
        <v>0</v>
      </c>
      <c r="D156" s="354">
        <v>1</v>
      </c>
      <c r="E156" s="354">
        <v>1</v>
      </c>
      <c r="F156" s="354">
        <v>0</v>
      </c>
      <c r="G156" s="354">
        <v>1</v>
      </c>
      <c r="H156" s="354">
        <v>0</v>
      </c>
      <c r="I156" s="354">
        <v>0</v>
      </c>
      <c r="J156" s="354">
        <v>1</v>
      </c>
      <c r="K156" s="354">
        <v>1</v>
      </c>
      <c r="L156" s="354">
        <v>0</v>
      </c>
      <c r="M156" s="355">
        <v>3</v>
      </c>
      <c r="N156" s="355">
        <v>2</v>
      </c>
    </row>
    <row r="157" spans="1:14" hidden="1" x14ac:dyDescent="0.25">
      <c r="A157" s="354">
        <v>0</v>
      </c>
      <c r="B157" s="354">
        <v>1</v>
      </c>
      <c r="C157" s="354">
        <v>0</v>
      </c>
      <c r="D157" s="354">
        <v>0</v>
      </c>
      <c r="E157" s="354">
        <v>1</v>
      </c>
      <c r="F157" s="354">
        <v>0</v>
      </c>
      <c r="G157" s="354">
        <v>4</v>
      </c>
      <c r="H157" s="354">
        <v>0</v>
      </c>
      <c r="I157" s="354">
        <v>1</v>
      </c>
      <c r="J157" s="354">
        <v>1</v>
      </c>
      <c r="K157" s="354">
        <v>0</v>
      </c>
      <c r="L157" s="354">
        <v>0</v>
      </c>
      <c r="M157" s="355">
        <v>6</v>
      </c>
      <c r="N157" s="355">
        <v>2</v>
      </c>
    </row>
    <row r="158" spans="1:14" hidden="1" x14ac:dyDescent="0.25">
      <c r="A158" s="354">
        <v>2</v>
      </c>
      <c r="B158" s="354">
        <v>1</v>
      </c>
      <c r="C158" s="354">
        <v>3</v>
      </c>
      <c r="D158" s="354">
        <v>0</v>
      </c>
      <c r="E158" s="354">
        <v>3</v>
      </c>
      <c r="F158" s="354">
        <v>1</v>
      </c>
      <c r="G158" s="354">
        <v>0</v>
      </c>
      <c r="H158" s="354">
        <v>0</v>
      </c>
      <c r="I158" s="354">
        <v>1</v>
      </c>
      <c r="J158" s="354">
        <v>2</v>
      </c>
      <c r="K158" s="354">
        <v>0</v>
      </c>
      <c r="L158" s="354">
        <v>0</v>
      </c>
      <c r="M158" s="355">
        <v>9</v>
      </c>
      <c r="N158" s="355">
        <v>4</v>
      </c>
    </row>
    <row r="159" spans="1:14" hidden="1" x14ac:dyDescent="0.25">
      <c r="A159" s="354">
        <v>1</v>
      </c>
      <c r="B159" s="354">
        <v>1</v>
      </c>
      <c r="C159" s="354">
        <v>1</v>
      </c>
      <c r="D159" s="354">
        <v>1</v>
      </c>
      <c r="E159" s="354">
        <v>1</v>
      </c>
      <c r="F159" s="354">
        <v>0</v>
      </c>
      <c r="G159" s="354">
        <v>2</v>
      </c>
      <c r="H159" s="354">
        <v>1</v>
      </c>
      <c r="I159" s="354">
        <v>1</v>
      </c>
      <c r="J159" s="354">
        <v>1</v>
      </c>
      <c r="K159" s="354">
        <v>0</v>
      </c>
      <c r="L159" s="354">
        <v>0</v>
      </c>
      <c r="M159" s="355">
        <v>6</v>
      </c>
      <c r="N159" s="355">
        <v>4</v>
      </c>
    </row>
    <row r="160" spans="1:14" hidden="1" x14ac:dyDescent="0.25">
      <c r="A160" s="354">
        <v>2</v>
      </c>
      <c r="B160" s="354">
        <v>1</v>
      </c>
      <c r="C160" s="354">
        <v>4</v>
      </c>
      <c r="D160" s="354">
        <v>0</v>
      </c>
      <c r="E160" s="354">
        <v>3</v>
      </c>
      <c r="F160" s="354">
        <v>2</v>
      </c>
      <c r="G160" s="354">
        <v>0</v>
      </c>
      <c r="H160" s="354">
        <v>0</v>
      </c>
      <c r="I160" s="354">
        <v>2</v>
      </c>
      <c r="J160" s="354">
        <v>4</v>
      </c>
      <c r="K160" s="354">
        <v>0</v>
      </c>
      <c r="L160" s="354">
        <v>0</v>
      </c>
      <c r="M160" s="355">
        <v>11</v>
      </c>
      <c r="N160" s="355">
        <v>7</v>
      </c>
    </row>
    <row r="161" spans="1:14" hidden="1" x14ac:dyDescent="0.25">
      <c r="A161" s="354">
        <v>0</v>
      </c>
      <c r="B161" s="354">
        <v>1</v>
      </c>
      <c r="C161" s="354">
        <v>1</v>
      </c>
      <c r="D161" s="354">
        <v>1</v>
      </c>
      <c r="E161" s="354">
        <v>2</v>
      </c>
      <c r="F161" s="354">
        <v>1</v>
      </c>
      <c r="G161" s="354">
        <v>1</v>
      </c>
      <c r="H161" s="354">
        <v>1</v>
      </c>
      <c r="I161" s="354">
        <v>2</v>
      </c>
      <c r="J161" s="354">
        <v>1</v>
      </c>
      <c r="K161" s="354">
        <v>0</v>
      </c>
      <c r="L161" s="354">
        <v>0</v>
      </c>
      <c r="M161" s="355">
        <v>6</v>
      </c>
      <c r="N161" s="355">
        <v>5</v>
      </c>
    </row>
    <row r="162" spans="1:14" hidden="1" x14ac:dyDescent="0.25">
      <c r="A162" s="354">
        <v>1</v>
      </c>
      <c r="B162" s="354">
        <v>1</v>
      </c>
      <c r="C162" s="354">
        <v>1</v>
      </c>
      <c r="D162" s="354">
        <v>0</v>
      </c>
      <c r="E162" s="354">
        <v>0</v>
      </c>
      <c r="F162" s="354">
        <v>0</v>
      </c>
      <c r="G162" s="354">
        <v>0</v>
      </c>
      <c r="H162" s="354">
        <v>0</v>
      </c>
      <c r="I162" s="354">
        <v>1</v>
      </c>
      <c r="J162" s="354">
        <v>1</v>
      </c>
      <c r="K162" s="354">
        <v>1</v>
      </c>
      <c r="L162" s="354">
        <v>0</v>
      </c>
      <c r="M162" s="355">
        <v>4</v>
      </c>
      <c r="N162" s="355">
        <v>2</v>
      </c>
    </row>
    <row r="163" spans="1:14" hidden="1" x14ac:dyDescent="0.25">
      <c r="A163" s="354">
        <v>1</v>
      </c>
      <c r="B163" s="354">
        <v>0</v>
      </c>
      <c r="C163" s="354">
        <v>1</v>
      </c>
      <c r="D163" s="354">
        <v>0</v>
      </c>
      <c r="E163" s="354">
        <v>0</v>
      </c>
      <c r="F163" s="354">
        <v>1</v>
      </c>
      <c r="G163" s="354">
        <v>0</v>
      </c>
      <c r="H163" s="354">
        <v>0</v>
      </c>
      <c r="I163" s="354">
        <v>1</v>
      </c>
      <c r="J163" s="354">
        <v>1</v>
      </c>
      <c r="K163" s="354">
        <v>0</v>
      </c>
      <c r="L163" s="354">
        <v>0</v>
      </c>
      <c r="M163" s="355">
        <v>3</v>
      </c>
      <c r="N163" s="355">
        <v>2</v>
      </c>
    </row>
    <row r="164" spans="1:14" hidden="1" x14ac:dyDescent="0.25">
      <c r="A164" s="354">
        <v>1</v>
      </c>
      <c r="B164" s="354">
        <v>1</v>
      </c>
      <c r="C164" s="354">
        <v>1</v>
      </c>
      <c r="D164" s="354">
        <v>0</v>
      </c>
      <c r="E164" s="354">
        <v>1</v>
      </c>
      <c r="F164" s="354">
        <v>0</v>
      </c>
      <c r="G164" s="354">
        <v>0</v>
      </c>
      <c r="H164" s="354">
        <v>0</v>
      </c>
      <c r="I164" s="354">
        <v>1</v>
      </c>
      <c r="J164" s="354">
        <v>1</v>
      </c>
      <c r="K164" s="354">
        <v>0</v>
      </c>
      <c r="L164" s="354">
        <v>0</v>
      </c>
      <c r="M164" s="355">
        <v>4</v>
      </c>
      <c r="N164" s="355">
        <v>2</v>
      </c>
    </row>
    <row r="165" spans="1:14" hidden="1" x14ac:dyDescent="0.25">
      <c r="A165" s="354">
        <v>1</v>
      </c>
      <c r="B165" s="354">
        <v>0</v>
      </c>
      <c r="C165" s="354">
        <v>0</v>
      </c>
      <c r="D165" s="354">
        <v>1</v>
      </c>
      <c r="E165" s="354">
        <v>2</v>
      </c>
      <c r="F165" s="354">
        <v>1</v>
      </c>
      <c r="G165" s="354">
        <v>0</v>
      </c>
      <c r="H165" s="354">
        <v>0</v>
      </c>
      <c r="I165" s="354">
        <v>1</v>
      </c>
      <c r="J165" s="354">
        <v>1</v>
      </c>
      <c r="K165" s="354">
        <v>0</v>
      </c>
      <c r="L165" s="354">
        <v>0</v>
      </c>
      <c r="M165" s="355">
        <v>4</v>
      </c>
      <c r="N165" s="355">
        <v>3</v>
      </c>
    </row>
    <row r="166" spans="1:14" hidden="1" x14ac:dyDescent="0.25">
      <c r="A166" s="354">
        <v>0</v>
      </c>
      <c r="B166" s="354">
        <v>0</v>
      </c>
      <c r="C166" s="354">
        <v>1</v>
      </c>
      <c r="D166" s="354">
        <v>2</v>
      </c>
      <c r="E166" s="354">
        <v>3</v>
      </c>
      <c r="F166" s="354">
        <v>0</v>
      </c>
      <c r="G166" s="354">
        <v>0</v>
      </c>
      <c r="H166" s="354">
        <v>2</v>
      </c>
      <c r="I166" s="354">
        <v>1</v>
      </c>
      <c r="J166" s="354">
        <v>1</v>
      </c>
      <c r="K166" s="354">
        <v>0</v>
      </c>
      <c r="L166" s="354">
        <v>0</v>
      </c>
      <c r="M166" s="355">
        <v>5</v>
      </c>
      <c r="N166" s="355">
        <v>5</v>
      </c>
    </row>
    <row r="167" spans="1:14" hidden="1" x14ac:dyDescent="0.25">
      <c r="A167" s="354">
        <v>0</v>
      </c>
      <c r="B167" s="354">
        <v>0</v>
      </c>
      <c r="C167" s="354">
        <v>0</v>
      </c>
      <c r="D167" s="354">
        <v>2</v>
      </c>
      <c r="E167" s="354">
        <v>3</v>
      </c>
      <c r="F167" s="354">
        <v>0</v>
      </c>
      <c r="G167" s="354">
        <v>0</v>
      </c>
      <c r="H167" s="354">
        <v>0</v>
      </c>
      <c r="I167" s="354">
        <v>1</v>
      </c>
      <c r="J167" s="354">
        <v>1</v>
      </c>
      <c r="K167" s="354">
        <v>0</v>
      </c>
      <c r="L167" s="354">
        <v>0</v>
      </c>
      <c r="M167" s="355">
        <v>4</v>
      </c>
      <c r="N167" s="355">
        <v>3</v>
      </c>
    </row>
    <row r="168" spans="1:14" hidden="1" x14ac:dyDescent="0.25">
      <c r="A168" s="354">
        <v>0</v>
      </c>
      <c r="B168" s="354">
        <v>1</v>
      </c>
      <c r="C168" s="354">
        <v>1</v>
      </c>
      <c r="D168" s="354">
        <v>1</v>
      </c>
      <c r="E168" s="354">
        <v>1</v>
      </c>
      <c r="F168" s="354"/>
      <c r="G168" s="354"/>
      <c r="H168" s="354">
        <v>0</v>
      </c>
      <c r="I168" s="354">
        <v>1</v>
      </c>
      <c r="J168" s="354">
        <v>1</v>
      </c>
      <c r="K168" s="354">
        <v>0</v>
      </c>
      <c r="L168" s="354">
        <v>0</v>
      </c>
      <c r="M168" s="355">
        <v>3</v>
      </c>
      <c r="N168" s="355">
        <v>3</v>
      </c>
    </row>
    <row r="169" spans="1:14" hidden="1" x14ac:dyDescent="0.25">
      <c r="A169" s="354">
        <v>1</v>
      </c>
      <c r="B169" s="354">
        <v>0</v>
      </c>
      <c r="C169" s="354">
        <v>1</v>
      </c>
      <c r="D169" s="354">
        <v>1</v>
      </c>
      <c r="E169" s="354">
        <v>0</v>
      </c>
      <c r="F169" s="354">
        <v>0</v>
      </c>
      <c r="G169" s="354">
        <v>0</v>
      </c>
      <c r="H169" s="354">
        <v>1</v>
      </c>
      <c r="I169" s="354">
        <v>1</v>
      </c>
      <c r="J169" s="354">
        <v>1</v>
      </c>
      <c r="K169" s="354">
        <v>0</v>
      </c>
      <c r="L169" s="354">
        <v>0</v>
      </c>
      <c r="M169" s="355">
        <v>3</v>
      </c>
      <c r="N169" s="355">
        <v>3</v>
      </c>
    </row>
    <row r="170" spans="1:14" hidden="1" x14ac:dyDescent="0.25">
      <c r="A170" s="354">
        <v>0</v>
      </c>
      <c r="B170" s="354">
        <v>1</v>
      </c>
      <c r="C170" s="354">
        <v>0</v>
      </c>
      <c r="D170" s="354">
        <v>1</v>
      </c>
      <c r="E170" s="354">
        <v>0</v>
      </c>
      <c r="F170" s="354">
        <v>0</v>
      </c>
      <c r="G170" s="354">
        <v>0</v>
      </c>
      <c r="H170" s="354">
        <v>0</v>
      </c>
      <c r="I170" s="354">
        <v>1</v>
      </c>
      <c r="J170" s="354">
        <v>1</v>
      </c>
      <c r="K170" s="354">
        <v>0</v>
      </c>
      <c r="L170" s="354">
        <v>0</v>
      </c>
      <c r="M170" s="355">
        <v>1</v>
      </c>
      <c r="N170" s="355">
        <v>3</v>
      </c>
    </row>
    <row r="171" spans="1:14" hidden="1" x14ac:dyDescent="0.25">
      <c r="A171" s="354">
        <v>0</v>
      </c>
      <c r="B171" s="354">
        <v>0</v>
      </c>
      <c r="C171" s="354">
        <v>0</v>
      </c>
      <c r="D171" s="354">
        <v>0</v>
      </c>
      <c r="E171" s="354">
        <v>1</v>
      </c>
      <c r="F171" s="354">
        <v>1</v>
      </c>
      <c r="G171" s="354">
        <v>1</v>
      </c>
      <c r="H171" s="354">
        <v>0</v>
      </c>
      <c r="I171" s="354">
        <v>1</v>
      </c>
      <c r="J171" s="354">
        <v>1</v>
      </c>
      <c r="K171" s="354">
        <v>0</v>
      </c>
      <c r="L171" s="354">
        <v>0</v>
      </c>
      <c r="M171" s="355">
        <v>3</v>
      </c>
      <c r="N171" s="355">
        <v>2</v>
      </c>
    </row>
    <row r="172" spans="1:14" hidden="1" x14ac:dyDescent="0.25">
      <c r="A172" s="354">
        <v>1</v>
      </c>
      <c r="B172" s="354">
        <v>0</v>
      </c>
      <c r="C172" s="354"/>
      <c r="D172" s="354">
        <v>1</v>
      </c>
      <c r="E172" s="354">
        <v>1</v>
      </c>
      <c r="F172" s="354">
        <v>0</v>
      </c>
      <c r="G172" s="354">
        <v>0</v>
      </c>
      <c r="H172" s="354">
        <v>0</v>
      </c>
      <c r="I172" s="354">
        <v>1</v>
      </c>
      <c r="J172" s="354">
        <v>1</v>
      </c>
      <c r="K172" s="354">
        <v>0</v>
      </c>
      <c r="L172" s="354">
        <v>0</v>
      </c>
      <c r="M172" s="355">
        <v>3</v>
      </c>
      <c r="N172" s="355">
        <v>2</v>
      </c>
    </row>
    <row r="173" spans="1:14" hidden="1" x14ac:dyDescent="0.25">
      <c r="A173" s="354"/>
      <c r="B173" s="354">
        <v>0</v>
      </c>
      <c r="C173" s="354">
        <v>1</v>
      </c>
      <c r="D173" s="354">
        <v>2</v>
      </c>
      <c r="E173" s="354">
        <v>1</v>
      </c>
      <c r="F173" s="354">
        <v>1</v>
      </c>
      <c r="G173" s="354">
        <v>1</v>
      </c>
      <c r="H173" s="354">
        <v>0</v>
      </c>
      <c r="I173" s="354">
        <v>1</v>
      </c>
      <c r="J173" s="354">
        <v>0</v>
      </c>
      <c r="K173" s="354">
        <v>1</v>
      </c>
      <c r="L173" s="354">
        <v>0</v>
      </c>
      <c r="M173" s="355">
        <v>5</v>
      </c>
      <c r="N173" s="355">
        <v>3</v>
      </c>
    </row>
    <row r="174" spans="1:14" hidden="1" x14ac:dyDescent="0.25">
      <c r="A174" s="354">
        <v>1</v>
      </c>
      <c r="B174" s="354">
        <v>1</v>
      </c>
      <c r="C174" s="354"/>
      <c r="D174" s="354">
        <v>2</v>
      </c>
      <c r="E174" s="354">
        <v>2</v>
      </c>
      <c r="F174" s="354">
        <v>0</v>
      </c>
      <c r="G174" s="354">
        <v>0</v>
      </c>
      <c r="H174" s="354">
        <v>0</v>
      </c>
      <c r="I174" s="354">
        <v>1</v>
      </c>
      <c r="J174" s="354">
        <v>2</v>
      </c>
      <c r="K174" s="354">
        <v>0</v>
      </c>
      <c r="L174" s="354">
        <v>0</v>
      </c>
      <c r="M174" s="355">
        <v>4</v>
      </c>
      <c r="N174" s="355">
        <v>5</v>
      </c>
    </row>
    <row r="175" spans="1:14" hidden="1" x14ac:dyDescent="0.25">
      <c r="A175" s="354">
        <v>1</v>
      </c>
      <c r="B175" s="354">
        <v>1</v>
      </c>
      <c r="C175" s="354">
        <v>1</v>
      </c>
      <c r="D175" s="354">
        <v>1</v>
      </c>
      <c r="E175" s="354">
        <v>1</v>
      </c>
      <c r="F175" s="354">
        <v>1</v>
      </c>
      <c r="G175" s="354">
        <v>0</v>
      </c>
      <c r="H175" s="354">
        <v>0</v>
      </c>
      <c r="I175" s="354">
        <v>1</v>
      </c>
      <c r="J175" s="354">
        <v>2</v>
      </c>
      <c r="K175" s="354">
        <v>0</v>
      </c>
      <c r="L175" s="354">
        <v>0</v>
      </c>
      <c r="M175" s="355">
        <v>4</v>
      </c>
      <c r="N175" s="355">
        <v>5</v>
      </c>
    </row>
    <row r="176" spans="1:14" hidden="1" x14ac:dyDescent="0.25">
      <c r="A176" s="354">
        <v>1</v>
      </c>
      <c r="B176" s="354"/>
      <c r="C176" s="354">
        <v>1</v>
      </c>
      <c r="D176" s="354">
        <v>1</v>
      </c>
      <c r="E176" s="354">
        <v>1</v>
      </c>
      <c r="F176" s="354">
        <v>1</v>
      </c>
      <c r="G176" s="354">
        <v>0</v>
      </c>
      <c r="H176" s="354">
        <v>1</v>
      </c>
      <c r="I176" s="354">
        <v>0</v>
      </c>
      <c r="J176" s="354">
        <v>0</v>
      </c>
      <c r="K176" s="354">
        <v>0</v>
      </c>
      <c r="L176" s="354">
        <v>0</v>
      </c>
      <c r="M176" s="355">
        <v>3</v>
      </c>
      <c r="N176" s="355">
        <v>3</v>
      </c>
    </row>
    <row r="177" spans="1:14" hidden="1" x14ac:dyDescent="0.25">
      <c r="A177" s="354">
        <v>1</v>
      </c>
      <c r="B177" s="354">
        <v>0</v>
      </c>
      <c r="C177" s="354">
        <v>1</v>
      </c>
      <c r="D177" s="354">
        <v>1</v>
      </c>
      <c r="E177" s="354">
        <v>1</v>
      </c>
      <c r="F177" s="354">
        <v>1</v>
      </c>
      <c r="G177" s="354">
        <v>0</v>
      </c>
      <c r="H177" s="354">
        <v>1</v>
      </c>
      <c r="I177" s="354">
        <v>1</v>
      </c>
      <c r="J177" s="354">
        <v>2</v>
      </c>
      <c r="K177" s="354">
        <v>0</v>
      </c>
      <c r="L177" s="354">
        <v>0</v>
      </c>
      <c r="M177" s="355">
        <v>4</v>
      </c>
      <c r="N177" s="355">
        <v>5</v>
      </c>
    </row>
    <row r="178" spans="1:14" hidden="1" x14ac:dyDescent="0.25">
      <c r="A178" s="354">
        <v>1</v>
      </c>
      <c r="B178" s="354">
        <v>0</v>
      </c>
      <c r="C178" s="354">
        <v>2</v>
      </c>
      <c r="D178" s="354">
        <v>2</v>
      </c>
      <c r="E178" s="354">
        <v>1</v>
      </c>
      <c r="F178" s="354">
        <v>0</v>
      </c>
      <c r="G178" s="354">
        <v>1</v>
      </c>
      <c r="H178" s="354">
        <v>0</v>
      </c>
      <c r="I178" s="354">
        <v>1</v>
      </c>
      <c r="J178" s="354">
        <v>1</v>
      </c>
      <c r="K178" s="354">
        <v>0</v>
      </c>
      <c r="L178" s="354">
        <v>0</v>
      </c>
      <c r="M178" s="355">
        <v>6</v>
      </c>
      <c r="N178" s="355">
        <v>3</v>
      </c>
    </row>
    <row r="179" spans="1:14" hidden="1" x14ac:dyDescent="0.25">
      <c r="A179" s="354">
        <v>1</v>
      </c>
      <c r="B179" s="354">
        <v>0</v>
      </c>
      <c r="C179" s="354">
        <v>2</v>
      </c>
      <c r="D179" s="354">
        <v>1</v>
      </c>
      <c r="E179" s="354">
        <v>1</v>
      </c>
      <c r="F179" s="354">
        <v>1</v>
      </c>
      <c r="G179" s="354">
        <v>0</v>
      </c>
      <c r="H179" s="354">
        <v>0</v>
      </c>
      <c r="I179" s="354">
        <v>1</v>
      </c>
      <c r="J179" s="354">
        <v>1</v>
      </c>
      <c r="K179" s="354">
        <v>0</v>
      </c>
      <c r="L179" s="354">
        <v>0</v>
      </c>
      <c r="M179" s="355">
        <v>5</v>
      </c>
      <c r="N179" s="355">
        <v>3</v>
      </c>
    </row>
    <row r="180" spans="1:14" hidden="1" x14ac:dyDescent="0.25">
      <c r="A180" s="354">
        <v>1</v>
      </c>
      <c r="B180" s="354">
        <v>0</v>
      </c>
      <c r="C180" s="354">
        <v>0</v>
      </c>
      <c r="D180" s="354">
        <v>1</v>
      </c>
      <c r="E180" s="354">
        <v>2</v>
      </c>
      <c r="F180" s="354">
        <v>1</v>
      </c>
      <c r="G180" s="354">
        <v>1</v>
      </c>
      <c r="H180" s="354">
        <v>0</v>
      </c>
      <c r="I180" s="354">
        <v>1</v>
      </c>
      <c r="J180" s="354">
        <v>2</v>
      </c>
      <c r="K180" s="354">
        <v>0</v>
      </c>
      <c r="L180" s="354">
        <v>0</v>
      </c>
      <c r="M180" s="355">
        <v>5</v>
      </c>
      <c r="N180" s="355">
        <v>4</v>
      </c>
    </row>
    <row r="181" spans="1:14" hidden="1" x14ac:dyDescent="0.25">
      <c r="A181" s="354">
        <v>1</v>
      </c>
      <c r="B181" s="354">
        <v>0</v>
      </c>
      <c r="C181" s="354">
        <v>2</v>
      </c>
      <c r="D181" s="354">
        <v>1</v>
      </c>
      <c r="E181" s="354">
        <v>3</v>
      </c>
      <c r="F181" s="354">
        <v>1</v>
      </c>
      <c r="G181" s="354">
        <v>0</v>
      </c>
      <c r="H181" s="354">
        <v>1</v>
      </c>
      <c r="I181" s="354">
        <v>1</v>
      </c>
      <c r="J181" s="354">
        <v>1</v>
      </c>
      <c r="K181" s="354">
        <v>0</v>
      </c>
      <c r="L181" s="354">
        <v>0</v>
      </c>
      <c r="M181" s="355">
        <v>7</v>
      </c>
      <c r="N181" s="355">
        <v>4</v>
      </c>
    </row>
    <row r="182" spans="1:14" hidden="1" x14ac:dyDescent="0.25">
      <c r="A182" s="354">
        <v>0</v>
      </c>
      <c r="B182" s="354">
        <v>1</v>
      </c>
      <c r="C182" s="354">
        <v>1</v>
      </c>
      <c r="D182" s="354">
        <v>1</v>
      </c>
      <c r="E182" s="354">
        <v>0</v>
      </c>
      <c r="F182" s="354">
        <v>0</v>
      </c>
      <c r="G182" s="354">
        <v>0</v>
      </c>
      <c r="H182" s="354">
        <v>0</v>
      </c>
      <c r="I182" s="354">
        <v>2</v>
      </c>
      <c r="J182" s="354">
        <v>1</v>
      </c>
      <c r="K182" s="354">
        <v>0</v>
      </c>
      <c r="L182" s="354">
        <v>0</v>
      </c>
      <c r="M182" s="355">
        <v>3</v>
      </c>
      <c r="N182" s="355">
        <v>3</v>
      </c>
    </row>
    <row r="183" spans="1:14" hidden="1" x14ac:dyDescent="0.25">
      <c r="A183" s="354">
        <v>1</v>
      </c>
      <c r="B183" s="354">
        <v>0</v>
      </c>
      <c r="C183" s="354">
        <v>1</v>
      </c>
      <c r="D183" s="354">
        <v>0</v>
      </c>
      <c r="E183" s="354">
        <v>1</v>
      </c>
      <c r="F183" s="354">
        <v>0</v>
      </c>
      <c r="G183" s="354">
        <v>0</v>
      </c>
      <c r="H183" s="354">
        <v>0</v>
      </c>
      <c r="I183" s="354">
        <v>1</v>
      </c>
      <c r="J183" s="354">
        <v>1</v>
      </c>
      <c r="K183" s="354">
        <v>0</v>
      </c>
      <c r="L183" s="354">
        <v>0</v>
      </c>
      <c r="M183" s="355">
        <v>4</v>
      </c>
      <c r="N183" s="355">
        <v>1</v>
      </c>
    </row>
    <row r="184" spans="1:14" hidden="1" x14ac:dyDescent="0.25">
      <c r="A184" s="354">
        <v>1</v>
      </c>
      <c r="B184" s="354">
        <v>0</v>
      </c>
      <c r="C184" s="354">
        <v>1</v>
      </c>
      <c r="D184" s="354">
        <v>1</v>
      </c>
      <c r="E184" s="354">
        <v>2</v>
      </c>
      <c r="F184" s="354">
        <v>0</v>
      </c>
      <c r="G184" s="354">
        <v>0</v>
      </c>
      <c r="H184" s="354">
        <v>1</v>
      </c>
      <c r="I184" s="354">
        <v>1</v>
      </c>
      <c r="J184" s="354">
        <v>1</v>
      </c>
      <c r="K184" s="354">
        <v>0</v>
      </c>
      <c r="L184" s="354">
        <v>0</v>
      </c>
      <c r="M184" s="355">
        <v>5</v>
      </c>
      <c r="N184" s="355">
        <v>3</v>
      </c>
    </row>
    <row r="185" spans="1:14" hidden="1" x14ac:dyDescent="0.25">
      <c r="A185" s="354">
        <v>1</v>
      </c>
      <c r="B185" s="354">
        <v>0</v>
      </c>
      <c r="C185" s="354">
        <v>0</v>
      </c>
      <c r="D185" s="354">
        <v>0</v>
      </c>
      <c r="E185" s="354">
        <v>3</v>
      </c>
      <c r="F185" s="354">
        <v>1</v>
      </c>
      <c r="G185" s="354">
        <v>0</v>
      </c>
      <c r="H185" s="354">
        <v>1</v>
      </c>
      <c r="I185" s="354">
        <v>0</v>
      </c>
      <c r="J185" s="354">
        <v>1</v>
      </c>
      <c r="K185" s="354">
        <v>1</v>
      </c>
      <c r="L185" s="354">
        <v>0</v>
      </c>
      <c r="M185" s="355">
        <v>5</v>
      </c>
      <c r="N185" s="355">
        <v>3</v>
      </c>
    </row>
    <row r="186" spans="1:14" hidden="1" x14ac:dyDescent="0.25">
      <c r="A186" s="354">
        <v>0</v>
      </c>
      <c r="B186" s="354">
        <v>1</v>
      </c>
      <c r="C186" s="354">
        <v>0</v>
      </c>
      <c r="D186" s="354">
        <v>1</v>
      </c>
      <c r="E186" s="354">
        <v>0</v>
      </c>
      <c r="F186" s="354">
        <v>0</v>
      </c>
      <c r="G186" s="354">
        <v>1</v>
      </c>
      <c r="H186" s="354">
        <v>0</v>
      </c>
      <c r="I186" s="354">
        <v>1</v>
      </c>
      <c r="J186" s="354">
        <v>1</v>
      </c>
      <c r="K186" s="354">
        <v>0</v>
      </c>
      <c r="L186" s="354">
        <v>0</v>
      </c>
      <c r="M186" s="355">
        <v>2</v>
      </c>
      <c r="N186" s="355">
        <v>3</v>
      </c>
    </row>
    <row r="187" spans="1:14" hidden="1" x14ac:dyDescent="0.25">
      <c r="A187" s="354">
        <v>0</v>
      </c>
      <c r="B187" s="354">
        <v>0</v>
      </c>
      <c r="C187" s="354">
        <v>0</v>
      </c>
      <c r="D187" s="354">
        <v>1</v>
      </c>
      <c r="E187" s="354">
        <v>1</v>
      </c>
      <c r="F187" s="354">
        <v>0</v>
      </c>
      <c r="G187" s="354">
        <v>1</v>
      </c>
      <c r="H187" s="354">
        <v>2</v>
      </c>
      <c r="I187" s="354">
        <v>1</v>
      </c>
      <c r="J187" s="354">
        <v>1</v>
      </c>
      <c r="K187" s="354">
        <v>0</v>
      </c>
      <c r="L187" s="354">
        <v>0</v>
      </c>
      <c r="M187" s="355">
        <v>3</v>
      </c>
      <c r="N187" s="355">
        <v>4</v>
      </c>
    </row>
    <row r="188" spans="1:14" hidden="1" x14ac:dyDescent="0.25">
      <c r="A188" s="354">
        <v>0</v>
      </c>
      <c r="B188" s="354">
        <v>1</v>
      </c>
      <c r="C188" s="354">
        <v>0</v>
      </c>
      <c r="D188" s="354">
        <v>1</v>
      </c>
      <c r="E188" s="354">
        <v>0</v>
      </c>
      <c r="F188" s="354">
        <v>0</v>
      </c>
      <c r="G188" s="354">
        <v>0</v>
      </c>
      <c r="H188" s="354">
        <v>0</v>
      </c>
      <c r="I188" s="354">
        <v>1</v>
      </c>
      <c r="J188" s="354">
        <v>1</v>
      </c>
      <c r="K188" s="354">
        <v>0</v>
      </c>
      <c r="L188" s="354">
        <v>0</v>
      </c>
      <c r="M188" s="355">
        <v>1</v>
      </c>
      <c r="N188" s="355">
        <v>3</v>
      </c>
    </row>
    <row r="189" spans="1:14" hidden="1" x14ac:dyDescent="0.25">
      <c r="A189" s="354">
        <v>0</v>
      </c>
      <c r="B189" s="354">
        <v>0</v>
      </c>
      <c r="C189" s="354">
        <v>1</v>
      </c>
      <c r="D189" s="354">
        <v>0</v>
      </c>
      <c r="E189" s="354">
        <v>1</v>
      </c>
      <c r="F189" s="354">
        <v>1</v>
      </c>
      <c r="G189" s="354">
        <v>0</v>
      </c>
      <c r="H189" s="354">
        <v>0</v>
      </c>
      <c r="I189" s="354">
        <v>1</v>
      </c>
      <c r="J189" s="354">
        <v>1</v>
      </c>
      <c r="K189" s="354">
        <v>0</v>
      </c>
      <c r="L189" s="354">
        <v>0</v>
      </c>
      <c r="M189" s="355">
        <v>3</v>
      </c>
      <c r="N189" s="355">
        <v>2</v>
      </c>
    </row>
    <row r="190" spans="1:14" hidden="1" x14ac:dyDescent="0.25">
      <c r="A190" s="354">
        <v>0</v>
      </c>
      <c r="B190" s="354">
        <v>0</v>
      </c>
      <c r="C190" s="354">
        <v>1</v>
      </c>
      <c r="D190" s="354">
        <v>0</v>
      </c>
      <c r="E190" s="354">
        <v>0</v>
      </c>
      <c r="F190" s="354">
        <v>2</v>
      </c>
      <c r="G190" s="354">
        <v>0</v>
      </c>
      <c r="H190" s="354">
        <v>1</v>
      </c>
      <c r="I190" s="354">
        <v>1</v>
      </c>
      <c r="J190" s="354">
        <v>1</v>
      </c>
      <c r="K190" s="354">
        <v>0</v>
      </c>
      <c r="L190" s="354">
        <v>0</v>
      </c>
      <c r="M190" s="355">
        <v>2</v>
      </c>
      <c r="N190" s="355">
        <v>4</v>
      </c>
    </row>
    <row r="191" spans="1:14" hidden="1" x14ac:dyDescent="0.25">
      <c r="A191" s="354">
        <v>0</v>
      </c>
      <c r="B191" s="354">
        <v>0</v>
      </c>
      <c r="C191" s="354">
        <v>1</v>
      </c>
      <c r="D191" s="354">
        <v>0</v>
      </c>
      <c r="E191" s="354">
        <v>2</v>
      </c>
      <c r="F191" s="354">
        <v>1</v>
      </c>
      <c r="G191" s="354">
        <v>0</v>
      </c>
      <c r="H191" s="354">
        <v>1</v>
      </c>
      <c r="I191" s="354">
        <v>2</v>
      </c>
      <c r="J191" s="354">
        <v>2</v>
      </c>
      <c r="K191" s="354">
        <v>0</v>
      </c>
      <c r="L191" s="354">
        <v>1</v>
      </c>
      <c r="M191" s="355">
        <v>5</v>
      </c>
      <c r="N191" s="355">
        <v>5</v>
      </c>
    </row>
    <row r="192" spans="1:14" hidden="1" x14ac:dyDescent="0.25">
      <c r="A192" s="354">
        <v>1</v>
      </c>
      <c r="B192" s="354">
        <v>2</v>
      </c>
      <c r="C192" s="354">
        <v>1</v>
      </c>
      <c r="D192" s="354">
        <v>3</v>
      </c>
      <c r="E192" s="354">
        <v>1</v>
      </c>
      <c r="F192" s="354">
        <v>1</v>
      </c>
      <c r="G192" s="354">
        <v>2</v>
      </c>
      <c r="H192" s="354">
        <v>2</v>
      </c>
      <c r="I192" s="354">
        <v>3</v>
      </c>
      <c r="J192" s="354">
        <v>4</v>
      </c>
      <c r="K192" s="354">
        <v>0</v>
      </c>
      <c r="L192" s="354">
        <v>1</v>
      </c>
      <c r="M192" s="355">
        <v>8</v>
      </c>
      <c r="N192" s="355">
        <v>13</v>
      </c>
    </row>
    <row r="193" spans="1:14" hidden="1" x14ac:dyDescent="0.25">
      <c r="A193" s="354">
        <v>0</v>
      </c>
      <c r="B193" s="354">
        <v>1</v>
      </c>
      <c r="C193" s="354">
        <v>1</v>
      </c>
      <c r="D193" s="354">
        <v>0</v>
      </c>
      <c r="E193" s="354">
        <v>1</v>
      </c>
      <c r="F193" s="354">
        <v>1</v>
      </c>
      <c r="G193" s="354">
        <v>0</v>
      </c>
      <c r="H193" s="354">
        <v>0</v>
      </c>
      <c r="I193" s="354">
        <v>4</v>
      </c>
      <c r="J193" s="354">
        <v>2</v>
      </c>
      <c r="K193" s="354">
        <v>0</v>
      </c>
      <c r="L193" s="354">
        <v>0</v>
      </c>
      <c r="M193" s="355">
        <v>6</v>
      </c>
      <c r="N193" s="355">
        <v>4</v>
      </c>
    </row>
    <row r="194" spans="1:14" hidden="1" x14ac:dyDescent="0.25">
      <c r="A194" s="354">
        <v>0</v>
      </c>
      <c r="B194" s="354">
        <v>1</v>
      </c>
      <c r="C194" s="354">
        <v>1</v>
      </c>
      <c r="D194" s="354">
        <v>0</v>
      </c>
      <c r="E194" s="354">
        <v>1</v>
      </c>
      <c r="F194" s="354">
        <v>1</v>
      </c>
      <c r="G194" s="354">
        <v>1</v>
      </c>
      <c r="H194" s="354">
        <v>1</v>
      </c>
      <c r="I194" s="354">
        <v>1</v>
      </c>
      <c r="J194" s="354">
        <v>1</v>
      </c>
      <c r="K194" s="354">
        <v>1</v>
      </c>
      <c r="L194" s="354">
        <v>0</v>
      </c>
      <c r="M194" s="355">
        <v>5</v>
      </c>
      <c r="N194" s="355">
        <v>4</v>
      </c>
    </row>
    <row r="195" spans="1:14" hidden="1" x14ac:dyDescent="0.25">
      <c r="A195" s="354">
        <v>0</v>
      </c>
      <c r="B195" s="354">
        <v>0</v>
      </c>
      <c r="C195" s="354">
        <v>1</v>
      </c>
      <c r="D195" s="354">
        <v>1</v>
      </c>
      <c r="E195" s="354">
        <v>0</v>
      </c>
      <c r="F195" s="354">
        <v>1</v>
      </c>
      <c r="G195" s="354">
        <v>1</v>
      </c>
      <c r="H195" s="354">
        <v>2</v>
      </c>
      <c r="I195" s="354">
        <v>2</v>
      </c>
      <c r="J195" s="354">
        <v>1</v>
      </c>
      <c r="K195" s="354">
        <v>1</v>
      </c>
      <c r="L195" s="354">
        <v>0</v>
      </c>
      <c r="M195" s="355">
        <v>5</v>
      </c>
      <c r="N195" s="355">
        <v>5</v>
      </c>
    </row>
    <row r="196" spans="1:14" hidden="1" x14ac:dyDescent="0.25">
      <c r="A196" s="354">
        <v>0</v>
      </c>
      <c r="B196" s="354">
        <v>0</v>
      </c>
      <c r="C196" s="354">
        <v>1</v>
      </c>
      <c r="D196" s="354">
        <v>0</v>
      </c>
      <c r="E196" s="354">
        <v>2</v>
      </c>
      <c r="F196" s="354">
        <v>1</v>
      </c>
      <c r="G196" s="354">
        <v>0</v>
      </c>
      <c r="H196" s="354">
        <v>2</v>
      </c>
      <c r="I196" s="354">
        <v>2</v>
      </c>
      <c r="J196" s="354">
        <v>1</v>
      </c>
      <c r="K196" s="354">
        <v>1</v>
      </c>
      <c r="L196" s="354">
        <v>1</v>
      </c>
      <c r="M196" s="355">
        <v>6</v>
      </c>
      <c r="N196" s="355">
        <v>5</v>
      </c>
    </row>
    <row r="197" spans="1:14" hidden="1" x14ac:dyDescent="0.25">
      <c r="A197" s="354">
        <v>1</v>
      </c>
      <c r="B197" s="354">
        <v>0</v>
      </c>
      <c r="C197" s="354">
        <v>0</v>
      </c>
      <c r="D197" s="354">
        <v>2</v>
      </c>
      <c r="E197" s="354">
        <v>0</v>
      </c>
      <c r="F197" s="354">
        <v>1</v>
      </c>
      <c r="G197" s="354">
        <v>0</v>
      </c>
      <c r="H197" s="354">
        <v>0</v>
      </c>
      <c r="I197" s="354">
        <v>0</v>
      </c>
      <c r="J197" s="354">
        <v>1</v>
      </c>
      <c r="K197" s="354">
        <v>0</v>
      </c>
      <c r="L197" s="354">
        <v>0</v>
      </c>
      <c r="M197" s="355">
        <v>1</v>
      </c>
      <c r="N197" s="355">
        <v>4</v>
      </c>
    </row>
    <row r="198" spans="1:14" hidden="1" x14ac:dyDescent="0.25">
      <c r="A198" s="354">
        <v>2</v>
      </c>
      <c r="B198" s="354">
        <v>0</v>
      </c>
      <c r="C198" s="354">
        <v>1</v>
      </c>
      <c r="D198" s="354">
        <v>0</v>
      </c>
      <c r="E198" s="354">
        <v>0</v>
      </c>
      <c r="F198" s="354">
        <v>0</v>
      </c>
      <c r="G198" s="354">
        <v>0</v>
      </c>
      <c r="H198" s="354">
        <v>0</v>
      </c>
      <c r="I198" s="354">
        <v>1</v>
      </c>
      <c r="J198" s="354">
        <v>1</v>
      </c>
      <c r="K198" s="354">
        <v>0</v>
      </c>
      <c r="L198" s="354">
        <v>0</v>
      </c>
      <c r="M198" s="355">
        <v>4</v>
      </c>
      <c r="N198" s="355">
        <v>1</v>
      </c>
    </row>
    <row r="199" spans="1:14" hidden="1" x14ac:dyDescent="0.25">
      <c r="A199" s="354">
        <v>0</v>
      </c>
      <c r="B199" s="354">
        <v>0</v>
      </c>
      <c r="C199" s="354">
        <v>0</v>
      </c>
      <c r="D199" s="354">
        <v>0</v>
      </c>
      <c r="E199" s="354">
        <v>1</v>
      </c>
      <c r="F199" s="354">
        <v>0</v>
      </c>
      <c r="G199" s="354">
        <v>0</v>
      </c>
      <c r="H199" s="354">
        <v>0</v>
      </c>
      <c r="I199" s="354">
        <v>1</v>
      </c>
      <c r="J199" s="354">
        <v>1</v>
      </c>
      <c r="K199" s="354">
        <v>0</v>
      </c>
      <c r="L199" s="354">
        <v>0</v>
      </c>
      <c r="M199" s="355">
        <v>2</v>
      </c>
      <c r="N199" s="355">
        <v>1</v>
      </c>
    </row>
    <row r="200" spans="1:14" hidden="1" x14ac:dyDescent="0.25">
      <c r="A200" s="354">
        <v>0</v>
      </c>
      <c r="B200" s="354">
        <v>0</v>
      </c>
      <c r="C200" s="354">
        <v>0</v>
      </c>
      <c r="D200" s="354">
        <v>0</v>
      </c>
      <c r="E200" s="354">
        <v>1</v>
      </c>
      <c r="F200" s="354">
        <v>1</v>
      </c>
      <c r="G200" s="354">
        <v>2</v>
      </c>
      <c r="H200" s="354">
        <v>0</v>
      </c>
      <c r="I200" s="354">
        <v>2</v>
      </c>
      <c r="J200" s="354">
        <v>1</v>
      </c>
      <c r="K200" s="354">
        <v>0</v>
      </c>
      <c r="L200" s="354">
        <v>0</v>
      </c>
      <c r="M200" s="355">
        <v>5</v>
      </c>
      <c r="N200" s="355">
        <v>2</v>
      </c>
    </row>
    <row r="201" spans="1:14" hidden="1" x14ac:dyDescent="0.25">
      <c r="A201" s="354"/>
      <c r="B201" s="354">
        <v>0</v>
      </c>
      <c r="C201" s="354">
        <v>0</v>
      </c>
      <c r="D201" s="354">
        <v>0</v>
      </c>
      <c r="E201" s="354">
        <v>0</v>
      </c>
      <c r="F201" s="354">
        <v>0</v>
      </c>
      <c r="G201" s="354">
        <v>0</v>
      </c>
      <c r="H201" s="354">
        <v>0</v>
      </c>
      <c r="I201" s="354">
        <v>1</v>
      </c>
      <c r="J201" s="354">
        <v>1</v>
      </c>
      <c r="K201" s="354">
        <v>0</v>
      </c>
      <c r="L201" s="354">
        <v>0</v>
      </c>
      <c r="M201" s="355">
        <v>1</v>
      </c>
      <c r="N201" s="355">
        <v>1</v>
      </c>
    </row>
    <row r="202" spans="1:14" hidden="1" x14ac:dyDescent="0.25">
      <c r="A202" s="354">
        <v>0</v>
      </c>
      <c r="B202" s="354">
        <v>0</v>
      </c>
      <c r="C202" s="354">
        <v>0</v>
      </c>
      <c r="D202" s="354">
        <v>0</v>
      </c>
      <c r="E202" s="354">
        <v>0</v>
      </c>
      <c r="F202" s="354">
        <v>0</v>
      </c>
      <c r="G202" s="354">
        <v>0</v>
      </c>
      <c r="H202" s="354">
        <v>0</v>
      </c>
      <c r="I202" s="354">
        <v>0</v>
      </c>
      <c r="J202" s="354">
        <v>1</v>
      </c>
      <c r="K202" s="354">
        <v>0</v>
      </c>
      <c r="L202" s="354">
        <v>1</v>
      </c>
      <c r="M202" s="355">
        <v>0</v>
      </c>
      <c r="N202" s="355">
        <v>2</v>
      </c>
    </row>
    <row r="203" spans="1:14" hidden="1" x14ac:dyDescent="0.25">
      <c r="A203" s="354">
        <v>1</v>
      </c>
      <c r="B203" s="354">
        <v>0</v>
      </c>
      <c r="C203" s="354">
        <v>0</v>
      </c>
      <c r="D203" s="354">
        <v>0</v>
      </c>
      <c r="E203" s="354">
        <v>0</v>
      </c>
      <c r="F203" s="354">
        <v>0</v>
      </c>
      <c r="G203" s="354">
        <v>0</v>
      </c>
      <c r="H203" s="354">
        <v>0</v>
      </c>
      <c r="I203" s="354">
        <v>1</v>
      </c>
      <c r="J203" s="354">
        <v>1</v>
      </c>
      <c r="K203" s="354">
        <v>0</v>
      </c>
      <c r="L203" s="354">
        <v>0</v>
      </c>
      <c r="M203" s="355">
        <v>2</v>
      </c>
      <c r="N203" s="355">
        <v>1</v>
      </c>
    </row>
    <row r="204" spans="1:14" hidden="1" x14ac:dyDescent="0.25">
      <c r="A204" s="354">
        <v>1</v>
      </c>
      <c r="B204" s="354">
        <v>1</v>
      </c>
      <c r="C204" s="354">
        <v>3</v>
      </c>
      <c r="D204" s="354">
        <v>1</v>
      </c>
      <c r="E204" s="354">
        <v>2</v>
      </c>
      <c r="F204" s="354">
        <v>1</v>
      </c>
      <c r="G204" s="354">
        <v>2</v>
      </c>
      <c r="H204" s="354">
        <v>1</v>
      </c>
      <c r="I204" s="354">
        <v>2</v>
      </c>
      <c r="J204" s="354">
        <v>3</v>
      </c>
      <c r="K204" s="354">
        <v>0</v>
      </c>
      <c r="L204" s="354">
        <v>0</v>
      </c>
      <c r="M204" s="355">
        <v>10</v>
      </c>
      <c r="N204" s="355">
        <v>7</v>
      </c>
    </row>
    <row r="205" spans="1:14" hidden="1" x14ac:dyDescent="0.25">
      <c r="A205" s="354">
        <v>1</v>
      </c>
      <c r="B205" s="354">
        <v>0</v>
      </c>
      <c r="C205" s="354">
        <v>2</v>
      </c>
      <c r="D205" s="354">
        <v>0</v>
      </c>
      <c r="E205" s="354">
        <v>1</v>
      </c>
      <c r="F205" s="354">
        <v>0</v>
      </c>
      <c r="G205" s="354">
        <v>0</v>
      </c>
      <c r="H205" s="354">
        <v>1</v>
      </c>
      <c r="I205" s="354">
        <v>0</v>
      </c>
      <c r="J205" s="354">
        <v>0</v>
      </c>
      <c r="K205" s="354">
        <v>0</v>
      </c>
      <c r="L205" s="354">
        <v>1</v>
      </c>
      <c r="M205" s="355">
        <v>4</v>
      </c>
      <c r="N205" s="355">
        <v>2</v>
      </c>
    </row>
    <row r="206" spans="1:14" hidden="1" x14ac:dyDescent="0.25">
      <c r="A206" s="354">
        <v>0</v>
      </c>
      <c r="B206" s="354">
        <v>1</v>
      </c>
      <c r="C206" s="354">
        <v>0</v>
      </c>
      <c r="D206" s="354">
        <v>1</v>
      </c>
      <c r="E206" s="354">
        <v>0</v>
      </c>
      <c r="F206" s="354">
        <v>1</v>
      </c>
      <c r="G206" s="354">
        <v>1</v>
      </c>
      <c r="H206" s="354">
        <v>0</v>
      </c>
      <c r="I206" s="354">
        <v>1</v>
      </c>
      <c r="J206" s="354">
        <v>1</v>
      </c>
      <c r="K206" s="354">
        <v>0</v>
      </c>
      <c r="L206" s="354">
        <v>0</v>
      </c>
      <c r="M206" s="355">
        <v>2</v>
      </c>
      <c r="N206" s="355">
        <v>4</v>
      </c>
    </row>
    <row r="207" spans="1:14" hidden="1" x14ac:dyDescent="0.25">
      <c r="A207" s="354">
        <v>0</v>
      </c>
      <c r="B207" s="354">
        <v>0</v>
      </c>
      <c r="C207" s="354">
        <v>0</v>
      </c>
      <c r="D207" s="354">
        <v>0</v>
      </c>
      <c r="E207" s="354">
        <v>1</v>
      </c>
      <c r="F207" s="354">
        <v>1</v>
      </c>
      <c r="G207" s="354">
        <v>0</v>
      </c>
      <c r="H207" s="354">
        <v>0</v>
      </c>
      <c r="I207" s="354">
        <v>1</v>
      </c>
      <c r="J207" s="354">
        <v>1</v>
      </c>
      <c r="K207" s="354">
        <v>0</v>
      </c>
      <c r="L207" s="354">
        <v>0</v>
      </c>
      <c r="M207" s="355">
        <v>2</v>
      </c>
      <c r="N207" s="355">
        <v>2</v>
      </c>
    </row>
    <row r="208" spans="1:14" hidden="1" x14ac:dyDescent="0.25">
      <c r="A208" s="354">
        <v>0</v>
      </c>
      <c r="B208" s="354">
        <v>1</v>
      </c>
      <c r="C208" s="354">
        <v>0</v>
      </c>
      <c r="D208" s="354">
        <v>1</v>
      </c>
      <c r="E208" s="354">
        <v>1</v>
      </c>
      <c r="F208" s="354">
        <v>1</v>
      </c>
      <c r="G208" s="354">
        <v>0</v>
      </c>
      <c r="H208" s="354">
        <v>0</v>
      </c>
      <c r="I208" s="354">
        <v>1</v>
      </c>
      <c r="J208" s="354">
        <v>1</v>
      </c>
      <c r="K208" s="354">
        <v>0</v>
      </c>
      <c r="L208" s="354">
        <v>0</v>
      </c>
      <c r="M208" s="355">
        <v>2</v>
      </c>
      <c r="N208" s="355">
        <v>4</v>
      </c>
    </row>
    <row r="209" spans="1:14" hidden="1" x14ac:dyDescent="0.25">
      <c r="A209" s="354">
        <v>1</v>
      </c>
      <c r="B209" s="354">
        <v>1</v>
      </c>
      <c r="C209" s="354">
        <v>0</v>
      </c>
      <c r="D209" s="354">
        <v>1</v>
      </c>
      <c r="E209" s="354">
        <v>0</v>
      </c>
      <c r="F209" s="354">
        <v>0</v>
      </c>
      <c r="G209" s="354">
        <v>0</v>
      </c>
      <c r="H209" s="354">
        <v>0</v>
      </c>
      <c r="I209" s="354">
        <v>1</v>
      </c>
      <c r="J209" s="354">
        <v>1</v>
      </c>
      <c r="K209" s="354">
        <v>0</v>
      </c>
      <c r="L209" s="354">
        <v>0</v>
      </c>
      <c r="M209" s="355">
        <v>2</v>
      </c>
      <c r="N209" s="355">
        <v>3</v>
      </c>
    </row>
    <row r="210" spans="1:14" hidden="1" x14ac:dyDescent="0.25">
      <c r="A210" s="354">
        <v>0</v>
      </c>
      <c r="B210" s="354">
        <v>0</v>
      </c>
      <c r="C210" s="354">
        <v>2</v>
      </c>
      <c r="D210" s="354">
        <v>0</v>
      </c>
      <c r="E210" s="354">
        <v>2</v>
      </c>
      <c r="F210" s="354">
        <v>0</v>
      </c>
      <c r="G210" s="354">
        <v>1</v>
      </c>
      <c r="H210" s="354">
        <v>0</v>
      </c>
      <c r="I210" s="354">
        <v>0</v>
      </c>
      <c r="J210" s="354">
        <v>1</v>
      </c>
      <c r="K210" s="354">
        <v>0</v>
      </c>
      <c r="L210" s="354">
        <v>0</v>
      </c>
      <c r="M210" s="355">
        <v>5</v>
      </c>
      <c r="N210" s="355">
        <v>1</v>
      </c>
    </row>
    <row r="211" spans="1:14" hidden="1" x14ac:dyDescent="0.25">
      <c r="A211" s="354">
        <v>0</v>
      </c>
      <c r="B211" s="354">
        <v>0</v>
      </c>
      <c r="C211" s="354">
        <v>1</v>
      </c>
      <c r="D211" s="354">
        <v>0</v>
      </c>
      <c r="E211" s="354">
        <v>1</v>
      </c>
      <c r="F211" s="354">
        <v>0</v>
      </c>
      <c r="G211" s="354">
        <v>0</v>
      </c>
      <c r="H211" s="354">
        <v>0</v>
      </c>
      <c r="I211" s="354">
        <v>1</v>
      </c>
      <c r="J211" s="354">
        <v>1</v>
      </c>
      <c r="K211" s="354">
        <v>0</v>
      </c>
      <c r="L211" s="354">
        <v>0</v>
      </c>
      <c r="M211" s="355">
        <v>3</v>
      </c>
      <c r="N211" s="355">
        <v>1</v>
      </c>
    </row>
    <row r="212" spans="1:14" hidden="1" x14ac:dyDescent="0.25">
      <c r="A212" s="354">
        <v>1</v>
      </c>
      <c r="B212" s="354">
        <v>0</v>
      </c>
      <c r="C212" s="354">
        <v>2</v>
      </c>
      <c r="D212" s="354">
        <v>0</v>
      </c>
      <c r="E212" s="354">
        <v>1</v>
      </c>
      <c r="F212" s="354">
        <v>1</v>
      </c>
      <c r="G212" s="354">
        <v>0</v>
      </c>
      <c r="H212" s="354">
        <v>2</v>
      </c>
      <c r="I212" s="354">
        <v>2</v>
      </c>
      <c r="J212" s="354">
        <v>1</v>
      </c>
      <c r="K212" s="354">
        <v>0</v>
      </c>
      <c r="L212" s="354">
        <v>0</v>
      </c>
      <c r="M212" s="355">
        <v>6</v>
      </c>
      <c r="N212" s="355">
        <v>4</v>
      </c>
    </row>
    <row r="213" spans="1:14" hidden="1" x14ac:dyDescent="0.25">
      <c r="A213" s="354">
        <v>0</v>
      </c>
      <c r="B213" s="354">
        <v>0</v>
      </c>
      <c r="C213" s="354">
        <v>2</v>
      </c>
      <c r="D213" s="354">
        <v>0</v>
      </c>
      <c r="E213" s="354">
        <v>2</v>
      </c>
      <c r="F213" s="354">
        <v>2</v>
      </c>
      <c r="G213" s="354">
        <v>1</v>
      </c>
      <c r="H213" s="354">
        <v>1</v>
      </c>
      <c r="I213" s="354">
        <v>1</v>
      </c>
      <c r="J213" s="354">
        <v>2</v>
      </c>
      <c r="K213" s="354">
        <v>0</v>
      </c>
      <c r="L213" s="354">
        <v>0</v>
      </c>
      <c r="M213" s="355">
        <v>6</v>
      </c>
      <c r="N213" s="355">
        <v>5</v>
      </c>
    </row>
    <row r="214" spans="1:14" hidden="1" x14ac:dyDescent="0.25">
      <c r="A214" s="354">
        <v>0</v>
      </c>
      <c r="B214" s="354">
        <v>0</v>
      </c>
      <c r="C214" s="354">
        <v>1</v>
      </c>
      <c r="D214" s="354">
        <v>0</v>
      </c>
      <c r="E214" s="354">
        <v>2</v>
      </c>
      <c r="F214" s="354">
        <v>0</v>
      </c>
      <c r="G214" s="354">
        <v>1</v>
      </c>
      <c r="H214" s="354">
        <v>0</v>
      </c>
      <c r="I214" s="354">
        <v>1</v>
      </c>
      <c r="J214" s="354">
        <v>1</v>
      </c>
      <c r="K214" s="354">
        <v>0</v>
      </c>
      <c r="L214" s="354">
        <v>0</v>
      </c>
      <c r="M214" s="355">
        <v>5</v>
      </c>
      <c r="N214" s="355">
        <v>1</v>
      </c>
    </row>
    <row r="215" spans="1:14" hidden="1" x14ac:dyDescent="0.25">
      <c r="A215" s="354">
        <v>1</v>
      </c>
      <c r="B215" s="354">
        <v>0</v>
      </c>
      <c r="C215" s="354">
        <v>0</v>
      </c>
      <c r="D215" s="354">
        <v>1</v>
      </c>
      <c r="E215" s="354">
        <v>0</v>
      </c>
      <c r="F215" s="354">
        <v>0</v>
      </c>
      <c r="G215" s="354">
        <v>0</v>
      </c>
      <c r="H215" s="354">
        <v>0</v>
      </c>
      <c r="I215" s="354">
        <v>0</v>
      </c>
      <c r="J215" s="354">
        <v>1</v>
      </c>
      <c r="K215" s="354">
        <v>0</v>
      </c>
      <c r="L215" s="354">
        <v>0</v>
      </c>
      <c r="M215" s="355">
        <v>1</v>
      </c>
      <c r="N215" s="355">
        <v>2</v>
      </c>
    </row>
    <row r="216" spans="1:14" hidden="1" x14ac:dyDescent="0.25">
      <c r="A216" s="354">
        <v>0</v>
      </c>
      <c r="B216" s="354">
        <v>1</v>
      </c>
      <c r="C216" s="354">
        <v>1</v>
      </c>
      <c r="D216" s="354">
        <v>1</v>
      </c>
      <c r="E216" s="354">
        <v>0</v>
      </c>
      <c r="F216" s="354">
        <v>0</v>
      </c>
      <c r="G216" s="354">
        <v>0</v>
      </c>
      <c r="H216" s="354">
        <v>0</v>
      </c>
      <c r="I216" s="354">
        <v>1</v>
      </c>
      <c r="J216" s="354">
        <v>1</v>
      </c>
      <c r="K216" s="354">
        <v>0</v>
      </c>
      <c r="L216" s="354">
        <v>0</v>
      </c>
      <c r="M216" s="355">
        <v>2</v>
      </c>
      <c r="N216" s="355">
        <v>3</v>
      </c>
    </row>
    <row r="217" spans="1:14" hidden="1" x14ac:dyDescent="0.25">
      <c r="A217" s="354">
        <v>1</v>
      </c>
      <c r="B217" s="354">
        <v>0</v>
      </c>
      <c r="C217" s="354">
        <v>0</v>
      </c>
      <c r="D217" s="354">
        <v>0</v>
      </c>
      <c r="E217" s="354">
        <v>0</v>
      </c>
      <c r="F217" s="354">
        <v>0</v>
      </c>
      <c r="G217" s="354">
        <v>0</v>
      </c>
      <c r="H217" s="354">
        <v>0</v>
      </c>
      <c r="I217" s="354">
        <v>1</v>
      </c>
      <c r="J217" s="354">
        <v>0</v>
      </c>
      <c r="K217" s="354">
        <v>0</v>
      </c>
      <c r="L217" s="354">
        <v>0</v>
      </c>
      <c r="M217" s="355">
        <v>2</v>
      </c>
      <c r="N217" s="355">
        <v>0</v>
      </c>
    </row>
    <row r="218" spans="1:14" hidden="1" x14ac:dyDescent="0.25">
      <c r="A218" s="354">
        <v>0</v>
      </c>
      <c r="B218" s="354">
        <v>0</v>
      </c>
      <c r="C218" s="354">
        <v>0</v>
      </c>
      <c r="D218" s="354">
        <v>0</v>
      </c>
      <c r="E218" s="354">
        <v>2</v>
      </c>
      <c r="F218" s="354">
        <v>1</v>
      </c>
      <c r="G218" s="354">
        <v>0</v>
      </c>
      <c r="H218" s="354">
        <v>0</v>
      </c>
      <c r="I218" s="354">
        <v>1</v>
      </c>
      <c r="J218" s="354">
        <v>1</v>
      </c>
      <c r="K218" s="354">
        <v>0</v>
      </c>
      <c r="L218" s="354">
        <v>0</v>
      </c>
      <c r="M218" s="355">
        <v>3</v>
      </c>
      <c r="N218" s="355">
        <v>2</v>
      </c>
    </row>
    <row r="219" spans="1:14" hidden="1" x14ac:dyDescent="0.25">
      <c r="A219" s="354">
        <v>0</v>
      </c>
      <c r="B219" s="354">
        <v>1</v>
      </c>
      <c r="C219" s="354">
        <v>1</v>
      </c>
      <c r="D219" s="354">
        <v>1</v>
      </c>
      <c r="E219" s="354">
        <v>0</v>
      </c>
      <c r="F219" s="354">
        <v>0</v>
      </c>
      <c r="G219" s="354">
        <v>0</v>
      </c>
      <c r="H219" s="354">
        <v>0</v>
      </c>
      <c r="I219" s="354">
        <v>1</v>
      </c>
      <c r="J219" s="354">
        <v>1</v>
      </c>
      <c r="K219" s="354">
        <v>0</v>
      </c>
      <c r="L219" s="354">
        <v>0</v>
      </c>
      <c r="M219" s="355">
        <v>2</v>
      </c>
      <c r="N219" s="355">
        <v>3</v>
      </c>
    </row>
    <row r="220" spans="1:14" hidden="1" x14ac:dyDescent="0.25">
      <c r="A220" s="354">
        <v>1</v>
      </c>
      <c r="B220" s="354">
        <v>1</v>
      </c>
      <c r="C220" s="354">
        <v>0</v>
      </c>
      <c r="D220" s="354">
        <v>2</v>
      </c>
      <c r="E220" s="354">
        <v>1</v>
      </c>
      <c r="F220" s="354">
        <v>0</v>
      </c>
      <c r="G220" s="354">
        <v>0</v>
      </c>
      <c r="H220" s="354">
        <v>0</v>
      </c>
      <c r="I220" s="354">
        <v>0</v>
      </c>
      <c r="J220" s="354">
        <v>1</v>
      </c>
      <c r="K220" s="354">
        <v>0</v>
      </c>
      <c r="L220" s="354">
        <v>0</v>
      </c>
      <c r="M220" s="355">
        <v>2</v>
      </c>
      <c r="N220" s="355">
        <v>4</v>
      </c>
    </row>
    <row r="221" spans="1:14" hidden="1" x14ac:dyDescent="0.25">
      <c r="A221" s="354">
        <v>0</v>
      </c>
      <c r="B221" s="354">
        <v>0</v>
      </c>
      <c r="C221" s="354">
        <v>0</v>
      </c>
      <c r="D221" s="354">
        <v>1</v>
      </c>
      <c r="E221" s="354">
        <v>1</v>
      </c>
      <c r="F221" s="354">
        <v>1</v>
      </c>
      <c r="G221" s="354">
        <v>0</v>
      </c>
      <c r="H221" s="354">
        <v>1</v>
      </c>
      <c r="I221" s="354">
        <v>1</v>
      </c>
      <c r="J221" s="354">
        <v>1</v>
      </c>
      <c r="K221" s="354">
        <v>0</v>
      </c>
      <c r="L221" s="354">
        <v>0</v>
      </c>
      <c r="M221" s="355">
        <v>2</v>
      </c>
      <c r="N221" s="355">
        <v>4</v>
      </c>
    </row>
    <row r="222" spans="1:14" hidden="1" x14ac:dyDescent="0.25">
      <c r="A222" s="354">
        <v>0</v>
      </c>
      <c r="B222" s="354">
        <v>0</v>
      </c>
      <c r="C222" s="354">
        <v>2</v>
      </c>
      <c r="D222" s="354">
        <v>1</v>
      </c>
      <c r="E222" s="354">
        <v>3</v>
      </c>
      <c r="F222" s="354">
        <v>1</v>
      </c>
      <c r="G222" s="354">
        <v>0</v>
      </c>
      <c r="H222" s="354">
        <v>0</v>
      </c>
      <c r="I222" s="354">
        <v>1</v>
      </c>
      <c r="J222" s="354">
        <v>1</v>
      </c>
      <c r="K222" s="354">
        <v>0</v>
      </c>
      <c r="L222" s="354">
        <v>0</v>
      </c>
      <c r="M222" s="355">
        <v>6</v>
      </c>
      <c r="N222" s="355">
        <v>3</v>
      </c>
    </row>
    <row r="223" spans="1:14" hidden="1" x14ac:dyDescent="0.25">
      <c r="A223" s="354">
        <v>1</v>
      </c>
      <c r="B223" s="354">
        <v>1</v>
      </c>
      <c r="C223" s="354">
        <v>0</v>
      </c>
      <c r="D223" s="354">
        <v>0</v>
      </c>
      <c r="E223" s="354">
        <v>0</v>
      </c>
      <c r="F223" s="354">
        <v>0</v>
      </c>
      <c r="G223" s="354">
        <v>0</v>
      </c>
      <c r="H223" s="354">
        <v>0</v>
      </c>
      <c r="I223" s="354">
        <v>1</v>
      </c>
      <c r="J223" s="354">
        <v>1</v>
      </c>
      <c r="K223" s="354">
        <v>0</v>
      </c>
      <c r="L223" s="354">
        <v>0</v>
      </c>
      <c r="M223" s="355">
        <v>2</v>
      </c>
      <c r="N223" s="355">
        <v>2</v>
      </c>
    </row>
    <row r="224" spans="1:14" hidden="1" x14ac:dyDescent="0.25">
      <c r="A224" s="354">
        <v>1</v>
      </c>
      <c r="B224" s="354">
        <v>0</v>
      </c>
      <c r="C224" s="354">
        <v>1</v>
      </c>
      <c r="D224" s="354">
        <v>1</v>
      </c>
      <c r="E224" s="354">
        <v>0</v>
      </c>
      <c r="F224" s="354">
        <v>2</v>
      </c>
      <c r="G224" s="354">
        <v>0</v>
      </c>
      <c r="H224" s="354">
        <v>0</v>
      </c>
      <c r="I224" s="354">
        <v>0</v>
      </c>
      <c r="J224" s="354">
        <v>1</v>
      </c>
      <c r="K224" s="354">
        <v>0</v>
      </c>
      <c r="L224" s="354">
        <v>0</v>
      </c>
      <c r="M224" s="355">
        <v>2</v>
      </c>
      <c r="N224" s="355">
        <v>4</v>
      </c>
    </row>
    <row r="225" spans="1:14" hidden="1" x14ac:dyDescent="0.25">
      <c r="A225" s="354">
        <v>1</v>
      </c>
      <c r="B225" s="354">
        <v>0</v>
      </c>
      <c r="C225" s="354">
        <v>0</v>
      </c>
      <c r="D225" s="354">
        <v>0</v>
      </c>
      <c r="E225" s="354">
        <v>0</v>
      </c>
      <c r="F225" s="354">
        <v>0</v>
      </c>
      <c r="G225" s="354">
        <v>0</v>
      </c>
      <c r="H225" s="354">
        <v>0</v>
      </c>
      <c r="I225" s="354">
        <v>1</v>
      </c>
      <c r="J225" s="354">
        <v>1</v>
      </c>
      <c r="K225" s="354">
        <v>0</v>
      </c>
      <c r="L225" s="354">
        <v>0</v>
      </c>
      <c r="M225" s="355">
        <v>2</v>
      </c>
      <c r="N225" s="355">
        <v>1</v>
      </c>
    </row>
    <row r="226" spans="1:14" hidden="1" x14ac:dyDescent="0.25">
      <c r="A226" s="354">
        <v>1</v>
      </c>
      <c r="B226" s="354">
        <v>0</v>
      </c>
      <c r="C226" s="354">
        <v>1</v>
      </c>
      <c r="D226" s="354">
        <v>0</v>
      </c>
      <c r="E226" s="354">
        <v>0</v>
      </c>
      <c r="F226" s="354">
        <v>0</v>
      </c>
      <c r="G226" s="354">
        <v>0</v>
      </c>
      <c r="H226" s="354">
        <v>0</v>
      </c>
      <c r="I226" s="354">
        <v>1</v>
      </c>
      <c r="J226" s="354">
        <v>1</v>
      </c>
      <c r="K226" s="354">
        <v>0</v>
      </c>
      <c r="L226" s="354">
        <v>0</v>
      </c>
      <c r="M226" s="355">
        <v>3</v>
      </c>
      <c r="N226" s="355">
        <v>1</v>
      </c>
    </row>
    <row r="227" spans="1:14" hidden="1" x14ac:dyDescent="0.25">
      <c r="A227" s="354">
        <v>0</v>
      </c>
      <c r="B227" s="354">
        <v>0</v>
      </c>
      <c r="C227" s="354">
        <v>1</v>
      </c>
      <c r="D227" s="354">
        <v>1</v>
      </c>
      <c r="E227" s="354">
        <v>2</v>
      </c>
      <c r="F227" s="354">
        <v>0</v>
      </c>
      <c r="G227" s="354">
        <v>1</v>
      </c>
      <c r="H227" s="354">
        <v>0</v>
      </c>
      <c r="I227" s="354">
        <v>1</v>
      </c>
      <c r="J227" s="354">
        <v>1</v>
      </c>
      <c r="K227" s="354">
        <v>0</v>
      </c>
      <c r="L227" s="354">
        <v>0</v>
      </c>
      <c r="M227" s="355">
        <v>5</v>
      </c>
      <c r="N227" s="355">
        <v>2</v>
      </c>
    </row>
    <row r="228" spans="1:14" hidden="1" x14ac:dyDescent="0.25">
      <c r="A228" s="354">
        <v>1</v>
      </c>
      <c r="B228" s="354">
        <v>1</v>
      </c>
      <c r="C228" s="354">
        <v>0</v>
      </c>
      <c r="D228" s="354">
        <v>1</v>
      </c>
      <c r="E228" s="354">
        <v>0</v>
      </c>
      <c r="F228" s="354">
        <v>1</v>
      </c>
      <c r="G228" s="354">
        <v>1</v>
      </c>
      <c r="H228" s="354">
        <v>0</v>
      </c>
      <c r="I228" s="354">
        <v>2</v>
      </c>
      <c r="J228" s="354">
        <v>1</v>
      </c>
      <c r="K228" s="354">
        <v>0</v>
      </c>
      <c r="L228" s="354">
        <v>0</v>
      </c>
      <c r="M228" s="355">
        <v>4</v>
      </c>
      <c r="N228" s="355">
        <v>4</v>
      </c>
    </row>
    <row r="229" spans="1:14" hidden="1" x14ac:dyDescent="0.25">
      <c r="A229" s="354">
        <v>0</v>
      </c>
      <c r="B229" s="354">
        <v>0</v>
      </c>
      <c r="C229" s="354">
        <v>1</v>
      </c>
      <c r="D229" s="354">
        <v>1</v>
      </c>
      <c r="E229" s="354">
        <v>2</v>
      </c>
      <c r="F229" s="354">
        <v>1</v>
      </c>
      <c r="G229" s="354">
        <v>0</v>
      </c>
      <c r="H229" s="354">
        <v>0</v>
      </c>
      <c r="I229" s="354">
        <v>0</v>
      </c>
      <c r="J229" s="354">
        <v>1</v>
      </c>
      <c r="K229" s="354">
        <v>1</v>
      </c>
      <c r="L229" s="354">
        <v>0</v>
      </c>
      <c r="M229" s="355">
        <v>4</v>
      </c>
      <c r="N229" s="355">
        <v>3</v>
      </c>
    </row>
    <row r="230" spans="1:14" hidden="1" x14ac:dyDescent="0.25">
      <c r="A230" s="354">
        <v>1</v>
      </c>
      <c r="B230" s="354">
        <v>0</v>
      </c>
      <c r="C230" s="354">
        <v>1</v>
      </c>
      <c r="D230" s="354">
        <v>0</v>
      </c>
      <c r="E230" s="354">
        <v>0</v>
      </c>
      <c r="F230" s="354">
        <v>0</v>
      </c>
      <c r="G230" s="354">
        <v>0</v>
      </c>
      <c r="H230" s="354">
        <v>0</v>
      </c>
      <c r="I230" s="354">
        <v>1</v>
      </c>
      <c r="J230" s="354">
        <v>1</v>
      </c>
      <c r="K230" s="354">
        <v>0</v>
      </c>
      <c r="L230" s="354">
        <v>0</v>
      </c>
      <c r="M230" s="355">
        <v>3</v>
      </c>
      <c r="N230" s="355">
        <v>1</v>
      </c>
    </row>
    <row r="231" spans="1:14" hidden="1" x14ac:dyDescent="0.25">
      <c r="A231" s="354">
        <v>0</v>
      </c>
      <c r="B231" s="354">
        <v>1</v>
      </c>
      <c r="C231" s="354">
        <v>1</v>
      </c>
      <c r="D231" s="354">
        <v>0</v>
      </c>
      <c r="E231" s="354">
        <v>0</v>
      </c>
      <c r="F231" s="354">
        <v>0</v>
      </c>
      <c r="G231" s="354">
        <v>0</v>
      </c>
      <c r="H231" s="354">
        <v>0</v>
      </c>
      <c r="I231" s="354">
        <v>1</v>
      </c>
      <c r="J231" s="354">
        <v>1</v>
      </c>
      <c r="K231" s="354">
        <v>0</v>
      </c>
      <c r="L231" s="354">
        <v>0</v>
      </c>
      <c r="M231" s="355">
        <v>2</v>
      </c>
      <c r="N231" s="355">
        <v>2</v>
      </c>
    </row>
    <row r="232" spans="1:14" hidden="1" x14ac:dyDescent="0.25">
      <c r="A232" s="354">
        <v>1</v>
      </c>
      <c r="B232" s="354">
        <v>2</v>
      </c>
      <c r="C232" s="354">
        <v>0</v>
      </c>
      <c r="D232" s="354">
        <v>1</v>
      </c>
      <c r="E232" s="354">
        <v>1</v>
      </c>
      <c r="F232" s="354">
        <v>0</v>
      </c>
      <c r="G232" s="354">
        <v>0</v>
      </c>
      <c r="H232" s="354">
        <v>0</v>
      </c>
      <c r="I232" s="354">
        <v>2</v>
      </c>
      <c r="J232" s="354">
        <v>2</v>
      </c>
      <c r="K232" s="354">
        <v>0</v>
      </c>
      <c r="L232" s="354">
        <v>0</v>
      </c>
      <c r="M232" s="355">
        <v>4</v>
      </c>
      <c r="N232" s="355">
        <v>5</v>
      </c>
    </row>
    <row r="233" spans="1:14" hidden="1" x14ac:dyDescent="0.25">
      <c r="A233" s="354">
        <v>1</v>
      </c>
      <c r="B233" s="354">
        <v>2</v>
      </c>
      <c r="C233" s="354">
        <v>1</v>
      </c>
      <c r="D233" s="354">
        <v>1</v>
      </c>
      <c r="E233" s="354">
        <v>0</v>
      </c>
      <c r="F233" s="354">
        <v>0</v>
      </c>
      <c r="G233" s="354">
        <v>1</v>
      </c>
      <c r="H233" s="354">
        <v>0</v>
      </c>
      <c r="I233" s="354">
        <v>1</v>
      </c>
      <c r="J233" s="354">
        <v>1</v>
      </c>
      <c r="K233" s="354">
        <v>0</v>
      </c>
      <c r="L233" s="354">
        <v>0</v>
      </c>
      <c r="M233" s="355">
        <v>4</v>
      </c>
      <c r="N233" s="355">
        <v>4</v>
      </c>
    </row>
    <row r="234" spans="1:14" hidden="1" x14ac:dyDescent="0.25">
      <c r="A234" s="354">
        <v>1</v>
      </c>
      <c r="B234" s="354">
        <v>2</v>
      </c>
      <c r="C234" s="354">
        <v>2</v>
      </c>
      <c r="D234" s="354">
        <v>1</v>
      </c>
      <c r="E234" s="354">
        <v>1</v>
      </c>
      <c r="F234" s="354">
        <v>1</v>
      </c>
      <c r="G234" s="354">
        <v>1</v>
      </c>
      <c r="H234" s="354">
        <v>1</v>
      </c>
      <c r="I234" s="354">
        <v>2</v>
      </c>
      <c r="J234" s="354">
        <v>2</v>
      </c>
      <c r="K234" s="354">
        <v>0</v>
      </c>
      <c r="L234" s="354">
        <v>0</v>
      </c>
      <c r="M234" s="355">
        <v>7</v>
      </c>
      <c r="N234" s="355">
        <v>7</v>
      </c>
    </row>
    <row r="235" spans="1:14" hidden="1" x14ac:dyDescent="0.25">
      <c r="A235" s="354">
        <v>1</v>
      </c>
      <c r="B235" s="354">
        <v>0</v>
      </c>
      <c r="C235" s="354">
        <v>0</v>
      </c>
      <c r="D235" s="354">
        <v>2</v>
      </c>
      <c r="E235" s="354">
        <v>0</v>
      </c>
      <c r="F235" s="354">
        <v>2</v>
      </c>
      <c r="G235" s="354">
        <v>0</v>
      </c>
      <c r="H235" s="354">
        <v>0</v>
      </c>
      <c r="I235" s="354">
        <v>1</v>
      </c>
      <c r="J235" s="354">
        <v>1</v>
      </c>
      <c r="K235" s="354">
        <v>0</v>
      </c>
      <c r="L235" s="354">
        <v>0</v>
      </c>
      <c r="M235" s="355">
        <v>2</v>
      </c>
      <c r="N235" s="355">
        <v>5</v>
      </c>
    </row>
    <row r="236" spans="1:14" hidden="1" x14ac:dyDescent="0.25">
      <c r="A236" s="354">
        <v>0</v>
      </c>
      <c r="B236" s="354">
        <v>0</v>
      </c>
      <c r="C236" s="354">
        <v>1</v>
      </c>
      <c r="D236" s="354">
        <v>0</v>
      </c>
      <c r="E236" s="354">
        <v>2</v>
      </c>
      <c r="F236" s="354">
        <v>1</v>
      </c>
      <c r="G236" s="354">
        <v>0</v>
      </c>
      <c r="H236" s="354">
        <v>1</v>
      </c>
      <c r="I236" s="354">
        <v>1</v>
      </c>
      <c r="J236" s="354">
        <v>1</v>
      </c>
      <c r="K236" s="354">
        <v>0</v>
      </c>
      <c r="L236" s="354">
        <v>0</v>
      </c>
      <c r="M236" s="355">
        <v>4</v>
      </c>
      <c r="N236" s="355">
        <v>3</v>
      </c>
    </row>
    <row r="237" spans="1:14" hidden="1" x14ac:dyDescent="0.25">
      <c r="A237" s="354">
        <v>1</v>
      </c>
      <c r="B237" s="354">
        <v>0</v>
      </c>
      <c r="C237" s="354">
        <v>1</v>
      </c>
      <c r="D237" s="354">
        <v>1</v>
      </c>
      <c r="E237" s="354">
        <v>0</v>
      </c>
      <c r="F237" s="354">
        <v>0</v>
      </c>
      <c r="G237" s="354">
        <v>1</v>
      </c>
      <c r="H237" s="354">
        <v>0</v>
      </c>
      <c r="I237" s="354">
        <v>1</v>
      </c>
      <c r="J237" s="354">
        <v>1</v>
      </c>
      <c r="K237" s="354">
        <v>0</v>
      </c>
      <c r="L237" s="354">
        <v>0</v>
      </c>
      <c r="M237" s="355">
        <v>4</v>
      </c>
      <c r="N237" s="355">
        <v>2</v>
      </c>
    </row>
    <row r="238" spans="1:14" hidden="1" x14ac:dyDescent="0.25">
      <c r="A238" s="354">
        <v>0</v>
      </c>
      <c r="B238" s="354">
        <v>1</v>
      </c>
      <c r="C238" s="354">
        <v>0</v>
      </c>
      <c r="D238" s="354">
        <v>1</v>
      </c>
      <c r="E238" s="354">
        <v>1</v>
      </c>
      <c r="F238" s="354">
        <v>1</v>
      </c>
      <c r="G238" s="354">
        <v>0</v>
      </c>
      <c r="H238" s="354">
        <v>0</v>
      </c>
      <c r="I238" s="354">
        <v>1</v>
      </c>
      <c r="J238" s="354">
        <v>1</v>
      </c>
      <c r="K238" s="354">
        <v>0</v>
      </c>
      <c r="L238" s="354">
        <v>0</v>
      </c>
      <c r="M238" s="355">
        <v>2</v>
      </c>
      <c r="N238" s="355">
        <v>4</v>
      </c>
    </row>
    <row r="239" spans="1:14" hidden="1" x14ac:dyDescent="0.25">
      <c r="A239" s="354">
        <v>1</v>
      </c>
      <c r="B239" s="354">
        <v>0</v>
      </c>
      <c r="C239" s="354">
        <v>1</v>
      </c>
      <c r="D239" s="354">
        <v>1</v>
      </c>
      <c r="E239" s="354">
        <v>1</v>
      </c>
      <c r="F239" s="354">
        <v>1</v>
      </c>
      <c r="G239" s="354">
        <v>0</v>
      </c>
      <c r="H239" s="354">
        <v>0</v>
      </c>
      <c r="I239" s="354">
        <v>1</v>
      </c>
      <c r="J239" s="354">
        <v>1</v>
      </c>
      <c r="K239" s="354">
        <v>0</v>
      </c>
      <c r="L239" s="354">
        <v>0</v>
      </c>
      <c r="M239" s="355">
        <v>4</v>
      </c>
      <c r="N239" s="355">
        <v>3</v>
      </c>
    </row>
    <row r="240" spans="1:14" hidden="1" x14ac:dyDescent="0.25">
      <c r="A240" s="354">
        <v>0</v>
      </c>
      <c r="B240" s="354">
        <v>0</v>
      </c>
      <c r="C240" s="354">
        <v>2</v>
      </c>
      <c r="D240" s="354">
        <v>1</v>
      </c>
      <c r="E240" s="354">
        <v>0</v>
      </c>
      <c r="F240" s="354">
        <v>2</v>
      </c>
      <c r="G240" s="354">
        <v>1</v>
      </c>
      <c r="H240" s="354">
        <v>0</v>
      </c>
      <c r="I240" s="354">
        <v>1</v>
      </c>
      <c r="J240" s="354">
        <v>1</v>
      </c>
      <c r="K240" s="354">
        <v>0</v>
      </c>
      <c r="L240" s="354">
        <v>0</v>
      </c>
      <c r="M240" s="355">
        <v>4</v>
      </c>
      <c r="N240" s="355">
        <v>4</v>
      </c>
    </row>
    <row r="241" spans="1:14" hidden="1" x14ac:dyDescent="0.25">
      <c r="A241" s="354">
        <v>0</v>
      </c>
      <c r="B241" s="354">
        <v>0</v>
      </c>
      <c r="C241" s="354">
        <v>2</v>
      </c>
      <c r="D241" s="354">
        <v>1</v>
      </c>
      <c r="E241" s="354">
        <v>0</v>
      </c>
      <c r="F241" s="354">
        <v>1</v>
      </c>
      <c r="G241" s="354">
        <v>2</v>
      </c>
      <c r="H241" s="354">
        <v>0</v>
      </c>
      <c r="I241" s="354">
        <v>2</v>
      </c>
      <c r="J241" s="354">
        <v>1</v>
      </c>
      <c r="K241" s="354">
        <v>0</v>
      </c>
      <c r="L241" s="354">
        <v>0</v>
      </c>
      <c r="M241" s="355">
        <v>6</v>
      </c>
      <c r="N241" s="355">
        <v>3</v>
      </c>
    </row>
    <row r="242" spans="1:14" hidden="1" x14ac:dyDescent="0.25">
      <c r="A242" s="354">
        <v>0</v>
      </c>
      <c r="B242" s="354">
        <v>1</v>
      </c>
      <c r="C242" s="354">
        <v>1</v>
      </c>
      <c r="D242" s="354">
        <v>0</v>
      </c>
      <c r="E242" s="354">
        <v>1</v>
      </c>
      <c r="F242" s="354">
        <v>0</v>
      </c>
      <c r="G242" s="354">
        <v>0</v>
      </c>
      <c r="H242" s="354">
        <v>2</v>
      </c>
      <c r="I242" s="354">
        <v>2</v>
      </c>
      <c r="J242" s="354">
        <v>1</v>
      </c>
      <c r="K242" s="354">
        <v>0</v>
      </c>
      <c r="L242" s="354">
        <v>0</v>
      </c>
      <c r="M242" s="355">
        <v>4</v>
      </c>
      <c r="N242" s="355">
        <v>4</v>
      </c>
    </row>
    <row r="243" spans="1:14" hidden="1" x14ac:dyDescent="0.25">
      <c r="A243" s="354">
        <v>0</v>
      </c>
      <c r="B243" s="354">
        <v>0</v>
      </c>
      <c r="C243" s="354">
        <v>0</v>
      </c>
      <c r="D243" s="354">
        <v>1</v>
      </c>
      <c r="E243" s="354">
        <v>0</v>
      </c>
      <c r="F243" s="354">
        <v>1</v>
      </c>
      <c r="G243" s="354">
        <v>0</v>
      </c>
      <c r="H243" s="354">
        <v>1</v>
      </c>
      <c r="I243" s="354">
        <v>1</v>
      </c>
      <c r="J243" s="354">
        <v>1</v>
      </c>
      <c r="K243" s="354">
        <v>0</v>
      </c>
      <c r="L243" s="354">
        <v>0</v>
      </c>
      <c r="M243" s="355">
        <v>1</v>
      </c>
      <c r="N243" s="355">
        <v>4</v>
      </c>
    </row>
    <row r="244" spans="1:14" hidden="1" x14ac:dyDescent="0.25">
      <c r="A244" s="354">
        <v>0</v>
      </c>
      <c r="B244" s="354">
        <v>1</v>
      </c>
      <c r="C244" s="354">
        <v>0</v>
      </c>
      <c r="D244" s="354">
        <v>1</v>
      </c>
      <c r="E244" s="354">
        <v>1</v>
      </c>
      <c r="F244" s="354">
        <v>0</v>
      </c>
      <c r="G244" s="354">
        <v>0</v>
      </c>
      <c r="H244" s="354">
        <v>1</v>
      </c>
      <c r="I244" s="354">
        <v>1</v>
      </c>
      <c r="J244" s="354">
        <v>1</v>
      </c>
      <c r="K244" s="354">
        <v>0</v>
      </c>
      <c r="L244" s="354">
        <v>0</v>
      </c>
      <c r="M244" s="355">
        <v>2</v>
      </c>
      <c r="N244" s="355">
        <v>4</v>
      </c>
    </row>
    <row r="245" spans="1:14" hidden="1" x14ac:dyDescent="0.25">
      <c r="A245" s="354">
        <v>0</v>
      </c>
      <c r="B245" s="354">
        <v>0</v>
      </c>
      <c r="C245" s="354">
        <v>1</v>
      </c>
      <c r="D245" s="354">
        <v>0</v>
      </c>
      <c r="E245" s="354">
        <v>0</v>
      </c>
      <c r="F245" s="354">
        <v>0</v>
      </c>
      <c r="G245" s="354">
        <v>0</v>
      </c>
      <c r="H245" s="354">
        <v>1</v>
      </c>
      <c r="I245" s="354">
        <v>1</v>
      </c>
      <c r="J245" s="354">
        <v>1</v>
      </c>
      <c r="K245" s="354">
        <v>0</v>
      </c>
      <c r="L245" s="354">
        <v>0</v>
      </c>
      <c r="M245" s="355">
        <v>2</v>
      </c>
      <c r="N245" s="355">
        <v>2</v>
      </c>
    </row>
    <row r="246" spans="1:14" hidden="1" x14ac:dyDescent="0.25">
      <c r="A246" s="354">
        <v>0</v>
      </c>
      <c r="B246" s="354">
        <v>0</v>
      </c>
      <c r="C246" s="354">
        <v>1</v>
      </c>
      <c r="D246" s="354">
        <v>0</v>
      </c>
      <c r="E246" s="354">
        <v>0</v>
      </c>
      <c r="F246" s="354">
        <v>1</v>
      </c>
      <c r="G246" s="354">
        <v>0</v>
      </c>
      <c r="H246" s="354">
        <v>1</v>
      </c>
      <c r="I246" s="354">
        <v>1</v>
      </c>
      <c r="J246" s="354">
        <v>1</v>
      </c>
      <c r="K246" s="354">
        <v>0</v>
      </c>
      <c r="L246" s="354">
        <v>0</v>
      </c>
      <c r="M246" s="355">
        <v>2</v>
      </c>
      <c r="N246" s="355">
        <v>3</v>
      </c>
    </row>
    <row r="247" spans="1:14" hidden="1" x14ac:dyDescent="0.25">
      <c r="A247" s="354">
        <v>0</v>
      </c>
      <c r="B247" s="354">
        <v>1</v>
      </c>
      <c r="C247" s="354">
        <v>0</v>
      </c>
      <c r="D247" s="354">
        <v>1</v>
      </c>
      <c r="E247" s="354">
        <v>0</v>
      </c>
      <c r="F247" s="354">
        <v>0</v>
      </c>
      <c r="G247" s="354">
        <v>1</v>
      </c>
      <c r="H247" s="354">
        <v>1</v>
      </c>
      <c r="I247" s="354">
        <v>1</v>
      </c>
      <c r="J247" s="354">
        <v>0</v>
      </c>
      <c r="K247" s="354">
        <v>0</v>
      </c>
      <c r="L247" s="354">
        <v>0</v>
      </c>
      <c r="M247" s="355">
        <v>2</v>
      </c>
      <c r="N247" s="355">
        <v>3</v>
      </c>
    </row>
    <row r="248" spans="1:14" hidden="1" x14ac:dyDescent="0.25">
      <c r="A248" s="354">
        <v>0</v>
      </c>
      <c r="B248" s="354">
        <v>0</v>
      </c>
      <c r="C248" s="354">
        <v>1</v>
      </c>
      <c r="D248" s="354">
        <v>1</v>
      </c>
      <c r="E248" s="354">
        <v>0</v>
      </c>
      <c r="F248" s="354">
        <v>0</v>
      </c>
      <c r="G248" s="354">
        <v>2</v>
      </c>
      <c r="H248" s="354">
        <v>1</v>
      </c>
      <c r="I248" s="354">
        <v>1</v>
      </c>
      <c r="J248" s="354">
        <v>1</v>
      </c>
      <c r="K248" s="354">
        <v>0</v>
      </c>
      <c r="L248" s="354">
        <v>0</v>
      </c>
      <c r="M248" s="355">
        <v>4</v>
      </c>
      <c r="N248" s="355">
        <v>3</v>
      </c>
    </row>
    <row r="249" spans="1:14" hidden="1" x14ac:dyDescent="0.25">
      <c r="A249" s="354">
        <v>0</v>
      </c>
      <c r="B249" s="354">
        <v>1</v>
      </c>
      <c r="C249" s="354">
        <v>1</v>
      </c>
      <c r="D249" s="354">
        <v>0</v>
      </c>
      <c r="E249" s="354">
        <v>0</v>
      </c>
      <c r="F249" s="354">
        <v>1</v>
      </c>
      <c r="G249" s="354">
        <v>1</v>
      </c>
      <c r="H249" s="354">
        <v>0</v>
      </c>
      <c r="I249" s="354">
        <v>1</v>
      </c>
      <c r="J249" s="354">
        <v>1</v>
      </c>
      <c r="K249" s="354">
        <v>0</v>
      </c>
      <c r="L249" s="354">
        <v>0</v>
      </c>
      <c r="M249" s="355">
        <v>3</v>
      </c>
      <c r="N249" s="355">
        <v>3</v>
      </c>
    </row>
    <row r="250" spans="1:14" hidden="1" x14ac:dyDescent="0.25">
      <c r="A250" s="354">
        <v>0</v>
      </c>
      <c r="B250" s="354">
        <v>1</v>
      </c>
      <c r="C250" s="354">
        <v>0</v>
      </c>
      <c r="D250" s="354">
        <v>0</v>
      </c>
      <c r="E250" s="354">
        <v>1</v>
      </c>
      <c r="F250" s="354">
        <v>0</v>
      </c>
      <c r="G250" s="354">
        <v>1</v>
      </c>
      <c r="H250" s="354">
        <v>0</v>
      </c>
      <c r="I250" s="354">
        <v>1</v>
      </c>
      <c r="J250" s="354">
        <v>1</v>
      </c>
      <c r="K250" s="354">
        <v>0</v>
      </c>
      <c r="L250" s="354">
        <v>0</v>
      </c>
      <c r="M250" s="355">
        <v>3</v>
      </c>
      <c r="N250" s="355">
        <v>2</v>
      </c>
    </row>
    <row r="251" spans="1:14" hidden="1" x14ac:dyDescent="0.25">
      <c r="A251" s="354">
        <v>1</v>
      </c>
      <c r="B251" s="354">
        <v>0</v>
      </c>
      <c r="C251" s="354">
        <v>1</v>
      </c>
      <c r="D251" s="354">
        <v>1</v>
      </c>
      <c r="E251" s="354">
        <v>0</v>
      </c>
      <c r="F251" s="354">
        <v>1</v>
      </c>
      <c r="G251" s="354">
        <v>0</v>
      </c>
      <c r="H251" s="354">
        <v>0</v>
      </c>
      <c r="I251" s="354">
        <v>1</v>
      </c>
      <c r="J251" s="354">
        <v>1</v>
      </c>
      <c r="K251" s="354">
        <v>0</v>
      </c>
      <c r="L251" s="354">
        <v>0</v>
      </c>
      <c r="M251" s="355">
        <v>3</v>
      </c>
      <c r="N251" s="355">
        <v>3</v>
      </c>
    </row>
    <row r="252" spans="1:14" hidden="1" x14ac:dyDescent="0.25">
      <c r="A252" s="354">
        <v>0</v>
      </c>
      <c r="B252" s="354">
        <v>0</v>
      </c>
      <c r="C252" s="354">
        <v>1</v>
      </c>
      <c r="D252" s="354">
        <v>1</v>
      </c>
      <c r="E252" s="354">
        <v>0</v>
      </c>
      <c r="F252" s="354">
        <v>1</v>
      </c>
      <c r="G252" s="354">
        <v>0</v>
      </c>
      <c r="H252" s="354">
        <v>1</v>
      </c>
      <c r="I252" s="354">
        <v>1</v>
      </c>
      <c r="J252" s="354">
        <v>1</v>
      </c>
      <c r="K252" s="354">
        <v>0</v>
      </c>
      <c r="L252" s="354">
        <v>0</v>
      </c>
      <c r="M252" s="355">
        <v>2</v>
      </c>
      <c r="N252" s="355">
        <v>4</v>
      </c>
    </row>
    <row r="253" spans="1:14" hidden="1" x14ac:dyDescent="0.25">
      <c r="A253" s="354">
        <v>0</v>
      </c>
      <c r="B253" s="354">
        <v>1</v>
      </c>
      <c r="C253" s="354">
        <v>1</v>
      </c>
      <c r="D253" s="354">
        <v>0</v>
      </c>
      <c r="E253" s="354">
        <v>1</v>
      </c>
      <c r="F253" s="354">
        <v>1</v>
      </c>
      <c r="G253" s="354">
        <v>1</v>
      </c>
      <c r="H253" s="354">
        <v>0</v>
      </c>
      <c r="I253" s="354">
        <v>1</v>
      </c>
      <c r="J253" s="354">
        <v>1</v>
      </c>
      <c r="K253" s="354">
        <v>0</v>
      </c>
      <c r="L253" s="354">
        <v>0</v>
      </c>
      <c r="M253" s="355">
        <v>4</v>
      </c>
      <c r="N253" s="355">
        <v>3</v>
      </c>
    </row>
    <row r="254" spans="1:14" hidden="1" x14ac:dyDescent="0.25">
      <c r="A254" s="354">
        <v>1</v>
      </c>
      <c r="B254" s="354">
        <v>0</v>
      </c>
      <c r="C254" s="354">
        <v>2</v>
      </c>
      <c r="D254" s="354">
        <v>0</v>
      </c>
      <c r="E254" s="354">
        <v>1</v>
      </c>
      <c r="F254" s="354">
        <v>0</v>
      </c>
      <c r="G254" s="354">
        <v>1</v>
      </c>
      <c r="H254" s="354">
        <v>1</v>
      </c>
      <c r="I254" s="354">
        <v>1</v>
      </c>
      <c r="J254" s="354">
        <v>1</v>
      </c>
      <c r="K254" s="354">
        <v>0</v>
      </c>
      <c r="L254" s="354">
        <v>0</v>
      </c>
      <c r="M254" s="355">
        <v>6</v>
      </c>
      <c r="N254" s="355">
        <v>2</v>
      </c>
    </row>
    <row r="255" spans="1:14" hidden="1" x14ac:dyDescent="0.25">
      <c r="A255" s="354">
        <v>1</v>
      </c>
      <c r="B255" s="354">
        <v>1</v>
      </c>
      <c r="C255" s="354">
        <v>1</v>
      </c>
      <c r="D255" s="354">
        <v>0</v>
      </c>
      <c r="E255" s="354">
        <v>0</v>
      </c>
      <c r="F255" s="354">
        <v>1</v>
      </c>
      <c r="G255" s="354">
        <v>1</v>
      </c>
      <c r="H255" s="354">
        <v>0</v>
      </c>
      <c r="I255" s="354">
        <v>1</v>
      </c>
      <c r="J255" s="354">
        <v>1</v>
      </c>
      <c r="K255" s="354">
        <v>0</v>
      </c>
      <c r="L255" s="354">
        <v>0</v>
      </c>
      <c r="M255" s="355">
        <v>4</v>
      </c>
      <c r="N255" s="355">
        <v>3</v>
      </c>
    </row>
    <row r="256" spans="1:14" hidden="1" x14ac:dyDescent="0.25">
      <c r="A256" s="354">
        <v>0</v>
      </c>
      <c r="B256" s="354">
        <v>0</v>
      </c>
      <c r="C256" s="354">
        <v>0</v>
      </c>
      <c r="D256" s="354">
        <v>0</v>
      </c>
      <c r="E256" s="354">
        <v>1</v>
      </c>
      <c r="F256" s="354">
        <v>2</v>
      </c>
      <c r="G256" s="354">
        <v>1</v>
      </c>
      <c r="H256" s="354">
        <v>1</v>
      </c>
      <c r="I256" s="354">
        <v>1</v>
      </c>
      <c r="J256" s="354">
        <v>0</v>
      </c>
      <c r="K256" s="354">
        <v>0</v>
      </c>
      <c r="L256" s="354">
        <v>0</v>
      </c>
      <c r="M256" s="355">
        <v>3</v>
      </c>
      <c r="N256" s="355">
        <v>3</v>
      </c>
    </row>
    <row r="257" spans="1:14" hidden="1" x14ac:dyDescent="0.25">
      <c r="A257" s="354">
        <v>0</v>
      </c>
      <c r="B257" s="354">
        <v>1</v>
      </c>
      <c r="C257" s="354">
        <v>0</v>
      </c>
      <c r="D257" s="354">
        <v>0</v>
      </c>
      <c r="E257" s="354">
        <v>1</v>
      </c>
      <c r="F257" s="354">
        <v>1</v>
      </c>
      <c r="G257" s="354">
        <v>0</v>
      </c>
      <c r="H257" s="354">
        <v>1</v>
      </c>
      <c r="I257" s="354">
        <v>1</v>
      </c>
      <c r="J257" s="354">
        <v>1</v>
      </c>
      <c r="K257" s="354">
        <v>0</v>
      </c>
      <c r="L257" s="354">
        <v>0</v>
      </c>
      <c r="M257" s="355">
        <v>2</v>
      </c>
      <c r="N257" s="355">
        <v>4</v>
      </c>
    </row>
    <row r="258" spans="1:14" hidden="1" x14ac:dyDescent="0.25">
      <c r="A258" s="354">
        <v>0</v>
      </c>
      <c r="B258" s="354">
        <v>0</v>
      </c>
      <c r="C258" s="354">
        <v>0</v>
      </c>
      <c r="D258" s="354">
        <v>1</v>
      </c>
      <c r="E258" s="354">
        <v>0</v>
      </c>
      <c r="F258" s="354">
        <v>1</v>
      </c>
      <c r="G258" s="354">
        <v>0</v>
      </c>
      <c r="H258" s="354">
        <v>1</v>
      </c>
      <c r="I258" s="354">
        <v>1</v>
      </c>
      <c r="J258" s="354">
        <v>1</v>
      </c>
      <c r="K258" s="354">
        <v>0</v>
      </c>
      <c r="L258" s="354">
        <v>0</v>
      </c>
      <c r="M258" s="355">
        <v>1</v>
      </c>
      <c r="N258" s="355">
        <v>4</v>
      </c>
    </row>
    <row r="259" spans="1:14" hidden="1" x14ac:dyDescent="0.25">
      <c r="A259" s="354">
        <v>0</v>
      </c>
      <c r="B259" s="354">
        <v>0</v>
      </c>
      <c r="C259" s="354">
        <v>1</v>
      </c>
      <c r="D259" s="354">
        <v>0</v>
      </c>
      <c r="E259" s="354">
        <v>1</v>
      </c>
      <c r="F259" s="354">
        <v>1</v>
      </c>
      <c r="G259" s="354">
        <v>0</v>
      </c>
      <c r="H259" s="354">
        <v>0</v>
      </c>
      <c r="I259" s="354">
        <v>1</v>
      </c>
      <c r="J259" s="354">
        <v>2</v>
      </c>
      <c r="K259" s="354">
        <v>0</v>
      </c>
      <c r="L259" s="354">
        <v>0</v>
      </c>
      <c r="M259" s="355">
        <v>3</v>
      </c>
      <c r="N259" s="355">
        <v>3</v>
      </c>
    </row>
    <row r="260" spans="1:14" hidden="1" x14ac:dyDescent="0.25">
      <c r="A260" s="354">
        <v>0</v>
      </c>
      <c r="B260" s="354">
        <v>0</v>
      </c>
      <c r="C260" s="354">
        <v>0</v>
      </c>
      <c r="D260" s="354">
        <v>1</v>
      </c>
      <c r="E260" s="354">
        <v>0</v>
      </c>
      <c r="F260" s="354">
        <v>0</v>
      </c>
      <c r="G260" s="354">
        <v>0</v>
      </c>
      <c r="H260" s="354">
        <v>0</v>
      </c>
      <c r="I260" s="354">
        <v>1</v>
      </c>
      <c r="J260" s="354">
        <v>2</v>
      </c>
      <c r="K260" s="354">
        <v>0</v>
      </c>
      <c r="L260" s="354">
        <v>0</v>
      </c>
      <c r="M260" s="355">
        <v>1</v>
      </c>
      <c r="N260" s="355">
        <v>3</v>
      </c>
    </row>
    <row r="261" spans="1:14" hidden="1" x14ac:dyDescent="0.25">
      <c r="A261" s="354">
        <v>0</v>
      </c>
      <c r="B261" s="354">
        <v>1</v>
      </c>
      <c r="C261" s="354">
        <v>0</v>
      </c>
      <c r="D261" s="354">
        <v>0</v>
      </c>
      <c r="E261" s="354">
        <v>0</v>
      </c>
      <c r="F261" s="354">
        <v>1</v>
      </c>
      <c r="G261" s="354">
        <v>1</v>
      </c>
      <c r="H261" s="354">
        <v>1</v>
      </c>
      <c r="I261" s="354">
        <v>1</v>
      </c>
      <c r="J261" s="354">
        <v>1</v>
      </c>
      <c r="K261" s="354">
        <v>0</v>
      </c>
      <c r="L261" s="354">
        <v>0</v>
      </c>
      <c r="M261" s="355">
        <v>2</v>
      </c>
      <c r="N261" s="355">
        <v>4</v>
      </c>
    </row>
    <row r="262" spans="1:14" hidden="1" x14ac:dyDescent="0.25">
      <c r="A262" s="354">
        <v>1</v>
      </c>
      <c r="B262" s="354">
        <v>0</v>
      </c>
      <c r="C262" s="354">
        <v>0</v>
      </c>
      <c r="D262" s="354">
        <v>0</v>
      </c>
      <c r="E262" s="354">
        <v>1</v>
      </c>
      <c r="F262" s="354">
        <v>0</v>
      </c>
      <c r="G262" s="354">
        <v>0</v>
      </c>
      <c r="H262" s="354">
        <v>0</v>
      </c>
      <c r="I262" s="354">
        <v>1</v>
      </c>
      <c r="J262" s="354">
        <v>1</v>
      </c>
      <c r="K262" s="354">
        <v>0</v>
      </c>
      <c r="L262" s="354">
        <v>0</v>
      </c>
      <c r="M262" s="355">
        <v>3</v>
      </c>
      <c r="N262" s="355">
        <v>1</v>
      </c>
    </row>
    <row r="263" spans="1:14" hidden="1" x14ac:dyDescent="0.25">
      <c r="A263" s="354">
        <v>1</v>
      </c>
      <c r="B263" s="354">
        <v>0</v>
      </c>
      <c r="C263" s="354">
        <v>1</v>
      </c>
      <c r="D263" s="354">
        <v>1</v>
      </c>
      <c r="E263" s="354">
        <v>0</v>
      </c>
      <c r="F263" s="354">
        <v>0</v>
      </c>
      <c r="G263" s="354">
        <v>0</v>
      </c>
      <c r="H263" s="354">
        <v>0</v>
      </c>
      <c r="I263" s="354">
        <v>1</v>
      </c>
      <c r="J263" s="354">
        <v>1</v>
      </c>
      <c r="K263" s="354">
        <v>0</v>
      </c>
      <c r="L263" s="354">
        <v>0</v>
      </c>
      <c r="M263" s="355">
        <v>3</v>
      </c>
      <c r="N263" s="355">
        <v>2</v>
      </c>
    </row>
    <row r="264" spans="1:14" hidden="1" x14ac:dyDescent="0.25">
      <c r="A264" s="354">
        <v>1</v>
      </c>
      <c r="B264" s="354">
        <v>0</v>
      </c>
      <c r="C264" s="354">
        <v>1</v>
      </c>
      <c r="D264" s="354">
        <v>0</v>
      </c>
      <c r="E264" s="354">
        <v>0</v>
      </c>
      <c r="F264" s="354">
        <v>1</v>
      </c>
      <c r="G264" s="354">
        <v>0</v>
      </c>
      <c r="H264" s="354">
        <v>0</v>
      </c>
      <c r="I264" s="354">
        <v>1</v>
      </c>
      <c r="J264" s="354">
        <v>1</v>
      </c>
      <c r="K264" s="354">
        <v>0</v>
      </c>
      <c r="L264" s="354">
        <v>0</v>
      </c>
      <c r="M264" s="355">
        <v>3</v>
      </c>
      <c r="N264" s="355">
        <v>2</v>
      </c>
    </row>
    <row r="265" spans="1:14" hidden="1" x14ac:dyDescent="0.25">
      <c r="A265" s="354">
        <v>1</v>
      </c>
      <c r="B265" s="354">
        <v>0</v>
      </c>
      <c r="C265" s="354">
        <v>0</v>
      </c>
      <c r="D265" s="354">
        <v>2</v>
      </c>
      <c r="E265" s="354">
        <v>0</v>
      </c>
      <c r="F265" s="354">
        <v>0</v>
      </c>
      <c r="G265" s="354">
        <v>0</v>
      </c>
      <c r="H265" s="354">
        <v>1</v>
      </c>
      <c r="I265" s="354">
        <v>1</v>
      </c>
      <c r="J265" s="354">
        <v>1</v>
      </c>
      <c r="K265" s="354">
        <v>0</v>
      </c>
      <c r="L265" s="354">
        <v>0</v>
      </c>
      <c r="M265" s="355">
        <v>2</v>
      </c>
      <c r="N265" s="355">
        <v>4</v>
      </c>
    </row>
    <row r="266" spans="1:14" hidden="1" x14ac:dyDescent="0.25">
      <c r="A266" s="354">
        <v>0</v>
      </c>
      <c r="B266" s="354">
        <v>0</v>
      </c>
      <c r="C266" s="354">
        <v>0</v>
      </c>
      <c r="D266" s="354">
        <v>0</v>
      </c>
      <c r="E266" s="354">
        <v>1</v>
      </c>
      <c r="F266" s="354">
        <v>1</v>
      </c>
      <c r="G266" s="354">
        <v>0</v>
      </c>
      <c r="H266" s="354">
        <v>0</v>
      </c>
      <c r="I266" s="354">
        <v>0</v>
      </c>
      <c r="J266" s="354">
        <v>1</v>
      </c>
      <c r="K266" s="354">
        <v>0</v>
      </c>
      <c r="L266" s="354">
        <v>0</v>
      </c>
      <c r="M266" s="355">
        <v>1</v>
      </c>
      <c r="N266" s="355">
        <v>2</v>
      </c>
    </row>
    <row r="267" spans="1:14" hidden="1" x14ac:dyDescent="0.25">
      <c r="A267" s="354">
        <v>0</v>
      </c>
      <c r="B267" s="354">
        <v>0</v>
      </c>
      <c r="C267" s="354">
        <v>0</v>
      </c>
      <c r="D267" s="354">
        <v>1</v>
      </c>
      <c r="E267" s="354">
        <v>0</v>
      </c>
      <c r="F267" s="354">
        <v>0</v>
      </c>
      <c r="G267" s="354">
        <v>0</v>
      </c>
      <c r="H267" s="354">
        <v>0</v>
      </c>
      <c r="I267" s="354">
        <v>1</v>
      </c>
      <c r="J267" s="354">
        <v>1</v>
      </c>
      <c r="K267" s="354">
        <v>0</v>
      </c>
      <c r="L267" s="354">
        <v>0</v>
      </c>
      <c r="M267" s="355">
        <v>1</v>
      </c>
      <c r="N267" s="355">
        <v>2</v>
      </c>
    </row>
    <row r="268" spans="1:14" hidden="1" x14ac:dyDescent="0.25">
      <c r="A268" s="354">
        <v>0</v>
      </c>
      <c r="B268" s="354">
        <v>0</v>
      </c>
      <c r="C268" s="354">
        <v>0</v>
      </c>
      <c r="D268" s="354">
        <v>1</v>
      </c>
      <c r="E268" s="354">
        <v>0</v>
      </c>
      <c r="F268" s="354">
        <v>2</v>
      </c>
      <c r="G268" s="354">
        <v>0</v>
      </c>
      <c r="H268" s="354">
        <v>1</v>
      </c>
      <c r="I268" s="354">
        <v>1</v>
      </c>
      <c r="J268" s="354">
        <v>1</v>
      </c>
      <c r="K268" s="354">
        <v>0</v>
      </c>
      <c r="L268" s="354">
        <v>0</v>
      </c>
      <c r="M268" s="355">
        <v>1</v>
      </c>
      <c r="N268" s="355">
        <v>5</v>
      </c>
    </row>
    <row r="269" spans="1:14" hidden="1" x14ac:dyDescent="0.25">
      <c r="A269" s="354">
        <v>1</v>
      </c>
      <c r="B269" s="354">
        <v>0</v>
      </c>
      <c r="C269" s="354">
        <v>0</v>
      </c>
      <c r="D269" s="354">
        <v>0</v>
      </c>
      <c r="E269" s="354">
        <v>2</v>
      </c>
      <c r="F269" s="354">
        <v>1</v>
      </c>
      <c r="G269" s="354">
        <v>0</v>
      </c>
      <c r="H269" s="354">
        <v>0</v>
      </c>
      <c r="I269" s="354">
        <v>1</v>
      </c>
      <c r="J269" s="354">
        <v>4</v>
      </c>
      <c r="K269" s="354">
        <v>0</v>
      </c>
      <c r="L269" s="354">
        <v>0</v>
      </c>
      <c r="M269" s="355">
        <v>4</v>
      </c>
      <c r="N269" s="355">
        <v>5</v>
      </c>
    </row>
    <row r="270" spans="1:14" hidden="1" x14ac:dyDescent="0.25">
      <c r="A270" s="354">
        <v>0</v>
      </c>
      <c r="B270" s="354">
        <v>0</v>
      </c>
      <c r="C270" s="354">
        <v>0</v>
      </c>
      <c r="D270" s="354">
        <v>1</v>
      </c>
      <c r="E270" s="354">
        <v>0</v>
      </c>
      <c r="F270" s="354">
        <v>0</v>
      </c>
      <c r="G270" s="354">
        <v>0</v>
      </c>
      <c r="H270" s="354">
        <v>0</v>
      </c>
      <c r="I270" s="354">
        <v>4</v>
      </c>
      <c r="J270" s="354">
        <v>1</v>
      </c>
      <c r="K270" s="354">
        <v>0</v>
      </c>
      <c r="L270" s="354">
        <v>0</v>
      </c>
      <c r="M270" s="355">
        <v>4</v>
      </c>
      <c r="N270" s="355">
        <v>2</v>
      </c>
    </row>
    <row r="271" spans="1:14" hidden="1" x14ac:dyDescent="0.25">
      <c r="A271" s="354">
        <v>1</v>
      </c>
      <c r="B271" s="354">
        <v>1</v>
      </c>
      <c r="C271" s="354">
        <v>0</v>
      </c>
      <c r="D271" s="354">
        <v>1</v>
      </c>
      <c r="E271" s="354">
        <v>0</v>
      </c>
      <c r="F271" s="354">
        <v>1</v>
      </c>
      <c r="G271" s="354">
        <v>0</v>
      </c>
      <c r="H271" s="354">
        <v>0</v>
      </c>
      <c r="I271" s="354">
        <v>2</v>
      </c>
      <c r="J271" s="354">
        <v>2</v>
      </c>
      <c r="K271" s="354">
        <v>1</v>
      </c>
      <c r="L271" s="354">
        <v>0</v>
      </c>
      <c r="M271" s="355">
        <v>4</v>
      </c>
      <c r="N271" s="355">
        <v>5</v>
      </c>
    </row>
    <row r="272" spans="1:14" hidden="1" x14ac:dyDescent="0.25">
      <c r="A272" s="354">
        <v>1</v>
      </c>
      <c r="B272" s="354">
        <v>0</v>
      </c>
      <c r="C272" s="354">
        <v>2</v>
      </c>
      <c r="D272" s="354">
        <v>0</v>
      </c>
      <c r="E272" s="354">
        <v>2</v>
      </c>
      <c r="F272" s="354">
        <v>0</v>
      </c>
      <c r="G272" s="354">
        <v>0</v>
      </c>
      <c r="H272" s="354">
        <v>0</v>
      </c>
      <c r="I272" s="354">
        <v>0</v>
      </c>
      <c r="J272" s="354">
        <v>1</v>
      </c>
      <c r="K272" s="354">
        <v>0</v>
      </c>
      <c r="L272" s="354">
        <v>0</v>
      </c>
      <c r="M272" s="355">
        <v>5</v>
      </c>
      <c r="N272" s="355">
        <v>1</v>
      </c>
    </row>
    <row r="273" spans="1:14" hidden="1" x14ac:dyDescent="0.25">
      <c r="A273" s="354">
        <v>0</v>
      </c>
      <c r="B273" s="354">
        <v>0</v>
      </c>
      <c r="C273" s="354">
        <v>0</v>
      </c>
      <c r="D273" s="354">
        <v>0</v>
      </c>
      <c r="E273" s="354">
        <v>2</v>
      </c>
      <c r="F273" s="354">
        <v>2</v>
      </c>
      <c r="G273" s="354">
        <v>0</v>
      </c>
      <c r="H273" s="354">
        <v>2</v>
      </c>
      <c r="I273" s="354">
        <v>0</v>
      </c>
      <c r="J273" s="354">
        <v>1</v>
      </c>
      <c r="K273" s="354">
        <v>0</v>
      </c>
      <c r="L273" s="354">
        <v>0</v>
      </c>
      <c r="M273" s="355">
        <v>2</v>
      </c>
      <c r="N273" s="355">
        <v>5</v>
      </c>
    </row>
    <row r="274" spans="1:14" hidden="1" x14ac:dyDescent="0.25">
      <c r="A274" s="354">
        <v>0</v>
      </c>
      <c r="B274" s="354">
        <v>0</v>
      </c>
      <c r="C274" s="354">
        <v>0</v>
      </c>
      <c r="D274" s="354">
        <v>0</v>
      </c>
      <c r="E274" s="354">
        <v>0</v>
      </c>
      <c r="F274" s="354">
        <v>0</v>
      </c>
      <c r="G274" s="354">
        <v>0</v>
      </c>
      <c r="H274" s="354">
        <v>0</v>
      </c>
      <c r="I274" s="354">
        <v>0</v>
      </c>
      <c r="J274" s="354">
        <v>1</v>
      </c>
      <c r="K274" s="354">
        <v>0</v>
      </c>
      <c r="L274" s="354">
        <v>0</v>
      </c>
      <c r="M274" s="355">
        <v>0</v>
      </c>
      <c r="N274" s="355">
        <v>1</v>
      </c>
    </row>
    <row r="275" spans="1:14" hidden="1" x14ac:dyDescent="0.25">
      <c r="A275" s="354">
        <v>1</v>
      </c>
      <c r="B275" s="354">
        <v>0</v>
      </c>
      <c r="C275" s="354">
        <v>0</v>
      </c>
      <c r="D275" s="354">
        <v>2</v>
      </c>
      <c r="E275" s="354">
        <v>1</v>
      </c>
      <c r="F275" s="354">
        <v>1</v>
      </c>
      <c r="G275" s="354">
        <v>0</v>
      </c>
      <c r="H275" s="354">
        <v>0</v>
      </c>
      <c r="I275" s="354">
        <v>0</v>
      </c>
      <c r="J275" s="354">
        <v>0</v>
      </c>
      <c r="K275" s="354">
        <v>0</v>
      </c>
      <c r="L275" s="354">
        <v>0</v>
      </c>
      <c r="M275" s="355">
        <v>2</v>
      </c>
      <c r="N275" s="355">
        <v>3</v>
      </c>
    </row>
    <row r="276" spans="1:14" hidden="1" x14ac:dyDescent="0.25">
      <c r="A276" s="354">
        <v>0</v>
      </c>
      <c r="B276" s="354">
        <v>0</v>
      </c>
      <c r="C276" s="354">
        <v>0</v>
      </c>
      <c r="D276" s="354">
        <v>0</v>
      </c>
      <c r="E276" s="354">
        <v>0</v>
      </c>
      <c r="F276" s="354">
        <v>0</v>
      </c>
      <c r="G276" s="354">
        <v>0</v>
      </c>
      <c r="H276" s="354">
        <v>0</v>
      </c>
      <c r="I276" s="354">
        <v>0</v>
      </c>
      <c r="J276" s="354">
        <v>1</v>
      </c>
      <c r="K276" s="354">
        <v>0</v>
      </c>
      <c r="L276" s="354">
        <v>0</v>
      </c>
      <c r="M276" s="355">
        <v>0</v>
      </c>
      <c r="N276" s="355">
        <v>1</v>
      </c>
    </row>
    <row r="277" spans="1:14" hidden="1" x14ac:dyDescent="0.25">
      <c r="A277" s="354">
        <v>0</v>
      </c>
      <c r="B277" s="354">
        <v>0</v>
      </c>
      <c r="C277" s="354">
        <v>0</v>
      </c>
      <c r="D277" s="354">
        <v>0</v>
      </c>
      <c r="E277" s="354">
        <v>0</v>
      </c>
      <c r="F277" s="354">
        <v>0</v>
      </c>
      <c r="G277" s="354">
        <v>0</v>
      </c>
      <c r="H277" s="354">
        <v>0</v>
      </c>
      <c r="I277" s="354">
        <v>2</v>
      </c>
      <c r="J277" s="354">
        <v>0</v>
      </c>
      <c r="K277" s="354">
        <v>0</v>
      </c>
      <c r="L277" s="354">
        <v>0</v>
      </c>
      <c r="M277" s="355">
        <v>2</v>
      </c>
      <c r="N277" s="355">
        <v>0</v>
      </c>
    </row>
    <row r="278" spans="1:14" hidden="1" x14ac:dyDescent="0.25">
      <c r="A278" s="354">
        <v>0</v>
      </c>
      <c r="B278" s="354">
        <v>1</v>
      </c>
      <c r="C278" s="354">
        <v>0</v>
      </c>
      <c r="D278" s="354">
        <v>1</v>
      </c>
      <c r="E278" s="354">
        <v>1</v>
      </c>
      <c r="F278" s="354">
        <v>1</v>
      </c>
      <c r="G278" s="354">
        <v>0</v>
      </c>
      <c r="H278" s="354">
        <v>0</v>
      </c>
      <c r="I278" s="354">
        <v>1</v>
      </c>
      <c r="J278" s="354">
        <v>0</v>
      </c>
      <c r="K278" s="354">
        <v>0</v>
      </c>
      <c r="L278" s="354">
        <v>0</v>
      </c>
      <c r="M278" s="355">
        <v>2</v>
      </c>
      <c r="N278" s="355">
        <v>3</v>
      </c>
    </row>
    <row r="279" spans="1:14" hidden="1" x14ac:dyDescent="0.25">
      <c r="A279" s="354">
        <v>0</v>
      </c>
      <c r="B279" s="354">
        <v>0</v>
      </c>
      <c r="C279" s="354">
        <v>0</v>
      </c>
      <c r="D279" s="354">
        <v>0</v>
      </c>
      <c r="E279" s="354">
        <v>0</v>
      </c>
      <c r="F279" s="354">
        <v>0</v>
      </c>
      <c r="G279" s="354">
        <v>1</v>
      </c>
      <c r="H279" s="354">
        <v>1</v>
      </c>
      <c r="I279" s="354">
        <v>0</v>
      </c>
      <c r="J279" s="354">
        <v>1</v>
      </c>
      <c r="K279" s="354">
        <v>0</v>
      </c>
      <c r="L279" s="354">
        <v>0</v>
      </c>
      <c r="M279" s="355">
        <v>1</v>
      </c>
      <c r="N279" s="355">
        <v>2</v>
      </c>
    </row>
    <row r="280" spans="1:14" hidden="1" x14ac:dyDescent="0.25">
      <c r="A280" s="354">
        <v>0</v>
      </c>
      <c r="B280" s="354">
        <v>0</v>
      </c>
      <c r="C280" s="354">
        <v>1</v>
      </c>
      <c r="D280" s="354">
        <v>1</v>
      </c>
      <c r="E280" s="354">
        <v>0</v>
      </c>
      <c r="F280" s="354">
        <v>1</v>
      </c>
      <c r="G280" s="354">
        <v>0</v>
      </c>
      <c r="H280" s="354">
        <v>0</v>
      </c>
      <c r="I280" s="354">
        <v>0</v>
      </c>
      <c r="J280" s="354">
        <v>2</v>
      </c>
      <c r="K280" s="354">
        <v>0</v>
      </c>
      <c r="L280" s="354">
        <v>0</v>
      </c>
      <c r="M280" s="355">
        <v>1</v>
      </c>
      <c r="N280" s="355">
        <v>4</v>
      </c>
    </row>
    <row r="281" spans="1:14" hidden="1" x14ac:dyDescent="0.25">
      <c r="A281" s="354">
        <v>1</v>
      </c>
      <c r="B281" s="354">
        <v>0</v>
      </c>
      <c r="C281" s="354">
        <v>0</v>
      </c>
      <c r="D281" s="354">
        <v>0</v>
      </c>
      <c r="E281" s="354">
        <v>2</v>
      </c>
      <c r="F281" s="354">
        <v>0</v>
      </c>
      <c r="G281" s="354">
        <v>1</v>
      </c>
      <c r="H281" s="354">
        <v>1</v>
      </c>
      <c r="I281" s="354">
        <v>1</v>
      </c>
      <c r="J281" s="354">
        <v>0</v>
      </c>
      <c r="K281" s="354">
        <v>0</v>
      </c>
      <c r="L281" s="354">
        <v>0</v>
      </c>
      <c r="M281" s="355">
        <v>5</v>
      </c>
      <c r="N281" s="355">
        <v>1</v>
      </c>
    </row>
    <row r="282" spans="1:14" hidden="1" x14ac:dyDescent="0.25">
      <c r="A282" s="354">
        <v>0</v>
      </c>
      <c r="B282" s="354">
        <v>0</v>
      </c>
      <c r="C282" s="354">
        <v>0</v>
      </c>
      <c r="D282" s="354">
        <v>0</v>
      </c>
      <c r="E282" s="354">
        <v>1</v>
      </c>
      <c r="F282" s="354">
        <v>0</v>
      </c>
      <c r="G282" s="354">
        <v>1</v>
      </c>
      <c r="H282" s="354">
        <v>0</v>
      </c>
      <c r="I282" s="354">
        <v>0</v>
      </c>
      <c r="J282" s="354">
        <v>0</v>
      </c>
      <c r="K282" s="354">
        <v>0</v>
      </c>
      <c r="L282" s="354">
        <v>0</v>
      </c>
      <c r="M282" s="355">
        <v>2</v>
      </c>
      <c r="N282" s="355">
        <v>0</v>
      </c>
    </row>
    <row r="283" spans="1:14" hidden="1" x14ac:dyDescent="0.25">
      <c r="A283" s="354">
        <v>1</v>
      </c>
      <c r="B283" s="354">
        <v>0</v>
      </c>
      <c r="C283" s="354">
        <v>1</v>
      </c>
      <c r="D283" s="354">
        <v>0</v>
      </c>
      <c r="E283" s="354">
        <v>0</v>
      </c>
      <c r="F283" s="354">
        <v>0</v>
      </c>
      <c r="G283" s="354">
        <v>0</v>
      </c>
      <c r="H283" s="354">
        <v>0</v>
      </c>
      <c r="I283" s="354">
        <v>0</v>
      </c>
      <c r="J283" s="354">
        <v>1</v>
      </c>
      <c r="K283" s="354">
        <v>0</v>
      </c>
      <c r="L283" s="354">
        <v>0</v>
      </c>
      <c r="M283" s="355">
        <v>2</v>
      </c>
      <c r="N283" s="355">
        <v>1</v>
      </c>
    </row>
    <row r="284" spans="1:14" hidden="1" x14ac:dyDescent="0.25">
      <c r="A284" s="354">
        <v>1</v>
      </c>
      <c r="B284" s="354">
        <v>0</v>
      </c>
      <c r="C284" s="354">
        <v>1</v>
      </c>
      <c r="D284" s="354">
        <v>0</v>
      </c>
      <c r="E284" s="354">
        <v>0</v>
      </c>
      <c r="F284" s="354">
        <v>0</v>
      </c>
      <c r="G284" s="354">
        <v>0</v>
      </c>
      <c r="H284" s="354">
        <v>1</v>
      </c>
      <c r="I284" s="354">
        <v>1</v>
      </c>
      <c r="J284" s="354">
        <v>3</v>
      </c>
      <c r="K284" s="354">
        <v>0</v>
      </c>
      <c r="L284" s="354">
        <v>0</v>
      </c>
      <c r="M284" s="355">
        <v>3</v>
      </c>
      <c r="N284" s="355">
        <v>4</v>
      </c>
    </row>
    <row r="285" spans="1:14" hidden="1" x14ac:dyDescent="0.25">
      <c r="A285" s="354">
        <v>1</v>
      </c>
      <c r="B285" s="354">
        <v>0</v>
      </c>
      <c r="C285" s="354">
        <v>0</v>
      </c>
      <c r="D285" s="354">
        <v>1</v>
      </c>
      <c r="E285" s="354">
        <v>0</v>
      </c>
      <c r="F285" s="354">
        <v>1</v>
      </c>
      <c r="G285" s="354">
        <v>1</v>
      </c>
      <c r="H285" s="354">
        <v>0</v>
      </c>
      <c r="I285" s="354">
        <v>0</v>
      </c>
      <c r="J285" s="354">
        <v>2</v>
      </c>
      <c r="K285" s="354">
        <v>0</v>
      </c>
      <c r="L285" s="354">
        <v>0</v>
      </c>
      <c r="M285" s="355">
        <v>2</v>
      </c>
      <c r="N285" s="355">
        <v>4</v>
      </c>
    </row>
    <row r="286" spans="1:14" hidden="1" x14ac:dyDescent="0.25">
      <c r="A286" s="354">
        <v>0</v>
      </c>
      <c r="B286" s="354">
        <v>0</v>
      </c>
      <c r="C286" s="354">
        <v>0</v>
      </c>
      <c r="D286" s="354">
        <v>1</v>
      </c>
      <c r="E286" s="354">
        <v>3</v>
      </c>
      <c r="F286" s="354">
        <v>0</v>
      </c>
      <c r="G286" s="354">
        <v>0</v>
      </c>
      <c r="H286" s="354">
        <v>0</v>
      </c>
      <c r="I286" s="354">
        <v>0</v>
      </c>
      <c r="J286" s="354">
        <v>2</v>
      </c>
      <c r="K286" s="354">
        <v>0</v>
      </c>
      <c r="L286" s="354">
        <v>0</v>
      </c>
      <c r="M286" s="355">
        <v>3</v>
      </c>
      <c r="N286" s="355">
        <v>3</v>
      </c>
    </row>
    <row r="287" spans="1:14" hidden="1" x14ac:dyDescent="0.25">
      <c r="A287" s="354">
        <v>0</v>
      </c>
      <c r="B287" s="354">
        <v>1</v>
      </c>
      <c r="C287" s="354">
        <v>2</v>
      </c>
      <c r="D287" s="354">
        <v>0</v>
      </c>
      <c r="E287" s="354">
        <v>1</v>
      </c>
      <c r="F287" s="354">
        <v>2</v>
      </c>
      <c r="G287" s="354">
        <v>0</v>
      </c>
      <c r="H287" s="354">
        <v>1</v>
      </c>
      <c r="I287" s="354">
        <v>0</v>
      </c>
      <c r="J287" s="354">
        <v>1</v>
      </c>
      <c r="K287" s="354">
        <v>0</v>
      </c>
      <c r="L287" s="354">
        <v>0</v>
      </c>
      <c r="M287" s="355">
        <v>3</v>
      </c>
      <c r="N287" s="355">
        <v>5</v>
      </c>
    </row>
    <row r="288" spans="1:14" hidden="1" x14ac:dyDescent="0.25">
      <c r="A288" s="354">
        <v>1</v>
      </c>
      <c r="B288" s="354">
        <v>0</v>
      </c>
      <c r="C288" s="354">
        <v>2</v>
      </c>
      <c r="D288" s="354">
        <v>0</v>
      </c>
      <c r="E288" s="354">
        <v>1</v>
      </c>
      <c r="F288" s="354">
        <v>1</v>
      </c>
      <c r="G288" s="354">
        <v>0</v>
      </c>
      <c r="H288" s="354">
        <v>0</v>
      </c>
      <c r="I288" s="354">
        <v>0</v>
      </c>
      <c r="J288" s="354">
        <v>1</v>
      </c>
      <c r="K288" s="354">
        <v>0</v>
      </c>
      <c r="L288" s="354">
        <v>0</v>
      </c>
      <c r="M288" s="355">
        <v>4</v>
      </c>
      <c r="N288" s="355">
        <v>2</v>
      </c>
    </row>
    <row r="289" spans="1:14" hidden="1" x14ac:dyDescent="0.25">
      <c r="A289" s="354">
        <v>0</v>
      </c>
      <c r="B289" s="354">
        <v>2</v>
      </c>
      <c r="C289" s="354">
        <v>2</v>
      </c>
      <c r="D289" s="354">
        <v>1</v>
      </c>
      <c r="E289" s="354">
        <v>0</v>
      </c>
      <c r="F289" s="354">
        <v>0</v>
      </c>
      <c r="G289" s="354">
        <v>0</v>
      </c>
      <c r="H289" s="354">
        <v>0</v>
      </c>
      <c r="I289" s="354">
        <v>2</v>
      </c>
      <c r="J289" s="354">
        <v>6</v>
      </c>
      <c r="K289" s="354">
        <v>0</v>
      </c>
      <c r="L289" s="354">
        <v>0</v>
      </c>
      <c r="M289" s="355">
        <v>4</v>
      </c>
      <c r="N289" s="355">
        <v>9</v>
      </c>
    </row>
    <row r="290" spans="1:14" hidden="1" x14ac:dyDescent="0.25">
      <c r="A290" s="354">
        <v>1</v>
      </c>
      <c r="B290" s="354">
        <v>0</v>
      </c>
      <c r="C290" s="354">
        <v>0</v>
      </c>
      <c r="D290" s="354">
        <v>2</v>
      </c>
      <c r="E290" s="354">
        <v>1</v>
      </c>
      <c r="F290" s="354">
        <v>0</v>
      </c>
      <c r="G290" s="354">
        <v>2</v>
      </c>
      <c r="H290" s="354">
        <v>0</v>
      </c>
      <c r="I290" s="354">
        <v>1</v>
      </c>
      <c r="J290" s="354">
        <v>0</v>
      </c>
      <c r="K290" s="354">
        <v>0</v>
      </c>
      <c r="L290" s="354">
        <v>1</v>
      </c>
      <c r="M290" s="355">
        <v>5</v>
      </c>
      <c r="N290" s="355">
        <v>3</v>
      </c>
    </row>
    <row r="291" spans="1:14" hidden="1" x14ac:dyDescent="0.25">
      <c r="A291" s="354">
        <v>1</v>
      </c>
      <c r="B291" s="354">
        <v>1</v>
      </c>
      <c r="C291" s="354">
        <v>3</v>
      </c>
      <c r="D291" s="354">
        <v>0</v>
      </c>
      <c r="E291" s="354">
        <v>1</v>
      </c>
      <c r="F291" s="354">
        <v>0</v>
      </c>
      <c r="G291" s="354">
        <v>1</v>
      </c>
      <c r="H291" s="354">
        <v>0</v>
      </c>
      <c r="I291" s="354">
        <v>0</v>
      </c>
      <c r="J291" s="354">
        <v>4</v>
      </c>
      <c r="K291" s="354">
        <v>0</v>
      </c>
      <c r="L291" s="354">
        <v>0</v>
      </c>
      <c r="M291" s="355">
        <v>6</v>
      </c>
      <c r="N291" s="355">
        <v>5</v>
      </c>
    </row>
    <row r="292" spans="1:14" hidden="1" x14ac:dyDescent="0.25">
      <c r="A292" s="354">
        <v>0</v>
      </c>
      <c r="B292" s="354">
        <v>1</v>
      </c>
      <c r="C292" s="354">
        <v>2</v>
      </c>
      <c r="D292" s="354">
        <v>0</v>
      </c>
      <c r="E292" s="354">
        <v>2</v>
      </c>
      <c r="F292" s="354">
        <v>0</v>
      </c>
      <c r="G292" s="354">
        <v>0</v>
      </c>
      <c r="H292" s="354">
        <v>0</v>
      </c>
      <c r="I292" s="354">
        <v>3</v>
      </c>
      <c r="J292" s="354">
        <v>2</v>
      </c>
      <c r="K292" s="354">
        <v>0</v>
      </c>
      <c r="L292" s="354">
        <v>0</v>
      </c>
      <c r="M292" s="355">
        <v>7</v>
      </c>
      <c r="N292" s="355">
        <v>3</v>
      </c>
    </row>
    <row r="293" spans="1:14" hidden="1" x14ac:dyDescent="0.25">
      <c r="A293" s="354">
        <v>1</v>
      </c>
      <c r="B293" s="354">
        <v>0</v>
      </c>
      <c r="C293" s="354">
        <v>2</v>
      </c>
      <c r="D293" s="354">
        <v>1</v>
      </c>
      <c r="E293" s="354">
        <v>1</v>
      </c>
      <c r="F293" s="354">
        <v>1</v>
      </c>
      <c r="G293" s="354">
        <v>0</v>
      </c>
      <c r="H293" s="354">
        <v>0</v>
      </c>
      <c r="I293" s="354">
        <v>0</v>
      </c>
      <c r="J293" s="354">
        <v>1</v>
      </c>
      <c r="K293" s="354">
        <v>0</v>
      </c>
      <c r="L293" s="354">
        <v>0</v>
      </c>
      <c r="M293" s="355">
        <v>4</v>
      </c>
      <c r="N293" s="355">
        <v>3</v>
      </c>
    </row>
    <row r="294" spans="1:14" hidden="1" x14ac:dyDescent="0.25">
      <c r="A294" s="354">
        <v>0</v>
      </c>
      <c r="B294" s="354">
        <v>0</v>
      </c>
      <c r="C294" s="354">
        <v>0</v>
      </c>
      <c r="D294" s="354">
        <v>0</v>
      </c>
      <c r="E294" s="354">
        <v>1</v>
      </c>
      <c r="F294" s="354">
        <v>0</v>
      </c>
      <c r="G294" s="354">
        <v>0</v>
      </c>
      <c r="H294" s="354">
        <v>0</v>
      </c>
      <c r="I294" s="354">
        <v>1</v>
      </c>
      <c r="J294" s="354">
        <v>1</v>
      </c>
      <c r="K294" s="354">
        <v>0</v>
      </c>
      <c r="L294" s="354">
        <v>0</v>
      </c>
      <c r="M294" s="355">
        <v>2</v>
      </c>
      <c r="N294" s="355">
        <v>1</v>
      </c>
    </row>
    <row r="295" spans="1:14" hidden="1" x14ac:dyDescent="0.25">
      <c r="A295" s="354">
        <v>0</v>
      </c>
      <c r="B295" s="354">
        <v>1</v>
      </c>
      <c r="C295" s="354">
        <v>2</v>
      </c>
      <c r="D295" s="354">
        <v>0</v>
      </c>
      <c r="E295" s="354">
        <v>1</v>
      </c>
      <c r="F295" s="354">
        <v>0</v>
      </c>
      <c r="G295" s="354">
        <v>2</v>
      </c>
      <c r="H295" s="354">
        <v>0</v>
      </c>
      <c r="I295" s="354">
        <v>0</v>
      </c>
      <c r="J295" s="354">
        <v>2</v>
      </c>
      <c r="K295" s="354">
        <v>0</v>
      </c>
      <c r="L295" s="354">
        <v>0</v>
      </c>
      <c r="M295" s="355">
        <v>5</v>
      </c>
      <c r="N295" s="355">
        <v>3</v>
      </c>
    </row>
    <row r="296" spans="1:14" hidden="1" x14ac:dyDescent="0.25">
      <c r="A296" s="354">
        <v>0</v>
      </c>
      <c r="B296" s="354">
        <v>0</v>
      </c>
      <c r="C296" s="354">
        <v>0</v>
      </c>
      <c r="D296" s="354">
        <v>0</v>
      </c>
      <c r="E296" s="354">
        <v>0</v>
      </c>
      <c r="F296" s="354">
        <v>0</v>
      </c>
      <c r="G296" s="354">
        <v>1</v>
      </c>
      <c r="H296" s="354">
        <v>2</v>
      </c>
      <c r="I296" s="354">
        <v>0</v>
      </c>
      <c r="J296" s="354">
        <v>1</v>
      </c>
      <c r="K296" s="354">
        <v>0</v>
      </c>
      <c r="L296" s="354">
        <v>0</v>
      </c>
      <c r="M296" s="355">
        <v>1</v>
      </c>
      <c r="N296" s="355">
        <v>3</v>
      </c>
    </row>
    <row r="297" spans="1:14" hidden="1" x14ac:dyDescent="0.25">
      <c r="A297" s="354">
        <v>0</v>
      </c>
      <c r="B297" s="354">
        <v>0</v>
      </c>
      <c r="C297" s="354">
        <v>0</v>
      </c>
      <c r="D297" s="354">
        <v>0</v>
      </c>
      <c r="E297" s="354">
        <v>1</v>
      </c>
      <c r="F297" s="354">
        <v>1</v>
      </c>
      <c r="G297" s="354">
        <v>0</v>
      </c>
      <c r="H297" s="354">
        <v>1</v>
      </c>
      <c r="I297" s="354">
        <v>4</v>
      </c>
      <c r="J297" s="354">
        <v>2</v>
      </c>
      <c r="K297" s="354">
        <v>0</v>
      </c>
      <c r="L297" s="354">
        <v>1</v>
      </c>
      <c r="M297" s="355">
        <v>5</v>
      </c>
      <c r="N297" s="355">
        <v>5</v>
      </c>
    </row>
    <row r="298" spans="1:14" hidden="1" x14ac:dyDescent="0.25">
      <c r="A298" s="354">
        <v>0</v>
      </c>
      <c r="B298" s="354">
        <v>0</v>
      </c>
      <c r="C298" s="354">
        <v>0</v>
      </c>
      <c r="D298" s="354">
        <v>0</v>
      </c>
      <c r="E298" s="354">
        <v>0</v>
      </c>
      <c r="F298" s="354">
        <v>0</v>
      </c>
      <c r="G298" s="354">
        <v>0</v>
      </c>
      <c r="H298" s="354">
        <v>0</v>
      </c>
      <c r="I298" s="354">
        <v>0</v>
      </c>
      <c r="J298" s="354">
        <v>4</v>
      </c>
      <c r="K298" s="354">
        <v>1</v>
      </c>
      <c r="L298" s="354">
        <v>0</v>
      </c>
      <c r="M298" s="355">
        <v>1</v>
      </c>
      <c r="N298" s="355">
        <v>4</v>
      </c>
    </row>
    <row r="299" spans="1:14" hidden="1" x14ac:dyDescent="0.25">
      <c r="A299" s="354">
        <v>0</v>
      </c>
      <c r="B299" s="354">
        <v>0</v>
      </c>
      <c r="C299" s="354">
        <v>0</v>
      </c>
      <c r="D299" s="354">
        <v>0</v>
      </c>
      <c r="E299" s="354">
        <v>1</v>
      </c>
      <c r="F299" s="354">
        <v>1</v>
      </c>
      <c r="G299" s="354">
        <v>0</v>
      </c>
      <c r="H299" s="354">
        <v>2</v>
      </c>
      <c r="I299" s="354">
        <v>2</v>
      </c>
      <c r="J299" s="354">
        <v>1</v>
      </c>
      <c r="K299" s="354">
        <v>0</v>
      </c>
      <c r="L299" s="354">
        <v>0</v>
      </c>
      <c r="M299" s="355">
        <v>3</v>
      </c>
      <c r="N299" s="355">
        <v>4</v>
      </c>
    </row>
    <row r="300" spans="1:14" hidden="1" x14ac:dyDescent="0.25">
      <c r="A300" s="354">
        <v>0</v>
      </c>
      <c r="B300" s="354">
        <v>0</v>
      </c>
      <c r="C300" s="354">
        <v>0</v>
      </c>
      <c r="D300" s="354">
        <v>0</v>
      </c>
      <c r="E300" s="354">
        <v>0</v>
      </c>
      <c r="F300" s="354">
        <v>1</v>
      </c>
      <c r="G300" s="354">
        <v>3</v>
      </c>
      <c r="H300" s="354">
        <v>0</v>
      </c>
      <c r="I300" s="354">
        <v>4</v>
      </c>
      <c r="J300" s="354">
        <v>2</v>
      </c>
      <c r="K300" s="354">
        <v>0</v>
      </c>
      <c r="L300" s="354">
        <v>0</v>
      </c>
      <c r="M300" s="355">
        <v>7</v>
      </c>
      <c r="N300" s="355">
        <v>3</v>
      </c>
    </row>
    <row r="301" spans="1:14" hidden="1" x14ac:dyDescent="0.25">
      <c r="A301" s="354">
        <v>0</v>
      </c>
      <c r="B301" s="354">
        <v>1</v>
      </c>
      <c r="C301" s="354">
        <v>2</v>
      </c>
      <c r="D301" s="354">
        <v>1</v>
      </c>
      <c r="E301" s="354">
        <v>0</v>
      </c>
      <c r="F301" s="354">
        <v>0</v>
      </c>
      <c r="G301" s="354">
        <v>2</v>
      </c>
      <c r="H301" s="354">
        <v>0</v>
      </c>
      <c r="I301" s="354">
        <v>1</v>
      </c>
      <c r="J301" s="354">
        <v>1</v>
      </c>
      <c r="K301" s="354">
        <v>0</v>
      </c>
      <c r="L301" s="354">
        <v>0</v>
      </c>
      <c r="M301" s="355">
        <v>5</v>
      </c>
      <c r="N301" s="355">
        <v>3</v>
      </c>
    </row>
    <row r="302" spans="1:14" hidden="1" x14ac:dyDescent="0.25">
      <c r="A302" s="354">
        <v>0</v>
      </c>
      <c r="B302" s="354">
        <v>0</v>
      </c>
      <c r="C302" s="354">
        <v>2</v>
      </c>
      <c r="D302" s="354">
        <v>2</v>
      </c>
      <c r="E302" s="354">
        <v>1</v>
      </c>
      <c r="F302" s="354">
        <v>0</v>
      </c>
      <c r="G302" s="354">
        <v>0</v>
      </c>
      <c r="H302" s="354">
        <v>0</v>
      </c>
      <c r="I302" s="354">
        <v>1</v>
      </c>
      <c r="J302" s="354">
        <v>1</v>
      </c>
      <c r="K302" s="354">
        <v>0</v>
      </c>
      <c r="L302" s="354">
        <v>0</v>
      </c>
      <c r="M302" s="355">
        <v>4</v>
      </c>
      <c r="N302" s="355">
        <v>3</v>
      </c>
    </row>
    <row r="303" spans="1:14" hidden="1" x14ac:dyDescent="0.25">
      <c r="A303" s="354">
        <v>0</v>
      </c>
      <c r="B303" s="354">
        <v>0</v>
      </c>
      <c r="C303" s="354">
        <v>1</v>
      </c>
      <c r="D303" s="354">
        <v>0</v>
      </c>
      <c r="E303" s="354">
        <v>1</v>
      </c>
      <c r="F303" s="354">
        <v>1</v>
      </c>
      <c r="G303" s="354">
        <v>2</v>
      </c>
      <c r="H303" s="354">
        <v>0</v>
      </c>
      <c r="I303" s="354">
        <v>5</v>
      </c>
      <c r="J303" s="354">
        <v>3</v>
      </c>
      <c r="K303" s="354">
        <v>0</v>
      </c>
      <c r="L303" s="354">
        <v>0</v>
      </c>
      <c r="M303" s="355">
        <v>9</v>
      </c>
      <c r="N303" s="355">
        <v>4</v>
      </c>
    </row>
    <row r="304" spans="1:14" hidden="1" x14ac:dyDescent="0.25">
      <c r="A304" s="354">
        <v>1</v>
      </c>
      <c r="B304" s="354">
        <v>2</v>
      </c>
      <c r="C304" s="354">
        <v>2</v>
      </c>
      <c r="D304" s="354">
        <v>1</v>
      </c>
      <c r="E304" s="354">
        <v>2</v>
      </c>
      <c r="F304" s="354">
        <v>1</v>
      </c>
      <c r="G304" s="354">
        <v>1</v>
      </c>
      <c r="H304" s="354">
        <v>2</v>
      </c>
      <c r="I304" s="354">
        <v>3</v>
      </c>
      <c r="J304" s="354">
        <v>3</v>
      </c>
      <c r="K304" s="354">
        <v>1</v>
      </c>
      <c r="L304" s="354">
        <v>1</v>
      </c>
      <c r="M304" s="355">
        <v>10</v>
      </c>
      <c r="N304" s="355">
        <v>10</v>
      </c>
    </row>
    <row r="305" spans="1:14" hidden="1" x14ac:dyDescent="0.25">
      <c r="A305" s="354">
        <v>0</v>
      </c>
      <c r="B305" s="354">
        <v>0</v>
      </c>
      <c r="C305" s="354">
        <v>0</v>
      </c>
      <c r="D305" s="354">
        <v>1</v>
      </c>
      <c r="E305" s="354">
        <v>1</v>
      </c>
      <c r="F305" s="354">
        <v>1</v>
      </c>
      <c r="G305" s="354">
        <v>1</v>
      </c>
      <c r="H305" s="354">
        <v>0</v>
      </c>
      <c r="I305" s="354">
        <v>1</v>
      </c>
      <c r="J305" s="354">
        <v>2</v>
      </c>
      <c r="K305" s="354">
        <v>1</v>
      </c>
      <c r="L305" s="354">
        <v>0</v>
      </c>
      <c r="M305" s="355">
        <v>4</v>
      </c>
      <c r="N305" s="355">
        <v>4</v>
      </c>
    </row>
    <row r="306" spans="1:14" hidden="1" x14ac:dyDescent="0.25">
      <c r="A306" s="354">
        <v>1</v>
      </c>
      <c r="B306" s="354">
        <v>0</v>
      </c>
      <c r="C306" s="354">
        <v>1</v>
      </c>
      <c r="D306" s="354">
        <v>1</v>
      </c>
      <c r="E306" s="354">
        <v>1</v>
      </c>
      <c r="F306" s="354">
        <v>1</v>
      </c>
      <c r="G306" s="354">
        <v>1</v>
      </c>
      <c r="H306" s="354">
        <v>0</v>
      </c>
      <c r="I306" s="354">
        <v>1</v>
      </c>
      <c r="J306" s="354">
        <v>1</v>
      </c>
      <c r="K306" s="354">
        <v>0</v>
      </c>
      <c r="L306" s="354">
        <v>0</v>
      </c>
      <c r="M306" s="355">
        <v>5</v>
      </c>
      <c r="N306" s="355">
        <v>3</v>
      </c>
    </row>
    <row r="307" spans="1:14" hidden="1" x14ac:dyDescent="0.25">
      <c r="A307" s="354">
        <v>2</v>
      </c>
      <c r="B307" s="354">
        <v>1</v>
      </c>
      <c r="C307" s="354">
        <v>2</v>
      </c>
      <c r="D307" s="354">
        <v>2</v>
      </c>
      <c r="E307" s="354">
        <v>3</v>
      </c>
      <c r="F307" s="354">
        <v>1</v>
      </c>
      <c r="G307" s="354">
        <v>1</v>
      </c>
      <c r="H307" s="354">
        <v>0</v>
      </c>
      <c r="I307" s="354">
        <v>1</v>
      </c>
      <c r="J307" s="354">
        <v>4</v>
      </c>
      <c r="K307" s="354">
        <v>0</v>
      </c>
      <c r="L307" s="354">
        <v>0</v>
      </c>
      <c r="M307" s="355">
        <v>9</v>
      </c>
      <c r="N307" s="355">
        <v>8</v>
      </c>
    </row>
    <row r="308" spans="1:14" hidden="1" x14ac:dyDescent="0.25">
      <c r="A308" s="354">
        <v>0</v>
      </c>
      <c r="B308" s="354">
        <v>0</v>
      </c>
      <c r="C308" s="354">
        <v>0</v>
      </c>
      <c r="D308" s="354">
        <v>2</v>
      </c>
      <c r="E308" s="354">
        <v>2</v>
      </c>
      <c r="F308" s="354">
        <v>0</v>
      </c>
      <c r="G308" s="354">
        <v>0</v>
      </c>
      <c r="H308" s="354">
        <v>1</v>
      </c>
      <c r="I308" s="354">
        <v>1</v>
      </c>
      <c r="J308" s="354">
        <v>1</v>
      </c>
      <c r="K308" s="354">
        <v>1</v>
      </c>
      <c r="L308" s="354">
        <v>0</v>
      </c>
      <c r="M308" s="355">
        <v>4</v>
      </c>
      <c r="N308" s="355">
        <v>4</v>
      </c>
    </row>
    <row r="309" spans="1:14" hidden="1" x14ac:dyDescent="0.25">
      <c r="A309" s="354">
        <v>0</v>
      </c>
      <c r="B309" s="354">
        <v>0</v>
      </c>
      <c r="C309" s="354">
        <v>0</v>
      </c>
      <c r="D309" s="354">
        <v>0</v>
      </c>
      <c r="E309" s="354">
        <v>0</v>
      </c>
      <c r="F309" s="354">
        <v>0</v>
      </c>
      <c r="G309" s="354">
        <v>2</v>
      </c>
      <c r="H309" s="354">
        <v>2</v>
      </c>
      <c r="I309" s="354">
        <v>3</v>
      </c>
      <c r="J309" s="354">
        <v>1</v>
      </c>
      <c r="K309" s="354">
        <v>1</v>
      </c>
      <c r="L309" s="354">
        <v>0</v>
      </c>
      <c r="M309" s="355">
        <v>6</v>
      </c>
      <c r="N309" s="355">
        <v>3</v>
      </c>
    </row>
    <row r="310" spans="1:14" hidden="1" x14ac:dyDescent="0.25">
      <c r="A310" s="354">
        <v>1</v>
      </c>
      <c r="B310" s="354">
        <v>2</v>
      </c>
      <c r="C310" s="354">
        <v>2</v>
      </c>
      <c r="D310" s="354">
        <v>1</v>
      </c>
      <c r="E310" s="354">
        <v>1</v>
      </c>
      <c r="F310" s="354">
        <v>5</v>
      </c>
      <c r="G310" s="354">
        <v>2</v>
      </c>
      <c r="H310" s="354">
        <v>0</v>
      </c>
      <c r="I310" s="354">
        <v>2</v>
      </c>
      <c r="J310" s="354">
        <v>3</v>
      </c>
      <c r="K310" s="354">
        <v>1</v>
      </c>
      <c r="L310" s="354">
        <v>0</v>
      </c>
      <c r="M310" s="355">
        <v>9</v>
      </c>
      <c r="N310" s="355">
        <v>11</v>
      </c>
    </row>
    <row r="311" spans="1:14" hidden="1" x14ac:dyDescent="0.25">
      <c r="A311" s="354">
        <v>1</v>
      </c>
      <c r="B311" s="354">
        <v>1</v>
      </c>
      <c r="C311" s="354">
        <v>2</v>
      </c>
      <c r="D311" s="354">
        <v>1</v>
      </c>
      <c r="E311" s="354">
        <v>5</v>
      </c>
      <c r="F311" s="354">
        <v>5</v>
      </c>
      <c r="G311" s="354">
        <v>0</v>
      </c>
      <c r="H311" s="354">
        <v>1</v>
      </c>
      <c r="I311" s="354">
        <v>4</v>
      </c>
      <c r="J311" s="354">
        <v>5</v>
      </c>
      <c r="K311" s="354">
        <v>0</v>
      </c>
      <c r="L311" s="354">
        <v>1</v>
      </c>
      <c r="M311" s="355">
        <v>12</v>
      </c>
      <c r="N311" s="355">
        <v>14</v>
      </c>
    </row>
    <row r="312" spans="1:14" hidden="1" x14ac:dyDescent="0.25">
      <c r="A312" s="354">
        <v>1</v>
      </c>
      <c r="B312" s="354">
        <v>0</v>
      </c>
      <c r="C312" s="354">
        <v>1</v>
      </c>
      <c r="D312" s="354">
        <v>0</v>
      </c>
      <c r="E312" s="354">
        <v>0</v>
      </c>
      <c r="F312" s="354">
        <v>1</v>
      </c>
      <c r="G312" s="354">
        <v>1</v>
      </c>
      <c r="H312" s="354">
        <v>1</v>
      </c>
      <c r="I312" s="354">
        <v>1</v>
      </c>
      <c r="J312" s="354">
        <v>1</v>
      </c>
      <c r="K312" s="354">
        <v>0</v>
      </c>
      <c r="L312" s="354">
        <v>0</v>
      </c>
      <c r="M312" s="355">
        <v>4</v>
      </c>
      <c r="N312" s="355">
        <v>3</v>
      </c>
    </row>
    <row r="313" spans="1:14" hidden="1" x14ac:dyDescent="0.25">
      <c r="A313" s="354">
        <v>0</v>
      </c>
      <c r="B313" s="354">
        <v>3</v>
      </c>
      <c r="C313" s="354">
        <v>3</v>
      </c>
      <c r="D313" s="354">
        <v>0</v>
      </c>
      <c r="E313" s="354">
        <v>2</v>
      </c>
      <c r="F313" s="354">
        <v>1</v>
      </c>
      <c r="G313" s="354">
        <v>1</v>
      </c>
      <c r="H313" s="354">
        <v>1</v>
      </c>
      <c r="I313" s="354">
        <v>1</v>
      </c>
      <c r="J313" s="354">
        <v>3</v>
      </c>
      <c r="K313" s="354">
        <v>0</v>
      </c>
      <c r="L313" s="354">
        <v>0</v>
      </c>
      <c r="M313" s="355">
        <v>7</v>
      </c>
      <c r="N313" s="355">
        <v>8</v>
      </c>
    </row>
    <row r="314" spans="1:14" hidden="1" x14ac:dyDescent="0.25">
      <c r="A314" s="354">
        <v>0</v>
      </c>
      <c r="B314" s="354">
        <v>1</v>
      </c>
      <c r="C314" s="354">
        <v>0</v>
      </c>
      <c r="D314" s="354">
        <v>0</v>
      </c>
      <c r="E314" s="354">
        <v>1</v>
      </c>
      <c r="F314" s="354">
        <v>0</v>
      </c>
      <c r="G314" s="354">
        <v>0</v>
      </c>
      <c r="H314" s="354">
        <v>0</v>
      </c>
      <c r="I314" s="354">
        <v>0</v>
      </c>
      <c r="J314" s="354">
        <v>1</v>
      </c>
      <c r="K314" s="354">
        <v>1</v>
      </c>
      <c r="L314" s="354">
        <v>0</v>
      </c>
      <c r="M314" s="355">
        <v>2</v>
      </c>
      <c r="N314" s="355">
        <v>2</v>
      </c>
    </row>
    <row r="315" spans="1:14" hidden="1" x14ac:dyDescent="0.25">
      <c r="A315" s="354">
        <v>0</v>
      </c>
      <c r="B315" s="354">
        <v>1</v>
      </c>
      <c r="C315" s="354">
        <v>0</v>
      </c>
      <c r="D315" s="354">
        <v>4</v>
      </c>
      <c r="E315" s="354">
        <v>1</v>
      </c>
      <c r="F315" s="354">
        <v>4</v>
      </c>
      <c r="G315" s="354">
        <v>1</v>
      </c>
      <c r="H315" s="354">
        <v>4</v>
      </c>
      <c r="I315" s="354">
        <v>4</v>
      </c>
      <c r="J315" s="354">
        <v>0</v>
      </c>
      <c r="K315" s="354">
        <v>1</v>
      </c>
      <c r="L315" s="354">
        <v>3</v>
      </c>
      <c r="M315" s="355">
        <v>7</v>
      </c>
      <c r="N315" s="355">
        <v>16</v>
      </c>
    </row>
    <row r="316" spans="1:14" hidden="1" x14ac:dyDescent="0.25">
      <c r="A316" s="354">
        <v>2</v>
      </c>
      <c r="B316" s="354">
        <v>1</v>
      </c>
      <c r="C316" s="354">
        <v>2</v>
      </c>
      <c r="D316" s="354">
        <v>1</v>
      </c>
      <c r="E316" s="354">
        <v>2</v>
      </c>
      <c r="F316" s="354">
        <v>2</v>
      </c>
      <c r="G316" s="354">
        <v>1</v>
      </c>
      <c r="H316" s="354">
        <v>0</v>
      </c>
      <c r="I316" s="354">
        <v>1</v>
      </c>
      <c r="J316" s="354">
        <v>2</v>
      </c>
      <c r="K316" s="354">
        <v>0</v>
      </c>
      <c r="L316" s="354">
        <v>0</v>
      </c>
      <c r="M316" s="355">
        <v>8</v>
      </c>
      <c r="N316" s="355">
        <v>6</v>
      </c>
    </row>
    <row r="317" spans="1:14" hidden="1" x14ac:dyDescent="0.25">
      <c r="A317" s="354">
        <v>1</v>
      </c>
      <c r="B317" s="354">
        <v>2</v>
      </c>
      <c r="C317" s="354">
        <v>1</v>
      </c>
      <c r="D317" s="354">
        <v>0</v>
      </c>
      <c r="E317" s="354">
        <v>1</v>
      </c>
      <c r="F317" s="354">
        <v>2</v>
      </c>
      <c r="G317" s="354">
        <v>0</v>
      </c>
      <c r="H317" s="354">
        <v>0</v>
      </c>
      <c r="I317" s="354">
        <v>1</v>
      </c>
      <c r="J317" s="354">
        <v>2</v>
      </c>
      <c r="K317" s="354">
        <v>0</v>
      </c>
      <c r="L317" s="354">
        <v>0</v>
      </c>
      <c r="M317" s="355">
        <v>4</v>
      </c>
      <c r="N317" s="355">
        <v>6</v>
      </c>
    </row>
    <row r="318" spans="1:14" hidden="1" x14ac:dyDescent="0.25">
      <c r="A318" s="354">
        <v>0</v>
      </c>
      <c r="B318" s="354">
        <v>0</v>
      </c>
      <c r="C318" s="354">
        <v>0</v>
      </c>
      <c r="D318" s="354">
        <v>0</v>
      </c>
      <c r="E318" s="354">
        <v>0</v>
      </c>
      <c r="F318" s="354">
        <v>0</v>
      </c>
      <c r="G318" s="354">
        <v>0</v>
      </c>
      <c r="H318" s="354">
        <v>0</v>
      </c>
      <c r="I318" s="354">
        <v>0</v>
      </c>
      <c r="J318" s="354">
        <v>0</v>
      </c>
      <c r="K318" s="354">
        <v>1</v>
      </c>
      <c r="L318" s="354">
        <v>0</v>
      </c>
      <c r="M318" s="355">
        <v>1</v>
      </c>
      <c r="N318" s="355">
        <v>0</v>
      </c>
    </row>
    <row r="319" spans="1:14" hidden="1" x14ac:dyDescent="0.25">
      <c r="A319" s="354">
        <v>1</v>
      </c>
      <c r="B319" s="354">
        <v>1</v>
      </c>
      <c r="C319" s="354">
        <v>0</v>
      </c>
      <c r="D319" s="354">
        <v>1</v>
      </c>
      <c r="E319" s="354">
        <v>1</v>
      </c>
      <c r="F319" s="354">
        <v>2</v>
      </c>
      <c r="G319" s="354">
        <v>1</v>
      </c>
      <c r="H319" s="354">
        <v>0</v>
      </c>
      <c r="I319" s="354">
        <v>3</v>
      </c>
      <c r="J319" s="354">
        <v>3</v>
      </c>
      <c r="K319" s="354">
        <v>1</v>
      </c>
      <c r="L319" s="354">
        <v>0</v>
      </c>
      <c r="M319" s="355">
        <v>7</v>
      </c>
      <c r="N319" s="355">
        <v>7</v>
      </c>
    </row>
    <row r="320" spans="1:14" hidden="1" x14ac:dyDescent="0.25">
      <c r="A320" s="354">
        <v>0</v>
      </c>
      <c r="B320" s="354">
        <v>1</v>
      </c>
      <c r="C320" s="354">
        <v>1</v>
      </c>
      <c r="D320" s="354">
        <v>0</v>
      </c>
      <c r="E320" s="354">
        <v>1</v>
      </c>
      <c r="F320" s="354">
        <v>0</v>
      </c>
      <c r="G320" s="354">
        <v>0</v>
      </c>
      <c r="H320" s="354">
        <v>0</v>
      </c>
      <c r="I320" s="354">
        <v>1</v>
      </c>
      <c r="J320" s="354">
        <v>1</v>
      </c>
      <c r="K320" s="354">
        <v>0</v>
      </c>
      <c r="L320" s="354">
        <v>0</v>
      </c>
      <c r="M320" s="355">
        <v>3</v>
      </c>
      <c r="N320" s="355">
        <v>2</v>
      </c>
    </row>
    <row r="321" spans="1:14" hidden="1" x14ac:dyDescent="0.25">
      <c r="A321" s="354">
        <v>1</v>
      </c>
      <c r="B321" s="354">
        <v>0</v>
      </c>
      <c r="C321" s="354">
        <v>0</v>
      </c>
      <c r="D321" s="354">
        <v>0</v>
      </c>
      <c r="E321" s="354">
        <v>0</v>
      </c>
      <c r="F321" s="354">
        <v>0</v>
      </c>
      <c r="G321" s="354">
        <v>0</v>
      </c>
      <c r="H321" s="354">
        <v>0</v>
      </c>
      <c r="I321" s="354">
        <v>0</v>
      </c>
      <c r="J321" s="354">
        <v>1</v>
      </c>
      <c r="K321" s="354">
        <v>0</v>
      </c>
      <c r="L321" s="354">
        <v>0</v>
      </c>
      <c r="M321" s="355">
        <v>1</v>
      </c>
      <c r="N321" s="355">
        <v>1</v>
      </c>
    </row>
    <row r="322" spans="1:14" hidden="1" x14ac:dyDescent="0.25">
      <c r="A322" s="354">
        <v>0</v>
      </c>
      <c r="B322" s="354">
        <v>0</v>
      </c>
      <c r="C322" s="354">
        <v>1</v>
      </c>
      <c r="D322" s="354">
        <v>1</v>
      </c>
      <c r="E322" s="354">
        <v>0</v>
      </c>
      <c r="F322" s="354">
        <v>0</v>
      </c>
      <c r="G322" s="354">
        <v>0</v>
      </c>
      <c r="H322" s="354">
        <v>0</v>
      </c>
      <c r="I322" s="354">
        <v>1</v>
      </c>
      <c r="J322" s="354">
        <v>1</v>
      </c>
      <c r="K322" s="354">
        <v>0</v>
      </c>
      <c r="L322" s="354">
        <v>0</v>
      </c>
      <c r="M322" s="355">
        <v>2</v>
      </c>
      <c r="N322" s="355">
        <v>2</v>
      </c>
    </row>
    <row r="323" spans="1:14" hidden="1" x14ac:dyDescent="0.25">
      <c r="A323" s="354">
        <v>0</v>
      </c>
      <c r="B323" s="354">
        <v>0</v>
      </c>
      <c r="C323" s="354">
        <v>0</v>
      </c>
      <c r="D323" s="354">
        <v>0</v>
      </c>
      <c r="E323" s="354">
        <v>0</v>
      </c>
      <c r="F323" s="354">
        <v>0</v>
      </c>
      <c r="G323" s="354">
        <v>1</v>
      </c>
      <c r="H323" s="354">
        <v>0</v>
      </c>
      <c r="I323" s="354">
        <v>0</v>
      </c>
      <c r="J323" s="354">
        <v>1</v>
      </c>
      <c r="K323" s="354">
        <v>0</v>
      </c>
      <c r="L323" s="354">
        <v>0</v>
      </c>
      <c r="M323" s="355">
        <v>1</v>
      </c>
      <c r="N323" s="355">
        <v>1</v>
      </c>
    </row>
    <row r="324" spans="1:14" hidden="1" x14ac:dyDescent="0.25">
      <c r="A324" s="354">
        <v>0</v>
      </c>
      <c r="B324" s="354">
        <v>0</v>
      </c>
      <c r="C324" s="354">
        <v>0</v>
      </c>
      <c r="D324" s="354">
        <v>0</v>
      </c>
      <c r="E324" s="354">
        <v>1</v>
      </c>
      <c r="F324" s="354">
        <v>0</v>
      </c>
      <c r="G324" s="354">
        <v>0</v>
      </c>
      <c r="H324" s="354">
        <v>1</v>
      </c>
      <c r="I324" s="354">
        <v>1</v>
      </c>
      <c r="J324" s="354">
        <v>1</v>
      </c>
      <c r="K324" s="354">
        <v>0</v>
      </c>
      <c r="L324" s="354">
        <v>0</v>
      </c>
      <c r="M324" s="355">
        <v>2</v>
      </c>
      <c r="N324" s="355">
        <v>2</v>
      </c>
    </row>
    <row r="325" spans="1:14" hidden="1" x14ac:dyDescent="0.25">
      <c r="A325" s="354">
        <v>0</v>
      </c>
      <c r="B325" s="354">
        <v>0</v>
      </c>
      <c r="C325" s="354">
        <v>0</v>
      </c>
      <c r="D325" s="354">
        <v>1</v>
      </c>
      <c r="E325" s="354">
        <v>1</v>
      </c>
      <c r="F325" s="354">
        <v>0</v>
      </c>
      <c r="G325" s="354">
        <v>1</v>
      </c>
      <c r="H325" s="354">
        <v>1</v>
      </c>
      <c r="I325" s="354">
        <v>0</v>
      </c>
      <c r="J325" s="354">
        <v>1</v>
      </c>
      <c r="K325" s="354">
        <v>0</v>
      </c>
      <c r="L325" s="354">
        <v>0</v>
      </c>
      <c r="M325" s="355">
        <v>2</v>
      </c>
      <c r="N325" s="355">
        <v>3</v>
      </c>
    </row>
    <row r="326" spans="1:14" hidden="1" x14ac:dyDescent="0.25">
      <c r="A326" s="354">
        <v>0</v>
      </c>
      <c r="B326" s="354">
        <v>0</v>
      </c>
      <c r="C326" s="354">
        <v>0</v>
      </c>
      <c r="D326" s="354">
        <v>0</v>
      </c>
      <c r="E326" s="354">
        <v>0</v>
      </c>
      <c r="F326" s="354">
        <v>0</v>
      </c>
      <c r="G326" s="354">
        <v>0</v>
      </c>
      <c r="H326" s="354">
        <v>0</v>
      </c>
      <c r="I326" s="354">
        <v>1</v>
      </c>
      <c r="J326" s="354">
        <v>1</v>
      </c>
      <c r="K326" s="354">
        <v>0</v>
      </c>
      <c r="L326" s="354">
        <v>0</v>
      </c>
      <c r="M326" s="355">
        <v>1</v>
      </c>
      <c r="N326" s="355">
        <v>1</v>
      </c>
    </row>
    <row r="327" spans="1:14" hidden="1" x14ac:dyDescent="0.25">
      <c r="A327" s="354">
        <v>0</v>
      </c>
      <c r="B327" s="354">
        <v>0</v>
      </c>
      <c r="C327" s="354">
        <v>0</v>
      </c>
      <c r="D327" s="354">
        <v>0</v>
      </c>
      <c r="E327" s="354">
        <v>0</v>
      </c>
      <c r="F327" s="354">
        <v>0</v>
      </c>
      <c r="G327" s="354">
        <v>0</v>
      </c>
      <c r="H327" s="354">
        <v>0</v>
      </c>
      <c r="I327" s="354">
        <v>1</v>
      </c>
      <c r="J327" s="354">
        <v>0</v>
      </c>
      <c r="K327" s="354">
        <v>0</v>
      </c>
      <c r="L327" s="354">
        <v>0</v>
      </c>
      <c r="M327" s="355">
        <v>1</v>
      </c>
      <c r="N327" s="355">
        <v>0</v>
      </c>
    </row>
    <row r="328" spans="1:14" hidden="1" x14ac:dyDescent="0.25">
      <c r="A328" s="354">
        <v>1</v>
      </c>
      <c r="B328" s="354">
        <v>0</v>
      </c>
      <c r="C328" s="354">
        <v>1</v>
      </c>
      <c r="D328" s="354">
        <v>1</v>
      </c>
      <c r="E328" s="354">
        <v>1</v>
      </c>
      <c r="F328" s="354">
        <v>1</v>
      </c>
      <c r="G328" s="354">
        <v>0</v>
      </c>
      <c r="H328" s="354">
        <v>2</v>
      </c>
      <c r="I328" s="354">
        <v>1</v>
      </c>
      <c r="J328" s="354">
        <v>1</v>
      </c>
      <c r="K328" s="354">
        <v>0</v>
      </c>
      <c r="L328" s="354">
        <v>0</v>
      </c>
      <c r="M328" s="355">
        <v>4</v>
      </c>
      <c r="N328" s="355">
        <v>5</v>
      </c>
    </row>
    <row r="329" spans="1:14" hidden="1" x14ac:dyDescent="0.25">
      <c r="A329" s="354">
        <v>0</v>
      </c>
      <c r="B329" s="354">
        <v>0</v>
      </c>
      <c r="C329" s="354">
        <v>1</v>
      </c>
      <c r="D329" s="354">
        <v>1</v>
      </c>
      <c r="E329" s="354">
        <v>1</v>
      </c>
      <c r="F329" s="354">
        <v>2</v>
      </c>
      <c r="G329" s="354">
        <v>2</v>
      </c>
      <c r="H329" s="354">
        <v>1</v>
      </c>
      <c r="I329" s="354">
        <v>1</v>
      </c>
      <c r="J329" s="354">
        <v>1</v>
      </c>
      <c r="K329" s="354">
        <v>0</v>
      </c>
      <c r="L329" s="354">
        <v>0</v>
      </c>
      <c r="M329" s="355">
        <v>5</v>
      </c>
      <c r="N329" s="355">
        <v>5</v>
      </c>
    </row>
    <row r="330" spans="1:14" hidden="1" x14ac:dyDescent="0.25">
      <c r="A330" s="354">
        <v>0</v>
      </c>
      <c r="B330" s="354">
        <v>0</v>
      </c>
      <c r="C330" s="354">
        <v>0</v>
      </c>
      <c r="D330" s="354">
        <v>0</v>
      </c>
      <c r="E330" s="354">
        <v>0</v>
      </c>
      <c r="F330" s="354">
        <v>0</v>
      </c>
      <c r="G330" s="354">
        <v>0</v>
      </c>
      <c r="H330" s="354">
        <v>0</v>
      </c>
      <c r="I330" s="354">
        <v>0</v>
      </c>
      <c r="J330" s="354">
        <v>1</v>
      </c>
      <c r="K330" s="354">
        <v>0</v>
      </c>
      <c r="L330" s="354">
        <v>1</v>
      </c>
      <c r="M330" s="355">
        <v>0</v>
      </c>
      <c r="N330" s="355">
        <v>2</v>
      </c>
    </row>
    <row r="331" spans="1:14" hidden="1" x14ac:dyDescent="0.25">
      <c r="A331" s="354">
        <v>0</v>
      </c>
      <c r="B331" s="354">
        <v>0</v>
      </c>
      <c r="C331" s="354">
        <v>1</v>
      </c>
      <c r="D331" s="354">
        <v>0</v>
      </c>
      <c r="E331" s="354">
        <v>2</v>
      </c>
      <c r="F331" s="354">
        <v>0</v>
      </c>
      <c r="G331" s="354">
        <v>1</v>
      </c>
      <c r="H331" s="354">
        <v>1</v>
      </c>
      <c r="I331" s="354">
        <v>0</v>
      </c>
      <c r="J331" s="354">
        <v>0</v>
      </c>
      <c r="K331" s="354">
        <v>1</v>
      </c>
      <c r="L331" s="354">
        <v>1</v>
      </c>
      <c r="M331" s="355">
        <v>5</v>
      </c>
      <c r="N331" s="355">
        <v>2</v>
      </c>
    </row>
    <row r="332" spans="1:14" hidden="1" x14ac:dyDescent="0.25">
      <c r="A332" s="354">
        <v>0</v>
      </c>
      <c r="B332" s="354">
        <v>1</v>
      </c>
      <c r="C332" s="354">
        <v>1</v>
      </c>
      <c r="D332" s="354">
        <v>1</v>
      </c>
      <c r="E332" s="354">
        <v>0</v>
      </c>
      <c r="F332" s="354">
        <v>1</v>
      </c>
      <c r="G332" s="354">
        <v>0</v>
      </c>
      <c r="H332" s="354">
        <v>0</v>
      </c>
      <c r="I332" s="354">
        <v>1</v>
      </c>
      <c r="J332" s="354">
        <v>1</v>
      </c>
      <c r="K332" s="354">
        <v>0</v>
      </c>
      <c r="L332" s="354">
        <v>0</v>
      </c>
      <c r="M332" s="355">
        <v>2</v>
      </c>
      <c r="N332" s="355">
        <v>4</v>
      </c>
    </row>
    <row r="333" spans="1:14" hidden="1" x14ac:dyDescent="0.25">
      <c r="A333" s="354">
        <v>0</v>
      </c>
      <c r="B333" s="354">
        <v>0</v>
      </c>
      <c r="C333" s="354">
        <v>1</v>
      </c>
      <c r="D333" s="354">
        <v>1</v>
      </c>
      <c r="E333" s="354">
        <v>2</v>
      </c>
      <c r="F333" s="354">
        <v>1</v>
      </c>
      <c r="G333" s="354">
        <v>1</v>
      </c>
      <c r="H333" s="354">
        <v>0</v>
      </c>
      <c r="I333" s="354">
        <v>1</v>
      </c>
      <c r="J333" s="354">
        <v>1</v>
      </c>
      <c r="K333" s="354">
        <v>1</v>
      </c>
      <c r="L333" s="354">
        <v>0</v>
      </c>
      <c r="M333" s="355">
        <v>6</v>
      </c>
      <c r="N333" s="355">
        <v>3</v>
      </c>
    </row>
    <row r="334" spans="1:14" hidden="1" x14ac:dyDescent="0.25">
      <c r="A334" s="354">
        <v>0</v>
      </c>
      <c r="B334" s="354">
        <v>1</v>
      </c>
      <c r="C334" s="354">
        <v>0</v>
      </c>
      <c r="D334" s="354">
        <v>1</v>
      </c>
      <c r="E334" s="354">
        <v>0</v>
      </c>
      <c r="F334" s="354">
        <v>1</v>
      </c>
      <c r="G334" s="354">
        <v>0</v>
      </c>
      <c r="H334" s="354">
        <v>0</v>
      </c>
      <c r="I334" s="354">
        <v>1</v>
      </c>
      <c r="J334" s="354">
        <v>1</v>
      </c>
      <c r="K334" s="354">
        <v>0</v>
      </c>
      <c r="L334" s="354">
        <v>0</v>
      </c>
      <c r="M334" s="355">
        <v>1</v>
      </c>
      <c r="N334" s="355">
        <v>4</v>
      </c>
    </row>
    <row r="335" spans="1:14" hidden="1" x14ac:dyDescent="0.25">
      <c r="A335" s="354">
        <v>1</v>
      </c>
      <c r="B335" s="354">
        <v>0</v>
      </c>
      <c r="C335" s="354">
        <v>0</v>
      </c>
      <c r="D335" s="354">
        <v>0</v>
      </c>
      <c r="E335" s="354">
        <v>0</v>
      </c>
      <c r="F335" s="354">
        <v>0</v>
      </c>
      <c r="G335" s="354">
        <v>0</v>
      </c>
      <c r="H335" s="354">
        <v>0</v>
      </c>
      <c r="I335" s="354">
        <v>1</v>
      </c>
      <c r="J335" s="354">
        <v>1</v>
      </c>
      <c r="K335" s="354">
        <v>0</v>
      </c>
      <c r="L335" s="354">
        <v>0</v>
      </c>
      <c r="M335" s="355">
        <v>2</v>
      </c>
      <c r="N335" s="355">
        <v>1</v>
      </c>
    </row>
    <row r="336" spans="1:14" hidden="1" x14ac:dyDescent="0.25">
      <c r="A336" s="354">
        <v>3</v>
      </c>
      <c r="B336" s="354">
        <v>2</v>
      </c>
      <c r="C336" s="354">
        <v>3</v>
      </c>
      <c r="D336" s="354">
        <v>2</v>
      </c>
      <c r="E336" s="354">
        <v>1</v>
      </c>
      <c r="F336" s="354">
        <v>2</v>
      </c>
      <c r="G336" s="354">
        <v>2</v>
      </c>
      <c r="H336" s="354">
        <v>0</v>
      </c>
      <c r="I336" s="354">
        <v>1</v>
      </c>
      <c r="J336" s="354">
        <v>3</v>
      </c>
      <c r="K336" s="354">
        <v>1</v>
      </c>
      <c r="L336" s="354">
        <v>0</v>
      </c>
      <c r="M336" s="355">
        <v>11</v>
      </c>
      <c r="N336" s="355">
        <v>9</v>
      </c>
    </row>
    <row r="337" spans="1:14" hidden="1" x14ac:dyDescent="0.25">
      <c r="A337" s="354">
        <v>1</v>
      </c>
      <c r="B337" s="354">
        <v>0</v>
      </c>
      <c r="C337" s="354">
        <v>1</v>
      </c>
      <c r="D337" s="354">
        <v>0</v>
      </c>
      <c r="E337" s="354">
        <v>2</v>
      </c>
      <c r="F337" s="354">
        <v>0</v>
      </c>
      <c r="G337" s="354">
        <v>1</v>
      </c>
      <c r="H337" s="354">
        <v>0</v>
      </c>
      <c r="I337" s="354">
        <v>1</v>
      </c>
      <c r="J337" s="354">
        <v>2</v>
      </c>
      <c r="K337" s="354">
        <v>0</v>
      </c>
      <c r="L337" s="354">
        <v>0</v>
      </c>
      <c r="M337" s="355">
        <v>6</v>
      </c>
      <c r="N337" s="355">
        <v>2</v>
      </c>
    </row>
    <row r="338" spans="1:14" hidden="1" x14ac:dyDescent="0.25">
      <c r="A338" s="354">
        <v>1</v>
      </c>
      <c r="B338" s="354">
        <v>0</v>
      </c>
      <c r="C338" s="354">
        <v>3</v>
      </c>
      <c r="D338" s="354">
        <v>0</v>
      </c>
      <c r="E338" s="354">
        <v>5</v>
      </c>
      <c r="F338" s="354">
        <v>0</v>
      </c>
      <c r="G338" s="354">
        <v>4</v>
      </c>
      <c r="H338" s="354">
        <v>1</v>
      </c>
      <c r="I338" s="354">
        <v>0</v>
      </c>
      <c r="J338" s="354">
        <v>2</v>
      </c>
      <c r="K338" s="354">
        <v>1</v>
      </c>
      <c r="L338" s="354">
        <v>0</v>
      </c>
      <c r="M338" s="355">
        <v>14</v>
      </c>
      <c r="N338" s="355">
        <v>3</v>
      </c>
    </row>
    <row r="339" spans="1:14" hidden="1" x14ac:dyDescent="0.25">
      <c r="A339" s="354">
        <v>0</v>
      </c>
      <c r="B339" s="354">
        <v>0</v>
      </c>
      <c r="C339" s="354">
        <v>0</v>
      </c>
      <c r="D339" s="354">
        <v>1</v>
      </c>
      <c r="E339" s="354">
        <v>0</v>
      </c>
      <c r="F339" s="354">
        <v>4</v>
      </c>
      <c r="G339" s="354">
        <v>4</v>
      </c>
      <c r="H339" s="354">
        <v>0</v>
      </c>
      <c r="I339" s="354">
        <v>3</v>
      </c>
      <c r="J339" s="354">
        <v>2</v>
      </c>
      <c r="K339" s="354">
        <v>0</v>
      </c>
      <c r="L339" s="354">
        <v>0</v>
      </c>
      <c r="M339" s="355">
        <v>7</v>
      </c>
      <c r="N339" s="355">
        <v>7</v>
      </c>
    </row>
    <row r="340" spans="1:14" hidden="1" x14ac:dyDescent="0.25">
      <c r="A340" s="354">
        <v>1</v>
      </c>
      <c r="B340" s="354">
        <v>1</v>
      </c>
      <c r="C340" s="354">
        <v>0</v>
      </c>
      <c r="D340" s="354">
        <v>1</v>
      </c>
      <c r="E340" s="354">
        <v>0</v>
      </c>
      <c r="F340" s="354">
        <v>2</v>
      </c>
      <c r="G340" s="354">
        <v>0</v>
      </c>
      <c r="H340" s="354">
        <v>0</v>
      </c>
      <c r="I340" s="354">
        <v>1</v>
      </c>
      <c r="J340" s="354">
        <v>3</v>
      </c>
      <c r="K340" s="354">
        <v>0</v>
      </c>
      <c r="L340" s="354">
        <v>0</v>
      </c>
      <c r="M340" s="355">
        <v>2</v>
      </c>
      <c r="N340" s="355">
        <v>7</v>
      </c>
    </row>
    <row r="341" spans="1:14" hidden="1" x14ac:dyDescent="0.25">
      <c r="A341" s="354">
        <v>1</v>
      </c>
      <c r="B341" s="354">
        <v>1</v>
      </c>
      <c r="C341" s="354">
        <v>1</v>
      </c>
      <c r="D341" s="354">
        <v>2</v>
      </c>
      <c r="E341" s="354">
        <v>1</v>
      </c>
      <c r="F341" s="354">
        <v>2</v>
      </c>
      <c r="G341" s="354">
        <v>0</v>
      </c>
      <c r="H341" s="354">
        <v>3</v>
      </c>
      <c r="I341" s="354">
        <v>4</v>
      </c>
      <c r="J341" s="354">
        <v>3</v>
      </c>
      <c r="K341" s="354">
        <v>0</v>
      </c>
      <c r="L341" s="354">
        <v>0</v>
      </c>
      <c r="M341" s="355">
        <v>7</v>
      </c>
      <c r="N341" s="355">
        <v>11</v>
      </c>
    </row>
    <row r="342" spans="1:14" hidden="1" x14ac:dyDescent="0.25">
      <c r="A342" s="354">
        <v>0</v>
      </c>
      <c r="B342" s="354">
        <v>0</v>
      </c>
      <c r="C342" s="354">
        <v>1</v>
      </c>
      <c r="D342" s="354">
        <v>1</v>
      </c>
      <c r="E342" s="354">
        <v>2</v>
      </c>
      <c r="F342" s="354">
        <v>1</v>
      </c>
      <c r="G342" s="354">
        <v>0</v>
      </c>
      <c r="H342" s="354">
        <v>1</v>
      </c>
      <c r="I342" s="354">
        <v>1</v>
      </c>
      <c r="J342" s="354">
        <v>1</v>
      </c>
      <c r="K342" s="354">
        <v>0</v>
      </c>
      <c r="L342" s="354">
        <v>0</v>
      </c>
      <c r="M342" s="355">
        <v>4</v>
      </c>
      <c r="N342" s="355">
        <v>4</v>
      </c>
    </row>
    <row r="343" spans="1:14" hidden="1" x14ac:dyDescent="0.25">
      <c r="A343" s="354">
        <v>0</v>
      </c>
      <c r="B343" s="354">
        <v>0</v>
      </c>
      <c r="C343" s="354">
        <v>0</v>
      </c>
      <c r="D343" s="354">
        <v>1</v>
      </c>
      <c r="E343" s="354">
        <v>3</v>
      </c>
      <c r="F343" s="354">
        <v>0</v>
      </c>
      <c r="G343" s="354">
        <v>4</v>
      </c>
      <c r="H343" s="354">
        <v>2</v>
      </c>
      <c r="I343" s="354">
        <v>0</v>
      </c>
      <c r="J343" s="354">
        <v>1</v>
      </c>
      <c r="K343" s="354">
        <v>1</v>
      </c>
      <c r="L343" s="354">
        <v>1</v>
      </c>
      <c r="M343" s="355">
        <v>8</v>
      </c>
      <c r="N343" s="355">
        <v>5</v>
      </c>
    </row>
    <row r="344" spans="1:14" hidden="1" x14ac:dyDescent="0.25">
      <c r="A344" s="354">
        <v>0</v>
      </c>
      <c r="B344" s="354">
        <v>0</v>
      </c>
      <c r="C344" s="354">
        <v>0</v>
      </c>
      <c r="D344" s="354">
        <v>0</v>
      </c>
      <c r="E344" s="354">
        <v>1</v>
      </c>
      <c r="F344" s="354">
        <v>1</v>
      </c>
      <c r="G344" s="354">
        <v>1</v>
      </c>
      <c r="H344" s="354">
        <v>0</v>
      </c>
      <c r="I344" s="354">
        <v>2</v>
      </c>
      <c r="J344" s="354">
        <v>3</v>
      </c>
      <c r="K344" s="354">
        <v>0</v>
      </c>
      <c r="L344" s="354">
        <v>0</v>
      </c>
      <c r="M344" s="355">
        <v>4</v>
      </c>
      <c r="N344" s="355">
        <v>4</v>
      </c>
    </row>
    <row r="345" spans="1:14" hidden="1" x14ac:dyDescent="0.25">
      <c r="A345" s="354">
        <v>0</v>
      </c>
      <c r="B345" s="354">
        <v>0</v>
      </c>
      <c r="C345" s="354">
        <v>0</v>
      </c>
      <c r="D345" s="354">
        <v>0</v>
      </c>
      <c r="E345" s="354">
        <v>0</v>
      </c>
      <c r="F345" s="354">
        <v>0</v>
      </c>
      <c r="G345" s="354">
        <v>0</v>
      </c>
      <c r="H345" s="354">
        <v>1</v>
      </c>
      <c r="I345" s="354">
        <v>4</v>
      </c>
      <c r="J345" s="354">
        <v>1</v>
      </c>
      <c r="K345" s="354">
        <v>1</v>
      </c>
      <c r="L345" s="354">
        <v>1</v>
      </c>
      <c r="M345" s="355">
        <v>5</v>
      </c>
      <c r="N345" s="355">
        <v>3</v>
      </c>
    </row>
    <row r="346" spans="1:14" hidden="1" x14ac:dyDescent="0.25">
      <c r="A346" s="354">
        <v>1</v>
      </c>
      <c r="B346" s="354">
        <v>0</v>
      </c>
      <c r="C346" s="354">
        <v>1</v>
      </c>
      <c r="D346" s="354">
        <v>0</v>
      </c>
      <c r="E346" s="354">
        <v>0</v>
      </c>
      <c r="F346" s="354">
        <v>0</v>
      </c>
      <c r="G346" s="354">
        <v>0</v>
      </c>
      <c r="H346" s="354">
        <v>0</v>
      </c>
      <c r="I346" s="354">
        <v>1</v>
      </c>
      <c r="J346" s="354">
        <v>1</v>
      </c>
      <c r="K346" s="354">
        <v>0</v>
      </c>
      <c r="L346" s="354">
        <v>0</v>
      </c>
      <c r="M346" s="355">
        <v>3</v>
      </c>
      <c r="N346" s="355">
        <v>1</v>
      </c>
    </row>
    <row r="347" spans="1:14" hidden="1" x14ac:dyDescent="0.25">
      <c r="A347" s="354">
        <v>0</v>
      </c>
      <c r="B347" s="354">
        <v>0</v>
      </c>
      <c r="C347" s="354">
        <v>0</v>
      </c>
      <c r="D347" s="354">
        <v>2</v>
      </c>
      <c r="E347" s="354">
        <v>0</v>
      </c>
      <c r="F347" s="354">
        <v>1</v>
      </c>
      <c r="G347" s="354">
        <v>0</v>
      </c>
      <c r="H347" s="354">
        <v>0</v>
      </c>
      <c r="I347" s="354">
        <v>1</v>
      </c>
      <c r="J347" s="354">
        <v>1</v>
      </c>
      <c r="K347" s="354">
        <v>0</v>
      </c>
      <c r="L347" s="354">
        <v>0</v>
      </c>
      <c r="M347" s="355">
        <v>1</v>
      </c>
      <c r="N347" s="355">
        <v>4</v>
      </c>
    </row>
    <row r="348" spans="1:14" hidden="1" x14ac:dyDescent="0.25">
      <c r="A348" s="354">
        <v>0</v>
      </c>
      <c r="B348" s="354">
        <v>0</v>
      </c>
      <c r="C348" s="354">
        <v>0</v>
      </c>
      <c r="D348" s="354">
        <v>0</v>
      </c>
      <c r="E348" s="354">
        <v>1</v>
      </c>
      <c r="F348" s="354">
        <v>2</v>
      </c>
      <c r="G348" s="354">
        <v>1</v>
      </c>
      <c r="H348" s="354">
        <v>1</v>
      </c>
      <c r="I348" s="354">
        <v>1</v>
      </c>
      <c r="J348" s="354">
        <v>2</v>
      </c>
      <c r="K348" s="354">
        <v>0</v>
      </c>
      <c r="L348" s="354">
        <v>0</v>
      </c>
      <c r="M348" s="355">
        <v>3</v>
      </c>
      <c r="N348" s="355">
        <v>5</v>
      </c>
    </row>
    <row r="349" spans="1:14" hidden="1" x14ac:dyDescent="0.25">
      <c r="A349" s="354">
        <v>1</v>
      </c>
      <c r="B349" s="354">
        <v>0</v>
      </c>
      <c r="C349" s="354">
        <v>0</v>
      </c>
      <c r="D349" s="354">
        <v>0</v>
      </c>
      <c r="E349" s="354">
        <v>0</v>
      </c>
      <c r="F349" s="354">
        <v>1</v>
      </c>
      <c r="G349" s="354">
        <v>1</v>
      </c>
      <c r="H349" s="354">
        <v>1</v>
      </c>
      <c r="I349" s="354">
        <v>2</v>
      </c>
      <c r="J349" s="354">
        <v>1</v>
      </c>
      <c r="K349" s="354">
        <v>0</v>
      </c>
      <c r="L349" s="354">
        <v>0</v>
      </c>
      <c r="M349" s="355">
        <v>4</v>
      </c>
      <c r="N349" s="355">
        <v>3</v>
      </c>
    </row>
    <row r="350" spans="1:14" hidden="1" x14ac:dyDescent="0.25">
      <c r="A350" s="354">
        <v>0</v>
      </c>
      <c r="B350" s="354">
        <v>1</v>
      </c>
      <c r="C350" s="354">
        <v>1</v>
      </c>
      <c r="D350" s="354">
        <v>0</v>
      </c>
      <c r="E350" s="354">
        <v>0</v>
      </c>
      <c r="F350" s="354">
        <v>0</v>
      </c>
      <c r="G350" s="354">
        <v>0</v>
      </c>
      <c r="H350" s="354">
        <v>0</v>
      </c>
      <c r="I350" s="354">
        <v>1</v>
      </c>
      <c r="J350" s="354">
        <v>1</v>
      </c>
      <c r="K350" s="354">
        <v>0</v>
      </c>
      <c r="L350" s="354">
        <v>0</v>
      </c>
      <c r="M350" s="355">
        <v>2</v>
      </c>
      <c r="N350" s="355">
        <v>2</v>
      </c>
    </row>
    <row r="351" spans="1:14" hidden="1" x14ac:dyDescent="0.25">
      <c r="A351" s="354">
        <v>0</v>
      </c>
      <c r="B351" s="354">
        <v>1</v>
      </c>
      <c r="C351" s="354">
        <v>0</v>
      </c>
      <c r="D351" s="354">
        <v>0</v>
      </c>
      <c r="E351" s="354">
        <v>0</v>
      </c>
      <c r="F351" s="354">
        <v>0</v>
      </c>
      <c r="G351" s="354">
        <v>0</v>
      </c>
      <c r="H351" s="354">
        <v>0</v>
      </c>
      <c r="I351" s="354">
        <v>1</v>
      </c>
      <c r="J351" s="354">
        <v>1</v>
      </c>
      <c r="K351" s="354">
        <v>0</v>
      </c>
      <c r="L351" s="354">
        <v>0</v>
      </c>
      <c r="M351" s="355">
        <v>1</v>
      </c>
      <c r="N351" s="355">
        <v>2</v>
      </c>
    </row>
    <row r="352" spans="1:14" hidden="1" x14ac:dyDescent="0.25">
      <c r="A352" s="354">
        <v>0</v>
      </c>
      <c r="B352" s="354">
        <v>1</v>
      </c>
      <c r="C352" s="354">
        <v>0</v>
      </c>
      <c r="D352" s="354">
        <v>1</v>
      </c>
      <c r="E352" s="354">
        <v>2</v>
      </c>
      <c r="F352" s="354">
        <v>0</v>
      </c>
      <c r="G352" s="354">
        <v>0</v>
      </c>
      <c r="H352" s="354">
        <v>0</v>
      </c>
      <c r="I352" s="354">
        <v>1</v>
      </c>
      <c r="J352" s="354">
        <v>1</v>
      </c>
      <c r="K352" s="354">
        <v>0</v>
      </c>
      <c r="L352" s="354">
        <v>0</v>
      </c>
      <c r="M352" s="355">
        <v>3</v>
      </c>
      <c r="N352" s="355">
        <v>3</v>
      </c>
    </row>
    <row r="353" spans="1:14" hidden="1" x14ac:dyDescent="0.25">
      <c r="A353" s="354">
        <v>1</v>
      </c>
      <c r="B353" s="354">
        <v>0</v>
      </c>
      <c r="C353" s="354">
        <v>0</v>
      </c>
      <c r="D353" s="354">
        <v>1</v>
      </c>
      <c r="E353" s="354">
        <v>1</v>
      </c>
      <c r="F353" s="354">
        <v>0</v>
      </c>
      <c r="G353" s="354">
        <v>0</v>
      </c>
      <c r="H353" s="354">
        <v>0</v>
      </c>
      <c r="I353" s="354">
        <v>1</v>
      </c>
      <c r="J353" s="354">
        <v>1</v>
      </c>
      <c r="K353" s="354">
        <v>0</v>
      </c>
      <c r="L353" s="354">
        <v>0</v>
      </c>
      <c r="M353" s="355">
        <v>3</v>
      </c>
      <c r="N353" s="355">
        <v>2</v>
      </c>
    </row>
    <row r="354" spans="1:14" hidden="1" x14ac:dyDescent="0.25">
      <c r="A354" s="354">
        <v>0</v>
      </c>
      <c r="B354" s="354">
        <v>1</v>
      </c>
      <c r="C354" s="354">
        <v>1</v>
      </c>
      <c r="D354" s="354">
        <v>0</v>
      </c>
      <c r="E354" s="354">
        <v>2</v>
      </c>
      <c r="F354" s="354">
        <v>2</v>
      </c>
      <c r="G354" s="354">
        <v>0</v>
      </c>
      <c r="H354" s="354">
        <v>0</v>
      </c>
      <c r="I354" s="354">
        <v>1</v>
      </c>
      <c r="J354" s="354">
        <v>1</v>
      </c>
      <c r="K354" s="354">
        <v>0</v>
      </c>
      <c r="L354" s="354">
        <v>0</v>
      </c>
      <c r="M354" s="355">
        <v>4</v>
      </c>
      <c r="N354" s="355">
        <v>4</v>
      </c>
    </row>
    <row r="355" spans="1:14" hidden="1" x14ac:dyDescent="0.25">
      <c r="A355" s="354">
        <v>0</v>
      </c>
      <c r="B355" s="354">
        <v>1</v>
      </c>
      <c r="C355" s="354">
        <v>0</v>
      </c>
      <c r="D355" s="354">
        <v>0</v>
      </c>
      <c r="E355" s="354">
        <v>0</v>
      </c>
      <c r="F355" s="354">
        <v>1</v>
      </c>
      <c r="G355" s="354">
        <v>1</v>
      </c>
      <c r="H355" s="354">
        <v>1</v>
      </c>
      <c r="I355" s="354">
        <v>1</v>
      </c>
      <c r="J355" s="354">
        <v>4</v>
      </c>
      <c r="K355" s="354">
        <v>0</v>
      </c>
      <c r="L355" s="354">
        <v>0</v>
      </c>
      <c r="M355" s="355">
        <v>2</v>
      </c>
      <c r="N355" s="355">
        <v>7</v>
      </c>
    </row>
    <row r="356" spans="1:14" hidden="1" x14ac:dyDescent="0.25">
      <c r="A356" s="354">
        <v>0</v>
      </c>
      <c r="B356" s="354">
        <v>0</v>
      </c>
      <c r="C356" s="354">
        <v>2</v>
      </c>
      <c r="D356" s="354">
        <v>0</v>
      </c>
      <c r="E356" s="354">
        <v>2</v>
      </c>
      <c r="F356" s="354">
        <v>1</v>
      </c>
      <c r="G356" s="354">
        <v>1</v>
      </c>
      <c r="H356" s="354">
        <v>0</v>
      </c>
      <c r="I356" s="354">
        <v>2</v>
      </c>
      <c r="J356" s="354">
        <v>2</v>
      </c>
      <c r="K356" s="354">
        <v>0</v>
      </c>
      <c r="L356" s="354">
        <v>0</v>
      </c>
      <c r="M356" s="355">
        <v>7</v>
      </c>
      <c r="N356" s="355">
        <v>3</v>
      </c>
    </row>
    <row r="357" spans="1:14" hidden="1" x14ac:dyDescent="0.25">
      <c r="A357" s="354">
        <v>1</v>
      </c>
      <c r="B357" s="354">
        <v>0</v>
      </c>
      <c r="C357" s="354">
        <v>2</v>
      </c>
      <c r="D357" s="354">
        <v>0</v>
      </c>
      <c r="E357" s="354">
        <v>0</v>
      </c>
      <c r="F357" s="354">
        <v>0</v>
      </c>
      <c r="G357" s="354">
        <v>0</v>
      </c>
      <c r="H357" s="354">
        <v>0</v>
      </c>
      <c r="I357" s="354">
        <v>1</v>
      </c>
      <c r="J357" s="354">
        <v>2</v>
      </c>
      <c r="K357" s="354">
        <v>0</v>
      </c>
      <c r="L357" s="354">
        <v>0</v>
      </c>
      <c r="M357" s="355">
        <v>4</v>
      </c>
      <c r="N357" s="355">
        <v>2</v>
      </c>
    </row>
    <row r="358" spans="1:14" hidden="1" x14ac:dyDescent="0.25">
      <c r="A358" s="354">
        <v>0</v>
      </c>
      <c r="B358" s="354">
        <v>1</v>
      </c>
      <c r="C358" s="354">
        <v>0</v>
      </c>
      <c r="D358" s="354">
        <v>1</v>
      </c>
      <c r="E358" s="354">
        <v>1</v>
      </c>
      <c r="F358" s="354">
        <v>1</v>
      </c>
      <c r="G358" s="354">
        <v>0</v>
      </c>
      <c r="H358" s="354">
        <v>0</v>
      </c>
      <c r="I358" s="354">
        <v>1</v>
      </c>
      <c r="J358" s="354">
        <v>1</v>
      </c>
      <c r="K358" s="354">
        <v>0</v>
      </c>
      <c r="L358" s="354">
        <v>0</v>
      </c>
      <c r="M358" s="355">
        <v>2</v>
      </c>
      <c r="N358" s="355">
        <v>4</v>
      </c>
    </row>
    <row r="359" spans="1:14" hidden="1" x14ac:dyDescent="0.25">
      <c r="A359" s="354">
        <v>1</v>
      </c>
      <c r="B359" s="354">
        <v>0</v>
      </c>
      <c r="C359" s="354">
        <v>2</v>
      </c>
      <c r="D359" s="354">
        <v>1</v>
      </c>
      <c r="E359" s="354">
        <v>1</v>
      </c>
      <c r="F359" s="354">
        <v>1</v>
      </c>
      <c r="G359" s="354">
        <v>0</v>
      </c>
      <c r="H359" s="354">
        <v>0</v>
      </c>
      <c r="I359" s="354">
        <v>2</v>
      </c>
      <c r="J359" s="354">
        <v>3</v>
      </c>
      <c r="K359" s="354">
        <v>0</v>
      </c>
      <c r="L359" s="354">
        <v>0</v>
      </c>
      <c r="M359" s="355">
        <v>6</v>
      </c>
      <c r="N359" s="355">
        <v>5</v>
      </c>
    </row>
    <row r="360" spans="1:14" hidden="1" x14ac:dyDescent="0.25">
      <c r="A360" s="354">
        <v>1</v>
      </c>
      <c r="B360" s="354">
        <v>0</v>
      </c>
      <c r="C360" s="354">
        <v>0</v>
      </c>
      <c r="D360" s="354">
        <v>1</v>
      </c>
      <c r="E360" s="354">
        <v>0</v>
      </c>
      <c r="F360" s="354">
        <v>0</v>
      </c>
      <c r="G360" s="354">
        <v>0</v>
      </c>
      <c r="H360" s="354">
        <v>0</v>
      </c>
      <c r="I360" s="354">
        <v>1</v>
      </c>
      <c r="J360" s="354">
        <v>1</v>
      </c>
      <c r="K360" s="354">
        <v>0</v>
      </c>
      <c r="L360" s="354">
        <v>0</v>
      </c>
      <c r="M360" s="355">
        <v>2</v>
      </c>
      <c r="N360" s="355">
        <v>2</v>
      </c>
    </row>
    <row r="361" spans="1:14" hidden="1" x14ac:dyDescent="0.25">
      <c r="A361" s="354">
        <v>0</v>
      </c>
      <c r="B361" s="354">
        <v>1</v>
      </c>
      <c r="C361" s="354">
        <v>1</v>
      </c>
      <c r="D361" s="354">
        <v>0</v>
      </c>
      <c r="E361" s="354">
        <v>0</v>
      </c>
      <c r="F361" s="354">
        <v>1</v>
      </c>
      <c r="G361" s="354">
        <v>0</v>
      </c>
      <c r="H361" s="354">
        <v>0</v>
      </c>
      <c r="I361" s="354">
        <v>1</v>
      </c>
      <c r="J361" s="354">
        <v>1</v>
      </c>
      <c r="K361" s="354">
        <v>0</v>
      </c>
      <c r="L361" s="354">
        <v>0</v>
      </c>
      <c r="M361" s="355">
        <v>2</v>
      </c>
      <c r="N361" s="355">
        <v>3</v>
      </c>
    </row>
    <row r="362" spans="1:14" hidden="1" x14ac:dyDescent="0.25">
      <c r="A362" s="354">
        <v>0</v>
      </c>
      <c r="B362" s="354">
        <v>1</v>
      </c>
      <c r="C362" s="354">
        <v>0</v>
      </c>
      <c r="D362" s="354">
        <v>1</v>
      </c>
      <c r="E362" s="354">
        <v>2</v>
      </c>
      <c r="F362" s="354">
        <v>0</v>
      </c>
      <c r="G362" s="354">
        <v>0</v>
      </c>
      <c r="H362" s="354">
        <v>0</v>
      </c>
      <c r="I362" s="354">
        <v>1</v>
      </c>
      <c r="J362" s="354">
        <v>1</v>
      </c>
      <c r="K362" s="354">
        <v>0</v>
      </c>
      <c r="L362" s="354">
        <v>0</v>
      </c>
      <c r="M362" s="355">
        <v>3</v>
      </c>
      <c r="N362" s="355">
        <v>3</v>
      </c>
    </row>
    <row r="363" spans="1:14" hidden="1" x14ac:dyDescent="0.25">
      <c r="A363" s="354">
        <v>1</v>
      </c>
      <c r="B363" s="354">
        <v>2</v>
      </c>
      <c r="C363" s="354">
        <v>3</v>
      </c>
      <c r="D363" s="354">
        <v>1</v>
      </c>
      <c r="E363" s="354">
        <v>3</v>
      </c>
      <c r="F363" s="354">
        <v>2</v>
      </c>
      <c r="G363" s="354">
        <v>1</v>
      </c>
      <c r="H363" s="354">
        <v>1</v>
      </c>
      <c r="I363" s="354">
        <v>0</v>
      </c>
      <c r="J363" s="354">
        <v>3</v>
      </c>
      <c r="K363" s="354">
        <v>1</v>
      </c>
      <c r="L363" s="354">
        <v>0</v>
      </c>
      <c r="M363" s="355">
        <v>9</v>
      </c>
      <c r="N363" s="355">
        <v>9</v>
      </c>
    </row>
    <row r="364" spans="1:14" hidden="1" x14ac:dyDescent="0.25">
      <c r="A364" s="354">
        <v>0</v>
      </c>
      <c r="B364" s="354">
        <v>0</v>
      </c>
      <c r="C364" s="354">
        <v>0</v>
      </c>
      <c r="D364" s="354">
        <v>0</v>
      </c>
      <c r="E364" s="354">
        <v>0</v>
      </c>
      <c r="F364" s="354">
        <v>0</v>
      </c>
      <c r="G364" s="354">
        <v>0</v>
      </c>
      <c r="H364" s="354">
        <v>1</v>
      </c>
      <c r="I364" s="354">
        <v>0</v>
      </c>
      <c r="J364" s="354">
        <v>1</v>
      </c>
      <c r="K364" s="354">
        <v>0</v>
      </c>
      <c r="L364" s="354">
        <v>0</v>
      </c>
      <c r="M364" s="355">
        <v>0</v>
      </c>
      <c r="N364" s="355">
        <v>2</v>
      </c>
    </row>
    <row r="365" spans="1:14" hidden="1" x14ac:dyDescent="0.25">
      <c r="A365" s="354">
        <v>0</v>
      </c>
      <c r="B365" s="354">
        <v>1</v>
      </c>
      <c r="C365" s="354">
        <v>1</v>
      </c>
      <c r="D365" s="354">
        <v>0</v>
      </c>
      <c r="E365" s="354">
        <v>0</v>
      </c>
      <c r="F365" s="354">
        <v>0</v>
      </c>
      <c r="G365" s="354">
        <v>0</v>
      </c>
      <c r="H365" s="354">
        <v>1</v>
      </c>
      <c r="I365" s="354">
        <v>1</v>
      </c>
      <c r="J365" s="354">
        <v>0</v>
      </c>
      <c r="K365" s="354">
        <v>0</v>
      </c>
      <c r="L365" s="354">
        <v>0</v>
      </c>
      <c r="M365" s="355">
        <v>2</v>
      </c>
      <c r="N365" s="355">
        <v>2</v>
      </c>
    </row>
    <row r="366" spans="1:14" hidden="1" x14ac:dyDescent="0.25">
      <c r="A366" s="354">
        <v>0</v>
      </c>
      <c r="B366" s="354">
        <v>0</v>
      </c>
      <c r="C366" s="354">
        <v>1</v>
      </c>
      <c r="D366" s="354">
        <v>0</v>
      </c>
      <c r="E366" s="354">
        <v>0</v>
      </c>
      <c r="F366" s="354">
        <v>1</v>
      </c>
      <c r="G366" s="354">
        <v>0</v>
      </c>
      <c r="H366" s="354">
        <v>0</v>
      </c>
      <c r="I366" s="354">
        <v>1</v>
      </c>
      <c r="J366" s="354">
        <v>1</v>
      </c>
      <c r="K366" s="354">
        <v>0</v>
      </c>
      <c r="L366" s="354">
        <v>0</v>
      </c>
      <c r="M366" s="355">
        <v>2</v>
      </c>
      <c r="N366" s="355">
        <v>2</v>
      </c>
    </row>
    <row r="367" spans="1:14" hidden="1" x14ac:dyDescent="0.25">
      <c r="A367" s="354">
        <v>0</v>
      </c>
      <c r="B367" s="354">
        <v>0</v>
      </c>
      <c r="C367" s="354">
        <v>0</v>
      </c>
      <c r="D367" s="354">
        <v>2</v>
      </c>
      <c r="E367" s="354">
        <v>1</v>
      </c>
      <c r="F367" s="354">
        <v>1</v>
      </c>
      <c r="G367" s="354">
        <v>0</v>
      </c>
      <c r="H367" s="354">
        <v>2</v>
      </c>
      <c r="I367" s="354">
        <v>0</v>
      </c>
      <c r="J367" s="354">
        <v>1</v>
      </c>
      <c r="K367" s="354">
        <v>0</v>
      </c>
      <c r="L367" s="354">
        <v>0</v>
      </c>
      <c r="M367" s="355">
        <v>1</v>
      </c>
      <c r="N367" s="355">
        <v>6</v>
      </c>
    </row>
    <row r="368" spans="1:14" hidden="1" x14ac:dyDescent="0.25">
      <c r="A368" s="354">
        <v>1</v>
      </c>
      <c r="B368" s="354">
        <v>0</v>
      </c>
      <c r="C368" s="354">
        <v>0</v>
      </c>
      <c r="D368" s="354">
        <v>0</v>
      </c>
      <c r="E368" s="354">
        <v>0</v>
      </c>
      <c r="F368" s="354">
        <v>1</v>
      </c>
      <c r="G368" s="354"/>
      <c r="H368" s="354">
        <v>0</v>
      </c>
      <c r="I368" s="354">
        <v>1</v>
      </c>
      <c r="J368" s="354">
        <v>2</v>
      </c>
      <c r="K368" s="354">
        <v>0</v>
      </c>
      <c r="L368" s="354">
        <v>0</v>
      </c>
      <c r="M368" s="355">
        <v>2</v>
      </c>
      <c r="N368" s="355">
        <v>3</v>
      </c>
    </row>
    <row r="369" spans="1:14" hidden="1" x14ac:dyDescent="0.25">
      <c r="A369" s="354">
        <v>0</v>
      </c>
      <c r="B369" s="354">
        <v>0</v>
      </c>
      <c r="C369" s="354">
        <v>0</v>
      </c>
      <c r="D369" s="354">
        <v>0</v>
      </c>
      <c r="E369" s="354">
        <v>1</v>
      </c>
      <c r="F369" s="354">
        <v>1</v>
      </c>
      <c r="G369" s="354">
        <v>0</v>
      </c>
      <c r="H369" s="354">
        <v>1</v>
      </c>
      <c r="I369" s="354">
        <v>1</v>
      </c>
      <c r="J369" s="354">
        <v>1</v>
      </c>
      <c r="K369" s="354">
        <v>0</v>
      </c>
      <c r="L369" s="354">
        <v>0</v>
      </c>
      <c r="M369" s="355">
        <v>2</v>
      </c>
      <c r="N369" s="355">
        <v>3</v>
      </c>
    </row>
    <row r="370" spans="1:14" hidden="1" x14ac:dyDescent="0.25">
      <c r="A370" s="354">
        <v>0</v>
      </c>
      <c r="B370" s="354">
        <v>0</v>
      </c>
      <c r="C370" s="354">
        <v>0</v>
      </c>
      <c r="D370" s="354">
        <v>0</v>
      </c>
      <c r="E370" s="354">
        <v>1</v>
      </c>
      <c r="F370" s="354">
        <v>1</v>
      </c>
      <c r="G370" s="354">
        <v>0</v>
      </c>
      <c r="H370" s="354">
        <v>0</v>
      </c>
      <c r="I370" s="354">
        <v>0</v>
      </c>
      <c r="J370" s="354">
        <v>1</v>
      </c>
      <c r="K370" s="354">
        <v>0</v>
      </c>
      <c r="L370" s="354">
        <v>0</v>
      </c>
      <c r="M370" s="355">
        <v>1</v>
      </c>
      <c r="N370" s="355">
        <v>2</v>
      </c>
    </row>
    <row r="371" spans="1:14" hidden="1" x14ac:dyDescent="0.25">
      <c r="A371" s="354">
        <v>0</v>
      </c>
      <c r="B371" s="354">
        <v>0</v>
      </c>
      <c r="C371" s="354">
        <v>0</v>
      </c>
      <c r="D371" s="354">
        <v>0</v>
      </c>
      <c r="E371" s="354">
        <v>0</v>
      </c>
      <c r="F371" s="354">
        <v>0</v>
      </c>
      <c r="G371" s="354">
        <v>0</v>
      </c>
      <c r="H371" s="354">
        <v>0</v>
      </c>
      <c r="I371" s="354">
        <v>1</v>
      </c>
      <c r="J371" s="354">
        <v>1</v>
      </c>
      <c r="K371" s="354">
        <v>0</v>
      </c>
      <c r="L371" s="354">
        <v>0</v>
      </c>
      <c r="M371" s="355">
        <v>1</v>
      </c>
      <c r="N371" s="355">
        <v>1</v>
      </c>
    </row>
    <row r="372" spans="1:14" hidden="1" x14ac:dyDescent="0.25">
      <c r="A372" s="354">
        <v>0</v>
      </c>
      <c r="B372" s="354">
        <v>0</v>
      </c>
      <c r="C372" s="354">
        <v>0</v>
      </c>
      <c r="D372" s="354">
        <v>0</v>
      </c>
      <c r="E372" s="354">
        <v>1</v>
      </c>
      <c r="F372" s="354">
        <v>1</v>
      </c>
      <c r="G372" s="354">
        <v>2</v>
      </c>
      <c r="H372" s="354">
        <v>1</v>
      </c>
      <c r="I372" s="354">
        <v>1</v>
      </c>
      <c r="J372" s="354">
        <v>1</v>
      </c>
      <c r="K372" s="354">
        <v>0</v>
      </c>
      <c r="L372" s="354">
        <v>0</v>
      </c>
      <c r="M372" s="355">
        <v>4</v>
      </c>
      <c r="N372" s="355">
        <v>3</v>
      </c>
    </row>
    <row r="373" spans="1:14" hidden="1" x14ac:dyDescent="0.25">
      <c r="A373" s="354">
        <v>0</v>
      </c>
      <c r="B373" s="354">
        <v>1</v>
      </c>
      <c r="C373" s="354">
        <v>1</v>
      </c>
      <c r="D373" s="354">
        <v>0</v>
      </c>
      <c r="E373" s="354">
        <v>0</v>
      </c>
      <c r="F373" s="354">
        <v>2</v>
      </c>
      <c r="G373" s="354">
        <v>2</v>
      </c>
      <c r="H373" s="354">
        <v>3</v>
      </c>
      <c r="I373" s="354">
        <v>1</v>
      </c>
      <c r="J373" s="354">
        <v>2</v>
      </c>
      <c r="K373" s="354">
        <v>0</v>
      </c>
      <c r="L373" s="354">
        <v>0</v>
      </c>
      <c r="M373" s="355">
        <v>4</v>
      </c>
      <c r="N373" s="355">
        <v>8</v>
      </c>
    </row>
    <row r="374" spans="1:14" hidden="1" x14ac:dyDescent="0.25">
      <c r="A374" s="354">
        <v>0</v>
      </c>
      <c r="B374" s="354">
        <v>0</v>
      </c>
      <c r="C374" s="354">
        <v>1</v>
      </c>
      <c r="D374" s="354"/>
      <c r="E374" s="354">
        <v>0</v>
      </c>
      <c r="F374" s="354">
        <v>1</v>
      </c>
      <c r="G374" s="354">
        <v>0</v>
      </c>
      <c r="H374" s="354">
        <v>0</v>
      </c>
      <c r="I374" s="354">
        <v>1</v>
      </c>
      <c r="J374" s="354">
        <v>2</v>
      </c>
      <c r="K374" s="354">
        <v>0</v>
      </c>
      <c r="L374" s="354">
        <v>0</v>
      </c>
      <c r="M374" s="355">
        <v>2</v>
      </c>
      <c r="N374" s="355">
        <v>3</v>
      </c>
    </row>
    <row r="375" spans="1:14" hidden="1" x14ac:dyDescent="0.25">
      <c r="A375" s="354">
        <v>0</v>
      </c>
      <c r="B375" s="354">
        <v>0</v>
      </c>
      <c r="C375" s="354">
        <v>1</v>
      </c>
      <c r="D375" s="354">
        <v>1</v>
      </c>
      <c r="E375" s="354">
        <v>1</v>
      </c>
      <c r="F375" s="354">
        <v>1</v>
      </c>
      <c r="G375" s="354">
        <v>0</v>
      </c>
      <c r="H375" s="354">
        <v>0</v>
      </c>
      <c r="I375" s="354">
        <v>0</v>
      </c>
      <c r="J375" s="354">
        <v>1</v>
      </c>
      <c r="K375" s="354">
        <v>0</v>
      </c>
      <c r="L375" s="354">
        <v>0</v>
      </c>
      <c r="M375" s="355">
        <v>2</v>
      </c>
      <c r="N375" s="355">
        <v>3</v>
      </c>
    </row>
    <row r="376" spans="1:14" hidden="1" x14ac:dyDescent="0.25">
      <c r="A376" s="354">
        <v>0</v>
      </c>
      <c r="B376" s="354">
        <v>0</v>
      </c>
      <c r="C376" s="354">
        <v>1</v>
      </c>
      <c r="D376" s="354">
        <v>0</v>
      </c>
      <c r="E376" s="354">
        <v>1</v>
      </c>
      <c r="F376" s="354">
        <v>1</v>
      </c>
      <c r="G376" s="354">
        <v>1</v>
      </c>
      <c r="H376" s="354">
        <v>1</v>
      </c>
      <c r="I376" s="354">
        <v>0</v>
      </c>
      <c r="J376" s="354">
        <v>1</v>
      </c>
      <c r="K376" s="354">
        <v>0</v>
      </c>
      <c r="L376" s="354">
        <v>0</v>
      </c>
      <c r="M376" s="355">
        <v>3</v>
      </c>
      <c r="N376" s="355">
        <v>3</v>
      </c>
    </row>
    <row r="377" spans="1:14" hidden="1" x14ac:dyDescent="0.25">
      <c r="A377" s="354">
        <v>0</v>
      </c>
      <c r="B377" s="354">
        <v>0</v>
      </c>
      <c r="C377" s="354">
        <v>0</v>
      </c>
      <c r="D377" s="354">
        <v>0</v>
      </c>
      <c r="E377" s="354">
        <v>1</v>
      </c>
      <c r="F377" s="354">
        <v>1</v>
      </c>
      <c r="G377" s="354">
        <v>1</v>
      </c>
      <c r="H377" s="354">
        <v>1</v>
      </c>
      <c r="I377" s="354">
        <v>1</v>
      </c>
      <c r="J377" s="354">
        <v>2</v>
      </c>
      <c r="K377" s="354">
        <v>0</v>
      </c>
      <c r="L377" s="354">
        <v>0</v>
      </c>
      <c r="M377" s="355">
        <v>3</v>
      </c>
      <c r="N377" s="355">
        <v>4</v>
      </c>
    </row>
    <row r="378" spans="1:14" hidden="1" x14ac:dyDescent="0.25">
      <c r="A378" s="354">
        <v>0</v>
      </c>
      <c r="B378" s="354">
        <v>0</v>
      </c>
      <c r="C378" s="354">
        <v>0</v>
      </c>
      <c r="D378" s="354">
        <v>0</v>
      </c>
      <c r="E378" s="354">
        <v>0</v>
      </c>
      <c r="F378" s="354">
        <v>0</v>
      </c>
      <c r="G378" s="354">
        <v>1</v>
      </c>
      <c r="H378" s="354">
        <v>1</v>
      </c>
      <c r="I378" s="354">
        <v>0</v>
      </c>
      <c r="J378" s="354">
        <v>1</v>
      </c>
      <c r="K378" s="354">
        <v>0</v>
      </c>
      <c r="L378" s="354">
        <v>0</v>
      </c>
      <c r="M378" s="355">
        <v>1</v>
      </c>
      <c r="N378" s="355">
        <v>2</v>
      </c>
    </row>
    <row r="379" spans="1:14" hidden="1" x14ac:dyDescent="0.25">
      <c r="A379" s="354">
        <v>0</v>
      </c>
      <c r="B379" s="354">
        <v>0</v>
      </c>
      <c r="C379" s="354">
        <v>1</v>
      </c>
      <c r="D379" s="354">
        <v>0</v>
      </c>
      <c r="E379" s="354">
        <v>1</v>
      </c>
      <c r="F379" s="354">
        <v>1</v>
      </c>
      <c r="G379" s="354">
        <v>1</v>
      </c>
      <c r="H379" s="354">
        <v>0</v>
      </c>
      <c r="I379" s="354">
        <v>0</v>
      </c>
      <c r="J379" s="354"/>
      <c r="K379" s="354">
        <v>0</v>
      </c>
      <c r="L379" s="354">
        <v>1</v>
      </c>
      <c r="M379" s="355">
        <v>3</v>
      </c>
      <c r="N379" s="355">
        <v>2</v>
      </c>
    </row>
    <row r="380" spans="1:14" hidden="1" x14ac:dyDescent="0.25">
      <c r="A380" s="354">
        <v>0</v>
      </c>
      <c r="B380" s="354">
        <v>0</v>
      </c>
      <c r="C380" s="354">
        <v>0</v>
      </c>
      <c r="D380" s="354">
        <v>0</v>
      </c>
      <c r="E380" s="354">
        <v>0</v>
      </c>
      <c r="F380" s="354">
        <v>0</v>
      </c>
      <c r="G380" s="354">
        <v>0</v>
      </c>
      <c r="H380" s="354">
        <v>0</v>
      </c>
      <c r="I380" s="354">
        <v>0</v>
      </c>
      <c r="J380" s="354">
        <v>1</v>
      </c>
      <c r="K380" s="354">
        <v>0</v>
      </c>
      <c r="L380" s="354">
        <v>1</v>
      </c>
      <c r="M380" s="355">
        <v>0</v>
      </c>
      <c r="N380" s="355">
        <v>2</v>
      </c>
    </row>
    <row r="381" spans="1:14" hidden="1" x14ac:dyDescent="0.25">
      <c r="A381" s="354">
        <v>0</v>
      </c>
      <c r="B381" s="354">
        <v>0</v>
      </c>
      <c r="C381" s="354">
        <v>0</v>
      </c>
      <c r="D381" s="354">
        <v>1</v>
      </c>
      <c r="E381" s="354">
        <v>0</v>
      </c>
      <c r="F381" s="354">
        <v>2</v>
      </c>
      <c r="G381" s="354">
        <v>1</v>
      </c>
      <c r="H381" s="354">
        <v>1</v>
      </c>
      <c r="I381" s="354">
        <v>1</v>
      </c>
      <c r="J381" s="354"/>
      <c r="K381" s="354">
        <v>1</v>
      </c>
      <c r="L381" s="354">
        <v>0</v>
      </c>
      <c r="M381" s="355">
        <v>3</v>
      </c>
      <c r="N381" s="355">
        <v>4</v>
      </c>
    </row>
    <row r="382" spans="1:14" hidden="1" x14ac:dyDescent="0.25">
      <c r="A382" s="354">
        <v>0</v>
      </c>
      <c r="B382" s="354">
        <v>3</v>
      </c>
      <c r="C382" s="354">
        <v>1</v>
      </c>
      <c r="D382" s="354">
        <v>2</v>
      </c>
      <c r="E382" s="354">
        <v>1</v>
      </c>
      <c r="F382" s="354">
        <v>2</v>
      </c>
      <c r="G382" s="354">
        <v>1</v>
      </c>
      <c r="H382" s="354">
        <v>1</v>
      </c>
      <c r="I382" s="354">
        <v>2</v>
      </c>
      <c r="J382" s="354">
        <v>2</v>
      </c>
      <c r="K382" s="354">
        <v>1</v>
      </c>
      <c r="L382" s="354">
        <v>0</v>
      </c>
      <c r="M382" s="355">
        <v>6</v>
      </c>
      <c r="N382" s="355">
        <v>10</v>
      </c>
    </row>
    <row r="383" spans="1:14" hidden="1" x14ac:dyDescent="0.25">
      <c r="A383" s="354">
        <v>0</v>
      </c>
      <c r="B383" s="354">
        <v>0</v>
      </c>
      <c r="C383" s="354">
        <v>0</v>
      </c>
      <c r="D383" s="354">
        <v>1</v>
      </c>
      <c r="E383" s="354">
        <v>0</v>
      </c>
      <c r="F383" s="354">
        <v>2</v>
      </c>
      <c r="G383" s="354">
        <v>1</v>
      </c>
      <c r="H383" s="354">
        <v>1</v>
      </c>
      <c r="I383" s="354">
        <v>1</v>
      </c>
      <c r="J383" s="354">
        <v>1</v>
      </c>
      <c r="K383" s="354">
        <v>0</v>
      </c>
      <c r="L383" s="354">
        <v>0</v>
      </c>
      <c r="M383" s="355">
        <v>2</v>
      </c>
      <c r="N383" s="355">
        <v>5</v>
      </c>
    </row>
    <row r="384" spans="1:14" hidden="1" x14ac:dyDescent="0.25">
      <c r="A384" s="354">
        <v>0</v>
      </c>
      <c r="B384" s="354">
        <v>0</v>
      </c>
      <c r="C384" s="354">
        <v>0</v>
      </c>
      <c r="D384" s="354">
        <v>0</v>
      </c>
      <c r="E384" s="354">
        <v>1</v>
      </c>
      <c r="F384" s="354">
        <v>1</v>
      </c>
      <c r="G384" s="354">
        <v>1</v>
      </c>
      <c r="H384" s="354">
        <v>0</v>
      </c>
      <c r="I384" s="354">
        <v>1</v>
      </c>
      <c r="J384" s="354">
        <v>1</v>
      </c>
      <c r="K384" s="354">
        <v>0</v>
      </c>
      <c r="L384" s="354">
        <v>0</v>
      </c>
      <c r="M384" s="355">
        <v>3</v>
      </c>
      <c r="N384" s="355">
        <v>2</v>
      </c>
    </row>
    <row r="385" spans="1:14" hidden="1" x14ac:dyDescent="0.25">
      <c r="A385" s="354">
        <v>2</v>
      </c>
      <c r="B385" s="354">
        <v>1</v>
      </c>
      <c r="C385" s="354">
        <v>4</v>
      </c>
      <c r="D385" s="354">
        <v>1</v>
      </c>
      <c r="E385" s="354">
        <v>2</v>
      </c>
      <c r="F385" s="354">
        <v>0</v>
      </c>
      <c r="G385" s="354">
        <v>2</v>
      </c>
      <c r="H385" s="354">
        <v>0</v>
      </c>
      <c r="I385" s="354">
        <v>9</v>
      </c>
      <c r="J385" s="354">
        <v>6</v>
      </c>
      <c r="K385" s="354">
        <v>1</v>
      </c>
      <c r="L385" s="354">
        <v>0</v>
      </c>
      <c r="M385" s="355">
        <v>20</v>
      </c>
      <c r="N385" s="355">
        <v>8</v>
      </c>
    </row>
    <row r="386" spans="1:14" hidden="1" x14ac:dyDescent="0.25">
      <c r="A386" s="354">
        <v>1</v>
      </c>
      <c r="B386" s="354">
        <v>0</v>
      </c>
      <c r="C386" s="354">
        <v>1</v>
      </c>
      <c r="D386" s="354">
        <v>0</v>
      </c>
      <c r="E386" s="354">
        <v>1</v>
      </c>
      <c r="F386" s="354">
        <v>0</v>
      </c>
      <c r="G386" s="354">
        <v>0</v>
      </c>
      <c r="H386" s="354">
        <v>0</v>
      </c>
      <c r="I386" s="354">
        <v>1</v>
      </c>
      <c r="J386" s="354">
        <v>1</v>
      </c>
      <c r="K386" s="354">
        <v>0</v>
      </c>
      <c r="L386" s="354">
        <v>0</v>
      </c>
      <c r="M386" s="355">
        <v>4</v>
      </c>
      <c r="N386" s="355">
        <v>1</v>
      </c>
    </row>
    <row r="387" spans="1:14" hidden="1" x14ac:dyDescent="0.25">
      <c r="A387" s="354">
        <v>1</v>
      </c>
      <c r="B387" s="354">
        <v>1</v>
      </c>
      <c r="C387" s="354">
        <v>0</v>
      </c>
      <c r="D387" s="354">
        <v>0</v>
      </c>
      <c r="E387" s="354">
        <v>1</v>
      </c>
      <c r="F387" s="354">
        <v>0</v>
      </c>
      <c r="G387" s="354">
        <v>0</v>
      </c>
      <c r="H387" s="354">
        <v>0</v>
      </c>
      <c r="I387" s="354">
        <v>1</v>
      </c>
      <c r="J387" s="354">
        <v>1</v>
      </c>
      <c r="K387" s="354">
        <v>0</v>
      </c>
      <c r="L387" s="354">
        <v>0</v>
      </c>
      <c r="M387" s="355">
        <v>3</v>
      </c>
      <c r="N387" s="355">
        <v>2</v>
      </c>
    </row>
    <row r="388" spans="1:14" hidden="1" x14ac:dyDescent="0.25">
      <c r="A388" s="354">
        <v>0</v>
      </c>
      <c r="B388" s="354">
        <v>0</v>
      </c>
      <c r="C388" s="354">
        <v>0</v>
      </c>
      <c r="D388" s="354">
        <v>0</v>
      </c>
      <c r="E388" s="354">
        <v>0</v>
      </c>
      <c r="F388" s="354">
        <v>2</v>
      </c>
      <c r="G388" s="354">
        <v>0</v>
      </c>
      <c r="H388" s="354">
        <v>1</v>
      </c>
      <c r="I388" s="354">
        <v>2</v>
      </c>
      <c r="J388" s="354">
        <v>1</v>
      </c>
      <c r="K388" s="354">
        <v>1</v>
      </c>
      <c r="L388" s="354">
        <v>0</v>
      </c>
      <c r="M388" s="355">
        <v>3</v>
      </c>
      <c r="N388" s="355">
        <v>4</v>
      </c>
    </row>
    <row r="389" spans="1:14" hidden="1" x14ac:dyDescent="0.25">
      <c r="A389" s="354">
        <v>1</v>
      </c>
      <c r="B389" s="354">
        <v>0</v>
      </c>
      <c r="C389" s="354">
        <v>0</v>
      </c>
      <c r="D389" s="354">
        <v>0</v>
      </c>
      <c r="E389" s="354">
        <v>2</v>
      </c>
      <c r="F389" s="354">
        <v>1</v>
      </c>
      <c r="G389" s="354">
        <v>0</v>
      </c>
      <c r="H389" s="354">
        <v>1</v>
      </c>
      <c r="I389" s="354">
        <v>1</v>
      </c>
      <c r="J389" s="354">
        <v>2</v>
      </c>
      <c r="K389" s="354">
        <v>0</v>
      </c>
      <c r="L389" s="354">
        <v>0</v>
      </c>
      <c r="M389" s="355">
        <v>4</v>
      </c>
      <c r="N389" s="355">
        <v>4</v>
      </c>
    </row>
    <row r="390" spans="1:14" hidden="1" x14ac:dyDescent="0.25">
      <c r="A390" s="354">
        <v>0</v>
      </c>
      <c r="B390" s="354">
        <v>1</v>
      </c>
      <c r="C390" s="354">
        <v>2</v>
      </c>
      <c r="D390" s="354">
        <v>1</v>
      </c>
      <c r="E390" s="354">
        <v>2</v>
      </c>
      <c r="F390" s="354">
        <v>0</v>
      </c>
      <c r="G390" s="354">
        <v>1</v>
      </c>
      <c r="H390" s="354">
        <v>1</v>
      </c>
      <c r="I390" s="354">
        <v>2</v>
      </c>
      <c r="J390" s="354">
        <v>2</v>
      </c>
      <c r="K390" s="354">
        <v>0</v>
      </c>
      <c r="L390" s="354">
        <v>0</v>
      </c>
      <c r="M390" s="355">
        <v>7</v>
      </c>
      <c r="N390" s="355">
        <v>5</v>
      </c>
    </row>
    <row r="391" spans="1:14" hidden="1" x14ac:dyDescent="0.25">
      <c r="A391" s="354">
        <v>1</v>
      </c>
      <c r="B391" s="354">
        <v>1</v>
      </c>
      <c r="C391" s="354">
        <v>0</v>
      </c>
      <c r="D391" s="354">
        <v>0</v>
      </c>
      <c r="E391" s="354">
        <v>2</v>
      </c>
      <c r="F391" s="354">
        <v>1</v>
      </c>
      <c r="G391" s="354">
        <v>0</v>
      </c>
      <c r="H391" s="354">
        <v>1</v>
      </c>
      <c r="I391" s="354">
        <v>4</v>
      </c>
      <c r="J391" s="354">
        <v>5</v>
      </c>
      <c r="K391" s="354">
        <v>0</v>
      </c>
      <c r="L391" s="354">
        <v>0</v>
      </c>
      <c r="M391" s="355">
        <v>7</v>
      </c>
      <c r="N391" s="355">
        <v>8</v>
      </c>
    </row>
    <row r="392" spans="1:14" hidden="1" x14ac:dyDescent="0.25">
      <c r="A392" s="354">
        <v>1</v>
      </c>
      <c r="B392" s="354">
        <v>0</v>
      </c>
      <c r="C392" s="354">
        <v>0</v>
      </c>
      <c r="D392" s="354">
        <v>2</v>
      </c>
      <c r="E392" s="354">
        <v>3</v>
      </c>
      <c r="F392" s="354">
        <v>0</v>
      </c>
      <c r="G392" s="354">
        <v>0</v>
      </c>
      <c r="H392" s="354">
        <v>0</v>
      </c>
      <c r="I392" s="354">
        <v>1</v>
      </c>
      <c r="J392" s="354">
        <v>3</v>
      </c>
      <c r="K392" s="354">
        <v>0</v>
      </c>
      <c r="L392" s="354">
        <v>0</v>
      </c>
      <c r="M392" s="355">
        <v>5</v>
      </c>
      <c r="N392" s="355">
        <v>5</v>
      </c>
    </row>
    <row r="393" spans="1:14" hidden="1" x14ac:dyDescent="0.25">
      <c r="A393" s="354">
        <v>0</v>
      </c>
      <c r="B393" s="354">
        <v>0</v>
      </c>
      <c r="C393" s="354">
        <v>1</v>
      </c>
      <c r="D393" s="354">
        <v>0</v>
      </c>
      <c r="E393" s="354">
        <v>0</v>
      </c>
      <c r="F393" s="354">
        <v>1</v>
      </c>
      <c r="G393" s="354">
        <v>1</v>
      </c>
      <c r="H393" s="354">
        <v>1</v>
      </c>
      <c r="I393" s="354">
        <v>1</v>
      </c>
      <c r="J393" s="354">
        <v>2</v>
      </c>
      <c r="K393" s="354">
        <v>0</v>
      </c>
      <c r="L393" s="354">
        <v>0</v>
      </c>
      <c r="M393" s="355">
        <v>3</v>
      </c>
      <c r="N393" s="355">
        <v>4</v>
      </c>
    </row>
    <row r="394" spans="1:14" hidden="1" x14ac:dyDescent="0.25">
      <c r="A394" s="354">
        <v>1</v>
      </c>
      <c r="B394" s="354">
        <v>0</v>
      </c>
      <c r="C394" s="354">
        <v>1</v>
      </c>
      <c r="D394" s="354">
        <v>0</v>
      </c>
      <c r="E394" s="354">
        <v>2</v>
      </c>
      <c r="F394" s="354">
        <v>1</v>
      </c>
      <c r="G394" s="354">
        <v>0</v>
      </c>
      <c r="H394" s="354">
        <v>1</v>
      </c>
      <c r="I394" s="354">
        <v>1</v>
      </c>
      <c r="J394" s="354">
        <v>2</v>
      </c>
      <c r="K394" s="354">
        <v>0</v>
      </c>
      <c r="L394" s="354">
        <v>0</v>
      </c>
      <c r="M394" s="355">
        <v>5</v>
      </c>
      <c r="N394" s="355">
        <v>4</v>
      </c>
    </row>
    <row r="395" spans="1:14" hidden="1" x14ac:dyDescent="0.25">
      <c r="A395" s="354">
        <v>0</v>
      </c>
      <c r="B395" s="354">
        <v>1</v>
      </c>
      <c r="C395" s="354">
        <v>1</v>
      </c>
      <c r="D395" s="354">
        <v>2</v>
      </c>
      <c r="E395" s="354">
        <v>2</v>
      </c>
      <c r="F395" s="354">
        <v>1</v>
      </c>
      <c r="G395" s="354">
        <v>1</v>
      </c>
      <c r="H395" s="354">
        <v>1</v>
      </c>
      <c r="I395" s="354">
        <v>1</v>
      </c>
      <c r="J395" s="354">
        <v>1</v>
      </c>
      <c r="K395" s="354">
        <v>0</v>
      </c>
      <c r="L395" s="354">
        <v>0</v>
      </c>
      <c r="M395" s="355">
        <v>5</v>
      </c>
      <c r="N395" s="355">
        <v>6</v>
      </c>
    </row>
    <row r="396" spans="1:14" hidden="1" x14ac:dyDescent="0.25">
      <c r="A396" s="354">
        <v>1</v>
      </c>
      <c r="B396" s="354">
        <v>0</v>
      </c>
      <c r="C396" s="354">
        <v>2</v>
      </c>
      <c r="D396" s="354">
        <v>1</v>
      </c>
      <c r="E396" s="354">
        <v>1</v>
      </c>
      <c r="F396" s="354">
        <v>0</v>
      </c>
      <c r="G396" s="354">
        <v>2</v>
      </c>
      <c r="H396" s="354">
        <v>0</v>
      </c>
      <c r="I396" s="354">
        <v>1</v>
      </c>
      <c r="J396" s="354">
        <v>2</v>
      </c>
      <c r="K396" s="354">
        <v>0</v>
      </c>
      <c r="L396" s="354">
        <v>0</v>
      </c>
      <c r="M396" s="355">
        <v>7</v>
      </c>
      <c r="N396" s="355">
        <v>3</v>
      </c>
    </row>
    <row r="397" spans="1:14" hidden="1" x14ac:dyDescent="0.25">
      <c r="A397" s="354">
        <v>0</v>
      </c>
      <c r="B397" s="354">
        <v>0</v>
      </c>
      <c r="C397" s="354">
        <v>1</v>
      </c>
      <c r="D397" s="354">
        <v>0</v>
      </c>
      <c r="E397" s="354">
        <v>2</v>
      </c>
      <c r="F397" s="354">
        <v>1</v>
      </c>
      <c r="G397" s="354">
        <v>1</v>
      </c>
      <c r="H397" s="354">
        <v>0</v>
      </c>
      <c r="I397" s="354">
        <v>1</v>
      </c>
      <c r="J397" s="354">
        <v>1</v>
      </c>
      <c r="K397" s="354">
        <v>0</v>
      </c>
      <c r="L397" s="354">
        <v>0</v>
      </c>
      <c r="M397" s="355">
        <v>5</v>
      </c>
      <c r="N397" s="355">
        <v>2</v>
      </c>
    </row>
    <row r="398" spans="1:14" hidden="1" x14ac:dyDescent="0.25">
      <c r="A398" s="354">
        <v>0</v>
      </c>
      <c r="B398" s="354">
        <v>0</v>
      </c>
      <c r="C398" s="354">
        <v>0</v>
      </c>
      <c r="D398" s="354">
        <v>0</v>
      </c>
      <c r="E398" s="354">
        <v>1</v>
      </c>
      <c r="F398" s="354">
        <v>1</v>
      </c>
      <c r="G398" s="354">
        <v>0</v>
      </c>
      <c r="H398" s="354">
        <v>1</v>
      </c>
      <c r="I398" s="354">
        <v>1</v>
      </c>
      <c r="J398" s="354">
        <v>1</v>
      </c>
      <c r="K398" s="354">
        <v>1</v>
      </c>
      <c r="L398" s="354">
        <v>0</v>
      </c>
      <c r="M398" s="355">
        <v>3</v>
      </c>
      <c r="N398" s="355">
        <v>3</v>
      </c>
    </row>
    <row r="399" spans="1:14" hidden="1" x14ac:dyDescent="0.25">
      <c r="A399" s="354">
        <v>0</v>
      </c>
      <c r="B399" s="354">
        <v>1</v>
      </c>
      <c r="C399" s="354">
        <v>2</v>
      </c>
      <c r="D399" s="354">
        <v>0</v>
      </c>
      <c r="E399" s="354">
        <v>1</v>
      </c>
      <c r="F399" s="354">
        <v>0</v>
      </c>
      <c r="G399" s="354">
        <v>1</v>
      </c>
      <c r="H399" s="354">
        <v>1</v>
      </c>
      <c r="I399" s="354">
        <v>1</v>
      </c>
      <c r="J399" s="354">
        <v>1</v>
      </c>
      <c r="K399" s="354">
        <v>0</v>
      </c>
      <c r="L399" s="354">
        <v>0</v>
      </c>
      <c r="M399" s="355">
        <v>5</v>
      </c>
      <c r="N399" s="355">
        <v>3</v>
      </c>
    </row>
    <row r="400" spans="1:14" hidden="1" x14ac:dyDescent="0.25">
      <c r="A400" s="354">
        <v>0</v>
      </c>
      <c r="B400" s="354">
        <v>1</v>
      </c>
      <c r="C400" s="354">
        <v>1</v>
      </c>
      <c r="D400" s="354">
        <v>0</v>
      </c>
      <c r="E400" s="354">
        <v>1</v>
      </c>
      <c r="F400" s="354">
        <v>0</v>
      </c>
      <c r="G400" s="354">
        <v>1</v>
      </c>
      <c r="H400" s="354">
        <v>0</v>
      </c>
      <c r="I400" s="354">
        <v>1</v>
      </c>
      <c r="J400" s="354">
        <v>1</v>
      </c>
      <c r="K400" s="354">
        <v>0</v>
      </c>
      <c r="L400" s="354">
        <v>0</v>
      </c>
      <c r="M400" s="355">
        <v>4</v>
      </c>
      <c r="N400" s="355">
        <v>2</v>
      </c>
    </row>
    <row r="401" spans="1:14" hidden="1" x14ac:dyDescent="0.25">
      <c r="A401" s="354">
        <v>2</v>
      </c>
      <c r="B401" s="354">
        <v>0</v>
      </c>
      <c r="C401" s="354">
        <v>2</v>
      </c>
      <c r="D401" s="354">
        <v>1</v>
      </c>
      <c r="E401" s="354">
        <v>3</v>
      </c>
      <c r="F401" s="354">
        <v>0</v>
      </c>
      <c r="G401" s="354">
        <v>2</v>
      </c>
      <c r="H401" s="354">
        <v>1</v>
      </c>
      <c r="I401" s="354">
        <v>1</v>
      </c>
      <c r="J401" s="354">
        <v>2</v>
      </c>
      <c r="K401" s="354">
        <v>0</v>
      </c>
      <c r="L401" s="354">
        <v>0</v>
      </c>
      <c r="M401" s="355">
        <v>10</v>
      </c>
      <c r="N401" s="355">
        <v>4</v>
      </c>
    </row>
    <row r="402" spans="1:14" hidden="1" x14ac:dyDescent="0.25">
      <c r="A402" s="354">
        <v>1</v>
      </c>
      <c r="B402" s="354">
        <v>0</v>
      </c>
      <c r="C402" s="354">
        <v>2</v>
      </c>
      <c r="D402" s="354">
        <v>2</v>
      </c>
      <c r="E402" s="354">
        <v>3</v>
      </c>
      <c r="F402" s="354">
        <v>1</v>
      </c>
      <c r="G402" s="354">
        <v>1</v>
      </c>
      <c r="H402" s="354">
        <v>1</v>
      </c>
      <c r="I402" s="354">
        <v>2</v>
      </c>
      <c r="J402" s="354">
        <v>2</v>
      </c>
      <c r="K402" s="354">
        <v>0</v>
      </c>
      <c r="L402" s="354">
        <v>0</v>
      </c>
      <c r="M402" s="355">
        <v>9</v>
      </c>
      <c r="N402" s="355">
        <v>6</v>
      </c>
    </row>
    <row r="403" spans="1:14" hidden="1" x14ac:dyDescent="0.25">
      <c r="A403" s="354">
        <v>1</v>
      </c>
      <c r="B403" s="354">
        <v>0</v>
      </c>
      <c r="C403" s="354">
        <v>1</v>
      </c>
      <c r="D403" s="354">
        <v>1</v>
      </c>
      <c r="E403" s="354">
        <v>0</v>
      </c>
      <c r="F403" s="354">
        <v>2</v>
      </c>
      <c r="G403" s="354">
        <v>0</v>
      </c>
      <c r="H403" s="354">
        <v>0</v>
      </c>
      <c r="I403" s="354">
        <v>1</v>
      </c>
      <c r="J403" s="354">
        <v>1</v>
      </c>
      <c r="K403" s="354">
        <v>0</v>
      </c>
      <c r="L403" s="354">
        <v>0</v>
      </c>
      <c r="M403" s="355">
        <v>3</v>
      </c>
      <c r="N403" s="355">
        <v>4</v>
      </c>
    </row>
    <row r="404" spans="1:14" hidden="1" x14ac:dyDescent="0.25">
      <c r="A404" s="354">
        <v>1</v>
      </c>
      <c r="B404" s="354">
        <v>2</v>
      </c>
      <c r="C404" s="354">
        <v>2</v>
      </c>
      <c r="D404" s="354">
        <v>0</v>
      </c>
      <c r="E404" s="354">
        <v>2</v>
      </c>
      <c r="F404" s="354">
        <v>0</v>
      </c>
      <c r="G404" s="354">
        <v>3</v>
      </c>
      <c r="H404" s="354">
        <v>0</v>
      </c>
      <c r="I404" s="354">
        <v>2</v>
      </c>
      <c r="J404" s="354">
        <v>3</v>
      </c>
      <c r="K404" s="354">
        <v>0</v>
      </c>
      <c r="L404" s="354">
        <v>0</v>
      </c>
      <c r="M404" s="355">
        <v>10</v>
      </c>
      <c r="N404" s="355">
        <v>5</v>
      </c>
    </row>
    <row r="405" spans="1:14" hidden="1" x14ac:dyDescent="0.25">
      <c r="A405" s="354">
        <v>0</v>
      </c>
      <c r="B405" s="354">
        <v>0</v>
      </c>
      <c r="C405" s="354">
        <v>0</v>
      </c>
      <c r="D405" s="354">
        <v>0</v>
      </c>
      <c r="E405" s="354">
        <v>0</v>
      </c>
      <c r="F405" s="354">
        <v>0</v>
      </c>
      <c r="G405" s="354">
        <v>1</v>
      </c>
      <c r="H405" s="354">
        <v>0</v>
      </c>
      <c r="I405" s="354">
        <v>0</v>
      </c>
      <c r="J405" s="354">
        <v>2</v>
      </c>
      <c r="K405" s="354">
        <v>1</v>
      </c>
      <c r="L405" s="354">
        <v>0</v>
      </c>
      <c r="M405" s="355">
        <v>2</v>
      </c>
      <c r="N405" s="355">
        <v>2</v>
      </c>
    </row>
    <row r="406" spans="1:14" hidden="1" x14ac:dyDescent="0.25">
      <c r="A406" s="354">
        <v>1</v>
      </c>
      <c r="B406" s="354">
        <v>1</v>
      </c>
      <c r="C406" s="354">
        <v>0</v>
      </c>
      <c r="D406" s="354">
        <v>1</v>
      </c>
      <c r="E406" s="354">
        <v>2</v>
      </c>
      <c r="F406" s="354">
        <v>1</v>
      </c>
      <c r="G406" s="354">
        <v>0</v>
      </c>
      <c r="H406" s="354">
        <v>0</v>
      </c>
      <c r="I406" s="354">
        <v>1</v>
      </c>
      <c r="J406" s="354">
        <v>1</v>
      </c>
      <c r="K406" s="354">
        <v>0</v>
      </c>
      <c r="L406" s="354">
        <v>0</v>
      </c>
      <c r="M406" s="355">
        <v>4</v>
      </c>
      <c r="N406" s="355">
        <v>4</v>
      </c>
    </row>
    <row r="407" spans="1:14" hidden="1" x14ac:dyDescent="0.25">
      <c r="A407" s="354">
        <v>1</v>
      </c>
      <c r="B407" s="354">
        <v>0</v>
      </c>
      <c r="C407" s="354">
        <v>1</v>
      </c>
      <c r="D407" s="354">
        <v>1</v>
      </c>
      <c r="E407" s="354">
        <v>0</v>
      </c>
      <c r="F407" s="354">
        <v>2</v>
      </c>
      <c r="G407" s="354">
        <v>0</v>
      </c>
      <c r="H407" s="354">
        <v>0</v>
      </c>
      <c r="I407" s="354">
        <v>1</v>
      </c>
      <c r="J407" s="354">
        <v>1</v>
      </c>
      <c r="K407" s="354">
        <v>0</v>
      </c>
      <c r="L407" s="354">
        <v>0</v>
      </c>
      <c r="M407" s="355">
        <v>3</v>
      </c>
      <c r="N407" s="355">
        <v>4</v>
      </c>
    </row>
    <row r="408" spans="1:14" hidden="1" x14ac:dyDescent="0.25">
      <c r="A408" s="354">
        <v>0</v>
      </c>
      <c r="B408" s="354">
        <v>0</v>
      </c>
      <c r="C408" s="354">
        <v>0</v>
      </c>
      <c r="D408" s="354">
        <v>0</v>
      </c>
      <c r="E408" s="354">
        <v>0</v>
      </c>
      <c r="F408" s="354">
        <v>2</v>
      </c>
      <c r="G408" s="354">
        <v>0</v>
      </c>
      <c r="H408" s="354">
        <v>0</v>
      </c>
      <c r="I408" s="354">
        <v>0</v>
      </c>
      <c r="J408" s="354">
        <v>1</v>
      </c>
      <c r="K408" s="354">
        <v>0</v>
      </c>
      <c r="L408" s="354">
        <v>0</v>
      </c>
      <c r="M408" s="355">
        <v>0</v>
      </c>
      <c r="N408" s="355">
        <v>3</v>
      </c>
    </row>
    <row r="409" spans="1:14" hidden="1" x14ac:dyDescent="0.25">
      <c r="A409" s="354">
        <v>1</v>
      </c>
      <c r="B409" s="354">
        <v>1</v>
      </c>
      <c r="C409" s="354">
        <v>0</v>
      </c>
      <c r="D409" s="354">
        <v>1</v>
      </c>
      <c r="E409" s="354">
        <v>3</v>
      </c>
      <c r="F409" s="354">
        <v>0</v>
      </c>
      <c r="G409" s="354">
        <v>1</v>
      </c>
      <c r="H409" s="354">
        <v>0</v>
      </c>
      <c r="I409" s="354">
        <v>1</v>
      </c>
      <c r="J409" s="354">
        <v>1</v>
      </c>
      <c r="K409" s="354">
        <v>0</v>
      </c>
      <c r="L409" s="354">
        <v>0</v>
      </c>
      <c r="M409" s="355">
        <v>6</v>
      </c>
      <c r="N409" s="355">
        <v>3</v>
      </c>
    </row>
    <row r="410" spans="1:14" hidden="1" x14ac:dyDescent="0.25">
      <c r="A410" s="354">
        <v>0</v>
      </c>
      <c r="B410" s="354">
        <v>1</v>
      </c>
      <c r="C410" s="354">
        <v>0</v>
      </c>
      <c r="D410" s="354">
        <v>0</v>
      </c>
      <c r="E410" s="354">
        <v>0</v>
      </c>
      <c r="F410" s="354">
        <v>0</v>
      </c>
      <c r="G410" s="354">
        <v>0</v>
      </c>
      <c r="H410" s="354">
        <v>0</v>
      </c>
      <c r="I410" s="354">
        <v>1</v>
      </c>
      <c r="J410" s="354">
        <v>1</v>
      </c>
      <c r="K410" s="354">
        <v>0</v>
      </c>
      <c r="L410" s="354">
        <v>0</v>
      </c>
      <c r="M410" s="355">
        <v>1</v>
      </c>
      <c r="N410" s="355">
        <v>2</v>
      </c>
    </row>
    <row r="411" spans="1:14" hidden="1" x14ac:dyDescent="0.25">
      <c r="A411" s="354">
        <v>0</v>
      </c>
      <c r="B411" s="354">
        <v>2</v>
      </c>
      <c r="C411" s="354">
        <v>0</v>
      </c>
      <c r="D411" s="354">
        <v>2</v>
      </c>
      <c r="E411" s="354">
        <v>2</v>
      </c>
      <c r="F411" s="354">
        <v>1</v>
      </c>
      <c r="G411" s="354">
        <v>1</v>
      </c>
      <c r="H411" s="354">
        <v>1</v>
      </c>
      <c r="I411" s="354">
        <v>1</v>
      </c>
      <c r="J411" s="354">
        <v>1</v>
      </c>
      <c r="K411" s="354">
        <v>0</v>
      </c>
      <c r="L411" s="354">
        <v>0</v>
      </c>
      <c r="M411" s="355">
        <v>4</v>
      </c>
      <c r="N411" s="355">
        <v>7</v>
      </c>
    </row>
    <row r="412" spans="1:14" hidden="1" x14ac:dyDescent="0.25">
      <c r="A412" s="354">
        <v>1</v>
      </c>
      <c r="B412" s="354">
        <v>1</v>
      </c>
      <c r="C412" s="354">
        <v>1</v>
      </c>
      <c r="D412" s="354">
        <v>1</v>
      </c>
      <c r="E412" s="354">
        <v>2</v>
      </c>
      <c r="F412" s="354">
        <v>1</v>
      </c>
      <c r="G412" s="354">
        <v>2</v>
      </c>
      <c r="H412" s="354">
        <v>4</v>
      </c>
      <c r="I412" s="354">
        <v>2</v>
      </c>
      <c r="J412" s="354">
        <v>3</v>
      </c>
      <c r="K412" s="354">
        <v>0</v>
      </c>
      <c r="L412" s="354">
        <v>0</v>
      </c>
      <c r="M412" s="355">
        <v>8</v>
      </c>
      <c r="N412" s="355">
        <v>10</v>
      </c>
    </row>
    <row r="413" spans="1:14" hidden="1" x14ac:dyDescent="0.25">
      <c r="A413" s="354">
        <v>0</v>
      </c>
      <c r="B413" s="354">
        <v>1</v>
      </c>
      <c r="C413" s="354">
        <v>2</v>
      </c>
      <c r="D413" s="354">
        <v>0</v>
      </c>
      <c r="E413" s="354">
        <v>0</v>
      </c>
      <c r="F413" s="354">
        <v>1</v>
      </c>
      <c r="G413" s="354">
        <v>1</v>
      </c>
      <c r="H413" s="354">
        <v>1</v>
      </c>
      <c r="I413" s="354">
        <v>2</v>
      </c>
      <c r="J413" s="354">
        <v>2</v>
      </c>
      <c r="K413" s="354">
        <v>0</v>
      </c>
      <c r="L413" s="354">
        <v>0</v>
      </c>
      <c r="M413" s="355">
        <v>5</v>
      </c>
      <c r="N413" s="355">
        <v>5</v>
      </c>
    </row>
    <row r="414" spans="1:14" hidden="1" x14ac:dyDescent="0.25">
      <c r="A414" s="354">
        <v>0</v>
      </c>
      <c r="B414" s="354">
        <v>1</v>
      </c>
      <c r="C414" s="354">
        <v>0</v>
      </c>
      <c r="D414" s="354">
        <v>0</v>
      </c>
      <c r="E414" s="354">
        <v>2</v>
      </c>
      <c r="F414" s="354">
        <v>0</v>
      </c>
      <c r="G414" s="354">
        <v>1</v>
      </c>
      <c r="H414" s="354">
        <v>2</v>
      </c>
      <c r="I414" s="354">
        <v>1</v>
      </c>
      <c r="J414" s="354">
        <v>1</v>
      </c>
      <c r="K414" s="354">
        <v>0</v>
      </c>
      <c r="L414" s="354">
        <v>0</v>
      </c>
      <c r="M414" s="355">
        <v>4</v>
      </c>
      <c r="N414" s="355">
        <v>4</v>
      </c>
    </row>
    <row r="415" spans="1:14" hidden="1" x14ac:dyDescent="0.25">
      <c r="A415" s="354">
        <v>1</v>
      </c>
      <c r="B415" s="354">
        <v>0</v>
      </c>
      <c r="C415" s="354">
        <v>0</v>
      </c>
      <c r="D415" s="354">
        <v>1</v>
      </c>
      <c r="E415" s="354">
        <v>0</v>
      </c>
      <c r="F415" s="354">
        <v>0</v>
      </c>
      <c r="G415" s="354">
        <v>0</v>
      </c>
      <c r="H415" s="354">
        <v>0</v>
      </c>
      <c r="I415" s="354">
        <v>1</v>
      </c>
      <c r="J415" s="354">
        <v>1</v>
      </c>
      <c r="K415" s="354">
        <v>0</v>
      </c>
      <c r="L415" s="354">
        <v>0</v>
      </c>
      <c r="M415" s="355">
        <v>2</v>
      </c>
      <c r="N415" s="355">
        <v>2</v>
      </c>
    </row>
    <row r="416" spans="1:14" hidden="1" x14ac:dyDescent="0.25">
      <c r="A416" s="354">
        <v>2</v>
      </c>
      <c r="B416" s="354">
        <v>1</v>
      </c>
      <c r="C416" s="354">
        <v>1</v>
      </c>
      <c r="D416" s="354">
        <v>3</v>
      </c>
      <c r="E416" s="354">
        <v>2</v>
      </c>
      <c r="F416" s="354">
        <v>4</v>
      </c>
      <c r="G416" s="354">
        <v>7</v>
      </c>
      <c r="H416" s="354">
        <v>3</v>
      </c>
      <c r="I416" s="354">
        <v>6</v>
      </c>
      <c r="J416" s="354">
        <v>4</v>
      </c>
      <c r="K416" s="354">
        <v>0</v>
      </c>
      <c r="L416" s="354">
        <v>0</v>
      </c>
      <c r="M416" s="355">
        <v>18</v>
      </c>
      <c r="N416" s="355">
        <v>15</v>
      </c>
    </row>
    <row r="417" spans="1:14" hidden="1" x14ac:dyDescent="0.25">
      <c r="A417" s="354">
        <v>0</v>
      </c>
      <c r="B417" s="354">
        <v>1</v>
      </c>
      <c r="C417" s="354">
        <v>0</v>
      </c>
      <c r="D417" s="354">
        <v>2</v>
      </c>
      <c r="E417" s="354">
        <v>0</v>
      </c>
      <c r="F417" s="354">
        <v>2</v>
      </c>
      <c r="G417" s="354">
        <v>0</v>
      </c>
      <c r="H417" s="354">
        <v>0</v>
      </c>
      <c r="I417" s="354">
        <v>1</v>
      </c>
      <c r="J417" s="354">
        <v>1</v>
      </c>
      <c r="K417" s="354">
        <v>0</v>
      </c>
      <c r="L417" s="354">
        <v>0</v>
      </c>
      <c r="M417" s="355">
        <v>1</v>
      </c>
      <c r="N417" s="355">
        <v>6</v>
      </c>
    </row>
    <row r="418" spans="1:14" hidden="1" x14ac:dyDescent="0.25">
      <c r="A418" s="354">
        <v>0</v>
      </c>
      <c r="B418" s="354">
        <v>0</v>
      </c>
      <c r="C418" s="354">
        <v>0</v>
      </c>
      <c r="D418" s="354">
        <v>1</v>
      </c>
      <c r="E418" s="354">
        <v>0</v>
      </c>
      <c r="F418" s="354">
        <v>0</v>
      </c>
      <c r="G418" s="354">
        <v>0</v>
      </c>
      <c r="H418" s="354">
        <v>0</v>
      </c>
      <c r="I418" s="354">
        <v>1</v>
      </c>
      <c r="J418" s="354">
        <v>1</v>
      </c>
      <c r="K418" s="354">
        <v>0</v>
      </c>
      <c r="L418" s="354">
        <v>0</v>
      </c>
      <c r="M418" s="355">
        <v>1</v>
      </c>
      <c r="N418" s="355">
        <v>2</v>
      </c>
    </row>
    <row r="419" spans="1:14" hidden="1" x14ac:dyDescent="0.25">
      <c r="A419" s="354">
        <v>0</v>
      </c>
      <c r="B419" s="354">
        <v>0</v>
      </c>
      <c r="C419" s="354">
        <v>0</v>
      </c>
      <c r="D419" s="354">
        <v>0</v>
      </c>
      <c r="E419" s="354">
        <v>1</v>
      </c>
      <c r="F419" s="354">
        <v>1</v>
      </c>
      <c r="G419" s="354">
        <v>1</v>
      </c>
      <c r="H419" s="354">
        <v>0</v>
      </c>
      <c r="I419" s="354">
        <v>0</v>
      </c>
      <c r="J419" s="354">
        <v>2</v>
      </c>
      <c r="K419" s="354">
        <v>0</v>
      </c>
      <c r="L419" s="354">
        <v>0</v>
      </c>
      <c r="M419" s="355">
        <v>2</v>
      </c>
      <c r="N419" s="355">
        <v>3</v>
      </c>
    </row>
    <row r="420" spans="1:14" hidden="1" x14ac:dyDescent="0.25">
      <c r="A420" s="354">
        <v>1</v>
      </c>
      <c r="B420" s="354">
        <v>0</v>
      </c>
      <c r="C420" s="354">
        <v>1</v>
      </c>
      <c r="D420" s="354">
        <v>0</v>
      </c>
      <c r="E420" s="354">
        <v>0</v>
      </c>
      <c r="F420" s="354">
        <v>0</v>
      </c>
      <c r="G420" s="354">
        <v>0</v>
      </c>
      <c r="H420" s="354">
        <v>0</v>
      </c>
      <c r="I420" s="354">
        <v>1</v>
      </c>
      <c r="J420" s="354">
        <v>1</v>
      </c>
      <c r="K420" s="354">
        <v>0</v>
      </c>
      <c r="L420" s="354">
        <v>0</v>
      </c>
      <c r="M420" s="355">
        <v>3</v>
      </c>
      <c r="N420" s="355">
        <v>1</v>
      </c>
    </row>
    <row r="421" spans="1:14" hidden="1" x14ac:dyDescent="0.25">
      <c r="A421" s="354">
        <v>1</v>
      </c>
      <c r="B421" s="354">
        <v>0</v>
      </c>
      <c r="C421" s="354">
        <v>0</v>
      </c>
      <c r="D421" s="354">
        <v>0</v>
      </c>
      <c r="E421" s="354">
        <v>0</v>
      </c>
      <c r="F421" s="354">
        <v>0</v>
      </c>
      <c r="G421" s="354">
        <v>0</v>
      </c>
      <c r="H421" s="354">
        <v>0</v>
      </c>
      <c r="I421" s="354">
        <v>1</v>
      </c>
      <c r="J421" s="354">
        <v>1</v>
      </c>
      <c r="K421" s="354">
        <v>0</v>
      </c>
      <c r="L421" s="354">
        <v>0</v>
      </c>
      <c r="M421" s="355">
        <v>2</v>
      </c>
      <c r="N421" s="355">
        <v>1</v>
      </c>
    </row>
    <row r="422" spans="1:14" hidden="1" x14ac:dyDescent="0.25">
      <c r="A422" s="354">
        <v>0</v>
      </c>
      <c r="B422" s="354">
        <v>0</v>
      </c>
      <c r="C422" s="354">
        <v>0</v>
      </c>
      <c r="D422" s="354">
        <v>0</v>
      </c>
      <c r="E422" s="354">
        <v>0</v>
      </c>
      <c r="F422" s="354">
        <v>0</v>
      </c>
      <c r="G422" s="354">
        <v>0</v>
      </c>
      <c r="H422" s="354">
        <v>0</v>
      </c>
      <c r="I422" s="354">
        <v>0</v>
      </c>
      <c r="J422" s="354">
        <v>0</v>
      </c>
      <c r="K422" s="354">
        <v>0</v>
      </c>
      <c r="L422" s="354">
        <v>0</v>
      </c>
      <c r="M422" s="355">
        <v>0</v>
      </c>
      <c r="N422" s="355">
        <v>0</v>
      </c>
    </row>
    <row r="423" spans="1:14" hidden="1" x14ac:dyDescent="0.25">
      <c r="A423" s="354">
        <v>0</v>
      </c>
      <c r="B423" s="354">
        <v>1</v>
      </c>
      <c r="C423" s="354">
        <v>0</v>
      </c>
      <c r="D423" s="354">
        <v>1</v>
      </c>
      <c r="E423" s="354">
        <v>0</v>
      </c>
      <c r="F423" s="354">
        <v>0</v>
      </c>
      <c r="G423" s="354">
        <v>0</v>
      </c>
      <c r="H423" s="354">
        <v>0</v>
      </c>
      <c r="I423" s="354">
        <v>0</v>
      </c>
      <c r="J423" s="354">
        <v>1</v>
      </c>
      <c r="K423" s="354">
        <v>0</v>
      </c>
      <c r="L423" s="354">
        <v>0</v>
      </c>
      <c r="M423" s="355">
        <v>0</v>
      </c>
      <c r="N423" s="355">
        <v>3</v>
      </c>
    </row>
    <row r="424" spans="1:14" hidden="1" x14ac:dyDescent="0.25">
      <c r="A424" s="354">
        <v>4</v>
      </c>
      <c r="B424" s="354">
        <v>0</v>
      </c>
      <c r="C424" s="354">
        <v>0</v>
      </c>
      <c r="D424" s="354">
        <v>1</v>
      </c>
      <c r="E424" s="354">
        <v>1</v>
      </c>
      <c r="F424" s="354">
        <v>1</v>
      </c>
      <c r="G424" s="354">
        <v>0</v>
      </c>
      <c r="H424" s="354">
        <v>0</v>
      </c>
      <c r="I424" s="354">
        <v>1</v>
      </c>
      <c r="J424" s="354">
        <v>2</v>
      </c>
      <c r="K424" s="354">
        <v>0</v>
      </c>
      <c r="L424" s="354">
        <v>0</v>
      </c>
      <c r="M424" s="355">
        <v>6</v>
      </c>
      <c r="N424" s="355">
        <v>4</v>
      </c>
    </row>
    <row r="425" spans="1:14" hidden="1" x14ac:dyDescent="0.25">
      <c r="A425" s="354">
        <v>1</v>
      </c>
      <c r="B425" s="354">
        <v>0</v>
      </c>
      <c r="C425" s="354">
        <v>1</v>
      </c>
      <c r="D425" s="354">
        <v>0</v>
      </c>
      <c r="E425" s="354">
        <v>1</v>
      </c>
      <c r="F425" s="354">
        <v>0</v>
      </c>
      <c r="G425" s="354">
        <v>0</v>
      </c>
      <c r="H425" s="354">
        <v>2</v>
      </c>
      <c r="I425" s="354">
        <v>1</v>
      </c>
      <c r="J425" s="354">
        <v>1</v>
      </c>
      <c r="K425" s="354">
        <v>0</v>
      </c>
      <c r="L425" s="354">
        <v>0</v>
      </c>
      <c r="M425" s="355">
        <v>4</v>
      </c>
      <c r="N425" s="355">
        <v>3</v>
      </c>
    </row>
    <row r="426" spans="1:14" hidden="1" x14ac:dyDescent="0.25">
      <c r="A426" s="354">
        <v>0</v>
      </c>
      <c r="B426" s="354">
        <v>1</v>
      </c>
      <c r="C426" s="354">
        <v>1</v>
      </c>
      <c r="D426" s="354">
        <v>1</v>
      </c>
      <c r="E426" s="354">
        <v>0</v>
      </c>
      <c r="F426" s="354">
        <v>0</v>
      </c>
      <c r="G426" s="354">
        <v>0</v>
      </c>
      <c r="H426" s="354">
        <v>0</v>
      </c>
      <c r="I426" s="354">
        <v>1</v>
      </c>
      <c r="J426" s="354">
        <v>1</v>
      </c>
      <c r="K426" s="354">
        <v>0</v>
      </c>
      <c r="L426" s="354">
        <v>0</v>
      </c>
      <c r="M426" s="355">
        <v>2</v>
      </c>
      <c r="N426" s="355">
        <v>3</v>
      </c>
    </row>
    <row r="427" spans="1:14" hidden="1" x14ac:dyDescent="0.25">
      <c r="A427" s="354">
        <v>0</v>
      </c>
      <c r="B427" s="354">
        <v>0</v>
      </c>
      <c r="C427" s="354">
        <v>1</v>
      </c>
      <c r="D427" s="354">
        <v>0</v>
      </c>
      <c r="E427" s="354">
        <v>2</v>
      </c>
      <c r="F427" s="354">
        <v>0</v>
      </c>
      <c r="G427" s="354">
        <v>0</v>
      </c>
      <c r="H427" s="354">
        <v>0</v>
      </c>
      <c r="I427" s="354">
        <v>1</v>
      </c>
      <c r="J427" s="354">
        <v>1</v>
      </c>
      <c r="K427" s="354">
        <v>0</v>
      </c>
      <c r="L427" s="354">
        <v>0</v>
      </c>
      <c r="M427" s="355">
        <v>4</v>
      </c>
      <c r="N427" s="355">
        <v>1</v>
      </c>
    </row>
    <row r="428" spans="1:14" hidden="1" x14ac:dyDescent="0.25">
      <c r="A428" s="354">
        <v>2</v>
      </c>
      <c r="B428" s="354">
        <v>0</v>
      </c>
      <c r="C428" s="354">
        <v>2</v>
      </c>
      <c r="D428" s="354">
        <v>2</v>
      </c>
      <c r="E428" s="354">
        <v>5</v>
      </c>
      <c r="F428" s="354">
        <v>0</v>
      </c>
      <c r="G428" s="354">
        <v>0</v>
      </c>
      <c r="H428" s="354">
        <v>0</v>
      </c>
      <c r="I428" s="354">
        <v>1</v>
      </c>
      <c r="J428" s="354">
        <v>2</v>
      </c>
      <c r="K428" s="354">
        <v>0</v>
      </c>
      <c r="L428" s="354">
        <v>0</v>
      </c>
      <c r="M428" s="355">
        <v>10</v>
      </c>
      <c r="N428" s="355">
        <v>4</v>
      </c>
    </row>
    <row r="429" spans="1:14" hidden="1" x14ac:dyDescent="0.25">
      <c r="A429" s="354">
        <v>0</v>
      </c>
      <c r="B429" s="354">
        <v>0</v>
      </c>
      <c r="C429" s="354">
        <v>1</v>
      </c>
      <c r="D429" s="354">
        <v>1</v>
      </c>
      <c r="E429" s="354">
        <v>1</v>
      </c>
      <c r="F429" s="354">
        <v>0</v>
      </c>
      <c r="G429" s="354">
        <v>0</v>
      </c>
      <c r="H429" s="354">
        <v>1</v>
      </c>
      <c r="I429" s="354">
        <v>3</v>
      </c>
      <c r="J429" s="354">
        <v>2</v>
      </c>
      <c r="K429" s="354">
        <v>0</v>
      </c>
      <c r="L429" s="354">
        <v>0</v>
      </c>
      <c r="M429" s="355">
        <v>5</v>
      </c>
      <c r="N429" s="355">
        <v>4</v>
      </c>
    </row>
    <row r="430" spans="1:14" hidden="1" x14ac:dyDescent="0.25">
      <c r="A430" s="354">
        <v>0</v>
      </c>
      <c r="B430" s="354">
        <v>0</v>
      </c>
      <c r="C430" s="354">
        <v>1</v>
      </c>
      <c r="D430" s="354">
        <v>1</v>
      </c>
      <c r="E430" s="354">
        <v>1</v>
      </c>
      <c r="F430" s="354">
        <v>1</v>
      </c>
      <c r="G430" s="354">
        <v>1</v>
      </c>
      <c r="H430" s="354">
        <v>0</v>
      </c>
      <c r="I430" s="354">
        <v>2</v>
      </c>
      <c r="J430" s="354">
        <v>2</v>
      </c>
      <c r="K430" s="354">
        <v>0</v>
      </c>
      <c r="L430" s="354">
        <v>0</v>
      </c>
      <c r="M430" s="355">
        <v>5</v>
      </c>
      <c r="N430" s="355">
        <v>4</v>
      </c>
    </row>
    <row r="431" spans="1:14" hidden="1" x14ac:dyDescent="0.25">
      <c r="A431" s="354">
        <v>0</v>
      </c>
      <c r="B431" s="354">
        <v>0</v>
      </c>
      <c r="C431" s="354">
        <v>0</v>
      </c>
      <c r="D431" s="354">
        <v>0</v>
      </c>
      <c r="E431" s="354"/>
      <c r="F431" s="354">
        <v>1</v>
      </c>
      <c r="G431" s="354">
        <v>0</v>
      </c>
      <c r="H431" s="354">
        <v>1</v>
      </c>
      <c r="I431" s="354">
        <v>0</v>
      </c>
      <c r="J431" s="354">
        <v>2</v>
      </c>
      <c r="K431" s="354">
        <v>1</v>
      </c>
      <c r="L431" s="354">
        <v>0</v>
      </c>
      <c r="M431" s="355">
        <v>1</v>
      </c>
      <c r="N431" s="355">
        <v>4</v>
      </c>
    </row>
    <row r="432" spans="1:14" hidden="1" x14ac:dyDescent="0.25">
      <c r="A432" s="354">
        <v>0</v>
      </c>
      <c r="B432" s="354">
        <v>0</v>
      </c>
      <c r="C432" s="354">
        <v>0</v>
      </c>
      <c r="D432" s="354">
        <v>0</v>
      </c>
      <c r="E432" s="354">
        <v>0</v>
      </c>
      <c r="F432" s="354">
        <v>0</v>
      </c>
      <c r="G432" s="354">
        <v>2</v>
      </c>
      <c r="H432" s="354">
        <v>0</v>
      </c>
      <c r="I432" s="354">
        <v>1</v>
      </c>
      <c r="J432" s="354">
        <v>1</v>
      </c>
      <c r="K432" s="354">
        <v>0</v>
      </c>
      <c r="L432" s="354">
        <v>0</v>
      </c>
      <c r="M432" s="355">
        <v>3</v>
      </c>
      <c r="N432" s="355">
        <v>1</v>
      </c>
    </row>
    <row r="433" spans="1:14" hidden="1" x14ac:dyDescent="0.25">
      <c r="A433" s="354">
        <v>0</v>
      </c>
      <c r="B433" s="354">
        <v>0</v>
      </c>
      <c r="C433" s="354">
        <v>0</v>
      </c>
      <c r="D433" s="354">
        <v>1</v>
      </c>
      <c r="E433" s="354">
        <v>2</v>
      </c>
      <c r="F433" s="354">
        <v>0</v>
      </c>
      <c r="G433" s="354">
        <v>1</v>
      </c>
      <c r="H433" s="354">
        <v>1</v>
      </c>
      <c r="I433" s="354">
        <v>1</v>
      </c>
      <c r="J433" s="354">
        <v>1</v>
      </c>
      <c r="K433" s="354">
        <v>0</v>
      </c>
      <c r="L433" s="354">
        <v>0</v>
      </c>
      <c r="M433" s="355">
        <v>4</v>
      </c>
      <c r="N433" s="355">
        <v>3</v>
      </c>
    </row>
    <row r="434" spans="1:14" hidden="1" x14ac:dyDescent="0.25">
      <c r="A434" s="354">
        <v>0</v>
      </c>
      <c r="B434" s="354">
        <v>1</v>
      </c>
      <c r="C434" s="354">
        <v>1</v>
      </c>
      <c r="D434" s="354">
        <v>0</v>
      </c>
      <c r="E434" s="354">
        <v>1</v>
      </c>
      <c r="F434" s="354">
        <v>1</v>
      </c>
      <c r="G434" s="354">
        <v>1</v>
      </c>
      <c r="H434" s="354">
        <v>0</v>
      </c>
      <c r="I434" s="354">
        <v>1</v>
      </c>
      <c r="J434" s="354">
        <v>1</v>
      </c>
      <c r="K434" s="354">
        <v>0</v>
      </c>
      <c r="L434" s="354">
        <v>0</v>
      </c>
      <c r="M434" s="355">
        <v>4</v>
      </c>
      <c r="N434" s="355">
        <v>3</v>
      </c>
    </row>
    <row r="435" spans="1:14" hidden="1" x14ac:dyDescent="0.25">
      <c r="A435" s="354">
        <v>1</v>
      </c>
      <c r="B435" s="354">
        <v>0</v>
      </c>
      <c r="C435" s="354">
        <v>0</v>
      </c>
      <c r="D435" s="354">
        <v>2</v>
      </c>
      <c r="E435" s="354">
        <v>1</v>
      </c>
      <c r="F435" s="354">
        <v>2</v>
      </c>
      <c r="G435" s="354">
        <v>0</v>
      </c>
      <c r="H435" s="354">
        <v>0</v>
      </c>
      <c r="I435" s="354">
        <v>1</v>
      </c>
      <c r="J435" s="354">
        <v>1</v>
      </c>
      <c r="K435" s="354">
        <v>0</v>
      </c>
      <c r="L435" s="354">
        <v>0</v>
      </c>
      <c r="M435" s="355">
        <v>3</v>
      </c>
      <c r="N435" s="355">
        <v>5</v>
      </c>
    </row>
    <row r="436" spans="1:14" hidden="1" x14ac:dyDescent="0.25">
      <c r="A436" s="354">
        <v>1</v>
      </c>
      <c r="B436" s="354">
        <v>0</v>
      </c>
      <c r="C436" s="354">
        <v>0</v>
      </c>
      <c r="D436" s="354">
        <v>2</v>
      </c>
      <c r="E436" s="354">
        <v>1</v>
      </c>
      <c r="F436" s="354">
        <v>2</v>
      </c>
      <c r="G436" s="354">
        <v>0</v>
      </c>
      <c r="H436" s="354">
        <v>0</v>
      </c>
      <c r="I436" s="354">
        <v>1</v>
      </c>
      <c r="J436" s="354">
        <v>1</v>
      </c>
      <c r="K436" s="354">
        <v>0</v>
      </c>
      <c r="L436" s="354">
        <v>0</v>
      </c>
      <c r="M436" s="355">
        <v>3</v>
      </c>
      <c r="N436" s="355">
        <v>5</v>
      </c>
    </row>
    <row r="437" spans="1:14" hidden="1" x14ac:dyDescent="0.25">
      <c r="A437" s="354">
        <v>1</v>
      </c>
      <c r="B437" s="354">
        <v>0</v>
      </c>
      <c r="C437" s="354">
        <v>0</v>
      </c>
      <c r="D437" s="354">
        <v>1</v>
      </c>
      <c r="E437" s="354">
        <v>0</v>
      </c>
      <c r="F437" s="354">
        <v>1</v>
      </c>
      <c r="G437" s="354">
        <v>0</v>
      </c>
      <c r="H437" s="354">
        <v>0</v>
      </c>
      <c r="I437" s="354">
        <v>1</v>
      </c>
      <c r="J437" s="354">
        <v>1</v>
      </c>
      <c r="K437" s="354">
        <v>0</v>
      </c>
      <c r="L437" s="354">
        <v>0</v>
      </c>
      <c r="M437" s="355">
        <v>2</v>
      </c>
      <c r="N437" s="355">
        <v>3</v>
      </c>
    </row>
    <row r="438" spans="1:14" hidden="1" x14ac:dyDescent="0.25">
      <c r="A438" s="354">
        <v>0</v>
      </c>
      <c r="B438" s="354">
        <v>1</v>
      </c>
      <c r="C438" s="354">
        <v>0</v>
      </c>
      <c r="D438" s="354">
        <v>1</v>
      </c>
      <c r="E438" s="354">
        <v>2</v>
      </c>
      <c r="F438" s="354">
        <v>1</v>
      </c>
      <c r="G438" s="354">
        <v>1</v>
      </c>
      <c r="H438" s="354">
        <v>0</v>
      </c>
      <c r="I438" s="354">
        <v>2</v>
      </c>
      <c r="J438" s="354">
        <v>2</v>
      </c>
      <c r="K438" s="354">
        <v>0</v>
      </c>
      <c r="L438" s="354">
        <v>0</v>
      </c>
      <c r="M438" s="355">
        <v>5</v>
      </c>
      <c r="N438" s="355">
        <v>5</v>
      </c>
    </row>
    <row r="439" spans="1:14" hidden="1" x14ac:dyDescent="0.25">
      <c r="A439" s="354">
        <v>0</v>
      </c>
      <c r="B439" s="354">
        <v>2</v>
      </c>
      <c r="C439" s="354">
        <v>1</v>
      </c>
      <c r="D439" s="354">
        <v>0</v>
      </c>
      <c r="E439" s="354">
        <v>1</v>
      </c>
      <c r="F439" s="354">
        <v>2</v>
      </c>
      <c r="G439" s="354">
        <v>1</v>
      </c>
      <c r="H439" s="354">
        <v>3</v>
      </c>
      <c r="I439" s="354">
        <v>2</v>
      </c>
      <c r="J439" s="354">
        <v>4</v>
      </c>
      <c r="K439" s="354">
        <v>0</v>
      </c>
      <c r="L439" s="354">
        <v>0</v>
      </c>
      <c r="M439" s="355">
        <v>5</v>
      </c>
      <c r="N439" s="355">
        <v>11</v>
      </c>
    </row>
    <row r="440" spans="1:14" hidden="1" x14ac:dyDescent="0.25">
      <c r="A440" s="354">
        <v>2</v>
      </c>
      <c r="B440" s="354">
        <v>2</v>
      </c>
      <c r="C440" s="354">
        <v>1</v>
      </c>
      <c r="D440" s="354">
        <v>1</v>
      </c>
      <c r="E440" s="354">
        <v>0</v>
      </c>
      <c r="F440" s="354">
        <v>3</v>
      </c>
      <c r="G440" s="354">
        <v>1</v>
      </c>
      <c r="H440" s="354">
        <v>0</v>
      </c>
      <c r="I440" s="354">
        <v>1</v>
      </c>
      <c r="J440" s="354">
        <v>2</v>
      </c>
      <c r="K440" s="354">
        <v>0</v>
      </c>
      <c r="L440" s="354">
        <v>0</v>
      </c>
      <c r="M440" s="355">
        <v>5</v>
      </c>
      <c r="N440" s="355">
        <v>8</v>
      </c>
    </row>
    <row r="441" spans="1:14" hidden="1" x14ac:dyDescent="0.25">
      <c r="A441" s="354">
        <v>2</v>
      </c>
      <c r="B441" s="354">
        <v>1</v>
      </c>
      <c r="C441" s="354">
        <v>0</v>
      </c>
      <c r="D441" s="354">
        <v>1</v>
      </c>
      <c r="E441" s="354">
        <v>0</v>
      </c>
      <c r="F441" s="354">
        <v>2</v>
      </c>
      <c r="G441" s="354">
        <v>2</v>
      </c>
      <c r="H441" s="354">
        <v>2</v>
      </c>
      <c r="I441" s="354">
        <v>1</v>
      </c>
      <c r="J441" s="354">
        <v>3</v>
      </c>
      <c r="K441" s="354">
        <v>0</v>
      </c>
      <c r="L441" s="354">
        <v>0</v>
      </c>
      <c r="M441" s="355">
        <v>5</v>
      </c>
      <c r="N441" s="355">
        <v>9</v>
      </c>
    </row>
    <row r="442" spans="1:14" hidden="1" x14ac:dyDescent="0.25">
      <c r="A442" s="354">
        <v>0</v>
      </c>
      <c r="B442" s="354">
        <v>0</v>
      </c>
      <c r="C442" s="354">
        <v>0</v>
      </c>
      <c r="D442" s="354">
        <v>0</v>
      </c>
      <c r="E442" s="354">
        <v>0</v>
      </c>
      <c r="F442" s="354">
        <v>1</v>
      </c>
      <c r="G442" s="354">
        <v>0</v>
      </c>
      <c r="H442" s="354">
        <v>1</v>
      </c>
      <c r="I442" s="354">
        <v>0</v>
      </c>
      <c r="J442" s="354">
        <v>0</v>
      </c>
      <c r="K442" s="354">
        <v>0</v>
      </c>
      <c r="L442" s="354">
        <v>1</v>
      </c>
      <c r="M442" s="355">
        <v>0</v>
      </c>
      <c r="N442" s="355">
        <v>3</v>
      </c>
    </row>
    <row r="443" spans="1:14" hidden="1" x14ac:dyDescent="0.25">
      <c r="A443" s="354">
        <v>0</v>
      </c>
      <c r="B443" s="354">
        <v>0</v>
      </c>
      <c r="C443" s="354">
        <v>2</v>
      </c>
      <c r="D443" s="354">
        <v>0</v>
      </c>
      <c r="E443" s="354">
        <v>2</v>
      </c>
      <c r="F443" s="354">
        <v>0</v>
      </c>
      <c r="G443" s="354">
        <v>0</v>
      </c>
      <c r="H443" s="354">
        <v>1</v>
      </c>
      <c r="I443" s="354">
        <v>1</v>
      </c>
      <c r="J443" s="354">
        <v>0</v>
      </c>
      <c r="K443" s="354">
        <v>1</v>
      </c>
      <c r="L443" s="354">
        <v>0</v>
      </c>
      <c r="M443" s="355">
        <v>6</v>
      </c>
      <c r="N443" s="355">
        <v>1</v>
      </c>
    </row>
    <row r="444" spans="1:14" hidden="1" x14ac:dyDescent="0.25">
      <c r="A444" s="354">
        <v>0</v>
      </c>
      <c r="B444" s="354">
        <v>0</v>
      </c>
      <c r="C444" s="354">
        <v>0</v>
      </c>
      <c r="D444" s="354">
        <v>0</v>
      </c>
      <c r="E444" s="354">
        <v>0</v>
      </c>
      <c r="F444" s="354">
        <v>0</v>
      </c>
      <c r="G444" s="354">
        <v>0</v>
      </c>
      <c r="H444" s="354">
        <v>0</v>
      </c>
      <c r="I444" s="354">
        <v>1</v>
      </c>
      <c r="J444" s="354">
        <v>0</v>
      </c>
      <c r="K444" s="354">
        <v>1</v>
      </c>
      <c r="L444" s="354">
        <v>0</v>
      </c>
      <c r="M444" s="355">
        <v>2</v>
      </c>
      <c r="N444" s="355">
        <v>0</v>
      </c>
    </row>
    <row r="445" spans="1:14" hidden="1" x14ac:dyDescent="0.25">
      <c r="A445" s="354">
        <v>1</v>
      </c>
      <c r="B445" s="354">
        <v>0</v>
      </c>
      <c r="C445" s="354">
        <v>0</v>
      </c>
      <c r="D445" s="354">
        <v>0</v>
      </c>
      <c r="E445" s="354">
        <v>0</v>
      </c>
      <c r="F445" s="354">
        <v>0</v>
      </c>
      <c r="G445" s="354">
        <v>0</v>
      </c>
      <c r="H445" s="354">
        <v>0</v>
      </c>
      <c r="I445" s="354">
        <v>1</v>
      </c>
      <c r="J445" s="354">
        <v>1</v>
      </c>
      <c r="K445" s="354">
        <v>0</v>
      </c>
      <c r="L445" s="354">
        <v>0</v>
      </c>
      <c r="M445" s="355">
        <v>2</v>
      </c>
      <c r="N445" s="355">
        <v>1</v>
      </c>
    </row>
    <row r="446" spans="1:14" hidden="1" x14ac:dyDescent="0.25">
      <c r="A446" s="354">
        <v>0</v>
      </c>
      <c r="B446" s="354">
        <v>0</v>
      </c>
      <c r="C446" s="354">
        <v>0</v>
      </c>
      <c r="D446" s="354">
        <v>0</v>
      </c>
      <c r="E446" s="354">
        <v>2</v>
      </c>
      <c r="F446" s="354">
        <v>0</v>
      </c>
      <c r="G446" s="354">
        <v>0</v>
      </c>
      <c r="H446" s="354">
        <v>0</v>
      </c>
      <c r="I446" s="354">
        <v>0</v>
      </c>
      <c r="J446" s="354">
        <v>0</v>
      </c>
      <c r="K446" s="354">
        <v>1</v>
      </c>
      <c r="L446" s="354">
        <v>0</v>
      </c>
      <c r="M446" s="355">
        <v>3</v>
      </c>
      <c r="N446" s="355">
        <v>0</v>
      </c>
    </row>
    <row r="447" spans="1:14" hidden="1" x14ac:dyDescent="0.25">
      <c r="A447" s="354">
        <v>1</v>
      </c>
      <c r="B447" s="354">
        <v>1</v>
      </c>
      <c r="C447" s="354">
        <v>0</v>
      </c>
      <c r="D447" s="354">
        <v>2</v>
      </c>
      <c r="E447" s="354">
        <v>0</v>
      </c>
      <c r="F447" s="354">
        <v>0</v>
      </c>
      <c r="G447" s="354">
        <v>0</v>
      </c>
      <c r="H447" s="354">
        <v>0</v>
      </c>
      <c r="I447" s="354">
        <v>1</v>
      </c>
      <c r="J447" s="354">
        <v>1</v>
      </c>
      <c r="K447" s="354">
        <v>0</v>
      </c>
      <c r="L447" s="354">
        <v>0</v>
      </c>
      <c r="M447" s="355">
        <v>2</v>
      </c>
      <c r="N447" s="355">
        <v>4</v>
      </c>
    </row>
    <row r="448" spans="1:14" hidden="1" x14ac:dyDescent="0.25">
      <c r="A448" s="354">
        <v>0</v>
      </c>
      <c r="B448" s="354">
        <v>1</v>
      </c>
      <c r="C448" s="354">
        <v>0</v>
      </c>
      <c r="D448" s="354">
        <v>1</v>
      </c>
      <c r="E448" s="354">
        <v>0</v>
      </c>
      <c r="F448" s="354">
        <v>0</v>
      </c>
      <c r="G448" s="354">
        <v>0</v>
      </c>
      <c r="H448" s="354">
        <v>0</v>
      </c>
      <c r="I448" s="354">
        <v>1</v>
      </c>
      <c r="J448" s="354">
        <v>1</v>
      </c>
      <c r="K448" s="354">
        <v>0</v>
      </c>
      <c r="L448" s="354">
        <v>0</v>
      </c>
      <c r="M448" s="355">
        <v>1</v>
      </c>
      <c r="N448" s="355">
        <v>3</v>
      </c>
    </row>
    <row r="449" spans="1:14" hidden="1" x14ac:dyDescent="0.25">
      <c r="A449" s="354">
        <v>1</v>
      </c>
      <c r="B449" s="354">
        <v>0</v>
      </c>
      <c r="C449" s="354">
        <v>0</v>
      </c>
      <c r="D449" s="354">
        <v>1</v>
      </c>
      <c r="E449" s="354">
        <v>2</v>
      </c>
      <c r="F449" s="354">
        <v>0</v>
      </c>
      <c r="G449" s="354">
        <v>0</v>
      </c>
      <c r="H449" s="354">
        <v>0</v>
      </c>
      <c r="I449" s="354">
        <v>0</v>
      </c>
      <c r="J449" s="354">
        <v>1</v>
      </c>
      <c r="K449" s="354">
        <v>1</v>
      </c>
      <c r="L449" s="354">
        <v>0</v>
      </c>
      <c r="M449" s="355">
        <v>4</v>
      </c>
      <c r="N449" s="355">
        <v>2</v>
      </c>
    </row>
    <row r="450" spans="1:14" hidden="1" x14ac:dyDescent="0.25">
      <c r="A450" s="354">
        <v>0</v>
      </c>
      <c r="B450" s="354">
        <v>1</v>
      </c>
      <c r="C450" s="354">
        <v>0</v>
      </c>
      <c r="D450" s="354">
        <v>0</v>
      </c>
      <c r="E450" s="354">
        <v>3</v>
      </c>
      <c r="F450" s="354">
        <v>0</v>
      </c>
      <c r="G450" s="354">
        <v>0</v>
      </c>
      <c r="H450" s="354">
        <v>0</v>
      </c>
      <c r="I450" s="354">
        <v>0</v>
      </c>
      <c r="J450" s="354">
        <v>1</v>
      </c>
      <c r="K450" s="354">
        <v>1</v>
      </c>
      <c r="L450" s="354">
        <v>0</v>
      </c>
      <c r="M450" s="355">
        <v>4</v>
      </c>
      <c r="N450" s="355">
        <v>2</v>
      </c>
    </row>
    <row r="451" spans="1:14" hidden="1" x14ac:dyDescent="0.25">
      <c r="A451" s="354">
        <v>0</v>
      </c>
      <c r="B451" s="354">
        <v>1</v>
      </c>
      <c r="C451" s="354">
        <v>1</v>
      </c>
      <c r="D451" s="354">
        <v>1</v>
      </c>
      <c r="E451" s="354">
        <v>3</v>
      </c>
      <c r="F451" s="354">
        <v>4</v>
      </c>
      <c r="G451" s="354">
        <v>1</v>
      </c>
      <c r="H451" s="354">
        <v>2</v>
      </c>
      <c r="I451" s="354">
        <v>1</v>
      </c>
      <c r="J451" s="354">
        <v>2</v>
      </c>
      <c r="K451" s="354">
        <v>0</v>
      </c>
      <c r="L451" s="354">
        <v>0</v>
      </c>
      <c r="M451" s="355">
        <v>6</v>
      </c>
      <c r="N451" s="355">
        <v>10</v>
      </c>
    </row>
    <row r="452" spans="1:14" hidden="1" x14ac:dyDescent="0.25">
      <c r="A452" s="354">
        <v>1</v>
      </c>
      <c r="B452" s="354">
        <v>0</v>
      </c>
      <c r="C452" s="354">
        <v>2</v>
      </c>
      <c r="D452" s="354">
        <v>0</v>
      </c>
      <c r="E452" s="354">
        <v>3</v>
      </c>
      <c r="F452" s="354">
        <v>0</v>
      </c>
      <c r="G452" s="354">
        <v>2</v>
      </c>
      <c r="H452" s="354">
        <v>0</v>
      </c>
      <c r="I452" s="354">
        <v>1</v>
      </c>
      <c r="J452" s="354">
        <v>0</v>
      </c>
      <c r="K452" s="354">
        <v>0</v>
      </c>
      <c r="L452" s="354">
        <v>0</v>
      </c>
      <c r="M452" s="355">
        <v>9</v>
      </c>
      <c r="N452" s="355">
        <v>0</v>
      </c>
    </row>
    <row r="453" spans="1:14" hidden="1" x14ac:dyDescent="0.25">
      <c r="A453" s="354">
        <v>0</v>
      </c>
      <c r="B453" s="354">
        <v>0</v>
      </c>
      <c r="C453" s="354">
        <v>0</v>
      </c>
      <c r="D453" s="354">
        <v>2</v>
      </c>
      <c r="E453" s="354">
        <v>0</v>
      </c>
      <c r="F453" s="354">
        <v>4</v>
      </c>
      <c r="G453" s="354">
        <v>0</v>
      </c>
      <c r="H453" s="354">
        <v>0</v>
      </c>
      <c r="I453" s="354">
        <v>3</v>
      </c>
      <c r="J453" s="354">
        <v>3</v>
      </c>
      <c r="K453" s="354">
        <v>1</v>
      </c>
      <c r="L453" s="354">
        <v>1</v>
      </c>
      <c r="M453" s="355">
        <v>4</v>
      </c>
      <c r="N453" s="355">
        <v>10</v>
      </c>
    </row>
    <row r="454" spans="1:14" hidden="1" x14ac:dyDescent="0.25">
      <c r="A454" s="354">
        <v>0</v>
      </c>
      <c r="B454" s="354">
        <v>1</v>
      </c>
      <c r="C454" s="354">
        <v>0</v>
      </c>
      <c r="D454" s="354">
        <v>1</v>
      </c>
      <c r="E454" s="354">
        <v>1</v>
      </c>
      <c r="F454" s="354">
        <v>0</v>
      </c>
      <c r="G454" s="354">
        <v>0</v>
      </c>
      <c r="H454" s="354">
        <v>0</v>
      </c>
      <c r="I454" s="354">
        <v>2</v>
      </c>
      <c r="J454" s="354">
        <v>2</v>
      </c>
      <c r="K454" s="354">
        <v>0</v>
      </c>
      <c r="L454" s="354">
        <v>0</v>
      </c>
      <c r="M454" s="355">
        <v>3</v>
      </c>
      <c r="N454" s="355">
        <v>4</v>
      </c>
    </row>
    <row r="455" spans="1:14" hidden="1" x14ac:dyDescent="0.25">
      <c r="A455" s="354">
        <v>0</v>
      </c>
      <c r="B455" s="354">
        <v>0</v>
      </c>
      <c r="C455" s="354">
        <v>0</v>
      </c>
      <c r="D455" s="354">
        <v>0</v>
      </c>
      <c r="E455" s="354">
        <v>0</v>
      </c>
      <c r="F455" s="354">
        <v>0</v>
      </c>
      <c r="G455" s="354">
        <v>0</v>
      </c>
      <c r="H455" s="354">
        <v>0</v>
      </c>
      <c r="I455" s="354">
        <v>1</v>
      </c>
      <c r="J455" s="354">
        <v>0</v>
      </c>
      <c r="K455" s="354">
        <v>0</v>
      </c>
      <c r="L455" s="354">
        <v>0</v>
      </c>
      <c r="M455" s="355">
        <v>1</v>
      </c>
      <c r="N455" s="355">
        <v>0</v>
      </c>
    </row>
    <row r="456" spans="1:14" hidden="1" x14ac:dyDescent="0.25">
      <c r="A456" s="354">
        <v>1</v>
      </c>
      <c r="B456" s="354">
        <v>0</v>
      </c>
      <c r="C456" s="354">
        <v>1</v>
      </c>
      <c r="D456" s="354">
        <v>0</v>
      </c>
      <c r="E456" s="354">
        <v>1</v>
      </c>
      <c r="F456" s="354">
        <v>1</v>
      </c>
      <c r="G456" s="354">
        <v>1</v>
      </c>
      <c r="H456" s="354">
        <v>1</v>
      </c>
      <c r="I456" s="354">
        <v>2</v>
      </c>
      <c r="J456" s="354">
        <v>4</v>
      </c>
      <c r="K456" s="354">
        <v>1</v>
      </c>
      <c r="L456" s="354">
        <v>1</v>
      </c>
      <c r="M456" s="355">
        <v>7</v>
      </c>
      <c r="N456" s="355">
        <v>7</v>
      </c>
    </row>
    <row r="457" spans="1:14" hidden="1" x14ac:dyDescent="0.25">
      <c r="A457" s="354">
        <v>0</v>
      </c>
      <c r="B457" s="354">
        <v>0</v>
      </c>
      <c r="C457" s="354">
        <v>0</v>
      </c>
      <c r="D457" s="354">
        <v>2</v>
      </c>
      <c r="E457" s="354">
        <v>1</v>
      </c>
      <c r="F457" s="354">
        <v>1</v>
      </c>
      <c r="G457" s="354">
        <v>0</v>
      </c>
      <c r="H457" s="354">
        <v>1</v>
      </c>
      <c r="I457" s="354">
        <v>1</v>
      </c>
      <c r="J457" s="354">
        <v>2</v>
      </c>
      <c r="K457" s="354">
        <v>0</v>
      </c>
      <c r="L457" s="354">
        <v>0</v>
      </c>
      <c r="M457" s="355">
        <v>2</v>
      </c>
      <c r="N457" s="355">
        <v>6</v>
      </c>
    </row>
    <row r="458" spans="1:14" hidden="1" x14ac:dyDescent="0.25">
      <c r="A458" s="354">
        <v>0</v>
      </c>
      <c r="B458" s="354">
        <v>0</v>
      </c>
      <c r="C458" s="354">
        <v>1</v>
      </c>
      <c r="D458" s="354">
        <v>1</v>
      </c>
      <c r="E458" s="354">
        <v>2</v>
      </c>
      <c r="F458" s="354">
        <v>1</v>
      </c>
      <c r="G458" s="354">
        <v>0</v>
      </c>
      <c r="H458" s="354">
        <v>1</v>
      </c>
      <c r="I458" s="354">
        <v>1</v>
      </c>
      <c r="J458" s="354">
        <v>3</v>
      </c>
      <c r="K458" s="354">
        <v>1</v>
      </c>
      <c r="L458" s="354">
        <v>0</v>
      </c>
      <c r="M458" s="355">
        <v>5</v>
      </c>
      <c r="N458" s="355">
        <v>6</v>
      </c>
    </row>
    <row r="459" spans="1:14" hidden="1" x14ac:dyDescent="0.25">
      <c r="A459" s="354">
        <v>0</v>
      </c>
      <c r="B459" s="354">
        <v>0</v>
      </c>
      <c r="C459" s="354">
        <v>0</v>
      </c>
      <c r="D459" s="354">
        <v>0</v>
      </c>
      <c r="E459" s="354">
        <v>0</v>
      </c>
      <c r="F459" s="354">
        <v>0</v>
      </c>
      <c r="G459" s="354">
        <v>0</v>
      </c>
      <c r="H459" s="354">
        <v>0</v>
      </c>
      <c r="I459" s="354">
        <v>0</v>
      </c>
      <c r="J459" s="354">
        <v>0</v>
      </c>
      <c r="K459" s="354">
        <v>0</v>
      </c>
      <c r="L459" s="354">
        <v>0</v>
      </c>
      <c r="M459" s="355">
        <v>0</v>
      </c>
      <c r="N459" s="355">
        <v>0</v>
      </c>
    </row>
    <row r="460" spans="1:14" hidden="1" x14ac:dyDescent="0.25">
      <c r="A460" s="354">
        <v>0</v>
      </c>
      <c r="B460" s="354">
        <v>0</v>
      </c>
      <c r="C460" s="354">
        <v>0</v>
      </c>
      <c r="D460" s="354">
        <v>2</v>
      </c>
      <c r="E460" s="354">
        <v>0</v>
      </c>
      <c r="F460" s="354">
        <v>1</v>
      </c>
      <c r="G460" s="354">
        <v>1</v>
      </c>
      <c r="H460" s="354">
        <v>0</v>
      </c>
      <c r="I460" s="354">
        <v>0</v>
      </c>
      <c r="J460" s="354">
        <v>1</v>
      </c>
      <c r="K460" s="354">
        <v>0</v>
      </c>
      <c r="L460" s="354">
        <v>0</v>
      </c>
      <c r="M460" s="355">
        <v>1</v>
      </c>
      <c r="N460" s="355">
        <v>4</v>
      </c>
    </row>
    <row r="461" spans="1:14" hidden="1" x14ac:dyDescent="0.25">
      <c r="A461" s="354">
        <v>0</v>
      </c>
      <c r="B461" s="354">
        <v>0</v>
      </c>
      <c r="C461" s="354">
        <v>0</v>
      </c>
      <c r="D461" s="354">
        <v>0</v>
      </c>
      <c r="E461" s="354">
        <v>0</v>
      </c>
      <c r="F461" s="354">
        <v>0</v>
      </c>
      <c r="G461" s="354">
        <v>0</v>
      </c>
      <c r="H461" s="354">
        <v>0</v>
      </c>
      <c r="I461" s="354">
        <v>1</v>
      </c>
      <c r="J461" s="354">
        <v>0</v>
      </c>
      <c r="K461" s="354">
        <v>0</v>
      </c>
      <c r="L461" s="354">
        <v>0</v>
      </c>
      <c r="M461" s="355">
        <v>1</v>
      </c>
      <c r="N461" s="355">
        <v>0</v>
      </c>
    </row>
    <row r="462" spans="1:14" hidden="1" x14ac:dyDescent="0.25">
      <c r="A462" s="354">
        <v>1</v>
      </c>
      <c r="B462" s="354">
        <v>0</v>
      </c>
      <c r="C462" s="354">
        <v>0</v>
      </c>
      <c r="D462" s="354">
        <v>1</v>
      </c>
      <c r="E462" s="354">
        <v>1</v>
      </c>
      <c r="F462" s="354">
        <v>1</v>
      </c>
      <c r="G462" s="354">
        <v>0</v>
      </c>
      <c r="H462" s="354">
        <v>0</v>
      </c>
      <c r="I462" s="354">
        <v>0</v>
      </c>
      <c r="J462" s="354">
        <v>1</v>
      </c>
      <c r="K462" s="354">
        <v>0</v>
      </c>
      <c r="L462" s="354">
        <v>0</v>
      </c>
      <c r="M462" s="355">
        <v>2</v>
      </c>
      <c r="N462" s="355">
        <v>3</v>
      </c>
    </row>
    <row r="463" spans="1:14" hidden="1" x14ac:dyDescent="0.25">
      <c r="A463" s="354">
        <v>1</v>
      </c>
      <c r="B463" s="354">
        <v>0</v>
      </c>
      <c r="C463" s="354">
        <v>1</v>
      </c>
      <c r="D463" s="354">
        <v>1</v>
      </c>
      <c r="E463" s="354">
        <v>1</v>
      </c>
      <c r="F463" s="354">
        <v>1</v>
      </c>
      <c r="G463" s="354">
        <v>2</v>
      </c>
      <c r="H463" s="354">
        <v>0</v>
      </c>
      <c r="I463" s="354">
        <v>1</v>
      </c>
      <c r="J463" s="354">
        <v>1</v>
      </c>
      <c r="K463" s="354">
        <v>0</v>
      </c>
      <c r="L463" s="354">
        <v>0</v>
      </c>
      <c r="M463" s="355">
        <v>6</v>
      </c>
      <c r="N463" s="355">
        <v>3</v>
      </c>
    </row>
    <row r="464" spans="1:14" hidden="1" x14ac:dyDescent="0.25">
      <c r="A464" s="354">
        <v>0</v>
      </c>
      <c r="B464" s="354">
        <v>0</v>
      </c>
      <c r="C464" s="354">
        <v>1</v>
      </c>
      <c r="D464" s="354">
        <v>1</v>
      </c>
      <c r="E464" s="354">
        <v>0</v>
      </c>
      <c r="F464" s="354">
        <v>1</v>
      </c>
      <c r="G464" s="354">
        <v>2</v>
      </c>
      <c r="H464" s="354">
        <v>1</v>
      </c>
      <c r="I464" s="354">
        <v>1</v>
      </c>
      <c r="J464" s="354">
        <v>2</v>
      </c>
      <c r="K464" s="354">
        <v>1</v>
      </c>
      <c r="L464" s="354">
        <v>0</v>
      </c>
      <c r="M464" s="355">
        <v>5</v>
      </c>
      <c r="N464" s="355">
        <v>5</v>
      </c>
    </row>
    <row r="465" spans="1:14" hidden="1" x14ac:dyDescent="0.25">
      <c r="A465" s="354">
        <v>0</v>
      </c>
      <c r="B465" s="354">
        <v>0</v>
      </c>
      <c r="C465" s="354">
        <v>0</v>
      </c>
      <c r="D465" s="354">
        <v>1</v>
      </c>
      <c r="E465" s="354">
        <v>2</v>
      </c>
      <c r="F465" s="354">
        <v>1</v>
      </c>
      <c r="G465" s="354">
        <v>1</v>
      </c>
      <c r="H465" s="354">
        <v>0</v>
      </c>
      <c r="I465" s="354">
        <v>0</v>
      </c>
      <c r="J465" s="354">
        <v>1</v>
      </c>
      <c r="K465" s="354">
        <v>0</v>
      </c>
      <c r="L465" s="354">
        <v>0</v>
      </c>
      <c r="M465" s="355">
        <v>3</v>
      </c>
      <c r="N465" s="355">
        <v>3</v>
      </c>
    </row>
    <row r="466" spans="1:14" hidden="1" x14ac:dyDescent="0.25">
      <c r="A466" s="354">
        <v>0</v>
      </c>
      <c r="B466" s="354">
        <v>1</v>
      </c>
      <c r="C466" s="354">
        <v>0</v>
      </c>
      <c r="D466" s="354">
        <v>1</v>
      </c>
      <c r="E466" s="354">
        <v>1</v>
      </c>
      <c r="F466" s="354">
        <v>0</v>
      </c>
      <c r="G466" s="354">
        <v>0</v>
      </c>
      <c r="H466" s="354">
        <v>2</v>
      </c>
      <c r="I466" s="354">
        <v>1</v>
      </c>
      <c r="J466" s="354">
        <v>1</v>
      </c>
      <c r="K466" s="354">
        <v>0</v>
      </c>
      <c r="L466" s="354">
        <v>0</v>
      </c>
      <c r="M466" s="355">
        <v>2</v>
      </c>
      <c r="N466" s="355">
        <v>5</v>
      </c>
    </row>
    <row r="467" spans="1:14" hidden="1" x14ac:dyDescent="0.25">
      <c r="A467" s="354">
        <v>0</v>
      </c>
      <c r="B467" s="354">
        <v>0</v>
      </c>
      <c r="C467" s="354">
        <v>0</v>
      </c>
      <c r="D467" s="354">
        <v>0</v>
      </c>
      <c r="E467" s="354">
        <v>0</v>
      </c>
      <c r="F467" s="354">
        <v>0</v>
      </c>
      <c r="G467" s="354">
        <v>0</v>
      </c>
      <c r="H467" s="354">
        <v>0</v>
      </c>
      <c r="I467" s="354">
        <v>0</v>
      </c>
      <c r="J467" s="354">
        <v>0</v>
      </c>
      <c r="K467" s="354">
        <v>0</v>
      </c>
      <c r="L467" s="354">
        <v>1</v>
      </c>
      <c r="M467" s="355">
        <v>0</v>
      </c>
      <c r="N467" s="355">
        <v>1</v>
      </c>
    </row>
    <row r="468" spans="1:14" hidden="1" x14ac:dyDescent="0.25">
      <c r="A468" s="354">
        <v>0</v>
      </c>
      <c r="B468" s="354">
        <v>0</v>
      </c>
      <c r="C468" s="354">
        <v>0</v>
      </c>
      <c r="D468" s="354">
        <v>0</v>
      </c>
      <c r="E468" s="354">
        <v>1</v>
      </c>
      <c r="F468" s="354">
        <v>2</v>
      </c>
      <c r="G468" s="354">
        <v>1</v>
      </c>
      <c r="H468" s="354">
        <v>0</v>
      </c>
      <c r="I468" s="354">
        <v>0</v>
      </c>
      <c r="J468" s="354">
        <v>1</v>
      </c>
      <c r="K468" s="354">
        <v>0</v>
      </c>
      <c r="L468" s="354">
        <v>0</v>
      </c>
      <c r="M468" s="355">
        <v>2</v>
      </c>
      <c r="N468" s="355">
        <v>3</v>
      </c>
    </row>
    <row r="469" spans="1:14" hidden="1" x14ac:dyDescent="0.25">
      <c r="A469" s="354">
        <v>0</v>
      </c>
      <c r="B469" s="354">
        <v>0</v>
      </c>
      <c r="C469" s="354">
        <v>0</v>
      </c>
      <c r="D469" s="354">
        <v>0</v>
      </c>
      <c r="E469" s="354">
        <v>0</v>
      </c>
      <c r="F469" s="354">
        <v>0</v>
      </c>
      <c r="G469" s="354">
        <v>0</v>
      </c>
      <c r="H469" s="354">
        <v>0</v>
      </c>
      <c r="I469" s="354">
        <v>1</v>
      </c>
      <c r="J469" s="354">
        <v>0</v>
      </c>
      <c r="K469" s="354">
        <v>0</v>
      </c>
      <c r="L469" s="354">
        <v>0</v>
      </c>
      <c r="M469" s="355">
        <v>1</v>
      </c>
      <c r="N469" s="355">
        <v>0</v>
      </c>
    </row>
    <row r="470" spans="1:14" hidden="1" x14ac:dyDescent="0.25">
      <c r="A470" s="354">
        <v>0</v>
      </c>
      <c r="B470" s="354">
        <v>0</v>
      </c>
      <c r="C470" s="354">
        <v>1</v>
      </c>
      <c r="D470" s="354">
        <v>0</v>
      </c>
      <c r="E470" s="354">
        <v>1</v>
      </c>
      <c r="F470" s="354">
        <v>2</v>
      </c>
      <c r="G470" s="354">
        <v>0</v>
      </c>
      <c r="H470" s="354">
        <v>0</v>
      </c>
      <c r="I470" s="354">
        <v>0</v>
      </c>
      <c r="J470" s="354">
        <v>1</v>
      </c>
      <c r="K470" s="354">
        <v>0</v>
      </c>
      <c r="L470" s="354">
        <v>0</v>
      </c>
      <c r="M470" s="355">
        <v>2</v>
      </c>
      <c r="N470" s="355">
        <v>3</v>
      </c>
    </row>
    <row r="471" spans="1:14" hidden="1" x14ac:dyDescent="0.25">
      <c r="A471" s="354">
        <v>1</v>
      </c>
      <c r="B471" s="354">
        <v>0</v>
      </c>
      <c r="C471" s="354">
        <v>2</v>
      </c>
      <c r="D471" s="354">
        <v>2</v>
      </c>
      <c r="E471" s="354">
        <v>1</v>
      </c>
      <c r="F471" s="354">
        <v>0</v>
      </c>
      <c r="G471" s="354">
        <v>1</v>
      </c>
      <c r="H471" s="354">
        <v>0</v>
      </c>
      <c r="I471" s="354">
        <v>0</v>
      </c>
      <c r="J471" s="354">
        <v>1</v>
      </c>
      <c r="K471" s="354">
        <v>0</v>
      </c>
      <c r="L471" s="354">
        <v>0</v>
      </c>
      <c r="M471" s="355">
        <v>5</v>
      </c>
      <c r="N471" s="355">
        <v>3</v>
      </c>
    </row>
    <row r="472" spans="1:14" hidden="1" x14ac:dyDescent="0.25">
      <c r="A472" s="354">
        <v>0</v>
      </c>
      <c r="B472" s="354">
        <v>0</v>
      </c>
      <c r="C472" s="354">
        <v>0</v>
      </c>
      <c r="D472" s="354">
        <v>0</v>
      </c>
      <c r="E472" s="354">
        <v>2</v>
      </c>
      <c r="F472" s="354">
        <v>1</v>
      </c>
      <c r="G472" s="354">
        <v>0</v>
      </c>
      <c r="H472" s="354">
        <v>0</v>
      </c>
      <c r="I472" s="354">
        <v>1</v>
      </c>
      <c r="J472" s="354">
        <v>1</v>
      </c>
      <c r="K472" s="354">
        <v>0</v>
      </c>
      <c r="L472" s="354">
        <v>0</v>
      </c>
      <c r="M472" s="355">
        <v>3</v>
      </c>
      <c r="N472" s="355">
        <v>2</v>
      </c>
    </row>
    <row r="473" spans="1:14" hidden="1" x14ac:dyDescent="0.25">
      <c r="A473" s="354">
        <v>0</v>
      </c>
      <c r="B473" s="354">
        <v>0</v>
      </c>
      <c r="C473" s="354">
        <v>0</v>
      </c>
      <c r="D473" s="354">
        <v>0</v>
      </c>
      <c r="E473" s="354">
        <v>0</v>
      </c>
      <c r="F473" s="354">
        <v>3</v>
      </c>
      <c r="G473" s="354">
        <v>4</v>
      </c>
      <c r="H473" s="354">
        <v>0</v>
      </c>
      <c r="I473" s="354">
        <v>0</v>
      </c>
      <c r="J473" s="354">
        <v>1</v>
      </c>
      <c r="K473" s="354">
        <v>0</v>
      </c>
      <c r="L473" s="354">
        <v>0</v>
      </c>
      <c r="M473" s="355">
        <v>4</v>
      </c>
      <c r="N473" s="355">
        <v>4</v>
      </c>
    </row>
    <row r="474" spans="1:14" hidden="1" x14ac:dyDescent="0.25">
      <c r="A474" s="354">
        <v>1</v>
      </c>
      <c r="B474" s="354">
        <v>0</v>
      </c>
      <c r="C474" s="354">
        <v>1</v>
      </c>
      <c r="D474" s="354">
        <v>1</v>
      </c>
      <c r="E474" s="354">
        <v>1</v>
      </c>
      <c r="F474" s="354">
        <v>1</v>
      </c>
      <c r="G474" s="354">
        <v>1</v>
      </c>
      <c r="H474" s="354">
        <v>1</v>
      </c>
      <c r="I474" s="354">
        <v>1</v>
      </c>
      <c r="J474" s="354">
        <v>0</v>
      </c>
      <c r="K474" s="354">
        <v>0</v>
      </c>
      <c r="L474" s="354">
        <v>0</v>
      </c>
      <c r="M474" s="355">
        <v>5</v>
      </c>
      <c r="N474" s="355">
        <v>3</v>
      </c>
    </row>
    <row r="475" spans="1:14" hidden="1" x14ac:dyDescent="0.25">
      <c r="A475" s="354">
        <v>1</v>
      </c>
      <c r="B475" s="354">
        <v>0</v>
      </c>
      <c r="C475" s="354">
        <v>1</v>
      </c>
      <c r="D475" s="354">
        <v>1</v>
      </c>
      <c r="E475" s="354">
        <v>1</v>
      </c>
      <c r="F475" s="354">
        <v>1</v>
      </c>
      <c r="G475" s="354">
        <v>1</v>
      </c>
      <c r="H475" s="354">
        <v>0</v>
      </c>
      <c r="I475" s="354">
        <v>0</v>
      </c>
      <c r="J475" s="354">
        <v>1</v>
      </c>
      <c r="K475" s="354">
        <v>1</v>
      </c>
      <c r="L475" s="354">
        <v>0</v>
      </c>
      <c r="M475" s="355">
        <v>5</v>
      </c>
      <c r="N475" s="355">
        <v>3</v>
      </c>
    </row>
    <row r="476" spans="1:14" hidden="1" x14ac:dyDescent="0.25">
      <c r="A476" s="354">
        <v>1</v>
      </c>
      <c r="B476" s="354">
        <v>0</v>
      </c>
      <c r="C476" s="354">
        <v>2</v>
      </c>
      <c r="D476" s="354">
        <v>0</v>
      </c>
      <c r="E476" s="354">
        <v>1</v>
      </c>
      <c r="F476" s="354">
        <v>3</v>
      </c>
      <c r="G476" s="354">
        <v>0</v>
      </c>
      <c r="H476" s="354">
        <v>1</v>
      </c>
      <c r="I476" s="354">
        <v>1</v>
      </c>
      <c r="J476" s="354">
        <v>1</v>
      </c>
      <c r="K476" s="354">
        <v>0</v>
      </c>
      <c r="L476" s="354">
        <v>0</v>
      </c>
      <c r="M476" s="355">
        <v>5</v>
      </c>
      <c r="N476" s="355">
        <v>5</v>
      </c>
    </row>
    <row r="477" spans="1:14" hidden="1" x14ac:dyDescent="0.25">
      <c r="A477" s="354">
        <v>0</v>
      </c>
      <c r="B477" s="354">
        <v>0</v>
      </c>
      <c r="C477" s="354">
        <v>0</v>
      </c>
      <c r="D477" s="354">
        <v>0</v>
      </c>
      <c r="E477" s="354">
        <v>1</v>
      </c>
      <c r="F477" s="354">
        <v>1</v>
      </c>
      <c r="G477" s="354">
        <v>2</v>
      </c>
      <c r="H477" s="354">
        <v>1</v>
      </c>
      <c r="I477" s="354">
        <v>2</v>
      </c>
      <c r="J477" s="354">
        <v>0</v>
      </c>
      <c r="K477" s="354">
        <v>1</v>
      </c>
      <c r="L477" s="354">
        <v>0</v>
      </c>
      <c r="M477" s="355">
        <v>6</v>
      </c>
      <c r="N477" s="355">
        <v>2</v>
      </c>
    </row>
    <row r="478" spans="1:14" hidden="1" x14ac:dyDescent="0.25">
      <c r="A478" s="354">
        <v>0</v>
      </c>
      <c r="B478" s="354">
        <v>1</v>
      </c>
      <c r="C478" s="354">
        <v>0</v>
      </c>
      <c r="D478" s="354">
        <v>1</v>
      </c>
      <c r="E478" s="354">
        <v>0</v>
      </c>
      <c r="F478" s="354">
        <v>0</v>
      </c>
      <c r="G478" s="354">
        <v>0</v>
      </c>
      <c r="H478" s="354">
        <v>0</v>
      </c>
      <c r="I478" s="354">
        <v>1</v>
      </c>
      <c r="J478" s="354">
        <v>1</v>
      </c>
      <c r="K478" s="354">
        <v>0</v>
      </c>
      <c r="L478" s="354">
        <v>0</v>
      </c>
      <c r="M478" s="355">
        <v>1</v>
      </c>
      <c r="N478" s="355">
        <v>3</v>
      </c>
    </row>
    <row r="479" spans="1:14" hidden="1" x14ac:dyDescent="0.25">
      <c r="A479" s="354">
        <v>1</v>
      </c>
      <c r="B479" s="354">
        <v>1</v>
      </c>
      <c r="C479" s="354">
        <v>1</v>
      </c>
      <c r="D479" s="354">
        <v>0</v>
      </c>
      <c r="E479" s="354">
        <v>0</v>
      </c>
      <c r="F479" s="354">
        <v>2</v>
      </c>
      <c r="G479" s="354">
        <v>1</v>
      </c>
      <c r="H479" s="354">
        <v>1</v>
      </c>
      <c r="I479" s="354">
        <v>1</v>
      </c>
      <c r="J479" s="354">
        <v>2</v>
      </c>
      <c r="K479" s="354">
        <v>0</v>
      </c>
      <c r="L479" s="354">
        <v>0</v>
      </c>
      <c r="M479" s="355">
        <v>4</v>
      </c>
      <c r="N479" s="355">
        <v>6</v>
      </c>
    </row>
    <row r="480" spans="1:14" hidden="1" x14ac:dyDescent="0.25">
      <c r="A480" s="354">
        <v>0</v>
      </c>
      <c r="B480" s="354">
        <v>0</v>
      </c>
      <c r="C480" s="354">
        <v>0</v>
      </c>
      <c r="D480" s="354">
        <v>0</v>
      </c>
      <c r="E480" s="354">
        <v>1</v>
      </c>
      <c r="F480" s="354">
        <v>2</v>
      </c>
      <c r="G480" s="354">
        <v>2</v>
      </c>
      <c r="H480" s="354">
        <v>2</v>
      </c>
      <c r="I480" s="354">
        <v>2</v>
      </c>
      <c r="J480" s="354">
        <v>3</v>
      </c>
      <c r="K480" s="354">
        <v>0</v>
      </c>
      <c r="L480" s="354">
        <v>1</v>
      </c>
      <c r="M480" s="355">
        <v>5</v>
      </c>
      <c r="N480" s="355">
        <v>8</v>
      </c>
    </row>
    <row r="481" spans="1:14" hidden="1" x14ac:dyDescent="0.25">
      <c r="A481" s="354">
        <v>1</v>
      </c>
      <c r="B481" s="354">
        <v>0</v>
      </c>
      <c r="C481" s="354">
        <v>0</v>
      </c>
      <c r="D481" s="354">
        <v>0</v>
      </c>
      <c r="E481" s="354">
        <v>0</v>
      </c>
      <c r="F481" s="354">
        <v>1</v>
      </c>
      <c r="G481" s="354">
        <v>0</v>
      </c>
      <c r="H481" s="354">
        <v>2</v>
      </c>
      <c r="I481" s="354">
        <v>1</v>
      </c>
      <c r="J481" s="354">
        <v>1</v>
      </c>
      <c r="K481" s="354">
        <v>0</v>
      </c>
      <c r="L481" s="354">
        <v>0</v>
      </c>
      <c r="M481" s="355">
        <v>2</v>
      </c>
      <c r="N481" s="355">
        <v>4</v>
      </c>
    </row>
    <row r="482" spans="1:14" hidden="1" x14ac:dyDescent="0.25">
      <c r="A482" s="354">
        <v>0</v>
      </c>
      <c r="B482" s="354">
        <v>0</v>
      </c>
      <c r="C482" s="354">
        <v>0</v>
      </c>
      <c r="D482" s="354">
        <v>0</v>
      </c>
      <c r="E482" s="354">
        <v>2</v>
      </c>
      <c r="F482" s="354"/>
      <c r="G482" s="354">
        <v>0</v>
      </c>
      <c r="H482" s="354">
        <v>0</v>
      </c>
      <c r="I482" s="354">
        <v>1</v>
      </c>
      <c r="J482" s="354">
        <v>0</v>
      </c>
      <c r="K482" s="354">
        <v>0</v>
      </c>
      <c r="L482" s="354">
        <v>0</v>
      </c>
      <c r="M482" s="355">
        <v>3</v>
      </c>
      <c r="N482" s="355">
        <v>0</v>
      </c>
    </row>
    <row r="483" spans="1:14" hidden="1" x14ac:dyDescent="0.25">
      <c r="A483" s="354">
        <v>1</v>
      </c>
      <c r="B483" s="354">
        <v>0</v>
      </c>
      <c r="C483" s="354">
        <v>1</v>
      </c>
      <c r="D483" s="354">
        <v>1</v>
      </c>
      <c r="E483" s="354">
        <v>1</v>
      </c>
      <c r="F483" s="354">
        <v>2</v>
      </c>
      <c r="G483" s="354">
        <v>1</v>
      </c>
      <c r="H483" s="354">
        <v>0</v>
      </c>
      <c r="I483" s="354">
        <v>1</v>
      </c>
      <c r="J483" s="354">
        <v>1</v>
      </c>
      <c r="K483" s="354">
        <v>0</v>
      </c>
      <c r="L483" s="354">
        <v>0</v>
      </c>
      <c r="M483" s="355">
        <v>5</v>
      </c>
      <c r="N483" s="355">
        <v>4</v>
      </c>
    </row>
    <row r="484" spans="1:14" hidden="1" x14ac:dyDescent="0.25">
      <c r="A484" s="354">
        <v>0</v>
      </c>
      <c r="B484" s="354">
        <v>0</v>
      </c>
      <c r="C484" s="354">
        <v>0</v>
      </c>
      <c r="D484" s="354">
        <v>0</v>
      </c>
      <c r="E484" s="354">
        <v>0</v>
      </c>
      <c r="F484" s="354">
        <v>0</v>
      </c>
      <c r="G484" s="354">
        <v>0</v>
      </c>
      <c r="H484" s="354">
        <v>0</v>
      </c>
      <c r="I484" s="354">
        <v>1</v>
      </c>
      <c r="J484" s="354">
        <v>0</v>
      </c>
      <c r="K484" s="354">
        <v>0</v>
      </c>
      <c r="L484" s="354">
        <v>0</v>
      </c>
      <c r="M484" s="355">
        <v>1</v>
      </c>
      <c r="N484" s="355">
        <v>0</v>
      </c>
    </row>
    <row r="485" spans="1:14" hidden="1" x14ac:dyDescent="0.25">
      <c r="A485" s="354">
        <v>0</v>
      </c>
      <c r="B485" s="354">
        <v>0</v>
      </c>
      <c r="C485" s="354">
        <v>0</v>
      </c>
      <c r="D485" s="354">
        <v>0</v>
      </c>
      <c r="E485" s="354">
        <v>2</v>
      </c>
      <c r="F485" s="354">
        <v>2</v>
      </c>
      <c r="G485" s="354">
        <v>1</v>
      </c>
      <c r="H485" s="354">
        <v>0</v>
      </c>
      <c r="I485" s="354">
        <v>1</v>
      </c>
      <c r="J485" s="354">
        <v>1</v>
      </c>
      <c r="K485" s="354">
        <v>0</v>
      </c>
      <c r="L485" s="354">
        <v>0</v>
      </c>
      <c r="M485" s="355">
        <v>4</v>
      </c>
      <c r="N485" s="355">
        <v>3</v>
      </c>
    </row>
    <row r="486" spans="1:14" hidden="1" x14ac:dyDescent="0.25">
      <c r="A486" s="354">
        <v>1</v>
      </c>
      <c r="B486" s="354">
        <v>0</v>
      </c>
      <c r="C486" s="354">
        <v>2</v>
      </c>
      <c r="D486" s="354">
        <v>0</v>
      </c>
      <c r="E486" s="354">
        <v>2</v>
      </c>
      <c r="F486" s="354">
        <v>0</v>
      </c>
      <c r="G486" s="354">
        <v>0</v>
      </c>
      <c r="H486" s="354">
        <v>0</v>
      </c>
      <c r="I486" s="354">
        <v>1</v>
      </c>
      <c r="J486" s="354">
        <v>1</v>
      </c>
      <c r="K486" s="354">
        <v>0</v>
      </c>
      <c r="L486" s="354">
        <v>0</v>
      </c>
      <c r="M486" s="355">
        <v>6</v>
      </c>
      <c r="N486" s="355">
        <v>1</v>
      </c>
    </row>
    <row r="487" spans="1:14" hidden="1" x14ac:dyDescent="0.25">
      <c r="A487" s="354">
        <v>0</v>
      </c>
      <c r="B487" s="354">
        <v>0</v>
      </c>
      <c r="C487" s="354">
        <v>0</v>
      </c>
      <c r="D487" s="354">
        <v>0</v>
      </c>
      <c r="E487" s="354">
        <v>1</v>
      </c>
      <c r="F487" s="354">
        <v>2</v>
      </c>
      <c r="G487" s="354">
        <v>0</v>
      </c>
      <c r="H487" s="354">
        <v>0</v>
      </c>
      <c r="I487" s="354">
        <v>1</v>
      </c>
      <c r="J487" s="354">
        <v>2</v>
      </c>
      <c r="K487" s="354">
        <v>0</v>
      </c>
      <c r="L487" s="354">
        <v>0</v>
      </c>
      <c r="M487" s="355">
        <v>2</v>
      </c>
      <c r="N487" s="355">
        <v>4</v>
      </c>
    </row>
    <row r="488" spans="1:14" hidden="1" x14ac:dyDescent="0.25">
      <c r="A488" s="354">
        <v>0</v>
      </c>
      <c r="B488" s="354">
        <v>0</v>
      </c>
      <c r="C488" s="354">
        <v>0</v>
      </c>
      <c r="D488" s="354">
        <v>0</v>
      </c>
      <c r="E488" s="354">
        <v>0</v>
      </c>
      <c r="F488" s="354">
        <v>0</v>
      </c>
      <c r="G488" s="354">
        <v>0</v>
      </c>
      <c r="H488" s="354">
        <v>0</v>
      </c>
      <c r="I488" s="354">
        <v>1</v>
      </c>
      <c r="J488" s="354">
        <v>0</v>
      </c>
      <c r="K488" s="354">
        <v>0</v>
      </c>
      <c r="L488" s="354">
        <v>0</v>
      </c>
      <c r="M488" s="355">
        <v>1</v>
      </c>
      <c r="N488" s="355">
        <v>0</v>
      </c>
    </row>
    <row r="489" spans="1:14" hidden="1" x14ac:dyDescent="0.25">
      <c r="A489" s="354">
        <v>1</v>
      </c>
      <c r="B489" s="354">
        <v>0</v>
      </c>
      <c r="C489" s="354">
        <v>1</v>
      </c>
      <c r="D489" s="354">
        <v>0</v>
      </c>
      <c r="E489" s="354">
        <v>1</v>
      </c>
      <c r="F489" s="354">
        <v>2</v>
      </c>
      <c r="G489" s="354">
        <v>2</v>
      </c>
      <c r="H489" s="354">
        <v>0</v>
      </c>
      <c r="I489" s="354">
        <v>2</v>
      </c>
      <c r="J489" s="354">
        <v>1</v>
      </c>
      <c r="K489" s="354">
        <v>0</v>
      </c>
      <c r="L489" s="354">
        <v>0</v>
      </c>
      <c r="M489" s="355">
        <v>7</v>
      </c>
      <c r="N489" s="355">
        <v>3</v>
      </c>
    </row>
    <row r="490" spans="1:14" hidden="1" x14ac:dyDescent="0.25">
      <c r="A490" s="354">
        <v>0</v>
      </c>
      <c r="B490" s="354">
        <v>0</v>
      </c>
      <c r="C490" s="354">
        <v>0</v>
      </c>
      <c r="D490" s="354">
        <v>0</v>
      </c>
      <c r="E490" s="354">
        <v>0</v>
      </c>
      <c r="F490" s="354">
        <v>0</v>
      </c>
      <c r="G490" s="354">
        <v>0</v>
      </c>
      <c r="H490" s="354">
        <v>0</v>
      </c>
      <c r="I490" s="354">
        <v>0</v>
      </c>
      <c r="J490" s="354">
        <v>0</v>
      </c>
      <c r="K490" s="354">
        <v>1</v>
      </c>
      <c r="L490" s="354">
        <v>0</v>
      </c>
      <c r="M490" s="355">
        <v>1</v>
      </c>
      <c r="N490" s="355">
        <v>0</v>
      </c>
    </row>
    <row r="491" spans="1:14" hidden="1" x14ac:dyDescent="0.25">
      <c r="A491" s="354">
        <v>1</v>
      </c>
      <c r="B491" s="354">
        <v>0</v>
      </c>
      <c r="C491" s="354">
        <v>0</v>
      </c>
      <c r="D491" s="354">
        <v>0</v>
      </c>
      <c r="E491" s="354">
        <v>1</v>
      </c>
      <c r="F491" s="354">
        <v>0</v>
      </c>
      <c r="G491" s="354">
        <v>0</v>
      </c>
      <c r="H491" s="354">
        <v>1</v>
      </c>
      <c r="I491" s="354">
        <v>1</v>
      </c>
      <c r="J491" s="354">
        <v>1</v>
      </c>
      <c r="K491" s="354">
        <v>0</v>
      </c>
      <c r="L491" s="354">
        <v>1</v>
      </c>
      <c r="M491" s="355">
        <v>3</v>
      </c>
      <c r="N491" s="355">
        <v>3</v>
      </c>
    </row>
    <row r="492" spans="1:14" hidden="1" x14ac:dyDescent="0.25">
      <c r="A492" s="354">
        <v>0</v>
      </c>
      <c r="B492" s="354">
        <v>0</v>
      </c>
      <c r="C492" s="354">
        <v>0</v>
      </c>
      <c r="D492" s="354">
        <v>1</v>
      </c>
      <c r="E492" s="354">
        <v>2</v>
      </c>
      <c r="F492" s="354">
        <v>1</v>
      </c>
      <c r="G492" s="354">
        <v>3</v>
      </c>
      <c r="H492" s="354">
        <v>1</v>
      </c>
      <c r="I492" s="354">
        <v>3</v>
      </c>
      <c r="J492" s="354">
        <v>4</v>
      </c>
      <c r="K492" s="354">
        <v>0</v>
      </c>
      <c r="L492" s="354">
        <v>0</v>
      </c>
      <c r="M492" s="355">
        <v>8</v>
      </c>
      <c r="N492" s="355">
        <v>7</v>
      </c>
    </row>
    <row r="493" spans="1:14" hidden="1" x14ac:dyDescent="0.25">
      <c r="A493" s="354">
        <v>1</v>
      </c>
      <c r="B493" s="354">
        <v>0</v>
      </c>
      <c r="C493" s="354">
        <v>0</v>
      </c>
      <c r="D493" s="354">
        <v>0</v>
      </c>
      <c r="E493" s="354">
        <v>1</v>
      </c>
      <c r="F493" s="354">
        <v>2</v>
      </c>
      <c r="G493" s="354">
        <v>3</v>
      </c>
      <c r="H493" s="354">
        <v>0</v>
      </c>
      <c r="I493" s="354">
        <v>0</v>
      </c>
      <c r="J493" s="354">
        <v>1</v>
      </c>
      <c r="K493" s="354">
        <v>0</v>
      </c>
      <c r="L493" s="354">
        <v>0</v>
      </c>
      <c r="M493" s="355">
        <v>5</v>
      </c>
      <c r="N493" s="355">
        <v>3</v>
      </c>
    </row>
    <row r="494" spans="1:14" hidden="1" x14ac:dyDescent="0.25">
      <c r="A494" s="354">
        <v>0</v>
      </c>
      <c r="B494" s="354">
        <v>1</v>
      </c>
      <c r="C494" s="354">
        <v>0</v>
      </c>
      <c r="D494" s="354">
        <v>1</v>
      </c>
      <c r="E494" s="354">
        <v>2</v>
      </c>
      <c r="F494" s="354">
        <v>1</v>
      </c>
      <c r="G494" s="354">
        <v>1</v>
      </c>
      <c r="H494" s="354">
        <v>0</v>
      </c>
      <c r="I494" s="354">
        <v>1</v>
      </c>
      <c r="J494" s="354">
        <v>1</v>
      </c>
      <c r="K494" s="354">
        <v>0</v>
      </c>
      <c r="L494" s="354">
        <v>1</v>
      </c>
      <c r="M494" s="355">
        <v>4</v>
      </c>
      <c r="N494" s="355">
        <v>5</v>
      </c>
    </row>
    <row r="495" spans="1:14" hidden="1" x14ac:dyDescent="0.25">
      <c r="A495" s="354">
        <v>1</v>
      </c>
      <c r="B495" s="354">
        <v>0</v>
      </c>
      <c r="C495" s="354">
        <v>1</v>
      </c>
      <c r="D495" s="354">
        <v>1</v>
      </c>
      <c r="E495" s="354">
        <v>1</v>
      </c>
      <c r="F495" s="354">
        <v>0</v>
      </c>
      <c r="G495" s="354">
        <v>0</v>
      </c>
      <c r="H495" s="354">
        <v>0</v>
      </c>
      <c r="I495" s="354">
        <v>1</v>
      </c>
      <c r="J495" s="354">
        <v>1</v>
      </c>
      <c r="K495" s="354">
        <v>0</v>
      </c>
      <c r="L495" s="354">
        <v>0</v>
      </c>
      <c r="M495" s="355">
        <v>4</v>
      </c>
      <c r="N495" s="355">
        <v>2</v>
      </c>
    </row>
    <row r="496" spans="1:14" hidden="1" x14ac:dyDescent="0.25">
      <c r="A496" s="354">
        <v>1</v>
      </c>
      <c r="B496" s="354">
        <v>0</v>
      </c>
      <c r="C496" s="354">
        <v>0</v>
      </c>
      <c r="D496" s="354">
        <v>1</v>
      </c>
      <c r="E496" s="354">
        <v>1</v>
      </c>
      <c r="F496" s="354">
        <v>1</v>
      </c>
      <c r="G496" s="354">
        <v>1</v>
      </c>
      <c r="H496" s="354">
        <v>1</v>
      </c>
      <c r="I496" s="354">
        <v>1</v>
      </c>
      <c r="J496" s="354">
        <v>1</v>
      </c>
      <c r="K496" s="354">
        <v>0</v>
      </c>
      <c r="L496" s="354">
        <v>1</v>
      </c>
      <c r="M496" s="355">
        <v>4</v>
      </c>
      <c r="N496" s="355">
        <v>5</v>
      </c>
    </row>
    <row r="497" spans="1:14" hidden="1" x14ac:dyDescent="0.25">
      <c r="A497" s="354">
        <v>0</v>
      </c>
      <c r="B497" s="354">
        <v>0</v>
      </c>
      <c r="C497" s="354">
        <v>0</v>
      </c>
      <c r="D497" s="354">
        <v>0</v>
      </c>
      <c r="E497" s="354">
        <v>0</v>
      </c>
      <c r="F497" s="354">
        <v>1</v>
      </c>
      <c r="G497" s="354">
        <v>0</v>
      </c>
      <c r="H497" s="354">
        <v>0</v>
      </c>
      <c r="I497" s="354">
        <v>2</v>
      </c>
      <c r="J497" s="354">
        <v>1</v>
      </c>
      <c r="K497" s="354">
        <v>0</v>
      </c>
      <c r="L497" s="354">
        <v>1</v>
      </c>
      <c r="M497" s="355">
        <v>2</v>
      </c>
      <c r="N497" s="355">
        <v>3</v>
      </c>
    </row>
    <row r="498" spans="1:14" hidden="1" x14ac:dyDescent="0.25">
      <c r="A498" s="354">
        <v>0</v>
      </c>
      <c r="B498" s="354">
        <v>0</v>
      </c>
      <c r="C498" s="354">
        <v>0</v>
      </c>
      <c r="D498" s="354">
        <v>0</v>
      </c>
      <c r="E498" s="354">
        <v>0</v>
      </c>
      <c r="F498" s="354">
        <v>2</v>
      </c>
      <c r="G498" s="354">
        <v>1</v>
      </c>
      <c r="H498" s="354">
        <v>0</v>
      </c>
      <c r="I498" s="354">
        <v>1</v>
      </c>
      <c r="J498" s="354">
        <v>1</v>
      </c>
      <c r="K498" s="354">
        <v>0</v>
      </c>
      <c r="L498" s="354">
        <v>0</v>
      </c>
      <c r="M498" s="355">
        <v>2</v>
      </c>
      <c r="N498" s="355">
        <v>3</v>
      </c>
    </row>
    <row r="499" spans="1:14" hidden="1" x14ac:dyDescent="0.25">
      <c r="A499" s="354">
        <v>0</v>
      </c>
      <c r="B499" s="354">
        <v>0</v>
      </c>
      <c r="C499" s="354">
        <v>1</v>
      </c>
      <c r="D499" s="354">
        <v>1</v>
      </c>
      <c r="E499" s="354">
        <v>2</v>
      </c>
      <c r="F499" s="354">
        <v>1</v>
      </c>
      <c r="G499" s="354">
        <v>0</v>
      </c>
      <c r="H499" s="354">
        <v>1</v>
      </c>
      <c r="I499" s="354">
        <v>1</v>
      </c>
      <c r="J499" s="354">
        <v>1</v>
      </c>
      <c r="K499" s="354">
        <v>0</v>
      </c>
      <c r="L499" s="354">
        <v>0</v>
      </c>
      <c r="M499" s="355">
        <v>4</v>
      </c>
      <c r="N499" s="355">
        <v>4</v>
      </c>
    </row>
    <row r="500" spans="1:14" hidden="1" x14ac:dyDescent="0.25">
      <c r="A500" s="354">
        <v>0</v>
      </c>
      <c r="B500" s="354">
        <v>2</v>
      </c>
      <c r="C500" s="354">
        <v>1</v>
      </c>
      <c r="D500" s="354">
        <v>2</v>
      </c>
      <c r="E500" s="354">
        <v>1</v>
      </c>
      <c r="F500" s="354">
        <v>1</v>
      </c>
      <c r="G500" s="354">
        <v>0</v>
      </c>
      <c r="H500" s="354">
        <v>0</v>
      </c>
      <c r="I500" s="354">
        <v>1</v>
      </c>
      <c r="J500" s="354">
        <v>2</v>
      </c>
      <c r="K500" s="354">
        <v>0</v>
      </c>
      <c r="L500" s="354">
        <v>0</v>
      </c>
      <c r="M500" s="355">
        <v>3</v>
      </c>
      <c r="N500" s="355">
        <v>7</v>
      </c>
    </row>
    <row r="501" spans="1:14" hidden="1" x14ac:dyDescent="0.25">
      <c r="A501" s="354">
        <v>0</v>
      </c>
      <c r="B501" s="354">
        <v>0</v>
      </c>
      <c r="C501" s="354">
        <v>1</v>
      </c>
      <c r="D501" s="354">
        <v>1</v>
      </c>
      <c r="E501" s="354">
        <v>1</v>
      </c>
      <c r="F501" s="354">
        <v>1</v>
      </c>
      <c r="G501" s="354">
        <v>1</v>
      </c>
      <c r="H501" s="354">
        <v>1</v>
      </c>
      <c r="I501" s="354">
        <v>1</v>
      </c>
      <c r="J501" s="354">
        <v>2</v>
      </c>
      <c r="K501" s="354">
        <v>0</v>
      </c>
      <c r="L501" s="354">
        <v>0</v>
      </c>
      <c r="M501" s="355">
        <v>4</v>
      </c>
      <c r="N501" s="355">
        <v>5</v>
      </c>
    </row>
    <row r="502" spans="1:14" hidden="1" x14ac:dyDescent="0.25">
      <c r="A502" s="354">
        <v>0</v>
      </c>
      <c r="B502" s="354">
        <v>1</v>
      </c>
      <c r="C502" s="354">
        <v>0</v>
      </c>
      <c r="D502" s="354">
        <v>1</v>
      </c>
      <c r="E502" s="354">
        <v>2</v>
      </c>
      <c r="F502" s="354">
        <v>0</v>
      </c>
      <c r="G502" s="354">
        <v>1</v>
      </c>
      <c r="H502" s="354">
        <v>0</v>
      </c>
      <c r="I502" s="354">
        <v>1</v>
      </c>
      <c r="J502" s="354">
        <v>1</v>
      </c>
      <c r="K502" s="354">
        <v>0</v>
      </c>
      <c r="L502" s="354">
        <v>0</v>
      </c>
      <c r="M502" s="355">
        <v>4</v>
      </c>
      <c r="N502" s="355">
        <v>3</v>
      </c>
    </row>
    <row r="503" spans="1:14" hidden="1" x14ac:dyDescent="0.25">
      <c r="A503" s="354">
        <v>0</v>
      </c>
      <c r="B503" s="354">
        <v>0</v>
      </c>
      <c r="C503" s="354">
        <v>0</v>
      </c>
      <c r="D503" s="354">
        <v>0</v>
      </c>
      <c r="E503" s="354">
        <v>0</v>
      </c>
      <c r="F503" s="354">
        <v>0</v>
      </c>
      <c r="G503" s="354">
        <v>0</v>
      </c>
      <c r="H503" s="354">
        <v>0</v>
      </c>
      <c r="I503" s="354">
        <v>1</v>
      </c>
      <c r="J503" s="354">
        <v>0</v>
      </c>
      <c r="K503" s="354">
        <v>0</v>
      </c>
      <c r="L503" s="354">
        <v>0</v>
      </c>
      <c r="M503" s="355">
        <v>1</v>
      </c>
      <c r="N503" s="355">
        <v>0</v>
      </c>
    </row>
    <row r="504" spans="1:14" hidden="1" x14ac:dyDescent="0.25">
      <c r="A504" s="354">
        <v>1</v>
      </c>
      <c r="B504" s="354">
        <v>0</v>
      </c>
      <c r="C504" s="354">
        <v>0</v>
      </c>
      <c r="D504" s="354">
        <v>1</v>
      </c>
      <c r="E504" s="354">
        <v>0</v>
      </c>
      <c r="F504" s="354">
        <v>2</v>
      </c>
      <c r="G504" s="354">
        <v>1</v>
      </c>
      <c r="H504" s="354">
        <v>0</v>
      </c>
      <c r="I504" s="354">
        <v>1</v>
      </c>
      <c r="J504" s="354">
        <v>3</v>
      </c>
      <c r="K504" s="354">
        <v>1</v>
      </c>
      <c r="L504" s="354">
        <v>0</v>
      </c>
      <c r="M504" s="355">
        <v>4</v>
      </c>
      <c r="N504" s="355">
        <v>6</v>
      </c>
    </row>
    <row r="505" spans="1:14" hidden="1" x14ac:dyDescent="0.25">
      <c r="A505" s="354">
        <v>0</v>
      </c>
      <c r="B505" s="354">
        <v>1</v>
      </c>
      <c r="C505" s="354">
        <v>0</v>
      </c>
      <c r="D505" s="354">
        <v>1</v>
      </c>
      <c r="E505" s="354">
        <v>0</v>
      </c>
      <c r="F505" s="354">
        <v>0</v>
      </c>
      <c r="G505" s="354">
        <v>0</v>
      </c>
      <c r="H505" s="354">
        <v>0</v>
      </c>
      <c r="I505" s="354">
        <v>0</v>
      </c>
      <c r="J505" s="354">
        <v>1</v>
      </c>
      <c r="K505" s="354">
        <v>0</v>
      </c>
      <c r="L505" s="354">
        <v>0</v>
      </c>
      <c r="M505" s="355">
        <v>0</v>
      </c>
      <c r="N505" s="355">
        <v>3</v>
      </c>
    </row>
    <row r="506" spans="1:14" hidden="1" x14ac:dyDescent="0.25">
      <c r="A506" s="354">
        <v>0</v>
      </c>
      <c r="B506" s="354">
        <v>1</v>
      </c>
      <c r="C506" s="354">
        <v>0</v>
      </c>
      <c r="D506" s="354">
        <v>0</v>
      </c>
      <c r="E506" s="354">
        <v>0</v>
      </c>
      <c r="F506" s="354">
        <v>1</v>
      </c>
      <c r="G506" s="354">
        <v>1</v>
      </c>
      <c r="H506" s="354">
        <v>1</v>
      </c>
      <c r="I506" s="354">
        <v>0</v>
      </c>
      <c r="J506" s="354">
        <v>1</v>
      </c>
      <c r="K506" s="354">
        <v>0</v>
      </c>
      <c r="L506" s="354">
        <v>0</v>
      </c>
      <c r="M506" s="355">
        <v>1</v>
      </c>
      <c r="N506" s="355">
        <v>4</v>
      </c>
    </row>
    <row r="507" spans="1:14" hidden="1" x14ac:dyDescent="0.25">
      <c r="A507" s="354">
        <v>0</v>
      </c>
      <c r="B507" s="354">
        <v>0</v>
      </c>
      <c r="C507" s="354">
        <v>0</v>
      </c>
      <c r="D507" s="354">
        <v>0</v>
      </c>
      <c r="E507" s="354">
        <v>0</v>
      </c>
      <c r="F507" s="354">
        <v>3</v>
      </c>
      <c r="G507" s="354">
        <v>1</v>
      </c>
      <c r="H507" s="354">
        <v>0</v>
      </c>
      <c r="I507" s="354">
        <v>2</v>
      </c>
      <c r="J507" s="354">
        <v>1</v>
      </c>
      <c r="K507" s="354">
        <v>0</v>
      </c>
      <c r="L507" s="354">
        <v>0</v>
      </c>
      <c r="M507" s="355">
        <v>3</v>
      </c>
      <c r="N507" s="355">
        <v>4</v>
      </c>
    </row>
    <row r="508" spans="1:14" hidden="1" x14ac:dyDescent="0.25">
      <c r="A508" s="354">
        <v>0</v>
      </c>
      <c r="B508" s="354">
        <v>1</v>
      </c>
      <c r="C508" s="354">
        <v>2</v>
      </c>
      <c r="D508" s="354">
        <v>0</v>
      </c>
      <c r="E508" s="354">
        <v>2</v>
      </c>
      <c r="F508" s="354">
        <v>1</v>
      </c>
      <c r="G508" s="354">
        <v>1</v>
      </c>
      <c r="H508" s="354">
        <v>1</v>
      </c>
      <c r="I508" s="354">
        <v>1</v>
      </c>
      <c r="J508" s="354">
        <v>1</v>
      </c>
      <c r="K508" s="354">
        <v>0</v>
      </c>
      <c r="L508" s="354">
        <v>0</v>
      </c>
      <c r="M508" s="355">
        <v>6</v>
      </c>
      <c r="N508" s="355">
        <v>4</v>
      </c>
    </row>
    <row r="509" spans="1:14" hidden="1" x14ac:dyDescent="0.25">
      <c r="A509" s="354">
        <v>1</v>
      </c>
      <c r="B509" s="354">
        <v>0</v>
      </c>
      <c r="C509" s="354">
        <v>0</v>
      </c>
      <c r="D509" s="354">
        <v>1</v>
      </c>
      <c r="E509" s="354">
        <v>1</v>
      </c>
      <c r="F509" s="354">
        <v>0</v>
      </c>
      <c r="G509" s="354">
        <v>1</v>
      </c>
      <c r="H509" s="354">
        <v>0</v>
      </c>
      <c r="I509" s="354">
        <v>1</v>
      </c>
      <c r="J509" s="354">
        <v>1</v>
      </c>
      <c r="K509" s="354">
        <v>0</v>
      </c>
      <c r="L509" s="354">
        <v>0</v>
      </c>
      <c r="M509" s="355">
        <v>4</v>
      </c>
      <c r="N509" s="355">
        <v>2</v>
      </c>
    </row>
    <row r="510" spans="1:14" hidden="1" x14ac:dyDescent="0.25">
      <c r="A510" s="354">
        <v>0</v>
      </c>
      <c r="B510" s="354">
        <v>0</v>
      </c>
      <c r="C510" s="354">
        <v>0</v>
      </c>
      <c r="D510" s="354">
        <v>1</v>
      </c>
      <c r="E510" s="354">
        <v>1</v>
      </c>
      <c r="F510" s="354">
        <v>0</v>
      </c>
      <c r="G510" s="354">
        <v>0</v>
      </c>
      <c r="H510" s="354">
        <v>0</v>
      </c>
      <c r="I510" s="354">
        <v>1</v>
      </c>
      <c r="J510" s="354">
        <v>1</v>
      </c>
      <c r="K510" s="354">
        <v>0</v>
      </c>
      <c r="L510" s="354">
        <v>0</v>
      </c>
      <c r="M510" s="355">
        <v>2</v>
      </c>
      <c r="N510" s="355">
        <v>2</v>
      </c>
    </row>
    <row r="511" spans="1:14" hidden="1" x14ac:dyDescent="0.25">
      <c r="A511" s="354">
        <v>1</v>
      </c>
      <c r="B511" s="354">
        <v>0</v>
      </c>
      <c r="C511" s="354">
        <v>1</v>
      </c>
      <c r="D511" s="354">
        <v>0</v>
      </c>
      <c r="E511" s="354">
        <v>0</v>
      </c>
      <c r="F511" s="354">
        <v>1</v>
      </c>
      <c r="G511" s="354">
        <v>0</v>
      </c>
      <c r="H511" s="354">
        <v>0</v>
      </c>
      <c r="I511" s="354">
        <v>1</v>
      </c>
      <c r="J511" s="354">
        <v>1</v>
      </c>
      <c r="K511" s="354">
        <v>0</v>
      </c>
      <c r="L511" s="354">
        <v>0</v>
      </c>
      <c r="M511" s="355">
        <v>3</v>
      </c>
      <c r="N511" s="355">
        <v>2</v>
      </c>
    </row>
    <row r="512" spans="1:14" hidden="1" x14ac:dyDescent="0.25">
      <c r="A512" s="354">
        <v>0</v>
      </c>
      <c r="B512" s="354">
        <v>1</v>
      </c>
      <c r="C512" s="354">
        <v>1</v>
      </c>
      <c r="D512" s="354">
        <v>0</v>
      </c>
      <c r="E512" s="354">
        <v>2</v>
      </c>
      <c r="F512" s="354">
        <v>0</v>
      </c>
      <c r="G512" s="354">
        <v>0</v>
      </c>
      <c r="H512" s="354">
        <v>0</v>
      </c>
      <c r="I512" s="354">
        <v>1</v>
      </c>
      <c r="J512" s="354">
        <v>1</v>
      </c>
      <c r="K512" s="354">
        <v>1</v>
      </c>
      <c r="L512" s="354">
        <v>0</v>
      </c>
      <c r="M512" s="355">
        <v>5</v>
      </c>
      <c r="N512" s="355">
        <v>2</v>
      </c>
    </row>
    <row r="513" spans="1:14" hidden="1" x14ac:dyDescent="0.25">
      <c r="A513" s="354">
        <v>0</v>
      </c>
      <c r="B513" s="354">
        <v>1</v>
      </c>
      <c r="C513" s="354">
        <v>1</v>
      </c>
      <c r="D513" s="354">
        <v>1</v>
      </c>
      <c r="E513" s="354">
        <v>0</v>
      </c>
      <c r="F513" s="354">
        <v>2</v>
      </c>
      <c r="G513" s="354">
        <v>2</v>
      </c>
      <c r="H513" s="354">
        <v>0</v>
      </c>
      <c r="I513" s="354">
        <v>1</v>
      </c>
      <c r="J513" s="354">
        <v>1</v>
      </c>
      <c r="K513" s="354">
        <v>0</v>
      </c>
      <c r="L513" s="354">
        <v>0</v>
      </c>
      <c r="M513" s="355">
        <v>4</v>
      </c>
      <c r="N513" s="355">
        <v>5</v>
      </c>
    </row>
    <row r="514" spans="1:14" hidden="1" x14ac:dyDescent="0.25">
      <c r="A514" s="354">
        <v>0</v>
      </c>
      <c r="B514" s="354">
        <v>1</v>
      </c>
      <c r="C514" s="354">
        <v>1</v>
      </c>
      <c r="D514" s="354">
        <v>1</v>
      </c>
      <c r="E514" s="354">
        <v>0</v>
      </c>
      <c r="F514" s="354">
        <v>1</v>
      </c>
      <c r="G514" s="354">
        <v>0</v>
      </c>
      <c r="H514" s="354">
        <v>0</v>
      </c>
      <c r="I514" s="354">
        <v>1</v>
      </c>
      <c r="J514" s="354">
        <v>1</v>
      </c>
      <c r="K514" s="354">
        <v>0</v>
      </c>
      <c r="L514" s="354">
        <v>0</v>
      </c>
      <c r="M514" s="355">
        <v>2</v>
      </c>
      <c r="N514" s="355">
        <v>4</v>
      </c>
    </row>
    <row r="515" spans="1:14" hidden="1" x14ac:dyDescent="0.25">
      <c r="A515" s="354">
        <v>0</v>
      </c>
      <c r="B515" s="354">
        <v>1</v>
      </c>
      <c r="C515" s="354">
        <v>0</v>
      </c>
      <c r="D515" s="354">
        <v>0</v>
      </c>
      <c r="E515" s="354">
        <v>0</v>
      </c>
      <c r="F515" s="354">
        <v>0</v>
      </c>
      <c r="G515" s="354">
        <v>0</v>
      </c>
      <c r="H515" s="354">
        <v>0</v>
      </c>
      <c r="I515" s="354">
        <v>1</v>
      </c>
      <c r="J515" s="354">
        <v>1</v>
      </c>
      <c r="K515" s="354">
        <v>0</v>
      </c>
      <c r="L515" s="354">
        <v>0</v>
      </c>
      <c r="M515" s="355">
        <v>1</v>
      </c>
      <c r="N515" s="355">
        <v>2</v>
      </c>
    </row>
    <row r="516" spans="1:14" hidden="1" x14ac:dyDescent="0.25">
      <c r="A516" s="354">
        <v>0</v>
      </c>
      <c r="B516" s="354">
        <v>0</v>
      </c>
      <c r="C516" s="354">
        <v>1</v>
      </c>
      <c r="D516" s="354">
        <v>0</v>
      </c>
      <c r="E516" s="354">
        <v>0</v>
      </c>
      <c r="F516" s="354">
        <v>1</v>
      </c>
      <c r="G516" s="354">
        <v>1</v>
      </c>
      <c r="H516" s="354">
        <v>1</v>
      </c>
      <c r="I516" s="354">
        <v>1</v>
      </c>
      <c r="J516" s="354">
        <v>1</v>
      </c>
      <c r="K516" s="354">
        <v>0</v>
      </c>
      <c r="L516" s="354">
        <v>0</v>
      </c>
      <c r="M516" s="355">
        <v>3</v>
      </c>
      <c r="N516" s="355">
        <v>3</v>
      </c>
    </row>
    <row r="517" spans="1:14" hidden="1" x14ac:dyDescent="0.25">
      <c r="A517" s="354">
        <v>0</v>
      </c>
      <c r="B517" s="354">
        <v>0</v>
      </c>
      <c r="C517" s="354">
        <v>0</v>
      </c>
      <c r="D517" s="354">
        <v>1</v>
      </c>
      <c r="E517" s="354">
        <v>0</v>
      </c>
      <c r="F517" s="354">
        <v>1</v>
      </c>
      <c r="G517" s="354">
        <v>0</v>
      </c>
      <c r="H517" s="354">
        <v>1</v>
      </c>
      <c r="I517" s="354">
        <v>1</v>
      </c>
      <c r="J517" s="354">
        <v>1</v>
      </c>
      <c r="K517" s="354">
        <v>0</v>
      </c>
      <c r="L517" s="354">
        <v>0</v>
      </c>
      <c r="M517" s="355">
        <v>1</v>
      </c>
      <c r="N517" s="355">
        <v>4</v>
      </c>
    </row>
    <row r="518" spans="1:14" hidden="1" x14ac:dyDescent="0.25">
      <c r="A518" s="354">
        <v>0</v>
      </c>
      <c r="B518" s="354">
        <v>0</v>
      </c>
      <c r="C518" s="354">
        <v>1</v>
      </c>
      <c r="D518" s="354">
        <v>0</v>
      </c>
      <c r="E518" s="354">
        <v>0</v>
      </c>
      <c r="F518" s="354">
        <v>0</v>
      </c>
      <c r="G518" s="354">
        <v>1</v>
      </c>
      <c r="H518" s="354">
        <v>1</v>
      </c>
      <c r="I518" s="354">
        <v>1</v>
      </c>
      <c r="J518" s="354">
        <v>1</v>
      </c>
      <c r="K518" s="354">
        <v>0</v>
      </c>
      <c r="L518" s="354">
        <v>0</v>
      </c>
      <c r="M518" s="355">
        <v>3</v>
      </c>
      <c r="N518" s="355">
        <v>2</v>
      </c>
    </row>
    <row r="519" spans="1:14" hidden="1" x14ac:dyDescent="0.25">
      <c r="A519" s="354">
        <v>0</v>
      </c>
      <c r="B519" s="354">
        <v>0</v>
      </c>
      <c r="C519" s="354">
        <v>1</v>
      </c>
      <c r="D519" s="354">
        <v>1</v>
      </c>
      <c r="E519" s="354">
        <v>0</v>
      </c>
      <c r="F519" s="354">
        <v>0</v>
      </c>
      <c r="G519" s="354">
        <v>1</v>
      </c>
      <c r="H519" s="354">
        <v>1</v>
      </c>
      <c r="I519" s="354">
        <v>2</v>
      </c>
      <c r="J519" s="354">
        <v>1</v>
      </c>
      <c r="K519" s="354">
        <v>0</v>
      </c>
      <c r="L519" s="354">
        <v>0</v>
      </c>
      <c r="M519" s="355">
        <v>4</v>
      </c>
      <c r="N519" s="355">
        <v>3</v>
      </c>
    </row>
    <row r="520" spans="1:14" hidden="1" x14ac:dyDescent="0.25">
      <c r="A520" s="354">
        <v>0</v>
      </c>
      <c r="B520" s="354">
        <v>1</v>
      </c>
      <c r="C520" s="354">
        <v>1</v>
      </c>
      <c r="D520" s="354">
        <v>0</v>
      </c>
      <c r="E520" s="354">
        <v>1</v>
      </c>
      <c r="F520" s="354">
        <v>0</v>
      </c>
      <c r="G520" s="354">
        <v>0</v>
      </c>
      <c r="H520" s="354">
        <v>1</v>
      </c>
      <c r="I520" s="354">
        <v>1</v>
      </c>
      <c r="J520" s="354">
        <v>2</v>
      </c>
      <c r="K520" s="354">
        <v>0</v>
      </c>
      <c r="L520" s="354">
        <v>0</v>
      </c>
      <c r="M520" s="355">
        <v>3</v>
      </c>
      <c r="N520" s="355">
        <v>4</v>
      </c>
    </row>
    <row r="521" spans="1:14" hidden="1" x14ac:dyDescent="0.25">
      <c r="A521" s="354">
        <v>0</v>
      </c>
      <c r="B521" s="354">
        <v>0</v>
      </c>
      <c r="C521" s="354">
        <v>0</v>
      </c>
      <c r="D521" s="354">
        <v>1</v>
      </c>
      <c r="E521" s="354">
        <v>1</v>
      </c>
      <c r="F521" s="354">
        <v>0</v>
      </c>
      <c r="G521" s="354">
        <v>0</v>
      </c>
      <c r="H521" s="354">
        <v>1</v>
      </c>
      <c r="I521" s="354">
        <v>1</v>
      </c>
      <c r="J521" s="354">
        <v>1</v>
      </c>
      <c r="K521" s="354">
        <v>1</v>
      </c>
      <c r="L521" s="354">
        <v>0</v>
      </c>
      <c r="M521" s="355">
        <v>3</v>
      </c>
      <c r="N521" s="355">
        <v>3</v>
      </c>
    </row>
    <row r="522" spans="1:14" hidden="1" x14ac:dyDescent="0.25">
      <c r="A522" s="354">
        <v>0</v>
      </c>
      <c r="B522" s="354">
        <v>0</v>
      </c>
      <c r="C522" s="354">
        <v>0</v>
      </c>
      <c r="D522" s="354">
        <v>0</v>
      </c>
      <c r="E522" s="354">
        <v>0</v>
      </c>
      <c r="F522" s="354">
        <v>1</v>
      </c>
      <c r="G522" s="354">
        <v>1</v>
      </c>
      <c r="H522" s="354">
        <v>0</v>
      </c>
      <c r="I522" s="354">
        <v>2</v>
      </c>
      <c r="J522" s="354">
        <v>2</v>
      </c>
      <c r="K522" s="354">
        <v>0</v>
      </c>
      <c r="L522" s="354">
        <v>0</v>
      </c>
      <c r="M522" s="355">
        <v>3</v>
      </c>
      <c r="N522" s="355">
        <v>3</v>
      </c>
    </row>
    <row r="523" spans="1:14" hidden="1" x14ac:dyDescent="0.25">
      <c r="A523" s="354">
        <v>0</v>
      </c>
      <c r="B523" s="354">
        <v>0</v>
      </c>
      <c r="C523" s="354">
        <v>0</v>
      </c>
      <c r="D523" s="354">
        <v>1</v>
      </c>
      <c r="E523" s="354">
        <v>1</v>
      </c>
      <c r="F523" s="354">
        <v>0</v>
      </c>
      <c r="G523" s="354">
        <v>1</v>
      </c>
      <c r="H523" s="354">
        <v>0</v>
      </c>
      <c r="I523" s="354">
        <v>1</v>
      </c>
      <c r="J523" s="354">
        <v>2</v>
      </c>
      <c r="K523" s="354">
        <v>0</v>
      </c>
      <c r="L523" s="354">
        <v>0</v>
      </c>
      <c r="M523" s="355">
        <v>3</v>
      </c>
      <c r="N523" s="355">
        <v>3</v>
      </c>
    </row>
    <row r="524" spans="1:14" hidden="1" x14ac:dyDescent="0.25">
      <c r="A524" s="354">
        <v>0</v>
      </c>
      <c r="B524" s="354">
        <v>2</v>
      </c>
      <c r="C524" s="354">
        <v>0</v>
      </c>
      <c r="D524" s="354">
        <v>0</v>
      </c>
      <c r="E524" s="354">
        <v>0</v>
      </c>
      <c r="F524" s="354">
        <v>0</v>
      </c>
      <c r="G524" s="354">
        <v>0</v>
      </c>
      <c r="H524" s="354">
        <v>0</v>
      </c>
      <c r="I524" s="354">
        <v>1</v>
      </c>
      <c r="J524" s="354">
        <v>1</v>
      </c>
      <c r="K524" s="354">
        <v>0</v>
      </c>
      <c r="L524" s="354">
        <v>0</v>
      </c>
      <c r="M524" s="355">
        <v>1</v>
      </c>
      <c r="N524" s="355">
        <v>3</v>
      </c>
    </row>
    <row r="525" spans="1:14" hidden="1" x14ac:dyDescent="0.25">
      <c r="A525" s="354">
        <v>0</v>
      </c>
      <c r="B525" s="354">
        <v>1</v>
      </c>
      <c r="C525" s="354">
        <v>1</v>
      </c>
      <c r="D525" s="354">
        <v>0</v>
      </c>
      <c r="E525" s="354">
        <v>1</v>
      </c>
      <c r="F525" s="354">
        <v>1</v>
      </c>
      <c r="G525" s="354">
        <v>1</v>
      </c>
      <c r="H525" s="354">
        <v>0</v>
      </c>
      <c r="I525" s="354">
        <v>1</v>
      </c>
      <c r="J525" s="354">
        <v>1</v>
      </c>
      <c r="K525" s="354">
        <v>0</v>
      </c>
      <c r="L525" s="354">
        <v>1</v>
      </c>
      <c r="M525" s="355">
        <v>4</v>
      </c>
      <c r="N525" s="355">
        <v>4</v>
      </c>
    </row>
    <row r="526" spans="1:14" hidden="1" x14ac:dyDescent="0.25">
      <c r="A526" s="354">
        <v>1</v>
      </c>
      <c r="B526" s="354">
        <v>0</v>
      </c>
      <c r="C526" s="354">
        <v>1</v>
      </c>
      <c r="D526" s="354">
        <v>0</v>
      </c>
      <c r="E526" s="354">
        <v>1</v>
      </c>
      <c r="F526" s="354">
        <v>0</v>
      </c>
      <c r="G526" s="354">
        <v>0</v>
      </c>
      <c r="H526" s="354">
        <v>0</v>
      </c>
      <c r="I526" s="354">
        <v>1</v>
      </c>
      <c r="J526" s="354">
        <v>1</v>
      </c>
      <c r="K526" s="354">
        <v>0</v>
      </c>
      <c r="L526" s="354">
        <v>0</v>
      </c>
      <c r="M526" s="355">
        <v>4</v>
      </c>
      <c r="N526" s="355">
        <v>1</v>
      </c>
    </row>
    <row r="527" spans="1:14" hidden="1" x14ac:dyDescent="0.25">
      <c r="A527" s="354">
        <v>1</v>
      </c>
      <c r="B527" s="354">
        <v>1</v>
      </c>
      <c r="C527" s="354">
        <v>0</v>
      </c>
      <c r="D527" s="354">
        <v>1</v>
      </c>
      <c r="E527" s="354">
        <v>0</v>
      </c>
      <c r="F527" s="354">
        <v>0</v>
      </c>
      <c r="G527" s="354">
        <v>0</v>
      </c>
      <c r="H527" s="354">
        <v>0</v>
      </c>
      <c r="I527" s="354">
        <v>1</v>
      </c>
      <c r="J527" s="354">
        <v>1</v>
      </c>
      <c r="K527" s="354">
        <v>0</v>
      </c>
      <c r="L527" s="354">
        <v>0</v>
      </c>
      <c r="M527" s="355">
        <v>2</v>
      </c>
      <c r="N527" s="355">
        <v>3</v>
      </c>
    </row>
    <row r="528" spans="1:14" hidden="1" x14ac:dyDescent="0.25">
      <c r="A528" s="354">
        <v>0</v>
      </c>
      <c r="B528" s="354">
        <v>0</v>
      </c>
      <c r="C528" s="354">
        <v>0</v>
      </c>
      <c r="D528" s="354">
        <v>0</v>
      </c>
      <c r="E528" s="354">
        <v>0</v>
      </c>
      <c r="F528" s="354">
        <v>0</v>
      </c>
      <c r="G528" s="354">
        <v>0</v>
      </c>
      <c r="H528" s="354">
        <v>0</v>
      </c>
      <c r="I528" s="354">
        <v>1</v>
      </c>
      <c r="J528" s="354">
        <v>0</v>
      </c>
      <c r="K528" s="354">
        <v>0</v>
      </c>
      <c r="L528" s="354">
        <v>0</v>
      </c>
      <c r="M528" s="355">
        <v>1</v>
      </c>
      <c r="N528" s="355">
        <v>0</v>
      </c>
    </row>
    <row r="529" spans="1:14" hidden="1" x14ac:dyDescent="0.25">
      <c r="A529" s="354">
        <v>1</v>
      </c>
      <c r="B529" s="354">
        <v>0</v>
      </c>
      <c r="C529" s="354">
        <v>1</v>
      </c>
      <c r="D529" s="354">
        <v>0</v>
      </c>
      <c r="E529" s="354">
        <v>2</v>
      </c>
      <c r="F529" s="354">
        <v>0</v>
      </c>
      <c r="G529" s="354">
        <v>0</v>
      </c>
      <c r="H529" s="354">
        <v>0</v>
      </c>
      <c r="I529" s="354">
        <v>1</v>
      </c>
      <c r="J529" s="354">
        <v>1</v>
      </c>
      <c r="K529" s="354">
        <v>0</v>
      </c>
      <c r="L529" s="354">
        <v>0</v>
      </c>
      <c r="M529" s="355">
        <v>5</v>
      </c>
      <c r="N529" s="355">
        <v>1</v>
      </c>
    </row>
    <row r="530" spans="1:14" hidden="1" x14ac:dyDescent="0.25">
      <c r="A530" s="354">
        <v>1</v>
      </c>
      <c r="B530" s="354">
        <v>0</v>
      </c>
      <c r="C530" s="354">
        <v>0</v>
      </c>
      <c r="D530" s="354">
        <v>0</v>
      </c>
      <c r="E530" s="354">
        <v>0</v>
      </c>
      <c r="F530" s="354">
        <v>0</v>
      </c>
      <c r="G530" s="354">
        <v>0</v>
      </c>
      <c r="H530" s="354">
        <v>0</v>
      </c>
      <c r="I530" s="354">
        <v>1</v>
      </c>
      <c r="J530" s="354">
        <v>1</v>
      </c>
      <c r="K530" s="354">
        <v>0</v>
      </c>
      <c r="L530" s="354">
        <v>0</v>
      </c>
      <c r="M530" s="355">
        <v>2</v>
      </c>
      <c r="N530" s="355">
        <v>1</v>
      </c>
    </row>
    <row r="531" spans="1:14" hidden="1" x14ac:dyDescent="0.25">
      <c r="A531" s="354">
        <v>1</v>
      </c>
      <c r="B531" s="354">
        <v>0</v>
      </c>
      <c r="C531" s="354">
        <v>0</v>
      </c>
      <c r="D531" s="354">
        <v>0</v>
      </c>
      <c r="E531" s="354">
        <v>0</v>
      </c>
      <c r="F531" s="354">
        <v>3</v>
      </c>
      <c r="G531" s="354">
        <v>0</v>
      </c>
      <c r="H531" s="354">
        <v>1</v>
      </c>
      <c r="I531" s="354">
        <v>2</v>
      </c>
      <c r="J531" s="354">
        <v>1</v>
      </c>
      <c r="K531" s="354">
        <v>0</v>
      </c>
      <c r="L531" s="354">
        <v>0</v>
      </c>
      <c r="M531" s="355">
        <v>3</v>
      </c>
      <c r="N531" s="355">
        <v>5</v>
      </c>
    </row>
    <row r="532" spans="1:14" hidden="1" x14ac:dyDescent="0.25">
      <c r="A532" s="354">
        <v>1</v>
      </c>
      <c r="B532" s="354">
        <v>0</v>
      </c>
      <c r="C532" s="354">
        <v>0</v>
      </c>
      <c r="D532" s="354">
        <v>0</v>
      </c>
      <c r="E532" s="354">
        <v>0</v>
      </c>
      <c r="F532" s="354">
        <v>0</v>
      </c>
      <c r="G532" s="354">
        <v>0</v>
      </c>
      <c r="H532" s="354">
        <v>0</v>
      </c>
      <c r="I532" s="354">
        <v>1</v>
      </c>
      <c r="J532" s="354">
        <v>1</v>
      </c>
      <c r="K532" s="354">
        <v>0</v>
      </c>
      <c r="L532" s="354">
        <v>0</v>
      </c>
      <c r="M532" s="355">
        <v>2</v>
      </c>
      <c r="N532" s="355">
        <v>1</v>
      </c>
    </row>
    <row r="533" spans="1:14" hidden="1" x14ac:dyDescent="0.25">
      <c r="A533" s="354">
        <v>0</v>
      </c>
      <c r="B533" s="354">
        <v>0</v>
      </c>
      <c r="C533" s="354">
        <v>1</v>
      </c>
      <c r="D533" s="354">
        <v>2</v>
      </c>
      <c r="E533" s="354">
        <v>1</v>
      </c>
      <c r="F533" s="354">
        <v>1</v>
      </c>
      <c r="G533" s="354">
        <v>0</v>
      </c>
      <c r="H533" s="354">
        <v>0</v>
      </c>
      <c r="I533" s="354">
        <v>0</v>
      </c>
      <c r="J533" s="354">
        <v>1</v>
      </c>
      <c r="K533" s="354">
        <v>0</v>
      </c>
      <c r="L533" s="354">
        <v>0</v>
      </c>
      <c r="M533" s="355">
        <v>2</v>
      </c>
      <c r="N533" s="355">
        <v>4</v>
      </c>
    </row>
    <row r="534" spans="1:14" hidden="1" x14ac:dyDescent="0.25">
      <c r="A534" s="354">
        <v>0</v>
      </c>
      <c r="B534" s="354">
        <v>0</v>
      </c>
      <c r="C534" s="354">
        <v>0</v>
      </c>
      <c r="D534" s="354">
        <v>0</v>
      </c>
      <c r="E534" s="354">
        <v>0</v>
      </c>
      <c r="F534" s="354">
        <v>0</v>
      </c>
      <c r="G534" s="354">
        <v>0</v>
      </c>
      <c r="H534" s="354">
        <v>0</v>
      </c>
      <c r="I534" s="354">
        <v>0</v>
      </c>
      <c r="J534" s="354">
        <v>0</v>
      </c>
      <c r="K534" s="354">
        <v>1</v>
      </c>
      <c r="L534" s="354">
        <v>0</v>
      </c>
      <c r="M534" s="355">
        <v>1</v>
      </c>
      <c r="N534" s="355">
        <v>0</v>
      </c>
    </row>
    <row r="535" spans="1:14" hidden="1" x14ac:dyDescent="0.25">
      <c r="A535" s="354">
        <v>1</v>
      </c>
      <c r="B535" s="354">
        <v>1</v>
      </c>
      <c r="C535" s="354">
        <v>0</v>
      </c>
      <c r="D535" s="354">
        <v>0</v>
      </c>
      <c r="E535" s="354">
        <v>0</v>
      </c>
      <c r="F535" s="354">
        <v>1</v>
      </c>
      <c r="G535" s="354">
        <v>0</v>
      </c>
      <c r="H535" s="354">
        <v>0</v>
      </c>
      <c r="I535" s="354">
        <v>1</v>
      </c>
      <c r="J535" s="354">
        <v>1</v>
      </c>
      <c r="K535" s="354">
        <v>0</v>
      </c>
      <c r="L535" s="354">
        <v>0</v>
      </c>
      <c r="M535" s="355">
        <v>2</v>
      </c>
      <c r="N535" s="355">
        <v>3</v>
      </c>
    </row>
    <row r="536" spans="1:14" hidden="1" x14ac:dyDescent="0.25">
      <c r="A536" s="354">
        <v>1</v>
      </c>
      <c r="B536" s="354">
        <v>0</v>
      </c>
      <c r="C536" s="354">
        <v>1</v>
      </c>
      <c r="D536" s="354">
        <v>2</v>
      </c>
      <c r="E536" s="354">
        <v>0</v>
      </c>
      <c r="F536" s="354">
        <v>2</v>
      </c>
      <c r="G536" s="354">
        <v>1</v>
      </c>
      <c r="H536" s="354">
        <v>1</v>
      </c>
      <c r="I536" s="354">
        <v>1</v>
      </c>
      <c r="J536" s="354">
        <v>1</v>
      </c>
      <c r="K536" s="354">
        <v>1</v>
      </c>
      <c r="L536" s="354">
        <v>0</v>
      </c>
      <c r="M536" s="355">
        <v>5</v>
      </c>
      <c r="N536" s="355">
        <v>6</v>
      </c>
    </row>
    <row r="537" spans="1:14" hidden="1" x14ac:dyDescent="0.25">
      <c r="A537" s="354">
        <v>0</v>
      </c>
      <c r="B537" s="354">
        <v>0</v>
      </c>
      <c r="C537" s="354">
        <v>1</v>
      </c>
      <c r="D537" s="354">
        <v>1</v>
      </c>
      <c r="E537" s="354">
        <v>1</v>
      </c>
      <c r="F537" s="354">
        <v>1</v>
      </c>
      <c r="G537" s="354">
        <v>1</v>
      </c>
      <c r="H537" s="354">
        <v>0</v>
      </c>
      <c r="I537" s="354">
        <v>1</v>
      </c>
      <c r="J537" s="354">
        <v>1</v>
      </c>
      <c r="K537" s="354">
        <v>0</v>
      </c>
      <c r="L537" s="354">
        <v>0</v>
      </c>
      <c r="M537" s="355">
        <v>4</v>
      </c>
      <c r="N537" s="355">
        <v>3</v>
      </c>
    </row>
    <row r="538" spans="1:14" hidden="1" x14ac:dyDescent="0.25">
      <c r="A538" s="354">
        <v>0</v>
      </c>
      <c r="B538" s="354">
        <v>0</v>
      </c>
      <c r="C538" s="354">
        <v>0</v>
      </c>
      <c r="D538" s="354">
        <v>0</v>
      </c>
      <c r="E538" s="354">
        <v>0</v>
      </c>
      <c r="F538" s="354">
        <v>0</v>
      </c>
      <c r="G538" s="354">
        <v>0</v>
      </c>
      <c r="H538" s="354">
        <v>0</v>
      </c>
      <c r="I538" s="354">
        <v>1</v>
      </c>
      <c r="J538" s="354">
        <v>0</v>
      </c>
      <c r="K538" s="354">
        <v>0</v>
      </c>
      <c r="L538" s="354">
        <v>0</v>
      </c>
      <c r="M538" s="355">
        <v>1</v>
      </c>
      <c r="N538" s="355">
        <v>0</v>
      </c>
    </row>
    <row r="539" spans="1:14" hidden="1" x14ac:dyDescent="0.25">
      <c r="A539" s="354">
        <v>0</v>
      </c>
      <c r="B539" s="354">
        <v>0</v>
      </c>
      <c r="C539" s="354">
        <v>1</v>
      </c>
      <c r="D539" s="354">
        <v>1</v>
      </c>
      <c r="E539" s="354">
        <v>1</v>
      </c>
      <c r="F539" s="354">
        <v>0</v>
      </c>
      <c r="G539" s="354">
        <v>0</v>
      </c>
      <c r="H539" s="354">
        <v>0</v>
      </c>
      <c r="I539" s="354">
        <v>1</v>
      </c>
      <c r="J539" s="354">
        <v>1</v>
      </c>
      <c r="K539" s="354">
        <v>0</v>
      </c>
      <c r="L539" s="354">
        <v>1</v>
      </c>
      <c r="M539" s="355">
        <v>3</v>
      </c>
      <c r="N539" s="355">
        <v>3</v>
      </c>
    </row>
    <row r="540" spans="1:14" hidden="1" x14ac:dyDescent="0.25">
      <c r="A540" s="354">
        <v>0</v>
      </c>
      <c r="B540" s="354">
        <v>1</v>
      </c>
      <c r="C540" s="354">
        <v>0</v>
      </c>
      <c r="D540" s="354">
        <v>1</v>
      </c>
      <c r="E540" s="354">
        <v>1</v>
      </c>
      <c r="F540" s="354">
        <v>1</v>
      </c>
      <c r="G540" s="354">
        <v>0</v>
      </c>
      <c r="H540" s="354">
        <v>1</v>
      </c>
      <c r="I540" s="354">
        <v>1</v>
      </c>
      <c r="J540" s="354">
        <v>1</v>
      </c>
      <c r="K540" s="354">
        <v>0</v>
      </c>
      <c r="L540" s="354">
        <v>0</v>
      </c>
      <c r="M540" s="355">
        <v>2</v>
      </c>
      <c r="N540" s="355">
        <v>5</v>
      </c>
    </row>
    <row r="541" spans="1:14" hidden="1" x14ac:dyDescent="0.25">
      <c r="A541" s="354">
        <v>0</v>
      </c>
      <c r="B541" s="354">
        <v>0</v>
      </c>
      <c r="C541" s="354">
        <v>0</v>
      </c>
      <c r="D541" s="354">
        <v>0</v>
      </c>
      <c r="E541" s="354">
        <v>0</v>
      </c>
      <c r="F541" s="354">
        <v>0</v>
      </c>
      <c r="G541" s="354">
        <v>0</v>
      </c>
      <c r="H541" s="354">
        <v>2</v>
      </c>
      <c r="I541" s="354">
        <v>1</v>
      </c>
      <c r="J541" s="354">
        <v>0</v>
      </c>
      <c r="K541" s="354">
        <v>0</v>
      </c>
      <c r="L541" s="354">
        <v>0</v>
      </c>
      <c r="M541" s="355">
        <v>1</v>
      </c>
      <c r="N541" s="355">
        <v>2</v>
      </c>
    </row>
    <row r="542" spans="1:14" hidden="1" x14ac:dyDescent="0.25">
      <c r="A542" s="354">
        <v>0</v>
      </c>
      <c r="B542" s="354">
        <v>2</v>
      </c>
      <c r="C542" s="354">
        <v>0</v>
      </c>
      <c r="D542" s="354">
        <v>0</v>
      </c>
      <c r="E542" s="354">
        <v>2</v>
      </c>
      <c r="F542" s="354">
        <v>1</v>
      </c>
      <c r="G542" s="354">
        <v>0</v>
      </c>
      <c r="H542" s="354">
        <v>0</v>
      </c>
      <c r="I542" s="354">
        <v>1</v>
      </c>
      <c r="J542" s="354">
        <v>1</v>
      </c>
      <c r="K542" s="354">
        <v>0</v>
      </c>
      <c r="L542" s="354">
        <v>0</v>
      </c>
      <c r="M542" s="355">
        <v>3</v>
      </c>
      <c r="N542" s="355">
        <v>4</v>
      </c>
    </row>
    <row r="543" spans="1:14" hidden="1" x14ac:dyDescent="0.25">
      <c r="A543" s="354">
        <v>0</v>
      </c>
      <c r="B543" s="354">
        <v>0</v>
      </c>
      <c r="C543" s="354">
        <v>1</v>
      </c>
      <c r="D543" s="354">
        <v>0</v>
      </c>
      <c r="E543" s="354">
        <v>1</v>
      </c>
      <c r="F543" s="354">
        <v>2</v>
      </c>
      <c r="G543" s="354">
        <v>1</v>
      </c>
      <c r="H543" s="354">
        <v>2</v>
      </c>
      <c r="I543" s="354">
        <v>1</v>
      </c>
      <c r="J543" s="354">
        <v>3</v>
      </c>
      <c r="K543" s="354">
        <v>1</v>
      </c>
      <c r="L543" s="354">
        <v>0</v>
      </c>
      <c r="M543" s="355">
        <v>5</v>
      </c>
      <c r="N543" s="355">
        <v>7</v>
      </c>
    </row>
    <row r="544" spans="1:14" hidden="1" x14ac:dyDescent="0.25">
      <c r="A544" s="354">
        <v>0</v>
      </c>
      <c r="B544" s="354">
        <v>1</v>
      </c>
      <c r="C544" s="354">
        <v>1</v>
      </c>
      <c r="D544" s="354">
        <v>0</v>
      </c>
      <c r="E544" s="354">
        <v>0</v>
      </c>
      <c r="F544" s="354">
        <v>0</v>
      </c>
      <c r="G544" s="354">
        <v>0</v>
      </c>
      <c r="H544" s="354">
        <v>0</v>
      </c>
      <c r="I544" s="354">
        <v>1</v>
      </c>
      <c r="J544" s="354">
        <v>1</v>
      </c>
      <c r="K544" s="354">
        <v>0</v>
      </c>
      <c r="L544" s="354">
        <v>0</v>
      </c>
      <c r="M544" s="355">
        <v>2</v>
      </c>
      <c r="N544" s="355">
        <v>2</v>
      </c>
    </row>
    <row r="545" spans="1:14" hidden="1" x14ac:dyDescent="0.25">
      <c r="A545" s="354">
        <v>1</v>
      </c>
      <c r="B545" s="354">
        <v>0</v>
      </c>
      <c r="C545" s="354">
        <v>0</v>
      </c>
      <c r="D545" s="354">
        <v>0</v>
      </c>
      <c r="E545" s="354">
        <v>0</v>
      </c>
      <c r="F545" s="354">
        <v>1</v>
      </c>
      <c r="G545" s="354">
        <v>0</v>
      </c>
      <c r="H545" s="354">
        <v>0</v>
      </c>
      <c r="I545" s="354">
        <v>1</v>
      </c>
      <c r="J545" s="354">
        <v>1</v>
      </c>
      <c r="K545" s="354">
        <v>0</v>
      </c>
      <c r="L545" s="354">
        <v>0</v>
      </c>
      <c r="M545" s="355">
        <v>2</v>
      </c>
      <c r="N545" s="355">
        <v>2</v>
      </c>
    </row>
    <row r="546" spans="1:14" hidden="1" x14ac:dyDescent="0.25">
      <c r="A546" s="354">
        <v>0</v>
      </c>
      <c r="B546" s="354">
        <v>0</v>
      </c>
      <c r="C546" s="354">
        <v>0</v>
      </c>
      <c r="D546" s="354">
        <v>0</v>
      </c>
      <c r="E546" s="354">
        <v>0</v>
      </c>
      <c r="F546" s="354">
        <v>2</v>
      </c>
      <c r="G546" s="354">
        <v>0</v>
      </c>
      <c r="H546" s="354">
        <v>0</v>
      </c>
      <c r="I546" s="354">
        <v>0</v>
      </c>
      <c r="J546" s="354">
        <v>1</v>
      </c>
      <c r="K546" s="354">
        <v>0</v>
      </c>
      <c r="L546" s="354">
        <v>0</v>
      </c>
      <c r="M546" s="355">
        <v>0</v>
      </c>
      <c r="N546" s="355">
        <v>3</v>
      </c>
    </row>
    <row r="547" spans="1:14" hidden="1" x14ac:dyDescent="0.25">
      <c r="A547" s="354">
        <v>0</v>
      </c>
      <c r="B547" s="354">
        <v>1</v>
      </c>
      <c r="C547" s="354">
        <v>1</v>
      </c>
      <c r="D547" s="354">
        <v>0</v>
      </c>
      <c r="E547" s="354">
        <v>0</v>
      </c>
      <c r="F547" s="354">
        <v>0</v>
      </c>
      <c r="G547" s="354">
        <v>0</v>
      </c>
      <c r="H547" s="354">
        <v>0</v>
      </c>
      <c r="I547" s="354">
        <v>1</v>
      </c>
      <c r="J547" s="354">
        <v>1</v>
      </c>
      <c r="K547" s="354">
        <v>0</v>
      </c>
      <c r="L547" s="354">
        <v>0</v>
      </c>
      <c r="M547" s="355">
        <v>2</v>
      </c>
      <c r="N547" s="355">
        <v>2</v>
      </c>
    </row>
    <row r="548" spans="1:14" hidden="1" x14ac:dyDescent="0.25">
      <c r="A548" s="354">
        <v>0</v>
      </c>
      <c r="B548" s="354">
        <v>0</v>
      </c>
      <c r="C548" s="354">
        <v>0</v>
      </c>
      <c r="D548" s="354">
        <v>0</v>
      </c>
      <c r="E548" s="354">
        <v>0</v>
      </c>
      <c r="F548" s="354">
        <v>0</v>
      </c>
      <c r="G548" s="354">
        <v>0</v>
      </c>
      <c r="H548" s="354">
        <v>0</v>
      </c>
      <c r="I548" s="354">
        <v>1</v>
      </c>
      <c r="J548" s="354">
        <v>0</v>
      </c>
      <c r="K548" s="354">
        <v>0</v>
      </c>
      <c r="L548" s="354">
        <v>0</v>
      </c>
      <c r="M548" s="355">
        <v>1</v>
      </c>
      <c r="N548" s="355">
        <v>0</v>
      </c>
    </row>
    <row r="549" spans="1:14" hidden="1" x14ac:dyDescent="0.25">
      <c r="A549" s="354">
        <v>0</v>
      </c>
      <c r="B549" s="354">
        <v>0</v>
      </c>
      <c r="C549" s="354">
        <v>1</v>
      </c>
      <c r="D549" s="354">
        <v>0</v>
      </c>
      <c r="E549" s="354">
        <v>2</v>
      </c>
      <c r="F549" s="354">
        <v>0</v>
      </c>
      <c r="G549" s="354">
        <v>2</v>
      </c>
      <c r="H549" s="354">
        <v>0</v>
      </c>
      <c r="I549" s="354">
        <v>1</v>
      </c>
      <c r="J549" s="354">
        <v>1</v>
      </c>
      <c r="K549" s="354">
        <v>0</v>
      </c>
      <c r="L549" s="354">
        <v>0</v>
      </c>
      <c r="M549" s="355">
        <v>6</v>
      </c>
      <c r="N549" s="355">
        <v>1</v>
      </c>
    </row>
    <row r="550" spans="1:14" hidden="1" x14ac:dyDescent="0.25">
      <c r="A550" s="354">
        <v>1</v>
      </c>
      <c r="B550" s="354">
        <v>0</v>
      </c>
      <c r="C550" s="354">
        <v>1</v>
      </c>
      <c r="D550" s="354">
        <v>2</v>
      </c>
      <c r="E550" s="354">
        <v>2</v>
      </c>
      <c r="F550" s="354">
        <v>1</v>
      </c>
      <c r="G550" s="354">
        <v>1</v>
      </c>
      <c r="H550" s="354">
        <v>1</v>
      </c>
      <c r="I550" s="354">
        <v>2</v>
      </c>
      <c r="J550" s="354">
        <v>1</v>
      </c>
      <c r="K550" s="354">
        <v>0</v>
      </c>
      <c r="L550" s="354">
        <v>0</v>
      </c>
      <c r="M550" s="355">
        <v>7</v>
      </c>
      <c r="N550" s="355">
        <v>5</v>
      </c>
    </row>
    <row r="551" spans="1:14" hidden="1" x14ac:dyDescent="0.25">
      <c r="A551" s="354">
        <v>0</v>
      </c>
      <c r="B551" s="354">
        <v>1</v>
      </c>
      <c r="C551" s="354">
        <v>1</v>
      </c>
      <c r="D551" s="354">
        <v>1</v>
      </c>
      <c r="E551" s="354">
        <v>1</v>
      </c>
      <c r="F551" s="354">
        <v>0</v>
      </c>
      <c r="G551" s="354">
        <v>0</v>
      </c>
      <c r="H551" s="354">
        <v>0</v>
      </c>
      <c r="I551" s="354">
        <v>0</v>
      </c>
      <c r="J551" s="354">
        <v>1</v>
      </c>
      <c r="K551" s="354">
        <v>0</v>
      </c>
      <c r="L551" s="354">
        <v>0</v>
      </c>
      <c r="M551" s="355">
        <v>2</v>
      </c>
      <c r="N551" s="355">
        <v>3</v>
      </c>
    </row>
    <row r="552" spans="1:14" hidden="1" x14ac:dyDescent="0.25">
      <c r="A552" s="354">
        <v>1</v>
      </c>
      <c r="B552" s="354">
        <v>0</v>
      </c>
      <c r="C552" s="354">
        <v>0</v>
      </c>
      <c r="D552" s="354">
        <v>1</v>
      </c>
      <c r="E552" s="354">
        <v>0</v>
      </c>
      <c r="F552" s="354">
        <v>2</v>
      </c>
      <c r="G552" s="354">
        <v>0</v>
      </c>
      <c r="H552" s="354">
        <v>0</v>
      </c>
      <c r="I552" s="354">
        <v>1</v>
      </c>
      <c r="J552" s="354">
        <v>1</v>
      </c>
      <c r="K552" s="354">
        <v>0</v>
      </c>
      <c r="L552" s="354">
        <v>0</v>
      </c>
      <c r="M552" s="355">
        <v>2</v>
      </c>
      <c r="N552" s="355">
        <v>4</v>
      </c>
    </row>
    <row r="553" spans="1:14" hidden="1" x14ac:dyDescent="0.25">
      <c r="A553" s="354">
        <v>0</v>
      </c>
      <c r="B553" s="354">
        <v>0</v>
      </c>
      <c r="C553" s="354">
        <v>0</v>
      </c>
      <c r="D553" s="354">
        <v>0</v>
      </c>
      <c r="E553" s="354">
        <v>0</v>
      </c>
      <c r="F553" s="354">
        <v>0</v>
      </c>
      <c r="G553" s="354">
        <v>0</v>
      </c>
      <c r="H553" s="354">
        <v>0</v>
      </c>
      <c r="I553" s="354">
        <v>0</v>
      </c>
      <c r="J553" s="354">
        <v>0</v>
      </c>
      <c r="K553" s="354">
        <v>0</v>
      </c>
      <c r="L553" s="354">
        <v>1</v>
      </c>
      <c r="M553" s="355">
        <v>0</v>
      </c>
      <c r="N553" s="355">
        <v>1</v>
      </c>
    </row>
    <row r="554" spans="1:14" hidden="1" x14ac:dyDescent="0.25">
      <c r="A554" s="354">
        <v>0</v>
      </c>
      <c r="B554" s="354">
        <v>0</v>
      </c>
      <c r="C554" s="354">
        <v>0</v>
      </c>
      <c r="D554" s="354">
        <v>0</v>
      </c>
      <c r="E554" s="354">
        <v>0</v>
      </c>
      <c r="F554" s="354">
        <v>0</v>
      </c>
      <c r="G554" s="354">
        <v>0</v>
      </c>
      <c r="H554" s="354">
        <v>0</v>
      </c>
      <c r="I554" s="354">
        <v>0</v>
      </c>
      <c r="J554" s="354">
        <v>1</v>
      </c>
      <c r="K554" s="354">
        <v>0</v>
      </c>
      <c r="L554" s="354">
        <v>0</v>
      </c>
      <c r="M554" s="355">
        <v>0</v>
      </c>
      <c r="N554" s="355">
        <v>1</v>
      </c>
    </row>
    <row r="555" spans="1:14" hidden="1" x14ac:dyDescent="0.25">
      <c r="A555" s="354">
        <v>1</v>
      </c>
      <c r="B555" s="354">
        <v>1</v>
      </c>
      <c r="C555" s="354">
        <v>0</v>
      </c>
      <c r="D555" s="354">
        <v>0</v>
      </c>
      <c r="E555" s="354">
        <v>0</v>
      </c>
      <c r="F555" s="354">
        <v>0</v>
      </c>
      <c r="G555" s="354">
        <v>0</v>
      </c>
      <c r="H555" s="354">
        <v>0</v>
      </c>
      <c r="I555" s="354">
        <v>1</v>
      </c>
      <c r="J555" s="354">
        <v>1</v>
      </c>
      <c r="K555" s="354">
        <v>0</v>
      </c>
      <c r="L555" s="354">
        <v>0</v>
      </c>
      <c r="M555" s="355">
        <v>2</v>
      </c>
      <c r="N555" s="355">
        <v>2</v>
      </c>
    </row>
    <row r="556" spans="1:14" hidden="1" x14ac:dyDescent="0.25">
      <c r="A556" s="354">
        <v>0</v>
      </c>
      <c r="B556" s="354">
        <v>0</v>
      </c>
      <c r="C556" s="354">
        <v>0</v>
      </c>
      <c r="D556" s="354">
        <v>0</v>
      </c>
      <c r="E556" s="354">
        <v>0</v>
      </c>
      <c r="F556" s="354">
        <v>0</v>
      </c>
      <c r="G556" s="354">
        <v>0</v>
      </c>
      <c r="H556" s="354">
        <v>0</v>
      </c>
      <c r="I556" s="354">
        <v>1</v>
      </c>
      <c r="J556" s="354">
        <v>0</v>
      </c>
      <c r="K556" s="354">
        <v>0</v>
      </c>
      <c r="L556" s="354">
        <v>0</v>
      </c>
      <c r="M556" s="355">
        <v>1</v>
      </c>
      <c r="N556" s="355">
        <v>0</v>
      </c>
    </row>
    <row r="557" spans="1:14" hidden="1" x14ac:dyDescent="0.25">
      <c r="A557" s="354">
        <v>1</v>
      </c>
      <c r="B557" s="354">
        <v>1</v>
      </c>
      <c r="C557" s="354">
        <v>2</v>
      </c>
      <c r="D557" s="354">
        <v>2</v>
      </c>
      <c r="E557" s="354">
        <v>1</v>
      </c>
      <c r="F557" s="354">
        <v>3</v>
      </c>
      <c r="G557" s="354">
        <v>0</v>
      </c>
      <c r="H557" s="354">
        <v>0</v>
      </c>
      <c r="I557" s="354">
        <v>1</v>
      </c>
      <c r="J557" s="354">
        <v>2</v>
      </c>
      <c r="K557" s="354">
        <v>0</v>
      </c>
      <c r="L557" s="354">
        <v>0</v>
      </c>
      <c r="M557" s="355">
        <v>5</v>
      </c>
      <c r="N557" s="355">
        <v>8</v>
      </c>
    </row>
    <row r="558" spans="1:14" hidden="1" x14ac:dyDescent="0.25">
      <c r="A558" s="354">
        <v>2</v>
      </c>
      <c r="B558" s="354">
        <v>1</v>
      </c>
      <c r="C558" s="354">
        <v>1</v>
      </c>
      <c r="D558" s="354">
        <v>2</v>
      </c>
      <c r="E558" s="354">
        <v>1</v>
      </c>
      <c r="F558" s="354">
        <v>3</v>
      </c>
      <c r="G558" s="354">
        <v>1</v>
      </c>
      <c r="H558" s="354">
        <v>0</v>
      </c>
      <c r="I558" s="354">
        <v>1</v>
      </c>
      <c r="J558" s="354">
        <v>2</v>
      </c>
      <c r="K558" s="354">
        <v>0</v>
      </c>
      <c r="L558" s="354">
        <v>0</v>
      </c>
      <c r="M558" s="355">
        <v>6</v>
      </c>
      <c r="N558" s="355">
        <v>8</v>
      </c>
    </row>
    <row r="559" spans="1:14" hidden="1" x14ac:dyDescent="0.25">
      <c r="A559" s="354">
        <v>0</v>
      </c>
      <c r="B559" s="354">
        <v>0</v>
      </c>
      <c r="C559" s="354">
        <v>0</v>
      </c>
      <c r="D559" s="354">
        <v>0</v>
      </c>
      <c r="E559" s="354">
        <v>0</v>
      </c>
      <c r="F559" s="354">
        <v>0</v>
      </c>
      <c r="G559" s="354">
        <v>0</v>
      </c>
      <c r="H559" s="354">
        <v>0</v>
      </c>
      <c r="I559" s="354">
        <v>1</v>
      </c>
      <c r="J559" s="354">
        <v>0</v>
      </c>
      <c r="K559" s="354">
        <v>0</v>
      </c>
      <c r="L559" s="354">
        <v>0</v>
      </c>
      <c r="M559" s="355">
        <v>1</v>
      </c>
      <c r="N559" s="355">
        <v>0</v>
      </c>
    </row>
    <row r="560" spans="1:14" hidden="1" x14ac:dyDescent="0.25">
      <c r="A560" s="354">
        <v>1</v>
      </c>
      <c r="B560" s="354">
        <v>0</v>
      </c>
      <c r="C560" s="354">
        <v>0</v>
      </c>
      <c r="D560" s="354">
        <v>1</v>
      </c>
      <c r="E560" s="354">
        <v>0</v>
      </c>
      <c r="F560" s="354">
        <v>2</v>
      </c>
      <c r="G560" s="354">
        <v>0</v>
      </c>
      <c r="H560" s="354">
        <v>0</v>
      </c>
      <c r="I560" s="354">
        <v>1</v>
      </c>
      <c r="J560" s="354">
        <v>1</v>
      </c>
      <c r="K560" s="354">
        <v>0</v>
      </c>
      <c r="L560" s="354">
        <v>0</v>
      </c>
      <c r="M560" s="355">
        <v>2</v>
      </c>
      <c r="N560" s="355">
        <v>4</v>
      </c>
    </row>
    <row r="561" spans="1:14" hidden="1" x14ac:dyDescent="0.25">
      <c r="A561" s="354">
        <v>1</v>
      </c>
      <c r="B561" s="354">
        <v>2</v>
      </c>
      <c r="C561" s="354">
        <v>1</v>
      </c>
      <c r="D561" s="354">
        <v>2</v>
      </c>
      <c r="E561" s="354">
        <v>0</v>
      </c>
      <c r="F561" s="354">
        <v>1</v>
      </c>
      <c r="G561" s="354">
        <v>0</v>
      </c>
      <c r="H561" s="354">
        <v>0</v>
      </c>
      <c r="I561" s="354">
        <v>1</v>
      </c>
      <c r="J561" s="354">
        <v>1</v>
      </c>
      <c r="K561" s="354">
        <v>0</v>
      </c>
      <c r="L561" s="354">
        <v>0</v>
      </c>
      <c r="M561" s="355">
        <v>3</v>
      </c>
      <c r="N561" s="355">
        <v>6</v>
      </c>
    </row>
    <row r="562" spans="1:14" hidden="1" x14ac:dyDescent="0.25">
      <c r="A562" s="354">
        <v>0</v>
      </c>
      <c r="B562" s="354">
        <v>0</v>
      </c>
      <c r="C562" s="354">
        <v>0</v>
      </c>
      <c r="D562" s="354">
        <v>0</v>
      </c>
      <c r="E562" s="354">
        <v>2</v>
      </c>
      <c r="F562" s="354">
        <v>0</v>
      </c>
      <c r="G562" s="354">
        <v>1</v>
      </c>
      <c r="H562" s="354">
        <v>0</v>
      </c>
      <c r="I562" s="354">
        <v>0</v>
      </c>
      <c r="J562" s="354">
        <v>1</v>
      </c>
      <c r="K562" s="354">
        <v>0</v>
      </c>
      <c r="L562" s="354">
        <v>0</v>
      </c>
      <c r="M562" s="355">
        <v>3</v>
      </c>
      <c r="N562" s="355">
        <v>1</v>
      </c>
    </row>
    <row r="563" spans="1:14" hidden="1" x14ac:dyDescent="0.25">
      <c r="A563" s="354">
        <v>1</v>
      </c>
      <c r="B563" s="354">
        <v>1</v>
      </c>
      <c r="C563" s="354">
        <v>1</v>
      </c>
      <c r="D563" s="354">
        <v>0</v>
      </c>
      <c r="E563" s="354">
        <v>1</v>
      </c>
      <c r="F563" s="354">
        <v>1</v>
      </c>
      <c r="G563" s="354">
        <v>0</v>
      </c>
      <c r="H563" s="354">
        <v>0</v>
      </c>
      <c r="I563" s="354">
        <v>0</v>
      </c>
      <c r="J563" s="354">
        <v>1</v>
      </c>
      <c r="K563" s="354">
        <v>1</v>
      </c>
      <c r="L563" s="354">
        <v>0</v>
      </c>
      <c r="M563" s="355">
        <v>4</v>
      </c>
      <c r="N563" s="355">
        <v>3</v>
      </c>
    </row>
    <row r="564" spans="1:14" hidden="1" x14ac:dyDescent="0.25">
      <c r="A564" s="354">
        <v>0</v>
      </c>
      <c r="B564" s="354">
        <v>1</v>
      </c>
      <c r="C564" s="354">
        <v>0</v>
      </c>
      <c r="D564" s="354">
        <v>2</v>
      </c>
      <c r="E564" s="354">
        <v>2</v>
      </c>
      <c r="F564" s="354">
        <v>0</v>
      </c>
      <c r="G564" s="354">
        <v>0</v>
      </c>
      <c r="H564" s="354">
        <v>0</v>
      </c>
      <c r="I564" s="354">
        <v>1</v>
      </c>
      <c r="J564" s="354">
        <v>1</v>
      </c>
      <c r="K564" s="354">
        <v>0</v>
      </c>
      <c r="L564" s="354">
        <v>0</v>
      </c>
      <c r="M564" s="355">
        <v>3</v>
      </c>
      <c r="N564" s="355">
        <v>4</v>
      </c>
    </row>
    <row r="565" spans="1:14" hidden="1" x14ac:dyDescent="0.25">
      <c r="A565" s="354">
        <v>0</v>
      </c>
      <c r="B565" s="354">
        <v>0</v>
      </c>
      <c r="C565" s="354">
        <v>0</v>
      </c>
      <c r="D565" s="354">
        <v>0</v>
      </c>
      <c r="E565" s="354">
        <v>0</v>
      </c>
      <c r="F565" s="354">
        <v>1</v>
      </c>
      <c r="G565" s="354">
        <v>0</v>
      </c>
      <c r="H565" s="354">
        <v>0</v>
      </c>
      <c r="I565" s="354">
        <v>0</v>
      </c>
      <c r="J565" s="354">
        <v>0</v>
      </c>
      <c r="K565" s="354">
        <v>0</v>
      </c>
      <c r="L565" s="354">
        <v>1</v>
      </c>
      <c r="M565" s="355">
        <v>0</v>
      </c>
      <c r="N565" s="355">
        <v>2</v>
      </c>
    </row>
    <row r="566" spans="1:14" hidden="1" x14ac:dyDescent="0.25">
      <c r="A566" s="354">
        <v>0</v>
      </c>
      <c r="B566" s="354">
        <v>2</v>
      </c>
      <c r="C566" s="354">
        <v>0</v>
      </c>
      <c r="D566" s="354">
        <v>0</v>
      </c>
      <c r="E566" s="354">
        <v>0</v>
      </c>
      <c r="F566" s="354">
        <v>0</v>
      </c>
      <c r="G566" s="354">
        <v>0</v>
      </c>
      <c r="H566" s="354">
        <v>0</v>
      </c>
      <c r="I566" s="354">
        <v>0</v>
      </c>
      <c r="J566" s="354">
        <v>1</v>
      </c>
      <c r="K566" s="354">
        <v>0</v>
      </c>
      <c r="L566" s="354">
        <v>1</v>
      </c>
      <c r="M566" s="355">
        <v>0</v>
      </c>
      <c r="N566" s="355">
        <v>4</v>
      </c>
    </row>
    <row r="567" spans="1:14" hidden="1" x14ac:dyDescent="0.25">
      <c r="A567" s="354">
        <v>0</v>
      </c>
      <c r="B567" s="354">
        <v>0</v>
      </c>
      <c r="C567" s="354">
        <v>0</v>
      </c>
      <c r="D567" s="354">
        <v>1</v>
      </c>
      <c r="E567" s="354">
        <v>0</v>
      </c>
      <c r="F567" s="354">
        <v>0</v>
      </c>
      <c r="G567" s="354">
        <v>0</v>
      </c>
      <c r="H567" s="354">
        <v>0</v>
      </c>
      <c r="I567" s="354">
        <v>0</v>
      </c>
      <c r="J567" s="354">
        <v>0</v>
      </c>
      <c r="K567" s="354">
        <v>0</v>
      </c>
      <c r="L567" s="354">
        <v>1</v>
      </c>
      <c r="M567" s="355">
        <v>0</v>
      </c>
      <c r="N567" s="355">
        <v>2</v>
      </c>
    </row>
    <row r="568" spans="1:14" hidden="1" x14ac:dyDescent="0.25">
      <c r="A568" s="354">
        <v>0</v>
      </c>
      <c r="B568" s="354">
        <v>1</v>
      </c>
      <c r="C568" s="354"/>
      <c r="D568" s="354">
        <v>2</v>
      </c>
      <c r="E568" s="354">
        <v>0</v>
      </c>
      <c r="F568" s="354">
        <v>0</v>
      </c>
      <c r="G568" s="354">
        <v>0</v>
      </c>
      <c r="H568" s="354">
        <v>0</v>
      </c>
      <c r="I568" s="354">
        <v>1</v>
      </c>
      <c r="J568" s="354">
        <v>1</v>
      </c>
      <c r="K568" s="354">
        <v>0</v>
      </c>
      <c r="L568" s="354">
        <v>0</v>
      </c>
      <c r="M568" s="355">
        <v>1</v>
      </c>
      <c r="N568" s="355">
        <v>4</v>
      </c>
    </row>
    <row r="569" spans="1:14" hidden="1" x14ac:dyDescent="0.25">
      <c r="A569" s="354">
        <v>2</v>
      </c>
      <c r="B569" s="354">
        <v>0</v>
      </c>
      <c r="C569" s="354">
        <v>0</v>
      </c>
      <c r="D569" s="354">
        <v>1</v>
      </c>
      <c r="E569" s="354">
        <v>0</v>
      </c>
      <c r="F569" s="354">
        <v>1</v>
      </c>
      <c r="G569" s="354">
        <v>0</v>
      </c>
      <c r="H569" s="354">
        <v>0</v>
      </c>
      <c r="I569" s="354">
        <v>1</v>
      </c>
      <c r="J569" s="354">
        <v>1</v>
      </c>
      <c r="K569" s="354">
        <v>0</v>
      </c>
      <c r="L569" s="354">
        <v>0</v>
      </c>
      <c r="M569" s="355">
        <v>3</v>
      </c>
      <c r="N569" s="355">
        <v>3</v>
      </c>
    </row>
    <row r="570" spans="1:14" hidden="1" x14ac:dyDescent="0.25">
      <c r="A570" s="354">
        <v>1</v>
      </c>
      <c r="B570" s="354">
        <v>1</v>
      </c>
      <c r="C570" s="354">
        <v>1</v>
      </c>
      <c r="D570" s="354">
        <v>1</v>
      </c>
      <c r="E570" s="354">
        <v>1</v>
      </c>
      <c r="F570" s="354">
        <v>0</v>
      </c>
      <c r="G570" s="354">
        <v>0</v>
      </c>
      <c r="H570" s="354">
        <v>0</v>
      </c>
      <c r="I570" s="354">
        <v>1</v>
      </c>
      <c r="J570" s="354">
        <v>1</v>
      </c>
      <c r="K570" s="354">
        <v>0</v>
      </c>
      <c r="L570" s="354">
        <v>0</v>
      </c>
      <c r="M570" s="355">
        <v>4</v>
      </c>
      <c r="N570" s="355">
        <v>3</v>
      </c>
    </row>
    <row r="571" spans="1:14" hidden="1" x14ac:dyDescent="0.25">
      <c r="A571" s="354">
        <v>0</v>
      </c>
      <c r="B571" s="354">
        <v>2</v>
      </c>
      <c r="C571" s="354">
        <v>1</v>
      </c>
      <c r="D571" s="354">
        <v>1</v>
      </c>
      <c r="E571" s="354">
        <v>0</v>
      </c>
      <c r="F571" s="354">
        <v>2</v>
      </c>
      <c r="G571" s="354">
        <v>0</v>
      </c>
      <c r="H571" s="354">
        <v>2</v>
      </c>
      <c r="I571" s="354">
        <v>1</v>
      </c>
      <c r="J571" s="354">
        <v>1</v>
      </c>
      <c r="K571" s="354">
        <v>0</v>
      </c>
      <c r="L571" s="354">
        <v>0</v>
      </c>
      <c r="M571" s="355">
        <v>2</v>
      </c>
      <c r="N571" s="355">
        <v>8</v>
      </c>
    </row>
    <row r="572" spans="1:14" hidden="1" x14ac:dyDescent="0.25">
      <c r="A572" s="354">
        <v>2</v>
      </c>
      <c r="B572" s="354">
        <v>2</v>
      </c>
      <c r="C572" s="354">
        <v>2</v>
      </c>
      <c r="D572" s="354">
        <v>2</v>
      </c>
      <c r="E572" s="354">
        <v>1</v>
      </c>
      <c r="F572" s="354">
        <v>1</v>
      </c>
      <c r="G572" s="354">
        <v>1</v>
      </c>
      <c r="H572" s="354">
        <v>1</v>
      </c>
      <c r="I572" s="354">
        <v>0</v>
      </c>
      <c r="J572" s="354">
        <v>2</v>
      </c>
      <c r="K572" s="354">
        <v>1</v>
      </c>
      <c r="L572" s="354">
        <v>0</v>
      </c>
      <c r="M572" s="355">
        <v>7</v>
      </c>
      <c r="N572" s="355">
        <v>8</v>
      </c>
    </row>
    <row r="573" spans="1:14" hidden="1" x14ac:dyDescent="0.25">
      <c r="A573" s="354">
        <v>2</v>
      </c>
      <c r="B573" s="354">
        <v>0</v>
      </c>
      <c r="C573" s="354">
        <v>0</v>
      </c>
      <c r="D573" s="354">
        <v>0</v>
      </c>
      <c r="E573" s="354">
        <v>0</v>
      </c>
      <c r="F573" s="354">
        <v>3</v>
      </c>
      <c r="G573" s="354">
        <v>1</v>
      </c>
      <c r="H573" s="354">
        <v>1</v>
      </c>
      <c r="I573" s="354">
        <v>1</v>
      </c>
      <c r="J573" s="354">
        <v>4</v>
      </c>
      <c r="K573" s="354">
        <v>0</v>
      </c>
      <c r="L573" s="354">
        <v>0</v>
      </c>
      <c r="M573" s="355">
        <v>4</v>
      </c>
      <c r="N573" s="355">
        <v>8</v>
      </c>
    </row>
    <row r="574" spans="1:14" hidden="1" x14ac:dyDescent="0.25">
      <c r="A574" s="354">
        <v>0</v>
      </c>
      <c r="B574" s="354">
        <v>1</v>
      </c>
      <c r="C574" s="354">
        <v>1</v>
      </c>
      <c r="D574" s="354">
        <v>1</v>
      </c>
      <c r="E574" s="354">
        <v>1</v>
      </c>
      <c r="F574" s="354">
        <v>1</v>
      </c>
      <c r="G574" s="354">
        <v>2</v>
      </c>
      <c r="H574" s="354">
        <v>0</v>
      </c>
      <c r="I574" s="354">
        <v>1</v>
      </c>
      <c r="J574" s="354">
        <v>1</v>
      </c>
      <c r="K574" s="354">
        <v>0</v>
      </c>
      <c r="L574" s="354">
        <v>0</v>
      </c>
      <c r="M574" s="355">
        <v>5</v>
      </c>
      <c r="N574" s="355">
        <v>4</v>
      </c>
    </row>
    <row r="575" spans="1:14" hidden="1" x14ac:dyDescent="0.25">
      <c r="A575" s="354">
        <v>0</v>
      </c>
      <c r="B575" s="354">
        <v>0</v>
      </c>
      <c r="C575" s="354">
        <v>0</v>
      </c>
      <c r="D575" s="354">
        <v>0</v>
      </c>
      <c r="E575" s="354">
        <v>2</v>
      </c>
      <c r="F575" s="354">
        <v>1</v>
      </c>
      <c r="G575" s="354">
        <v>0</v>
      </c>
      <c r="H575" s="354">
        <v>0</v>
      </c>
      <c r="I575" s="354">
        <v>0</v>
      </c>
      <c r="J575" s="354">
        <v>0</v>
      </c>
      <c r="K575" s="354">
        <v>0</v>
      </c>
      <c r="L575" s="354">
        <v>1</v>
      </c>
      <c r="M575" s="355">
        <v>2</v>
      </c>
      <c r="N575" s="355">
        <v>2</v>
      </c>
    </row>
    <row r="576" spans="1:14" hidden="1" x14ac:dyDescent="0.25">
      <c r="A576" s="354">
        <v>0</v>
      </c>
      <c r="B576" s="354">
        <v>0</v>
      </c>
      <c r="C576" s="354">
        <v>0</v>
      </c>
      <c r="D576" s="354">
        <v>0</v>
      </c>
      <c r="E576" s="354">
        <v>3</v>
      </c>
      <c r="F576" s="354">
        <v>0</v>
      </c>
      <c r="G576" s="354">
        <v>0</v>
      </c>
      <c r="H576" s="354">
        <v>2</v>
      </c>
      <c r="I576" s="354">
        <v>0</v>
      </c>
      <c r="J576" s="354">
        <v>2</v>
      </c>
      <c r="K576" s="354">
        <v>1</v>
      </c>
      <c r="L576" s="354">
        <v>0</v>
      </c>
      <c r="M576" s="355">
        <v>4</v>
      </c>
      <c r="N576" s="355">
        <v>4</v>
      </c>
    </row>
    <row r="577" spans="1:14" hidden="1" x14ac:dyDescent="0.25">
      <c r="A577" s="354">
        <v>1</v>
      </c>
      <c r="B577" s="354">
        <v>0</v>
      </c>
      <c r="C577" s="354">
        <v>0</v>
      </c>
      <c r="D577" s="354">
        <v>1</v>
      </c>
      <c r="E577" s="354">
        <v>0</v>
      </c>
      <c r="F577" s="354">
        <v>1</v>
      </c>
      <c r="G577" s="354">
        <v>0</v>
      </c>
      <c r="H577" s="354">
        <v>0</v>
      </c>
      <c r="I577" s="354">
        <v>1</v>
      </c>
      <c r="J577" s="354">
        <v>1</v>
      </c>
      <c r="K577" s="354">
        <v>1</v>
      </c>
      <c r="L577" s="354">
        <v>0</v>
      </c>
      <c r="M577" s="355">
        <v>3</v>
      </c>
      <c r="N577" s="355">
        <v>3</v>
      </c>
    </row>
    <row r="578" spans="1:14" hidden="1" x14ac:dyDescent="0.25">
      <c r="A578" s="354">
        <v>0</v>
      </c>
      <c r="B578" s="354">
        <v>1</v>
      </c>
      <c r="C578" s="354">
        <v>0</v>
      </c>
      <c r="D578" s="354">
        <v>2</v>
      </c>
      <c r="E578" s="354">
        <v>2</v>
      </c>
      <c r="F578" s="354">
        <v>0</v>
      </c>
      <c r="G578" s="354">
        <v>2</v>
      </c>
      <c r="H578" s="354">
        <v>0</v>
      </c>
      <c r="I578" s="354">
        <v>1</v>
      </c>
      <c r="J578" s="354">
        <v>1</v>
      </c>
      <c r="K578" s="354">
        <v>0</v>
      </c>
      <c r="L578" s="354">
        <v>1</v>
      </c>
      <c r="M578" s="355">
        <v>5</v>
      </c>
      <c r="N578" s="355">
        <v>5</v>
      </c>
    </row>
    <row r="579" spans="1:14" hidden="1" x14ac:dyDescent="0.25">
      <c r="A579" s="354">
        <v>1</v>
      </c>
      <c r="B579" s="354">
        <v>1</v>
      </c>
      <c r="C579" s="354">
        <v>1</v>
      </c>
      <c r="D579" s="354">
        <v>0</v>
      </c>
      <c r="E579" s="354">
        <v>0</v>
      </c>
      <c r="F579" s="354">
        <v>1</v>
      </c>
      <c r="G579" s="354">
        <v>0</v>
      </c>
      <c r="H579" s="354">
        <v>0</v>
      </c>
      <c r="I579" s="354">
        <v>1</v>
      </c>
      <c r="J579" s="354">
        <v>1</v>
      </c>
      <c r="K579" s="354">
        <v>0</v>
      </c>
      <c r="L579" s="354">
        <v>0</v>
      </c>
      <c r="M579" s="355">
        <v>3</v>
      </c>
      <c r="N579" s="355">
        <v>3</v>
      </c>
    </row>
    <row r="580" spans="1:14" hidden="1" x14ac:dyDescent="0.25">
      <c r="A580" s="354">
        <v>0</v>
      </c>
      <c r="B580" s="354">
        <v>1</v>
      </c>
      <c r="C580" s="354">
        <v>1</v>
      </c>
      <c r="D580" s="354">
        <v>2</v>
      </c>
      <c r="E580" s="354">
        <v>0</v>
      </c>
      <c r="F580" s="354">
        <v>2</v>
      </c>
      <c r="G580" s="354">
        <v>0</v>
      </c>
      <c r="H580" s="354">
        <v>0</v>
      </c>
      <c r="I580" s="354">
        <v>1</v>
      </c>
      <c r="J580" s="354">
        <v>1</v>
      </c>
      <c r="K580" s="354">
        <v>0</v>
      </c>
      <c r="L580" s="354">
        <v>0</v>
      </c>
      <c r="M580" s="355">
        <v>2</v>
      </c>
      <c r="N580" s="355">
        <v>6</v>
      </c>
    </row>
    <row r="581" spans="1:14" hidden="1" x14ac:dyDescent="0.25">
      <c r="A581" s="354">
        <v>1</v>
      </c>
      <c r="B581" s="354">
        <v>1</v>
      </c>
      <c r="C581" s="354">
        <v>1</v>
      </c>
      <c r="D581" s="354">
        <v>1</v>
      </c>
      <c r="E581" s="354">
        <v>0</v>
      </c>
      <c r="F581" s="354">
        <v>0</v>
      </c>
      <c r="G581" s="354">
        <v>0</v>
      </c>
      <c r="H581" s="354">
        <v>0</v>
      </c>
      <c r="I581" s="354">
        <v>1</v>
      </c>
      <c r="J581" s="354">
        <v>1</v>
      </c>
      <c r="K581" s="354">
        <v>0</v>
      </c>
      <c r="L581" s="354">
        <v>0</v>
      </c>
      <c r="M581" s="355">
        <v>3</v>
      </c>
      <c r="N581" s="355">
        <v>3</v>
      </c>
    </row>
    <row r="582" spans="1:14" hidden="1" x14ac:dyDescent="0.25">
      <c r="A582" s="354">
        <v>0</v>
      </c>
      <c r="B582" s="354">
        <v>0</v>
      </c>
      <c r="C582" s="354">
        <v>1</v>
      </c>
      <c r="D582" s="354">
        <v>0</v>
      </c>
      <c r="E582" s="354">
        <v>1</v>
      </c>
      <c r="F582" s="354">
        <v>0</v>
      </c>
      <c r="G582" s="354">
        <v>0</v>
      </c>
      <c r="H582" s="354">
        <v>0</v>
      </c>
      <c r="I582" s="354">
        <v>2</v>
      </c>
      <c r="J582" s="354">
        <v>2</v>
      </c>
      <c r="K582" s="354">
        <v>0</v>
      </c>
      <c r="L582" s="354">
        <v>0</v>
      </c>
      <c r="M582" s="355">
        <v>4</v>
      </c>
      <c r="N582" s="355">
        <v>2</v>
      </c>
    </row>
    <row r="583" spans="1:14" hidden="1" x14ac:dyDescent="0.25">
      <c r="A583" s="354">
        <v>0</v>
      </c>
      <c r="B583" s="354">
        <v>0</v>
      </c>
      <c r="C583" s="354">
        <v>0</v>
      </c>
      <c r="D583" s="354">
        <v>1</v>
      </c>
      <c r="E583" s="354">
        <v>0</v>
      </c>
      <c r="F583" s="354">
        <v>0</v>
      </c>
      <c r="G583" s="354">
        <v>1</v>
      </c>
      <c r="H583" s="354">
        <v>0</v>
      </c>
      <c r="I583" s="354">
        <v>1</v>
      </c>
      <c r="J583" s="354">
        <v>1</v>
      </c>
      <c r="K583" s="354">
        <v>0</v>
      </c>
      <c r="L583" s="354">
        <v>0</v>
      </c>
      <c r="M583" s="355">
        <v>2</v>
      </c>
      <c r="N583" s="355">
        <v>2</v>
      </c>
    </row>
    <row r="584" spans="1:14" hidden="1" x14ac:dyDescent="0.25">
      <c r="A584" s="354">
        <v>0</v>
      </c>
      <c r="B584" s="354">
        <v>0</v>
      </c>
      <c r="C584" s="354">
        <v>0</v>
      </c>
      <c r="D584" s="354">
        <v>1</v>
      </c>
      <c r="E584" s="354">
        <v>0</v>
      </c>
      <c r="F584" s="354">
        <v>1</v>
      </c>
      <c r="G584" s="354">
        <v>0</v>
      </c>
      <c r="H584" s="354">
        <v>0</v>
      </c>
      <c r="I584" s="354">
        <v>1</v>
      </c>
      <c r="J584" s="354">
        <v>2</v>
      </c>
      <c r="K584" s="354">
        <v>0</v>
      </c>
      <c r="L584" s="354">
        <v>0</v>
      </c>
      <c r="M584" s="355">
        <v>1</v>
      </c>
      <c r="N584" s="355">
        <v>4</v>
      </c>
    </row>
    <row r="585" spans="1:14" hidden="1" x14ac:dyDescent="0.25">
      <c r="A585" s="354">
        <v>1</v>
      </c>
      <c r="B585" s="354">
        <v>0</v>
      </c>
      <c r="C585" s="354">
        <v>1</v>
      </c>
      <c r="D585" s="354">
        <v>1</v>
      </c>
      <c r="E585" s="354">
        <v>0</v>
      </c>
      <c r="F585" s="354">
        <v>1</v>
      </c>
      <c r="G585" s="354">
        <v>0</v>
      </c>
      <c r="H585" s="354">
        <v>0</v>
      </c>
      <c r="I585" s="354">
        <v>1</v>
      </c>
      <c r="J585" s="354">
        <v>1</v>
      </c>
      <c r="K585" s="354">
        <v>0</v>
      </c>
      <c r="L585" s="354">
        <v>0</v>
      </c>
      <c r="M585" s="355">
        <v>3</v>
      </c>
      <c r="N585" s="355">
        <v>3</v>
      </c>
    </row>
    <row r="586" spans="1:14" hidden="1" x14ac:dyDescent="0.25">
      <c r="A586" s="354"/>
      <c r="B586" s="354">
        <v>1</v>
      </c>
      <c r="C586" s="354">
        <v>1</v>
      </c>
      <c r="D586" s="354">
        <v>0</v>
      </c>
      <c r="E586" s="354">
        <v>3</v>
      </c>
      <c r="F586" s="354">
        <v>0</v>
      </c>
      <c r="G586" s="354">
        <v>0</v>
      </c>
      <c r="H586" s="354">
        <v>0</v>
      </c>
      <c r="I586" s="354">
        <v>2</v>
      </c>
      <c r="J586" s="354">
        <v>2</v>
      </c>
      <c r="K586" s="354">
        <v>0</v>
      </c>
      <c r="L586" s="354">
        <v>0</v>
      </c>
      <c r="M586" s="355">
        <v>6</v>
      </c>
      <c r="N586" s="355">
        <v>3</v>
      </c>
    </row>
    <row r="587" spans="1:14" hidden="1" x14ac:dyDescent="0.25">
      <c r="A587" s="354">
        <v>1</v>
      </c>
      <c r="B587" s="354">
        <v>0</v>
      </c>
      <c r="C587" s="354">
        <v>1</v>
      </c>
      <c r="D587" s="354">
        <v>0</v>
      </c>
      <c r="E587" s="354">
        <v>1</v>
      </c>
      <c r="F587" s="354">
        <v>0</v>
      </c>
      <c r="G587" s="354">
        <v>0</v>
      </c>
      <c r="H587" s="354">
        <v>0</v>
      </c>
      <c r="I587" s="354">
        <v>2</v>
      </c>
      <c r="J587" s="354">
        <v>1</v>
      </c>
      <c r="K587" s="354">
        <v>0</v>
      </c>
      <c r="L587" s="354">
        <v>0</v>
      </c>
      <c r="M587" s="355">
        <v>5</v>
      </c>
      <c r="N587" s="355">
        <v>1</v>
      </c>
    </row>
    <row r="588" spans="1:14" hidden="1" x14ac:dyDescent="0.25">
      <c r="A588" s="354">
        <v>0</v>
      </c>
      <c r="B588" s="354">
        <v>0</v>
      </c>
      <c r="C588" s="354">
        <v>0</v>
      </c>
      <c r="D588" s="354">
        <v>0</v>
      </c>
      <c r="E588" s="354">
        <v>0</v>
      </c>
      <c r="F588" s="354">
        <v>1</v>
      </c>
      <c r="G588" s="354">
        <v>0</v>
      </c>
      <c r="H588" s="354">
        <v>0</v>
      </c>
      <c r="I588" s="354">
        <v>1</v>
      </c>
      <c r="J588" s="354">
        <v>1</v>
      </c>
      <c r="K588" s="354">
        <v>1</v>
      </c>
      <c r="L588" s="354">
        <v>0</v>
      </c>
      <c r="M588" s="355">
        <v>2</v>
      </c>
      <c r="N588" s="355">
        <v>2</v>
      </c>
    </row>
    <row r="589" spans="1:14" hidden="1" x14ac:dyDescent="0.25">
      <c r="A589" s="354">
        <v>0</v>
      </c>
      <c r="B589" s="354">
        <v>2</v>
      </c>
      <c r="C589" s="354">
        <v>0</v>
      </c>
      <c r="D589" s="354">
        <v>0</v>
      </c>
      <c r="E589" s="354">
        <v>0</v>
      </c>
      <c r="F589" s="354">
        <v>0</v>
      </c>
      <c r="G589" s="354">
        <v>0</v>
      </c>
      <c r="H589" s="354">
        <v>0</v>
      </c>
      <c r="I589" s="354">
        <v>1</v>
      </c>
      <c r="J589" s="354">
        <v>1</v>
      </c>
      <c r="K589" s="354">
        <v>0</v>
      </c>
      <c r="L589" s="354">
        <v>0</v>
      </c>
      <c r="M589" s="355">
        <v>1</v>
      </c>
      <c r="N589" s="355">
        <v>3</v>
      </c>
    </row>
    <row r="590" spans="1:14" hidden="1" x14ac:dyDescent="0.25">
      <c r="A590" s="354">
        <v>0</v>
      </c>
      <c r="B590" s="354">
        <v>0</v>
      </c>
      <c r="C590" s="354">
        <v>1</v>
      </c>
      <c r="D590" s="354">
        <v>0</v>
      </c>
      <c r="E590" s="354">
        <v>0</v>
      </c>
      <c r="F590" s="354">
        <v>1</v>
      </c>
      <c r="G590" s="354">
        <v>0</v>
      </c>
      <c r="H590" s="354">
        <v>0</v>
      </c>
      <c r="I590" s="354">
        <v>0</v>
      </c>
      <c r="J590" s="354">
        <v>1</v>
      </c>
      <c r="K590" s="354">
        <v>0</v>
      </c>
      <c r="L590" s="354">
        <v>0</v>
      </c>
      <c r="M590" s="355">
        <v>1</v>
      </c>
      <c r="N590" s="355">
        <v>2</v>
      </c>
    </row>
    <row r="591" spans="1:14" hidden="1" x14ac:dyDescent="0.25">
      <c r="A591" s="354">
        <v>0</v>
      </c>
      <c r="B591" s="354">
        <v>1</v>
      </c>
      <c r="C591" s="354">
        <v>1</v>
      </c>
      <c r="D591" s="354">
        <v>0</v>
      </c>
      <c r="E591" s="354">
        <v>0</v>
      </c>
      <c r="F591" s="354">
        <v>0</v>
      </c>
      <c r="G591" s="354">
        <v>0</v>
      </c>
      <c r="H591" s="354">
        <v>0</v>
      </c>
      <c r="I591" s="354">
        <v>1</v>
      </c>
      <c r="J591" s="354">
        <v>1</v>
      </c>
      <c r="K591" s="354">
        <v>0</v>
      </c>
      <c r="L591" s="354">
        <v>0</v>
      </c>
      <c r="M591" s="355">
        <v>2</v>
      </c>
      <c r="N591" s="355">
        <v>2</v>
      </c>
    </row>
    <row r="592" spans="1:14" hidden="1" x14ac:dyDescent="0.25">
      <c r="A592" s="354"/>
      <c r="B592" s="354"/>
      <c r="C592" s="354">
        <v>0</v>
      </c>
      <c r="D592" s="354">
        <v>0</v>
      </c>
      <c r="E592" s="354">
        <v>0</v>
      </c>
      <c r="F592" s="354">
        <v>0</v>
      </c>
      <c r="G592" s="354">
        <v>0</v>
      </c>
      <c r="H592" s="354">
        <v>0</v>
      </c>
      <c r="I592" s="354">
        <v>1</v>
      </c>
      <c r="J592" s="354">
        <v>1</v>
      </c>
      <c r="K592" s="354">
        <v>0</v>
      </c>
      <c r="L592" s="354">
        <v>0</v>
      </c>
      <c r="M592" s="355">
        <v>1</v>
      </c>
      <c r="N592" s="355">
        <v>1</v>
      </c>
    </row>
    <row r="593" spans="1:14" hidden="1" x14ac:dyDescent="0.25">
      <c r="A593" s="354">
        <v>1</v>
      </c>
      <c r="B593" s="354">
        <v>0</v>
      </c>
      <c r="C593" s="354">
        <v>1</v>
      </c>
      <c r="D593" s="354">
        <v>1</v>
      </c>
      <c r="E593" s="354">
        <v>0</v>
      </c>
      <c r="F593" s="354">
        <v>1</v>
      </c>
      <c r="G593" s="354">
        <v>0</v>
      </c>
      <c r="H593" s="354">
        <v>0</v>
      </c>
      <c r="I593" s="354">
        <v>1</v>
      </c>
      <c r="J593" s="354">
        <v>1</v>
      </c>
      <c r="K593" s="354">
        <v>0</v>
      </c>
      <c r="L593" s="354">
        <v>0</v>
      </c>
      <c r="M593" s="355">
        <v>3</v>
      </c>
      <c r="N593" s="355">
        <v>3</v>
      </c>
    </row>
    <row r="594" spans="1:14" hidden="1" x14ac:dyDescent="0.25">
      <c r="A594" s="354">
        <v>0</v>
      </c>
      <c r="B594" s="354">
        <v>3</v>
      </c>
      <c r="C594" s="354">
        <v>1</v>
      </c>
      <c r="D594" s="354">
        <v>0</v>
      </c>
      <c r="E594" s="354">
        <v>1</v>
      </c>
      <c r="F594" s="354">
        <v>2</v>
      </c>
      <c r="G594" s="354">
        <v>1</v>
      </c>
      <c r="H594" s="354">
        <v>0</v>
      </c>
      <c r="I594" s="354">
        <v>1</v>
      </c>
      <c r="J594" s="354">
        <v>2</v>
      </c>
      <c r="K594" s="354">
        <v>0</v>
      </c>
      <c r="L594" s="354">
        <v>1</v>
      </c>
      <c r="M594" s="355">
        <v>4</v>
      </c>
      <c r="N594" s="355">
        <v>8</v>
      </c>
    </row>
    <row r="595" spans="1:14" hidden="1" x14ac:dyDescent="0.25">
      <c r="A595" s="354">
        <v>0</v>
      </c>
      <c r="B595" s="354">
        <v>1</v>
      </c>
      <c r="C595" s="354">
        <v>2</v>
      </c>
      <c r="D595" s="354">
        <v>0</v>
      </c>
      <c r="E595" s="354">
        <v>1</v>
      </c>
      <c r="F595" s="354">
        <v>1</v>
      </c>
      <c r="G595" s="354">
        <v>1</v>
      </c>
      <c r="H595" s="354">
        <v>0</v>
      </c>
      <c r="I595" s="354">
        <v>3</v>
      </c>
      <c r="J595" s="354">
        <v>1</v>
      </c>
      <c r="K595" s="354">
        <v>0</v>
      </c>
      <c r="L595" s="354">
        <v>0</v>
      </c>
      <c r="M595" s="355">
        <v>7</v>
      </c>
      <c r="N595" s="355">
        <v>3</v>
      </c>
    </row>
    <row r="596" spans="1:14" hidden="1" x14ac:dyDescent="0.25">
      <c r="A596" s="354">
        <v>0</v>
      </c>
      <c r="B596" s="354">
        <v>0</v>
      </c>
      <c r="C596" s="354">
        <v>1</v>
      </c>
      <c r="D596" s="354">
        <v>1</v>
      </c>
      <c r="E596" s="354">
        <v>1</v>
      </c>
      <c r="F596" s="354">
        <v>0</v>
      </c>
      <c r="G596" s="354">
        <v>0</v>
      </c>
      <c r="H596" s="354">
        <v>1</v>
      </c>
      <c r="I596" s="354">
        <v>2</v>
      </c>
      <c r="J596" s="354">
        <v>1</v>
      </c>
      <c r="K596" s="354">
        <v>0</v>
      </c>
      <c r="L596" s="354">
        <v>0</v>
      </c>
      <c r="M596" s="355">
        <v>4</v>
      </c>
      <c r="N596" s="355">
        <v>3</v>
      </c>
    </row>
    <row r="597" spans="1:14" hidden="1" x14ac:dyDescent="0.25">
      <c r="A597" s="354">
        <v>0</v>
      </c>
      <c r="B597" s="354">
        <v>0</v>
      </c>
      <c r="C597" s="354">
        <v>0</v>
      </c>
      <c r="D597" s="354">
        <v>0</v>
      </c>
      <c r="E597" s="354">
        <v>0</v>
      </c>
      <c r="F597" s="354">
        <v>0</v>
      </c>
      <c r="G597" s="354">
        <v>0</v>
      </c>
      <c r="H597" s="354">
        <v>0</v>
      </c>
      <c r="I597" s="354">
        <v>0</v>
      </c>
      <c r="J597" s="354">
        <v>1</v>
      </c>
      <c r="K597" s="354">
        <v>0</v>
      </c>
      <c r="L597" s="354">
        <v>0</v>
      </c>
      <c r="M597" s="355">
        <v>0</v>
      </c>
      <c r="N597" s="355">
        <v>1</v>
      </c>
    </row>
    <row r="598" spans="1:14" hidden="1" x14ac:dyDescent="0.25">
      <c r="A598" s="354">
        <v>0</v>
      </c>
      <c r="B598" s="354">
        <v>0</v>
      </c>
      <c r="C598" s="354">
        <v>0</v>
      </c>
      <c r="D598" s="354">
        <v>0</v>
      </c>
      <c r="E598" s="354">
        <v>0</v>
      </c>
      <c r="F598" s="354">
        <v>0</v>
      </c>
      <c r="G598" s="354">
        <v>0</v>
      </c>
      <c r="H598" s="354">
        <v>0</v>
      </c>
      <c r="I598" s="354">
        <v>1</v>
      </c>
      <c r="J598" s="354">
        <v>0</v>
      </c>
      <c r="K598" s="354">
        <v>0</v>
      </c>
      <c r="L598" s="354">
        <v>0</v>
      </c>
      <c r="M598" s="355">
        <v>1</v>
      </c>
      <c r="N598" s="355">
        <v>0</v>
      </c>
    </row>
    <row r="599" spans="1:14" hidden="1" x14ac:dyDescent="0.25">
      <c r="A599" s="354">
        <v>0</v>
      </c>
      <c r="B599" s="354">
        <v>0</v>
      </c>
      <c r="C599" s="354">
        <v>0</v>
      </c>
      <c r="D599" s="354">
        <v>0</v>
      </c>
      <c r="E599" s="354">
        <v>0</v>
      </c>
      <c r="F599" s="354">
        <v>0</v>
      </c>
      <c r="G599" s="354">
        <v>0</v>
      </c>
      <c r="H599" s="354">
        <v>1</v>
      </c>
      <c r="I599" s="354">
        <v>2</v>
      </c>
      <c r="J599" s="354">
        <v>4</v>
      </c>
      <c r="K599" s="354">
        <v>1</v>
      </c>
      <c r="L599" s="354">
        <v>0</v>
      </c>
      <c r="M599" s="355">
        <v>3</v>
      </c>
      <c r="N599" s="355">
        <v>5</v>
      </c>
    </row>
    <row r="600" spans="1:14" hidden="1" x14ac:dyDescent="0.25">
      <c r="A600" s="354">
        <v>0</v>
      </c>
      <c r="B600" s="354">
        <v>0</v>
      </c>
      <c r="C600" s="354">
        <v>0</v>
      </c>
      <c r="D600" s="354">
        <v>0</v>
      </c>
      <c r="E600" s="354">
        <v>0</v>
      </c>
      <c r="F600" s="354">
        <v>0</v>
      </c>
      <c r="G600" s="354">
        <v>0</v>
      </c>
      <c r="H600" s="354">
        <v>0</v>
      </c>
      <c r="I600" s="354">
        <v>0</v>
      </c>
      <c r="J600" s="354">
        <v>0</v>
      </c>
      <c r="K600" s="354">
        <v>1</v>
      </c>
      <c r="L600" s="354">
        <v>0</v>
      </c>
      <c r="M600" s="355">
        <v>1</v>
      </c>
      <c r="N600" s="355">
        <v>0</v>
      </c>
    </row>
    <row r="601" spans="1:14" hidden="1" x14ac:dyDescent="0.25">
      <c r="A601" s="354">
        <v>0</v>
      </c>
      <c r="B601" s="354">
        <v>0</v>
      </c>
      <c r="C601" s="354">
        <v>0</v>
      </c>
      <c r="D601" s="354">
        <v>0</v>
      </c>
      <c r="E601" s="354">
        <v>0</v>
      </c>
      <c r="F601" s="354">
        <v>0</v>
      </c>
      <c r="G601" s="354">
        <v>0</v>
      </c>
      <c r="H601" s="354">
        <v>0</v>
      </c>
      <c r="I601" s="354">
        <v>1</v>
      </c>
      <c r="J601" s="354">
        <v>1</v>
      </c>
      <c r="K601" s="354">
        <v>0</v>
      </c>
      <c r="L601" s="354">
        <v>0</v>
      </c>
      <c r="M601" s="355">
        <v>1</v>
      </c>
      <c r="N601" s="355">
        <v>1</v>
      </c>
    </row>
    <row r="602" spans="1:14" hidden="1" x14ac:dyDescent="0.25">
      <c r="A602" s="354">
        <v>0</v>
      </c>
      <c r="B602" s="354">
        <v>0</v>
      </c>
      <c r="C602" s="354">
        <v>0</v>
      </c>
      <c r="D602" s="354">
        <v>0</v>
      </c>
      <c r="E602" s="354">
        <v>0</v>
      </c>
      <c r="F602" s="354">
        <v>0</v>
      </c>
      <c r="G602" s="354">
        <v>0</v>
      </c>
      <c r="H602" s="354">
        <v>0</v>
      </c>
      <c r="I602" s="354">
        <v>2</v>
      </c>
      <c r="J602" s="354">
        <v>1</v>
      </c>
      <c r="K602" s="354">
        <v>1</v>
      </c>
      <c r="L602" s="354">
        <v>0</v>
      </c>
      <c r="M602" s="355">
        <v>3</v>
      </c>
      <c r="N602" s="355">
        <v>1</v>
      </c>
    </row>
    <row r="603" spans="1:14" hidden="1" x14ac:dyDescent="0.25">
      <c r="A603" s="354">
        <v>0</v>
      </c>
      <c r="B603" s="354">
        <v>0</v>
      </c>
      <c r="C603" s="354">
        <v>0</v>
      </c>
      <c r="D603" s="354">
        <v>0</v>
      </c>
      <c r="E603" s="354">
        <v>1</v>
      </c>
      <c r="F603" s="354">
        <v>0</v>
      </c>
      <c r="G603" s="354">
        <v>1</v>
      </c>
      <c r="H603" s="354">
        <v>0</v>
      </c>
      <c r="I603" s="354"/>
      <c r="J603" s="354">
        <v>2</v>
      </c>
      <c r="K603" s="354">
        <v>1</v>
      </c>
      <c r="L603" s="354">
        <v>0</v>
      </c>
      <c r="M603" s="355">
        <v>3</v>
      </c>
      <c r="N603" s="355">
        <v>2</v>
      </c>
    </row>
    <row r="604" spans="1:14" hidden="1" x14ac:dyDescent="0.25">
      <c r="A604" s="354">
        <v>0</v>
      </c>
      <c r="B604" s="354">
        <v>1</v>
      </c>
      <c r="C604" s="354">
        <v>0</v>
      </c>
      <c r="D604" s="354">
        <v>1</v>
      </c>
      <c r="E604" s="354">
        <v>0</v>
      </c>
      <c r="F604" s="354">
        <v>0</v>
      </c>
      <c r="G604" s="354">
        <v>0</v>
      </c>
      <c r="H604" s="354">
        <v>0</v>
      </c>
      <c r="I604" s="354">
        <v>1</v>
      </c>
      <c r="J604" s="354">
        <v>1</v>
      </c>
      <c r="K604" s="354">
        <v>0</v>
      </c>
      <c r="L604" s="354">
        <v>0</v>
      </c>
      <c r="M604" s="355">
        <v>1</v>
      </c>
      <c r="N604" s="355">
        <v>3</v>
      </c>
    </row>
    <row r="605" spans="1:14" hidden="1" x14ac:dyDescent="0.25">
      <c r="A605" s="354">
        <v>0</v>
      </c>
      <c r="B605" s="354">
        <v>0</v>
      </c>
      <c r="C605" s="354">
        <v>1</v>
      </c>
      <c r="D605" s="354">
        <v>0</v>
      </c>
      <c r="E605" s="354">
        <v>2</v>
      </c>
      <c r="F605" s="354">
        <v>0</v>
      </c>
      <c r="G605" s="354">
        <v>0</v>
      </c>
      <c r="H605" s="354">
        <v>0</v>
      </c>
      <c r="I605" s="354">
        <v>1</v>
      </c>
      <c r="J605" s="354">
        <v>2</v>
      </c>
      <c r="K605" s="354">
        <v>1</v>
      </c>
      <c r="L605" s="354">
        <v>0</v>
      </c>
      <c r="M605" s="355">
        <v>5</v>
      </c>
      <c r="N605" s="355">
        <v>2</v>
      </c>
    </row>
    <row r="606" spans="1:14" hidden="1" x14ac:dyDescent="0.25">
      <c r="A606" s="354">
        <v>0</v>
      </c>
      <c r="B606" s="354">
        <v>0</v>
      </c>
      <c r="C606" s="354">
        <v>0</v>
      </c>
      <c r="D606" s="354">
        <v>0</v>
      </c>
      <c r="E606" s="354">
        <v>0</v>
      </c>
      <c r="F606" s="354">
        <v>0</v>
      </c>
      <c r="G606" s="354">
        <v>0</v>
      </c>
      <c r="H606" s="354">
        <v>0</v>
      </c>
      <c r="I606" s="354">
        <v>0</v>
      </c>
      <c r="J606" s="354">
        <v>1</v>
      </c>
      <c r="K606" s="354">
        <v>0</v>
      </c>
      <c r="L606" s="354">
        <v>0</v>
      </c>
      <c r="M606" s="355">
        <v>0</v>
      </c>
      <c r="N606" s="355">
        <v>1</v>
      </c>
    </row>
    <row r="607" spans="1:14" hidden="1" x14ac:dyDescent="0.25">
      <c r="A607" s="354">
        <v>0</v>
      </c>
      <c r="B607" s="354">
        <v>0</v>
      </c>
      <c r="C607" s="354">
        <v>0</v>
      </c>
      <c r="D607" s="354">
        <v>0</v>
      </c>
      <c r="E607" s="354">
        <v>0</v>
      </c>
      <c r="F607" s="354">
        <v>0</v>
      </c>
      <c r="G607" s="354">
        <v>0</v>
      </c>
      <c r="H607" s="354">
        <v>0</v>
      </c>
      <c r="I607" s="354">
        <v>0</v>
      </c>
      <c r="J607" s="354">
        <v>2</v>
      </c>
      <c r="K607" s="354">
        <v>0</v>
      </c>
      <c r="L607" s="354">
        <v>0</v>
      </c>
      <c r="M607" s="355">
        <v>0</v>
      </c>
      <c r="N607" s="355">
        <v>2</v>
      </c>
    </row>
    <row r="608" spans="1:14" hidden="1" x14ac:dyDescent="0.25">
      <c r="A608" s="354">
        <v>0</v>
      </c>
      <c r="B608" s="354">
        <v>0</v>
      </c>
      <c r="C608" s="354">
        <v>0</v>
      </c>
      <c r="D608" s="354">
        <v>1</v>
      </c>
      <c r="E608" s="354">
        <v>0</v>
      </c>
      <c r="F608" s="354">
        <v>0</v>
      </c>
      <c r="G608" s="354">
        <v>0</v>
      </c>
      <c r="H608" s="354">
        <v>0</v>
      </c>
      <c r="I608" s="354">
        <v>1</v>
      </c>
      <c r="J608" s="354">
        <v>1</v>
      </c>
      <c r="K608" s="354">
        <v>0</v>
      </c>
      <c r="L608" s="354">
        <v>0</v>
      </c>
      <c r="M608" s="355">
        <v>1</v>
      </c>
      <c r="N608" s="355">
        <v>2</v>
      </c>
    </row>
    <row r="609" spans="1:14" hidden="1" x14ac:dyDescent="0.25">
      <c r="A609" s="354">
        <v>0</v>
      </c>
      <c r="B609" s="354">
        <v>0</v>
      </c>
      <c r="C609" s="354">
        <v>1</v>
      </c>
      <c r="D609" s="354">
        <v>0</v>
      </c>
      <c r="E609" s="354">
        <v>0</v>
      </c>
      <c r="F609" s="354">
        <v>1</v>
      </c>
      <c r="G609" s="354">
        <v>0</v>
      </c>
      <c r="H609" s="354">
        <v>0</v>
      </c>
      <c r="I609" s="354">
        <v>1</v>
      </c>
      <c r="J609" s="354">
        <v>1</v>
      </c>
      <c r="K609" s="354">
        <v>0</v>
      </c>
      <c r="L609" s="354">
        <v>0</v>
      </c>
      <c r="M609" s="355">
        <v>2</v>
      </c>
      <c r="N609" s="355">
        <v>2</v>
      </c>
    </row>
    <row r="610" spans="1:14" hidden="1" x14ac:dyDescent="0.25">
      <c r="A610" s="354"/>
      <c r="B610" s="354">
        <v>1</v>
      </c>
      <c r="C610" s="354">
        <v>0</v>
      </c>
      <c r="D610" s="354">
        <v>1</v>
      </c>
      <c r="E610" s="354">
        <v>0</v>
      </c>
      <c r="F610" s="354"/>
      <c r="G610" s="354">
        <v>0</v>
      </c>
      <c r="H610" s="354">
        <v>0</v>
      </c>
      <c r="I610" s="354">
        <v>1</v>
      </c>
      <c r="J610" s="354">
        <v>1</v>
      </c>
      <c r="K610" s="354">
        <v>0</v>
      </c>
      <c r="L610" s="354">
        <v>0</v>
      </c>
      <c r="M610" s="355">
        <v>1</v>
      </c>
      <c r="N610" s="355">
        <v>3</v>
      </c>
    </row>
    <row r="611" spans="1:14" hidden="1" x14ac:dyDescent="0.25">
      <c r="A611" s="354">
        <v>0</v>
      </c>
      <c r="B611" s="354">
        <v>0</v>
      </c>
      <c r="C611" s="354">
        <v>0</v>
      </c>
      <c r="D611" s="354">
        <v>0</v>
      </c>
      <c r="E611" s="354">
        <v>0</v>
      </c>
      <c r="F611" s="354">
        <v>0</v>
      </c>
      <c r="G611" s="354">
        <v>0</v>
      </c>
      <c r="H611" s="354">
        <v>0</v>
      </c>
      <c r="I611" s="354">
        <v>0</v>
      </c>
      <c r="J611" s="354">
        <v>0</v>
      </c>
      <c r="K611" s="354">
        <v>0</v>
      </c>
      <c r="L611" s="354">
        <v>1</v>
      </c>
      <c r="M611" s="355">
        <v>0</v>
      </c>
      <c r="N611" s="355">
        <v>1</v>
      </c>
    </row>
    <row r="612" spans="1:14" hidden="1" x14ac:dyDescent="0.25">
      <c r="A612" s="354">
        <v>1</v>
      </c>
      <c r="B612" s="354">
        <v>0</v>
      </c>
      <c r="C612" s="354">
        <v>2</v>
      </c>
      <c r="D612" s="354">
        <v>0</v>
      </c>
      <c r="E612" s="354">
        <v>0</v>
      </c>
      <c r="F612" s="354">
        <v>0</v>
      </c>
      <c r="G612" s="354">
        <v>1</v>
      </c>
      <c r="H612" s="354">
        <v>0</v>
      </c>
      <c r="I612" s="354">
        <v>1</v>
      </c>
      <c r="J612" s="354">
        <v>1</v>
      </c>
      <c r="K612" s="354">
        <v>0</v>
      </c>
      <c r="L612" s="354">
        <v>0</v>
      </c>
      <c r="M612" s="355">
        <v>5</v>
      </c>
      <c r="N612" s="355">
        <v>1</v>
      </c>
    </row>
    <row r="613" spans="1:14" hidden="1" x14ac:dyDescent="0.25">
      <c r="A613" s="354">
        <v>1</v>
      </c>
      <c r="B613" s="354">
        <v>0</v>
      </c>
      <c r="C613" s="354">
        <v>0</v>
      </c>
      <c r="D613" s="354">
        <v>0</v>
      </c>
      <c r="E613" s="354">
        <v>1</v>
      </c>
      <c r="F613" s="354">
        <v>1</v>
      </c>
      <c r="G613" s="354">
        <v>0</v>
      </c>
      <c r="H613" s="354">
        <v>0</v>
      </c>
      <c r="I613" s="354">
        <v>1</v>
      </c>
      <c r="J613" s="354">
        <v>1</v>
      </c>
      <c r="K613" s="354">
        <v>0</v>
      </c>
      <c r="L613" s="354">
        <v>0</v>
      </c>
      <c r="M613" s="355">
        <v>3</v>
      </c>
      <c r="N613" s="355">
        <v>2</v>
      </c>
    </row>
    <row r="614" spans="1:14" hidden="1" x14ac:dyDescent="0.25">
      <c r="A614" s="354">
        <v>1</v>
      </c>
      <c r="B614" s="354">
        <v>0</v>
      </c>
      <c r="C614" s="354">
        <v>0</v>
      </c>
      <c r="D614" s="354">
        <v>0</v>
      </c>
      <c r="E614" s="354">
        <v>1</v>
      </c>
      <c r="F614" s="354">
        <v>0</v>
      </c>
      <c r="G614" s="354">
        <v>1</v>
      </c>
      <c r="H614" s="354">
        <v>0</v>
      </c>
      <c r="I614" s="354">
        <v>0</v>
      </c>
      <c r="J614" s="354">
        <v>1</v>
      </c>
      <c r="K614" s="354">
        <v>0</v>
      </c>
      <c r="L614" s="354">
        <v>0</v>
      </c>
      <c r="M614" s="355">
        <v>3</v>
      </c>
      <c r="N614" s="355">
        <v>1</v>
      </c>
    </row>
    <row r="615" spans="1:14" hidden="1" x14ac:dyDescent="0.25">
      <c r="A615" s="354">
        <v>0</v>
      </c>
      <c r="B615" s="354">
        <v>0</v>
      </c>
      <c r="C615" s="354">
        <v>0</v>
      </c>
      <c r="D615" s="354">
        <v>0</v>
      </c>
      <c r="E615" s="354">
        <v>0</v>
      </c>
      <c r="F615" s="354">
        <v>0</v>
      </c>
      <c r="G615" s="354">
        <v>0</v>
      </c>
      <c r="H615" s="354">
        <v>0</v>
      </c>
      <c r="I615" s="354">
        <v>0</v>
      </c>
      <c r="J615" s="354">
        <v>1</v>
      </c>
      <c r="K615" s="354">
        <v>0</v>
      </c>
      <c r="L615" s="354">
        <v>0</v>
      </c>
      <c r="M615" s="355">
        <v>0</v>
      </c>
      <c r="N615" s="355">
        <v>1</v>
      </c>
    </row>
    <row r="616" spans="1:14" hidden="1" x14ac:dyDescent="0.25">
      <c r="A616" s="354">
        <v>0</v>
      </c>
      <c r="B616" s="354">
        <v>0</v>
      </c>
      <c r="C616" s="354">
        <v>0</v>
      </c>
      <c r="D616" s="354">
        <v>0</v>
      </c>
      <c r="E616" s="354">
        <v>0</v>
      </c>
      <c r="F616" s="354">
        <v>1</v>
      </c>
      <c r="G616" s="354">
        <v>1</v>
      </c>
      <c r="H616" s="354">
        <v>1</v>
      </c>
      <c r="I616" s="354">
        <v>0</v>
      </c>
      <c r="J616" s="354">
        <v>1</v>
      </c>
      <c r="K616" s="354">
        <v>0</v>
      </c>
      <c r="L616" s="354">
        <v>0</v>
      </c>
      <c r="M616" s="355">
        <v>1</v>
      </c>
      <c r="N616" s="355">
        <v>3</v>
      </c>
    </row>
    <row r="617" spans="1:14" hidden="1" x14ac:dyDescent="0.25">
      <c r="A617" s="354">
        <v>0</v>
      </c>
      <c r="B617" s="354">
        <v>0</v>
      </c>
      <c r="C617" s="354">
        <v>0</v>
      </c>
      <c r="D617" s="354">
        <v>0</v>
      </c>
      <c r="E617" s="354">
        <v>0</v>
      </c>
      <c r="F617" s="354">
        <v>2</v>
      </c>
      <c r="G617" s="354">
        <v>0</v>
      </c>
      <c r="H617" s="354">
        <v>0</v>
      </c>
      <c r="I617" s="354">
        <v>0</v>
      </c>
      <c r="J617" s="354">
        <v>0</v>
      </c>
      <c r="K617" s="354">
        <v>1</v>
      </c>
      <c r="L617" s="354">
        <v>1</v>
      </c>
      <c r="M617" s="355">
        <v>1</v>
      </c>
      <c r="N617" s="355">
        <v>3</v>
      </c>
    </row>
    <row r="618" spans="1:14" hidden="1" x14ac:dyDescent="0.25">
      <c r="A618" s="354">
        <v>1</v>
      </c>
      <c r="B618" s="354">
        <v>0</v>
      </c>
      <c r="C618" s="354">
        <v>1</v>
      </c>
      <c r="D618" s="354">
        <v>1</v>
      </c>
      <c r="E618" s="354">
        <v>1</v>
      </c>
      <c r="F618" s="354">
        <v>0</v>
      </c>
      <c r="G618" s="354">
        <v>0</v>
      </c>
      <c r="H618" s="354">
        <v>0</v>
      </c>
      <c r="I618" s="354">
        <v>1</v>
      </c>
      <c r="J618" s="354">
        <v>1</v>
      </c>
      <c r="K618" s="354">
        <v>0</v>
      </c>
      <c r="L618" s="354">
        <v>0</v>
      </c>
      <c r="M618" s="355">
        <v>4</v>
      </c>
      <c r="N618" s="355">
        <v>2</v>
      </c>
    </row>
    <row r="619" spans="1:14" hidden="1" x14ac:dyDescent="0.25">
      <c r="A619" s="354">
        <v>0</v>
      </c>
      <c r="B619" s="354">
        <v>1</v>
      </c>
      <c r="C619" s="354">
        <v>1</v>
      </c>
      <c r="D619" s="354">
        <v>0</v>
      </c>
      <c r="E619" s="354">
        <v>1</v>
      </c>
      <c r="F619" s="354">
        <v>1</v>
      </c>
      <c r="G619" s="354">
        <v>0</v>
      </c>
      <c r="H619" s="354">
        <v>0</v>
      </c>
      <c r="I619" s="354">
        <v>1</v>
      </c>
      <c r="J619" s="354">
        <v>0</v>
      </c>
      <c r="K619" s="354">
        <v>0</v>
      </c>
      <c r="L619" s="354">
        <v>0</v>
      </c>
      <c r="M619" s="355">
        <v>3</v>
      </c>
      <c r="N619" s="355">
        <v>2</v>
      </c>
    </row>
    <row r="620" spans="1:14" hidden="1" x14ac:dyDescent="0.25">
      <c r="A620" s="354">
        <v>0</v>
      </c>
      <c r="B620" s="354">
        <v>3</v>
      </c>
      <c r="C620" s="354">
        <v>2</v>
      </c>
      <c r="D620" s="354">
        <v>0</v>
      </c>
      <c r="E620" s="354">
        <v>2</v>
      </c>
      <c r="F620" s="354">
        <v>1</v>
      </c>
      <c r="G620" s="354">
        <v>0</v>
      </c>
      <c r="H620" s="354">
        <v>0</v>
      </c>
      <c r="I620" s="354">
        <v>1</v>
      </c>
      <c r="J620" s="354">
        <v>2</v>
      </c>
      <c r="K620" s="354">
        <v>0</v>
      </c>
      <c r="L620" s="354">
        <v>0</v>
      </c>
      <c r="M620" s="355">
        <v>5</v>
      </c>
      <c r="N620" s="355">
        <v>6</v>
      </c>
    </row>
    <row r="621" spans="1:14" hidden="1" x14ac:dyDescent="0.25">
      <c r="A621" s="354">
        <v>0</v>
      </c>
      <c r="B621" s="354">
        <v>0</v>
      </c>
      <c r="C621" s="354">
        <v>1</v>
      </c>
      <c r="D621" s="354">
        <v>2</v>
      </c>
      <c r="E621" s="354">
        <v>2</v>
      </c>
      <c r="F621" s="354">
        <v>1</v>
      </c>
      <c r="G621" s="354">
        <v>4</v>
      </c>
      <c r="H621" s="354">
        <v>3</v>
      </c>
      <c r="I621" s="354">
        <v>6</v>
      </c>
      <c r="J621" s="354">
        <v>7</v>
      </c>
      <c r="K621" s="354">
        <v>1</v>
      </c>
      <c r="L621" s="354">
        <v>0</v>
      </c>
      <c r="M621" s="355">
        <v>14</v>
      </c>
      <c r="N621" s="355">
        <v>13</v>
      </c>
    </row>
    <row r="622" spans="1:14" hidden="1" x14ac:dyDescent="0.25">
      <c r="A622" s="354">
        <v>0</v>
      </c>
      <c r="B622" s="354">
        <v>0</v>
      </c>
      <c r="C622" s="354">
        <v>3</v>
      </c>
      <c r="D622" s="354">
        <v>2</v>
      </c>
      <c r="E622" s="354">
        <v>2</v>
      </c>
      <c r="F622" s="354">
        <v>1</v>
      </c>
      <c r="G622" s="354">
        <v>2</v>
      </c>
      <c r="H622" s="354">
        <v>2</v>
      </c>
      <c r="I622" s="354">
        <v>2</v>
      </c>
      <c r="J622" s="354">
        <v>1</v>
      </c>
      <c r="K622" s="354">
        <v>0</v>
      </c>
      <c r="L622" s="354">
        <v>0</v>
      </c>
      <c r="M622" s="355">
        <v>9</v>
      </c>
      <c r="N622" s="355">
        <v>6</v>
      </c>
    </row>
    <row r="623" spans="1:14" hidden="1" x14ac:dyDescent="0.25">
      <c r="A623" s="354">
        <v>0</v>
      </c>
      <c r="B623" s="354">
        <v>0</v>
      </c>
      <c r="C623" s="354">
        <v>1</v>
      </c>
      <c r="D623" s="354">
        <v>0</v>
      </c>
      <c r="E623" s="354">
        <v>1</v>
      </c>
      <c r="F623" s="354">
        <v>0</v>
      </c>
      <c r="G623" s="354">
        <v>1</v>
      </c>
      <c r="H623" s="354">
        <v>2</v>
      </c>
      <c r="I623" s="354">
        <v>1</v>
      </c>
      <c r="J623" s="354">
        <v>1</v>
      </c>
      <c r="K623" s="354">
        <v>0</v>
      </c>
      <c r="L623" s="354">
        <v>0</v>
      </c>
      <c r="M623" s="355">
        <v>4</v>
      </c>
      <c r="N623" s="355">
        <v>3</v>
      </c>
    </row>
    <row r="624" spans="1:14" hidden="1" x14ac:dyDescent="0.25">
      <c r="A624" s="354">
        <v>0</v>
      </c>
      <c r="B624" s="354">
        <v>0</v>
      </c>
      <c r="C624" s="354">
        <v>2</v>
      </c>
      <c r="D624" s="354">
        <v>1</v>
      </c>
      <c r="E624" s="354">
        <v>1</v>
      </c>
      <c r="F624" s="354">
        <v>0</v>
      </c>
      <c r="G624" s="354">
        <v>2</v>
      </c>
      <c r="H624" s="354">
        <v>1</v>
      </c>
      <c r="I624" s="354">
        <v>1</v>
      </c>
      <c r="J624" s="354">
        <v>1</v>
      </c>
      <c r="K624" s="354">
        <v>0</v>
      </c>
      <c r="L624" s="354">
        <v>0</v>
      </c>
      <c r="M624" s="355">
        <v>6</v>
      </c>
      <c r="N624" s="355">
        <v>3</v>
      </c>
    </row>
    <row r="625" spans="1:14" hidden="1" x14ac:dyDescent="0.25">
      <c r="A625" s="354">
        <v>0</v>
      </c>
      <c r="B625" s="354">
        <v>0</v>
      </c>
      <c r="C625" s="354">
        <v>0</v>
      </c>
      <c r="D625" s="354">
        <v>0</v>
      </c>
      <c r="E625" s="354">
        <v>1</v>
      </c>
      <c r="F625" s="354">
        <v>1</v>
      </c>
      <c r="G625" s="354">
        <v>0</v>
      </c>
      <c r="H625" s="354">
        <v>1</v>
      </c>
      <c r="I625" s="354">
        <v>0</v>
      </c>
      <c r="J625" s="354">
        <v>2</v>
      </c>
      <c r="K625" s="354">
        <v>1</v>
      </c>
      <c r="L625" s="354"/>
      <c r="M625" s="355">
        <v>2</v>
      </c>
      <c r="N625" s="355">
        <v>4</v>
      </c>
    </row>
    <row r="626" spans="1:14" hidden="1" x14ac:dyDescent="0.25">
      <c r="A626" s="354">
        <v>1</v>
      </c>
      <c r="B626" s="354">
        <v>0</v>
      </c>
      <c r="C626" s="354">
        <v>1</v>
      </c>
      <c r="D626" s="354">
        <v>1</v>
      </c>
      <c r="E626" s="354">
        <v>1</v>
      </c>
      <c r="F626" s="354">
        <v>1</v>
      </c>
      <c r="G626" s="354">
        <v>0</v>
      </c>
      <c r="H626" s="354">
        <v>0</v>
      </c>
      <c r="I626" s="354">
        <v>1</v>
      </c>
      <c r="J626" s="354">
        <v>1</v>
      </c>
      <c r="K626" s="354">
        <v>0</v>
      </c>
      <c r="L626" s="354">
        <v>0</v>
      </c>
      <c r="M626" s="355">
        <v>4</v>
      </c>
      <c r="N626" s="355">
        <v>3</v>
      </c>
    </row>
    <row r="627" spans="1:14" hidden="1" x14ac:dyDescent="0.25">
      <c r="A627" s="354">
        <v>0</v>
      </c>
      <c r="B627" s="354">
        <v>0</v>
      </c>
      <c r="C627" s="354">
        <v>1</v>
      </c>
      <c r="D627" s="354">
        <v>0</v>
      </c>
      <c r="E627" s="354">
        <v>1</v>
      </c>
      <c r="F627" s="354">
        <v>1</v>
      </c>
      <c r="G627" s="354">
        <v>0</v>
      </c>
      <c r="H627" s="354">
        <v>0</v>
      </c>
      <c r="I627" s="354">
        <v>1</v>
      </c>
      <c r="J627" s="354">
        <v>2</v>
      </c>
      <c r="K627" s="354">
        <v>1</v>
      </c>
      <c r="L627" s="354">
        <v>0</v>
      </c>
      <c r="M627" s="355">
        <v>4</v>
      </c>
      <c r="N627" s="355">
        <v>3</v>
      </c>
    </row>
    <row r="628" spans="1:14" hidden="1" x14ac:dyDescent="0.25">
      <c r="A628" s="354">
        <v>1</v>
      </c>
      <c r="B628" s="354">
        <v>1</v>
      </c>
      <c r="C628" s="354">
        <v>0</v>
      </c>
      <c r="D628" s="354">
        <v>2</v>
      </c>
      <c r="E628" s="354">
        <v>1</v>
      </c>
      <c r="F628" s="354">
        <v>2</v>
      </c>
      <c r="G628" s="354">
        <v>1</v>
      </c>
      <c r="H628" s="354">
        <v>0</v>
      </c>
      <c r="I628" s="354">
        <v>1</v>
      </c>
      <c r="J628" s="354">
        <v>5</v>
      </c>
      <c r="K628" s="354">
        <v>0</v>
      </c>
      <c r="L628" s="354">
        <v>0</v>
      </c>
      <c r="M628" s="355">
        <v>4</v>
      </c>
      <c r="N628" s="355">
        <v>10</v>
      </c>
    </row>
    <row r="629" spans="1:14" hidden="1" x14ac:dyDescent="0.25">
      <c r="A629" s="354">
        <v>0</v>
      </c>
      <c r="B629" s="354">
        <v>0</v>
      </c>
      <c r="C629" s="354">
        <v>0</v>
      </c>
      <c r="D629" s="354">
        <v>2</v>
      </c>
      <c r="E629" s="354">
        <v>1</v>
      </c>
      <c r="F629" s="354">
        <v>0</v>
      </c>
      <c r="G629" s="354">
        <v>0</v>
      </c>
      <c r="H629" s="354">
        <v>0</v>
      </c>
      <c r="I629" s="354">
        <v>1</v>
      </c>
      <c r="J629" s="354">
        <v>1</v>
      </c>
      <c r="K629" s="354">
        <v>0</v>
      </c>
      <c r="L629" s="354">
        <v>0</v>
      </c>
      <c r="M629" s="355">
        <v>2</v>
      </c>
      <c r="N629" s="355">
        <v>3</v>
      </c>
    </row>
    <row r="630" spans="1:14" hidden="1" x14ac:dyDescent="0.25">
      <c r="A630" s="354">
        <v>0</v>
      </c>
      <c r="B630" s="354">
        <v>0</v>
      </c>
      <c r="C630" s="354">
        <v>1</v>
      </c>
      <c r="D630" s="354">
        <v>0</v>
      </c>
      <c r="E630" s="354">
        <v>2</v>
      </c>
      <c r="F630" s="354">
        <v>2</v>
      </c>
      <c r="G630" s="354">
        <v>0</v>
      </c>
      <c r="H630" s="354">
        <v>2</v>
      </c>
      <c r="I630" s="354">
        <v>1</v>
      </c>
      <c r="J630" s="354">
        <v>1</v>
      </c>
      <c r="K630" s="354">
        <v>0</v>
      </c>
      <c r="L630" s="354">
        <v>0</v>
      </c>
      <c r="M630" s="355">
        <v>4</v>
      </c>
      <c r="N630" s="355">
        <v>5</v>
      </c>
    </row>
    <row r="631" spans="1:14" hidden="1" x14ac:dyDescent="0.25">
      <c r="A631" s="354">
        <v>1</v>
      </c>
      <c r="B631" s="354">
        <v>1</v>
      </c>
      <c r="C631" s="354">
        <v>1</v>
      </c>
      <c r="D631" s="354">
        <v>0</v>
      </c>
      <c r="E631" s="354">
        <v>0</v>
      </c>
      <c r="F631" s="354">
        <v>0</v>
      </c>
      <c r="G631" s="354">
        <v>0</v>
      </c>
      <c r="H631" s="354">
        <v>0</v>
      </c>
      <c r="I631" s="354">
        <v>1</v>
      </c>
      <c r="J631" s="354">
        <v>1</v>
      </c>
      <c r="K631" s="354">
        <v>0</v>
      </c>
      <c r="L631" s="354">
        <v>0</v>
      </c>
      <c r="M631" s="355">
        <v>3</v>
      </c>
      <c r="N631" s="355">
        <v>2</v>
      </c>
    </row>
    <row r="632" spans="1:14" hidden="1" x14ac:dyDescent="0.25">
      <c r="A632" s="354">
        <v>0</v>
      </c>
      <c r="B632" s="354">
        <v>0</v>
      </c>
      <c r="C632" s="354">
        <v>2</v>
      </c>
      <c r="D632" s="354">
        <v>1</v>
      </c>
      <c r="E632" s="354">
        <v>2</v>
      </c>
      <c r="F632" s="354">
        <v>1</v>
      </c>
      <c r="G632" s="354">
        <v>3</v>
      </c>
      <c r="H632" s="354">
        <v>1</v>
      </c>
      <c r="I632" s="354">
        <v>2</v>
      </c>
      <c r="J632" s="354">
        <v>2</v>
      </c>
      <c r="K632" s="354">
        <v>1</v>
      </c>
      <c r="L632" s="354">
        <v>0</v>
      </c>
      <c r="M632" s="355">
        <v>10</v>
      </c>
      <c r="N632" s="355">
        <v>5</v>
      </c>
    </row>
    <row r="633" spans="1:14" hidden="1" x14ac:dyDescent="0.25">
      <c r="A633" s="354">
        <v>1</v>
      </c>
      <c r="B633" s="354">
        <v>1</v>
      </c>
      <c r="C633" s="354">
        <v>0</v>
      </c>
      <c r="D633" s="354">
        <v>1</v>
      </c>
      <c r="E633" s="354">
        <v>2</v>
      </c>
      <c r="F633" s="354">
        <v>2</v>
      </c>
      <c r="G633" s="354">
        <v>0</v>
      </c>
      <c r="H633" s="354">
        <v>1</v>
      </c>
      <c r="I633" s="354">
        <v>6</v>
      </c>
      <c r="J633" s="354">
        <v>1</v>
      </c>
      <c r="K633" s="354">
        <v>0</v>
      </c>
      <c r="L633" s="354">
        <v>0</v>
      </c>
      <c r="M633" s="355">
        <v>9</v>
      </c>
      <c r="N633" s="355">
        <v>6</v>
      </c>
    </row>
    <row r="634" spans="1:14" hidden="1" x14ac:dyDescent="0.25">
      <c r="A634" s="354">
        <v>0</v>
      </c>
      <c r="B634" s="354">
        <v>1</v>
      </c>
      <c r="C634" s="354">
        <v>0</v>
      </c>
      <c r="D634" s="354">
        <v>0</v>
      </c>
      <c r="E634" s="354">
        <v>0</v>
      </c>
      <c r="F634" s="354">
        <v>0</v>
      </c>
      <c r="G634" s="354">
        <v>0</v>
      </c>
      <c r="H634" s="354">
        <v>0</v>
      </c>
      <c r="I634" s="354">
        <v>1</v>
      </c>
      <c r="J634" s="354">
        <v>1</v>
      </c>
      <c r="K634" s="354">
        <v>0</v>
      </c>
      <c r="L634" s="354">
        <v>0</v>
      </c>
      <c r="M634" s="355">
        <v>1</v>
      </c>
      <c r="N634" s="355">
        <v>2</v>
      </c>
    </row>
    <row r="635" spans="1:14" hidden="1" x14ac:dyDescent="0.25">
      <c r="A635" s="354">
        <v>1</v>
      </c>
      <c r="B635" s="354">
        <v>0</v>
      </c>
      <c r="C635" s="354">
        <v>1</v>
      </c>
      <c r="D635" s="354">
        <v>1</v>
      </c>
      <c r="E635" s="354">
        <v>1</v>
      </c>
      <c r="F635" s="354">
        <v>1</v>
      </c>
      <c r="G635" s="354">
        <v>1</v>
      </c>
      <c r="H635" s="354">
        <v>0</v>
      </c>
      <c r="I635" s="354">
        <v>1</v>
      </c>
      <c r="J635" s="354">
        <v>1</v>
      </c>
      <c r="K635" s="354">
        <v>0</v>
      </c>
      <c r="L635" s="354">
        <v>0</v>
      </c>
      <c r="M635" s="355">
        <v>5</v>
      </c>
      <c r="N635" s="355">
        <v>3</v>
      </c>
    </row>
    <row r="636" spans="1:14" hidden="1" x14ac:dyDescent="0.25">
      <c r="A636" s="354">
        <v>0</v>
      </c>
      <c r="B636" s="354">
        <v>3</v>
      </c>
      <c r="C636" s="354">
        <v>2</v>
      </c>
      <c r="D636" s="354">
        <v>0</v>
      </c>
      <c r="E636" s="354">
        <v>2</v>
      </c>
      <c r="F636" s="354">
        <v>1</v>
      </c>
      <c r="G636" s="354">
        <v>0</v>
      </c>
      <c r="H636" s="354">
        <v>0</v>
      </c>
      <c r="I636" s="354">
        <v>1</v>
      </c>
      <c r="J636" s="354">
        <v>2</v>
      </c>
      <c r="K636" s="354">
        <v>0</v>
      </c>
      <c r="L636" s="354">
        <v>0</v>
      </c>
      <c r="M636" s="355">
        <v>5</v>
      </c>
      <c r="N636" s="355">
        <v>6</v>
      </c>
    </row>
    <row r="637" spans="1:14" hidden="1" x14ac:dyDescent="0.25">
      <c r="A637" s="354">
        <v>0</v>
      </c>
      <c r="B637" s="354">
        <v>0</v>
      </c>
      <c r="C637" s="354">
        <v>0</v>
      </c>
      <c r="D637" s="354">
        <v>1</v>
      </c>
      <c r="E637" s="354">
        <v>2</v>
      </c>
      <c r="F637" s="354">
        <v>0</v>
      </c>
      <c r="G637" s="354">
        <v>1</v>
      </c>
      <c r="H637" s="354">
        <v>1</v>
      </c>
      <c r="I637" s="354">
        <v>1</v>
      </c>
      <c r="J637" s="354">
        <v>1</v>
      </c>
      <c r="K637" s="354">
        <v>0</v>
      </c>
      <c r="L637" s="354">
        <v>0</v>
      </c>
      <c r="M637" s="355">
        <v>4</v>
      </c>
      <c r="N637" s="355">
        <v>3</v>
      </c>
    </row>
    <row r="638" spans="1:14" hidden="1" x14ac:dyDescent="0.25">
      <c r="A638" s="354">
        <v>0</v>
      </c>
      <c r="B638" s="354">
        <v>0</v>
      </c>
      <c r="C638" s="354">
        <v>1</v>
      </c>
      <c r="D638" s="354">
        <v>1</v>
      </c>
      <c r="E638" s="354">
        <v>1</v>
      </c>
      <c r="F638" s="354">
        <v>1</v>
      </c>
      <c r="G638" s="354">
        <v>0</v>
      </c>
      <c r="H638" s="354">
        <v>1</v>
      </c>
      <c r="I638" s="354">
        <v>1</v>
      </c>
      <c r="J638" s="354">
        <v>1</v>
      </c>
      <c r="K638" s="354">
        <v>0</v>
      </c>
      <c r="L638" s="354">
        <v>0</v>
      </c>
      <c r="M638" s="355">
        <v>3</v>
      </c>
      <c r="N638" s="355">
        <v>4</v>
      </c>
    </row>
    <row r="639" spans="1:14" hidden="1" x14ac:dyDescent="0.25">
      <c r="A639" s="354">
        <v>0</v>
      </c>
      <c r="B639" s="354">
        <v>1</v>
      </c>
      <c r="C639" s="354">
        <v>1</v>
      </c>
      <c r="D639" s="354">
        <v>1</v>
      </c>
      <c r="E639" s="354">
        <v>0</v>
      </c>
      <c r="F639" s="354">
        <v>0</v>
      </c>
      <c r="G639" s="354">
        <v>0</v>
      </c>
      <c r="H639" s="354">
        <v>0</v>
      </c>
      <c r="I639" s="354">
        <v>1</v>
      </c>
      <c r="J639" s="354">
        <v>1</v>
      </c>
      <c r="K639" s="354">
        <v>0</v>
      </c>
      <c r="L639" s="354">
        <v>0</v>
      </c>
      <c r="M639" s="355">
        <v>2</v>
      </c>
      <c r="N639" s="355">
        <v>3</v>
      </c>
    </row>
    <row r="640" spans="1:14" hidden="1" x14ac:dyDescent="0.25">
      <c r="A640" s="354">
        <v>0</v>
      </c>
      <c r="B640" s="354">
        <v>0</v>
      </c>
      <c r="C640" s="354">
        <v>0</v>
      </c>
      <c r="D640" s="354">
        <v>0</v>
      </c>
      <c r="E640" s="354">
        <v>0</v>
      </c>
      <c r="F640" s="354">
        <v>0</v>
      </c>
      <c r="G640" s="354">
        <v>0</v>
      </c>
      <c r="H640" s="354">
        <v>0</v>
      </c>
      <c r="I640" s="354">
        <v>0</v>
      </c>
      <c r="J640" s="354">
        <v>0</v>
      </c>
      <c r="K640" s="354">
        <v>1</v>
      </c>
      <c r="L640" s="354">
        <v>0</v>
      </c>
      <c r="M640" s="355">
        <v>1</v>
      </c>
      <c r="N640" s="355">
        <v>0</v>
      </c>
    </row>
    <row r="641" spans="1:14" hidden="1" x14ac:dyDescent="0.25">
      <c r="A641" s="354">
        <v>0</v>
      </c>
      <c r="B641" s="354">
        <v>0</v>
      </c>
      <c r="C641" s="354">
        <v>0</v>
      </c>
      <c r="D641" s="354">
        <v>0</v>
      </c>
      <c r="E641" s="354">
        <v>0</v>
      </c>
      <c r="F641" s="354">
        <v>0</v>
      </c>
      <c r="G641" s="354">
        <v>0</v>
      </c>
      <c r="H641" s="354">
        <v>0</v>
      </c>
      <c r="I641" s="354">
        <v>1</v>
      </c>
      <c r="J641" s="354">
        <v>1</v>
      </c>
      <c r="K641" s="354">
        <v>0</v>
      </c>
      <c r="L641" s="354">
        <v>0</v>
      </c>
      <c r="M641" s="355">
        <v>1</v>
      </c>
      <c r="N641" s="355">
        <v>1</v>
      </c>
    </row>
    <row r="642" spans="1:14" hidden="1" x14ac:dyDescent="0.25">
      <c r="A642" s="354">
        <v>0</v>
      </c>
      <c r="B642" s="354">
        <v>1</v>
      </c>
      <c r="C642" s="354">
        <v>1</v>
      </c>
      <c r="D642" s="354">
        <v>0</v>
      </c>
      <c r="E642" s="354">
        <v>0</v>
      </c>
      <c r="F642" s="354">
        <v>1</v>
      </c>
      <c r="G642" s="354">
        <v>0</v>
      </c>
      <c r="H642" s="354">
        <v>0</v>
      </c>
      <c r="I642" s="354">
        <v>1</v>
      </c>
      <c r="J642" s="354">
        <v>1</v>
      </c>
      <c r="K642" s="354">
        <v>0</v>
      </c>
      <c r="L642" s="354">
        <v>0</v>
      </c>
      <c r="M642" s="355">
        <v>2</v>
      </c>
      <c r="N642" s="355">
        <v>3</v>
      </c>
    </row>
    <row r="643" spans="1:14" hidden="1" x14ac:dyDescent="0.25">
      <c r="A643" s="354">
        <v>1</v>
      </c>
      <c r="B643" s="354">
        <v>0</v>
      </c>
      <c r="C643" s="354">
        <v>0</v>
      </c>
      <c r="D643" s="354">
        <v>1</v>
      </c>
      <c r="E643" s="354">
        <v>1</v>
      </c>
      <c r="F643" s="354">
        <v>1</v>
      </c>
      <c r="G643" s="354">
        <v>0</v>
      </c>
      <c r="H643" s="354">
        <v>0</v>
      </c>
      <c r="I643" s="354">
        <v>1</v>
      </c>
      <c r="J643" s="354">
        <v>1</v>
      </c>
      <c r="K643" s="354">
        <v>0</v>
      </c>
      <c r="L643" s="354">
        <v>0</v>
      </c>
      <c r="M643" s="355">
        <v>3</v>
      </c>
      <c r="N643" s="355">
        <v>3</v>
      </c>
    </row>
    <row r="644" spans="1:14" hidden="1" x14ac:dyDescent="0.25">
      <c r="A644" s="354">
        <v>0</v>
      </c>
      <c r="B644" s="354">
        <v>0</v>
      </c>
      <c r="C644" s="354">
        <v>1</v>
      </c>
      <c r="D644" s="354">
        <v>1</v>
      </c>
      <c r="E644" s="354">
        <v>2</v>
      </c>
      <c r="F644" s="354">
        <v>1</v>
      </c>
      <c r="G644" s="354">
        <v>1</v>
      </c>
      <c r="H644" s="354">
        <v>1</v>
      </c>
      <c r="I644" s="354">
        <v>1</v>
      </c>
      <c r="J644" s="354">
        <v>2</v>
      </c>
      <c r="K644" s="354">
        <v>0</v>
      </c>
      <c r="L644" s="354">
        <v>0</v>
      </c>
      <c r="M644" s="355">
        <v>5</v>
      </c>
      <c r="N644" s="355">
        <v>5</v>
      </c>
    </row>
    <row r="645" spans="1:14" hidden="1" x14ac:dyDescent="0.25">
      <c r="A645" s="354">
        <v>0</v>
      </c>
      <c r="B645" s="354">
        <v>1</v>
      </c>
      <c r="C645" s="354">
        <v>1</v>
      </c>
      <c r="D645" s="354">
        <v>1</v>
      </c>
      <c r="E645" s="354">
        <v>0</v>
      </c>
      <c r="F645" s="354">
        <v>2</v>
      </c>
      <c r="G645" s="354">
        <v>0</v>
      </c>
      <c r="H645" s="354">
        <v>0</v>
      </c>
      <c r="I645" s="354">
        <v>1</v>
      </c>
      <c r="J645" s="354">
        <v>1</v>
      </c>
      <c r="K645" s="354">
        <v>0</v>
      </c>
      <c r="L645" s="354">
        <v>0</v>
      </c>
      <c r="M645" s="355">
        <v>2</v>
      </c>
      <c r="N645" s="355">
        <v>5</v>
      </c>
    </row>
    <row r="646" spans="1:14" hidden="1" x14ac:dyDescent="0.25">
      <c r="A646" s="354">
        <v>0</v>
      </c>
      <c r="B646" s="354">
        <v>0</v>
      </c>
      <c r="C646" s="354"/>
      <c r="D646" s="354"/>
      <c r="E646" s="354"/>
      <c r="F646" s="354"/>
      <c r="G646" s="354"/>
      <c r="H646" s="354"/>
      <c r="I646" s="354">
        <v>1</v>
      </c>
      <c r="J646" s="354">
        <v>1</v>
      </c>
      <c r="K646" s="354">
        <v>0</v>
      </c>
      <c r="L646" s="354">
        <v>0</v>
      </c>
      <c r="M646" s="355">
        <v>1</v>
      </c>
      <c r="N646" s="355">
        <v>1</v>
      </c>
    </row>
    <row r="647" spans="1:14" hidden="1" x14ac:dyDescent="0.25">
      <c r="A647" s="354">
        <v>0</v>
      </c>
      <c r="B647" s="354">
        <v>0</v>
      </c>
      <c r="C647" s="354">
        <v>0</v>
      </c>
      <c r="D647" s="354">
        <v>0</v>
      </c>
      <c r="E647" s="354">
        <v>0</v>
      </c>
      <c r="F647" s="354">
        <v>0</v>
      </c>
      <c r="G647" s="354">
        <v>1</v>
      </c>
      <c r="H647" s="354">
        <v>1</v>
      </c>
      <c r="I647" s="354">
        <v>1</v>
      </c>
      <c r="J647" s="354">
        <v>1</v>
      </c>
      <c r="K647" s="354">
        <v>0</v>
      </c>
      <c r="L647" s="354">
        <v>0</v>
      </c>
      <c r="M647" s="355">
        <v>2</v>
      </c>
      <c r="N647" s="355">
        <v>2</v>
      </c>
    </row>
    <row r="648" spans="1:14" hidden="1" x14ac:dyDescent="0.25">
      <c r="A648" s="354">
        <v>0</v>
      </c>
      <c r="B648" s="354">
        <v>0</v>
      </c>
      <c r="C648" s="354">
        <v>1</v>
      </c>
      <c r="D648" s="354">
        <v>2</v>
      </c>
      <c r="E648" s="354">
        <v>1</v>
      </c>
      <c r="F648" s="354">
        <v>2</v>
      </c>
      <c r="G648" s="354">
        <v>1</v>
      </c>
      <c r="H648" s="354">
        <v>1</v>
      </c>
      <c r="I648" s="354">
        <v>2</v>
      </c>
      <c r="J648" s="354">
        <v>2</v>
      </c>
      <c r="K648" s="354">
        <v>0</v>
      </c>
      <c r="L648" s="354">
        <v>0</v>
      </c>
      <c r="M648" s="355">
        <v>5</v>
      </c>
      <c r="N648" s="355">
        <v>7</v>
      </c>
    </row>
    <row r="649" spans="1:14" hidden="1" x14ac:dyDescent="0.25">
      <c r="A649" s="354">
        <v>0</v>
      </c>
      <c r="B649" s="354">
        <v>1</v>
      </c>
      <c r="C649" s="354">
        <v>1</v>
      </c>
      <c r="D649" s="354">
        <v>1</v>
      </c>
      <c r="E649" s="354">
        <v>1</v>
      </c>
      <c r="F649" s="354">
        <v>1</v>
      </c>
      <c r="G649" s="354">
        <v>0</v>
      </c>
      <c r="H649" s="354">
        <v>1</v>
      </c>
      <c r="I649" s="354">
        <v>1</v>
      </c>
      <c r="J649" s="354">
        <v>1</v>
      </c>
      <c r="K649" s="354">
        <v>0</v>
      </c>
      <c r="L649" s="354">
        <v>0</v>
      </c>
      <c r="M649" s="355">
        <v>3</v>
      </c>
      <c r="N649" s="355">
        <v>5</v>
      </c>
    </row>
    <row r="650" spans="1:14" hidden="1" x14ac:dyDescent="0.25">
      <c r="A650" s="354">
        <v>0</v>
      </c>
      <c r="B650" s="354">
        <v>1</v>
      </c>
      <c r="C650" s="354">
        <v>0</v>
      </c>
      <c r="D650" s="354">
        <v>1</v>
      </c>
      <c r="E650" s="354">
        <v>0</v>
      </c>
      <c r="F650" s="354">
        <v>0</v>
      </c>
      <c r="G650" s="354">
        <v>0</v>
      </c>
      <c r="H650" s="354">
        <v>1</v>
      </c>
      <c r="I650" s="354">
        <v>1</v>
      </c>
      <c r="J650" s="354">
        <v>2</v>
      </c>
      <c r="K650" s="354">
        <v>0</v>
      </c>
      <c r="L650" s="354">
        <v>0</v>
      </c>
      <c r="M650" s="355">
        <v>1</v>
      </c>
      <c r="N650" s="355">
        <v>5</v>
      </c>
    </row>
    <row r="651" spans="1:14" hidden="1" x14ac:dyDescent="0.25">
      <c r="A651" s="354">
        <v>1</v>
      </c>
      <c r="B651" s="354">
        <v>0</v>
      </c>
      <c r="C651" s="354">
        <v>0</v>
      </c>
      <c r="D651" s="354">
        <v>0</v>
      </c>
      <c r="E651" s="354">
        <v>2</v>
      </c>
      <c r="F651" s="354">
        <v>0</v>
      </c>
      <c r="G651" s="354">
        <v>0</v>
      </c>
      <c r="H651" s="354">
        <v>0</v>
      </c>
      <c r="I651" s="354">
        <v>1</v>
      </c>
      <c r="J651" s="354">
        <v>1</v>
      </c>
      <c r="K651" s="354">
        <v>0</v>
      </c>
      <c r="L651" s="354">
        <v>0</v>
      </c>
      <c r="M651" s="355">
        <v>4</v>
      </c>
      <c r="N651" s="355">
        <v>1</v>
      </c>
    </row>
    <row r="652" spans="1:14" hidden="1" x14ac:dyDescent="0.25">
      <c r="A652" s="354">
        <v>2</v>
      </c>
      <c r="B652" s="354">
        <v>0</v>
      </c>
      <c r="C652" s="354">
        <v>2</v>
      </c>
      <c r="D652" s="354">
        <v>0</v>
      </c>
      <c r="E652" s="354">
        <v>2</v>
      </c>
      <c r="F652" s="354">
        <v>0</v>
      </c>
      <c r="G652" s="354">
        <v>2</v>
      </c>
      <c r="H652" s="354">
        <v>0</v>
      </c>
      <c r="I652" s="354">
        <v>1</v>
      </c>
      <c r="J652" s="354">
        <v>2</v>
      </c>
      <c r="K652" s="354">
        <v>0</v>
      </c>
      <c r="L652" s="354">
        <v>0</v>
      </c>
      <c r="M652" s="355">
        <v>9</v>
      </c>
      <c r="N652" s="355">
        <v>2</v>
      </c>
    </row>
    <row r="653" spans="1:14" hidden="1" x14ac:dyDescent="0.25">
      <c r="A653" s="354">
        <v>1</v>
      </c>
      <c r="B653" s="354">
        <v>0</v>
      </c>
      <c r="C653" s="354">
        <v>0</v>
      </c>
      <c r="D653" s="354">
        <v>1</v>
      </c>
      <c r="E653" s="354">
        <v>0</v>
      </c>
      <c r="F653" s="354">
        <v>0</v>
      </c>
      <c r="G653" s="354">
        <v>0</v>
      </c>
      <c r="H653" s="354">
        <v>0</v>
      </c>
      <c r="I653" s="354">
        <v>1</v>
      </c>
      <c r="J653" s="354">
        <v>1</v>
      </c>
      <c r="K653" s="354">
        <v>0</v>
      </c>
      <c r="L653" s="354">
        <v>0</v>
      </c>
      <c r="M653" s="355">
        <v>2</v>
      </c>
      <c r="N653" s="355">
        <v>2</v>
      </c>
    </row>
    <row r="654" spans="1:14" hidden="1" x14ac:dyDescent="0.25">
      <c r="A654" s="354">
        <v>0</v>
      </c>
      <c r="B654" s="354">
        <v>1</v>
      </c>
      <c r="C654" s="354">
        <v>1</v>
      </c>
      <c r="D654" s="354">
        <v>0</v>
      </c>
      <c r="E654" s="354">
        <v>0</v>
      </c>
      <c r="F654" s="354">
        <v>1</v>
      </c>
      <c r="G654" s="354">
        <v>0</v>
      </c>
      <c r="H654" s="354">
        <v>0</v>
      </c>
      <c r="I654" s="354">
        <v>1</v>
      </c>
      <c r="J654" s="354">
        <v>1</v>
      </c>
      <c r="K654" s="354">
        <v>0</v>
      </c>
      <c r="L654" s="354">
        <v>0</v>
      </c>
      <c r="M654" s="355">
        <v>2</v>
      </c>
      <c r="N654" s="355">
        <v>3</v>
      </c>
    </row>
    <row r="655" spans="1:14" hidden="1" x14ac:dyDescent="0.25">
      <c r="A655" s="354">
        <v>1</v>
      </c>
      <c r="B655" s="354">
        <v>0</v>
      </c>
      <c r="C655" s="354">
        <v>0</v>
      </c>
      <c r="D655" s="354">
        <v>2</v>
      </c>
      <c r="E655" s="354">
        <v>0</v>
      </c>
      <c r="F655" s="354">
        <v>0</v>
      </c>
      <c r="G655" s="354">
        <v>0</v>
      </c>
      <c r="H655" s="354">
        <v>0</v>
      </c>
      <c r="I655" s="354">
        <v>1</v>
      </c>
      <c r="J655" s="354">
        <v>1</v>
      </c>
      <c r="K655" s="354">
        <v>0</v>
      </c>
      <c r="L655" s="354">
        <v>0</v>
      </c>
      <c r="M655" s="355">
        <v>2</v>
      </c>
      <c r="N655" s="355">
        <v>3</v>
      </c>
    </row>
    <row r="656" spans="1:14" hidden="1" x14ac:dyDescent="0.25">
      <c r="A656" s="354">
        <v>0</v>
      </c>
      <c r="B656" s="354">
        <v>1</v>
      </c>
      <c r="C656" s="354">
        <v>1</v>
      </c>
      <c r="D656" s="354">
        <v>0</v>
      </c>
      <c r="E656" s="354">
        <v>1</v>
      </c>
      <c r="F656" s="354">
        <v>1</v>
      </c>
      <c r="G656" s="354">
        <v>0</v>
      </c>
      <c r="H656" s="354">
        <v>0</v>
      </c>
      <c r="I656" s="354">
        <v>1</v>
      </c>
      <c r="J656" s="354">
        <v>1</v>
      </c>
      <c r="K656" s="354">
        <v>0</v>
      </c>
      <c r="L656" s="354">
        <v>0</v>
      </c>
      <c r="M656" s="355">
        <v>3</v>
      </c>
      <c r="N656" s="355">
        <v>3</v>
      </c>
    </row>
    <row r="657" spans="1:14" hidden="1" x14ac:dyDescent="0.25">
      <c r="A657" s="354">
        <v>2</v>
      </c>
      <c r="B657" s="354">
        <v>0</v>
      </c>
      <c r="C657" s="354">
        <v>1</v>
      </c>
      <c r="D657" s="354">
        <v>1</v>
      </c>
      <c r="E657" s="354">
        <v>1</v>
      </c>
      <c r="F657" s="354">
        <v>0</v>
      </c>
      <c r="G657" s="354">
        <v>1</v>
      </c>
      <c r="H657" s="354">
        <v>1</v>
      </c>
      <c r="I657" s="354">
        <v>1</v>
      </c>
      <c r="J657" s="354">
        <v>1</v>
      </c>
      <c r="K657" s="354">
        <v>0</v>
      </c>
      <c r="L657" s="354">
        <v>0</v>
      </c>
      <c r="M657" s="355">
        <v>6</v>
      </c>
      <c r="N657" s="355">
        <v>3</v>
      </c>
    </row>
    <row r="658" spans="1:14" hidden="1" x14ac:dyDescent="0.25">
      <c r="A658" s="354">
        <v>2</v>
      </c>
      <c r="B658" s="354">
        <v>1</v>
      </c>
      <c r="C658" s="354">
        <v>1</v>
      </c>
      <c r="D658" s="354">
        <v>0</v>
      </c>
      <c r="E658" s="354">
        <v>1</v>
      </c>
      <c r="F658" s="354">
        <v>0</v>
      </c>
      <c r="G658" s="354">
        <v>1</v>
      </c>
      <c r="H658" s="354">
        <v>0</v>
      </c>
      <c r="I658" s="354">
        <v>1</v>
      </c>
      <c r="J658" s="354">
        <v>1</v>
      </c>
      <c r="K658" s="354">
        <v>0</v>
      </c>
      <c r="L658" s="354">
        <v>0</v>
      </c>
      <c r="M658" s="355">
        <v>6</v>
      </c>
      <c r="N658" s="355">
        <v>2</v>
      </c>
    </row>
    <row r="659" spans="1:14" hidden="1" x14ac:dyDescent="0.25">
      <c r="A659" s="354">
        <v>1</v>
      </c>
      <c r="B659" s="354">
        <v>1</v>
      </c>
      <c r="C659" s="354">
        <v>0</v>
      </c>
      <c r="D659" s="354">
        <v>1</v>
      </c>
      <c r="E659" s="354">
        <v>1</v>
      </c>
      <c r="F659" s="354">
        <v>0</v>
      </c>
      <c r="G659" s="354">
        <v>1</v>
      </c>
      <c r="H659" s="354">
        <v>0</v>
      </c>
      <c r="I659" s="354">
        <v>1</v>
      </c>
      <c r="J659" s="354">
        <v>1</v>
      </c>
      <c r="K659" s="354">
        <v>0</v>
      </c>
      <c r="L659" s="354">
        <v>0</v>
      </c>
      <c r="M659" s="355">
        <v>4</v>
      </c>
      <c r="N659" s="355">
        <v>3</v>
      </c>
    </row>
    <row r="660" spans="1:14" hidden="1" x14ac:dyDescent="0.25">
      <c r="A660" s="354">
        <v>0</v>
      </c>
      <c r="B660" s="354">
        <v>0</v>
      </c>
      <c r="C660" s="354">
        <v>1</v>
      </c>
      <c r="D660" s="354">
        <v>1</v>
      </c>
      <c r="E660" s="354">
        <v>1</v>
      </c>
      <c r="F660" s="354">
        <v>0</v>
      </c>
      <c r="G660" s="354">
        <v>1</v>
      </c>
      <c r="H660" s="354">
        <v>1</v>
      </c>
      <c r="I660" s="354">
        <v>1</v>
      </c>
      <c r="J660" s="354">
        <v>1</v>
      </c>
      <c r="K660" s="354">
        <v>0</v>
      </c>
      <c r="L660" s="354">
        <v>0</v>
      </c>
      <c r="M660" s="355">
        <v>4</v>
      </c>
      <c r="N660" s="355">
        <v>3</v>
      </c>
    </row>
    <row r="661" spans="1:14" hidden="1" x14ac:dyDescent="0.25">
      <c r="A661" s="354">
        <v>1</v>
      </c>
      <c r="B661" s="354">
        <v>0</v>
      </c>
      <c r="C661" s="354">
        <v>1</v>
      </c>
      <c r="D661" s="354">
        <v>1</v>
      </c>
      <c r="E661" s="354">
        <v>0</v>
      </c>
      <c r="F661" s="354">
        <v>1</v>
      </c>
      <c r="G661" s="354">
        <v>1</v>
      </c>
      <c r="H661" s="354">
        <v>0</v>
      </c>
      <c r="I661" s="354">
        <v>1</v>
      </c>
      <c r="J661" s="354">
        <v>1</v>
      </c>
      <c r="K661" s="354">
        <v>0</v>
      </c>
      <c r="L661" s="354">
        <v>0</v>
      </c>
      <c r="M661" s="355">
        <v>4</v>
      </c>
      <c r="N661" s="355">
        <v>3</v>
      </c>
    </row>
    <row r="662" spans="1:14" hidden="1" x14ac:dyDescent="0.25">
      <c r="A662" s="354">
        <v>0</v>
      </c>
      <c r="B662" s="354">
        <v>1</v>
      </c>
      <c r="C662" s="354">
        <v>1</v>
      </c>
      <c r="D662" s="354">
        <v>0</v>
      </c>
      <c r="E662" s="354">
        <v>0</v>
      </c>
      <c r="F662" s="354">
        <v>2</v>
      </c>
      <c r="G662" s="354">
        <v>1</v>
      </c>
      <c r="H662" s="354">
        <v>0</v>
      </c>
      <c r="I662" s="354">
        <v>2</v>
      </c>
      <c r="J662" s="354">
        <v>2</v>
      </c>
      <c r="K662" s="354">
        <v>0</v>
      </c>
      <c r="L662" s="354">
        <v>1</v>
      </c>
      <c r="M662" s="355">
        <v>4</v>
      </c>
      <c r="N662" s="355">
        <v>6</v>
      </c>
    </row>
    <row r="663" spans="1:14" hidden="1" x14ac:dyDescent="0.25">
      <c r="A663" s="354">
        <v>1</v>
      </c>
      <c r="B663" s="354">
        <v>0</v>
      </c>
      <c r="C663" s="354">
        <v>2</v>
      </c>
      <c r="D663" s="354">
        <v>0</v>
      </c>
      <c r="E663" s="354">
        <v>2</v>
      </c>
      <c r="F663" s="354">
        <v>2</v>
      </c>
      <c r="G663" s="354">
        <v>1</v>
      </c>
      <c r="H663" s="354">
        <v>1</v>
      </c>
      <c r="I663" s="354">
        <v>3</v>
      </c>
      <c r="J663" s="354">
        <v>1</v>
      </c>
      <c r="K663" s="354">
        <v>0</v>
      </c>
      <c r="L663" s="354">
        <v>0</v>
      </c>
      <c r="M663" s="355">
        <v>9</v>
      </c>
      <c r="N663" s="355">
        <v>4</v>
      </c>
    </row>
    <row r="664" spans="1:14" hidden="1" x14ac:dyDescent="0.25">
      <c r="A664" s="354">
        <v>1</v>
      </c>
      <c r="B664" s="354">
        <v>0</v>
      </c>
      <c r="C664" s="354">
        <v>0</v>
      </c>
      <c r="D664" s="354">
        <v>0</v>
      </c>
      <c r="E664" s="354">
        <v>0</v>
      </c>
      <c r="F664" s="354">
        <v>0</v>
      </c>
      <c r="G664" s="354">
        <v>0</v>
      </c>
      <c r="H664" s="354">
        <v>0</v>
      </c>
      <c r="I664" s="354">
        <v>1</v>
      </c>
      <c r="J664" s="354">
        <v>1</v>
      </c>
      <c r="K664" s="354">
        <v>0</v>
      </c>
      <c r="L664" s="354">
        <v>0</v>
      </c>
      <c r="M664" s="355">
        <v>2</v>
      </c>
      <c r="N664" s="355">
        <v>1</v>
      </c>
    </row>
    <row r="665" spans="1:14" hidden="1" x14ac:dyDescent="0.25">
      <c r="A665" s="354">
        <v>1</v>
      </c>
      <c r="B665" s="354">
        <v>0</v>
      </c>
      <c r="C665" s="354">
        <v>1</v>
      </c>
      <c r="D665" s="354">
        <v>0</v>
      </c>
      <c r="E665" s="354">
        <v>2</v>
      </c>
      <c r="F665" s="354">
        <v>1</v>
      </c>
      <c r="G665" s="354">
        <v>2</v>
      </c>
      <c r="H665" s="354">
        <v>0</v>
      </c>
      <c r="I665" s="354">
        <v>2</v>
      </c>
      <c r="J665" s="354">
        <v>1</v>
      </c>
      <c r="K665" s="354">
        <v>0</v>
      </c>
      <c r="L665" s="354">
        <v>0</v>
      </c>
      <c r="M665" s="355">
        <v>8</v>
      </c>
      <c r="N665" s="355">
        <v>2</v>
      </c>
    </row>
    <row r="666" spans="1:14" hidden="1" x14ac:dyDescent="0.25">
      <c r="A666" s="354">
        <v>1</v>
      </c>
      <c r="B666" s="354">
        <v>1</v>
      </c>
      <c r="C666" s="354">
        <v>0</v>
      </c>
      <c r="D666" s="354">
        <v>1</v>
      </c>
      <c r="E666" s="354">
        <v>2</v>
      </c>
      <c r="F666" s="354">
        <v>0</v>
      </c>
      <c r="G666" s="354">
        <v>1</v>
      </c>
      <c r="H666" s="354">
        <v>1</v>
      </c>
      <c r="I666" s="354">
        <v>3</v>
      </c>
      <c r="J666" s="354">
        <v>1</v>
      </c>
      <c r="K666" s="354">
        <v>1</v>
      </c>
      <c r="L666" s="354">
        <v>0</v>
      </c>
      <c r="M666" s="355">
        <v>8</v>
      </c>
      <c r="N666" s="355">
        <v>4</v>
      </c>
    </row>
    <row r="667" spans="1:14" hidden="1" x14ac:dyDescent="0.25">
      <c r="A667" s="354">
        <v>6</v>
      </c>
      <c r="B667" s="354">
        <v>1</v>
      </c>
      <c r="C667" s="354">
        <v>1</v>
      </c>
      <c r="D667" s="354">
        <v>2</v>
      </c>
      <c r="E667" s="354">
        <v>1</v>
      </c>
      <c r="F667" s="354">
        <v>0</v>
      </c>
      <c r="G667" s="354">
        <v>0</v>
      </c>
      <c r="H667" s="354">
        <v>0</v>
      </c>
      <c r="I667" s="354">
        <v>1</v>
      </c>
      <c r="J667" s="354">
        <v>2</v>
      </c>
      <c r="K667" s="354">
        <v>0</v>
      </c>
      <c r="L667" s="354">
        <v>0</v>
      </c>
      <c r="M667" s="355">
        <v>9</v>
      </c>
      <c r="N667" s="355">
        <v>5</v>
      </c>
    </row>
    <row r="668" spans="1:14" hidden="1" x14ac:dyDescent="0.25">
      <c r="A668" s="354">
        <v>0</v>
      </c>
      <c r="B668" s="354">
        <v>1</v>
      </c>
      <c r="C668" s="354">
        <v>1</v>
      </c>
      <c r="D668" s="354">
        <v>2</v>
      </c>
      <c r="E668" s="354">
        <v>2</v>
      </c>
      <c r="F668" s="354">
        <v>0</v>
      </c>
      <c r="G668" s="354">
        <v>0</v>
      </c>
      <c r="H668" s="354">
        <v>0</v>
      </c>
      <c r="I668" s="354">
        <v>1</v>
      </c>
      <c r="J668" s="354">
        <v>1</v>
      </c>
      <c r="K668" s="354">
        <v>0</v>
      </c>
      <c r="L668" s="354">
        <v>0</v>
      </c>
      <c r="M668" s="355">
        <v>4</v>
      </c>
      <c r="N668" s="355">
        <v>4</v>
      </c>
    </row>
    <row r="669" spans="1:14" hidden="1" x14ac:dyDescent="0.25">
      <c r="A669" s="354">
        <v>1</v>
      </c>
      <c r="B669" s="354"/>
      <c r="C669" s="354">
        <v>0</v>
      </c>
      <c r="D669" s="354">
        <v>2</v>
      </c>
      <c r="E669" s="354">
        <v>3</v>
      </c>
      <c r="F669" s="354">
        <v>0</v>
      </c>
      <c r="G669" s="354">
        <v>0</v>
      </c>
      <c r="H669" s="354">
        <v>0</v>
      </c>
      <c r="I669" s="354">
        <v>1</v>
      </c>
      <c r="J669" s="354">
        <v>1</v>
      </c>
      <c r="K669" s="354">
        <v>0</v>
      </c>
      <c r="L669" s="354">
        <v>0</v>
      </c>
      <c r="M669" s="355">
        <v>5</v>
      </c>
      <c r="N669" s="355">
        <v>3</v>
      </c>
    </row>
    <row r="670" spans="1:14" hidden="1" x14ac:dyDescent="0.25">
      <c r="A670" s="354">
        <v>0</v>
      </c>
      <c r="B670" s="354">
        <v>0</v>
      </c>
      <c r="C670" s="354">
        <v>1</v>
      </c>
      <c r="D670" s="354">
        <v>1</v>
      </c>
      <c r="E670" s="354">
        <v>3</v>
      </c>
      <c r="F670" s="354">
        <v>1</v>
      </c>
      <c r="G670" s="354">
        <v>1</v>
      </c>
      <c r="H670" s="354">
        <v>2</v>
      </c>
      <c r="I670" s="354">
        <v>1</v>
      </c>
      <c r="J670" s="354">
        <v>1</v>
      </c>
      <c r="K670" s="354">
        <v>0</v>
      </c>
      <c r="L670" s="354">
        <v>0</v>
      </c>
      <c r="M670" s="355">
        <v>6</v>
      </c>
      <c r="N670" s="355">
        <v>5</v>
      </c>
    </row>
    <row r="671" spans="1:14" hidden="1" x14ac:dyDescent="0.25">
      <c r="A671" s="354">
        <v>1</v>
      </c>
      <c r="B671" s="354">
        <v>1</v>
      </c>
      <c r="C671" s="354">
        <v>1</v>
      </c>
      <c r="D671" s="354">
        <v>0</v>
      </c>
      <c r="E671" s="354">
        <v>6</v>
      </c>
      <c r="F671" s="354">
        <v>0</v>
      </c>
      <c r="G671" s="354">
        <v>0</v>
      </c>
      <c r="H671" s="354">
        <v>0</v>
      </c>
      <c r="I671" s="354">
        <v>1</v>
      </c>
      <c r="J671" s="354">
        <v>2</v>
      </c>
      <c r="K671" s="354">
        <v>0</v>
      </c>
      <c r="L671" s="354">
        <v>0</v>
      </c>
      <c r="M671" s="355">
        <v>9</v>
      </c>
      <c r="N671" s="355">
        <v>3</v>
      </c>
    </row>
    <row r="672" spans="1:14" hidden="1" x14ac:dyDescent="0.25">
      <c r="A672" s="354">
        <v>2</v>
      </c>
      <c r="B672" s="354">
        <v>0</v>
      </c>
      <c r="C672" s="354">
        <v>1</v>
      </c>
      <c r="D672" s="354">
        <v>0</v>
      </c>
      <c r="E672" s="354">
        <v>2</v>
      </c>
      <c r="F672" s="354">
        <v>3</v>
      </c>
      <c r="G672" s="354">
        <v>1</v>
      </c>
      <c r="H672" s="354">
        <v>2</v>
      </c>
      <c r="I672" s="354">
        <v>1</v>
      </c>
      <c r="J672" s="354">
        <v>1</v>
      </c>
      <c r="K672" s="354">
        <v>0</v>
      </c>
      <c r="L672" s="354">
        <v>0</v>
      </c>
      <c r="M672" s="355">
        <v>7</v>
      </c>
      <c r="N672" s="355">
        <v>6</v>
      </c>
    </row>
    <row r="673" spans="1:14" hidden="1" x14ac:dyDescent="0.25">
      <c r="A673" s="354">
        <v>2</v>
      </c>
      <c r="B673" s="354">
        <v>1</v>
      </c>
      <c r="C673" s="354">
        <v>0</v>
      </c>
      <c r="D673" s="354">
        <v>1</v>
      </c>
      <c r="E673" s="354">
        <v>3</v>
      </c>
      <c r="F673" s="354">
        <v>1</v>
      </c>
      <c r="G673" s="354">
        <v>2</v>
      </c>
      <c r="H673" s="354">
        <v>1</v>
      </c>
      <c r="I673" s="354">
        <v>1</v>
      </c>
      <c r="J673" s="354">
        <v>2</v>
      </c>
      <c r="K673" s="354">
        <v>0</v>
      </c>
      <c r="L673" s="354">
        <v>0</v>
      </c>
      <c r="M673" s="355">
        <v>8</v>
      </c>
      <c r="N673" s="355">
        <v>6</v>
      </c>
    </row>
    <row r="674" spans="1:14" hidden="1" x14ac:dyDescent="0.25">
      <c r="A674" s="354">
        <v>0</v>
      </c>
      <c r="B674" s="354">
        <v>1</v>
      </c>
      <c r="C674" s="354">
        <v>0</v>
      </c>
      <c r="D674" s="354">
        <v>1</v>
      </c>
      <c r="E674" s="354">
        <v>0</v>
      </c>
      <c r="F674" s="354">
        <v>1</v>
      </c>
      <c r="G674" s="354">
        <v>0</v>
      </c>
      <c r="H674" s="354">
        <v>0</v>
      </c>
      <c r="I674" s="354">
        <v>1</v>
      </c>
      <c r="J674" s="354">
        <v>1</v>
      </c>
      <c r="K674" s="354">
        <v>0</v>
      </c>
      <c r="L674" s="354">
        <v>0</v>
      </c>
      <c r="M674" s="355">
        <v>1</v>
      </c>
      <c r="N674" s="355">
        <v>4</v>
      </c>
    </row>
    <row r="675" spans="1:14" hidden="1" x14ac:dyDescent="0.25">
      <c r="A675" s="354">
        <v>1</v>
      </c>
      <c r="B675" s="354">
        <v>0</v>
      </c>
      <c r="C675" s="354">
        <v>0</v>
      </c>
      <c r="D675" s="354">
        <v>1</v>
      </c>
      <c r="E675" s="354">
        <v>1</v>
      </c>
      <c r="F675" s="354">
        <v>0</v>
      </c>
      <c r="G675" s="354">
        <v>0</v>
      </c>
      <c r="H675" s="354">
        <v>0</v>
      </c>
      <c r="I675" s="354">
        <v>1</v>
      </c>
      <c r="J675" s="354">
        <v>1</v>
      </c>
      <c r="K675" s="354">
        <v>0</v>
      </c>
      <c r="L675" s="354">
        <v>0</v>
      </c>
      <c r="M675" s="355">
        <v>3</v>
      </c>
      <c r="N675" s="355">
        <v>2</v>
      </c>
    </row>
    <row r="676" spans="1:14" hidden="1" x14ac:dyDescent="0.25">
      <c r="A676" s="354">
        <v>0</v>
      </c>
      <c r="B676" s="354">
        <v>1</v>
      </c>
      <c r="C676" s="354">
        <v>0</v>
      </c>
      <c r="D676" s="354">
        <v>1</v>
      </c>
      <c r="E676" s="354">
        <v>0</v>
      </c>
      <c r="F676" s="354">
        <v>0</v>
      </c>
      <c r="G676" s="354">
        <v>1</v>
      </c>
      <c r="H676" s="354">
        <v>0</v>
      </c>
      <c r="I676" s="354">
        <v>1</v>
      </c>
      <c r="J676" s="354">
        <v>1</v>
      </c>
      <c r="K676" s="354">
        <v>0</v>
      </c>
      <c r="L676" s="354">
        <v>0</v>
      </c>
      <c r="M676" s="355">
        <v>2</v>
      </c>
      <c r="N676" s="355">
        <v>3</v>
      </c>
    </row>
    <row r="677" spans="1:14" hidden="1" x14ac:dyDescent="0.25">
      <c r="A677" s="354">
        <v>1</v>
      </c>
      <c r="B677" s="354">
        <v>0</v>
      </c>
      <c r="C677" s="354">
        <v>0</v>
      </c>
      <c r="D677" s="354">
        <v>1</v>
      </c>
      <c r="E677" s="354">
        <v>1</v>
      </c>
      <c r="F677" s="354">
        <v>0</v>
      </c>
      <c r="G677" s="354">
        <v>1</v>
      </c>
      <c r="H677" s="354">
        <v>0</v>
      </c>
      <c r="I677" s="354">
        <v>1</v>
      </c>
      <c r="J677" s="354">
        <v>2</v>
      </c>
      <c r="K677" s="354">
        <v>0</v>
      </c>
      <c r="L677" s="354">
        <v>0</v>
      </c>
      <c r="M677" s="355">
        <v>4</v>
      </c>
      <c r="N677" s="355">
        <v>3</v>
      </c>
    </row>
    <row r="678" spans="1:14" hidden="1" x14ac:dyDescent="0.25">
      <c r="A678" s="354">
        <v>1</v>
      </c>
      <c r="B678" s="354">
        <v>0</v>
      </c>
      <c r="C678" s="354">
        <v>1</v>
      </c>
      <c r="D678" s="354">
        <v>1</v>
      </c>
      <c r="E678" s="354">
        <v>0</v>
      </c>
      <c r="F678" s="354">
        <v>0</v>
      </c>
      <c r="G678" s="354">
        <v>0</v>
      </c>
      <c r="H678" s="354">
        <v>1</v>
      </c>
      <c r="I678" s="354">
        <v>1</v>
      </c>
      <c r="J678" s="354">
        <v>1</v>
      </c>
      <c r="K678" s="354">
        <v>0</v>
      </c>
      <c r="L678" s="354">
        <v>1</v>
      </c>
      <c r="M678" s="355">
        <v>3</v>
      </c>
      <c r="N678" s="355">
        <v>4</v>
      </c>
    </row>
    <row r="679" spans="1:14" hidden="1" x14ac:dyDescent="0.25">
      <c r="A679" s="354">
        <v>0</v>
      </c>
      <c r="B679" s="354">
        <v>1</v>
      </c>
      <c r="C679" s="354">
        <v>1</v>
      </c>
      <c r="D679" s="354">
        <v>0</v>
      </c>
      <c r="E679" s="354">
        <v>0</v>
      </c>
      <c r="F679" s="354">
        <v>1</v>
      </c>
      <c r="G679" s="354">
        <v>1</v>
      </c>
      <c r="H679" s="354">
        <v>0</v>
      </c>
      <c r="I679" s="354">
        <v>1</v>
      </c>
      <c r="J679" s="354">
        <v>1</v>
      </c>
      <c r="K679" s="354">
        <v>0</v>
      </c>
      <c r="L679" s="354">
        <v>0</v>
      </c>
      <c r="M679" s="355">
        <v>3</v>
      </c>
      <c r="N679" s="355">
        <v>3</v>
      </c>
    </row>
    <row r="680" spans="1:14" hidden="1" x14ac:dyDescent="0.25">
      <c r="A680" s="354">
        <v>0</v>
      </c>
      <c r="B680" s="354">
        <v>1</v>
      </c>
      <c r="C680" s="354">
        <v>1</v>
      </c>
      <c r="D680" s="354">
        <v>1</v>
      </c>
      <c r="E680" s="354">
        <v>0</v>
      </c>
      <c r="F680" s="354">
        <v>1</v>
      </c>
      <c r="G680" s="354">
        <v>0</v>
      </c>
      <c r="H680" s="354">
        <v>0</v>
      </c>
      <c r="I680" s="354">
        <v>1</v>
      </c>
      <c r="J680" s="354">
        <v>1</v>
      </c>
      <c r="K680" s="354">
        <v>0</v>
      </c>
      <c r="L680" s="354">
        <v>0</v>
      </c>
      <c r="M680" s="355">
        <v>2</v>
      </c>
      <c r="N680" s="355">
        <v>4</v>
      </c>
    </row>
    <row r="681" spans="1:14" hidden="1" x14ac:dyDescent="0.25">
      <c r="A681" s="354">
        <v>1</v>
      </c>
      <c r="B681" s="354">
        <v>0</v>
      </c>
      <c r="C681" s="354">
        <v>1</v>
      </c>
      <c r="D681" s="354">
        <v>0</v>
      </c>
      <c r="E681" s="354">
        <v>1</v>
      </c>
      <c r="F681" s="354">
        <v>0</v>
      </c>
      <c r="G681" s="354">
        <v>1</v>
      </c>
      <c r="H681" s="354">
        <v>0</v>
      </c>
      <c r="I681" s="354">
        <v>1</v>
      </c>
      <c r="J681" s="354">
        <v>1</v>
      </c>
      <c r="K681" s="354">
        <v>0</v>
      </c>
      <c r="L681" s="354">
        <v>0</v>
      </c>
      <c r="M681" s="355">
        <v>5</v>
      </c>
      <c r="N681" s="355">
        <v>1</v>
      </c>
    </row>
    <row r="682" spans="1:14" hidden="1" x14ac:dyDescent="0.25">
      <c r="A682" s="354">
        <v>0</v>
      </c>
      <c r="B682" s="354">
        <v>0</v>
      </c>
      <c r="C682" s="354">
        <v>1</v>
      </c>
      <c r="D682" s="354">
        <v>0</v>
      </c>
      <c r="E682" s="354">
        <v>1</v>
      </c>
      <c r="F682" s="354">
        <v>1</v>
      </c>
      <c r="G682" s="354">
        <v>0</v>
      </c>
      <c r="H682" s="354">
        <v>1</v>
      </c>
      <c r="I682" s="354">
        <v>1</v>
      </c>
      <c r="J682" s="354">
        <v>1</v>
      </c>
      <c r="K682" s="354">
        <v>1</v>
      </c>
      <c r="L682" s="354">
        <v>0</v>
      </c>
      <c r="M682" s="355">
        <v>4</v>
      </c>
      <c r="N682" s="355">
        <v>3</v>
      </c>
    </row>
    <row r="683" spans="1:14" hidden="1" x14ac:dyDescent="0.25">
      <c r="A683" s="354">
        <v>0</v>
      </c>
      <c r="B683" s="354">
        <v>1</v>
      </c>
      <c r="C683" s="354">
        <v>1</v>
      </c>
      <c r="D683" s="354">
        <v>1</v>
      </c>
      <c r="E683" s="354">
        <v>0</v>
      </c>
      <c r="F683" s="354">
        <v>1</v>
      </c>
      <c r="G683" s="354">
        <v>0</v>
      </c>
      <c r="H683" s="354">
        <v>0</v>
      </c>
      <c r="I683" s="354">
        <v>1</v>
      </c>
      <c r="J683" s="354">
        <v>1</v>
      </c>
      <c r="K683" s="354">
        <v>0</v>
      </c>
      <c r="L683" s="354">
        <v>0</v>
      </c>
      <c r="M683" s="355">
        <v>2</v>
      </c>
      <c r="N683" s="355">
        <v>4</v>
      </c>
    </row>
    <row r="684" spans="1:14" hidden="1" x14ac:dyDescent="0.25">
      <c r="A684" s="354">
        <v>0</v>
      </c>
      <c r="B684" s="354">
        <v>1</v>
      </c>
      <c r="C684" s="354">
        <v>1</v>
      </c>
      <c r="D684" s="354">
        <v>0</v>
      </c>
      <c r="E684" s="354">
        <v>1</v>
      </c>
      <c r="F684" s="354">
        <v>0</v>
      </c>
      <c r="G684" s="354">
        <v>1</v>
      </c>
      <c r="H684" s="354">
        <v>0</v>
      </c>
      <c r="I684" s="354">
        <v>1</v>
      </c>
      <c r="J684" s="354">
        <v>1</v>
      </c>
      <c r="K684" s="354">
        <v>0</v>
      </c>
      <c r="L684" s="354">
        <v>1</v>
      </c>
      <c r="M684" s="355">
        <v>4</v>
      </c>
      <c r="N684" s="355">
        <v>3</v>
      </c>
    </row>
    <row r="685" spans="1:14" hidden="1" x14ac:dyDescent="0.25">
      <c r="A685" s="354">
        <v>1</v>
      </c>
      <c r="B685" s="354">
        <v>0</v>
      </c>
      <c r="C685" s="354">
        <v>1</v>
      </c>
      <c r="D685" s="354">
        <v>1</v>
      </c>
      <c r="E685" s="354">
        <v>0</v>
      </c>
      <c r="F685" s="354">
        <v>0</v>
      </c>
      <c r="G685" s="354">
        <v>0</v>
      </c>
      <c r="H685" s="354">
        <v>1</v>
      </c>
      <c r="I685" s="354">
        <v>1</v>
      </c>
      <c r="J685" s="354">
        <v>1</v>
      </c>
      <c r="K685" s="354">
        <v>0</v>
      </c>
      <c r="L685" s="354">
        <v>0</v>
      </c>
      <c r="M685" s="355">
        <v>3</v>
      </c>
      <c r="N685" s="355">
        <v>3</v>
      </c>
    </row>
    <row r="686" spans="1:14" hidden="1" x14ac:dyDescent="0.25">
      <c r="A686" s="354">
        <v>1</v>
      </c>
      <c r="B686" s="354">
        <v>1</v>
      </c>
      <c r="C686" s="354">
        <v>0</v>
      </c>
      <c r="D686" s="354">
        <v>1</v>
      </c>
      <c r="E686" s="354">
        <v>1</v>
      </c>
      <c r="F686" s="354">
        <v>1</v>
      </c>
      <c r="G686" s="354">
        <v>0</v>
      </c>
      <c r="H686" s="354">
        <v>0</v>
      </c>
      <c r="I686" s="354">
        <v>1</v>
      </c>
      <c r="J686" s="354">
        <v>1</v>
      </c>
      <c r="K686" s="354">
        <v>0</v>
      </c>
      <c r="L686" s="354">
        <v>0</v>
      </c>
      <c r="M686" s="355">
        <v>3</v>
      </c>
      <c r="N686" s="355">
        <v>4</v>
      </c>
    </row>
    <row r="687" spans="1:14" hidden="1" x14ac:dyDescent="0.25">
      <c r="A687" s="354">
        <v>0</v>
      </c>
      <c r="B687" s="354">
        <v>0</v>
      </c>
      <c r="C687" s="354">
        <v>0</v>
      </c>
      <c r="D687" s="354">
        <v>0</v>
      </c>
      <c r="E687" s="354">
        <v>4</v>
      </c>
      <c r="F687" s="354">
        <v>0</v>
      </c>
      <c r="G687" s="354">
        <v>2</v>
      </c>
      <c r="H687" s="354">
        <v>2</v>
      </c>
      <c r="I687" s="354">
        <v>3</v>
      </c>
      <c r="J687" s="354">
        <v>1</v>
      </c>
      <c r="K687" s="354">
        <v>0</v>
      </c>
      <c r="L687" s="354">
        <v>0</v>
      </c>
      <c r="M687" s="355">
        <v>9</v>
      </c>
      <c r="N687" s="355">
        <v>3</v>
      </c>
    </row>
    <row r="688" spans="1:14" hidden="1" x14ac:dyDescent="0.25">
      <c r="A688" s="354">
        <v>1</v>
      </c>
      <c r="B688" s="354">
        <v>0</v>
      </c>
      <c r="C688" s="354">
        <v>1</v>
      </c>
      <c r="D688" s="354">
        <v>1</v>
      </c>
      <c r="E688" s="354">
        <v>2</v>
      </c>
      <c r="F688" s="354">
        <v>0</v>
      </c>
      <c r="G688" s="354">
        <v>0</v>
      </c>
      <c r="H688" s="354">
        <v>0</v>
      </c>
      <c r="I688" s="354">
        <v>1</v>
      </c>
      <c r="J688" s="354">
        <v>1</v>
      </c>
      <c r="K688" s="354">
        <v>0</v>
      </c>
      <c r="L688" s="354">
        <v>0</v>
      </c>
      <c r="M688" s="355">
        <v>5</v>
      </c>
      <c r="N688" s="355">
        <v>2</v>
      </c>
    </row>
    <row r="689" spans="1:14" hidden="1" x14ac:dyDescent="0.25">
      <c r="A689" s="354">
        <v>0</v>
      </c>
      <c r="B689" s="354">
        <v>0</v>
      </c>
      <c r="C689" s="354">
        <v>1</v>
      </c>
      <c r="D689" s="354">
        <v>0</v>
      </c>
      <c r="E689" s="354">
        <v>1</v>
      </c>
      <c r="F689" s="354">
        <v>1</v>
      </c>
      <c r="G689" s="354">
        <v>2</v>
      </c>
      <c r="H689" s="354">
        <v>0</v>
      </c>
      <c r="I689" s="354">
        <v>1</v>
      </c>
      <c r="J689" s="354">
        <v>1</v>
      </c>
      <c r="K689" s="354">
        <v>0</v>
      </c>
      <c r="L689" s="354">
        <v>0</v>
      </c>
      <c r="M689" s="355">
        <v>5</v>
      </c>
      <c r="N689" s="355">
        <v>2</v>
      </c>
    </row>
    <row r="690" spans="1:14" hidden="1" x14ac:dyDescent="0.25">
      <c r="A690" s="354">
        <v>0</v>
      </c>
      <c r="B690" s="354">
        <v>0</v>
      </c>
      <c r="C690" s="354">
        <v>1</v>
      </c>
      <c r="D690" s="354">
        <v>0</v>
      </c>
      <c r="E690" s="354">
        <v>3</v>
      </c>
      <c r="F690" s="354">
        <v>0</v>
      </c>
      <c r="G690" s="354">
        <v>2</v>
      </c>
      <c r="H690" s="354">
        <v>3</v>
      </c>
      <c r="I690" s="354">
        <v>1</v>
      </c>
      <c r="J690" s="354">
        <v>1</v>
      </c>
      <c r="K690" s="354">
        <v>0</v>
      </c>
      <c r="L690" s="354">
        <v>0</v>
      </c>
      <c r="M690" s="355">
        <v>7</v>
      </c>
      <c r="N690" s="355">
        <v>4</v>
      </c>
    </row>
    <row r="691" spans="1:14" hidden="1" x14ac:dyDescent="0.25">
      <c r="A691" s="354">
        <v>0</v>
      </c>
      <c r="B691" s="354">
        <v>0</v>
      </c>
      <c r="C691" s="354">
        <v>0</v>
      </c>
      <c r="D691" s="354">
        <v>0</v>
      </c>
      <c r="E691" s="354">
        <v>0</v>
      </c>
      <c r="F691" s="354">
        <v>0</v>
      </c>
      <c r="G691" s="354">
        <v>0</v>
      </c>
      <c r="H691" s="354">
        <v>0</v>
      </c>
      <c r="I691" s="354">
        <v>0</v>
      </c>
      <c r="J691" s="354">
        <v>0</v>
      </c>
      <c r="K691" s="354">
        <v>1</v>
      </c>
      <c r="L691" s="354">
        <v>0</v>
      </c>
      <c r="M691" s="355">
        <v>1</v>
      </c>
      <c r="N691" s="355">
        <v>0</v>
      </c>
    </row>
    <row r="692" spans="1:14" hidden="1" x14ac:dyDescent="0.25">
      <c r="A692" s="354">
        <v>0</v>
      </c>
      <c r="B692" s="354">
        <v>0</v>
      </c>
      <c r="C692" s="354">
        <v>0</v>
      </c>
      <c r="D692" s="354">
        <v>1</v>
      </c>
      <c r="E692" s="354">
        <v>1</v>
      </c>
      <c r="F692" s="354">
        <v>0</v>
      </c>
      <c r="G692" s="354">
        <v>0</v>
      </c>
      <c r="H692" s="354">
        <v>0</v>
      </c>
      <c r="I692" s="354">
        <v>1</v>
      </c>
      <c r="J692" s="354">
        <v>0</v>
      </c>
      <c r="K692" s="354">
        <v>0</v>
      </c>
      <c r="L692" s="354">
        <v>0</v>
      </c>
      <c r="M692" s="355">
        <v>2</v>
      </c>
      <c r="N692" s="355">
        <v>1</v>
      </c>
    </row>
    <row r="693" spans="1:14" hidden="1" x14ac:dyDescent="0.25">
      <c r="A693" s="354">
        <v>0</v>
      </c>
      <c r="B693" s="354">
        <v>0</v>
      </c>
      <c r="C693" s="354">
        <v>0</v>
      </c>
      <c r="D693" s="354">
        <v>1</v>
      </c>
      <c r="E693" s="354">
        <v>2</v>
      </c>
      <c r="F693" s="354">
        <v>0</v>
      </c>
      <c r="G693" s="354">
        <v>1</v>
      </c>
      <c r="H693" s="354">
        <v>1</v>
      </c>
      <c r="I693" s="354">
        <v>0</v>
      </c>
      <c r="J693" s="354">
        <v>2</v>
      </c>
      <c r="K693" s="354">
        <v>1</v>
      </c>
      <c r="L693" s="354">
        <v>0</v>
      </c>
      <c r="M693" s="355">
        <v>4</v>
      </c>
      <c r="N693" s="355">
        <v>4</v>
      </c>
    </row>
    <row r="694" spans="1:14" hidden="1" x14ac:dyDescent="0.25">
      <c r="A694" s="354">
        <v>0</v>
      </c>
      <c r="B694" s="354">
        <v>1</v>
      </c>
      <c r="C694" s="354">
        <v>0</v>
      </c>
      <c r="D694" s="354"/>
      <c r="E694" s="354">
        <v>0</v>
      </c>
      <c r="F694" s="354">
        <v>0</v>
      </c>
      <c r="G694" s="354">
        <v>0</v>
      </c>
      <c r="H694" s="354">
        <v>0</v>
      </c>
      <c r="I694" s="354">
        <v>1</v>
      </c>
      <c r="J694" s="354">
        <v>1</v>
      </c>
      <c r="K694" s="354">
        <v>0</v>
      </c>
      <c r="L694" s="354">
        <v>0</v>
      </c>
      <c r="M694" s="355">
        <v>1</v>
      </c>
      <c r="N694" s="355">
        <v>2</v>
      </c>
    </row>
    <row r="695" spans="1:14" hidden="1" x14ac:dyDescent="0.25">
      <c r="A695" s="354">
        <v>0</v>
      </c>
      <c r="B695" s="354">
        <v>1</v>
      </c>
      <c r="C695" s="354">
        <v>0</v>
      </c>
      <c r="D695" s="354">
        <v>0</v>
      </c>
      <c r="E695" s="354">
        <v>1</v>
      </c>
      <c r="F695" s="354">
        <v>1</v>
      </c>
      <c r="G695" s="354">
        <v>0</v>
      </c>
      <c r="H695" s="354">
        <v>0</v>
      </c>
      <c r="I695" s="354">
        <v>1</v>
      </c>
      <c r="J695" s="354">
        <v>1</v>
      </c>
      <c r="K695" s="354">
        <v>0</v>
      </c>
      <c r="L695" s="354">
        <v>0</v>
      </c>
      <c r="M695" s="355">
        <v>2</v>
      </c>
      <c r="N695" s="355">
        <v>3</v>
      </c>
    </row>
    <row r="696" spans="1:14" hidden="1" x14ac:dyDescent="0.25">
      <c r="A696" s="354">
        <v>0</v>
      </c>
      <c r="B696" s="354">
        <v>0</v>
      </c>
      <c r="C696" s="354">
        <v>0</v>
      </c>
      <c r="D696" s="354">
        <v>0</v>
      </c>
      <c r="E696" s="354">
        <v>0</v>
      </c>
      <c r="F696" s="354">
        <v>0</v>
      </c>
      <c r="G696" s="354">
        <v>0</v>
      </c>
      <c r="H696" s="354">
        <v>0</v>
      </c>
      <c r="I696" s="354">
        <v>0</v>
      </c>
      <c r="J696" s="354">
        <v>0</v>
      </c>
      <c r="K696" s="354">
        <v>0</v>
      </c>
      <c r="L696" s="354">
        <v>1</v>
      </c>
      <c r="M696" s="355">
        <v>0</v>
      </c>
      <c r="N696" s="355">
        <v>1</v>
      </c>
    </row>
    <row r="697" spans="1:14" hidden="1" x14ac:dyDescent="0.25">
      <c r="A697" s="354">
        <v>0</v>
      </c>
      <c r="B697" s="354">
        <v>0</v>
      </c>
      <c r="C697" s="354">
        <v>1</v>
      </c>
      <c r="D697" s="354">
        <v>0</v>
      </c>
      <c r="E697" s="354">
        <v>0</v>
      </c>
      <c r="F697" s="354">
        <v>2</v>
      </c>
      <c r="G697" s="354">
        <v>1</v>
      </c>
      <c r="H697" s="354">
        <v>2</v>
      </c>
      <c r="I697" s="354">
        <v>2</v>
      </c>
      <c r="J697" s="354">
        <v>1</v>
      </c>
      <c r="K697" s="354">
        <v>0</v>
      </c>
      <c r="L697" s="354">
        <v>0</v>
      </c>
      <c r="M697" s="355">
        <v>4</v>
      </c>
      <c r="N697" s="355">
        <v>5</v>
      </c>
    </row>
    <row r="698" spans="1:14" hidden="1" x14ac:dyDescent="0.25">
      <c r="A698" s="354">
        <v>0</v>
      </c>
      <c r="B698" s="354">
        <v>1</v>
      </c>
      <c r="C698" s="354">
        <v>1</v>
      </c>
      <c r="D698" s="354">
        <v>0</v>
      </c>
      <c r="E698" s="354">
        <v>0</v>
      </c>
      <c r="F698" s="354"/>
      <c r="G698" s="354">
        <v>0</v>
      </c>
      <c r="H698" s="354">
        <v>0</v>
      </c>
      <c r="I698" s="354">
        <v>1</v>
      </c>
      <c r="J698" s="354">
        <v>1</v>
      </c>
      <c r="K698" s="354">
        <v>0</v>
      </c>
      <c r="L698" s="354">
        <v>0</v>
      </c>
      <c r="M698" s="355">
        <v>2</v>
      </c>
      <c r="N698" s="355">
        <v>2</v>
      </c>
    </row>
    <row r="699" spans="1:14" hidden="1" x14ac:dyDescent="0.25">
      <c r="A699" s="354">
        <v>0</v>
      </c>
      <c r="B699" s="354">
        <v>0</v>
      </c>
      <c r="C699" s="354">
        <v>1</v>
      </c>
      <c r="D699" s="354">
        <v>2</v>
      </c>
      <c r="E699" s="354">
        <v>0</v>
      </c>
      <c r="F699" s="354">
        <v>0</v>
      </c>
      <c r="G699" s="354">
        <v>0</v>
      </c>
      <c r="H699" s="354">
        <v>0</v>
      </c>
      <c r="I699" s="354">
        <v>1</v>
      </c>
      <c r="J699" s="354">
        <v>1</v>
      </c>
      <c r="K699" s="354">
        <v>0</v>
      </c>
      <c r="L699" s="354">
        <v>0</v>
      </c>
      <c r="M699" s="355">
        <v>2</v>
      </c>
      <c r="N699" s="355">
        <v>3</v>
      </c>
    </row>
    <row r="700" spans="1:14" hidden="1" x14ac:dyDescent="0.25">
      <c r="A700" s="354">
        <v>0</v>
      </c>
      <c r="B700" s="354">
        <v>0</v>
      </c>
      <c r="C700" s="354">
        <v>0</v>
      </c>
      <c r="D700" s="354">
        <v>0</v>
      </c>
      <c r="E700" s="354">
        <v>0</v>
      </c>
      <c r="F700" s="354">
        <v>2</v>
      </c>
      <c r="G700" s="354">
        <v>0</v>
      </c>
      <c r="H700" s="354">
        <v>0</v>
      </c>
      <c r="I700" s="354">
        <v>0</v>
      </c>
      <c r="J700" s="354">
        <v>1</v>
      </c>
      <c r="K700" s="354">
        <v>0</v>
      </c>
      <c r="L700" s="354">
        <v>0</v>
      </c>
      <c r="M700" s="355">
        <v>0</v>
      </c>
      <c r="N700" s="355">
        <v>3</v>
      </c>
    </row>
    <row r="701" spans="1:14" hidden="1" x14ac:dyDescent="0.25">
      <c r="A701" s="354">
        <v>0</v>
      </c>
      <c r="B701" s="354">
        <v>0</v>
      </c>
      <c r="C701" s="354">
        <v>0</v>
      </c>
      <c r="D701" s="354">
        <v>0</v>
      </c>
      <c r="E701" s="354">
        <v>0</v>
      </c>
      <c r="F701" s="354">
        <v>0</v>
      </c>
      <c r="G701" s="354">
        <v>0</v>
      </c>
      <c r="H701" s="354">
        <v>0</v>
      </c>
      <c r="I701" s="354">
        <v>0</v>
      </c>
      <c r="J701" s="354">
        <v>0</v>
      </c>
      <c r="K701" s="354">
        <v>0</v>
      </c>
      <c r="L701" s="354">
        <v>1</v>
      </c>
      <c r="M701" s="355">
        <v>0</v>
      </c>
      <c r="N701" s="355">
        <v>1</v>
      </c>
    </row>
    <row r="702" spans="1:14" hidden="1" x14ac:dyDescent="0.25">
      <c r="A702" s="354">
        <v>0</v>
      </c>
      <c r="B702" s="354">
        <v>0</v>
      </c>
      <c r="C702" s="354">
        <v>0</v>
      </c>
      <c r="D702" s="354">
        <v>1</v>
      </c>
      <c r="E702" s="354">
        <v>2</v>
      </c>
      <c r="F702" s="354">
        <v>2</v>
      </c>
      <c r="G702" s="354">
        <v>0</v>
      </c>
      <c r="H702" s="354">
        <v>0</v>
      </c>
      <c r="I702" s="354">
        <v>1</v>
      </c>
      <c r="J702" s="354">
        <v>1</v>
      </c>
      <c r="K702" s="354">
        <v>0</v>
      </c>
      <c r="L702" s="354">
        <v>0</v>
      </c>
      <c r="M702" s="355">
        <v>3</v>
      </c>
      <c r="N702" s="355">
        <v>4</v>
      </c>
    </row>
    <row r="703" spans="1:14" hidden="1" x14ac:dyDescent="0.25">
      <c r="A703" s="354">
        <v>0</v>
      </c>
      <c r="B703" s="354">
        <v>0</v>
      </c>
      <c r="C703" s="354">
        <v>0</v>
      </c>
      <c r="D703" s="354">
        <v>0</v>
      </c>
      <c r="E703" s="354">
        <v>0</v>
      </c>
      <c r="F703" s="354">
        <v>0</v>
      </c>
      <c r="G703" s="354">
        <v>0</v>
      </c>
      <c r="H703" s="354">
        <v>0</v>
      </c>
      <c r="I703" s="354">
        <v>0</v>
      </c>
      <c r="J703" s="354">
        <v>0</v>
      </c>
      <c r="K703" s="354">
        <v>0</v>
      </c>
      <c r="L703" s="354">
        <v>1</v>
      </c>
      <c r="M703" s="355">
        <v>0</v>
      </c>
      <c r="N703" s="355">
        <v>1</v>
      </c>
    </row>
    <row r="704" spans="1:14" hidden="1" x14ac:dyDescent="0.25">
      <c r="A704" s="354">
        <v>0</v>
      </c>
      <c r="B704" s="354">
        <v>0</v>
      </c>
      <c r="C704" s="354">
        <v>0</v>
      </c>
      <c r="D704" s="354">
        <v>0</v>
      </c>
      <c r="E704" s="354">
        <v>0</v>
      </c>
      <c r="F704" s="354">
        <v>4</v>
      </c>
      <c r="G704" s="354">
        <v>0</v>
      </c>
      <c r="H704" s="354">
        <v>2</v>
      </c>
      <c r="I704" s="354">
        <v>1</v>
      </c>
      <c r="J704" s="354">
        <v>1</v>
      </c>
      <c r="K704" s="354">
        <v>0</v>
      </c>
      <c r="L704" s="354">
        <v>0</v>
      </c>
      <c r="M704" s="355">
        <v>1</v>
      </c>
      <c r="N704" s="355">
        <v>7</v>
      </c>
    </row>
    <row r="705" spans="1:14" hidden="1" x14ac:dyDescent="0.25">
      <c r="A705" s="354">
        <v>1</v>
      </c>
      <c r="B705" s="354">
        <v>2</v>
      </c>
      <c r="C705" s="354">
        <v>0</v>
      </c>
      <c r="D705" s="354">
        <v>0</v>
      </c>
      <c r="E705" s="354">
        <v>0</v>
      </c>
      <c r="F705" s="354">
        <v>0</v>
      </c>
      <c r="G705" s="354">
        <v>0</v>
      </c>
      <c r="H705" s="354">
        <v>0</v>
      </c>
      <c r="I705" s="354">
        <v>1</v>
      </c>
      <c r="J705" s="354">
        <v>1</v>
      </c>
      <c r="K705" s="354">
        <v>0</v>
      </c>
      <c r="L705" s="354">
        <v>0</v>
      </c>
      <c r="M705" s="355">
        <v>2</v>
      </c>
      <c r="N705" s="355">
        <v>3</v>
      </c>
    </row>
    <row r="706" spans="1:14" hidden="1" x14ac:dyDescent="0.25">
      <c r="A706" s="354">
        <v>0</v>
      </c>
      <c r="B706" s="354">
        <v>0</v>
      </c>
      <c r="C706" s="354">
        <v>1</v>
      </c>
      <c r="D706" s="354">
        <v>0</v>
      </c>
      <c r="E706" s="354">
        <v>1</v>
      </c>
      <c r="F706" s="354">
        <v>2</v>
      </c>
      <c r="G706" s="354">
        <v>1</v>
      </c>
      <c r="H706" s="354">
        <v>0</v>
      </c>
      <c r="I706" s="354">
        <v>1</v>
      </c>
      <c r="J706" s="354">
        <v>2</v>
      </c>
      <c r="K706" s="354">
        <v>0</v>
      </c>
      <c r="L706" s="354">
        <v>0</v>
      </c>
      <c r="M706" s="355">
        <v>4</v>
      </c>
      <c r="N706" s="355">
        <v>4</v>
      </c>
    </row>
    <row r="707" spans="1:14" hidden="1" x14ac:dyDescent="0.25">
      <c r="A707" s="354">
        <v>0</v>
      </c>
      <c r="B707" s="354">
        <v>2</v>
      </c>
      <c r="C707" s="354">
        <v>1</v>
      </c>
      <c r="D707" s="354">
        <v>2</v>
      </c>
      <c r="E707" s="354">
        <v>2</v>
      </c>
      <c r="F707" s="354">
        <v>0</v>
      </c>
      <c r="G707" s="354">
        <v>0</v>
      </c>
      <c r="H707" s="354">
        <v>0</v>
      </c>
      <c r="I707" s="354">
        <v>1</v>
      </c>
      <c r="J707" s="354">
        <v>1</v>
      </c>
      <c r="K707" s="354">
        <v>0</v>
      </c>
      <c r="L707" s="354">
        <v>0</v>
      </c>
      <c r="M707" s="355">
        <v>4</v>
      </c>
      <c r="N707" s="355">
        <v>5</v>
      </c>
    </row>
    <row r="708" spans="1:14" hidden="1" x14ac:dyDescent="0.25">
      <c r="A708" s="354">
        <v>1</v>
      </c>
      <c r="B708" s="354">
        <v>0</v>
      </c>
      <c r="C708" s="354">
        <v>2</v>
      </c>
      <c r="D708" s="354">
        <v>0</v>
      </c>
      <c r="E708" s="354">
        <v>1</v>
      </c>
      <c r="F708" s="354">
        <v>1</v>
      </c>
      <c r="G708" s="354">
        <v>0</v>
      </c>
      <c r="H708" s="354">
        <v>0</v>
      </c>
      <c r="I708" s="354">
        <v>0</v>
      </c>
      <c r="J708" s="354">
        <v>1</v>
      </c>
      <c r="K708" s="354">
        <v>0</v>
      </c>
      <c r="L708" s="354">
        <v>0</v>
      </c>
      <c r="M708" s="355">
        <v>4</v>
      </c>
      <c r="N708" s="355">
        <v>2</v>
      </c>
    </row>
    <row r="709" spans="1:14" hidden="1" x14ac:dyDescent="0.25">
      <c r="A709" s="354">
        <v>0</v>
      </c>
      <c r="B709" s="354">
        <v>0</v>
      </c>
      <c r="C709" s="354">
        <v>1</v>
      </c>
      <c r="D709" s="354">
        <v>0</v>
      </c>
      <c r="E709" s="354">
        <v>0</v>
      </c>
      <c r="F709" s="354">
        <v>1</v>
      </c>
      <c r="G709" s="354">
        <v>0</v>
      </c>
      <c r="H709" s="354">
        <v>0</v>
      </c>
      <c r="I709" s="354">
        <v>0</v>
      </c>
      <c r="J709" s="354">
        <v>1</v>
      </c>
      <c r="K709" s="354">
        <v>0</v>
      </c>
      <c r="L709" s="354">
        <v>0</v>
      </c>
      <c r="M709" s="355">
        <v>1</v>
      </c>
      <c r="N709" s="355">
        <v>2</v>
      </c>
    </row>
    <row r="710" spans="1:14" hidden="1" x14ac:dyDescent="0.25">
      <c r="A710" s="354">
        <v>0</v>
      </c>
      <c r="B710" s="354">
        <v>1</v>
      </c>
      <c r="C710" s="354">
        <v>0</v>
      </c>
      <c r="D710" s="354">
        <v>1</v>
      </c>
      <c r="E710" s="354">
        <v>0</v>
      </c>
      <c r="F710" s="354">
        <v>1</v>
      </c>
      <c r="G710" s="354">
        <v>1</v>
      </c>
      <c r="H710" s="354">
        <v>0</v>
      </c>
      <c r="I710" s="354">
        <v>1</v>
      </c>
      <c r="J710" s="354">
        <v>1</v>
      </c>
      <c r="K710" s="354">
        <v>0</v>
      </c>
      <c r="L710" s="354">
        <v>0</v>
      </c>
      <c r="M710" s="355">
        <v>2</v>
      </c>
      <c r="N710" s="355">
        <v>4</v>
      </c>
    </row>
    <row r="711" spans="1:14" hidden="1" x14ac:dyDescent="0.25">
      <c r="A711" s="354">
        <v>1</v>
      </c>
      <c r="B711" s="354">
        <v>0</v>
      </c>
      <c r="C711" s="354">
        <v>1</v>
      </c>
      <c r="D711" s="354">
        <v>0</v>
      </c>
      <c r="E711" s="354">
        <v>0</v>
      </c>
      <c r="F711" s="354">
        <v>1</v>
      </c>
      <c r="G711" s="354">
        <v>0</v>
      </c>
      <c r="H711" s="354">
        <v>2</v>
      </c>
      <c r="I711" s="354">
        <v>1</v>
      </c>
      <c r="J711" s="354">
        <v>1</v>
      </c>
      <c r="K711" s="354">
        <v>0</v>
      </c>
      <c r="L711" s="354">
        <v>0</v>
      </c>
      <c r="M711" s="355">
        <v>3</v>
      </c>
      <c r="N711" s="355">
        <v>4</v>
      </c>
    </row>
    <row r="712" spans="1:14" hidden="1" x14ac:dyDescent="0.25">
      <c r="A712" s="354">
        <v>1</v>
      </c>
      <c r="B712" s="354">
        <v>0</v>
      </c>
      <c r="C712" s="354">
        <v>1</v>
      </c>
      <c r="D712" s="354">
        <v>0</v>
      </c>
      <c r="E712" s="354">
        <v>0</v>
      </c>
      <c r="F712" s="354">
        <v>2</v>
      </c>
      <c r="G712" s="354">
        <v>1</v>
      </c>
      <c r="H712" s="354">
        <v>0</v>
      </c>
      <c r="I712" s="354">
        <v>2</v>
      </c>
      <c r="J712" s="354">
        <v>2</v>
      </c>
      <c r="K712" s="354">
        <v>0</v>
      </c>
      <c r="L712" s="354">
        <v>0</v>
      </c>
      <c r="M712" s="355">
        <v>5</v>
      </c>
      <c r="N712" s="355">
        <v>4</v>
      </c>
    </row>
    <row r="713" spans="1:14" hidden="1" x14ac:dyDescent="0.25">
      <c r="A713" s="354">
        <v>1</v>
      </c>
      <c r="B713" s="354">
        <v>0</v>
      </c>
      <c r="C713" s="354">
        <v>0</v>
      </c>
      <c r="D713" s="354">
        <v>1</v>
      </c>
      <c r="E713" s="354">
        <v>0</v>
      </c>
      <c r="F713" s="354">
        <v>0</v>
      </c>
      <c r="G713" s="354">
        <v>0</v>
      </c>
      <c r="H713" s="354">
        <v>0</v>
      </c>
      <c r="I713" s="354">
        <v>1</v>
      </c>
      <c r="J713" s="354">
        <v>1</v>
      </c>
      <c r="K713" s="354">
        <v>0</v>
      </c>
      <c r="L713" s="354">
        <v>0</v>
      </c>
      <c r="M713" s="355">
        <v>2</v>
      </c>
      <c r="N713" s="355">
        <v>2</v>
      </c>
    </row>
    <row r="714" spans="1:14" hidden="1" x14ac:dyDescent="0.25">
      <c r="A714" s="354">
        <v>1</v>
      </c>
      <c r="B714" s="354">
        <v>1</v>
      </c>
      <c r="C714" s="354">
        <v>0</v>
      </c>
      <c r="D714" s="354">
        <v>1</v>
      </c>
      <c r="E714" s="354">
        <v>0</v>
      </c>
      <c r="F714" s="354">
        <v>0</v>
      </c>
      <c r="G714" s="354">
        <v>0</v>
      </c>
      <c r="H714" s="354">
        <v>0</v>
      </c>
      <c r="I714" s="354">
        <v>1</v>
      </c>
      <c r="J714" s="354">
        <v>2</v>
      </c>
      <c r="K714" s="354">
        <v>1</v>
      </c>
      <c r="L714" s="354">
        <v>1</v>
      </c>
      <c r="M714" s="355">
        <v>3</v>
      </c>
      <c r="N714" s="355">
        <v>5</v>
      </c>
    </row>
    <row r="715" spans="1:14" hidden="1" x14ac:dyDescent="0.25">
      <c r="A715" s="354">
        <v>0</v>
      </c>
      <c r="B715" s="354">
        <v>1</v>
      </c>
      <c r="C715" s="354">
        <v>0</v>
      </c>
      <c r="D715" s="354">
        <v>1</v>
      </c>
      <c r="E715" s="354">
        <v>0</v>
      </c>
      <c r="F715" s="354">
        <v>0</v>
      </c>
      <c r="G715" s="354">
        <v>0</v>
      </c>
      <c r="H715" s="354">
        <v>0</v>
      </c>
      <c r="I715" s="354">
        <v>1</v>
      </c>
      <c r="J715" s="354">
        <v>1</v>
      </c>
      <c r="K715" s="354">
        <v>0</v>
      </c>
      <c r="L715" s="354">
        <v>0</v>
      </c>
      <c r="M715" s="355">
        <v>1</v>
      </c>
      <c r="N715" s="355">
        <v>3</v>
      </c>
    </row>
    <row r="716" spans="1:14" hidden="1" x14ac:dyDescent="0.25">
      <c r="A716" s="354">
        <v>1</v>
      </c>
      <c r="B716" s="354">
        <v>0</v>
      </c>
      <c r="C716" s="354">
        <v>1</v>
      </c>
      <c r="D716" s="354">
        <v>0</v>
      </c>
      <c r="E716" s="354">
        <v>0</v>
      </c>
      <c r="F716" s="354">
        <v>0</v>
      </c>
      <c r="G716" s="354">
        <v>1</v>
      </c>
      <c r="H716" s="354">
        <v>0</v>
      </c>
      <c r="I716" s="354">
        <v>1</v>
      </c>
      <c r="J716" s="354">
        <v>1</v>
      </c>
      <c r="K716" s="354">
        <v>0</v>
      </c>
      <c r="L716" s="354">
        <v>0</v>
      </c>
      <c r="M716" s="355">
        <v>4</v>
      </c>
      <c r="N716" s="355">
        <v>1</v>
      </c>
    </row>
    <row r="717" spans="1:14" hidden="1" x14ac:dyDescent="0.25">
      <c r="A717" s="354">
        <v>0</v>
      </c>
      <c r="B717" s="354">
        <v>1</v>
      </c>
      <c r="C717" s="354">
        <v>1</v>
      </c>
      <c r="D717" s="354">
        <v>0</v>
      </c>
      <c r="E717" s="354">
        <v>1</v>
      </c>
      <c r="F717" s="354">
        <v>0</v>
      </c>
      <c r="G717" s="354">
        <v>0</v>
      </c>
      <c r="H717" s="354">
        <v>0</v>
      </c>
      <c r="I717" s="354">
        <v>1</v>
      </c>
      <c r="J717" s="354">
        <v>1</v>
      </c>
      <c r="K717" s="354">
        <v>0</v>
      </c>
      <c r="L717" s="354">
        <v>0</v>
      </c>
      <c r="M717" s="355">
        <v>3</v>
      </c>
      <c r="N717" s="355">
        <v>2</v>
      </c>
    </row>
    <row r="718" spans="1:14" hidden="1" x14ac:dyDescent="0.25">
      <c r="A718" s="354">
        <v>0</v>
      </c>
      <c r="B718" s="354">
        <v>1</v>
      </c>
      <c r="C718" s="354">
        <v>0</v>
      </c>
      <c r="D718" s="354">
        <v>1</v>
      </c>
      <c r="E718" s="354">
        <v>0</v>
      </c>
      <c r="F718" s="354">
        <v>1</v>
      </c>
      <c r="G718" s="354">
        <v>0</v>
      </c>
      <c r="H718" s="354">
        <v>0</v>
      </c>
      <c r="I718" s="354">
        <v>0</v>
      </c>
      <c r="J718" s="354">
        <v>1</v>
      </c>
      <c r="K718" s="354">
        <v>0</v>
      </c>
      <c r="L718" s="354">
        <v>0</v>
      </c>
      <c r="M718" s="355">
        <v>0</v>
      </c>
      <c r="N718" s="355">
        <v>4</v>
      </c>
    </row>
    <row r="719" spans="1:14" hidden="1" x14ac:dyDescent="0.25">
      <c r="A719" s="354">
        <v>0</v>
      </c>
      <c r="B719" s="354">
        <v>1</v>
      </c>
      <c r="C719" s="354">
        <v>1</v>
      </c>
      <c r="D719" s="354">
        <v>0</v>
      </c>
      <c r="E719" s="354">
        <v>1</v>
      </c>
      <c r="F719" s="354">
        <v>0</v>
      </c>
      <c r="G719" s="354">
        <v>0</v>
      </c>
      <c r="H719" s="354">
        <v>0</v>
      </c>
      <c r="I719" s="354">
        <v>0</v>
      </c>
      <c r="J719" s="354">
        <v>1</v>
      </c>
      <c r="K719" s="354">
        <v>0</v>
      </c>
      <c r="L719" s="354">
        <v>0</v>
      </c>
      <c r="M719" s="355">
        <v>2</v>
      </c>
      <c r="N719" s="355">
        <v>2</v>
      </c>
    </row>
    <row r="720" spans="1:14" hidden="1" x14ac:dyDescent="0.25">
      <c r="A720" s="354">
        <v>0</v>
      </c>
      <c r="B720" s="354">
        <v>1</v>
      </c>
      <c r="C720" s="354">
        <v>0</v>
      </c>
      <c r="D720" s="354">
        <v>1</v>
      </c>
      <c r="E720" s="354">
        <v>1</v>
      </c>
      <c r="F720" s="354">
        <v>0</v>
      </c>
      <c r="G720" s="354">
        <v>0</v>
      </c>
      <c r="H720" s="354">
        <v>0</v>
      </c>
      <c r="I720" s="354">
        <v>1</v>
      </c>
      <c r="J720" s="354">
        <v>1</v>
      </c>
      <c r="K720" s="354">
        <v>0</v>
      </c>
      <c r="L720" s="354">
        <v>0</v>
      </c>
      <c r="M720" s="355">
        <v>2</v>
      </c>
      <c r="N720" s="355">
        <v>3</v>
      </c>
    </row>
    <row r="721" spans="1:14" hidden="1" x14ac:dyDescent="0.25">
      <c r="A721" s="354">
        <v>0</v>
      </c>
      <c r="B721" s="354">
        <v>1</v>
      </c>
      <c r="C721" s="354">
        <v>1</v>
      </c>
      <c r="D721" s="354">
        <v>0</v>
      </c>
      <c r="E721" s="354">
        <v>2</v>
      </c>
      <c r="F721" s="354">
        <v>0</v>
      </c>
      <c r="G721" s="354">
        <v>0</v>
      </c>
      <c r="H721" s="354">
        <v>0</v>
      </c>
      <c r="I721" s="354">
        <v>1</v>
      </c>
      <c r="J721" s="354">
        <v>1</v>
      </c>
      <c r="K721" s="354">
        <v>0</v>
      </c>
      <c r="L721" s="354">
        <v>0</v>
      </c>
      <c r="M721" s="355">
        <v>4</v>
      </c>
      <c r="N721" s="355">
        <v>2</v>
      </c>
    </row>
    <row r="722" spans="1:14" hidden="1" x14ac:dyDescent="0.25">
      <c r="A722" s="354">
        <v>0</v>
      </c>
      <c r="B722" s="354">
        <v>0</v>
      </c>
      <c r="C722" s="354">
        <v>0</v>
      </c>
      <c r="D722" s="354">
        <v>0</v>
      </c>
      <c r="E722" s="354">
        <v>0</v>
      </c>
      <c r="F722" s="354">
        <v>0</v>
      </c>
      <c r="G722" s="354">
        <v>0</v>
      </c>
      <c r="H722" s="354">
        <v>2</v>
      </c>
      <c r="I722" s="354">
        <v>4</v>
      </c>
      <c r="J722" s="354">
        <v>2</v>
      </c>
      <c r="K722" s="354">
        <v>0</v>
      </c>
      <c r="L722" s="354">
        <v>0</v>
      </c>
      <c r="M722" s="355">
        <v>4</v>
      </c>
      <c r="N722" s="355">
        <v>4</v>
      </c>
    </row>
    <row r="723" spans="1:14" hidden="1" x14ac:dyDescent="0.25">
      <c r="A723" s="354">
        <v>0</v>
      </c>
      <c r="B723" s="354">
        <v>0</v>
      </c>
      <c r="C723" s="354">
        <v>0</v>
      </c>
      <c r="D723" s="354">
        <v>0</v>
      </c>
      <c r="E723" s="354">
        <v>0</v>
      </c>
      <c r="F723" s="354">
        <v>1</v>
      </c>
      <c r="G723" s="354">
        <v>1</v>
      </c>
      <c r="H723" s="354">
        <v>0</v>
      </c>
      <c r="I723" s="354">
        <v>1</v>
      </c>
      <c r="J723" s="354">
        <v>0</v>
      </c>
      <c r="K723" s="354">
        <v>0</v>
      </c>
      <c r="L723" s="354">
        <v>1</v>
      </c>
      <c r="M723" s="355">
        <v>2</v>
      </c>
      <c r="N723" s="355">
        <v>2</v>
      </c>
    </row>
    <row r="724" spans="1:14" hidden="1" x14ac:dyDescent="0.25">
      <c r="A724" s="354">
        <v>0</v>
      </c>
      <c r="B724" s="354">
        <v>0</v>
      </c>
      <c r="C724" s="354">
        <v>0</v>
      </c>
      <c r="D724" s="354">
        <v>0</v>
      </c>
      <c r="E724" s="354">
        <v>0</v>
      </c>
      <c r="F724" s="354">
        <v>1</v>
      </c>
      <c r="G724" s="354">
        <v>0</v>
      </c>
      <c r="H724" s="354">
        <v>0</v>
      </c>
      <c r="I724" s="354">
        <v>0</v>
      </c>
      <c r="J724" s="354">
        <v>0</v>
      </c>
      <c r="K724" s="354">
        <v>0</v>
      </c>
      <c r="L724" s="354">
        <v>1</v>
      </c>
      <c r="M724" s="355">
        <v>0</v>
      </c>
      <c r="N724" s="355">
        <v>2</v>
      </c>
    </row>
    <row r="725" spans="1:14" hidden="1" x14ac:dyDescent="0.25">
      <c r="A725" s="354">
        <v>0</v>
      </c>
      <c r="B725" s="354">
        <v>0</v>
      </c>
      <c r="C725" s="354">
        <v>0</v>
      </c>
      <c r="D725" s="354">
        <v>2</v>
      </c>
      <c r="E725" s="354">
        <v>2</v>
      </c>
      <c r="F725" s="354">
        <v>0</v>
      </c>
      <c r="G725" s="354">
        <v>0</v>
      </c>
      <c r="H725" s="354">
        <v>0</v>
      </c>
      <c r="I725" s="354">
        <v>0</v>
      </c>
      <c r="J725" s="354">
        <v>2</v>
      </c>
      <c r="K725" s="354">
        <v>0</v>
      </c>
      <c r="L725" s="354">
        <v>0</v>
      </c>
      <c r="M725" s="355">
        <v>2</v>
      </c>
      <c r="N725" s="355">
        <v>4</v>
      </c>
    </row>
    <row r="726" spans="1:14" hidden="1" x14ac:dyDescent="0.25">
      <c r="A726" s="354">
        <v>0</v>
      </c>
      <c r="B726" s="354">
        <v>0</v>
      </c>
      <c r="C726" s="354">
        <v>1</v>
      </c>
      <c r="D726" s="354">
        <v>0</v>
      </c>
      <c r="E726" s="354">
        <v>0</v>
      </c>
      <c r="F726" s="354">
        <v>2</v>
      </c>
      <c r="G726" s="354">
        <v>1</v>
      </c>
      <c r="H726" s="354">
        <v>0</v>
      </c>
      <c r="I726" s="354">
        <v>2</v>
      </c>
      <c r="J726" s="354">
        <v>2</v>
      </c>
      <c r="K726" s="354">
        <v>0</v>
      </c>
      <c r="L726" s="354">
        <v>0</v>
      </c>
      <c r="M726" s="355">
        <v>4</v>
      </c>
      <c r="N726" s="355">
        <v>4</v>
      </c>
    </row>
    <row r="727" spans="1:14" hidden="1" x14ac:dyDescent="0.25">
      <c r="A727" s="354">
        <v>0</v>
      </c>
      <c r="B727" s="354">
        <v>0</v>
      </c>
      <c r="C727" s="354">
        <v>1</v>
      </c>
      <c r="D727" s="354">
        <v>1</v>
      </c>
      <c r="E727" s="354">
        <v>0</v>
      </c>
      <c r="F727" s="354">
        <v>2</v>
      </c>
      <c r="G727" s="354">
        <v>0</v>
      </c>
      <c r="H727" s="354">
        <v>2</v>
      </c>
      <c r="I727" s="354">
        <v>1</v>
      </c>
      <c r="J727" s="354">
        <v>1</v>
      </c>
      <c r="K727" s="354">
        <v>0</v>
      </c>
      <c r="L727" s="354">
        <v>0</v>
      </c>
      <c r="M727" s="355">
        <v>2</v>
      </c>
      <c r="N727" s="355">
        <v>6</v>
      </c>
    </row>
    <row r="728" spans="1:14" hidden="1" x14ac:dyDescent="0.25">
      <c r="A728" s="354">
        <v>0</v>
      </c>
      <c r="B728" s="354">
        <v>1</v>
      </c>
      <c r="C728" s="354">
        <v>0</v>
      </c>
      <c r="D728" s="354">
        <v>2</v>
      </c>
      <c r="E728" s="354">
        <v>1</v>
      </c>
      <c r="F728" s="354">
        <v>0</v>
      </c>
      <c r="G728" s="354">
        <v>0</v>
      </c>
      <c r="H728" s="354">
        <v>0</v>
      </c>
      <c r="I728" s="354">
        <v>1</v>
      </c>
      <c r="J728" s="354">
        <v>1</v>
      </c>
      <c r="K728" s="354">
        <v>0</v>
      </c>
      <c r="L728" s="354">
        <v>0</v>
      </c>
      <c r="M728" s="355">
        <v>2</v>
      </c>
      <c r="N728" s="355">
        <v>4</v>
      </c>
    </row>
    <row r="729" spans="1:14" hidden="1" x14ac:dyDescent="0.25">
      <c r="A729" s="354">
        <v>1</v>
      </c>
      <c r="B729" s="354">
        <v>0</v>
      </c>
      <c r="C729" s="354">
        <v>0</v>
      </c>
      <c r="D729" s="354">
        <v>1</v>
      </c>
      <c r="E729" s="354">
        <v>0</v>
      </c>
      <c r="F729" s="354">
        <v>0</v>
      </c>
      <c r="G729" s="354">
        <v>0</v>
      </c>
      <c r="H729" s="354">
        <v>0</v>
      </c>
      <c r="I729" s="354">
        <v>1</v>
      </c>
      <c r="J729" s="354">
        <v>1</v>
      </c>
      <c r="K729" s="354">
        <v>0</v>
      </c>
      <c r="L729" s="354">
        <v>0</v>
      </c>
      <c r="M729" s="355">
        <v>2</v>
      </c>
      <c r="N729" s="355">
        <v>2</v>
      </c>
    </row>
    <row r="730" spans="1:14" hidden="1" x14ac:dyDescent="0.25">
      <c r="A730" s="354">
        <v>0</v>
      </c>
      <c r="B730" s="354">
        <v>0</v>
      </c>
      <c r="C730" s="354">
        <v>0</v>
      </c>
      <c r="D730" s="354">
        <v>0</v>
      </c>
      <c r="E730" s="354">
        <v>0</v>
      </c>
      <c r="F730" s="354">
        <v>1</v>
      </c>
      <c r="G730" s="354">
        <v>0</v>
      </c>
      <c r="H730" s="354">
        <v>0</v>
      </c>
      <c r="I730" s="354">
        <v>0</v>
      </c>
      <c r="J730" s="354">
        <v>0</v>
      </c>
      <c r="K730" s="354">
        <v>1</v>
      </c>
      <c r="L730" s="354">
        <v>0</v>
      </c>
      <c r="M730" s="355">
        <v>1</v>
      </c>
      <c r="N730" s="355">
        <v>1</v>
      </c>
    </row>
    <row r="731" spans="1:14" hidden="1" x14ac:dyDescent="0.25">
      <c r="A731" s="354"/>
      <c r="B731" s="354">
        <v>0</v>
      </c>
      <c r="C731" s="354">
        <v>0</v>
      </c>
      <c r="D731" s="354">
        <v>2</v>
      </c>
      <c r="E731" s="354">
        <v>2</v>
      </c>
      <c r="F731" s="354">
        <v>0</v>
      </c>
      <c r="G731" s="354">
        <v>0</v>
      </c>
      <c r="H731" s="354">
        <v>0</v>
      </c>
      <c r="I731" s="354">
        <v>2</v>
      </c>
      <c r="J731" s="354">
        <v>1</v>
      </c>
      <c r="K731" s="354">
        <v>0</v>
      </c>
      <c r="L731" s="354">
        <v>0</v>
      </c>
      <c r="M731" s="355">
        <v>4</v>
      </c>
      <c r="N731" s="355">
        <v>3</v>
      </c>
    </row>
    <row r="732" spans="1:14" hidden="1" x14ac:dyDescent="0.25">
      <c r="A732" s="354">
        <v>1</v>
      </c>
      <c r="B732" s="354">
        <v>0</v>
      </c>
      <c r="C732" s="354">
        <v>0</v>
      </c>
      <c r="D732" s="354">
        <v>1</v>
      </c>
      <c r="E732" s="354">
        <v>1</v>
      </c>
      <c r="F732" s="354">
        <v>1</v>
      </c>
      <c r="G732" s="354">
        <v>0</v>
      </c>
      <c r="H732" s="354">
        <v>1</v>
      </c>
      <c r="I732" s="354">
        <v>1</v>
      </c>
      <c r="J732" s="354">
        <v>1</v>
      </c>
      <c r="K732" s="354">
        <v>0</v>
      </c>
      <c r="L732" s="354">
        <v>0</v>
      </c>
      <c r="M732" s="355">
        <v>3</v>
      </c>
      <c r="N732" s="355">
        <v>4</v>
      </c>
    </row>
    <row r="733" spans="1:14" hidden="1" x14ac:dyDescent="0.25">
      <c r="A733" s="354">
        <v>0</v>
      </c>
      <c r="B733" s="354">
        <v>1</v>
      </c>
      <c r="C733" s="354">
        <v>0</v>
      </c>
      <c r="D733" s="354">
        <v>0</v>
      </c>
      <c r="E733" s="354">
        <v>1</v>
      </c>
      <c r="F733" s="354">
        <v>2</v>
      </c>
      <c r="G733" s="354">
        <v>0</v>
      </c>
      <c r="H733" s="354">
        <v>0</v>
      </c>
      <c r="I733" s="354">
        <v>0</v>
      </c>
      <c r="J733" s="354">
        <v>1</v>
      </c>
      <c r="K733" s="354">
        <v>0</v>
      </c>
      <c r="L733" s="354">
        <v>0</v>
      </c>
      <c r="M733" s="355">
        <v>1</v>
      </c>
      <c r="N733" s="355">
        <v>4</v>
      </c>
    </row>
    <row r="734" spans="1:14" hidden="1" x14ac:dyDescent="0.25">
      <c r="A734" s="354">
        <v>0</v>
      </c>
      <c r="B734" s="354">
        <v>1</v>
      </c>
      <c r="C734" s="354">
        <v>0</v>
      </c>
      <c r="D734" s="354">
        <v>1</v>
      </c>
      <c r="E734" s="354">
        <v>3</v>
      </c>
      <c r="F734" s="354">
        <v>0</v>
      </c>
      <c r="G734" s="354">
        <v>1</v>
      </c>
      <c r="H734" s="354">
        <v>1</v>
      </c>
      <c r="I734" s="354">
        <v>2</v>
      </c>
      <c r="J734" s="354">
        <v>1</v>
      </c>
      <c r="K734" s="354">
        <v>0</v>
      </c>
      <c r="L734" s="354">
        <v>0</v>
      </c>
      <c r="M734" s="355">
        <v>6</v>
      </c>
      <c r="N734" s="355">
        <v>4</v>
      </c>
    </row>
    <row r="735" spans="1:14" hidden="1" x14ac:dyDescent="0.25">
      <c r="A735" s="354">
        <v>0</v>
      </c>
      <c r="B735" s="354">
        <v>0</v>
      </c>
      <c r="C735" s="354">
        <v>0</v>
      </c>
      <c r="D735" s="354">
        <v>0</v>
      </c>
      <c r="E735" s="354">
        <v>0</v>
      </c>
      <c r="F735" s="354">
        <v>0</v>
      </c>
      <c r="G735" s="354">
        <v>0</v>
      </c>
      <c r="H735" s="354">
        <v>0</v>
      </c>
      <c r="I735" s="354">
        <v>0</v>
      </c>
      <c r="J735" s="354">
        <v>1</v>
      </c>
      <c r="K735" s="354">
        <v>0</v>
      </c>
      <c r="L735" s="354">
        <v>0</v>
      </c>
      <c r="M735" s="355">
        <v>0</v>
      </c>
      <c r="N735" s="355">
        <v>1</v>
      </c>
    </row>
    <row r="736" spans="1:14" hidden="1" x14ac:dyDescent="0.25">
      <c r="A736" s="354">
        <v>0</v>
      </c>
      <c r="B736" s="354">
        <v>0</v>
      </c>
      <c r="C736" s="354">
        <v>0</v>
      </c>
      <c r="D736" s="354">
        <v>0</v>
      </c>
      <c r="E736" s="354">
        <v>0</v>
      </c>
      <c r="F736" s="354">
        <v>0</v>
      </c>
      <c r="G736" s="354">
        <v>0</v>
      </c>
      <c r="H736" s="354">
        <v>0</v>
      </c>
      <c r="I736" s="354">
        <v>1</v>
      </c>
      <c r="J736" s="354">
        <v>1</v>
      </c>
      <c r="K736" s="354">
        <v>0</v>
      </c>
      <c r="L736" s="354">
        <v>0</v>
      </c>
      <c r="M736" s="355">
        <v>1</v>
      </c>
      <c r="N736" s="355">
        <v>1</v>
      </c>
    </row>
    <row r="737" spans="1:14" hidden="1" x14ac:dyDescent="0.25">
      <c r="A737" s="354">
        <v>0</v>
      </c>
      <c r="B737" s="354">
        <v>0</v>
      </c>
      <c r="C737" s="354"/>
      <c r="D737" s="354">
        <v>0</v>
      </c>
      <c r="E737" s="354">
        <v>0</v>
      </c>
      <c r="F737" s="354">
        <v>0</v>
      </c>
      <c r="G737" s="354">
        <v>1</v>
      </c>
      <c r="H737" s="354">
        <v>0</v>
      </c>
      <c r="I737" s="354">
        <v>1</v>
      </c>
      <c r="J737" s="354">
        <v>1</v>
      </c>
      <c r="K737" s="354">
        <v>0</v>
      </c>
      <c r="L737" s="354">
        <v>0</v>
      </c>
      <c r="M737" s="355">
        <v>2</v>
      </c>
      <c r="N737" s="355">
        <v>1</v>
      </c>
    </row>
    <row r="738" spans="1:14" hidden="1" x14ac:dyDescent="0.25">
      <c r="A738" s="354">
        <v>0</v>
      </c>
      <c r="B738" s="354">
        <v>0</v>
      </c>
      <c r="C738" s="354">
        <v>1</v>
      </c>
      <c r="D738" s="354">
        <v>0</v>
      </c>
      <c r="E738" s="354">
        <v>1</v>
      </c>
      <c r="F738" s="354">
        <v>0</v>
      </c>
      <c r="G738" s="354">
        <v>1</v>
      </c>
      <c r="H738" s="354">
        <v>0</v>
      </c>
      <c r="I738" s="354">
        <v>1</v>
      </c>
      <c r="J738" s="354">
        <v>1</v>
      </c>
      <c r="K738" s="354">
        <v>0</v>
      </c>
      <c r="L738" s="354">
        <v>0</v>
      </c>
      <c r="M738" s="355">
        <v>4</v>
      </c>
      <c r="N738" s="355">
        <v>1</v>
      </c>
    </row>
    <row r="739" spans="1:14" hidden="1" x14ac:dyDescent="0.25">
      <c r="A739" s="354">
        <v>0</v>
      </c>
      <c r="B739" s="354">
        <v>0</v>
      </c>
      <c r="C739" s="354">
        <v>0</v>
      </c>
      <c r="D739" s="354">
        <v>0</v>
      </c>
      <c r="E739" s="354">
        <v>0</v>
      </c>
      <c r="F739" s="354">
        <v>0</v>
      </c>
      <c r="G739" s="354">
        <v>0</v>
      </c>
      <c r="H739" s="354">
        <v>0</v>
      </c>
      <c r="I739" s="354">
        <v>0</v>
      </c>
      <c r="J739" s="354">
        <v>3</v>
      </c>
      <c r="K739" s="354">
        <v>1</v>
      </c>
      <c r="L739" s="354">
        <v>0</v>
      </c>
      <c r="M739" s="355">
        <v>1</v>
      </c>
      <c r="N739" s="355">
        <v>3</v>
      </c>
    </row>
    <row r="740" spans="1:14" hidden="1" x14ac:dyDescent="0.25">
      <c r="A740" s="354">
        <v>0</v>
      </c>
      <c r="B740" s="354">
        <v>1</v>
      </c>
      <c r="C740" s="354">
        <v>1</v>
      </c>
      <c r="D740" s="354">
        <v>0</v>
      </c>
      <c r="E740" s="354">
        <v>0</v>
      </c>
      <c r="F740" s="354">
        <v>3</v>
      </c>
      <c r="G740" s="354">
        <v>0</v>
      </c>
      <c r="H740" s="354">
        <v>1</v>
      </c>
      <c r="I740" s="354">
        <v>1</v>
      </c>
      <c r="J740" s="354">
        <v>2</v>
      </c>
      <c r="K740" s="354">
        <v>0</v>
      </c>
      <c r="L740" s="354">
        <v>0</v>
      </c>
      <c r="M740" s="355">
        <v>2</v>
      </c>
      <c r="N740" s="355">
        <v>7</v>
      </c>
    </row>
    <row r="741" spans="1:14" hidden="1" x14ac:dyDescent="0.25">
      <c r="A741" s="354">
        <v>0</v>
      </c>
      <c r="B741" s="354"/>
      <c r="C741" s="354">
        <v>1</v>
      </c>
      <c r="D741" s="354">
        <v>0</v>
      </c>
      <c r="E741" s="354">
        <v>1</v>
      </c>
      <c r="F741" s="354">
        <v>1</v>
      </c>
      <c r="G741" s="354">
        <v>0</v>
      </c>
      <c r="H741" s="354">
        <v>1</v>
      </c>
      <c r="I741" s="354">
        <v>0</v>
      </c>
      <c r="J741" s="354">
        <v>3</v>
      </c>
      <c r="K741" s="354">
        <v>1</v>
      </c>
      <c r="L741" s="354">
        <v>0</v>
      </c>
      <c r="M741" s="355">
        <v>3</v>
      </c>
      <c r="N741" s="355">
        <v>5</v>
      </c>
    </row>
    <row r="742" spans="1:14" hidden="1" x14ac:dyDescent="0.25">
      <c r="A742" s="354">
        <v>0</v>
      </c>
      <c r="B742" s="354">
        <v>0</v>
      </c>
      <c r="C742" s="354">
        <v>1</v>
      </c>
      <c r="D742" s="354">
        <v>0</v>
      </c>
      <c r="E742" s="354">
        <v>1</v>
      </c>
      <c r="F742" s="354">
        <v>0</v>
      </c>
      <c r="G742" s="354">
        <v>0</v>
      </c>
      <c r="H742" s="354">
        <v>0</v>
      </c>
      <c r="I742" s="354">
        <v>1</v>
      </c>
      <c r="J742" s="354">
        <v>2</v>
      </c>
      <c r="K742" s="354">
        <v>0</v>
      </c>
      <c r="L742" s="354">
        <v>0</v>
      </c>
      <c r="M742" s="355">
        <v>3</v>
      </c>
      <c r="N742" s="355">
        <v>2</v>
      </c>
    </row>
    <row r="743" spans="1:14" hidden="1" x14ac:dyDescent="0.25">
      <c r="A743" s="354">
        <v>2</v>
      </c>
      <c r="B743" s="354">
        <v>0</v>
      </c>
      <c r="C743" s="354">
        <v>1</v>
      </c>
      <c r="D743" s="354">
        <v>1</v>
      </c>
      <c r="E743" s="354">
        <v>2</v>
      </c>
      <c r="F743" s="354">
        <v>2</v>
      </c>
      <c r="G743" s="354">
        <v>0</v>
      </c>
      <c r="H743" s="354">
        <v>0</v>
      </c>
      <c r="I743" s="354">
        <v>1</v>
      </c>
      <c r="J743" s="354">
        <v>2</v>
      </c>
      <c r="K743" s="354">
        <v>0</v>
      </c>
      <c r="L743" s="354">
        <v>0</v>
      </c>
      <c r="M743" s="355">
        <v>6</v>
      </c>
      <c r="N743" s="355">
        <v>5</v>
      </c>
    </row>
    <row r="744" spans="1:14" hidden="1" x14ac:dyDescent="0.25">
      <c r="A744" s="354">
        <v>0</v>
      </c>
      <c r="B744" s="354">
        <v>1</v>
      </c>
      <c r="C744" s="354">
        <v>1</v>
      </c>
      <c r="D744" s="354">
        <v>0</v>
      </c>
      <c r="E744" s="354">
        <v>0</v>
      </c>
      <c r="F744" s="354">
        <v>2</v>
      </c>
      <c r="G744" s="354">
        <v>0</v>
      </c>
      <c r="H744" s="354">
        <v>0</v>
      </c>
      <c r="I744" s="354">
        <v>1</v>
      </c>
      <c r="J744" s="354">
        <v>1</v>
      </c>
      <c r="K744" s="354">
        <v>0</v>
      </c>
      <c r="L744" s="354">
        <v>0</v>
      </c>
      <c r="M744" s="355">
        <v>2</v>
      </c>
      <c r="N744" s="355">
        <v>4</v>
      </c>
    </row>
    <row r="745" spans="1:14" hidden="1" x14ac:dyDescent="0.25">
      <c r="A745" s="354">
        <v>0</v>
      </c>
      <c r="B745" s="354">
        <v>0</v>
      </c>
      <c r="C745" s="354">
        <v>1</v>
      </c>
      <c r="D745" s="354">
        <v>1</v>
      </c>
      <c r="E745" s="354">
        <v>1</v>
      </c>
      <c r="F745" s="354">
        <v>0</v>
      </c>
      <c r="G745" s="354">
        <v>0</v>
      </c>
      <c r="H745" s="354">
        <v>0</v>
      </c>
      <c r="I745" s="354">
        <v>1</v>
      </c>
      <c r="J745" s="354">
        <v>1</v>
      </c>
      <c r="K745" s="354">
        <v>0</v>
      </c>
      <c r="L745" s="354">
        <v>0</v>
      </c>
      <c r="M745" s="355">
        <v>3</v>
      </c>
      <c r="N745" s="355">
        <v>2</v>
      </c>
    </row>
    <row r="746" spans="1:14" hidden="1" x14ac:dyDescent="0.25">
      <c r="A746" s="354">
        <v>0</v>
      </c>
      <c r="B746" s="354">
        <v>1</v>
      </c>
      <c r="C746" s="354">
        <v>1</v>
      </c>
      <c r="D746" s="354">
        <v>0</v>
      </c>
      <c r="E746" s="354">
        <v>0</v>
      </c>
      <c r="F746" s="354">
        <v>1</v>
      </c>
      <c r="G746" s="354">
        <v>0</v>
      </c>
      <c r="H746" s="354">
        <v>0</v>
      </c>
      <c r="I746" s="354">
        <v>1</v>
      </c>
      <c r="J746" s="354">
        <v>1</v>
      </c>
      <c r="K746" s="354">
        <v>0</v>
      </c>
      <c r="L746" s="354">
        <v>0</v>
      </c>
      <c r="M746" s="355">
        <v>2</v>
      </c>
      <c r="N746" s="355">
        <v>3</v>
      </c>
    </row>
    <row r="747" spans="1:14" hidden="1" x14ac:dyDescent="0.25">
      <c r="A747" s="354">
        <v>0</v>
      </c>
      <c r="B747" s="354">
        <v>0</v>
      </c>
      <c r="C747" s="354">
        <v>0</v>
      </c>
      <c r="D747" s="354">
        <v>0</v>
      </c>
      <c r="E747" s="354">
        <v>0</v>
      </c>
      <c r="F747" s="354">
        <v>1</v>
      </c>
      <c r="G747" s="354">
        <v>0</v>
      </c>
      <c r="H747" s="354">
        <v>0</v>
      </c>
      <c r="I747" s="354">
        <v>0</v>
      </c>
      <c r="J747" s="354">
        <v>1</v>
      </c>
      <c r="K747" s="354">
        <v>1</v>
      </c>
      <c r="L747" s="354">
        <v>0</v>
      </c>
      <c r="M747" s="355">
        <v>1</v>
      </c>
      <c r="N747" s="355">
        <v>2</v>
      </c>
    </row>
    <row r="748" spans="1:14" hidden="1" x14ac:dyDescent="0.25">
      <c r="A748" s="354">
        <v>0</v>
      </c>
      <c r="B748" s="354">
        <v>1</v>
      </c>
      <c r="C748" s="354">
        <v>1</v>
      </c>
      <c r="D748" s="354">
        <v>0</v>
      </c>
      <c r="E748" s="354">
        <v>0</v>
      </c>
      <c r="F748" s="354">
        <v>0</v>
      </c>
      <c r="G748" s="354">
        <v>0</v>
      </c>
      <c r="H748" s="354">
        <v>0</v>
      </c>
      <c r="I748" s="354">
        <v>1</v>
      </c>
      <c r="J748" s="354">
        <v>1</v>
      </c>
      <c r="K748" s="354">
        <v>0</v>
      </c>
      <c r="L748" s="354">
        <v>0</v>
      </c>
      <c r="M748" s="355">
        <v>2</v>
      </c>
      <c r="N748" s="355">
        <v>2</v>
      </c>
    </row>
    <row r="749" spans="1:14" hidden="1" x14ac:dyDescent="0.25">
      <c r="A749" s="354">
        <v>0</v>
      </c>
      <c r="B749" s="354">
        <v>3</v>
      </c>
      <c r="C749" s="354">
        <v>1</v>
      </c>
      <c r="D749" s="354">
        <v>3</v>
      </c>
      <c r="E749" s="354">
        <v>2</v>
      </c>
      <c r="F749" s="354">
        <v>4</v>
      </c>
      <c r="G749" s="354">
        <v>0</v>
      </c>
      <c r="H749" s="354">
        <v>0</v>
      </c>
      <c r="I749" s="354">
        <v>2</v>
      </c>
      <c r="J749" s="354">
        <v>6</v>
      </c>
      <c r="K749" s="354">
        <v>0</v>
      </c>
      <c r="L749" s="354">
        <v>1</v>
      </c>
      <c r="M749" s="355">
        <v>5</v>
      </c>
      <c r="N749" s="355">
        <v>17</v>
      </c>
    </row>
    <row r="750" spans="1:14" hidden="1" x14ac:dyDescent="0.25">
      <c r="A750" s="354">
        <v>0</v>
      </c>
      <c r="B750" s="354">
        <v>0</v>
      </c>
      <c r="C750" s="354">
        <v>0</v>
      </c>
      <c r="D750" s="354">
        <v>0</v>
      </c>
      <c r="E750" s="354">
        <v>0</v>
      </c>
      <c r="F750" s="354">
        <v>0</v>
      </c>
      <c r="G750" s="354">
        <v>0</v>
      </c>
      <c r="H750" s="354">
        <v>0</v>
      </c>
      <c r="I750" s="354">
        <v>0</v>
      </c>
      <c r="J750" s="354">
        <v>0</v>
      </c>
      <c r="K750" s="354">
        <v>1</v>
      </c>
      <c r="L750" s="354">
        <v>0</v>
      </c>
      <c r="M750" s="355">
        <v>1</v>
      </c>
      <c r="N750" s="355">
        <v>0</v>
      </c>
    </row>
    <row r="751" spans="1:14" hidden="1" x14ac:dyDescent="0.25">
      <c r="A751" s="354">
        <v>1</v>
      </c>
      <c r="B751" s="354">
        <v>0</v>
      </c>
      <c r="C751" s="354">
        <v>2</v>
      </c>
      <c r="D751" s="354">
        <v>0</v>
      </c>
      <c r="E751" s="354">
        <v>0</v>
      </c>
      <c r="F751" s="354">
        <v>2</v>
      </c>
      <c r="G751" s="354">
        <v>0</v>
      </c>
      <c r="H751" s="354">
        <v>1</v>
      </c>
      <c r="I751" s="354">
        <v>0</v>
      </c>
      <c r="J751" s="354">
        <v>2</v>
      </c>
      <c r="K751" s="354">
        <v>1</v>
      </c>
      <c r="L751" s="354">
        <v>0</v>
      </c>
      <c r="M751" s="355">
        <v>4</v>
      </c>
      <c r="N751" s="355">
        <v>5</v>
      </c>
    </row>
    <row r="752" spans="1:14" hidden="1" x14ac:dyDescent="0.25">
      <c r="A752" s="354">
        <v>0</v>
      </c>
      <c r="B752" s="354">
        <v>0</v>
      </c>
      <c r="C752" s="354">
        <v>1</v>
      </c>
      <c r="D752" s="354">
        <v>0</v>
      </c>
      <c r="E752" s="354">
        <v>0</v>
      </c>
      <c r="F752" s="354">
        <v>0</v>
      </c>
      <c r="G752" s="354">
        <v>0</v>
      </c>
      <c r="H752" s="354">
        <v>0</v>
      </c>
      <c r="I752" s="354">
        <v>0</v>
      </c>
      <c r="J752" s="354">
        <v>1</v>
      </c>
      <c r="K752" s="354">
        <v>0</v>
      </c>
      <c r="L752" s="354">
        <v>0</v>
      </c>
      <c r="M752" s="355">
        <v>1</v>
      </c>
      <c r="N752" s="355">
        <v>1</v>
      </c>
    </row>
    <row r="753" spans="1:14" hidden="1" x14ac:dyDescent="0.25">
      <c r="A753" s="354">
        <v>0</v>
      </c>
      <c r="B753" s="354">
        <v>1</v>
      </c>
      <c r="C753" s="354">
        <v>0</v>
      </c>
      <c r="D753" s="354">
        <v>0</v>
      </c>
      <c r="E753" s="354">
        <v>2</v>
      </c>
      <c r="F753" s="354">
        <v>1</v>
      </c>
      <c r="G753" s="354">
        <v>2</v>
      </c>
      <c r="H753" s="354">
        <v>0</v>
      </c>
      <c r="I753" s="354">
        <v>2</v>
      </c>
      <c r="J753" s="354">
        <v>1</v>
      </c>
      <c r="K753" s="354">
        <v>1</v>
      </c>
      <c r="L753" s="354">
        <v>1</v>
      </c>
      <c r="M753" s="355">
        <v>7</v>
      </c>
      <c r="N753" s="355">
        <v>4</v>
      </c>
    </row>
    <row r="754" spans="1:14" hidden="1" x14ac:dyDescent="0.25">
      <c r="A754" s="354">
        <v>0</v>
      </c>
      <c r="B754" s="354">
        <v>0</v>
      </c>
      <c r="C754" s="354">
        <v>0</v>
      </c>
      <c r="D754" s="354">
        <v>0</v>
      </c>
      <c r="E754" s="354">
        <v>2</v>
      </c>
      <c r="F754" s="354">
        <v>0</v>
      </c>
      <c r="G754" s="354">
        <v>1</v>
      </c>
      <c r="H754" s="354">
        <v>1</v>
      </c>
      <c r="I754" s="354">
        <v>2</v>
      </c>
      <c r="J754" s="354">
        <v>1</v>
      </c>
      <c r="K754" s="354">
        <v>0</v>
      </c>
      <c r="L754" s="354">
        <v>0</v>
      </c>
      <c r="M754" s="355">
        <v>5</v>
      </c>
      <c r="N754" s="355">
        <v>2</v>
      </c>
    </row>
    <row r="755" spans="1:14" hidden="1" x14ac:dyDescent="0.25">
      <c r="A755" s="354">
        <v>1</v>
      </c>
      <c r="B755" s="354">
        <v>0</v>
      </c>
      <c r="C755" s="354">
        <v>0</v>
      </c>
      <c r="D755" s="354">
        <v>0</v>
      </c>
      <c r="E755" s="354">
        <v>1</v>
      </c>
      <c r="F755" s="354">
        <v>0</v>
      </c>
      <c r="G755" s="354">
        <v>0</v>
      </c>
      <c r="H755" s="354">
        <v>0</v>
      </c>
      <c r="I755" s="354">
        <v>1</v>
      </c>
      <c r="J755" s="354">
        <v>1</v>
      </c>
      <c r="K755" s="354">
        <v>0</v>
      </c>
      <c r="L755" s="354">
        <v>0</v>
      </c>
      <c r="M755" s="355">
        <v>3</v>
      </c>
      <c r="N755" s="355">
        <v>1</v>
      </c>
    </row>
    <row r="756" spans="1:14" hidden="1" x14ac:dyDescent="0.25">
      <c r="A756" s="354">
        <v>0</v>
      </c>
      <c r="B756" s="354">
        <v>0</v>
      </c>
      <c r="C756" s="354">
        <v>1</v>
      </c>
      <c r="D756" s="354">
        <v>1</v>
      </c>
      <c r="E756" s="354">
        <v>2</v>
      </c>
      <c r="F756" s="354">
        <v>1</v>
      </c>
      <c r="G756" s="354">
        <v>0</v>
      </c>
      <c r="H756" s="354">
        <v>1</v>
      </c>
      <c r="I756" s="354">
        <v>2</v>
      </c>
      <c r="J756" s="354">
        <v>1</v>
      </c>
      <c r="K756" s="354">
        <v>0</v>
      </c>
      <c r="L756" s="354">
        <v>0</v>
      </c>
      <c r="M756" s="355">
        <v>5</v>
      </c>
      <c r="N756" s="355">
        <v>4</v>
      </c>
    </row>
    <row r="757" spans="1:14" hidden="1" x14ac:dyDescent="0.25">
      <c r="A757" s="354">
        <v>1</v>
      </c>
      <c r="B757" s="354">
        <v>1</v>
      </c>
      <c r="C757" s="354">
        <v>0</v>
      </c>
      <c r="D757" s="354">
        <v>1</v>
      </c>
      <c r="E757" s="354">
        <v>1</v>
      </c>
      <c r="F757" s="354">
        <v>0</v>
      </c>
      <c r="G757" s="354">
        <v>0</v>
      </c>
      <c r="H757" s="354">
        <v>0</v>
      </c>
      <c r="I757" s="354">
        <v>1</v>
      </c>
      <c r="J757" s="354">
        <v>1</v>
      </c>
      <c r="K757" s="354">
        <v>0</v>
      </c>
      <c r="L757" s="354">
        <v>0</v>
      </c>
      <c r="M757" s="355">
        <v>3</v>
      </c>
      <c r="N757" s="355">
        <v>3</v>
      </c>
    </row>
    <row r="758" spans="1:14" hidden="1" x14ac:dyDescent="0.25">
      <c r="A758" s="354">
        <v>0</v>
      </c>
      <c r="B758" s="354">
        <v>1</v>
      </c>
      <c r="C758" s="354">
        <v>0</v>
      </c>
      <c r="D758" s="354">
        <v>1</v>
      </c>
      <c r="E758" s="354">
        <v>1</v>
      </c>
      <c r="F758" s="354">
        <v>2</v>
      </c>
      <c r="G758" s="354">
        <v>1</v>
      </c>
      <c r="H758" s="354">
        <v>0</v>
      </c>
      <c r="I758" s="354">
        <v>0</v>
      </c>
      <c r="J758" s="354">
        <v>1</v>
      </c>
      <c r="K758" s="354">
        <v>0</v>
      </c>
      <c r="L758" s="354">
        <v>0</v>
      </c>
      <c r="M758" s="355">
        <v>2</v>
      </c>
      <c r="N758" s="355">
        <v>5</v>
      </c>
    </row>
    <row r="759" spans="1:14" hidden="1" x14ac:dyDescent="0.25">
      <c r="A759" s="354">
        <v>1</v>
      </c>
      <c r="B759" s="354">
        <v>1</v>
      </c>
      <c r="C759" s="354">
        <v>0</v>
      </c>
      <c r="D759" s="354">
        <v>1</v>
      </c>
      <c r="E759" s="354">
        <v>0</v>
      </c>
      <c r="F759" s="354">
        <v>0</v>
      </c>
      <c r="G759" s="354">
        <v>1</v>
      </c>
      <c r="H759" s="354">
        <v>0</v>
      </c>
      <c r="I759" s="354">
        <v>1</v>
      </c>
      <c r="J759" s="354">
        <v>1</v>
      </c>
      <c r="K759" s="354">
        <v>0</v>
      </c>
      <c r="L759" s="354">
        <v>0</v>
      </c>
      <c r="M759" s="355">
        <v>3</v>
      </c>
      <c r="N759" s="355">
        <v>3</v>
      </c>
    </row>
    <row r="760" spans="1:14" hidden="1" x14ac:dyDescent="0.25">
      <c r="A760" s="354">
        <v>1</v>
      </c>
      <c r="B760" s="354">
        <v>1</v>
      </c>
      <c r="C760" s="354">
        <v>1</v>
      </c>
      <c r="D760" s="354">
        <v>1</v>
      </c>
      <c r="E760" s="354">
        <v>0</v>
      </c>
      <c r="F760" s="354">
        <v>1</v>
      </c>
      <c r="G760" s="354">
        <v>0</v>
      </c>
      <c r="H760" s="354">
        <v>1</v>
      </c>
      <c r="I760" s="354">
        <v>1</v>
      </c>
      <c r="J760" s="354">
        <v>1</v>
      </c>
      <c r="K760" s="354">
        <v>0</v>
      </c>
      <c r="L760" s="354">
        <v>0</v>
      </c>
      <c r="M760" s="355">
        <v>3</v>
      </c>
      <c r="N760" s="355">
        <v>5</v>
      </c>
    </row>
    <row r="761" spans="1:14" hidden="1" x14ac:dyDescent="0.25">
      <c r="A761" s="354">
        <v>1</v>
      </c>
      <c r="B761" s="354">
        <v>1</v>
      </c>
      <c r="C761" s="354">
        <v>0</v>
      </c>
      <c r="D761" s="354">
        <v>1</v>
      </c>
      <c r="E761" s="354">
        <v>0</v>
      </c>
      <c r="F761" s="354">
        <v>1</v>
      </c>
      <c r="G761" s="354">
        <v>1</v>
      </c>
      <c r="H761" s="354">
        <v>0</v>
      </c>
      <c r="I761" s="354">
        <v>1</v>
      </c>
      <c r="J761" s="354">
        <v>1</v>
      </c>
      <c r="K761" s="354">
        <v>1</v>
      </c>
      <c r="L761" s="354">
        <v>0</v>
      </c>
      <c r="M761" s="355">
        <v>4</v>
      </c>
      <c r="N761" s="355">
        <v>4</v>
      </c>
    </row>
    <row r="762" spans="1:14" hidden="1" x14ac:dyDescent="0.25">
      <c r="A762" s="354">
        <v>1</v>
      </c>
      <c r="B762" s="354">
        <v>1</v>
      </c>
      <c r="C762" s="354">
        <v>0</v>
      </c>
      <c r="D762" s="354">
        <v>1</v>
      </c>
      <c r="E762" s="354">
        <v>0</v>
      </c>
      <c r="F762" s="354">
        <v>1</v>
      </c>
      <c r="G762" s="354">
        <v>0</v>
      </c>
      <c r="H762" s="354">
        <v>1</v>
      </c>
      <c r="I762" s="354">
        <v>1</v>
      </c>
      <c r="J762" s="354">
        <v>1</v>
      </c>
      <c r="K762" s="354">
        <v>0</v>
      </c>
      <c r="L762" s="354">
        <v>1</v>
      </c>
      <c r="M762" s="355">
        <v>2</v>
      </c>
      <c r="N762" s="355">
        <v>6</v>
      </c>
    </row>
    <row r="763" spans="1:14" hidden="1" x14ac:dyDescent="0.25">
      <c r="A763" s="354">
        <v>0</v>
      </c>
      <c r="B763" s="354">
        <v>1</v>
      </c>
      <c r="C763" s="354">
        <v>1</v>
      </c>
      <c r="D763" s="354">
        <v>0</v>
      </c>
      <c r="E763" s="354">
        <v>1</v>
      </c>
      <c r="F763" s="354">
        <v>0</v>
      </c>
      <c r="G763" s="354">
        <v>1</v>
      </c>
      <c r="H763" s="354">
        <v>0</v>
      </c>
      <c r="I763" s="354">
        <v>1</v>
      </c>
      <c r="J763" s="354">
        <v>1</v>
      </c>
      <c r="K763" s="354">
        <v>0</v>
      </c>
      <c r="L763" s="354">
        <v>0</v>
      </c>
      <c r="M763" s="355">
        <v>4</v>
      </c>
      <c r="N763" s="355">
        <v>2</v>
      </c>
    </row>
    <row r="764" spans="1:14" hidden="1" x14ac:dyDescent="0.25">
      <c r="A764" s="354">
        <v>0</v>
      </c>
      <c r="B764" s="354">
        <v>0</v>
      </c>
      <c r="C764" s="354">
        <v>0</v>
      </c>
      <c r="D764" s="354">
        <v>0</v>
      </c>
      <c r="E764" s="354">
        <v>0</v>
      </c>
      <c r="F764" s="354">
        <v>0</v>
      </c>
      <c r="G764" s="354">
        <v>0</v>
      </c>
      <c r="H764" s="354">
        <v>0</v>
      </c>
      <c r="I764" s="354">
        <v>2</v>
      </c>
      <c r="J764" s="354">
        <v>2</v>
      </c>
      <c r="K764" s="354">
        <v>0</v>
      </c>
      <c r="L764" s="354">
        <v>0</v>
      </c>
      <c r="M764" s="355">
        <v>2</v>
      </c>
      <c r="N764" s="355">
        <v>2</v>
      </c>
    </row>
    <row r="765" spans="1:14" hidden="1" x14ac:dyDescent="0.25">
      <c r="A765" s="354">
        <v>1</v>
      </c>
      <c r="B765" s="354">
        <v>1</v>
      </c>
      <c r="C765" s="354">
        <v>0</v>
      </c>
      <c r="D765" s="354">
        <v>0</v>
      </c>
      <c r="E765" s="354">
        <v>0</v>
      </c>
      <c r="F765" s="354">
        <v>0</v>
      </c>
      <c r="G765" s="354">
        <v>0</v>
      </c>
      <c r="H765" s="354">
        <v>0</v>
      </c>
      <c r="I765" s="354">
        <v>1</v>
      </c>
      <c r="J765" s="354">
        <v>1</v>
      </c>
      <c r="K765" s="354">
        <v>0</v>
      </c>
      <c r="L765" s="354">
        <v>0</v>
      </c>
      <c r="M765" s="355">
        <v>2</v>
      </c>
      <c r="N765" s="355">
        <v>2</v>
      </c>
    </row>
    <row r="766" spans="1:14" hidden="1" x14ac:dyDescent="0.25">
      <c r="A766" s="354">
        <v>0</v>
      </c>
      <c r="B766" s="354">
        <v>0</v>
      </c>
      <c r="C766" s="354">
        <v>1</v>
      </c>
      <c r="D766" s="354">
        <v>0</v>
      </c>
      <c r="E766" s="354">
        <v>0</v>
      </c>
      <c r="F766" s="354">
        <v>0</v>
      </c>
      <c r="G766" s="354">
        <v>0</v>
      </c>
      <c r="H766" s="354">
        <v>0</v>
      </c>
      <c r="I766" s="354">
        <v>1</v>
      </c>
      <c r="J766" s="354">
        <v>1</v>
      </c>
      <c r="K766" s="354">
        <v>0</v>
      </c>
      <c r="L766" s="354">
        <v>0</v>
      </c>
      <c r="M766" s="355">
        <v>2</v>
      </c>
      <c r="N766" s="355">
        <v>1</v>
      </c>
    </row>
    <row r="767" spans="1:14" hidden="1" x14ac:dyDescent="0.25">
      <c r="A767" s="354">
        <v>0</v>
      </c>
      <c r="B767" s="354">
        <v>1</v>
      </c>
      <c r="C767" s="354">
        <v>0</v>
      </c>
      <c r="D767" s="354">
        <v>0</v>
      </c>
      <c r="E767" s="354">
        <v>0</v>
      </c>
      <c r="F767" s="354">
        <v>0</v>
      </c>
      <c r="G767" s="354">
        <v>0</v>
      </c>
      <c r="H767" s="354">
        <v>0</v>
      </c>
      <c r="I767" s="354">
        <v>1</v>
      </c>
      <c r="J767" s="354">
        <v>1</v>
      </c>
      <c r="K767" s="354">
        <v>0</v>
      </c>
      <c r="L767" s="354">
        <v>0</v>
      </c>
      <c r="M767" s="355">
        <v>1</v>
      </c>
      <c r="N767" s="355">
        <v>2</v>
      </c>
    </row>
    <row r="768" spans="1:14" hidden="1" x14ac:dyDescent="0.25">
      <c r="A768" s="354">
        <v>0</v>
      </c>
      <c r="B768" s="354">
        <v>0</v>
      </c>
      <c r="C768" s="354">
        <v>0</v>
      </c>
      <c r="D768" s="354">
        <v>0</v>
      </c>
      <c r="E768" s="354">
        <v>0</v>
      </c>
      <c r="F768" s="354">
        <v>0</v>
      </c>
      <c r="G768" s="354">
        <v>0</v>
      </c>
      <c r="H768" s="354">
        <v>0</v>
      </c>
      <c r="I768" s="354">
        <v>1</v>
      </c>
      <c r="J768" s="354">
        <v>0</v>
      </c>
      <c r="K768" s="354">
        <v>0</v>
      </c>
      <c r="L768" s="354">
        <v>0</v>
      </c>
      <c r="M768" s="355">
        <v>1</v>
      </c>
      <c r="N768" s="355">
        <v>0</v>
      </c>
    </row>
    <row r="769" spans="1:14" hidden="1" x14ac:dyDescent="0.25">
      <c r="A769" s="354">
        <v>0</v>
      </c>
      <c r="B769" s="354">
        <v>1</v>
      </c>
      <c r="C769" s="354">
        <v>1</v>
      </c>
      <c r="D769" s="354">
        <v>0</v>
      </c>
      <c r="E769" s="354">
        <v>1</v>
      </c>
      <c r="F769" s="354">
        <v>0</v>
      </c>
      <c r="G769" s="354">
        <v>0</v>
      </c>
      <c r="H769" s="354">
        <v>0</v>
      </c>
      <c r="I769" s="354">
        <v>1</v>
      </c>
      <c r="J769" s="354">
        <v>1</v>
      </c>
      <c r="K769" s="354">
        <v>0</v>
      </c>
      <c r="L769" s="354">
        <v>0</v>
      </c>
      <c r="M769" s="355">
        <v>3</v>
      </c>
      <c r="N769" s="355">
        <v>2</v>
      </c>
    </row>
    <row r="770" spans="1:14" hidden="1" x14ac:dyDescent="0.25">
      <c r="A770" s="354">
        <v>0</v>
      </c>
      <c r="B770" s="354">
        <v>0</v>
      </c>
      <c r="C770" s="354">
        <v>0</v>
      </c>
      <c r="D770" s="354">
        <v>0</v>
      </c>
      <c r="E770" s="354">
        <v>0</v>
      </c>
      <c r="F770" s="354">
        <v>3</v>
      </c>
      <c r="G770" s="354">
        <v>1</v>
      </c>
      <c r="H770" s="354">
        <v>2</v>
      </c>
      <c r="I770" s="354">
        <v>1</v>
      </c>
      <c r="J770" s="354">
        <v>1</v>
      </c>
      <c r="K770" s="354">
        <v>1</v>
      </c>
      <c r="L770" s="354">
        <v>0</v>
      </c>
      <c r="M770" s="355">
        <v>3</v>
      </c>
      <c r="N770" s="355">
        <v>6</v>
      </c>
    </row>
    <row r="771" spans="1:14" hidden="1" x14ac:dyDescent="0.25">
      <c r="A771" s="354">
        <v>3</v>
      </c>
      <c r="B771" s="354">
        <v>0</v>
      </c>
      <c r="C771" s="354">
        <v>5</v>
      </c>
      <c r="D771" s="354">
        <v>4</v>
      </c>
      <c r="E771" s="354">
        <v>2</v>
      </c>
      <c r="F771" s="354">
        <v>4</v>
      </c>
      <c r="G771" s="354">
        <v>1</v>
      </c>
      <c r="H771" s="354">
        <v>1</v>
      </c>
      <c r="I771" s="354">
        <v>2</v>
      </c>
      <c r="J771" s="354">
        <v>7</v>
      </c>
      <c r="K771" s="354">
        <v>0</v>
      </c>
      <c r="L771" s="354">
        <v>1</v>
      </c>
      <c r="M771" s="355">
        <v>13</v>
      </c>
      <c r="N771" s="355">
        <v>17</v>
      </c>
    </row>
    <row r="772" spans="1:14" hidden="1" x14ac:dyDescent="0.25">
      <c r="A772" s="354">
        <v>0</v>
      </c>
      <c r="B772" s="354">
        <v>1</v>
      </c>
      <c r="C772" s="354">
        <v>1</v>
      </c>
      <c r="D772" s="354">
        <v>1</v>
      </c>
      <c r="E772" s="354">
        <v>1</v>
      </c>
      <c r="F772" s="354">
        <v>1</v>
      </c>
      <c r="G772" s="354">
        <v>0</v>
      </c>
      <c r="H772" s="354">
        <v>0</v>
      </c>
      <c r="I772" s="354">
        <v>1</v>
      </c>
      <c r="J772" s="354">
        <v>2</v>
      </c>
      <c r="K772" s="354">
        <v>0</v>
      </c>
      <c r="L772" s="354">
        <v>0</v>
      </c>
      <c r="M772" s="355">
        <v>3</v>
      </c>
      <c r="N772" s="355">
        <v>5</v>
      </c>
    </row>
    <row r="773" spans="1:14" hidden="1" x14ac:dyDescent="0.25">
      <c r="A773" s="354">
        <v>0</v>
      </c>
      <c r="B773" s="354">
        <v>0</v>
      </c>
      <c r="C773" s="354">
        <v>0</v>
      </c>
      <c r="D773" s="354">
        <v>0</v>
      </c>
      <c r="E773" s="354">
        <v>2</v>
      </c>
      <c r="F773" s="354">
        <v>1</v>
      </c>
      <c r="G773" s="354">
        <v>0</v>
      </c>
      <c r="H773" s="354">
        <v>1</v>
      </c>
      <c r="I773" s="354">
        <v>1</v>
      </c>
      <c r="J773" s="354">
        <v>0</v>
      </c>
      <c r="K773" s="354">
        <v>0</v>
      </c>
      <c r="L773" s="354">
        <v>1</v>
      </c>
      <c r="M773" s="355">
        <v>3</v>
      </c>
      <c r="N773" s="355">
        <v>3</v>
      </c>
    </row>
    <row r="774" spans="1:14" hidden="1" x14ac:dyDescent="0.25">
      <c r="A774" s="354">
        <v>0</v>
      </c>
      <c r="B774" s="354">
        <v>1</v>
      </c>
      <c r="C774" s="354">
        <v>0</v>
      </c>
      <c r="D774" s="354">
        <v>2</v>
      </c>
      <c r="E774" s="354">
        <v>0</v>
      </c>
      <c r="F774" s="354">
        <v>0</v>
      </c>
      <c r="G774" s="354">
        <v>1</v>
      </c>
      <c r="H774" s="354">
        <v>1</v>
      </c>
      <c r="I774" s="354">
        <v>1</v>
      </c>
      <c r="J774" s="354">
        <v>1</v>
      </c>
      <c r="K774" s="354">
        <v>0</v>
      </c>
      <c r="L774" s="354">
        <v>0</v>
      </c>
      <c r="M774" s="355">
        <v>2</v>
      </c>
      <c r="N774" s="355">
        <v>5</v>
      </c>
    </row>
    <row r="775" spans="1:14" hidden="1" x14ac:dyDescent="0.25">
      <c r="A775" s="354">
        <v>1</v>
      </c>
      <c r="B775" s="354">
        <v>0</v>
      </c>
      <c r="C775" s="354">
        <v>0</v>
      </c>
      <c r="D775" s="354">
        <v>2</v>
      </c>
      <c r="E775" s="354">
        <v>0</v>
      </c>
      <c r="F775" s="354">
        <v>0</v>
      </c>
      <c r="G775" s="354">
        <v>1</v>
      </c>
      <c r="H775" s="354">
        <v>0</v>
      </c>
      <c r="I775" s="354">
        <v>1</v>
      </c>
      <c r="J775" s="354">
        <v>1</v>
      </c>
      <c r="K775" s="354">
        <v>0</v>
      </c>
      <c r="L775" s="354">
        <v>0</v>
      </c>
      <c r="M775" s="355">
        <v>3</v>
      </c>
      <c r="N775" s="355">
        <v>3</v>
      </c>
    </row>
    <row r="776" spans="1:14" hidden="1" x14ac:dyDescent="0.25">
      <c r="A776" s="354">
        <v>0</v>
      </c>
      <c r="B776" s="354">
        <v>1</v>
      </c>
      <c r="C776" s="354">
        <v>0</v>
      </c>
      <c r="D776" s="354">
        <v>1</v>
      </c>
      <c r="E776" s="354">
        <v>0</v>
      </c>
      <c r="F776" s="354">
        <v>2</v>
      </c>
      <c r="G776" s="354">
        <v>1</v>
      </c>
      <c r="H776" s="354">
        <v>0</v>
      </c>
      <c r="I776" s="354">
        <v>1</v>
      </c>
      <c r="J776" s="354">
        <v>1</v>
      </c>
      <c r="K776" s="354">
        <v>0</v>
      </c>
      <c r="L776" s="354">
        <v>0</v>
      </c>
      <c r="M776" s="355">
        <v>2</v>
      </c>
      <c r="N776" s="355">
        <v>5</v>
      </c>
    </row>
    <row r="777" spans="1:14" hidden="1" x14ac:dyDescent="0.25">
      <c r="A777" s="354">
        <v>0</v>
      </c>
      <c r="B777" s="354">
        <v>0</v>
      </c>
      <c r="C777" s="354">
        <v>2</v>
      </c>
      <c r="D777" s="354">
        <v>0</v>
      </c>
      <c r="E777" s="354">
        <v>0</v>
      </c>
      <c r="F777" s="354">
        <v>1</v>
      </c>
      <c r="G777" s="354">
        <v>0</v>
      </c>
      <c r="H777" s="354">
        <v>1</v>
      </c>
      <c r="I777" s="354">
        <v>1</v>
      </c>
      <c r="J777" s="354">
        <v>1</v>
      </c>
      <c r="K777" s="354">
        <v>0</v>
      </c>
      <c r="L777" s="354">
        <v>0</v>
      </c>
      <c r="M777" s="355">
        <v>3</v>
      </c>
      <c r="N777" s="355">
        <v>3</v>
      </c>
    </row>
    <row r="778" spans="1:14" hidden="1" x14ac:dyDescent="0.25">
      <c r="A778" s="354">
        <v>1</v>
      </c>
      <c r="B778" s="354">
        <v>1</v>
      </c>
      <c r="C778" s="354">
        <v>1</v>
      </c>
      <c r="D778" s="354">
        <v>2</v>
      </c>
      <c r="E778" s="354">
        <v>0</v>
      </c>
      <c r="F778" s="354">
        <v>2</v>
      </c>
      <c r="G778" s="354">
        <v>0</v>
      </c>
      <c r="H778" s="354">
        <v>0</v>
      </c>
      <c r="I778" s="354">
        <v>1</v>
      </c>
      <c r="J778" s="354">
        <v>1</v>
      </c>
      <c r="K778" s="354">
        <v>0</v>
      </c>
      <c r="L778" s="354">
        <v>0</v>
      </c>
      <c r="M778" s="355">
        <v>3</v>
      </c>
      <c r="N778" s="355">
        <v>6</v>
      </c>
    </row>
    <row r="779" spans="1:14" hidden="1" x14ac:dyDescent="0.25">
      <c r="A779" s="354">
        <v>0</v>
      </c>
      <c r="B779" s="354">
        <v>0</v>
      </c>
      <c r="C779" s="354">
        <v>3</v>
      </c>
      <c r="D779" s="354">
        <v>0</v>
      </c>
      <c r="E779" s="354">
        <v>1</v>
      </c>
      <c r="F779" s="354">
        <v>0</v>
      </c>
      <c r="G779" s="354">
        <v>0</v>
      </c>
      <c r="H779" s="354">
        <v>1</v>
      </c>
      <c r="I779" s="354">
        <v>1</v>
      </c>
      <c r="J779" s="354">
        <v>1</v>
      </c>
      <c r="K779" s="354">
        <v>0</v>
      </c>
      <c r="L779" s="354">
        <v>0</v>
      </c>
      <c r="M779" s="355">
        <v>5</v>
      </c>
      <c r="N779" s="355">
        <v>2</v>
      </c>
    </row>
    <row r="780" spans="1:14" hidden="1" x14ac:dyDescent="0.25">
      <c r="A780" s="354">
        <v>0</v>
      </c>
      <c r="B780" s="354">
        <v>1</v>
      </c>
      <c r="C780" s="354">
        <v>0</v>
      </c>
      <c r="D780" s="354">
        <v>0</v>
      </c>
      <c r="E780" s="354">
        <v>2</v>
      </c>
      <c r="F780" s="354">
        <v>1</v>
      </c>
      <c r="G780" s="354">
        <v>0</v>
      </c>
      <c r="H780" s="354">
        <v>0</v>
      </c>
      <c r="I780" s="354">
        <v>1</v>
      </c>
      <c r="J780" s="354">
        <v>1</v>
      </c>
      <c r="K780" s="354">
        <v>0</v>
      </c>
      <c r="L780" s="354">
        <v>0</v>
      </c>
      <c r="M780" s="355">
        <v>3</v>
      </c>
      <c r="N780" s="355">
        <v>3</v>
      </c>
    </row>
    <row r="781" spans="1:14" hidden="1" x14ac:dyDescent="0.25">
      <c r="A781" s="354">
        <v>0</v>
      </c>
      <c r="B781" s="354">
        <v>0</v>
      </c>
      <c r="C781" s="354">
        <v>1</v>
      </c>
      <c r="D781" s="354">
        <v>0</v>
      </c>
      <c r="E781" s="354">
        <v>0</v>
      </c>
      <c r="F781" s="354">
        <v>2</v>
      </c>
      <c r="G781" s="354">
        <v>1</v>
      </c>
      <c r="H781" s="354">
        <v>0</v>
      </c>
      <c r="I781" s="354">
        <v>1</v>
      </c>
      <c r="J781" s="354">
        <v>1</v>
      </c>
      <c r="K781" s="354">
        <v>0</v>
      </c>
      <c r="L781" s="354">
        <v>0</v>
      </c>
      <c r="M781" s="355">
        <v>3</v>
      </c>
      <c r="N781" s="355">
        <v>3</v>
      </c>
    </row>
    <row r="782" spans="1:14" hidden="1" x14ac:dyDescent="0.25">
      <c r="A782" s="354">
        <v>1</v>
      </c>
      <c r="B782" s="354">
        <v>0</v>
      </c>
      <c r="C782" s="354">
        <v>0</v>
      </c>
      <c r="D782" s="354">
        <v>1</v>
      </c>
      <c r="E782" s="354">
        <v>1</v>
      </c>
      <c r="F782" s="354">
        <v>1</v>
      </c>
      <c r="G782" s="354">
        <v>0</v>
      </c>
      <c r="H782" s="354">
        <v>0</v>
      </c>
      <c r="I782" s="354">
        <v>1</v>
      </c>
      <c r="J782" s="354">
        <v>1</v>
      </c>
      <c r="K782" s="354">
        <v>0</v>
      </c>
      <c r="L782" s="354">
        <v>0</v>
      </c>
      <c r="M782" s="355">
        <v>3</v>
      </c>
      <c r="N782" s="355">
        <v>3</v>
      </c>
    </row>
    <row r="783" spans="1:14" hidden="1" x14ac:dyDescent="0.25">
      <c r="A783" s="354">
        <v>0</v>
      </c>
      <c r="B783" s="354">
        <v>0</v>
      </c>
      <c r="C783" s="354">
        <v>1</v>
      </c>
      <c r="D783" s="354">
        <v>0</v>
      </c>
      <c r="E783" s="354">
        <v>1</v>
      </c>
      <c r="F783" s="354">
        <v>0</v>
      </c>
      <c r="G783" s="354">
        <v>0</v>
      </c>
      <c r="H783" s="354">
        <v>2</v>
      </c>
      <c r="I783" s="354">
        <v>2</v>
      </c>
      <c r="J783" s="354">
        <v>1</v>
      </c>
      <c r="K783" s="354">
        <v>0</v>
      </c>
      <c r="L783" s="354">
        <v>0</v>
      </c>
      <c r="M783" s="355">
        <v>4</v>
      </c>
      <c r="N783" s="355">
        <v>3</v>
      </c>
    </row>
    <row r="784" spans="1:14" hidden="1" x14ac:dyDescent="0.25">
      <c r="A784" s="354">
        <v>1</v>
      </c>
      <c r="B784" s="354">
        <v>0</v>
      </c>
      <c r="C784" s="354">
        <v>1</v>
      </c>
      <c r="D784" s="354">
        <v>2</v>
      </c>
      <c r="E784" s="354">
        <v>0</v>
      </c>
      <c r="F784" s="354">
        <v>0</v>
      </c>
      <c r="G784" s="354">
        <v>0</v>
      </c>
      <c r="H784" s="354">
        <v>0</v>
      </c>
      <c r="I784" s="354">
        <v>1</v>
      </c>
      <c r="J784" s="354">
        <v>1</v>
      </c>
      <c r="K784" s="354">
        <v>0</v>
      </c>
      <c r="L784" s="354">
        <v>0</v>
      </c>
      <c r="M784" s="355">
        <v>3</v>
      </c>
      <c r="N784" s="355">
        <v>3</v>
      </c>
    </row>
    <row r="785" spans="1:14" hidden="1" x14ac:dyDescent="0.25">
      <c r="A785" s="354">
        <v>0</v>
      </c>
      <c r="B785" s="354">
        <v>0</v>
      </c>
      <c r="C785" s="354">
        <v>1</v>
      </c>
      <c r="D785" s="354">
        <v>2</v>
      </c>
      <c r="E785" s="354">
        <v>0</v>
      </c>
      <c r="F785" s="354">
        <v>1</v>
      </c>
      <c r="G785" s="354">
        <v>0</v>
      </c>
      <c r="H785" s="354">
        <v>0</v>
      </c>
      <c r="I785" s="354">
        <v>1</v>
      </c>
      <c r="J785" s="354">
        <v>1</v>
      </c>
      <c r="K785" s="354">
        <v>0</v>
      </c>
      <c r="L785" s="354">
        <v>0</v>
      </c>
      <c r="M785" s="355">
        <v>2</v>
      </c>
      <c r="N785" s="355">
        <v>4</v>
      </c>
    </row>
    <row r="786" spans="1:14" hidden="1" x14ac:dyDescent="0.25">
      <c r="A786" s="354">
        <v>0</v>
      </c>
      <c r="B786" s="354">
        <v>0</v>
      </c>
      <c r="C786" s="354">
        <v>3</v>
      </c>
      <c r="D786" s="354">
        <v>1</v>
      </c>
      <c r="E786" s="354">
        <v>1</v>
      </c>
      <c r="F786" s="354">
        <v>0</v>
      </c>
      <c r="G786" s="354">
        <v>1</v>
      </c>
      <c r="H786" s="354">
        <v>0</v>
      </c>
      <c r="I786" s="354">
        <v>1</v>
      </c>
      <c r="J786" s="354">
        <v>1</v>
      </c>
      <c r="K786" s="354">
        <v>0</v>
      </c>
      <c r="L786" s="354">
        <v>0</v>
      </c>
      <c r="M786" s="355">
        <v>6</v>
      </c>
      <c r="N786" s="355">
        <v>2</v>
      </c>
    </row>
    <row r="787" spans="1:14" hidden="1" x14ac:dyDescent="0.25">
      <c r="A787" s="354">
        <v>0</v>
      </c>
      <c r="B787" s="354">
        <v>0</v>
      </c>
      <c r="C787" s="354">
        <v>2</v>
      </c>
      <c r="D787" s="354">
        <v>0</v>
      </c>
      <c r="E787" s="354">
        <v>1</v>
      </c>
      <c r="F787" s="354">
        <v>2</v>
      </c>
      <c r="G787" s="354">
        <v>0</v>
      </c>
      <c r="H787" s="354">
        <v>0</v>
      </c>
      <c r="I787" s="354">
        <v>1</v>
      </c>
      <c r="J787" s="354">
        <v>1</v>
      </c>
      <c r="K787" s="354">
        <v>0</v>
      </c>
      <c r="L787" s="354">
        <v>0</v>
      </c>
      <c r="M787" s="355">
        <v>4</v>
      </c>
      <c r="N787" s="355">
        <v>3</v>
      </c>
    </row>
    <row r="788" spans="1:14" hidden="1" x14ac:dyDescent="0.25">
      <c r="A788" s="354">
        <v>1</v>
      </c>
      <c r="B788" s="354">
        <v>0</v>
      </c>
      <c r="C788" s="354">
        <v>1</v>
      </c>
      <c r="D788" s="354">
        <v>1</v>
      </c>
      <c r="E788" s="354">
        <v>0</v>
      </c>
      <c r="F788" s="354">
        <v>1</v>
      </c>
      <c r="G788" s="354">
        <v>0</v>
      </c>
      <c r="H788" s="354">
        <v>0</v>
      </c>
      <c r="I788" s="354">
        <v>1</v>
      </c>
      <c r="J788" s="354">
        <v>1</v>
      </c>
      <c r="K788" s="354">
        <v>0</v>
      </c>
      <c r="L788" s="354">
        <v>0</v>
      </c>
      <c r="M788" s="355">
        <v>3</v>
      </c>
      <c r="N788" s="355">
        <v>3</v>
      </c>
    </row>
    <row r="789" spans="1:14" hidden="1" x14ac:dyDescent="0.25">
      <c r="A789" s="354">
        <v>1</v>
      </c>
      <c r="B789" s="354">
        <v>0</v>
      </c>
      <c r="C789" s="354">
        <v>1</v>
      </c>
      <c r="D789" s="354">
        <v>1</v>
      </c>
      <c r="E789" s="354">
        <v>0</v>
      </c>
      <c r="F789" s="354">
        <v>1</v>
      </c>
      <c r="G789" s="354">
        <v>0</v>
      </c>
      <c r="H789" s="354">
        <v>0</v>
      </c>
      <c r="I789" s="354">
        <v>1</v>
      </c>
      <c r="J789" s="354">
        <v>1</v>
      </c>
      <c r="K789" s="354">
        <v>0</v>
      </c>
      <c r="L789" s="354">
        <v>0</v>
      </c>
      <c r="M789" s="355">
        <v>3</v>
      </c>
      <c r="N789" s="355">
        <v>3</v>
      </c>
    </row>
    <row r="790" spans="1:14" hidden="1" x14ac:dyDescent="0.25">
      <c r="A790" s="354">
        <v>0</v>
      </c>
      <c r="B790" s="354">
        <v>1</v>
      </c>
      <c r="C790" s="354">
        <v>0</v>
      </c>
      <c r="D790" s="354">
        <v>1</v>
      </c>
      <c r="E790" s="354">
        <v>0</v>
      </c>
      <c r="F790" s="354">
        <v>1</v>
      </c>
      <c r="G790" s="354">
        <v>0</v>
      </c>
      <c r="H790" s="354">
        <v>0</v>
      </c>
      <c r="I790" s="354">
        <v>1</v>
      </c>
      <c r="J790" s="354">
        <v>1</v>
      </c>
      <c r="K790" s="354">
        <v>0</v>
      </c>
      <c r="L790" s="354">
        <v>0</v>
      </c>
      <c r="M790" s="355">
        <v>1</v>
      </c>
      <c r="N790" s="355">
        <v>4</v>
      </c>
    </row>
    <row r="791" spans="1:14" hidden="1" x14ac:dyDescent="0.25">
      <c r="A791" s="354">
        <v>1</v>
      </c>
      <c r="B791" s="354">
        <v>0</v>
      </c>
      <c r="C791" s="354">
        <v>1</v>
      </c>
      <c r="D791" s="354">
        <v>1</v>
      </c>
      <c r="E791" s="354">
        <v>0</v>
      </c>
      <c r="F791" s="354">
        <v>2</v>
      </c>
      <c r="G791" s="354">
        <v>0</v>
      </c>
      <c r="H791" s="354">
        <v>0</v>
      </c>
      <c r="I791" s="354">
        <v>1</v>
      </c>
      <c r="J791" s="354">
        <v>1</v>
      </c>
      <c r="K791" s="354">
        <v>0</v>
      </c>
      <c r="L791" s="354">
        <v>0</v>
      </c>
      <c r="M791" s="355">
        <v>3</v>
      </c>
      <c r="N791" s="355">
        <v>4</v>
      </c>
    </row>
    <row r="792" spans="1:14" hidden="1" x14ac:dyDescent="0.25">
      <c r="A792" s="354">
        <v>1</v>
      </c>
      <c r="B792" s="354">
        <v>0</v>
      </c>
      <c r="C792" s="354">
        <v>2</v>
      </c>
      <c r="D792" s="354">
        <v>0</v>
      </c>
      <c r="E792" s="354">
        <v>0</v>
      </c>
      <c r="F792" s="354">
        <v>0</v>
      </c>
      <c r="G792" s="354">
        <v>1</v>
      </c>
      <c r="H792" s="354">
        <v>1</v>
      </c>
      <c r="I792" s="354">
        <v>1</v>
      </c>
      <c r="J792" s="354">
        <v>1</v>
      </c>
      <c r="K792" s="354">
        <v>0</v>
      </c>
      <c r="L792" s="354">
        <v>0</v>
      </c>
      <c r="M792" s="355">
        <v>5</v>
      </c>
      <c r="N792" s="355">
        <v>2</v>
      </c>
    </row>
    <row r="793" spans="1:14" hidden="1" x14ac:dyDescent="0.25">
      <c r="A793" s="354">
        <v>0</v>
      </c>
      <c r="B793" s="354">
        <v>0</v>
      </c>
      <c r="C793" s="354">
        <v>0</v>
      </c>
      <c r="D793" s="354">
        <v>0</v>
      </c>
      <c r="E793" s="354">
        <v>1</v>
      </c>
      <c r="F793" s="354">
        <v>2</v>
      </c>
      <c r="G793" s="354">
        <v>0</v>
      </c>
      <c r="H793" s="354">
        <v>0</v>
      </c>
      <c r="I793" s="354">
        <v>1</v>
      </c>
      <c r="J793" s="354">
        <v>1</v>
      </c>
      <c r="K793" s="354">
        <v>0</v>
      </c>
      <c r="L793" s="354">
        <v>0</v>
      </c>
      <c r="M793" s="355">
        <v>2</v>
      </c>
      <c r="N793" s="355">
        <v>3</v>
      </c>
    </row>
    <row r="794" spans="1:14" hidden="1" x14ac:dyDescent="0.25">
      <c r="A794" s="354">
        <v>0</v>
      </c>
      <c r="B794" s="354">
        <v>0</v>
      </c>
      <c r="C794" s="354">
        <v>0</v>
      </c>
      <c r="D794" s="354">
        <v>0</v>
      </c>
      <c r="E794" s="354">
        <v>0</v>
      </c>
      <c r="F794" s="354">
        <v>0</v>
      </c>
      <c r="G794" s="354">
        <v>1</v>
      </c>
      <c r="H794" s="354">
        <v>0</v>
      </c>
      <c r="I794" s="354">
        <v>1</v>
      </c>
      <c r="J794" s="354">
        <v>1</v>
      </c>
      <c r="K794" s="354">
        <v>0</v>
      </c>
      <c r="L794" s="354">
        <v>0</v>
      </c>
      <c r="M794" s="355">
        <v>2</v>
      </c>
      <c r="N794" s="355">
        <v>1</v>
      </c>
    </row>
    <row r="795" spans="1:14" hidden="1" x14ac:dyDescent="0.25">
      <c r="A795" s="354">
        <v>0</v>
      </c>
      <c r="B795" s="354">
        <v>0</v>
      </c>
      <c r="C795" s="354">
        <v>0</v>
      </c>
      <c r="D795" s="354">
        <v>0</v>
      </c>
      <c r="E795" s="354">
        <v>0</v>
      </c>
      <c r="F795" s="354">
        <v>1</v>
      </c>
      <c r="G795" s="354">
        <v>1</v>
      </c>
      <c r="H795" s="354">
        <v>0</v>
      </c>
      <c r="I795" s="354">
        <v>1</v>
      </c>
      <c r="J795" s="354">
        <v>1</v>
      </c>
      <c r="K795" s="354">
        <v>0</v>
      </c>
      <c r="L795" s="354">
        <v>0</v>
      </c>
      <c r="M795" s="355">
        <v>2</v>
      </c>
      <c r="N795" s="355">
        <v>2</v>
      </c>
    </row>
    <row r="796" spans="1:14" hidden="1" x14ac:dyDescent="0.25">
      <c r="A796" s="354">
        <v>0</v>
      </c>
      <c r="B796" s="354">
        <v>0</v>
      </c>
      <c r="C796" s="354">
        <v>0</v>
      </c>
      <c r="D796" s="354">
        <v>1</v>
      </c>
      <c r="E796" s="354">
        <v>2</v>
      </c>
      <c r="F796" s="354">
        <v>1</v>
      </c>
      <c r="G796" s="354">
        <v>1</v>
      </c>
      <c r="H796" s="354">
        <v>0</v>
      </c>
      <c r="I796" s="354">
        <v>1</v>
      </c>
      <c r="J796" s="354">
        <v>1</v>
      </c>
      <c r="K796" s="354">
        <v>0</v>
      </c>
      <c r="L796" s="354">
        <v>0</v>
      </c>
      <c r="M796" s="355">
        <v>4</v>
      </c>
      <c r="N796" s="355">
        <v>3</v>
      </c>
    </row>
    <row r="797" spans="1:14" hidden="1" x14ac:dyDescent="0.25">
      <c r="A797" s="354">
        <v>0</v>
      </c>
      <c r="B797" s="354">
        <v>0</v>
      </c>
      <c r="C797" s="354">
        <v>0</v>
      </c>
      <c r="D797" s="354">
        <v>0</v>
      </c>
      <c r="E797" s="354">
        <v>1</v>
      </c>
      <c r="F797" s="354">
        <v>1</v>
      </c>
      <c r="G797" s="354">
        <v>1</v>
      </c>
      <c r="H797" s="354">
        <v>0</v>
      </c>
      <c r="I797" s="354">
        <v>1</v>
      </c>
      <c r="J797" s="354">
        <v>1</v>
      </c>
      <c r="K797" s="354">
        <v>0</v>
      </c>
      <c r="L797" s="354">
        <v>0</v>
      </c>
      <c r="M797" s="355">
        <v>3</v>
      </c>
      <c r="N797" s="355">
        <v>2</v>
      </c>
    </row>
    <row r="798" spans="1:14" hidden="1" x14ac:dyDescent="0.25">
      <c r="A798" s="354">
        <v>0</v>
      </c>
      <c r="B798" s="354">
        <v>0</v>
      </c>
      <c r="C798" s="354">
        <v>0</v>
      </c>
      <c r="D798" s="354">
        <v>1</v>
      </c>
      <c r="E798" s="354">
        <v>0</v>
      </c>
      <c r="F798" s="354">
        <v>2</v>
      </c>
      <c r="G798" s="354">
        <v>1</v>
      </c>
      <c r="H798" s="354">
        <v>0</v>
      </c>
      <c r="I798" s="354">
        <v>1</v>
      </c>
      <c r="J798" s="354">
        <v>1</v>
      </c>
      <c r="K798" s="354">
        <v>0</v>
      </c>
      <c r="L798" s="354">
        <v>0</v>
      </c>
      <c r="M798" s="355">
        <v>2</v>
      </c>
      <c r="N798" s="355">
        <v>4</v>
      </c>
    </row>
    <row r="799" spans="1:14" hidden="1" x14ac:dyDescent="0.25">
      <c r="A799" s="354">
        <v>0</v>
      </c>
      <c r="B799" s="354">
        <v>0</v>
      </c>
      <c r="C799" s="354">
        <v>2</v>
      </c>
      <c r="D799" s="354">
        <v>0</v>
      </c>
      <c r="E799" s="354">
        <v>1</v>
      </c>
      <c r="F799" s="354">
        <v>0</v>
      </c>
      <c r="G799" s="354">
        <v>1</v>
      </c>
      <c r="H799" s="354">
        <v>0</v>
      </c>
      <c r="I799" s="354">
        <v>1</v>
      </c>
      <c r="J799" s="354">
        <v>1</v>
      </c>
      <c r="K799" s="354">
        <v>0</v>
      </c>
      <c r="L799" s="354">
        <v>0</v>
      </c>
      <c r="M799" s="355">
        <v>5</v>
      </c>
      <c r="N799" s="355">
        <v>1</v>
      </c>
    </row>
    <row r="800" spans="1:14" hidden="1" x14ac:dyDescent="0.25">
      <c r="A800" s="354">
        <v>0</v>
      </c>
      <c r="B800" s="354">
        <v>0</v>
      </c>
      <c r="C800" s="354">
        <v>0</v>
      </c>
      <c r="D800" s="354">
        <v>0</v>
      </c>
      <c r="E800" s="354">
        <v>2</v>
      </c>
      <c r="F800" s="354">
        <v>1</v>
      </c>
      <c r="G800" s="354">
        <v>1</v>
      </c>
      <c r="H800" s="354">
        <v>0</v>
      </c>
      <c r="I800" s="354">
        <v>1</v>
      </c>
      <c r="J800" s="354">
        <v>0</v>
      </c>
      <c r="K800" s="354">
        <v>0</v>
      </c>
      <c r="L800" s="354">
        <v>0</v>
      </c>
      <c r="M800" s="355">
        <v>4</v>
      </c>
      <c r="N800" s="355">
        <v>1</v>
      </c>
    </row>
    <row r="801" spans="1:14" hidden="1" x14ac:dyDescent="0.25">
      <c r="A801" s="354">
        <v>0</v>
      </c>
      <c r="B801" s="354">
        <v>0</v>
      </c>
      <c r="C801" s="354">
        <v>0</v>
      </c>
      <c r="D801" s="354">
        <v>0</v>
      </c>
      <c r="E801" s="354">
        <v>3</v>
      </c>
      <c r="F801" s="354">
        <v>2</v>
      </c>
      <c r="G801" s="354">
        <v>1</v>
      </c>
      <c r="H801" s="354">
        <v>0</v>
      </c>
      <c r="I801" s="354">
        <v>1</v>
      </c>
      <c r="J801" s="354">
        <v>1</v>
      </c>
      <c r="K801" s="354">
        <v>0</v>
      </c>
      <c r="L801" s="354">
        <v>0</v>
      </c>
      <c r="M801" s="355">
        <v>5</v>
      </c>
      <c r="N801" s="355">
        <v>3</v>
      </c>
    </row>
    <row r="802" spans="1:14" hidden="1" x14ac:dyDescent="0.25">
      <c r="A802" s="354">
        <v>0</v>
      </c>
      <c r="B802" s="354">
        <v>1</v>
      </c>
      <c r="C802" s="354">
        <v>0</v>
      </c>
      <c r="D802" s="354">
        <v>1</v>
      </c>
      <c r="E802" s="354">
        <v>1</v>
      </c>
      <c r="F802" s="354">
        <v>1</v>
      </c>
      <c r="G802" s="354">
        <v>0</v>
      </c>
      <c r="H802" s="354">
        <v>0</v>
      </c>
      <c r="I802" s="354">
        <v>1</v>
      </c>
      <c r="J802" s="354">
        <v>1</v>
      </c>
      <c r="K802" s="354">
        <v>0</v>
      </c>
      <c r="L802" s="354">
        <v>0</v>
      </c>
      <c r="M802" s="355">
        <v>2</v>
      </c>
      <c r="N802" s="355">
        <v>4</v>
      </c>
    </row>
    <row r="803" spans="1:14" hidden="1" x14ac:dyDescent="0.25">
      <c r="A803" s="354">
        <v>0</v>
      </c>
      <c r="B803" s="354">
        <v>0</v>
      </c>
      <c r="C803" s="354">
        <v>0</v>
      </c>
      <c r="D803" s="354">
        <v>0</v>
      </c>
      <c r="E803" s="354">
        <v>2</v>
      </c>
      <c r="F803" s="354">
        <v>3</v>
      </c>
      <c r="G803" s="354">
        <v>1</v>
      </c>
      <c r="H803" s="354">
        <v>1</v>
      </c>
      <c r="I803" s="354">
        <v>1</v>
      </c>
      <c r="J803" s="354">
        <v>1</v>
      </c>
      <c r="K803" s="354">
        <v>0</v>
      </c>
      <c r="L803" s="354">
        <v>0</v>
      </c>
      <c r="M803" s="355">
        <v>4</v>
      </c>
      <c r="N803" s="355">
        <v>5</v>
      </c>
    </row>
    <row r="804" spans="1:14" hidden="1" x14ac:dyDescent="0.25">
      <c r="A804" s="354">
        <v>0</v>
      </c>
      <c r="B804" s="354">
        <v>0</v>
      </c>
      <c r="C804" s="354">
        <v>0</v>
      </c>
      <c r="D804" s="354">
        <v>0</v>
      </c>
      <c r="E804" s="354">
        <v>1</v>
      </c>
      <c r="F804" s="354">
        <v>1</v>
      </c>
      <c r="G804" s="354">
        <v>2</v>
      </c>
      <c r="H804" s="354">
        <v>3</v>
      </c>
      <c r="I804" s="354">
        <v>1</v>
      </c>
      <c r="J804" s="354">
        <v>1</v>
      </c>
      <c r="K804" s="354">
        <v>0</v>
      </c>
      <c r="L804" s="354">
        <v>1</v>
      </c>
      <c r="M804" s="355">
        <v>4</v>
      </c>
      <c r="N804" s="355">
        <v>6</v>
      </c>
    </row>
    <row r="805" spans="1:14" hidden="1" x14ac:dyDescent="0.25">
      <c r="A805" s="354">
        <v>1</v>
      </c>
      <c r="B805" s="354">
        <v>0</v>
      </c>
      <c r="C805" s="354">
        <v>1</v>
      </c>
      <c r="D805" s="354">
        <v>1</v>
      </c>
      <c r="E805" s="354">
        <v>2</v>
      </c>
      <c r="F805" s="354">
        <v>1</v>
      </c>
      <c r="G805" s="354">
        <v>0</v>
      </c>
      <c r="H805" s="354">
        <v>0</v>
      </c>
      <c r="I805" s="354">
        <v>1</v>
      </c>
      <c r="J805" s="354">
        <v>1</v>
      </c>
      <c r="K805" s="354">
        <v>0</v>
      </c>
      <c r="L805" s="354">
        <v>0</v>
      </c>
      <c r="M805" s="355">
        <v>5</v>
      </c>
      <c r="N805" s="355">
        <v>3</v>
      </c>
    </row>
    <row r="806" spans="1:14" hidden="1" x14ac:dyDescent="0.25">
      <c r="A806" s="354">
        <v>1</v>
      </c>
      <c r="B806" s="354">
        <v>1</v>
      </c>
      <c r="C806" s="354">
        <v>0</v>
      </c>
      <c r="D806" s="354">
        <v>0</v>
      </c>
      <c r="E806" s="354">
        <v>1</v>
      </c>
      <c r="F806" s="354">
        <v>1</v>
      </c>
      <c r="G806" s="354">
        <v>0</v>
      </c>
      <c r="H806" s="354">
        <v>0</v>
      </c>
      <c r="I806" s="354">
        <v>1</v>
      </c>
      <c r="J806" s="354">
        <v>1</v>
      </c>
      <c r="K806" s="354">
        <v>0</v>
      </c>
      <c r="L806" s="354">
        <v>0</v>
      </c>
      <c r="M806" s="355">
        <v>3</v>
      </c>
      <c r="N806" s="355">
        <v>3</v>
      </c>
    </row>
    <row r="807" spans="1:14" hidden="1" x14ac:dyDescent="0.25">
      <c r="A807" s="354">
        <v>1</v>
      </c>
      <c r="B807" s="354">
        <v>1</v>
      </c>
      <c r="C807" s="354">
        <v>0</v>
      </c>
      <c r="D807" s="354">
        <v>0</v>
      </c>
      <c r="E807" s="354">
        <v>1</v>
      </c>
      <c r="F807" s="354">
        <v>1</v>
      </c>
      <c r="G807" s="354">
        <v>0</v>
      </c>
      <c r="H807" s="354">
        <v>0</v>
      </c>
      <c r="I807" s="354">
        <v>1</v>
      </c>
      <c r="J807" s="354">
        <v>1</v>
      </c>
      <c r="K807" s="354">
        <v>0</v>
      </c>
      <c r="L807" s="354">
        <v>0</v>
      </c>
      <c r="M807" s="355">
        <v>3</v>
      </c>
      <c r="N807" s="355">
        <v>3</v>
      </c>
    </row>
    <row r="808" spans="1:14" hidden="1" x14ac:dyDescent="0.25">
      <c r="A808" s="354">
        <v>1</v>
      </c>
      <c r="B808" s="354">
        <v>1</v>
      </c>
      <c r="C808" s="354">
        <v>1</v>
      </c>
      <c r="D808" s="354">
        <v>1</v>
      </c>
      <c r="E808" s="354">
        <v>0</v>
      </c>
      <c r="F808" s="354">
        <v>1</v>
      </c>
      <c r="G808" s="354">
        <v>1</v>
      </c>
      <c r="H808" s="354">
        <v>0</v>
      </c>
      <c r="I808" s="354">
        <v>1</v>
      </c>
      <c r="J808" s="354">
        <v>1</v>
      </c>
      <c r="K808" s="354">
        <v>0</v>
      </c>
      <c r="L808" s="354">
        <v>0</v>
      </c>
      <c r="M808" s="355">
        <v>4</v>
      </c>
      <c r="N808" s="355">
        <v>4</v>
      </c>
    </row>
    <row r="809" spans="1:14" hidden="1" x14ac:dyDescent="0.25">
      <c r="A809" s="354">
        <v>2</v>
      </c>
      <c r="B809" s="354">
        <v>0</v>
      </c>
      <c r="C809" s="354">
        <v>0</v>
      </c>
      <c r="D809" s="354">
        <v>0</v>
      </c>
      <c r="E809" s="354">
        <v>0</v>
      </c>
      <c r="F809" s="354">
        <v>1</v>
      </c>
      <c r="G809" s="354">
        <v>0</v>
      </c>
      <c r="H809" s="354">
        <v>1</v>
      </c>
      <c r="I809" s="354">
        <v>1</v>
      </c>
      <c r="J809" s="354">
        <v>1</v>
      </c>
      <c r="K809" s="354">
        <v>0</v>
      </c>
      <c r="L809" s="354">
        <v>0</v>
      </c>
      <c r="M809" s="355">
        <v>3</v>
      </c>
      <c r="N809" s="355">
        <v>3</v>
      </c>
    </row>
    <row r="810" spans="1:14" hidden="1" x14ac:dyDescent="0.25">
      <c r="A810" s="354">
        <v>1</v>
      </c>
      <c r="B810" s="354">
        <v>0</v>
      </c>
      <c r="C810" s="354">
        <v>0</v>
      </c>
      <c r="D810" s="354">
        <v>0</v>
      </c>
      <c r="E810" s="354">
        <v>0</v>
      </c>
      <c r="F810" s="354">
        <v>0</v>
      </c>
      <c r="G810" s="354">
        <v>2</v>
      </c>
      <c r="H810" s="354">
        <v>1</v>
      </c>
      <c r="I810" s="354">
        <v>1</v>
      </c>
      <c r="J810" s="354">
        <v>1</v>
      </c>
      <c r="K810" s="354">
        <v>0</v>
      </c>
      <c r="L810" s="354">
        <v>0</v>
      </c>
      <c r="M810" s="355">
        <v>4</v>
      </c>
      <c r="N810" s="355">
        <v>2</v>
      </c>
    </row>
    <row r="811" spans="1:14" hidden="1" x14ac:dyDescent="0.25">
      <c r="A811" s="354">
        <v>0</v>
      </c>
      <c r="B811" s="354">
        <v>0</v>
      </c>
      <c r="C811" s="354">
        <v>0</v>
      </c>
      <c r="D811" s="354">
        <v>1</v>
      </c>
      <c r="E811" s="354">
        <v>1</v>
      </c>
      <c r="F811" s="354">
        <v>0</v>
      </c>
      <c r="G811" s="354">
        <v>3</v>
      </c>
      <c r="H811" s="354">
        <v>2</v>
      </c>
      <c r="I811" s="354">
        <v>1</v>
      </c>
      <c r="J811" s="354">
        <v>1</v>
      </c>
      <c r="K811" s="354">
        <v>0</v>
      </c>
      <c r="L811" s="354">
        <v>0</v>
      </c>
      <c r="M811" s="355">
        <v>5</v>
      </c>
      <c r="N811" s="355">
        <v>4</v>
      </c>
    </row>
    <row r="812" spans="1:14" hidden="1" x14ac:dyDescent="0.25">
      <c r="A812" s="354">
        <v>0</v>
      </c>
      <c r="B812" s="354">
        <v>0</v>
      </c>
      <c r="C812" s="354">
        <v>0</v>
      </c>
      <c r="D812" s="354">
        <v>0</v>
      </c>
      <c r="E812" s="354">
        <v>0</v>
      </c>
      <c r="F812" s="354">
        <v>0</v>
      </c>
      <c r="G812" s="354">
        <v>0</v>
      </c>
      <c r="H812" s="354">
        <v>0</v>
      </c>
      <c r="I812" s="354">
        <v>1</v>
      </c>
      <c r="J812" s="354">
        <v>1</v>
      </c>
      <c r="K812" s="354">
        <v>0</v>
      </c>
      <c r="L812" s="354">
        <v>0</v>
      </c>
      <c r="M812" s="355">
        <v>1</v>
      </c>
      <c r="N812" s="355">
        <v>1</v>
      </c>
    </row>
    <row r="813" spans="1:14" hidden="1" x14ac:dyDescent="0.25">
      <c r="A813" s="354">
        <v>0</v>
      </c>
      <c r="B813" s="354">
        <v>0</v>
      </c>
      <c r="C813" s="354">
        <v>0</v>
      </c>
      <c r="D813" s="354">
        <v>3</v>
      </c>
      <c r="E813" s="354">
        <v>0</v>
      </c>
      <c r="F813" s="354">
        <v>1</v>
      </c>
      <c r="G813" s="354">
        <v>3</v>
      </c>
      <c r="H813" s="354">
        <v>0</v>
      </c>
      <c r="I813" s="354">
        <v>1</v>
      </c>
      <c r="J813" s="354">
        <v>2</v>
      </c>
      <c r="K813" s="354">
        <v>0</v>
      </c>
      <c r="L813" s="354">
        <v>0</v>
      </c>
      <c r="M813" s="355">
        <v>4</v>
      </c>
      <c r="N813" s="355">
        <v>6</v>
      </c>
    </row>
    <row r="814" spans="1:14" hidden="1" x14ac:dyDescent="0.25">
      <c r="A814" s="354">
        <v>1</v>
      </c>
      <c r="B814" s="354">
        <v>0</v>
      </c>
      <c r="C814" s="354">
        <v>1</v>
      </c>
      <c r="D814" s="354">
        <v>1</v>
      </c>
      <c r="E814" s="354">
        <v>0</v>
      </c>
      <c r="F814" s="354">
        <v>0</v>
      </c>
      <c r="G814" s="354">
        <v>0</v>
      </c>
      <c r="H814" s="354">
        <v>0</v>
      </c>
      <c r="I814" s="354">
        <v>1</v>
      </c>
      <c r="J814" s="354">
        <v>1</v>
      </c>
      <c r="K814" s="354">
        <v>0</v>
      </c>
      <c r="L814" s="354">
        <v>0</v>
      </c>
      <c r="M814" s="355">
        <v>3</v>
      </c>
      <c r="N814" s="355">
        <v>2</v>
      </c>
    </row>
    <row r="815" spans="1:14" hidden="1" x14ac:dyDescent="0.25">
      <c r="A815" s="354">
        <v>1</v>
      </c>
      <c r="B815" s="354">
        <v>1</v>
      </c>
      <c r="C815" s="354">
        <v>0</v>
      </c>
      <c r="D815" s="354">
        <v>1</v>
      </c>
      <c r="E815" s="354">
        <v>0</v>
      </c>
      <c r="F815" s="354">
        <v>1</v>
      </c>
      <c r="G815" s="354">
        <v>0</v>
      </c>
      <c r="H815" s="354">
        <v>0</v>
      </c>
      <c r="I815" s="354">
        <v>1</v>
      </c>
      <c r="J815" s="354">
        <v>1</v>
      </c>
      <c r="K815" s="354">
        <v>0</v>
      </c>
      <c r="L815" s="354">
        <v>0</v>
      </c>
      <c r="M815" s="355">
        <v>2</v>
      </c>
      <c r="N815" s="355">
        <v>4</v>
      </c>
    </row>
    <row r="816" spans="1:14" hidden="1" x14ac:dyDescent="0.25">
      <c r="A816" s="354">
        <v>1</v>
      </c>
      <c r="B816" s="354">
        <v>0</v>
      </c>
      <c r="C816" s="354">
        <v>1</v>
      </c>
      <c r="D816" s="354">
        <v>0</v>
      </c>
      <c r="E816" s="354">
        <v>1</v>
      </c>
      <c r="F816" s="354">
        <v>1</v>
      </c>
      <c r="G816" s="354">
        <v>0</v>
      </c>
      <c r="H816" s="354">
        <v>0</v>
      </c>
      <c r="I816" s="354">
        <v>1</v>
      </c>
      <c r="J816" s="354">
        <v>1</v>
      </c>
      <c r="K816" s="354">
        <v>0</v>
      </c>
      <c r="L816" s="354">
        <v>0</v>
      </c>
      <c r="M816" s="355">
        <v>4</v>
      </c>
      <c r="N816" s="355">
        <v>2</v>
      </c>
    </row>
    <row r="817" spans="1:14" hidden="1" x14ac:dyDescent="0.25">
      <c r="A817" s="354">
        <v>0</v>
      </c>
      <c r="B817" s="354">
        <v>0</v>
      </c>
      <c r="C817" s="354">
        <v>1</v>
      </c>
      <c r="D817" s="354">
        <v>0</v>
      </c>
      <c r="E817" s="354">
        <v>2</v>
      </c>
      <c r="F817" s="354">
        <v>1</v>
      </c>
      <c r="G817" s="354">
        <v>1</v>
      </c>
      <c r="H817" s="354">
        <v>0</v>
      </c>
      <c r="I817" s="354">
        <v>2</v>
      </c>
      <c r="J817" s="354">
        <v>1</v>
      </c>
      <c r="K817" s="354">
        <v>0</v>
      </c>
      <c r="L817" s="354">
        <v>0</v>
      </c>
      <c r="M817" s="355">
        <v>6</v>
      </c>
      <c r="N817" s="355">
        <v>2</v>
      </c>
    </row>
    <row r="818" spans="1:14" hidden="1" x14ac:dyDescent="0.25">
      <c r="A818" s="354">
        <v>0</v>
      </c>
      <c r="B818" s="354">
        <v>0</v>
      </c>
      <c r="C818" s="354">
        <v>0</v>
      </c>
      <c r="D818" s="354">
        <v>1</v>
      </c>
      <c r="E818" s="354">
        <v>1</v>
      </c>
      <c r="F818" s="354">
        <v>2</v>
      </c>
      <c r="G818" s="354">
        <v>2</v>
      </c>
      <c r="H818" s="354">
        <v>0</v>
      </c>
      <c r="I818" s="354">
        <v>1</v>
      </c>
      <c r="J818" s="354">
        <v>1</v>
      </c>
      <c r="K818" s="354">
        <v>0</v>
      </c>
      <c r="L818" s="354">
        <v>0</v>
      </c>
      <c r="M818" s="355">
        <v>4</v>
      </c>
      <c r="N818" s="355">
        <v>4</v>
      </c>
    </row>
    <row r="819" spans="1:14" hidden="1" x14ac:dyDescent="0.25">
      <c r="A819" s="354">
        <v>0</v>
      </c>
      <c r="B819" s="354">
        <v>0</v>
      </c>
      <c r="C819" s="354">
        <v>0</v>
      </c>
      <c r="D819" s="354">
        <v>1</v>
      </c>
      <c r="E819" s="354">
        <v>2</v>
      </c>
      <c r="F819" s="354">
        <v>0</v>
      </c>
      <c r="G819" s="354">
        <v>2</v>
      </c>
      <c r="H819" s="354">
        <v>0</v>
      </c>
      <c r="I819" s="354">
        <v>2</v>
      </c>
      <c r="J819" s="354">
        <v>1</v>
      </c>
      <c r="K819" s="354">
        <v>0</v>
      </c>
      <c r="L819" s="354">
        <v>0</v>
      </c>
      <c r="M819" s="355">
        <v>6</v>
      </c>
      <c r="N819" s="355">
        <v>2</v>
      </c>
    </row>
    <row r="820" spans="1:14" hidden="1" x14ac:dyDescent="0.25">
      <c r="A820" s="354">
        <v>0</v>
      </c>
      <c r="B820" s="354">
        <v>1</v>
      </c>
      <c r="C820" s="354">
        <v>0</v>
      </c>
      <c r="D820" s="354">
        <v>1</v>
      </c>
      <c r="E820" s="354">
        <v>2</v>
      </c>
      <c r="F820" s="354">
        <v>1</v>
      </c>
      <c r="G820" s="354">
        <v>1</v>
      </c>
      <c r="H820" s="354">
        <v>1</v>
      </c>
      <c r="I820" s="354">
        <v>2</v>
      </c>
      <c r="J820" s="354">
        <v>1</v>
      </c>
      <c r="K820" s="354">
        <v>0</v>
      </c>
      <c r="L820" s="354">
        <v>0</v>
      </c>
      <c r="M820" s="355">
        <v>5</v>
      </c>
      <c r="N820" s="355">
        <v>5</v>
      </c>
    </row>
    <row r="821" spans="1:14" hidden="1" x14ac:dyDescent="0.25">
      <c r="A821" s="354">
        <v>0</v>
      </c>
      <c r="B821" s="354">
        <v>0</v>
      </c>
      <c r="C821" s="354">
        <v>1</v>
      </c>
      <c r="D821" s="354">
        <v>1</v>
      </c>
      <c r="E821" s="354">
        <v>5</v>
      </c>
      <c r="F821" s="354">
        <v>0</v>
      </c>
      <c r="G821" s="354">
        <v>0</v>
      </c>
      <c r="H821" s="354">
        <v>0</v>
      </c>
      <c r="I821" s="354">
        <v>1</v>
      </c>
      <c r="J821" s="354">
        <v>1</v>
      </c>
      <c r="K821" s="354">
        <v>0</v>
      </c>
      <c r="L821" s="354">
        <v>0</v>
      </c>
      <c r="M821" s="355">
        <v>7</v>
      </c>
      <c r="N821" s="355">
        <v>2</v>
      </c>
    </row>
    <row r="822" spans="1:14" hidden="1" x14ac:dyDescent="0.25">
      <c r="A822" s="354">
        <v>0</v>
      </c>
      <c r="B822" s="354">
        <v>1</v>
      </c>
      <c r="C822" s="354">
        <v>1</v>
      </c>
      <c r="D822" s="354">
        <v>1</v>
      </c>
      <c r="E822" s="354">
        <v>2</v>
      </c>
      <c r="F822" s="354">
        <v>1</v>
      </c>
      <c r="G822" s="354">
        <v>0</v>
      </c>
      <c r="H822" s="354">
        <v>0</v>
      </c>
      <c r="I822" s="354">
        <v>0</v>
      </c>
      <c r="J822" s="354">
        <v>0</v>
      </c>
      <c r="K822" s="354">
        <v>1</v>
      </c>
      <c r="L822" s="354">
        <v>0</v>
      </c>
      <c r="M822" s="355">
        <v>4</v>
      </c>
      <c r="N822" s="355">
        <v>3</v>
      </c>
    </row>
    <row r="823" spans="1:14" hidden="1" x14ac:dyDescent="0.25">
      <c r="A823" s="354">
        <v>4</v>
      </c>
      <c r="B823" s="354">
        <v>6</v>
      </c>
      <c r="C823" s="354">
        <v>2</v>
      </c>
      <c r="D823" s="354">
        <v>3</v>
      </c>
      <c r="E823" s="354">
        <v>6</v>
      </c>
      <c r="F823" s="354">
        <v>1</v>
      </c>
      <c r="G823" s="354">
        <v>0</v>
      </c>
      <c r="H823" s="354">
        <v>0</v>
      </c>
      <c r="I823" s="354">
        <v>0</v>
      </c>
      <c r="J823" s="354">
        <v>6</v>
      </c>
      <c r="K823" s="354">
        <v>0</v>
      </c>
      <c r="L823" s="354">
        <v>0</v>
      </c>
      <c r="M823" s="355">
        <v>12</v>
      </c>
      <c r="N823" s="355">
        <v>16</v>
      </c>
    </row>
    <row r="824" spans="1:14" hidden="1" x14ac:dyDescent="0.25">
      <c r="A824" s="354">
        <v>1</v>
      </c>
      <c r="B824" s="354">
        <v>0</v>
      </c>
      <c r="C824" s="354">
        <v>1</v>
      </c>
      <c r="D824" s="354">
        <v>1</v>
      </c>
      <c r="E824" s="354">
        <v>0</v>
      </c>
      <c r="F824" s="354">
        <v>1</v>
      </c>
      <c r="G824" s="354">
        <v>0</v>
      </c>
      <c r="H824" s="354">
        <v>0</v>
      </c>
      <c r="I824" s="354">
        <v>1</v>
      </c>
      <c r="J824" s="354">
        <v>1</v>
      </c>
      <c r="K824" s="354">
        <v>0</v>
      </c>
      <c r="L824" s="354">
        <v>0</v>
      </c>
      <c r="M824" s="355">
        <v>3</v>
      </c>
      <c r="N824" s="355">
        <v>3</v>
      </c>
    </row>
    <row r="825" spans="1:14" hidden="1" x14ac:dyDescent="0.25">
      <c r="A825" s="354">
        <v>1</v>
      </c>
      <c r="B825" s="354">
        <v>0</v>
      </c>
      <c r="C825" s="354">
        <v>0</v>
      </c>
      <c r="D825" s="354">
        <v>0</v>
      </c>
      <c r="E825" s="354">
        <v>0</v>
      </c>
      <c r="F825" s="354">
        <v>0</v>
      </c>
      <c r="G825" s="354">
        <v>0</v>
      </c>
      <c r="H825" s="354">
        <v>0</v>
      </c>
      <c r="I825" s="354">
        <v>3</v>
      </c>
      <c r="J825" s="354">
        <v>2</v>
      </c>
      <c r="K825" s="354">
        <v>0</v>
      </c>
      <c r="L825" s="354">
        <v>0</v>
      </c>
      <c r="M825" s="355">
        <v>4</v>
      </c>
      <c r="N825" s="355">
        <v>2</v>
      </c>
    </row>
    <row r="826" spans="1:14" hidden="1" x14ac:dyDescent="0.25">
      <c r="A826" s="354">
        <v>0</v>
      </c>
      <c r="B826" s="354">
        <v>0</v>
      </c>
      <c r="C826" s="354">
        <v>0</v>
      </c>
      <c r="D826" s="354">
        <v>0</v>
      </c>
      <c r="E826" s="354">
        <v>4</v>
      </c>
      <c r="F826" s="354">
        <v>1</v>
      </c>
      <c r="G826" s="354">
        <v>0</v>
      </c>
      <c r="H826" s="354">
        <v>0</v>
      </c>
      <c r="I826" s="354">
        <v>0</v>
      </c>
      <c r="J826" s="354">
        <v>2</v>
      </c>
      <c r="K826" s="354">
        <v>0</v>
      </c>
      <c r="L826" s="354">
        <v>0</v>
      </c>
      <c r="M826" s="355">
        <v>4</v>
      </c>
      <c r="N826" s="355">
        <v>3</v>
      </c>
    </row>
    <row r="827" spans="1:14" hidden="1" x14ac:dyDescent="0.25">
      <c r="A827" s="354">
        <v>0</v>
      </c>
      <c r="B827" s="354">
        <v>1</v>
      </c>
      <c r="C827" s="354">
        <v>0</v>
      </c>
      <c r="D827" s="354">
        <v>1</v>
      </c>
      <c r="E827" s="354">
        <v>2</v>
      </c>
      <c r="F827" s="354">
        <v>2</v>
      </c>
      <c r="G827" s="354">
        <v>0</v>
      </c>
      <c r="H827" s="354">
        <v>0</v>
      </c>
      <c r="I827" s="354">
        <v>0</v>
      </c>
      <c r="J827" s="354">
        <v>1</v>
      </c>
      <c r="K827" s="354">
        <v>1</v>
      </c>
      <c r="L827" s="354">
        <v>0</v>
      </c>
      <c r="M827" s="355">
        <v>3</v>
      </c>
      <c r="N827" s="355">
        <v>5</v>
      </c>
    </row>
    <row r="828" spans="1:14" hidden="1" x14ac:dyDescent="0.25">
      <c r="A828" s="354">
        <v>0</v>
      </c>
      <c r="B828" s="354">
        <v>0</v>
      </c>
      <c r="C828" s="354">
        <v>0</v>
      </c>
      <c r="D828" s="354">
        <v>0</v>
      </c>
      <c r="E828" s="354">
        <v>0</v>
      </c>
      <c r="F828" s="354">
        <v>0</v>
      </c>
      <c r="G828" s="354">
        <v>0</v>
      </c>
      <c r="H828" s="354">
        <v>0</v>
      </c>
      <c r="I828" s="354">
        <v>0</v>
      </c>
      <c r="J828" s="354">
        <v>0</v>
      </c>
      <c r="K828" s="354">
        <v>0</v>
      </c>
      <c r="L828" s="354">
        <v>1</v>
      </c>
      <c r="M828" s="355">
        <v>0</v>
      </c>
      <c r="N828" s="355">
        <v>1</v>
      </c>
    </row>
    <row r="829" spans="1:14" hidden="1" x14ac:dyDescent="0.25">
      <c r="A829" s="354">
        <v>2</v>
      </c>
      <c r="B829" s="354">
        <v>0</v>
      </c>
      <c r="C829" s="354">
        <v>3</v>
      </c>
      <c r="D829" s="354">
        <v>1</v>
      </c>
      <c r="E829" s="354">
        <v>0</v>
      </c>
      <c r="F829" s="354">
        <v>0</v>
      </c>
      <c r="G829" s="354">
        <v>2</v>
      </c>
      <c r="H829" s="354">
        <v>2</v>
      </c>
      <c r="I829" s="354">
        <v>2</v>
      </c>
      <c r="J829" s="354">
        <v>1</v>
      </c>
      <c r="K829" s="354">
        <v>0</v>
      </c>
      <c r="L829" s="354">
        <v>0</v>
      </c>
      <c r="M829" s="355">
        <v>9</v>
      </c>
      <c r="N829" s="355">
        <v>4</v>
      </c>
    </row>
    <row r="830" spans="1:14" hidden="1" x14ac:dyDescent="0.25">
      <c r="A830" s="354">
        <v>0</v>
      </c>
      <c r="B830" s="354">
        <v>0</v>
      </c>
      <c r="C830" s="354">
        <v>0</v>
      </c>
      <c r="D830" s="354">
        <v>1</v>
      </c>
      <c r="E830" s="354">
        <v>3</v>
      </c>
      <c r="F830" s="354">
        <v>0</v>
      </c>
      <c r="G830" s="354">
        <v>1</v>
      </c>
      <c r="H830" s="354">
        <v>1</v>
      </c>
      <c r="I830" s="354">
        <v>0</v>
      </c>
      <c r="J830" s="354">
        <v>1</v>
      </c>
      <c r="K830" s="354">
        <v>0</v>
      </c>
      <c r="L830" s="354">
        <v>0</v>
      </c>
      <c r="M830" s="355">
        <v>4</v>
      </c>
      <c r="N830" s="355">
        <v>3</v>
      </c>
    </row>
    <row r="831" spans="1:14" hidden="1" x14ac:dyDescent="0.25">
      <c r="A831" s="354">
        <v>0</v>
      </c>
      <c r="B831" s="354">
        <v>2</v>
      </c>
      <c r="C831" s="354">
        <v>1</v>
      </c>
      <c r="D831" s="354">
        <v>4</v>
      </c>
      <c r="E831" s="354">
        <v>1</v>
      </c>
      <c r="F831" s="354">
        <v>0</v>
      </c>
      <c r="G831" s="354">
        <v>0</v>
      </c>
      <c r="H831" s="354">
        <v>0</v>
      </c>
      <c r="I831" s="354">
        <v>2</v>
      </c>
      <c r="J831" s="354">
        <v>3</v>
      </c>
      <c r="K831" s="354">
        <v>1</v>
      </c>
      <c r="L831" s="354">
        <v>0</v>
      </c>
      <c r="M831" s="355">
        <v>5</v>
      </c>
      <c r="N831" s="355">
        <v>9</v>
      </c>
    </row>
    <row r="832" spans="1:14" hidden="1" x14ac:dyDescent="0.25">
      <c r="A832" s="354">
        <v>1</v>
      </c>
      <c r="B832" s="354">
        <v>0</v>
      </c>
      <c r="C832" s="354">
        <v>1</v>
      </c>
      <c r="D832" s="354">
        <v>1</v>
      </c>
      <c r="E832" s="354">
        <v>1</v>
      </c>
      <c r="F832" s="354">
        <v>0</v>
      </c>
      <c r="G832" s="354">
        <v>0</v>
      </c>
      <c r="H832" s="354">
        <v>0</v>
      </c>
      <c r="I832" s="354">
        <v>0</v>
      </c>
      <c r="J832" s="354">
        <v>1</v>
      </c>
      <c r="K832" s="354">
        <v>0</v>
      </c>
      <c r="L832" s="354">
        <v>0</v>
      </c>
      <c r="M832" s="355">
        <v>3</v>
      </c>
      <c r="N832" s="355">
        <v>2</v>
      </c>
    </row>
    <row r="833" spans="1:14" hidden="1" x14ac:dyDescent="0.25">
      <c r="A833" s="354">
        <v>0</v>
      </c>
      <c r="B833" s="354">
        <v>1</v>
      </c>
      <c r="C833" s="354">
        <v>0</v>
      </c>
      <c r="D833" s="354">
        <v>1</v>
      </c>
      <c r="E833" s="354">
        <v>1</v>
      </c>
      <c r="F833" s="354">
        <v>1</v>
      </c>
      <c r="G833" s="354">
        <v>0</v>
      </c>
      <c r="H833" s="354">
        <v>1</v>
      </c>
      <c r="I833" s="354">
        <v>1</v>
      </c>
      <c r="J833" s="354">
        <v>1</v>
      </c>
      <c r="K833" s="354">
        <v>0</v>
      </c>
      <c r="L833" s="354">
        <v>0</v>
      </c>
      <c r="M833" s="355">
        <v>2</v>
      </c>
      <c r="N833" s="355">
        <v>5</v>
      </c>
    </row>
    <row r="834" spans="1:14" hidden="1" x14ac:dyDescent="0.25">
      <c r="A834" s="354">
        <v>1</v>
      </c>
      <c r="B834" s="354">
        <v>0</v>
      </c>
      <c r="C834" s="354">
        <v>1</v>
      </c>
      <c r="D834" s="354">
        <v>0</v>
      </c>
      <c r="E834" s="354">
        <v>1</v>
      </c>
      <c r="F834" s="354">
        <v>1</v>
      </c>
      <c r="G834" s="354">
        <v>1</v>
      </c>
      <c r="H834" s="354">
        <v>1</v>
      </c>
      <c r="I834" s="354">
        <v>1</v>
      </c>
      <c r="J834" s="354">
        <v>1</v>
      </c>
      <c r="K834" s="354">
        <v>0</v>
      </c>
      <c r="L834" s="354">
        <v>1</v>
      </c>
      <c r="M834" s="355">
        <v>5</v>
      </c>
      <c r="N834" s="355">
        <v>4</v>
      </c>
    </row>
    <row r="835" spans="1:14" hidden="1" x14ac:dyDescent="0.25">
      <c r="A835" s="354">
        <v>1</v>
      </c>
      <c r="B835" s="354">
        <v>0</v>
      </c>
      <c r="C835" s="354">
        <v>1</v>
      </c>
      <c r="D835" s="354">
        <v>0</v>
      </c>
      <c r="E835" s="354">
        <v>1</v>
      </c>
      <c r="F835" s="354">
        <v>1</v>
      </c>
      <c r="G835" s="354">
        <v>0</v>
      </c>
      <c r="H835" s="354">
        <v>0</v>
      </c>
      <c r="I835" s="354">
        <v>1</v>
      </c>
      <c r="J835" s="354">
        <v>1</v>
      </c>
      <c r="K835" s="354">
        <v>0</v>
      </c>
      <c r="L835" s="354">
        <v>0</v>
      </c>
      <c r="M835" s="355">
        <v>4</v>
      </c>
      <c r="N835" s="355">
        <v>2</v>
      </c>
    </row>
    <row r="836" spans="1:14" hidden="1" x14ac:dyDescent="0.25">
      <c r="A836" s="354">
        <v>1</v>
      </c>
      <c r="B836" s="354">
        <v>0</v>
      </c>
      <c r="C836" s="354">
        <v>1</v>
      </c>
      <c r="D836" s="354">
        <v>1</v>
      </c>
      <c r="E836" s="354">
        <v>1</v>
      </c>
      <c r="F836" s="354">
        <v>0</v>
      </c>
      <c r="G836" s="354">
        <v>0</v>
      </c>
      <c r="H836" s="354">
        <v>1</v>
      </c>
      <c r="I836" s="354">
        <v>1</v>
      </c>
      <c r="J836" s="354">
        <v>1</v>
      </c>
      <c r="K836" s="354">
        <v>0</v>
      </c>
      <c r="L836" s="354">
        <v>0</v>
      </c>
      <c r="M836" s="355">
        <v>4</v>
      </c>
      <c r="N836" s="355">
        <v>3</v>
      </c>
    </row>
    <row r="837" spans="1:14" hidden="1" x14ac:dyDescent="0.25">
      <c r="A837" s="354">
        <v>1</v>
      </c>
      <c r="B837" s="354">
        <v>1</v>
      </c>
      <c r="C837" s="354">
        <v>1</v>
      </c>
      <c r="D837" s="354">
        <v>2</v>
      </c>
      <c r="E837" s="354">
        <v>0</v>
      </c>
      <c r="F837" s="354">
        <v>0</v>
      </c>
      <c r="G837" s="354">
        <v>1</v>
      </c>
      <c r="H837" s="354">
        <v>1</v>
      </c>
      <c r="I837" s="354">
        <v>1</v>
      </c>
      <c r="J837" s="354">
        <v>2</v>
      </c>
      <c r="K837" s="354">
        <v>0</v>
      </c>
      <c r="L837" s="354">
        <v>0</v>
      </c>
      <c r="M837" s="355">
        <v>4</v>
      </c>
      <c r="N837" s="355">
        <v>6</v>
      </c>
    </row>
    <row r="838" spans="1:14" hidden="1" x14ac:dyDescent="0.25">
      <c r="A838" s="354">
        <v>2</v>
      </c>
      <c r="B838" s="354">
        <v>1</v>
      </c>
      <c r="C838" s="354">
        <v>3</v>
      </c>
      <c r="D838" s="354">
        <v>2</v>
      </c>
      <c r="E838" s="354">
        <v>3</v>
      </c>
      <c r="F838" s="354">
        <v>2</v>
      </c>
      <c r="G838" s="354">
        <v>4</v>
      </c>
      <c r="H838" s="354">
        <v>3</v>
      </c>
      <c r="I838" s="354">
        <v>2</v>
      </c>
      <c r="J838" s="354">
        <v>1</v>
      </c>
      <c r="K838" s="354">
        <v>1</v>
      </c>
      <c r="L838" s="354">
        <v>1</v>
      </c>
      <c r="M838" s="355">
        <v>15</v>
      </c>
      <c r="N838" s="355">
        <v>10</v>
      </c>
    </row>
    <row r="839" spans="1:14" hidden="1" x14ac:dyDescent="0.25">
      <c r="A839" s="354">
        <v>1</v>
      </c>
      <c r="B839" s="354">
        <v>1</v>
      </c>
      <c r="C839" s="354">
        <v>3</v>
      </c>
      <c r="D839" s="354">
        <v>2</v>
      </c>
      <c r="E839" s="354">
        <v>4</v>
      </c>
      <c r="F839" s="354">
        <v>5</v>
      </c>
      <c r="G839" s="354">
        <v>2</v>
      </c>
      <c r="H839" s="354">
        <v>1</v>
      </c>
      <c r="I839" s="354">
        <v>1</v>
      </c>
      <c r="J839" s="354">
        <v>2</v>
      </c>
      <c r="K839" s="354">
        <v>0</v>
      </c>
      <c r="L839" s="354">
        <v>1</v>
      </c>
      <c r="M839" s="355">
        <v>11</v>
      </c>
      <c r="N839" s="355">
        <v>12</v>
      </c>
    </row>
    <row r="840" spans="1:14" hidden="1" x14ac:dyDescent="0.25">
      <c r="A840" s="354">
        <v>0</v>
      </c>
      <c r="B840" s="354">
        <v>2</v>
      </c>
      <c r="C840" s="354">
        <v>1</v>
      </c>
      <c r="D840" s="354">
        <v>0</v>
      </c>
      <c r="E840" s="354">
        <v>3</v>
      </c>
      <c r="F840" s="354">
        <v>0</v>
      </c>
      <c r="G840" s="354">
        <v>0</v>
      </c>
      <c r="H840" s="354">
        <v>3</v>
      </c>
      <c r="I840" s="354">
        <v>3</v>
      </c>
      <c r="J840" s="354">
        <v>6</v>
      </c>
      <c r="K840" s="354">
        <v>0</v>
      </c>
      <c r="L840" s="354">
        <v>0</v>
      </c>
      <c r="M840" s="355">
        <v>7</v>
      </c>
      <c r="N840" s="355">
        <v>11</v>
      </c>
    </row>
    <row r="841" spans="1:14" hidden="1" x14ac:dyDescent="0.25">
      <c r="A841" s="354">
        <v>1</v>
      </c>
      <c r="B841" s="354">
        <v>0</v>
      </c>
      <c r="C841" s="354">
        <v>0</v>
      </c>
      <c r="D841" s="354">
        <v>0</v>
      </c>
      <c r="E841" s="354">
        <v>1</v>
      </c>
      <c r="F841" s="354">
        <v>3</v>
      </c>
      <c r="G841" s="354">
        <v>0</v>
      </c>
      <c r="H841" s="354">
        <v>0</v>
      </c>
      <c r="I841" s="354">
        <v>0</v>
      </c>
      <c r="J841" s="354">
        <v>2</v>
      </c>
      <c r="K841" s="354">
        <v>1</v>
      </c>
      <c r="L841" s="354">
        <v>0</v>
      </c>
      <c r="M841" s="355">
        <v>3</v>
      </c>
      <c r="N841" s="355">
        <v>5</v>
      </c>
    </row>
    <row r="842" spans="1:14" hidden="1" x14ac:dyDescent="0.25">
      <c r="A842" s="354">
        <v>0</v>
      </c>
      <c r="B842" s="354">
        <v>0</v>
      </c>
      <c r="C842" s="354">
        <v>0</v>
      </c>
      <c r="D842" s="354">
        <v>1</v>
      </c>
      <c r="E842" s="354">
        <v>0</v>
      </c>
      <c r="F842" s="354">
        <v>2</v>
      </c>
      <c r="G842" s="354">
        <v>0</v>
      </c>
      <c r="H842" s="354">
        <v>0</v>
      </c>
      <c r="I842" s="354">
        <v>0</v>
      </c>
      <c r="J842" s="354">
        <v>1</v>
      </c>
      <c r="K842" s="354">
        <v>0</v>
      </c>
      <c r="L842" s="354">
        <v>0</v>
      </c>
      <c r="M842" s="355">
        <v>0</v>
      </c>
      <c r="N842" s="355">
        <v>4</v>
      </c>
    </row>
    <row r="843" spans="1:14" hidden="1" x14ac:dyDescent="0.25">
      <c r="A843" s="354">
        <v>0</v>
      </c>
      <c r="B843" s="354">
        <v>0</v>
      </c>
      <c r="C843" s="354">
        <v>0</v>
      </c>
      <c r="D843" s="354">
        <v>0</v>
      </c>
      <c r="E843" s="354">
        <v>0</v>
      </c>
      <c r="F843" s="354">
        <v>0</v>
      </c>
      <c r="G843" s="354">
        <v>0</v>
      </c>
      <c r="H843" s="354">
        <v>0</v>
      </c>
      <c r="I843" s="354">
        <v>1</v>
      </c>
      <c r="J843" s="354">
        <v>2</v>
      </c>
      <c r="K843" s="354">
        <v>0</v>
      </c>
      <c r="L843" s="354">
        <v>0</v>
      </c>
      <c r="M843" s="355">
        <v>1</v>
      </c>
      <c r="N843" s="355">
        <v>2</v>
      </c>
    </row>
    <row r="844" spans="1:14" hidden="1" x14ac:dyDescent="0.25">
      <c r="A844" s="354">
        <v>1</v>
      </c>
      <c r="B844" s="354">
        <v>0</v>
      </c>
      <c r="C844" s="354">
        <v>2</v>
      </c>
      <c r="D844" s="354">
        <v>0</v>
      </c>
      <c r="E844" s="354">
        <v>1</v>
      </c>
      <c r="F844" s="354">
        <v>0</v>
      </c>
      <c r="G844" s="354">
        <v>0</v>
      </c>
      <c r="H844" s="354">
        <v>0</v>
      </c>
      <c r="I844" s="354">
        <v>0</v>
      </c>
      <c r="J844" s="354">
        <v>1</v>
      </c>
      <c r="K844" s="354">
        <v>1</v>
      </c>
      <c r="L844" s="354">
        <v>0</v>
      </c>
      <c r="M844" s="355">
        <v>5</v>
      </c>
      <c r="N844" s="355">
        <v>1</v>
      </c>
    </row>
    <row r="845" spans="1:14" hidden="1" x14ac:dyDescent="0.25">
      <c r="A845" s="354">
        <v>0</v>
      </c>
      <c r="B845" s="354">
        <v>1</v>
      </c>
      <c r="C845" s="354">
        <v>1</v>
      </c>
      <c r="D845" s="354">
        <v>0</v>
      </c>
      <c r="E845" s="354">
        <v>0</v>
      </c>
      <c r="F845" s="354">
        <v>1</v>
      </c>
      <c r="G845" s="354">
        <v>0</v>
      </c>
      <c r="H845" s="354">
        <v>0</v>
      </c>
      <c r="I845" s="354">
        <v>1</v>
      </c>
      <c r="J845" s="354">
        <v>1</v>
      </c>
      <c r="K845" s="354">
        <v>0</v>
      </c>
      <c r="L845" s="354">
        <v>0</v>
      </c>
      <c r="M845" s="355">
        <v>2</v>
      </c>
      <c r="N845" s="355">
        <v>3</v>
      </c>
    </row>
    <row r="846" spans="1:14" hidden="1" x14ac:dyDescent="0.25">
      <c r="A846" s="354">
        <v>1</v>
      </c>
      <c r="B846" s="354">
        <v>0</v>
      </c>
      <c r="C846" s="354">
        <v>1</v>
      </c>
      <c r="D846" s="354">
        <v>1</v>
      </c>
      <c r="E846" s="354">
        <v>0</v>
      </c>
      <c r="F846" s="354">
        <v>1</v>
      </c>
      <c r="G846" s="354">
        <v>0</v>
      </c>
      <c r="H846" s="354">
        <v>0</v>
      </c>
      <c r="I846" s="354">
        <v>1</v>
      </c>
      <c r="J846" s="354">
        <v>0</v>
      </c>
      <c r="K846" s="354">
        <v>0</v>
      </c>
      <c r="L846" s="354">
        <v>0</v>
      </c>
      <c r="M846" s="355">
        <v>3</v>
      </c>
      <c r="N846" s="355">
        <v>2</v>
      </c>
    </row>
    <row r="847" spans="1:14" hidden="1" x14ac:dyDescent="0.25">
      <c r="A847" s="354">
        <v>0</v>
      </c>
      <c r="B847" s="354">
        <v>0</v>
      </c>
      <c r="C847" s="354">
        <v>0</v>
      </c>
      <c r="D847" s="354">
        <v>0</v>
      </c>
      <c r="E847" s="354">
        <v>0</v>
      </c>
      <c r="F847" s="354">
        <v>0</v>
      </c>
      <c r="G847" s="354">
        <v>1</v>
      </c>
      <c r="H847" s="354">
        <v>1</v>
      </c>
      <c r="I847" s="354">
        <v>1</v>
      </c>
      <c r="J847" s="354">
        <v>1</v>
      </c>
      <c r="K847" s="354">
        <v>1</v>
      </c>
      <c r="L847" s="354">
        <v>0</v>
      </c>
      <c r="M847" s="355">
        <v>3</v>
      </c>
      <c r="N847" s="355">
        <v>2</v>
      </c>
    </row>
    <row r="848" spans="1:14" hidden="1" x14ac:dyDescent="0.25">
      <c r="A848" s="354">
        <v>0</v>
      </c>
      <c r="B848" s="354">
        <v>0</v>
      </c>
      <c r="C848" s="354">
        <v>0</v>
      </c>
      <c r="D848" s="354">
        <v>0</v>
      </c>
      <c r="E848" s="354">
        <v>1</v>
      </c>
      <c r="F848" s="354">
        <v>0</v>
      </c>
      <c r="G848" s="354">
        <v>0</v>
      </c>
      <c r="H848" s="354">
        <v>0</v>
      </c>
      <c r="I848" s="354">
        <v>1</v>
      </c>
      <c r="J848" s="354">
        <v>1</v>
      </c>
      <c r="K848" s="354">
        <v>0</v>
      </c>
      <c r="L848" s="354">
        <v>0</v>
      </c>
      <c r="M848" s="355">
        <v>2</v>
      </c>
      <c r="N848" s="355">
        <v>1</v>
      </c>
    </row>
    <row r="849" spans="1:14" hidden="1" x14ac:dyDescent="0.25">
      <c r="A849" s="354">
        <v>0</v>
      </c>
      <c r="B849" s="354">
        <v>0</v>
      </c>
      <c r="C849" s="354">
        <v>1</v>
      </c>
      <c r="D849" s="354">
        <v>1</v>
      </c>
      <c r="E849" s="354">
        <v>0</v>
      </c>
      <c r="F849" s="354">
        <v>0</v>
      </c>
      <c r="G849" s="354">
        <v>0</v>
      </c>
      <c r="H849" s="354">
        <v>0</v>
      </c>
      <c r="I849" s="354">
        <v>0</v>
      </c>
      <c r="J849" s="354">
        <v>1</v>
      </c>
      <c r="K849" s="354">
        <v>0</v>
      </c>
      <c r="L849" s="354">
        <v>0</v>
      </c>
      <c r="M849" s="355">
        <v>1</v>
      </c>
      <c r="N849" s="355">
        <v>2</v>
      </c>
    </row>
    <row r="850" spans="1:14" hidden="1" x14ac:dyDescent="0.25">
      <c r="A850" s="354">
        <v>0</v>
      </c>
      <c r="B850" s="354">
        <v>1</v>
      </c>
      <c r="C850" s="354">
        <v>1</v>
      </c>
      <c r="D850" s="354">
        <v>0</v>
      </c>
      <c r="E850" s="354">
        <v>0</v>
      </c>
      <c r="F850" s="354">
        <v>1</v>
      </c>
      <c r="G850" s="354">
        <v>0</v>
      </c>
      <c r="H850" s="354">
        <v>0</v>
      </c>
      <c r="I850" s="354">
        <v>1</v>
      </c>
      <c r="J850" s="354">
        <v>1</v>
      </c>
      <c r="K850" s="354">
        <v>0</v>
      </c>
      <c r="L850" s="354">
        <v>0</v>
      </c>
      <c r="M850" s="355">
        <v>2</v>
      </c>
      <c r="N850" s="355">
        <v>3</v>
      </c>
    </row>
    <row r="851" spans="1:14" hidden="1" x14ac:dyDescent="0.25">
      <c r="A851" s="354">
        <v>0</v>
      </c>
      <c r="B851" s="354">
        <v>1</v>
      </c>
      <c r="C851" s="354">
        <v>1</v>
      </c>
      <c r="D851" s="354">
        <v>1</v>
      </c>
      <c r="E851" s="354">
        <v>1</v>
      </c>
      <c r="F851" s="354">
        <v>1</v>
      </c>
      <c r="G851" s="354">
        <v>0</v>
      </c>
      <c r="H851" s="354">
        <v>1</v>
      </c>
      <c r="I851" s="354">
        <v>1</v>
      </c>
      <c r="J851" s="354">
        <v>2</v>
      </c>
      <c r="K851" s="354">
        <v>0</v>
      </c>
      <c r="L851" s="354">
        <v>0</v>
      </c>
      <c r="M851" s="355">
        <v>3</v>
      </c>
      <c r="N851" s="355">
        <v>6</v>
      </c>
    </row>
    <row r="852" spans="1:14" hidden="1" x14ac:dyDescent="0.25">
      <c r="A852" s="354">
        <v>0</v>
      </c>
      <c r="B852" s="354">
        <v>1</v>
      </c>
      <c r="C852" s="354">
        <v>0</v>
      </c>
      <c r="D852" s="354">
        <v>0</v>
      </c>
      <c r="E852" s="354">
        <v>0</v>
      </c>
      <c r="F852" s="354">
        <v>0</v>
      </c>
      <c r="G852" s="354">
        <v>0</v>
      </c>
      <c r="H852" s="354">
        <v>1</v>
      </c>
      <c r="I852" s="354">
        <v>1</v>
      </c>
      <c r="J852" s="354">
        <v>2</v>
      </c>
      <c r="K852" s="354">
        <v>0</v>
      </c>
      <c r="L852" s="354">
        <v>0</v>
      </c>
      <c r="M852" s="355">
        <v>1</v>
      </c>
      <c r="N852" s="355">
        <v>4</v>
      </c>
    </row>
    <row r="853" spans="1:14" hidden="1" x14ac:dyDescent="0.25">
      <c r="A853" s="354">
        <v>0</v>
      </c>
      <c r="B853" s="354">
        <v>0</v>
      </c>
      <c r="C853" s="354">
        <v>0</v>
      </c>
      <c r="D853" s="354">
        <v>0</v>
      </c>
      <c r="E853" s="354">
        <v>0</v>
      </c>
      <c r="F853" s="354">
        <v>7</v>
      </c>
      <c r="G853" s="354">
        <v>0</v>
      </c>
      <c r="H853" s="354">
        <v>1</v>
      </c>
      <c r="I853" s="354">
        <v>1</v>
      </c>
      <c r="J853" s="354">
        <v>1</v>
      </c>
      <c r="K853" s="354">
        <v>0</v>
      </c>
      <c r="L853" s="354">
        <v>0</v>
      </c>
      <c r="M853" s="355">
        <v>1</v>
      </c>
      <c r="N853" s="355">
        <v>9</v>
      </c>
    </row>
    <row r="854" spans="1:14" hidden="1" x14ac:dyDescent="0.25">
      <c r="A854" s="354">
        <v>0</v>
      </c>
      <c r="B854" s="354">
        <v>1</v>
      </c>
      <c r="C854" s="354">
        <v>0</v>
      </c>
      <c r="D854" s="354">
        <v>0</v>
      </c>
      <c r="E854" s="354">
        <v>1</v>
      </c>
      <c r="F854" s="354">
        <v>0</v>
      </c>
      <c r="G854" s="354">
        <v>0</v>
      </c>
      <c r="H854" s="354">
        <v>0</v>
      </c>
      <c r="I854" s="354">
        <v>1</v>
      </c>
      <c r="J854" s="354">
        <v>1</v>
      </c>
      <c r="K854" s="354">
        <v>0</v>
      </c>
      <c r="L854" s="354">
        <v>0</v>
      </c>
      <c r="M854" s="355">
        <v>2</v>
      </c>
      <c r="N854" s="355">
        <v>2</v>
      </c>
    </row>
    <row r="855" spans="1:14" hidden="1" x14ac:dyDescent="0.25">
      <c r="A855" s="354">
        <v>0</v>
      </c>
      <c r="B855" s="354">
        <v>0</v>
      </c>
      <c r="C855" s="354">
        <v>0</v>
      </c>
      <c r="D855" s="354">
        <v>0</v>
      </c>
      <c r="E855" s="354">
        <v>0</v>
      </c>
      <c r="F855" s="354">
        <v>1</v>
      </c>
      <c r="G855" s="354">
        <v>0</v>
      </c>
      <c r="H855" s="354">
        <v>0</v>
      </c>
      <c r="I855" s="354">
        <v>0</v>
      </c>
      <c r="J855" s="354">
        <v>0</v>
      </c>
      <c r="K855" s="354">
        <v>1</v>
      </c>
      <c r="L855" s="354">
        <v>0</v>
      </c>
      <c r="M855" s="355">
        <v>1</v>
      </c>
      <c r="N855" s="355">
        <v>1</v>
      </c>
    </row>
    <row r="856" spans="1:14" hidden="1" x14ac:dyDescent="0.25">
      <c r="A856" s="354">
        <v>1</v>
      </c>
      <c r="B856" s="354">
        <v>1</v>
      </c>
      <c r="C856" s="354">
        <v>0</v>
      </c>
      <c r="D856" s="354">
        <v>2</v>
      </c>
      <c r="E856" s="354">
        <v>1</v>
      </c>
      <c r="F856" s="354">
        <v>1</v>
      </c>
      <c r="G856" s="354">
        <v>0</v>
      </c>
      <c r="H856" s="354">
        <v>0</v>
      </c>
      <c r="I856" s="354">
        <v>3</v>
      </c>
      <c r="J856" s="354">
        <v>0</v>
      </c>
      <c r="K856" s="354">
        <v>0</v>
      </c>
      <c r="L856" s="354">
        <v>0</v>
      </c>
      <c r="M856" s="355">
        <v>5</v>
      </c>
      <c r="N856" s="355">
        <v>4</v>
      </c>
    </row>
    <row r="857" spans="1:14" hidden="1" x14ac:dyDescent="0.25">
      <c r="A857" s="354">
        <v>2</v>
      </c>
      <c r="B857" s="354">
        <v>1</v>
      </c>
      <c r="C857" s="354">
        <v>1</v>
      </c>
      <c r="D857" s="354">
        <v>2</v>
      </c>
      <c r="E857" s="354">
        <v>1</v>
      </c>
      <c r="F857" s="354">
        <v>1</v>
      </c>
      <c r="G857" s="354">
        <v>1</v>
      </c>
      <c r="H857" s="354">
        <v>1</v>
      </c>
      <c r="I857" s="354">
        <v>2</v>
      </c>
      <c r="J857" s="354">
        <v>1</v>
      </c>
      <c r="K857" s="354">
        <v>0</v>
      </c>
      <c r="L857" s="354">
        <v>0</v>
      </c>
      <c r="M857" s="355">
        <v>7</v>
      </c>
      <c r="N857" s="355">
        <v>6</v>
      </c>
    </row>
    <row r="858" spans="1:14" hidden="1" x14ac:dyDescent="0.25">
      <c r="A858" s="354">
        <v>1</v>
      </c>
      <c r="B858" s="354">
        <v>0</v>
      </c>
      <c r="C858" s="354">
        <v>1</v>
      </c>
      <c r="D858" s="354">
        <v>0</v>
      </c>
      <c r="E858" s="354">
        <v>0</v>
      </c>
      <c r="F858" s="354">
        <v>0</v>
      </c>
      <c r="G858" s="354">
        <v>0</v>
      </c>
      <c r="H858" s="354">
        <v>0</v>
      </c>
      <c r="I858" s="354">
        <v>1</v>
      </c>
      <c r="J858" s="354">
        <v>1</v>
      </c>
      <c r="K858" s="354">
        <v>0</v>
      </c>
      <c r="L858" s="354">
        <v>0</v>
      </c>
      <c r="M858" s="355">
        <v>3</v>
      </c>
      <c r="N858" s="355">
        <v>1</v>
      </c>
    </row>
    <row r="859" spans="1:14" hidden="1" x14ac:dyDescent="0.25">
      <c r="A859" s="354">
        <v>0</v>
      </c>
      <c r="B859" s="354">
        <v>1</v>
      </c>
      <c r="C859" s="354">
        <v>0</v>
      </c>
      <c r="D859" s="354">
        <v>0</v>
      </c>
      <c r="E859" s="354">
        <v>0</v>
      </c>
      <c r="F859" s="354">
        <v>0</v>
      </c>
      <c r="G859" s="354">
        <v>0</v>
      </c>
      <c r="H859" s="354">
        <v>0</v>
      </c>
      <c r="I859" s="354">
        <v>1</v>
      </c>
      <c r="J859" s="354">
        <v>1</v>
      </c>
      <c r="K859" s="354">
        <v>0</v>
      </c>
      <c r="L859" s="354">
        <v>0</v>
      </c>
      <c r="M859" s="355">
        <v>1</v>
      </c>
      <c r="N859" s="355">
        <v>2</v>
      </c>
    </row>
    <row r="860" spans="1:14" hidden="1" x14ac:dyDescent="0.25">
      <c r="A860" s="354">
        <v>0</v>
      </c>
      <c r="B860" s="354">
        <v>1</v>
      </c>
      <c r="C860" s="354">
        <v>1</v>
      </c>
      <c r="D860" s="354">
        <v>0</v>
      </c>
      <c r="E860" s="354">
        <v>0</v>
      </c>
      <c r="F860" s="354">
        <v>1</v>
      </c>
      <c r="G860" s="354">
        <v>0</v>
      </c>
      <c r="H860" s="354">
        <v>0</v>
      </c>
      <c r="I860" s="354">
        <v>1</v>
      </c>
      <c r="J860" s="354">
        <v>1</v>
      </c>
      <c r="K860" s="354">
        <v>0</v>
      </c>
      <c r="L860" s="354">
        <v>0</v>
      </c>
      <c r="M860" s="355">
        <v>2</v>
      </c>
      <c r="N860" s="355">
        <v>3</v>
      </c>
    </row>
    <row r="861" spans="1:14" hidden="1" x14ac:dyDescent="0.25">
      <c r="A861" s="354">
        <v>0</v>
      </c>
      <c r="B861" s="354">
        <v>0</v>
      </c>
      <c r="C861" s="354">
        <v>1</v>
      </c>
      <c r="D861" s="354">
        <v>0</v>
      </c>
      <c r="E861" s="354">
        <v>0</v>
      </c>
      <c r="F861" s="354">
        <v>2</v>
      </c>
      <c r="G861" s="354">
        <v>3</v>
      </c>
      <c r="H861" s="354">
        <v>0</v>
      </c>
      <c r="I861" s="354">
        <v>1</v>
      </c>
      <c r="J861" s="354">
        <v>1</v>
      </c>
      <c r="K861" s="354">
        <v>0</v>
      </c>
      <c r="L861" s="354">
        <v>0</v>
      </c>
      <c r="M861" s="355">
        <v>5</v>
      </c>
      <c r="N861" s="355">
        <v>3</v>
      </c>
    </row>
    <row r="862" spans="1:14" hidden="1" x14ac:dyDescent="0.25">
      <c r="A862" s="354">
        <v>0</v>
      </c>
      <c r="B862" s="354">
        <v>1</v>
      </c>
      <c r="C862" s="354">
        <v>0</v>
      </c>
      <c r="D862" s="354">
        <v>0</v>
      </c>
      <c r="E862" s="354">
        <v>0</v>
      </c>
      <c r="F862" s="354">
        <v>0</v>
      </c>
      <c r="G862" s="354">
        <v>0</v>
      </c>
      <c r="H862" s="354">
        <v>0</v>
      </c>
      <c r="I862" s="354">
        <v>1</v>
      </c>
      <c r="J862" s="354">
        <v>2</v>
      </c>
      <c r="K862" s="354">
        <v>0</v>
      </c>
      <c r="L862" s="354">
        <v>0</v>
      </c>
      <c r="M862" s="355">
        <v>1</v>
      </c>
      <c r="N862" s="355">
        <v>3</v>
      </c>
    </row>
    <row r="863" spans="1:14" hidden="1" x14ac:dyDescent="0.25">
      <c r="A863" s="354">
        <v>0</v>
      </c>
      <c r="B863" s="354">
        <v>0</v>
      </c>
      <c r="C863" s="354">
        <v>0</v>
      </c>
      <c r="D863" s="354">
        <v>0</v>
      </c>
      <c r="E863" s="354">
        <v>2</v>
      </c>
      <c r="F863" s="354">
        <v>0</v>
      </c>
      <c r="G863" s="354">
        <v>0</v>
      </c>
      <c r="H863" s="354">
        <v>1</v>
      </c>
      <c r="I863" s="354">
        <v>0</v>
      </c>
      <c r="J863" s="354">
        <v>2</v>
      </c>
      <c r="K863" s="354">
        <v>1</v>
      </c>
      <c r="L863" s="354">
        <v>0</v>
      </c>
      <c r="M863" s="355">
        <v>3</v>
      </c>
      <c r="N863" s="355">
        <v>3</v>
      </c>
    </row>
    <row r="864" spans="1:14" hidden="1" x14ac:dyDescent="0.25">
      <c r="A864" s="354">
        <v>1</v>
      </c>
      <c r="B864" s="354">
        <v>0</v>
      </c>
      <c r="C864" s="354">
        <v>0</v>
      </c>
      <c r="D864" s="354">
        <v>0</v>
      </c>
      <c r="E864" s="354">
        <v>0</v>
      </c>
      <c r="F864" s="354">
        <v>0</v>
      </c>
      <c r="G864" s="354">
        <v>0</v>
      </c>
      <c r="H864" s="354">
        <v>0</v>
      </c>
      <c r="I864" s="354">
        <v>1</v>
      </c>
      <c r="J864" s="354">
        <v>1</v>
      </c>
      <c r="K864" s="354">
        <v>0</v>
      </c>
      <c r="L864" s="354">
        <v>0</v>
      </c>
      <c r="M864" s="355">
        <v>2</v>
      </c>
      <c r="N864" s="355">
        <v>1</v>
      </c>
    </row>
    <row r="865" spans="1:14" hidden="1" x14ac:dyDescent="0.25">
      <c r="A865" s="354">
        <v>0</v>
      </c>
      <c r="B865" s="354">
        <v>0</v>
      </c>
      <c r="C865" s="354">
        <v>0</v>
      </c>
      <c r="D865" s="354">
        <v>0</v>
      </c>
      <c r="E865" s="354">
        <v>0</v>
      </c>
      <c r="F865" s="354">
        <v>0</v>
      </c>
      <c r="G865" s="354">
        <v>0</v>
      </c>
      <c r="H865" s="354">
        <v>0</v>
      </c>
      <c r="I865" s="354">
        <v>1</v>
      </c>
      <c r="J865" s="354">
        <v>1</v>
      </c>
      <c r="K865" s="354">
        <v>0</v>
      </c>
      <c r="L865" s="354">
        <v>0</v>
      </c>
      <c r="M865" s="355">
        <v>1</v>
      </c>
      <c r="N865" s="355">
        <v>1</v>
      </c>
    </row>
    <row r="866" spans="1:14" hidden="1" x14ac:dyDescent="0.25">
      <c r="A866" s="354">
        <v>0</v>
      </c>
      <c r="B866" s="354">
        <v>0</v>
      </c>
      <c r="C866" s="354">
        <v>0</v>
      </c>
      <c r="D866" s="354">
        <v>0</v>
      </c>
      <c r="E866" s="354">
        <v>0</v>
      </c>
      <c r="F866" s="354">
        <v>0</v>
      </c>
      <c r="G866" s="354">
        <v>0</v>
      </c>
      <c r="H866" s="354">
        <v>0</v>
      </c>
      <c r="I866" s="354">
        <v>0</v>
      </c>
      <c r="J866" s="354">
        <v>0</v>
      </c>
      <c r="K866" s="354">
        <v>0</v>
      </c>
      <c r="L866" s="354">
        <v>0</v>
      </c>
      <c r="M866" s="355">
        <v>0</v>
      </c>
      <c r="N866" s="355">
        <v>0</v>
      </c>
    </row>
    <row r="867" spans="1:14" hidden="1" x14ac:dyDescent="0.25">
      <c r="A867" s="354">
        <v>0</v>
      </c>
      <c r="B867" s="354">
        <v>1</v>
      </c>
      <c r="C867" s="354">
        <v>0</v>
      </c>
      <c r="D867" s="354">
        <v>0</v>
      </c>
      <c r="E867" s="354">
        <v>0</v>
      </c>
      <c r="F867" s="354">
        <v>0</v>
      </c>
      <c r="G867" s="354">
        <v>0</v>
      </c>
      <c r="H867" s="354">
        <v>0</v>
      </c>
      <c r="I867" s="354">
        <v>1</v>
      </c>
      <c r="J867" s="354">
        <v>1</v>
      </c>
      <c r="K867" s="354">
        <v>0</v>
      </c>
      <c r="L867" s="354">
        <v>0</v>
      </c>
      <c r="M867" s="355">
        <v>1</v>
      </c>
      <c r="N867" s="355">
        <v>2</v>
      </c>
    </row>
    <row r="868" spans="1:14" hidden="1" x14ac:dyDescent="0.25">
      <c r="A868" s="354">
        <v>1</v>
      </c>
      <c r="B868" s="354">
        <v>1</v>
      </c>
      <c r="C868" s="354">
        <v>1</v>
      </c>
      <c r="D868" s="354">
        <v>0</v>
      </c>
      <c r="E868" s="354">
        <v>2</v>
      </c>
      <c r="F868" s="354">
        <v>0</v>
      </c>
      <c r="G868" s="354">
        <v>0</v>
      </c>
      <c r="H868" s="354">
        <v>0</v>
      </c>
      <c r="I868" s="354">
        <v>0</v>
      </c>
      <c r="J868" s="354">
        <v>1</v>
      </c>
      <c r="K868" s="354">
        <v>1</v>
      </c>
      <c r="L868" s="354">
        <v>0</v>
      </c>
      <c r="M868" s="355">
        <v>5</v>
      </c>
      <c r="N868" s="355">
        <v>2</v>
      </c>
    </row>
    <row r="869" spans="1:14" hidden="1" x14ac:dyDescent="0.25">
      <c r="A869" s="354">
        <v>1</v>
      </c>
      <c r="B869" s="354">
        <v>0</v>
      </c>
      <c r="C869" s="354">
        <v>0</v>
      </c>
      <c r="D869" s="354">
        <v>1</v>
      </c>
      <c r="E869" s="354">
        <v>0</v>
      </c>
      <c r="F869" s="354">
        <v>1</v>
      </c>
      <c r="G869" s="354">
        <v>0</v>
      </c>
      <c r="H869" s="354">
        <v>0</v>
      </c>
      <c r="I869" s="354">
        <v>0</v>
      </c>
      <c r="J869" s="354">
        <v>1</v>
      </c>
      <c r="K869" s="354">
        <v>0</v>
      </c>
      <c r="L869" s="354">
        <v>0</v>
      </c>
      <c r="M869" s="355">
        <v>1</v>
      </c>
      <c r="N869" s="355">
        <v>3</v>
      </c>
    </row>
    <row r="870" spans="1:14" hidden="1" x14ac:dyDescent="0.25">
      <c r="A870" s="354">
        <v>0</v>
      </c>
      <c r="B870" s="354">
        <v>0</v>
      </c>
      <c r="C870" s="354">
        <v>1</v>
      </c>
      <c r="D870" s="354">
        <v>0</v>
      </c>
      <c r="E870" s="354">
        <v>1</v>
      </c>
      <c r="F870" s="354">
        <v>0</v>
      </c>
      <c r="G870" s="354">
        <v>0</v>
      </c>
      <c r="H870" s="354">
        <v>0</v>
      </c>
      <c r="I870" s="354">
        <v>1</v>
      </c>
      <c r="J870" s="354">
        <v>1</v>
      </c>
      <c r="K870" s="354">
        <v>0</v>
      </c>
      <c r="L870" s="354">
        <v>0</v>
      </c>
      <c r="M870" s="355">
        <v>3</v>
      </c>
      <c r="N870" s="355">
        <v>1</v>
      </c>
    </row>
    <row r="871" spans="1:14" hidden="1" x14ac:dyDescent="0.25">
      <c r="A871" s="354">
        <v>0</v>
      </c>
      <c r="B871" s="354">
        <v>0</v>
      </c>
      <c r="C871" s="354">
        <v>0</v>
      </c>
      <c r="D871" s="354">
        <v>0</v>
      </c>
      <c r="E871" s="354">
        <v>1</v>
      </c>
      <c r="F871" s="354">
        <v>0</v>
      </c>
      <c r="G871" s="354">
        <v>0</v>
      </c>
      <c r="H871" s="354">
        <v>0</v>
      </c>
      <c r="I871" s="354">
        <v>1</v>
      </c>
      <c r="J871" s="354">
        <v>1</v>
      </c>
      <c r="K871" s="354">
        <v>0</v>
      </c>
      <c r="L871" s="354">
        <v>0</v>
      </c>
      <c r="M871" s="355">
        <v>2</v>
      </c>
      <c r="N871" s="355">
        <v>1</v>
      </c>
    </row>
    <row r="872" spans="1:14" hidden="1" x14ac:dyDescent="0.25">
      <c r="A872" s="354">
        <v>0</v>
      </c>
      <c r="B872" s="354">
        <v>1</v>
      </c>
      <c r="C872" s="354">
        <v>1</v>
      </c>
      <c r="D872" s="354">
        <v>0</v>
      </c>
      <c r="E872" s="354">
        <v>1</v>
      </c>
      <c r="F872" s="354">
        <v>2</v>
      </c>
      <c r="G872" s="354">
        <v>0</v>
      </c>
      <c r="H872" s="354">
        <v>2</v>
      </c>
      <c r="I872" s="354">
        <v>1</v>
      </c>
      <c r="J872" s="354">
        <v>1</v>
      </c>
      <c r="K872" s="354">
        <v>0</v>
      </c>
      <c r="L872" s="354">
        <v>0</v>
      </c>
      <c r="M872" s="355">
        <v>3</v>
      </c>
      <c r="N872" s="355">
        <v>6</v>
      </c>
    </row>
    <row r="873" spans="1:14" hidden="1" x14ac:dyDescent="0.25">
      <c r="A873" s="354">
        <v>0</v>
      </c>
      <c r="B873" s="354">
        <v>0</v>
      </c>
      <c r="C873" s="354">
        <v>1</v>
      </c>
      <c r="D873" s="354">
        <v>0</v>
      </c>
      <c r="E873" s="354">
        <v>0</v>
      </c>
      <c r="F873" s="354">
        <v>1</v>
      </c>
      <c r="G873" s="354">
        <v>1</v>
      </c>
      <c r="H873" s="354">
        <v>2</v>
      </c>
      <c r="I873" s="354">
        <v>1</v>
      </c>
      <c r="J873" s="354">
        <v>2</v>
      </c>
      <c r="K873" s="354">
        <v>0</v>
      </c>
      <c r="L873" s="354">
        <v>0</v>
      </c>
      <c r="M873" s="355">
        <v>3</v>
      </c>
      <c r="N873" s="355">
        <v>5</v>
      </c>
    </row>
    <row r="874" spans="1:14" hidden="1" x14ac:dyDescent="0.25">
      <c r="A874" s="354">
        <v>0</v>
      </c>
      <c r="B874" s="354">
        <v>0</v>
      </c>
      <c r="C874" s="354">
        <v>0</v>
      </c>
      <c r="D874" s="354">
        <v>0</v>
      </c>
      <c r="E874" s="354">
        <v>0</v>
      </c>
      <c r="F874" s="354">
        <v>1</v>
      </c>
      <c r="G874" s="354">
        <v>0</v>
      </c>
      <c r="H874" s="354">
        <v>0</v>
      </c>
      <c r="I874" s="354">
        <v>0</v>
      </c>
      <c r="J874" s="354">
        <v>1</v>
      </c>
      <c r="K874" s="354">
        <v>0</v>
      </c>
      <c r="L874" s="354">
        <v>0</v>
      </c>
      <c r="M874" s="355">
        <v>0</v>
      </c>
      <c r="N874" s="355">
        <v>2</v>
      </c>
    </row>
    <row r="875" spans="1:14" hidden="1" x14ac:dyDescent="0.25">
      <c r="A875" s="354">
        <v>0</v>
      </c>
      <c r="B875" s="354">
        <v>0</v>
      </c>
      <c r="C875" s="354">
        <v>0</v>
      </c>
      <c r="D875" s="354">
        <v>0</v>
      </c>
      <c r="E875" s="354">
        <v>0</v>
      </c>
      <c r="F875" s="354">
        <v>0</v>
      </c>
      <c r="G875" s="354">
        <v>0</v>
      </c>
      <c r="H875" s="354">
        <v>0</v>
      </c>
      <c r="I875" s="354">
        <v>0</v>
      </c>
      <c r="J875" s="354">
        <v>1</v>
      </c>
      <c r="K875" s="354">
        <v>0</v>
      </c>
      <c r="L875" s="354">
        <v>0</v>
      </c>
      <c r="M875" s="355">
        <v>0</v>
      </c>
      <c r="N875" s="355">
        <v>1</v>
      </c>
    </row>
    <row r="876" spans="1:14" hidden="1" x14ac:dyDescent="0.25">
      <c r="A876" s="354">
        <v>0</v>
      </c>
      <c r="B876" s="354">
        <v>1</v>
      </c>
      <c r="C876" s="354">
        <v>2</v>
      </c>
      <c r="D876" s="354">
        <v>0</v>
      </c>
      <c r="E876" s="354">
        <v>1</v>
      </c>
      <c r="F876" s="354">
        <v>2</v>
      </c>
      <c r="G876" s="354">
        <v>1</v>
      </c>
      <c r="H876" s="354">
        <v>1</v>
      </c>
      <c r="I876" s="354">
        <v>1</v>
      </c>
      <c r="J876" s="354">
        <v>1</v>
      </c>
      <c r="K876" s="354">
        <v>0</v>
      </c>
      <c r="L876" s="354">
        <v>0</v>
      </c>
      <c r="M876" s="355">
        <v>5</v>
      </c>
      <c r="N876" s="355">
        <v>5</v>
      </c>
    </row>
    <row r="877" spans="1:14" hidden="1" x14ac:dyDescent="0.25">
      <c r="A877" s="354">
        <v>1</v>
      </c>
      <c r="B877" s="354">
        <v>2</v>
      </c>
      <c r="C877" s="354">
        <v>1</v>
      </c>
      <c r="D877" s="354">
        <v>0</v>
      </c>
      <c r="E877" s="354">
        <v>1</v>
      </c>
      <c r="F877" s="354">
        <v>1</v>
      </c>
      <c r="G877" s="354">
        <v>0</v>
      </c>
      <c r="H877" s="354">
        <v>1</v>
      </c>
      <c r="I877" s="354">
        <v>1</v>
      </c>
      <c r="J877" s="354">
        <v>1</v>
      </c>
      <c r="K877" s="354">
        <v>0</v>
      </c>
      <c r="L877" s="354">
        <v>0</v>
      </c>
      <c r="M877" s="355">
        <v>4</v>
      </c>
      <c r="N877" s="355">
        <v>5</v>
      </c>
    </row>
    <row r="878" spans="1:14" hidden="1" x14ac:dyDescent="0.25">
      <c r="A878" s="354">
        <v>0</v>
      </c>
      <c r="B878" s="354">
        <v>0</v>
      </c>
      <c r="C878" s="354">
        <v>0</v>
      </c>
      <c r="D878" s="354">
        <v>0</v>
      </c>
      <c r="E878" s="354">
        <v>0</v>
      </c>
      <c r="F878" s="354">
        <v>0</v>
      </c>
      <c r="G878" s="354">
        <v>0</v>
      </c>
      <c r="H878" s="354">
        <v>1</v>
      </c>
      <c r="I878" s="354">
        <v>0</v>
      </c>
      <c r="J878" s="354">
        <v>1</v>
      </c>
      <c r="K878" s="354">
        <v>0</v>
      </c>
      <c r="L878" s="354">
        <v>0</v>
      </c>
      <c r="M878" s="355">
        <v>0</v>
      </c>
      <c r="N878" s="355">
        <v>2</v>
      </c>
    </row>
    <row r="879" spans="1:14" hidden="1" x14ac:dyDescent="0.25">
      <c r="A879" s="354">
        <v>4</v>
      </c>
      <c r="B879" s="354">
        <v>0</v>
      </c>
      <c r="C879" s="354">
        <v>2</v>
      </c>
      <c r="D879" s="354">
        <v>1</v>
      </c>
      <c r="E879" s="354">
        <v>2</v>
      </c>
      <c r="F879" s="354">
        <v>1</v>
      </c>
      <c r="G879" s="354">
        <v>3</v>
      </c>
      <c r="H879" s="354">
        <v>1</v>
      </c>
      <c r="I879" s="354">
        <v>1</v>
      </c>
      <c r="J879" s="354">
        <v>4</v>
      </c>
      <c r="K879" s="354">
        <v>0</v>
      </c>
      <c r="L879" s="354">
        <v>0</v>
      </c>
      <c r="M879" s="355">
        <v>12</v>
      </c>
      <c r="N879" s="355">
        <v>7</v>
      </c>
    </row>
    <row r="880" spans="1:14" hidden="1" x14ac:dyDescent="0.25">
      <c r="A880" s="354">
        <v>0</v>
      </c>
      <c r="B880" s="354">
        <v>2</v>
      </c>
      <c r="C880" s="354">
        <v>0</v>
      </c>
      <c r="D880" s="354">
        <v>0</v>
      </c>
      <c r="E880" s="354">
        <v>0</v>
      </c>
      <c r="F880" s="354">
        <v>0</v>
      </c>
      <c r="G880" s="354">
        <v>0</v>
      </c>
      <c r="H880" s="354">
        <v>0</v>
      </c>
      <c r="I880" s="354">
        <v>1</v>
      </c>
      <c r="J880" s="354">
        <v>1</v>
      </c>
      <c r="K880" s="354">
        <v>0</v>
      </c>
      <c r="L880" s="354">
        <v>0</v>
      </c>
      <c r="M880" s="355">
        <v>1</v>
      </c>
      <c r="N880" s="355">
        <v>3</v>
      </c>
    </row>
    <row r="881" spans="1:14" hidden="1" x14ac:dyDescent="0.25">
      <c r="A881" s="354">
        <v>0</v>
      </c>
      <c r="B881" s="354">
        <v>0</v>
      </c>
      <c r="C881" s="354">
        <v>0</v>
      </c>
      <c r="D881" s="354">
        <v>0</v>
      </c>
      <c r="E881" s="354">
        <v>0</v>
      </c>
      <c r="F881" s="354">
        <v>2</v>
      </c>
      <c r="G881" s="354">
        <v>0</v>
      </c>
      <c r="H881" s="354">
        <v>0</v>
      </c>
      <c r="I881" s="354">
        <v>0</v>
      </c>
      <c r="J881" s="354">
        <v>0</v>
      </c>
      <c r="K881" s="354">
        <v>0</v>
      </c>
      <c r="L881" s="354">
        <v>0</v>
      </c>
      <c r="M881" s="355">
        <v>0</v>
      </c>
      <c r="N881" s="355">
        <v>2</v>
      </c>
    </row>
    <row r="882" spans="1:14" hidden="1" x14ac:dyDescent="0.25">
      <c r="A882" s="354">
        <v>0</v>
      </c>
      <c r="B882" s="354">
        <v>1</v>
      </c>
      <c r="C882" s="354">
        <v>1</v>
      </c>
      <c r="D882" s="354">
        <v>0</v>
      </c>
      <c r="E882" s="354">
        <v>0</v>
      </c>
      <c r="F882" s="354">
        <v>2</v>
      </c>
      <c r="G882" s="354">
        <v>0</v>
      </c>
      <c r="H882" s="354">
        <v>0</v>
      </c>
      <c r="I882" s="354">
        <v>1</v>
      </c>
      <c r="J882" s="354">
        <v>1</v>
      </c>
      <c r="K882" s="354">
        <v>0</v>
      </c>
      <c r="L882" s="354">
        <v>0</v>
      </c>
      <c r="M882" s="355">
        <v>2</v>
      </c>
      <c r="N882" s="355">
        <v>4</v>
      </c>
    </row>
    <row r="883" spans="1:14" hidden="1" x14ac:dyDescent="0.25">
      <c r="A883" s="354">
        <v>0</v>
      </c>
      <c r="B883" s="354">
        <v>0</v>
      </c>
      <c r="C883" s="354">
        <v>0</v>
      </c>
      <c r="D883" s="354">
        <v>1</v>
      </c>
      <c r="E883" s="354">
        <v>1</v>
      </c>
      <c r="F883" s="354">
        <v>1</v>
      </c>
      <c r="G883" s="354">
        <v>0</v>
      </c>
      <c r="H883" s="354">
        <v>0</v>
      </c>
      <c r="I883" s="354">
        <v>1</v>
      </c>
      <c r="J883" s="354">
        <v>1</v>
      </c>
      <c r="K883" s="354">
        <v>0</v>
      </c>
      <c r="L883" s="354">
        <v>0</v>
      </c>
      <c r="M883" s="355">
        <v>2</v>
      </c>
      <c r="N883" s="355">
        <v>3</v>
      </c>
    </row>
    <row r="884" spans="1:14" hidden="1" x14ac:dyDescent="0.25">
      <c r="A884" s="354">
        <v>0</v>
      </c>
      <c r="B884" s="354">
        <v>1</v>
      </c>
      <c r="C884" s="354">
        <v>0</v>
      </c>
      <c r="D884" s="354">
        <v>0</v>
      </c>
      <c r="E884" s="354">
        <v>0</v>
      </c>
      <c r="F884" s="354">
        <v>0</v>
      </c>
      <c r="G884" s="354">
        <v>0</v>
      </c>
      <c r="H884" s="354">
        <v>0</v>
      </c>
      <c r="I884" s="354">
        <v>1</v>
      </c>
      <c r="J884" s="354">
        <v>1</v>
      </c>
      <c r="K884" s="354">
        <v>0</v>
      </c>
      <c r="L884" s="354">
        <v>0</v>
      </c>
      <c r="M884" s="355">
        <v>1</v>
      </c>
      <c r="N884" s="355">
        <v>2</v>
      </c>
    </row>
    <row r="885" spans="1:14" hidden="1" x14ac:dyDescent="0.25">
      <c r="A885" s="354">
        <v>0</v>
      </c>
      <c r="B885" s="354">
        <v>1</v>
      </c>
      <c r="C885" s="354">
        <v>0</v>
      </c>
      <c r="D885" s="354">
        <v>0</v>
      </c>
      <c r="E885" s="354">
        <v>1</v>
      </c>
      <c r="F885" s="354">
        <v>0</v>
      </c>
      <c r="G885" s="354">
        <v>0</v>
      </c>
      <c r="H885" s="354">
        <v>0</v>
      </c>
      <c r="I885" s="354">
        <v>1</v>
      </c>
      <c r="J885" s="354">
        <v>1</v>
      </c>
      <c r="K885" s="354">
        <v>0</v>
      </c>
      <c r="L885" s="354">
        <v>0</v>
      </c>
      <c r="M885" s="355">
        <v>2</v>
      </c>
      <c r="N885" s="355">
        <v>2</v>
      </c>
    </row>
    <row r="886" spans="1:14" hidden="1" x14ac:dyDescent="0.25">
      <c r="A886" s="354">
        <v>0</v>
      </c>
      <c r="B886" s="354">
        <v>1</v>
      </c>
      <c r="C886" s="354">
        <v>0</v>
      </c>
      <c r="D886" s="354">
        <v>0</v>
      </c>
      <c r="E886" s="354">
        <v>0</v>
      </c>
      <c r="F886" s="354">
        <v>0</v>
      </c>
      <c r="G886" s="354">
        <v>0</v>
      </c>
      <c r="H886" s="354">
        <v>0</v>
      </c>
      <c r="I886" s="354">
        <v>1</v>
      </c>
      <c r="J886" s="354">
        <v>1</v>
      </c>
      <c r="K886" s="354">
        <v>0</v>
      </c>
      <c r="L886" s="354">
        <v>0</v>
      </c>
      <c r="M886" s="355">
        <v>1</v>
      </c>
      <c r="N886" s="355">
        <v>2</v>
      </c>
    </row>
    <row r="887" spans="1:14" hidden="1" x14ac:dyDescent="0.25">
      <c r="A887" s="354">
        <v>0</v>
      </c>
      <c r="B887" s="354">
        <v>0</v>
      </c>
      <c r="C887" s="354">
        <v>0</v>
      </c>
      <c r="D887" s="354">
        <v>0</v>
      </c>
      <c r="E887" s="354">
        <v>0</v>
      </c>
      <c r="F887" s="354">
        <v>1</v>
      </c>
      <c r="G887" s="354">
        <v>1</v>
      </c>
      <c r="H887" s="354">
        <v>0</v>
      </c>
      <c r="I887" s="354">
        <v>0</v>
      </c>
      <c r="J887" s="354">
        <v>0</v>
      </c>
      <c r="K887" s="354">
        <v>0</v>
      </c>
      <c r="L887" s="354">
        <v>0</v>
      </c>
      <c r="M887" s="355">
        <v>1</v>
      </c>
      <c r="N887" s="355">
        <v>1</v>
      </c>
    </row>
    <row r="888" spans="1:14" hidden="1" x14ac:dyDescent="0.25">
      <c r="A888" s="354">
        <v>1</v>
      </c>
      <c r="B888" s="354">
        <v>0</v>
      </c>
      <c r="C888" s="354">
        <v>1</v>
      </c>
      <c r="D888" s="354">
        <v>0</v>
      </c>
      <c r="E888" s="354">
        <v>0</v>
      </c>
      <c r="F888" s="354">
        <v>2</v>
      </c>
      <c r="G888" s="354">
        <v>0</v>
      </c>
      <c r="H888" s="354">
        <v>0</v>
      </c>
      <c r="I888" s="354">
        <v>1</v>
      </c>
      <c r="J888" s="354">
        <v>1</v>
      </c>
      <c r="K888" s="354">
        <v>0</v>
      </c>
      <c r="L888" s="354">
        <v>0</v>
      </c>
      <c r="M888" s="355">
        <v>3</v>
      </c>
      <c r="N888" s="355">
        <v>3</v>
      </c>
    </row>
    <row r="889" spans="1:14" hidden="1" x14ac:dyDescent="0.25">
      <c r="A889" s="354">
        <v>0</v>
      </c>
      <c r="B889" s="354">
        <v>2</v>
      </c>
      <c r="C889" s="354">
        <v>1</v>
      </c>
      <c r="D889" s="354">
        <v>1</v>
      </c>
      <c r="E889" s="354">
        <v>3</v>
      </c>
      <c r="F889" s="354">
        <v>2</v>
      </c>
      <c r="G889" s="354">
        <v>0</v>
      </c>
      <c r="H889" s="354">
        <v>1</v>
      </c>
      <c r="I889" s="354">
        <v>1</v>
      </c>
      <c r="J889" s="354">
        <v>2</v>
      </c>
      <c r="K889" s="354">
        <v>0</v>
      </c>
      <c r="L889" s="354">
        <v>0</v>
      </c>
      <c r="M889" s="355">
        <v>5</v>
      </c>
      <c r="N889" s="355">
        <v>8</v>
      </c>
    </row>
    <row r="890" spans="1:14" hidden="1" x14ac:dyDescent="0.25">
      <c r="A890" s="354">
        <v>1</v>
      </c>
      <c r="B890" s="354">
        <v>1</v>
      </c>
      <c r="C890" s="354">
        <v>0</v>
      </c>
      <c r="D890" s="354">
        <v>0</v>
      </c>
      <c r="E890" s="354">
        <v>0</v>
      </c>
      <c r="F890" s="354">
        <v>0</v>
      </c>
      <c r="G890" s="354">
        <v>0</v>
      </c>
      <c r="H890" s="354">
        <v>0</v>
      </c>
      <c r="I890" s="354">
        <v>1</v>
      </c>
      <c r="J890" s="354">
        <v>1</v>
      </c>
      <c r="K890" s="354">
        <v>0</v>
      </c>
      <c r="L890" s="354">
        <v>0</v>
      </c>
      <c r="M890" s="355">
        <v>2</v>
      </c>
      <c r="N890" s="355">
        <v>2</v>
      </c>
    </row>
    <row r="891" spans="1:14" hidden="1" x14ac:dyDescent="0.25">
      <c r="A891" s="354">
        <v>0</v>
      </c>
      <c r="B891" s="354">
        <v>0</v>
      </c>
      <c r="C891" s="354">
        <v>0</v>
      </c>
      <c r="D891" s="354">
        <v>0</v>
      </c>
      <c r="E891" s="354">
        <v>0</v>
      </c>
      <c r="F891" s="354">
        <v>0</v>
      </c>
      <c r="G891" s="354">
        <v>0</v>
      </c>
      <c r="H891" s="354">
        <v>1</v>
      </c>
      <c r="I891" s="354">
        <v>0</v>
      </c>
      <c r="J891" s="354">
        <v>4</v>
      </c>
      <c r="K891" s="354">
        <v>0</v>
      </c>
      <c r="L891" s="354">
        <v>0</v>
      </c>
      <c r="M891" s="355">
        <v>0</v>
      </c>
      <c r="N891" s="355">
        <v>5</v>
      </c>
    </row>
    <row r="892" spans="1:14" hidden="1" x14ac:dyDescent="0.25">
      <c r="A892" s="354">
        <v>0</v>
      </c>
      <c r="B892" s="354">
        <v>1</v>
      </c>
      <c r="C892" s="354">
        <v>0</v>
      </c>
      <c r="D892" s="354">
        <v>1</v>
      </c>
      <c r="E892" s="354">
        <v>0</v>
      </c>
      <c r="F892" s="354">
        <v>1</v>
      </c>
      <c r="G892" s="354">
        <v>0</v>
      </c>
      <c r="H892" s="354">
        <v>0</v>
      </c>
      <c r="I892" s="354">
        <v>1</v>
      </c>
      <c r="J892" s="354">
        <v>1</v>
      </c>
      <c r="K892" s="354">
        <v>0</v>
      </c>
      <c r="L892" s="354">
        <v>0</v>
      </c>
      <c r="M892" s="355">
        <v>1</v>
      </c>
      <c r="N892" s="355">
        <v>4</v>
      </c>
    </row>
    <row r="893" spans="1:14" hidden="1" x14ac:dyDescent="0.25">
      <c r="A893" s="354">
        <v>0</v>
      </c>
      <c r="B893" s="354">
        <v>0</v>
      </c>
      <c r="C893" s="354">
        <v>0</v>
      </c>
      <c r="D893" s="354">
        <v>0</v>
      </c>
      <c r="E893" s="354">
        <v>0</v>
      </c>
      <c r="F893" s="354">
        <v>0</v>
      </c>
      <c r="G893" s="354">
        <v>3</v>
      </c>
      <c r="H893" s="354">
        <v>0</v>
      </c>
      <c r="I893" s="354">
        <v>0</v>
      </c>
      <c r="J893" s="354">
        <v>1</v>
      </c>
      <c r="K893" s="354">
        <v>0</v>
      </c>
      <c r="L893" s="354">
        <v>0</v>
      </c>
      <c r="M893" s="355">
        <v>3</v>
      </c>
      <c r="N893" s="355">
        <v>1</v>
      </c>
    </row>
    <row r="894" spans="1:14" hidden="1" x14ac:dyDescent="0.25">
      <c r="A894" s="354">
        <v>0</v>
      </c>
      <c r="B894" s="354">
        <v>0</v>
      </c>
      <c r="C894" s="354">
        <v>0</v>
      </c>
      <c r="D894" s="354">
        <v>0</v>
      </c>
      <c r="E894" s="354">
        <v>0</v>
      </c>
      <c r="F894" s="354">
        <v>0</v>
      </c>
      <c r="G894" s="354">
        <v>0</v>
      </c>
      <c r="H894" s="354">
        <v>1</v>
      </c>
      <c r="I894" s="354">
        <v>0</v>
      </c>
      <c r="J894" s="354">
        <v>1</v>
      </c>
      <c r="K894" s="354">
        <v>0</v>
      </c>
      <c r="L894" s="354">
        <v>0</v>
      </c>
      <c r="M894" s="355">
        <v>0</v>
      </c>
      <c r="N894" s="355">
        <v>2</v>
      </c>
    </row>
    <row r="895" spans="1:14" hidden="1" x14ac:dyDescent="0.25">
      <c r="A895" s="354">
        <v>0</v>
      </c>
      <c r="B895" s="354">
        <v>1</v>
      </c>
      <c r="C895" s="354">
        <v>0</v>
      </c>
      <c r="D895" s="354">
        <v>0</v>
      </c>
      <c r="E895" s="354">
        <v>0</v>
      </c>
      <c r="F895" s="354">
        <v>0</v>
      </c>
      <c r="G895" s="354">
        <v>0</v>
      </c>
      <c r="H895" s="354">
        <v>0</v>
      </c>
      <c r="I895" s="354">
        <v>1</v>
      </c>
      <c r="J895" s="354">
        <v>1</v>
      </c>
      <c r="K895" s="354">
        <v>0</v>
      </c>
      <c r="L895" s="354">
        <v>0</v>
      </c>
      <c r="M895" s="355">
        <v>1</v>
      </c>
      <c r="N895" s="355">
        <v>2</v>
      </c>
    </row>
    <row r="896" spans="1:14" hidden="1" x14ac:dyDescent="0.25">
      <c r="A896" s="354">
        <v>0</v>
      </c>
      <c r="B896" s="354">
        <v>0</v>
      </c>
      <c r="C896" s="354">
        <v>1</v>
      </c>
      <c r="D896" s="354">
        <v>1</v>
      </c>
      <c r="E896" s="354">
        <v>0</v>
      </c>
      <c r="F896" s="354">
        <v>3</v>
      </c>
      <c r="G896" s="354">
        <v>0</v>
      </c>
      <c r="H896" s="354">
        <v>0</v>
      </c>
      <c r="I896" s="354">
        <v>1</v>
      </c>
      <c r="J896" s="354">
        <v>2</v>
      </c>
      <c r="K896" s="354">
        <v>0</v>
      </c>
      <c r="L896" s="354">
        <v>0</v>
      </c>
      <c r="M896" s="355">
        <v>2</v>
      </c>
      <c r="N896" s="355">
        <v>6</v>
      </c>
    </row>
    <row r="897" spans="1:14" hidden="1" x14ac:dyDescent="0.25">
      <c r="A897" s="354">
        <v>0</v>
      </c>
      <c r="B897" s="354">
        <v>0</v>
      </c>
      <c r="C897" s="354">
        <v>0</v>
      </c>
      <c r="D897" s="354">
        <v>0</v>
      </c>
      <c r="E897" s="354">
        <v>0</v>
      </c>
      <c r="F897" s="354">
        <v>0</v>
      </c>
      <c r="G897" s="354">
        <v>0</v>
      </c>
      <c r="H897" s="354">
        <v>0</v>
      </c>
      <c r="I897" s="354">
        <v>2</v>
      </c>
      <c r="J897" s="354">
        <v>1</v>
      </c>
      <c r="K897" s="354">
        <v>0</v>
      </c>
      <c r="L897" s="354">
        <v>0</v>
      </c>
      <c r="M897" s="355">
        <v>2</v>
      </c>
      <c r="N897" s="355">
        <v>1</v>
      </c>
    </row>
    <row r="898" spans="1:14" hidden="1" x14ac:dyDescent="0.25">
      <c r="A898" s="354">
        <v>1</v>
      </c>
      <c r="B898" s="354">
        <v>0</v>
      </c>
      <c r="C898" s="354">
        <v>1</v>
      </c>
      <c r="D898" s="354">
        <v>1</v>
      </c>
      <c r="E898" s="354">
        <v>1</v>
      </c>
      <c r="F898" s="354">
        <v>2</v>
      </c>
      <c r="G898" s="354">
        <v>2</v>
      </c>
      <c r="H898" s="354">
        <v>1</v>
      </c>
      <c r="I898" s="354">
        <v>1</v>
      </c>
      <c r="J898" s="354">
        <v>1</v>
      </c>
      <c r="K898" s="354">
        <v>0</v>
      </c>
      <c r="L898" s="354">
        <v>0</v>
      </c>
      <c r="M898" s="355">
        <v>6</v>
      </c>
      <c r="N898" s="355">
        <v>5</v>
      </c>
    </row>
    <row r="899" spans="1:14" hidden="1" x14ac:dyDescent="0.25">
      <c r="A899" s="354">
        <v>0</v>
      </c>
      <c r="B899" s="354">
        <v>1</v>
      </c>
      <c r="C899" s="354">
        <v>2</v>
      </c>
      <c r="D899" s="354">
        <v>0</v>
      </c>
      <c r="E899" s="354">
        <v>1</v>
      </c>
      <c r="F899" s="354">
        <v>1</v>
      </c>
      <c r="G899" s="354">
        <v>2</v>
      </c>
      <c r="H899" s="354">
        <v>2</v>
      </c>
      <c r="I899" s="354">
        <v>1</v>
      </c>
      <c r="J899" s="354">
        <v>1</v>
      </c>
      <c r="K899" s="354">
        <v>0</v>
      </c>
      <c r="L899" s="354">
        <v>0</v>
      </c>
      <c r="M899" s="355">
        <v>6</v>
      </c>
      <c r="N899" s="355">
        <v>5</v>
      </c>
    </row>
    <row r="900" spans="1:14" hidden="1" x14ac:dyDescent="0.25">
      <c r="A900" s="354">
        <v>1</v>
      </c>
      <c r="B900" s="354">
        <v>0</v>
      </c>
      <c r="C900" s="354">
        <v>1</v>
      </c>
      <c r="D900" s="354">
        <v>0</v>
      </c>
      <c r="E900" s="354">
        <v>0</v>
      </c>
      <c r="F900" s="354">
        <v>1</v>
      </c>
      <c r="G900" s="354">
        <v>0</v>
      </c>
      <c r="H900" s="354">
        <v>1</v>
      </c>
      <c r="I900" s="354">
        <v>1</v>
      </c>
      <c r="J900" s="354">
        <v>0</v>
      </c>
      <c r="K900" s="354">
        <v>0</v>
      </c>
      <c r="L900" s="354">
        <v>0</v>
      </c>
      <c r="M900" s="355">
        <v>3</v>
      </c>
      <c r="N900" s="355">
        <v>2</v>
      </c>
    </row>
    <row r="901" spans="1:14" hidden="1" x14ac:dyDescent="0.25">
      <c r="A901" s="354">
        <v>1</v>
      </c>
      <c r="B901" s="354">
        <v>1</v>
      </c>
      <c r="C901" s="354">
        <v>1</v>
      </c>
      <c r="D901" s="354">
        <v>0</v>
      </c>
      <c r="E901" s="354">
        <v>1</v>
      </c>
      <c r="F901" s="354">
        <v>1</v>
      </c>
      <c r="G901" s="354">
        <v>1</v>
      </c>
      <c r="H901" s="354">
        <v>1</v>
      </c>
      <c r="I901" s="354">
        <v>1</v>
      </c>
      <c r="J901" s="354">
        <v>1</v>
      </c>
      <c r="K901" s="354">
        <v>0</v>
      </c>
      <c r="L901" s="354">
        <v>0</v>
      </c>
      <c r="M901" s="355">
        <v>5</v>
      </c>
      <c r="N901" s="355">
        <v>4</v>
      </c>
    </row>
    <row r="902" spans="1:14" hidden="1" x14ac:dyDescent="0.25">
      <c r="A902" s="354">
        <v>1</v>
      </c>
      <c r="B902" s="354">
        <v>0</v>
      </c>
      <c r="C902" s="354">
        <v>1</v>
      </c>
      <c r="D902" s="354">
        <v>1</v>
      </c>
      <c r="E902" s="354">
        <v>1</v>
      </c>
      <c r="F902" s="354">
        <v>0</v>
      </c>
      <c r="G902" s="354">
        <v>0</v>
      </c>
      <c r="H902" s="354">
        <v>1</v>
      </c>
      <c r="I902" s="354">
        <v>1</v>
      </c>
      <c r="J902" s="354">
        <v>0</v>
      </c>
      <c r="K902" s="354">
        <v>0</v>
      </c>
      <c r="L902" s="354">
        <v>0</v>
      </c>
      <c r="M902" s="355">
        <v>4</v>
      </c>
      <c r="N902" s="355">
        <v>2</v>
      </c>
    </row>
    <row r="903" spans="1:14" hidden="1" x14ac:dyDescent="0.25">
      <c r="A903" s="354">
        <v>0</v>
      </c>
      <c r="B903" s="354">
        <v>1</v>
      </c>
      <c r="C903" s="354">
        <v>1</v>
      </c>
      <c r="D903" s="354">
        <v>1</v>
      </c>
      <c r="E903" s="354">
        <v>1</v>
      </c>
      <c r="F903" s="354">
        <v>1</v>
      </c>
      <c r="G903" s="354">
        <v>1</v>
      </c>
      <c r="H903" s="354">
        <v>1</v>
      </c>
      <c r="I903" s="354">
        <v>1</v>
      </c>
      <c r="J903" s="354">
        <v>1</v>
      </c>
      <c r="K903" s="354">
        <v>0</v>
      </c>
      <c r="L903" s="354">
        <v>0</v>
      </c>
      <c r="M903" s="355">
        <v>4</v>
      </c>
      <c r="N903" s="355">
        <v>5</v>
      </c>
    </row>
    <row r="904" spans="1:14" hidden="1" x14ac:dyDescent="0.25">
      <c r="A904" s="354">
        <v>1</v>
      </c>
      <c r="B904" s="354">
        <v>0</v>
      </c>
      <c r="C904" s="354">
        <v>0</v>
      </c>
      <c r="D904" s="354">
        <v>2</v>
      </c>
      <c r="E904" s="354">
        <v>2</v>
      </c>
      <c r="F904" s="354">
        <v>1</v>
      </c>
      <c r="G904" s="354">
        <v>1</v>
      </c>
      <c r="H904" s="354">
        <v>0</v>
      </c>
      <c r="I904" s="354">
        <v>1</v>
      </c>
      <c r="J904" s="354">
        <v>1</v>
      </c>
      <c r="K904" s="354">
        <v>0</v>
      </c>
      <c r="L904" s="354">
        <v>0</v>
      </c>
      <c r="M904" s="355">
        <v>5</v>
      </c>
      <c r="N904" s="355">
        <v>4</v>
      </c>
    </row>
    <row r="905" spans="1:14" hidden="1" x14ac:dyDescent="0.25">
      <c r="A905" s="354">
        <v>1</v>
      </c>
      <c r="B905" s="354">
        <v>0</v>
      </c>
      <c r="C905" s="354">
        <v>0</v>
      </c>
      <c r="D905" s="354">
        <v>1</v>
      </c>
      <c r="E905" s="354">
        <v>0</v>
      </c>
      <c r="F905" s="354">
        <v>1</v>
      </c>
      <c r="G905" s="354">
        <v>0</v>
      </c>
      <c r="H905" s="354">
        <v>1</v>
      </c>
      <c r="I905" s="354">
        <v>1</v>
      </c>
      <c r="J905" s="354">
        <v>0</v>
      </c>
      <c r="K905" s="354">
        <v>0</v>
      </c>
      <c r="L905" s="354">
        <v>0</v>
      </c>
      <c r="M905" s="355">
        <v>2</v>
      </c>
      <c r="N905" s="355">
        <v>3</v>
      </c>
    </row>
    <row r="906" spans="1:14" hidden="1" x14ac:dyDescent="0.25">
      <c r="A906" s="354">
        <v>0</v>
      </c>
      <c r="B906" s="354">
        <v>0</v>
      </c>
      <c r="C906" s="354">
        <v>0</v>
      </c>
      <c r="D906" s="354">
        <v>0</v>
      </c>
      <c r="E906" s="354">
        <v>0</v>
      </c>
      <c r="F906" s="354">
        <v>0</v>
      </c>
      <c r="G906" s="354">
        <v>0</v>
      </c>
      <c r="H906" s="354">
        <v>2</v>
      </c>
      <c r="I906" s="354">
        <v>0</v>
      </c>
      <c r="J906" s="354">
        <v>1</v>
      </c>
      <c r="K906" s="354">
        <v>0</v>
      </c>
      <c r="L906" s="354">
        <v>0</v>
      </c>
      <c r="M906" s="355">
        <v>0</v>
      </c>
      <c r="N906" s="355">
        <v>3</v>
      </c>
    </row>
    <row r="907" spans="1:14" hidden="1" x14ac:dyDescent="0.25">
      <c r="A907" s="354">
        <v>0</v>
      </c>
      <c r="B907" s="354">
        <v>1</v>
      </c>
      <c r="C907" s="354">
        <v>0</v>
      </c>
      <c r="D907" s="354">
        <v>1</v>
      </c>
      <c r="E907" s="354">
        <v>1</v>
      </c>
      <c r="F907" s="354">
        <v>1</v>
      </c>
      <c r="G907" s="354">
        <v>1</v>
      </c>
      <c r="H907" s="354">
        <v>0</v>
      </c>
      <c r="I907" s="354">
        <v>1</v>
      </c>
      <c r="J907" s="354">
        <v>1</v>
      </c>
      <c r="K907" s="354">
        <v>0</v>
      </c>
      <c r="L907" s="354">
        <v>0</v>
      </c>
      <c r="M907" s="355">
        <v>3</v>
      </c>
      <c r="N907" s="355">
        <v>4</v>
      </c>
    </row>
    <row r="908" spans="1:14" hidden="1" x14ac:dyDescent="0.25">
      <c r="A908" s="354">
        <v>1</v>
      </c>
      <c r="B908" s="354">
        <v>0</v>
      </c>
      <c r="C908" s="354">
        <v>2</v>
      </c>
      <c r="D908" s="354">
        <v>2</v>
      </c>
      <c r="E908" s="354">
        <v>1</v>
      </c>
      <c r="F908" s="354">
        <v>1</v>
      </c>
      <c r="G908" s="354">
        <v>2</v>
      </c>
      <c r="H908" s="354">
        <v>1</v>
      </c>
      <c r="I908" s="354">
        <v>1</v>
      </c>
      <c r="J908" s="354">
        <v>2</v>
      </c>
      <c r="K908" s="354">
        <v>0</v>
      </c>
      <c r="L908" s="354">
        <v>0</v>
      </c>
      <c r="M908" s="355">
        <v>7</v>
      </c>
      <c r="N908" s="355">
        <v>6</v>
      </c>
    </row>
    <row r="909" spans="1:14" hidden="1" x14ac:dyDescent="0.25">
      <c r="A909" s="354">
        <v>0</v>
      </c>
      <c r="B909" s="354">
        <v>0</v>
      </c>
      <c r="C909" s="354">
        <v>0</v>
      </c>
      <c r="D909" s="354">
        <v>0</v>
      </c>
      <c r="E909" s="354">
        <v>1</v>
      </c>
      <c r="F909" s="354">
        <v>2</v>
      </c>
      <c r="G909" s="354">
        <v>0</v>
      </c>
      <c r="H909" s="354">
        <v>2</v>
      </c>
      <c r="I909" s="354">
        <v>1</v>
      </c>
      <c r="J909" s="354">
        <v>1</v>
      </c>
      <c r="K909" s="354">
        <v>1</v>
      </c>
      <c r="L909" s="354">
        <v>1</v>
      </c>
      <c r="M909" s="355">
        <v>3</v>
      </c>
      <c r="N909" s="355">
        <v>6</v>
      </c>
    </row>
    <row r="910" spans="1:14" hidden="1" x14ac:dyDescent="0.25">
      <c r="A910" s="354"/>
      <c r="B910" s="354">
        <v>1</v>
      </c>
      <c r="C910" s="354">
        <v>1</v>
      </c>
      <c r="D910" s="354">
        <v>1</v>
      </c>
      <c r="E910" s="354">
        <v>0</v>
      </c>
      <c r="F910" s="354">
        <v>0</v>
      </c>
      <c r="G910" s="354">
        <v>0</v>
      </c>
      <c r="H910" s="354">
        <v>0</v>
      </c>
      <c r="I910" s="354">
        <v>1</v>
      </c>
      <c r="J910" s="354">
        <v>1</v>
      </c>
      <c r="K910" s="354">
        <v>0</v>
      </c>
      <c r="L910" s="354">
        <v>0</v>
      </c>
      <c r="M910" s="355">
        <v>2</v>
      </c>
      <c r="N910" s="355">
        <v>3</v>
      </c>
    </row>
    <row r="911" spans="1:14" hidden="1" x14ac:dyDescent="0.25">
      <c r="A911" s="354">
        <v>1</v>
      </c>
      <c r="B911" s="354">
        <v>0</v>
      </c>
      <c r="C911" s="354">
        <v>0</v>
      </c>
      <c r="D911" s="354">
        <v>0</v>
      </c>
      <c r="E911" s="354">
        <v>1</v>
      </c>
      <c r="F911" s="354">
        <v>1</v>
      </c>
      <c r="G911" s="354">
        <v>1</v>
      </c>
      <c r="H911" s="354">
        <v>0</v>
      </c>
      <c r="I911" s="354">
        <v>1</v>
      </c>
      <c r="J911" s="354">
        <v>1</v>
      </c>
      <c r="K911" s="354">
        <v>0</v>
      </c>
      <c r="L911" s="354">
        <v>0</v>
      </c>
      <c r="M911" s="355">
        <v>4</v>
      </c>
      <c r="N911" s="355">
        <v>2</v>
      </c>
    </row>
    <row r="912" spans="1:14" hidden="1" x14ac:dyDescent="0.25">
      <c r="A912" s="354">
        <v>1</v>
      </c>
      <c r="B912" s="354">
        <v>0</v>
      </c>
      <c r="C912" s="354"/>
      <c r="D912" s="354">
        <v>1</v>
      </c>
      <c r="E912" s="354">
        <v>0</v>
      </c>
      <c r="F912" s="354">
        <v>0</v>
      </c>
      <c r="G912" s="354">
        <v>0</v>
      </c>
      <c r="H912" s="354">
        <v>0</v>
      </c>
      <c r="I912" s="354">
        <v>1</v>
      </c>
      <c r="J912" s="354">
        <v>1</v>
      </c>
      <c r="K912" s="354">
        <v>0</v>
      </c>
      <c r="L912" s="354">
        <v>0</v>
      </c>
      <c r="M912" s="355">
        <v>2</v>
      </c>
      <c r="N912" s="355">
        <v>2</v>
      </c>
    </row>
    <row r="913" spans="1:14" hidden="1" x14ac:dyDescent="0.25">
      <c r="A913" s="354">
        <v>0</v>
      </c>
      <c r="B913" s="354">
        <v>1</v>
      </c>
      <c r="C913" s="354">
        <v>1</v>
      </c>
      <c r="D913" s="354">
        <v>1</v>
      </c>
      <c r="E913" s="354">
        <v>3</v>
      </c>
      <c r="F913" s="354">
        <v>0</v>
      </c>
      <c r="G913" s="354">
        <v>0</v>
      </c>
      <c r="H913" s="354">
        <v>1</v>
      </c>
      <c r="I913" s="354">
        <v>1</v>
      </c>
      <c r="J913" s="354">
        <v>1</v>
      </c>
      <c r="K913" s="354">
        <v>0</v>
      </c>
      <c r="L913" s="354">
        <v>0</v>
      </c>
      <c r="M913" s="355">
        <v>5</v>
      </c>
      <c r="N913" s="355">
        <v>4</v>
      </c>
    </row>
    <row r="914" spans="1:14" hidden="1" x14ac:dyDescent="0.25">
      <c r="A914" s="354">
        <v>0</v>
      </c>
      <c r="B914" s="354">
        <v>0</v>
      </c>
      <c r="C914" s="354">
        <v>0</v>
      </c>
      <c r="D914" s="354">
        <v>0</v>
      </c>
      <c r="E914" s="354">
        <v>0</v>
      </c>
      <c r="F914" s="354">
        <v>0</v>
      </c>
      <c r="G914" s="354">
        <v>0</v>
      </c>
      <c r="H914" s="354">
        <v>0</v>
      </c>
      <c r="I914" s="354">
        <v>1</v>
      </c>
      <c r="J914" s="354">
        <v>1</v>
      </c>
      <c r="K914" s="354">
        <v>1</v>
      </c>
      <c r="L914" s="354">
        <v>1</v>
      </c>
      <c r="M914" s="355">
        <v>2</v>
      </c>
      <c r="N914" s="355">
        <v>2</v>
      </c>
    </row>
    <row r="915" spans="1:14" hidden="1" x14ac:dyDescent="0.25">
      <c r="A915" s="354">
        <v>0</v>
      </c>
      <c r="B915" s="354">
        <v>0</v>
      </c>
      <c r="C915" s="354">
        <v>0</v>
      </c>
      <c r="D915" s="354">
        <v>0</v>
      </c>
      <c r="E915" s="354">
        <v>0</v>
      </c>
      <c r="F915" s="354">
        <v>3</v>
      </c>
      <c r="G915" s="354">
        <v>1</v>
      </c>
      <c r="H915" s="354">
        <v>2</v>
      </c>
      <c r="I915" s="354">
        <v>2</v>
      </c>
      <c r="J915" s="354">
        <v>1</v>
      </c>
      <c r="K915" s="354">
        <v>0</v>
      </c>
      <c r="L915" s="354">
        <v>0</v>
      </c>
      <c r="M915" s="355">
        <v>3</v>
      </c>
      <c r="N915" s="355">
        <v>6</v>
      </c>
    </row>
    <row r="916" spans="1:14" hidden="1" x14ac:dyDescent="0.25">
      <c r="A916" s="354">
        <v>0</v>
      </c>
      <c r="B916" s="354">
        <v>0</v>
      </c>
      <c r="C916" s="354">
        <v>0</v>
      </c>
      <c r="D916" s="354">
        <v>0</v>
      </c>
      <c r="E916" s="354">
        <v>3</v>
      </c>
      <c r="F916" s="354">
        <v>0</v>
      </c>
      <c r="G916" s="354">
        <v>1</v>
      </c>
      <c r="H916" s="354">
        <v>0</v>
      </c>
      <c r="I916" s="354">
        <v>0</v>
      </c>
      <c r="J916" s="354">
        <v>1</v>
      </c>
      <c r="K916" s="354">
        <v>1</v>
      </c>
      <c r="L916" s="354">
        <v>0</v>
      </c>
      <c r="M916" s="355">
        <v>5</v>
      </c>
      <c r="N916" s="355">
        <v>1</v>
      </c>
    </row>
    <row r="917" spans="1:14" hidden="1" x14ac:dyDescent="0.25">
      <c r="A917" s="354">
        <v>0</v>
      </c>
      <c r="B917" s="354">
        <v>1</v>
      </c>
      <c r="C917" s="354">
        <v>1</v>
      </c>
      <c r="D917" s="354">
        <v>0</v>
      </c>
      <c r="E917" s="354">
        <v>2</v>
      </c>
      <c r="F917" s="354">
        <v>1</v>
      </c>
      <c r="G917" s="354">
        <v>1</v>
      </c>
      <c r="H917" s="354">
        <v>1</v>
      </c>
      <c r="I917" s="354">
        <v>1</v>
      </c>
      <c r="J917" s="354">
        <v>1</v>
      </c>
      <c r="K917" s="354">
        <v>0</v>
      </c>
      <c r="L917" s="354">
        <v>0</v>
      </c>
      <c r="M917" s="355">
        <v>5</v>
      </c>
      <c r="N917" s="355">
        <v>4</v>
      </c>
    </row>
    <row r="918" spans="1:14" hidden="1" x14ac:dyDescent="0.25">
      <c r="A918" s="354">
        <v>0</v>
      </c>
      <c r="B918" s="354">
        <v>2</v>
      </c>
      <c r="C918" s="354">
        <v>2</v>
      </c>
      <c r="D918" s="354">
        <v>2</v>
      </c>
      <c r="E918" s="354">
        <v>3</v>
      </c>
      <c r="F918" s="354">
        <v>0</v>
      </c>
      <c r="G918" s="354">
        <v>0</v>
      </c>
      <c r="H918" s="354">
        <v>0</v>
      </c>
      <c r="I918" s="354">
        <v>1</v>
      </c>
      <c r="J918" s="354">
        <v>2</v>
      </c>
      <c r="K918" s="354">
        <v>0</v>
      </c>
      <c r="L918" s="354">
        <v>0</v>
      </c>
      <c r="M918" s="355">
        <v>6</v>
      </c>
      <c r="N918" s="355">
        <v>6</v>
      </c>
    </row>
    <row r="919" spans="1:14" hidden="1" x14ac:dyDescent="0.25">
      <c r="A919" s="354">
        <v>0</v>
      </c>
      <c r="B919" s="354">
        <v>0</v>
      </c>
      <c r="C919" s="354">
        <v>2</v>
      </c>
      <c r="D919" s="354">
        <v>0</v>
      </c>
      <c r="E919" s="354">
        <v>0</v>
      </c>
      <c r="F919" s="354">
        <v>1</v>
      </c>
      <c r="G919" s="354">
        <v>0</v>
      </c>
      <c r="H919" s="354">
        <v>0</v>
      </c>
      <c r="I919" s="354">
        <v>0</v>
      </c>
      <c r="J919" s="354">
        <v>0</v>
      </c>
      <c r="K919" s="354">
        <v>0</v>
      </c>
      <c r="L919" s="354">
        <v>2</v>
      </c>
      <c r="M919" s="355">
        <v>2</v>
      </c>
      <c r="N919" s="355">
        <v>3</v>
      </c>
    </row>
    <row r="920" spans="1:14" hidden="1" x14ac:dyDescent="0.25">
      <c r="A920" s="354">
        <v>0</v>
      </c>
      <c r="B920" s="354">
        <v>1</v>
      </c>
      <c r="C920" s="354">
        <v>0</v>
      </c>
      <c r="D920" s="354">
        <v>1</v>
      </c>
      <c r="E920" s="354">
        <v>1</v>
      </c>
      <c r="F920" s="354">
        <v>1</v>
      </c>
      <c r="G920" s="354">
        <v>0</v>
      </c>
      <c r="H920" s="354">
        <v>1</v>
      </c>
      <c r="I920" s="354">
        <v>1</v>
      </c>
      <c r="J920" s="354">
        <v>1</v>
      </c>
      <c r="K920" s="354">
        <v>0</v>
      </c>
      <c r="L920" s="354">
        <v>1</v>
      </c>
      <c r="M920" s="355">
        <v>2</v>
      </c>
      <c r="N920" s="355">
        <v>6</v>
      </c>
    </row>
    <row r="921" spans="1:14" hidden="1" x14ac:dyDescent="0.25">
      <c r="A921" s="354">
        <v>0</v>
      </c>
      <c r="B921" s="354">
        <v>0</v>
      </c>
      <c r="C921" s="354">
        <v>0</v>
      </c>
      <c r="D921" s="354">
        <v>0</v>
      </c>
      <c r="E921" s="354">
        <v>1</v>
      </c>
      <c r="F921" s="354">
        <v>0</v>
      </c>
      <c r="G921" s="354">
        <v>2</v>
      </c>
      <c r="H921" s="354">
        <v>0</v>
      </c>
      <c r="I921" s="354">
        <v>0</v>
      </c>
      <c r="J921" s="354">
        <v>1</v>
      </c>
      <c r="K921" s="354">
        <v>0</v>
      </c>
      <c r="L921" s="354">
        <v>0</v>
      </c>
      <c r="M921" s="355">
        <v>3</v>
      </c>
      <c r="N921" s="355">
        <v>1</v>
      </c>
    </row>
    <row r="922" spans="1:14" hidden="1" x14ac:dyDescent="0.25">
      <c r="A922" s="354">
        <v>1</v>
      </c>
      <c r="B922" s="354">
        <v>1</v>
      </c>
      <c r="C922" s="354">
        <v>0</v>
      </c>
      <c r="D922" s="354">
        <v>1</v>
      </c>
      <c r="E922" s="354">
        <v>0</v>
      </c>
      <c r="F922" s="354">
        <v>0</v>
      </c>
      <c r="G922" s="354">
        <v>0</v>
      </c>
      <c r="H922" s="354">
        <v>0</v>
      </c>
      <c r="I922" s="354">
        <v>1</v>
      </c>
      <c r="J922" s="354">
        <v>1</v>
      </c>
      <c r="K922" s="354">
        <v>0</v>
      </c>
      <c r="L922" s="354">
        <v>0</v>
      </c>
      <c r="M922" s="355">
        <v>2</v>
      </c>
      <c r="N922" s="355">
        <v>3</v>
      </c>
    </row>
    <row r="923" spans="1:14" hidden="1" x14ac:dyDescent="0.25">
      <c r="A923" s="354">
        <v>0</v>
      </c>
      <c r="B923" s="354">
        <v>0</v>
      </c>
      <c r="C923" s="354">
        <v>0</v>
      </c>
      <c r="D923" s="354">
        <v>0</v>
      </c>
      <c r="E923" s="354">
        <v>0</v>
      </c>
      <c r="F923" s="354">
        <v>0</v>
      </c>
      <c r="G923" s="354">
        <v>1</v>
      </c>
      <c r="H923" s="354">
        <v>1</v>
      </c>
      <c r="I923" s="354">
        <v>0</v>
      </c>
      <c r="J923" s="354">
        <v>0</v>
      </c>
      <c r="K923" s="354">
        <v>0</v>
      </c>
      <c r="L923" s="354">
        <v>1</v>
      </c>
      <c r="M923" s="355">
        <v>1</v>
      </c>
      <c r="N923" s="355">
        <v>2</v>
      </c>
    </row>
    <row r="924" spans="1:14" hidden="1" x14ac:dyDescent="0.25">
      <c r="A924" s="354">
        <v>1</v>
      </c>
      <c r="B924" s="354">
        <v>1</v>
      </c>
      <c r="C924" s="354">
        <v>2</v>
      </c>
      <c r="D924" s="354">
        <v>0</v>
      </c>
      <c r="E924" s="354">
        <v>1</v>
      </c>
      <c r="F924" s="354">
        <v>1</v>
      </c>
      <c r="G924" s="354">
        <v>0</v>
      </c>
      <c r="H924" s="354">
        <v>0</v>
      </c>
      <c r="I924" s="354">
        <v>1</v>
      </c>
      <c r="J924" s="354">
        <v>2</v>
      </c>
      <c r="K924" s="354">
        <v>0</v>
      </c>
      <c r="L924" s="354">
        <v>0</v>
      </c>
      <c r="M924" s="355">
        <v>5</v>
      </c>
      <c r="N924" s="355">
        <v>4</v>
      </c>
    </row>
    <row r="925" spans="1:14" hidden="1" x14ac:dyDescent="0.25">
      <c r="A925" s="354">
        <v>2</v>
      </c>
      <c r="B925" s="354">
        <v>0</v>
      </c>
      <c r="C925" s="354">
        <v>2</v>
      </c>
      <c r="D925" s="354">
        <v>0</v>
      </c>
      <c r="E925" s="354">
        <v>2</v>
      </c>
      <c r="F925" s="354">
        <v>1</v>
      </c>
      <c r="G925" s="354">
        <v>2</v>
      </c>
      <c r="H925" s="354">
        <v>0</v>
      </c>
      <c r="I925" s="354">
        <v>2</v>
      </c>
      <c r="J925" s="354">
        <v>2</v>
      </c>
      <c r="K925" s="354">
        <v>0</v>
      </c>
      <c r="L925" s="354">
        <v>0</v>
      </c>
      <c r="M925" s="355">
        <v>10</v>
      </c>
      <c r="N925" s="355">
        <v>3</v>
      </c>
    </row>
    <row r="926" spans="1:14" hidden="1" x14ac:dyDescent="0.25">
      <c r="A926" s="354">
        <v>0</v>
      </c>
      <c r="B926" s="354">
        <v>0</v>
      </c>
      <c r="C926" s="354">
        <v>0</v>
      </c>
      <c r="D926" s="354">
        <v>1</v>
      </c>
      <c r="E926" s="354">
        <v>0</v>
      </c>
      <c r="F926" s="354">
        <v>2</v>
      </c>
      <c r="G926" s="354">
        <v>1</v>
      </c>
      <c r="H926" s="354">
        <v>2</v>
      </c>
      <c r="I926" s="354">
        <v>2</v>
      </c>
      <c r="J926" s="354">
        <v>3</v>
      </c>
      <c r="K926" s="354">
        <v>0</v>
      </c>
      <c r="L926" s="354">
        <v>0</v>
      </c>
      <c r="M926" s="355">
        <v>3</v>
      </c>
      <c r="N926" s="355">
        <v>8</v>
      </c>
    </row>
    <row r="927" spans="1:14" hidden="1" x14ac:dyDescent="0.25">
      <c r="A927" s="354">
        <v>0</v>
      </c>
      <c r="B927" s="354">
        <v>0</v>
      </c>
      <c r="C927" s="354">
        <v>2</v>
      </c>
      <c r="D927" s="354">
        <v>1</v>
      </c>
      <c r="E927" s="354">
        <v>1</v>
      </c>
      <c r="F927" s="354">
        <v>0</v>
      </c>
      <c r="G927" s="354">
        <v>1</v>
      </c>
      <c r="H927" s="354">
        <v>0</v>
      </c>
      <c r="I927" s="354">
        <v>1</v>
      </c>
      <c r="J927" s="354">
        <v>1</v>
      </c>
      <c r="K927" s="354">
        <v>0</v>
      </c>
      <c r="L927" s="354">
        <v>0</v>
      </c>
      <c r="M927" s="355">
        <v>5</v>
      </c>
      <c r="N927" s="355">
        <v>2</v>
      </c>
    </row>
    <row r="928" spans="1:14" hidden="1" x14ac:dyDescent="0.25">
      <c r="A928" s="354">
        <v>0</v>
      </c>
      <c r="B928" s="354">
        <v>0</v>
      </c>
      <c r="C928" s="354">
        <v>2</v>
      </c>
      <c r="D928" s="354">
        <v>1</v>
      </c>
      <c r="E928" s="354">
        <v>1</v>
      </c>
      <c r="F928" s="354">
        <v>0</v>
      </c>
      <c r="G928" s="354">
        <v>1</v>
      </c>
      <c r="H928" s="354">
        <v>0</v>
      </c>
      <c r="I928" s="354">
        <v>1</v>
      </c>
      <c r="J928" s="354">
        <v>1</v>
      </c>
      <c r="K928" s="354">
        <v>0</v>
      </c>
      <c r="L928" s="354">
        <v>0</v>
      </c>
      <c r="M928" s="355">
        <v>5</v>
      </c>
      <c r="N928" s="355">
        <v>2</v>
      </c>
    </row>
    <row r="929" spans="1:14" hidden="1" x14ac:dyDescent="0.25">
      <c r="A929" s="354">
        <v>1</v>
      </c>
      <c r="B929" s="354">
        <v>1</v>
      </c>
      <c r="C929" s="354">
        <v>2</v>
      </c>
      <c r="D929" s="354">
        <v>2</v>
      </c>
      <c r="E929" s="354">
        <v>0</v>
      </c>
      <c r="F929" s="354">
        <v>1</v>
      </c>
      <c r="G929" s="354">
        <v>1</v>
      </c>
      <c r="H929" s="354">
        <v>1</v>
      </c>
      <c r="I929" s="354">
        <v>1</v>
      </c>
      <c r="J929" s="354">
        <v>2</v>
      </c>
      <c r="K929" s="354">
        <v>0</v>
      </c>
      <c r="L929" s="354">
        <v>0</v>
      </c>
      <c r="M929" s="355">
        <v>5</v>
      </c>
      <c r="N929" s="355">
        <v>7</v>
      </c>
    </row>
    <row r="930" spans="1:14" hidden="1" x14ac:dyDescent="0.25">
      <c r="A930" s="354">
        <v>1</v>
      </c>
      <c r="B930" s="354">
        <v>0</v>
      </c>
      <c r="C930" s="354">
        <v>1</v>
      </c>
      <c r="D930" s="354">
        <v>1</v>
      </c>
      <c r="E930" s="354">
        <v>0</v>
      </c>
      <c r="F930" s="354">
        <v>0</v>
      </c>
      <c r="G930" s="354">
        <v>0</v>
      </c>
      <c r="H930" s="354">
        <v>0</v>
      </c>
      <c r="I930" s="354">
        <v>1</v>
      </c>
      <c r="J930" s="354">
        <v>1</v>
      </c>
      <c r="K930" s="354">
        <v>0</v>
      </c>
      <c r="L930" s="354">
        <v>0</v>
      </c>
      <c r="M930" s="355">
        <v>3</v>
      </c>
      <c r="N930" s="355">
        <v>2</v>
      </c>
    </row>
    <row r="931" spans="1:14" hidden="1" x14ac:dyDescent="0.25">
      <c r="A931" s="354">
        <v>1</v>
      </c>
      <c r="B931" s="354">
        <v>0</v>
      </c>
      <c r="C931" s="354">
        <v>3</v>
      </c>
      <c r="D931" s="354">
        <v>2</v>
      </c>
      <c r="E931" s="354">
        <v>2</v>
      </c>
      <c r="F931" s="354">
        <v>0</v>
      </c>
      <c r="G931" s="354">
        <v>3</v>
      </c>
      <c r="H931" s="354">
        <v>1</v>
      </c>
      <c r="I931" s="354">
        <v>1</v>
      </c>
      <c r="J931" s="354">
        <v>2</v>
      </c>
      <c r="K931" s="354">
        <v>0</v>
      </c>
      <c r="L931" s="354">
        <v>0</v>
      </c>
      <c r="M931" s="355">
        <v>10</v>
      </c>
      <c r="N931" s="355">
        <v>5</v>
      </c>
    </row>
    <row r="932" spans="1:14" hidden="1" x14ac:dyDescent="0.25">
      <c r="A932" s="354">
        <v>1</v>
      </c>
      <c r="B932" s="354">
        <v>1</v>
      </c>
      <c r="C932" s="354">
        <v>1</v>
      </c>
      <c r="D932" s="354">
        <v>1</v>
      </c>
      <c r="E932" s="354">
        <v>2</v>
      </c>
      <c r="F932" s="354">
        <v>0</v>
      </c>
      <c r="G932" s="354">
        <v>0</v>
      </c>
      <c r="H932" s="354">
        <v>0</v>
      </c>
      <c r="I932" s="354">
        <v>1</v>
      </c>
      <c r="J932" s="354">
        <v>2</v>
      </c>
      <c r="K932" s="354">
        <v>0</v>
      </c>
      <c r="L932" s="354">
        <v>0</v>
      </c>
      <c r="M932" s="355">
        <v>5</v>
      </c>
      <c r="N932" s="355">
        <v>4</v>
      </c>
    </row>
    <row r="933" spans="1:14" hidden="1" x14ac:dyDescent="0.25">
      <c r="A933" s="354">
        <v>2</v>
      </c>
      <c r="B933" s="354">
        <v>0</v>
      </c>
      <c r="C933" s="354">
        <v>1</v>
      </c>
      <c r="D933" s="354">
        <v>2</v>
      </c>
      <c r="E933" s="354">
        <v>1</v>
      </c>
      <c r="F933" s="354">
        <v>3</v>
      </c>
      <c r="G933" s="354">
        <v>1</v>
      </c>
      <c r="H933" s="354">
        <v>0</v>
      </c>
      <c r="I933" s="354">
        <v>1</v>
      </c>
      <c r="J933" s="354">
        <v>3</v>
      </c>
      <c r="K933" s="354">
        <v>0</v>
      </c>
      <c r="L933" s="354">
        <v>0</v>
      </c>
      <c r="M933" s="355">
        <v>6</v>
      </c>
      <c r="N933" s="355">
        <v>8</v>
      </c>
    </row>
    <row r="934" spans="1:14" hidden="1" x14ac:dyDescent="0.25">
      <c r="A934" s="354">
        <v>1</v>
      </c>
      <c r="B934" s="354">
        <v>0</v>
      </c>
      <c r="C934" s="354">
        <v>1</v>
      </c>
      <c r="D934" s="354">
        <v>1</v>
      </c>
      <c r="E934" s="354">
        <v>0</v>
      </c>
      <c r="F934" s="354">
        <v>1</v>
      </c>
      <c r="G934" s="354">
        <v>1</v>
      </c>
      <c r="H934" s="354">
        <v>0</v>
      </c>
      <c r="I934" s="354">
        <v>1</v>
      </c>
      <c r="J934" s="354">
        <v>1</v>
      </c>
      <c r="K934" s="354">
        <v>0</v>
      </c>
      <c r="L934" s="354">
        <v>0</v>
      </c>
      <c r="M934" s="355">
        <v>4</v>
      </c>
      <c r="N934" s="355">
        <v>3</v>
      </c>
    </row>
    <row r="935" spans="1:14" hidden="1" x14ac:dyDescent="0.25">
      <c r="A935" s="354">
        <v>1</v>
      </c>
      <c r="B935" s="354">
        <v>0</v>
      </c>
      <c r="C935" s="354">
        <v>0</v>
      </c>
      <c r="D935" s="354">
        <v>0</v>
      </c>
      <c r="E935" s="354">
        <v>0</v>
      </c>
      <c r="F935" s="354">
        <v>0</v>
      </c>
      <c r="G935" s="354">
        <v>0</v>
      </c>
      <c r="H935" s="354">
        <v>0</v>
      </c>
      <c r="I935" s="354">
        <v>1</v>
      </c>
      <c r="J935" s="354">
        <v>1</v>
      </c>
      <c r="K935" s="354">
        <v>0</v>
      </c>
      <c r="L935" s="354">
        <v>0</v>
      </c>
      <c r="M935" s="355">
        <v>2</v>
      </c>
      <c r="N935" s="355">
        <v>1</v>
      </c>
    </row>
    <row r="936" spans="1:14" hidden="1" x14ac:dyDescent="0.25">
      <c r="A936" s="354">
        <v>1</v>
      </c>
      <c r="B936" s="354">
        <v>0</v>
      </c>
      <c r="C936" s="354">
        <v>1</v>
      </c>
      <c r="D936" s="354">
        <v>1</v>
      </c>
      <c r="E936" s="354">
        <v>0</v>
      </c>
      <c r="F936" s="354">
        <v>0</v>
      </c>
      <c r="G936" s="354">
        <v>0</v>
      </c>
      <c r="H936" s="354">
        <v>0</v>
      </c>
      <c r="I936" s="354">
        <v>1</v>
      </c>
      <c r="J936" s="354">
        <v>1</v>
      </c>
      <c r="K936" s="354">
        <v>0</v>
      </c>
      <c r="L936" s="354">
        <v>0</v>
      </c>
      <c r="M936" s="355">
        <v>3</v>
      </c>
      <c r="N936" s="355">
        <v>2</v>
      </c>
    </row>
    <row r="937" spans="1:14" hidden="1" x14ac:dyDescent="0.25">
      <c r="A937" s="354">
        <v>1</v>
      </c>
      <c r="B937" s="354">
        <v>0</v>
      </c>
      <c r="C937" s="354">
        <v>1</v>
      </c>
      <c r="D937" s="354">
        <v>0</v>
      </c>
      <c r="E937" s="354">
        <v>0</v>
      </c>
      <c r="F937" s="354">
        <v>0</v>
      </c>
      <c r="G937" s="354">
        <v>1</v>
      </c>
      <c r="H937" s="354">
        <v>1</v>
      </c>
      <c r="I937" s="354">
        <v>1</v>
      </c>
      <c r="J937" s="354">
        <v>1</v>
      </c>
      <c r="K937" s="354">
        <v>0</v>
      </c>
      <c r="L937" s="354">
        <v>0</v>
      </c>
      <c r="M937" s="355">
        <v>4</v>
      </c>
      <c r="N937" s="355">
        <v>2</v>
      </c>
    </row>
    <row r="938" spans="1:14" hidden="1" x14ac:dyDescent="0.25">
      <c r="A938" s="354">
        <v>1</v>
      </c>
      <c r="B938" s="354">
        <v>1</v>
      </c>
      <c r="C938" s="354">
        <v>0</v>
      </c>
      <c r="D938" s="354">
        <v>2</v>
      </c>
      <c r="E938" s="354">
        <v>1</v>
      </c>
      <c r="F938" s="354">
        <v>2</v>
      </c>
      <c r="G938" s="354">
        <v>1</v>
      </c>
      <c r="H938" s="354">
        <v>0</v>
      </c>
      <c r="I938" s="354">
        <v>1</v>
      </c>
      <c r="J938" s="354">
        <v>2</v>
      </c>
      <c r="K938" s="354">
        <v>0</v>
      </c>
      <c r="L938" s="354">
        <v>0</v>
      </c>
      <c r="M938" s="355">
        <v>4</v>
      </c>
      <c r="N938" s="355">
        <v>7</v>
      </c>
    </row>
    <row r="939" spans="1:14" hidden="1" x14ac:dyDescent="0.25">
      <c r="A939" s="354">
        <v>2</v>
      </c>
      <c r="B939" s="354">
        <v>1</v>
      </c>
      <c r="C939" s="354">
        <v>1</v>
      </c>
      <c r="D939" s="354">
        <v>0</v>
      </c>
      <c r="E939" s="354">
        <v>2</v>
      </c>
      <c r="F939" s="354">
        <v>0</v>
      </c>
      <c r="G939" s="354">
        <v>2</v>
      </c>
      <c r="H939" s="354">
        <v>0</v>
      </c>
      <c r="I939" s="354">
        <v>1</v>
      </c>
      <c r="J939" s="354">
        <v>2</v>
      </c>
      <c r="K939" s="354">
        <v>0</v>
      </c>
      <c r="L939" s="354">
        <v>0</v>
      </c>
      <c r="M939" s="355">
        <v>8</v>
      </c>
      <c r="N939" s="355">
        <v>3</v>
      </c>
    </row>
    <row r="940" spans="1:14" hidden="1" x14ac:dyDescent="0.25">
      <c r="A940" s="354">
        <v>0</v>
      </c>
      <c r="B940" s="354">
        <v>1</v>
      </c>
      <c r="C940" s="354">
        <v>1</v>
      </c>
      <c r="D940" s="354">
        <v>1</v>
      </c>
      <c r="E940" s="354">
        <v>1</v>
      </c>
      <c r="F940" s="354">
        <v>0</v>
      </c>
      <c r="G940" s="354">
        <v>0</v>
      </c>
      <c r="H940" s="354">
        <v>0</v>
      </c>
      <c r="I940" s="354">
        <v>1</v>
      </c>
      <c r="J940" s="354">
        <v>1</v>
      </c>
      <c r="K940" s="354">
        <v>0</v>
      </c>
      <c r="L940" s="354">
        <v>0</v>
      </c>
      <c r="M940" s="355">
        <v>3</v>
      </c>
      <c r="N940" s="355">
        <v>3</v>
      </c>
    </row>
    <row r="941" spans="1:14" hidden="1" x14ac:dyDescent="0.25">
      <c r="A941" s="354">
        <v>1</v>
      </c>
      <c r="B941" s="354">
        <v>0</v>
      </c>
      <c r="C941" s="354">
        <v>2</v>
      </c>
      <c r="D941" s="354">
        <v>1</v>
      </c>
      <c r="E941" s="354">
        <v>2</v>
      </c>
      <c r="F941" s="354">
        <v>0</v>
      </c>
      <c r="G941" s="354">
        <v>0</v>
      </c>
      <c r="H941" s="354">
        <v>1</v>
      </c>
      <c r="I941" s="354">
        <v>1</v>
      </c>
      <c r="J941" s="354">
        <v>1</v>
      </c>
      <c r="K941" s="354">
        <v>0</v>
      </c>
      <c r="L941" s="354">
        <v>0</v>
      </c>
      <c r="M941" s="355">
        <v>6</v>
      </c>
      <c r="N941" s="355">
        <v>3</v>
      </c>
    </row>
    <row r="942" spans="1:14" hidden="1" x14ac:dyDescent="0.25">
      <c r="A942" s="354">
        <v>1</v>
      </c>
      <c r="B942" s="354">
        <v>0</v>
      </c>
      <c r="C942" s="354">
        <v>1</v>
      </c>
      <c r="D942" s="354">
        <v>1</v>
      </c>
      <c r="E942" s="354">
        <v>2</v>
      </c>
      <c r="F942" s="354">
        <v>3</v>
      </c>
      <c r="G942" s="354">
        <v>0</v>
      </c>
      <c r="H942" s="354">
        <v>3</v>
      </c>
      <c r="I942" s="354">
        <v>3</v>
      </c>
      <c r="J942" s="354">
        <v>3</v>
      </c>
      <c r="K942" s="354">
        <v>0</v>
      </c>
      <c r="L942" s="354">
        <v>0</v>
      </c>
      <c r="M942" s="355">
        <v>7</v>
      </c>
      <c r="N942" s="355">
        <v>10</v>
      </c>
    </row>
    <row r="943" spans="1:14" hidden="1" x14ac:dyDescent="0.25">
      <c r="A943" s="354">
        <v>0</v>
      </c>
      <c r="B943" s="354">
        <v>0</v>
      </c>
      <c r="C943" s="354">
        <v>2</v>
      </c>
      <c r="D943" s="354">
        <v>0</v>
      </c>
      <c r="E943" s="354">
        <v>1</v>
      </c>
      <c r="F943" s="354">
        <v>1</v>
      </c>
      <c r="G943" s="354">
        <v>10</v>
      </c>
      <c r="H943" s="354">
        <v>0</v>
      </c>
      <c r="I943" s="354">
        <v>1</v>
      </c>
      <c r="J943" s="354">
        <v>1</v>
      </c>
      <c r="K943" s="354">
        <v>0</v>
      </c>
      <c r="L943" s="354">
        <v>0</v>
      </c>
      <c r="M943" s="355">
        <v>14</v>
      </c>
      <c r="N943" s="355">
        <v>2</v>
      </c>
    </row>
    <row r="944" spans="1:14" hidden="1" x14ac:dyDescent="0.25">
      <c r="A944" s="354">
        <v>0</v>
      </c>
      <c r="B944" s="354">
        <v>0</v>
      </c>
      <c r="C944" s="354">
        <v>0</v>
      </c>
      <c r="D944" s="354">
        <v>0</v>
      </c>
      <c r="E944" s="354">
        <v>2</v>
      </c>
      <c r="F944" s="354">
        <v>1</v>
      </c>
      <c r="G944" s="354">
        <v>2</v>
      </c>
      <c r="H944" s="354">
        <v>0</v>
      </c>
      <c r="I944" s="354">
        <v>1</v>
      </c>
      <c r="J944" s="354">
        <v>1</v>
      </c>
      <c r="K944" s="354">
        <v>1</v>
      </c>
      <c r="L944" s="354">
        <v>0</v>
      </c>
      <c r="M944" s="355">
        <v>6</v>
      </c>
      <c r="N944" s="355">
        <v>2</v>
      </c>
    </row>
    <row r="945" spans="1:14" hidden="1" x14ac:dyDescent="0.25">
      <c r="A945" s="354">
        <v>1</v>
      </c>
      <c r="B945" s="354">
        <v>0</v>
      </c>
      <c r="C945" s="354">
        <v>0</v>
      </c>
      <c r="D945" s="354">
        <v>1</v>
      </c>
      <c r="E945" s="354">
        <v>2</v>
      </c>
      <c r="F945" s="354">
        <v>0</v>
      </c>
      <c r="G945" s="354">
        <v>0</v>
      </c>
      <c r="H945" s="354">
        <v>0</v>
      </c>
      <c r="I945" s="354">
        <v>1</v>
      </c>
      <c r="J945" s="354">
        <v>1</v>
      </c>
      <c r="K945" s="354">
        <v>0</v>
      </c>
      <c r="L945" s="354">
        <v>0</v>
      </c>
      <c r="M945" s="355">
        <v>4</v>
      </c>
      <c r="N945" s="355">
        <v>2</v>
      </c>
    </row>
    <row r="946" spans="1:14" hidden="1" x14ac:dyDescent="0.25">
      <c r="A946" s="354">
        <v>1</v>
      </c>
      <c r="B946" s="354">
        <v>0</v>
      </c>
      <c r="C946" s="354">
        <v>1</v>
      </c>
      <c r="D946" s="354">
        <v>0</v>
      </c>
      <c r="E946" s="354">
        <v>0</v>
      </c>
      <c r="F946" s="354">
        <v>0</v>
      </c>
      <c r="G946" s="354">
        <v>0</v>
      </c>
      <c r="H946" s="354">
        <v>0</v>
      </c>
      <c r="I946" s="354">
        <v>1</v>
      </c>
      <c r="J946" s="354">
        <v>1</v>
      </c>
      <c r="K946" s="354">
        <v>0</v>
      </c>
      <c r="L946" s="354">
        <v>0</v>
      </c>
      <c r="M946" s="355">
        <v>3</v>
      </c>
      <c r="N946" s="355">
        <v>1</v>
      </c>
    </row>
    <row r="947" spans="1:14" hidden="1" x14ac:dyDescent="0.25">
      <c r="A947" s="354">
        <v>1</v>
      </c>
      <c r="B947" s="354">
        <v>1</v>
      </c>
      <c r="C947" s="354">
        <v>1</v>
      </c>
      <c r="D947" s="354">
        <v>0</v>
      </c>
      <c r="E947" s="354">
        <v>3</v>
      </c>
      <c r="F947" s="354">
        <v>1</v>
      </c>
      <c r="G947" s="354">
        <v>0</v>
      </c>
      <c r="H947" s="354">
        <v>0</v>
      </c>
      <c r="I947" s="354">
        <v>1</v>
      </c>
      <c r="J947" s="354">
        <v>3</v>
      </c>
      <c r="K947" s="354">
        <v>0</v>
      </c>
      <c r="L947" s="354">
        <v>0</v>
      </c>
      <c r="M947" s="355">
        <v>6</v>
      </c>
      <c r="N947" s="355">
        <v>5</v>
      </c>
    </row>
    <row r="948" spans="1:14" hidden="1" x14ac:dyDescent="0.25">
      <c r="A948" s="354">
        <v>0</v>
      </c>
      <c r="B948" s="354">
        <v>1</v>
      </c>
      <c r="C948" s="354">
        <v>0</v>
      </c>
      <c r="D948" s="354">
        <v>1</v>
      </c>
      <c r="E948" s="354">
        <v>2</v>
      </c>
      <c r="F948" s="354">
        <v>0</v>
      </c>
      <c r="G948" s="354">
        <v>0</v>
      </c>
      <c r="H948" s="354">
        <v>0</v>
      </c>
      <c r="I948" s="354">
        <v>1</v>
      </c>
      <c r="J948" s="354">
        <v>1</v>
      </c>
      <c r="K948" s="354">
        <v>0</v>
      </c>
      <c r="L948" s="354">
        <v>0</v>
      </c>
      <c r="M948" s="355">
        <v>3</v>
      </c>
      <c r="N948" s="355">
        <v>3</v>
      </c>
    </row>
    <row r="949" spans="1:14" hidden="1" x14ac:dyDescent="0.25">
      <c r="A949" s="354">
        <v>1</v>
      </c>
      <c r="B949" s="354">
        <v>0</v>
      </c>
      <c r="C949" s="354">
        <v>1</v>
      </c>
      <c r="D949" s="354">
        <v>0</v>
      </c>
      <c r="E949" s="354">
        <v>2</v>
      </c>
      <c r="F949" s="354">
        <v>0</v>
      </c>
      <c r="G949" s="354">
        <v>0</v>
      </c>
      <c r="H949" s="354">
        <v>0</v>
      </c>
      <c r="I949" s="354">
        <v>1</v>
      </c>
      <c r="J949" s="354">
        <v>1</v>
      </c>
      <c r="K949" s="354">
        <v>0</v>
      </c>
      <c r="L949" s="354">
        <v>0</v>
      </c>
      <c r="M949" s="355">
        <v>5</v>
      </c>
      <c r="N949" s="355">
        <v>1</v>
      </c>
    </row>
    <row r="950" spans="1:14" hidden="1" x14ac:dyDescent="0.25">
      <c r="A950" s="354">
        <v>1</v>
      </c>
      <c r="B950" s="354">
        <v>0</v>
      </c>
      <c r="C950" s="354">
        <v>1</v>
      </c>
      <c r="D950" s="354">
        <v>1</v>
      </c>
      <c r="E950" s="354">
        <v>2</v>
      </c>
      <c r="F950" s="354">
        <v>1</v>
      </c>
      <c r="G950" s="354">
        <v>0</v>
      </c>
      <c r="H950" s="354">
        <v>2</v>
      </c>
      <c r="I950" s="354">
        <v>1</v>
      </c>
      <c r="J950" s="354">
        <v>1</v>
      </c>
      <c r="K950" s="354">
        <v>0</v>
      </c>
      <c r="L950" s="354">
        <v>0</v>
      </c>
      <c r="M950" s="355">
        <v>5</v>
      </c>
      <c r="N950" s="355">
        <v>5</v>
      </c>
    </row>
    <row r="951" spans="1:14" hidden="1" x14ac:dyDescent="0.25">
      <c r="A951" s="354">
        <v>1</v>
      </c>
      <c r="B951" s="354">
        <v>0</v>
      </c>
      <c r="C951" s="354">
        <v>0</v>
      </c>
      <c r="D951" s="354">
        <v>1</v>
      </c>
      <c r="E951" s="354">
        <v>0</v>
      </c>
      <c r="F951" s="354">
        <v>0</v>
      </c>
      <c r="G951" s="354">
        <v>0</v>
      </c>
      <c r="H951" s="354">
        <v>0</v>
      </c>
      <c r="I951" s="354">
        <v>1</v>
      </c>
      <c r="J951" s="354">
        <v>1</v>
      </c>
      <c r="K951" s="354">
        <v>0</v>
      </c>
      <c r="L951" s="354">
        <v>0</v>
      </c>
      <c r="M951" s="355">
        <v>2</v>
      </c>
      <c r="N951" s="355">
        <v>2</v>
      </c>
    </row>
    <row r="952" spans="1:14" hidden="1" x14ac:dyDescent="0.25">
      <c r="A952" s="354">
        <v>1</v>
      </c>
      <c r="B952" s="354">
        <v>0</v>
      </c>
      <c r="C952" s="354">
        <v>1</v>
      </c>
      <c r="D952" s="354">
        <v>0</v>
      </c>
      <c r="E952" s="354">
        <v>2</v>
      </c>
      <c r="F952" s="354">
        <v>1</v>
      </c>
      <c r="G952" s="354">
        <v>0</v>
      </c>
      <c r="H952" s="354">
        <v>2</v>
      </c>
      <c r="I952" s="354">
        <v>1</v>
      </c>
      <c r="J952" s="354">
        <v>1</v>
      </c>
      <c r="K952" s="354">
        <v>1</v>
      </c>
      <c r="L952" s="354">
        <v>0</v>
      </c>
      <c r="M952" s="355">
        <v>6</v>
      </c>
      <c r="N952" s="355">
        <v>4</v>
      </c>
    </row>
    <row r="953" spans="1:14" hidden="1" x14ac:dyDescent="0.25">
      <c r="A953" s="354">
        <v>1</v>
      </c>
      <c r="B953" s="354">
        <v>0</v>
      </c>
      <c r="C953" s="354">
        <v>2</v>
      </c>
      <c r="D953" s="354">
        <v>0</v>
      </c>
      <c r="E953" s="354">
        <v>1</v>
      </c>
      <c r="F953" s="354">
        <v>1</v>
      </c>
      <c r="G953" s="354">
        <v>0</v>
      </c>
      <c r="H953" s="354">
        <v>0</v>
      </c>
      <c r="I953" s="354">
        <v>0</v>
      </c>
      <c r="J953" s="354">
        <v>1</v>
      </c>
      <c r="K953" s="354">
        <v>1</v>
      </c>
      <c r="L953" s="354">
        <v>0</v>
      </c>
      <c r="M953" s="355">
        <v>5</v>
      </c>
      <c r="N953" s="355">
        <v>2</v>
      </c>
    </row>
    <row r="954" spans="1:14" hidden="1" x14ac:dyDescent="0.25">
      <c r="A954" s="354">
        <v>1</v>
      </c>
      <c r="B954" s="354">
        <v>0</v>
      </c>
      <c r="C954" s="354">
        <v>1</v>
      </c>
      <c r="D954" s="354">
        <v>1</v>
      </c>
      <c r="E954" s="354">
        <v>0</v>
      </c>
      <c r="F954" s="354">
        <v>0</v>
      </c>
      <c r="G954" s="354">
        <v>0</v>
      </c>
      <c r="H954" s="354">
        <v>0</v>
      </c>
      <c r="I954" s="354">
        <v>1</v>
      </c>
      <c r="J954" s="354">
        <v>1</v>
      </c>
      <c r="K954" s="354">
        <v>0</v>
      </c>
      <c r="L954" s="354">
        <v>0</v>
      </c>
      <c r="M954" s="355">
        <v>3</v>
      </c>
      <c r="N954" s="355">
        <v>2</v>
      </c>
    </row>
    <row r="955" spans="1:14" hidden="1" x14ac:dyDescent="0.25">
      <c r="A955" s="354">
        <v>1</v>
      </c>
      <c r="B955" s="354">
        <v>1</v>
      </c>
      <c r="C955" s="354">
        <v>0</v>
      </c>
      <c r="D955" s="354">
        <v>1</v>
      </c>
      <c r="E955" s="354">
        <v>2</v>
      </c>
      <c r="F955" s="354">
        <v>0</v>
      </c>
      <c r="G955" s="354">
        <v>0</v>
      </c>
      <c r="H955" s="354">
        <v>0</v>
      </c>
      <c r="I955" s="354">
        <v>1</v>
      </c>
      <c r="J955" s="354">
        <v>1</v>
      </c>
      <c r="K955" s="354">
        <v>0</v>
      </c>
      <c r="L955" s="354">
        <v>0</v>
      </c>
      <c r="M955" s="355">
        <v>4</v>
      </c>
      <c r="N955" s="355">
        <v>3</v>
      </c>
    </row>
    <row r="956" spans="1:14" hidden="1" x14ac:dyDescent="0.25">
      <c r="A956" s="354">
        <v>0</v>
      </c>
      <c r="B956" s="354">
        <v>0</v>
      </c>
      <c r="C956" s="354">
        <v>0</v>
      </c>
      <c r="D956" s="354">
        <v>1</v>
      </c>
      <c r="E956" s="354">
        <v>1</v>
      </c>
      <c r="F956" s="354">
        <v>0</v>
      </c>
      <c r="G956" s="354">
        <v>1</v>
      </c>
      <c r="H956" s="354">
        <v>1</v>
      </c>
      <c r="I956" s="354">
        <v>1</v>
      </c>
      <c r="J956" s="354">
        <v>1</v>
      </c>
      <c r="K956" s="354">
        <v>0</v>
      </c>
      <c r="L956" s="354">
        <v>0</v>
      </c>
      <c r="M956" s="355">
        <v>3</v>
      </c>
      <c r="N956" s="355">
        <v>3</v>
      </c>
    </row>
    <row r="957" spans="1:14" hidden="1" x14ac:dyDescent="0.25">
      <c r="A957" s="354">
        <v>0</v>
      </c>
      <c r="B957" s="354">
        <v>0</v>
      </c>
      <c r="C957" s="354">
        <v>1</v>
      </c>
      <c r="D957" s="354">
        <v>0</v>
      </c>
      <c r="E957" s="354">
        <v>1</v>
      </c>
      <c r="F957" s="354">
        <v>1</v>
      </c>
      <c r="G957" s="354">
        <v>0</v>
      </c>
      <c r="H957" s="354">
        <v>1</v>
      </c>
      <c r="I957" s="354">
        <v>2</v>
      </c>
      <c r="J957" s="354">
        <v>1</v>
      </c>
      <c r="K957" s="354">
        <v>0</v>
      </c>
      <c r="L957" s="354">
        <v>0</v>
      </c>
      <c r="M957" s="355">
        <v>4</v>
      </c>
      <c r="N957" s="355">
        <v>3</v>
      </c>
    </row>
    <row r="958" spans="1:14" hidden="1" x14ac:dyDescent="0.25">
      <c r="A958" s="354">
        <v>1</v>
      </c>
      <c r="B958" s="354">
        <v>0</v>
      </c>
      <c r="C958" s="354">
        <v>1</v>
      </c>
      <c r="D958" s="354">
        <v>0</v>
      </c>
      <c r="E958" s="354">
        <v>1</v>
      </c>
      <c r="F958" s="354">
        <v>0</v>
      </c>
      <c r="G958" s="354">
        <v>1</v>
      </c>
      <c r="H958" s="354">
        <v>0</v>
      </c>
      <c r="I958" s="354">
        <v>1</v>
      </c>
      <c r="J958" s="354">
        <v>2</v>
      </c>
      <c r="K958" s="354">
        <v>0</v>
      </c>
      <c r="L958" s="354">
        <v>0</v>
      </c>
      <c r="M958" s="355">
        <v>5</v>
      </c>
      <c r="N958" s="355">
        <v>2</v>
      </c>
    </row>
    <row r="959" spans="1:14" hidden="1" x14ac:dyDescent="0.25">
      <c r="A959" s="354">
        <v>1</v>
      </c>
      <c r="B959" s="354">
        <v>0</v>
      </c>
      <c r="C959" s="354">
        <v>0</v>
      </c>
      <c r="D959" s="354">
        <v>0</v>
      </c>
      <c r="E959" s="354">
        <v>0</v>
      </c>
      <c r="F959" s="354">
        <v>0</v>
      </c>
      <c r="G959" s="354">
        <v>0</v>
      </c>
      <c r="H959" s="354">
        <v>0</v>
      </c>
      <c r="I959" s="354">
        <v>1</v>
      </c>
      <c r="J959" s="354">
        <v>1</v>
      </c>
      <c r="K959" s="354">
        <v>0</v>
      </c>
      <c r="L959" s="354">
        <v>0</v>
      </c>
      <c r="M959" s="355">
        <v>2</v>
      </c>
      <c r="N959" s="355">
        <v>1</v>
      </c>
    </row>
    <row r="960" spans="1:14" hidden="1" x14ac:dyDescent="0.25">
      <c r="A960" s="354">
        <v>0</v>
      </c>
      <c r="B960" s="354">
        <v>0</v>
      </c>
      <c r="C960" s="354">
        <v>0</v>
      </c>
      <c r="D960" s="354">
        <v>0</v>
      </c>
      <c r="E960" s="354">
        <v>0</v>
      </c>
      <c r="F960" s="354">
        <v>0</v>
      </c>
      <c r="G960" s="354">
        <v>0</v>
      </c>
      <c r="H960" s="354">
        <v>2</v>
      </c>
      <c r="I960" s="354">
        <v>2</v>
      </c>
      <c r="J960" s="354">
        <v>1</v>
      </c>
      <c r="K960" s="354">
        <v>0</v>
      </c>
      <c r="L960" s="354">
        <v>0</v>
      </c>
      <c r="M960" s="355">
        <v>2</v>
      </c>
      <c r="N960" s="355">
        <v>3</v>
      </c>
    </row>
    <row r="961" spans="1:14" hidden="1" x14ac:dyDescent="0.25">
      <c r="A961" s="354">
        <v>0</v>
      </c>
      <c r="B961" s="354">
        <v>0</v>
      </c>
      <c r="C961" s="354">
        <v>1</v>
      </c>
      <c r="D961" s="354">
        <v>0</v>
      </c>
      <c r="E961" s="354">
        <v>2</v>
      </c>
      <c r="F961" s="354">
        <v>1</v>
      </c>
      <c r="G961" s="354">
        <v>0</v>
      </c>
      <c r="H961" s="354">
        <v>2</v>
      </c>
      <c r="I961" s="354">
        <v>0</v>
      </c>
      <c r="J961" s="354">
        <v>2</v>
      </c>
      <c r="K961" s="354">
        <v>1</v>
      </c>
      <c r="L961" s="354">
        <v>0</v>
      </c>
      <c r="M961" s="355">
        <v>4</v>
      </c>
      <c r="N961" s="355">
        <v>5</v>
      </c>
    </row>
    <row r="962" spans="1:14" hidden="1" x14ac:dyDescent="0.25">
      <c r="A962" s="354">
        <v>0</v>
      </c>
      <c r="B962" s="354">
        <v>0</v>
      </c>
      <c r="C962" s="354">
        <v>0</v>
      </c>
      <c r="D962" s="354">
        <v>0</v>
      </c>
      <c r="E962" s="354">
        <v>2</v>
      </c>
      <c r="F962" s="354">
        <v>0</v>
      </c>
      <c r="G962" s="354">
        <v>1</v>
      </c>
      <c r="H962" s="354">
        <v>0</v>
      </c>
      <c r="I962" s="354">
        <v>2</v>
      </c>
      <c r="J962" s="354">
        <v>2</v>
      </c>
      <c r="K962" s="354">
        <v>0</v>
      </c>
      <c r="L962" s="354">
        <v>0</v>
      </c>
      <c r="M962" s="355">
        <v>5</v>
      </c>
      <c r="N962" s="355">
        <v>2</v>
      </c>
    </row>
    <row r="963" spans="1:14" hidden="1" x14ac:dyDescent="0.25">
      <c r="A963" s="354">
        <v>0</v>
      </c>
      <c r="B963" s="354">
        <v>0</v>
      </c>
      <c r="C963" s="354">
        <v>0</v>
      </c>
      <c r="D963" s="354">
        <v>2</v>
      </c>
      <c r="E963" s="354">
        <v>1</v>
      </c>
      <c r="F963" s="354">
        <v>0</v>
      </c>
      <c r="G963" s="354">
        <v>1</v>
      </c>
      <c r="H963" s="354">
        <v>0</v>
      </c>
      <c r="I963" s="354">
        <v>1</v>
      </c>
      <c r="J963" s="354">
        <v>1</v>
      </c>
      <c r="K963" s="354">
        <v>0</v>
      </c>
      <c r="L963" s="354">
        <v>0</v>
      </c>
      <c r="M963" s="355">
        <v>3</v>
      </c>
      <c r="N963" s="355">
        <v>3</v>
      </c>
    </row>
    <row r="964" spans="1:14" hidden="1" x14ac:dyDescent="0.25">
      <c r="A964" s="354">
        <v>0</v>
      </c>
      <c r="B964" s="354">
        <v>1</v>
      </c>
      <c r="C964" s="354">
        <v>1</v>
      </c>
      <c r="D964" s="354">
        <v>1</v>
      </c>
      <c r="E964" s="354">
        <v>4</v>
      </c>
      <c r="F964" s="354">
        <v>1</v>
      </c>
      <c r="G964" s="354">
        <v>0</v>
      </c>
      <c r="H964" s="354">
        <v>1</v>
      </c>
      <c r="I964" s="354">
        <v>1</v>
      </c>
      <c r="J964" s="354">
        <v>2</v>
      </c>
      <c r="K964" s="354">
        <v>0</v>
      </c>
      <c r="L964" s="354">
        <v>0</v>
      </c>
      <c r="M964" s="355">
        <v>6</v>
      </c>
      <c r="N964" s="355">
        <v>6</v>
      </c>
    </row>
    <row r="965" spans="1:14" hidden="1" x14ac:dyDescent="0.25">
      <c r="A965" s="354">
        <v>1</v>
      </c>
      <c r="B965" s="354">
        <v>0</v>
      </c>
      <c r="C965" s="354">
        <v>0</v>
      </c>
      <c r="D965" s="354">
        <v>0</v>
      </c>
      <c r="E965" s="354">
        <v>0</v>
      </c>
      <c r="F965" s="354">
        <v>0</v>
      </c>
      <c r="G965" s="354">
        <v>0</v>
      </c>
      <c r="H965" s="354">
        <v>0</v>
      </c>
      <c r="I965" s="354">
        <v>1</v>
      </c>
      <c r="J965" s="354">
        <v>1</v>
      </c>
      <c r="K965" s="354">
        <v>0</v>
      </c>
      <c r="L965" s="354">
        <v>0</v>
      </c>
      <c r="M965" s="355">
        <v>2</v>
      </c>
      <c r="N965" s="355">
        <v>1</v>
      </c>
    </row>
    <row r="966" spans="1:14" hidden="1" x14ac:dyDescent="0.25">
      <c r="A966" s="354">
        <v>1</v>
      </c>
      <c r="B966" s="354">
        <v>2</v>
      </c>
      <c r="C966" s="354">
        <v>1</v>
      </c>
      <c r="D966" s="354">
        <v>0</v>
      </c>
      <c r="E966" s="354">
        <v>0</v>
      </c>
      <c r="F966" s="354">
        <v>0</v>
      </c>
      <c r="G966" s="354">
        <v>0</v>
      </c>
      <c r="H966" s="354">
        <v>0</v>
      </c>
      <c r="I966" s="354">
        <v>1</v>
      </c>
      <c r="J966" s="354">
        <v>1</v>
      </c>
      <c r="K966" s="354">
        <v>0</v>
      </c>
      <c r="L966" s="354">
        <v>0</v>
      </c>
      <c r="M966" s="355">
        <v>3</v>
      </c>
      <c r="N966" s="355">
        <v>3</v>
      </c>
    </row>
    <row r="967" spans="1:14" hidden="1" x14ac:dyDescent="0.25">
      <c r="A967" s="354">
        <v>1</v>
      </c>
      <c r="B967" s="354">
        <v>0</v>
      </c>
      <c r="C967" s="354">
        <v>1</v>
      </c>
      <c r="D967" s="354">
        <v>1</v>
      </c>
      <c r="E967" s="354">
        <v>0</v>
      </c>
      <c r="F967" s="354">
        <v>1</v>
      </c>
      <c r="G967" s="354">
        <v>2</v>
      </c>
      <c r="H967" s="354">
        <v>1</v>
      </c>
      <c r="I967" s="354">
        <v>1</v>
      </c>
      <c r="J967" s="354">
        <v>1</v>
      </c>
      <c r="K967" s="354">
        <v>0</v>
      </c>
      <c r="L967" s="354">
        <v>0</v>
      </c>
      <c r="M967" s="355">
        <v>5</v>
      </c>
      <c r="N967" s="355">
        <v>4</v>
      </c>
    </row>
    <row r="968" spans="1:14" hidden="1" x14ac:dyDescent="0.25">
      <c r="A968" s="354">
        <v>1</v>
      </c>
      <c r="B968" s="354">
        <v>0</v>
      </c>
      <c r="C968" s="354">
        <v>0</v>
      </c>
      <c r="D968" s="354">
        <v>2</v>
      </c>
      <c r="E968" s="354">
        <v>1</v>
      </c>
      <c r="F968" s="354">
        <v>1</v>
      </c>
      <c r="G968" s="354">
        <v>1</v>
      </c>
      <c r="H968" s="354">
        <v>0</v>
      </c>
      <c r="I968" s="354">
        <v>1</v>
      </c>
      <c r="J968" s="354">
        <v>1</v>
      </c>
      <c r="K968" s="354">
        <v>0</v>
      </c>
      <c r="L968" s="354">
        <v>0</v>
      </c>
      <c r="M968" s="355">
        <v>4</v>
      </c>
      <c r="N968" s="355">
        <v>4</v>
      </c>
    </row>
    <row r="969" spans="1:14" hidden="1" x14ac:dyDescent="0.25">
      <c r="A969" s="354">
        <v>0</v>
      </c>
      <c r="B969" s="354">
        <v>0</v>
      </c>
      <c r="C969" s="354">
        <v>0</v>
      </c>
      <c r="D969" s="354">
        <v>0</v>
      </c>
      <c r="E969" s="354">
        <v>0</v>
      </c>
      <c r="F969" s="354">
        <v>0</v>
      </c>
      <c r="G969" s="354">
        <v>0</v>
      </c>
      <c r="H969" s="354">
        <v>0</v>
      </c>
      <c r="I969" s="354">
        <v>1</v>
      </c>
      <c r="J969" s="354">
        <v>1</v>
      </c>
      <c r="K969" s="354">
        <v>0</v>
      </c>
      <c r="L969" s="354">
        <v>0</v>
      </c>
      <c r="M969" s="355">
        <v>1</v>
      </c>
      <c r="N969" s="355">
        <v>1</v>
      </c>
    </row>
    <row r="970" spans="1:14" hidden="1" x14ac:dyDescent="0.25">
      <c r="A970" s="354">
        <v>0</v>
      </c>
      <c r="B970" s="354">
        <v>2</v>
      </c>
      <c r="C970" s="354">
        <v>1</v>
      </c>
      <c r="D970" s="354">
        <v>0</v>
      </c>
      <c r="E970" s="354">
        <v>0</v>
      </c>
      <c r="F970" s="354">
        <v>0</v>
      </c>
      <c r="G970" s="354">
        <v>0</v>
      </c>
      <c r="H970" s="354">
        <v>0</v>
      </c>
      <c r="I970" s="354">
        <v>1</v>
      </c>
      <c r="J970" s="354">
        <v>1</v>
      </c>
      <c r="K970" s="354">
        <v>0</v>
      </c>
      <c r="L970" s="354">
        <v>0</v>
      </c>
      <c r="M970" s="355">
        <v>2</v>
      </c>
      <c r="N970" s="355">
        <v>3</v>
      </c>
    </row>
    <row r="971" spans="1:14" hidden="1" x14ac:dyDescent="0.25">
      <c r="A971" s="354">
        <v>0</v>
      </c>
      <c r="B971" s="354">
        <v>0</v>
      </c>
      <c r="C971" s="354">
        <v>0</v>
      </c>
      <c r="D971" s="354">
        <v>3</v>
      </c>
      <c r="E971" s="354">
        <v>4</v>
      </c>
      <c r="F971" s="354">
        <v>1</v>
      </c>
      <c r="G971" s="354">
        <v>0</v>
      </c>
      <c r="H971" s="354">
        <v>4</v>
      </c>
      <c r="I971" s="354">
        <v>1</v>
      </c>
      <c r="J971" s="354">
        <v>3</v>
      </c>
      <c r="K971" s="354">
        <v>0</v>
      </c>
      <c r="L971" s="354">
        <v>0</v>
      </c>
      <c r="M971" s="355">
        <v>5</v>
      </c>
      <c r="N971" s="355">
        <v>11</v>
      </c>
    </row>
    <row r="972" spans="1:14" hidden="1" x14ac:dyDescent="0.25">
      <c r="A972" s="354">
        <v>0</v>
      </c>
      <c r="B972" s="354">
        <v>0</v>
      </c>
      <c r="C972" s="354">
        <v>0</v>
      </c>
      <c r="D972" s="354">
        <v>0</v>
      </c>
      <c r="E972" s="354">
        <v>0</v>
      </c>
      <c r="F972" s="354">
        <v>0</v>
      </c>
      <c r="G972" s="354">
        <v>0</v>
      </c>
      <c r="H972" s="354">
        <v>0</v>
      </c>
      <c r="I972" s="354">
        <v>0</v>
      </c>
      <c r="J972" s="354">
        <v>3</v>
      </c>
      <c r="K972" s="354">
        <v>0</v>
      </c>
      <c r="L972" s="354">
        <v>0</v>
      </c>
      <c r="M972" s="355">
        <v>0</v>
      </c>
      <c r="N972" s="355">
        <v>3</v>
      </c>
    </row>
    <row r="973" spans="1:14" hidden="1" x14ac:dyDescent="0.25">
      <c r="A973" s="354">
        <v>0</v>
      </c>
      <c r="B973" s="354">
        <v>1</v>
      </c>
      <c r="C973" s="354">
        <v>1</v>
      </c>
      <c r="D973" s="354">
        <v>0</v>
      </c>
      <c r="E973" s="354">
        <v>1</v>
      </c>
      <c r="F973" s="354">
        <v>0</v>
      </c>
      <c r="G973" s="354">
        <v>0</v>
      </c>
      <c r="H973" s="354">
        <v>0</v>
      </c>
      <c r="I973" s="354">
        <v>1</v>
      </c>
      <c r="J973" s="354">
        <v>1</v>
      </c>
      <c r="K973" s="354">
        <v>0</v>
      </c>
      <c r="L973" s="354">
        <v>0</v>
      </c>
      <c r="M973" s="355">
        <v>3</v>
      </c>
      <c r="N973" s="355">
        <v>2</v>
      </c>
    </row>
    <row r="974" spans="1:14" hidden="1" x14ac:dyDescent="0.25">
      <c r="A974" s="354">
        <v>0</v>
      </c>
      <c r="B974" s="354">
        <v>0</v>
      </c>
      <c r="C974" s="354">
        <v>1</v>
      </c>
      <c r="D974" s="354">
        <v>0</v>
      </c>
      <c r="E974" s="354">
        <v>1</v>
      </c>
      <c r="F974" s="354">
        <v>1</v>
      </c>
      <c r="G974" s="354">
        <v>1</v>
      </c>
      <c r="H974" s="354">
        <v>0</v>
      </c>
      <c r="I974" s="354">
        <v>1</v>
      </c>
      <c r="J974" s="354">
        <v>1</v>
      </c>
      <c r="K974" s="354">
        <v>0</v>
      </c>
      <c r="L974" s="354">
        <v>0</v>
      </c>
      <c r="M974" s="355">
        <v>4</v>
      </c>
      <c r="N974" s="355">
        <v>2</v>
      </c>
    </row>
    <row r="975" spans="1:14" hidden="1" x14ac:dyDescent="0.25">
      <c r="A975" s="354">
        <v>0</v>
      </c>
      <c r="B975" s="354">
        <v>0</v>
      </c>
      <c r="C975" s="354">
        <v>0</v>
      </c>
      <c r="D975" s="354">
        <v>0</v>
      </c>
      <c r="E975" s="354">
        <v>0</v>
      </c>
      <c r="F975" s="354">
        <v>1</v>
      </c>
      <c r="G975" s="354">
        <v>1</v>
      </c>
      <c r="H975" s="354">
        <v>1</v>
      </c>
      <c r="I975" s="354">
        <v>1</v>
      </c>
      <c r="J975" s="354">
        <v>1</v>
      </c>
      <c r="K975" s="354">
        <v>0</v>
      </c>
      <c r="L975" s="354">
        <v>0</v>
      </c>
      <c r="M975" s="355">
        <v>2</v>
      </c>
      <c r="N975" s="355">
        <v>3</v>
      </c>
    </row>
    <row r="976" spans="1:14" hidden="1" x14ac:dyDescent="0.25">
      <c r="A976" s="354">
        <v>0</v>
      </c>
      <c r="B976" s="354">
        <v>0</v>
      </c>
      <c r="C976" s="354">
        <v>0</v>
      </c>
      <c r="D976" s="354">
        <v>1</v>
      </c>
      <c r="E976" s="354">
        <v>2</v>
      </c>
      <c r="F976" s="354">
        <v>0</v>
      </c>
      <c r="G976" s="354">
        <v>0</v>
      </c>
      <c r="H976" s="354">
        <v>0</v>
      </c>
      <c r="I976" s="354">
        <v>1</v>
      </c>
      <c r="J976" s="354">
        <v>1</v>
      </c>
      <c r="K976" s="354">
        <v>0</v>
      </c>
      <c r="L976" s="354">
        <v>0</v>
      </c>
      <c r="M976" s="355">
        <v>3</v>
      </c>
      <c r="N976" s="355">
        <v>2</v>
      </c>
    </row>
    <row r="977" spans="1:14" hidden="1" x14ac:dyDescent="0.25">
      <c r="A977" s="354">
        <v>0</v>
      </c>
      <c r="B977" s="354">
        <v>0</v>
      </c>
      <c r="C977" s="354">
        <v>0</v>
      </c>
      <c r="D977" s="354">
        <v>0</v>
      </c>
      <c r="E977" s="354">
        <v>0</v>
      </c>
      <c r="F977" s="354">
        <v>1</v>
      </c>
      <c r="G977" s="354">
        <v>1</v>
      </c>
      <c r="H977" s="354">
        <v>1</v>
      </c>
      <c r="I977" s="354">
        <v>1</v>
      </c>
      <c r="J977" s="354">
        <v>1</v>
      </c>
      <c r="K977" s="354">
        <v>0</v>
      </c>
      <c r="L977" s="354">
        <v>0</v>
      </c>
      <c r="M977" s="355">
        <v>2</v>
      </c>
      <c r="N977" s="355">
        <v>3</v>
      </c>
    </row>
    <row r="978" spans="1:14" hidden="1" x14ac:dyDescent="0.25">
      <c r="A978" s="354">
        <v>1</v>
      </c>
      <c r="B978" s="354">
        <v>2</v>
      </c>
      <c r="C978" s="354">
        <v>0</v>
      </c>
      <c r="D978" s="354">
        <v>2</v>
      </c>
      <c r="E978" s="354">
        <v>0</v>
      </c>
      <c r="F978" s="354">
        <v>2</v>
      </c>
      <c r="G978" s="354">
        <v>1</v>
      </c>
      <c r="H978" s="354">
        <v>0</v>
      </c>
      <c r="I978" s="354">
        <v>1</v>
      </c>
      <c r="J978" s="354">
        <v>1</v>
      </c>
      <c r="K978" s="354">
        <v>0</v>
      </c>
      <c r="L978" s="354">
        <v>0</v>
      </c>
      <c r="M978" s="355">
        <v>3</v>
      </c>
      <c r="N978" s="355">
        <v>7</v>
      </c>
    </row>
    <row r="979" spans="1:14" hidden="1" x14ac:dyDescent="0.25">
      <c r="A979" s="354">
        <v>0</v>
      </c>
      <c r="B979" s="354">
        <v>0</v>
      </c>
      <c r="C979" s="354">
        <v>1</v>
      </c>
      <c r="D979" s="354">
        <v>0</v>
      </c>
      <c r="E979" s="354">
        <v>0</v>
      </c>
      <c r="F979" s="354">
        <v>2</v>
      </c>
      <c r="G979" s="354">
        <v>0</v>
      </c>
      <c r="H979" s="354">
        <v>1</v>
      </c>
      <c r="I979" s="354">
        <v>1</v>
      </c>
      <c r="J979" s="354">
        <v>1</v>
      </c>
      <c r="K979" s="354">
        <v>0</v>
      </c>
      <c r="L979" s="354">
        <v>0</v>
      </c>
      <c r="M979" s="355">
        <v>2</v>
      </c>
      <c r="N979" s="355">
        <v>4</v>
      </c>
    </row>
    <row r="980" spans="1:14" hidden="1" x14ac:dyDescent="0.25">
      <c r="A980" s="354">
        <v>1</v>
      </c>
      <c r="B980" s="354">
        <v>0</v>
      </c>
      <c r="C980" s="354">
        <v>0</v>
      </c>
      <c r="D980" s="354">
        <v>0</v>
      </c>
      <c r="E980" s="354">
        <v>0</v>
      </c>
      <c r="F980" s="354">
        <v>0</v>
      </c>
      <c r="G980" s="354">
        <v>0</v>
      </c>
      <c r="H980" s="354">
        <v>0</v>
      </c>
      <c r="I980" s="354">
        <v>1</v>
      </c>
      <c r="J980" s="354">
        <v>1</v>
      </c>
      <c r="K980" s="354">
        <v>0</v>
      </c>
      <c r="L980" s="354">
        <v>0</v>
      </c>
      <c r="M980" s="355">
        <v>2</v>
      </c>
      <c r="N980" s="355">
        <v>1</v>
      </c>
    </row>
    <row r="981" spans="1:14" hidden="1" x14ac:dyDescent="0.25">
      <c r="A981" s="354">
        <v>1</v>
      </c>
      <c r="B981" s="354">
        <v>0</v>
      </c>
      <c r="C981" s="354">
        <v>0</v>
      </c>
      <c r="D981" s="354">
        <v>0</v>
      </c>
      <c r="E981" s="354">
        <v>0</v>
      </c>
      <c r="F981" s="354">
        <v>0</v>
      </c>
      <c r="G981" s="354">
        <v>0</v>
      </c>
      <c r="H981" s="354">
        <v>0</v>
      </c>
      <c r="I981" s="354">
        <v>1</v>
      </c>
      <c r="J981" s="354">
        <v>1</v>
      </c>
      <c r="K981" s="354">
        <v>0</v>
      </c>
      <c r="L981" s="354">
        <v>0</v>
      </c>
      <c r="M981" s="355">
        <v>2</v>
      </c>
      <c r="N981" s="355">
        <v>1</v>
      </c>
    </row>
    <row r="982" spans="1:14" hidden="1" x14ac:dyDescent="0.25">
      <c r="A982" s="354">
        <v>1</v>
      </c>
      <c r="B982" s="354">
        <v>1</v>
      </c>
      <c r="C982" s="354">
        <v>1</v>
      </c>
      <c r="D982" s="354">
        <v>0</v>
      </c>
      <c r="E982" s="354">
        <v>1</v>
      </c>
      <c r="F982" s="354">
        <v>0</v>
      </c>
      <c r="G982" s="354">
        <v>0</v>
      </c>
      <c r="H982" s="354">
        <v>0</v>
      </c>
      <c r="I982" s="354">
        <v>1</v>
      </c>
      <c r="J982" s="354">
        <v>1</v>
      </c>
      <c r="K982" s="354">
        <v>0</v>
      </c>
      <c r="L982" s="354">
        <v>0</v>
      </c>
      <c r="M982" s="355">
        <v>4</v>
      </c>
      <c r="N982" s="355">
        <v>2</v>
      </c>
    </row>
    <row r="983" spans="1:14" hidden="1" x14ac:dyDescent="0.25">
      <c r="A983" s="354">
        <v>0</v>
      </c>
      <c r="B983" s="354">
        <v>1</v>
      </c>
      <c r="C983" s="354">
        <v>2</v>
      </c>
      <c r="D983" s="354">
        <v>1</v>
      </c>
      <c r="E983" s="354">
        <v>3</v>
      </c>
      <c r="F983" s="354">
        <v>1</v>
      </c>
      <c r="G983" s="354">
        <v>0</v>
      </c>
      <c r="H983" s="354">
        <v>0</v>
      </c>
      <c r="I983" s="354">
        <v>1</v>
      </c>
      <c r="J983" s="354">
        <v>1</v>
      </c>
      <c r="K983" s="354">
        <v>0</v>
      </c>
      <c r="L983" s="354">
        <v>0</v>
      </c>
      <c r="M983" s="355">
        <v>6</v>
      </c>
      <c r="N983" s="355">
        <v>4</v>
      </c>
    </row>
    <row r="984" spans="1:14" hidden="1" x14ac:dyDescent="0.25">
      <c r="A984" s="354">
        <v>0</v>
      </c>
      <c r="B984" s="354">
        <v>1</v>
      </c>
      <c r="C984" s="354">
        <v>2</v>
      </c>
      <c r="D984" s="354">
        <v>0</v>
      </c>
      <c r="E984" s="354">
        <v>1</v>
      </c>
      <c r="F984" s="354">
        <v>1</v>
      </c>
      <c r="G984" s="354">
        <v>1</v>
      </c>
      <c r="H984" s="354">
        <v>1</v>
      </c>
      <c r="I984" s="354">
        <v>1</v>
      </c>
      <c r="J984" s="354">
        <v>1</v>
      </c>
      <c r="K984" s="354">
        <v>0</v>
      </c>
      <c r="L984" s="354">
        <v>0</v>
      </c>
      <c r="M984" s="355">
        <v>5</v>
      </c>
      <c r="N984" s="355">
        <v>4</v>
      </c>
    </row>
    <row r="985" spans="1:14" hidden="1" x14ac:dyDescent="0.25">
      <c r="A985" s="354">
        <v>0</v>
      </c>
      <c r="B985" s="354">
        <v>0</v>
      </c>
      <c r="C985" s="354">
        <v>0</v>
      </c>
      <c r="D985" s="354">
        <v>1</v>
      </c>
      <c r="E985" s="354">
        <v>2</v>
      </c>
      <c r="F985" s="354">
        <v>0</v>
      </c>
      <c r="G985" s="354">
        <v>0</v>
      </c>
      <c r="H985" s="354">
        <v>2</v>
      </c>
      <c r="I985" s="354"/>
      <c r="J985" s="354">
        <v>1</v>
      </c>
      <c r="K985" s="354">
        <v>0</v>
      </c>
      <c r="L985" s="354">
        <v>0</v>
      </c>
      <c r="M985" s="355">
        <v>2</v>
      </c>
      <c r="N985" s="355">
        <v>4</v>
      </c>
    </row>
    <row r="986" spans="1:14" hidden="1" x14ac:dyDescent="0.25">
      <c r="A986" s="354">
        <v>0</v>
      </c>
      <c r="B986" s="354">
        <v>0</v>
      </c>
      <c r="C986" s="354">
        <v>0</v>
      </c>
      <c r="D986" s="354">
        <v>0</v>
      </c>
      <c r="E986" s="354">
        <v>0</v>
      </c>
      <c r="F986" s="354">
        <v>0</v>
      </c>
      <c r="G986" s="354">
        <v>1</v>
      </c>
      <c r="H986" s="354">
        <v>1</v>
      </c>
      <c r="I986" s="354">
        <v>3</v>
      </c>
      <c r="J986" s="354">
        <v>6</v>
      </c>
      <c r="K986" s="354">
        <v>0</v>
      </c>
      <c r="L986" s="354">
        <v>0</v>
      </c>
      <c r="M986" s="355">
        <v>4</v>
      </c>
      <c r="N986" s="355">
        <v>7</v>
      </c>
    </row>
    <row r="987" spans="1:14" hidden="1" x14ac:dyDescent="0.25">
      <c r="A987" s="354">
        <v>0</v>
      </c>
      <c r="B987" s="354">
        <v>0</v>
      </c>
      <c r="C987" s="354">
        <v>0</v>
      </c>
      <c r="D987" s="354">
        <v>0</v>
      </c>
      <c r="E987" s="354">
        <v>2</v>
      </c>
      <c r="F987" s="354">
        <v>0</v>
      </c>
      <c r="G987" s="354">
        <v>2</v>
      </c>
      <c r="H987" s="354">
        <v>1</v>
      </c>
      <c r="I987" s="354">
        <v>2</v>
      </c>
      <c r="J987" s="354">
        <v>2</v>
      </c>
      <c r="K987" s="354">
        <v>0</v>
      </c>
      <c r="L987" s="354">
        <v>0</v>
      </c>
      <c r="M987" s="355">
        <v>6</v>
      </c>
      <c r="N987" s="355">
        <v>3</v>
      </c>
    </row>
    <row r="988" spans="1:14" hidden="1" x14ac:dyDescent="0.25">
      <c r="A988" s="354">
        <v>0</v>
      </c>
      <c r="B988" s="354">
        <v>0</v>
      </c>
      <c r="C988" s="354">
        <v>0</v>
      </c>
      <c r="D988" s="354">
        <v>0</v>
      </c>
      <c r="E988" s="354">
        <v>0</v>
      </c>
      <c r="F988" s="354">
        <v>0</v>
      </c>
      <c r="G988" s="354">
        <v>0</v>
      </c>
      <c r="H988" s="354">
        <v>0</v>
      </c>
      <c r="I988" s="354">
        <v>1</v>
      </c>
      <c r="J988" s="354">
        <v>1</v>
      </c>
      <c r="K988" s="354">
        <v>0</v>
      </c>
      <c r="L988" s="354">
        <v>0</v>
      </c>
      <c r="M988" s="355">
        <v>1</v>
      </c>
      <c r="N988" s="355">
        <v>1</v>
      </c>
    </row>
    <row r="989" spans="1:14" hidden="1" x14ac:dyDescent="0.25">
      <c r="A989" s="354">
        <v>0</v>
      </c>
      <c r="B989" s="354">
        <v>1</v>
      </c>
      <c r="C989" s="354">
        <v>0</v>
      </c>
      <c r="D989" s="354">
        <v>2</v>
      </c>
      <c r="E989" s="354">
        <v>0</v>
      </c>
      <c r="F989" s="354">
        <v>0</v>
      </c>
      <c r="G989" s="354">
        <v>2</v>
      </c>
      <c r="H989" s="354">
        <v>0</v>
      </c>
      <c r="I989" s="354">
        <v>1</v>
      </c>
      <c r="J989" s="354">
        <v>1</v>
      </c>
      <c r="K989" s="354">
        <v>0</v>
      </c>
      <c r="L989" s="354">
        <v>0</v>
      </c>
      <c r="M989" s="355">
        <v>3</v>
      </c>
      <c r="N989" s="355">
        <v>4</v>
      </c>
    </row>
    <row r="990" spans="1:14" hidden="1" x14ac:dyDescent="0.25">
      <c r="A990" s="354">
        <v>0</v>
      </c>
      <c r="B990" s="354">
        <v>0</v>
      </c>
      <c r="C990" s="354">
        <v>0</v>
      </c>
      <c r="D990" s="354">
        <v>0</v>
      </c>
      <c r="E990" s="354">
        <v>0</v>
      </c>
      <c r="F990" s="354">
        <v>0</v>
      </c>
      <c r="G990" s="354">
        <v>2</v>
      </c>
      <c r="H990" s="354">
        <v>0</v>
      </c>
      <c r="I990" s="354">
        <v>0</v>
      </c>
      <c r="J990" s="354">
        <v>1</v>
      </c>
      <c r="K990" s="354">
        <v>0</v>
      </c>
      <c r="L990" s="354">
        <v>0</v>
      </c>
      <c r="M990" s="355">
        <v>2</v>
      </c>
      <c r="N990" s="355">
        <v>1</v>
      </c>
    </row>
    <row r="991" spans="1:14" hidden="1" x14ac:dyDescent="0.25">
      <c r="A991" s="354">
        <v>1</v>
      </c>
      <c r="B991" s="354">
        <v>0</v>
      </c>
      <c r="C991" s="354">
        <v>1</v>
      </c>
      <c r="D991" s="354">
        <v>1</v>
      </c>
      <c r="E991" s="354">
        <v>0</v>
      </c>
      <c r="F991" s="354">
        <v>1</v>
      </c>
      <c r="G991" s="354">
        <v>1</v>
      </c>
      <c r="H991" s="354">
        <v>0</v>
      </c>
      <c r="I991" s="354">
        <v>1</v>
      </c>
      <c r="J991" s="354">
        <v>1</v>
      </c>
      <c r="K991" s="354">
        <v>0</v>
      </c>
      <c r="L991" s="354">
        <v>0</v>
      </c>
      <c r="M991" s="355">
        <v>4</v>
      </c>
      <c r="N991" s="355">
        <v>3</v>
      </c>
    </row>
    <row r="992" spans="1:14" hidden="1" x14ac:dyDescent="0.25">
      <c r="A992" s="354">
        <v>0</v>
      </c>
      <c r="B992" s="354">
        <v>0</v>
      </c>
      <c r="C992" s="354">
        <v>2</v>
      </c>
      <c r="D992" s="354">
        <v>0</v>
      </c>
      <c r="E992" s="354">
        <v>1</v>
      </c>
      <c r="F992" s="354">
        <v>0</v>
      </c>
      <c r="G992" s="354">
        <v>1</v>
      </c>
      <c r="H992" s="354">
        <v>1</v>
      </c>
      <c r="I992" s="354">
        <v>0</v>
      </c>
      <c r="J992" s="354">
        <v>1</v>
      </c>
      <c r="K992" s="354">
        <v>0</v>
      </c>
      <c r="L992" s="354">
        <v>0</v>
      </c>
      <c r="M992" s="355">
        <v>4</v>
      </c>
      <c r="N992" s="355">
        <v>2</v>
      </c>
    </row>
    <row r="993" spans="1:14" hidden="1" x14ac:dyDescent="0.25">
      <c r="A993" s="354">
        <v>0</v>
      </c>
      <c r="B993" s="354">
        <v>1</v>
      </c>
      <c r="C993" s="354">
        <v>3</v>
      </c>
      <c r="D993" s="354">
        <v>1</v>
      </c>
      <c r="E993" s="354">
        <v>2</v>
      </c>
      <c r="F993" s="354">
        <v>0</v>
      </c>
      <c r="G993" s="354">
        <v>1</v>
      </c>
      <c r="H993" s="354">
        <v>0</v>
      </c>
      <c r="I993" s="354">
        <v>1</v>
      </c>
      <c r="J993" s="354">
        <v>1</v>
      </c>
      <c r="K993" s="354">
        <v>0</v>
      </c>
      <c r="L993" s="354">
        <v>0</v>
      </c>
      <c r="M993" s="355">
        <v>7</v>
      </c>
      <c r="N993" s="355">
        <v>3</v>
      </c>
    </row>
    <row r="994" spans="1:14" hidden="1" x14ac:dyDescent="0.25">
      <c r="A994" s="354">
        <v>1</v>
      </c>
      <c r="B994" s="354">
        <v>0</v>
      </c>
      <c r="C994" s="354">
        <v>0</v>
      </c>
      <c r="D994" s="354">
        <v>0</v>
      </c>
      <c r="E994" s="354">
        <v>1</v>
      </c>
      <c r="F994" s="354">
        <v>2</v>
      </c>
      <c r="G994" s="354">
        <v>2</v>
      </c>
      <c r="H994" s="354">
        <v>0</v>
      </c>
      <c r="I994" s="354">
        <v>3</v>
      </c>
      <c r="J994" s="354">
        <v>1</v>
      </c>
      <c r="K994" s="354">
        <v>0</v>
      </c>
      <c r="L994" s="354">
        <v>0</v>
      </c>
      <c r="M994" s="355">
        <v>7</v>
      </c>
      <c r="N994" s="355">
        <v>3</v>
      </c>
    </row>
    <row r="995" spans="1:14" hidden="1" x14ac:dyDescent="0.25">
      <c r="A995" s="354">
        <v>0</v>
      </c>
      <c r="B995" s="354">
        <v>1</v>
      </c>
      <c r="C995" s="354">
        <v>0</v>
      </c>
      <c r="D995" s="354">
        <v>0</v>
      </c>
      <c r="E995" s="354">
        <v>1</v>
      </c>
      <c r="F995" s="354">
        <v>2</v>
      </c>
      <c r="G995" s="354">
        <v>0</v>
      </c>
      <c r="H995" s="354">
        <v>0</v>
      </c>
      <c r="I995" s="354">
        <v>0</v>
      </c>
      <c r="J995" s="354">
        <v>1</v>
      </c>
      <c r="K995" s="354">
        <v>0</v>
      </c>
      <c r="L995" s="354">
        <v>0</v>
      </c>
      <c r="M995" s="355">
        <v>1</v>
      </c>
      <c r="N995" s="355">
        <v>4</v>
      </c>
    </row>
    <row r="996" spans="1:14" hidden="1" x14ac:dyDescent="0.25">
      <c r="A996" s="354">
        <v>0</v>
      </c>
      <c r="B996" s="354">
        <v>0</v>
      </c>
      <c r="C996" s="354">
        <v>0</v>
      </c>
      <c r="D996" s="354">
        <v>0</v>
      </c>
      <c r="E996" s="354">
        <v>0</v>
      </c>
      <c r="F996" s="354">
        <v>1</v>
      </c>
      <c r="G996" s="354">
        <v>1</v>
      </c>
      <c r="H996" s="354">
        <v>1</v>
      </c>
      <c r="I996" s="354">
        <v>2</v>
      </c>
      <c r="J996" s="354">
        <v>1</v>
      </c>
      <c r="K996" s="354">
        <v>1</v>
      </c>
      <c r="L996" s="354">
        <v>0</v>
      </c>
      <c r="M996" s="355">
        <v>4</v>
      </c>
      <c r="N996" s="355">
        <v>3</v>
      </c>
    </row>
    <row r="997" spans="1:14" hidden="1" x14ac:dyDescent="0.25">
      <c r="A997" s="354">
        <v>1</v>
      </c>
      <c r="B997" s="354">
        <v>0</v>
      </c>
      <c r="C997" s="354">
        <v>0</v>
      </c>
      <c r="D997" s="354">
        <v>1</v>
      </c>
      <c r="E997" s="354">
        <v>1</v>
      </c>
      <c r="F997" s="354">
        <v>0</v>
      </c>
      <c r="G997" s="354">
        <v>0</v>
      </c>
      <c r="H997" s="354">
        <v>0</v>
      </c>
      <c r="I997" s="354">
        <v>1</v>
      </c>
      <c r="J997" s="354">
        <v>1</v>
      </c>
      <c r="K997" s="354">
        <v>0</v>
      </c>
      <c r="L997" s="354">
        <v>0</v>
      </c>
      <c r="M997" s="355">
        <v>3</v>
      </c>
      <c r="N997" s="355">
        <v>2</v>
      </c>
    </row>
    <row r="998" spans="1:14" hidden="1" x14ac:dyDescent="0.25">
      <c r="A998" s="354">
        <v>0</v>
      </c>
      <c r="B998" s="354">
        <v>0</v>
      </c>
      <c r="C998" s="354">
        <v>0</v>
      </c>
      <c r="D998" s="354">
        <v>0</v>
      </c>
      <c r="E998" s="354">
        <v>0</v>
      </c>
      <c r="F998" s="354">
        <v>0</v>
      </c>
      <c r="G998" s="354">
        <v>0</v>
      </c>
      <c r="H998" s="354">
        <v>0</v>
      </c>
      <c r="I998" s="354">
        <v>1</v>
      </c>
      <c r="J998" s="354">
        <v>1</v>
      </c>
      <c r="K998" s="354">
        <v>0</v>
      </c>
      <c r="L998" s="354">
        <v>0</v>
      </c>
      <c r="M998" s="355">
        <v>1</v>
      </c>
      <c r="N998" s="355">
        <v>1</v>
      </c>
    </row>
    <row r="999" spans="1:14" hidden="1" x14ac:dyDescent="0.25">
      <c r="A999" s="354">
        <v>1</v>
      </c>
      <c r="B999" s="354">
        <v>1</v>
      </c>
      <c r="C999" s="354">
        <v>2</v>
      </c>
      <c r="D999" s="354">
        <v>1</v>
      </c>
      <c r="E999" s="354">
        <v>2</v>
      </c>
      <c r="F999" s="354">
        <v>1</v>
      </c>
      <c r="G999" s="354">
        <v>0</v>
      </c>
      <c r="H999" s="354">
        <v>1</v>
      </c>
      <c r="I999" s="354">
        <v>0</v>
      </c>
      <c r="J999" s="354">
        <v>2</v>
      </c>
      <c r="K999" s="354">
        <v>1</v>
      </c>
      <c r="L999" s="354">
        <v>0</v>
      </c>
      <c r="M999" s="355">
        <v>6</v>
      </c>
      <c r="N999" s="355">
        <v>6</v>
      </c>
    </row>
    <row r="1000" spans="1:14" hidden="1" x14ac:dyDescent="0.25">
      <c r="A1000" s="354">
        <v>0</v>
      </c>
      <c r="B1000" s="354">
        <v>0</v>
      </c>
      <c r="C1000" s="354">
        <v>0</v>
      </c>
      <c r="D1000" s="354">
        <v>0</v>
      </c>
      <c r="E1000" s="354">
        <v>0</v>
      </c>
      <c r="F1000" s="354">
        <v>0</v>
      </c>
      <c r="G1000" s="354">
        <v>1</v>
      </c>
      <c r="H1000" s="354">
        <v>0</v>
      </c>
      <c r="I1000" s="354">
        <v>2</v>
      </c>
      <c r="J1000" s="354">
        <v>1</v>
      </c>
      <c r="K1000" s="354">
        <v>1</v>
      </c>
      <c r="L1000" s="354">
        <v>0</v>
      </c>
      <c r="M1000" s="355">
        <v>4</v>
      </c>
      <c r="N1000" s="355">
        <v>1</v>
      </c>
    </row>
    <row r="1001" spans="1:14" hidden="1" x14ac:dyDescent="0.25">
      <c r="A1001" s="354">
        <v>1</v>
      </c>
      <c r="B1001" s="354">
        <v>1</v>
      </c>
      <c r="C1001" s="354">
        <v>1</v>
      </c>
      <c r="D1001" s="354">
        <v>0</v>
      </c>
      <c r="E1001" s="354">
        <v>2</v>
      </c>
      <c r="F1001" s="354">
        <v>1</v>
      </c>
      <c r="G1001" s="354">
        <v>1</v>
      </c>
      <c r="H1001" s="354">
        <v>0</v>
      </c>
      <c r="I1001" s="354">
        <v>1</v>
      </c>
      <c r="J1001" s="354">
        <v>1</v>
      </c>
      <c r="K1001" s="354">
        <v>0</v>
      </c>
      <c r="L1001" s="354">
        <v>0</v>
      </c>
      <c r="M1001" s="355">
        <v>6</v>
      </c>
      <c r="N1001" s="355">
        <v>3</v>
      </c>
    </row>
    <row r="1002" spans="1:14" hidden="1" x14ac:dyDescent="0.25">
      <c r="A1002" s="354">
        <v>1</v>
      </c>
      <c r="B1002" s="354">
        <v>0</v>
      </c>
      <c r="C1002" s="354">
        <v>1</v>
      </c>
      <c r="D1002" s="354">
        <v>1</v>
      </c>
      <c r="E1002" s="354">
        <v>1</v>
      </c>
      <c r="F1002" s="354">
        <v>1</v>
      </c>
      <c r="G1002" s="354">
        <v>0</v>
      </c>
      <c r="H1002" s="354">
        <v>0</v>
      </c>
      <c r="I1002" s="354">
        <v>1</v>
      </c>
      <c r="J1002" s="354">
        <v>1</v>
      </c>
      <c r="K1002" s="354">
        <v>0</v>
      </c>
      <c r="L1002" s="354">
        <v>0</v>
      </c>
      <c r="M1002" s="355">
        <v>4</v>
      </c>
      <c r="N1002" s="355">
        <v>3</v>
      </c>
    </row>
    <row r="1003" spans="1:14" hidden="1" x14ac:dyDescent="0.25">
      <c r="A1003" s="354">
        <v>0</v>
      </c>
      <c r="B1003" s="354">
        <v>0</v>
      </c>
      <c r="C1003" s="354">
        <v>1</v>
      </c>
      <c r="D1003" s="354">
        <v>1</v>
      </c>
      <c r="E1003" s="354">
        <v>0</v>
      </c>
      <c r="F1003" s="354">
        <v>2</v>
      </c>
      <c r="G1003" s="354">
        <v>1</v>
      </c>
      <c r="H1003" s="354">
        <v>1</v>
      </c>
      <c r="I1003" s="354">
        <v>1</v>
      </c>
      <c r="J1003" s="354">
        <v>1</v>
      </c>
      <c r="K1003" s="354">
        <v>0</v>
      </c>
      <c r="L1003" s="354">
        <v>0</v>
      </c>
      <c r="M1003" s="355">
        <v>3</v>
      </c>
      <c r="N1003" s="355">
        <v>5</v>
      </c>
    </row>
    <row r="1004" spans="1:14" hidden="1" x14ac:dyDescent="0.25">
      <c r="A1004" s="354">
        <v>0</v>
      </c>
      <c r="B1004" s="354">
        <v>0</v>
      </c>
      <c r="C1004" s="354">
        <v>0</v>
      </c>
      <c r="D1004" s="354">
        <v>0</v>
      </c>
      <c r="E1004" s="354">
        <v>1</v>
      </c>
      <c r="F1004" s="354">
        <v>1</v>
      </c>
      <c r="G1004" s="354">
        <v>0</v>
      </c>
      <c r="H1004" s="354">
        <v>1</v>
      </c>
      <c r="I1004" s="354">
        <v>0</v>
      </c>
      <c r="J1004" s="354">
        <v>2</v>
      </c>
      <c r="K1004" s="354">
        <v>0</v>
      </c>
      <c r="L1004" s="354">
        <v>0</v>
      </c>
      <c r="M1004" s="355">
        <v>1</v>
      </c>
      <c r="N1004" s="355">
        <v>4</v>
      </c>
    </row>
    <row r="1005" spans="1:14" hidden="1" x14ac:dyDescent="0.25">
      <c r="A1005" s="354">
        <v>0</v>
      </c>
      <c r="B1005" s="354">
        <v>0</v>
      </c>
      <c r="C1005" s="354">
        <v>0</v>
      </c>
      <c r="D1005" s="354">
        <v>0</v>
      </c>
      <c r="E1005" s="354">
        <v>0</v>
      </c>
      <c r="F1005" s="354">
        <v>0</v>
      </c>
      <c r="G1005" s="354">
        <v>0</v>
      </c>
      <c r="H1005" s="354">
        <v>1</v>
      </c>
      <c r="I1005" s="354">
        <v>1</v>
      </c>
      <c r="J1005" s="354">
        <v>1</v>
      </c>
      <c r="K1005" s="354">
        <v>1</v>
      </c>
      <c r="L1005" s="354">
        <v>0</v>
      </c>
      <c r="M1005" s="355">
        <v>2</v>
      </c>
      <c r="N1005" s="355">
        <v>2</v>
      </c>
    </row>
    <row r="1006" spans="1:14" hidden="1" x14ac:dyDescent="0.25">
      <c r="A1006" s="354">
        <v>1</v>
      </c>
      <c r="B1006" s="354">
        <v>0</v>
      </c>
      <c r="C1006" s="354">
        <v>1</v>
      </c>
      <c r="D1006" s="354">
        <v>1</v>
      </c>
      <c r="E1006" s="354">
        <v>1</v>
      </c>
      <c r="F1006" s="354">
        <v>2</v>
      </c>
      <c r="G1006" s="354">
        <v>2</v>
      </c>
      <c r="H1006" s="354">
        <v>1</v>
      </c>
      <c r="I1006" s="354">
        <v>4</v>
      </c>
      <c r="J1006" s="354">
        <v>3</v>
      </c>
      <c r="K1006" s="354">
        <v>0</v>
      </c>
      <c r="L1006" s="354">
        <v>0</v>
      </c>
      <c r="M1006" s="355">
        <v>9</v>
      </c>
      <c r="N1006" s="355">
        <v>7</v>
      </c>
    </row>
    <row r="1007" spans="1:14" hidden="1" x14ac:dyDescent="0.25">
      <c r="A1007" s="354">
        <v>0</v>
      </c>
      <c r="B1007" s="354">
        <v>1</v>
      </c>
      <c r="C1007" s="354">
        <v>2</v>
      </c>
      <c r="D1007" s="354">
        <v>0</v>
      </c>
      <c r="E1007" s="354">
        <v>2</v>
      </c>
      <c r="F1007" s="354">
        <v>0</v>
      </c>
      <c r="G1007" s="354">
        <v>0</v>
      </c>
      <c r="H1007" s="354">
        <v>0</v>
      </c>
      <c r="I1007" s="354">
        <v>1</v>
      </c>
      <c r="J1007" s="354">
        <v>1</v>
      </c>
      <c r="K1007" s="354">
        <v>0</v>
      </c>
      <c r="L1007" s="354">
        <v>0</v>
      </c>
      <c r="M1007" s="355">
        <v>5</v>
      </c>
      <c r="N1007" s="355">
        <v>2</v>
      </c>
    </row>
    <row r="1008" spans="1:14" hidden="1" x14ac:dyDescent="0.25">
      <c r="A1008" s="354">
        <v>0</v>
      </c>
      <c r="B1008" s="354">
        <v>0</v>
      </c>
      <c r="C1008" s="354">
        <v>1</v>
      </c>
      <c r="D1008" s="354">
        <v>0</v>
      </c>
      <c r="E1008" s="354">
        <v>1</v>
      </c>
      <c r="F1008" s="354">
        <v>0</v>
      </c>
      <c r="G1008" s="354">
        <v>0</v>
      </c>
      <c r="H1008" s="354">
        <v>1</v>
      </c>
      <c r="I1008" s="354">
        <v>3</v>
      </c>
      <c r="J1008" s="354">
        <v>1</v>
      </c>
      <c r="K1008" s="354">
        <v>0</v>
      </c>
      <c r="L1008" s="354">
        <v>0</v>
      </c>
      <c r="M1008" s="355">
        <v>5</v>
      </c>
      <c r="N1008" s="355">
        <v>2</v>
      </c>
    </row>
    <row r="1009" spans="1:14" hidden="1" x14ac:dyDescent="0.25">
      <c r="A1009" s="354">
        <v>0</v>
      </c>
      <c r="B1009" s="354">
        <v>0</v>
      </c>
      <c r="C1009" s="354">
        <v>0</v>
      </c>
      <c r="D1009" s="354">
        <v>0</v>
      </c>
      <c r="E1009" s="354">
        <v>0</v>
      </c>
      <c r="F1009" s="354">
        <v>0</v>
      </c>
      <c r="G1009" s="354">
        <v>0</v>
      </c>
      <c r="H1009" s="354">
        <v>1</v>
      </c>
      <c r="I1009" s="354">
        <v>1</v>
      </c>
      <c r="J1009" s="354">
        <v>1</v>
      </c>
      <c r="K1009" s="354">
        <v>0</v>
      </c>
      <c r="L1009" s="354">
        <v>1</v>
      </c>
      <c r="M1009" s="355">
        <v>1</v>
      </c>
      <c r="N1009" s="355">
        <v>3</v>
      </c>
    </row>
    <row r="1010" spans="1:14" hidden="1" x14ac:dyDescent="0.25">
      <c r="A1010" s="354">
        <v>1</v>
      </c>
      <c r="B1010" s="354">
        <v>0</v>
      </c>
      <c r="C1010" s="354">
        <v>0</v>
      </c>
      <c r="D1010" s="354">
        <v>1</v>
      </c>
      <c r="E1010" s="354">
        <v>2</v>
      </c>
      <c r="F1010" s="354">
        <v>2</v>
      </c>
      <c r="G1010" s="354">
        <v>0</v>
      </c>
      <c r="H1010" s="354">
        <v>0</v>
      </c>
      <c r="I1010" s="354">
        <v>0</v>
      </c>
      <c r="J1010" s="354">
        <v>1</v>
      </c>
      <c r="K1010" s="354">
        <v>0</v>
      </c>
      <c r="L1010" s="354">
        <v>0</v>
      </c>
      <c r="M1010" s="355">
        <v>3</v>
      </c>
      <c r="N1010" s="355">
        <v>4</v>
      </c>
    </row>
    <row r="1011" spans="1:14" hidden="1" x14ac:dyDescent="0.25">
      <c r="A1011" s="354">
        <v>0</v>
      </c>
      <c r="B1011" s="354">
        <v>0</v>
      </c>
      <c r="C1011" s="354">
        <v>0</v>
      </c>
      <c r="D1011" s="354">
        <v>0</v>
      </c>
      <c r="E1011" s="354">
        <v>0</v>
      </c>
      <c r="F1011" s="354">
        <v>0</v>
      </c>
      <c r="G1011" s="354">
        <v>2</v>
      </c>
      <c r="H1011" s="354"/>
      <c r="I1011" s="354">
        <v>0</v>
      </c>
      <c r="J1011" s="354">
        <v>0</v>
      </c>
      <c r="K1011" s="354">
        <v>0</v>
      </c>
      <c r="L1011" s="354">
        <v>1</v>
      </c>
      <c r="M1011" s="355">
        <v>2</v>
      </c>
      <c r="N1011" s="355">
        <v>1</v>
      </c>
    </row>
    <row r="1012" spans="1:14" hidden="1" x14ac:dyDescent="0.25">
      <c r="A1012" s="354">
        <v>0</v>
      </c>
      <c r="B1012" s="354">
        <v>1</v>
      </c>
      <c r="C1012" s="354">
        <v>1</v>
      </c>
      <c r="D1012" s="354">
        <v>1</v>
      </c>
      <c r="E1012" s="354">
        <v>0</v>
      </c>
      <c r="F1012" s="354">
        <v>2</v>
      </c>
      <c r="G1012" s="354">
        <v>1</v>
      </c>
      <c r="H1012" s="354">
        <v>1</v>
      </c>
      <c r="I1012" s="354">
        <v>1</v>
      </c>
      <c r="J1012" s="354">
        <v>2</v>
      </c>
      <c r="K1012" s="354">
        <v>0</v>
      </c>
      <c r="L1012" s="354">
        <v>0</v>
      </c>
      <c r="M1012" s="355">
        <v>3</v>
      </c>
      <c r="N1012" s="355">
        <v>7</v>
      </c>
    </row>
    <row r="1013" spans="1:14" hidden="1" x14ac:dyDescent="0.25">
      <c r="A1013" s="354">
        <v>0</v>
      </c>
      <c r="B1013" s="354">
        <v>0</v>
      </c>
      <c r="C1013" s="354">
        <v>1</v>
      </c>
      <c r="D1013" s="354">
        <v>1</v>
      </c>
      <c r="E1013" s="354">
        <v>1</v>
      </c>
      <c r="F1013" s="354">
        <v>2</v>
      </c>
      <c r="G1013" s="354">
        <v>1</v>
      </c>
      <c r="H1013" s="354">
        <v>1</v>
      </c>
      <c r="I1013" s="354">
        <v>1</v>
      </c>
      <c r="J1013" s="354">
        <v>1</v>
      </c>
      <c r="K1013" s="354">
        <v>0</v>
      </c>
      <c r="L1013" s="354">
        <v>0</v>
      </c>
      <c r="M1013" s="355">
        <v>4</v>
      </c>
      <c r="N1013" s="355">
        <v>5</v>
      </c>
    </row>
    <row r="1014" spans="1:14" hidden="1" x14ac:dyDescent="0.25">
      <c r="A1014" s="354">
        <v>0</v>
      </c>
      <c r="B1014" s="354">
        <v>1</v>
      </c>
      <c r="C1014" s="354">
        <v>1</v>
      </c>
      <c r="D1014" s="354">
        <v>0</v>
      </c>
      <c r="E1014" s="354">
        <v>0</v>
      </c>
      <c r="F1014" s="354">
        <v>2</v>
      </c>
      <c r="G1014" s="354">
        <v>1</v>
      </c>
      <c r="H1014" s="354">
        <v>1</v>
      </c>
      <c r="I1014" s="354">
        <v>1</v>
      </c>
      <c r="J1014" s="354">
        <v>2</v>
      </c>
      <c r="K1014" s="354">
        <v>1</v>
      </c>
      <c r="L1014" s="354">
        <v>0</v>
      </c>
      <c r="M1014" s="355">
        <v>4</v>
      </c>
      <c r="N1014" s="355">
        <v>6</v>
      </c>
    </row>
    <row r="1015" spans="1:14" hidden="1" x14ac:dyDescent="0.25">
      <c r="A1015" s="354">
        <v>1</v>
      </c>
      <c r="B1015" s="354">
        <v>0</v>
      </c>
      <c r="C1015" s="354">
        <v>0</v>
      </c>
      <c r="D1015" s="354">
        <v>2</v>
      </c>
      <c r="E1015" s="354">
        <v>1</v>
      </c>
      <c r="F1015" s="354">
        <v>1</v>
      </c>
      <c r="G1015" s="354">
        <v>2</v>
      </c>
      <c r="H1015" s="354">
        <v>1</v>
      </c>
      <c r="I1015" s="354">
        <v>1</v>
      </c>
      <c r="J1015" s="354">
        <v>1</v>
      </c>
      <c r="K1015" s="354">
        <v>1</v>
      </c>
      <c r="L1015" s="354">
        <v>0</v>
      </c>
      <c r="M1015" s="355">
        <v>6</v>
      </c>
      <c r="N1015" s="355">
        <v>5</v>
      </c>
    </row>
    <row r="1016" spans="1:14" hidden="1" x14ac:dyDescent="0.25">
      <c r="A1016" s="354">
        <v>1</v>
      </c>
      <c r="B1016" s="354">
        <v>0</v>
      </c>
      <c r="C1016" s="354">
        <v>1</v>
      </c>
      <c r="D1016" s="354">
        <v>0</v>
      </c>
      <c r="E1016" s="354">
        <v>2</v>
      </c>
      <c r="F1016" s="354">
        <v>3</v>
      </c>
      <c r="G1016" s="354">
        <v>0</v>
      </c>
      <c r="H1016" s="354">
        <v>1</v>
      </c>
      <c r="I1016" s="354">
        <v>0</v>
      </c>
      <c r="J1016" s="354">
        <v>1</v>
      </c>
      <c r="K1016" s="354">
        <v>0</v>
      </c>
      <c r="L1016" s="354">
        <v>0</v>
      </c>
      <c r="M1016" s="355">
        <v>4</v>
      </c>
      <c r="N1016" s="355">
        <v>5</v>
      </c>
    </row>
    <row r="1017" spans="1:14" hidden="1" x14ac:dyDescent="0.25">
      <c r="A1017" s="354">
        <v>1</v>
      </c>
      <c r="B1017" s="354">
        <v>2</v>
      </c>
      <c r="C1017" s="354">
        <v>3</v>
      </c>
      <c r="D1017" s="354">
        <v>1</v>
      </c>
      <c r="E1017" s="354">
        <v>0</v>
      </c>
      <c r="F1017" s="354">
        <v>0</v>
      </c>
      <c r="G1017" s="354">
        <v>0</v>
      </c>
      <c r="H1017" s="354">
        <v>0</v>
      </c>
      <c r="I1017" s="354">
        <v>3</v>
      </c>
      <c r="J1017" s="354">
        <v>4</v>
      </c>
      <c r="K1017" s="354">
        <v>1</v>
      </c>
      <c r="L1017" s="354">
        <v>0</v>
      </c>
      <c r="M1017" s="355">
        <v>8</v>
      </c>
      <c r="N1017" s="355">
        <v>7</v>
      </c>
    </row>
    <row r="1018" spans="1:14" hidden="1" x14ac:dyDescent="0.25">
      <c r="A1018" s="354">
        <v>0</v>
      </c>
      <c r="B1018" s="354">
        <v>0</v>
      </c>
      <c r="C1018" s="354">
        <v>0</v>
      </c>
      <c r="D1018" s="354">
        <v>1</v>
      </c>
      <c r="E1018" s="354">
        <v>3</v>
      </c>
      <c r="F1018" s="354">
        <v>0</v>
      </c>
      <c r="G1018" s="354">
        <v>0</v>
      </c>
      <c r="H1018" s="354">
        <v>0</v>
      </c>
      <c r="I1018" s="354">
        <v>3</v>
      </c>
      <c r="J1018" s="354">
        <v>1</v>
      </c>
      <c r="K1018" s="354">
        <v>0</v>
      </c>
      <c r="L1018" s="354">
        <v>0</v>
      </c>
      <c r="M1018" s="355">
        <v>6</v>
      </c>
      <c r="N1018" s="355">
        <v>2</v>
      </c>
    </row>
    <row r="1019" spans="1:14" hidden="1" x14ac:dyDescent="0.25">
      <c r="A1019" s="354">
        <v>0</v>
      </c>
      <c r="B1019" s="354">
        <v>1</v>
      </c>
      <c r="C1019" s="354">
        <v>1</v>
      </c>
      <c r="D1019" s="354">
        <v>0</v>
      </c>
      <c r="E1019" s="354">
        <v>1</v>
      </c>
      <c r="F1019" s="354">
        <v>2</v>
      </c>
      <c r="G1019" s="354">
        <v>1</v>
      </c>
      <c r="H1019" s="354">
        <v>1</v>
      </c>
      <c r="I1019" s="354">
        <v>1</v>
      </c>
      <c r="J1019" s="354">
        <v>1</v>
      </c>
      <c r="K1019" s="354">
        <v>0</v>
      </c>
      <c r="L1019" s="354">
        <v>0</v>
      </c>
      <c r="M1019" s="355">
        <v>4</v>
      </c>
      <c r="N1019" s="355">
        <v>5</v>
      </c>
    </row>
    <row r="1020" spans="1:14" hidden="1" x14ac:dyDescent="0.25">
      <c r="A1020" s="354">
        <v>0</v>
      </c>
      <c r="B1020" s="354">
        <v>0</v>
      </c>
      <c r="C1020" s="354">
        <v>0</v>
      </c>
      <c r="D1020" s="354">
        <v>0</v>
      </c>
      <c r="E1020" s="354">
        <v>0</v>
      </c>
      <c r="F1020" s="354">
        <v>0</v>
      </c>
      <c r="G1020" s="354">
        <v>0</v>
      </c>
      <c r="H1020" s="354">
        <v>0</v>
      </c>
      <c r="I1020" s="354">
        <v>1</v>
      </c>
      <c r="J1020" s="354">
        <v>0</v>
      </c>
      <c r="K1020" s="354">
        <v>0</v>
      </c>
      <c r="L1020" s="354">
        <v>0</v>
      </c>
      <c r="M1020" s="355">
        <v>1</v>
      </c>
      <c r="N1020" s="355">
        <v>0</v>
      </c>
    </row>
    <row r="1021" spans="1:14" hidden="1" x14ac:dyDescent="0.25">
      <c r="A1021" s="354">
        <v>0</v>
      </c>
      <c r="B1021" s="354">
        <v>0</v>
      </c>
      <c r="C1021" s="354">
        <v>1</v>
      </c>
      <c r="D1021" s="354">
        <v>0</v>
      </c>
      <c r="E1021" s="354">
        <v>0</v>
      </c>
      <c r="F1021" s="354">
        <v>0</v>
      </c>
      <c r="G1021" s="354">
        <v>0</v>
      </c>
      <c r="H1021" s="354">
        <v>1</v>
      </c>
      <c r="I1021" s="354">
        <v>1</v>
      </c>
      <c r="J1021" s="354">
        <v>0</v>
      </c>
      <c r="K1021" s="354">
        <v>0</v>
      </c>
      <c r="L1021" s="354">
        <v>0</v>
      </c>
      <c r="M1021" s="355">
        <v>2</v>
      </c>
      <c r="N1021" s="355">
        <v>1</v>
      </c>
    </row>
    <row r="1022" spans="1:14" hidden="1" x14ac:dyDescent="0.25">
      <c r="A1022" s="354">
        <v>0</v>
      </c>
      <c r="B1022" s="354">
        <v>0</v>
      </c>
      <c r="C1022" s="354">
        <v>0</v>
      </c>
      <c r="D1022" s="354">
        <v>0</v>
      </c>
      <c r="E1022" s="354">
        <v>2</v>
      </c>
      <c r="F1022" s="354">
        <v>0</v>
      </c>
      <c r="G1022" s="354">
        <v>0</v>
      </c>
      <c r="H1022" s="354">
        <v>0</v>
      </c>
      <c r="I1022" s="354">
        <v>0</v>
      </c>
      <c r="J1022" s="354">
        <v>1</v>
      </c>
      <c r="K1022" s="354">
        <v>0</v>
      </c>
      <c r="L1022" s="354">
        <v>0</v>
      </c>
      <c r="M1022" s="355">
        <v>2</v>
      </c>
      <c r="N1022" s="355">
        <v>1</v>
      </c>
    </row>
    <row r="1023" spans="1:14" hidden="1" x14ac:dyDescent="0.25">
      <c r="A1023" s="354">
        <v>0</v>
      </c>
      <c r="B1023" s="354">
        <v>1</v>
      </c>
      <c r="C1023" s="354">
        <v>0</v>
      </c>
      <c r="D1023" s="354">
        <v>0</v>
      </c>
      <c r="E1023" s="354">
        <v>0</v>
      </c>
      <c r="F1023" s="354">
        <v>0</v>
      </c>
      <c r="G1023" s="354">
        <v>0</v>
      </c>
      <c r="H1023" s="354">
        <v>0</v>
      </c>
      <c r="I1023" s="354">
        <v>1</v>
      </c>
      <c r="J1023" s="354">
        <v>1</v>
      </c>
      <c r="K1023" s="354">
        <v>0</v>
      </c>
      <c r="L1023" s="354">
        <v>0</v>
      </c>
      <c r="M1023" s="355">
        <v>1</v>
      </c>
      <c r="N1023" s="355">
        <v>2</v>
      </c>
    </row>
    <row r="1024" spans="1:14" hidden="1" x14ac:dyDescent="0.25">
      <c r="A1024" s="354">
        <v>0</v>
      </c>
      <c r="B1024" s="354">
        <v>1</v>
      </c>
      <c r="C1024" s="354">
        <v>1</v>
      </c>
      <c r="D1024" s="354">
        <v>0</v>
      </c>
      <c r="E1024" s="354">
        <v>1</v>
      </c>
      <c r="F1024" s="354">
        <v>0</v>
      </c>
      <c r="G1024" s="354">
        <v>3</v>
      </c>
      <c r="H1024" s="354">
        <v>1</v>
      </c>
      <c r="I1024" s="354">
        <v>1</v>
      </c>
      <c r="J1024" s="354">
        <v>1</v>
      </c>
      <c r="K1024" s="354">
        <v>0</v>
      </c>
      <c r="L1024" s="354">
        <v>0</v>
      </c>
      <c r="M1024" s="355">
        <v>6</v>
      </c>
      <c r="N1024" s="355">
        <v>3</v>
      </c>
    </row>
    <row r="1025" spans="1:14" hidden="1" x14ac:dyDescent="0.25">
      <c r="A1025" s="354">
        <v>0</v>
      </c>
      <c r="B1025" s="354">
        <v>0</v>
      </c>
      <c r="C1025" s="354">
        <v>2</v>
      </c>
      <c r="D1025" s="354">
        <v>0</v>
      </c>
      <c r="E1025" s="354">
        <v>2</v>
      </c>
      <c r="F1025" s="354">
        <v>0</v>
      </c>
      <c r="G1025" s="354">
        <v>1</v>
      </c>
      <c r="H1025" s="354">
        <v>1</v>
      </c>
      <c r="I1025" s="354">
        <v>1</v>
      </c>
      <c r="J1025" s="354">
        <v>0</v>
      </c>
      <c r="K1025" s="354">
        <v>0</v>
      </c>
      <c r="L1025" s="354">
        <v>0</v>
      </c>
      <c r="M1025" s="355">
        <v>6</v>
      </c>
      <c r="N1025" s="355">
        <v>1</v>
      </c>
    </row>
    <row r="1026" spans="1:14" hidden="1" x14ac:dyDescent="0.25">
      <c r="A1026" s="354">
        <v>0</v>
      </c>
      <c r="B1026" s="354">
        <v>0</v>
      </c>
      <c r="C1026" s="354">
        <v>0</v>
      </c>
      <c r="D1026" s="354">
        <v>0</v>
      </c>
      <c r="E1026" s="354">
        <v>0</v>
      </c>
      <c r="F1026" s="354">
        <v>1</v>
      </c>
      <c r="G1026" s="354">
        <v>1</v>
      </c>
      <c r="H1026" s="354">
        <v>0</v>
      </c>
      <c r="I1026" s="354">
        <v>0</v>
      </c>
      <c r="J1026" s="354">
        <v>1</v>
      </c>
      <c r="K1026" s="354">
        <v>1</v>
      </c>
      <c r="L1026" s="354">
        <v>0</v>
      </c>
      <c r="M1026" s="355">
        <v>2</v>
      </c>
      <c r="N1026" s="355">
        <v>2</v>
      </c>
    </row>
    <row r="1027" spans="1:14" hidden="1" x14ac:dyDescent="0.25">
      <c r="A1027" s="354">
        <v>0</v>
      </c>
      <c r="B1027" s="354">
        <v>1</v>
      </c>
      <c r="C1027" s="354">
        <v>1</v>
      </c>
      <c r="D1027" s="354">
        <v>0</v>
      </c>
      <c r="E1027" s="354">
        <v>4</v>
      </c>
      <c r="F1027" s="354">
        <v>1</v>
      </c>
      <c r="G1027" s="354">
        <v>2</v>
      </c>
      <c r="H1027" s="354">
        <v>1</v>
      </c>
      <c r="I1027" s="354">
        <v>4</v>
      </c>
      <c r="J1027" s="354">
        <v>3</v>
      </c>
      <c r="K1027" s="354">
        <v>1</v>
      </c>
      <c r="L1027" s="354">
        <v>0</v>
      </c>
      <c r="M1027" s="355">
        <v>12</v>
      </c>
      <c r="N1027" s="355">
        <v>6</v>
      </c>
    </row>
    <row r="1028" spans="1:14" hidden="1" x14ac:dyDescent="0.25">
      <c r="A1028" s="354">
        <v>0</v>
      </c>
      <c r="B1028" s="354">
        <v>1</v>
      </c>
      <c r="C1028" s="354">
        <v>1</v>
      </c>
      <c r="D1028" s="354">
        <v>1</v>
      </c>
      <c r="E1028" s="354">
        <v>2</v>
      </c>
      <c r="F1028" s="354">
        <v>1</v>
      </c>
      <c r="G1028" s="354">
        <v>0</v>
      </c>
      <c r="H1028" s="354">
        <v>0</v>
      </c>
      <c r="I1028" s="354">
        <v>1</v>
      </c>
      <c r="J1028" s="354">
        <v>1</v>
      </c>
      <c r="K1028" s="354">
        <v>0</v>
      </c>
      <c r="L1028" s="354">
        <v>0</v>
      </c>
      <c r="M1028" s="355">
        <v>4</v>
      </c>
      <c r="N1028" s="355">
        <v>4</v>
      </c>
    </row>
    <row r="1029" spans="1:14" hidden="1" x14ac:dyDescent="0.25">
      <c r="A1029" s="354">
        <v>0</v>
      </c>
      <c r="B1029" s="354">
        <v>0</v>
      </c>
      <c r="C1029" s="354">
        <v>1</v>
      </c>
      <c r="D1029" s="354">
        <v>1</v>
      </c>
      <c r="E1029" s="354">
        <v>3</v>
      </c>
      <c r="F1029" s="354">
        <v>1</v>
      </c>
      <c r="G1029" s="354">
        <v>2</v>
      </c>
      <c r="H1029" s="354">
        <v>0</v>
      </c>
      <c r="I1029" s="354">
        <v>0</v>
      </c>
      <c r="J1029" s="354">
        <v>1</v>
      </c>
      <c r="K1029" s="354">
        <v>0</v>
      </c>
      <c r="L1029" s="354">
        <v>0</v>
      </c>
      <c r="M1029" s="355">
        <v>6</v>
      </c>
      <c r="N1029" s="355">
        <v>3</v>
      </c>
    </row>
    <row r="1030" spans="1:14" hidden="1" x14ac:dyDescent="0.25">
      <c r="A1030" s="354">
        <v>0</v>
      </c>
      <c r="B1030" s="354">
        <v>0</v>
      </c>
      <c r="C1030" s="354">
        <v>0</v>
      </c>
      <c r="D1030" s="354">
        <v>1</v>
      </c>
      <c r="E1030" s="354">
        <v>1</v>
      </c>
      <c r="F1030" s="354">
        <v>1</v>
      </c>
      <c r="G1030" s="354">
        <v>0</v>
      </c>
      <c r="H1030" s="354">
        <v>0</v>
      </c>
      <c r="I1030" s="354">
        <v>1</v>
      </c>
      <c r="J1030" s="354">
        <v>1</v>
      </c>
      <c r="K1030" s="354">
        <v>0</v>
      </c>
      <c r="L1030" s="354">
        <v>0</v>
      </c>
      <c r="M1030" s="355">
        <v>2</v>
      </c>
      <c r="N1030" s="355">
        <v>3</v>
      </c>
    </row>
    <row r="1031" spans="1:14" hidden="1" x14ac:dyDescent="0.25">
      <c r="A1031" s="354">
        <v>0</v>
      </c>
      <c r="B1031" s="354">
        <v>0</v>
      </c>
      <c r="C1031" s="354">
        <v>0</v>
      </c>
      <c r="D1031" s="354">
        <v>1</v>
      </c>
      <c r="E1031" s="354">
        <v>0</v>
      </c>
      <c r="F1031" s="354">
        <v>1</v>
      </c>
      <c r="G1031" s="354">
        <v>1</v>
      </c>
      <c r="H1031" s="354">
        <v>0</v>
      </c>
      <c r="I1031" s="354">
        <v>1</v>
      </c>
      <c r="J1031" s="354">
        <v>1</v>
      </c>
      <c r="K1031" s="354">
        <v>0</v>
      </c>
      <c r="L1031" s="354">
        <v>0</v>
      </c>
      <c r="M1031" s="355">
        <v>2</v>
      </c>
      <c r="N1031" s="355">
        <v>3</v>
      </c>
    </row>
    <row r="1032" spans="1:14" hidden="1" x14ac:dyDescent="0.25">
      <c r="A1032" s="354">
        <v>0</v>
      </c>
      <c r="B1032" s="354">
        <v>0</v>
      </c>
      <c r="C1032" s="354">
        <v>1</v>
      </c>
      <c r="D1032" s="354">
        <v>0</v>
      </c>
      <c r="E1032" s="354">
        <v>0</v>
      </c>
      <c r="F1032" s="354">
        <v>0</v>
      </c>
      <c r="G1032" s="354">
        <v>1</v>
      </c>
      <c r="H1032" s="354">
        <v>0</v>
      </c>
      <c r="I1032" s="354">
        <v>1</v>
      </c>
      <c r="J1032" s="354">
        <v>1</v>
      </c>
      <c r="K1032" s="354">
        <v>0</v>
      </c>
      <c r="L1032" s="354">
        <v>0</v>
      </c>
      <c r="M1032" s="355">
        <v>3</v>
      </c>
      <c r="N1032" s="355">
        <v>1</v>
      </c>
    </row>
    <row r="1033" spans="1:14" hidden="1" x14ac:dyDescent="0.25">
      <c r="A1033" s="354">
        <v>0</v>
      </c>
      <c r="B1033" s="354">
        <v>1</v>
      </c>
      <c r="C1033" s="354">
        <v>1</v>
      </c>
      <c r="D1033" s="354">
        <v>0</v>
      </c>
      <c r="E1033" s="354">
        <v>2</v>
      </c>
      <c r="F1033" s="354">
        <v>1</v>
      </c>
      <c r="G1033" s="354">
        <v>1</v>
      </c>
      <c r="H1033" s="354">
        <v>0</v>
      </c>
      <c r="I1033" s="354">
        <v>1</v>
      </c>
      <c r="J1033" s="354">
        <v>1</v>
      </c>
      <c r="K1033" s="354">
        <v>0</v>
      </c>
      <c r="L1033" s="354">
        <v>0</v>
      </c>
      <c r="M1033" s="355">
        <v>5</v>
      </c>
      <c r="N1033" s="355">
        <v>3</v>
      </c>
    </row>
    <row r="1034" spans="1:14" hidden="1" x14ac:dyDescent="0.25">
      <c r="A1034" s="354">
        <v>0</v>
      </c>
      <c r="B1034" s="354">
        <v>0</v>
      </c>
      <c r="C1034" s="354">
        <v>0</v>
      </c>
      <c r="D1034" s="354">
        <v>0</v>
      </c>
      <c r="E1034" s="354">
        <v>1</v>
      </c>
      <c r="F1034" s="354">
        <v>1</v>
      </c>
      <c r="G1034" s="354">
        <v>0</v>
      </c>
      <c r="H1034" s="354">
        <v>0</v>
      </c>
      <c r="I1034" s="354">
        <v>1</v>
      </c>
      <c r="J1034" s="354">
        <v>1</v>
      </c>
      <c r="K1034" s="354">
        <v>0</v>
      </c>
      <c r="L1034" s="354">
        <v>0</v>
      </c>
      <c r="M1034" s="355">
        <v>2</v>
      </c>
      <c r="N1034" s="355">
        <v>2</v>
      </c>
    </row>
    <row r="1035" spans="1:14" hidden="1" x14ac:dyDescent="0.25">
      <c r="A1035" s="354">
        <v>1</v>
      </c>
      <c r="B1035" s="354">
        <v>0</v>
      </c>
      <c r="C1035" s="354">
        <v>0</v>
      </c>
      <c r="D1035" s="354">
        <v>1</v>
      </c>
      <c r="E1035" s="354">
        <v>0</v>
      </c>
      <c r="F1035" s="354">
        <v>0</v>
      </c>
      <c r="G1035" s="354">
        <v>0</v>
      </c>
      <c r="H1035" s="354">
        <v>0</v>
      </c>
      <c r="I1035" s="354">
        <v>1</v>
      </c>
      <c r="J1035" s="354">
        <v>1</v>
      </c>
      <c r="K1035" s="354">
        <v>0</v>
      </c>
      <c r="L1035" s="354">
        <v>0</v>
      </c>
      <c r="M1035" s="355">
        <v>2</v>
      </c>
      <c r="N1035" s="355">
        <v>2</v>
      </c>
    </row>
    <row r="1036" spans="1:14" hidden="1" x14ac:dyDescent="0.25">
      <c r="A1036" s="354">
        <v>0</v>
      </c>
      <c r="B1036" s="354">
        <v>1</v>
      </c>
      <c r="C1036" s="354">
        <v>0</v>
      </c>
      <c r="D1036" s="354">
        <v>1</v>
      </c>
      <c r="E1036" s="354">
        <v>0</v>
      </c>
      <c r="F1036" s="354">
        <v>1</v>
      </c>
      <c r="G1036" s="354">
        <v>0</v>
      </c>
      <c r="H1036" s="354">
        <v>0</v>
      </c>
      <c r="I1036" s="354">
        <v>0</v>
      </c>
      <c r="J1036" s="354">
        <v>1</v>
      </c>
      <c r="K1036" s="354">
        <v>0</v>
      </c>
      <c r="L1036" s="354">
        <v>0</v>
      </c>
      <c r="M1036" s="355">
        <v>0</v>
      </c>
      <c r="N1036" s="355">
        <v>4</v>
      </c>
    </row>
    <row r="1037" spans="1:14" hidden="1" x14ac:dyDescent="0.25">
      <c r="A1037" s="354">
        <v>1</v>
      </c>
      <c r="B1037" s="354">
        <v>0</v>
      </c>
      <c r="C1037" s="354">
        <v>1</v>
      </c>
      <c r="D1037" s="354">
        <v>0</v>
      </c>
      <c r="E1037" s="354">
        <v>0</v>
      </c>
      <c r="F1037" s="354">
        <v>0</v>
      </c>
      <c r="G1037" s="354">
        <v>0</v>
      </c>
      <c r="H1037" s="354">
        <v>0</v>
      </c>
      <c r="I1037" s="354">
        <v>1</v>
      </c>
      <c r="J1037" s="354">
        <v>1</v>
      </c>
      <c r="K1037" s="354">
        <v>0</v>
      </c>
      <c r="L1037" s="354">
        <v>0</v>
      </c>
      <c r="M1037" s="355">
        <v>3</v>
      </c>
      <c r="N1037" s="355">
        <v>1</v>
      </c>
    </row>
    <row r="1038" spans="1:14" hidden="1" x14ac:dyDescent="0.25">
      <c r="A1038" s="354">
        <v>0</v>
      </c>
      <c r="B1038" s="354">
        <v>1</v>
      </c>
      <c r="C1038" s="354">
        <v>1</v>
      </c>
      <c r="D1038" s="354">
        <v>0</v>
      </c>
      <c r="E1038" s="354">
        <v>1</v>
      </c>
      <c r="F1038" s="354">
        <v>1</v>
      </c>
      <c r="G1038" s="354">
        <v>0</v>
      </c>
      <c r="H1038" s="354">
        <v>0</v>
      </c>
      <c r="I1038" s="354">
        <v>1</v>
      </c>
      <c r="J1038" s="354">
        <v>1</v>
      </c>
      <c r="K1038" s="354">
        <v>0</v>
      </c>
      <c r="L1038" s="354">
        <v>0</v>
      </c>
      <c r="M1038" s="355">
        <v>3</v>
      </c>
      <c r="N1038" s="355">
        <v>3</v>
      </c>
    </row>
    <row r="1039" spans="1:14" hidden="1" x14ac:dyDescent="0.25">
      <c r="A1039" s="354">
        <v>1</v>
      </c>
      <c r="B1039" s="354">
        <v>0</v>
      </c>
      <c r="C1039" s="354">
        <v>1</v>
      </c>
      <c r="D1039" s="354">
        <v>0</v>
      </c>
      <c r="E1039" s="354">
        <v>1</v>
      </c>
      <c r="F1039" s="354">
        <v>1</v>
      </c>
      <c r="G1039" s="354">
        <v>1</v>
      </c>
      <c r="H1039" s="354">
        <v>1</v>
      </c>
      <c r="I1039" s="354">
        <v>2</v>
      </c>
      <c r="J1039" s="354">
        <v>1</v>
      </c>
      <c r="K1039" s="354">
        <v>0</v>
      </c>
      <c r="L1039" s="354">
        <v>0</v>
      </c>
      <c r="M1039" s="355">
        <v>6</v>
      </c>
      <c r="N1039" s="355">
        <v>3</v>
      </c>
    </row>
    <row r="1040" spans="1:14" hidden="1" x14ac:dyDescent="0.25">
      <c r="A1040" s="354">
        <v>0</v>
      </c>
      <c r="B1040" s="354">
        <v>1</v>
      </c>
      <c r="C1040" s="354">
        <v>0</v>
      </c>
      <c r="D1040" s="354">
        <v>1</v>
      </c>
      <c r="E1040" s="354">
        <v>1</v>
      </c>
      <c r="F1040" s="354">
        <v>1</v>
      </c>
      <c r="G1040" s="354">
        <v>0</v>
      </c>
      <c r="H1040" s="354">
        <v>0</v>
      </c>
      <c r="I1040" s="354">
        <v>1</v>
      </c>
      <c r="J1040" s="354">
        <v>1</v>
      </c>
      <c r="K1040" s="354">
        <v>0</v>
      </c>
      <c r="L1040" s="354">
        <v>0</v>
      </c>
      <c r="M1040" s="355">
        <v>2</v>
      </c>
      <c r="N1040" s="355">
        <v>4</v>
      </c>
    </row>
    <row r="1041" spans="1:14" hidden="1" x14ac:dyDescent="0.25">
      <c r="A1041" s="354">
        <v>1</v>
      </c>
      <c r="B1041" s="354">
        <v>0</v>
      </c>
      <c r="C1041" s="354">
        <v>1</v>
      </c>
      <c r="D1041" s="354">
        <v>0</v>
      </c>
      <c r="E1041" s="354">
        <v>1</v>
      </c>
      <c r="F1041" s="354">
        <v>1</v>
      </c>
      <c r="G1041" s="354">
        <v>0</v>
      </c>
      <c r="H1041" s="354">
        <v>0</v>
      </c>
      <c r="I1041" s="354">
        <v>1</v>
      </c>
      <c r="J1041" s="354">
        <v>1</v>
      </c>
      <c r="K1041" s="354">
        <v>0</v>
      </c>
      <c r="L1041" s="354">
        <v>0</v>
      </c>
      <c r="M1041" s="355">
        <v>4</v>
      </c>
      <c r="N1041" s="355">
        <v>2</v>
      </c>
    </row>
    <row r="1042" spans="1:14" hidden="1" x14ac:dyDescent="0.25">
      <c r="A1042" s="354">
        <v>0</v>
      </c>
      <c r="B1042" s="354">
        <v>1</v>
      </c>
      <c r="C1042" s="354">
        <v>1</v>
      </c>
      <c r="D1042" s="354">
        <v>0</v>
      </c>
      <c r="E1042" s="354">
        <v>1</v>
      </c>
      <c r="F1042" s="354">
        <v>0</v>
      </c>
      <c r="G1042" s="354">
        <v>0</v>
      </c>
      <c r="H1042" s="354">
        <v>0</v>
      </c>
      <c r="I1042" s="354">
        <v>1</v>
      </c>
      <c r="J1042" s="354">
        <v>1</v>
      </c>
      <c r="K1042" s="354">
        <v>0</v>
      </c>
      <c r="L1042" s="354">
        <v>0</v>
      </c>
      <c r="M1042" s="355">
        <v>3</v>
      </c>
      <c r="N1042" s="355">
        <v>2</v>
      </c>
    </row>
    <row r="1043" spans="1:14" hidden="1" x14ac:dyDescent="0.25">
      <c r="A1043" s="354">
        <v>0</v>
      </c>
      <c r="B1043" s="354">
        <v>0</v>
      </c>
      <c r="C1043" s="354">
        <v>0</v>
      </c>
      <c r="D1043" s="354">
        <v>0</v>
      </c>
      <c r="E1043" s="354">
        <v>0</v>
      </c>
      <c r="F1043" s="354">
        <v>0</v>
      </c>
      <c r="G1043" s="354">
        <v>0</v>
      </c>
      <c r="H1043" s="354">
        <v>0</v>
      </c>
      <c r="I1043" s="354">
        <v>1</v>
      </c>
      <c r="J1043" s="354">
        <v>1</v>
      </c>
      <c r="K1043" s="354">
        <v>0</v>
      </c>
      <c r="L1043" s="354">
        <v>0</v>
      </c>
      <c r="M1043" s="355">
        <v>1</v>
      </c>
      <c r="N1043" s="355">
        <v>1</v>
      </c>
    </row>
    <row r="1044" spans="1:14" hidden="1" x14ac:dyDescent="0.25">
      <c r="A1044" s="354">
        <v>1</v>
      </c>
      <c r="B1044" s="354">
        <v>0</v>
      </c>
      <c r="C1044" s="354">
        <v>1</v>
      </c>
      <c r="D1044" s="354">
        <v>1</v>
      </c>
      <c r="E1044" s="354">
        <v>0</v>
      </c>
      <c r="F1044" s="354">
        <v>1</v>
      </c>
      <c r="G1044" s="354">
        <v>0</v>
      </c>
      <c r="H1044" s="354">
        <v>1</v>
      </c>
      <c r="I1044" s="354">
        <v>1</v>
      </c>
      <c r="J1044" s="354">
        <v>2</v>
      </c>
      <c r="K1044" s="354">
        <v>0</v>
      </c>
      <c r="L1044" s="354">
        <v>0</v>
      </c>
      <c r="M1044" s="355">
        <v>3</v>
      </c>
      <c r="N1044" s="355">
        <v>5</v>
      </c>
    </row>
    <row r="1045" spans="1:14" hidden="1" x14ac:dyDescent="0.25">
      <c r="A1045" s="354">
        <v>1</v>
      </c>
      <c r="B1045" s="354">
        <v>0</v>
      </c>
      <c r="C1045" s="354">
        <v>0</v>
      </c>
      <c r="D1045" s="354">
        <v>1</v>
      </c>
      <c r="E1045" s="354">
        <v>2</v>
      </c>
      <c r="F1045" s="354">
        <v>0</v>
      </c>
      <c r="G1045" s="354">
        <v>2</v>
      </c>
      <c r="H1045" s="354">
        <v>1</v>
      </c>
      <c r="I1045" s="354">
        <v>2</v>
      </c>
      <c r="J1045" s="354">
        <v>3</v>
      </c>
      <c r="K1045" s="354">
        <v>0</v>
      </c>
      <c r="L1045" s="354">
        <v>0</v>
      </c>
      <c r="M1045" s="355">
        <v>7</v>
      </c>
      <c r="N1045" s="355">
        <v>5</v>
      </c>
    </row>
    <row r="1046" spans="1:14" hidden="1" x14ac:dyDescent="0.25">
      <c r="A1046" s="354">
        <v>0</v>
      </c>
      <c r="B1046" s="354">
        <v>1</v>
      </c>
      <c r="C1046" s="354">
        <v>1</v>
      </c>
      <c r="D1046" s="354">
        <v>0</v>
      </c>
      <c r="E1046" s="354">
        <v>2</v>
      </c>
      <c r="F1046" s="354">
        <v>1</v>
      </c>
      <c r="G1046" s="354">
        <v>0</v>
      </c>
      <c r="H1046" s="354">
        <v>1</v>
      </c>
      <c r="I1046" s="354">
        <v>1</v>
      </c>
      <c r="J1046" s="354">
        <v>1</v>
      </c>
      <c r="K1046" s="354">
        <v>0</v>
      </c>
      <c r="L1046" s="354">
        <v>0</v>
      </c>
      <c r="M1046" s="355">
        <v>4</v>
      </c>
      <c r="N1046" s="355">
        <v>4</v>
      </c>
    </row>
    <row r="1047" spans="1:14" hidden="1" x14ac:dyDescent="0.25">
      <c r="A1047" s="354">
        <v>0</v>
      </c>
      <c r="B1047" s="354">
        <v>1</v>
      </c>
      <c r="C1047" s="354">
        <v>1</v>
      </c>
      <c r="D1047" s="354">
        <v>0</v>
      </c>
      <c r="E1047" s="354">
        <v>0</v>
      </c>
      <c r="F1047" s="354">
        <v>0</v>
      </c>
      <c r="G1047" s="354">
        <v>0</v>
      </c>
      <c r="H1047" s="354">
        <v>0</v>
      </c>
      <c r="I1047" s="354">
        <v>0</v>
      </c>
      <c r="J1047" s="354">
        <v>1</v>
      </c>
      <c r="K1047" s="354">
        <v>0</v>
      </c>
      <c r="L1047" s="354">
        <v>0</v>
      </c>
      <c r="M1047" s="355">
        <v>1</v>
      </c>
      <c r="N1047" s="355">
        <v>2</v>
      </c>
    </row>
    <row r="1048" spans="1:14" hidden="1" x14ac:dyDescent="0.25">
      <c r="A1048" s="354">
        <v>2</v>
      </c>
      <c r="B1048" s="354">
        <v>0</v>
      </c>
      <c r="C1048" s="354">
        <v>0</v>
      </c>
      <c r="D1048" s="354">
        <v>1</v>
      </c>
      <c r="E1048" s="354">
        <v>0</v>
      </c>
      <c r="F1048" s="354">
        <v>1</v>
      </c>
      <c r="G1048" s="354">
        <v>0</v>
      </c>
      <c r="H1048" s="354">
        <v>1</v>
      </c>
      <c r="I1048" s="354">
        <v>1</v>
      </c>
      <c r="J1048" s="354">
        <v>2</v>
      </c>
      <c r="K1048" s="354">
        <v>0</v>
      </c>
      <c r="L1048" s="354">
        <v>0</v>
      </c>
      <c r="M1048" s="355">
        <v>3</v>
      </c>
      <c r="N1048" s="355">
        <v>5</v>
      </c>
    </row>
    <row r="1049" spans="1:14" hidden="1" x14ac:dyDescent="0.25">
      <c r="A1049" s="354">
        <v>0</v>
      </c>
      <c r="B1049" s="354">
        <v>0</v>
      </c>
      <c r="C1049" s="354">
        <v>0</v>
      </c>
      <c r="D1049" s="354">
        <v>1</v>
      </c>
      <c r="E1049" s="354">
        <v>0</v>
      </c>
      <c r="F1049" s="354">
        <v>0</v>
      </c>
      <c r="G1049" s="354">
        <v>2</v>
      </c>
      <c r="H1049" s="354">
        <v>0</v>
      </c>
      <c r="I1049" s="354">
        <v>1</v>
      </c>
      <c r="J1049" s="354">
        <v>2</v>
      </c>
      <c r="K1049" s="354">
        <v>0</v>
      </c>
      <c r="L1049" s="354">
        <v>0</v>
      </c>
      <c r="M1049" s="355">
        <v>3</v>
      </c>
      <c r="N1049" s="355">
        <v>3</v>
      </c>
    </row>
    <row r="1050" spans="1:14" hidden="1" x14ac:dyDescent="0.25">
      <c r="A1050" s="354">
        <v>0</v>
      </c>
      <c r="B1050" s="354">
        <v>0</v>
      </c>
      <c r="C1050" s="354">
        <v>1</v>
      </c>
      <c r="D1050" s="354">
        <v>1</v>
      </c>
      <c r="E1050" s="354">
        <v>0</v>
      </c>
      <c r="F1050" s="354">
        <v>1</v>
      </c>
      <c r="G1050" s="354">
        <v>0</v>
      </c>
      <c r="H1050" s="354">
        <v>0</v>
      </c>
      <c r="I1050" s="354">
        <v>1</v>
      </c>
      <c r="J1050" s="354">
        <v>2</v>
      </c>
      <c r="K1050" s="354">
        <v>0</v>
      </c>
      <c r="L1050" s="354">
        <v>0</v>
      </c>
      <c r="M1050" s="355">
        <v>2</v>
      </c>
      <c r="N1050" s="355">
        <v>4</v>
      </c>
    </row>
    <row r="1051" spans="1:14" hidden="1" x14ac:dyDescent="0.25">
      <c r="A1051" s="354">
        <v>0</v>
      </c>
      <c r="B1051" s="354">
        <v>0</v>
      </c>
      <c r="C1051" s="354">
        <v>0</v>
      </c>
      <c r="D1051" s="354">
        <v>1</v>
      </c>
      <c r="E1051" s="354">
        <v>0</v>
      </c>
      <c r="F1051" s="354">
        <v>1</v>
      </c>
      <c r="G1051" s="354">
        <v>0</v>
      </c>
      <c r="H1051" s="354">
        <v>0</v>
      </c>
      <c r="I1051" s="354">
        <v>1</v>
      </c>
      <c r="J1051" s="354">
        <v>1</v>
      </c>
      <c r="K1051" s="354">
        <v>0</v>
      </c>
      <c r="L1051" s="354">
        <v>0</v>
      </c>
      <c r="M1051" s="355">
        <v>1</v>
      </c>
      <c r="N1051" s="355">
        <v>3</v>
      </c>
    </row>
    <row r="1052" spans="1:14" hidden="1" x14ac:dyDescent="0.25">
      <c r="A1052" s="354">
        <v>0</v>
      </c>
      <c r="B1052" s="354">
        <v>0</v>
      </c>
      <c r="C1052" s="354">
        <v>0</v>
      </c>
      <c r="D1052" s="354">
        <v>1</v>
      </c>
      <c r="E1052" s="354">
        <v>0</v>
      </c>
      <c r="F1052" s="354">
        <v>1</v>
      </c>
      <c r="G1052" s="354">
        <v>0</v>
      </c>
      <c r="H1052" s="354">
        <v>0</v>
      </c>
      <c r="I1052" s="354">
        <v>1</v>
      </c>
      <c r="J1052" s="354">
        <v>2</v>
      </c>
      <c r="K1052" s="354">
        <v>0</v>
      </c>
      <c r="L1052" s="354">
        <v>0</v>
      </c>
      <c r="M1052" s="355">
        <v>1</v>
      </c>
      <c r="N1052" s="355">
        <v>4</v>
      </c>
    </row>
    <row r="1053" spans="1:14" hidden="1" x14ac:dyDescent="0.25">
      <c r="A1053" s="354">
        <v>0</v>
      </c>
      <c r="B1053" s="354">
        <v>0</v>
      </c>
      <c r="C1053" s="354">
        <v>0</v>
      </c>
      <c r="D1053" s="354">
        <v>1</v>
      </c>
      <c r="E1053" s="354">
        <v>0</v>
      </c>
      <c r="F1053" s="354">
        <v>1</v>
      </c>
      <c r="G1053" s="354">
        <v>0</v>
      </c>
      <c r="H1053" s="354">
        <v>1</v>
      </c>
      <c r="I1053" s="354">
        <v>1</v>
      </c>
      <c r="J1053" s="354">
        <v>1</v>
      </c>
      <c r="K1053" s="354">
        <v>0</v>
      </c>
      <c r="L1053" s="354">
        <v>0</v>
      </c>
      <c r="M1053" s="355">
        <v>1</v>
      </c>
      <c r="N1053" s="355">
        <v>4</v>
      </c>
    </row>
    <row r="1054" spans="1:14" hidden="1" x14ac:dyDescent="0.25">
      <c r="A1054" s="354">
        <v>0</v>
      </c>
      <c r="B1054" s="354">
        <v>0</v>
      </c>
      <c r="C1054" s="354">
        <v>0</v>
      </c>
      <c r="D1054" s="354">
        <v>1</v>
      </c>
      <c r="E1054" s="354">
        <v>0</v>
      </c>
      <c r="F1054" s="354">
        <v>0</v>
      </c>
      <c r="G1054" s="354">
        <v>1</v>
      </c>
      <c r="H1054" s="354">
        <v>1</v>
      </c>
      <c r="I1054" s="354">
        <v>1</v>
      </c>
      <c r="J1054" s="354">
        <v>2</v>
      </c>
      <c r="K1054" s="354">
        <v>0</v>
      </c>
      <c r="L1054" s="354">
        <v>0</v>
      </c>
      <c r="M1054" s="355">
        <v>2</v>
      </c>
      <c r="N1054" s="355">
        <v>4</v>
      </c>
    </row>
    <row r="1055" spans="1:14" hidden="1" x14ac:dyDescent="0.25">
      <c r="A1055" s="354">
        <v>0</v>
      </c>
      <c r="B1055" s="354">
        <v>0</v>
      </c>
      <c r="C1055" s="354">
        <v>0</v>
      </c>
      <c r="D1055" s="354">
        <v>1</v>
      </c>
      <c r="E1055" s="354">
        <v>0</v>
      </c>
      <c r="F1055" s="354">
        <v>0</v>
      </c>
      <c r="G1055" s="354">
        <v>1</v>
      </c>
      <c r="H1055" s="354">
        <v>0</v>
      </c>
      <c r="I1055" s="354">
        <v>1</v>
      </c>
      <c r="J1055" s="354">
        <v>1</v>
      </c>
      <c r="K1055" s="354">
        <v>0</v>
      </c>
      <c r="L1055" s="354">
        <v>0</v>
      </c>
      <c r="M1055" s="355">
        <v>2</v>
      </c>
      <c r="N1055" s="355">
        <v>2</v>
      </c>
    </row>
    <row r="1056" spans="1:14" hidden="1" x14ac:dyDescent="0.25">
      <c r="A1056" s="354">
        <v>0</v>
      </c>
      <c r="B1056" s="354">
        <v>0</v>
      </c>
      <c r="C1056" s="354">
        <v>0</v>
      </c>
      <c r="D1056" s="354">
        <v>1</v>
      </c>
      <c r="E1056" s="354">
        <v>0</v>
      </c>
      <c r="F1056" s="354">
        <v>0</v>
      </c>
      <c r="G1056" s="354">
        <v>1</v>
      </c>
      <c r="H1056" s="354">
        <v>0</v>
      </c>
      <c r="I1056" s="354">
        <v>1</v>
      </c>
      <c r="J1056" s="354">
        <v>1</v>
      </c>
      <c r="K1056" s="354">
        <v>0</v>
      </c>
      <c r="L1056" s="354">
        <v>0</v>
      </c>
      <c r="M1056" s="355">
        <v>2</v>
      </c>
      <c r="N1056" s="355">
        <v>2</v>
      </c>
    </row>
    <row r="1057" spans="1:14" hidden="1" x14ac:dyDescent="0.25">
      <c r="A1057" s="354">
        <v>0</v>
      </c>
      <c r="B1057" s="354">
        <v>0</v>
      </c>
      <c r="C1057" s="354">
        <v>0</v>
      </c>
      <c r="D1057" s="354">
        <v>1</v>
      </c>
      <c r="E1057" s="354">
        <v>0</v>
      </c>
      <c r="F1057" s="354">
        <v>0</v>
      </c>
      <c r="G1057" s="354">
        <v>1</v>
      </c>
      <c r="H1057" s="354">
        <v>0</v>
      </c>
      <c r="I1057" s="354">
        <v>1</v>
      </c>
      <c r="J1057" s="354">
        <v>1</v>
      </c>
      <c r="K1057" s="354">
        <v>0</v>
      </c>
      <c r="L1057" s="354">
        <v>0</v>
      </c>
      <c r="M1057" s="355">
        <v>2</v>
      </c>
      <c r="N1057" s="355">
        <v>2</v>
      </c>
    </row>
    <row r="1058" spans="1:14" hidden="1" x14ac:dyDescent="0.25">
      <c r="A1058" s="354">
        <v>0</v>
      </c>
      <c r="B1058" s="354">
        <v>0</v>
      </c>
      <c r="C1058" s="354">
        <v>2</v>
      </c>
      <c r="D1058" s="354">
        <v>1</v>
      </c>
      <c r="E1058" s="354">
        <v>1</v>
      </c>
      <c r="F1058" s="354">
        <v>0</v>
      </c>
      <c r="G1058" s="354">
        <v>1</v>
      </c>
      <c r="H1058" s="354">
        <v>0</v>
      </c>
      <c r="I1058" s="354">
        <v>1</v>
      </c>
      <c r="J1058" s="354">
        <v>1</v>
      </c>
      <c r="K1058" s="354">
        <v>0</v>
      </c>
      <c r="L1058" s="354">
        <v>0</v>
      </c>
      <c r="M1058" s="355">
        <v>5</v>
      </c>
      <c r="N1058" s="355">
        <v>2</v>
      </c>
    </row>
    <row r="1059" spans="1:14" hidden="1" x14ac:dyDescent="0.25">
      <c r="A1059" s="354">
        <v>1</v>
      </c>
      <c r="B1059" s="354">
        <v>0</v>
      </c>
      <c r="C1059" s="354">
        <v>1</v>
      </c>
      <c r="D1059" s="354">
        <v>0</v>
      </c>
      <c r="E1059" s="354">
        <v>1</v>
      </c>
      <c r="F1059" s="354">
        <v>0</v>
      </c>
      <c r="G1059" s="354">
        <v>1</v>
      </c>
      <c r="H1059" s="354">
        <v>0</v>
      </c>
      <c r="I1059" s="354">
        <v>1</v>
      </c>
      <c r="J1059" s="354">
        <v>1</v>
      </c>
      <c r="K1059" s="354">
        <v>0</v>
      </c>
      <c r="L1059" s="354">
        <v>0</v>
      </c>
      <c r="M1059" s="355">
        <v>5</v>
      </c>
      <c r="N1059" s="355">
        <v>1</v>
      </c>
    </row>
    <row r="1060" spans="1:14" hidden="1" x14ac:dyDescent="0.25">
      <c r="A1060" s="354">
        <v>0</v>
      </c>
      <c r="B1060" s="354">
        <v>1</v>
      </c>
      <c r="C1060" s="354">
        <v>0</v>
      </c>
      <c r="D1060" s="354">
        <v>1</v>
      </c>
      <c r="E1060" s="354">
        <v>0</v>
      </c>
      <c r="F1060" s="354">
        <v>0</v>
      </c>
      <c r="G1060" s="354">
        <v>1</v>
      </c>
      <c r="H1060" s="354">
        <v>1</v>
      </c>
      <c r="I1060" s="354">
        <v>2</v>
      </c>
      <c r="J1060" s="354">
        <v>1</v>
      </c>
      <c r="K1060" s="354">
        <v>0</v>
      </c>
      <c r="L1060" s="354">
        <v>0</v>
      </c>
      <c r="M1060" s="355">
        <v>3</v>
      </c>
      <c r="N1060" s="355">
        <v>4</v>
      </c>
    </row>
    <row r="1061" spans="1:14" hidden="1" x14ac:dyDescent="0.25">
      <c r="A1061" s="354">
        <v>0</v>
      </c>
      <c r="B1061" s="354">
        <v>0</v>
      </c>
      <c r="C1061" s="354">
        <v>1</v>
      </c>
      <c r="D1061" s="354">
        <v>1</v>
      </c>
      <c r="E1061" s="354">
        <v>0</v>
      </c>
      <c r="F1061" s="354">
        <v>0</v>
      </c>
      <c r="G1061" s="354">
        <v>0</v>
      </c>
      <c r="H1061" s="354">
        <v>1</v>
      </c>
      <c r="I1061" s="354">
        <v>0</v>
      </c>
      <c r="J1061" s="354">
        <v>1</v>
      </c>
      <c r="K1061" s="354">
        <v>1</v>
      </c>
      <c r="L1061" s="354">
        <v>0</v>
      </c>
      <c r="M1061" s="355">
        <v>2</v>
      </c>
      <c r="N1061" s="355">
        <v>3</v>
      </c>
    </row>
    <row r="1062" spans="1:14" hidden="1" x14ac:dyDescent="0.25">
      <c r="A1062" s="354">
        <v>0</v>
      </c>
      <c r="B1062" s="354">
        <v>0</v>
      </c>
      <c r="C1062" s="354">
        <v>0</v>
      </c>
      <c r="D1062" s="354">
        <v>1</v>
      </c>
      <c r="E1062" s="354">
        <v>0</v>
      </c>
      <c r="F1062" s="354">
        <v>0</v>
      </c>
      <c r="G1062" s="354">
        <v>1</v>
      </c>
      <c r="H1062" s="354">
        <v>0</v>
      </c>
      <c r="I1062" s="354">
        <v>1</v>
      </c>
      <c r="J1062" s="354">
        <v>1</v>
      </c>
      <c r="K1062" s="354">
        <v>0</v>
      </c>
      <c r="L1062" s="354">
        <v>0</v>
      </c>
      <c r="M1062" s="355">
        <v>2</v>
      </c>
      <c r="N1062" s="355">
        <v>2</v>
      </c>
    </row>
    <row r="1063" spans="1:14" hidden="1" x14ac:dyDescent="0.25">
      <c r="A1063" s="354">
        <v>0</v>
      </c>
      <c r="B1063" s="354">
        <v>0</v>
      </c>
      <c r="C1063" s="354">
        <v>0</v>
      </c>
      <c r="D1063" s="354">
        <v>1</v>
      </c>
      <c r="E1063" s="354">
        <v>0</v>
      </c>
      <c r="F1063" s="354">
        <v>1</v>
      </c>
      <c r="G1063" s="354">
        <v>0</v>
      </c>
      <c r="H1063" s="354">
        <v>0</v>
      </c>
      <c r="I1063" s="354">
        <v>2</v>
      </c>
      <c r="J1063" s="354">
        <v>1</v>
      </c>
      <c r="K1063" s="354">
        <v>0</v>
      </c>
      <c r="L1063" s="354">
        <v>0</v>
      </c>
      <c r="M1063" s="355">
        <v>2</v>
      </c>
      <c r="N1063" s="355">
        <v>3</v>
      </c>
    </row>
    <row r="1064" spans="1:14" hidden="1" x14ac:dyDescent="0.25">
      <c r="A1064" s="354">
        <v>0</v>
      </c>
      <c r="B1064" s="354">
        <v>0</v>
      </c>
      <c r="C1064" s="354">
        <v>0</v>
      </c>
      <c r="D1064" s="354">
        <v>1</v>
      </c>
      <c r="E1064" s="354">
        <v>0</v>
      </c>
      <c r="F1064" s="354">
        <v>1</v>
      </c>
      <c r="G1064" s="354">
        <v>0</v>
      </c>
      <c r="H1064" s="354">
        <v>0</v>
      </c>
      <c r="I1064" s="354">
        <v>2</v>
      </c>
      <c r="J1064" s="354">
        <v>1</v>
      </c>
      <c r="K1064" s="354">
        <v>0</v>
      </c>
      <c r="L1064" s="354">
        <v>0</v>
      </c>
      <c r="M1064" s="355">
        <v>2</v>
      </c>
      <c r="N1064" s="355">
        <v>3</v>
      </c>
    </row>
    <row r="1065" spans="1:14" hidden="1" x14ac:dyDescent="0.25">
      <c r="A1065" s="354">
        <v>0</v>
      </c>
      <c r="B1065" s="354">
        <v>0</v>
      </c>
      <c r="C1065" s="354">
        <v>0</v>
      </c>
      <c r="D1065" s="354">
        <v>1</v>
      </c>
      <c r="E1065" s="354">
        <v>0</v>
      </c>
      <c r="F1065" s="354">
        <v>0</v>
      </c>
      <c r="G1065" s="354">
        <v>0</v>
      </c>
      <c r="H1065" s="354">
        <v>1</v>
      </c>
      <c r="I1065" s="354">
        <v>1</v>
      </c>
      <c r="J1065" s="354">
        <v>1</v>
      </c>
      <c r="K1065" s="354">
        <v>0</v>
      </c>
      <c r="L1065" s="354">
        <v>0</v>
      </c>
      <c r="M1065" s="355">
        <v>1</v>
      </c>
      <c r="N1065" s="355">
        <v>3</v>
      </c>
    </row>
    <row r="1066" spans="1:14" hidden="1" x14ac:dyDescent="0.25">
      <c r="A1066" s="354">
        <v>0</v>
      </c>
      <c r="B1066" s="354">
        <v>0</v>
      </c>
      <c r="C1066" s="354">
        <v>0</v>
      </c>
      <c r="D1066" s="354">
        <v>0</v>
      </c>
      <c r="E1066" s="354">
        <v>1</v>
      </c>
      <c r="F1066" s="354">
        <v>0</v>
      </c>
      <c r="G1066" s="354">
        <v>0</v>
      </c>
      <c r="H1066" s="354">
        <v>1</v>
      </c>
      <c r="I1066" s="354">
        <v>2</v>
      </c>
      <c r="J1066" s="354">
        <v>1</v>
      </c>
      <c r="K1066" s="354">
        <v>0</v>
      </c>
      <c r="L1066" s="354">
        <v>0</v>
      </c>
      <c r="M1066" s="355">
        <v>3</v>
      </c>
      <c r="N1066" s="355">
        <v>2</v>
      </c>
    </row>
    <row r="1067" spans="1:14" hidden="1" x14ac:dyDescent="0.25">
      <c r="A1067" s="354">
        <v>0</v>
      </c>
      <c r="B1067" s="354">
        <v>0</v>
      </c>
      <c r="C1067" s="354">
        <v>0</v>
      </c>
      <c r="D1067" s="354">
        <v>1</v>
      </c>
      <c r="E1067" s="354">
        <v>0</v>
      </c>
      <c r="F1067" s="354">
        <v>2</v>
      </c>
      <c r="G1067" s="354">
        <v>0</v>
      </c>
      <c r="H1067" s="354">
        <v>0</v>
      </c>
      <c r="I1067" s="354">
        <v>1</v>
      </c>
      <c r="J1067" s="354">
        <v>2</v>
      </c>
      <c r="K1067" s="354">
        <v>0</v>
      </c>
      <c r="L1067" s="354">
        <v>0</v>
      </c>
      <c r="M1067" s="355">
        <v>1</v>
      </c>
      <c r="N1067" s="355">
        <v>5</v>
      </c>
    </row>
    <row r="1068" spans="1:14" hidden="1" x14ac:dyDescent="0.25">
      <c r="A1068" s="354">
        <v>0</v>
      </c>
      <c r="B1068" s="354">
        <v>0</v>
      </c>
      <c r="C1068" s="354">
        <v>0</v>
      </c>
      <c r="D1068" s="354">
        <v>0</v>
      </c>
      <c r="E1068" s="354">
        <v>0</v>
      </c>
      <c r="F1068" s="354">
        <v>1</v>
      </c>
      <c r="G1068" s="354">
        <v>0</v>
      </c>
      <c r="H1068" s="354">
        <v>0</v>
      </c>
      <c r="I1068" s="354">
        <v>1</v>
      </c>
      <c r="J1068" s="354">
        <v>2</v>
      </c>
      <c r="K1068" s="354">
        <v>0</v>
      </c>
      <c r="L1068" s="354">
        <v>0</v>
      </c>
      <c r="M1068" s="355">
        <v>1</v>
      </c>
      <c r="N1068" s="355">
        <v>3</v>
      </c>
    </row>
    <row r="1069" spans="1:14" hidden="1" x14ac:dyDescent="0.25">
      <c r="A1069" s="354">
        <v>0</v>
      </c>
      <c r="B1069" s="354">
        <v>0</v>
      </c>
      <c r="C1069" s="354">
        <v>0</v>
      </c>
      <c r="D1069" s="354">
        <v>0</v>
      </c>
      <c r="E1069" s="354">
        <v>0</v>
      </c>
      <c r="F1069" s="354">
        <v>0</v>
      </c>
      <c r="G1069" s="354">
        <v>0</v>
      </c>
      <c r="H1069" s="354">
        <v>0</v>
      </c>
      <c r="I1069" s="354">
        <v>1</v>
      </c>
      <c r="J1069" s="354">
        <v>2</v>
      </c>
      <c r="K1069" s="354">
        <v>0</v>
      </c>
      <c r="L1069" s="354">
        <v>0</v>
      </c>
      <c r="M1069" s="355">
        <v>1</v>
      </c>
      <c r="N1069" s="355">
        <v>2</v>
      </c>
    </row>
    <row r="1070" spans="1:14" hidden="1" x14ac:dyDescent="0.25">
      <c r="A1070" s="354">
        <v>0</v>
      </c>
      <c r="B1070" s="354">
        <v>0</v>
      </c>
      <c r="C1070" s="354">
        <v>0</v>
      </c>
      <c r="D1070" s="354">
        <v>0</v>
      </c>
      <c r="E1070" s="354">
        <v>1</v>
      </c>
      <c r="F1070" s="354">
        <v>0</v>
      </c>
      <c r="G1070" s="354">
        <v>0</v>
      </c>
      <c r="H1070" s="354">
        <v>1</v>
      </c>
      <c r="I1070" s="354">
        <v>1</v>
      </c>
      <c r="J1070" s="354">
        <v>2</v>
      </c>
      <c r="K1070" s="354">
        <v>0</v>
      </c>
      <c r="L1070" s="354">
        <v>0</v>
      </c>
      <c r="M1070" s="355">
        <v>2</v>
      </c>
      <c r="N1070" s="355">
        <v>3</v>
      </c>
    </row>
    <row r="1071" spans="1:14" hidden="1" x14ac:dyDescent="0.25">
      <c r="A1071" s="354">
        <v>0</v>
      </c>
      <c r="B1071" s="354">
        <v>0</v>
      </c>
      <c r="C1071" s="354">
        <v>0</v>
      </c>
      <c r="D1071" s="354">
        <v>0</v>
      </c>
      <c r="E1071" s="354">
        <v>1</v>
      </c>
      <c r="F1071" s="354">
        <v>0</v>
      </c>
      <c r="G1071" s="354">
        <v>1</v>
      </c>
      <c r="H1071" s="354">
        <v>0</v>
      </c>
      <c r="I1071" s="354">
        <v>1</v>
      </c>
      <c r="J1071" s="354">
        <v>2</v>
      </c>
      <c r="K1071" s="354">
        <v>0</v>
      </c>
      <c r="L1071" s="354">
        <v>0</v>
      </c>
      <c r="M1071" s="355">
        <v>3</v>
      </c>
      <c r="N1071" s="355">
        <v>2</v>
      </c>
    </row>
    <row r="1072" spans="1:14" hidden="1" x14ac:dyDescent="0.25">
      <c r="A1072" s="354">
        <v>0</v>
      </c>
      <c r="B1072" s="354">
        <v>0</v>
      </c>
      <c r="C1072" s="354">
        <v>0</v>
      </c>
      <c r="D1072" s="354">
        <v>0</v>
      </c>
      <c r="E1072" s="354">
        <v>0</v>
      </c>
      <c r="F1072" s="354">
        <v>1</v>
      </c>
      <c r="G1072" s="354">
        <v>0</v>
      </c>
      <c r="H1072" s="354">
        <v>0</v>
      </c>
      <c r="I1072" s="354">
        <v>2</v>
      </c>
      <c r="J1072" s="354">
        <v>2</v>
      </c>
      <c r="K1072" s="354">
        <v>0</v>
      </c>
      <c r="L1072" s="354">
        <v>0</v>
      </c>
      <c r="M1072" s="355">
        <v>2</v>
      </c>
      <c r="N1072" s="355">
        <v>3</v>
      </c>
    </row>
    <row r="1073" spans="1:14" hidden="1" x14ac:dyDescent="0.25">
      <c r="A1073" s="354">
        <v>0</v>
      </c>
      <c r="B1073" s="354">
        <v>0</v>
      </c>
      <c r="C1073" s="354">
        <v>0</v>
      </c>
      <c r="D1073" s="354">
        <v>0</v>
      </c>
      <c r="E1073" s="354">
        <v>0</v>
      </c>
      <c r="F1073" s="354">
        <v>0</v>
      </c>
      <c r="G1073" s="354">
        <v>1</v>
      </c>
      <c r="H1073" s="354">
        <v>0</v>
      </c>
      <c r="I1073" s="354">
        <v>2</v>
      </c>
      <c r="J1073" s="354">
        <v>2</v>
      </c>
      <c r="K1073" s="354">
        <v>0</v>
      </c>
      <c r="L1073" s="354">
        <v>0</v>
      </c>
      <c r="M1073" s="355">
        <v>3</v>
      </c>
      <c r="N1073" s="355">
        <v>2</v>
      </c>
    </row>
    <row r="1074" spans="1:14" hidden="1" x14ac:dyDescent="0.25">
      <c r="A1074" s="354">
        <v>0</v>
      </c>
      <c r="B1074" s="354">
        <v>0</v>
      </c>
      <c r="C1074" s="354">
        <v>0</v>
      </c>
      <c r="D1074" s="354">
        <v>1</v>
      </c>
      <c r="E1074" s="354">
        <v>0</v>
      </c>
      <c r="F1074" s="354">
        <v>0</v>
      </c>
      <c r="G1074" s="354">
        <v>1</v>
      </c>
      <c r="H1074" s="354">
        <v>0</v>
      </c>
      <c r="I1074" s="354">
        <v>1</v>
      </c>
      <c r="J1074" s="354">
        <v>2</v>
      </c>
      <c r="K1074" s="354">
        <v>0</v>
      </c>
      <c r="L1074" s="354">
        <v>0</v>
      </c>
      <c r="M1074" s="355">
        <v>2</v>
      </c>
      <c r="N1074" s="355">
        <v>3</v>
      </c>
    </row>
    <row r="1075" spans="1:14" hidden="1" x14ac:dyDescent="0.25">
      <c r="A1075" s="354">
        <v>0</v>
      </c>
      <c r="B1075" s="354">
        <v>0</v>
      </c>
      <c r="C1075" s="354">
        <v>0</v>
      </c>
      <c r="D1075" s="354">
        <v>0</v>
      </c>
      <c r="E1075" s="354">
        <v>0</v>
      </c>
      <c r="F1075" s="354">
        <v>1</v>
      </c>
      <c r="G1075" s="354">
        <v>0</v>
      </c>
      <c r="H1075" s="354">
        <v>1</v>
      </c>
      <c r="I1075" s="354">
        <v>2</v>
      </c>
      <c r="J1075" s="354">
        <v>2</v>
      </c>
      <c r="K1075" s="354">
        <v>0</v>
      </c>
      <c r="L1075" s="354">
        <v>0</v>
      </c>
      <c r="M1075" s="355">
        <v>2</v>
      </c>
      <c r="N1075" s="355">
        <v>4</v>
      </c>
    </row>
    <row r="1076" spans="1:14" hidden="1" x14ac:dyDescent="0.25">
      <c r="A1076" s="354">
        <v>0</v>
      </c>
      <c r="B1076" s="354">
        <v>0</v>
      </c>
      <c r="C1076" s="354">
        <v>0</v>
      </c>
      <c r="D1076" s="354">
        <v>0</v>
      </c>
      <c r="E1076" s="354">
        <v>0</v>
      </c>
      <c r="F1076" s="354">
        <v>2</v>
      </c>
      <c r="G1076" s="354">
        <v>0</v>
      </c>
      <c r="H1076" s="354">
        <v>0</v>
      </c>
      <c r="I1076" s="354">
        <v>2</v>
      </c>
      <c r="J1076" s="354">
        <v>3</v>
      </c>
      <c r="K1076" s="354">
        <v>0</v>
      </c>
      <c r="L1076" s="354">
        <v>0</v>
      </c>
      <c r="M1076" s="355">
        <v>2</v>
      </c>
      <c r="N1076" s="355">
        <v>5</v>
      </c>
    </row>
    <row r="1077" spans="1:14" hidden="1" x14ac:dyDescent="0.25">
      <c r="A1077" s="354">
        <v>0</v>
      </c>
      <c r="B1077" s="354">
        <v>0</v>
      </c>
      <c r="C1077" s="354">
        <v>0</v>
      </c>
      <c r="D1077" s="354">
        <v>0</v>
      </c>
      <c r="E1077" s="354">
        <v>0</v>
      </c>
      <c r="F1077" s="354">
        <v>0</v>
      </c>
      <c r="G1077" s="354">
        <v>0</v>
      </c>
      <c r="H1077" s="354">
        <v>2</v>
      </c>
      <c r="I1077" s="354">
        <v>0</v>
      </c>
      <c r="J1077" s="354">
        <v>1</v>
      </c>
      <c r="K1077" s="354">
        <v>2</v>
      </c>
      <c r="L1077" s="354">
        <v>0</v>
      </c>
      <c r="M1077" s="355">
        <v>2</v>
      </c>
      <c r="N1077" s="355">
        <v>3</v>
      </c>
    </row>
    <row r="1078" spans="1:14" hidden="1" x14ac:dyDescent="0.25">
      <c r="A1078" s="354">
        <v>0</v>
      </c>
      <c r="B1078" s="354">
        <v>0</v>
      </c>
      <c r="C1078" s="354">
        <v>0</v>
      </c>
      <c r="D1078" s="354">
        <v>2</v>
      </c>
      <c r="E1078" s="354">
        <v>0</v>
      </c>
      <c r="F1078" s="354">
        <v>0</v>
      </c>
      <c r="G1078" s="354">
        <v>0</v>
      </c>
      <c r="H1078" s="354">
        <v>0</v>
      </c>
      <c r="I1078" s="354">
        <v>2</v>
      </c>
      <c r="J1078" s="354">
        <v>4</v>
      </c>
      <c r="K1078" s="354">
        <v>0</v>
      </c>
      <c r="L1078" s="354">
        <v>0</v>
      </c>
      <c r="M1078" s="355">
        <v>2</v>
      </c>
      <c r="N1078" s="355">
        <v>6</v>
      </c>
    </row>
    <row r="1079" spans="1:14" hidden="1" x14ac:dyDescent="0.25">
      <c r="A1079" s="354">
        <v>1</v>
      </c>
      <c r="B1079" s="354">
        <v>0</v>
      </c>
      <c r="C1079" s="354">
        <v>1</v>
      </c>
      <c r="D1079" s="354">
        <v>0</v>
      </c>
      <c r="E1079" s="354">
        <v>1</v>
      </c>
      <c r="F1079" s="354">
        <v>1</v>
      </c>
      <c r="G1079" s="354">
        <v>1</v>
      </c>
      <c r="H1079" s="354">
        <v>1</v>
      </c>
      <c r="I1079" s="354">
        <v>1</v>
      </c>
      <c r="J1079" s="354">
        <v>1</v>
      </c>
      <c r="K1079" s="354">
        <v>0</v>
      </c>
      <c r="L1079" s="354">
        <v>0</v>
      </c>
      <c r="M1079" s="355">
        <v>5</v>
      </c>
      <c r="N1079" s="355">
        <v>3</v>
      </c>
    </row>
    <row r="1080" spans="1:14" hidden="1" x14ac:dyDescent="0.25">
      <c r="A1080" s="354">
        <v>1</v>
      </c>
      <c r="B1080" s="354">
        <v>1</v>
      </c>
      <c r="C1080" s="354">
        <v>1</v>
      </c>
      <c r="D1080" s="354">
        <v>0</v>
      </c>
      <c r="E1080" s="354">
        <v>0</v>
      </c>
      <c r="F1080" s="354">
        <v>0</v>
      </c>
      <c r="G1080" s="354">
        <v>1</v>
      </c>
      <c r="H1080" s="354">
        <v>1</v>
      </c>
      <c r="I1080" s="354">
        <v>1</v>
      </c>
      <c r="J1080" s="354">
        <v>2</v>
      </c>
      <c r="K1080" s="354">
        <v>0</v>
      </c>
      <c r="L1080" s="354">
        <v>0</v>
      </c>
      <c r="M1080" s="355">
        <v>4</v>
      </c>
      <c r="N1080" s="355">
        <v>4</v>
      </c>
    </row>
    <row r="1081" spans="1:14" hidden="1" x14ac:dyDescent="0.25">
      <c r="A1081" s="354">
        <v>0</v>
      </c>
      <c r="B1081" s="354">
        <v>1</v>
      </c>
      <c r="C1081" s="354">
        <v>1</v>
      </c>
      <c r="D1081" s="354">
        <v>0</v>
      </c>
      <c r="E1081" s="354">
        <v>1</v>
      </c>
      <c r="F1081" s="354">
        <v>0</v>
      </c>
      <c r="G1081" s="354">
        <v>0</v>
      </c>
      <c r="H1081" s="354">
        <v>0</v>
      </c>
      <c r="I1081" s="354">
        <v>1</v>
      </c>
      <c r="J1081" s="354">
        <v>1</v>
      </c>
      <c r="K1081" s="354">
        <v>0</v>
      </c>
      <c r="L1081" s="354">
        <v>1</v>
      </c>
      <c r="M1081" s="355">
        <v>3</v>
      </c>
      <c r="N1081" s="355">
        <v>3</v>
      </c>
    </row>
    <row r="1082" spans="1:14" hidden="1" x14ac:dyDescent="0.25">
      <c r="A1082" s="354">
        <v>1</v>
      </c>
      <c r="B1082" s="354">
        <v>1</v>
      </c>
      <c r="C1082" s="354">
        <v>0</v>
      </c>
      <c r="D1082" s="354">
        <v>1</v>
      </c>
      <c r="E1082" s="354">
        <v>0</v>
      </c>
      <c r="F1082" s="354">
        <v>0</v>
      </c>
      <c r="G1082" s="354">
        <v>0</v>
      </c>
      <c r="H1082" s="354">
        <v>0</v>
      </c>
      <c r="I1082" s="354">
        <v>1</v>
      </c>
      <c r="J1082" s="354">
        <v>1</v>
      </c>
      <c r="K1082" s="354">
        <v>0</v>
      </c>
      <c r="L1082" s="354">
        <v>0</v>
      </c>
      <c r="M1082" s="355">
        <v>2</v>
      </c>
      <c r="N1082" s="355">
        <v>3</v>
      </c>
    </row>
    <row r="1083" spans="1:14" hidden="1" x14ac:dyDescent="0.25">
      <c r="A1083" s="354">
        <v>2</v>
      </c>
      <c r="B1083" s="354">
        <v>1</v>
      </c>
      <c r="C1083" s="354">
        <v>1</v>
      </c>
      <c r="D1083" s="354">
        <v>1</v>
      </c>
      <c r="E1083" s="354">
        <v>1</v>
      </c>
      <c r="F1083" s="354">
        <v>0</v>
      </c>
      <c r="G1083" s="354">
        <v>0</v>
      </c>
      <c r="H1083" s="354">
        <v>1</v>
      </c>
      <c r="I1083" s="354">
        <v>2</v>
      </c>
      <c r="J1083" s="354">
        <v>2</v>
      </c>
      <c r="K1083" s="354">
        <v>0</v>
      </c>
      <c r="L1083" s="354">
        <v>0</v>
      </c>
      <c r="M1083" s="355">
        <v>6</v>
      </c>
      <c r="N1083" s="355">
        <v>5</v>
      </c>
    </row>
    <row r="1084" spans="1:14" hidden="1" x14ac:dyDescent="0.25">
      <c r="A1084" s="354">
        <v>1</v>
      </c>
      <c r="B1084" s="354">
        <v>1</v>
      </c>
      <c r="C1084" s="354">
        <v>0</v>
      </c>
      <c r="D1084" s="354">
        <v>0</v>
      </c>
      <c r="E1084" s="354">
        <v>1</v>
      </c>
      <c r="F1084" s="354">
        <v>0</v>
      </c>
      <c r="G1084" s="354">
        <v>0</v>
      </c>
      <c r="H1084" s="354">
        <v>0</v>
      </c>
      <c r="I1084" s="354">
        <v>1</v>
      </c>
      <c r="J1084" s="354">
        <v>1</v>
      </c>
      <c r="K1084" s="354">
        <v>0</v>
      </c>
      <c r="L1084" s="354">
        <v>0</v>
      </c>
      <c r="M1084" s="355">
        <v>3</v>
      </c>
      <c r="N1084" s="355">
        <v>2</v>
      </c>
    </row>
    <row r="1085" spans="1:14" hidden="1" x14ac:dyDescent="0.25">
      <c r="A1085" s="354">
        <v>0</v>
      </c>
      <c r="B1085" s="354">
        <v>0</v>
      </c>
      <c r="C1085" s="354">
        <v>0</v>
      </c>
      <c r="D1085" s="354">
        <v>0</v>
      </c>
      <c r="E1085" s="354">
        <v>0</v>
      </c>
      <c r="F1085" s="354">
        <v>0</v>
      </c>
      <c r="G1085" s="354">
        <v>2</v>
      </c>
      <c r="H1085" s="354">
        <v>3</v>
      </c>
      <c r="I1085" s="354">
        <v>1</v>
      </c>
      <c r="J1085" s="354">
        <v>2</v>
      </c>
      <c r="K1085" s="354">
        <v>0</v>
      </c>
      <c r="L1085" s="354">
        <v>0</v>
      </c>
      <c r="M1085" s="355">
        <v>3</v>
      </c>
      <c r="N1085" s="355">
        <v>5</v>
      </c>
    </row>
    <row r="1086" spans="1:14" hidden="1" x14ac:dyDescent="0.25">
      <c r="A1086" s="354">
        <v>1</v>
      </c>
      <c r="B1086" s="354">
        <v>0</v>
      </c>
      <c r="C1086" s="354">
        <v>0</v>
      </c>
      <c r="D1086" s="354">
        <v>0</v>
      </c>
      <c r="E1086" s="354">
        <v>0</v>
      </c>
      <c r="F1086" s="354">
        <v>0</v>
      </c>
      <c r="G1086" s="354">
        <v>0</v>
      </c>
      <c r="H1086" s="354">
        <v>1</v>
      </c>
      <c r="I1086" s="354">
        <v>2</v>
      </c>
      <c r="J1086" s="354">
        <v>1</v>
      </c>
      <c r="K1086" s="354">
        <v>1</v>
      </c>
      <c r="L1086" s="354">
        <v>1</v>
      </c>
      <c r="M1086" s="355">
        <v>4</v>
      </c>
      <c r="N1086" s="355">
        <v>3</v>
      </c>
    </row>
    <row r="1087" spans="1:14" hidden="1" x14ac:dyDescent="0.25">
      <c r="A1087" s="354">
        <v>0</v>
      </c>
      <c r="B1087" s="354">
        <v>0</v>
      </c>
      <c r="C1087" s="354">
        <v>0</v>
      </c>
      <c r="D1087" s="354">
        <v>0</v>
      </c>
      <c r="E1087" s="354">
        <v>0</v>
      </c>
      <c r="F1087" s="354">
        <v>0</v>
      </c>
      <c r="G1087" s="354">
        <v>0</v>
      </c>
      <c r="H1087" s="354">
        <v>0</v>
      </c>
      <c r="I1087" s="354">
        <v>2</v>
      </c>
      <c r="J1087" s="354">
        <v>1</v>
      </c>
      <c r="K1087" s="354">
        <v>0</v>
      </c>
      <c r="L1087" s="354">
        <v>1</v>
      </c>
      <c r="M1087" s="355">
        <v>2</v>
      </c>
      <c r="N1087" s="355">
        <v>2</v>
      </c>
    </row>
    <row r="1088" spans="1:14" hidden="1" x14ac:dyDescent="0.25">
      <c r="A1088" s="354">
        <v>1</v>
      </c>
      <c r="B1088" s="354">
        <v>0</v>
      </c>
      <c r="C1088" s="354">
        <v>1</v>
      </c>
      <c r="D1088" s="354">
        <v>1</v>
      </c>
      <c r="E1088" s="354">
        <v>1</v>
      </c>
      <c r="F1088" s="354">
        <v>1</v>
      </c>
      <c r="G1088" s="354">
        <v>1</v>
      </c>
      <c r="H1088" s="354">
        <v>0</v>
      </c>
      <c r="I1088" s="354">
        <v>1</v>
      </c>
      <c r="J1088" s="354">
        <v>1</v>
      </c>
      <c r="K1088" s="354">
        <v>0</v>
      </c>
      <c r="L1088" s="354">
        <v>0</v>
      </c>
      <c r="M1088" s="355">
        <v>5</v>
      </c>
      <c r="N1088" s="355">
        <v>3</v>
      </c>
    </row>
    <row r="1089" spans="1:14" hidden="1" x14ac:dyDescent="0.25">
      <c r="A1089" s="354">
        <v>1</v>
      </c>
      <c r="B1089" s="354">
        <v>0</v>
      </c>
      <c r="C1089" s="354">
        <v>1</v>
      </c>
      <c r="D1089" s="354">
        <v>1</v>
      </c>
      <c r="E1089" s="354">
        <v>1</v>
      </c>
      <c r="F1089" s="354">
        <v>1</v>
      </c>
      <c r="G1089" s="354">
        <v>0</v>
      </c>
      <c r="H1089" s="354">
        <v>1</v>
      </c>
      <c r="I1089" s="354">
        <v>0</v>
      </c>
      <c r="J1089" s="354">
        <v>1</v>
      </c>
      <c r="K1089" s="354">
        <v>0</v>
      </c>
      <c r="L1089" s="354">
        <v>0</v>
      </c>
      <c r="M1089" s="355">
        <v>3</v>
      </c>
      <c r="N1089" s="355">
        <v>4</v>
      </c>
    </row>
    <row r="1090" spans="1:14" hidden="1" x14ac:dyDescent="0.25">
      <c r="A1090" s="354">
        <v>0</v>
      </c>
      <c r="B1090" s="354">
        <v>1</v>
      </c>
      <c r="C1090" s="354">
        <v>0</v>
      </c>
      <c r="D1090" s="354">
        <v>2</v>
      </c>
      <c r="E1090" s="354">
        <v>0</v>
      </c>
      <c r="F1090" s="354">
        <v>2</v>
      </c>
      <c r="G1090" s="354">
        <v>0</v>
      </c>
      <c r="H1090" s="354">
        <v>1</v>
      </c>
      <c r="I1090" s="354">
        <v>1</v>
      </c>
      <c r="J1090" s="354">
        <v>2</v>
      </c>
      <c r="K1090" s="354">
        <v>0</v>
      </c>
      <c r="L1090" s="354">
        <v>0</v>
      </c>
      <c r="M1090" s="355">
        <v>1</v>
      </c>
      <c r="N1090" s="355">
        <v>8</v>
      </c>
    </row>
    <row r="1091" spans="1:14" hidden="1" x14ac:dyDescent="0.25">
      <c r="A1091" s="354">
        <v>0</v>
      </c>
      <c r="B1091" s="354">
        <v>0</v>
      </c>
      <c r="C1091" s="354">
        <v>1</v>
      </c>
      <c r="D1091" s="354">
        <v>0</v>
      </c>
      <c r="E1091" s="354">
        <v>0</v>
      </c>
      <c r="F1091" s="354">
        <v>1</v>
      </c>
      <c r="G1091" s="354">
        <v>1</v>
      </c>
      <c r="H1091" s="354">
        <v>0</v>
      </c>
      <c r="I1091" s="354">
        <v>1</v>
      </c>
      <c r="J1091" s="354">
        <v>1</v>
      </c>
      <c r="K1091" s="354">
        <v>0</v>
      </c>
      <c r="L1091" s="354">
        <v>0</v>
      </c>
      <c r="M1091" s="355">
        <v>3</v>
      </c>
      <c r="N1091" s="355">
        <v>2</v>
      </c>
    </row>
    <row r="1092" spans="1:14" hidden="1" x14ac:dyDescent="0.25">
      <c r="A1092" s="354">
        <v>0</v>
      </c>
      <c r="B1092" s="354">
        <v>0</v>
      </c>
      <c r="C1092" s="354">
        <v>1</v>
      </c>
      <c r="D1092" s="354">
        <v>0</v>
      </c>
      <c r="E1092" s="354">
        <v>1</v>
      </c>
      <c r="F1092" s="354">
        <v>0</v>
      </c>
      <c r="G1092" s="354">
        <v>1</v>
      </c>
      <c r="H1092" s="354">
        <v>1</v>
      </c>
      <c r="I1092" s="354">
        <v>1</v>
      </c>
      <c r="J1092" s="354">
        <v>1</v>
      </c>
      <c r="K1092" s="354">
        <v>1</v>
      </c>
      <c r="L1092" s="354">
        <v>0</v>
      </c>
      <c r="M1092" s="355">
        <v>5</v>
      </c>
      <c r="N1092" s="355">
        <v>2</v>
      </c>
    </row>
    <row r="1093" spans="1:14" hidden="1" x14ac:dyDescent="0.25">
      <c r="A1093" s="354">
        <v>0</v>
      </c>
      <c r="B1093" s="354">
        <v>1</v>
      </c>
      <c r="C1093" s="354">
        <v>0</v>
      </c>
      <c r="D1093" s="354">
        <v>1</v>
      </c>
      <c r="E1093" s="354">
        <v>1</v>
      </c>
      <c r="F1093" s="354">
        <v>0</v>
      </c>
      <c r="G1093" s="354">
        <v>0</v>
      </c>
      <c r="H1093" s="354">
        <v>0</v>
      </c>
      <c r="I1093" s="354">
        <v>1</v>
      </c>
      <c r="J1093" s="354">
        <v>1</v>
      </c>
      <c r="K1093" s="354">
        <v>0</v>
      </c>
      <c r="L1093" s="354">
        <v>0</v>
      </c>
      <c r="M1093" s="355">
        <v>2</v>
      </c>
      <c r="N1093" s="355">
        <v>3</v>
      </c>
    </row>
    <row r="1094" spans="1:14" hidden="1" x14ac:dyDescent="0.25">
      <c r="A1094" s="354">
        <v>0</v>
      </c>
      <c r="B1094" s="354">
        <v>0</v>
      </c>
      <c r="C1094" s="354">
        <v>1</v>
      </c>
      <c r="D1094" s="354">
        <v>0</v>
      </c>
      <c r="E1094" s="354">
        <v>2</v>
      </c>
      <c r="F1094" s="354">
        <v>1</v>
      </c>
      <c r="G1094" s="354">
        <v>0</v>
      </c>
      <c r="H1094" s="354">
        <v>0</v>
      </c>
      <c r="I1094" s="354">
        <v>1</v>
      </c>
      <c r="J1094" s="354">
        <v>1</v>
      </c>
      <c r="K1094" s="354">
        <v>0</v>
      </c>
      <c r="L1094" s="354">
        <v>0</v>
      </c>
      <c r="M1094" s="355">
        <v>4</v>
      </c>
      <c r="N1094" s="355">
        <v>2</v>
      </c>
    </row>
    <row r="1095" spans="1:14" hidden="1" x14ac:dyDescent="0.25">
      <c r="A1095" s="354">
        <v>0</v>
      </c>
      <c r="B1095" s="354">
        <v>0</v>
      </c>
      <c r="C1095" s="354">
        <v>0</v>
      </c>
      <c r="D1095" s="354">
        <v>0</v>
      </c>
      <c r="E1095" s="354">
        <v>2</v>
      </c>
      <c r="F1095" s="354">
        <v>1</v>
      </c>
      <c r="G1095" s="354">
        <v>1</v>
      </c>
      <c r="H1095" s="354">
        <v>2</v>
      </c>
      <c r="I1095" s="354">
        <v>1</v>
      </c>
      <c r="J1095" s="354">
        <v>1</v>
      </c>
      <c r="K1095" s="354">
        <v>0</v>
      </c>
      <c r="L1095" s="354">
        <v>0</v>
      </c>
      <c r="M1095" s="355">
        <v>4</v>
      </c>
      <c r="N1095" s="355">
        <v>4</v>
      </c>
    </row>
    <row r="1096" spans="1:14" hidden="1" x14ac:dyDescent="0.25">
      <c r="A1096" s="354">
        <v>0</v>
      </c>
      <c r="B1096" s="354">
        <v>0</v>
      </c>
      <c r="C1096" s="354">
        <v>0</v>
      </c>
      <c r="D1096" s="354">
        <v>0</v>
      </c>
      <c r="E1096" s="354">
        <v>0</v>
      </c>
      <c r="F1096" s="354">
        <v>0</v>
      </c>
      <c r="G1096" s="354">
        <v>0</v>
      </c>
      <c r="H1096" s="354">
        <v>0</v>
      </c>
      <c r="I1096" s="354">
        <v>1</v>
      </c>
      <c r="J1096" s="354">
        <v>1</v>
      </c>
      <c r="K1096" s="354">
        <v>0</v>
      </c>
      <c r="L1096" s="354">
        <v>0</v>
      </c>
      <c r="M1096" s="355">
        <v>1</v>
      </c>
      <c r="N1096" s="355">
        <v>1</v>
      </c>
    </row>
    <row r="1097" spans="1:14" hidden="1" x14ac:dyDescent="0.25">
      <c r="A1097" s="354">
        <v>0</v>
      </c>
      <c r="B1097" s="354">
        <v>0</v>
      </c>
      <c r="C1097" s="354">
        <v>1</v>
      </c>
      <c r="D1097" s="354">
        <v>0</v>
      </c>
      <c r="E1097" s="354">
        <v>2</v>
      </c>
      <c r="F1097" s="354">
        <v>1</v>
      </c>
      <c r="G1097" s="354">
        <v>0</v>
      </c>
      <c r="H1097" s="354">
        <v>0</v>
      </c>
      <c r="I1097" s="354">
        <v>0</v>
      </c>
      <c r="J1097" s="354">
        <v>1</v>
      </c>
      <c r="K1097" s="354">
        <v>0</v>
      </c>
      <c r="L1097" s="354">
        <v>0</v>
      </c>
      <c r="M1097" s="355">
        <v>3</v>
      </c>
      <c r="N1097" s="355">
        <v>2</v>
      </c>
    </row>
    <row r="1098" spans="1:14" hidden="1" x14ac:dyDescent="0.25">
      <c r="A1098" s="354">
        <v>0</v>
      </c>
      <c r="B1098" s="354">
        <v>0</v>
      </c>
      <c r="C1098" s="354">
        <v>0</v>
      </c>
      <c r="D1098" s="354">
        <v>1</v>
      </c>
      <c r="E1098" s="354">
        <v>1</v>
      </c>
      <c r="F1098" s="354">
        <v>1</v>
      </c>
      <c r="G1098" s="354">
        <v>0</v>
      </c>
      <c r="H1098" s="354">
        <v>0</v>
      </c>
      <c r="I1098" s="354">
        <v>1</v>
      </c>
      <c r="J1098" s="354">
        <v>1</v>
      </c>
      <c r="K1098" s="354">
        <v>0</v>
      </c>
      <c r="L1098" s="354">
        <v>0</v>
      </c>
      <c r="M1098" s="355">
        <v>2</v>
      </c>
      <c r="N1098" s="355">
        <v>3</v>
      </c>
    </row>
    <row r="1099" spans="1:14" hidden="1" x14ac:dyDescent="0.25">
      <c r="A1099" s="354">
        <v>1</v>
      </c>
      <c r="B1099" s="354">
        <v>0</v>
      </c>
      <c r="C1099" s="354">
        <v>1</v>
      </c>
      <c r="D1099" s="354">
        <v>0</v>
      </c>
      <c r="E1099" s="354">
        <v>2</v>
      </c>
      <c r="F1099" s="354">
        <v>1</v>
      </c>
      <c r="G1099" s="354">
        <v>0</v>
      </c>
      <c r="H1099" s="354">
        <v>1</v>
      </c>
      <c r="I1099" s="354">
        <v>1</v>
      </c>
      <c r="J1099" s="354">
        <v>1</v>
      </c>
      <c r="K1099" s="354">
        <v>0</v>
      </c>
      <c r="L1099" s="354">
        <v>0</v>
      </c>
      <c r="M1099" s="355">
        <v>5</v>
      </c>
      <c r="N1099" s="355">
        <v>3</v>
      </c>
    </row>
    <row r="1100" spans="1:14" hidden="1" x14ac:dyDescent="0.25">
      <c r="A1100" s="354">
        <v>0</v>
      </c>
      <c r="B1100" s="354">
        <v>0</v>
      </c>
      <c r="C1100" s="354">
        <v>0</v>
      </c>
      <c r="D1100" s="354">
        <v>2</v>
      </c>
      <c r="E1100" s="354">
        <v>2</v>
      </c>
      <c r="F1100" s="354">
        <v>3</v>
      </c>
      <c r="G1100" s="354">
        <v>3</v>
      </c>
      <c r="H1100" s="354">
        <v>2</v>
      </c>
      <c r="I1100" s="354">
        <v>4</v>
      </c>
      <c r="J1100" s="354">
        <v>5</v>
      </c>
      <c r="K1100" s="354">
        <v>1</v>
      </c>
      <c r="L1100" s="354">
        <v>0</v>
      </c>
      <c r="M1100" s="355">
        <v>10</v>
      </c>
      <c r="N1100" s="355">
        <v>12</v>
      </c>
    </row>
    <row r="1101" spans="1:14" hidden="1" x14ac:dyDescent="0.25">
      <c r="A1101" s="354">
        <v>1</v>
      </c>
      <c r="B1101" s="354">
        <v>0</v>
      </c>
      <c r="C1101" s="354">
        <v>0</v>
      </c>
      <c r="D1101" s="354">
        <v>1</v>
      </c>
      <c r="E1101" s="354">
        <v>2</v>
      </c>
      <c r="F1101" s="354">
        <v>0</v>
      </c>
      <c r="G1101" s="354">
        <v>1</v>
      </c>
      <c r="H1101" s="354">
        <v>1</v>
      </c>
      <c r="I1101" s="354">
        <v>1</v>
      </c>
      <c r="J1101" s="354">
        <v>1</v>
      </c>
      <c r="K1101" s="354">
        <v>1</v>
      </c>
      <c r="L1101" s="354">
        <v>0</v>
      </c>
      <c r="M1101" s="355">
        <v>6</v>
      </c>
      <c r="N1101" s="355">
        <v>3</v>
      </c>
    </row>
    <row r="1102" spans="1:14" hidden="1" x14ac:dyDescent="0.25">
      <c r="A1102" s="354">
        <v>1</v>
      </c>
      <c r="B1102" s="354">
        <v>1</v>
      </c>
      <c r="C1102" s="354">
        <v>1</v>
      </c>
      <c r="D1102" s="354">
        <v>4</v>
      </c>
      <c r="E1102" s="354">
        <v>3</v>
      </c>
      <c r="F1102" s="354">
        <v>1</v>
      </c>
      <c r="G1102" s="354">
        <v>0</v>
      </c>
      <c r="H1102" s="354">
        <v>1</v>
      </c>
      <c r="I1102" s="354">
        <v>3</v>
      </c>
      <c r="J1102" s="354">
        <v>5</v>
      </c>
      <c r="K1102" s="354">
        <v>0</v>
      </c>
      <c r="L1102" s="354">
        <v>0</v>
      </c>
      <c r="M1102" s="355">
        <v>8</v>
      </c>
      <c r="N1102" s="355">
        <v>12</v>
      </c>
    </row>
    <row r="1103" spans="1:14" hidden="1" x14ac:dyDescent="0.25">
      <c r="A1103" s="354">
        <v>0</v>
      </c>
      <c r="B1103" s="354">
        <v>0</v>
      </c>
      <c r="C1103" s="354">
        <v>0</v>
      </c>
      <c r="D1103" s="354">
        <v>0</v>
      </c>
      <c r="E1103" s="354">
        <v>0</v>
      </c>
      <c r="F1103" s="354">
        <v>1</v>
      </c>
      <c r="G1103" s="354">
        <v>1</v>
      </c>
      <c r="H1103" s="354">
        <v>0</v>
      </c>
      <c r="I1103" s="354">
        <v>5</v>
      </c>
      <c r="J1103" s="354">
        <v>2</v>
      </c>
      <c r="K1103" s="354">
        <v>0</v>
      </c>
      <c r="L1103" s="354">
        <v>0</v>
      </c>
      <c r="M1103" s="355">
        <v>6</v>
      </c>
      <c r="N1103" s="355">
        <v>3</v>
      </c>
    </row>
    <row r="1104" spans="1:14" hidden="1" x14ac:dyDescent="0.25">
      <c r="A1104" s="354">
        <v>0</v>
      </c>
      <c r="B1104" s="354">
        <v>0</v>
      </c>
      <c r="C1104" s="354">
        <v>0</v>
      </c>
      <c r="D1104" s="354">
        <v>0</v>
      </c>
      <c r="E1104" s="354">
        <v>0</v>
      </c>
      <c r="F1104" s="354">
        <v>0</v>
      </c>
      <c r="G1104" s="354">
        <v>0</v>
      </c>
      <c r="H1104" s="354">
        <v>0</v>
      </c>
      <c r="I1104" s="354">
        <v>0</v>
      </c>
      <c r="J1104" s="354">
        <v>1</v>
      </c>
      <c r="K1104" s="354">
        <v>0</v>
      </c>
      <c r="L1104" s="354">
        <v>0</v>
      </c>
      <c r="M1104" s="355">
        <v>0</v>
      </c>
      <c r="N1104" s="355">
        <v>1</v>
      </c>
    </row>
    <row r="1105" spans="1:14" hidden="1" x14ac:dyDescent="0.25">
      <c r="A1105" s="354">
        <v>0</v>
      </c>
      <c r="B1105" s="354">
        <v>0</v>
      </c>
      <c r="C1105" s="354">
        <v>0</v>
      </c>
      <c r="D1105" s="354">
        <v>0</v>
      </c>
      <c r="E1105" s="354">
        <v>0</v>
      </c>
      <c r="F1105" s="354">
        <v>0</v>
      </c>
      <c r="G1105" s="354">
        <v>0</v>
      </c>
      <c r="H1105" s="354">
        <v>0</v>
      </c>
      <c r="I1105" s="354">
        <v>1</v>
      </c>
      <c r="J1105" s="354">
        <v>1</v>
      </c>
      <c r="K1105" s="354">
        <v>0</v>
      </c>
      <c r="L1105" s="354">
        <v>0</v>
      </c>
      <c r="M1105" s="355">
        <v>1</v>
      </c>
      <c r="N1105" s="355">
        <v>1</v>
      </c>
    </row>
    <row r="1106" spans="1:14" hidden="1" x14ac:dyDescent="0.25">
      <c r="A1106" s="354">
        <v>1</v>
      </c>
      <c r="B1106" s="354">
        <v>0</v>
      </c>
      <c r="C1106" s="354">
        <v>1</v>
      </c>
      <c r="D1106" s="354">
        <v>0</v>
      </c>
      <c r="E1106" s="354">
        <v>2</v>
      </c>
      <c r="F1106" s="354">
        <v>0</v>
      </c>
      <c r="G1106" s="354">
        <v>0</v>
      </c>
      <c r="H1106" s="354">
        <v>0</v>
      </c>
      <c r="I1106" s="354">
        <v>1</v>
      </c>
      <c r="J1106" s="354">
        <v>1</v>
      </c>
      <c r="K1106" s="354">
        <v>0</v>
      </c>
      <c r="L1106" s="354">
        <v>0</v>
      </c>
      <c r="M1106" s="355">
        <v>5</v>
      </c>
      <c r="N1106" s="355">
        <v>1</v>
      </c>
    </row>
    <row r="1107" spans="1:14" hidden="1" x14ac:dyDescent="0.25">
      <c r="A1107" s="354">
        <v>1</v>
      </c>
      <c r="B1107" s="354">
        <v>1</v>
      </c>
      <c r="C1107" s="354">
        <v>0</v>
      </c>
      <c r="D1107" s="354">
        <v>1</v>
      </c>
      <c r="E1107" s="354">
        <v>2</v>
      </c>
      <c r="F1107" s="354">
        <v>1</v>
      </c>
      <c r="G1107" s="354">
        <v>0</v>
      </c>
      <c r="H1107" s="354">
        <v>0</v>
      </c>
      <c r="I1107" s="354">
        <v>1</v>
      </c>
      <c r="J1107" s="354">
        <v>2</v>
      </c>
      <c r="K1107" s="354">
        <v>0</v>
      </c>
      <c r="L1107" s="354">
        <v>0</v>
      </c>
      <c r="M1107" s="355">
        <v>4</v>
      </c>
      <c r="N1107" s="355">
        <v>5</v>
      </c>
    </row>
    <row r="1108" spans="1:14" hidden="1" x14ac:dyDescent="0.25">
      <c r="A1108" s="354">
        <v>1</v>
      </c>
      <c r="B1108" s="354">
        <v>0</v>
      </c>
      <c r="C1108" s="354">
        <v>1</v>
      </c>
      <c r="D1108" s="354">
        <v>1</v>
      </c>
      <c r="E1108" s="354">
        <v>3</v>
      </c>
      <c r="F1108" s="354">
        <v>3</v>
      </c>
      <c r="G1108" s="354">
        <v>0</v>
      </c>
      <c r="H1108" s="354">
        <v>0</v>
      </c>
      <c r="I1108" s="354">
        <v>1</v>
      </c>
      <c r="J1108" s="354">
        <v>3</v>
      </c>
      <c r="K1108" s="354">
        <v>0</v>
      </c>
      <c r="L1108" s="354">
        <v>0</v>
      </c>
      <c r="M1108" s="355">
        <v>6</v>
      </c>
      <c r="N1108" s="355">
        <v>7</v>
      </c>
    </row>
    <row r="1109" spans="1:14" hidden="1" x14ac:dyDescent="0.25">
      <c r="A1109" s="354">
        <v>1</v>
      </c>
      <c r="B1109" s="354">
        <v>0</v>
      </c>
      <c r="C1109" s="354">
        <v>0</v>
      </c>
      <c r="D1109" s="354">
        <v>0</v>
      </c>
      <c r="E1109" s="354">
        <v>0</v>
      </c>
      <c r="F1109" s="354">
        <v>0</v>
      </c>
      <c r="G1109" s="354">
        <v>0</v>
      </c>
      <c r="H1109" s="354">
        <v>0</v>
      </c>
      <c r="I1109" s="354">
        <v>1</v>
      </c>
      <c r="J1109" s="354">
        <v>1</v>
      </c>
      <c r="K1109" s="354">
        <v>0</v>
      </c>
      <c r="L1109" s="354">
        <v>0</v>
      </c>
      <c r="M1109" s="355">
        <v>2</v>
      </c>
      <c r="N1109" s="355">
        <v>1</v>
      </c>
    </row>
    <row r="1110" spans="1:14" hidden="1" x14ac:dyDescent="0.25">
      <c r="A1110" s="354">
        <v>0</v>
      </c>
      <c r="B1110" s="354">
        <v>0</v>
      </c>
      <c r="C1110" s="354">
        <v>1</v>
      </c>
      <c r="D1110" s="354">
        <v>1</v>
      </c>
      <c r="E1110" s="354">
        <v>0</v>
      </c>
      <c r="F1110" s="354">
        <v>0</v>
      </c>
      <c r="G1110" s="354">
        <v>0</v>
      </c>
      <c r="H1110" s="354">
        <v>0</v>
      </c>
      <c r="I1110" s="354">
        <v>1</v>
      </c>
      <c r="J1110" s="354">
        <v>1</v>
      </c>
      <c r="K1110" s="354">
        <v>0</v>
      </c>
      <c r="L1110" s="354">
        <v>0</v>
      </c>
      <c r="M1110" s="355">
        <v>2</v>
      </c>
      <c r="N1110" s="355">
        <v>2</v>
      </c>
    </row>
    <row r="1111" spans="1:14" hidden="1" x14ac:dyDescent="0.25">
      <c r="A1111" s="354">
        <v>0</v>
      </c>
      <c r="B1111" s="354">
        <v>0</v>
      </c>
      <c r="C1111" s="354">
        <v>1</v>
      </c>
      <c r="D1111" s="354">
        <v>1</v>
      </c>
      <c r="E1111" s="354">
        <v>0</v>
      </c>
      <c r="F1111" s="354">
        <v>1</v>
      </c>
      <c r="G1111" s="354">
        <v>0</v>
      </c>
      <c r="H1111" s="354">
        <v>0</v>
      </c>
      <c r="I1111" s="354">
        <v>1</v>
      </c>
      <c r="J1111" s="354">
        <v>1</v>
      </c>
      <c r="K1111" s="354">
        <v>0</v>
      </c>
      <c r="L1111" s="354">
        <v>0</v>
      </c>
      <c r="M1111" s="355">
        <v>2</v>
      </c>
      <c r="N1111" s="355">
        <v>3</v>
      </c>
    </row>
    <row r="1112" spans="1:14" hidden="1" x14ac:dyDescent="0.25">
      <c r="A1112" s="354">
        <v>1</v>
      </c>
      <c r="B1112" s="354">
        <v>0</v>
      </c>
      <c r="C1112" s="354">
        <v>1</v>
      </c>
      <c r="D1112" s="354">
        <v>0</v>
      </c>
      <c r="E1112" s="354">
        <v>1</v>
      </c>
      <c r="F1112" s="354">
        <v>0</v>
      </c>
      <c r="G1112" s="354">
        <v>0</v>
      </c>
      <c r="H1112" s="354">
        <v>0</v>
      </c>
      <c r="I1112" s="354">
        <v>1</v>
      </c>
      <c r="J1112" s="354">
        <v>1</v>
      </c>
      <c r="K1112" s="354">
        <v>0</v>
      </c>
      <c r="L1112" s="354">
        <v>0</v>
      </c>
      <c r="M1112" s="355">
        <v>4</v>
      </c>
      <c r="N1112" s="355">
        <v>1</v>
      </c>
    </row>
    <row r="1113" spans="1:14" hidden="1" x14ac:dyDescent="0.25">
      <c r="A1113" s="354">
        <v>0</v>
      </c>
      <c r="B1113" s="354">
        <v>0</v>
      </c>
      <c r="C1113" s="354">
        <v>1</v>
      </c>
      <c r="D1113" s="354">
        <v>2</v>
      </c>
      <c r="E1113" s="354">
        <v>1</v>
      </c>
      <c r="F1113" s="354">
        <v>1</v>
      </c>
      <c r="G1113" s="354">
        <v>0</v>
      </c>
      <c r="H1113" s="354">
        <v>0</v>
      </c>
      <c r="I1113" s="354">
        <v>0</v>
      </c>
      <c r="J1113" s="354">
        <v>1</v>
      </c>
      <c r="K1113" s="354">
        <v>0</v>
      </c>
      <c r="L1113" s="354">
        <v>1</v>
      </c>
      <c r="M1113" s="355">
        <v>2</v>
      </c>
      <c r="N1113" s="355">
        <v>5</v>
      </c>
    </row>
    <row r="1114" spans="1:14" hidden="1" x14ac:dyDescent="0.25">
      <c r="A1114" s="354">
        <v>0</v>
      </c>
      <c r="B1114" s="354">
        <v>1</v>
      </c>
      <c r="C1114" s="354">
        <v>1</v>
      </c>
      <c r="D1114" s="354">
        <v>0</v>
      </c>
      <c r="E1114" s="354">
        <v>0</v>
      </c>
      <c r="F1114" s="354">
        <v>1</v>
      </c>
      <c r="G1114" s="354">
        <v>0</v>
      </c>
      <c r="H1114" s="354">
        <v>0</v>
      </c>
      <c r="I1114" s="354">
        <v>1</v>
      </c>
      <c r="J1114" s="354">
        <v>1</v>
      </c>
      <c r="K1114" s="354">
        <v>0</v>
      </c>
      <c r="L1114" s="354">
        <v>0</v>
      </c>
      <c r="M1114" s="355">
        <v>2</v>
      </c>
      <c r="N1114" s="355">
        <v>3</v>
      </c>
    </row>
    <row r="1115" spans="1:14" hidden="1" x14ac:dyDescent="0.25">
      <c r="A1115" s="354">
        <v>1</v>
      </c>
      <c r="B1115" s="354">
        <v>1</v>
      </c>
      <c r="C1115" s="354">
        <v>0</v>
      </c>
      <c r="D1115" s="354">
        <v>1</v>
      </c>
      <c r="E1115" s="354">
        <v>1</v>
      </c>
      <c r="F1115" s="354">
        <v>1</v>
      </c>
      <c r="G1115" s="354">
        <v>1</v>
      </c>
      <c r="H1115" s="354">
        <v>1</v>
      </c>
      <c r="I1115" s="354">
        <v>1</v>
      </c>
      <c r="J1115" s="354">
        <v>1</v>
      </c>
      <c r="K1115" s="354">
        <v>0</v>
      </c>
      <c r="L1115" s="354">
        <v>1</v>
      </c>
      <c r="M1115" s="355">
        <v>4</v>
      </c>
      <c r="N1115" s="355">
        <v>6</v>
      </c>
    </row>
    <row r="1116" spans="1:14" hidden="1" x14ac:dyDescent="0.25">
      <c r="A1116" s="354">
        <v>1</v>
      </c>
      <c r="B1116" s="354">
        <v>0</v>
      </c>
      <c r="C1116" s="354">
        <v>1</v>
      </c>
      <c r="D1116" s="354">
        <v>1</v>
      </c>
      <c r="E1116" s="354">
        <v>0</v>
      </c>
      <c r="F1116" s="354">
        <v>0</v>
      </c>
      <c r="G1116" s="354">
        <v>0</v>
      </c>
      <c r="H1116" s="354">
        <v>0</v>
      </c>
      <c r="I1116" s="354">
        <v>1</v>
      </c>
      <c r="J1116" s="354">
        <v>1</v>
      </c>
      <c r="K1116" s="354">
        <v>0</v>
      </c>
      <c r="L1116" s="354">
        <v>0</v>
      </c>
      <c r="M1116" s="355">
        <v>3</v>
      </c>
      <c r="N1116" s="355">
        <v>2</v>
      </c>
    </row>
    <row r="1117" spans="1:14" hidden="1" x14ac:dyDescent="0.25">
      <c r="A1117" s="354">
        <v>1</v>
      </c>
      <c r="B1117" s="354">
        <v>0</v>
      </c>
      <c r="C1117" s="354">
        <v>1</v>
      </c>
      <c r="D1117" s="354">
        <v>0</v>
      </c>
      <c r="E1117" s="354">
        <v>1</v>
      </c>
      <c r="F1117" s="354">
        <v>1</v>
      </c>
      <c r="G1117" s="354">
        <v>0</v>
      </c>
      <c r="H1117" s="354">
        <v>0</v>
      </c>
      <c r="I1117" s="354">
        <v>1</v>
      </c>
      <c r="J1117" s="354">
        <v>2</v>
      </c>
      <c r="K1117" s="354">
        <v>0</v>
      </c>
      <c r="L1117" s="354">
        <v>0</v>
      </c>
      <c r="M1117" s="355">
        <v>4</v>
      </c>
      <c r="N1117" s="355">
        <v>3</v>
      </c>
    </row>
    <row r="1118" spans="1:14" hidden="1" x14ac:dyDescent="0.25">
      <c r="A1118" s="354">
        <v>0</v>
      </c>
      <c r="B1118" s="354">
        <v>1</v>
      </c>
      <c r="C1118" s="354">
        <v>0</v>
      </c>
      <c r="D1118" s="354">
        <v>1</v>
      </c>
      <c r="E1118" s="354">
        <v>1</v>
      </c>
      <c r="F1118" s="354">
        <v>1</v>
      </c>
      <c r="G1118" s="354">
        <v>0</v>
      </c>
      <c r="H1118" s="354">
        <v>0</v>
      </c>
      <c r="I1118" s="354">
        <v>1</v>
      </c>
      <c r="J1118" s="354">
        <v>1</v>
      </c>
      <c r="K1118" s="354">
        <v>0</v>
      </c>
      <c r="L1118" s="354">
        <v>0</v>
      </c>
      <c r="M1118" s="355">
        <v>2</v>
      </c>
      <c r="N1118" s="355">
        <v>4</v>
      </c>
    </row>
    <row r="1119" spans="1:14" hidden="1" x14ac:dyDescent="0.25">
      <c r="A1119" s="354">
        <v>0</v>
      </c>
      <c r="B1119" s="354">
        <v>0</v>
      </c>
      <c r="C1119" s="354">
        <v>0</v>
      </c>
      <c r="D1119" s="354">
        <v>1</v>
      </c>
      <c r="E1119" s="354">
        <v>1</v>
      </c>
      <c r="F1119" s="354">
        <v>0</v>
      </c>
      <c r="G1119" s="354">
        <v>0</v>
      </c>
      <c r="H1119" s="354">
        <v>0</v>
      </c>
      <c r="I1119" s="354">
        <v>1</v>
      </c>
      <c r="J1119" s="354">
        <v>1</v>
      </c>
      <c r="K1119" s="354">
        <v>0</v>
      </c>
      <c r="L1119" s="354">
        <v>0</v>
      </c>
      <c r="M1119" s="355">
        <v>2</v>
      </c>
      <c r="N1119" s="355">
        <v>2</v>
      </c>
    </row>
    <row r="1120" spans="1:14" hidden="1" x14ac:dyDescent="0.25">
      <c r="A1120" s="354">
        <v>0</v>
      </c>
      <c r="B1120" s="354">
        <v>0</v>
      </c>
      <c r="C1120" s="354">
        <v>0</v>
      </c>
      <c r="D1120" s="354">
        <v>1</v>
      </c>
      <c r="E1120" s="354">
        <v>0</v>
      </c>
      <c r="F1120" s="354">
        <v>2</v>
      </c>
      <c r="G1120" s="354">
        <v>0</v>
      </c>
      <c r="H1120" s="354">
        <v>0</v>
      </c>
      <c r="I1120" s="354">
        <v>0</v>
      </c>
      <c r="J1120" s="354">
        <v>1</v>
      </c>
      <c r="K1120" s="354">
        <v>0</v>
      </c>
      <c r="L1120" s="354">
        <v>0</v>
      </c>
      <c r="M1120" s="355">
        <v>0</v>
      </c>
      <c r="N1120" s="355">
        <v>4</v>
      </c>
    </row>
    <row r="1121" spans="1:14" hidden="1" x14ac:dyDescent="0.25">
      <c r="A1121" s="354">
        <v>0</v>
      </c>
      <c r="B1121" s="354">
        <v>0</v>
      </c>
      <c r="C1121" s="354">
        <v>1</v>
      </c>
      <c r="D1121" s="354">
        <v>0</v>
      </c>
      <c r="E1121" s="354">
        <v>0</v>
      </c>
      <c r="F1121" s="354">
        <v>0</v>
      </c>
      <c r="G1121" s="354">
        <v>0</v>
      </c>
      <c r="H1121" s="354">
        <v>0</v>
      </c>
      <c r="I1121" s="354">
        <v>1</v>
      </c>
      <c r="J1121" s="354">
        <v>1</v>
      </c>
      <c r="K1121" s="354">
        <v>0</v>
      </c>
      <c r="L1121" s="354">
        <v>0</v>
      </c>
      <c r="M1121" s="355">
        <v>2</v>
      </c>
      <c r="N1121" s="355">
        <v>1</v>
      </c>
    </row>
    <row r="1122" spans="1:14" hidden="1" x14ac:dyDescent="0.25">
      <c r="A1122" s="354">
        <v>1</v>
      </c>
      <c r="B1122" s="354">
        <v>0</v>
      </c>
      <c r="C1122" s="354">
        <v>1</v>
      </c>
      <c r="D1122" s="354">
        <v>1</v>
      </c>
      <c r="E1122" s="354">
        <v>0</v>
      </c>
      <c r="F1122" s="354">
        <v>0</v>
      </c>
      <c r="G1122" s="354">
        <v>0</v>
      </c>
      <c r="H1122" s="354">
        <v>0</v>
      </c>
      <c r="I1122" s="354">
        <v>1</v>
      </c>
      <c r="J1122" s="354">
        <v>1</v>
      </c>
      <c r="K1122" s="354">
        <v>0</v>
      </c>
      <c r="L1122" s="354">
        <v>0</v>
      </c>
      <c r="M1122" s="355">
        <v>3</v>
      </c>
      <c r="N1122" s="355">
        <v>2</v>
      </c>
    </row>
    <row r="1123" spans="1:14" hidden="1" x14ac:dyDescent="0.25">
      <c r="A1123" s="354">
        <v>1</v>
      </c>
      <c r="B1123" s="354">
        <v>0</v>
      </c>
      <c r="C1123" s="354">
        <v>1</v>
      </c>
      <c r="D1123" s="354">
        <v>0</v>
      </c>
      <c r="E1123" s="354">
        <v>0</v>
      </c>
      <c r="F1123" s="354">
        <v>0</v>
      </c>
      <c r="G1123" s="354">
        <v>0</v>
      </c>
      <c r="H1123" s="354">
        <v>0</v>
      </c>
      <c r="I1123" s="354">
        <v>1</v>
      </c>
      <c r="J1123" s="354">
        <v>1</v>
      </c>
      <c r="K1123" s="354">
        <v>0</v>
      </c>
      <c r="L1123" s="354">
        <v>0</v>
      </c>
      <c r="M1123" s="355">
        <v>3</v>
      </c>
      <c r="N1123" s="355">
        <v>1</v>
      </c>
    </row>
    <row r="1124" spans="1:14" hidden="1" x14ac:dyDescent="0.25">
      <c r="A1124" s="354">
        <v>1</v>
      </c>
      <c r="B1124" s="354">
        <v>0</v>
      </c>
      <c r="C1124" s="354">
        <v>0</v>
      </c>
      <c r="D1124" s="354">
        <v>0</v>
      </c>
      <c r="E1124" s="354">
        <v>0</v>
      </c>
      <c r="F1124" s="354">
        <v>1</v>
      </c>
      <c r="G1124" s="354">
        <v>1</v>
      </c>
      <c r="H1124" s="354">
        <v>0</v>
      </c>
      <c r="I1124" s="354">
        <v>1</v>
      </c>
      <c r="J1124" s="354">
        <v>1</v>
      </c>
      <c r="K1124" s="354">
        <v>0</v>
      </c>
      <c r="L1124" s="354">
        <v>0</v>
      </c>
      <c r="M1124" s="355">
        <v>3</v>
      </c>
      <c r="N1124" s="355">
        <v>2</v>
      </c>
    </row>
    <row r="1125" spans="1:14" hidden="1" x14ac:dyDescent="0.25">
      <c r="A1125" s="354">
        <v>1</v>
      </c>
      <c r="B1125" s="354">
        <v>0</v>
      </c>
      <c r="C1125" s="354">
        <v>0</v>
      </c>
      <c r="D1125" s="354">
        <v>1</v>
      </c>
      <c r="E1125" s="354">
        <v>0</v>
      </c>
      <c r="F1125" s="354">
        <v>0</v>
      </c>
      <c r="G1125" s="354">
        <v>0</v>
      </c>
      <c r="H1125" s="354">
        <v>1</v>
      </c>
      <c r="I1125" s="354">
        <v>1</v>
      </c>
      <c r="J1125" s="354">
        <v>1</v>
      </c>
      <c r="K1125" s="354">
        <v>0</v>
      </c>
      <c r="L1125" s="354">
        <v>0</v>
      </c>
      <c r="M1125" s="355">
        <v>2</v>
      </c>
      <c r="N1125" s="355">
        <v>3</v>
      </c>
    </row>
    <row r="1126" spans="1:14" hidden="1" x14ac:dyDescent="0.25">
      <c r="A1126" s="354">
        <v>1</v>
      </c>
      <c r="B1126" s="354">
        <v>0</v>
      </c>
      <c r="C1126" s="354">
        <v>0</v>
      </c>
      <c r="D1126" s="354">
        <v>1</v>
      </c>
      <c r="E1126" s="354">
        <v>2</v>
      </c>
      <c r="F1126" s="354">
        <v>1</v>
      </c>
      <c r="G1126" s="354">
        <v>0</v>
      </c>
      <c r="H1126" s="354">
        <v>0</v>
      </c>
      <c r="I1126" s="354">
        <v>1</v>
      </c>
      <c r="J1126" s="354">
        <v>1</v>
      </c>
      <c r="K1126" s="354">
        <v>0</v>
      </c>
      <c r="L1126" s="354">
        <v>0</v>
      </c>
      <c r="M1126" s="355">
        <v>4</v>
      </c>
      <c r="N1126" s="355">
        <v>3</v>
      </c>
    </row>
    <row r="1127" spans="1:14" hidden="1" x14ac:dyDescent="0.25">
      <c r="A1127" s="354">
        <v>2</v>
      </c>
      <c r="B1127" s="354">
        <v>0</v>
      </c>
      <c r="C1127" s="354">
        <v>1</v>
      </c>
      <c r="D1127" s="354">
        <v>1</v>
      </c>
      <c r="E1127" s="354">
        <v>0</v>
      </c>
      <c r="F1127" s="354">
        <v>0</v>
      </c>
      <c r="G1127" s="354">
        <v>0</v>
      </c>
      <c r="H1127" s="354">
        <v>0</v>
      </c>
      <c r="I1127" s="354">
        <v>1</v>
      </c>
      <c r="J1127" s="354">
        <v>2</v>
      </c>
      <c r="K1127" s="354">
        <v>0</v>
      </c>
      <c r="L1127" s="354">
        <v>0</v>
      </c>
      <c r="M1127" s="355">
        <v>4</v>
      </c>
      <c r="N1127" s="355">
        <v>3</v>
      </c>
    </row>
    <row r="1128" spans="1:14" hidden="1" x14ac:dyDescent="0.25">
      <c r="A1128" s="354">
        <v>0</v>
      </c>
      <c r="B1128" s="354">
        <v>1</v>
      </c>
      <c r="C1128" s="354">
        <v>1</v>
      </c>
      <c r="D1128" s="354">
        <v>1</v>
      </c>
      <c r="E1128" s="354">
        <v>0</v>
      </c>
      <c r="F1128" s="354">
        <v>0</v>
      </c>
      <c r="G1128" s="354">
        <v>0</v>
      </c>
      <c r="H1128" s="354">
        <v>0</v>
      </c>
      <c r="I1128" s="354">
        <v>1</v>
      </c>
      <c r="J1128" s="354">
        <v>1</v>
      </c>
      <c r="K1128" s="354">
        <v>0</v>
      </c>
      <c r="L1128" s="354">
        <v>0</v>
      </c>
      <c r="M1128" s="355">
        <v>2</v>
      </c>
      <c r="N1128" s="355">
        <v>3</v>
      </c>
    </row>
    <row r="1129" spans="1:14" hidden="1" x14ac:dyDescent="0.25">
      <c r="A1129" s="354">
        <v>0</v>
      </c>
      <c r="B1129" s="354">
        <v>0</v>
      </c>
      <c r="C1129" s="354">
        <v>0</v>
      </c>
      <c r="D1129" s="354">
        <v>0</v>
      </c>
      <c r="E1129" s="354">
        <v>1</v>
      </c>
      <c r="F1129" s="354">
        <v>1</v>
      </c>
      <c r="G1129" s="354">
        <v>1</v>
      </c>
      <c r="H1129" s="354">
        <v>0</v>
      </c>
      <c r="I1129" s="354">
        <v>1</v>
      </c>
      <c r="J1129" s="354">
        <v>1</v>
      </c>
      <c r="K1129" s="354">
        <v>0</v>
      </c>
      <c r="L1129" s="354">
        <v>0</v>
      </c>
      <c r="M1129" s="355">
        <v>3</v>
      </c>
      <c r="N1129" s="355">
        <v>2</v>
      </c>
    </row>
    <row r="1130" spans="1:14" hidden="1" x14ac:dyDescent="0.25">
      <c r="A1130" s="354">
        <v>0</v>
      </c>
      <c r="B1130" s="354">
        <v>0</v>
      </c>
      <c r="C1130" s="354">
        <v>0</v>
      </c>
      <c r="D1130" s="354">
        <v>0</v>
      </c>
      <c r="E1130" s="354">
        <v>0</v>
      </c>
      <c r="F1130" s="354">
        <v>0</v>
      </c>
      <c r="G1130" s="354">
        <v>0</v>
      </c>
      <c r="H1130" s="354">
        <v>0</v>
      </c>
      <c r="I1130" s="354">
        <v>1</v>
      </c>
      <c r="J1130" s="354">
        <v>1</v>
      </c>
      <c r="K1130" s="354">
        <v>0</v>
      </c>
      <c r="L1130" s="354">
        <v>0</v>
      </c>
      <c r="M1130" s="355">
        <v>1</v>
      </c>
      <c r="N1130" s="355">
        <v>1</v>
      </c>
    </row>
    <row r="1131" spans="1:14" hidden="1" x14ac:dyDescent="0.25">
      <c r="A1131" s="354">
        <v>0</v>
      </c>
      <c r="B1131" s="354">
        <v>1</v>
      </c>
      <c r="C1131" s="354">
        <v>0</v>
      </c>
      <c r="D1131" s="354">
        <v>0</v>
      </c>
      <c r="E1131" s="354">
        <v>1</v>
      </c>
      <c r="F1131" s="354">
        <v>0</v>
      </c>
      <c r="G1131" s="354">
        <v>0</v>
      </c>
      <c r="H1131" s="354">
        <v>0</v>
      </c>
      <c r="I1131" s="354">
        <v>1</v>
      </c>
      <c r="J1131" s="354">
        <v>1</v>
      </c>
      <c r="K1131" s="354">
        <v>0</v>
      </c>
      <c r="L1131" s="354">
        <v>0</v>
      </c>
      <c r="M1131" s="355">
        <v>2</v>
      </c>
      <c r="N1131" s="355">
        <v>2</v>
      </c>
    </row>
    <row r="1132" spans="1:14" hidden="1" x14ac:dyDescent="0.25">
      <c r="A1132" s="354">
        <v>0</v>
      </c>
      <c r="B1132" s="354">
        <v>0</v>
      </c>
      <c r="C1132" s="354">
        <v>1</v>
      </c>
      <c r="D1132" s="354">
        <v>0</v>
      </c>
      <c r="E1132" s="354">
        <v>1</v>
      </c>
      <c r="F1132" s="354">
        <v>0</v>
      </c>
      <c r="G1132" s="354">
        <v>0</v>
      </c>
      <c r="H1132" s="354">
        <v>0</v>
      </c>
      <c r="I1132" s="354">
        <v>1</v>
      </c>
      <c r="J1132" s="354">
        <v>0</v>
      </c>
      <c r="K1132" s="354">
        <v>0</v>
      </c>
      <c r="L1132" s="354">
        <v>0</v>
      </c>
      <c r="M1132" s="355">
        <v>3</v>
      </c>
      <c r="N1132" s="355">
        <v>0</v>
      </c>
    </row>
    <row r="1133" spans="1:14" hidden="1" x14ac:dyDescent="0.25">
      <c r="A1133" s="354">
        <v>1</v>
      </c>
      <c r="B1133" s="354">
        <v>1</v>
      </c>
      <c r="C1133" s="354">
        <v>0</v>
      </c>
      <c r="D1133" s="354">
        <v>0</v>
      </c>
      <c r="E1133" s="354">
        <v>0</v>
      </c>
      <c r="F1133" s="354">
        <v>0</v>
      </c>
      <c r="G1133" s="354">
        <v>0</v>
      </c>
      <c r="H1133" s="354">
        <v>0</v>
      </c>
      <c r="I1133" s="354">
        <v>1</v>
      </c>
      <c r="J1133" s="354">
        <v>1</v>
      </c>
      <c r="K1133" s="354">
        <v>0</v>
      </c>
      <c r="L1133" s="354">
        <v>0</v>
      </c>
      <c r="M1133" s="355">
        <v>2</v>
      </c>
      <c r="N1133" s="355">
        <v>2</v>
      </c>
    </row>
    <row r="1134" spans="1:14" hidden="1" x14ac:dyDescent="0.25">
      <c r="A1134" s="354">
        <v>1</v>
      </c>
      <c r="B1134" s="354">
        <v>0</v>
      </c>
      <c r="C1134" s="354">
        <v>1</v>
      </c>
      <c r="D1134" s="354">
        <v>0</v>
      </c>
      <c r="E1134" s="354">
        <v>1</v>
      </c>
      <c r="F1134" s="354">
        <v>1</v>
      </c>
      <c r="G1134" s="354">
        <v>1</v>
      </c>
      <c r="H1134" s="354">
        <v>1</v>
      </c>
      <c r="I1134" s="354">
        <v>1</v>
      </c>
      <c r="J1134" s="354">
        <v>10</v>
      </c>
      <c r="K1134" s="354">
        <v>0</v>
      </c>
      <c r="L1134" s="354">
        <v>0</v>
      </c>
      <c r="M1134" s="355">
        <v>5</v>
      </c>
      <c r="N1134" s="355">
        <v>12</v>
      </c>
    </row>
    <row r="1135" spans="1:14" hidden="1" x14ac:dyDescent="0.25">
      <c r="A1135" s="354">
        <v>1</v>
      </c>
      <c r="B1135" s="354">
        <v>0</v>
      </c>
      <c r="C1135" s="354">
        <v>0</v>
      </c>
      <c r="D1135" s="354">
        <v>1</v>
      </c>
      <c r="E1135" s="354">
        <v>0</v>
      </c>
      <c r="F1135" s="354">
        <v>0</v>
      </c>
      <c r="G1135" s="354">
        <v>0</v>
      </c>
      <c r="H1135" s="354">
        <v>0</v>
      </c>
      <c r="I1135" s="354">
        <v>1</v>
      </c>
      <c r="J1135" s="354">
        <v>1</v>
      </c>
      <c r="K1135" s="354">
        <v>0</v>
      </c>
      <c r="L1135" s="354">
        <v>0</v>
      </c>
      <c r="M1135" s="355">
        <v>2</v>
      </c>
      <c r="N1135" s="355">
        <v>2</v>
      </c>
    </row>
    <row r="1136" spans="1:14" hidden="1" x14ac:dyDescent="0.25">
      <c r="A1136" s="354">
        <v>1</v>
      </c>
      <c r="B1136" s="354">
        <v>0</v>
      </c>
      <c r="C1136" s="354">
        <v>1</v>
      </c>
      <c r="D1136" s="354">
        <v>0</v>
      </c>
      <c r="E1136" s="354">
        <v>1</v>
      </c>
      <c r="F1136" s="354">
        <v>0</v>
      </c>
      <c r="G1136" s="354">
        <v>1</v>
      </c>
      <c r="H1136" s="354">
        <v>0</v>
      </c>
      <c r="I1136" s="354">
        <v>1</v>
      </c>
      <c r="J1136" s="354">
        <v>10</v>
      </c>
      <c r="K1136" s="354">
        <v>0</v>
      </c>
      <c r="L1136" s="354">
        <v>0</v>
      </c>
      <c r="M1136" s="355">
        <v>5</v>
      </c>
      <c r="N1136" s="355">
        <v>10</v>
      </c>
    </row>
    <row r="1137" spans="1:14" hidden="1" x14ac:dyDescent="0.25">
      <c r="A1137" s="354">
        <v>1</v>
      </c>
      <c r="B1137" s="354">
        <v>0</v>
      </c>
      <c r="C1137" s="354">
        <v>1</v>
      </c>
      <c r="D1137" s="354">
        <v>0</v>
      </c>
      <c r="E1137" s="354">
        <v>1</v>
      </c>
      <c r="F1137" s="354">
        <v>1</v>
      </c>
      <c r="G1137" s="354">
        <v>0</v>
      </c>
      <c r="H1137" s="354">
        <v>0</v>
      </c>
      <c r="I1137" s="354">
        <v>1</v>
      </c>
      <c r="J1137" s="354">
        <v>1</v>
      </c>
      <c r="K1137" s="354">
        <v>0</v>
      </c>
      <c r="L1137" s="354">
        <v>0</v>
      </c>
      <c r="M1137" s="355">
        <v>4</v>
      </c>
      <c r="N1137" s="355">
        <v>2</v>
      </c>
    </row>
    <row r="1138" spans="1:14" hidden="1" x14ac:dyDescent="0.25">
      <c r="A1138" s="354">
        <v>0</v>
      </c>
      <c r="B1138" s="354">
        <v>1</v>
      </c>
      <c r="C1138" s="354">
        <v>1</v>
      </c>
      <c r="D1138" s="354">
        <v>0</v>
      </c>
      <c r="E1138" s="354">
        <v>0</v>
      </c>
      <c r="F1138" s="354">
        <v>1</v>
      </c>
      <c r="G1138" s="354">
        <v>0</v>
      </c>
      <c r="H1138" s="354">
        <v>0</v>
      </c>
      <c r="I1138" s="354">
        <v>1</v>
      </c>
      <c r="J1138" s="354">
        <v>2</v>
      </c>
      <c r="K1138" s="354">
        <v>0</v>
      </c>
      <c r="L1138" s="354">
        <v>0</v>
      </c>
      <c r="M1138" s="355">
        <v>2</v>
      </c>
      <c r="N1138" s="355">
        <v>4</v>
      </c>
    </row>
    <row r="1139" spans="1:14" hidden="1" x14ac:dyDescent="0.25">
      <c r="A1139" s="354">
        <v>1</v>
      </c>
      <c r="B1139" s="354">
        <v>0</v>
      </c>
      <c r="C1139" s="354">
        <v>1</v>
      </c>
      <c r="D1139" s="354">
        <v>0</v>
      </c>
      <c r="E1139" s="354">
        <v>0</v>
      </c>
      <c r="F1139" s="354">
        <v>0</v>
      </c>
      <c r="G1139" s="354">
        <v>0</v>
      </c>
      <c r="H1139" s="354">
        <v>0</v>
      </c>
      <c r="I1139" s="354">
        <v>1</v>
      </c>
      <c r="J1139" s="354">
        <v>1</v>
      </c>
      <c r="K1139" s="354">
        <v>0</v>
      </c>
      <c r="L1139" s="354">
        <v>0</v>
      </c>
      <c r="M1139" s="355">
        <v>3</v>
      </c>
      <c r="N1139" s="355">
        <v>1</v>
      </c>
    </row>
    <row r="1140" spans="1:14" hidden="1" x14ac:dyDescent="0.25">
      <c r="A1140" s="354">
        <v>0</v>
      </c>
      <c r="B1140" s="354">
        <v>0</v>
      </c>
      <c r="C1140" s="354">
        <v>0</v>
      </c>
      <c r="D1140" s="354">
        <v>1</v>
      </c>
      <c r="E1140" s="354">
        <v>0</v>
      </c>
      <c r="F1140" s="354">
        <v>2</v>
      </c>
      <c r="G1140" s="354">
        <v>1</v>
      </c>
      <c r="H1140" s="354">
        <v>0</v>
      </c>
      <c r="I1140" s="354">
        <v>1</v>
      </c>
      <c r="J1140" s="354">
        <v>1</v>
      </c>
      <c r="K1140" s="354">
        <v>0</v>
      </c>
      <c r="L1140" s="354">
        <v>0</v>
      </c>
      <c r="M1140" s="355">
        <v>2</v>
      </c>
      <c r="N1140" s="355">
        <v>4</v>
      </c>
    </row>
    <row r="1141" spans="1:14" hidden="1" x14ac:dyDescent="0.25">
      <c r="A1141" s="354">
        <v>1</v>
      </c>
      <c r="B1141" s="354">
        <v>0</v>
      </c>
      <c r="C1141" s="354">
        <v>0</v>
      </c>
      <c r="D1141" s="354">
        <v>1</v>
      </c>
      <c r="E1141" s="354">
        <v>0</v>
      </c>
      <c r="F1141" s="354">
        <v>0</v>
      </c>
      <c r="G1141" s="354">
        <v>0</v>
      </c>
      <c r="H1141" s="354">
        <v>0</v>
      </c>
      <c r="I1141" s="354">
        <v>6</v>
      </c>
      <c r="J1141" s="354">
        <v>3</v>
      </c>
      <c r="K1141" s="354">
        <v>0</v>
      </c>
      <c r="L1141" s="354">
        <v>0</v>
      </c>
      <c r="M1141" s="355">
        <v>7</v>
      </c>
      <c r="N1141" s="355">
        <v>4</v>
      </c>
    </row>
    <row r="1142" spans="1:14" hidden="1" x14ac:dyDescent="0.25">
      <c r="A1142" s="354">
        <v>0</v>
      </c>
      <c r="B1142" s="354">
        <v>0</v>
      </c>
      <c r="C1142" s="354">
        <v>1</v>
      </c>
      <c r="D1142" s="354">
        <v>1</v>
      </c>
      <c r="E1142" s="354">
        <v>1</v>
      </c>
      <c r="F1142" s="354">
        <v>0</v>
      </c>
      <c r="G1142" s="354">
        <v>0</v>
      </c>
      <c r="H1142" s="354">
        <v>0</v>
      </c>
      <c r="I1142" s="354">
        <v>1</v>
      </c>
      <c r="J1142" s="354">
        <v>1</v>
      </c>
      <c r="K1142" s="354">
        <v>0</v>
      </c>
      <c r="L1142" s="354">
        <v>0</v>
      </c>
      <c r="M1142" s="355">
        <v>3</v>
      </c>
      <c r="N1142" s="355">
        <v>2</v>
      </c>
    </row>
    <row r="1143" spans="1:14" hidden="1" x14ac:dyDescent="0.25">
      <c r="A1143" s="354">
        <v>1</v>
      </c>
      <c r="B1143" s="354">
        <v>0</v>
      </c>
      <c r="C1143" s="354">
        <v>0</v>
      </c>
      <c r="D1143" s="354">
        <v>1</v>
      </c>
      <c r="E1143" s="354">
        <v>0</v>
      </c>
      <c r="F1143" s="354">
        <v>0</v>
      </c>
      <c r="G1143" s="354">
        <v>0</v>
      </c>
      <c r="H1143" s="354">
        <v>0</v>
      </c>
      <c r="I1143" s="354">
        <v>1</v>
      </c>
      <c r="J1143" s="354">
        <v>1</v>
      </c>
      <c r="K1143" s="354">
        <v>0</v>
      </c>
      <c r="L1143" s="354">
        <v>0</v>
      </c>
      <c r="M1143" s="355">
        <v>2</v>
      </c>
      <c r="N1143" s="355">
        <v>2</v>
      </c>
    </row>
    <row r="1144" spans="1:14" hidden="1" x14ac:dyDescent="0.25">
      <c r="A1144" s="354">
        <v>0</v>
      </c>
      <c r="B1144" s="354">
        <v>1</v>
      </c>
      <c r="C1144" s="354">
        <v>2</v>
      </c>
      <c r="D1144" s="354">
        <v>0</v>
      </c>
      <c r="E1144" s="354">
        <v>0</v>
      </c>
      <c r="F1144" s="354">
        <v>0</v>
      </c>
      <c r="G1144" s="354">
        <v>0</v>
      </c>
      <c r="H1144" s="354">
        <v>0</v>
      </c>
      <c r="I1144" s="354">
        <v>1</v>
      </c>
      <c r="J1144" s="354">
        <v>1</v>
      </c>
      <c r="K1144" s="354">
        <v>0</v>
      </c>
      <c r="L1144" s="354">
        <v>0</v>
      </c>
      <c r="M1144" s="355">
        <v>3</v>
      </c>
      <c r="N1144" s="355">
        <v>2</v>
      </c>
    </row>
    <row r="1145" spans="1:14" hidden="1" x14ac:dyDescent="0.25">
      <c r="A1145" s="354">
        <v>0</v>
      </c>
      <c r="B1145" s="354">
        <v>1</v>
      </c>
      <c r="C1145" s="354">
        <v>0</v>
      </c>
      <c r="D1145" s="354">
        <v>1</v>
      </c>
      <c r="E1145" s="354">
        <v>0</v>
      </c>
      <c r="F1145" s="354">
        <v>1</v>
      </c>
      <c r="G1145" s="354">
        <v>3</v>
      </c>
      <c r="H1145" s="354">
        <v>0</v>
      </c>
      <c r="I1145" s="354">
        <v>1</v>
      </c>
      <c r="J1145" s="354">
        <v>1</v>
      </c>
      <c r="K1145" s="354">
        <v>0</v>
      </c>
      <c r="L1145" s="354">
        <v>0</v>
      </c>
      <c r="M1145" s="355">
        <v>4</v>
      </c>
      <c r="N1145" s="355">
        <v>4</v>
      </c>
    </row>
    <row r="1146" spans="1:14" hidden="1" x14ac:dyDescent="0.25">
      <c r="A1146" s="354">
        <v>0</v>
      </c>
      <c r="B1146" s="354">
        <v>0</v>
      </c>
      <c r="C1146" s="354">
        <v>2</v>
      </c>
      <c r="D1146" s="354">
        <v>0</v>
      </c>
      <c r="E1146" s="354">
        <v>0</v>
      </c>
      <c r="F1146" s="354">
        <v>2</v>
      </c>
      <c r="G1146" s="354">
        <v>0</v>
      </c>
      <c r="H1146" s="354">
        <v>0</v>
      </c>
      <c r="I1146" s="354">
        <v>0</v>
      </c>
      <c r="J1146" s="354">
        <v>1</v>
      </c>
      <c r="K1146" s="354">
        <v>0</v>
      </c>
      <c r="L1146" s="354">
        <v>0</v>
      </c>
      <c r="M1146" s="355">
        <v>2</v>
      </c>
      <c r="N1146" s="355">
        <v>3</v>
      </c>
    </row>
    <row r="1147" spans="1:14" hidden="1" x14ac:dyDescent="0.25">
      <c r="A1147" s="354">
        <v>1</v>
      </c>
      <c r="B1147" s="354">
        <v>1</v>
      </c>
      <c r="C1147" s="354">
        <v>2</v>
      </c>
      <c r="D1147" s="354">
        <v>1</v>
      </c>
      <c r="E1147" s="354">
        <v>2</v>
      </c>
      <c r="F1147" s="354">
        <v>3</v>
      </c>
      <c r="G1147" s="354">
        <v>1</v>
      </c>
      <c r="H1147" s="354">
        <v>0</v>
      </c>
      <c r="I1147" s="354">
        <v>0</v>
      </c>
      <c r="J1147" s="354">
        <v>0</v>
      </c>
      <c r="K1147" s="354">
        <v>1</v>
      </c>
      <c r="L1147" s="354">
        <v>0</v>
      </c>
      <c r="M1147" s="355">
        <v>7</v>
      </c>
      <c r="N1147" s="355">
        <v>5</v>
      </c>
    </row>
    <row r="1148" spans="1:14" hidden="1" x14ac:dyDescent="0.25">
      <c r="A1148" s="354">
        <v>0</v>
      </c>
      <c r="B1148" s="354">
        <v>1</v>
      </c>
      <c r="C1148" s="354">
        <v>0</v>
      </c>
      <c r="D1148" s="354">
        <v>0</v>
      </c>
      <c r="E1148" s="354">
        <v>0</v>
      </c>
      <c r="F1148" s="354">
        <v>0</v>
      </c>
      <c r="G1148" s="354">
        <v>0</v>
      </c>
      <c r="H1148" s="354">
        <v>1</v>
      </c>
      <c r="I1148" s="354">
        <v>1</v>
      </c>
      <c r="J1148" s="354">
        <v>0</v>
      </c>
      <c r="K1148" s="354">
        <v>0</v>
      </c>
      <c r="L1148" s="354">
        <v>0</v>
      </c>
      <c r="M1148" s="355">
        <v>1</v>
      </c>
      <c r="N1148" s="355">
        <v>2</v>
      </c>
    </row>
    <row r="1149" spans="1:14" hidden="1" x14ac:dyDescent="0.25">
      <c r="A1149" s="354">
        <v>2</v>
      </c>
      <c r="B1149" s="354">
        <v>1</v>
      </c>
      <c r="C1149" s="354">
        <v>1</v>
      </c>
      <c r="D1149" s="354">
        <v>1</v>
      </c>
      <c r="E1149" s="354">
        <v>0</v>
      </c>
      <c r="F1149" s="354">
        <v>1</v>
      </c>
      <c r="G1149" s="354">
        <v>0</v>
      </c>
      <c r="H1149" s="354">
        <v>0</v>
      </c>
      <c r="I1149" s="354">
        <v>0</v>
      </c>
      <c r="J1149" s="354">
        <v>1</v>
      </c>
      <c r="K1149" s="354">
        <v>0</v>
      </c>
      <c r="L1149" s="354">
        <v>0</v>
      </c>
      <c r="M1149" s="355">
        <v>3</v>
      </c>
      <c r="N1149" s="355">
        <v>4</v>
      </c>
    </row>
    <row r="1150" spans="1:14" hidden="1" x14ac:dyDescent="0.25">
      <c r="A1150" s="354">
        <v>1</v>
      </c>
      <c r="B1150" s="354">
        <v>1</v>
      </c>
      <c r="C1150" s="354">
        <v>1</v>
      </c>
      <c r="D1150" s="354">
        <v>1</v>
      </c>
      <c r="E1150" s="354">
        <v>0</v>
      </c>
      <c r="F1150" s="354">
        <v>0</v>
      </c>
      <c r="G1150" s="354">
        <v>0</v>
      </c>
      <c r="H1150" s="354">
        <v>0</v>
      </c>
      <c r="I1150" s="354">
        <v>1</v>
      </c>
      <c r="J1150" s="354">
        <v>1</v>
      </c>
      <c r="K1150" s="354">
        <v>0</v>
      </c>
      <c r="L1150" s="354">
        <v>1</v>
      </c>
      <c r="M1150" s="355">
        <v>3</v>
      </c>
      <c r="N1150" s="355">
        <v>4</v>
      </c>
    </row>
    <row r="1151" spans="1:14" hidden="1" x14ac:dyDescent="0.25">
      <c r="A1151" s="354">
        <v>0</v>
      </c>
      <c r="B1151" s="354">
        <v>0</v>
      </c>
      <c r="C1151" s="354">
        <v>1</v>
      </c>
      <c r="D1151" s="354">
        <v>1</v>
      </c>
      <c r="E1151" s="354">
        <v>1</v>
      </c>
      <c r="F1151" s="354">
        <v>1</v>
      </c>
      <c r="G1151" s="354">
        <v>1</v>
      </c>
      <c r="H1151" s="354">
        <v>0</v>
      </c>
      <c r="I1151" s="354">
        <v>1</v>
      </c>
      <c r="J1151" s="354">
        <v>1</v>
      </c>
      <c r="K1151" s="354">
        <v>0</v>
      </c>
      <c r="L1151" s="354">
        <v>0</v>
      </c>
      <c r="M1151" s="355">
        <v>4</v>
      </c>
      <c r="N1151" s="355">
        <v>3</v>
      </c>
    </row>
    <row r="1152" spans="1:14" hidden="1" x14ac:dyDescent="0.25">
      <c r="A1152" s="354">
        <v>1</v>
      </c>
      <c r="B1152" s="354">
        <v>1</v>
      </c>
      <c r="C1152" s="354">
        <v>0</v>
      </c>
      <c r="D1152" s="354">
        <v>2</v>
      </c>
      <c r="E1152" s="354">
        <v>0</v>
      </c>
      <c r="F1152" s="354">
        <v>0</v>
      </c>
      <c r="G1152" s="354">
        <v>1</v>
      </c>
      <c r="H1152" s="354">
        <v>1</v>
      </c>
      <c r="I1152" s="354">
        <v>1</v>
      </c>
      <c r="J1152" s="354">
        <v>1</v>
      </c>
      <c r="K1152" s="354">
        <v>0</v>
      </c>
      <c r="L1152" s="354">
        <v>0</v>
      </c>
      <c r="M1152" s="355">
        <v>3</v>
      </c>
      <c r="N1152" s="355">
        <v>5</v>
      </c>
    </row>
    <row r="1153" spans="1:14" hidden="1" x14ac:dyDescent="0.25">
      <c r="A1153" s="354"/>
      <c r="B1153" s="354">
        <v>1</v>
      </c>
      <c r="C1153" s="354">
        <v>2</v>
      </c>
      <c r="D1153" s="354">
        <v>1</v>
      </c>
      <c r="E1153" s="354">
        <v>0</v>
      </c>
      <c r="F1153" s="354">
        <v>1</v>
      </c>
      <c r="G1153" s="354">
        <v>0</v>
      </c>
      <c r="H1153" s="354">
        <v>1</v>
      </c>
      <c r="I1153" s="354">
        <v>1</v>
      </c>
      <c r="J1153" s="354">
        <v>1</v>
      </c>
      <c r="K1153" s="354">
        <v>0</v>
      </c>
      <c r="L1153" s="354">
        <v>1</v>
      </c>
      <c r="M1153" s="355">
        <v>3</v>
      </c>
      <c r="N1153" s="355">
        <v>6</v>
      </c>
    </row>
    <row r="1154" spans="1:14" hidden="1" x14ac:dyDescent="0.25">
      <c r="A1154" s="354">
        <v>1</v>
      </c>
      <c r="B1154" s="354">
        <v>0</v>
      </c>
      <c r="C1154" s="354">
        <v>0</v>
      </c>
      <c r="D1154" s="354">
        <v>2</v>
      </c>
      <c r="E1154" s="354">
        <v>0</v>
      </c>
      <c r="F1154" s="354">
        <v>1</v>
      </c>
      <c r="G1154" s="354">
        <v>0</v>
      </c>
      <c r="H1154" s="354">
        <v>0</v>
      </c>
      <c r="I1154" s="354">
        <v>1</v>
      </c>
      <c r="J1154" s="354">
        <v>1</v>
      </c>
      <c r="K1154" s="354">
        <v>0</v>
      </c>
      <c r="L1154" s="354">
        <v>0</v>
      </c>
      <c r="M1154" s="355">
        <v>2</v>
      </c>
      <c r="N1154" s="355">
        <v>4</v>
      </c>
    </row>
    <row r="1155" spans="1:14" hidden="1" x14ac:dyDescent="0.25">
      <c r="A1155" s="354">
        <v>2</v>
      </c>
      <c r="B1155" s="354">
        <v>0</v>
      </c>
      <c r="C1155" s="354">
        <v>0</v>
      </c>
      <c r="D1155" s="354">
        <v>0</v>
      </c>
      <c r="E1155" s="354">
        <v>0</v>
      </c>
      <c r="F1155" s="354">
        <v>2</v>
      </c>
      <c r="G1155" s="354">
        <v>0</v>
      </c>
      <c r="H1155" s="354">
        <v>0</v>
      </c>
      <c r="I1155" s="354">
        <v>1</v>
      </c>
      <c r="J1155" s="354">
        <v>1</v>
      </c>
      <c r="K1155" s="354">
        <v>0</v>
      </c>
      <c r="L1155" s="354">
        <v>0</v>
      </c>
      <c r="M1155" s="355">
        <v>3</v>
      </c>
      <c r="N1155" s="355">
        <v>3</v>
      </c>
    </row>
    <row r="1156" spans="1:14" hidden="1" x14ac:dyDescent="0.25">
      <c r="A1156" s="354">
        <v>1</v>
      </c>
      <c r="B1156" s="354">
        <v>1</v>
      </c>
      <c r="C1156" s="354">
        <v>1</v>
      </c>
      <c r="D1156" s="354">
        <v>0</v>
      </c>
      <c r="E1156" s="354">
        <v>0</v>
      </c>
      <c r="F1156" s="354">
        <v>0</v>
      </c>
      <c r="G1156" s="354">
        <v>0</v>
      </c>
      <c r="H1156" s="354">
        <v>0</v>
      </c>
      <c r="I1156" s="354">
        <v>0</v>
      </c>
      <c r="J1156" s="354">
        <v>1</v>
      </c>
      <c r="K1156" s="354">
        <v>0</v>
      </c>
      <c r="L1156" s="354">
        <v>0</v>
      </c>
      <c r="M1156" s="355">
        <v>2</v>
      </c>
      <c r="N1156" s="355">
        <v>2</v>
      </c>
    </row>
    <row r="1157" spans="1:14" hidden="1" x14ac:dyDescent="0.25">
      <c r="A1157" s="354">
        <v>1</v>
      </c>
      <c r="B1157" s="354">
        <v>0</v>
      </c>
      <c r="C1157" s="354">
        <v>1</v>
      </c>
      <c r="D1157" s="354">
        <v>0</v>
      </c>
      <c r="E1157" s="354">
        <v>0</v>
      </c>
      <c r="F1157" s="354">
        <v>1</v>
      </c>
      <c r="G1157" s="354">
        <v>0</v>
      </c>
      <c r="H1157" s="354">
        <v>0</v>
      </c>
      <c r="I1157" s="354">
        <v>1</v>
      </c>
      <c r="J1157" s="354">
        <v>1</v>
      </c>
      <c r="K1157" s="354">
        <v>0</v>
      </c>
      <c r="L1157" s="354">
        <v>0</v>
      </c>
      <c r="M1157" s="355">
        <v>3</v>
      </c>
      <c r="N1157" s="355">
        <v>2</v>
      </c>
    </row>
    <row r="1158" spans="1:14" hidden="1" x14ac:dyDescent="0.25">
      <c r="A1158" s="354">
        <v>1</v>
      </c>
      <c r="B1158" s="354">
        <v>0</v>
      </c>
      <c r="C1158" s="354">
        <v>1</v>
      </c>
      <c r="D1158" s="354">
        <v>1</v>
      </c>
      <c r="E1158" s="354">
        <v>0</v>
      </c>
      <c r="F1158" s="354">
        <v>1</v>
      </c>
      <c r="G1158" s="354">
        <v>0</v>
      </c>
      <c r="H1158" s="354">
        <v>0</v>
      </c>
      <c r="I1158" s="354">
        <v>1</v>
      </c>
      <c r="J1158" s="354">
        <v>1</v>
      </c>
      <c r="K1158" s="354">
        <v>0</v>
      </c>
      <c r="L1158" s="354">
        <v>0</v>
      </c>
      <c r="M1158" s="355">
        <v>3</v>
      </c>
      <c r="N1158" s="355">
        <v>3</v>
      </c>
    </row>
    <row r="1159" spans="1:14" hidden="1" x14ac:dyDescent="0.25">
      <c r="A1159" s="354">
        <v>0</v>
      </c>
      <c r="B1159" s="354">
        <v>0</v>
      </c>
      <c r="C1159" s="354">
        <v>0</v>
      </c>
      <c r="D1159" s="354">
        <v>0</v>
      </c>
      <c r="E1159" s="354">
        <v>2</v>
      </c>
      <c r="F1159" s="354">
        <v>0</v>
      </c>
      <c r="G1159" s="354">
        <v>0</v>
      </c>
      <c r="H1159" s="354">
        <v>1</v>
      </c>
      <c r="I1159" s="354">
        <v>0</v>
      </c>
      <c r="J1159" s="354">
        <v>2</v>
      </c>
      <c r="K1159" s="354">
        <v>0</v>
      </c>
      <c r="L1159" s="354">
        <v>0</v>
      </c>
      <c r="M1159" s="355">
        <v>2</v>
      </c>
      <c r="N1159" s="355">
        <v>3</v>
      </c>
    </row>
    <row r="1160" spans="1:14" hidden="1" x14ac:dyDescent="0.25">
      <c r="A1160" s="354">
        <v>0</v>
      </c>
      <c r="B1160" s="354">
        <v>1</v>
      </c>
      <c r="C1160" s="354">
        <v>1</v>
      </c>
      <c r="D1160" s="354">
        <v>1</v>
      </c>
      <c r="E1160" s="354">
        <v>1</v>
      </c>
      <c r="F1160" s="354">
        <v>0</v>
      </c>
      <c r="G1160" s="354">
        <v>0</v>
      </c>
      <c r="H1160" s="354">
        <v>0</v>
      </c>
      <c r="I1160" s="354">
        <v>1</v>
      </c>
      <c r="J1160" s="354">
        <v>2</v>
      </c>
      <c r="K1160" s="354">
        <v>0</v>
      </c>
      <c r="L1160" s="354">
        <v>0</v>
      </c>
      <c r="M1160" s="355">
        <v>3</v>
      </c>
      <c r="N1160" s="355">
        <v>4</v>
      </c>
    </row>
    <row r="1161" spans="1:14" hidden="1" x14ac:dyDescent="0.25">
      <c r="A1161" s="354">
        <v>1</v>
      </c>
      <c r="B1161" s="354">
        <v>2</v>
      </c>
      <c r="C1161" s="354">
        <v>1</v>
      </c>
      <c r="D1161" s="354">
        <v>0</v>
      </c>
      <c r="E1161" s="354">
        <v>2</v>
      </c>
      <c r="F1161" s="354">
        <v>0</v>
      </c>
      <c r="G1161" s="354">
        <v>1</v>
      </c>
      <c r="H1161" s="354">
        <v>0</v>
      </c>
      <c r="I1161" s="354">
        <v>2</v>
      </c>
      <c r="J1161" s="354">
        <v>1</v>
      </c>
      <c r="K1161" s="354">
        <v>0</v>
      </c>
      <c r="L1161" s="354">
        <v>0</v>
      </c>
      <c r="M1161" s="355">
        <v>7</v>
      </c>
      <c r="N1161" s="355">
        <v>3</v>
      </c>
    </row>
    <row r="1162" spans="1:14" hidden="1" x14ac:dyDescent="0.25">
      <c r="A1162" s="354">
        <v>0</v>
      </c>
      <c r="B1162" s="354">
        <v>1</v>
      </c>
      <c r="C1162" s="354">
        <v>1</v>
      </c>
      <c r="D1162" s="354">
        <v>0</v>
      </c>
      <c r="E1162" s="354">
        <v>1</v>
      </c>
      <c r="F1162" s="354">
        <v>0</v>
      </c>
      <c r="G1162" s="354">
        <v>0</v>
      </c>
      <c r="H1162" s="354">
        <v>0</v>
      </c>
      <c r="I1162" s="354">
        <v>1</v>
      </c>
      <c r="J1162" s="354">
        <v>1</v>
      </c>
      <c r="K1162" s="354">
        <v>0</v>
      </c>
      <c r="L1162" s="354">
        <v>0</v>
      </c>
      <c r="M1162" s="355">
        <v>3</v>
      </c>
      <c r="N1162" s="355">
        <v>2</v>
      </c>
    </row>
    <row r="1163" spans="1:14" hidden="1" x14ac:dyDescent="0.25">
      <c r="A1163" s="354">
        <v>0</v>
      </c>
      <c r="B1163" s="354">
        <v>0</v>
      </c>
      <c r="C1163" s="354">
        <v>1</v>
      </c>
      <c r="D1163" s="354">
        <v>1</v>
      </c>
      <c r="E1163" s="354">
        <v>0</v>
      </c>
      <c r="F1163" s="354">
        <v>2</v>
      </c>
      <c r="G1163" s="354">
        <v>0</v>
      </c>
      <c r="H1163" s="354">
        <v>0</v>
      </c>
      <c r="I1163" s="354">
        <v>1</v>
      </c>
      <c r="J1163" s="354">
        <v>1</v>
      </c>
      <c r="K1163" s="354">
        <v>0</v>
      </c>
      <c r="L1163" s="354">
        <v>0</v>
      </c>
      <c r="M1163" s="355">
        <v>2</v>
      </c>
      <c r="N1163" s="355">
        <v>4</v>
      </c>
    </row>
    <row r="1164" spans="1:14" hidden="1" x14ac:dyDescent="0.25">
      <c r="A1164" s="354">
        <v>0</v>
      </c>
      <c r="B1164" s="354">
        <v>0</v>
      </c>
      <c r="C1164" s="354">
        <v>0</v>
      </c>
      <c r="D1164" s="354">
        <v>0</v>
      </c>
      <c r="E1164" s="354">
        <v>0</v>
      </c>
      <c r="F1164" s="354">
        <v>0</v>
      </c>
      <c r="G1164" s="354">
        <v>2</v>
      </c>
      <c r="H1164" s="354">
        <v>0</v>
      </c>
      <c r="I1164" s="354">
        <v>1</v>
      </c>
      <c r="J1164" s="354">
        <v>1</v>
      </c>
      <c r="K1164" s="354">
        <v>0</v>
      </c>
      <c r="L1164" s="354">
        <v>0</v>
      </c>
      <c r="M1164" s="355">
        <v>3</v>
      </c>
      <c r="N1164" s="355">
        <v>1</v>
      </c>
    </row>
    <row r="1165" spans="1:14" hidden="1" x14ac:dyDescent="0.25">
      <c r="A1165" s="354">
        <v>0</v>
      </c>
      <c r="B1165" s="354">
        <v>0</v>
      </c>
      <c r="C1165" s="354">
        <v>0</v>
      </c>
      <c r="D1165" s="354">
        <v>0</v>
      </c>
      <c r="E1165" s="354">
        <v>0</v>
      </c>
      <c r="F1165" s="354">
        <v>0</v>
      </c>
      <c r="G1165" s="354">
        <v>1</v>
      </c>
      <c r="H1165" s="354">
        <v>1</v>
      </c>
      <c r="I1165" s="354">
        <v>1</v>
      </c>
      <c r="J1165" s="354">
        <v>1</v>
      </c>
      <c r="K1165" s="354">
        <v>0</v>
      </c>
      <c r="L1165" s="354">
        <v>0</v>
      </c>
      <c r="M1165" s="355">
        <v>2</v>
      </c>
      <c r="N1165" s="355">
        <v>2</v>
      </c>
    </row>
    <row r="1166" spans="1:14" hidden="1" x14ac:dyDescent="0.25">
      <c r="A1166" s="354">
        <v>0</v>
      </c>
      <c r="B1166" s="354">
        <v>0</v>
      </c>
      <c r="C1166" s="354">
        <v>0</v>
      </c>
      <c r="D1166" s="354">
        <v>0</v>
      </c>
      <c r="E1166" s="354">
        <v>0</v>
      </c>
      <c r="F1166" s="354">
        <v>0</v>
      </c>
      <c r="G1166" s="354">
        <v>0</v>
      </c>
      <c r="H1166" s="354">
        <v>0</v>
      </c>
      <c r="I1166" s="354">
        <v>0</v>
      </c>
      <c r="J1166" s="354">
        <v>1</v>
      </c>
      <c r="K1166" s="354">
        <v>0</v>
      </c>
      <c r="L1166" s="354">
        <v>0</v>
      </c>
      <c r="M1166" s="355">
        <v>0</v>
      </c>
      <c r="N1166" s="355">
        <v>1</v>
      </c>
    </row>
    <row r="1167" spans="1:14" hidden="1" x14ac:dyDescent="0.25">
      <c r="A1167" s="354">
        <v>0</v>
      </c>
      <c r="B1167" s="354"/>
      <c r="C1167" s="354">
        <v>1</v>
      </c>
      <c r="D1167" s="354">
        <v>3</v>
      </c>
      <c r="E1167" s="354">
        <v>1</v>
      </c>
      <c r="F1167" s="354">
        <v>2</v>
      </c>
      <c r="G1167" s="354">
        <v>2</v>
      </c>
      <c r="H1167" s="354">
        <v>1</v>
      </c>
      <c r="I1167" s="354">
        <v>1</v>
      </c>
      <c r="J1167" s="354">
        <v>1</v>
      </c>
      <c r="K1167" s="354">
        <v>0</v>
      </c>
      <c r="L1167" s="354">
        <v>0</v>
      </c>
      <c r="M1167" s="355">
        <v>5</v>
      </c>
      <c r="N1167" s="355">
        <v>7</v>
      </c>
    </row>
    <row r="1168" spans="1:14" hidden="1" x14ac:dyDescent="0.25">
      <c r="A1168" s="354">
        <v>0</v>
      </c>
      <c r="B1168" s="354">
        <v>1</v>
      </c>
      <c r="C1168" s="354">
        <v>0</v>
      </c>
      <c r="D1168" s="354">
        <v>0</v>
      </c>
      <c r="E1168" s="354">
        <v>1</v>
      </c>
      <c r="F1168" s="354">
        <v>1</v>
      </c>
      <c r="G1168" s="354">
        <v>1</v>
      </c>
      <c r="H1168" s="354">
        <v>0</v>
      </c>
      <c r="I1168" s="354">
        <v>1</v>
      </c>
      <c r="J1168" s="354">
        <v>1</v>
      </c>
      <c r="K1168" s="354">
        <v>0</v>
      </c>
      <c r="L1168" s="354">
        <v>0</v>
      </c>
      <c r="M1168" s="355">
        <v>3</v>
      </c>
      <c r="N1168" s="355">
        <v>3</v>
      </c>
    </row>
    <row r="1169" spans="1:14" hidden="1" x14ac:dyDescent="0.25">
      <c r="A1169" s="354">
        <v>0</v>
      </c>
      <c r="B1169" s="354">
        <v>0</v>
      </c>
      <c r="C1169" s="354">
        <v>1</v>
      </c>
      <c r="D1169" s="354">
        <v>1</v>
      </c>
      <c r="E1169" s="354">
        <v>1</v>
      </c>
      <c r="F1169" s="354">
        <v>2</v>
      </c>
      <c r="G1169" s="354">
        <v>0</v>
      </c>
      <c r="H1169" s="354">
        <v>0</v>
      </c>
      <c r="I1169" s="354">
        <v>1</v>
      </c>
      <c r="J1169" s="354">
        <v>1</v>
      </c>
      <c r="K1169" s="354">
        <v>0</v>
      </c>
      <c r="L1169" s="354">
        <v>0</v>
      </c>
      <c r="M1169" s="355">
        <v>3</v>
      </c>
      <c r="N1169" s="355">
        <v>4</v>
      </c>
    </row>
    <row r="1170" spans="1:14" hidden="1" x14ac:dyDescent="0.25">
      <c r="A1170" s="354">
        <v>0</v>
      </c>
      <c r="B1170" s="354">
        <v>0</v>
      </c>
      <c r="C1170" s="354">
        <v>1</v>
      </c>
      <c r="D1170" s="354">
        <v>1</v>
      </c>
      <c r="E1170" s="354">
        <v>1</v>
      </c>
      <c r="F1170" s="354">
        <v>2</v>
      </c>
      <c r="G1170" s="354">
        <v>0</v>
      </c>
      <c r="H1170" s="354">
        <v>1</v>
      </c>
      <c r="I1170" s="354">
        <v>1</v>
      </c>
      <c r="J1170" s="354">
        <v>1</v>
      </c>
      <c r="K1170" s="354">
        <v>0</v>
      </c>
      <c r="L1170" s="354">
        <v>0</v>
      </c>
      <c r="M1170" s="355">
        <v>3</v>
      </c>
      <c r="N1170" s="355">
        <v>5</v>
      </c>
    </row>
    <row r="1171" spans="1:14" hidden="1" x14ac:dyDescent="0.25">
      <c r="A1171" s="354">
        <v>0</v>
      </c>
      <c r="B1171" s="354">
        <v>0</v>
      </c>
      <c r="C1171" s="354">
        <v>0</v>
      </c>
      <c r="D1171" s="354">
        <v>0</v>
      </c>
      <c r="E1171" s="354">
        <v>0</v>
      </c>
      <c r="F1171" s="354">
        <v>0</v>
      </c>
      <c r="G1171" s="354">
        <v>0</v>
      </c>
      <c r="H1171" s="354">
        <v>0</v>
      </c>
      <c r="I1171" s="354">
        <v>1</v>
      </c>
      <c r="J1171" s="354">
        <v>1</v>
      </c>
      <c r="K1171" s="354">
        <v>0</v>
      </c>
      <c r="L1171" s="354">
        <v>0</v>
      </c>
      <c r="M1171" s="355">
        <v>1</v>
      </c>
      <c r="N1171" s="355">
        <v>1</v>
      </c>
    </row>
    <row r="1172" spans="1:14" hidden="1" x14ac:dyDescent="0.25">
      <c r="A1172" s="354">
        <v>0</v>
      </c>
      <c r="B1172" s="354">
        <v>1</v>
      </c>
      <c r="C1172" s="354">
        <v>1</v>
      </c>
      <c r="D1172" s="354">
        <v>1</v>
      </c>
      <c r="E1172" s="354">
        <v>0</v>
      </c>
      <c r="F1172" s="354">
        <v>0</v>
      </c>
      <c r="G1172" s="354">
        <v>0</v>
      </c>
      <c r="H1172" s="354">
        <v>0</v>
      </c>
      <c r="I1172" s="354">
        <v>1</v>
      </c>
      <c r="J1172" s="354">
        <v>1</v>
      </c>
      <c r="K1172" s="354">
        <v>0</v>
      </c>
      <c r="L1172" s="354">
        <v>0</v>
      </c>
      <c r="M1172" s="355">
        <v>2</v>
      </c>
      <c r="N1172" s="355">
        <v>3</v>
      </c>
    </row>
    <row r="1173" spans="1:14" hidden="1" x14ac:dyDescent="0.25">
      <c r="A1173" s="354">
        <v>0</v>
      </c>
      <c r="B1173" s="354">
        <v>0</v>
      </c>
      <c r="C1173" s="354">
        <v>0</v>
      </c>
      <c r="D1173" s="354">
        <v>0</v>
      </c>
      <c r="E1173" s="354">
        <v>0</v>
      </c>
      <c r="F1173" s="354">
        <v>0</v>
      </c>
      <c r="G1173" s="354">
        <v>0</v>
      </c>
      <c r="H1173" s="354">
        <v>1</v>
      </c>
      <c r="I1173" s="354">
        <v>1</v>
      </c>
      <c r="J1173" s="354">
        <v>1</v>
      </c>
      <c r="K1173" s="354">
        <v>0</v>
      </c>
      <c r="L1173" s="354">
        <v>0</v>
      </c>
      <c r="M1173" s="355">
        <v>1</v>
      </c>
      <c r="N1173" s="355">
        <v>2</v>
      </c>
    </row>
    <row r="1174" spans="1:14" hidden="1" x14ac:dyDescent="0.25">
      <c r="A1174" s="354">
        <v>0</v>
      </c>
      <c r="B1174" s="354">
        <v>0</v>
      </c>
      <c r="C1174" s="354">
        <v>0</v>
      </c>
      <c r="D1174" s="354">
        <v>0</v>
      </c>
      <c r="E1174" s="354">
        <v>0</v>
      </c>
      <c r="F1174" s="354">
        <v>0</v>
      </c>
      <c r="G1174" s="354">
        <v>1</v>
      </c>
      <c r="H1174" s="354">
        <v>1</v>
      </c>
      <c r="I1174" s="354">
        <v>1</v>
      </c>
      <c r="J1174" s="354">
        <v>1</v>
      </c>
      <c r="K1174" s="354">
        <v>0</v>
      </c>
      <c r="L1174" s="354">
        <v>0</v>
      </c>
      <c r="M1174" s="355">
        <v>2</v>
      </c>
      <c r="N1174" s="355">
        <v>2</v>
      </c>
    </row>
    <row r="1175" spans="1:14" hidden="1" x14ac:dyDescent="0.25">
      <c r="A1175" s="354">
        <v>0</v>
      </c>
      <c r="B1175" s="354">
        <v>0</v>
      </c>
      <c r="C1175" s="354">
        <v>1</v>
      </c>
      <c r="D1175" s="354">
        <v>1</v>
      </c>
      <c r="E1175" s="354">
        <v>1</v>
      </c>
      <c r="F1175" s="354">
        <v>2</v>
      </c>
      <c r="G1175" s="354">
        <v>1</v>
      </c>
      <c r="H1175" s="354">
        <v>0</v>
      </c>
      <c r="I1175" s="354">
        <v>1</v>
      </c>
      <c r="J1175" s="354">
        <v>1</v>
      </c>
      <c r="K1175" s="354">
        <v>0</v>
      </c>
      <c r="L1175" s="354">
        <v>0</v>
      </c>
      <c r="M1175" s="355">
        <v>4</v>
      </c>
      <c r="N1175" s="355">
        <v>4</v>
      </c>
    </row>
    <row r="1176" spans="1:14" hidden="1" x14ac:dyDescent="0.25">
      <c r="A1176" s="354">
        <v>0</v>
      </c>
      <c r="B1176" s="354">
        <v>1</v>
      </c>
      <c r="C1176" s="354">
        <v>1</v>
      </c>
      <c r="D1176" s="354">
        <v>1</v>
      </c>
      <c r="E1176" s="354">
        <v>0</v>
      </c>
      <c r="F1176" s="354">
        <v>0</v>
      </c>
      <c r="G1176" s="354">
        <v>0</v>
      </c>
      <c r="H1176" s="354">
        <v>0</v>
      </c>
      <c r="I1176" s="354">
        <v>1</v>
      </c>
      <c r="J1176" s="354">
        <v>1</v>
      </c>
      <c r="K1176" s="354">
        <v>0</v>
      </c>
      <c r="L1176" s="354">
        <v>0</v>
      </c>
      <c r="M1176" s="355">
        <v>2</v>
      </c>
      <c r="N1176" s="355">
        <v>3</v>
      </c>
    </row>
    <row r="1177" spans="1:14" hidden="1" x14ac:dyDescent="0.25">
      <c r="A1177" s="354">
        <v>0</v>
      </c>
      <c r="B1177" s="354">
        <v>0</v>
      </c>
      <c r="C1177" s="354">
        <v>0</v>
      </c>
      <c r="D1177" s="354">
        <v>0</v>
      </c>
      <c r="E1177" s="354">
        <v>0</v>
      </c>
      <c r="F1177" s="354">
        <v>0</v>
      </c>
      <c r="G1177" s="354">
        <v>0</v>
      </c>
      <c r="H1177" s="354">
        <v>1</v>
      </c>
      <c r="I1177" s="354">
        <v>1</v>
      </c>
      <c r="J1177" s="354">
        <v>1</v>
      </c>
      <c r="K1177" s="354">
        <v>0</v>
      </c>
      <c r="L1177" s="354">
        <v>0</v>
      </c>
      <c r="M1177" s="355">
        <v>1</v>
      </c>
      <c r="N1177" s="355">
        <v>2</v>
      </c>
    </row>
    <row r="1178" spans="1:14" hidden="1" x14ac:dyDescent="0.25">
      <c r="A1178" s="354">
        <v>0</v>
      </c>
      <c r="B1178" s="354">
        <v>0</v>
      </c>
      <c r="C1178" s="354">
        <v>1</v>
      </c>
      <c r="D1178" s="354">
        <v>2</v>
      </c>
      <c r="E1178" s="354">
        <v>0</v>
      </c>
      <c r="F1178" s="354">
        <v>2</v>
      </c>
      <c r="G1178" s="354">
        <v>0</v>
      </c>
      <c r="H1178" s="354">
        <v>0</v>
      </c>
      <c r="I1178" s="354">
        <v>1</v>
      </c>
      <c r="J1178" s="354">
        <v>1</v>
      </c>
      <c r="K1178" s="354">
        <v>0</v>
      </c>
      <c r="L1178" s="354">
        <v>0</v>
      </c>
      <c r="M1178" s="355">
        <v>2</v>
      </c>
      <c r="N1178" s="355">
        <v>5</v>
      </c>
    </row>
    <row r="1179" spans="1:14" hidden="1" x14ac:dyDescent="0.25">
      <c r="A1179" s="354">
        <v>0</v>
      </c>
      <c r="B1179" s="354">
        <v>1</v>
      </c>
      <c r="C1179" s="354">
        <v>1</v>
      </c>
      <c r="D1179" s="354">
        <v>1</v>
      </c>
      <c r="E1179" s="354">
        <v>0</v>
      </c>
      <c r="F1179" s="354">
        <v>1</v>
      </c>
      <c r="G1179" s="354">
        <v>0</v>
      </c>
      <c r="H1179" s="354">
        <v>0</v>
      </c>
      <c r="I1179" s="354">
        <v>1</v>
      </c>
      <c r="J1179" s="354">
        <v>1</v>
      </c>
      <c r="K1179" s="354">
        <v>0</v>
      </c>
      <c r="L1179" s="354">
        <v>0</v>
      </c>
      <c r="M1179" s="355">
        <v>2</v>
      </c>
      <c r="N1179" s="355">
        <v>4</v>
      </c>
    </row>
    <row r="1180" spans="1:14" hidden="1" x14ac:dyDescent="0.25">
      <c r="A1180" s="354">
        <v>0</v>
      </c>
      <c r="B1180" s="354">
        <v>1</v>
      </c>
      <c r="C1180" s="354">
        <v>1</v>
      </c>
      <c r="D1180" s="354">
        <v>1</v>
      </c>
      <c r="E1180" s="354">
        <v>0</v>
      </c>
      <c r="F1180" s="354">
        <v>2</v>
      </c>
      <c r="G1180" s="354">
        <v>1</v>
      </c>
      <c r="H1180" s="354"/>
      <c r="I1180" s="354">
        <v>1</v>
      </c>
      <c r="J1180" s="354">
        <v>1</v>
      </c>
      <c r="K1180" s="354">
        <v>0</v>
      </c>
      <c r="L1180" s="354">
        <v>0</v>
      </c>
      <c r="M1180" s="355">
        <v>3</v>
      </c>
      <c r="N1180" s="355">
        <v>5</v>
      </c>
    </row>
    <row r="1181" spans="1:14" hidden="1" x14ac:dyDescent="0.25">
      <c r="A1181" s="354">
        <v>0</v>
      </c>
      <c r="B1181" s="354">
        <v>1</v>
      </c>
      <c r="C1181" s="354">
        <v>0</v>
      </c>
      <c r="D1181" s="354">
        <v>1</v>
      </c>
      <c r="E1181" s="354">
        <v>1</v>
      </c>
      <c r="F1181" s="354">
        <v>2</v>
      </c>
      <c r="G1181" s="354">
        <v>0</v>
      </c>
      <c r="H1181" s="354">
        <v>0</v>
      </c>
      <c r="I1181" s="354">
        <v>1</v>
      </c>
      <c r="J1181" s="354">
        <v>1</v>
      </c>
      <c r="K1181" s="354">
        <v>0</v>
      </c>
      <c r="L1181" s="354">
        <v>0</v>
      </c>
      <c r="M1181" s="355">
        <v>2</v>
      </c>
      <c r="N1181" s="355">
        <v>5</v>
      </c>
    </row>
    <row r="1182" spans="1:14" hidden="1" x14ac:dyDescent="0.25">
      <c r="A1182" s="354">
        <v>0</v>
      </c>
      <c r="B1182" s="354">
        <v>1</v>
      </c>
      <c r="C1182" s="354">
        <v>1</v>
      </c>
      <c r="D1182" s="354">
        <v>0</v>
      </c>
      <c r="E1182" s="354">
        <v>2</v>
      </c>
      <c r="F1182" s="354">
        <v>1</v>
      </c>
      <c r="G1182" s="354">
        <v>0</v>
      </c>
      <c r="H1182" s="354">
        <v>0</v>
      </c>
      <c r="I1182" s="354">
        <v>1</v>
      </c>
      <c r="J1182" s="354">
        <v>1</v>
      </c>
      <c r="K1182" s="354">
        <v>0</v>
      </c>
      <c r="L1182" s="354">
        <v>0</v>
      </c>
      <c r="M1182" s="355">
        <v>4</v>
      </c>
      <c r="N1182" s="355">
        <v>3</v>
      </c>
    </row>
    <row r="1183" spans="1:14" hidden="1" x14ac:dyDescent="0.25">
      <c r="A1183" s="354">
        <v>0</v>
      </c>
      <c r="B1183" s="354">
        <v>0</v>
      </c>
      <c r="C1183" s="354">
        <v>0</v>
      </c>
      <c r="D1183" s="354">
        <v>0</v>
      </c>
      <c r="E1183" s="354">
        <v>1</v>
      </c>
      <c r="F1183" s="354">
        <v>1</v>
      </c>
      <c r="G1183" s="354">
        <v>0</v>
      </c>
      <c r="H1183" s="354">
        <v>0</v>
      </c>
      <c r="I1183" s="354">
        <v>0</v>
      </c>
      <c r="J1183" s="354">
        <v>0</v>
      </c>
      <c r="K1183" s="354">
        <v>0</v>
      </c>
      <c r="L1183" s="354">
        <v>1</v>
      </c>
      <c r="M1183" s="355">
        <v>1</v>
      </c>
      <c r="N1183" s="355">
        <v>2</v>
      </c>
    </row>
    <row r="1184" spans="1:14" hidden="1" x14ac:dyDescent="0.25">
      <c r="A1184" s="354">
        <v>0</v>
      </c>
      <c r="B1184" s="354">
        <v>0</v>
      </c>
      <c r="C1184" s="354">
        <v>2</v>
      </c>
      <c r="D1184" s="354">
        <v>1</v>
      </c>
      <c r="E1184" s="354">
        <v>1</v>
      </c>
      <c r="F1184" s="354">
        <v>1</v>
      </c>
      <c r="G1184" s="354">
        <v>0</v>
      </c>
      <c r="H1184" s="354">
        <v>2</v>
      </c>
      <c r="I1184" s="354">
        <v>0</v>
      </c>
      <c r="J1184" s="354">
        <v>1</v>
      </c>
      <c r="K1184" s="354">
        <v>1</v>
      </c>
      <c r="L1184" s="354">
        <v>0</v>
      </c>
      <c r="M1184" s="355">
        <v>4</v>
      </c>
      <c r="N1184" s="355">
        <v>5</v>
      </c>
    </row>
    <row r="1185" spans="1:14" hidden="1" x14ac:dyDescent="0.25">
      <c r="A1185" s="354">
        <v>1</v>
      </c>
      <c r="B1185" s="354">
        <v>1</v>
      </c>
      <c r="C1185" s="354">
        <v>1</v>
      </c>
      <c r="D1185" s="354">
        <v>1</v>
      </c>
      <c r="E1185" s="354">
        <v>2</v>
      </c>
      <c r="F1185" s="354">
        <v>1</v>
      </c>
      <c r="G1185" s="354">
        <v>0</v>
      </c>
      <c r="H1185" s="354">
        <v>0</v>
      </c>
      <c r="I1185" s="354">
        <v>1</v>
      </c>
      <c r="J1185" s="354">
        <v>1</v>
      </c>
      <c r="K1185" s="354">
        <v>0</v>
      </c>
      <c r="L1185" s="354">
        <v>0</v>
      </c>
      <c r="M1185" s="355">
        <v>5</v>
      </c>
      <c r="N1185" s="355">
        <v>4</v>
      </c>
    </row>
    <row r="1186" spans="1:14" hidden="1" x14ac:dyDescent="0.25">
      <c r="A1186" s="354">
        <v>0</v>
      </c>
      <c r="B1186" s="354">
        <v>0</v>
      </c>
      <c r="C1186" s="354">
        <v>0</v>
      </c>
      <c r="D1186" s="354">
        <v>0</v>
      </c>
      <c r="E1186" s="354">
        <v>2</v>
      </c>
      <c r="F1186" s="354">
        <v>2</v>
      </c>
      <c r="G1186" s="354">
        <v>0</v>
      </c>
      <c r="H1186" s="354">
        <v>2</v>
      </c>
      <c r="I1186" s="354">
        <v>5</v>
      </c>
      <c r="J1186" s="354">
        <v>4</v>
      </c>
      <c r="K1186" s="354">
        <v>0</v>
      </c>
      <c r="L1186" s="354">
        <v>0</v>
      </c>
      <c r="M1186" s="355">
        <v>7</v>
      </c>
      <c r="N1186" s="355">
        <v>8</v>
      </c>
    </row>
    <row r="1187" spans="1:14" hidden="1" x14ac:dyDescent="0.25">
      <c r="A1187" s="354">
        <v>0</v>
      </c>
      <c r="B1187" s="354">
        <v>1</v>
      </c>
      <c r="C1187" s="354">
        <v>0</v>
      </c>
      <c r="D1187" s="354">
        <v>1</v>
      </c>
      <c r="E1187" s="354">
        <v>3</v>
      </c>
      <c r="F1187" s="354">
        <v>2</v>
      </c>
      <c r="G1187" s="354">
        <v>2</v>
      </c>
      <c r="H1187" s="354">
        <v>0</v>
      </c>
      <c r="I1187" s="354">
        <v>1</v>
      </c>
      <c r="J1187" s="354">
        <v>1</v>
      </c>
      <c r="K1187" s="354">
        <v>0</v>
      </c>
      <c r="L1187" s="354">
        <v>0</v>
      </c>
      <c r="M1187" s="355">
        <v>6</v>
      </c>
      <c r="N1187" s="355">
        <v>5</v>
      </c>
    </row>
    <row r="1188" spans="1:14" hidden="1" x14ac:dyDescent="0.25">
      <c r="A1188" s="354">
        <v>1</v>
      </c>
      <c r="B1188" s="354">
        <v>1</v>
      </c>
      <c r="C1188" s="354">
        <v>1</v>
      </c>
      <c r="D1188" s="354">
        <v>1</v>
      </c>
      <c r="E1188" s="354">
        <v>3</v>
      </c>
      <c r="F1188" s="354">
        <v>1</v>
      </c>
      <c r="G1188" s="354">
        <v>0</v>
      </c>
      <c r="H1188" s="354">
        <v>0</v>
      </c>
      <c r="I1188" s="354">
        <v>0</v>
      </c>
      <c r="J1188" s="354">
        <v>1</v>
      </c>
      <c r="K1188" s="354">
        <v>0</v>
      </c>
      <c r="L1188" s="354">
        <v>0</v>
      </c>
      <c r="M1188" s="355">
        <v>5</v>
      </c>
      <c r="N1188" s="355">
        <v>4</v>
      </c>
    </row>
    <row r="1189" spans="1:14" hidden="1" x14ac:dyDescent="0.25">
      <c r="A1189" s="354">
        <v>0</v>
      </c>
      <c r="B1189" s="354">
        <v>0</v>
      </c>
      <c r="C1189" s="354">
        <v>0</v>
      </c>
      <c r="D1189" s="354">
        <v>1</v>
      </c>
      <c r="E1189" s="354">
        <v>2</v>
      </c>
      <c r="F1189" s="354">
        <v>1</v>
      </c>
      <c r="G1189" s="354">
        <v>1</v>
      </c>
      <c r="H1189" s="354">
        <v>2</v>
      </c>
      <c r="I1189" s="354">
        <v>0</v>
      </c>
      <c r="J1189" s="354">
        <v>0</v>
      </c>
      <c r="K1189" s="354">
        <v>0</v>
      </c>
      <c r="L1189" s="354">
        <v>1</v>
      </c>
      <c r="M1189" s="355">
        <v>3</v>
      </c>
      <c r="N1189" s="355">
        <v>5</v>
      </c>
    </row>
    <row r="1190" spans="1:14" hidden="1" x14ac:dyDescent="0.25">
      <c r="A1190" s="354">
        <v>2</v>
      </c>
      <c r="B1190" s="354">
        <v>1</v>
      </c>
      <c r="C1190" s="354">
        <v>2</v>
      </c>
      <c r="D1190" s="354">
        <v>0</v>
      </c>
      <c r="E1190" s="354">
        <v>4</v>
      </c>
      <c r="F1190" s="354">
        <v>2</v>
      </c>
      <c r="G1190" s="354">
        <v>0</v>
      </c>
      <c r="H1190" s="354">
        <v>1</v>
      </c>
      <c r="I1190" s="354">
        <v>1</v>
      </c>
      <c r="J1190" s="354">
        <v>1</v>
      </c>
      <c r="K1190" s="354">
        <v>0</v>
      </c>
      <c r="L1190" s="354">
        <v>0</v>
      </c>
      <c r="M1190" s="355">
        <v>9</v>
      </c>
      <c r="N1190" s="355">
        <v>5</v>
      </c>
    </row>
    <row r="1191" spans="1:14" hidden="1" x14ac:dyDescent="0.25">
      <c r="A1191" s="354">
        <v>0</v>
      </c>
      <c r="B1191" s="354">
        <v>0</v>
      </c>
      <c r="C1191" s="354">
        <v>0</v>
      </c>
      <c r="D1191" s="354">
        <v>1</v>
      </c>
      <c r="E1191" s="354">
        <v>1</v>
      </c>
      <c r="F1191" s="354">
        <v>0</v>
      </c>
      <c r="G1191" s="354">
        <v>0</v>
      </c>
      <c r="H1191" s="354">
        <v>0</v>
      </c>
      <c r="I1191" s="354">
        <v>1</v>
      </c>
      <c r="J1191" s="354">
        <v>1</v>
      </c>
      <c r="K1191" s="354">
        <v>0</v>
      </c>
      <c r="L1191" s="354">
        <v>0</v>
      </c>
      <c r="M1191" s="355">
        <v>2</v>
      </c>
      <c r="N1191" s="355">
        <v>2</v>
      </c>
    </row>
    <row r="1192" spans="1:14" hidden="1" x14ac:dyDescent="0.25">
      <c r="A1192" s="354">
        <v>0</v>
      </c>
      <c r="B1192" s="354">
        <v>1</v>
      </c>
      <c r="C1192" s="354">
        <v>0</v>
      </c>
      <c r="D1192" s="354">
        <v>1</v>
      </c>
      <c r="E1192" s="354">
        <v>1</v>
      </c>
      <c r="F1192" s="354">
        <v>2</v>
      </c>
      <c r="G1192" s="354">
        <v>2</v>
      </c>
      <c r="H1192" s="354">
        <v>0</v>
      </c>
      <c r="I1192" s="354">
        <v>1</v>
      </c>
      <c r="J1192" s="354">
        <v>1</v>
      </c>
      <c r="K1192" s="354">
        <v>0</v>
      </c>
      <c r="L1192" s="354">
        <v>0</v>
      </c>
      <c r="M1192" s="355">
        <v>4</v>
      </c>
      <c r="N1192" s="355">
        <v>5</v>
      </c>
    </row>
    <row r="1193" spans="1:14" hidden="1" x14ac:dyDescent="0.25">
      <c r="A1193" s="354">
        <v>0</v>
      </c>
      <c r="B1193" s="354">
        <v>0</v>
      </c>
      <c r="C1193" s="354">
        <v>1</v>
      </c>
      <c r="D1193" s="354">
        <v>0</v>
      </c>
      <c r="E1193" s="354">
        <v>1</v>
      </c>
      <c r="F1193" s="354">
        <v>1</v>
      </c>
      <c r="G1193" s="354">
        <v>1</v>
      </c>
      <c r="H1193" s="354">
        <v>1</v>
      </c>
      <c r="I1193" s="354">
        <v>0</v>
      </c>
      <c r="J1193" s="354">
        <v>1</v>
      </c>
      <c r="K1193" s="354">
        <v>0</v>
      </c>
      <c r="L1193" s="354">
        <v>0</v>
      </c>
      <c r="M1193" s="355">
        <v>3</v>
      </c>
      <c r="N1193" s="355">
        <v>3</v>
      </c>
    </row>
    <row r="1194" spans="1:14" hidden="1" x14ac:dyDescent="0.25">
      <c r="A1194" s="354">
        <v>0</v>
      </c>
      <c r="B1194" s="354">
        <v>0</v>
      </c>
      <c r="C1194" s="354">
        <v>0</v>
      </c>
      <c r="D1194" s="354">
        <v>0</v>
      </c>
      <c r="E1194" s="354">
        <v>0</v>
      </c>
      <c r="F1194" s="354">
        <v>1</v>
      </c>
      <c r="G1194" s="354">
        <v>1</v>
      </c>
      <c r="H1194" s="354">
        <v>0</v>
      </c>
      <c r="I1194" s="354">
        <v>0</v>
      </c>
      <c r="J1194" s="354">
        <v>1</v>
      </c>
      <c r="K1194" s="354">
        <v>0</v>
      </c>
      <c r="L1194" s="354">
        <v>0</v>
      </c>
      <c r="M1194" s="355">
        <v>1</v>
      </c>
      <c r="N1194" s="355">
        <v>2</v>
      </c>
    </row>
    <row r="1195" spans="1:14" hidden="1" x14ac:dyDescent="0.25">
      <c r="A1195" s="354">
        <v>0</v>
      </c>
      <c r="B1195" s="354">
        <v>0</v>
      </c>
      <c r="C1195" s="354">
        <v>0</v>
      </c>
      <c r="D1195" s="354">
        <v>0</v>
      </c>
      <c r="E1195" s="354">
        <v>0</v>
      </c>
      <c r="F1195" s="354">
        <v>1</v>
      </c>
      <c r="G1195" s="354">
        <v>0</v>
      </c>
      <c r="H1195" s="354">
        <v>0</v>
      </c>
      <c r="I1195" s="354">
        <v>1</v>
      </c>
      <c r="J1195" s="354">
        <v>1</v>
      </c>
      <c r="K1195" s="354">
        <v>0</v>
      </c>
      <c r="L1195" s="354">
        <v>0</v>
      </c>
      <c r="M1195" s="355">
        <v>1</v>
      </c>
      <c r="N1195" s="355">
        <v>2</v>
      </c>
    </row>
    <row r="1196" spans="1:14" hidden="1" x14ac:dyDescent="0.25">
      <c r="A1196" s="354">
        <v>1</v>
      </c>
      <c r="B1196" s="354">
        <v>1</v>
      </c>
      <c r="C1196" s="354">
        <v>0</v>
      </c>
      <c r="D1196" s="354">
        <v>1</v>
      </c>
      <c r="E1196" s="354">
        <v>2</v>
      </c>
      <c r="F1196" s="354">
        <v>2</v>
      </c>
      <c r="G1196" s="354">
        <v>0</v>
      </c>
      <c r="H1196" s="354">
        <v>0</v>
      </c>
      <c r="I1196" s="354">
        <v>1</v>
      </c>
      <c r="J1196" s="354">
        <v>1</v>
      </c>
      <c r="K1196" s="354">
        <v>0</v>
      </c>
      <c r="L1196" s="354">
        <v>1</v>
      </c>
      <c r="M1196" s="355">
        <v>4</v>
      </c>
      <c r="N1196" s="355">
        <v>6</v>
      </c>
    </row>
    <row r="1197" spans="1:14" hidden="1" x14ac:dyDescent="0.25">
      <c r="A1197" s="354">
        <v>0</v>
      </c>
      <c r="B1197" s="354">
        <v>0</v>
      </c>
      <c r="C1197" s="354">
        <v>1</v>
      </c>
      <c r="D1197" s="354">
        <v>0</v>
      </c>
      <c r="E1197" s="354">
        <v>2</v>
      </c>
      <c r="F1197" s="354">
        <v>2</v>
      </c>
      <c r="G1197" s="354">
        <v>0</v>
      </c>
      <c r="H1197" s="354">
        <v>2</v>
      </c>
      <c r="I1197" s="354">
        <v>1</v>
      </c>
      <c r="J1197" s="354">
        <v>1</v>
      </c>
      <c r="K1197" s="354">
        <v>0</v>
      </c>
      <c r="L1197" s="354">
        <v>1</v>
      </c>
      <c r="M1197" s="355">
        <v>4</v>
      </c>
      <c r="N1197" s="355">
        <v>6</v>
      </c>
    </row>
    <row r="1198" spans="1:14" hidden="1" x14ac:dyDescent="0.25">
      <c r="A1198" s="354">
        <v>0</v>
      </c>
      <c r="B1198" s="354">
        <v>1</v>
      </c>
      <c r="C1198" s="354">
        <v>0</v>
      </c>
      <c r="D1198" s="354">
        <v>0</v>
      </c>
      <c r="E1198" s="354">
        <v>1</v>
      </c>
      <c r="F1198" s="354">
        <v>1</v>
      </c>
      <c r="G1198" s="354">
        <v>1</v>
      </c>
      <c r="H1198" s="354">
        <v>2</v>
      </c>
      <c r="I1198" s="354">
        <v>1</v>
      </c>
      <c r="J1198" s="354">
        <v>1</v>
      </c>
      <c r="K1198" s="354">
        <v>0</v>
      </c>
      <c r="L1198" s="354">
        <v>0</v>
      </c>
      <c r="M1198" s="355">
        <v>3</v>
      </c>
      <c r="N1198" s="355">
        <v>5</v>
      </c>
    </row>
    <row r="1199" spans="1:14" hidden="1" x14ac:dyDescent="0.25">
      <c r="A1199" s="354">
        <v>1</v>
      </c>
      <c r="B1199" s="354">
        <v>1</v>
      </c>
      <c r="C1199" s="354">
        <v>1</v>
      </c>
      <c r="D1199" s="354">
        <v>1</v>
      </c>
      <c r="E1199" s="354">
        <v>2</v>
      </c>
      <c r="F1199" s="354">
        <v>1</v>
      </c>
      <c r="G1199" s="354">
        <v>0</v>
      </c>
      <c r="H1199" s="354">
        <v>0</v>
      </c>
      <c r="I1199" s="354">
        <v>1</v>
      </c>
      <c r="J1199" s="354">
        <v>3</v>
      </c>
      <c r="K1199" s="354">
        <v>0</v>
      </c>
      <c r="L1199" s="354">
        <v>0</v>
      </c>
      <c r="M1199" s="355">
        <v>5</v>
      </c>
      <c r="N1199" s="355">
        <v>6</v>
      </c>
    </row>
    <row r="1200" spans="1:14" hidden="1" x14ac:dyDescent="0.25">
      <c r="A1200" s="354">
        <v>0</v>
      </c>
      <c r="B1200" s="354">
        <v>0</v>
      </c>
      <c r="C1200" s="354">
        <v>0</v>
      </c>
      <c r="D1200" s="354">
        <v>0</v>
      </c>
      <c r="E1200" s="354">
        <v>0</v>
      </c>
      <c r="F1200" s="354">
        <v>2</v>
      </c>
      <c r="G1200" s="354">
        <v>1</v>
      </c>
      <c r="H1200" s="354">
        <v>3</v>
      </c>
      <c r="I1200" s="354">
        <v>2</v>
      </c>
      <c r="J1200" s="354">
        <v>2</v>
      </c>
      <c r="K1200" s="354">
        <v>1</v>
      </c>
      <c r="L1200" s="354">
        <v>1</v>
      </c>
      <c r="M1200" s="355">
        <v>4</v>
      </c>
      <c r="N1200" s="355">
        <v>8</v>
      </c>
    </row>
    <row r="1201" spans="1:14" hidden="1" x14ac:dyDescent="0.25">
      <c r="A1201" s="354">
        <v>2</v>
      </c>
      <c r="B1201" s="354">
        <v>0</v>
      </c>
      <c r="C1201" s="354">
        <v>1</v>
      </c>
      <c r="D1201" s="354">
        <v>0</v>
      </c>
      <c r="E1201" s="354">
        <v>0</v>
      </c>
      <c r="F1201" s="354">
        <v>0</v>
      </c>
      <c r="G1201" s="354">
        <v>0</v>
      </c>
      <c r="H1201" s="354">
        <v>0</v>
      </c>
      <c r="I1201" s="354">
        <v>1</v>
      </c>
      <c r="J1201" s="354">
        <v>2</v>
      </c>
      <c r="K1201" s="354">
        <v>0</v>
      </c>
      <c r="L1201" s="354">
        <v>0</v>
      </c>
      <c r="M1201" s="355">
        <v>4</v>
      </c>
      <c r="N1201" s="355">
        <v>2</v>
      </c>
    </row>
    <row r="1202" spans="1:14" hidden="1" x14ac:dyDescent="0.25">
      <c r="A1202" s="354">
        <v>1</v>
      </c>
      <c r="B1202" s="354">
        <v>0</v>
      </c>
      <c r="C1202" s="354">
        <v>0</v>
      </c>
      <c r="D1202" s="354">
        <v>0</v>
      </c>
      <c r="E1202" s="354">
        <v>0</v>
      </c>
      <c r="F1202" s="354">
        <v>1</v>
      </c>
      <c r="G1202" s="354">
        <v>1</v>
      </c>
      <c r="H1202" s="354">
        <v>0</v>
      </c>
      <c r="I1202" s="354">
        <v>0</v>
      </c>
      <c r="J1202" s="354">
        <v>1</v>
      </c>
      <c r="K1202" s="354">
        <v>0</v>
      </c>
      <c r="L1202" s="354">
        <v>0</v>
      </c>
      <c r="M1202" s="355">
        <v>2</v>
      </c>
      <c r="N1202" s="355">
        <v>2</v>
      </c>
    </row>
    <row r="1203" spans="1:14" hidden="1" x14ac:dyDescent="0.25">
      <c r="A1203" s="354">
        <v>1</v>
      </c>
      <c r="B1203" s="354">
        <v>1</v>
      </c>
      <c r="C1203" s="354">
        <v>1</v>
      </c>
      <c r="D1203" s="354">
        <v>1</v>
      </c>
      <c r="E1203" s="354">
        <v>3</v>
      </c>
      <c r="F1203" s="354">
        <v>1</v>
      </c>
      <c r="G1203" s="354">
        <v>0</v>
      </c>
      <c r="H1203" s="354">
        <v>0</v>
      </c>
      <c r="I1203" s="354">
        <v>1</v>
      </c>
      <c r="J1203" s="354">
        <v>1</v>
      </c>
      <c r="K1203" s="354">
        <v>0</v>
      </c>
      <c r="L1203" s="354">
        <v>0</v>
      </c>
      <c r="M1203" s="355">
        <v>6</v>
      </c>
      <c r="N1203" s="355">
        <v>4</v>
      </c>
    </row>
    <row r="1204" spans="1:14" hidden="1" x14ac:dyDescent="0.25">
      <c r="A1204" s="354">
        <v>1</v>
      </c>
      <c r="B1204" s="354">
        <v>0</v>
      </c>
      <c r="C1204" s="354">
        <v>0</v>
      </c>
      <c r="D1204" s="354">
        <v>1</v>
      </c>
      <c r="E1204" s="354">
        <v>2</v>
      </c>
      <c r="F1204" s="354">
        <v>0</v>
      </c>
      <c r="G1204" s="354">
        <v>2</v>
      </c>
      <c r="H1204" s="354">
        <v>1</v>
      </c>
      <c r="I1204" s="354">
        <v>1</v>
      </c>
      <c r="J1204" s="354">
        <v>2</v>
      </c>
      <c r="K1204" s="354">
        <v>0</v>
      </c>
      <c r="L1204" s="354">
        <v>0</v>
      </c>
      <c r="M1204" s="355">
        <v>6</v>
      </c>
      <c r="N1204" s="355">
        <v>4</v>
      </c>
    </row>
    <row r="1205" spans="1:14" hidden="1" x14ac:dyDescent="0.25">
      <c r="A1205" s="354">
        <v>0</v>
      </c>
      <c r="B1205" s="354">
        <v>0</v>
      </c>
      <c r="C1205" s="354">
        <v>2</v>
      </c>
      <c r="D1205" s="354">
        <v>1</v>
      </c>
      <c r="E1205" s="354">
        <v>3</v>
      </c>
      <c r="F1205" s="354">
        <v>1</v>
      </c>
      <c r="G1205" s="354">
        <v>2</v>
      </c>
      <c r="H1205" s="354">
        <v>0</v>
      </c>
      <c r="I1205" s="354">
        <v>1</v>
      </c>
      <c r="J1205" s="354">
        <v>1</v>
      </c>
      <c r="K1205" s="354">
        <v>0</v>
      </c>
      <c r="L1205" s="354">
        <v>0</v>
      </c>
      <c r="M1205" s="355">
        <v>8</v>
      </c>
      <c r="N1205" s="355">
        <v>3</v>
      </c>
    </row>
    <row r="1206" spans="1:14" hidden="1" x14ac:dyDescent="0.25">
      <c r="A1206" s="354">
        <v>0</v>
      </c>
      <c r="B1206" s="354">
        <v>0</v>
      </c>
      <c r="C1206" s="354">
        <v>1</v>
      </c>
      <c r="D1206" s="354">
        <v>1</v>
      </c>
      <c r="E1206" s="354">
        <v>2</v>
      </c>
      <c r="F1206" s="354">
        <v>1</v>
      </c>
      <c r="G1206" s="354">
        <v>2</v>
      </c>
      <c r="H1206" s="354">
        <v>0</v>
      </c>
      <c r="I1206" s="354">
        <v>0</v>
      </c>
      <c r="J1206" s="354">
        <v>2</v>
      </c>
      <c r="K1206" s="354">
        <v>1</v>
      </c>
      <c r="L1206" s="354">
        <v>0</v>
      </c>
      <c r="M1206" s="355">
        <v>6</v>
      </c>
      <c r="N1206" s="355">
        <v>4</v>
      </c>
    </row>
    <row r="1207" spans="1:14" hidden="1" x14ac:dyDescent="0.25">
      <c r="A1207" s="354">
        <v>0</v>
      </c>
      <c r="B1207" s="354">
        <v>0</v>
      </c>
      <c r="C1207" s="354">
        <v>1</v>
      </c>
      <c r="D1207" s="354">
        <v>0</v>
      </c>
      <c r="E1207" s="354">
        <v>2</v>
      </c>
      <c r="F1207" s="354">
        <v>0</v>
      </c>
      <c r="G1207" s="354">
        <v>0</v>
      </c>
      <c r="H1207" s="354">
        <v>2</v>
      </c>
      <c r="I1207" s="354">
        <v>1</v>
      </c>
      <c r="J1207" s="354">
        <v>1</v>
      </c>
      <c r="K1207" s="354">
        <v>0</v>
      </c>
      <c r="L1207" s="354">
        <v>0</v>
      </c>
      <c r="M1207" s="355">
        <v>4</v>
      </c>
      <c r="N1207" s="355">
        <v>3</v>
      </c>
    </row>
    <row r="1208" spans="1:14" hidden="1" x14ac:dyDescent="0.25">
      <c r="A1208" s="354">
        <v>0</v>
      </c>
      <c r="B1208" s="354">
        <v>0</v>
      </c>
      <c r="C1208" s="354">
        <v>1</v>
      </c>
      <c r="D1208" s="354">
        <v>0</v>
      </c>
      <c r="E1208" s="354">
        <v>2</v>
      </c>
      <c r="F1208" s="354">
        <v>2</v>
      </c>
      <c r="G1208" s="354">
        <v>1</v>
      </c>
      <c r="H1208" s="354">
        <v>1</v>
      </c>
      <c r="I1208" s="354">
        <v>1</v>
      </c>
      <c r="J1208" s="354">
        <v>1</v>
      </c>
      <c r="K1208" s="354">
        <v>0</v>
      </c>
      <c r="L1208" s="354">
        <v>0</v>
      </c>
      <c r="M1208" s="355">
        <v>5</v>
      </c>
      <c r="N1208" s="355">
        <v>4</v>
      </c>
    </row>
    <row r="1209" spans="1:14" hidden="1" x14ac:dyDescent="0.25">
      <c r="A1209" s="354">
        <v>0</v>
      </c>
      <c r="B1209" s="354">
        <v>0</v>
      </c>
      <c r="C1209" s="354">
        <v>1</v>
      </c>
      <c r="D1209" s="354">
        <v>0</v>
      </c>
      <c r="E1209" s="354">
        <v>2</v>
      </c>
      <c r="F1209" s="354">
        <v>1</v>
      </c>
      <c r="G1209" s="354">
        <v>1</v>
      </c>
      <c r="H1209" s="354">
        <v>2</v>
      </c>
      <c r="I1209" s="354">
        <v>1</v>
      </c>
      <c r="J1209" s="354">
        <v>1</v>
      </c>
      <c r="K1209" s="354">
        <v>0</v>
      </c>
      <c r="L1209" s="354">
        <v>0</v>
      </c>
      <c r="M1209" s="355">
        <v>5</v>
      </c>
      <c r="N1209" s="355">
        <v>4</v>
      </c>
    </row>
    <row r="1210" spans="1:14" hidden="1" x14ac:dyDescent="0.25">
      <c r="A1210" s="354">
        <v>0</v>
      </c>
      <c r="B1210" s="354">
        <v>0</v>
      </c>
      <c r="C1210" s="354">
        <v>0</v>
      </c>
      <c r="D1210" s="354">
        <v>1</v>
      </c>
      <c r="E1210" s="354">
        <v>2</v>
      </c>
      <c r="F1210" s="354">
        <v>2</v>
      </c>
      <c r="G1210" s="354">
        <v>1</v>
      </c>
      <c r="H1210" s="354">
        <v>1</v>
      </c>
      <c r="I1210" s="354">
        <v>1</v>
      </c>
      <c r="J1210" s="354">
        <v>1</v>
      </c>
      <c r="K1210" s="354">
        <v>0</v>
      </c>
      <c r="L1210" s="354">
        <v>0</v>
      </c>
      <c r="M1210" s="355">
        <v>4</v>
      </c>
      <c r="N1210" s="355">
        <v>5</v>
      </c>
    </row>
    <row r="1211" spans="1:14" hidden="1" x14ac:dyDescent="0.25">
      <c r="A1211" s="354">
        <v>2</v>
      </c>
      <c r="B1211" s="354">
        <v>0</v>
      </c>
      <c r="C1211" s="354">
        <v>0</v>
      </c>
      <c r="D1211" s="354">
        <v>2</v>
      </c>
      <c r="E1211" s="354">
        <v>3</v>
      </c>
      <c r="F1211" s="354">
        <v>1</v>
      </c>
      <c r="G1211" s="354">
        <v>0</v>
      </c>
      <c r="H1211" s="354">
        <v>3</v>
      </c>
      <c r="I1211" s="354">
        <v>1</v>
      </c>
      <c r="J1211" s="354">
        <v>1</v>
      </c>
      <c r="K1211" s="354">
        <v>0</v>
      </c>
      <c r="L1211" s="354">
        <v>0</v>
      </c>
      <c r="M1211" s="355">
        <v>6</v>
      </c>
      <c r="N1211" s="355">
        <v>7</v>
      </c>
    </row>
    <row r="1212" spans="1:14" hidden="1" x14ac:dyDescent="0.25">
      <c r="A1212" s="354">
        <v>1</v>
      </c>
      <c r="B1212" s="354">
        <v>1</v>
      </c>
      <c r="C1212" s="354">
        <v>2</v>
      </c>
      <c r="D1212" s="354">
        <v>0</v>
      </c>
      <c r="E1212" s="354">
        <v>5</v>
      </c>
      <c r="F1212" s="354">
        <v>2</v>
      </c>
      <c r="G1212" s="354">
        <v>2</v>
      </c>
      <c r="H1212" s="354">
        <v>0</v>
      </c>
      <c r="I1212" s="354">
        <v>1</v>
      </c>
      <c r="J1212" s="354">
        <v>1</v>
      </c>
      <c r="K1212" s="354">
        <v>0</v>
      </c>
      <c r="L1212" s="354">
        <v>0</v>
      </c>
      <c r="M1212" s="355">
        <v>11</v>
      </c>
      <c r="N1212" s="355">
        <v>4</v>
      </c>
    </row>
    <row r="1213" spans="1:14" hidden="1" x14ac:dyDescent="0.25">
      <c r="A1213" s="354">
        <v>1</v>
      </c>
      <c r="B1213" s="354">
        <v>1</v>
      </c>
      <c r="C1213" s="354">
        <v>0</v>
      </c>
      <c r="D1213" s="354">
        <v>0</v>
      </c>
      <c r="E1213" s="354">
        <v>2</v>
      </c>
      <c r="F1213" s="354">
        <v>1</v>
      </c>
      <c r="G1213" s="354">
        <v>2</v>
      </c>
      <c r="H1213" s="354">
        <v>1</v>
      </c>
      <c r="I1213" s="354">
        <v>3</v>
      </c>
      <c r="J1213" s="354">
        <v>1</v>
      </c>
      <c r="K1213" s="354">
        <v>0</v>
      </c>
      <c r="L1213" s="354">
        <v>0</v>
      </c>
      <c r="M1213" s="355">
        <v>8</v>
      </c>
      <c r="N1213" s="355">
        <v>4</v>
      </c>
    </row>
    <row r="1214" spans="1:14" hidden="1" x14ac:dyDescent="0.25">
      <c r="A1214" s="354">
        <v>0</v>
      </c>
      <c r="B1214" s="354">
        <v>0</v>
      </c>
      <c r="C1214" s="354">
        <v>0</v>
      </c>
      <c r="D1214" s="354">
        <v>2</v>
      </c>
      <c r="E1214" s="354">
        <v>2</v>
      </c>
      <c r="F1214" s="354">
        <v>1</v>
      </c>
      <c r="G1214" s="354">
        <v>0</v>
      </c>
      <c r="H1214" s="354">
        <v>2</v>
      </c>
      <c r="I1214" s="354">
        <v>1</v>
      </c>
      <c r="J1214" s="354">
        <v>1</v>
      </c>
      <c r="K1214" s="354">
        <v>0</v>
      </c>
      <c r="L1214" s="354">
        <v>0</v>
      </c>
      <c r="M1214" s="355">
        <v>3</v>
      </c>
      <c r="N1214" s="355">
        <v>6</v>
      </c>
    </row>
    <row r="1215" spans="1:14" hidden="1" x14ac:dyDescent="0.25">
      <c r="A1215" s="354">
        <v>0</v>
      </c>
      <c r="B1215" s="354">
        <v>0</v>
      </c>
      <c r="C1215" s="354">
        <v>1</v>
      </c>
      <c r="D1215" s="354">
        <v>1</v>
      </c>
      <c r="E1215" s="354">
        <v>2</v>
      </c>
      <c r="F1215" s="354">
        <v>1</v>
      </c>
      <c r="G1215" s="354">
        <v>1</v>
      </c>
      <c r="H1215" s="354">
        <v>0</v>
      </c>
      <c r="I1215" s="354">
        <v>1</v>
      </c>
      <c r="J1215" s="354">
        <v>1</v>
      </c>
      <c r="K1215" s="354">
        <v>1</v>
      </c>
      <c r="L1215" s="354">
        <v>0</v>
      </c>
      <c r="M1215" s="355">
        <v>6</v>
      </c>
      <c r="N1215" s="355">
        <v>3</v>
      </c>
    </row>
    <row r="1216" spans="1:14" hidden="1" x14ac:dyDescent="0.25">
      <c r="A1216" s="354">
        <v>0</v>
      </c>
      <c r="B1216" s="354">
        <v>1</v>
      </c>
      <c r="C1216" s="354">
        <v>1</v>
      </c>
      <c r="D1216" s="354">
        <v>0</v>
      </c>
      <c r="E1216" s="354">
        <v>2</v>
      </c>
      <c r="F1216" s="354">
        <v>1</v>
      </c>
      <c r="G1216" s="354">
        <v>1</v>
      </c>
      <c r="H1216" s="354">
        <v>0</v>
      </c>
      <c r="I1216" s="354">
        <v>1</v>
      </c>
      <c r="J1216" s="354">
        <v>1</v>
      </c>
      <c r="K1216" s="354">
        <v>0</v>
      </c>
      <c r="L1216" s="354">
        <v>0</v>
      </c>
      <c r="M1216" s="355">
        <v>5</v>
      </c>
      <c r="N1216" s="355">
        <v>3</v>
      </c>
    </row>
    <row r="1217" spans="1:14" hidden="1" x14ac:dyDescent="0.25">
      <c r="A1217" s="354">
        <v>1</v>
      </c>
      <c r="B1217" s="354">
        <v>0</v>
      </c>
      <c r="C1217" s="354">
        <v>2</v>
      </c>
      <c r="D1217" s="354">
        <v>1</v>
      </c>
      <c r="E1217" s="354">
        <v>1</v>
      </c>
      <c r="F1217" s="354">
        <v>1</v>
      </c>
      <c r="G1217" s="354">
        <v>1</v>
      </c>
      <c r="H1217" s="354">
        <v>0</v>
      </c>
      <c r="I1217" s="354">
        <v>1</v>
      </c>
      <c r="J1217" s="354">
        <v>1</v>
      </c>
      <c r="K1217" s="354">
        <v>0</v>
      </c>
      <c r="L1217" s="354">
        <v>0</v>
      </c>
      <c r="M1217" s="355">
        <v>6</v>
      </c>
      <c r="N1217" s="355">
        <v>3</v>
      </c>
    </row>
    <row r="1218" spans="1:14" hidden="1" x14ac:dyDescent="0.25">
      <c r="A1218" s="354">
        <v>0</v>
      </c>
      <c r="B1218" s="354">
        <v>0</v>
      </c>
      <c r="C1218" s="354">
        <v>0</v>
      </c>
      <c r="D1218" s="354">
        <v>1</v>
      </c>
      <c r="E1218" s="354">
        <v>2</v>
      </c>
      <c r="F1218" s="354">
        <v>2</v>
      </c>
      <c r="G1218" s="354">
        <v>0</v>
      </c>
      <c r="H1218" s="354">
        <v>1</v>
      </c>
      <c r="I1218" s="354">
        <v>2</v>
      </c>
      <c r="J1218" s="354">
        <v>3</v>
      </c>
      <c r="K1218" s="354">
        <v>0</v>
      </c>
      <c r="L1218" s="354">
        <v>0</v>
      </c>
      <c r="M1218" s="355">
        <v>4</v>
      </c>
      <c r="N1218" s="355">
        <v>7</v>
      </c>
    </row>
    <row r="1219" spans="1:14" hidden="1" x14ac:dyDescent="0.25">
      <c r="A1219" s="354">
        <v>1</v>
      </c>
      <c r="B1219" s="354">
        <v>0</v>
      </c>
      <c r="C1219" s="354">
        <v>1</v>
      </c>
      <c r="D1219" s="354">
        <v>2</v>
      </c>
      <c r="E1219" s="354">
        <v>1</v>
      </c>
      <c r="F1219" s="354">
        <v>1</v>
      </c>
      <c r="G1219" s="354">
        <v>1</v>
      </c>
      <c r="H1219" s="354">
        <v>0</v>
      </c>
      <c r="I1219" s="354">
        <v>1</v>
      </c>
      <c r="J1219" s="354">
        <v>1</v>
      </c>
      <c r="K1219" s="354">
        <v>0</v>
      </c>
      <c r="L1219" s="354">
        <v>0</v>
      </c>
      <c r="M1219" s="355">
        <v>5</v>
      </c>
      <c r="N1219" s="355">
        <v>4</v>
      </c>
    </row>
    <row r="1220" spans="1:14" hidden="1" x14ac:dyDescent="0.25">
      <c r="A1220" s="354">
        <v>1</v>
      </c>
      <c r="B1220" s="354">
        <v>0</v>
      </c>
      <c r="C1220" s="354">
        <v>0</v>
      </c>
      <c r="D1220" s="354">
        <v>0</v>
      </c>
      <c r="E1220" s="354">
        <v>1</v>
      </c>
      <c r="F1220" s="354">
        <v>0</v>
      </c>
      <c r="G1220" s="354">
        <v>1</v>
      </c>
      <c r="H1220" s="354">
        <v>0</v>
      </c>
      <c r="I1220" s="354">
        <v>1</v>
      </c>
      <c r="J1220" s="354">
        <v>2</v>
      </c>
      <c r="K1220" s="354">
        <v>0</v>
      </c>
      <c r="L1220" s="354">
        <v>0</v>
      </c>
      <c r="M1220" s="355">
        <v>4</v>
      </c>
      <c r="N1220" s="355">
        <v>2</v>
      </c>
    </row>
    <row r="1221" spans="1:14" hidden="1" x14ac:dyDescent="0.25">
      <c r="A1221" s="354">
        <v>1</v>
      </c>
      <c r="B1221" s="354">
        <v>2</v>
      </c>
      <c r="C1221" s="354">
        <v>0</v>
      </c>
      <c r="D1221" s="354">
        <v>0</v>
      </c>
      <c r="E1221" s="354">
        <v>1</v>
      </c>
      <c r="F1221" s="354">
        <v>0</v>
      </c>
      <c r="G1221" s="354">
        <v>1</v>
      </c>
      <c r="H1221" s="354">
        <v>0</v>
      </c>
      <c r="I1221" s="354">
        <v>0</v>
      </c>
      <c r="J1221" s="354">
        <v>1</v>
      </c>
      <c r="K1221" s="354">
        <v>1</v>
      </c>
      <c r="L1221" s="354">
        <v>0</v>
      </c>
      <c r="M1221" s="355">
        <v>4</v>
      </c>
      <c r="N1221" s="355">
        <v>3</v>
      </c>
    </row>
    <row r="1222" spans="1:14" hidden="1" x14ac:dyDescent="0.25">
      <c r="A1222" s="354">
        <v>0</v>
      </c>
      <c r="B1222" s="354">
        <v>0</v>
      </c>
      <c r="C1222" s="354">
        <v>0</v>
      </c>
      <c r="D1222" s="354">
        <v>0</v>
      </c>
      <c r="E1222" s="354">
        <v>0</v>
      </c>
      <c r="F1222" s="354">
        <v>0</v>
      </c>
      <c r="G1222" s="354">
        <v>0</v>
      </c>
      <c r="H1222" s="354">
        <v>0</v>
      </c>
      <c r="I1222" s="354">
        <v>1</v>
      </c>
      <c r="J1222" s="354">
        <v>1</v>
      </c>
      <c r="K1222" s="354">
        <v>0</v>
      </c>
      <c r="L1222" s="354">
        <v>0</v>
      </c>
      <c r="M1222" s="355">
        <v>1</v>
      </c>
      <c r="N1222" s="355">
        <v>1</v>
      </c>
    </row>
    <row r="1223" spans="1:14" hidden="1" x14ac:dyDescent="0.25">
      <c r="A1223" s="354">
        <v>0</v>
      </c>
      <c r="B1223" s="354">
        <v>0</v>
      </c>
      <c r="C1223" s="354">
        <v>0</v>
      </c>
      <c r="D1223" s="354">
        <v>0</v>
      </c>
      <c r="E1223" s="354">
        <v>0</v>
      </c>
      <c r="F1223" s="354">
        <v>0</v>
      </c>
      <c r="G1223" s="354">
        <v>0</v>
      </c>
      <c r="H1223" s="354">
        <v>0</v>
      </c>
      <c r="I1223" s="354">
        <v>1</v>
      </c>
      <c r="J1223" s="354">
        <v>1</v>
      </c>
      <c r="K1223" s="354">
        <v>0</v>
      </c>
      <c r="L1223" s="354">
        <v>0</v>
      </c>
      <c r="M1223" s="355">
        <v>1</v>
      </c>
      <c r="N1223" s="355">
        <v>1</v>
      </c>
    </row>
    <row r="1224" spans="1:14" hidden="1" x14ac:dyDescent="0.25">
      <c r="A1224" s="354">
        <v>2</v>
      </c>
      <c r="B1224" s="354">
        <v>1</v>
      </c>
      <c r="C1224" s="354">
        <v>1</v>
      </c>
      <c r="D1224" s="354">
        <v>1</v>
      </c>
      <c r="E1224" s="354">
        <v>1</v>
      </c>
      <c r="F1224" s="354">
        <v>1</v>
      </c>
      <c r="G1224" s="354">
        <v>0</v>
      </c>
      <c r="H1224" s="354">
        <v>2</v>
      </c>
      <c r="I1224" s="354">
        <v>1</v>
      </c>
      <c r="J1224" s="354">
        <v>1</v>
      </c>
      <c r="K1224" s="354">
        <v>0</v>
      </c>
      <c r="L1224" s="354">
        <v>0</v>
      </c>
      <c r="M1224" s="355">
        <v>5</v>
      </c>
      <c r="N1224" s="355">
        <v>6</v>
      </c>
    </row>
    <row r="1225" spans="1:14" hidden="1" x14ac:dyDescent="0.25">
      <c r="A1225" s="354">
        <v>1</v>
      </c>
      <c r="B1225" s="354">
        <v>0</v>
      </c>
      <c r="C1225" s="354">
        <v>0</v>
      </c>
      <c r="D1225" s="354">
        <v>1</v>
      </c>
      <c r="E1225" s="354">
        <v>1</v>
      </c>
      <c r="F1225" s="354">
        <v>0</v>
      </c>
      <c r="G1225" s="354">
        <v>1</v>
      </c>
      <c r="H1225" s="354">
        <v>0</v>
      </c>
      <c r="I1225" s="354">
        <v>1</v>
      </c>
      <c r="J1225" s="354">
        <v>1</v>
      </c>
      <c r="K1225" s="354">
        <v>0</v>
      </c>
      <c r="L1225" s="354">
        <v>0</v>
      </c>
      <c r="M1225" s="355">
        <v>4</v>
      </c>
      <c r="N1225" s="355">
        <v>2</v>
      </c>
    </row>
    <row r="1226" spans="1:14" hidden="1" x14ac:dyDescent="0.25">
      <c r="A1226" s="354">
        <v>1</v>
      </c>
      <c r="B1226" s="354">
        <v>0</v>
      </c>
      <c r="C1226" s="354">
        <v>0</v>
      </c>
      <c r="D1226" s="354">
        <v>1</v>
      </c>
      <c r="E1226" s="354">
        <v>1</v>
      </c>
      <c r="F1226" s="354">
        <v>0</v>
      </c>
      <c r="G1226" s="354">
        <v>1</v>
      </c>
      <c r="H1226" s="354">
        <v>1</v>
      </c>
      <c r="I1226" s="354">
        <v>1</v>
      </c>
      <c r="J1226" s="354">
        <v>1</v>
      </c>
      <c r="K1226" s="354">
        <v>0</v>
      </c>
      <c r="L1226" s="354">
        <v>1</v>
      </c>
      <c r="M1226" s="355">
        <v>4</v>
      </c>
      <c r="N1226" s="355">
        <v>4</v>
      </c>
    </row>
    <row r="1227" spans="1:14" hidden="1" x14ac:dyDescent="0.25">
      <c r="A1227" s="354">
        <v>1</v>
      </c>
      <c r="B1227" s="354">
        <v>0</v>
      </c>
      <c r="C1227" s="354">
        <v>1</v>
      </c>
      <c r="D1227" s="354">
        <v>0</v>
      </c>
      <c r="E1227" s="354">
        <v>1</v>
      </c>
      <c r="F1227" s="354">
        <v>1</v>
      </c>
      <c r="G1227" s="354">
        <v>0</v>
      </c>
      <c r="H1227" s="354">
        <v>1</v>
      </c>
      <c r="I1227" s="354">
        <v>1</v>
      </c>
      <c r="J1227" s="354">
        <v>1</v>
      </c>
      <c r="K1227" s="354">
        <v>0</v>
      </c>
      <c r="L1227" s="354">
        <v>0</v>
      </c>
      <c r="M1227" s="355">
        <v>4</v>
      </c>
      <c r="N1227" s="355">
        <v>3</v>
      </c>
    </row>
    <row r="1228" spans="1:14" hidden="1" x14ac:dyDescent="0.25">
      <c r="A1228" s="354">
        <v>1</v>
      </c>
      <c r="B1228" s="354">
        <v>0</v>
      </c>
      <c r="C1228" s="354">
        <v>1</v>
      </c>
      <c r="D1228" s="354">
        <v>1</v>
      </c>
      <c r="E1228" s="354">
        <v>0</v>
      </c>
      <c r="F1228" s="354">
        <v>1</v>
      </c>
      <c r="G1228" s="354">
        <v>1</v>
      </c>
      <c r="H1228" s="354">
        <v>0</v>
      </c>
      <c r="I1228" s="354">
        <v>1</v>
      </c>
      <c r="J1228" s="354">
        <v>1</v>
      </c>
      <c r="K1228" s="354">
        <v>0</v>
      </c>
      <c r="L1228" s="354">
        <v>0</v>
      </c>
      <c r="M1228" s="355">
        <v>4</v>
      </c>
      <c r="N1228" s="355">
        <v>3</v>
      </c>
    </row>
    <row r="1229" spans="1:14" hidden="1" x14ac:dyDescent="0.25">
      <c r="A1229" s="354">
        <v>1</v>
      </c>
      <c r="B1229" s="354">
        <v>1</v>
      </c>
      <c r="C1229" s="354">
        <v>0</v>
      </c>
      <c r="D1229" s="354">
        <v>1</v>
      </c>
      <c r="E1229" s="354">
        <v>0</v>
      </c>
      <c r="F1229" s="354">
        <v>1</v>
      </c>
      <c r="G1229" s="354">
        <v>0</v>
      </c>
      <c r="H1229" s="354">
        <v>1</v>
      </c>
      <c r="I1229" s="354">
        <v>1</v>
      </c>
      <c r="J1229" s="354">
        <v>1</v>
      </c>
      <c r="K1229" s="354">
        <v>0</v>
      </c>
      <c r="L1229" s="354">
        <v>0</v>
      </c>
      <c r="M1229" s="355">
        <v>2</v>
      </c>
      <c r="N1229" s="355">
        <v>5</v>
      </c>
    </row>
    <row r="1230" spans="1:14" hidden="1" x14ac:dyDescent="0.25">
      <c r="A1230" s="354">
        <v>0</v>
      </c>
      <c r="B1230" s="354">
        <v>1</v>
      </c>
      <c r="C1230" s="354">
        <v>0</v>
      </c>
      <c r="D1230" s="354">
        <v>0</v>
      </c>
      <c r="E1230" s="354">
        <v>0</v>
      </c>
      <c r="F1230" s="354">
        <v>0</v>
      </c>
      <c r="G1230" s="354">
        <v>0</v>
      </c>
      <c r="H1230" s="354">
        <v>0</v>
      </c>
      <c r="I1230" s="354">
        <v>1</v>
      </c>
      <c r="J1230" s="354">
        <v>1</v>
      </c>
      <c r="K1230" s="354">
        <v>0</v>
      </c>
      <c r="L1230" s="354">
        <v>0</v>
      </c>
      <c r="M1230" s="355">
        <v>1</v>
      </c>
      <c r="N1230" s="355">
        <v>2</v>
      </c>
    </row>
    <row r="1231" spans="1:14" hidden="1" x14ac:dyDescent="0.25">
      <c r="A1231" s="354">
        <v>0</v>
      </c>
      <c r="B1231" s="354">
        <v>1</v>
      </c>
      <c r="C1231" s="354">
        <v>2</v>
      </c>
      <c r="D1231" s="354">
        <v>0</v>
      </c>
      <c r="E1231" s="354">
        <v>1</v>
      </c>
      <c r="F1231" s="354">
        <v>2</v>
      </c>
      <c r="G1231" s="354">
        <v>1</v>
      </c>
      <c r="H1231" s="354">
        <v>1</v>
      </c>
      <c r="I1231" s="354">
        <v>3</v>
      </c>
      <c r="J1231" s="354">
        <v>2</v>
      </c>
      <c r="K1231" s="354">
        <v>0</v>
      </c>
      <c r="L1231" s="354">
        <v>0</v>
      </c>
      <c r="M1231" s="355">
        <v>7</v>
      </c>
      <c r="N1231" s="355">
        <v>6</v>
      </c>
    </row>
    <row r="1232" spans="1:14" hidden="1" x14ac:dyDescent="0.25">
      <c r="A1232" s="354">
        <v>0</v>
      </c>
      <c r="B1232" s="354">
        <v>0</v>
      </c>
      <c r="C1232" s="354">
        <v>0</v>
      </c>
      <c r="D1232" s="354">
        <v>0</v>
      </c>
      <c r="E1232" s="354">
        <v>0</v>
      </c>
      <c r="F1232" s="354">
        <v>0</v>
      </c>
      <c r="G1232" s="354">
        <v>0</v>
      </c>
      <c r="H1232" s="354">
        <v>0</v>
      </c>
      <c r="I1232" s="354">
        <v>1</v>
      </c>
      <c r="J1232" s="354">
        <v>1</v>
      </c>
      <c r="K1232" s="354">
        <v>0</v>
      </c>
      <c r="L1232" s="354">
        <v>0</v>
      </c>
      <c r="M1232" s="355">
        <v>1</v>
      </c>
      <c r="N1232" s="355">
        <v>1</v>
      </c>
    </row>
    <row r="1233" spans="1:14" hidden="1" x14ac:dyDescent="0.25">
      <c r="A1233" s="354">
        <v>1</v>
      </c>
      <c r="B1233" s="354">
        <v>0</v>
      </c>
      <c r="C1233" s="354">
        <v>1</v>
      </c>
      <c r="D1233" s="354">
        <v>0</v>
      </c>
      <c r="E1233" s="354">
        <v>0</v>
      </c>
      <c r="F1233" s="354">
        <v>0</v>
      </c>
      <c r="G1233" s="354">
        <v>0</v>
      </c>
      <c r="H1233" s="354">
        <v>0</v>
      </c>
      <c r="I1233" s="354">
        <v>1</v>
      </c>
      <c r="J1233" s="354">
        <v>1</v>
      </c>
      <c r="K1233" s="354">
        <v>0</v>
      </c>
      <c r="L1233" s="354">
        <v>0</v>
      </c>
      <c r="M1233" s="355">
        <v>3</v>
      </c>
      <c r="N1233" s="355">
        <v>1</v>
      </c>
    </row>
    <row r="1234" spans="1:14" hidden="1" x14ac:dyDescent="0.25">
      <c r="A1234" s="354">
        <v>1</v>
      </c>
      <c r="B1234" s="354">
        <v>0</v>
      </c>
      <c r="C1234" s="354">
        <v>0</v>
      </c>
      <c r="D1234" s="354">
        <v>0</v>
      </c>
      <c r="E1234" s="354">
        <v>0</v>
      </c>
      <c r="F1234" s="354">
        <v>1</v>
      </c>
      <c r="G1234" s="354">
        <v>0</v>
      </c>
      <c r="H1234" s="354">
        <v>0</v>
      </c>
      <c r="I1234" s="354">
        <v>1</v>
      </c>
      <c r="J1234" s="354">
        <v>1</v>
      </c>
      <c r="K1234" s="354">
        <v>0</v>
      </c>
      <c r="L1234" s="354">
        <v>0</v>
      </c>
      <c r="M1234" s="355">
        <v>2</v>
      </c>
      <c r="N1234" s="355">
        <v>2</v>
      </c>
    </row>
    <row r="1235" spans="1:14" hidden="1" x14ac:dyDescent="0.25">
      <c r="A1235" s="354">
        <v>0</v>
      </c>
      <c r="B1235" s="354">
        <v>0</v>
      </c>
      <c r="C1235" s="354">
        <v>0</v>
      </c>
      <c r="D1235" s="354">
        <v>1</v>
      </c>
      <c r="E1235" s="354">
        <v>1</v>
      </c>
      <c r="F1235" s="354">
        <v>1</v>
      </c>
      <c r="G1235" s="354">
        <v>0</v>
      </c>
      <c r="H1235" s="354">
        <v>0</v>
      </c>
      <c r="I1235" s="354">
        <v>0</v>
      </c>
      <c r="J1235" s="354">
        <v>3</v>
      </c>
      <c r="K1235" s="354">
        <v>1</v>
      </c>
      <c r="L1235" s="354">
        <v>0</v>
      </c>
      <c r="M1235" s="355">
        <v>2</v>
      </c>
      <c r="N1235" s="355">
        <v>5</v>
      </c>
    </row>
    <row r="1236" spans="1:14" hidden="1" x14ac:dyDescent="0.25">
      <c r="A1236" s="354">
        <v>1</v>
      </c>
      <c r="B1236" s="354">
        <v>0</v>
      </c>
      <c r="C1236" s="354">
        <v>0</v>
      </c>
      <c r="D1236" s="354">
        <v>1</v>
      </c>
      <c r="E1236" s="354">
        <v>1</v>
      </c>
      <c r="F1236" s="354">
        <v>0</v>
      </c>
      <c r="G1236" s="354">
        <v>0</v>
      </c>
      <c r="H1236" s="354">
        <v>0</v>
      </c>
      <c r="I1236" s="354">
        <v>1</v>
      </c>
      <c r="J1236" s="354">
        <v>1</v>
      </c>
      <c r="K1236" s="354">
        <v>0</v>
      </c>
      <c r="L1236" s="354">
        <v>0</v>
      </c>
      <c r="M1236" s="355">
        <v>3</v>
      </c>
      <c r="N1236" s="355">
        <v>2</v>
      </c>
    </row>
    <row r="1237" spans="1:14" hidden="1" x14ac:dyDescent="0.25">
      <c r="A1237" s="354">
        <v>0</v>
      </c>
      <c r="B1237" s="354">
        <v>0</v>
      </c>
      <c r="C1237" s="354">
        <v>0</v>
      </c>
      <c r="D1237" s="354">
        <v>1</v>
      </c>
      <c r="E1237" s="354">
        <v>1</v>
      </c>
      <c r="F1237" s="354">
        <v>1</v>
      </c>
      <c r="G1237" s="354">
        <v>1</v>
      </c>
      <c r="H1237" s="354">
        <v>0</v>
      </c>
      <c r="I1237" s="354"/>
      <c r="J1237" s="354">
        <v>4</v>
      </c>
      <c r="K1237" s="354">
        <v>1</v>
      </c>
      <c r="L1237" s="354">
        <v>0</v>
      </c>
      <c r="M1237" s="355">
        <v>3</v>
      </c>
      <c r="N1237" s="355">
        <v>6</v>
      </c>
    </row>
    <row r="1238" spans="1:14" hidden="1" x14ac:dyDescent="0.25">
      <c r="A1238" s="354">
        <v>0</v>
      </c>
      <c r="B1238" s="354">
        <v>0</v>
      </c>
      <c r="C1238" s="354">
        <v>1</v>
      </c>
      <c r="D1238" s="354">
        <v>1</v>
      </c>
      <c r="E1238" s="354">
        <v>0</v>
      </c>
      <c r="F1238" s="354">
        <v>1</v>
      </c>
      <c r="G1238" s="354">
        <v>0</v>
      </c>
      <c r="H1238" s="354">
        <v>0</v>
      </c>
      <c r="I1238" s="354">
        <v>1</v>
      </c>
      <c r="J1238" s="354">
        <v>1</v>
      </c>
      <c r="K1238" s="354">
        <v>0</v>
      </c>
      <c r="L1238" s="354">
        <v>0</v>
      </c>
      <c r="M1238" s="355">
        <v>2</v>
      </c>
      <c r="N1238" s="355">
        <v>3</v>
      </c>
    </row>
    <row r="1239" spans="1:14" hidden="1" x14ac:dyDescent="0.25">
      <c r="A1239" s="354">
        <v>0</v>
      </c>
      <c r="B1239" s="354">
        <v>0</v>
      </c>
      <c r="C1239" s="354">
        <v>0</v>
      </c>
      <c r="D1239" s="354">
        <v>0</v>
      </c>
      <c r="E1239" s="354">
        <v>1</v>
      </c>
      <c r="F1239" s="354">
        <v>0</v>
      </c>
      <c r="G1239" s="354">
        <v>1</v>
      </c>
      <c r="H1239" s="354">
        <v>0</v>
      </c>
      <c r="I1239" s="354">
        <v>0</v>
      </c>
      <c r="J1239" s="354">
        <v>2</v>
      </c>
      <c r="K1239" s="354">
        <v>0</v>
      </c>
      <c r="L1239" s="354">
        <v>1</v>
      </c>
      <c r="M1239" s="355">
        <v>2</v>
      </c>
      <c r="N1239" s="355">
        <v>3</v>
      </c>
    </row>
    <row r="1240" spans="1:14" hidden="1" x14ac:dyDescent="0.25">
      <c r="A1240" s="354">
        <v>1</v>
      </c>
      <c r="B1240" s="354">
        <v>0</v>
      </c>
      <c r="C1240" s="354">
        <v>0</v>
      </c>
      <c r="D1240" s="354">
        <v>0</v>
      </c>
      <c r="E1240" s="354">
        <v>0</v>
      </c>
      <c r="F1240" s="354">
        <v>1</v>
      </c>
      <c r="G1240" s="354">
        <v>0</v>
      </c>
      <c r="H1240" s="354">
        <v>1</v>
      </c>
      <c r="I1240" s="354">
        <v>1</v>
      </c>
      <c r="J1240" s="354">
        <v>2</v>
      </c>
      <c r="K1240" s="354">
        <v>0</v>
      </c>
      <c r="L1240" s="354">
        <v>0</v>
      </c>
      <c r="M1240" s="355">
        <v>2</v>
      </c>
      <c r="N1240" s="355">
        <v>4</v>
      </c>
    </row>
    <row r="1241" spans="1:14" hidden="1" x14ac:dyDescent="0.25">
      <c r="A1241" s="354">
        <v>0</v>
      </c>
      <c r="B1241" s="354">
        <v>0</v>
      </c>
      <c r="C1241" s="354">
        <v>0</v>
      </c>
      <c r="D1241" s="354">
        <v>0</v>
      </c>
      <c r="E1241" s="354">
        <v>0</v>
      </c>
      <c r="F1241" s="354">
        <v>1</v>
      </c>
      <c r="G1241" s="354">
        <v>0</v>
      </c>
      <c r="H1241" s="354">
        <v>0</v>
      </c>
      <c r="I1241" s="354">
        <v>0</v>
      </c>
      <c r="J1241" s="354">
        <v>2</v>
      </c>
      <c r="K1241" s="354">
        <v>0</v>
      </c>
      <c r="L1241" s="354">
        <v>0</v>
      </c>
      <c r="M1241" s="355">
        <v>0</v>
      </c>
      <c r="N1241" s="355">
        <v>3</v>
      </c>
    </row>
    <row r="1242" spans="1:14" hidden="1" x14ac:dyDescent="0.25">
      <c r="A1242" s="354">
        <v>0</v>
      </c>
      <c r="B1242" s="354">
        <v>1</v>
      </c>
      <c r="C1242" s="354">
        <v>2</v>
      </c>
      <c r="D1242" s="354">
        <v>0</v>
      </c>
      <c r="E1242" s="354">
        <v>1</v>
      </c>
      <c r="F1242" s="354">
        <v>0</v>
      </c>
      <c r="G1242" s="354">
        <v>0</v>
      </c>
      <c r="H1242" s="354">
        <v>0</v>
      </c>
      <c r="I1242" s="354">
        <v>1</v>
      </c>
      <c r="J1242" s="354">
        <v>3</v>
      </c>
      <c r="K1242" s="354">
        <v>0</v>
      </c>
      <c r="L1242" s="354">
        <v>0</v>
      </c>
      <c r="M1242" s="355">
        <v>4</v>
      </c>
      <c r="N1242" s="355">
        <v>4</v>
      </c>
    </row>
    <row r="1243" spans="1:14" hidden="1" x14ac:dyDescent="0.25">
      <c r="A1243" s="354">
        <v>0</v>
      </c>
      <c r="B1243" s="354">
        <v>0</v>
      </c>
      <c r="C1243" s="354">
        <v>1</v>
      </c>
      <c r="D1243" s="354">
        <v>0</v>
      </c>
      <c r="E1243" s="354">
        <v>0</v>
      </c>
      <c r="F1243" s="354">
        <v>1</v>
      </c>
      <c r="G1243" s="354">
        <v>1</v>
      </c>
      <c r="H1243" s="354">
        <v>0</v>
      </c>
      <c r="I1243" s="354">
        <v>2</v>
      </c>
      <c r="J1243" s="354">
        <v>1</v>
      </c>
      <c r="K1243" s="354">
        <v>0</v>
      </c>
      <c r="L1243" s="354">
        <v>0</v>
      </c>
      <c r="M1243" s="355">
        <v>4</v>
      </c>
      <c r="N1243" s="355">
        <v>2</v>
      </c>
    </row>
    <row r="1244" spans="1:14" hidden="1" x14ac:dyDescent="0.25">
      <c r="A1244" s="354">
        <v>0</v>
      </c>
      <c r="B1244" s="354">
        <v>0</v>
      </c>
      <c r="C1244" s="354">
        <v>0</v>
      </c>
      <c r="D1244" s="354">
        <v>0</v>
      </c>
      <c r="E1244" s="354">
        <v>0</v>
      </c>
      <c r="F1244" s="354">
        <v>0</v>
      </c>
      <c r="G1244" s="354">
        <v>0</v>
      </c>
      <c r="H1244" s="354">
        <v>0</v>
      </c>
      <c r="I1244" s="354">
        <v>0</v>
      </c>
      <c r="J1244" s="354">
        <v>1</v>
      </c>
      <c r="K1244" s="354">
        <v>1</v>
      </c>
      <c r="L1244" s="354">
        <v>0</v>
      </c>
      <c r="M1244" s="355">
        <v>1</v>
      </c>
      <c r="N1244" s="355">
        <v>1</v>
      </c>
    </row>
    <row r="1245" spans="1:14" hidden="1" x14ac:dyDescent="0.25">
      <c r="A1245" s="354">
        <v>0</v>
      </c>
      <c r="B1245" s="354">
        <v>1</v>
      </c>
      <c r="C1245" s="354">
        <v>1</v>
      </c>
      <c r="D1245" s="354">
        <v>0</v>
      </c>
      <c r="E1245" s="354">
        <v>0</v>
      </c>
      <c r="F1245" s="354">
        <v>0</v>
      </c>
      <c r="G1245" s="354">
        <v>0</v>
      </c>
      <c r="H1245" s="354">
        <v>0</v>
      </c>
      <c r="I1245" s="354">
        <v>1</v>
      </c>
      <c r="J1245" s="354">
        <v>1</v>
      </c>
      <c r="K1245" s="354">
        <v>0</v>
      </c>
      <c r="L1245" s="354">
        <v>0</v>
      </c>
      <c r="M1245" s="355">
        <v>2</v>
      </c>
      <c r="N1245" s="355">
        <v>2</v>
      </c>
    </row>
    <row r="1246" spans="1:14" hidden="1" x14ac:dyDescent="0.25">
      <c r="A1246" s="354">
        <v>0</v>
      </c>
      <c r="B1246" s="354">
        <v>0</v>
      </c>
      <c r="C1246" s="354">
        <v>0</v>
      </c>
      <c r="D1246" s="354">
        <v>0</v>
      </c>
      <c r="E1246" s="354">
        <v>0</v>
      </c>
      <c r="F1246" s="354">
        <v>0</v>
      </c>
      <c r="G1246" s="354">
        <v>0</v>
      </c>
      <c r="H1246" s="354">
        <v>1</v>
      </c>
      <c r="I1246" s="354">
        <v>1</v>
      </c>
      <c r="J1246" s="354">
        <v>1</v>
      </c>
      <c r="K1246" s="354">
        <v>1</v>
      </c>
      <c r="L1246" s="354">
        <v>0</v>
      </c>
      <c r="M1246" s="355">
        <v>2</v>
      </c>
      <c r="N1246" s="355">
        <v>2</v>
      </c>
    </row>
    <row r="1247" spans="1:14" hidden="1" x14ac:dyDescent="0.25">
      <c r="A1247" s="354">
        <v>0</v>
      </c>
      <c r="B1247" s="354">
        <v>0</v>
      </c>
      <c r="C1247" s="354">
        <v>0</v>
      </c>
      <c r="D1247" s="354">
        <v>0</v>
      </c>
      <c r="E1247" s="354">
        <v>0</v>
      </c>
      <c r="F1247" s="354">
        <v>1</v>
      </c>
      <c r="G1247" s="354">
        <v>1</v>
      </c>
      <c r="H1247" s="354">
        <v>0</v>
      </c>
      <c r="I1247" s="354">
        <v>1</v>
      </c>
      <c r="J1247" s="354">
        <v>3</v>
      </c>
      <c r="K1247" s="354">
        <v>1</v>
      </c>
      <c r="L1247" s="354">
        <v>0</v>
      </c>
      <c r="M1247" s="355">
        <v>3</v>
      </c>
      <c r="N1247" s="355">
        <v>4</v>
      </c>
    </row>
    <row r="1248" spans="1:14" hidden="1" x14ac:dyDescent="0.25">
      <c r="A1248" s="354">
        <v>0</v>
      </c>
      <c r="B1248" s="354">
        <v>1</v>
      </c>
      <c r="C1248" s="354">
        <v>0</v>
      </c>
      <c r="D1248" s="354">
        <v>1</v>
      </c>
      <c r="E1248" s="354">
        <v>2</v>
      </c>
      <c r="F1248" s="354">
        <v>1</v>
      </c>
      <c r="G1248" s="354">
        <v>1</v>
      </c>
      <c r="H1248" s="354">
        <v>1</v>
      </c>
      <c r="I1248" s="354">
        <v>1</v>
      </c>
      <c r="J1248" s="354">
        <v>1</v>
      </c>
      <c r="K1248" s="354">
        <v>0</v>
      </c>
      <c r="L1248" s="354">
        <v>0</v>
      </c>
      <c r="M1248" s="355">
        <v>4</v>
      </c>
      <c r="N1248" s="355">
        <v>5</v>
      </c>
    </row>
    <row r="1249" spans="1:14" hidden="1" x14ac:dyDescent="0.25">
      <c r="A1249" s="354">
        <v>1</v>
      </c>
      <c r="B1249" s="354">
        <v>0</v>
      </c>
      <c r="C1249" s="354">
        <v>0</v>
      </c>
      <c r="D1249" s="354">
        <v>0</v>
      </c>
      <c r="E1249" s="354">
        <v>0</v>
      </c>
      <c r="F1249" s="354">
        <v>0</v>
      </c>
      <c r="G1249" s="354">
        <v>0</v>
      </c>
      <c r="H1249" s="354">
        <v>0</v>
      </c>
      <c r="I1249" s="354">
        <v>1</v>
      </c>
      <c r="J1249" s="354">
        <v>1</v>
      </c>
      <c r="K1249" s="354">
        <v>0</v>
      </c>
      <c r="L1249" s="354">
        <v>0</v>
      </c>
      <c r="M1249" s="355">
        <v>2</v>
      </c>
      <c r="N1249" s="355">
        <v>1</v>
      </c>
    </row>
    <row r="1250" spans="1:14" hidden="1" x14ac:dyDescent="0.25">
      <c r="A1250" s="354">
        <v>0</v>
      </c>
      <c r="B1250" s="354">
        <v>0</v>
      </c>
      <c r="C1250" s="354">
        <v>1</v>
      </c>
      <c r="D1250" s="354">
        <v>0</v>
      </c>
      <c r="E1250" s="354">
        <v>1</v>
      </c>
      <c r="F1250" s="354">
        <v>1</v>
      </c>
      <c r="G1250" s="354">
        <v>1</v>
      </c>
      <c r="H1250" s="354">
        <v>0</v>
      </c>
      <c r="I1250" s="354">
        <v>1</v>
      </c>
      <c r="J1250" s="354">
        <v>1</v>
      </c>
      <c r="K1250" s="354">
        <v>0</v>
      </c>
      <c r="L1250" s="354">
        <v>0</v>
      </c>
      <c r="M1250" s="355">
        <v>4</v>
      </c>
      <c r="N1250" s="355">
        <v>2</v>
      </c>
    </row>
    <row r="1251" spans="1:14" hidden="1" x14ac:dyDescent="0.25">
      <c r="A1251" s="354">
        <v>0</v>
      </c>
      <c r="B1251" s="354">
        <v>0</v>
      </c>
      <c r="C1251" s="354">
        <v>1</v>
      </c>
      <c r="D1251" s="354">
        <v>1</v>
      </c>
      <c r="E1251" s="354">
        <v>2</v>
      </c>
      <c r="F1251" s="354">
        <v>0</v>
      </c>
      <c r="G1251" s="354">
        <v>0</v>
      </c>
      <c r="H1251" s="354">
        <v>1</v>
      </c>
      <c r="I1251" s="354">
        <v>1</v>
      </c>
      <c r="J1251" s="354">
        <v>1</v>
      </c>
      <c r="K1251" s="354">
        <v>0</v>
      </c>
      <c r="L1251" s="354">
        <v>0</v>
      </c>
      <c r="M1251" s="355">
        <v>4</v>
      </c>
      <c r="N1251" s="355">
        <v>3</v>
      </c>
    </row>
    <row r="1252" spans="1:14" hidden="1" x14ac:dyDescent="0.25">
      <c r="A1252" s="354">
        <v>0</v>
      </c>
      <c r="B1252" s="354">
        <v>1</v>
      </c>
      <c r="C1252" s="354">
        <v>1</v>
      </c>
      <c r="D1252" s="354">
        <v>0</v>
      </c>
      <c r="E1252" s="354">
        <v>1</v>
      </c>
      <c r="F1252" s="354">
        <v>2</v>
      </c>
      <c r="G1252" s="354">
        <v>2</v>
      </c>
      <c r="H1252" s="354">
        <v>0</v>
      </c>
      <c r="I1252" s="354">
        <v>1</v>
      </c>
      <c r="J1252" s="354">
        <v>1</v>
      </c>
      <c r="K1252" s="354">
        <v>0</v>
      </c>
      <c r="L1252" s="354">
        <v>0</v>
      </c>
      <c r="M1252" s="355">
        <v>5</v>
      </c>
      <c r="N1252" s="355">
        <v>4</v>
      </c>
    </row>
    <row r="1253" spans="1:14" hidden="1" x14ac:dyDescent="0.25">
      <c r="A1253" s="354">
        <v>0</v>
      </c>
      <c r="B1253" s="354">
        <v>0</v>
      </c>
      <c r="C1253" s="354">
        <v>1</v>
      </c>
      <c r="D1253" s="354">
        <v>0</v>
      </c>
      <c r="E1253" s="354">
        <v>1</v>
      </c>
      <c r="F1253" s="354">
        <v>0</v>
      </c>
      <c r="G1253" s="354">
        <v>2</v>
      </c>
      <c r="H1253" s="354">
        <v>0</v>
      </c>
      <c r="I1253" s="354">
        <v>1</v>
      </c>
      <c r="J1253" s="354">
        <v>1</v>
      </c>
      <c r="K1253" s="354">
        <v>0</v>
      </c>
      <c r="L1253" s="354">
        <v>0</v>
      </c>
      <c r="M1253" s="355">
        <v>5</v>
      </c>
      <c r="N1253" s="355">
        <v>1</v>
      </c>
    </row>
    <row r="1254" spans="1:14" hidden="1" x14ac:dyDescent="0.25">
      <c r="A1254" s="354">
        <v>0</v>
      </c>
      <c r="B1254" s="354">
        <v>1</v>
      </c>
      <c r="C1254" s="354">
        <v>0</v>
      </c>
      <c r="D1254" s="354">
        <v>0</v>
      </c>
      <c r="E1254" s="354">
        <v>1</v>
      </c>
      <c r="F1254" s="354">
        <v>1</v>
      </c>
      <c r="G1254" s="354">
        <v>1</v>
      </c>
      <c r="H1254" s="354">
        <v>0</v>
      </c>
      <c r="I1254" s="354">
        <v>0</v>
      </c>
      <c r="J1254" s="354">
        <v>1</v>
      </c>
      <c r="K1254" s="354">
        <v>0</v>
      </c>
      <c r="L1254" s="354">
        <v>0</v>
      </c>
      <c r="M1254" s="355">
        <v>2</v>
      </c>
      <c r="N1254" s="355">
        <v>3</v>
      </c>
    </row>
    <row r="1255" spans="1:14" hidden="1" x14ac:dyDescent="0.25">
      <c r="A1255" s="354">
        <v>0</v>
      </c>
      <c r="B1255" s="354">
        <v>1</v>
      </c>
      <c r="C1255" s="354">
        <v>0</v>
      </c>
      <c r="D1255" s="354">
        <v>1</v>
      </c>
      <c r="E1255" s="354">
        <v>2</v>
      </c>
      <c r="F1255" s="354">
        <v>1</v>
      </c>
      <c r="G1255" s="354">
        <v>0</v>
      </c>
      <c r="H1255" s="354">
        <v>1</v>
      </c>
      <c r="I1255" s="354">
        <v>1</v>
      </c>
      <c r="J1255" s="354">
        <v>1</v>
      </c>
      <c r="K1255" s="354">
        <v>0</v>
      </c>
      <c r="L1255" s="354">
        <v>0</v>
      </c>
      <c r="M1255" s="355">
        <v>3</v>
      </c>
      <c r="N1255" s="355">
        <v>5</v>
      </c>
    </row>
    <row r="1256" spans="1:14" hidden="1" x14ac:dyDescent="0.25">
      <c r="A1256" s="354">
        <v>0</v>
      </c>
      <c r="B1256" s="354">
        <v>0</v>
      </c>
      <c r="C1256" s="354">
        <v>0</v>
      </c>
      <c r="D1256" s="354">
        <v>0</v>
      </c>
      <c r="E1256" s="354">
        <v>1</v>
      </c>
      <c r="F1256" s="354">
        <v>1</v>
      </c>
      <c r="G1256" s="354">
        <v>3</v>
      </c>
      <c r="H1256" s="354">
        <v>0</v>
      </c>
      <c r="I1256" s="354">
        <v>2</v>
      </c>
      <c r="J1256" s="354">
        <v>1</v>
      </c>
      <c r="K1256" s="354">
        <v>0</v>
      </c>
      <c r="L1256" s="354">
        <v>0</v>
      </c>
      <c r="M1256" s="355">
        <v>6</v>
      </c>
      <c r="N1256" s="355">
        <v>2</v>
      </c>
    </row>
    <row r="1257" spans="1:14" hidden="1" x14ac:dyDescent="0.25">
      <c r="A1257" s="354">
        <v>0</v>
      </c>
      <c r="B1257" s="354">
        <v>1</v>
      </c>
      <c r="C1257" s="354">
        <v>0</v>
      </c>
      <c r="D1257" s="354">
        <v>2</v>
      </c>
      <c r="E1257" s="354">
        <v>2</v>
      </c>
      <c r="F1257" s="354">
        <v>0</v>
      </c>
      <c r="G1257" s="354">
        <v>1</v>
      </c>
      <c r="H1257" s="354">
        <v>0</v>
      </c>
      <c r="I1257" s="354">
        <v>1</v>
      </c>
      <c r="J1257" s="354">
        <v>1</v>
      </c>
      <c r="K1257" s="354">
        <v>0</v>
      </c>
      <c r="L1257" s="354">
        <v>0</v>
      </c>
      <c r="M1257" s="355">
        <v>4</v>
      </c>
      <c r="N1257" s="355">
        <v>4</v>
      </c>
    </row>
    <row r="1258" spans="1:14" hidden="1" x14ac:dyDescent="0.25">
      <c r="A1258" s="354">
        <v>0</v>
      </c>
      <c r="B1258" s="354">
        <v>0</v>
      </c>
      <c r="C1258" s="354">
        <v>0</v>
      </c>
      <c r="D1258" s="354">
        <v>0</v>
      </c>
      <c r="E1258" s="354">
        <v>2</v>
      </c>
      <c r="F1258" s="354">
        <v>1</v>
      </c>
      <c r="G1258" s="354">
        <v>0</v>
      </c>
      <c r="H1258" s="354">
        <v>0</v>
      </c>
      <c r="I1258" s="354">
        <v>0</v>
      </c>
      <c r="J1258" s="354">
        <v>1</v>
      </c>
      <c r="K1258" s="354">
        <v>0</v>
      </c>
      <c r="L1258" s="354">
        <v>0</v>
      </c>
      <c r="M1258" s="355">
        <v>2</v>
      </c>
      <c r="N1258" s="355">
        <v>2</v>
      </c>
    </row>
    <row r="1259" spans="1:14" hidden="1" x14ac:dyDescent="0.25">
      <c r="A1259" s="354">
        <v>1</v>
      </c>
      <c r="B1259" s="354">
        <v>0</v>
      </c>
      <c r="C1259" s="354">
        <v>1</v>
      </c>
      <c r="D1259" s="354">
        <v>1</v>
      </c>
      <c r="E1259" s="354">
        <v>1</v>
      </c>
      <c r="F1259" s="354">
        <v>0</v>
      </c>
      <c r="G1259" s="354">
        <v>0</v>
      </c>
      <c r="H1259" s="354">
        <v>0</v>
      </c>
      <c r="I1259" s="354">
        <v>1</v>
      </c>
      <c r="J1259" s="354">
        <v>1</v>
      </c>
      <c r="K1259" s="354">
        <v>0</v>
      </c>
      <c r="L1259" s="354">
        <v>0</v>
      </c>
      <c r="M1259" s="355">
        <v>4</v>
      </c>
      <c r="N1259" s="355">
        <v>2</v>
      </c>
    </row>
    <row r="1260" spans="1:14" hidden="1" x14ac:dyDescent="0.25">
      <c r="A1260" s="354">
        <v>1</v>
      </c>
      <c r="B1260" s="354">
        <v>0</v>
      </c>
      <c r="C1260" s="354">
        <v>0</v>
      </c>
      <c r="D1260" s="354">
        <v>0</v>
      </c>
      <c r="E1260" s="354">
        <v>0</v>
      </c>
      <c r="F1260" s="354">
        <v>0</v>
      </c>
      <c r="G1260" s="354">
        <v>0</v>
      </c>
      <c r="H1260" s="354">
        <v>0</v>
      </c>
      <c r="I1260" s="354">
        <v>1</v>
      </c>
      <c r="J1260" s="354">
        <v>1</v>
      </c>
      <c r="K1260" s="354">
        <v>0</v>
      </c>
      <c r="L1260" s="354">
        <v>0</v>
      </c>
      <c r="M1260" s="355">
        <v>2</v>
      </c>
      <c r="N1260" s="355">
        <v>1</v>
      </c>
    </row>
    <row r="1261" spans="1:14" hidden="1" x14ac:dyDescent="0.25">
      <c r="A1261" s="354">
        <v>1</v>
      </c>
      <c r="B1261" s="354">
        <v>0</v>
      </c>
      <c r="C1261" s="354">
        <v>1</v>
      </c>
      <c r="D1261" s="354">
        <v>1</v>
      </c>
      <c r="E1261" s="354">
        <v>1</v>
      </c>
      <c r="F1261" s="354">
        <v>1</v>
      </c>
      <c r="G1261" s="354">
        <v>0</v>
      </c>
      <c r="H1261" s="354">
        <v>0</v>
      </c>
      <c r="I1261" s="354">
        <v>1</v>
      </c>
      <c r="J1261" s="354">
        <v>1</v>
      </c>
      <c r="K1261" s="354">
        <v>0</v>
      </c>
      <c r="L1261" s="354">
        <v>1</v>
      </c>
      <c r="M1261" s="355">
        <v>4</v>
      </c>
      <c r="N1261" s="355">
        <v>4</v>
      </c>
    </row>
    <row r="1262" spans="1:14" hidden="1" x14ac:dyDescent="0.25">
      <c r="A1262" s="354">
        <v>0</v>
      </c>
      <c r="B1262" s="354">
        <v>1</v>
      </c>
      <c r="C1262" s="354">
        <v>0</v>
      </c>
      <c r="D1262" s="354">
        <v>1</v>
      </c>
      <c r="E1262" s="354">
        <v>1</v>
      </c>
      <c r="F1262" s="354">
        <v>0</v>
      </c>
      <c r="G1262" s="354">
        <v>0</v>
      </c>
      <c r="H1262" s="354">
        <v>1</v>
      </c>
      <c r="I1262" s="354">
        <v>1</v>
      </c>
      <c r="J1262" s="354">
        <v>0</v>
      </c>
      <c r="K1262" s="354">
        <v>0</v>
      </c>
      <c r="L1262" s="354">
        <v>0</v>
      </c>
      <c r="M1262" s="355">
        <v>2</v>
      </c>
      <c r="N1262" s="355">
        <v>3</v>
      </c>
    </row>
    <row r="1263" spans="1:14" hidden="1" x14ac:dyDescent="0.25">
      <c r="A1263" s="354">
        <v>0</v>
      </c>
      <c r="B1263" s="354">
        <v>1</v>
      </c>
      <c r="C1263" s="354">
        <v>0</v>
      </c>
      <c r="D1263" s="354">
        <v>1</v>
      </c>
      <c r="E1263" s="354">
        <v>1</v>
      </c>
      <c r="F1263" s="354">
        <v>1</v>
      </c>
      <c r="G1263" s="354">
        <v>0</v>
      </c>
      <c r="H1263" s="354">
        <v>2</v>
      </c>
      <c r="I1263" s="354">
        <v>1</v>
      </c>
      <c r="J1263" s="354">
        <v>1</v>
      </c>
      <c r="K1263" s="354">
        <v>0</v>
      </c>
      <c r="L1263" s="354">
        <v>0</v>
      </c>
      <c r="M1263" s="355">
        <v>2</v>
      </c>
      <c r="N1263" s="355">
        <v>6</v>
      </c>
    </row>
    <row r="1264" spans="1:14" hidden="1" x14ac:dyDescent="0.25">
      <c r="A1264" s="354">
        <v>0</v>
      </c>
      <c r="B1264" s="354">
        <v>0</v>
      </c>
      <c r="C1264" s="354">
        <v>1</v>
      </c>
      <c r="D1264" s="354">
        <v>1</v>
      </c>
      <c r="E1264" s="354">
        <v>2</v>
      </c>
      <c r="F1264" s="354">
        <v>1</v>
      </c>
      <c r="G1264" s="354">
        <v>0</v>
      </c>
      <c r="H1264" s="354">
        <v>0</v>
      </c>
      <c r="I1264" s="354">
        <v>1</v>
      </c>
      <c r="J1264" s="354">
        <v>1</v>
      </c>
      <c r="K1264" s="354">
        <v>0</v>
      </c>
      <c r="L1264" s="354">
        <v>0</v>
      </c>
      <c r="M1264" s="355">
        <v>4</v>
      </c>
      <c r="N1264" s="355">
        <v>3</v>
      </c>
    </row>
    <row r="1265" spans="1:14" hidden="1" x14ac:dyDescent="0.25">
      <c r="A1265" s="354">
        <v>0</v>
      </c>
      <c r="B1265" s="354">
        <v>0</v>
      </c>
      <c r="C1265" s="354">
        <v>0</v>
      </c>
      <c r="D1265" s="354">
        <v>0</v>
      </c>
      <c r="E1265" s="354">
        <v>1</v>
      </c>
      <c r="F1265" s="354">
        <v>2</v>
      </c>
      <c r="G1265" s="354">
        <v>0</v>
      </c>
      <c r="H1265" s="354">
        <v>1</v>
      </c>
      <c r="I1265" s="354">
        <v>2</v>
      </c>
      <c r="J1265" s="354">
        <v>1</v>
      </c>
      <c r="K1265" s="354">
        <v>0</v>
      </c>
      <c r="L1265" s="354">
        <v>0</v>
      </c>
      <c r="M1265" s="355">
        <v>3</v>
      </c>
      <c r="N1265" s="355">
        <v>4</v>
      </c>
    </row>
    <row r="1266" spans="1:14" hidden="1" x14ac:dyDescent="0.25">
      <c r="A1266" s="354">
        <v>0</v>
      </c>
      <c r="B1266" s="354">
        <v>0</v>
      </c>
      <c r="C1266" s="354">
        <v>0</v>
      </c>
      <c r="D1266" s="354">
        <v>0</v>
      </c>
      <c r="E1266" s="354">
        <v>1</v>
      </c>
      <c r="F1266" s="354">
        <v>1</v>
      </c>
      <c r="G1266" s="354">
        <v>0</v>
      </c>
      <c r="H1266" s="354">
        <v>1</v>
      </c>
      <c r="I1266" s="354">
        <v>1</v>
      </c>
      <c r="J1266" s="354">
        <v>1</v>
      </c>
      <c r="K1266" s="354">
        <v>0</v>
      </c>
      <c r="L1266" s="354">
        <v>0</v>
      </c>
      <c r="M1266" s="355">
        <v>2</v>
      </c>
      <c r="N1266" s="355">
        <v>3</v>
      </c>
    </row>
    <row r="1267" spans="1:14" hidden="1" x14ac:dyDescent="0.25">
      <c r="A1267" s="354">
        <v>0</v>
      </c>
      <c r="B1267" s="354">
        <v>0</v>
      </c>
      <c r="C1267" s="354">
        <v>0</v>
      </c>
      <c r="D1267" s="354">
        <v>0</v>
      </c>
      <c r="E1267" s="354">
        <v>2</v>
      </c>
      <c r="F1267" s="354">
        <v>1</v>
      </c>
      <c r="G1267" s="354">
        <v>0</v>
      </c>
      <c r="H1267" s="354">
        <v>0</v>
      </c>
      <c r="I1267" s="354">
        <v>0</v>
      </c>
      <c r="J1267" s="354">
        <v>0</v>
      </c>
      <c r="K1267" s="354">
        <v>0</v>
      </c>
      <c r="L1267" s="354">
        <v>0</v>
      </c>
      <c r="M1267" s="355">
        <v>2</v>
      </c>
      <c r="N1267" s="355">
        <v>1</v>
      </c>
    </row>
    <row r="1268" spans="1:14" hidden="1" x14ac:dyDescent="0.25">
      <c r="A1268" s="354">
        <v>1</v>
      </c>
      <c r="B1268" s="354">
        <v>0</v>
      </c>
      <c r="C1268" s="354">
        <v>2</v>
      </c>
      <c r="D1268" s="354">
        <v>0</v>
      </c>
      <c r="E1268" s="354">
        <v>0</v>
      </c>
      <c r="F1268" s="354">
        <v>0</v>
      </c>
      <c r="G1268" s="354">
        <v>0</v>
      </c>
      <c r="H1268" s="354">
        <v>0</v>
      </c>
      <c r="I1268" s="354">
        <v>1</v>
      </c>
      <c r="J1268" s="354">
        <v>1</v>
      </c>
      <c r="K1268" s="354">
        <v>0</v>
      </c>
      <c r="L1268" s="354">
        <v>0</v>
      </c>
      <c r="M1268" s="355">
        <v>4</v>
      </c>
      <c r="N1268" s="355">
        <v>1</v>
      </c>
    </row>
    <row r="1269" spans="1:14" hidden="1" x14ac:dyDescent="0.25">
      <c r="A1269" s="354">
        <v>0</v>
      </c>
      <c r="B1269" s="354">
        <v>1</v>
      </c>
      <c r="C1269" s="354">
        <v>1</v>
      </c>
      <c r="D1269" s="354">
        <v>0</v>
      </c>
      <c r="E1269" s="354">
        <v>1</v>
      </c>
      <c r="F1269" s="354">
        <v>0</v>
      </c>
      <c r="G1269" s="354">
        <v>0</v>
      </c>
      <c r="H1269" s="354">
        <v>0</v>
      </c>
      <c r="I1269" s="354">
        <v>1</v>
      </c>
      <c r="J1269" s="354">
        <v>1</v>
      </c>
      <c r="K1269" s="354">
        <v>0</v>
      </c>
      <c r="L1269" s="354">
        <v>0</v>
      </c>
      <c r="M1269" s="355">
        <v>3</v>
      </c>
      <c r="N1269" s="355">
        <v>2</v>
      </c>
    </row>
    <row r="1270" spans="1:14" hidden="1" x14ac:dyDescent="0.25">
      <c r="A1270" s="354">
        <v>0</v>
      </c>
      <c r="B1270" s="354">
        <v>1</v>
      </c>
      <c r="C1270" s="354">
        <v>0</v>
      </c>
      <c r="D1270" s="354">
        <v>1</v>
      </c>
      <c r="E1270" s="354">
        <v>1</v>
      </c>
      <c r="F1270" s="354">
        <v>0</v>
      </c>
      <c r="G1270" s="354">
        <v>1</v>
      </c>
      <c r="H1270" s="354">
        <v>0</v>
      </c>
      <c r="I1270" s="354">
        <v>1</v>
      </c>
      <c r="J1270" s="354">
        <v>1</v>
      </c>
      <c r="K1270" s="354">
        <v>0</v>
      </c>
      <c r="L1270" s="354">
        <v>0</v>
      </c>
      <c r="M1270" s="355">
        <v>3</v>
      </c>
      <c r="N1270" s="355">
        <v>3</v>
      </c>
    </row>
    <row r="1271" spans="1:14" hidden="1" x14ac:dyDescent="0.25">
      <c r="A1271" s="354">
        <v>0</v>
      </c>
      <c r="B1271" s="354">
        <v>0</v>
      </c>
      <c r="C1271" s="354">
        <v>0</v>
      </c>
      <c r="D1271" s="354">
        <v>0</v>
      </c>
      <c r="E1271" s="354">
        <v>1</v>
      </c>
      <c r="F1271" s="354">
        <v>0</v>
      </c>
      <c r="G1271" s="354">
        <v>2</v>
      </c>
      <c r="H1271" s="354">
        <v>2</v>
      </c>
      <c r="I1271" s="354">
        <v>0</v>
      </c>
      <c r="J1271" s="354">
        <v>1</v>
      </c>
      <c r="K1271" s="354">
        <v>0</v>
      </c>
      <c r="L1271" s="354">
        <v>0</v>
      </c>
      <c r="M1271" s="355">
        <v>3</v>
      </c>
      <c r="N1271" s="355">
        <v>3</v>
      </c>
    </row>
    <row r="1272" spans="1:14" hidden="1" x14ac:dyDescent="0.25">
      <c r="A1272" s="354">
        <v>0</v>
      </c>
      <c r="B1272" s="354">
        <v>0</v>
      </c>
      <c r="C1272" s="354">
        <v>0</v>
      </c>
      <c r="D1272" s="354">
        <v>0</v>
      </c>
      <c r="E1272" s="354">
        <v>1</v>
      </c>
      <c r="F1272" s="354">
        <v>1</v>
      </c>
      <c r="G1272" s="354">
        <v>2</v>
      </c>
      <c r="H1272" s="354">
        <v>1</v>
      </c>
      <c r="I1272" s="354">
        <v>1</v>
      </c>
      <c r="J1272" s="354">
        <v>1</v>
      </c>
      <c r="K1272" s="354">
        <v>0</v>
      </c>
      <c r="L1272" s="354">
        <v>0</v>
      </c>
      <c r="M1272" s="355">
        <v>4</v>
      </c>
      <c r="N1272" s="355">
        <v>3</v>
      </c>
    </row>
    <row r="1273" spans="1:14" hidden="1" x14ac:dyDescent="0.25">
      <c r="A1273" s="354">
        <v>0</v>
      </c>
      <c r="B1273" s="354">
        <v>0</v>
      </c>
      <c r="C1273" s="354">
        <v>1</v>
      </c>
      <c r="D1273" s="354">
        <v>1</v>
      </c>
      <c r="E1273" s="354">
        <v>3</v>
      </c>
      <c r="F1273" s="354">
        <v>0</v>
      </c>
      <c r="G1273" s="354">
        <v>4</v>
      </c>
      <c r="H1273" s="354">
        <v>1</v>
      </c>
      <c r="I1273" s="354">
        <v>8</v>
      </c>
      <c r="J1273" s="354">
        <v>4</v>
      </c>
      <c r="K1273" s="354">
        <v>0</v>
      </c>
      <c r="L1273" s="354">
        <v>0</v>
      </c>
      <c r="M1273" s="355">
        <v>16</v>
      </c>
      <c r="N1273" s="355">
        <v>6</v>
      </c>
    </row>
    <row r="1274" spans="1:14" hidden="1" x14ac:dyDescent="0.25">
      <c r="A1274" s="354">
        <v>0</v>
      </c>
      <c r="B1274" s="354">
        <v>0</v>
      </c>
      <c r="C1274" s="354">
        <v>0</v>
      </c>
      <c r="D1274" s="354">
        <v>0</v>
      </c>
      <c r="E1274" s="354">
        <v>0</v>
      </c>
      <c r="F1274" s="354">
        <v>0</v>
      </c>
      <c r="G1274" s="354">
        <v>0</v>
      </c>
      <c r="H1274" s="354">
        <v>0</v>
      </c>
      <c r="I1274" s="354">
        <v>2</v>
      </c>
      <c r="J1274" s="354">
        <v>1</v>
      </c>
      <c r="K1274" s="354">
        <v>1</v>
      </c>
      <c r="L1274" s="354">
        <v>0</v>
      </c>
      <c r="M1274" s="355">
        <v>3</v>
      </c>
      <c r="N1274" s="355">
        <v>1</v>
      </c>
    </row>
    <row r="1275" spans="1:14" hidden="1" x14ac:dyDescent="0.25">
      <c r="A1275" s="354">
        <v>0</v>
      </c>
      <c r="B1275" s="354">
        <v>0</v>
      </c>
      <c r="C1275" s="354">
        <v>0</v>
      </c>
      <c r="D1275" s="354">
        <v>0</v>
      </c>
      <c r="E1275" s="354">
        <v>0</v>
      </c>
      <c r="F1275" s="354">
        <v>0</v>
      </c>
      <c r="G1275" s="354">
        <v>0</v>
      </c>
      <c r="H1275" s="354">
        <v>0</v>
      </c>
      <c r="I1275" s="354">
        <v>1</v>
      </c>
      <c r="J1275" s="354">
        <v>0</v>
      </c>
      <c r="K1275" s="354">
        <v>0</v>
      </c>
      <c r="L1275" s="354">
        <v>0</v>
      </c>
      <c r="M1275" s="355">
        <v>1</v>
      </c>
      <c r="N1275" s="355">
        <v>0</v>
      </c>
    </row>
    <row r="1276" spans="1:14" hidden="1" x14ac:dyDescent="0.25">
      <c r="A1276" s="354">
        <v>1</v>
      </c>
      <c r="B1276" s="354">
        <v>0</v>
      </c>
      <c r="C1276" s="354">
        <v>2</v>
      </c>
      <c r="D1276" s="354">
        <v>1</v>
      </c>
      <c r="E1276" s="354">
        <v>2</v>
      </c>
      <c r="F1276" s="354">
        <v>1</v>
      </c>
      <c r="G1276" s="354">
        <v>3</v>
      </c>
      <c r="H1276" s="354">
        <v>1</v>
      </c>
      <c r="I1276" s="354">
        <v>1</v>
      </c>
      <c r="J1276" s="354">
        <v>1</v>
      </c>
      <c r="K1276" s="354">
        <v>0</v>
      </c>
      <c r="L1276" s="354">
        <v>0</v>
      </c>
      <c r="M1276" s="355">
        <v>9</v>
      </c>
      <c r="N1276" s="355">
        <v>4</v>
      </c>
    </row>
    <row r="1277" spans="1:14" hidden="1" x14ac:dyDescent="0.25">
      <c r="A1277" s="354">
        <v>1</v>
      </c>
      <c r="B1277" s="354">
        <v>0</v>
      </c>
      <c r="C1277" s="354">
        <v>0</v>
      </c>
      <c r="D1277" s="354">
        <v>0</v>
      </c>
      <c r="E1277" s="354">
        <v>0</v>
      </c>
      <c r="F1277" s="354">
        <v>0</v>
      </c>
      <c r="G1277" s="354">
        <v>0</v>
      </c>
      <c r="H1277" s="354">
        <v>0</v>
      </c>
      <c r="I1277" s="354">
        <v>0</v>
      </c>
      <c r="J1277" s="354">
        <v>1</v>
      </c>
      <c r="K1277" s="354">
        <v>0</v>
      </c>
      <c r="L1277" s="354">
        <v>0</v>
      </c>
      <c r="M1277" s="355">
        <v>1</v>
      </c>
      <c r="N1277" s="355">
        <v>1</v>
      </c>
    </row>
    <row r="1278" spans="1:14" hidden="1" x14ac:dyDescent="0.25">
      <c r="A1278" s="354">
        <v>1</v>
      </c>
      <c r="B1278" s="354">
        <v>0</v>
      </c>
      <c r="C1278" s="354">
        <v>0</v>
      </c>
      <c r="D1278" s="354">
        <v>1</v>
      </c>
      <c r="E1278" s="354">
        <v>1</v>
      </c>
      <c r="F1278" s="354">
        <v>1</v>
      </c>
      <c r="G1278" s="354">
        <v>0</v>
      </c>
      <c r="H1278" s="354">
        <v>0</v>
      </c>
      <c r="I1278" s="354">
        <v>1</v>
      </c>
      <c r="J1278" s="354">
        <v>1</v>
      </c>
      <c r="K1278" s="354">
        <v>0</v>
      </c>
      <c r="L1278" s="354">
        <v>0</v>
      </c>
      <c r="M1278" s="355">
        <v>3</v>
      </c>
      <c r="N1278" s="355">
        <v>3</v>
      </c>
    </row>
    <row r="1279" spans="1:14" hidden="1" x14ac:dyDescent="0.25">
      <c r="A1279" s="354">
        <v>1</v>
      </c>
      <c r="B1279" s="354">
        <v>0</v>
      </c>
      <c r="C1279" s="354">
        <v>0</v>
      </c>
      <c r="D1279" s="354">
        <v>0</v>
      </c>
      <c r="E1279" s="354">
        <v>1</v>
      </c>
      <c r="F1279" s="354">
        <v>2</v>
      </c>
      <c r="G1279" s="354">
        <v>0</v>
      </c>
      <c r="H1279" s="354">
        <v>1</v>
      </c>
      <c r="I1279" s="354">
        <v>2</v>
      </c>
      <c r="J1279" s="354">
        <v>1</v>
      </c>
      <c r="K1279" s="354">
        <v>0</v>
      </c>
      <c r="L1279" s="354">
        <v>0</v>
      </c>
      <c r="M1279" s="355">
        <v>4</v>
      </c>
      <c r="N1279" s="355">
        <v>4</v>
      </c>
    </row>
    <row r="1280" spans="1:14" hidden="1" x14ac:dyDescent="0.25">
      <c r="A1280" s="354">
        <v>0</v>
      </c>
      <c r="B1280" s="354">
        <v>1</v>
      </c>
      <c r="C1280" s="354">
        <v>1</v>
      </c>
      <c r="D1280" s="354">
        <v>0</v>
      </c>
      <c r="E1280" s="354">
        <v>0</v>
      </c>
      <c r="F1280" s="354">
        <v>0</v>
      </c>
      <c r="G1280" s="354">
        <v>0</v>
      </c>
      <c r="H1280" s="354">
        <v>0</v>
      </c>
      <c r="I1280" s="354">
        <v>1</v>
      </c>
      <c r="J1280" s="354">
        <v>1</v>
      </c>
      <c r="K1280" s="354">
        <v>0</v>
      </c>
      <c r="L1280" s="354">
        <v>0</v>
      </c>
      <c r="M1280" s="355">
        <v>2</v>
      </c>
      <c r="N1280" s="355">
        <v>2</v>
      </c>
    </row>
    <row r="1281" spans="1:14" hidden="1" x14ac:dyDescent="0.25">
      <c r="A1281" s="354">
        <v>1</v>
      </c>
      <c r="B1281" s="354">
        <v>0</v>
      </c>
      <c r="C1281" s="354">
        <v>2</v>
      </c>
      <c r="D1281" s="354">
        <v>1</v>
      </c>
      <c r="E1281" s="354">
        <v>0</v>
      </c>
      <c r="F1281" s="354">
        <v>0</v>
      </c>
      <c r="G1281" s="354">
        <v>0</v>
      </c>
      <c r="H1281" s="354">
        <v>0</v>
      </c>
      <c r="I1281" s="354">
        <v>1</v>
      </c>
      <c r="J1281" s="354">
        <v>2</v>
      </c>
      <c r="K1281" s="354">
        <v>0</v>
      </c>
      <c r="L1281" s="354">
        <v>0</v>
      </c>
      <c r="M1281" s="355">
        <v>4</v>
      </c>
      <c r="N1281" s="355">
        <v>3</v>
      </c>
    </row>
    <row r="1282" spans="1:14" hidden="1" x14ac:dyDescent="0.25">
      <c r="A1282" s="354">
        <v>0</v>
      </c>
      <c r="B1282" s="354">
        <v>0</v>
      </c>
      <c r="C1282" s="354">
        <v>0</v>
      </c>
      <c r="D1282" s="354">
        <v>0</v>
      </c>
      <c r="E1282" s="354">
        <v>0</v>
      </c>
      <c r="F1282" s="354">
        <v>1</v>
      </c>
      <c r="G1282" s="354">
        <v>0</v>
      </c>
      <c r="H1282" s="354">
        <v>0</v>
      </c>
      <c r="I1282" s="354">
        <v>2</v>
      </c>
      <c r="J1282" s="354">
        <v>1</v>
      </c>
      <c r="K1282" s="354">
        <v>0</v>
      </c>
      <c r="L1282" s="354">
        <v>1</v>
      </c>
      <c r="M1282" s="355">
        <v>2</v>
      </c>
      <c r="N1282" s="355">
        <v>3</v>
      </c>
    </row>
    <row r="1283" spans="1:14" hidden="1" x14ac:dyDescent="0.25">
      <c r="A1283" s="354">
        <v>1</v>
      </c>
      <c r="B1283" s="354">
        <v>1</v>
      </c>
      <c r="C1283" s="354">
        <v>1</v>
      </c>
      <c r="D1283" s="354">
        <v>0</v>
      </c>
      <c r="E1283" s="354">
        <v>0</v>
      </c>
      <c r="F1283" s="354">
        <v>0</v>
      </c>
      <c r="G1283" s="354">
        <v>0</v>
      </c>
      <c r="H1283" s="354">
        <v>0</v>
      </c>
      <c r="I1283" s="354">
        <v>1</v>
      </c>
      <c r="J1283" s="354">
        <v>1</v>
      </c>
      <c r="K1283" s="354">
        <v>0</v>
      </c>
      <c r="L1283" s="354">
        <v>1</v>
      </c>
      <c r="M1283" s="355">
        <v>3</v>
      </c>
      <c r="N1283" s="355">
        <v>3</v>
      </c>
    </row>
    <row r="1284" spans="1:14" hidden="1" x14ac:dyDescent="0.25">
      <c r="A1284" s="354">
        <v>2</v>
      </c>
      <c r="B1284" s="354">
        <v>0</v>
      </c>
      <c r="C1284" s="354">
        <v>2</v>
      </c>
      <c r="D1284" s="354">
        <v>1</v>
      </c>
      <c r="E1284" s="354">
        <v>1</v>
      </c>
      <c r="F1284" s="354">
        <v>1</v>
      </c>
      <c r="G1284" s="354">
        <v>0</v>
      </c>
      <c r="H1284" s="354">
        <v>0</v>
      </c>
      <c r="I1284" s="354">
        <v>1</v>
      </c>
      <c r="J1284" s="354">
        <v>3</v>
      </c>
      <c r="K1284" s="354">
        <v>0</v>
      </c>
      <c r="L1284" s="354">
        <v>0</v>
      </c>
      <c r="M1284" s="355">
        <v>6</v>
      </c>
      <c r="N1284" s="355">
        <v>5</v>
      </c>
    </row>
    <row r="1285" spans="1:14" hidden="1" x14ac:dyDescent="0.25">
      <c r="A1285" s="354">
        <v>1</v>
      </c>
      <c r="B1285" s="354">
        <v>0</v>
      </c>
      <c r="C1285" s="354">
        <v>0</v>
      </c>
      <c r="D1285" s="354">
        <v>1</v>
      </c>
      <c r="E1285" s="354">
        <v>1</v>
      </c>
      <c r="F1285" s="354">
        <v>0</v>
      </c>
      <c r="G1285" s="354">
        <v>0</v>
      </c>
      <c r="H1285" s="354">
        <v>0</v>
      </c>
      <c r="I1285" s="354">
        <v>1</v>
      </c>
      <c r="J1285" s="354">
        <v>1</v>
      </c>
      <c r="K1285" s="354">
        <v>0</v>
      </c>
      <c r="L1285" s="354">
        <v>0</v>
      </c>
      <c r="M1285" s="355">
        <v>3</v>
      </c>
      <c r="N1285" s="355">
        <v>2</v>
      </c>
    </row>
    <row r="1286" spans="1:14" hidden="1" x14ac:dyDescent="0.25">
      <c r="A1286" s="354">
        <v>0</v>
      </c>
      <c r="B1286" s="354">
        <v>0</v>
      </c>
      <c r="C1286" s="354">
        <v>0</v>
      </c>
      <c r="D1286" s="354">
        <v>0</v>
      </c>
      <c r="E1286" s="354">
        <v>0</v>
      </c>
      <c r="F1286" s="354">
        <v>0</v>
      </c>
      <c r="G1286" s="354">
        <v>0</v>
      </c>
      <c r="H1286" s="354">
        <v>0</v>
      </c>
      <c r="I1286" s="354">
        <v>1</v>
      </c>
      <c r="J1286" s="354">
        <v>0</v>
      </c>
      <c r="K1286" s="354">
        <v>0</v>
      </c>
      <c r="L1286" s="354">
        <v>0</v>
      </c>
      <c r="M1286" s="355">
        <v>1</v>
      </c>
      <c r="N1286" s="355">
        <v>0</v>
      </c>
    </row>
    <row r="1287" spans="1:14" hidden="1" x14ac:dyDescent="0.25">
      <c r="A1287" s="354">
        <v>0</v>
      </c>
      <c r="B1287" s="354">
        <v>1</v>
      </c>
      <c r="C1287" s="354">
        <v>0</v>
      </c>
      <c r="D1287" s="354">
        <v>0</v>
      </c>
      <c r="E1287" s="354">
        <v>0</v>
      </c>
      <c r="F1287" s="354">
        <v>0</v>
      </c>
      <c r="G1287" s="354">
        <v>0</v>
      </c>
      <c r="H1287" s="354">
        <v>0</v>
      </c>
      <c r="I1287" s="354">
        <v>1</v>
      </c>
      <c r="J1287" s="354">
        <v>1</v>
      </c>
      <c r="K1287" s="354">
        <v>0</v>
      </c>
      <c r="L1287" s="354">
        <v>0</v>
      </c>
      <c r="M1287" s="355">
        <v>1</v>
      </c>
      <c r="N1287" s="355">
        <v>2</v>
      </c>
    </row>
    <row r="1288" spans="1:14" hidden="1" x14ac:dyDescent="0.25">
      <c r="A1288" s="354">
        <v>2</v>
      </c>
      <c r="B1288" s="354">
        <v>3</v>
      </c>
      <c r="C1288" s="354">
        <v>1</v>
      </c>
      <c r="D1288" s="354">
        <v>2</v>
      </c>
      <c r="E1288" s="354">
        <v>3</v>
      </c>
      <c r="F1288" s="354">
        <v>2</v>
      </c>
      <c r="G1288" s="354">
        <v>3</v>
      </c>
      <c r="H1288" s="354">
        <v>0</v>
      </c>
      <c r="I1288" s="354">
        <v>2</v>
      </c>
      <c r="J1288" s="354">
        <v>3</v>
      </c>
      <c r="K1288" s="354">
        <v>0</v>
      </c>
      <c r="L1288" s="354">
        <v>1</v>
      </c>
      <c r="M1288" s="355">
        <v>11</v>
      </c>
      <c r="N1288" s="355">
        <v>11</v>
      </c>
    </row>
    <row r="1289" spans="1:14" hidden="1" x14ac:dyDescent="0.25">
      <c r="A1289" s="354">
        <v>0</v>
      </c>
      <c r="B1289" s="354">
        <v>1</v>
      </c>
      <c r="C1289" s="354">
        <v>1</v>
      </c>
      <c r="D1289" s="354">
        <v>0</v>
      </c>
      <c r="E1289" s="354">
        <v>0</v>
      </c>
      <c r="F1289" s="354">
        <v>2</v>
      </c>
      <c r="G1289" s="354">
        <v>0</v>
      </c>
      <c r="H1289" s="354">
        <v>0</v>
      </c>
      <c r="I1289" s="354">
        <v>1</v>
      </c>
      <c r="J1289" s="354">
        <v>1</v>
      </c>
      <c r="K1289" s="354">
        <v>0</v>
      </c>
      <c r="L1289" s="354">
        <v>0</v>
      </c>
      <c r="M1289" s="355">
        <v>2</v>
      </c>
      <c r="N1289" s="355">
        <v>4</v>
      </c>
    </row>
    <row r="1290" spans="1:14" hidden="1" x14ac:dyDescent="0.25">
      <c r="A1290" s="354">
        <v>0</v>
      </c>
      <c r="B1290" s="354">
        <v>1</v>
      </c>
      <c r="C1290" s="354">
        <v>0</v>
      </c>
      <c r="D1290" s="354">
        <v>1</v>
      </c>
      <c r="E1290" s="354">
        <v>0</v>
      </c>
      <c r="F1290" s="354">
        <v>0</v>
      </c>
      <c r="G1290" s="354">
        <v>0</v>
      </c>
      <c r="H1290" s="354">
        <v>0</v>
      </c>
      <c r="I1290" s="354">
        <v>0</v>
      </c>
      <c r="J1290" s="354">
        <v>1</v>
      </c>
      <c r="K1290" s="354">
        <v>0</v>
      </c>
      <c r="L1290" s="354">
        <v>0</v>
      </c>
      <c r="M1290" s="355">
        <v>0</v>
      </c>
      <c r="N1290" s="355">
        <v>3</v>
      </c>
    </row>
    <row r="1291" spans="1:14" hidden="1" x14ac:dyDescent="0.25">
      <c r="A1291" s="354">
        <v>0</v>
      </c>
      <c r="B1291" s="354">
        <v>1</v>
      </c>
      <c r="C1291" s="354">
        <v>0</v>
      </c>
      <c r="D1291" s="354">
        <v>0</v>
      </c>
      <c r="E1291" s="354">
        <v>0</v>
      </c>
      <c r="F1291" s="354">
        <v>0</v>
      </c>
      <c r="G1291" s="354">
        <v>0</v>
      </c>
      <c r="H1291" s="354">
        <v>0</v>
      </c>
      <c r="I1291" s="354">
        <v>1</v>
      </c>
      <c r="J1291" s="354">
        <v>1</v>
      </c>
      <c r="K1291" s="354">
        <v>0</v>
      </c>
      <c r="L1291" s="354">
        <v>0</v>
      </c>
      <c r="M1291" s="355">
        <v>1</v>
      </c>
      <c r="N1291" s="355">
        <v>2</v>
      </c>
    </row>
    <row r="1292" spans="1:14" hidden="1" x14ac:dyDescent="0.25">
      <c r="A1292" s="354">
        <v>0</v>
      </c>
      <c r="B1292" s="354">
        <v>2</v>
      </c>
      <c r="C1292" s="354">
        <v>0</v>
      </c>
      <c r="D1292" s="354">
        <v>1</v>
      </c>
      <c r="E1292" s="354">
        <v>0</v>
      </c>
      <c r="F1292" s="354">
        <v>0</v>
      </c>
      <c r="G1292" s="354">
        <v>0</v>
      </c>
      <c r="H1292" s="354">
        <v>0</v>
      </c>
      <c r="I1292" s="354">
        <v>1</v>
      </c>
      <c r="J1292" s="354">
        <v>1</v>
      </c>
      <c r="K1292" s="354">
        <v>0</v>
      </c>
      <c r="L1292" s="354">
        <v>0</v>
      </c>
      <c r="M1292" s="355">
        <v>1</v>
      </c>
      <c r="N1292" s="355">
        <v>4</v>
      </c>
    </row>
    <row r="1293" spans="1:14" hidden="1" x14ac:dyDescent="0.25">
      <c r="A1293" s="354">
        <v>0</v>
      </c>
      <c r="B1293" s="354">
        <v>0</v>
      </c>
      <c r="C1293" s="354">
        <v>0</v>
      </c>
      <c r="D1293" s="354">
        <v>0</v>
      </c>
      <c r="E1293" s="354">
        <v>0</v>
      </c>
      <c r="F1293" s="354">
        <v>2</v>
      </c>
      <c r="G1293" s="354">
        <v>0</v>
      </c>
      <c r="H1293" s="354">
        <v>0</v>
      </c>
      <c r="I1293" s="354">
        <v>0</v>
      </c>
      <c r="J1293" s="354">
        <v>1</v>
      </c>
      <c r="K1293" s="354">
        <v>0</v>
      </c>
      <c r="L1293" s="354">
        <v>0</v>
      </c>
      <c r="M1293" s="355">
        <v>0</v>
      </c>
      <c r="N1293" s="355">
        <v>3</v>
      </c>
    </row>
    <row r="1294" spans="1:14" hidden="1" x14ac:dyDescent="0.25">
      <c r="A1294" s="354">
        <v>0</v>
      </c>
      <c r="B1294" s="354">
        <v>0</v>
      </c>
      <c r="C1294" s="354">
        <v>0</v>
      </c>
      <c r="D1294" s="354">
        <v>0</v>
      </c>
      <c r="E1294" s="354">
        <v>2</v>
      </c>
      <c r="F1294" s="354">
        <v>2</v>
      </c>
      <c r="G1294" s="354">
        <v>0</v>
      </c>
      <c r="H1294" s="354">
        <v>1</v>
      </c>
      <c r="I1294" s="354">
        <v>3</v>
      </c>
      <c r="J1294" s="354">
        <v>1</v>
      </c>
      <c r="K1294" s="354">
        <v>0</v>
      </c>
      <c r="L1294" s="354">
        <v>0</v>
      </c>
      <c r="M1294" s="355">
        <v>5</v>
      </c>
      <c r="N1294" s="355">
        <v>4</v>
      </c>
    </row>
    <row r="1295" spans="1:14" hidden="1" x14ac:dyDescent="0.25">
      <c r="A1295" s="354">
        <v>0</v>
      </c>
      <c r="B1295" s="354">
        <v>1</v>
      </c>
      <c r="C1295" s="354">
        <v>0</v>
      </c>
      <c r="D1295" s="354">
        <v>1</v>
      </c>
      <c r="E1295" s="354">
        <v>2</v>
      </c>
      <c r="F1295" s="354">
        <v>0</v>
      </c>
      <c r="G1295" s="354">
        <v>1</v>
      </c>
      <c r="H1295" s="354">
        <v>0</v>
      </c>
      <c r="I1295" s="354">
        <v>0</v>
      </c>
      <c r="J1295" s="354">
        <v>0</v>
      </c>
      <c r="K1295" s="354">
        <v>0</v>
      </c>
      <c r="L1295" s="354">
        <v>0</v>
      </c>
      <c r="M1295" s="355">
        <v>3</v>
      </c>
      <c r="N1295" s="355">
        <v>2</v>
      </c>
    </row>
    <row r="1296" spans="1:14" hidden="1" x14ac:dyDescent="0.25">
      <c r="A1296" s="354">
        <v>0</v>
      </c>
      <c r="B1296" s="354">
        <v>0</v>
      </c>
      <c r="C1296" s="354">
        <v>0</v>
      </c>
      <c r="D1296" s="354">
        <v>0</v>
      </c>
      <c r="E1296" s="354">
        <v>0</v>
      </c>
      <c r="F1296" s="354">
        <v>0</v>
      </c>
      <c r="G1296" s="354">
        <v>0</v>
      </c>
      <c r="H1296" s="354">
        <v>0</v>
      </c>
      <c r="I1296" s="354">
        <v>1</v>
      </c>
      <c r="J1296" s="354">
        <v>1</v>
      </c>
      <c r="K1296" s="354">
        <v>0</v>
      </c>
      <c r="L1296" s="354">
        <v>0</v>
      </c>
      <c r="M1296" s="355">
        <v>1</v>
      </c>
      <c r="N1296" s="355">
        <v>1</v>
      </c>
    </row>
    <row r="1297" spans="1:14" hidden="1" x14ac:dyDescent="0.25">
      <c r="A1297" s="354">
        <v>1</v>
      </c>
      <c r="B1297" s="354">
        <v>0</v>
      </c>
      <c r="C1297" s="354">
        <v>0</v>
      </c>
      <c r="D1297" s="354">
        <v>1</v>
      </c>
      <c r="E1297" s="354">
        <v>0</v>
      </c>
      <c r="F1297" s="354">
        <v>2</v>
      </c>
      <c r="G1297" s="354">
        <v>0</v>
      </c>
      <c r="H1297" s="354">
        <v>0</v>
      </c>
      <c r="I1297" s="354">
        <v>1</v>
      </c>
      <c r="J1297" s="354">
        <v>3</v>
      </c>
      <c r="K1297" s="354">
        <v>0</v>
      </c>
      <c r="L1297" s="354">
        <v>0</v>
      </c>
      <c r="M1297" s="355">
        <v>2</v>
      </c>
      <c r="N1297" s="355">
        <v>6</v>
      </c>
    </row>
    <row r="1298" spans="1:14" hidden="1" x14ac:dyDescent="0.25">
      <c r="A1298" s="354">
        <v>0</v>
      </c>
      <c r="B1298" s="354">
        <v>0</v>
      </c>
      <c r="C1298" s="354">
        <v>0</v>
      </c>
      <c r="D1298" s="354">
        <v>0</v>
      </c>
      <c r="E1298" s="354">
        <v>0</v>
      </c>
      <c r="F1298" s="354">
        <v>2</v>
      </c>
      <c r="G1298" s="354">
        <v>0</v>
      </c>
      <c r="H1298" s="354">
        <v>2</v>
      </c>
      <c r="I1298" s="354">
        <v>0</v>
      </c>
      <c r="J1298" s="354">
        <v>0</v>
      </c>
      <c r="K1298" s="354">
        <v>0</v>
      </c>
      <c r="L1298" s="354">
        <v>1</v>
      </c>
      <c r="M1298" s="355">
        <v>0</v>
      </c>
      <c r="N1298" s="355">
        <v>5</v>
      </c>
    </row>
    <row r="1299" spans="1:14" hidden="1" x14ac:dyDescent="0.25">
      <c r="A1299" s="354">
        <v>0</v>
      </c>
      <c r="B1299" s="354">
        <v>1</v>
      </c>
      <c r="C1299" s="354">
        <v>1</v>
      </c>
      <c r="D1299" s="354">
        <v>0</v>
      </c>
      <c r="E1299" s="354">
        <v>0</v>
      </c>
      <c r="F1299" s="354">
        <v>0</v>
      </c>
      <c r="G1299" s="354">
        <v>0</v>
      </c>
      <c r="H1299" s="354">
        <v>0</v>
      </c>
      <c r="I1299" s="354">
        <v>2</v>
      </c>
      <c r="J1299" s="354">
        <v>1</v>
      </c>
      <c r="K1299" s="354">
        <v>0</v>
      </c>
      <c r="L1299" s="354">
        <v>0</v>
      </c>
      <c r="M1299" s="355">
        <v>3</v>
      </c>
      <c r="N1299" s="355">
        <v>2</v>
      </c>
    </row>
    <row r="1300" spans="1:14" hidden="1" x14ac:dyDescent="0.25">
      <c r="A1300" s="354">
        <v>0</v>
      </c>
      <c r="B1300" s="354">
        <v>0</v>
      </c>
      <c r="C1300" s="354">
        <v>0</v>
      </c>
      <c r="D1300" s="354">
        <v>0</v>
      </c>
      <c r="E1300" s="354">
        <v>1</v>
      </c>
      <c r="F1300" s="354">
        <v>1</v>
      </c>
      <c r="G1300" s="354">
        <v>1</v>
      </c>
      <c r="H1300" s="354">
        <v>0</v>
      </c>
      <c r="I1300" s="354">
        <v>2</v>
      </c>
      <c r="J1300" s="354">
        <v>1</v>
      </c>
      <c r="K1300" s="354">
        <v>0</v>
      </c>
      <c r="L1300" s="354">
        <v>0</v>
      </c>
      <c r="M1300" s="355">
        <v>4</v>
      </c>
      <c r="N1300" s="355">
        <v>2</v>
      </c>
    </row>
    <row r="1301" spans="1:14" hidden="1" x14ac:dyDescent="0.25">
      <c r="A1301" s="354">
        <v>0</v>
      </c>
      <c r="B1301" s="354">
        <v>0</v>
      </c>
      <c r="C1301" s="354">
        <v>0</v>
      </c>
      <c r="D1301" s="354">
        <v>0</v>
      </c>
      <c r="E1301" s="354">
        <v>1</v>
      </c>
      <c r="F1301" s="354">
        <v>2</v>
      </c>
      <c r="G1301" s="354">
        <v>1</v>
      </c>
      <c r="H1301" s="354">
        <v>0</v>
      </c>
      <c r="I1301" s="354">
        <v>3</v>
      </c>
      <c r="J1301" s="354">
        <v>1</v>
      </c>
      <c r="K1301" s="354">
        <v>0</v>
      </c>
      <c r="L1301" s="354">
        <v>0</v>
      </c>
      <c r="M1301" s="355">
        <v>5</v>
      </c>
      <c r="N1301" s="355">
        <v>3</v>
      </c>
    </row>
    <row r="1302" spans="1:14" hidden="1" x14ac:dyDescent="0.25">
      <c r="A1302" s="354">
        <v>0</v>
      </c>
      <c r="B1302" s="354">
        <v>0</v>
      </c>
      <c r="C1302" s="354">
        <v>0</v>
      </c>
      <c r="D1302" s="354">
        <v>0</v>
      </c>
      <c r="E1302" s="354">
        <v>1</v>
      </c>
      <c r="F1302" s="354">
        <v>0</v>
      </c>
      <c r="G1302" s="354">
        <v>0</v>
      </c>
      <c r="H1302" s="354">
        <v>0</v>
      </c>
      <c r="I1302" s="354">
        <v>1</v>
      </c>
      <c r="J1302" s="354">
        <v>1</v>
      </c>
      <c r="K1302" s="354">
        <v>0</v>
      </c>
      <c r="L1302" s="354">
        <v>0</v>
      </c>
      <c r="M1302" s="355">
        <v>2</v>
      </c>
      <c r="N1302" s="355">
        <v>1</v>
      </c>
    </row>
    <row r="1303" spans="1:14" hidden="1" x14ac:dyDescent="0.25">
      <c r="A1303" s="354">
        <v>0</v>
      </c>
      <c r="B1303" s="354">
        <v>0</v>
      </c>
      <c r="C1303" s="354">
        <v>0</v>
      </c>
      <c r="D1303" s="354">
        <v>0</v>
      </c>
      <c r="E1303" s="354">
        <v>1</v>
      </c>
      <c r="F1303" s="354">
        <v>0</v>
      </c>
      <c r="G1303" s="354">
        <v>0</v>
      </c>
      <c r="H1303" s="354">
        <v>1</v>
      </c>
      <c r="I1303" s="354">
        <v>1</v>
      </c>
      <c r="J1303" s="354">
        <v>1</v>
      </c>
      <c r="K1303" s="354">
        <v>0</v>
      </c>
      <c r="L1303" s="354">
        <v>0</v>
      </c>
      <c r="M1303" s="355">
        <v>2</v>
      </c>
      <c r="N1303" s="355">
        <v>2</v>
      </c>
    </row>
    <row r="1304" spans="1:14" hidden="1" x14ac:dyDescent="0.25">
      <c r="A1304" s="354">
        <v>0</v>
      </c>
      <c r="B1304" s="354">
        <v>0</v>
      </c>
      <c r="C1304" s="354">
        <v>0</v>
      </c>
      <c r="D1304" s="354">
        <v>0</v>
      </c>
      <c r="E1304" s="354">
        <v>1</v>
      </c>
      <c r="F1304" s="354">
        <v>0</v>
      </c>
      <c r="G1304" s="354">
        <v>1</v>
      </c>
      <c r="H1304" s="354">
        <v>0</v>
      </c>
      <c r="I1304" s="354">
        <v>1</v>
      </c>
      <c r="J1304" s="354">
        <v>2</v>
      </c>
      <c r="K1304" s="354">
        <v>0</v>
      </c>
      <c r="L1304" s="354">
        <v>0</v>
      </c>
      <c r="M1304" s="355">
        <v>3</v>
      </c>
      <c r="N1304" s="355">
        <v>2</v>
      </c>
    </row>
    <row r="1305" spans="1:14" hidden="1" x14ac:dyDescent="0.25">
      <c r="A1305" s="354">
        <v>0</v>
      </c>
      <c r="B1305" s="354">
        <v>0</v>
      </c>
      <c r="C1305" s="354">
        <v>0</v>
      </c>
      <c r="D1305" s="354">
        <v>0</v>
      </c>
      <c r="E1305" s="354">
        <v>0</v>
      </c>
      <c r="F1305" s="354">
        <v>0</v>
      </c>
      <c r="G1305" s="354">
        <v>0</v>
      </c>
      <c r="H1305" s="354">
        <v>1</v>
      </c>
      <c r="I1305" s="354">
        <v>3</v>
      </c>
      <c r="J1305" s="354">
        <v>2</v>
      </c>
      <c r="K1305" s="354">
        <v>0</v>
      </c>
      <c r="L1305" s="354">
        <v>0</v>
      </c>
      <c r="M1305" s="355">
        <v>3</v>
      </c>
      <c r="N1305" s="355">
        <v>3</v>
      </c>
    </row>
    <row r="1306" spans="1:14" hidden="1" x14ac:dyDescent="0.25">
      <c r="A1306" s="354">
        <v>0</v>
      </c>
      <c r="B1306" s="354">
        <v>0</v>
      </c>
      <c r="C1306" s="354">
        <v>0</v>
      </c>
      <c r="D1306" s="354">
        <v>1</v>
      </c>
      <c r="E1306" s="354">
        <v>0</v>
      </c>
      <c r="F1306" s="354">
        <v>0</v>
      </c>
      <c r="G1306" s="354">
        <v>1</v>
      </c>
      <c r="H1306" s="354">
        <v>0</v>
      </c>
      <c r="I1306" s="354">
        <v>1</v>
      </c>
      <c r="J1306" s="354">
        <v>1</v>
      </c>
      <c r="K1306" s="354">
        <v>0</v>
      </c>
      <c r="L1306" s="354">
        <v>0</v>
      </c>
      <c r="M1306" s="355">
        <v>2</v>
      </c>
      <c r="N1306" s="355">
        <v>2</v>
      </c>
    </row>
    <row r="1307" spans="1:14" hidden="1" x14ac:dyDescent="0.25">
      <c r="A1307" s="354">
        <v>0</v>
      </c>
      <c r="B1307" s="354">
        <v>0</v>
      </c>
      <c r="C1307" s="354">
        <v>0</v>
      </c>
      <c r="D1307" s="354">
        <v>0</v>
      </c>
      <c r="E1307" s="354">
        <v>0</v>
      </c>
      <c r="F1307" s="354">
        <v>1</v>
      </c>
      <c r="G1307" s="354">
        <v>0</v>
      </c>
      <c r="H1307" s="354">
        <v>1</v>
      </c>
      <c r="I1307" s="354">
        <v>1</v>
      </c>
      <c r="J1307" s="354">
        <v>1</v>
      </c>
      <c r="K1307" s="354">
        <v>0</v>
      </c>
      <c r="L1307" s="354">
        <v>0</v>
      </c>
      <c r="M1307" s="355">
        <v>1</v>
      </c>
      <c r="N1307" s="355">
        <v>3</v>
      </c>
    </row>
    <row r="1308" spans="1:14" hidden="1" x14ac:dyDescent="0.25">
      <c r="A1308" s="354">
        <v>0</v>
      </c>
      <c r="B1308" s="354">
        <v>0</v>
      </c>
      <c r="C1308" s="354">
        <v>0</v>
      </c>
      <c r="D1308" s="354">
        <v>0</v>
      </c>
      <c r="E1308" s="354">
        <v>1</v>
      </c>
      <c r="F1308" s="354">
        <v>0</v>
      </c>
      <c r="G1308" s="354">
        <v>0</v>
      </c>
      <c r="H1308" s="354">
        <v>0</v>
      </c>
      <c r="I1308" s="354">
        <v>2</v>
      </c>
      <c r="J1308" s="354">
        <v>2</v>
      </c>
      <c r="K1308" s="354">
        <v>0</v>
      </c>
      <c r="L1308" s="354">
        <v>0</v>
      </c>
      <c r="M1308" s="355">
        <v>3</v>
      </c>
      <c r="N1308" s="355">
        <v>2</v>
      </c>
    </row>
    <row r="1309" spans="1:14" hidden="1" x14ac:dyDescent="0.25">
      <c r="A1309" s="354">
        <v>0</v>
      </c>
      <c r="B1309" s="354">
        <v>0</v>
      </c>
      <c r="C1309" s="354">
        <v>0</v>
      </c>
      <c r="D1309" s="354">
        <v>0</v>
      </c>
      <c r="E1309" s="354">
        <v>1</v>
      </c>
      <c r="F1309" s="354">
        <v>0</v>
      </c>
      <c r="G1309" s="354">
        <v>0</v>
      </c>
      <c r="H1309" s="354">
        <v>1</v>
      </c>
      <c r="I1309" s="354">
        <v>2</v>
      </c>
      <c r="J1309" s="354">
        <v>1</v>
      </c>
      <c r="K1309" s="354">
        <v>0</v>
      </c>
      <c r="L1309" s="354">
        <v>0</v>
      </c>
      <c r="M1309" s="355">
        <v>3</v>
      </c>
      <c r="N1309" s="355">
        <v>2</v>
      </c>
    </row>
    <row r="1310" spans="1:14" hidden="1" x14ac:dyDescent="0.25">
      <c r="A1310" s="354">
        <v>0</v>
      </c>
      <c r="B1310" s="354">
        <v>0</v>
      </c>
      <c r="C1310" s="354">
        <v>0</v>
      </c>
      <c r="D1310" s="354">
        <v>0</v>
      </c>
      <c r="E1310" s="354">
        <v>0</v>
      </c>
      <c r="F1310" s="354">
        <v>1</v>
      </c>
      <c r="G1310" s="354">
        <v>0</v>
      </c>
      <c r="H1310" s="354">
        <v>1</v>
      </c>
      <c r="I1310" s="354">
        <v>1</v>
      </c>
      <c r="J1310" s="354">
        <v>1</v>
      </c>
      <c r="K1310" s="354">
        <v>0</v>
      </c>
      <c r="L1310" s="354">
        <v>0</v>
      </c>
      <c r="M1310" s="355">
        <v>1</v>
      </c>
      <c r="N1310" s="355">
        <v>3</v>
      </c>
    </row>
    <row r="1311" spans="1:14" hidden="1" x14ac:dyDescent="0.25">
      <c r="A1311" s="354">
        <v>0</v>
      </c>
      <c r="B1311" s="354">
        <v>0</v>
      </c>
      <c r="C1311" s="354">
        <v>0</v>
      </c>
      <c r="D1311" s="354">
        <v>0</v>
      </c>
      <c r="E1311" s="354">
        <v>0</v>
      </c>
      <c r="F1311" s="354">
        <v>1</v>
      </c>
      <c r="G1311" s="354">
        <v>0</v>
      </c>
      <c r="H1311" s="354">
        <v>0</v>
      </c>
      <c r="I1311" s="354">
        <v>1</v>
      </c>
      <c r="J1311" s="354">
        <v>2</v>
      </c>
      <c r="K1311" s="354">
        <v>0</v>
      </c>
      <c r="L1311" s="354">
        <v>0</v>
      </c>
      <c r="M1311" s="355">
        <v>1</v>
      </c>
      <c r="N1311" s="355">
        <v>3</v>
      </c>
    </row>
    <row r="1312" spans="1:14" hidden="1" x14ac:dyDescent="0.25">
      <c r="A1312" s="354">
        <v>0</v>
      </c>
      <c r="B1312" s="354">
        <v>0</v>
      </c>
      <c r="C1312" s="354">
        <v>0</v>
      </c>
      <c r="D1312" s="354">
        <v>0</v>
      </c>
      <c r="E1312" s="354">
        <v>1</v>
      </c>
      <c r="F1312" s="354">
        <v>0</v>
      </c>
      <c r="G1312" s="354">
        <v>0</v>
      </c>
      <c r="H1312" s="354">
        <v>1</v>
      </c>
      <c r="I1312" s="354">
        <v>1</v>
      </c>
      <c r="J1312" s="354">
        <v>1</v>
      </c>
      <c r="K1312" s="354">
        <v>0</v>
      </c>
      <c r="L1312" s="354">
        <v>0</v>
      </c>
      <c r="M1312" s="355">
        <v>2</v>
      </c>
      <c r="N1312" s="355">
        <v>2</v>
      </c>
    </row>
    <row r="1313" spans="1:14" hidden="1" x14ac:dyDescent="0.25">
      <c r="A1313" s="354">
        <v>0</v>
      </c>
      <c r="B1313" s="354">
        <v>0</v>
      </c>
      <c r="C1313" s="354">
        <v>0</v>
      </c>
      <c r="D1313" s="354">
        <v>1</v>
      </c>
      <c r="E1313" s="354">
        <v>0</v>
      </c>
      <c r="F1313" s="354">
        <v>0</v>
      </c>
      <c r="G1313" s="354">
        <v>1</v>
      </c>
      <c r="H1313" s="354">
        <v>0</v>
      </c>
      <c r="I1313" s="354">
        <v>1</v>
      </c>
      <c r="J1313" s="354">
        <v>2</v>
      </c>
      <c r="K1313" s="354">
        <v>0</v>
      </c>
      <c r="L1313" s="354">
        <v>0</v>
      </c>
      <c r="M1313" s="355">
        <v>2</v>
      </c>
      <c r="N1313" s="355">
        <v>3</v>
      </c>
    </row>
    <row r="1314" spans="1:14" hidden="1" x14ac:dyDescent="0.25">
      <c r="A1314" s="354">
        <v>0</v>
      </c>
      <c r="B1314" s="354">
        <v>0</v>
      </c>
      <c r="C1314" s="354">
        <v>0</v>
      </c>
      <c r="D1314" s="354">
        <v>1</v>
      </c>
      <c r="E1314" s="354">
        <v>0</v>
      </c>
      <c r="F1314" s="354">
        <v>0</v>
      </c>
      <c r="G1314" s="354">
        <v>0</v>
      </c>
      <c r="H1314" s="354">
        <v>1</v>
      </c>
      <c r="I1314" s="354">
        <v>2</v>
      </c>
      <c r="J1314" s="354">
        <v>2</v>
      </c>
      <c r="K1314" s="354">
        <v>0</v>
      </c>
      <c r="L1314" s="354">
        <v>0</v>
      </c>
      <c r="M1314" s="355">
        <v>2</v>
      </c>
      <c r="N1314" s="355">
        <v>4</v>
      </c>
    </row>
    <row r="1315" spans="1:14" hidden="1" x14ac:dyDescent="0.25">
      <c r="A1315" s="354">
        <v>0</v>
      </c>
      <c r="B1315" s="354">
        <v>0</v>
      </c>
      <c r="C1315" s="354">
        <v>0</v>
      </c>
      <c r="D1315" s="354">
        <v>0</v>
      </c>
      <c r="E1315" s="354">
        <v>1</v>
      </c>
      <c r="F1315" s="354">
        <v>0</v>
      </c>
      <c r="G1315" s="354">
        <v>0</v>
      </c>
      <c r="H1315" s="354">
        <v>1</v>
      </c>
      <c r="I1315" s="354">
        <v>2</v>
      </c>
      <c r="J1315" s="354">
        <v>3</v>
      </c>
      <c r="K1315" s="354">
        <v>0</v>
      </c>
      <c r="L1315" s="354">
        <v>0</v>
      </c>
      <c r="M1315" s="355">
        <v>3</v>
      </c>
      <c r="N1315" s="355">
        <v>4</v>
      </c>
    </row>
    <row r="1316" spans="1:14" hidden="1" x14ac:dyDescent="0.25">
      <c r="A1316" s="354">
        <v>0</v>
      </c>
      <c r="B1316" s="354">
        <v>0</v>
      </c>
      <c r="C1316" s="354">
        <v>0</v>
      </c>
      <c r="D1316" s="354">
        <v>1</v>
      </c>
      <c r="E1316" s="354">
        <v>0</v>
      </c>
      <c r="F1316" s="354">
        <v>0</v>
      </c>
      <c r="G1316" s="354">
        <v>0</v>
      </c>
      <c r="H1316" s="354">
        <v>1</v>
      </c>
      <c r="I1316" s="354">
        <v>1</v>
      </c>
      <c r="J1316" s="354">
        <v>2</v>
      </c>
      <c r="K1316" s="354">
        <v>0</v>
      </c>
      <c r="L1316" s="354">
        <v>0</v>
      </c>
      <c r="M1316" s="355">
        <v>1</v>
      </c>
      <c r="N1316" s="355">
        <v>4</v>
      </c>
    </row>
    <row r="1317" spans="1:14" hidden="1" x14ac:dyDescent="0.25">
      <c r="A1317" s="354">
        <v>0</v>
      </c>
      <c r="B1317" s="354">
        <v>0</v>
      </c>
      <c r="C1317" s="354">
        <v>0</v>
      </c>
      <c r="D1317" s="354">
        <v>0</v>
      </c>
      <c r="E1317" s="354">
        <v>0</v>
      </c>
      <c r="F1317" s="354">
        <v>1</v>
      </c>
      <c r="G1317" s="354">
        <v>0</v>
      </c>
      <c r="H1317" s="354">
        <v>0</v>
      </c>
      <c r="I1317" s="354">
        <v>3</v>
      </c>
      <c r="J1317" s="354">
        <v>2</v>
      </c>
      <c r="K1317" s="354">
        <v>0</v>
      </c>
      <c r="L1317" s="354">
        <v>0</v>
      </c>
      <c r="M1317" s="355">
        <v>3</v>
      </c>
      <c r="N1317" s="355">
        <v>3</v>
      </c>
    </row>
    <row r="1318" spans="1:14" hidden="1" x14ac:dyDescent="0.25">
      <c r="A1318" s="354">
        <v>1</v>
      </c>
      <c r="B1318" s="354">
        <v>1</v>
      </c>
      <c r="C1318" s="354">
        <v>1</v>
      </c>
      <c r="D1318" s="354">
        <v>0</v>
      </c>
      <c r="E1318" s="354">
        <v>0</v>
      </c>
      <c r="F1318" s="354">
        <v>0</v>
      </c>
      <c r="G1318" s="354">
        <v>0</v>
      </c>
      <c r="H1318" s="354">
        <v>0</v>
      </c>
      <c r="I1318" s="354">
        <v>0</v>
      </c>
      <c r="J1318" s="354">
        <v>1</v>
      </c>
      <c r="K1318" s="354">
        <v>0</v>
      </c>
      <c r="L1318" s="354">
        <v>0</v>
      </c>
      <c r="M1318" s="355">
        <v>2</v>
      </c>
      <c r="N1318" s="355">
        <v>2</v>
      </c>
    </row>
    <row r="1319" spans="1:14" hidden="1" x14ac:dyDescent="0.25">
      <c r="A1319" s="354">
        <v>1</v>
      </c>
      <c r="B1319" s="354">
        <v>0</v>
      </c>
      <c r="C1319" s="354">
        <v>1</v>
      </c>
      <c r="D1319" s="354">
        <v>1</v>
      </c>
      <c r="E1319" s="354">
        <v>0</v>
      </c>
      <c r="F1319" s="354">
        <v>1</v>
      </c>
      <c r="G1319" s="354">
        <v>1</v>
      </c>
      <c r="H1319" s="354">
        <v>0</v>
      </c>
      <c r="I1319" s="354">
        <v>0</v>
      </c>
      <c r="J1319" s="354">
        <v>1</v>
      </c>
      <c r="K1319" s="354">
        <v>0</v>
      </c>
      <c r="L1319" s="354">
        <v>0</v>
      </c>
      <c r="M1319" s="355">
        <v>3</v>
      </c>
      <c r="N1319" s="355">
        <v>3</v>
      </c>
    </row>
    <row r="1320" spans="1:14" hidden="1" x14ac:dyDescent="0.25">
      <c r="A1320" s="354">
        <v>0</v>
      </c>
      <c r="B1320" s="354">
        <v>1</v>
      </c>
      <c r="C1320" s="354">
        <v>0</v>
      </c>
      <c r="D1320" s="354">
        <v>1</v>
      </c>
      <c r="E1320" s="354">
        <v>2</v>
      </c>
      <c r="F1320" s="354">
        <v>1</v>
      </c>
      <c r="G1320" s="354">
        <v>0</v>
      </c>
      <c r="H1320" s="354">
        <v>0</v>
      </c>
      <c r="I1320" s="354">
        <v>1</v>
      </c>
      <c r="J1320" s="354">
        <v>1</v>
      </c>
      <c r="K1320" s="354">
        <v>0</v>
      </c>
      <c r="L1320" s="354">
        <v>0</v>
      </c>
      <c r="M1320" s="355">
        <v>3</v>
      </c>
      <c r="N1320" s="355">
        <v>4</v>
      </c>
    </row>
    <row r="1321" spans="1:14" hidden="1" x14ac:dyDescent="0.25">
      <c r="A1321" s="354">
        <v>0</v>
      </c>
      <c r="B1321" s="354">
        <v>0</v>
      </c>
      <c r="C1321" s="354">
        <v>1</v>
      </c>
      <c r="D1321" s="354">
        <v>0</v>
      </c>
      <c r="E1321" s="354">
        <v>0</v>
      </c>
      <c r="F1321" s="354">
        <v>0</v>
      </c>
      <c r="G1321" s="354">
        <v>0</v>
      </c>
      <c r="H1321" s="354">
        <v>0</v>
      </c>
      <c r="I1321" s="354">
        <v>1</v>
      </c>
      <c r="J1321" s="354">
        <v>1</v>
      </c>
      <c r="K1321" s="354">
        <v>0</v>
      </c>
      <c r="L1321" s="354">
        <v>0</v>
      </c>
      <c r="M1321" s="355">
        <v>2</v>
      </c>
      <c r="N1321" s="355">
        <v>1</v>
      </c>
    </row>
    <row r="1322" spans="1:14" hidden="1" x14ac:dyDescent="0.25">
      <c r="A1322" s="354">
        <v>0</v>
      </c>
      <c r="B1322" s="354">
        <v>0</v>
      </c>
      <c r="C1322" s="354">
        <v>0</v>
      </c>
      <c r="D1322" s="354">
        <v>0</v>
      </c>
      <c r="E1322" s="354">
        <v>1</v>
      </c>
      <c r="F1322" s="354">
        <v>0</v>
      </c>
      <c r="G1322" s="354">
        <v>1</v>
      </c>
      <c r="H1322" s="354">
        <v>1</v>
      </c>
      <c r="I1322" s="354">
        <v>3</v>
      </c>
      <c r="J1322" s="354">
        <v>1</v>
      </c>
      <c r="K1322" s="354">
        <v>0</v>
      </c>
      <c r="L1322" s="354">
        <v>0</v>
      </c>
      <c r="M1322" s="355">
        <v>5</v>
      </c>
      <c r="N1322" s="355">
        <v>2</v>
      </c>
    </row>
    <row r="1323" spans="1:14" hidden="1" x14ac:dyDescent="0.25">
      <c r="A1323" s="354">
        <v>2</v>
      </c>
      <c r="B1323" s="354">
        <v>0</v>
      </c>
      <c r="C1323" s="354">
        <v>1</v>
      </c>
      <c r="D1323" s="354">
        <v>3</v>
      </c>
      <c r="E1323" s="354">
        <v>0</v>
      </c>
      <c r="F1323" s="354">
        <v>1</v>
      </c>
      <c r="G1323" s="354">
        <v>0</v>
      </c>
      <c r="H1323" s="354">
        <v>1</v>
      </c>
      <c r="I1323" s="354">
        <v>0</v>
      </c>
      <c r="J1323" s="354">
        <v>1</v>
      </c>
      <c r="K1323" s="354">
        <v>0</v>
      </c>
      <c r="L1323" s="354">
        <v>0</v>
      </c>
      <c r="M1323" s="355">
        <v>3</v>
      </c>
      <c r="N1323" s="355">
        <v>6</v>
      </c>
    </row>
    <row r="1324" spans="1:14" hidden="1" x14ac:dyDescent="0.25">
      <c r="A1324" s="354">
        <v>0</v>
      </c>
      <c r="B1324" s="354">
        <v>2</v>
      </c>
      <c r="C1324" s="354">
        <v>0</v>
      </c>
      <c r="D1324" s="354">
        <v>2</v>
      </c>
      <c r="E1324" s="354">
        <v>1</v>
      </c>
      <c r="F1324" s="354">
        <v>0</v>
      </c>
      <c r="G1324" s="354">
        <v>0</v>
      </c>
      <c r="H1324" s="354">
        <v>0</v>
      </c>
      <c r="I1324" s="354">
        <v>0</v>
      </c>
      <c r="J1324" s="354">
        <v>0</v>
      </c>
      <c r="K1324" s="354">
        <v>0</v>
      </c>
      <c r="L1324" s="354">
        <v>0</v>
      </c>
      <c r="M1324" s="355">
        <v>1</v>
      </c>
      <c r="N1324" s="355">
        <v>4</v>
      </c>
    </row>
    <row r="1325" spans="1:14" hidden="1" x14ac:dyDescent="0.25">
      <c r="A1325" s="354">
        <v>0</v>
      </c>
      <c r="B1325" s="354">
        <v>0</v>
      </c>
      <c r="C1325" s="354">
        <v>0</v>
      </c>
      <c r="D1325" s="354">
        <v>0</v>
      </c>
      <c r="E1325" s="354">
        <v>0</v>
      </c>
      <c r="F1325" s="354">
        <v>0</v>
      </c>
      <c r="G1325" s="354">
        <v>1</v>
      </c>
      <c r="H1325" s="354">
        <v>0</v>
      </c>
      <c r="I1325" s="354">
        <v>0</v>
      </c>
      <c r="J1325" s="354">
        <v>1</v>
      </c>
      <c r="K1325" s="354">
        <v>0</v>
      </c>
      <c r="L1325" s="354">
        <v>0</v>
      </c>
      <c r="M1325" s="355">
        <v>1</v>
      </c>
      <c r="N1325" s="355">
        <v>1</v>
      </c>
    </row>
    <row r="1326" spans="1:14" hidden="1" x14ac:dyDescent="0.25">
      <c r="A1326" s="354">
        <v>0</v>
      </c>
      <c r="B1326" s="354">
        <v>1</v>
      </c>
      <c r="C1326" s="354">
        <v>0</v>
      </c>
      <c r="D1326" s="354">
        <v>0</v>
      </c>
      <c r="E1326" s="354">
        <v>2</v>
      </c>
      <c r="F1326" s="354">
        <v>0</v>
      </c>
      <c r="G1326" s="354">
        <v>0</v>
      </c>
      <c r="H1326" s="354">
        <v>0</v>
      </c>
      <c r="I1326" s="354">
        <v>1</v>
      </c>
      <c r="J1326" s="354">
        <v>1</v>
      </c>
      <c r="K1326" s="354">
        <v>0</v>
      </c>
      <c r="L1326" s="354">
        <v>0</v>
      </c>
      <c r="M1326" s="355">
        <v>3</v>
      </c>
      <c r="N1326" s="355">
        <v>2</v>
      </c>
    </row>
    <row r="1327" spans="1:14" hidden="1" x14ac:dyDescent="0.25">
      <c r="A1327" s="354">
        <v>1</v>
      </c>
      <c r="B1327" s="354">
        <v>0</v>
      </c>
      <c r="C1327" s="354">
        <v>1</v>
      </c>
      <c r="D1327" s="354">
        <v>0</v>
      </c>
      <c r="E1327" s="354">
        <v>1</v>
      </c>
      <c r="F1327" s="354">
        <v>0</v>
      </c>
      <c r="G1327" s="354">
        <v>0</v>
      </c>
      <c r="H1327" s="354">
        <v>0</v>
      </c>
      <c r="I1327" s="354">
        <v>0</v>
      </c>
      <c r="J1327" s="354">
        <v>0</v>
      </c>
      <c r="K1327" s="354">
        <v>0</v>
      </c>
      <c r="L1327" s="354">
        <v>0</v>
      </c>
      <c r="M1327" s="355">
        <v>3</v>
      </c>
      <c r="N1327" s="355">
        <v>0</v>
      </c>
    </row>
    <row r="1328" spans="1:14" hidden="1" x14ac:dyDescent="0.25">
      <c r="A1328" s="354">
        <v>0</v>
      </c>
      <c r="B1328" s="354">
        <v>0</v>
      </c>
      <c r="C1328" s="354">
        <v>0</v>
      </c>
      <c r="D1328" s="354">
        <v>0</v>
      </c>
      <c r="E1328" s="354">
        <v>2</v>
      </c>
      <c r="F1328" s="354">
        <v>2</v>
      </c>
      <c r="G1328" s="354">
        <v>1</v>
      </c>
      <c r="H1328" s="354">
        <v>0</v>
      </c>
      <c r="I1328" s="354">
        <v>1</v>
      </c>
      <c r="J1328" s="354">
        <v>1</v>
      </c>
      <c r="K1328" s="354">
        <v>0</v>
      </c>
      <c r="L1328" s="354">
        <v>0</v>
      </c>
      <c r="M1328" s="355">
        <v>4</v>
      </c>
      <c r="N1328" s="355">
        <v>3</v>
      </c>
    </row>
    <row r="1329" spans="1:14" hidden="1" x14ac:dyDescent="0.25">
      <c r="A1329" s="354">
        <v>0</v>
      </c>
      <c r="B1329" s="354">
        <v>1</v>
      </c>
      <c r="C1329" s="354">
        <v>0</v>
      </c>
      <c r="D1329" s="354">
        <v>2</v>
      </c>
      <c r="E1329" s="354">
        <v>2</v>
      </c>
      <c r="F1329" s="354">
        <v>0</v>
      </c>
      <c r="G1329" s="354">
        <v>2</v>
      </c>
      <c r="H1329" s="354">
        <v>0</v>
      </c>
      <c r="I1329" s="354">
        <v>1</v>
      </c>
      <c r="J1329" s="354">
        <v>0</v>
      </c>
      <c r="K1329" s="354">
        <v>0</v>
      </c>
      <c r="L1329" s="354">
        <v>0</v>
      </c>
      <c r="M1329" s="355">
        <v>5</v>
      </c>
      <c r="N1329" s="355">
        <v>3</v>
      </c>
    </row>
    <row r="1330" spans="1:14" hidden="1" x14ac:dyDescent="0.25">
      <c r="A1330" s="354">
        <v>0</v>
      </c>
      <c r="B1330" s="354">
        <v>0</v>
      </c>
      <c r="C1330" s="354">
        <v>0</v>
      </c>
      <c r="D1330" s="354">
        <v>1</v>
      </c>
      <c r="E1330" s="354">
        <v>2</v>
      </c>
      <c r="F1330" s="354">
        <v>0</v>
      </c>
      <c r="G1330" s="354">
        <v>2</v>
      </c>
      <c r="H1330" s="354">
        <v>0</v>
      </c>
      <c r="I1330" s="354">
        <v>1</v>
      </c>
      <c r="J1330" s="354">
        <v>1</v>
      </c>
      <c r="K1330" s="354">
        <v>0</v>
      </c>
      <c r="L1330" s="354">
        <v>0</v>
      </c>
      <c r="M1330" s="355">
        <v>5</v>
      </c>
      <c r="N1330" s="355">
        <v>2</v>
      </c>
    </row>
    <row r="1331" spans="1:14" hidden="1" x14ac:dyDescent="0.25">
      <c r="A1331" s="354">
        <v>0</v>
      </c>
      <c r="B1331" s="354">
        <v>0</v>
      </c>
      <c r="C1331" s="354">
        <v>1</v>
      </c>
      <c r="D1331" s="354">
        <v>0</v>
      </c>
      <c r="E1331" s="354">
        <v>2</v>
      </c>
      <c r="F1331" s="354">
        <v>1</v>
      </c>
      <c r="G1331" s="354">
        <v>2</v>
      </c>
      <c r="H1331" s="354">
        <v>2</v>
      </c>
      <c r="I1331" s="354">
        <v>1</v>
      </c>
      <c r="J1331" s="354">
        <v>3</v>
      </c>
      <c r="K1331" s="354">
        <v>0</v>
      </c>
      <c r="L1331" s="354">
        <v>0</v>
      </c>
      <c r="M1331" s="355">
        <v>6</v>
      </c>
      <c r="N1331" s="355">
        <v>6</v>
      </c>
    </row>
    <row r="1332" spans="1:14" hidden="1" x14ac:dyDescent="0.25">
      <c r="A1332" s="354">
        <v>1</v>
      </c>
      <c r="B1332" s="354">
        <v>0</v>
      </c>
      <c r="C1332" s="354">
        <v>1</v>
      </c>
      <c r="D1332" s="354">
        <v>0</v>
      </c>
      <c r="E1332" s="354">
        <v>1</v>
      </c>
      <c r="F1332" s="354">
        <v>2</v>
      </c>
      <c r="G1332" s="354">
        <v>0</v>
      </c>
      <c r="H1332" s="354">
        <v>1</v>
      </c>
      <c r="I1332" s="354">
        <v>1</v>
      </c>
      <c r="J1332" s="354">
        <v>1</v>
      </c>
      <c r="K1332" s="354">
        <v>0</v>
      </c>
      <c r="L1332" s="354">
        <v>0</v>
      </c>
      <c r="M1332" s="355">
        <v>4</v>
      </c>
      <c r="N1332" s="355">
        <v>4</v>
      </c>
    </row>
    <row r="1333" spans="1:14" hidden="1" x14ac:dyDescent="0.25">
      <c r="A1333" s="354">
        <v>1</v>
      </c>
      <c r="B1333" s="354">
        <v>0</v>
      </c>
      <c r="C1333" s="354">
        <v>1</v>
      </c>
      <c r="D1333" s="354">
        <v>1</v>
      </c>
      <c r="E1333" s="354">
        <v>1</v>
      </c>
      <c r="F1333" s="354">
        <v>1</v>
      </c>
      <c r="G1333" s="354">
        <v>1</v>
      </c>
      <c r="H1333" s="354">
        <v>0</v>
      </c>
      <c r="I1333" s="354">
        <v>1</v>
      </c>
      <c r="J1333" s="354">
        <v>1</v>
      </c>
      <c r="K1333" s="354">
        <v>0</v>
      </c>
      <c r="L1333" s="354">
        <v>0</v>
      </c>
      <c r="M1333" s="355">
        <v>5</v>
      </c>
      <c r="N1333" s="355">
        <v>3</v>
      </c>
    </row>
    <row r="1334" spans="1:14" hidden="1" x14ac:dyDescent="0.25">
      <c r="A1334" s="354">
        <v>1</v>
      </c>
      <c r="B1334" s="354">
        <v>0</v>
      </c>
      <c r="C1334" s="354">
        <v>1</v>
      </c>
      <c r="D1334" s="354">
        <v>2</v>
      </c>
      <c r="E1334" s="354">
        <v>1</v>
      </c>
      <c r="F1334" s="354">
        <v>1</v>
      </c>
      <c r="G1334" s="354">
        <v>1</v>
      </c>
      <c r="H1334" s="354">
        <v>1</v>
      </c>
      <c r="I1334" s="354">
        <v>2</v>
      </c>
      <c r="J1334" s="354">
        <v>2</v>
      </c>
      <c r="K1334" s="354">
        <v>0</v>
      </c>
      <c r="L1334" s="354">
        <v>1</v>
      </c>
      <c r="M1334" s="355">
        <v>6</v>
      </c>
      <c r="N1334" s="355">
        <v>7</v>
      </c>
    </row>
    <row r="1335" spans="1:14" hidden="1" x14ac:dyDescent="0.25">
      <c r="A1335" s="354">
        <v>2</v>
      </c>
      <c r="B1335" s="354">
        <v>2</v>
      </c>
      <c r="C1335" s="354">
        <v>3</v>
      </c>
      <c r="D1335" s="354">
        <v>3</v>
      </c>
      <c r="E1335" s="354">
        <v>2</v>
      </c>
      <c r="F1335" s="354">
        <v>1</v>
      </c>
      <c r="G1335" s="354">
        <v>4</v>
      </c>
      <c r="H1335" s="354">
        <v>2</v>
      </c>
      <c r="I1335" s="354">
        <v>1</v>
      </c>
      <c r="J1335" s="354">
        <v>1</v>
      </c>
      <c r="K1335" s="354">
        <v>0</v>
      </c>
      <c r="L1335" s="354">
        <v>0</v>
      </c>
      <c r="M1335" s="355">
        <v>12</v>
      </c>
      <c r="N1335" s="355">
        <v>9</v>
      </c>
    </row>
    <row r="1336" spans="1:14" hidden="1" x14ac:dyDescent="0.25">
      <c r="A1336" s="354">
        <v>1</v>
      </c>
      <c r="B1336" s="354">
        <v>0</v>
      </c>
      <c r="C1336" s="354">
        <v>1</v>
      </c>
      <c r="D1336" s="354">
        <v>0</v>
      </c>
      <c r="E1336" s="354">
        <v>0</v>
      </c>
      <c r="F1336" s="354">
        <v>2</v>
      </c>
      <c r="G1336" s="354">
        <v>0</v>
      </c>
      <c r="H1336" s="354">
        <v>0</v>
      </c>
      <c r="I1336" s="354">
        <v>1</v>
      </c>
      <c r="J1336" s="354">
        <v>1</v>
      </c>
      <c r="K1336" s="354">
        <v>1</v>
      </c>
      <c r="L1336" s="354">
        <v>1</v>
      </c>
      <c r="M1336" s="355">
        <v>4</v>
      </c>
      <c r="N1336" s="355">
        <v>4</v>
      </c>
    </row>
    <row r="1337" spans="1:14" hidden="1" x14ac:dyDescent="0.25">
      <c r="A1337" s="354">
        <v>0</v>
      </c>
      <c r="B1337" s="354">
        <v>0</v>
      </c>
      <c r="C1337" s="354">
        <v>1</v>
      </c>
      <c r="D1337" s="354">
        <v>1</v>
      </c>
      <c r="E1337" s="354">
        <v>1</v>
      </c>
      <c r="F1337" s="354">
        <v>2</v>
      </c>
      <c r="G1337" s="354">
        <v>2</v>
      </c>
      <c r="H1337" s="354">
        <v>1</v>
      </c>
      <c r="I1337" s="354">
        <v>0</v>
      </c>
      <c r="J1337" s="354">
        <v>1</v>
      </c>
      <c r="K1337" s="354">
        <v>1</v>
      </c>
      <c r="L1337" s="354">
        <v>0</v>
      </c>
      <c r="M1337" s="355">
        <v>5</v>
      </c>
      <c r="N1337" s="355">
        <v>5</v>
      </c>
    </row>
    <row r="1338" spans="1:14" hidden="1" x14ac:dyDescent="0.25">
      <c r="A1338" s="354">
        <v>2</v>
      </c>
      <c r="B1338" s="354">
        <v>2</v>
      </c>
      <c r="C1338" s="354">
        <v>2</v>
      </c>
      <c r="D1338" s="354">
        <v>2</v>
      </c>
      <c r="E1338" s="354">
        <v>2</v>
      </c>
      <c r="F1338" s="354">
        <v>2</v>
      </c>
      <c r="G1338" s="354">
        <v>1</v>
      </c>
      <c r="H1338" s="354">
        <v>2</v>
      </c>
      <c r="I1338" s="354">
        <v>1</v>
      </c>
      <c r="J1338" s="354">
        <v>2</v>
      </c>
      <c r="K1338" s="354">
        <v>1</v>
      </c>
      <c r="L1338" s="354">
        <v>2</v>
      </c>
      <c r="M1338" s="355">
        <v>9</v>
      </c>
      <c r="N1338" s="355">
        <v>12</v>
      </c>
    </row>
    <row r="1339" spans="1:14" hidden="1" x14ac:dyDescent="0.25">
      <c r="A1339" s="354">
        <v>1</v>
      </c>
      <c r="B1339" s="354">
        <v>1</v>
      </c>
      <c r="C1339" s="354">
        <v>2</v>
      </c>
      <c r="D1339" s="354">
        <v>2</v>
      </c>
      <c r="E1339" s="354">
        <v>1</v>
      </c>
      <c r="F1339" s="354">
        <v>1</v>
      </c>
      <c r="G1339" s="354">
        <v>1</v>
      </c>
      <c r="H1339" s="354">
        <v>1</v>
      </c>
      <c r="I1339" s="354">
        <v>2</v>
      </c>
      <c r="J1339" s="354">
        <v>1</v>
      </c>
      <c r="K1339" s="354">
        <v>0</v>
      </c>
      <c r="L1339" s="354">
        <v>0</v>
      </c>
      <c r="M1339" s="355">
        <v>7</v>
      </c>
      <c r="N1339" s="355">
        <v>6</v>
      </c>
    </row>
    <row r="1340" spans="1:14" hidden="1" x14ac:dyDescent="0.25">
      <c r="A1340" s="354">
        <v>0</v>
      </c>
      <c r="B1340" s="354">
        <v>1</v>
      </c>
      <c r="C1340" s="354">
        <v>1</v>
      </c>
      <c r="D1340" s="354">
        <v>2</v>
      </c>
      <c r="E1340" s="354">
        <v>0</v>
      </c>
      <c r="F1340" s="354">
        <v>0</v>
      </c>
      <c r="G1340" s="354">
        <v>0</v>
      </c>
      <c r="H1340" s="354">
        <v>0</v>
      </c>
      <c r="I1340" s="354">
        <v>1</v>
      </c>
      <c r="J1340" s="354">
        <v>1</v>
      </c>
      <c r="K1340" s="354">
        <v>0</v>
      </c>
      <c r="L1340" s="354">
        <v>0</v>
      </c>
      <c r="M1340" s="355">
        <v>2</v>
      </c>
      <c r="N1340" s="355">
        <v>4</v>
      </c>
    </row>
    <row r="1341" spans="1:14" hidden="1" x14ac:dyDescent="0.25">
      <c r="A1341" s="354">
        <v>1</v>
      </c>
      <c r="B1341" s="354">
        <v>0</v>
      </c>
      <c r="C1341" s="354">
        <v>2</v>
      </c>
      <c r="D1341" s="354">
        <v>1</v>
      </c>
      <c r="E1341" s="354">
        <v>0</v>
      </c>
      <c r="F1341" s="354">
        <v>1</v>
      </c>
      <c r="G1341" s="354">
        <v>0</v>
      </c>
      <c r="H1341" s="354">
        <v>0</v>
      </c>
      <c r="I1341" s="354">
        <v>1</v>
      </c>
      <c r="J1341" s="354">
        <v>1</v>
      </c>
      <c r="K1341" s="354">
        <v>0</v>
      </c>
      <c r="L1341" s="354">
        <v>0</v>
      </c>
      <c r="M1341" s="355">
        <v>4</v>
      </c>
      <c r="N1341" s="355">
        <v>3</v>
      </c>
    </row>
    <row r="1342" spans="1:14" hidden="1" x14ac:dyDescent="0.25">
      <c r="A1342" s="354">
        <v>2</v>
      </c>
      <c r="B1342" s="354">
        <v>0</v>
      </c>
      <c r="C1342" s="354">
        <v>1</v>
      </c>
      <c r="D1342" s="354">
        <v>1</v>
      </c>
      <c r="E1342" s="354">
        <v>1</v>
      </c>
      <c r="F1342" s="354">
        <v>1</v>
      </c>
      <c r="G1342" s="354">
        <v>1</v>
      </c>
      <c r="H1342" s="354">
        <v>0</v>
      </c>
      <c r="I1342" s="354">
        <v>1</v>
      </c>
      <c r="J1342" s="354">
        <v>2</v>
      </c>
      <c r="K1342" s="354">
        <v>0</v>
      </c>
      <c r="L1342" s="354">
        <v>0</v>
      </c>
      <c r="M1342" s="355">
        <v>6</v>
      </c>
      <c r="N1342" s="355">
        <v>4</v>
      </c>
    </row>
    <row r="1343" spans="1:14" hidden="1" x14ac:dyDescent="0.25">
      <c r="A1343" s="354">
        <v>1</v>
      </c>
      <c r="B1343" s="354">
        <v>0</v>
      </c>
      <c r="C1343" s="354">
        <v>2</v>
      </c>
      <c r="D1343" s="354">
        <v>0</v>
      </c>
      <c r="E1343" s="354">
        <v>0</v>
      </c>
      <c r="F1343" s="354">
        <v>0</v>
      </c>
      <c r="G1343" s="354">
        <v>0</v>
      </c>
      <c r="H1343" s="354">
        <v>0</v>
      </c>
      <c r="I1343" s="354">
        <v>1</v>
      </c>
      <c r="J1343" s="354">
        <v>1</v>
      </c>
      <c r="K1343" s="354">
        <v>0</v>
      </c>
      <c r="L1343" s="354">
        <v>0</v>
      </c>
      <c r="M1343" s="355">
        <v>4</v>
      </c>
      <c r="N1343" s="355">
        <v>1</v>
      </c>
    </row>
    <row r="1344" spans="1:14" hidden="1" x14ac:dyDescent="0.25">
      <c r="A1344" s="354">
        <v>0</v>
      </c>
      <c r="B1344" s="354">
        <v>1</v>
      </c>
      <c r="C1344" s="354">
        <v>1</v>
      </c>
      <c r="D1344" s="354">
        <v>1</v>
      </c>
      <c r="E1344" s="354">
        <v>1</v>
      </c>
      <c r="F1344" s="354">
        <v>1</v>
      </c>
      <c r="G1344" s="354">
        <v>0</v>
      </c>
      <c r="H1344" s="354">
        <v>2</v>
      </c>
      <c r="I1344" s="354">
        <v>1</v>
      </c>
      <c r="J1344" s="354">
        <v>3</v>
      </c>
      <c r="K1344" s="354">
        <v>0</v>
      </c>
      <c r="L1344" s="354">
        <v>0</v>
      </c>
      <c r="M1344" s="355">
        <v>3</v>
      </c>
      <c r="N1344" s="355">
        <v>8</v>
      </c>
    </row>
    <row r="1345" spans="1:14" hidden="1" x14ac:dyDescent="0.25">
      <c r="A1345" s="354">
        <v>1</v>
      </c>
      <c r="B1345" s="354">
        <v>1</v>
      </c>
      <c r="C1345" s="354">
        <v>0</v>
      </c>
      <c r="D1345" s="354">
        <v>3</v>
      </c>
      <c r="E1345" s="354">
        <v>1</v>
      </c>
      <c r="F1345" s="354">
        <v>0</v>
      </c>
      <c r="G1345" s="354">
        <v>0</v>
      </c>
      <c r="H1345" s="354">
        <v>0</v>
      </c>
      <c r="I1345" s="354">
        <v>1</v>
      </c>
      <c r="J1345" s="354">
        <v>1</v>
      </c>
      <c r="K1345" s="354">
        <v>0</v>
      </c>
      <c r="L1345" s="354">
        <v>0</v>
      </c>
      <c r="M1345" s="355">
        <v>3</v>
      </c>
      <c r="N1345" s="355">
        <v>5</v>
      </c>
    </row>
    <row r="1346" spans="1:14" hidden="1" x14ac:dyDescent="0.25">
      <c r="A1346" s="354">
        <v>1</v>
      </c>
      <c r="B1346" s="354">
        <v>0</v>
      </c>
      <c r="C1346" s="354">
        <v>2</v>
      </c>
      <c r="D1346" s="354">
        <v>0</v>
      </c>
      <c r="E1346" s="354">
        <v>0</v>
      </c>
      <c r="F1346" s="354">
        <v>1</v>
      </c>
      <c r="G1346" s="354">
        <v>0</v>
      </c>
      <c r="H1346" s="354">
        <v>0</v>
      </c>
      <c r="I1346" s="354">
        <v>1</v>
      </c>
      <c r="J1346" s="354">
        <v>1</v>
      </c>
      <c r="K1346" s="354">
        <v>0</v>
      </c>
      <c r="L1346" s="354">
        <v>0</v>
      </c>
      <c r="M1346" s="355">
        <v>4</v>
      </c>
      <c r="N1346" s="355">
        <v>2</v>
      </c>
    </row>
    <row r="1347" spans="1:14" hidden="1" x14ac:dyDescent="0.25">
      <c r="A1347" s="354">
        <v>0</v>
      </c>
      <c r="B1347" s="354">
        <v>1</v>
      </c>
      <c r="C1347" s="354">
        <v>0</v>
      </c>
      <c r="D1347" s="354">
        <v>2</v>
      </c>
      <c r="E1347" s="354">
        <v>0</v>
      </c>
      <c r="F1347" s="354">
        <v>0</v>
      </c>
      <c r="G1347" s="354">
        <v>0</v>
      </c>
      <c r="H1347" s="354">
        <v>0</v>
      </c>
      <c r="I1347" s="354">
        <v>1</v>
      </c>
      <c r="J1347" s="354">
        <v>1</v>
      </c>
      <c r="K1347" s="354">
        <v>0</v>
      </c>
      <c r="L1347" s="354">
        <v>0</v>
      </c>
      <c r="M1347" s="355">
        <v>1</v>
      </c>
      <c r="N1347" s="355">
        <v>4</v>
      </c>
    </row>
    <row r="1348" spans="1:14" hidden="1" x14ac:dyDescent="0.25">
      <c r="A1348" s="354">
        <v>1</v>
      </c>
      <c r="B1348" s="354">
        <v>0</v>
      </c>
      <c r="C1348" s="354">
        <v>2</v>
      </c>
      <c r="D1348" s="354">
        <v>1</v>
      </c>
      <c r="E1348" s="354">
        <v>2</v>
      </c>
      <c r="F1348" s="354">
        <v>2</v>
      </c>
      <c r="G1348" s="354">
        <v>1</v>
      </c>
      <c r="H1348" s="354">
        <v>0</v>
      </c>
      <c r="I1348" s="354">
        <v>2</v>
      </c>
      <c r="J1348" s="354">
        <v>2</v>
      </c>
      <c r="K1348" s="354">
        <v>0</v>
      </c>
      <c r="L1348" s="354">
        <v>0</v>
      </c>
      <c r="M1348" s="355">
        <v>8</v>
      </c>
      <c r="N1348" s="355">
        <v>5</v>
      </c>
    </row>
    <row r="1349" spans="1:14" hidden="1" x14ac:dyDescent="0.25">
      <c r="A1349" s="354">
        <v>1</v>
      </c>
      <c r="B1349" s="354">
        <v>0</v>
      </c>
      <c r="C1349" s="354">
        <v>1</v>
      </c>
      <c r="D1349" s="354">
        <v>1</v>
      </c>
      <c r="E1349" s="354">
        <v>1</v>
      </c>
      <c r="F1349" s="354">
        <v>0</v>
      </c>
      <c r="G1349" s="354">
        <v>1</v>
      </c>
      <c r="H1349" s="354">
        <v>1</v>
      </c>
      <c r="I1349" s="354">
        <v>1</v>
      </c>
      <c r="J1349" s="354">
        <v>1</v>
      </c>
      <c r="K1349" s="354">
        <v>0</v>
      </c>
      <c r="L1349" s="354">
        <v>0</v>
      </c>
      <c r="M1349" s="355">
        <v>5</v>
      </c>
      <c r="N1349" s="355">
        <v>3</v>
      </c>
    </row>
    <row r="1350" spans="1:14" hidden="1" x14ac:dyDescent="0.25">
      <c r="A1350" s="354">
        <v>1</v>
      </c>
      <c r="B1350" s="354">
        <v>1</v>
      </c>
      <c r="C1350" s="354">
        <v>2</v>
      </c>
      <c r="D1350" s="354">
        <v>1</v>
      </c>
      <c r="E1350" s="354">
        <v>2</v>
      </c>
      <c r="F1350" s="354">
        <v>0</v>
      </c>
      <c r="G1350" s="354">
        <v>1</v>
      </c>
      <c r="H1350" s="354">
        <v>1</v>
      </c>
      <c r="I1350" s="354">
        <v>2</v>
      </c>
      <c r="J1350" s="354">
        <v>3</v>
      </c>
      <c r="K1350" s="354">
        <v>1</v>
      </c>
      <c r="L1350" s="354">
        <v>0</v>
      </c>
      <c r="M1350" s="355">
        <v>9</v>
      </c>
      <c r="N1350" s="355">
        <v>6</v>
      </c>
    </row>
    <row r="1351" spans="1:14" hidden="1" x14ac:dyDescent="0.25">
      <c r="A1351" s="354">
        <v>1</v>
      </c>
      <c r="B1351" s="354">
        <v>0</v>
      </c>
      <c r="C1351" s="354">
        <v>1</v>
      </c>
      <c r="D1351" s="354">
        <v>0</v>
      </c>
      <c r="E1351" s="354">
        <v>0</v>
      </c>
      <c r="F1351" s="354">
        <v>0</v>
      </c>
      <c r="G1351" s="354">
        <v>0</v>
      </c>
      <c r="H1351" s="354">
        <v>0</v>
      </c>
      <c r="I1351" s="354">
        <v>1</v>
      </c>
      <c r="J1351" s="354">
        <v>1</v>
      </c>
      <c r="K1351" s="354">
        <v>0</v>
      </c>
      <c r="L1351" s="354">
        <v>0</v>
      </c>
      <c r="M1351" s="355">
        <v>3</v>
      </c>
      <c r="N1351" s="355">
        <v>1</v>
      </c>
    </row>
    <row r="1352" spans="1:14" hidden="1" x14ac:dyDescent="0.25">
      <c r="A1352" s="354">
        <v>1</v>
      </c>
      <c r="B1352" s="354">
        <v>1</v>
      </c>
      <c r="C1352" s="354">
        <v>0</v>
      </c>
      <c r="D1352" s="354">
        <v>2</v>
      </c>
      <c r="E1352" s="354">
        <v>0</v>
      </c>
      <c r="F1352" s="354">
        <v>0</v>
      </c>
      <c r="G1352" s="354">
        <v>0</v>
      </c>
      <c r="H1352" s="354">
        <v>0</v>
      </c>
      <c r="I1352" s="354">
        <v>1</v>
      </c>
      <c r="J1352" s="354">
        <v>1</v>
      </c>
      <c r="K1352" s="354">
        <v>0</v>
      </c>
      <c r="L1352" s="354">
        <v>0</v>
      </c>
      <c r="M1352" s="355">
        <v>2</v>
      </c>
      <c r="N1352" s="355">
        <v>4</v>
      </c>
    </row>
    <row r="1353" spans="1:14" hidden="1" x14ac:dyDescent="0.25">
      <c r="A1353" s="354">
        <v>0</v>
      </c>
      <c r="B1353" s="354">
        <v>0</v>
      </c>
      <c r="C1353" s="354">
        <v>1</v>
      </c>
      <c r="D1353" s="354">
        <v>2</v>
      </c>
      <c r="E1353" s="354">
        <v>1</v>
      </c>
      <c r="F1353" s="354">
        <v>1</v>
      </c>
      <c r="G1353" s="354">
        <v>1</v>
      </c>
      <c r="H1353" s="354">
        <v>2</v>
      </c>
      <c r="I1353" s="354">
        <v>1</v>
      </c>
      <c r="J1353" s="354">
        <v>1</v>
      </c>
      <c r="K1353" s="354">
        <v>0</v>
      </c>
      <c r="L1353" s="354">
        <v>0</v>
      </c>
      <c r="M1353" s="355">
        <v>4</v>
      </c>
      <c r="N1353" s="355">
        <v>6</v>
      </c>
    </row>
    <row r="1354" spans="1:14" hidden="1" x14ac:dyDescent="0.25">
      <c r="A1354" s="354">
        <v>1</v>
      </c>
      <c r="B1354" s="354">
        <v>0</v>
      </c>
      <c r="C1354" s="354">
        <v>1</v>
      </c>
      <c r="D1354" s="354">
        <v>1</v>
      </c>
      <c r="E1354" s="354">
        <v>1</v>
      </c>
      <c r="F1354" s="354">
        <v>1</v>
      </c>
      <c r="G1354" s="354">
        <v>0</v>
      </c>
      <c r="H1354" s="354">
        <v>0</v>
      </c>
      <c r="I1354" s="354">
        <v>1</v>
      </c>
      <c r="J1354" s="354">
        <v>1</v>
      </c>
      <c r="K1354" s="354">
        <v>0</v>
      </c>
      <c r="L1354" s="354">
        <v>0</v>
      </c>
      <c r="M1354" s="355">
        <v>4</v>
      </c>
      <c r="N1354" s="355">
        <v>3</v>
      </c>
    </row>
    <row r="1355" spans="1:14" hidden="1" x14ac:dyDescent="0.25">
      <c r="A1355" s="354">
        <v>0</v>
      </c>
      <c r="B1355" s="354">
        <v>0</v>
      </c>
      <c r="C1355" s="354">
        <v>0</v>
      </c>
      <c r="D1355" s="354">
        <v>1</v>
      </c>
      <c r="E1355" s="354">
        <v>0</v>
      </c>
      <c r="F1355" s="354">
        <v>0</v>
      </c>
      <c r="G1355" s="354">
        <v>0</v>
      </c>
      <c r="H1355" s="354">
        <v>0</v>
      </c>
      <c r="I1355" s="354">
        <v>1</v>
      </c>
      <c r="J1355" s="354">
        <v>1</v>
      </c>
      <c r="K1355" s="354">
        <v>0</v>
      </c>
      <c r="L1355" s="354">
        <v>0</v>
      </c>
      <c r="M1355" s="355">
        <v>1</v>
      </c>
      <c r="N1355" s="355">
        <v>2</v>
      </c>
    </row>
    <row r="1356" spans="1:14" hidden="1" x14ac:dyDescent="0.25">
      <c r="A1356" s="354">
        <v>1</v>
      </c>
      <c r="B1356" s="354">
        <v>0</v>
      </c>
      <c r="C1356" s="354">
        <v>1</v>
      </c>
      <c r="D1356" s="354">
        <v>1</v>
      </c>
      <c r="E1356" s="354">
        <v>2</v>
      </c>
      <c r="F1356" s="354">
        <v>0</v>
      </c>
      <c r="G1356" s="354">
        <v>1</v>
      </c>
      <c r="H1356" s="354">
        <v>0</v>
      </c>
      <c r="I1356" s="354">
        <v>1</v>
      </c>
      <c r="J1356" s="354">
        <v>2</v>
      </c>
      <c r="K1356" s="354">
        <v>0</v>
      </c>
      <c r="L1356" s="354">
        <v>0</v>
      </c>
      <c r="M1356" s="355">
        <v>6</v>
      </c>
      <c r="N1356" s="355">
        <v>3</v>
      </c>
    </row>
    <row r="1357" spans="1:14" hidden="1" x14ac:dyDescent="0.25">
      <c r="A1357" s="354">
        <v>1</v>
      </c>
      <c r="B1357" s="354">
        <v>0</v>
      </c>
      <c r="C1357" s="354">
        <v>1</v>
      </c>
      <c r="D1357" s="354">
        <v>1</v>
      </c>
      <c r="E1357" s="354">
        <v>0</v>
      </c>
      <c r="F1357" s="354">
        <v>0</v>
      </c>
      <c r="G1357" s="354">
        <v>0</v>
      </c>
      <c r="H1357" s="354">
        <v>0</v>
      </c>
      <c r="I1357" s="354">
        <v>1</v>
      </c>
      <c r="J1357" s="354">
        <v>1</v>
      </c>
      <c r="K1357" s="354">
        <v>0</v>
      </c>
      <c r="L1357" s="354">
        <v>0</v>
      </c>
      <c r="M1357" s="355">
        <v>3</v>
      </c>
      <c r="N1357" s="355">
        <v>2</v>
      </c>
    </row>
    <row r="1358" spans="1:14" hidden="1" x14ac:dyDescent="0.25">
      <c r="A1358" s="354">
        <v>0</v>
      </c>
      <c r="B1358" s="354">
        <v>0</v>
      </c>
      <c r="C1358" s="354">
        <v>0</v>
      </c>
      <c r="D1358" s="354">
        <v>0</v>
      </c>
      <c r="E1358" s="354">
        <v>0</v>
      </c>
      <c r="F1358" s="354">
        <v>0</v>
      </c>
      <c r="G1358" s="354">
        <v>1</v>
      </c>
      <c r="H1358" s="354">
        <v>0</v>
      </c>
      <c r="I1358" s="354">
        <v>0</v>
      </c>
      <c r="J1358" s="354">
        <v>1</v>
      </c>
      <c r="K1358" s="354">
        <v>0</v>
      </c>
      <c r="L1358" s="354">
        <v>0</v>
      </c>
      <c r="M1358" s="355">
        <v>1</v>
      </c>
      <c r="N1358" s="355">
        <v>1</v>
      </c>
    </row>
    <row r="1359" spans="1:14" hidden="1" x14ac:dyDescent="0.25">
      <c r="A1359" s="354">
        <v>1</v>
      </c>
      <c r="B1359" s="354">
        <v>0</v>
      </c>
      <c r="C1359" s="354">
        <v>1</v>
      </c>
      <c r="D1359" s="354">
        <v>3</v>
      </c>
      <c r="E1359" s="354">
        <v>0</v>
      </c>
      <c r="F1359" s="354">
        <v>1</v>
      </c>
      <c r="G1359" s="354">
        <v>0</v>
      </c>
      <c r="H1359" s="354">
        <v>0</v>
      </c>
      <c r="I1359" s="354">
        <v>1</v>
      </c>
      <c r="J1359" s="354">
        <v>1</v>
      </c>
      <c r="K1359" s="354">
        <v>0</v>
      </c>
      <c r="L1359" s="354">
        <v>0</v>
      </c>
      <c r="M1359" s="355">
        <v>3</v>
      </c>
      <c r="N1359" s="355">
        <v>5</v>
      </c>
    </row>
    <row r="1360" spans="1:14" hidden="1" x14ac:dyDescent="0.25">
      <c r="A1360" s="354">
        <v>1</v>
      </c>
      <c r="B1360" s="354">
        <v>0</v>
      </c>
      <c r="C1360" s="354">
        <v>0</v>
      </c>
      <c r="D1360" s="354">
        <v>1</v>
      </c>
      <c r="E1360" s="354">
        <v>0</v>
      </c>
      <c r="F1360" s="354">
        <v>1</v>
      </c>
      <c r="G1360" s="354">
        <v>0</v>
      </c>
      <c r="H1360" s="354">
        <v>0</v>
      </c>
      <c r="I1360" s="354">
        <v>1</v>
      </c>
      <c r="J1360" s="354">
        <v>1</v>
      </c>
      <c r="K1360" s="354">
        <v>0</v>
      </c>
      <c r="L1360" s="354">
        <v>0</v>
      </c>
      <c r="M1360" s="355">
        <v>2</v>
      </c>
      <c r="N1360" s="355">
        <v>3</v>
      </c>
    </row>
    <row r="1361" spans="1:14" hidden="1" x14ac:dyDescent="0.25">
      <c r="A1361" s="354">
        <v>0</v>
      </c>
      <c r="B1361" s="354">
        <v>0</v>
      </c>
      <c r="C1361" s="354">
        <v>1</v>
      </c>
      <c r="D1361" s="354">
        <v>0</v>
      </c>
      <c r="E1361" s="354">
        <v>1</v>
      </c>
      <c r="F1361" s="354">
        <v>2</v>
      </c>
      <c r="G1361" s="354">
        <v>0</v>
      </c>
      <c r="H1361" s="354">
        <v>2</v>
      </c>
      <c r="I1361" s="354">
        <v>0</v>
      </c>
      <c r="J1361" s="354">
        <v>2</v>
      </c>
      <c r="K1361" s="354">
        <v>1</v>
      </c>
      <c r="L1361" s="354">
        <v>0</v>
      </c>
      <c r="M1361" s="355">
        <v>3</v>
      </c>
      <c r="N1361" s="355">
        <v>6</v>
      </c>
    </row>
    <row r="1362" spans="1:14" hidden="1" x14ac:dyDescent="0.25">
      <c r="A1362" s="354">
        <v>1</v>
      </c>
      <c r="B1362" s="354">
        <v>0</v>
      </c>
      <c r="C1362" s="354">
        <v>0</v>
      </c>
      <c r="D1362" s="354">
        <v>1</v>
      </c>
      <c r="E1362" s="354">
        <v>0</v>
      </c>
      <c r="F1362" s="354">
        <v>1</v>
      </c>
      <c r="G1362" s="354">
        <v>0</v>
      </c>
      <c r="H1362" s="354">
        <v>0</v>
      </c>
      <c r="I1362" s="354">
        <v>1</v>
      </c>
      <c r="J1362" s="354">
        <v>1</v>
      </c>
      <c r="K1362" s="354">
        <v>0</v>
      </c>
      <c r="L1362" s="354">
        <v>0</v>
      </c>
      <c r="M1362" s="355">
        <v>2</v>
      </c>
      <c r="N1362" s="355">
        <v>3</v>
      </c>
    </row>
    <row r="1363" spans="1:14" hidden="1" x14ac:dyDescent="0.25">
      <c r="A1363" s="354">
        <v>1</v>
      </c>
      <c r="B1363" s="354">
        <v>0</v>
      </c>
      <c r="C1363" s="354">
        <v>2</v>
      </c>
      <c r="D1363" s="354">
        <v>1</v>
      </c>
      <c r="E1363" s="354">
        <v>0</v>
      </c>
      <c r="F1363" s="354">
        <v>0</v>
      </c>
      <c r="G1363" s="354">
        <v>1</v>
      </c>
      <c r="H1363" s="354">
        <v>1</v>
      </c>
      <c r="I1363" s="354">
        <v>1</v>
      </c>
      <c r="J1363" s="354">
        <v>1</v>
      </c>
      <c r="K1363" s="354">
        <v>0</v>
      </c>
      <c r="L1363" s="354">
        <v>0</v>
      </c>
      <c r="M1363" s="355">
        <v>5</v>
      </c>
      <c r="N1363" s="355">
        <v>3</v>
      </c>
    </row>
    <row r="1364" spans="1:14" hidden="1" x14ac:dyDescent="0.25">
      <c r="A1364" s="354">
        <v>1</v>
      </c>
      <c r="B1364" s="354">
        <v>0</v>
      </c>
      <c r="C1364" s="354">
        <v>1</v>
      </c>
      <c r="D1364" s="354">
        <v>2</v>
      </c>
      <c r="E1364" s="354">
        <v>0</v>
      </c>
      <c r="F1364" s="354">
        <v>1</v>
      </c>
      <c r="G1364" s="354">
        <v>0</v>
      </c>
      <c r="H1364" s="354">
        <v>1</v>
      </c>
      <c r="I1364" s="354">
        <v>2</v>
      </c>
      <c r="J1364" s="354">
        <v>2</v>
      </c>
      <c r="K1364" s="354">
        <v>0</v>
      </c>
      <c r="L1364" s="354">
        <v>0</v>
      </c>
      <c r="M1364" s="355">
        <v>4</v>
      </c>
      <c r="N1364" s="355">
        <v>6</v>
      </c>
    </row>
    <row r="1365" spans="1:14" hidden="1" x14ac:dyDescent="0.25">
      <c r="A1365" s="354">
        <v>0</v>
      </c>
      <c r="B1365" s="354">
        <v>0</v>
      </c>
      <c r="C1365" s="354">
        <v>0</v>
      </c>
      <c r="D1365" s="354">
        <v>1</v>
      </c>
      <c r="E1365" s="354">
        <v>0</v>
      </c>
      <c r="F1365" s="354">
        <v>1</v>
      </c>
      <c r="G1365" s="354">
        <v>0</v>
      </c>
      <c r="H1365" s="354">
        <v>0</v>
      </c>
      <c r="I1365" s="354">
        <v>1</v>
      </c>
      <c r="J1365" s="354">
        <v>1</v>
      </c>
      <c r="K1365" s="354">
        <v>0</v>
      </c>
      <c r="L1365" s="354">
        <v>0</v>
      </c>
      <c r="M1365" s="355">
        <v>1</v>
      </c>
      <c r="N1365" s="355">
        <v>3</v>
      </c>
    </row>
    <row r="1366" spans="1:14" hidden="1" x14ac:dyDescent="0.25">
      <c r="A1366" s="354">
        <v>1</v>
      </c>
      <c r="B1366" s="354">
        <v>0</v>
      </c>
      <c r="C1366" s="354">
        <v>1</v>
      </c>
      <c r="D1366" s="354">
        <v>1</v>
      </c>
      <c r="E1366" s="354">
        <v>1</v>
      </c>
      <c r="F1366" s="354">
        <v>0</v>
      </c>
      <c r="G1366" s="354">
        <v>0</v>
      </c>
      <c r="H1366" s="354">
        <v>0</v>
      </c>
      <c r="I1366" s="354">
        <v>1</v>
      </c>
      <c r="J1366" s="354">
        <v>1</v>
      </c>
      <c r="K1366" s="354">
        <v>0</v>
      </c>
      <c r="L1366" s="354">
        <v>0</v>
      </c>
      <c r="M1366" s="355">
        <v>4</v>
      </c>
      <c r="N1366" s="355">
        <v>2</v>
      </c>
    </row>
    <row r="1367" spans="1:14" hidden="1" x14ac:dyDescent="0.25">
      <c r="A1367" s="354">
        <v>1</v>
      </c>
      <c r="B1367" s="354">
        <v>0</v>
      </c>
      <c r="C1367" s="354">
        <v>0</v>
      </c>
      <c r="D1367" s="354">
        <v>1</v>
      </c>
      <c r="E1367" s="354">
        <v>0</v>
      </c>
      <c r="F1367" s="354">
        <v>0</v>
      </c>
      <c r="G1367" s="354">
        <v>0</v>
      </c>
      <c r="H1367" s="354">
        <v>0</v>
      </c>
      <c r="I1367" s="354">
        <v>1</v>
      </c>
      <c r="J1367" s="354">
        <v>1</v>
      </c>
      <c r="K1367" s="354">
        <v>0</v>
      </c>
      <c r="L1367" s="354">
        <v>0</v>
      </c>
      <c r="M1367" s="355">
        <v>2</v>
      </c>
      <c r="N1367" s="355">
        <v>2</v>
      </c>
    </row>
    <row r="1368" spans="1:14" hidden="1" x14ac:dyDescent="0.25">
      <c r="A1368" s="354">
        <v>1</v>
      </c>
      <c r="B1368" s="354">
        <v>0</v>
      </c>
      <c r="C1368" s="354">
        <v>1</v>
      </c>
      <c r="D1368" s="354">
        <v>1</v>
      </c>
      <c r="E1368" s="354">
        <v>0</v>
      </c>
      <c r="F1368" s="354">
        <v>1</v>
      </c>
      <c r="G1368" s="354">
        <v>1</v>
      </c>
      <c r="H1368" s="354">
        <v>0</v>
      </c>
      <c r="I1368" s="354">
        <v>1</v>
      </c>
      <c r="J1368" s="354">
        <v>1</v>
      </c>
      <c r="K1368" s="354">
        <v>0</v>
      </c>
      <c r="L1368" s="354">
        <v>0</v>
      </c>
      <c r="M1368" s="355">
        <v>4</v>
      </c>
      <c r="N1368" s="355">
        <v>3</v>
      </c>
    </row>
    <row r="1369" spans="1:14" hidden="1" x14ac:dyDescent="0.25">
      <c r="A1369" s="354">
        <v>1</v>
      </c>
      <c r="B1369" s="354">
        <v>1</v>
      </c>
      <c r="C1369" s="354">
        <v>1</v>
      </c>
      <c r="D1369" s="354">
        <v>0</v>
      </c>
      <c r="E1369" s="354">
        <v>0</v>
      </c>
      <c r="F1369" s="354">
        <v>0</v>
      </c>
      <c r="G1369" s="354">
        <v>0</v>
      </c>
      <c r="H1369" s="354">
        <v>0</v>
      </c>
      <c r="I1369" s="354">
        <v>1</v>
      </c>
      <c r="J1369" s="354">
        <v>1</v>
      </c>
      <c r="K1369" s="354">
        <v>0</v>
      </c>
      <c r="L1369" s="354">
        <v>0</v>
      </c>
      <c r="M1369" s="355">
        <v>3</v>
      </c>
      <c r="N1369" s="355">
        <v>2</v>
      </c>
    </row>
    <row r="1370" spans="1:14" hidden="1" x14ac:dyDescent="0.25">
      <c r="A1370" s="354">
        <v>1</v>
      </c>
      <c r="B1370" s="354">
        <v>0</v>
      </c>
      <c r="C1370" s="354">
        <v>1</v>
      </c>
      <c r="D1370" s="354">
        <v>1</v>
      </c>
      <c r="E1370" s="354">
        <v>1</v>
      </c>
      <c r="F1370" s="354">
        <v>0</v>
      </c>
      <c r="G1370" s="354">
        <v>1</v>
      </c>
      <c r="H1370" s="354">
        <v>0</v>
      </c>
      <c r="I1370" s="354">
        <v>2</v>
      </c>
      <c r="J1370" s="354">
        <v>2</v>
      </c>
      <c r="K1370" s="354">
        <v>0</v>
      </c>
      <c r="L1370" s="354">
        <v>0</v>
      </c>
      <c r="M1370" s="355">
        <v>6</v>
      </c>
      <c r="N1370" s="355">
        <v>3</v>
      </c>
    </row>
    <row r="1371" spans="1:14" hidden="1" x14ac:dyDescent="0.25">
      <c r="A1371" s="354">
        <v>0</v>
      </c>
      <c r="B1371" s="354">
        <v>0</v>
      </c>
      <c r="C1371" s="354">
        <v>1</v>
      </c>
      <c r="D1371" s="354">
        <v>1</v>
      </c>
      <c r="E1371" s="354">
        <v>1</v>
      </c>
      <c r="F1371" s="354">
        <v>0</v>
      </c>
      <c r="G1371" s="354">
        <v>2</v>
      </c>
      <c r="H1371" s="354">
        <v>0</v>
      </c>
      <c r="I1371" s="354">
        <v>1</v>
      </c>
      <c r="J1371" s="354">
        <v>1</v>
      </c>
      <c r="K1371" s="354">
        <v>0</v>
      </c>
      <c r="L1371" s="354">
        <v>0</v>
      </c>
      <c r="M1371" s="355">
        <v>5</v>
      </c>
      <c r="N1371" s="355">
        <v>2</v>
      </c>
    </row>
    <row r="1372" spans="1:14" hidden="1" x14ac:dyDescent="0.25">
      <c r="A1372" s="354">
        <v>1</v>
      </c>
      <c r="B1372" s="354">
        <v>0</v>
      </c>
      <c r="C1372" s="354">
        <v>2</v>
      </c>
      <c r="D1372" s="354">
        <v>0</v>
      </c>
      <c r="E1372" s="354">
        <v>1</v>
      </c>
      <c r="F1372" s="354">
        <v>0</v>
      </c>
      <c r="G1372" s="354">
        <v>0</v>
      </c>
      <c r="H1372" s="354">
        <v>0</v>
      </c>
      <c r="I1372" s="354">
        <v>1</v>
      </c>
      <c r="J1372" s="354">
        <v>1</v>
      </c>
      <c r="K1372" s="354">
        <v>0</v>
      </c>
      <c r="L1372" s="354">
        <v>0</v>
      </c>
      <c r="M1372" s="355">
        <v>5</v>
      </c>
      <c r="N1372" s="355">
        <v>1</v>
      </c>
    </row>
    <row r="1373" spans="1:14" hidden="1" x14ac:dyDescent="0.25">
      <c r="A1373" s="354">
        <v>0</v>
      </c>
      <c r="B1373" s="354">
        <v>0</v>
      </c>
      <c r="C1373" s="354">
        <v>0</v>
      </c>
      <c r="D1373" s="354">
        <v>0</v>
      </c>
      <c r="E1373" s="354">
        <v>0</v>
      </c>
      <c r="F1373" s="354">
        <v>0</v>
      </c>
      <c r="G1373" s="354">
        <v>0</v>
      </c>
      <c r="H1373" s="354">
        <v>0</v>
      </c>
      <c r="I1373" s="354">
        <v>1</v>
      </c>
      <c r="J1373" s="354">
        <v>1</v>
      </c>
      <c r="K1373" s="354">
        <v>0</v>
      </c>
      <c r="L1373" s="354">
        <v>0</v>
      </c>
      <c r="M1373" s="355">
        <v>1</v>
      </c>
      <c r="N1373" s="355">
        <v>1</v>
      </c>
    </row>
    <row r="1374" spans="1:14" hidden="1" x14ac:dyDescent="0.25">
      <c r="A1374" s="354">
        <v>0</v>
      </c>
      <c r="B1374" s="354">
        <v>0</v>
      </c>
      <c r="C1374" s="354">
        <v>1</v>
      </c>
      <c r="D1374" s="354">
        <v>1</v>
      </c>
      <c r="E1374" s="354">
        <v>0</v>
      </c>
      <c r="F1374" s="354">
        <v>0</v>
      </c>
      <c r="G1374" s="354">
        <v>1</v>
      </c>
      <c r="H1374" s="354">
        <v>1</v>
      </c>
      <c r="I1374" s="354">
        <v>1</v>
      </c>
      <c r="J1374" s="354">
        <v>1</v>
      </c>
      <c r="K1374" s="354">
        <v>0</v>
      </c>
      <c r="L1374" s="354">
        <v>0</v>
      </c>
      <c r="M1374" s="355">
        <v>3</v>
      </c>
      <c r="N1374" s="355">
        <v>3</v>
      </c>
    </row>
    <row r="1375" spans="1:14" hidden="1" x14ac:dyDescent="0.25">
      <c r="A1375" s="354">
        <v>1</v>
      </c>
      <c r="B1375" s="354">
        <v>0</v>
      </c>
      <c r="C1375" s="354">
        <v>2</v>
      </c>
      <c r="D1375" s="354">
        <v>1</v>
      </c>
      <c r="E1375" s="354">
        <v>1</v>
      </c>
      <c r="F1375" s="354">
        <v>1</v>
      </c>
      <c r="G1375" s="354">
        <v>2</v>
      </c>
      <c r="H1375" s="354">
        <v>0</v>
      </c>
      <c r="I1375" s="354">
        <v>1</v>
      </c>
      <c r="J1375" s="354">
        <v>1</v>
      </c>
      <c r="K1375" s="354">
        <v>0</v>
      </c>
      <c r="L1375" s="354">
        <v>0</v>
      </c>
      <c r="M1375" s="355">
        <v>7</v>
      </c>
      <c r="N1375" s="355">
        <v>3</v>
      </c>
    </row>
    <row r="1376" spans="1:14" hidden="1" x14ac:dyDescent="0.25">
      <c r="A1376" s="354">
        <v>0</v>
      </c>
      <c r="B1376" s="354">
        <v>0</v>
      </c>
      <c r="C1376" s="354">
        <v>1</v>
      </c>
      <c r="D1376" s="354">
        <v>0</v>
      </c>
      <c r="E1376" s="354">
        <v>0</v>
      </c>
      <c r="F1376" s="354">
        <v>2</v>
      </c>
      <c r="G1376" s="354">
        <v>0</v>
      </c>
      <c r="H1376" s="354">
        <v>0</v>
      </c>
      <c r="I1376" s="354">
        <v>0</v>
      </c>
      <c r="J1376" s="354">
        <v>1</v>
      </c>
      <c r="K1376" s="354">
        <v>1</v>
      </c>
      <c r="L1376" s="354">
        <v>0</v>
      </c>
      <c r="M1376" s="355">
        <v>2</v>
      </c>
      <c r="N1376" s="355">
        <v>3</v>
      </c>
    </row>
    <row r="1377" spans="1:14" hidden="1" x14ac:dyDescent="0.25">
      <c r="A1377" s="354">
        <v>0</v>
      </c>
      <c r="B1377" s="354">
        <v>1</v>
      </c>
      <c r="C1377" s="354">
        <v>0</v>
      </c>
      <c r="D1377" s="354">
        <v>0</v>
      </c>
      <c r="E1377" s="354">
        <v>1</v>
      </c>
      <c r="F1377" s="354">
        <v>1</v>
      </c>
      <c r="G1377" s="354">
        <v>2</v>
      </c>
      <c r="H1377" s="354">
        <v>1</v>
      </c>
      <c r="I1377" s="354">
        <v>2</v>
      </c>
      <c r="J1377" s="354">
        <v>1</v>
      </c>
      <c r="K1377" s="354">
        <v>0</v>
      </c>
      <c r="L1377" s="354">
        <v>0</v>
      </c>
      <c r="M1377" s="355">
        <v>5</v>
      </c>
      <c r="N1377" s="355">
        <v>4</v>
      </c>
    </row>
    <row r="1378" spans="1:14" hidden="1" x14ac:dyDescent="0.25">
      <c r="A1378" s="354">
        <v>0</v>
      </c>
      <c r="B1378" s="354">
        <v>0</v>
      </c>
      <c r="C1378" s="354">
        <v>0</v>
      </c>
      <c r="D1378" s="354">
        <v>2</v>
      </c>
      <c r="E1378" s="354">
        <v>0</v>
      </c>
      <c r="F1378" s="354">
        <v>1</v>
      </c>
      <c r="G1378" s="354">
        <v>2</v>
      </c>
      <c r="H1378" s="354">
        <v>1</v>
      </c>
      <c r="I1378" s="354">
        <v>1</v>
      </c>
      <c r="J1378" s="354">
        <v>1</v>
      </c>
      <c r="K1378" s="354">
        <v>0</v>
      </c>
      <c r="L1378" s="354">
        <v>0</v>
      </c>
      <c r="M1378" s="355">
        <v>3</v>
      </c>
      <c r="N1378" s="355">
        <v>5</v>
      </c>
    </row>
    <row r="1379" spans="1:14" hidden="1" x14ac:dyDescent="0.25">
      <c r="A1379" s="354">
        <v>2</v>
      </c>
      <c r="B1379" s="354">
        <v>0</v>
      </c>
      <c r="C1379" s="354">
        <v>1</v>
      </c>
      <c r="D1379" s="354">
        <v>1</v>
      </c>
      <c r="E1379" s="354">
        <v>4</v>
      </c>
      <c r="F1379" s="354">
        <v>0</v>
      </c>
      <c r="G1379" s="354">
        <v>2</v>
      </c>
      <c r="H1379" s="354">
        <v>0</v>
      </c>
      <c r="I1379" s="354">
        <v>1</v>
      </c>
      <c r="J1379" s="354">
        <v>2</v>
      </c>
      <c r="K1379" s="354">
        <v>1</v>
      </c>
      <c r="L1379" s="354">
        <v>0</v>
      </c>
      <c r="M1379" s="355">
        <v>11</v>
      </c>
      <c r="N1379" s="355">
        <v>3</v>
      </c>
    </row>
    <row r="1380" spans="1:14" hidden="1" x14ac:dyDescent="0.25">
      <c r="A1380" s="354">
        <v>0</v>
      </c>
      <c r="B1380" s="354">
        <v>1</v>
      </c>
      <c r="C1380" s="354">
        <v>1</v>
      </c>
      <c r="D1380" s="354">
        <v>0</v>
      </c>
      <c r="E1380" s="354">
        <v>1</v>
      </c>
      <c r="F1380" s="354">
        <v>0</v>
      </c>
      <c r="G1380" s="354">
        <v>0</v>
      </c>
      <c r="H1380" s="354">
        <v>0</v>
      </c>
      <c r="I1380" s="354">
        <v>1</v>
      </c>
      <c r="J1380" s="354">
        <v>1</v>
      </c>
      <c r="K1380" s="354">
        <v>0</v>
      </c>
      <c r="L1380" s="354">
        <v>1</v>
      </c>
      <c r="M1380" s="355">
        <v>3</v>
      </c>
      <c r="N1380" s="355">
        <v>3</v>
      </c>
    </row>
    <row r="1381" spans="1:14" hidden="1" x14ac:dyDescent="0.25">
      <c r="A1381" s="354">
        <v>0</v>
      </c>
      <c r="B1381" s="354">
        <v>1</v>
      </c>
      <c r="C1381" s="354">
        <v>0</v>
      </c>
      <c r="D1381" s="354">
        <v>1</v>
      </c>
      <c r="E1381" s="354">
        <v>1</v>
      </c>
      <c r="F1381" s="354">
        <v>0</v>
      </c>
      <c r="G1381" s="354">
        <v>0</v>
      </c>
      <c r="H1381" s="354">
        <v>0</v>
      </c>
      <c r="I1381" s="354">
        <v>1</v>
      </c>
      <c r="J1381" s="354">
        <v>1</v>
      </c>
      <c r="K1381" s="354">
        <v>0</v>
      </c>
      <c r="L1381" s="354">
        <v>0</v>
      </c>
      <c r="M1381" s="355">
        <v>2</v>
      </c>
      <c r="N1381" s="355">
        <v>3</v>
      </c>
    </row>
    <row r="1382" spans="1:14" hidden="1" x14ac:dyDescent="0.25">
      <c r="A1382" s="354">
        <v>1</v>
      </c>
      <c r="B1382" s="354">
        <v>0</v>
      </c>
      <c r="C1382" s="354">
        <v>1</v>
      </c>
      <c r="D1382" s="354">
        <v>0</v>
      </c>
      <c r="E1382" s="354">
        <v>0</v>
      </c>
      <c r="F1382" s="354">
        <v>1</v>
      </c>
      <c r="G1382" s="354">
        <v>1</v>
      </c>
      <c r="H1382" s="354">
        <v>1</v>
      </c>
      <c r="I1382" s="354">
        <v>1</v>
      </c>
      <c r="J1382" s="354">
        <v>1</v>
      </c>
      <c r="K1382" s="354">
        <v>0</v>
      </c>
      <c r="L1382" s="354">
        <v>0</v>
      </c>
      <c r="M1382" s="355">
        <v>4</v>
      </c>
      <c r="N1382" s="355">
        <v>3</v>
      </c>
    </row>
    <row r="1383" spans="1:14" hidden="1" x14ac:dyDescent="0.25">
      <c r="A1383" s="354">
        <v>0</v>
      </c>
      <c r="B1383" s="354">
        <v>1</v>
      </c>
      <c r="C1383" s="354">
        <v>0</v>
      </c>
      <c r="D1383" s="354">
        <v>1</v>
      </c>
      <c r="E1383" s="354">
        <v>1</v>
      </c>
      <c r="F1383" s="354">
        <v>0</v>
      </c>
      <c r="G1383" s="354">
        <v>0</v>
      </c>
      <c r="H1383" s="354">
        <v>0</v>
      </c>
      <c r="I1383" s="354">
        <v>1</v>
      </c>
      <c r="J1383" s="354">
        <v>1</v>
      </c>
      <c r="K1383" s="354">
        <v>0</v>
      </c>
      <c r="L1383" s="354">
        <v>0</v>
      </c>
      <c r="M1383" s="355">
        <v>2</v>
      </c>
      <c r="N1383" s="355">
        <v>3</v>
      </c>
    </row>
    <row r="1384" spans="1:14" hidden="1" x14ac:dyDescent="0.25">
      <c r="A1384" s="354">
        <v>0</v>
      </c>
      <c r="B1384" s="354">
        <v>0</v>
      </c>
      <c r="C1384" s="354">
        <v>1</v>
      </c>
      <c r="D1384" s="354">
        <v>0</v>
      </c>
      <c r="E1384" s="354">
        <v>2</v>
      </c>
      <c r="F1384" s="354">
        <v>0</v>
      </c>
      <c r="G1384" s="354">
        <v>1</v>
      </c>
      <c r="H1384" s="354">
        <v>0</v>
      </c>
      <c r="I1384" s="354">
        <v>1</v>
      </c>
      <c r="J1384" s="354">
        <v>1</v>
      </c>
      <c r="K1384" s="354">
        <v>0</v>
      </c>
      <c r="L1384" s="354">
        <v>0</v>
      </c>
      <c r="M1384" s="355">
        <v>5</v>
      </c>
      <c r="N1384" s="355">
        <v>1</v>
      </c>
    </row>
    <row r="1385" spans="1:14" hidden="1" x14ac:dyDescent="0.25">
      <c r="A1385" s="354">
        <v>0</v>
      </c>
      <c r="B1385" s="354">
        <v>0</v>
      </c>
      <c r="C1385" s="354">
        <v>1</v>
      </c>
      <c r="D1385" s="354">
        <v>0</v>
      </c>
      <c r="E1385" s="354">
        <v>2</v>
      </c>
      <c r="F1385" s="354">
        <v>1</v>
      </c>
      <c r="G1385" s="354">
        <v>0</v>
      </c>
      <c r="H1385" s="354">
        <v>0</v>
      </c>
      <c r="I1385" s="354">
        <v>2</v>
      </c>
      <c r="J1385" s="354">
        <v>1</v>
      </c>
      <c r="K1385" s="354">
        <v>0</v>
      </c>
      <c r="L1385" s="354">
        <v>0</v>
      </c>
      <c r="M1385" s="355">
        <v>5</v>
      </c>
      <c r="N1385" s="355">
        <v>2</v>
      </c>
    </row>
    <row r="1386" spans="1:14" hidden="1" x14ac:dyDescent="0.25">
      <c r="A1386" s="354">
        <v>1</v>
      </c>
      <c r="B1386" s="354">
        <v>2</v>
      </c>
      <c r="C1386" s="354">
        <v>3</v>
      </c>
      <c r="D1386" s="354">
        <v>0</v>
      </c>
      <c r="E1386" s="354">
        <v>1</v>
      </c>
      <c r="F1386" s="354">
        <v>2</v>
      </c>
      <c r="G1386" s="354">
        <v>2</v>
      </c>
      <c r="H1386" s="354">
        <v>2</v>
      </c>
      <c r="I1386" s="354">
        <v>2</v>
      </c>
      <c r="J1386" s="354">
        <v>0</v>
      </c>
      <c r="K1386" s="354">
        <v>1</v>
      </c>
      <c r="L1386" s="354">
        <v>0</v>
      </c>
      <c r="M1386" s="355">
        <v>10</v>
      </c>
      <c r="N1386" s="355">
        <v>6</v>
      </c>
    </row>
    <row r="1387" spans="1:14" hidden="1" x14ac:dyDescent="0.25">
      <c r="A1387" s="354">
        <v>1</v>
      </c>
      <c r="B1387" s="354">
        <v>0</v>
      </c>
      <c r="C1387" s="354">
        <v>0</v>
      </c>
      <c r="D1387" s="354">
        <v>2</v>
      </c>
      <c r="E1387" s="354">
        <v>3</v>
      </c>
      <c r="F1387" s="354">
        <v>0</v>
      </c>
      <c r="G1387" s="354">
        <v>1</v>
      </c>
      <c r="H1387" s="354">
        <v>1</v>
      </c>
      <c r="I1387" s="354">
        <v>3</v>
      </c>
      <c r="J1387" s="354">
        <v>4</v>
      </c>
      <c r="K1387" s="354">
        <v>0</v>
      </c>
      <c r="L1387" s="354">
        <v>0</v>
      </c>
      <c r="M1387" s="355">
        <v>8</v>
      </c>
      <c r="N1387" s="355">
        <v>7</v>
      </c>
    </row>
    <row r="1388" spans="1:14" hidden="1" x14ac:dyDescent="0.25">
      <c r="A1388" s="354">
        <v>1</v>
      </c>
      <c r="B1388" s="354">
        <v>0</v>
      </c>
      <c r="C1388" s="354">
        <v>1</v>
      </c>
      <c r="D1388" s="354">
        <v>0</v>
      </c>
      <c r="E1388" s="354">
        <v>0</v>
      </c>
      <c r="F1388" s="354">
        <v>2</v>
      </c>
      <c r="G1388" s="354">
        <v>0</v>
      </c>
      <c r="H1388" s="354">
        <v>1</v>
      </c>
      <c r="I1388" s="354">
        <v>1</v>
      </c>
      <c r="J1388" s="354">
        <v>2</v>
      </c>
      <c r="K1388" s="354">
        <v>0</v>
      </c>
      <c r="L1388" s="354">
        <v>1</v>
      </c>
      <c r="M1388" s="355">
        <v>3</v>
      </c>
      <c r="N1388" s="355">
        <v>6</v>
      </c>
    </row>
    <row r="1389" spans="1:14" hidden="1" x14ac:dyDescent="0.25">
      <c r="A1389" s="354">
        <v>0</v>
      </c>
      <c r="B1389" s="354">
        <v>1</v>
      </c>
      <c r="C1389" s="354">
        <v>2</v>
      </c>
      <c r="D1389" s="354">
        <v>0</v>
      </c>
      <c r="E1389" s="354">
        <v>0</v>
      </c>
      <c r="F1389" s="354">
        <v>1</v>
      </c>
      <c r="G1389" s="354">
        <v>0</v>
      </c>
      <c r="H1389" s="354">
        <v>1</v>
      </c>
      <c r="I1389" s="354">
        <v>1</v>
      </c>
      <c r="J1389" s="354">
        <v>1</v>
      </c>
      <c r="K1389" s="354">
        <v>0</v>
      </c>
      <c r="L1389" s="354">
        <v>0</v>
      </c>
      <c r="M1389" s="355">
        <v>3</v>
      </c>
      <c r="N1389" s="355">
        <v>4</v>
      </c>
    </row>
    <row r="1390" spans="1:14" hidden="1" x14ac:dyDescent="0.25">
      <c r="A1390" s="354">
        <v>0</v>
      </c>
      <c r="B1390" s="354">
        <v>0</v>
      </c>
      <c r="C1390" s="354">
        <v>0</v>
      </c>
      <c r="D1390" s="354">
        <v>1</v>
      </c>
      <c r="E1390" s="354">
        <v>1</v>
      </c>
      <c r="F1390" s="354">
        <v>0</v>
      </c>
      <c r="G1390" s="354">
        <v>0</v>
      </c>
      <c r="H1390" s="354">
        <v>0</v>
      </c>
      <c r="I1390" s="354">
        <v>1</v>
      </c>
      <c r="J1390" s="354">
        <v>1</v>
      </c>
      <c r="K1390" s="354">
        <v>0</v>
      </c>
      <c r="L1390" s="354">
        <v>0</v>
      </c>
      <c r="M1390" s="355">
        <v>2</v>
      </c>
      <c r="N1390" s="355">
        <v>2</v>
      </c>
    </row>
    <row r="1391" spans="1:14" hidden="1" x14ac:dyDescent="0.25">
      <c r="A1391" s="354">
        <v>1</v>
      </c>
      <c r="B1391" s="354">
        <v>1</v>
      </c>
      <c r="C1391" s="354">
        <v>0</v>
      </c>
      <c r="D1391" s="354">
        <v>1</v>
      </c>
      <c r="E1391" s="354">
        <v>0</v>
      </c>
      <c r="F1391" s="354">
        <v>1</v>
      </c>
      <c r="G1391" s="354">
        <v>0</v>
      </c>
      <c r="H1391" s="354">
        <v>1</v>
      </c>
      <c r="I1391" s="354">
        <v>1</v>
      </c>
      <c r="J1391" s="354">
        <v>1</v>
      </c>
      <c r="K1391" s="354">
        <v>0</v>
      </c>
      <c r="L1391" s="354">
        <v>0</v>
      </c>
      <c r="M1391" s="355">
        <v>2</v>
      </c>
      <c r="N1391" s="355">
        <v>5</v>
      </c>
    </row>
    <row r="1392" spans="1:14" hidden="1" x14ac:dyDescent="0.25">
      <c r="A1392" s="354">
        <v>1</v>
      </c>
      <c r="B1392" s="354">
        <v>0</v>
      </c>
      <c r="C1392" s="354">
        <v>0</v>
      </c>
      <c r="D1392" s="354">
        <v>1</v>
      </c>
      <c r="E1392" s="354">
        <v>1</v>
      </c>
      <c r="F1392" s="354">
        <v>0</v>
      </c>
      <c r="G1392" s="354">
        <v>1</v>
      </c>
      <c r="H1392" s="354">
        <v>0</v>
      </c>
      <c r="I1392" s="354">
        <v>1</v>
      </c>
      <c r="J1392" s="354">
        <v>1</v>
      </c>
      <c r="K1392" s="354">
        <v>0</v>
      </c>
      <c r="L1392" s="354">
        <v>0</v>
      </c>
      <c r="M1392" s="355">
        <v>4</v>
      </c>
      <c r="N1392" s="355">
        <v>2</v>
      </c>
    </row>
    <row r="1393" spans="1:14" hidden="1" x14ac:dyDescent="0.25">
      <c r="A1393" s="354">
        <v>1</v>
      </c>
      <c r="B1393" s="354">
        <v>1</v>
      </c>
      <c r="C1393" s="354">
        <v>0</v>
      </c>
      <c r="D1393" s="354">
        <v>1</v>
      </c>
      <c r="E1393" s="354">
        <v>1</v>
      </c>
      <c r="F1393" s="354">
        <v>0</v>
      </c>
      <c r="G1393" s="354">
        <v>0</v>
      </c>
      <c r="H1393" s="354">
        <v>0</v>
      </c>
      <c r="I1393" s="354">
        <v>1</v>
      </c>
      <c r="J1393" s="354">
        <v>1</v>
      </c>
      <c r="K1393" s="354">
        <v>0</v>
      </c>
      <c r="L1393" s="354">
        <v>0</v>
      </c>
      <c r="M1393" s="355">
        <v>3</v>
      </c>
      <c r="N1393" s="355">
        <v>3</v>
      </c>
    </row>
    <row r="1394" spans="1:14" hidden="1" x14ac:dyDescent="0.25">
      <c r="A1394" s="354">
        <v>1</v>
      </c>
      <c r="B1394" s="354">
        <v>0</v>
      </c>
      <c r="C1394" s="354">
        <v>0</v>
      </c>
      <c r="D1394" s="354">
        <v>1</v>
      </c>
      <c r="E1394" s="354">
        <v>0</v>
      </c>
      <c r="F1394" s="354">
        <v>0</v>
      </c>
      <c r="G1394" s="354">
        <v>0</v>
      </c>
      <c r="H1394" s="354">
        <v>0</v>
      </c>
      <c r="I1394" s="354">
        <v>1</v>
      </c>
      <c r="J1394" s="354">
        <v>1</v>
      </c>
      <c r="K1394" s="354">
        <v>0</v>
      </c>
      <c r="L1394" s="354">
        <v>0</v>
      </c>
      <c r="M1394" s="355">
        <v>2</v>
      </c>
      <c r="N1394" s="355">
        <v>2</v>
      </c>
    </row>
    <row r="1395" spans="1:14" hidden="1" x14ac:dyDescent="0.25">
      <c r="A1395" s="354">
        <v>0</v>
      </c>
      <c r="B1395" s="354">
        <v>0</v>
      </c>
      <c r="C1395" s="354">
        <v>0</v>
      </c>
      <c r="D1395" s="354">
        <v>0</v>
      </c>
      <c r="E1395" s="354">
        <v>0</v>
      </c>
      <c r="F1395" s="354">
        <v>1</v>
      </c>
      <c r="G1395" s="354">
        <v>1</v>
      </c>
      <c r="H1395" s="354">
        <v>1</v>
      </c>
      <c r="I1395" s="354">
        <v>0</v>
      </c>
      <c r="J1395" s="354">
        <v>1</v>
      </c>
      <c r="K1395" s="354">
        <v>0</v>
      </c>
      <c r="L1395" s="354">
        <v>1</v>
      </c>
      <c r="M1395" s="355">
        <v>1</v>
      </c>
      <c r="N1395" s="355">
        <v>4</v>
      </c>
    </row>
    <row r="1396" spans="1:14" hidden="1" x14ac:dyDescent="0.25">
      <c r="A1396" s="354">
        <v>0</v>
      </c>
      <c r="B1396" s="354">
        <v>0</v>
      </c>
      <c r="C1396" s="354">
        <v>0</v>
      </c>
      <c r="D1396" s="354">
        <v>0</v>
      </c>
      <c r="E1396" s="354">
        <v>1</v>
      </c>
      <c r="F1396" s="354">
        <v>0</v>
      </c>
      <c r="G1396" s="354">
        <v>0</v>
      </c>
      <c r="H1396" s="354">
        <v>0</v>
      </c>
      <c r="I1396" s="354">
        <v>1</v>
      </c>
      <c r="J1396" s="354">
        <v>1</v>
      </c>
      <c r="K1396" s="354">
        <v>1</v>
      </c>
      <c r="L1396" s="354">
        <v>0</v>
      </c>
      <c r="M1396" s="355">
        <v>3</v>
      </c>
      <c r="N1396" s="355">
        <v>1</v>
      </c>
    </row>
    <row r="1397" spans="1:14" hidden="1" x14ac:dyDescent="0.25">
      <c r="A1397" s="354">
        <v>1</v>
      </c>
      <c r="B1397" s="354">
        <v>0</v>
      </c>
      <c r="C1397" s="354">
        <v>1</v>
      </c>
      <c r="D1397" s="354">
        <v>0</v>
      </c>
      <c r="E1397" s="354">
        <v>0</v>
      </c>
      <c r="F1397" s="354">
        <v>0</v>
      </c>
      <c r="G1397" s="354">
        <v>0</v>
      </c>
      <c r="H1397" s="354">
        <v>0</v>
      </c>
      <c r="I1397" s="354">
        <v>1</v>
      </c>
      <c r="J1397" s="354">
        <v>1</v>
      </c>
      <c r="K1397" s="354">
        <v>0</v>
      </c>
      <c r="L1397" s="354">
        <v>0</v>
      </c>
      <c r="M1397" s="355">
        <v>3</v>
      </c>
      <c r="N1397" s="355">
        <v>1</v>
      </c>
    </row>
    <row r="1398" spans="1:14" hidden="1" x14ac:dyDescent="0.25">
      <c r="A1398" s="354">
        <v>1</v>
      </c>
      <c r="B1398" s="354">
        <v>1</v>
      </c>
      <c r="C1398" s="354">
        <v>2</v>
      </c>
      <c r="D1398" s="354">
        <v>1</v>
      </c>
      <c r="E1398" s="354">
        <v>2</v>
      </c>
      <c r="F1398" s="354">
        <v>1</v>
      </c>
      <c r="G1398" s="354">
        <v>2</v>
      </c>
      <c r="H1398" s="354">
        <v>0</v>
      </c>
      <c r="I1398" s="354">
        <v>1</v>
      </c>
      <c r="J1398" s="354">
        <v>1</v>
      </c>
      <c r="K1398" s="354">
        <v>0</v>
      </c>
      <c r="L1398" s="354">
        <v>0</v>
      </c>
      <c r="M1398" s="355">
        <v>8</v>
      </c>
      <c r="N1398" s="355">
        <v>4</v>
      </c>
    </row>
    <row r="1399" spans="1:14" hidden="1" x14ac:dyDescent="0.25">
      <c r="A1399" s="354">
        <v>0</v>
      </c>
      <c r="B1399" s="354">
        <v>0</v>
      </c>
      <c r="C1399" s="354"/>
      <c r="D1399" s="354">
        <v>1</v>
      </c>
      <c r="E1399" s="354">
        <v>1</v>
      </c>
      <c r="F1399" s="354">
        <v>1</v>
      </c>
      <c r="G1399" s="354">
        <v>0</v>
      </c>
      <c r="H1399" s="354">
        <v>0</v>
      </c>
      <c r="I1399" s="354">
        <v>1</v>
      </c>
      <c r="J1399" s="354">
        <v>1</v>
      </c>
      <c r="K1399" s="354">
        <v>0</v>
      </c>
      <c r="L1399" s="354">
        <v>0</v>
      </c>
      <c r="M1399" s="355">
        <v>2</v>
      </c>
      <c r="N1399" s="355">
        <v>3</v>
      </c>
    </row>
    <row r="1400" spans="1:14" hidden="1" x14ac:dyDescent="0.25">
      <c r="A1400" s="354">
        <v>0</v>
      </c>
      <c r="B1400" s="354">
        <v>0</v>
      </c>
      <c r="C1400" s="354">
        <v>0</v>
      </c>
      <c r="D1400" s="354">
        <v>0</v>
      </c>
      <c r="E1400" s="354">
        <v>2</v>
      </c>
      <c r="F1400" s="354">
        <v>0</v>
      </c>
      <c r="G1400" s="354">
        <v>0</v>
      </c>
      <c r="H1400" s="354">
        <v>0</v>
      </c>
      <c r="I1400" s="354">
        <v>0</v>
      </c>
      <c r="J1400" s="354">
        <v>0</v>
      </c>
      <c r="K1400" s="354">
        <v>0</v>
      </c>
      <c r="L1400" s="354">
        <v>1</v>
      </c>
      <c r="M1400" s="355">
        <v>2</v>
      </c>
      <c r="N1400" s="355">
        <v>1</v>
      </c>
    </row>
    <row r="1401" spans="1:14" hidden="1" x14ac:dyDescent="0.25">
      <c r="A1401" s="354">
        <v>1</v>
      </c>
      <c r="B1401" s="354">
        <v>0</v>
      </c>
      <c r="C1401" s="354">
        <v>0</v>
      </c>
      <c r="D1401" s="354">
        <v>0</v>
      </c>
      <c r="E1401" s="354">
        <v>1</v>
      </c>
      <c r="F1401" s="354">
        <v>0</v>
      </c>
      <c r="G1401" s="354">
        <v>1</v>
      </c>
      <c r="H1401" s="354">
        <v>0</v>
      </c>
      <c r="I1401" s="354">
        <v>1</v>
      </c>
      <c r="J1401" s="354">
        <v>1</v>
      </c>
      <c r="K1401" s="354">
        <v>0</v>
      </c>
      <c r="L1401" s="354">
        <v>0</v>
      </c>
      <c r="M1401" s="355">
        <v>4</v>
      </c>
      <c r="N1401" s="355">
        <v>1</v>
      </c>
    </row>
    <row r="1402" spans="1:14" hidden="1" x14ac:dyDescent="0.25">
      <c r="A1402" s="354">
        <v>2</v>
      </c>
      <c r="B1402" s="354">
        <v>1</v>
      </c>
      <c r="C1402" s="354">
        <v>4</v>
      </c>
      <c r="D1402" s="354">
        <v>1</v>
      </c>
      <c r="E1402" s="354">
        <v>1</v>
      </c>
      <c r="F1402" s="354">
        <v>3</v>
      </c>
      <c r="G1402" s="354">
        <v>0</v>
      </c>
      <c r="H1402" s="354">
        <v>0</v>
      </c>
      <c r="I1402" s="354">
        <v>1</v>
      </c>
      <c r="J1402" s="354">
        <v>2</v>
      </c>
      <c r="K1402" s="354">
        <v>0</v>
      </c>
      <c r="L1402" s="354">
        <v>0</v>
      </c>
      <c r="M1402" s="355">
        <v>8</v>
      </c>
      <c r="N1402" s="355">
        <v>7</v>
      </c>
    </row>
    <row r="1403" spans="1:14" hidden="1" x14ac:dyDescent="0.25">
      <c r="A1403" s="354">
        <v>1</v>
      </c>
      <c r="B1403" s="354">
        <v>1</v>
      </c>
      <c r="C1403" s="354">
        <v>0</v>
      </c>
      <c r="D1403" s="354">
        <v>1</v>
      </c>
      <c r="E1403" s="354">
        <v>0</v>
      </c>
      <c r="F1403" s="354">
        <v>0</v>
      </c>
      <c r="G1403" s="354"/>
      <c r="H1403" s="354">
        <v>0</v>
      </c>
      <c r="I1403" s="354">
        <v>1</v>
      </c>
      <c r="J1403" s="354">
        <v>1</v>
      </c>
      <c r="K1403" s="354">
        <v>0</v>
      </c>
      <c r="L1403" s="354">
        <v>0</v>
      </c>
      <c r="M1403" s="355">
        <v>2</v>
      </c>
      <c r="N1403" s="355">
        <v>3</v>
      </c>
    </row>
    <row r="1404" spans="1:14" hidden="1" x14ac:dyDescent="0.25">
      <c r="A1404" s="354">
        <v>1</v>
      </c>
      <c r="B1404" s="354">
        <v>0</v>
      </c>
      <c r="C1404" s="354">
        <v>0</v>
      </c>
      <c r="D1404" s="354">
        <v>0</v>
      </c>
      <c r="E1404" s="354">
        <v>0</v>
      </c>
      <c r="F1404" s="354">
        <v>0</v>
      </c>
      <c r="G1404" s="354">
        <v>0</v>
      </c>
      <c r="H1404" s="354">
        <v>0</v>
      </c>
      <c r="I1404" s="354">
        <v>1</v>
      </c>
      <c r="J1404" s="354">
        <v>1</v>
      </c>
      <c r="K1404" s="354">
        <v>0</v>
      </c>
      <c r="L1404" s="354">
        <v>0</v>
      </c>
      <c r="M1404" s="355">
        <v>2</v>
      </c>
      <c r="N1404" s="355">
        <v>1</v>
      </c>
    </row>
    <row r="1405" spans="1:14" hidden="1" x14ac:dyDescent="0.25">
      <c r="A1405" s="354">
        <v>1</v>
      </c>
      <c r="B1405" s="354">
        <v>1</v>
      </c>
      <c r="C1405" s="354">
        <v>1</v>
      </c>
      <c r="D1405" s="354">
        <v>0</v>
      </c>
      <c r="E1405" s="354">
        <v>1</v>
      </c>
      <c r="F1405" s="354">
        <v>0</v>
      </c>
      <c r="G1405" s="354">
        <v>0</v>
      </c>
      <c r="H1405" s="354">
        <v>0</v>
      </c>
      <c r="I1405" s="354">
        <v>1</v>
      </c>
      <c r="J1405" s="354">
        <v>2</v>
      </c>
      <c r="K1405" s="354">
        <v>1</v>
      </c>
      <c r="L1405" s="354">
        <v>0</v>
      </c>
      <c r="M1405" s="355">
        <v>5</v>
      </c>
      <c r="N1405" s="355">
        <v>3</v>
      </c>
    </row>
    <row r="1406" spans="1:14" hidden="1" x14ac:dyDescent="0.25">
      <c r="A1406" s="354">
        <v>0</v>
      </c>
      <c r="B1406" s="354">
        <v>0</v>
      </c>
      <c r="C1406" s="354">
        <v>2</v>
      </c>
      <c r="D1406" s="354">
        <v>2</v>
      </c>
      <c r="E1406" s="354">
        <v>3</v>
      </c>
      <c r="F1406" s="354">
        <v>1</v>
      </c>
      <c r="G1406" s="354"/>
      <c r="H1406" s="354">
        <v>2</v>
      </c>
      <c r="I1406" s="354">
        <v>1</v>
      </c>
      <c r="J1406" s="354">
        <v>1</v>
      </c>
      <c r="K1406" s="354">
        <v>0</v>
      </c>
      <c r="L1406" s="354">
        <v>0</v>
      </c>
      <c r="M1406" s="355">
        <v>6</v>
      </c>
      <c r="N1406" s="355">
        <v>6</v>
      </c>
    </row>
    <row r="1407" spans="1:14" hidden="1" x14ac:dyDescent="0.25">
      <c r="A1407" s="354">
        <v>0</v>
      </c>
      <c r="B1407" s="354">
        <v>0</v>
      </c>
      <c r="C1407" s="354">
        <v>0</v>
      </c>
      <c r="D1407" s="354">
        <v>0</v>
      </c>
      <c r="E1407" s="354">
        <v>0</v>
      </c>
      <c r="F1407" s="354">
        <v>1</v>
      </c>
      <c r="G1407" s="354">
        <v>1</v>
      </c>
      <c r="H1407" s="354">
        <v>1</v>
      </c>
      <c r="I1407" s="354">
        <v>0</v>
      </c>
      <c r="J1407" s="354">
        <v>2</v>
      </c>
      <c r="K1407" s="354">
        <v>0</v>
      </c>
      <c r="L1407" s="354">
        <v>0</v>
      </c>
      <c r="M1407" s="355">
        <v>1</v>
      </c>
      <c r="N1407" s="355">
        <v>4</v>
      </c>
    </row>
    <row r="1408" spans="1:14" hidden="1" x14ac:dyDescent="0.25">
      <c r="A1408" s="354">
        <v>1</v>
      </c>
      <c r="B1408" s="354">
        <v>0</v>
      </c>
      <c r="C1408" s="354">
        <v>0</v>
      </c>
      <c r="D1408" s="354">
        <v>3</v>
      </c>
      <c r="E1408" s="354">
        <v>0</v>
      </c>
      <c r="F1408" s="354">
        <v>1</v>
      </c>
      <c r="G1408" s="354">
        <v>2</v>
      </c>
      <c r="H1408" s="354">
        <v>1</v>
      </c>
      <c r="I1408" s="354">
        <v>1</v>
      </c>
      <c r="J1408" s="354">
        <v>1</v>
      </c>
      <c r="K1408" s="354">
        <v>0</v>
      </c>
      <c r="L1408" s="354">
        <v>0</v>
      </c>
      <c r="M1408" s="355">
        <v>4</v>
      </c>
      <c r="N1408" s="355">
        <v>6</v>
      </c>
    </row>
    <row r="1409" spans="1:14" hidden="1" x14ac:dyDescent="0.25">
      <c r="A1409" s="354">
        <v>0</v>
      </c>
      <c r="B1409" s="354">
        <v>1</v>
      </c>
      <c r="C1409" s="354">
        <v>1</v>
      </c>
      <c r="D1409" s="354">
        <v>2</v>
      </c>
      <c r="E1409" s="354">
        <v>1</v>
      </c>
      <c r="F1409" s="354">
        <v>0</v>
      </c>
      <c r="G1409" s="354">
        <v>1</v>
      </c>
      <c r="H1409" s="354">
        <v>0</v>
      </c>
      <c r="I1409" s="354">
        <v>1</v>
      </c>
      <c r="J1409" s="354">
        <v>1</v>
      </c>
      <c r="K1409" s="354">
        <v>0</v>
      </c>
      <c r="L1409" s="354">
        <v>0</v>
      </c>
      <c r="M1409" s="355">
        <v>4</v>
      </c>
      <c r="N1409" s="355">
        <v>4</v>
      </c>
    </row>
    <row r="1410" spans="1:14" hidden="1" x14ac:dyDescent="0.25">
      <c r="A1410" s="354">
        <v>1</v>
      </c>
      <c r="B1410" s="354">
        <v>0</v>
      </c>
      <c r="C1410" s="354">
        <v>1</v>
      </c>
      <c r="D1410" s="354">
        <v>1</v>
      </c>
      <c r="E1410" s="354">
        <v>0</v>
      </c>
      <c r="F1410" s="354">
        <v>2</v>
      </c>
      <c r="G1410" s="354">
        <v>1</v>
      </c>
      <c r="H1410" s="354">
        <v>0</v>
      </c>
      <c r="I1410" s="354">
        <v>0</v>
      </c>
      <c r="J1410" s="354">
        <v>1</v>
      </c>
      <c r="K1410" s="354">
        <v>0</v>
      </c>
      <c r="L1410" s="354">
        <v>0</v>
      </c>
      <c r="M1410" s="355">
        <v>3</v>
      </c>
      <c r="N1410" s="355">
        <v>4</v>
      </c>
    </row>
    <row r="1411" spans="1:14" hidden="1" x14ac:dyDescent="0.25">
      <c r="A1411" s="354">
        <v>1</v>
      </c>
      <c r="B1411" s="354">
        <v>0</v>
      </c>
      <c r="C1411" s="354">
        <v>0</v>
      </c>
      <c r="D1411" s="354">
        <v>0</v>
      </c>
      <c r="E1411" s="354">
        <v>3</v>
      </c>
      <c r="F1411" s="354">
        <v>0</v>
      </c>
      <c r="G1411" s="354">
        <v>1</v>
      </c>
      <c r="H1411" s="354">
        <v>0</v>
      </c>
      <c r="I1411" s="354">
        <v>1</v>
      </c>
      <c r="J1411" s="354">
        <v>1</v>
      </c>
      <c r="K1411" s="354">
        <v>0</v>
      </c>
      <c r="L1411" s="354">
        <v>0</v>
      </c>
      <c r="M1411" s="355">
        <v>6</v>
      </c>
      <c r="N1411" s="355">
        <v>1</v>
      </c>
    </row>
    <row r="1412" spans="1:14" hidden="1" x14ac:dyDescent="0.25">
      <c r="A1412" s="354">
        <v>0</v>
      </c>
      <c r="B1412" s="354">
        <v>0</v>
      </c>
      <c r="C1412" s="354">
        <v>1</v>
      </c>
      <c r="D1412" s="354">
        <v>1</v>
      </c>
      <c r="E1412" s="354">
        <v>2</v>
      </c>
      <c r="F1412" s="354">
        <v>0</v>
      </c>
      <c r="G1412" s="354">
        <v>1</v>
      </c>
      <c r="H1412" s="354">
        <v>0</v>
      </c>
      <c r="I1412" s="354">
        <v>1</v>
      </c>
      <c r="J1412" s="354">
        <v>1</v>
      </c>
      <c r="K1412" s="354">
        <v>0</v>
      </c>
      <c r="L1412" s="354">
        <v>0</v>
      </c>
      <c r="M1412" s="355">
        <v>5</v>
      </c>
      <c r="N1412" s="355">
        <v>2</v>
      </c>
    </row>
    <row r="1413" spans="1:14" hidden="1" x14ac:dyDescent="0.25">
      <c r="A1413" s="354">
        <v>0</v>
      </c>
      <c r="B1413" s="354">
        <v>1</v>
      </c>
      <c r="C1413" s="354">
        <v>1</v>
      </c>
      <c r="D1413" s="354">
        <v>1</v>
      </c>
      <c r="E1413" s="354">
        <v>1</v>
      </c>
      <c r="F1413" s="354">
        <v>1</v>
      </c>
      <c r="G1413" s="354">
        <v>1</v>
      </c>
      <c r="H1413" s="354">
        <v>0</v>
      </c>
      <c r="I1413" s="354">
        <v>1</v>
      </c>
      <c r="J1413" s="354">
        <v>1</v>
      </c>
      <c r="K1413" s="354">
        <v>0</v>
      </c>
      <c r="L1413" s="354">
        <v>0</v>
      </c>
      <c r="M1413" s="355">
        <v>4</v>
      </c>
      <c r="N1413" s="355">
        <v>4</v>
      </c>
    </row>
    <row r="1414" spans="1:14" hidden="1" x14ac:dyDescent="0.25">
      <c r="A1414" s="354">
        <v>1</v>
      </c>
      <c r="B1414" s="354">
        <v>0</v>
      </c>
      <c r="C1414" s="354">
        <v>0</v>
      </c>
      <c r="D1414" s="354">
        <v>1</v>
      </c>
      <c r="E1414" s="354">
        <v>0</v>
      </c>
      <c r="F1414" s="354">
        <v>2</v>
      </c>
      <c r="G1414" s="354">
        <v>0</v>
      </c>
      <c r="H1414" s="354">
        <v>2</v>
      </c>
      <c r="I1414" s="354">
        <v>1</v>
      </c>
      <c r="J1414" s="354">
        <v>1</v>
      </c>
      <c r="K1414" s="354">
        <v>0</v>
      </c>
      <c r="L1414" s="354">
        <v>0</v>
      </c>
      <c r="M1414" s="355">
        <v>2</v>
      </c>
      <c r="N1414" s="355">
        <v>6</v>
      </c>
    </row>
    <row r="1415" spans="1:14" hidden="1" x14ac:dyDescent="0.25">
      <c r="A1415" s="354">
        <v>0</v>
      </c>
      <c r="B1415" s="354">
        <v>1</v>
      </c>
      <c r="C1415" s="354">
        <v>1</v>
      </c>
      <c r="D1415" s="354">
        <v>0</v>
      </c>
      <c r="E1415" s="354">
        <v>0</v>
      </c>
      <c r="F1415" s="354">
        <v>0</v>
      </c>
      <c r="G1415" s="354">
        <v>0</v>
      </c>
      <c r="H1415" s="354">
        <v>0</v>
      </c>
      <c r="I1415" s="354">
        <v>1</v>
      </c>
      <c r="J1415" s="354">
        <v>1</v>
      </c>
      <c r="K1415" s="354">
        <v>0</v>
      </c>
      <c r="L1415" s="354">
        <v>0</v>
      </c>
      <c r="M1415" s="355">
        <v>2</v>
      </c>
      <c r="N1415" s="355">
        <v>2</v>
      </c>
    </row>
    <row r="1416" spans="1:14" hidden="1" x14ac:dyDescent="0.25">
      <c r="A1416" s="354">
        <v>1</v>
      </c>
      <c r="B1416" s="354">
        <v>0</v>
      </c>
      <c r="C1416" s="354">
        <v>0</v>
      </c>
      <c r="D1416" s="354">
        <v>1</v>
      </c>
      <c r="E1416" s="354">
        <v>2</v>
      </c>
      <c r="F1416" s="354">
        <v>0</v>
      </c>
      <c r="G1416" s="354">
        <v>0</v>
      </c>
      <c r="H1416" s="354">
        <v>1</v>
      </c>
      <c r="I1416" s="354">
        <v>4</v>
      </c>
      <c r="J1416" s="354">
        <v>1</v>
      </c>
      <c r="K1416" s="354">
        <v>0</v>
      </c>
      <c r="L1416" s="354">
        <v>0</v>
      </c>
      <c r="M1416" s="355">
        <v>7</v>
      </c>
      <c r="N1416" s="355">
        <v>3</v>
      </c>
    </row>
    <row r="1417" spans="1:14" hidden="1" x14ac:dyDescent="0.25">
      <c r="A1417" s="354">
        <v>0</v>
      </c>
      <c r="B1417" s="354">
        <v>0</v>
      </c>
      <c r="C1417" s="354">
        <v>0</v>
      </c>
      <c r="D1417" s="354">
        <v>0</v>
      </c>
      <c r="E1417" s="354">
        <v>0</v>
      </c>
      <c r="F1417" s="354">
        <v>2</v>
      </c>
      <c r="G1417" s="354">
        <v>2</v>
      </c>
      <c r="H1417" s="354">
        <v>0</v>
      </c>
      <c r="I1417" s="354">
        <v>3</v>
      </c>
      <c r="J1417" s="354">
        <v>1</v>
      </c>
      <c r="K1417" s="354">
        <v>0</v>
      </c>
      <c r="L1417" s="354">
        <v>0</v>
      </c>
      <c r="M1417" s="355">
        <v>5</v>
      </c>
      <c r="N1417" s="355">
        <v>3</v>
      </c>
    </row>
    <row r="1418" spans="1:14" hidden="1" x14ac:dyDescent="0.25">
      <c r="A1418" s="354">
        <v>0</v>
      </c>
      <c r="B1418" s="354">
        <v>0</v>
      </c>
      <c r="C1418" s="354">
        <v>1</v>
      </c>
      <c r="D1418" s="354">
        <v>0</v>
      </c>
      <c r="E1418" s="354">
        <v>1</v>
      </c>
      <c r="F1418" s="354">
        <v>1</v>
      </c>
      <c r="G1418" s="354">
        <v>1</v>
      </c>
      <c r="H1418" s="354">
        <v>0</v>
      </c>
      <c r="I1418" s="354">
        <v>1</v>
      </c>
      <c r="J1418" s="354">
        <v>1</v>
      </c>
      <c r="K1418" s="354">
        <v>0</v>
      </c>
      <c r="L1418" s="354">
        <v>0</v>
      </c>
      <c r="M1418" s="355">
        <v>4</v>
      </c>
      <c r="N1418" s="355">
        <v>2</v>
      </c>
    </row>
    <row r="1419" spans="1:14" hidden="1" x14ac:dyDescent="0.25">
      <c r="A1419" s="354">
        <v>0</v>
      </c>
      <c r="B1419" s="354">
        <v>0</v>
      </c>
      <c r="C1419" s="354">
        <v>1</v>
      </c>
      <c r="D1419" s="354">
        <v>1</v>
      </c>
      <c r="E1419" s="354">
        <v>1</v>
      </c>
      <c r="F1419" s="354">
        <v>1</v>
      </c>
      <c r="G1419" s="354">
        <v>1</v>
      </c>
      <c r="H1419" s="354">
        <v>0</v>
      </c>
      <c r="I1419" s="354">
        <v>1</v>
      </c>
      <c r="J1419" s="354">
        <v>1</v>
      </c>
      <c r="K1419" s="354">
        <v>0</v>
      </c>
      <c r="L1419" s="354">
        <v>0</v>
      </c>
      <c r="M1419" s="355">
        <v>4</v>
      </c>
      <c r="N1419" s="355">
        <v>3</v>
      </c>
    </row>
    <row r="1420" spans="1:14" hidden="1" x14ac:dyDescent="0.25">
      <c r="A1420" s="354">
        <v>0</v>
      </c>
      <c r="B1420" s="354">
        <v>0</v>
      </c>
      <c r="C1420" s="354">
        <v>0</v>
      </c>
      <c r="D1420" s="354">
        <v>0</v>
      </c>
      <c r="E1420" s="354">
        <v>2</v>
      </c>
      <c r="F1420" s="354">
        <v>2</v>
      </c>
      <c r="G1420" s="354">
        <v>2</v>
      </c>
      <c r="H1420" s="354">
        <v>0</v>
      </c>
      <c r="I1420" s="354">
        <v>0</v>
      </c>
      <c r="J1420" s="354">
        <v>1</v>
      </c>
      <c r="K1420" s="354">
        <v>0</v>
      </c>
      <c r="L1420" s="354">
        <v>0</v>
      </c>
      <c r="M1420" s="355">
        <v>4</v>
      </c>
      <c r="N1420" s="355">
        <v>3</v>
      </c>
    </row>
    <row r="1421" spans="1:14" hidden="1" x14ac:dyDescent="0.25">
      <c r="A1421" s="354">
        <v>0</v>
      </c>
      <c r="B1421" s="354">
        <v>1</v>
      </c>
      <c r="C1421" s="354">
        <v>1</v>
      </c>
      <c r="D1421" s="354">
        <v>1</v>
      </c>
      <c r="E1421" s="354">
        <v>2</v>
      </c>
      <c r="F1421" s="354">
        <v>0</v>
      </c>
      <c r="G1421" s="354">
        <v>0</v>
      </c>
      <c r="H1421" s="354">
        <v>0</v>
      </c>
      <c r="I1421" s="354">
        <v>1</v>
      </c>
      <c r="J1421" s="354">
        <v>1</v>
      </c>
      <c r="K1421" s="354">
        <v>0</v>
      </c>
      <c r="L1421" s="354">
        <v>0</v>
      </c>
      <c r="M1421" s="355">
        <v>4</v>
      </c>
      <c r="N1421" s="355">
        <v>3</v>
      </c>
    </row>
    <row r="1422" spans="1:14" hidden="1" x14ac:dyDescent="0.25">
      <c r="A1422" s="354">
        <v>0</v>
      </c>
      <c r="B1422" s="354">
        <v>1</v>
      </c>
      <c r="C1422" s="354">
        <v>1</v>
      </c>
      <c r="D1422" s="354">
        <v>0</v>
      </c>
      <c r="E1422" s="354">
        <v>2</v>
      </c>
      <c r="F1422" s="354">
        <v>1</v>
      </c>
      <c r="G1422" s="354">
        <v>1</v>
      </c>
      <c r="H1422" s="354">
        <v>4</v>
      </c>
      <c r="I1422" s="354">
        <v>3</v>
      </c>
      <c r="J1422" s="354">
        <v>3</v>
      </c>
      <c r="K1422" s="354">
        <v>0</v>
      </c>
      <c r="L1422" s="354">
        <v>1</v>
      </c>
      <c r="M1422" s="355">
        <v>7</v>
      </c>
      <c r="N1422" s="355">
        <v>10</v>
      </c>
    </row>
    <row r="1423" spans="1:14" hidden="1" x14ac:dyDescent="0.25">
      <c r="A1423" s="354">
        <v>0</v>
      </c>
      <c r="B1423" s="354">
        <v>0</v>
      </c>
      <c r="C1423" s="354">
        <v>1</v>
      </c>
      <c r="D1423" s="354">
        <v>1</v>
      </c>
      <c r="E1423" s="354">
        <v>0</v>
      </c>
      <c r="F1423" s="354">
        <v>0</v>
      </c>
      <c r="G1423" s="354">
        <v>2</v>
      </c>
      <c r="H1423" s="354">
        <v>2</v>
      </c>
      <c r="I1423" s="354">
        <v>1</v>
      </c>
      <c r="J1423" s="354">
        <v>1</v>
      </c>
      <c r="K1423" s="354">
        <v>0</v>
      </c>
      <c r="L1423" s="354">
        <v>0</v>
      </c>
      <c r="M1423" s="355">
        <v>4</v>
      </c>
      <c r="N1423" s="355">
        <v>4</v>
      </c>
    </row>
    <row r="1424" spans="1:14" hidden="1" x14ac:dyDescent="0.25">
      <c r="A1424" s="354">
        <v>0</v>
      </c>
      <c r="B1424" s="354">
        <v>1</v>
      </c>
      <c r="C1424" s="354">
        <v>1</v>
      </c>
      <c r="D1424" s="354">
        <v>0</v>
      </c>
      <c r="E1424" s="354">
        <v>1</v>
      </c>
      <c r="F1424" s="354">
        <v>0</v>
      </c>
      <c r="G1424" s="354">
        <v>0</v>
      </c>
      <c r="H1424" s="354">
        <v>0</v>
      </c>
      <c r="I1424" s="354">
        <v>0</v>
      </c>
      <c r="J1424" s="354">
        <v>1</v>
      </c>
      <c r="K1424" s="354">
        <v>0</v>
      </c>
      <c r="L1424" s="354">
        <v>0</v>
      </c>
      <c r="M1424" s="355">
        <v>2</v>
      </c>
      <c r="N1424" s="355">
        <v>2</v>
      </c>
    </row>
    <row r="1425" spans="1:14" hidden="1" x14ac:dyDescent="0.25">
      <c r="A1425" s="354">
        <v>0</v>
      </c>
      <c r="B1425" s="354">
        <v>0</v>
      </c>
      <c r="C1425" s="354">
        <v>0</v>
      </c>
      <c r="D1425" s="354">
        <v>0</v>
      </c>
      <c r="E1425" s="354">
        <v>0</v>
      </c>
      <c r="F1425" s="354">
        <v>0</v>
      </c>
      <c r="G1425" s="354">
        <v>0</v>
      </c>
      <c r="H1425" s="354">
        <v>0</v>
      </c>
      <c r="I1425" s="354">
        <v>0</v>
      </c>
      <c r="J1425" s="354">
        <v>1</v>
      </c>
      <c r="K1425" s="354">
        <v>1</v>
      </c>
      <c r="L1425" s="354">
        <v>0</v>
      </c>
      <c r="M1425" s="355">
        <v>1</v>
      </c>
      <c r="N1425" s="355">
        <v>1</v>
      </c>
    </row>
    <row r="1426" spans="1:14" hidden="1" x14ac:dyDescent="0.25">
      <c r="A1426" s="354">
        <v>1</v>
      </c>
      <c r="B1426" s="354">
        <v>0</v>
      </c>
      <c r="C1426" s="354">
        <v>0</v>
      </c>
      <c r="D1426" s="354">
        <v>1</v>
      </c>
      <c r="E1426" s="354">
        <v>0</v>
      </c>
      <c r="F1426" s="354">
        <v>1</v>
      </c>
      <c r="G1426" s="354">
        <v>0</v>
      </c>
      <c r="H1426" s="354">
        <v>1</v>
      </c>
      <c r="I1426" s="354">
        <v>1</v>
      </c>
      <c r="J1426" s="354">
        <v>1</v>
      </c>
      <c r="K1426" s="354">
        <v>0</v>
      </c>
      <c r="L1426" s="354">
        <v>0</v>
      </c>
      <c r="M1426" s="355">
        <v>2</v>
      </c>
      <c r="N1426" s="355">
        <v>4</v>
      </c>
    </row>
    <row r="1427" spans="1:14" hidden="1" x14ac:dyDescent="0.25">
      <c r="A1427" s="354">
        <v>1</v>
      </c>
      <c r="B1427" s="354">
        <v>1</v>
      </c>
      <c r="C1427" s="354">
        <v>1</v>
      </c>
      <c r="D1427" s="354">
        <v>1</v>
      </c>
      <c r="E1427" s="354">
        <v>2</v>
      </c>
      <c r="F1427" s="354">
        <v>1</v>
      </c>
      <c r="G1427" s="354">
        <v>1</v>
      </c>
      <c r="H1427" s="354">
        <v>2</v>
      </c>
      <c r="I1427" s="354">
        <v>3</v>
      </c>
      <c r="J1427" s="354">
        <v>4</v>
      </c>
      <c r="K1427" s="354">
        <v>0</v>
      </c>
      <c r="L1427" s="354">
        <v>0</v>
      </c>
      <c r="M1427" s="355">
        <v>8</v>
      </c>
      <c r="N1427" s="355">
        <v>9</v>
      </c>
    </row>
    <row r="1428" spans="1:14" hidden="1" x14ac:dyDescent="0.25">
      <c r="A1428" s="354">
        <v>0</v>
      </c>
      <c r="B1428" s="354">
        <v>0</v>
      </c>
      <c r="C1428" s="354">
        <v>1</v>
      </c>
      <c r="D1428" s="354">
        <v>1</v>
      </c>
      <c r="E1428" s="354">
        <v>0</v>
      </c>
      <c r="F1428" s="354">
        <v>1</v>
      </c>
      <c r="G1428" s="354">
        <v>0</v>
      </c>
      <c r="H1428" s="354">
        <v>0</v>
      </c>
      <c r="I1428" s="354">
        <v>0</v>
      </c>
      <c r="J1428" s="354">
        <v>0</v>
      </c>
      <c r="K1428" s="354">
        <v>1</v>
      </c>
      <c r="L1428" s="354">
        <v>1</v>
      </c>
      <c r="M1428" s="355">
        <v>2</v>
      </c>
      <c r="N1428" s="355">
        <v>3</v>
      </c>
    </row>
    <row r="1429" spans="1:14" hidden="1" x14ac:dyDescent="0.25">
      <c r="A1429" s="354">
        <v>0</v>
      </c>
      <c r="B1429" s="354">
        <v>0</v>
      </c>
      <c r="C1429" s="354">
        <v>1</v>
      </c>
      <c r="D1429" s="354">
        <v>1</v>
      </c>
      <c r="E1429" s="354">
        <v>0</v>
      </c>
      <c r="F1429" s="354">
        <v>2</v>
      </c>
      <c r="G1429" s="354">
        <v>0</v>
      </c>
      <c r="H1429" s="354">
        <v>1</v>
      </c>
      <c r="I1429" s="354">
        <v>2</v>
      </c>
      <c r="J1429" s="354">
        <v>1</v>
      </c>
      <c r="K1429" s="354">
        <v>0</v>
      </c>
      <c r="L1429" s="354">
        <v>0</v>
      </c>
      <c r="M1429" s="355">
        <v>3</v>
      </c>
      <c r="N1429" s="355">
        <v>5</v>
      </c>
    </row>
    <row r="1430" spans="1:14" hidden="1" x14ac:dyDescent="0.25">
      <c r="A1430" s="354">
        <v>0</v>
      </c>
      <c r="B1430" s="354">
        <v>1</v>
      </c>
      <c r="C1430" s="354">
        <v>1</v>
      </c>
      <c r="D1430" s="354">
        <v>0</v>
      </c>
      <c r="E1430" s="354">
        <v>0</v>
      </c>
      <c r="F1430" s="354">
        <v>0</v>
      </c>
      <c r="G1430" s="354">
        <v>0</v>
      </c>
      <c r="H1430" s="354">
        <v>0</v>
      </c>
      <c r="I1430" s="354">
        <v>1</v>
      </c>
      <c r="J1430" s="354">
        <v>1</v>
      </c>
      <c r="K1430" s="354">
        <v>0</v>
      </c>
      <c r="L1430" s="354">
        <v>0</v>
      </c>
      <c r="M1430" s="355">
        <v>2</v>
      </c>
      <c r="N1430" s="355">
        <v>2</v>
      </c>
    </row>
    <row r="1431" spans="1:14" hidden="1" x14ac:dyDescent="0.25">
      <c r="A1431" s="354">
        <v>0</v>
      </c>
      <c r="B1431" s="354">
        <v>1</v>
      </c>
      <c r="C1431" s="354">
        <v>0</v>
      </c>
      <c r="D1431" s="354">
        <v>1</v>
      </c>
      <c r="E1431" s="354">
        <v>1</v>
      </c>
      <c r="F1431" s="354">
        <v>0</v>
      </c>
      <c r="G1431" s="354">
        <v>1</v>
      </c>
      <c r="H1431" s="354">
        <v>0</v>
      </c>
      <c r="I1431" s="354">
        <v>1</v>
      </c>
      <c r="J1431" s="354">
        <v>1</v>
      </c>
      <c r="K1431" s="354">
        <v>0</v>
      </c>
      <c r="L1431" s="354">
        <v>0</v>
      </c>
      <c r="M1431" s="355">
        <v>3</v>
      </c>
      <c r="N1431" s="355">
        <v>3</v>
      </c>
    </row>
    <row r="1432" spans="1:14" hidden="1" x14ac:dyDescent="0.25">
      <c r="A1432" s="354">
        <v>0</v>
      </c>
      <c r="B1432" s="354">
        <v>0</v>
      </c>
      <c r="C1432" s="354">
        <v>0</v>
      </c>
      <c r="D1432" s="354">
        <v>0</v>
      </c>
      <c r="E1432" s="354">
        <v>0</v>
      </c>
      <c r="F1432" s="354">
        <v>1</v>
      </c>
      <c r="G1432" s="354">
        <v>1</v>
      </c>
      <c r="H1432" s="354">
        <v>1</v>
      </c>
      <c r="I1432" s="354">
        <v>2</v>
      </c>
      <c r="J1432" s="354">
        <v>1</v>
      </c>
      <c r="K1432" s="354">
        <v>0</v>
      </c>
      <c r="L1432" s="354">
        <v>0</v>
      </c>
      <c r="M1432" s="355">
        <v>3</v>
      </c>
      <c r="N1432" s="355">
        <v>3</v>
      </c>
    </row>
    <row r="1433" spans="1:14" hidden="1" x14ac:dyDescent="0.25">
      <c r="A1433" s="354">
        <v>0</v>
      </c>
      <c r="B1433" s="354">
        <v>1</v>
      </c>
      <c r="C1433" s="354">
        <v>0</v>
      </c>
      <c r="D1433" s="354">
        <v>0</v>
      </c>
      <c r="E1433" s="354">
        <v>3</v>
      </c>
      <c r="F1433" s="354">
        <v>1</v>
      </c>
      <c r="G1433" s="354">
        <v>0</v>
      </c>
      <c r="H1433" s="354">
        <v>0</v>
      </c>
      <c r="I1433" s="354">
        <v>1</v>
      </c>
      <c r="J1433" s="354">
        <v>1</v>
      </c>
      <c r="K1433" s="354">
        <v>0</v>
      </c>
      <c r="L1433" s="354">
        <v>0</v>
      </c>
      <c r="M1433" s="355">
        <v>4</v>
      </c>
      <c r="N1433" s="355">
        <v>3</v>
      </c>
    </row>
    <row r="1434" spans="1:14" hidden="1" x14ac:dyDescent="0.25">
      <c r="A1434" s="354">
        <v>0</v>
      </c>
      <c r="B1434" s="354">
        <v>0</v>
      </c>
      <c r="C1434" s="354">
        <v>1</v>
      </c>
      <c r="D1434" s="354">
        <v>1</v>
      </c>
      <c r="E1434" s="354">
        <v>1</v>
      </c>
      <c r="F1434" s="354">
        <v>0</v>
      </c>
      <c r="G1434" s="354">
        <v>0</v>
      </c>
      <c r="H1434" s="354">
        <v>0</v>
      </c>
      <c r="I1434" s="354">
        <v>1</v>
      </c>
      <c r="J1434" s="354">
        <v>1</v>
      </c>
      <c r="K1434" s="354">
        <v>0</v>
      </c>
      <c r="L1434" s="354">
        <v>0</v>
      </c>
      <c r="M1434" s="355">
        <v>3</v>
      </c>
      <c r="N1434" s="355">
        <v>2</v>
      </c>
    </row>
    <row r="1435" spans="1:14" hidden="1" x14ac:dyDescent="0.25">
      <c r="A1435" s="354">
        <v>0</v>
      </c>
      <c r="B1435" s="354">
        <v>0</v>
      </c>
      <c r="C1435" s="354">
        <v>1</v>
      </c>
      <c r="D1435" s="354">
        <v>0</v>
      </c>
      <c r="E1435" s="354">
        <v>1</v>
      </c>
      <c r="F1435" s="354">
        <v>0</v>
      </c>
      <c r="G1435" s="354">
        <v>1</v>
      </c>
      <c r="H1435" s="354">
        <v>0</v>
      </c>
      <c r="I1435" s="354">
        <v>1</v>
      </c>
      <c r="J1435" s="354">
        <v>1</v>
      </c>
      <c r="K1435" s="354">
        <v>0</v>
      </c>
      <c r="L1435" s="354">
        <v>0</v>
      </c>
      <c r="M1435" s="355">
        <v>4</v>
      </c>
      <c r="N1435" s="355">
        <v>1</v>
      </c>
    </row>
    <row r="1436" spans="1:14" hidden="1" x14ac:dyDescent="0.25">
      <c r="A1436" s="354">
        <v>0</v>
      </c>
      <c r="B1436" s="354">
        <v>1</v>
      </c>
      <c r="C1436" s="354">
        <v>0</v>
      </c>
      <c r="D1436" s="354">
        <v>1</v>
      </c>
      <c r="E1436" s="354">
        <v>1</v>
      </c>
      <c r="F1436" s="354">
        <v>1</v>
      </c>
      <c r="G1436" s="354">
        <v>0</v>
      </c>
      <c r="H1436" s="354">
        <v>1</v>
      </c>
      <c r="I1436" s="354">
        <v>1</v>
      </c>
      <c r="J1436" s="354">
        <v>2</v>
      </c>
      <c r="K1436" s="354">
        <v>0</v>
      </c>
      <c r="L1436" s="354">
        <v>0</v>
      </c>
      <c r="M1436" s="355">
        <v>2</v>
      </c>
      <c r="N1436" s="355">
        <v>6</v>
      </c>
    </row>
    <row r="1437" spans="1:14" hidden="1" x14ac:dyDescent="0.25">
      <c r="A1437" s="354">
        <v>0</v>
      </c>
      <c r="B1437" s="354">
        <v>1</v>
      </c>
      <c r="C1437" s="354">
        <v>0</v>
      </c>
      <c r="D1437" s="354">
        <v>1</v>
      </c>
      <c r="E1437" s="354">
        <v>0</v>
      </c>
      <c r="F1437" s="354">
        <v>1</v>
      </c>
      <c r="G1437" s="354">
        <v>0</v>
      </c>
      <c r="H1437" s="354">
        <v>1</v>
      </c>
      <c r="I1437" s="354">
        <v>2</v>
      </c>
      <c r="J1437" s="354">
        <v>1</v>
      </c>
      <c r="K1437" s="354">
        <v>0</v>
      </c>
      <c r="L1437" s="354">
        <v>0</v>
      </c>
      <c r="M1437" s="355">
        <v>2</v>
      </c>
      <c r="N1437" s="355">
        <v>5</v>
      </c>
    </row>
    <row r="1438" spans="1:14" hidden="1" x14ac:dyDescent="0.25">
      <c r="A1438" s="354">
        <v>0</v>
      </c>
      <c r="B1438" s="354">
        <v>1</v>
      </c>
      <c r="C1438" s="354">
        <v>1</v>
      </c>
      <c r="D1438" s="354">
        <v>0</v>
      </c>
      <c r="E1438" s="354">
        <v>0</v>
      </c>
      <c r="F1438" s="354">
        <v>0</v>
      </c>
      <c r="G1438" s="354">
        <v>0</v>
      </c>
      <c r="H1438" s="354">
        <v>2</v>
      </c>
      <c r="I1438" s="354">
        <v>2</v>
      </c>
      <c r="J1438" s="354">
        <v>2</v>
      </c>
      <c r="K1438" s="354">
        <v>0</v>
      </c>
      <c r="L1438" s="354">
        <v>0</v>
      </c>
      <c r="M1438" s="355">
        <v>3</v>
      </c>
      <c r="N1438" s="355">
        <v>5</v>
      </c>
    </row>
    <row r="1439" spans="1:14" hidden="1" x14ac:dyDescent="0.25">
      <c r="A1439" s="354">
        <v>0</v>
      </c>
      <c r="B1439" s="354">
        <v>1</v>
      </c>
      <c r="C1439" s="354">
        <v>2</v>
      </c>
      <c r="D1439" s="354">
        <v>1</v>
      </c>
      <c r="E1439" s="354">
        <v>2</v>
      </c>
      <c r="F1439" s="354">
        <v>0</v>
      </c>
      <c r="G1439" s="354">
        <v>0</v>
      </c>
      <c r="H1439" s="354">
        <v>0</v>
      </c>
      <c r="I1439" s="354">
        <v>1</v>
      </c>
      <c r="J1439" s="354">
        <v>1</v>
      </c>
      <c r="K1439" s="354">
        <v>0</v>
      </c>
      <c r="L1439" s="354">
        <v>0</v>
      </c>
      <c r="M1439" s="355">
        <v>5</v>
      </c>
      <c r="N1439" s="355">
        <v>3</v>
      </c>
    </row>
    <row r="1440" spans="1:14" hidden="1" x14ac:dyDescent="0.25">
      <c r="A1440" s="354">
        <v>1</v>
      </c>
      <c r="B1440" s="354">
        <v>0</v>
      </c>
      <c r="C1440" s="354">
        <v>1</v>
      </c>
      <c r="D1440" s="354">
        <v>0</v>
      </c>
      <c r="E1440" s="354">
        <v>1</v>
      </c>
      <c r="F1440" s="354">
        <v>3</v>
      </c>
      <c r="G1440" s="354">
        <v>2</v>
      </c>
      <c r="H1440" s="354">
        <v>0</v>
      </c>
      <c r="I1440" s="354">
        <v>2</v>
      </c>
      <c r="J1440" s="354">
        <v>2</v>
      </c>
      <c r="K1440" s="354">
        <v>0</v>
      </c>
      <c r="L1440" s="354">
        <v>0</v>
      </c>
      <c r="M1440" s="355">
        <v>7</v>
      </c>
      <c r="N1440" s="355">
        <v>5</v>
      </c>
    </row>
    <row r="1441" spans="1:14" hidden="1" x14ac:dyDescent="0.25">
      <c r="A1441" s="354">
        <v>0</v>
      </c>
      <c r="B1441" s="354">
        <v>0</v>
      </c>
      <c r="C1441" s="354">
        <v>1</v>
      </c>
      <c r="D1441" s="354">
        <v>0</v>
      </c>
      <c r="E1441" s="354">
        <v>2</v>
      </c>
      <c r="F1441" s="354">
        <v>1</v>
      </c>
      <c r="G1441" s="354">
        <v>0</v>
      </c>
      <c r="H1441" s="354">
        <v>1</v>
      </c>
      <c r="I1441" s="354">
        <v>1</v>
      </c>
      <c r="J1441" s="354">
        <v>1</v>
      </c>
      <c r="K1441" s="354">
        <v>0</v>
      </c>
      <c r="L1441" s="354">
        <v>0</v>
      </c>
      <c r="M1441" s="355">
        <v>4</v>
      </c>
      <c r="N1441" s="355">
        <v>3</v>
      </c>
    </row>
    <row r="1442" spans="1:14" hidden="1" x14ac:dyDescent="0.25">
      <c r="A1442" s="354">
        <v>0</v>
      </c>
      <c r="B1442" s="354">
        <v>1</v>
      </c>
      <c r="C1442" s="354">
        <v>0</v>
      </c>
      <c r="D1442" s="354">
        <v>1</v>
      </c>
      <c r="E1442" s="354">
        <v>2</v>
      </c>
      <c r="F1442" s="354">
        <v>1</v>
      </c>
      <c r="G1442" s="354">
        <v>1</v>
      </c>
      <c r="H1442" s="354">
        <v>1</v>
      </c>
      <c r="I1442" s="354">
        <v>1</v>
      </c>
      <c r="J1442" s="354">
        <v>1</v>
      </c>
      <c r="K1442" s="354">
        <v>0</v>
      </c>
      <c r="L1442" s="354">
        <v>0</v>
      </c>
      <c r="M1442" s="355">
        <v>4</v>
      </c>
      <c r="N1442" s="355">
        <v>5</v>
      </c>
    </row>
    <row r="1443" spans="1:14" hidden="1" x14ac:dyDescent="0.25">
      <c r="A1443" s="354">
        <v>0</v>
      </c>
      <c r="B1443" s="354">
        <v>0</v>
      </c>
      <c r="C1443" s="354">
        <v>2</v>
      </c>
      <c r="D1443" s="354">
        <v>1</v>
      </c>
      <c r="E1443" s="354">
        <v>3</v>
      </c>
      <c r="F1443" s="354">
        <v>2</v>
      </c>
      <c r="G1443" s="354">
        <v>1</v>
      </c>
      <c r="H1443" s="354">
        <v>2</v>
      </c>
      <c r="I1443" s="354">
        <v>2</v>
      </c>
      <c r="J1443" s="354">
        <v>2</v>
      </c>
      <c r="K1443" s="354">
        <v>0</v>
      </c>
      <c r="L1443" s="354">
        <v>0</v>
      </c>
      <c r="M1443" s="355">
        <v>8</v>
      </c>
      <c r="N1443" s="355">
        <v>7</v>
      </c>
    </row>
    <row r="1444" spans="1:14" hidden="1" x14ac:dyDescent="0.25">
      <c r="A1444" s="354">
        <v>0</v>
      </c>
      <c r="B1444" s="354">
        <v>3</v>
      </c>
      <c r="C1444" s="354">
        <v>1</v>
      </c>
      <c r="D1444" s="354">
        <v>2</v>
      </c>
      <c r="E1444" s="354">
        <v>2</v>
      </c>
      <c r="F1444" s="354">
        <v>0</v>
      </c>
      <c r="G1444" s="354">
        <v>1</v>
      </c>
      <c r="H1444" s="354">
        <v>0</v>
      </c>
      <c r="I1444" s="354">
        <v>1</v>
      </c>
      <c r="J1444" s="354">
        <v>1</v>
      </c>
      <c r="K1444" s="354">
        <v>0</v>
      </c>
      <c r="L1444" s="354">
        <v>1</v>
      </c>
      <c r="M1444" s="355">
        <v>5</v>
      </c>
      <c r="N1444" s="355">
        <v>7</v>
      </c>
    </row>
    <row r="1445" spans="1:14" hidden="1" x14ac:dyDescent="0.25">
      <c r="A1445" s="354">
        <v>0</v>
      </c>
      <c r="B1445" s="354">
        <v>2</v>
      </c>
      <c r="C1445" s="354">
        <v>2</v>
      </c>
      <c r="D1445" s="354">
        <v>0</v>
      </c>
      <c r="E1445" s="354">
        <v>0</v>
      </c>
      <c r="F1445" s="354">
        <v>0</v>
      </c>
      <c r="G1445" s="354">
        <v>0</v>
      </c>
      <c r="H1445" s="354">
        <v>0</v>
      </c>
      <c r="I1445" s="354">
        <v>1</v>
      </c>
      <c r="J1445" s="354">
        <v>1</v>
      </c>
      <c r="K1445" s="354">
        <v>0</v>
      </c>
      <c r="L1445" s="354">
        <v>0</v>
      </c>
      <c r="M1445" s="355">
        <v>3</v>
      </c>
      <c r="N1445" s="355">
        <v>3</v>
      </c>
    </row>
    <row r="1446" spans="1:14" hidden="1" x14ac:dyDescent="0.25">
      <c r="A1446" s="354">
        <v>1</v>
      </c>
      <c r="B1446" s="354">
        <v>0</v>
      </c>
      <c r="C1446" s="354">
        <v>0</v>
      </c>
      <c r="D1446" s="354">
        <v>2</v>
      </c>
      <c r="E1446" s="354">
        <v>2</v>
      </c>
      <c r="F1446" s="354">
        <v>2</v>
      </c>
      <c r="G1446" s="354">
        <v>2</v>
      </c>
      <c r="H1446" s="354">
        <v>1</v>
      </c>
      <c r="I1446" s="354">
        <v>2</v>
      </c>
      <c r="J1446" s="354">
        <v>3</v>
      </c>
      <c r="K1446" s="354">
        <v>0</v>
      </c>
      <c r="L1446" s="354">
        <v>0</v>
      </c>
      <c r="M1446" s="355">
        <v>7</v>
      </c>
      <c r="N1446" s="355">
        <v>8</v>
      </c>
    </row>
    <row r="1447" spans="1:14" hidden="1" x14ac:dyDescent="0.25">
      <c r="A1447" s="354">
        <v>1</v>
      </c>
      <c r="B1447" s="354">
        <v>1</v>
      </c>
      <c r="C1447" s="354">
        <v>2</v>
      </c>
      <c r="D1447" s="354">
        <v>1</v>
      </c>
      <c r="E1447" s="354">
        <v>0</v>
      </c>
      <c r="F1447" s="354">
        <v>1</v>
      </c>
      <c r="G1447" s="354">
        <v>0</v>
      </c>
      <c r="H1447" s="354">
        <v>2</v>
      </c>
      <c r="I1447" s="354">
        <v>2</v>
      </c>
      <c r="J1447" s="354">
        <v>3</v>
      </c>
      <c r="K1447" s="354">
        <v>0</v>
      </c>
      <c r="L1447" s="354">
        <v>0</v>
      </c>
      <c r="M1447" s="355">
        <v>5</v>
      </c>
      <c r="N1447" s="355">
        <v>8</v>
      </c>
    </row>
    <row r="1448" spans="1:14" hidden="1" x14ac:dyDescent="0.25">
      <c r="A1448" s="354">
        <v>1</v>
      </c>
      <c r="B1448" s="354">
        <v>0</v>
      </c>
      <c r="C1448" s="354">
        <v>1</v>
      </c>
      <c r="D1448" s="354">
        <v>0</v>
      </c>
      <c r="E1448" s="354">
        <v>0</v>
      </c>
      <c r="F1448" s="354">
        <v>0</v>
      </c>
      <c r="G1448" s="354">
        <v>0</v>
      </c>
      <c r="H1448" s="354">
        <v>0</v>
      </c>
      <c r="I1448" s="354">
        <v>1</v>
      </c>
      <c r="J1448" s="354">
        <v>1</v>
      </c>
      <c r="K1448" s="354">
        <v>0</v>
      </c>
      <c r="L1448" s="354">
        <v>0</v>
      </c>
      <c r="M1448" s="355">
        <v>3</v>
      </c>
      <c r="N1448" s="355">
        <v>1</v>
      </c>
    </row>
    <row r="1449" spans="1:14" hidden="1" x14ac:dyDescent="0.25">
      <c r="A1449" s="354">
        <v>0</v>
      </c>
      <c r="B1449" s="354">
        <v>0</v>
      </c>
      <c r="C1449" s="354">
        <v>1</v>
      </c>
      <c r="D1449" s="354">
        <v>1</v>
      </c>
      <c r="E1449" s="354">
        <v>0</v>
      </c>
      <c r="F1449" s="354">
        <v>2</v>
      </c>
      <c r="G1449" s="354">
        <v>1</v>
      </c>
      <c r="H1449" s="354">
        <v>0</v>
      </c>
      <c r="I1449" s="354">
        <v>1</v>
      </c>
      <c r="J1449" s="354">
        <v>1</v>
      </c>
      <c r="K1449" s="354">
        <v>0</v>
      </c>
      <c r="L1449" s="354">
        <v>0</v>
      </c>
      <c r="M1449" s="355">
        <v>3</v>
      </c>
      <c r="N1449" s="355">
        <v>4</v>
      </c>
    </row>
    <row r="1450" spans="1:14" hidden="1" x14ac:dyDescent="0.25">
      <c r="A1450" s="354">
        <v>0</v>
      </c>
      <c r="B1450" s="354">
        <v>0</v>
      </c>
      <c r="C1450" s="354">
        <v>2</v>
      </c>
      <c r="D1450" s="354">
        <v>0</v>
      </c>
      <c r="E1450" s="354">
        <v>0</v>
      </c>
      <c r="F1450" s="354">
        <v>2</v>
      </c>
      <c r="G1450" s="354">
        <v>1</v>
      </c>
      <c r="H1450" s="354">
        <v>0</v>
      </c>
      <c r="I1450" s="354">
        <v>1</v>
      </c>
      <c r="J1450" s="354">
        <v>1</v>
      </c>
      <c r="K1450" s="354">
        <v>0</v>
      </c>
      <c r="L1450" s="354">
        <v>0</v>
      </c>
      <c r="M1450" s="355">
        <v>4</v>
      </c>
      <c r="N1450" s="355">
        <v>3</v>
      </c>
    </row>
    <row r="1451" spans="1:14" hidden="1" x14ac:dyDescent="0.25">
      <c r="A1451" s="354">
        <v>0</v>
      </c>
      <c r="B1451" s="354">
        <v>0</v>
      </c>
      <c r="C1451" s="354">
        <v>1</v>
      </c>
      <c r="D1451" s="354">
        <v>0</v>
      </c>
      <c r="E1451" s="354">
        <v>1</v>
      </c>
      <c r="F1451" s="354">
        <v>1</v>
      </c>
      <c r="G1451" s="354">
        <v>2</v>
      </c>
      <c r="H1451" s="354">
        <v>0</v>
      </c>
      <c r="I1451" s="354">
        <v>1</v>
      </c>
      <c r="J1451" s="354">
        <v>1</v>
      </c>
      <c r="K1451" s="354">
        <v>0</v>
      </c>
      <c r="L1451" s="354">
        <v>0</v>
      </c>
      <c r="M1451" s="355">
        <v>5</v>
      </c>
      <c r="N1451" s="355">
        <v>2</v>
      </c>
    </row>
    <row r="1452" spans="1:14" hidden="1" x14ac:dyDescent="0.25">
      <c r="A1452" s="354">
        <v>2</v>
      </c>
      <c r="B1452" s="354">
        <v>0</v>
      </c>
      <c r="C1452" s="354">
        <v>1</v>
      </c>
      <c r="D1452" s="354">
        <v>0</v>
      </c>
      <c r="E1452" s="354">
        <v>1</v>
      </c>
      <c r="F1452" s="354">
        <v>1</v>
      </c>
      <c r="G1452" s="354">
        <v>0</v>
      </c>
      <c r="H1452" s="354">
        <v>0</v>
      </c>
      <c r="I1452" s="354">
        <v>1</v>
      </c>
      <c r="J1452" s="354">
        <v>1</v>
      </c>
      <c r="K1452" s="354">
        <v>0</v>
      </c>
      <c r="L1452" s="354">
        <v>0</v>
      </c>
      <c r="M1452" s="355">
        <v>5</v>
      </c>
      <c r="N1452" s="355">
        <v>2</v>
      </c>
    </row>
    <row r="1453" spans="1:14" hidden="1" x14ac:dyDescent="0.25">
      <c r="A1453" s="354">
        <v>0</v>
      </c>
      <c r="B1453" s="354">
        <v>0</v>
      </c>
      <c r="C1453" s="354">
        <v>0</v>
      </c>
      <c r="D1453" s="354">
        <v>0</v>
      </c>
      <c r="E1453" s="354">
        <v>0</v>
      </c>
      <c r="F1453" s="354">
        <v>0</v>
      </c>
      <c r="G1453" s="354">
        <v>0</v>
      </c>
      <c r="H1453" s="354">
        <v>2</v>
      </c>
      <c r="I1453" s="354">
        <v>3</v>
      </c>
      <c r="J1453" s="354">
        <v>2</v>
      </c>
      <c r="K1453" s="354">
        <v>0</v>
      </c>
      <c r="L1453" s="354">
        <v>0</v>
      </c>
      <c r="M1453" s="355">
        <v>3</v>
      </c>
      <c r="N1453" s="355">
        <v>4</v>
      </c>
    </row>
    <row r="1454" spans="1:14" hidden="1" x14ac:dyDescent="0.25">
      <c r="A1454" s="354">
        <v>0</v>
      </c>
      <c r="B1454" s="354">
        <v>0</v>
      </c>
      <c r="C1454" s="354">
        <v>1</v>
      </c>
      <c r="D1454" s="354">
        <v>1</v>
      </c>
      <c r="E1454" s="354">
        <v>0</v>
      </c>
      <c r="F1454" s="354">
        <v>1</v>
      </c>
      <c r="G1454" s="354">
        <v>2</v>
      </c>
      <c r="H1454" s="354">
        <v>1</v>
      </c>
      <c r="I1454" s="354">
        <v>1</v>
      </c>
      <c r="J1454" s="354">
        <v>1</v>
      </c>
      <c r="K1454" s="354">
        <v>0</v>
      </c>
      <c r="L1454" s="354">
        <v>0</v>
      </c>
      <c r="M1454" s="355">
        <v>4</v>
      </c>
      <c r="N1454" s="355">
        <v>4</v>
      </c>
    </row>
    <row r="1455" spans="1:14" hidden="1" x14ac:dyDescent="0.25">
      <c r="A1455" s="354">
        <v>1</v>
      </c>
      <c r="B1455" s="354">
        <v>0</v>
      </c>
      <c r="C1455" s="354">
        <v>1</v>
      </c>
      <c r="D1455" s="354">
        <v>1</v>
      </c>
      <c r="E1455" s="354">
        <v>0</v>
      </c>
      <c r="F1455" s="354">
        <v>2</v>
      </c>
      <c r="G1455" s="354">
        <v>0</v>
      </c>
      <c r="H1455" s="354">
        <v>0</v>
      </c>
      <c r="I1455" s="354">
        <v>1</v>
      </c>
      <c r="J1455" s="354">
        <v>1</v>
      </c>
      <c r="K1455" s="354">
        <v>0</v>
      </c>
      <c r="L1455" s="354">
        <v>0</v>
      </c>
      <c r="M1455" s="355">
        <v>3</v>
      </c>
      <c r="N1455" s="355">
        <v>4</v>
      </c>
    </row>
    <row r="1456" spans="1:14" hidden="1" x14ac:dyDescent="0.25">
      <c r="A1456" s="354">
        <v>0</v>
      </c>
      <c r="B1456" s="354">
        <v>0</v>
      </c>
      <c r="C1456" s="354">
        <v>0</v>
      </c>
      <c r="D1456" s="354">
        <v>2</v>
      </c>
      <c r="E1456" s="354">
        <v>2</v>
      </c>
      <c r="F1456" s="354">
        <v>1</v>
      </c>
      <c r="G1456" s="354">
        <v>2</v>
      </c>
      <c r="H1456" s="354">
        <v>1</v>
      </c>
      <c r="I1456" s="354">
        <v>1</v>
      </c>
      <c r="J1456" s="354">
        <v>1</v>
      </c>
      <c r="K1456" s="354">
        <v>0</v>
      </c>
      <c r="L1456" s="354">
        <v>0</v>
      </c>
      <c r="M1456" s="355">
        <v>5</v>
      </c>
      <c r="N1456" s="355">
        <v>5</v>
      </c>
    </row>
    <row r="1457" spans="1:14" hidden="1" x14ac:dyDescent="0.25">
      <c r="A1457" s="354">
        <v>0</v>
      </c>
      <c r="B1457" s="354">
        <v>0</v>
      </c>
      <c r="C1457" s="354">
        <v>1</v>
      </c>
      <c r="D1457" s="354">
        <v>0</v>
      </c>
      <c r="E1457" s="354">
        <v>0</v>
      </c>
      <c r="F1457" s="354">
        <v>0</v>
      </c>
      <c r="G1457" s="354">
        <v>0</v>
      </c>
      <c r="H1457" s="354">
        <v>0</v>
      </c>
      <c r="I1457" s="354">
        <v>0</v>
      </c>
      <c r="J1457" s="354">
        <v>1</v>
      </c>
      <c r="K1457" s="354">
        <v>0</v>
      </c>
      <c r="L1457" s="354">
        <v>0</v>
      </c>
      <c r="M1457" s="355">
        <v>1</v>
      </c>
      <c r="N1457" s="355">
        <v>1</v>
      </c>
    </row>
    <row r="1458" spans="1:14" hidden="1" x14ac:dyDescent="0.25">
      <c r="A1458" s="354">
        <v>2</v>
      </c>
      <c r="B1458" s="354">
        <v>0</v>
      </c>
      <c r="C1458" s="354">
        <v>2</v>
      </c>
      <c r="D1458" s="354">
        <v>2</v>
      </c>
      <c r="E1458" s="354">
        <v>1</v>
      </c>
      <c r="F1458" s="354">
        <v>0</v>
      </c>
      <c r="G1458" s="354">
        <v>0</v>
      </c>
      <c r="H1458" s="354">
        <v>0</v>
      </c>
      <c r="I1458" s="354">
        <v>0</v>
      </c>
      <c r="J1458" s="354">
        <v>1</v>
      </c>
      <c r="K1458" s="354">
        <v>0</v>
      </c>
      <c r="L1458" s="354">
        <v>0</v>
      </c>
      <c r="M1458" s="355">
        <v>5</v>
      </c>
      <c r="N1458" s="355">
        <v>3</v>
      </c>
    </row>
    <row r="1459" spans="1:14" hidden="1" x14ac:dyDescent="0.25">
      <c r="A1459" s="354">
        <v>0</v>
      </c>
      <c r="B1459" s="354">
        <v>0</v>
      </c>
      <c r="C1459" s="354">
        <v>1</v>
      </c>
      <c r="D1459" s="354">
        <v>0</v>
      </c>
      <c r="E1459" s="354">
        <v>2</v>
      </c>
      <c r="F1459" s="354">
        <v>1</v>
      </c>
      <c r="G1459" s="354">
        <v>1</v>
      </c>
      <c r="H1459" s="354">
        <v>1</v>
      </c>
      <c r="I1459" s="354">
        <v>1</v>
      </c>
      <c r="J1459" s="354">
        <v>1</v>
      </c>
      <c r="K1459" s="354">
        <v>0</v>
      </c>
      <c r="L1459" s="354">
        <v>0</v>
      </c>
      <c r="M1459" s="355">
        <v>5</v>
      </c>
      <c r="N1459" s="355">
        <v>3</v>
      </c>
    </row>
    <row r="1460" spans="1:14" hidden="1" x14ac:dyDescent="0.25">
      <c r="A1460" s="354">
        <v>0</v>
      </c>
      <c r="B1460" s="354">
        <v>0</v>
      </c>
      <c r="C1460" s="354">
        <v>0</v>
      </c>
      <c r="D1460" s="354">
        <v>1</v>
      </c>
      <c r="E1460" s="354">
        <v>2</v>
      </c>
      <c r="F1460" s="354">
        <v>1</v>
      </c>
      <c r="G1460" s="354">
        <v>2</v>
      </c>
      <c r="H1460" s="354">
        <v>0</v>
      </c>
      <c r="I1460" s="354">
        <v>0</v>
      </c>
      <c r="J1460" s="354">
        <v>1</v>
      </c>
      <c r="K1460" s="354">
        <v>0</v>
      </c>
      <c r="L1460" s="354">
        <v>0</v>
      </c>
      <c r="M1460" s="355">
        <v>4</v>
      </c>
      <c r="N1460" s="355">
        <v>3</v>
      </c>
    </row>
    <row r="1461" spans="1:14" hidden="1" x14ac:dyDescent="0.25">
      <c r="A1461" s="354">
        <v>0</v>
      </c>
      <c r="B1461" s="354">
        <v>2</v>
      </c>
      <c r="C1461" s="354">
        <v>3</v>
      </c>
      <c r="D1461" s="354">
        <v>0</v>
      </c>
      <c r="E1461" s="354">
        <v>5</v>
      </c>
      <c r="F1461" s="354">
        <v>0</v>
      </c>
      <c r="G1461" s="354">
        <v>5</v>
      </c>
      <c r="H1461" s="354">
        <v>0</v>
      </c>
      <c r="I1461" s="354">
        <v>3</v>
      </c>
      <c r="J1461" s="354">
        <v>3</v>
      </c>
      <c r="K1461" s="354">
        <v>1</v>
      </c>
      <c r="L1461" s="354">
        <v>0</v>
      </c>
      <c r="M1461" s="355">
        <v>17</v>
      </c>
      <c r="N1461" s="355">
        <v>5</v>
      </c>
    </row>
    <row r="1462" spans="1:14" hidden="1" x14ac:dyDescent="0.25">
      <c r="A1462" s="354">
        <v>0</v>
      </c>
      <c r="B1462" s="354">
        <v>0</v>
      </c>
      <c r="C1462" s="354">
        <v>1</v>
      </c>
      <c r="D1462" s="354">
        <v>1</v>
      </c>
      <c r="E1462" s="354">
        <v>2</v>
      </c>
      <c r="F1462" s="354">
        <v>2</v>
      </c>
      <c r="G1462" s="354">
        <v>1</v>
      </c>
      <c r="H1462" s="354">
        <v>0</v>
      </c>
      <c r="I1462" s="354">
        <v>0</v>
      </c>
      <c r="J1462" s="354">
        <v>1</v>
      </c>
      <c r="K1462" s="354">
        <v>0</v>
      </c>
      <c r="L1462" s="354">
        <v>0</v>
      </c>
      <c r="M1462" s="355">
        <v>4</v>
      </c>
      <c r="N1462" s="355">
        <v>4</v>
      </c>
    </row>
    <row r="1463" spans="1:14" hidden="1" x14ac:dyDescent="0.25">
      <c r="A1463" s="354">
        <v>0</v>
      </c>
      <c r="B1463" s="354">
        <v>0</v>
      </c>
      <c r="C1463" s="354">
        <v>2</v>
      </c>
      <c r="D1463" s="354">
        <v>0</v>
      </c>
      <c r="E1463" s="354">
        <v>2</v>
      </c>
      <c r="F1463" s="354">
        <v>0</v>
      </c>
      <c r="G1463" s="354">
        <v>0</v>
      </c>
      <c r="H1463" s="354">
        <v>1</v>
      </c>
      <c r="I1463" s="354">
        <v>2</v>
      </c>
      <c r="J1463" s="354">
        <v>2</v>
      </c>
      <c r="K1463" s="354">
        <v>0</v>
      </c>
      <c r="L1463" s="354">
        <v>0</v>
      </c>
      <c r="M1463" s="355">
        <v>6</v>
      </c>
      <c r="N1463" s="355">
        <v>3</v>
      </c>
    </row>
    <row r="1464" spans="1:14" hidden="1" x14ac:dyDescent="0.25">
      <c r="A1464" s="354">
        <v>1</v>
      </c>
      <c r="B1464" s="354">
        <v>0</v>
      </c>
      <c r="C1464" s="354">
        <v>1</v>
      </c>
      <c r="D1464" s="354">
        <v>0</v>
      </c>
      <c r="E1464" s="354">
        <v>1</v>
      </c>
      <c r="F1464" s="354">
        <v>0</v>
      </c>
      <c r="G1464" s="354">
        <v>0</v>
      </c>
      <c r="H1464" s="354">
        <v>0</v>
      </c>
      <c r="I1464" s="354">
        <v>1</v>
      </c>
      <c r="J1464" s="354">
        <v>2</v>
      </c>
      <c r="K1464" s="354">
        <v>0</v>
      </c>
      <c r="L1464" s="354">
        <v>0</v>
      </c>
      <c r="M1464" s="355">
        <v>4</v>
      </c>
      <c r="N1464" s="355">
        <v>2</v>
      </c>
    </row>
    <row r="1465" spans="1:14" hidden="1" x14ac:dyDescent="0.25">
      <c r="A1465" s="354">
        <v>1</v>
      </c>
      <c r="B1465" s="354">
        <v>1</v>
      </c>
      <c r="C1465" s="354">
        <v>0</v>
      </c>
      <c r="D1465" s="354">
        <v>0</v>
      </c>
      <c r="E1465" s="354">
        <v>0</v>
      </c>
      <c r="F1465" s="354">
        <v>2</v>
      </c>
      <c r="G1465" s="354">
        <v>0</v>
      </c>
      <c r="H1465" s="354">
        <v>0</v>
      </c>
      <c r="I1465" s="354">
        <v>1</v>
      </c>
      <c r="J1465" s="354">
        <v>1</v>
      </c>
      <c r="K1465" s="354">
        <v>0</v>
      </c>
      <c r="L1465" s="354">
        <v>0</v>
      </c>
      <c r="M1465" s="355">
        <v>2</v>
      </c>
      <c r="N1465" s="355">
        <v>4</v>
      </c>
    </row>
    <row r="1466" spans="1:14" hidden="1" x14ac:dyDescent="0.25">
      <c r="A1466" s="354">
        <v>0</v>
      </c>
      <c r="B1466" s="354">
        <v>0</v>
      </c>
      <c r="C1466" s="354">
        <v>0</v>
      </c>
      <c r="D1466" s="354">
        <v>1</v>
      </c>
      <c r="E1466" s="354">
        <v>1</v>
      </c>
      <c r="F1466" s="354">
        <v>2</v>
      </c>
      <c r="G1466" s="354">
        <v>0</v>
      </c>
      <c r="H1466" s="354">
        <v>0</v>
      </c>
      <c r="I1466" s="354">
        <v>1</v>
      </c>
      <c r="J1466" s="354">
        <v>1</v>
      </c>
      <c r="K1466" s="354">
        <v>0</v>
      </c>
      <c r="L1466" s="354">
        <v>0</v>
      </c>
      <c r="M1466" s="355">
        <v>2</v>
      </c>
      <c r="N1466" s="355">
        <v>4</v>
      </c>
    </row>
    <row r="1467" spans="1:14" hidden="1" x14ac:dyDescent="0.25">
      <c r="A1467" s="354">
        <v>0</v>
      </c>
      <c r="B1467" s="354">
        <v>0</v>
      </c>
      <c r="C1467" s="354">
        <v>0</v>
      </c>
      <c r="D1467" s="354">
        <v>1</v>
      </c>
      <c r="E1467" s="354">
        <v>1</v>
      </c>
      <c r="F1467" s="354">
        <v>1</v>
      </c>
      <c r="G1467" s="354">
        <v>2</v>
      </c>
      <c r="H1467" s="354">
        <v>0</v>
      </c>
      <c r="I1467" s="354">
        <v>1</v>
      </c>
      <c r="J1467" s="354">
        <v>2</v>
      </c>
      <c r="K1467" s="354">
        <v>0</v>
      </c>
      <c r="L1467" s="354">
        <v>0</v>
      </c>
      <c r="M1467" s="355">
        <v>4</v>
      </c>
      <c r="N1467" s="355">
        <v>4</v>
      </c>
    </row>
    <row r="1468" spans="1:14" hidden="1" x14ac:dyDescent="0.25">
      <c r="A1468" s="354">
        <v>0</v>
      </c>
      <c r="B1468" s="354">
        <v>1</v>
      </c>
      <c r="C1468" s="354">
        <v>2</v>
      </c>
      <c r="D1468" s="354">
        <v>1</v>
      </c>
      <c r="E1468" s="354">
        <v>1</v>
      </c>
      <c r="F1468" s="354">
        <v>2</v>
      </c>
      <c r="G1468" s="354">
        <v>0</v>
      </c>
      <c r="H1468" s="354">
        <v>0</v>
      </c>
      <c r="I1468" s="354">
        <v>0</v>
      </c>
      <c r="J1468" s="354">
        <v>1</v>
      </c>
      <c r="K1468" s="354">
        <v>0</v>
      </c>
      <c r="L1468" s="354">
        <v>0</v>
      </c>
      <c r="M1468" s="355">
        <v>3</v>
      </c>
      <c r="N1468" s="355">
        <v>5</v>
      </c>
    </row>
    <row r="1469" spans="1:14" hidden="1" x14ac:dyDescent="0.25">
      <c r="A1469" s="354">
        <v>0</v>
      </c>
      <c r="B1469" s="354">
        <v>1</v>
      </c>
      <c r="C1469" s="354">
        <v>1</v>
      </c>
      <c r="D1469" s="354">
        <v>0</v>
      </c>
      <c r="E1469" s="354">
        <v>0</v>
      </c>
      <c r="F1469" s="354">
        <v>0</v>
      </c>
      <c r="G1469" s="354">
        <v>0</v>
      </c>
      <c r="H1469" s="354">
        <v>0</v>
      </c>
      <c r="I1469" s="354">
        <v>0</v>
      </c>
      <c r="J1469" s="354">
        <v>1</v>
      </c>
      <c r="K1469" s="354">
        <v>0</v>
      </c>
      <c r="L1469" s="354">
        <v>0</v>
      </c>
      <c r="M1469" s="355">
        <v>1</v>
      </c>
      <c r="N1469" s="355">
        <v>2</v>
      </c>
    </row>
    <row r="1470" spans="1:14" hidden="1" x14ac:dyDescent="0.25">
      <c r="A1470" s="354">
        <v>0</v>
      </c>
      <c r="B1470" s="354">
        <v>1</v>
      </c>
      <c r="C1470" s="354">
        <v>0</v>
      </c>
      <c r="D1470" s="354">
        <v>1</v>
      </c>
      <c r="E1470" s="354">
        <v>0</v>
      </c>
      <c r="F1470" s="354">
        <v>3</v>
      </c>
      <c r="G1470" s="354">
        <v>0</v>
      </c>
      <c r="H1470" s="354">
        <v>0</v>
      </c>
      <c r="I1470" s="354">
        <v>1</v>
      </c>
      <c r="J1470" s="354">
        <v>1</v>
      </c>
      <c r="K1470" s="354">
        <v>0</v>
      </c>
      <c r="L1470" s="354">
        <v>0</v>
      </c>
      <c r="M1470" s="355">
        <v>1</v>
      </c>
      <c r="N1470" s="355">
        <v>6</v>
      </c>
    </row>
    <row r="1471" spans="1:14" hidden="1" x14ac:dyDescent="0.25">
      <c r="A1471" s="354">
        <v>0</v>
      </c>
      <c r="B1471" s="354">
        <v>0</v>
      </c>
      <c r="C1471" s="354">
        <v>0</v>
      </c>
      <c r="D1471" s="354">
        <v>0</v>
      </c>
      <c r="E1471" s="354">
        <v>2</v>
      </c>
      <c r="F1471" s="354">
        <v>0</v>
      </c>
      <c r="G1471" s="354">
        <v>0</v>
      </c>
      <c r="H1471" s="354">
        <v>2</v>
      </c>
      <c r="I1471" s="354">
        <v>0</v>
      </c>
      <c r="J1471" s="354">
        <v>2</v>
      </c>
      <c r="K1471" s="354">
        <v>1</v>
      </c>
      <c r="L1471" s="354">
        <v>0</v>
      </c>
      <c r="M1471" s="355">
        <v>3</v>
      </c>
      <c r="N1471" s="355">
        <v>4</v>
      </c>
    </row>
    <row r="1472" spans="1:14" hidden="1" x14ac:dyDescent="0.25">
      <c r="A1472" s="354">
        <v>0</v>
      </c>
      <c r="B1472" s="354">
        <v>1</v>
      </c>
      <c r="C1472" s="354">
        <v>1</v>
      </c>
      <c r="D1472" s="354">
        <v>1</v>
      </c>
      <c r="E1472" s="354">
        <v>2</v>
      </c>
      <c r="F1472" s="354">
        <v>1</v>
      </c>
      <c r="G1472" s="354">
        <v>0</v>
      </c>
      <c r="H1472" s="354">
        <v>0</v>
      </c>
      <c r="I1472" s="354">
        <v>1</v>
      </c>
      <c r="J1472" s="354">
        <v>1</v>
      </c>
      <c r="K1472" s="354">
        <v>0</v>
      </c>
      <c r="L1472" s="354">
        <v>0</v>
      </c>
      <c r="M1472" s="355">
        <v>4</v>
      </c>
      <c r="N1472" s="355">
        <v>4</v>
      </c>
    </row>
    <row r="1473" spans="1:14" hidden="1" x14ac:dyDescent="0.25">
      <c r="A1473" s="354">
        <v>0</v>
      </c>
      <c r="B1473" s="354">
        <v>1</v>
      </c>
      <c r="C1473" s="354">
        <v>2</v>
      </c>
      <c r="D1473" s="354">
        <v>0</v>
      </c>
      <c r="E1473" s="354">
        <v>0</v>
      </c>
      <c r="F1473" s="354">
        <v>0</v>
      </c>
      <c r="G1473" s="354">
        <v>0</v>
      </c>
      <c r="H1473" s="354">
        <v>0</v>
      </c>
      <c r="I1473" s="354">
        <v>1</v>
      </c>
      <c r="J1473" s="354">
        <v>1</v>
      </c>
      <c r="K1473" s="354">
        <v>0</v>
      </c>
      <c r="L1473" s="354">
        <v>0</v>
      </c>
      <c r="M1473" s="355">
        <v>3</v>
      </c>
      <c r="N1473" s="355">
        <v>2</v>
      </c>
    </row>
    <row r="1474" spans="1:14" hidden="1" x14ac:dyDescent="0.25">
      <c r="A1474" s="354">
        <v>1</v>
      </c>
      <c r="B1474" s="354">
        <v>1</v>
      </c>
      <c r="C1474" s="354">
        <v>0</v>
      </c>
      <c r="D1474" s="354">
        <v>2</v>
      </c>
      <c r="E1474" s="354">
        <v>2</v>
      </c>
      <c r="F1474" s="354">
        <v>2</v>
      </c>
      <c r="G1474" s="354">
        <v>0</v>
      </c>
      <c r="H1474" s="354">
        <v>0</v>
      </c>
      <c r="I1474" s="354">
        <v>1</v>
      </c>
      <c r="J1474" s="354">
        <v>3</v>
      </c>
      <c r="K1474" s="354">
        <v>0</v>
      </c>
      <c r="L1474" s="354">
        <v>0</v>
      </c>
      <c r="M1474" s="355">
        <v>4</v>
      </c>
      <c r="N1474" s="355">
        <v>8</v>
      </c>
    </row>
    <row r="1475" spans="1:14" hidden="1" x14ac:dyDescent="0.25">
      <c r="A1475" s="354">
        <v>0</v>
      </c>
      <c r="B1475" s="354">
        <v>0</v>
      </c>
      <c r="C1475" s="354">
        <v>1</v>
      </c>
      <c r="D1475" s="354">
        <v>1</v>
      </c>
      <c r="E1475" s="354">
        <v>2</v>
      </c>
      <c r="F1475" s="354">
        <v>1</v>
      </c>
      <c r="G1475" s="354">
        <v>0</v>
      </c>
      <c r="H1475" s="354">
        <v>0</v>
      </c>
      <c r="I1475" s="354">
        <v>0</v>
      </c>
      <c r="J1475" s="354">
        <v>1</v>
      </c>
      <c r="K1475" s="354">
        <v>0</v>
      </c>
      <c r="L1475" s="354">
        <v>0</v>
      </c>
      <c r="M1475" s="355">
        <v>3</v>
      </c>
      <c r="N1475" s="355">
        <v>3</v>
      </c>
    </row>
    <row r="1476" spans="1:14" hidden="1" x14ac:dyDescent="0.25">
      <c r="A1476" s="354">
        <v>0</v>
      </c>
      <c r="B1476" s="354">
        <v>0</v>
      </c>
      <c r="C1476" s="354">
        <v>0</v>
      </c>
      <c r="D1476" s="354">
        <v>0</v>
      </c>
      <c r="E1476" s="354">
        <v>1</v>
      </c>
      <c r="F1476" s="354">
        <v>1</v>
      </c>
      <c r="G1476" s="354">
        <v>0</v>
      </c>
      <c r="H1476" s="354">
        <v>0</v>
      </c>
      <c r="I1476" s="354">
        <v>1</v>
      </c>
      <c r="J1476" s="354">
        <v>2</v>
      </c>
      <c r="K1476" s="354">
        <v>0</v>
      </c>
      <c r="L1476" s="354">
        <v>0</v>
      </c>
      <c r="M1476" s="355">
        <v>2</v>
      </c>
      <c r="N1476" s="355">
        <v>3</v>
      </c>
    </row>
    <row r="1477" spans="1:14" hidden="1" x14ac:dyDescent="0.25">
      <c r="A1477" s="354">
        <v>0</v>
      </c>
      <c r="B1477" s="354">
        <v>1</v>
      </c>
      <c r="C1477" s="354">
        <v>1</v>
      </c>
      <c r="D1477" s="354">
        <v>0</v>
      </c>
      <c r="E1477" s="354">
        <v>2</v>
      </c>
      <c r="F1477" s="354">
        <v>0</v>
      </c>
      <c r="G1477" s="354">
        <v>0</v>
      </c>
      <c r="H1477" s="354">
        <v>2</v>
      </c>
      <c r="I1477" s="354"/>
      <c r="J1477" s="354">
        <v>2</v>
      </c>
      <c r="K1477" s="354">
        <v>0</v>
      </c>
      <c r="L1477" s="354">
        <v>0</v>
      </c>
      <c r="M1477" s="355">
        <v>3</v>
      </c>
      <c r="N1477" s="355">
        <v>5</v>
      </c>
    </row>
    <row r="1478" spans="1:14" hidden="1" x14ac:dyDescent="0.25">
      <c r="A1478" s="354">
        <v>1</v>
      </c>
      <c r="B1478" s="354">
        <v>1</v>
      </c>
      <c r="C1478" s="354">
        <v>1</v>
      </c>
      <c r="D1478" s="354">
        <v>1</v>
      </c>
      <c r="E1478" s="354">
        <v>1</v>
      </c>
      <c r="F1478" s="354">
        <v>2</v>
      </c>
      <c r="G1478" s="354">
        <v>1</v>
      </c>
      <c r="H1478" s="354">
        <v>0</v>
      </c>
      <c r="I1478" s="354">
        <v>1</v>
      </c>
      <c r="J1478" s="354">
        <v>3</v>
      </c>
      <c r="K1478" s="354">
        <v>0</v>
      </c>
      <c r="L1478" s="354">
        <v>0</v>
      </c>
      <c r="M1478" s="355">
        <v>5</v>
      </c>
      <c r="N1478" s="355">
        <v>7</v>
      </c>
    </row>
    <row r="1479" spans="1:14" hidden="1" x14ac:dyDescent="0.25">
      <c r="A1479" s="354">
        <v>2</v>
      </c>
      <c r="B1479" s="354">
        <v>0</v>
      </c>
      <c r="C1479" s="354">
        <v>0</v>
      </c>
      <c r="D1479" s="354">
        <v>2</v>
      </c>
      <c r="E1479" s="354">
        <v>2</v>
      </c>
      <c r="F1479" s="354">
        <v>2</v>
      </c>
      <c r="G1479" s="354">
        <v>3</v>
      </c>
      <c r="H1479" s="354">
        <v>1</v>
      </c>
      <c r="I1479" s="354">
        <v>1</v>
      </c>
      <c r="J1479" s="354">
        <v>2</v>
      </c>
      <c r="K1479" s="354">
        <v>0</v>
      </c>
      <c r="L1479" s="354">
        <v>0</v>
      </c>
      <c r="M1479" s="355">
        <v>8</v>
      </c>
      <c r="N1479" s="355">
        <v>7</v>
      </c>
    </row>
    <row r="1480" spans="1:14" hidden="1" x14ac:dyDescent="0.25">
      <c r="A1480" s="354">
        <v>0</v>
      </c>
      <c r="B1480" s="354">
        <v>0</v>
      </c>
      <c r="C1480" s="354">
        <v>1</v>
      </c>
      <c r="D1480" s="354">
        <v>1</v>
      </c>
      <c r="E1480" s="354">
        <v>0</v>
      </c>
      <c r="F1480" s="354">
        <v>2</v>
      </c>
      <c r="G1480" s="354">
        <v>1</v>
      </c>
      <c r="H1480" s="354">
        <v>1</v>
      </c>
      <c r="I1480" s="354">
        <v>1</v>
      </c>
      <c r="J1480" s="354">
        <v>1</v>
      </c>
      <c r="K1480" s="354">
        <v>0</v>
      </c>
      <c r="L1480" s="354">
        <v>0</v>
      </c>
      <c r="M1480" s="355">
        <v>3</v>
      </c>
      <c r="N1480" s="355">
        <v>5</v>
      </c>
    </row>
    <row r="1481" spans="1:14" hidden="1" x14ac:dyDescent="0.25">
      <c r="A1481" s="354">
        <v>0</v>
      </c>
      <c r="B1481" s="354">
        <v>0</v>
      </c>
      <c r="C1481" s="354">
        <v>0</v>
      </c>
      <c r="D1481" s="354">
        <v>2</v>
      </c>
      <c r="E1481" s="354">
        <v>1</v>
      </c>
      <c r="F1481" s="354">
        <v>0</v>
      </c>
      <c r="G1481" s="354">
        <v>0</v>
      </c>
      <c r="H1481" s="354">
        <v>0</v>
      </c>
      <c r="I1481" s="354">
        <v>1</v>
      </c>
      <c r="J1481" s="354">
        <v>1</v>
      </c>
      <c r="K1481" s="354">
        <v>0</v>
      </c>
      <c r="L1481" s="354">
        <v>0</v>
      </c>
      <c r="M1481" s="355">
        <v>2</v>
      </c>
      <c r="N1481" s="355">
        <v>3</v>
      </c>
    </row>
    <row r="1482" spans="1:14" hidden="1" x14ac:dyDescent="0.25">
      <c r="A1482" s="354">
        <v>0</v>
      </c>
      <c r="B1482" s="354">
        <v>1</v>
      </c>
      <c r="C1482" s="354">
        <v>1</v>
      </c>
      <c r="D1482" s="354">
        <v>2</v>
      </c>
      <c r="E1482" s="354">
        <v>1</v>
      </c>
      <c r="F1482" s="354">
        <v>0</v>
      </c>
      <c r="G1482" s="354">
        <v>0</v>
      </c>
      <c r="H1482" s="354">
        <v>0</v>
      </c>
      <c r="I1482" s="354">
        <v>1</v>
      </c>
      <c r="J1482" s="354">
        <v>1</v>
      </c>
      <c r="K1482" s="354">
        <v>0</v>
      </c>
      <c r="L1482" s="354">
        <v>0</v>
      </c>
      <c r="M1482" s="355">
        <v>3</v>
      </c>
      <c r="N1482" s="355">
        <v>4</v>
      </c>
    </row>
    <row r="1483" spans="1:14" hidden="1" x14ac:dyDescent="0.25">
      <c r="A1483" s="354">
        <v>1</v>
      </c>
      <c r="B1483" s="354">
        <v>0</v>
      </c>
      <c r="C1483" s="354">
        <v>1</v>
      </c>
      <c r="D1483" s="354">
        <v>0</v>
      </c>
      <c r="E1483" s="354">
        <v>0</v>
      </c>
      <c r="F1483" s="354">
        <v>0</v>
      </c>
      <c r="G1483" s="354">
        <v>0</v>
      </c>
      <c r="H1483" s="354">
        <v>0</v>
      </c>
      <c r="I1483" s="354">
        <v>1</v>
      </c>
      <c r="J1483" s="354">
        <v>1</v>
      </c>
      <c r="K1483" s="354">
        <v>0</v>
      </c>
      <c r="L1483" s="354">
        <v>0</v>
      </c>
      <c r="M1483" s="355">
        <v>3</v>
      </c>
      <c r="N1483" s="355">
        <v>1</v>
      </c>
    </row>
    <row r="1484" spans="1:14" hidden="1" x14ac:dyDescent="0.25">
      <c r="A1484" s="354">
        <v>0</v>
      </c>
      <c r="B1484" s="354">
        <v>0</v>
      </c>
      <c r="C1484" s="354">
        <v>0</v>
      </c>
      <c r="D1484" s="354">
        <v>0</v>
      </c>
      <c r="E1484" s="354">
        <v>1</v>
      </c>
      <c r="F1484" s="354">
        <v>0</v>
      </c>
      <c r="G1484" s="354">
        <v>1</v>
      </c>
      <c r="H1484" s="354">
        <v>0</v>
      </c>
      <c r="I1484" s="354">
        <v>0</v>
      </c>
      <c r="J1484" s="354">
        <v>1</v>
      </c>
      <c r="K1484" s="354">
        <v>1</v>
      </c>
      <c r="L1484" s="354">
        <v>0</v>
      </c>
      <c r="M1484" s="355">
        <v>3</v>
      </c>
      <c r="N1484" s="355">
        <v>1</v>
      </c>
    </row>
    <row r="1485" spans="1:14" hidden="1" x14ac:dyDescent="0.25">
      <c r="A1485" s="354">
        <v>0</v>
      </c>
      <c r="B1485" s="354">
        <v>1</v>
      </c>
      <c r="C1485" s="354">
        <v>0</v>
      </c>
      <c r="D1485" s="354">
        <v>1</v>
      </c>
      <c r="E1485" s="354">
        <v>0</v>
      </c>
      <c r="F1485" s="354">
        <v>1</v>
      </c>
      <c r="G1485" s="354">
        <v>0</v>
      </c>
      <c r="H1485" s="354">
        <v>0</v>
      </c>
      <c r="I1485" s="354">
        <v>1</v>
      </c>
      <c r="J1485" s="354">
        <v>1</v>
      </c>
      <c r="K1485" s="354">
        <v>0</v>
      </c>
      <c r="L1485" s="354">
        <v>0</v>
      </c>
      <c r="M1485" s="355">
        <v>1</v>
      </c>
      <c r="N1485" s="355">
        <v>4</v>
      </c>
    </row>
    <row r="1486" spans="1:14" hidden="1" x14ac:dyDescent="0.25">
      <c r="A1486" s="354">
        <v>1</v>
      </c>
      <c r="B1486" s="354">
        <v>0</v>
      </c>
      <c r="C1486" s="354">
        <v>0</v>
      </c>
      <c r="D1486" s="354">
        <v>0</v>
      </c>
      <c r="E1486" s="354">
        <v>1</v>
      </c>
      <c r="F1486" s="354">
        <v>1</v>
      </c>
      <c r="G1486" s="354">
        <v>0</v>
      </c>
      <c r="H1486" s="354">
        <v>0</v>
      </c>
      <c r="I1486" s="354">
        <v>1</v>
      </c>
      <c r="J1486" s="354">
        <v>1</v>
      </c>
      <c r="K1486" s="354">
        <v>0</v>
      </c>
      <c r="L1486" s="354">
        <v>0</v>
      </c>
      <c r="M1486" s="355">
        <v>3</v>
      </c>
      <c r="N1486" s="355">
        <v>2</v>
      </c>
    </row>
    <row r="1487" spans="1:14" hidden="1" x14ac:dyDescent="0.25">
      <c r="A1487" s="354">
        <v>0</v>
      </c>
      <c r="B1487" s="354">
        <v>0</v>
      </c>
      <c r="C1487" s="354">
        <v>1</v>
      </c>
      <c r="D1487" s="354">
        <v>1</v>
      </c>
      <c r="E1487" s="354">
        <v>2</v>
      </c>
      <c r="F1487" s="354">
        <v>1</v>
      </c>
      <c r="G1487" s="354">
        <v>1</v>
      </c>
      <c r="H1487" s="354">
        <v>2</v>
      </c>
      <c r="I1487" s="354">
        <v>2</v>
      </c>
      <c r="J1487" s="354">
        <v>2</v>
      </c>
      <c r="K1487" s="354">
        <v>0</v>
      </c>
      <c r="L1487" s="354">
        <v>0</v>
      </c>
      <c r="M1487" s="355">
        <v>6</v>
      </c>
      <c r="N1487" s="355">
        <v>6</v>
      </c>
    </row>
    <row r="1488" spans="1:14" hidden="1" x14ac:dyDescent="0.25">
      <c r="A1488" s="354">
        <v>0</v>
      </c>
      <c r="B1488" s="354">
        <v>1</v>
      </c>
      <c r="C1488" s="354">
        <v>0</v>
      </c>
      <c r="D1488" s="354">
        <v>1</v>
      </c>
      <c r="E1488" s="354">
        <v>1</v>
      </c>
      <c r="F1488" s="354">
        <v>1</v>
      </c>
      <c r="G1488" s="354">
        <v>0</v>
      </c>
      <c r="H1488" s="354">
        <v>0</v>
      </c>
      <c r="I1488" s="354">
        <v>1</v>
      </c>
      <c r="J1488" s="354">
        <v>1</v>
      </c>
      <c r="K1488" s="354">
        <v>0</v>
      </c>
      <c r="L1488" s="354">
        <v>0</v>
      </c>
      <c r="M1488" s="355">
        <v>2</v>
      </c>
      <c r="N1488" s="355">
        <v>4</v>
      </c>
    </row>
    <row r="1489" spans="1:14" hidden="1" x14ac:dyDescent="0.25">
      <c r="A1489" s="354">
        <v>1</v>
      </c>
      <c r="B1489" s="354">
        <v>0</v>
      </c>
      <c r="C1489" s="354">
        <v>1</v>
      </c>
      <c r="D1489" s="354">
        <v>1</v>
      </c>
      <c r="E1489" s="354">
        <v>2</v>
      </c>
      <c r="F1489" s="354">
        <v>1</v>
      </c>
      <c r="G1489" s="354">
        <v>1</v>
      </c>
      <c r="H1489" s="354">
        <v>0</v>
      </c>
      <c r="I1489" s="354">
        <v>0</v>
      </c>
      <c r="J1489" s="354">
        <v>1</v>
      </c>
      <c r="K1489" s="354">
        <v>0</v>
      </c>
      <c r="L1489" s="354">
        <v>0</v>
      </c>
      <c r="M1489" s="355">
        <v>5</v>
      </c>
      <c r="N1489" s="355">
        <v>3</v>
      </c>
    </row>
    <row r="1490" spans="1:14" hidden="1" x14ac:dyDescent="0.25">
      <c r="A1490" s="354">
        <v>0</v>
      </c>
      <c r="B1490" s="354">
        <v>0</v>
      </c>
      <c r="C1490" s="354">
        <v>1</v>
      </c>
      <c r="D1490" s="354">
        <v>1</v>
      </c>
      <c r="E1490" s="354">
        <v>1</v>
      </c>
      <c r="F1490" s="354">
        <v>1</v>
      </c>
      <c r="G1490" s="354">
        <v>0</v>
      </c>
      <c r="H1490" s="354">
        <v>0</v>
      </c>
      <c r="I1490" s="354">
        <v>1</v>
      </c>
      <c r="J1490" s="354">
        <v>1</v>
      </c>
      <c r="K1490" s="354">
        <v>0</v>
      </c>
      <c r="L1490" s="354">
        <v>0</v>
      </c>
      <c r="M1490" s="355">
        <v>3</v>
      </c>
      <c r="N1490" s="355">
        <v>3</v>
      </c>
    </row>
    <row r="1491" spans="1:14" hidden="1" x14ac:dyDescent="0.25">
      <c r="A1491" s="354">
        <v>1</v>
      </c>
      <c r="B1491" s="354">
        <v>3</v>
      </c>
      <c r="C1491" s="354">
        <v>3</v>
      </c>
      <c r="D1491" s="354">
        <v>3</v>
      </c>
      <c r="E1491" s="354">
        <v>5</v>
      </c>
      <c r="F1491" s="354">
        <v>2</v>
      </c>
      <c r="G1491" s="354">
        <v>2</v>
      </c>
      <c r="H1491" s="354">
        <v>0</v>
      </c>
      <c r="I1491" s="354">
        <v>6</v>
      </c>
      <c r="J1491" s="354">
        <v>3</v>
      </c>
      <c r="K1491" s="354">
        <v>0</v>
      </c>
      <c r="L1491" s="354">
        <v>0</v>
      </c>
      <c r="M1491" s="355">
        <v>17</v>
      </c>
      <c r="N1491" s="355">
        <v>11</v>
      </c>
    </row>
    <row r="1492" spans="1:14" hidden="1" x14ac:dyDescent="0.25">
      <c r="A1492" s="354">
        <v>0</v>
      </c>
      <c r="B1492" s="354">
        <v>0</v>
      </c>
      <c r="C1492" s="354">
        <v>0</v>
      </c>
      <c r="D1492" s="354">
        <v>1</v>
      </c>
      <c r="E1492" s="354">
        <v>3</v>
      </c>
      <c r="F1492" s="354">
        <v>1</v>
      </c>
      <c r="G1492" s="354">
        <v>0</v>
      </c>
      <c r="H1492" s="354">
        <v>1</v>
      </c>
      <c r="I1492" s="354">
        <v>1</v>
      </c>
      <c r="J1492" s="354">
        <v>1</v>
      </c>
      <c r="K1492" s="354">
        <v>0</v>
      </c>
      <c r="L1492" s="354">
        <v>0</v>
      </c>
      <c r="M1492" s="355">
        <v>4</v>
      </c>
      <c r="N1492" s="355">
        <v>4</v>
      </c>
    </row>
    <row r="1493" spans="1:14" hidden="1" x14ac:dyDescent="0.25">
      <c r="A1493" s="354">
        <v>1</v>
      </c>
      <c r="B1493" s="354">
        <v>0</v>
      </c>
      <c r="C1493" s="354">
        <v>1</v>
      </c>
      <c r="D1493" s="354">
        <v>1</v>
      </c>
      <c r="E1493" s="354">
        <v>1</v>
      </c>
      <c r="F1493" s="354">
        <v>1</v>
      </c>
      <c r="G1493" s="354">
        <v>0</v>
      </c>
      <c r="H1493" s="354">
        <v>0</v>
      </c>
      <c r="I1493" s="354">
        <v>1</v>
      </c>
      <c r="J1493" s="354">
        <v>1</v>
      </c>
      <c r="K1493" s="354">
        <v>1</v>
      </c>
      <c r="L1493" s="354">
        <v>1</v>
      </c>
      <c r="M1493" s="355">
        <v>5</v>
      </c>
      <c r="N1493" s="355">
        <v>4</v>
      </c>
    </row>
    <row r="1494" spans="1:14" hidden="1" x14ac:dyDescent="0.25">
      <c r="A1494" s="354">
        <v>1</v>
      </c>
      <c r="B1494" s="354">
        <v>0</v>
      </c>
      <c r="C1494" s="354">
        <v>1</v>
      </c>
      <c r="D1494" s="354">
        <v>1</v>
      </c>
      <c r="E1494" s="354">
        <v>0</v>
      </c>
      <c r="F1494" s="354">
        <v>0</v>
      </c>
      <c r="G1494" s="354">
        <v>1</v>
      </c>
      <c r="H1494" s="354">
        <v>1</v>
      </c>
      <c r="I1494" s="354">
        <v>1</v>
      </c>
      <c r="J1494" s="354">
        <v>1</v>
      </c>
      <c r="K1494" s="354">
        <v>0</v>
      </c>
      <c r="L1494" s="354">
        <v>0</v>
      </c>
      <c r="M1494" s="355">
        <v>4</v>
      </c>
      <c r="N1494" s="355">
        <v>3</v>
      </c>
    </row>
    <row r="1495" spans="1:14" hidden="1" x14ac:dyDescent="0.25">
      <c r="A1495" s="354">
        <v>0</v>
      </c>
      <c r="B1495" s="354">
        <v>0</v>
      </c>
      <c r="C1495" s="354">
        <v>0</v>
      </c>
      <c r="D1495" s="354">
        <v>2</v>
      </c>
      <c r="E1495" s="354">
        <v>1</v>
      </c>
      <c r="F1495" s="354">
        <v>0</v>
      </c>
      <c r="G1495" s="354">
        <v>0</v>
      </c>
      <c r="H1495" s="354">
        <v>1</v>
      </c>
      <c r="I1495" s="354">
        <v>1</v>
      </c>
      <c r="J1495" s="354">
        <v>1</v>
      </c>
      <c r="K1495" s="354">
        <v>0</v>
      </c>
      <c r="L1495" s="354">
        <v>0</v>
      </c>
      <c r="M1495" s="355">
        <v>2</v>
      </c>
      <c r="N1495" s="355">
        <v>4</v>
      </c>
    </row>
    <row r="1496" spans="1:14" hidden="1" x14ac:dyDescent="0.25">
      <c r="A1496" s="354">
        <v>1</v>
      </c>
      <c r="B1496" s="354">
        <v>0</v>
      </c>
      <c r="C1496" s="354">
        <v>1</v>
      </c>
      <c r="D1496" s="354">
        <v>1</v>
      </c>
      <c r="E1496" s="354">
        <v>0</v>
      </c>
      <c r="F1496" s="354">
        <v>0</v>
      </c>
      <c r="G1496" s="354">
        <v>0</v>
      </c>
      <c r="H1496" s="354">
        <v>0</v>
      </c>
      <c r="I1496" s="354">
        <v>1</v>
      </c>
      <c r="J1496" s="354">
        <v>1</v>
      </c>
      <c r="K1496" s="354">
        <v>0</v>
      </c>
      <c r="L1496" s="354">
        <v>0</v>
      </c>
      <c r="M1496" s="355">
        <v>3</v>
      </c>
      <c r="N1496" s="355">
        <v>2</v>
      </c>
    </row>
    <row r="1497" spans="1:14" hidden="1" x14ac:dyDescent="0.25">
      <c r="A1497" s="354">
        <v>0</v>
      </c>
      <c r="B1497" s="354">
        <v>0</v>
      </c>
      <c r="C1497" s="354">
        <v>0</v>
      </c>
      <c r="D1497" s="354">
        <v>0</v>
      </c>
      <c r="E1497" s="354">
        <v>1</v>
      </c>
      <c r="F1497" s="354">
        <v>1</v>
      </c>
      <c r="G1497" s="354">
        <v>2</v>
      </c>
      <c r="H1497" s="354">
        <v>0</v>
      </c>
      <c r="I1497" s="354">
        <v>2</v>
      </c>
      <c r="J1497" s="354">
        <v>1</v>
      </c>
      <c r="K1497" s="354">
        <v>0</v>
      </c>
      <c r="L1497" s="354">
        <v>0</v>
      </c>
      <c r="M1497" s="355">
        <v>5</v>
      </c>
      <c r="N1497" s="355">
        <v>2</v>
      </c>
    </row>
    <row r="1498" spans="1:14" hidden="1" x14ac:dyDescent="0.25">
      <c r="A1498" s="354">
        <v>1</v>
      </c>
      <c r="B1498" s="354">
        <v>3</v>
      </c>
      <c r="C1498" s="354">
        <v>2</v>
      </c>
      <c r="D1498" s="354">
        <v>0</v>
      </c>
      <c r="E1498" s="354">
        <v>2</v>
      </c>
      <c r="F1498" s="354">
        <v>1</v>
      </c>
      <c r="G1498" s="354">
        <v>0</v>
      </c>
      <c r="H1498" s="354">
        <v>0</v>
      </c>
      <c r="I1498" s="354">
        <v>4</v>
      </c>
      <c r="J1498" s="354">
        <v>2</v>
      </c>
      <c r="K1498" s="354">
        <v>0</v>
      </c>
      <c r="L1498" s="354">
        <v>1</v>
      </c>
      <c r="M1498" s="355">
        <v>9</v>
      </c>
      <c r="N1498" s="355">
        <v>7</v>
      </c>
    </row>
    <row r="1499" spans="1:14" hidden="1" x14ac:dyDescent="0.25">
      <c r="A1499" s="354">
        <v>0</v>
      </c>
      <c r="B1499" s="354">
        <v>0</v>
      </c>
      <c r="C1499" s="354">
        <v>0</v>
      </c>
      <c r="D1499" s="354">
        <v>0</v>
      </c>
      <c r="E1499" s="354">
        <v>1</v>
      </c>
      <c r="F1499" s="354">
        <v>0</v>
      </c>
      <c r="G1499" s="354">
        <v>1</v>
      </c>
      <c r="H1499" s="354">
        <v>2</v>
      </c>
      <c r="I1499" s="354">
        <v>1</v>
      </c>
      <c r="J1499" s="354">
        <v>1</v>
      </c>
      <c r="K1499" s="354">
        <v>0</v>
      </c>
      <c r="L1499" s="354">
        <v>0</v>
      </c>
      <c r="M1499" s="355">
        <v>3</v>
      </c>
      <c r="N1499" s="355">
        <v>3</v>
      </c>
    </row>
    <row r="1500" spans="1:14" hidden="1" x14ac:dyDescent="0.25">
      <c r="A1500" s="354">
        <v>1</v>
      </c>
      <c r="B1500" s="354">
        <v>1</v>
      </c>
      <c r="C1500" s="354">
        <v>0</v>
      </c>
      <c r="D1500" s="354">
        <v>1</v>
      </c>
      <c r="E1500" s="354">
        <v>1</v>
      </c>
      <c r="F1500" s="354">
        <v>0</v>
      </c>
      <c r="G1500" s="354">
        <v>0</v>
      </c>
      <c r="H1500" s="354">
        <v>0</v>
      </c>
      <c r="I1500" s="354">
        <v>1</v>
      </c>
      <c r="J1500" s="354">
        <v>1</v>
      </c>
      <c r="K1500" s="354">
        <v>0</v>
      </c>
      <c r="L1500" s="354">
        <v>1</v>
      </c>
      <c r="M1500" s="355">
        <v>3</v>
      </c>
      <c r="N1500" s="355">
        <v>4</v>
      </c>
    </row>
    <row r="1501" spans="1:14" hidden="1" x14ac:dyDescent="0.25">
      <c r="A1501" s="354">
        <v>1</v>
      </c>
      <c r="B1501" s="354">
        <v>0</v>
      </c>
      <c r="C1501" s="354">
        <v>0</v>
      </c>
      <c r="D1501" s="354">
        <v>1</v>
      </c>
      <c r="E1501" s="354">
        <v>1</v>
      </c>
      <c r="F1501" s="354">
        <v>0</v>
      </c>
      <c r="G1501" s="354">
        <v>0</v>
      </c>
      <c r="H1501" s="354">
        <v>0</v>
      </c>
      <c r="I1501" s="354">
        <v>1</v>
      </c>
      <c r="J1501" s="354">
        <v>1</v>
      </c>
      <c r="K1501" s="354">
        <v>0</v>
      </c>
      <c r="L1501" s="354">
        <v>0</v>
      </c>
      <c r="M1501" s="355">
        <v>3</v>
      </c>
      <c r="N1501" s="355">
        <v>2</v>
      </c>
    </row>
    <row r="1502" spans="1:14" hidden="1" x14ac:dyDescent="0.25">
      <c r="A1502" s="354">
        <v>0</v>
      </c>
      <c r="B1502" s="354">
        <v>0</v>
      </c>
      <c r="C1502" s="354">
        <v>0</v>
      </c>
      <c r="D1502" s="354">
        <v>1</v>
      </c>
      <c r="E1502" s="354">
        <v>2</v>
      </c>
      <c r="F1502" s="354">
        <v>1</v>
      </c>
      <c r="G1502" s="354">
        <v>0</v>
      </c>
      <c r="H1502" s="354">
        <v>1</v>
      </c>
      <c r="I1502" s="354">
        <v>0</v>
      </c>
      <c r="J1502" s="354">
        <v>1</v>
      </c>
      <c r="K1502" s="354">
        <v>0</v>
      </c>
      <c r="L1502" s="354">
        <v>0</v>
      </c>
      <c r="M1502" s="355">
        <v>2</v>
      </c>
      <c r="N1502" s="355">
        <v>4</v>
      </c>
    </row>
    <row r="1503" spans="1:14" hidden="1" x14ac:dyDescent="0.25">
      <c r="A1503" s="354">
        <v>0</v>
      </c>
      <c r="B1503" s="354">
        <v>0</v>
      </c>
      <c r="C1503" s="354">
        <v>0</v>
      </c>
      <c r="D1503" s="354">
        <v>1</v>
      </c>
      <c r="E1503" s="354">
        <v>2</v>
      </c>
      <c r="F1503" s="354">
        <v>1</v>
      </c>
      <c r="G1503" s="354">
        <v>1</v>
      </c>
      <c r="H1503" s="354">
        <v>0</v>
      </c>
      <c r="I1503" s="354">
        <v>1</v>
      </c>
      <c r="J1503" s="354">
        <v>1</v>
      </c>
      <c r="K1503" s="354">
        <v>0</v>
      </c>
      <c r="L1503" s="354">
        <v>0</v>
      </c>
      <c r="M1503" s="355">
        <v>4</v>
      </c>
      <c r="N1503" s="355">
        <v>3</v>
      </c>
    </row>
    <row r="1504" spans="1:14" hidden="1" x14ac:dyDescent="0.25">
      <c r="A1504" s="354">
        <v>1</v>
      </c>
      <c r="B1504" s="354">
        <v>0</v>
      </c>
      <c r="C1504" s="354">
        <v>0</v>
      </c>
      <c r="D1504" s="354">
        <v>1</v>
      </c>
      <c r="E1504" s="354">
        <v>1</v>
      </c>
      <c r="F1504" s="354">
        <v>0</v>
      </c>
      <c r="G1504" s="354">
        <v>0</v>
      </c>
      <c r="H1504" s="354">
        <v>0</v>
      </c>
      <c r="I1504" s="354">
        <v>0</v>
      </c>
      <c r="J1504" s="354">
        <v>1</v>
      </c>
      <c r="K1504" s="354">
        <v>0</v>
      </c>
      <c r="L1504" s="354">
        <v>0</v>
      </c>
      <c r="M1504" s="355">
        <v>2</v>
      </c>
      <c r="N1504" s="355">
        <v>2</v>
      </c>
    </row>
    <row r="1505" spans="1:14" hidden="1" x14ac:dyDescent="0.25">
      <c r="A1505" s="354">
        <v>1</v>
      </c>
      <c r="B1505" s="354">
        <v>2</v>
      </c>
      <c r="C1505" s="354">
        <v>1</v>
      </c>
      <c r="D1505" s="354">
        <v>4</v>
      </c>
      <c r="E1505" s="354">
        <v>1</v>
      </c>
      <c r="F1505" s="354">
        <v>5</v>
      </c>
      <c r="G1505" s="354">
        <v>5</v>
      </c>
      <c r="H1505" s="354">
        <v>0</v>
      </c>
      <c r="I1505" s="354">
        <v>6</v>
      </c>
      <c r="J1505" s="354">
        <v>4</v>
      </c>
      <c r="K1505" s="354">
        <v>1</v>
      </c>
      <c r="L1505" s="354">
        <v>1</v>
      </c>
      <c r="M1505" s="355">
        <v>15</v>
      </c>
      <c r="N1505" s="355">
        <v>16</v>
      </c>
    </row>
    <row r="1506" spans="1:14" hidden="1" x14ac:dyDescent="0.25">
      <c r="A1506" s="354">
        <v>0</v>
      </c>
      <c r="B1506" s="354">
        <v>0</v>
      </c>
      <c r="C1506" s="354">
        <v>1</v>
      </c>
      <c r="D1506" s="354">
        <v>1</v>
      </c>
      <c r="E1506" s="354">
        <v>1</v>
      </c>
      <c r="F1506" s="354">
        <v>1</v>
      </c>
      <c r="G1506" s="354">
        <v>2</v>
      </c>
      <c r="H1506" s="354">
        <v>0</v>
      </c>
      <c r="I1506" s="354">
        <v>0</v>
      </c>
      <c r="J1506" s="354">
        <v>1</v>
      </c>
      <c r="K1506" s="354">
        <v>0</v>
      </c>
      <c r="L1506" s="354">
        <v>0</v>
      </c>
      <c r="M1506" s="355">
        <v>4</v>
      </c>
      <c r="N1506" s="355">
        <v>3</v>
      </c>
    </row>
    <row r="1507" spans="1:14" hidden="1" x14ac:dyDescent="0.25">
      <c r="A1507" s="354">
        <v>2</v>
      </c>
      <c r="B1507" s="354">
        <v>0</v>
      </c>
      <c r="C1507" s="354">
        <v>0</v>
      </c>
      <c r="D1507" s="354">
        <v>0</v>
      </c>
      <c r="E1507" s="354">
        <v>0</v>
      </c>
      <c r="F1507" s="354">
        <v>0</v>
      </c>
      <c r="G1507" s="354">
        <v>0</v>
      </c>
      <c r="H1507" s="354">
        <v>0</v>
      </c>
      <c r="I1507" s="354">
        <v>1</v>
      </c>
      <c r="J1507" s="354">
        <v>1</v>
      </c>
      <c r="K1507" s="354">
        <v>0</v>
      </c>
      <c r="L1507" s="354">
        <v>0</v>
      </c>
      <c r="M1507" s="355">
        <v>3</v>
      </c>
      <c r="N1507" s="355">
        <v>1</v>
      </c>
    </row>
    <row r="1508" spans="1:14" hidden="1" x14ac:dyDescent="0.25">
      <c r="A1508" s="354">
        <v>0</v>
      </c>
      <c r="B1508" s="354">
        <v>0</v>
      </c>
      <c r="C1508" s="354">
        <v>0</v>
      </c>
      <c r="D1508" s="354">
        <v>1</v>
      </c>
      <c r="E1508" s="354">
        <v>1</v>
      </c>
      <c r="F1508" s="354">
        <v>1</v>
      </c>
      <c r="G1508" s="354">
        <v>1</v>
      </c>
      <c r="H1508" s="354">
        <v>1</v>
      </c>
      <c r="I1508" s="354">
        <v>1</v>
      </c>
      <c r="J1508" s="354">
        <v>2</v>
      </c>
      <c r="K1508" s="354">
        <v>0</v>
      </c>
      <c r="L1508" s="354">
        <v>0</v>
      </c>
      <c r="M1508" s="355">
        <v>3</v>
      </c>
      <c r="N1508" s="355">
        <v>5</v>
      </c>
    </row>
    <row r="1509" spans="1:14" hidden="1" x14ac:dyDescent="0.25">
      <c r="A1509" s="354">
        <v>1</v>
      </c>
      <c r="B1509" s="354">
        <v>0</v>
      </c>
      <c r="C1509" s="354">
        <v>1</v>
      </c>
      <c r="D1509" s="354">
        <v>2</v>
      </c>
      <c r="E1509" s="354">
        <v>1</v>
      </c>
      <c r="F1509" s="354">
        <v>3</v>
      </c>
      <c r="G1509" s="354">
        <v>0</v>
      </c>
      <c r="H1509" s="354">
        <v>1</v>
      </c>
      <c r="I1509" s="354">
        <v>1</v>
      </c>
      <c r="J1509" s="354">
        <v>1</v>
      </c>
      <c r="K1509" s="354">
        <v>0</v>
      </c>
      <c r="L1509" s="354">
        <v>0</v>
      </c>
      <c r="M1509" s="355">
        <v>4</v>
      </c>
      <c r="N1509" s="355">
        <v>7</v>
      </c>
    </row>
    <row r="1510" spans="1:14" hidden="1" x14ac:dyDescent="0.25">
      <c r="A1510" s="354">
        <v>0</v>
      </c>
      <c r="B1510" s="354">
        <v>0</v>
      </c>
      <c r="C1510" s="354">
        <v>0</v>
      </c>
      <c r="D1510" s="354">
        <v>0</v>
      </c>
      <c r="E1510" s="354">
        <v>3</v>
      </c>
      <c r="F1510" s="354">
        <v>9</v>
      </c>
      <c r="G1510" s="354">
        <v>6</v>
      </c>
      <c r="H1510" s="354">
        <v>2</v>
      </c>
      <c r="I1510" s="354">
        <v>1</v>
      </c>
      <c r="J1510" s="354">
        <v>3</v>
      </c>
      <c r="K1510" s="354">
        <v>0</v>
      </c>
      <c r="L1510" s="354">
        <v>0</v>
      </c>
      <c r="M1510" s="355">
        <v>10</v>
      </c>
      <c r="N1510" s="355">
        <v>14</v>
      </c>
    </row>
    <row r="1511" spans="1:14" hidden="1" x14ac:dyDescent="0.25">
      <c r="A1511" s="354">
        <v>0</v>
      </c>
      <c r="B1511" s="354">
        <v>0</v>
      </c>
      <c r="C1511" s="354">
        <v>1</v>
      </c>
      <c r="D1511" s="354">
        <v>1</v>
      </c>
      <c r="E1511" s="354">
        <v>1</v>
      </c>
      <c r="F1511" s="354">
        <v>0</v>
      </c>
      <c r="G1511" s="354">
        <v>2</v>
      </c>
      <c r="H1511" s="354">
        <v>0</v>
      </c>
      <c r="I1511" s="354">
        <v>0</v>
      </c>
      <c r="J1511" s="354">
        <v>0</v>
      </c>
      <c r="K1511" s="354">
        <v>0</v>
      </c>
      <c r="L1511" s="354">
        <v>0</v>
      </c>
      <c r="M1511" s="355">
        <v>4</v>
      </c>
      <c r="N1511" s="355">
        <v>1</v>
      </c>
    </row>
    <row r="1512" spans="1:14" hidden="1" x14ac:dyDescent="0.25">
      <c r="A1512" s="354">
        <v>0</v>
      </c>
      <c r="B1512" s="354">
        <v>0</v>
      </c>
      <c r="C1512" s="354">
        <v>0</v>
      </c>
      <c r="D1512" s="354">
        <v>0</v>
      </c>
      <c r="E1512" s="354">
        <v>3</v>
      </c>
      <c r="F1512" s="354">
        <v>2</v>
      </c>
      <c r="G1512" s="354">
        <v>1</v>
      </c>
      <c r="H1512" s="354">
        <v>2</v>
      </c>
      <c r="I1512" s="354">
        <v>1</v>
      </c>
      <c r="J1512" s="354">
        <v>1</v>
      </c>
      <c r="K1512" s="354">
        <v>0</v>
      </c>
      <c r="L1512" s="354">
        <v>0</v>
      </c>
      <c r="M1512" s="355">
        <v>5</v>
      </c>
      <c r="N1512" s="355">
        <v>5</v>
      </c>
    </row>
    <row r="1513" spans="1:14" hidden="1" x14ac:dyDescent="0.25">
      <c r="A1513" s="354">
        <v>0</v>
      </c>
      <c r="B1513" s="354">
        <v>0</v>
      </c>
      <c r="C1513" s="354">
        <v>1</v>
      </c>
      <c r="D1513" s="354">
        <v>0</v>
      </c>
      <c r="E1513" s="354">
        <v>1</v>
      </c>
      <c r="F1513" s="354">
        <v>1</v>
      </c>
      <c r="G1513" s="354">
        <v>0</v>
      </c>
      <c r="H1513" s="354">
        <v>1</v>
      </c>
      <c r="I1513" s="354">
        <v>1</v>
      </c>
      <c r="J1513" s="354">
        <v>1</v>
      </c>
      <c r="K1513" s="354">
        <v>0</v>
      </c>
      <c r="L1513" s="354">
        <v>0</v>
      </c>
      <c r="M1513" s="355">
        <v>3</v>
      </c>
      <c r="N1513" s="355">
        <v>3</v>
      </c>
    </row>
    <row r="1514" spans="1:14" hidden="1" x14ac:dyDescent="0.25">
      <c r="A1514" s="354">
        <v>0</v>
      </c>
      <c r="B1514" s="354">
        <v>1</v>
      </c>
      <c r="C1514" s="354">
        <v>0</v>
      </c>
      <c r="D1514" s="354">
        <v>1</v>
      </c>
      <c r="E1514" s="354">
        <v>2</v>
      </c>
      <c r="F1514" s="354">
        <v>0</v>
      </c>
      <c r="G1514" s="354">
        <v>0</v>
      </c>
      <c r="H1514" s="354">
        <v>0</v>
      </c>
      <c r="I1514" s="354">
        <v>1</v>
      </c>
      <c r="J1514" s="354">
        <v>1</v>
      </c>
      <c r="K1514" s="354">
        <v>0</v>
      </c>
      <c r="L1514" s="354">
        <v>0</v>
      </c>
      <c r="M1514" s="355">
        <v>3</v>
      </c>
      <c r="N1514" s="355">
        <v>3</v>
      </c>
    </row>
    <row r="1515" spans="1:14" hidden="1" x14ac:dyDescent="0.25">
      <c r="A1515" s="354">
        <v>0</v>
      </c>
      <c r="B1515" s="354">
        <v>0</v>
      </c>
      <c r="C1515" s="354">
        <v>1</v>
      </c>
      <c r="D1515" s="354">
        <v>1</v>
      </c>
      <c r="E1515" s="354">
        <v>1</v>
      </c>
      <c r="F1515" s="354">
        <v>2</v>
      </c>
      <c r="G1515" s="354">
        <v>0</v>
      </c>
      <c r="H1515" s="354">
        <v>2</v>
      </c>
      <c r="I1515" s="354">
        <v>1</v>
      </c>
      <c r="J1515" s="354">
        <v>1</v>
      </c>
      <c r="K1515" s="354">
        <v>0</v>
      </c>
      <c r="L1515" s="354">
        <v>0</v>
      </c>
      <c r="M1515" s="355">
        <v>3</v>
      </c>
      <c r="N1515" s="355">
        <v>6</v>
      </c>
    </row>
    <row r="1516" spans="1:14" hidden="1" x14ac:dyDescent="0.25">
      <c r="A1516" s="354">
        <v>0</v>
      </c>
      <c r="B1516" s="354">
        <v>0</v>
      </c>
      <c r="C1516" s="354">
        <v>1</v>
      </c>
      <c r="D1516" s="354">
        <v>0</v>
      </c>
      <c r="E1516" s="354">
        <v>0</v>
      </c>
      <c r="F1516" s="354">
        <v>1</v>
      </c>
      <c r="G1516" s="354">
        <v>0</v>
      </c>
      <c r="H1516" s="354">
        <v>1</v>
      </c>
      <c r="I1516" s="354">
        <v>1</v>
      </c>
      <c r="J1516" s="354">
        <v>1</v>
      </c>
      <c r="K1516" s="354">
        <v>0</v>
      </c>
      <c r="L1516" s="354">
        <v>0</v>
      </c>
      <c r="M1516" s="355">
        <v>2</v>
      </c>
      <c r="N1516" s="355">
        <v>3</v>
      </c>
    </row>
    <row r="1517" spans="1:14" hidden="1" x14ac:dyDescent="0.25">
      <c r="A1517" s="354">
        <v>0</v>
      </c>
      <c r="B1517" s="354">
        <v>0</v>
      </c>
      <c r="C1517" s="354">
        <v>1</v>
      </c>
      <c r="D1517" s="354">
        <v>1</v>
      </c>
      <c r="E1517" s="354">
        <v>0</v>
      </c>
      <c r="F1517" s="354">
        <v>0</v>
      </c>
      <c r="G1517" s="354">
        <v>1</v>
      </c>
      <c r="H1517" s="354">
        <v>1</v>
      </c>
      <c r="I1517" s="354">
        <v>1</v>
      </c>
      <c r="J1517" s="354">
        <v>1</v>
      </c>
      <c r="K1517" s="354">
        <v>0</v>
      </c>
      <c r="L1517" s="354">
        <v>0</v>
      </c>
      <c r="M1517" s="355">
        <v>3</v>
      </c>
      <c r="N1517" s="355">
        <v>3</v>
      </c>
    </row>
    <row r="1518" spans="1:14" hidden="1" x14ac:dyDescent="0.25">
      <c r="A1518" s="354">
        <v>0</v>
      </c>
      <c r="B1518" s="354">
        <v>1</v>
      </c>
      <c r="C1518" s="354">
        <v>1</v>
      </c>
      <c r="D1518" s="354">
        <v>2</v>
      </c>
      <c r="E1518" s="354">
        <v>3</v>
      </c>
      <c r="F1518" s="354">
        <v>0</v>
      </c>
      <c r="G1518" s="354">
        <v>0</v>
      </c>
      <c r="H1518" s="354">
        <v>0</v>
      </c>
      <c r="I1518" s="354">
        <v>1</v>
      </c>
      <c r="J1518" s="354">
        <v>1</v>
      </c>
      <c r="K1518" s="354">
        <v>0</v>
      </c>
      <c r="L1518" s="354">
        <v>0</v>
      </c>
      <c r="M1518" s="355">
        <v>5</v>
      </c>
      <c r="N1518" s="355">
        <v>4</v>
      </c>
    </row>
    <row r="1519" spans="1:14" hidden="1" x14ac:dyDescent="0.25">
      <c r="A1519" s="354">
        <v>0</v>
      </c>
      <c r="B1519" s="354">
        <v>1</v>
      </c>
      <c r="C1519" s="354">
        <v>0</v>
      </c>
      <c r="D1519" s="354">
        <v>0</v>
      </c>
      <c r="E1519" s="354">
        <v>4</v>
      </c>
      <c r="F1519" s="354">
        <v>3</v>
      </c>
      <c r="G1519" s="354">
        <v>0</v>
      </c>
      <c r="H1519" s="354">
        <v>0</v>
      </c>
      <c r="I1519" s="354"/>
      <c r="J1519" s="354">
        <v>1</v>
      </c>
      <c r="K1519" s="354">
        <v>0</v>
      </c>
      <c r="L1519" s="354">
        <v>0</v>
      </c>
      <c r="M1519" s="355">
        <v>4</v>
      </c>
      <c r="N1519" s="355">
        <v>5</v>
      </c>
    </row>
    <row r="1520" spans="1:14" hidden="1" x14ac:dyDescent="0.25">
      <c r="A1520" s="354">
        <v>0</v>
      </c>
      <c r="B1520" s="354">
        <v>1</v>
      </c>
      <c r="C1520" s="354">
        <v>1</v>
      </c>
      <c r="D1520" s="354">
        <v>0</v>
      </c>
      <c r="E1520" s="354">
        <v>1</v>
      </c>
      <c r="F1520" s="354">
        <v>0</v>
      </c>
      <c r="G1520" s="354">
        <v>0</v>
      </c>
      <c r="H1520" s="354">
        <v>0</v>
      </c>
      <c r="I1520" s="354">
        <v>1</v>
      </c>
      <c r="J1520" s="354">
        <v>1</v>
      </c>
      <c r="K1520" s="354">
        <v>0</v>
      </c>
      <c r="L1520" s="354">
        <v>0</v>
      </c>
      <c r="M1520" s="355">
        <v>3</v>
      </c>
      <c r="N1520" s="355">
        <v>2</v>
      </c>
    </row>
    <row r="1521" spans="1:14" hidden="1" x14ac:dyDescent="0.25">
      <c r="A1521" s="354">
        <v>1</v>
      </c>
      <c r="B1521" s="354">
        <v>0</v>
      </c>
      <c r="C1521" s="354">
        <v>0</v>
      </c>
      <c r="D1521" s="354">
        <v>0</v>
      </c>
      <c r="E1521" s="354">
        <v>2</v>
      </c>
      <c r="F1521" s="354">
        <v>1</v>
      </c>
      <c r="G1521" s="354">
        <v>4</v>
      </c>
      <c r="H1521" s="354">
        <v>0</v>
      </c>
      <c r="I1521" s="354">
        <v>0</v>
      </c>
      <c r="J1521" s="354">
        <v>1</v>
      </c>
      <c r="K1521" s="354">
        <v>1</v>
      </c>
      <c r="L1521" s="354">
        <v>0</v>
      </c>
      <c r="M1521" s="355">
        <v>8</v>
      </c>
      <c r="N1521" s="355">
        <v>2</v>
      </c>
    </row>
    <row r="1522" spans="1:14" hidden="1" x14ac:dyDescent="0.25">
      <c r="A1522" s="354">
        <v>1</v>
      </c>
      <c r="B1522" s="354">
        <v>0</v>
      </c>
      <c r="C1522" s="354">
        <v>1</v>
      </c>
      <c r="D1522" s="354">
        <v>2</v>
      </c>
      <c r="E1522" s="354">
        <v>0</v>
      </c>
      <c r="F1522" s="354">
        <v>1</v>
      </c>
      <c r="G1522" s="354">
        <v>2</v>
      </c>
      <c r="H1522" s="354">
        <v>0</v>
      </c>
      <c r="I1522" s="354">
        <v>1</v>
      </c>
      <c r="J1522" s="354">
        <v>0</v>
      </c>
      <c r="K1522" s="354">
        <v>0</v>
      </c>
      <c r="L1522" s="354">
        <v>0</v>
      </c>
      <c r="M1522" s="355">
        <v>5</v>
      </c>
      <c r="N1522" s="355">
        <v>3</v>
      </c>
    </row>
    <row r="1523" spans="1:14" hidden="1" x14ac:dyDescent="0.25">
      <c r="A1523" s="354">
        <v>1</v>
      </c>
      <c r="B1523" s="354">
        <v>0</v>
      </c>
      <c r="C1523" s="354">
        <v>1</v>
      </c>
      <c r="D1523" s="354">
        <v>0</v>
      </c>
      <c r="E1523" s="354">
        <v>1</v>
      </c>
      <c r="F1523" s="354">
        <v>0</v>
      </c>
      <c r="G1523" s="354">
        <v>0</v>
      </c>
      <c r="H1523" s="354">
        <v>0</v>
      </c>
      <c r="I1523" s="354">
        <v>1</v>
      </c>
      <c r="J1523" s="354">
        <v>1</v>
      </c>
      <c r="K1523" s="354">
        <v>0</v>
      </c>
      <c r="L1523" s="354">
        <v>0</v>
      </c>
      <c r="M1523" s="355">
        <v>4</v>
      </c>
      <c r="N1523" s="355">
        <v>1</v>
      </c>
    </row>
    <row r="1524" spans="1:14" hidden="1" x14ac:dyDescent="0.25">
      <c r="A1524" s="354">
        <v>1</v>
      </c>
      <c r="B1524" s="354">
        <v>0</v>
      </c>
      <c r="C1524" s="354">
        <v>0</v>
      </c>
      <c r="D1524" s="354">
        <v>1</v>
      </c>
      <c r="E1524" s="354">
        <v>1</v>
      </c>
      <c r="F1524" s="354">
        <v>0</v>
      </c>
      <c r="G1524" s="354">
        <v>1</v>
      </c>
      <c r="H1524" s="354">
        <v>0</v>
      </c>
      <c r="I1524" s="354">
        <v>1</v>
      </c>
      <c r="J1524" s="354">
        <v>1</v>
      </c>
      <c r="K1524" s="354">
        <v>0</v>
      </c>
      <c r="L1524" s="354">
        <v>0</v>
      </c>
      <c r="M1524" s="355">
        <v>4</v>
      </c>
      <c r="N1524" s="355">
        <v>2</v>
      </c>
    </row>
    <row r="1525" spans="1:14" hidden="1" x14ac:dyDescent="0.25">
      <c r="A1525" s="354">
        <v>0</v>
      </c>
      <c r="B1525" s="354">
        <v>0</v>
      </c>
      <c r="C1525" s="354">
        <v>0</v>
      </c>
      <c r="D1525" s="354">
        <v>1</v>
      </c>
      <c r="E1525" s="354">
        <v>2</v>
      </c>
      <c r="F1525" s="354">
        <v>0</v>
      </c>
      <c r="G1525" s="354">
        <v>0</v>
      </c>
      <c r="H1525" s="354">
        <v>1</v>
      </c>
      <c r="I1525" s="354"/>
      <c r="J1525" s="354">
        <v>1</v>
      </c>
      <c r="K1525" s="354">
        <v>0</v>
      </c>
      <c r="L1525" s="354">
        <v>0</v>
      </c>
      <c r="M1525" s="355">
        <v>2</v>
      </c>
      <c r="N1525" s="355">
        <v>3</v>
      </c>
    </row>
    <row r="1526" spans="1:14" hidden="1" x14ac:dyDescent="0.25">
      <c r="A1526" s="354">
        <v>1</v>
      </c>
      <c r="B1526" s="354">
        <v>1</v>
      </c>
      <c r="C1526" s="354">
        <v>0</v>
      </c>
      <c r="D1526" s="354">
        <v>1</v>
      </c>
      <c r="E1526" s="354">
        <v>0</v>
      </c>
      <c r="F1526" s="354">
        <v>0</v>
      </c>
      <c r="G1526" s="354">
        <v>0</v>
      </c>
      <c r="H1526" s="354">
        <v>1</v>
      </c>
      <c r="I1526" s="354">
        <v>0</v>
      </c>
      <c r="J1526" s="354">
        <v>1</v>
      </c>
      <c r="K1526" s="354">
        <v>0</v>
      </c>
      <c r="L1526" s="354">
        <v>0</v>
      </c>
      <c r="M1526" s="355">
        <v>1</v>
      </c>
      <c r="N1526" s="355">
        <v>4</v>
      </c>
    </row>
    <row r="1527" spans="1:14" hidden="1" x14ac:dyDescent="0.25">
      <c r="A1527" s="354">
        <v>0</v>
      </c>
      <c r="B1527" s="354">
        <v>0</v>
      </c>
      <c r="C1527" s="354">
        <v>0</v>
      </c>
      <c r="D1527" s="354">
        <v>1</v>
      </c>
      <c r="E1527" s="354">
        <v>0</v>
      </c>
      <c r="F1527" s="354">
        <v>2</v>
      </c>
      <c r="G1527" s="354">
        <v>0</v>
      </c>
      <c r="H1527" s="354">
        <v>1</v>
      </c>
      <c r="I1527" s="354">
        <v>1</v>
      </c>
      <c r="J1527" s="354">
        <v>1</v>
      </c>
      <c r="K1527" s="354">
        <v>0</v>
      </c>
      <c r="L1527" s="354">
        <v>0</v>
      </c>
      <c r="M1527" s="355">
        <v>1</v>
      </c>
      <c r="N1527" s="355">
        <v>5</v>
      </c>
    </row>
    <row r="1528" spans="1:14" hidden="1" x14ac:dyDescent="0.25">
      <c r="A1528" s="354">
        <v>1</v>
      </c>
      <c r="B1528" s="354">
        <v>2</v>
      </c>
      <c r="C1528" s="354">
        <v>1</v>
      </c>
      <c r="D1528" s="354">
        <v>1</v>
      </c>
      <c r="E1528" s="354">
        <v>0</v>
      </c>
      <c r="F1528" s="354">
        <v>0</v>
      </c>
      <c r="G1528" s="354">
        <v>0</v>
      </c>
      <c r="H1528" s="354">
        <v>0</v>
      </c>
      <c r="I1528" s="354">
        <v>0</v>
      </c>
      <c r="J1528" s="354">
        <v>1</v>
      </c>
      <c r="K1528" s="354">
        <v>0</v>
      </c>
      <c r="L1528" s="354">
        <v>0</v>
      </c>
      <c r="M1528" s="355">
        <v>2</v>
      </c>
      <c r="N1528" s="355">
        <v>4</v>
      </c>
    </row>
    <row r="1529" spans="1:14" hidden="1" x14ac:dyDescent="0.25">
      <c r="A1529" s="354">
        <v>1</v>
      </c>
      <c r="B1529" s="354">
        <v>0</v>
      </c>
      <c r="C1529" s="354">
        <v>0</v>
      </c>
      <c r="D1529" s="354">
        <v>0</v>
      </c>
      <c r="E1529" s="354">
        <v>0</v>
      </c>
      <c r="F1529" s="354">
        <v>2</v>
      </c>
      <c r="G1529" s="354">
        <v>0</v>
      </c>
      <c r="H1529" s="354">
        <v>0</v>
      </c>
      <c r="I1529" s="354">
        <v>0</v>
      </c>
      <c r="J1529" s="354">
        <v>1</v>
      </c>
      <c r="K1529" s="354">
        <v>1</v>
      </c>
      <c r="L1529" s="354">
        <v>0</v>
      </c>
      <c r="M1529" s="355">
        <v>2</v>
      </c>
      <c r="N1529" s="355">
        <v>3</v>
      </c>
    </row>
    <row r="1530" spans="1:14" hidden="1" x14ac:dyDescent="0.25">
      <c r="A1530" s="354">
        <v>0</v>
      </c>
      <c r="B1530" s="354">
        <v>0</v>
      </c>
      <c r="C1530" s="354">
        <v>0</v>
      </c>
      <c r="D1530" s="354">
        <v>1</v>
      </c>
      <c r="E1530" s="354">
        <v>1</v>
      </c>
      <c r="F1530" s="354">
        <v>2</v>
      </c>
      <c r="G1530" s="354">
        <v>1</v>
      </c>
      <c r="H1530" s="354">
        <v>1</v>
      </c>
      <c r="I1530" s="354">
        <v>2</v>
      </c>
      <c r="J1530" s="354">
        <v>1</v>
      </c>
      <c r="K1530" s="354">
        <v>0</v>
      </c>
      <c r="L1530" s="354">
        <v>0</v>
      </c>
      <c r="M1530" s="355">
        <v>4</v>
      </c>
      <c r="N1530" s="355">
        <v>5</v>
      </c>
    </row>
    <row r="1531" spans="1:14" hidden="1" x14ac:dyDescent="0.25">
      <c r="A1531" s="354">
        <v>0</v>
      </c>
      <c r="B1531" s="354">
        <v>1</v>
      </c>
      <c r="C1531" s="354">
        <v>0</v>
      </c>
      <c r="D1531" s="354">
        <v>1</v>
      </c>
      <c r="E1531" s="354">
        <v>1</v>
      </c>
      <c r="F1531" s="354">
        <v>1</v>
      </c>
      <c r="G1531" s="354">
        <v>0</v>
      </c>
      <c r="H1531" s="354">
        <v>0</v>
      </c>
      <c r="I1531" s="354">
        <v>1</v>
      </c>
      <c r="J1531" s="354">
        <v>1</v>
      </c>
      <c r="K1531" s="354">
        <v>0</v>
      </c>
      <c r="L1531" s="354">
        <v>0</v>
      </c>
      <c r="M1531" s="355">
        <v>2</v>
      </c>
      <c r="N1531" s="355">
        <v>4</v>
      </c>
    </row>
    <row r="1532" spans="1:14" hidden="1" x14ac:dyDescent="0.25">
      <c r="A1532" s="354">
        <v>0</v>
      </c>
      <c r="B1532" s="354">
        <v>0</v>
      </c>
      <c r="C1532" s="354">
        <v>0</v>
      </c>
      <c r="D1532" s="354">
        <v>0</v>
      </c>
      <c r="E1532" s="354">
        <v>2</v>
      </c>
      <c r="F1532" s="354">
        <v>0</v>
      </c>
      <c r="G1532" s="354">
        <v>1</v>
      </c>
      <c r="H1532" s="354">
        <v>2</v>
      </c>
      <c r="I1532" s="354">
        <v>1</v>
      </c>
      <c r="J1532" s="354">
        <v>1</v>
      </c>
      <c r="K1532" s="354">
        <v>0</v>
      </c>
      <c r="L1532" s="354">
        <v>0</v>
      </c>
      <c r="M1532" s="355">
        <v>4</v>
      </c>
      <c r="N1532" s="355">
        <v>3</v>
      </c>
    </row>
    <row r="1533" spans="1:14" hidden="1" x14ac:dyDescent="0.25">
      <c r="A1533" s="354">
        <v>0</v>
      </c>
      <c r="B1533" s="354">
        <v>0</v>
      </c>
      <c r="C1533" s="354">
        <v>1</v>
      </c>
      <c r="D1533" s="354">
        <v>1</v>
      </c>
      <c r="E1533" s="354">
        <v>3</v>
      </c>
      <c r="F1533" s="354">
        <v>1</v>
      </c>
      <c r="G1533" s="354">
        <v>0</v>
      </c>
      <c r="H1533" s="354">
        <v>0</v>
      </c>
      <c r="I1533" s="354">
        <v>1</v>
      </c>
      <c r="J1533" s="354">
        <v>1</v>
      </c>
      <c r="K1533" s="354">
        <v>0</v>
      </c>
      <c r="L1533" s="354">
        <v>0</v>
      </c>
      <c r="M1533" s="355">
        <v>5</v>
      </c>
      <c r="N1533" s="355">
        <v>3</v>
      </c>
    </row>
    <row r="1534" spans="1:14" hidden="1" x14ac:dyDescent="0.25">
      <c r="A1534" s="354">
        <v>0</v>
      </c>
      <c r="B1534" s="354">
        <v>0</v>
      </c>
      <c r="C1534" s="354">
        <v>2</v>
      </c>
      <c r="D1534" s="354">
        <v>0</v>
      </c>
      <c r="E1534" s="354">
        <v>1</v>
      </c>
      <c r="F1534" s="354">
        <v>1</v>
      </c>
      <c r="G1534" s="354">
        <v>0</v>
      </c>
      <c r="H1534" s="354">
        <v>0</v>
      </c>
      <c r="I1534" s="354">
        <v>1</v>
      </c>
      <c r="J1534" s="354">
        <v>1</v>
      </c>
      <c r="K1534" s="354">
        <v>0</v>
      </c>
      <c r="L1534" s="354">
        <v>0</v>
      </c>
      <c r="M1534" s="355">
        <v>4</v>
      </c>
      <c r="N1534" s="355">
        <v>2</v>
      </c>
    </row>
    <row r="1535" spans="1:14" hidden="1" x14ac:dyDescent="0.25">
      <c r="A1535" s="354">
        <v>1</v>
      </c>
      <c r="B1535" s="354">
        <v>1</v>
      </c>
      <c r="C1535" s="354">
        <v>1</v>
      </c>
      <c r="D1535" s="354">
        <v>0</v>
      </c>
      <c r="E1535" s="354">
        <v>1</v>
      </c>
      <c r="F1535" s="354">
        <v>1</v>
      </c>
      <c r="G1535" s="354">
        <v>0</v>
      </c>
      <c r="H1535" s="354">
        <v>1</v>
      </c>
      <c r="I1535" s="354">
        <v>1</v>
      </c>
      <c r="J1535" s="354">
        <v>2</v>
      </c>
      <c r="K1535" s="354">
        <v>0</v>
      </c>
      <c r="L1535" s="354">
        <v>0</v>
      </c>
      <c r="M1535" s="355">
        <v>4</v>
      </c>
      <c r="N1535" s="355">
        <v>5</v>
      </c>
    </row>
    <row r="1536" spans="1:14" hidden="1" x14ac:dyDescent="0.25">
      <c r="A1536" s="354">
        <v>0</v>
      </c>
      <c r="B1536" s="354">
        <v>0</v>
      </c>
      <c r="C1536" s="354">
        <v>1</v>
      </c>
      <c r="D1536" s="354">
        <v>1</v>
      </c>
      <c r="E1536" s="354">
        <v>0</v>
      </c>
      <c r="F1536" s="354">
        <v>1</v>
      </c>
      <c r="G1536" s="354">
        <v>0</v>
      </c>
      <c r="H1536" s="354">
        <v>1</v>
      </c>
      <c r="I1536" s="354">
        <v>1</v>
      </c>
      <c r="J1536" s="354">
        <v>1</v>
      </c>
      <c r="K1536" s="354">
        <v>0</v>
      </c>
      <c r="L1536" s="354">
        <v>0</v>
      </c>
      <c r="M1536" s="355">
        <v>2</v>
      </c>
      <c r="N1536" s="355">
        <v>4</v>
      </c>
    </row>
    <row r="1537" spans="1:14" hidden="1" x14ac:dyDescent="0.25">
      <c r="A1537" s="354">
        <v>1</v>
      </c>
      <c r="B1537" s="354">
        <v>0</v>
      </c>
      <c r="C1537" s="354">
        <v>1</v>
      </c>
      <c r="D1537" s="354">
        <v>1</v>
      </c>
      <c r="E1537" s="354">
        <v>1</v>
      </c>
      <c r="F1537" s="354">
        <v>0</v>
      </c>
      <c r="G1537" s="354">
        <v>1</v>
      </c>
      <c r="H1537" s="354">
        <v>1</v>
      </c>
      <c r="I1537" s="354">
        <v>1</v>
      </c>
      <c r="J1537" s="354">
        <v>1</v>
      </c>
      <c r="K1537" s="354">
        <v>0</v>
      </c>
      <c r="L1537" s="354">
        <v>0</v>
      </c>
      <c r="M1537" s="355">
        <v>5</v>
      </c>
      <c r="N1537" s="355">
        <v>3</v>
      </c>
    </row>
    <row r="1538" spans="1:14" hidden="1" x14ac:dyDescent="0.25">
      <c r="A1538" s="354">
        <v>0</v>
      </c>
      <c r="B1538" s="354">
        <v>0</v>
      </c>
      <c r="C1538" s="354">
        <v>0</v>
      </c>
      <c r="D1538" s="354">
        <v>1</v>
      </c>
      <c r="E1538" s="354">
        <v>3</v>
      </c>
      <c r="F1538" s="354">
        <v>3</v>
      </c>
      <c r="G1538" s="354">
        <v>1</v>
      </c>
      <c r="H1538" s="354">
        <v>0</v>
      </c>
      <c r="I1538" s="354"/>
      <c r="J1538" s="354">
        <v>1</v>
      </c>
      <c r="K1538" s="354">
        <v>0</v>
      </c>
      <c r="L1538" s="354">
        <v>0</v>
      </c>
      <c r="M1538" s="355">
        <v>4</v>
      </c>
      <c r="N1538" s="355">
        <v>5</v>
      </c>
    </row>
    <row r="1539" spans="1:14" hidden="1" x14ac:dyDescent="0.25">
      <c r="A1539" s="354">
        <v>0</v>
      </c>
      <c r="B1539" s="354">
        <v>0</v>
      </c>
      <c r="C1539" s="354">
        <v>1</v>
      </c>
      <c r="D1539" s="354">
        <v>2</v>
      </c>
      <c r="E1539" s="354">
        <v>3</v>
      </c>
      <c r="F1539" s="354">
        <v>0</v>
      </c>
      <c r="G1539" s="354">
        <v>1</v>
      </c>
      <c r="H1539" s="354">
        <v>0</v>
      </c>
      <c r="I1539" s="354">
        <v>1</v>
      </c>
      <c r="J1539" s="354">
        <v>2</v>
      </c>
      <c r="K1539" s="354">
        <v>0</v>
      </c>
      <c r="L1539" s="354">
        <v>0</v>
      </c>
      <c r="M1539" s="355">
        <v>6</v>
      </c>
      <c r="N1539" s="355">
        <v>4</v>
      </c>
    </row>
    <row r="1540" spans="1:14" hidden="1" x14ac:dyDescent="0.25">
      <c r="A1540" s="354">
        <v>0</v>
      </c>
      <c r="B1540" s="354">
        <v>2</v>
      </c>
      <c r="C1540" s="354">
        <v>0</v>
      </c>
      <c r="D1540" s="354">
        <v>0</v>
      </c>
      <c r="E1540" s="354">
        <v>0</v>
      </c>
      <c r="F1540" s="354">
        <v>0</v>
      </c>
      <c r="G1540" s="354">
        <v>0</v>
      </c>
      <c r="H1540" s="354">
        <v>0</v>
      </c>
      <c r="I1540" s="354">
        <v>1</v>
      </c>
      <c r="J1540" s="354">
        <v>1</v>
      </c>
      <c r="K1540" s="354">
        <v>0</v>
      </c>
      <c r="L1540" s="354">
        <v>0</v>
      </c>
      <c r="M1540" s="355">
        <v>1</v>
      </c>
      <c r="N1540" s="355">
        <v>3</v>
      </c>
    </row>
    <row r="1541" spans="1:14" hidden="1" x14ac:dyDescent="0.25">
      <c r="A1541" s="354">
        <v>0</v>
      </c>
      <c r="B1541" s="354">
        <v>0</v>
      </c>
      <c r="C1541" s="354">
        <v>1</v>
      </c>
      <c r="D1541" s="354">
        <v>1</v>
      </c>
      <c r="E1541" s="354">
        <v>1</v>
      </c>
      <c r="F1541" s="354">
        <v>2</v>
      </c>
      <c r="G1541" s="354">
        <v>0</v>
      </c>
      <c r="H1541" s="354">
        <v>0</v>
      </c>
      <c r="I1541" s="354">
        <v>1</v>
      </c>
      <c r="J1541" s="354">
        <v>1</v>
      </c>
      <c r="K1541" s="354">
        <v>1</v>
      </c>
      <c r="L1541" s="354">
        <v>0</v>
      </c>
      <c r="M1541" s="355">
        <v>4</v>
      </c>
      <c r="N1541" s="355">
        <v>4</v>
      </c>
    </row>
    <row r="1542" spans="1:14" hidden="1" x14ac:dyDescent="0.25">
      <c r="A1542" s="354">
        <v>0</v>
      </c>
      <c r="B1542" s="354">
        <v>0</v>
      </c>
      <c r="C1542" s="354">
        <v>0</v>
      </c>
      <c r="D1542" s="354">
        <v>0</v>
      </c>
      <c r="E1542" s="354">
        <v>2</v>
      </c>
      <c r="F1542" s="354">
        <v>0</v>
      </c>
      <c r="G1542" s="354">
        <v>0</v>
      </c>
      <c r="H1542" s="354">
        <v>2</v>
      </c>
      <c r="I1542" s="354">
        <v>1</v>
      </c>
      <c r="J1542" s="354">
        <v>1</v>
      </c>
      <c r="K1542" s="354">
        <v>1</v>
      </c>
      <c r="L1542" s="354">
        <v>0</v>
      </c>
      <c r="M1542" s="355">
        <v>4</v>
      </c>
      <c r="N1542" s="355">
        <v>3</v>
      </c>
    </row>
    <row r="1543" spans="1:14" hidden="1" x14ac:dyDescent="0.25">
      <c r="A1543" s="354">
        <v>0</v>
      </c>
      <c r="B1543" s="354">
        <v>1</v>
      </c>
      <c r="C1543" s="354">
        <v>1</v>
      </c>
      <c r="D1543" s="354">
        <v>1</v>
      </c>
      <c r="E1543" s="354">
        <v>1</v>
      </c>
      <c r="F1543" s="354">
        <v>2</v>
      </c>
      <c r="G1543" s="354">
        <v>1</v>
      </c>
      <c r="H1543" s="354">
        <v>0</v>
      </c>
      <c r="I1543" s="354">
        <v>1</v>
      </c>
      <c r="J1543" s="354">
        <v>1</v>
      </c>
      <c r="K1543" s="354">
        <v>0</v>
      </c>
      <c r="L1543" s="354">
        <v>0</v>
      </c>
      <c r="M1543" s="355">
        <v>4</v>
      </c>
      <c r="N1543" s="355">
        <v>5</v>
      </c>
    </row>
    <row r="1544" spans="1:14" hidden="1" x14ac:dyDescent="0.25">
      <c r="A1544" s="354">
        <v>0</v>
      </c>
      <c r="B1544" s="354">
        <v>0</v>
      </c>
      <c r="C1544" s="354">
        <v>1</v>
      </c>
      <c r="D1544" s="354">
        <v>0</v>
      </c>
      <c r="E1544" s="354">
        <v>1</v>
      </c>
      <c r="F1544" s="354">
        <v>1</v>
      </c>
      <c r="G1544" s="354">
        <v>1</v>
      </c>
      <c r="H1544" s="354">
        <v>0</v>
      </c>
      <c r="I1544" s="354">
        <v>1</v>
      </c>
      <c r="J1544" s="354">
        <v>1</v>
      </c>
      <c r="K1544" s="354">
        <v>0</v>
      </c>
      <c r="L1544" s="354">
        <v>0</v>
      </c>
      <c r="M1544" s="355">
        <v>4</v>
      </c>
      <c r="N1544" s="355">
        <v>2</v>
      </c>
    </row>
    <row r="1545" spans="1:14" hidden="1" x14ac:dyDescent="0.25">
      <c r="A1545" s="354">
        <v>0</v>
      </c>
      <c r="B1545" s="354">
        <v>1</v>
      </c>
      <c r="C1545" s="354">
        <v>1</v>
      </c>
      <c r="D1545" s="354">
        <v>0</v>
      </c>
      <c r="E1545" s="354">
        <v>0</v>
      </c>
      <c r="F1545" s="354">
        <v>0</v>
      </c>
      <c r="G1545" s="354">
        <v>0</v>
      </c>
      <c r="H1545" s="354">
        <v>0</v>
      </c>
      <c r="I1545" s="354">
        <v>1</v>
      </c>
      <c r="J1545" s="354">
        <v>1</v>
      </c>
      <c r="K1545" s="354">
        <v>0</v>
      </c>
      <c r="L1545" s="354">
        <v>0</v>
      </c>
      <c r="M1545" s="355">
        <v>2</v>
      </c>
      <c r="N1545" s="355">
        <v>2</v>
      </c>
    </row>
    <row r="1546" spans="1:14" hidden="1" x14ac:dyDescent="0.25">
      <c r="A1546" s="354">
        <v>0</v>
      </c>
      <c r="B1546" s="354">
        <v>1</v>
      </c>
      <c r="C1546" s="354">
        <v>2</v>
      </c>
      <c r="D1546" s="354">
        <v>1</v>
      </c>
      <c r="E1546" s="354">
        <v>1</v>
      </c>
      <c r="F1546" s="354">
        <v>0</v>
      </c>
      <c r="G1546" s="354">
        <v>0</v>
      </c>
      <c r="H1546" s="354">
        <v>0</v>
      </c>
      <c r="I1546" s="354">
        <v>1</v>
      </c>
      <c r="J1546" s="354">
        <v>1</v>
      </c>
      <c r="K1546" s="354">
        <v>0</v>
      </c>
      <c r="L1546" s="354">
        <v>0</v>
      </c>
      <c r="M1546" s="355">
        <v>4</v>
      </c>
      <c r="N1546" s="355">
        <v>3</v>
      </c>
    </row>
    <row r="1547" spans="1:14" hidden="1" x14ac:dyDescent="0.25">
      <c r="A1547" s="354">
        <v>1</v>
      </c>
      <c r="B1547" s="354">
        <v>0</v>
      </c>
      <c r="C1547" s="354">
        <v>1</v>
      </c>
      <c r="D1547" s="354">
        <v>0</v>
      </c>
      <c r="E1547" s="354">
        <v>0</v>
      </c>
      <c r="F1547" s="354">
        <v>0</v>
      </c>
      <c r="G1547" s="354">
        <v>0</v>
      </c>
      <c r="H1547" s="354">
        <v>0</v>
      </c>
      <c r="I1547" s="354">
        <v>1</v>
      </c>
      <c r="J1547" s="354">
        <v>1</v>
      </c>
      <c r="K1547" s="354">
        <v>0</v>
      </c>
      <c r="L1547" s="354">
        <v>0</v>
      </c>
      <c r="M1547" s="355">
        <v>3</v>
      </c>
      <c r="N1547" s="355">
        <v>1</v>
      </c>
    </row>
    <row r="1548" spans="1:14" hidden="1" x14ac:dyDescent="0.25">
      <c r="A1548" s="354">
        <v>2</v>
      </c>
      <c r="B1548" s="354">
        <v>0</v>
      </c>
      <c r="C1548" s="354">
        <v>1</v>
      </c>
      <c r="D1548" s="354">
        <v>0</v>
      </c>
      <c r="E1548" s="354">
        <v>0</v>
      </c>
      <c r="F1548" s="354">
        <v>0</v>
      </c>
      <c r="G1548" s="354">
        <v>0</v>
      </c>
      <c r="H1548" s="354">
        <v>0</v>
      </c>
      <c r="I1548" s="354">
        <v>1</v>
      </c>
      <c r="J1548" s="354">
        <v>1</v>
      </c>
      <c r="K1548" s="354">
        <v>0</v>
      </c>
      <c r="L1548" s="354">
        <v>0</v>
      </c>
      <c r="M1548" s="355">
        <v>4</v>
      </c>
      <c r="N1548" s="355">
        <v>1</v>
      </c>
    </row>
    <row r="1549" spans="1:14" hidden="1" x14ac:dyDescent="0.25">
      <c r="A1549" s="354">
        <v>0</v>
      </c>
      <c r="B1549" s="354">
        <v>0</v>
      </c>
      <c r="C1549" s="354">
        <v>0</v>
      </c>
      <c r="D1549" s="354">
        <v>0</v>
      </c>
      <c r="E1549" s="354">
        <v>1</v>
      </c>
      <c r="F1549" s="354">
        <v>1</v>
      </c>
      <c r="G1549" s="354">
        <v>0</v>
      </c>
      <c r="H1549" s="354">
        <v>0</v>
      </c>
      <c r="I1549" s="354">
        <v>1</v>
      </c>
      <c r="J1549" s="354">
        <v>1</v>
      </c>
      <c r="K1549" s="354">
        <v>0</v>
      </c>
      <c r="L1549" s="354">
        <v>0</v>
      </c>
      <c r="M1549" s="355">
        <v>2</v>
      </c>
      <c r="N1549" s="355">
        <v>2</v>
      </c>
    </row>
    <row r="1550" spans="1:14" hidden="1" x14ac:dyDescent="0.25">
      <c r="A1550" s="354">
        <v>1</v>
      </c>
      <c r="B1550" s="354">
        <v>0</v>
      </c>
      <c r="C1550" s="354">
        <v>1</v>
      </c>
      <c r="D1550" s="354">
        <v>1</v>
      </c>
      <c r="E1550" s="354">
        <v>1</v>
      </c>
      <c r="F1550" s="354">
        <v>0</v>
      </c>
      <c r="G1550" s="354">
        <v>1</v>
      </c>
      <c r="H1550" s="354">
        <v>0</v>
      </c>
      <c r="I1550" s="354">
        <v>1</v>
      </c>
      <c r="J1550" s="354">
        <v>1</v>
      </c>
      <c r="K1550" s="354">
        <v>0</v>
      </c>
      <c r="L1550" s="354">
        <v>0</v>
      </c>
      <c r="M1550" s="355">
        <v>5</v>
      </c>
      <c r="N1550" s="355">
        <v>2</v>
      </c>
    </row>
    <row r="1551" spans="1:14" hidden="1" x14ac:dyDescent="0.25">
      <c r="A1551" s="354">
        <v>0</v>
      </c>
      <c r="B1551" s="354">
        <v>0</v>
      </c>
      <c r="C1551" s="354">
        <v>1</v>
      </c>
      <c r="D1551" s="354">
        <v>1</v>
      </c>
      <c r="E1551" s="354">
        <v>1</v>
      </c>
      <c r="F1551" s="354">
        <v>0</v>
      </c>
      <c r="G1551" s="354">
        <v>0</v>
      </c>
      <c r="H1551" s="354">
        <v>0</v>
      </c>
      <c r="I1551" s="354">
        <v>1</v>
      </c>
      <c r="J1551" s="354">
        <v>1</v>
      </c>
      <c r="K1551" s="354">
        <v>0</v>
      </c>
      <c r="L1551" s="354">
        <v>0</v>
      </c>
      <c r="M1551" s="355">
        <v>3</v>
      </c>
      <c r="N1551" s="355">
        <v>2</v>
      </c>
    </row>
    <row r="1552" spans="1:14" hidden="1" x14ac:dyDescent="0.25">
      <c r="A1552" s="354">
        <v>0</v>
      </c>
      <c r="B1552" s="354">
        <v>0</v>
      </c>
      <c r="C1552" s="354">
        <v>0</v>
      </c>
      <c r="D1552" s="354">
        <v>0</v>
      </c>
      <c r="E1552" s="354">
        <v>1</v>
      </c>
      <c r="F1552" s="354">
        <v>2</v>
      </c>
      <c r="G1552" s="354">
        <v>1</v>
      </c>
      <c r="H1552" s="354">
        <v>2</v>
      </c>
      <c r="I1552" s="354">
        <v>3</v>
      </c>
      <c r="J1552" s="354">
        <v>1</v>
      </c>
      <c r="K1552" s="354">
        <v>0</v>
      </c>
      <c r="L1552" s="354">
        <v>0</v>
      </c>
      <c r="M1552" s="355">
        <v>5</v>
      </c>
      <c r="N1552" s="355">
        <v>5</v>
      </c>
    </row>
    <row r="1553" spans="1:14" hidden="1" x14ac:dyDescent="0.25">
      <c r="A1553" s="354">
        <v>0</v>
      </c>
      <c r="B1553" s="354">
        <v>0</v>
      </c>
      <c r="C1553" s="354">
        <v>0</v>
      </c>
      <c r="D1553" s="354">
        <v>2</v>
      </c>
      <c r="E1553" s="354">
        <v>1</v>
      </c>
      <c r="F1553" s="354">
        <v>1</v>
      </c>
      <c r="G1553" s="354">
        <v>0</v>
      </c>
      <c r="H1553" s="354">
        <v>0</v>
      </c>
      <c r="I1553" s="354">
        <v>0</v>
      </c>
      <c r="J1553" s="354">
        <v>1</v>
      </c>
      <c r="K1553" s="354">
        <v>0</v>
      </c>
      <c r="L1553" s="354">
        <v>0</v>
      </c>
      <c r="M1553" s="355">
        <v>1</v>
      </c>
      <c r="N1553" s="355">
        <v>4</v>
      </c>
    </row>
    <row r="1554" spans="1:14" hidden="1" x14ac:dyDescent="0.25">
      <c r="A1554" s="354">
        <v>0</v>
      </c>
      <c r="B1554" s="354">
        <v>0</v>
      </c>
      <c r="C1554" s="354">
        <v>0</v>
      </c>
      <c r="D1554" s="354">
        <v>0</v>
      </c>
      <c r="E1554" s="354">
        <v>0</v>
      </c>
      <c r="F1554" s="354">
        <v>1</v>
      </c>
      <c r="G1554" s="354">
        <v>0</v>
      </c>
      <c r="H1554" s="354">
        <v>1</v>
      </c>
      <c r="I1554" s="354">
        <v>1</v>
      </c>
      <c r="J1554" s="354">
        <v>1</v>
      </c>
      <c r="K1554" s="354">
        <v>0</v>
      </c>
      <c r="L1554" s="354">
        <v>1</v>
      </c>
      <c r="M1554" s="355">
        <v>1</v>
      </c>
      <c r="N1554" s="355">
        <v>4</v>
      </c>
    </row>
    <row r="1555" spans="1:14" hidden="1" x14ac:dyDescent="0.25">
      <c r="A1555" s="354">
        <v>0</v>
      </c>
      <c r="B1555" s="354">
        <v>0</v>
      </c>
      <c r="C1555" s="354">
        <v>1</v>
      </c>
      <c r="D1555" s="354">
        <v>1</v>
      </c>
      <c r="E1555" s="354">
        <v>0</v>
      </c>
      <c r="F1555" s="354">
        <v>2</v>
      </c>
      <c r="G1555" s="354">
        <v>0</v>
      </c>
      <c r="H1555" s="354">
        <v>0</v>
      </c>
      <c r="I1555" s="354">
        <v>1</v>
      </c>
      <c r="J1555" s="354">
        <v>1</v>
      </c>
      <c r="K1555" s="354">
        <v>0</v>
      </c>
      <c r="L1555" s="354">
        <v>0</v>
      </c>
      <c r="M1555" s="355">
        <v>2</v>
      </c>
      <c r="N1555" s="355">
        <v>4</v>
      </c>
    </row>
    <row r="1556" spans="1:14" hidden="1" x14ac:dyDescent="0.25">
      <c r="A1556" s="354">
        <v>0</v>
      </c>
      <c r="B1556" s="354">
        <v>0</v>
      </c>
      <c r="C1556" s="354">
        <v>2</v>
      </c>
      <c r="D1556" s="354">
        <v>0</v>
      </c>
      <c r="E1556" s="354">
        <v>0</v>
      </c>
      <c r="F1556" s="354">
        <v>1</v>
      </c>
      <c r="G1556" s="354">
        <v>1</v>
      </c>
      <c r="H1556" s="354">
        <v>1</v>
      </c>
      <c r="I1556" s="354">
        <v>1</v>
      </c>
      <c r="J1556" s="354">
        <v>1</v>
      </c>
      <c r="K1556" s="354">
        <v>0</v>
      </c>
      <c r="L1556" s="354">
        <v>0</v>
      </c>
      <c r="M1556" s="355">
        <v>4</v>
      </c>
      <c r="N1556" s="355">
        <v>3</v>
      </c>
    </row>
    <row r="1557" spans="1:14" hidden="1" x14ac:dyDescent="0.25">
      <c r="A1557" s="354">
        <v>1</v>
      </c>
      <c r="B1557" s="354">
        <v>0</v>
      </c>
      <c r="C1557" s="354">
        <v>0</v>
      </c>
      <c r="D1557" s="354">
        <v>2</v>
      </c>
      <c r="E1557" s="354">
        <v>1</v>
      </c>
      <c r="F1557" s="354">
        <v>1</v>
      </c>
      <c r="G1557" s="354">
        <v>0</v>
      </c>
      <c r="H1557" s="354">
        <v>2</v>
      </c>
      <c r="I1557" s="354">
        <v>1</v>
      </c>
      <c r="J1557" s="354">
        <v>1</v>
      </c>
      <c r="K1557" s="354">
        <v>0</v>
      </c>
      <c r="L1557" s="354">
        <v>0</v>
      </c>
      <c r="M1557" s="355">
        <v>3</v>
      </c>
      <c r="N1557" s="355">
        <v>6</v>
      </c>
    </row>
    <row r="1558" spans="1:14" hidden="1" x14ac:dyDescent="0.25">
      <c r="A1558" s="354">
        <v>1</v>
      </c>
      <c r="B1558" s="354">
        <v>0</v>
      </c>
      <c r="C1558" s="354">
        <v>0</v>
      </c>
      <c r="D1558" s="354">
        <v>1</v>
      </c>
      <c r="E1558" s="354">
        <v>1</v>
      </c>
      <c r="F1558" s="354">
        <v>1</v>
      </c>
      <c r="G1558" s="354">
        <v>0</v>
      </c>
      <c r="H1558" s="354">
        <v>0</v>
      </c>
      <c r="I1558" s="354">
        <v>1</v>
      </c>
      <c r="J1558" s="354">
        <v>1</v>
      </c>
      <c r="K1558" s="354">
        <v>0</v>
      </c>
      <c r="L1558" s="354">
        <v>0</v>
      </c>
      <c r="M1558" s="355">
        <v>3</v>
      </c>
      <c r="N1558" s="355">
        <v>3</v>
      </c>
    </row>
    <row r="1559" spans="1:14" hidden="1" x14ac:dyDescent="0.25">
      <c r="A1559" s="354">
        <v>0</v>
      </c>
      <c r="B1559" s="354">
        <v>0</v>
      </c>
      <c r="C1559" s="354">
        <v>1</v>
      </c>
      <c r="D1559" s="354">
        <v>0</v>
      </c>
      <c r="E1559" s="354">
        <v>1</v>
      </c>
      <c r="F1559" s="354">
        <v>1</v>
      </c>
      <c r="G1559" s="354">
        <v>1</v>
      </c>
      <c r="H1559" s="354">
        <v>0</v>
      </c>
      <c r="I1559" s="354">
        <v>1</v>
      </c>
      <c r="J1559" s="354">
        <v>1</v>
      </c>
      <c r="K1559" s="354">
        <v>0</v>
      </c>
      <c r="L1559" s="354">
        <v>0</v>
      </c>
      <c r="M1559" s="355">
        <v>4</v>
      </c>
      <c r="N1559" s="355">
        <v>2</v>
      </c>
    </row>
    <row r="1560" spans="1:14" hidden="1" x14ac:dyDescent="0.25">
      <c r="A1560" s="354">
        <v>0</v>
      </c>
      <c r="B1560" s="354">
        <v>0</v>
      </c>
      <c r="C1560" s="354">
        <v>1</v>
      </c>
      <c r="D1560" s="354">
        <v>1</v>
      </c>
      <c r="E1560" s="354">
        <v>1</v>
      </c>
      <c r="F1560" s="354">
        <v>1</v>
      </c>
      <c r="G1560" s="354">
        <v>0</v>
      </c>
      <c r="H1560" s="354">
        <v>0</v>
      </c>
      <c r="I1560" s="354">
        <v>1</v>
      </c>
      <c r="J1560" s="354">
        <v>1</v>
      </c>
      <c r="K1560" s="354">
        <v>0</v>
      </c>
      <c r="L1560" s="354">
        <v>0</v>
      </c>
      <c r="M1560" s="355">
        <v>3</v>
      </c>
      <c r="N1560" s="355">
        <v>3</v>
      </c>
    </row>
    <row r="1561" spans="1:14" hidden="1" x14ac:dyDescent="0.25">
      <c r="A1561" s="354">
        <v>0</v>
      </c>
      <c r="B1561" s="354">
        <v>0</v>
      </c>
      <c r="C1561" s="354">
        <v>1</v>
      </c>
      <c r="D1561" s="354">
        <v>1</v>
      </c>
      <c r="E1561" s="354">
        <v>0</v>
      </c>
      <c r="F1561" s="354">
        <v>2</v>
      </c>
      <c r="G1561" s="354">
        <v>0</v>
      </c>
      <c r="H1561" s="354">
        <v>0</v>
      </c>
      <c r="I1561" s="354">
        <v>0</v>
      </c>
      <c r="J1561" s="354">
        <v>1</v>
      </c>
      <c r="K1561" s="354">
        <v>0</v>
      </c>
      <c r="L1561" s="354">
        <v>0</v>
      </c>
      <c r="M1561" s="355">
        <v>1</v>
      </c>
      <c r="N1561" s="355">
        <v>4</v>
      </c>
    </row>
    <row r="1562" spans="1:14" hidden="1" x14ac:dyDescent="0.25">
      <c r="A1562" s="354">
        <v>0</v>
      </c>
      <c r="B1562" s="354">
        <v>0</v>
      </c>
      <c r="C1562" s="354">
        <v>1</v>
      </c>
      <c r="D1562" s="354">
        <v>0</v>
      </c>
      <c r="E1562" s="354">
        <v>0</v>
      </c>
      <c r="F1562" s="354">
        <v>1</v>
      </c>
      <c r="G1562" s="354">
        <v>2</v>
      </c>
      <c r="H1562" s="354">
        <v>0</v>
      </c>
      <c r="I1562" s="354">
        <v>1</v>
      </c>
      <c r="J1562" s="354">
        <v>1</v>
      </c>
      <c r="K1562" s="354">
        <v>0</v>
      </c>
      <c r="L1562" s="354">
        <v>0</v>
      </c>
      <c r="M1562" s="355">
        <v>4</v>
      </c>
      <c r="N1562" s="355">
        <v>2</v>
      </c>
    </row>
    <row r="1563" spans="1:14" hidden="1" x14ac:dyDescent="0.25">
      <c r="A1563" s="354">
        <v>0</v>
      </c>
      <c r="B1563" s="354">
        <v>1</v>
      </c>
      <c r="C1563" s="354">
        <v>1</v>
      </c>
      <c r="D1563" s="354">
        <v>1</v>
      </c>
      <c r="E1563" s="354">
        <v>2</v>
      </c>
      <c r="F1563" s="354">
        <v>0</v>
      </c>
      <c r="G1563" s="354">
        <v>0</v>
      </c>
      <c r="H1563" s="354">
        <v>0</v>
      </c>
      <c r="I1563" s="354">
        <v>1</v>
      </c>
      <c r="J1563" s="354">
        <v>1</v>
      </c>
      <c r="K1563" s="354">
        <v>0</v>
      </c>
      <c r="L1563" s="354">
        <v>0</v>
      </c>
      <c r="M1563" s="355">
        <v>4</v>
      </c>
      <c r="N1563" s="355">
        <v>3</v>
      </c>
    </row>
    <row r="1564" spans="1:14" hidden="1" x14ac:dyDescent="0.25">
      <c r="A1564" s="354">
        <v>0</v>
      </c>
      <c r="B1564" s="354">
        <v>0</v>
      </c>
      <c r="C1564" s="354">
        <v>1</v>
      </c>
      <c r="D1564" s="354">
        <v>1</v>
      </c>
      <c r="E1564" s="354">
        <v>1</v>
      </c>
      <c r="F1564" s="354">
        <v>1</v>
      </c>
      <c r="G1564" s="354">
        <v>1</v>
      </c>
      <c r="H1564" s="354">
        <v>0</v>
      </c>
      <c r="I1564" s="354">
        <v>1</v>
      </c>
      <c r="J1564" s="354">
        <v>1</v>
      </c>
      <c r="K1564" s="354">
        <v>0</v>
      </c>
      <c r="L1564" s="354">
        <v>0</v>
      </c>
      <c r="M1564" s="355">
        <v>4</v>
      </c>
      <c r="N1564" s="355">
        <v>3</v>
      </c>
    </row>
    <row r="1565" spans="1:14" hidden="1" x14ac:dyDescent="0.25">
      <c r="A1565" s="354">
        <v>0</v>
      </c>
      <c r="B1565" s="354">
        <v>0</v>
      </c>
      <c r="C1565" s="354">
        <v>2</v>
      </c>
      <c r="D1565" s="354">
        <v>0</v>
      </c>
      <c r="E1565" s="354">
        <v>0</v>
      </c>
      <c r="F1565" s="354">
        <v>3</v>
      </c>
      <c r="G1565" s="354">
        <v>1</v>
      </c>
      <c r="H1565" s="354">
        <v>0</v>
      </c>
      <c r="I1565" s="354">
        <v>1</v>
      </c>
      <c r="J1565" s="354">
        <v>1</v>
      </c>
      <c r="K1565" s="354">
        <v>0</v>
      </c>
      <c r="L1565" s="354">
        <v>0</v>
      </c>
      <c r="M1565" s="355">
        <v>4</v>
      </c>
      <c r="N1565" s="355">
        <v>4</v>
      </c>
    </row>
    <row r="1566" spans="1:14" hidden="1" x14ac:dyDescent="0.25">
      <c r="A1566" s="354">
        <v>0</v>
      </c>
      <c r="B1566" s="354">
        <v>0</v>
      </c>
      <c r="C1566" s="354">
        <v>0</v>
      </c>
      <c r="D1566" s="354">
        <v>1</v>
      </c>
      <c r="E1566" s="354">
        <v>2</v>
      </c>
      <c r="F1566" s="354">
        <v>2</v>
      </c>
      <c r="G1566" s="354">
        <v>0</v>
      </c>
      <c r="H1566" s="354">
        <v>0</v>
      </c>
      <c r="I1566" s="354">
        <v>0</v>
      </c>
      <c r="J1566" s="354">
        <v>1</v>
      </c>
      <c r="K1566" s="354">
        <v>0</v>
      </c>
      <c r="L1566" s="354">
        <v>0</v>
      </c>
      <c r="M1566" s="355">
        <v>2</v>
      </c>
      <c r="N1566" s="355">
        <v>4</v>
      </c>
    </row>
    <row r="1567" spans="1:14" hidden="1" x14ac:dyDescent="0.25">
      <c r="A1567" s="354">
        <v>0</v>
      </c>
      <c r="B1567" s="354">
        <v>0</v>
      </c>
      <c r="C1567" s="354">
        <v>1</v>
      </c>
      <c r="D1567" s="354">
        <v>0</v>
      </c>
      <c r="E1567" s="354">
        <v>1</v>
      </c>
      <c r="F1567" s="354">
        <v>2</v>
      </c>
      <c r="G1567" s="354">
        <v>0</v>
      </c>
      <c r="H1567" s="354">
        <v>1</v>
      </c>
      <c r="I1567" s="354">
        <v>1</v>
      </c>
      <c r="J1567" s="354">
        <v>1</v>
      </c>
      <c r="K1567" s="354">
        <v>0</v>
      </c>
      <c r="L1567" s="354">
        <v>0</v>
      </c>
      <c r="M1567" s="355">
        <v>3</v>
      </c>
      <c r="N1567" s="355">
        <v>4</v>
      </c>
    </row>
    <row r="1568" spans="1:14" hidden="1" x14ac:dyDescent="0.25">
      <c r="A1568" s="354">
        <v>0</v>
      </c>
      <c r="B1568" s="354">
        <v>1</v>
      </c>
      <c r="C1568" s="354">
        <v>0</v>
      </c>
      <c r="D1568" s="354">
        <v>1</v>
      </c>
      <c r="E1568" s="354">
        <v>1</v>
      </c>
      <c r="F1568" s="354">
        <v>1</v>
      </c>
      <c r="G1568" s="354">
        <v>1</v>
      </c>
      <c r="H1568" s="354">
        <v>0</v>
      </c>
      <c r="I1568" s="354">
        <v>1</v>
      </c>
      <c r="J1568" s="354">
        <v>1</v>
      </c>
      <c r="K1568" s="354">
        <v>0</v>
      </c>
      <c r="L1568" s="354">
        <v>0</v>
      </c>
      <c r="M1568" s="355">
        <v>3</v>
      </c>
      <c r="N1568" s="355">
        <v>4</v>
      </c>
    </row>
    <row r="1569" spans="1:14" hidden="1" x14ac:dyDescent="0.25">
      <c r="A1569" s="354">
        <v>1</v>
      </c>
      <c r="B1569" s="354">
        <v>0</v>
      </c>
      <c r="C1569" s="354">
        <v>0</v>
      </c>
      <c r="D1569" s="354">
        <v>1</v>
      </c>
      <c r="E1569" s="354">
        <v>1</v>
      </c>
      <c r="F1569" s="354">
        <v>1</v>
      </c>
      <c r="G1569" s="354">
        <v>1</v>
      </c>
      <c r="H1569" s="354">
        <v>1</v>
      </c>
      <c r="I1569" s="354">
        <v>1</v>
      </c>
      <c r="J1569" s="354">
        <v>1</v>
      </c>
      <c r="K1569" s="354">
        <v>0</v>
      </c>
      <c r="L1569" s="354">
        <v>0</v>
      </c>
      <c r="M1569" s="355">
        <v>4</v>
      </c>
      <c r="N1569" s="355">
        <v>4</v>
      </c>
    </row>
    <row r="1570" spans="1:14" hidden="1" x14ac:dyDescent="0.25">
      <c r="A1570" s="354">
        <v>1</v>
      </c>
      <c r="B1570" s="354">
        <v>0</v>
      </c>
      <c r="C1570" s="354">
        <v>0</v>
      </c>
      <c r="D1570" s="354">
        <v>1</v>
      </c>
      <c r="E1570" s="354">
        <v>1</v>
      </c>
      <c r="F1570" s="354">
        <v>1</v>
      </c>
      <c r="G1570" s="354">
        <v>1</v>
      </c>
      <c r="H1570" s="354">
        <v>1</v>
      </c>
      <c r="I1570" s="354">
        <v>1</v>
      </c>
      <c r="J1570" s="354">
        <v>1</v>
      </c>
      <c r="K1570" s="354">
        <v>0</v>
      </c>
      <c r="L1570" s="354">
        <v>0</v>
      </c>
      <c r="M1570" s="355">
        <v>4</v>
      </c>
      <c r="N1570" s="355">
        <v>4</v>
      </c>
    </row>
    <row r="1571" spans="1:14" hidden="1" x14ac:dyDescent="0.25">
      <c r="A1571" s="354">
        <v>1</v>
      </c>
      <c r="B1571" s="354">
        <v>0</v>
      </c>
      <c r="C1571" s="354">
        <v>1</v>
      </c>
      <c r="D1571" s="354">
        <v>0</v>
      </c>
      <c r="E1571" s="354">
        <v>1</v>
      </c>
      <c r="F1571" s="354">
        <v>1</v>
      </c>
      <c r="G1571" s="354">
        <v>1</v>
      </c>
      <c r="H1571" s="354">
        <v>0</v>
      </c>
      <c r="I1571" s="354">
        <v>1</v>
      </c>
      <c r="J1571" s="354">
        <v>1</v>
      </c>
      <c r="K1571" s="354">
        <v>0</v>
      </c>
      <c r="L1571" s="354">
        <v>0</v>
      </c>
      <c r="M1571" s="355">
        <v>5</v>
      </c>
      <c r="N1571" s="355">
        <v>2</v>
      </c>
    </row>
    <row r="1572" spans="1:14" hidden="1" x14ac:dyDescent="0.25">
      <c r="A1572" s="354">
        <v>1</v>
      </c>
      <c r="B1572" s="354">
        <v>0</v>
      </c>
      <c r="C1572" s="354">
        <v>1</v>
      </c>
      <c r="D1572" s="354">
        <v>0</v>
      </c>
      <c r="E1572" s="354">
        <v>0</v>
      </c>
      <c r="F1572" s="354">
        <v>1</v>
      </c>
      <c r="G1572" s="354">
        <v>1</v>
      </c>
      <c r="H1572" s="354">
        <v>1</v>
      </c>
      <c r="I1572" s="354">
        <v>1</v>
      </c>
      <c r="J1572" s="354">
        <v>1</v>
      </c>
      <c r="K1572" s="354">
        <v>1</v>
      </c>
      <c r="L1572" s="354">
        <v>0</v>
      </c>
      <c r="M1572" s="355">
        <v>5</v>
      </c>
      <c r="N1572" s="355">
        <v>3</v>
      </c>
    </row>
    <row r="1573" spans="1:14" hidden="1" x14ac:dyDescent="0.25">
      <c r="A1573" s="354">
        <v>1</v>
      </c>
      <c r="B1573" s="354">
        <v>0</v>
      </c>
      <c r="C1573" s="354">
        <v>1</v>
      </c>
      <c r="D1573" s="354">
        <v>1</v>
      </c>
      <c r="E1573" s="354">
        <v>1</v>
      </c>
      <c r="F1573" s="354">
        <v>1</v>
      </c>
      <c r="G1573" s="354">
        <v>1</v>
      </c>
      <c r="H1573" s="354">
        <v>0</v>
      </c>
      <c r="I1573" s="354">
        <v>1</v>
      </c>
      <c r="J1573" s="354">
        <v>1</v>
      </c>
      <c r="K1573" s="354">
        <v>0</v>
      </c>
      <c r="L1573" s="354">
        <v>0</v>
      </c>
      <c r="M1573" s="355">
        <v>5</v>
      </c>
      <c r="N1573" s="355">
        <v>3</v>
      </c>
    </row>
    <row r="1574" spans="1:14" hidden="1" x14ac:dyDescent="0.25">
      <c r="A1574" s="354">
        <v>1</v>
      </c>
      <c r="B1574" s="354">
        <v>1</v>
      </c>
      <c r="C1574" s="354">
        <v>1</v>
      </c>
      <c r="D1574" s="354">
        <v>0</v>
      </c>
      <c r="E1574" s="354">
        <v>1</v>
      </c>
      <c r="F1574" s="354">
        <v>1</v>
      </c>
      <c r="G1574" s="354">
        <v>0</v>
      </c>
      <c r="H1574" s="354">
        <v>1</v>
      </c>
      <c r="I1574" s="354">
        <v>1</v>
      </c>
      <c r="J1574" s="354">
        <v>1</v>
      </c>
      <c r="K1574" s="354">
        <v>0</v>
      </c>
      <c r="L1574" s="354">
        <v>0</v>
      </c>
      <c r="M1574" s="355">
        <v>4</v>
      </c>
      <c r="N1574" s="355">
        <v>4</v>
      </c>
    </row>
    <row r="1575" spans="1:14" hidden="1" x14ac:dyDescent="0.25">
      <c r="A1575" s="354">
        <v>0</v>
      </c>
      <c r="B1575" s="354">
        <v>0</v>
      </c>
      <c r="C1575" s="354">
        <v>0</v>
      </c>
      <c r="D1575" s="354">
        <v>0</v>
      </c>
      <c r="E1575" s="354">
        <v>2</v>
      </c>
      <c r="F1575" s="354">
        <v>1</v>
      </c>
      <c r="G1575" s="354">
        <v>1</v>
      </c>
      <c r="H1575" s="354">
        <v>0</v>
      </c>
      <c r="I1575" s="354">
        <v>1</v>
      </c>
      <c r="J1575" s="354">
        <v>1</v>
      </c>
      <c r="K1575" s="354">
        <v>0</v>
      </c>
      <c r="L1575" s="354">
        <v>0</v>
      </c>
      <c r="M1575" s="355">
        <v>4</v>
      </c>
      <c r="N1575" s="355">
        <v>2</v>
      </c>
    </row>
    <row r="1576" spans="1:14" hidden="1" x14ac:dyDescent="0.25">
      <c r="A1576" s="354">
        <v>0</v>
      </c>
      <c r="B1576" s="354">
        <v>1</v>
      </c>
      <c r="C1576" s="354">
        <v>0</v>
      </c>
      <c r="D1576" s="354">
        <v>0</v>
      </c>
      <c r="E1576" s="354">
        <v>1</v>
      </c>
      <c r="F1576" s="354">
        <v>1</v>
      </c>
      <c r="G1576" s="354">
        <v>0</v>
      </c>
      <c r="H1576" s="354">
        <v>0</v>
      </c>
      <c r="I1576" s="354">
        <v>3</v>
      </c>
      <c r="J1576" s="354">
        <v>3</v>
      </c>
      <c r="K1576" s="354">
        <v>0</v>
      </c>
      <c r="L1576" s="354">
        <v>0</v>
      </c>
      <c r="M1576" s="355">
        <v>4</v>
      </c>
      <c r="N1576" s="355">
        <v>5</v>
      </c>
    </row>
    <row r="1577" spans="1:14" hidden="1" x14ac:dyDescent="0.25">
      <c r="A1577" s="354">
        <v>0</v>
      </c>
      <c r="B1577" s="354">
        <v>0</v>
      </c>
      <c r="C1577" s="354">
        <v>0</v>
      </c>
      <c r="D1577" s="354">
        <v>1</v>
      </c>
      <c r="E1577" s="354">
        <v>1</v>
      </c>
      <c r="F1577" s="354">
        <v>2</v>
      </c>
      <c r="G1577" s="354">
        <v>1</v>
      </c>
      <c r="H1577" s="354">
        <v>0</v>
      </c>
      <c r="I1577" s="354">
        <v>0</v>
      </c>
      <c r="J1577" s="354">
        <v>3</v>
      </c>
      <c r="K1577" s="354">
        <v>1</v>
      </c>
      <c r="L1577" s="354">
        <v>0</v>
      </c>
      <c r="M1577" s="355">
        <v>3</v>
      </c>
      <c r="N1577" s="355">
        <v>6</v>
      </c>
    </row>
    <row r="1578" spans="1:14" hidden="1" x14ac:dyDescent="0.25">
      <c r="A1578" s="354">
        <v>1</v>
      </c>
      <c r="B1578" s="354">
        <v>0</v>
      </c>
      <c r="C1578" s="354">
        <v>0</v>
      </c>
      <c r="D1578" s="354">
        <v>0</v>
      </c>
      <c r="E1578" s="354">
        <v>1</v>
      </c>
      <c r="F1578" s="354">
        <v>0</v>
      </c>
      <c r="G1578" s="354">
        <v>0</v>
      </c>
      <c r="H1578" s="354">
        <v>1</v>
      </c>
      <c r="I1578" s="354">
        <v>2</v>
      </c>
      <c r="J1578" s="354">
        <v>2</v>
      </c>
      <c r="K1578" s="354">
        <v>0</v>
      </c>
      <c r="L1578" s="354">
        <v>0</v>
      </c>
      <c r="M1578" s="355">
        <v>4</v>
      </c>
      <c r="N1578" s="355">
        <v>3</v>
      </c>
    </row>
    <row r="1579" spans="1:14" hidden="1" x14ac:dyDescent="0.25">
      <c r="A1579" s="354">
        <v>0</v>
      </c>
      <c r="B1579" s="354">
        <v>0</v>
      </c>
      <c r="C1579" s="354">
        <v>1</v>
      </c>
      <c r="D1579" s="354">
        <v>2</v>
      </c>
      <c r="E1579" s="354">
        <v>3</v>
      </c>
      <c r="F1579" s="354">
        <v>0</v>
      </c>
      <c r="G1579" s="354">
        <v>0</v>
      </c>
      <c r="H1579" s="354">
        <v>0</v>
      </c>
      <c r="I1579" s="354">
        <v>0</v>
      </c>
      <c r="J1579" s="354">
        <v>1</v>
      </c>
      <c r="K1579" s="354">
        <v>0</v>
      </c>
      <c r="L1579" s="354">
        <v>0</v>
      </c>
      <c r="M1579" s="355">
        <v>4</v>
      </c>
      <c r="N1579" s="355">
        <v>3</v>
      </c>
    </row>
    <row r="1580" spans="1:14" hidden="1" x14ac:dyDescent="0.25">
      <c r="A1580" s="354">
        <v>0</v>
      </c>
      <c r="B1580" s="354">
        <v>1</v>
      </c>
      <c r="C1580" s="354">
        <v>1</v>
      </c>
      <c r="D1580" s="354">
        <v>0</v>
      </c>
      <c r="E1580" s="354">
        <v>2</v>
      </c>
      <c r="F1580" s="354">
        <v>0</v>
      </c>
      <c r="G1580" s="354">
        <v>0</v>
      </c>
      <c r="H1580" s="354">
        <v>0</v>
      </c>
      <c r="I1580" s="354">
        <v>1</v>
      </c>
      <c r="J1580" s="354">
        <v>1</v>
      </c>
      <c r="K1580" s="354">
        <v>0</v>
      </c>
      <c r="L1580" s="354">
        <v>0</v>
      </c>
      <c r="M1580" s="355">
        <v>4</v>
      </c>
      <c r="N1580" s="355">
        <v>2</v>
      </c>
    </row>
    <row r="1581" spans="1:14" hidden="1" x14ac:dyDescent="0.25">
      <c r="A1581" s="354">
        <v>0</v>
      </c>
      <c r="B1581" s="354">
        <v>2</v>
      </c>
      <c r="C1581" s="354">
        <v>0</v>
      </c>
      <c r="D1581" s="354">
        <v>1</v>
      </c>
      <c r="E1581" s="354">
        <v>2</v>
      </c>
      <c r="F1581" s="354">
        <v>0</v>
      </c>
      <c r="G1581" s="354">
        <v>0</v>
      </c>
      <c r="H1581" s="354">
        <v>0</v>
      </c>
      <c r="I1581" s="354">
        <v>1</v>
      </c>
      <c r="J1581" s="354">
        <v>1</v>
      </c>
      <c r="K1581" s="354">
        <v>0</v>
      </c>
      <c r="L1581" s="354">
        <v>0</v>
      </c>
      <c r="M1581" s="355">
        <v>3</v>
      </c>
      <c r="N1581" s="355">
        <v>4</v>
      </c>
    </row>
    <row r="1582" spans="1:14" hidden="1" x14ac:dyDescent="0.25">
      <c r="A1582" s="354">
        <v>0</v>
      </c>
      <c r="B1582" s="354">
        <v>0</v>
      </c>
      <c r="C1582" s="354">
        <v>0</v>
      </c>
      <c r="D1582" s="354">
        <v>0</v>
      </c>
      <c r="E1582" s="354">
        <v>1</v>
      </c>
      <c r="F1582" s="354">
        <v>0</v>
      </c>
      <c r="G1582" s="354">
        <v>2</v>
      </c>
      <c r="H1582" s="354">
        <v>1</v>
      </c>
      <c r="I1582" s="354">
        <v>2</v>
      </c>
      <c r="J1582" s="354">
        <v>1</v>
      </c>
      <c r="K1582" s="354">
        <v>0</v>
      </c>
      <c r="L1582" s="354">
        <v>0</v>
      </c>
      <c r="M1582" s="355">
        <v>5</v>
      </c>
      <c r="N1582" s="355">
        <v>2</v>
      </c>
    </row>
    <row r="1583" spans="1:14" hidden="1" x14ac:dyDescent="0.25">
      <c r="A1583" s="354">
        <v>0</v>
      </c>
      <c r="B1583" s="354">
        <v>0</v>
      </c>
      <c r="C1583" s="354">
        <v>0</v>
      </c>
      <c r="D1583" s="354">
        <v>0</v>
      </c>
      <c r="E1583" s="354">
        <v>0</v>
      </c>
      <c r="F1583" s="354">
        <v>0</v>
      </c>
      <c r="G1583" s="354">
        <v>0</v>
      </c>
      <c r="H1583" s="354">
        <v>1</v>
      </c>
      <c r="I1583" s="354">
        <v>1</v>
      </c>
      <c r="J1583" s="354">
        <v>0</v>
      </c>
      <c r="K1583" s="354">
        <v>0</v>
      </c>
      <c r="L1583" s="354">
        <v>0</v>
      </c>
      <c r="M1583" s="355">
        <v>1</v>
      </c>
      <c r="N1583" s="355">
        <v>1</v>
      </c>
    </row>
    <row r="1584" spans="1:14" hidden="1" x14ac:dyDescent="0.25">
      <c r="A1584" s="354">
        <v>1</v>
      </c>
      <c r="B1584" s="354">
        <v>0</v>
      </c>
      <c r="C1584" s="354">
        <v>1</v>
      </c>
      <c r="D1584" s="354">
        <v>0</v>
      </c>
      <c r="E1584" s="354">
        <v>1</v>
      </c>
      <c r="F1584" s="354">
        <v>2</v>
      </c>
      <c r="G1584" s="354">
        <v>0</v>
      </c>
      <c r="H1584" s="354">
        <v>0</v>
      </c>
      <c r="I1584" s="354">
        <v>1</v>
      </c>
      <c r="J1584" s="354">
        <v>1</v>
      </c>
      <c r="K1584" s="354">
        <v>0</v>
      </c>
      <c r="L1584" s="354">
        <v>0</v>
      </c>
      <c r="M1584" s="355">
        <v>4</v>
      </c>
      <c r="N1584" s="355">
        <v>3</v>
      </c>
    </row>
    <row r="1585" spans="1:14" hidden="1" x14ac:dyDescent="0.25">
      <c r="A1585" s="354">
        <v>0</v>
      </c>
      <c r="B1585" s="354">
        <v>0</v>
      </c>
      <c r="C1585" s="354">
        <v>0</v>
      </c>
      <c r="D1585" s="354">
        <v>0</v>
      </c>
      <c r="E1585" s="354">
        <v>1</v>
      </c>
      <c r="F1585" s="354">
        <v>2</v>
      </c>
      <c r="G1585" s="354">
        <v>0</v>
      </c>
      <c r="H1585" s="354">
        <v>1</v>
      </c>
      <c r="I1585" s="354">
        <v>0</v>
      </c>
      <c r="J1585" s="354">
        <v>1</v>
      </c>
      <c r="K1585" s="354">
        <v>0</v>
      </c>
      <c r="L1585" s="354">
        <v>0</v>
      </c>
      <c r="M1585" s="355">
        <v>1</v>
      </c>
      <c r="N1585" s="355">
        <v>4</v>
      </c>
    </row>
    <row r="1586" spans="1:14" hidden="1" x14ac:dyDescent="0.25">
      <c r="A1586" s="354">
        <v>2</v>
      </c>
      <c r="B1586" s="354">
        <v>0</v>
      </c>
      <c r="C1586" s="354">
        <v>1</v>
      </c>
      <c r="D1586" s="354">
        <v>1</v>
      </c>
      <c r="E1586" s="354">
        <v>1</v>
      </c>
      <c r="F1586" s="354">
        <v>2</v>
      </c>
      <c r="G1586" s="354">
        <v>0</v>
      </c>
      <c r="H1586" s="354">
        <v>0</v>
      </c>
      <c r="I1586" s="354">
        <v>0</v>
      </c>
      <c r="J1586" s="354">
        <v>2</v>
      </c>
      <c r="K1586" s="354">
        <v>1</v>
      </c>
      <c r="L1586" s="354">
        <v>0</v>
      </c>
      <c r="M1586" s="355">
        <v>5</v>
      </c>
      <c r="N1586" s="355">
        <v>5</v>
      </c>
    </row>
    <row r="1587" spans="1:14" hidden="1" x14ac:dyDescent="0.25">
      <c r="A1587" s="354">
        <v>0</v>
      </c>
      <c r="B1587" s="354">
        <v>0</v>
      </c>
      <c r="C1587" s="354">
        <v>1</v>
      </c>
      <c r="D1587" s="354">
        <v>0</v>
      </c>
      <c r="E1587" s="354">
        <v>1</v>
      </c>
      <c r="F1587" s="354">
        <v>1</v>
      </c>
      <c r="G1587" s="354">
        <v>0</v>
      </c>
      <c r="H1587" s="354">
        <v>1</v>
      </c>
      <c r="I1587" s="354">
        <v>0</v>
      </c>
      <c r="J1587" s="354">
        <v>1</v>
      </c>
      <c r="K1587" s="354">
        <v>0</v>
      </c>
      <c r="L1587" s="354">
        <v>0</v>
      </c>
      <c r="M1587" s="355">
        <v>2</v>
      </c>
      <c r="N1587" s="355">
        <v>3</v>
      </c>
    </row>
    <row r="1588" spans="1:14" hidden="1" x14ac:dyDescent="0.25">
      <c r="A1588" s="354">
        <v>0</v>
      </c>
      <c r="B1588" s="354">
        <v>0</v>
      </c>
      <c r="C1588" s="354">
        <v>0</v>
      </c>
      <c r="D1588" s="354">
        <v>2</v>
      </c>
      <c r="E1588" s="354">
        <v>1</v>
      </c>
      <c r="F1588" s="354">
        <v>1</v>
      </c>
      <c r="G1588" s="354">
        <v>0</v>
      </c>
      <c r="H1588" s="354">
        <v>0</v>
      </c>
      <c r="I1588" s="354">
        <v>1</v>
      </c>
      <c r="J1588" s="354">
        <v>1</v>
      </c>
      <c r="K1588" s="354">
        <v>0</v>
      </c>
      <c r="L1588" s="354">
        <v>0</v>
      </c>
      <c r="M1588" s="355">
        <v>2</v>
      </c>
      <c r="N1588" s="355">
        <v>4</v>
      </c>
    </row>
    <row r="1589" spans="1:14" hidden="1" x14ac:dyDescent="0.25">
      <c r="A1589" s="354">
        <v>0</v>
      </c>
      <c r="B1589" s="354">
        <v>0</v>
      </c>
      <c r="C1589" s="354">
        <v>0</v>
      </c>
      <c r="D1589" s="354">
        <v>0</v>
      </c>
      <c r="E1589" s="354">
        <v>2</v>
      </c>
      <c r="F1589" s="354">
        <v>2</v>
      </c>
      <c r="G1589" s="354">
        <v>0</v>
      </c>
      <c r="H1589" s="354">
        <v>0</v>
      </c>
      <c r="I1589" s="354">
        <v>1</v>
      </c>
      <c r="J1589" s="354">
        <v>1</v>
      </c>
      <c r="K1589" s="354">
        <v>0</v>
      </c>
      <c r="L1589" s="354">
        <v>0</v>
      </c>
      <c r="M1589" s="355">
        <v>3</v>
      </c>
      <c r="N1589" s="355">
        <v>3</v>
      </c>
    </row>
    <row r="1590" spans="1:14" hidden="1" x14ac:dyDescent="0.25">
      <c r="A1590" s="354">
        <v>0</v>
      </c>
      <c r="B1590" s="354">
        <v>0</v>
      </c>
      <c r="C1590" s="354">
        <v>0</v>
      </c>
      <c r="D1590" s="354">
        <v>2</v>
      </c>
      <c r="E1590" s="354">
        <v>1</v>
      </c>
      <c r="F1590" s="354">
        <v>3</v>
      </c>
      <c r="G1590" s="354">
        <v>1</v>
      </c>
      <c r="H1590" s="354">
        <v>0</v>
      </c>
      <c r="I1590" s="354">
        <v>2</v>
      </c>
      <c r="J1590" s="354">
        <v>3</v>
      </c>
      <c r="K1590" s="354">
        <v>1</v>
      </c>
      <c r="L1590" s="354">
        <v>0</v>
      </c>
      <c r="M1590" s="355">
        <v>5</v>
      </c>
      <c r="N1590" s="355">
        <v>8</v>
      </c>
    </row>
    <row r="1591" spans="1:14" hidden="1" x14ac:dyDescent="0.25">
      <c r="A1591" s="354">
        <v>0</v>
      </c>
      <c r="B1591" s="354">
        <v>0</v>
      </c>
      <c r="C1591" s="354">
        <v>1</v>
      </c>
      <c r="D1591" s="354">
        <v>1</v>
      </c>
      <c r="E1591" s="354">
        <v>0</v>
      </c>
      <c r="F1591" s="354">
        <v>1</v>
      </c>
      <c r="G1591" s="354">
        <v>0</v>
      </c>
      <c r="H1591" s="354">
        <v>0</v>
      </c>
      <c r="I1591" s="354">
        <v>1</v>
      </c>
      <c r="J1591" s="354">
        <v>1</v>
      </c>
      <c r="K1591" s="354">
        <v>0</v>
      </c>
      <c r="L1591" s="354">
        <v>0</v>
      </c>
      <c r="M1591" s="355">
        <v>2</v>
      </c>
      <c r="N1591" s="355">
        <v>3</v>
      </c>
    </row>
    <row r="1592" spans="1:14" hidden="1" x14ac:dyDescent="0.25">
      <c r="A1592" s="354">
        <v>0</v>
      </c>
      <c r="B1592" s="354">
        <v>0</v>
      </c>
      <c r="C1592" s="354">
        <v>0</v>
      </c>
      <c r="D1592" s="354">
        <v>0</v>
      </c>
      <c r="E1592" s="354">
        <v>1</v>
      </c>
      <c r="F1592" s="354">
        <v>0</v>
      </c>
      <c r="G1592" s="354">
        <v>0</v>
      </c>
      <c r="H1592" s="354">
        <v>1</v>
      </c>
      <c r="I1592" s="354">
        <v>0</v>
      </c>
      <c r="J1592" s="354">
        <v>1</v>
      </c>
      <c r="K1592" s="354">
        <v>1</v>
      </c>
      <c r="L1592" s="354">
        <v>1</v>
      </c>
      <c r="M1592" s="355">
        <v>2</v>
      </c>
      <c r="N1592" s="355">
        <v>3</v>
      </c>
    </row>
    <row r="1593" spans="1:14" hidden="1" x14ac:dyDescent="0.25">
      <c r="A1593" s="354">
        <v>0</v>
      </c>
      <c r="B1593" s="354">
        <v>1</v>
      </c>
      <c r="C1593" s="354">
        <v>0</v>
      </c>
      <c r="D1593" s="354">
        <v>1</v>
      </c>
      <c r="E1593" s="354">
        <v>1</v>
      </c>
      <c r="F1593" s="354">
        <v>0</v>
      </c>
      <c r="G1593" s="354">
        <v>0</v>
      </c>
      <c r="H1593" s="354">
        <v>0</v>
      </c>
      <c r="I1593" s="354">
        <v>1</v>
      </c>
      <c r="J1593" s="354">
        <v>1</v>
      </c>
      <c r="K1593" s="354">
        <v>0</v>
      </c>
      <c r="L1593" s="354">
        <v>0</v>
      </c>
      <c r="M1593" s="355">
        <v>2</v>
      </c>
      <c r="N1593" s="355">
        <v>3</v>
      </c>
    </row>
    <row r="1594" spans="1:14" hidden="1" x14ac:dyDescent="0.25">
      <c r="A1594" s="354">
        <v>1</v>
      </c>
      <c r="B1594" s="354">
        <v>1</v>
      </c>
      <c r="C1594" s="354">
        <v>1</v>
      </c>
      <c r="D1594" s="354">
        <v>2</v>
      </c>
      <c r="E1594" s="354">
        <v>2</v>
      </c>
      <c r="F1594" s="354">
        <v>2</v>
      </c>
      <c r="G1594" s="354">
        <v>1</v>
      </c>
      <c r="H1594" s="354">
        <v>1</v>
      </c>
      <c r="I1594" s="354">
        <v>1</v>
      </c>
      <c r="J1594" s="354">
        <v>2</v>
      </c>
      <c r="K1594" s="354">
        <v>1</v>
      </c>
      <c r="L1594" s="354">
        <v>1</v>
      </c>
      <c r="M1594" s="355">
        <v>7</v>
      </c>
      <c r="N1594" s="355">
        <v>9</v>
      </c>
    </row>
    <row r="1595" spans="1:14" hidden="1" x14ac:dyDescent="0.25">
      <c r="A1595" s="354">
        <v>1</v>
      </c>
      <c r="B1595" s="354">
        <v>0</v>
      </c>
      <c r="C1595" s="354">
        <v>0</v>
      </c>
      <c r="D1595" s="354">
        <v>0</v>
      </c>
      <c r="E1595" s="354">
        <v>0</v>
      </c>
      <c r="F1595" s="354">
        <v>0</v>
      </c>
      <c r="G1595" s="354">
        <v>0</v>
      </c>
      <c r="H1595" s="354">
        <v>0</v>
      </c>
      <c r="I1595" s="354">
        <v>1</v>
      </c>
      <c r="J1595" s="354">
        <v>1</v>
      </c>
      <c r="K1595" s="354">
        <v>0</v>
      </c>
      <c r="L1595" s="354">
        <v>0</v>
      </c>
      <c r="M1595" s="355">
        <v>2</v>
      </c>
      <c r="N1595" s="355">
        <v>1</v>
      </c>
    </row>
    <row r="1596" spans="1:14" hidden="1" x14ac:dyDescent="0.25">
      <c r="A1596" s="354">
        <v>0</v>
      </c>
      <c r="B1596" s="354">
        <v>1</v>
      </c>
      <c r="C1596" s="354">
        <v>1</v>
      </c>
      <c r="D1596" s="354">
        <v>1</v>
      </c>
      <c r="E1596" s="354">
        <v>1</v>
      </c>
      <c r="F1596" s="354">
        <v>0</v>
      </c>
      <c r="G1596" s="354">
        <v>0</v>
      </c>
      <c r="H1596" s="354">
        <v>0</v>
      </c>
      <c r="I1596" s="354">
        <v>1</v>
      </c>
      <c r="J1596" s="354">
        <v>1</v>
      </c>
      <c r="K1596" s="354">
        <v>0</v>
      </c>
      <c r="L1596" s="354">
        <v>0</v>
      </c>
      <c r="M1596" s="355">
        <v>3</v>
      </c>
      <c r="N1596" s="355">
        <v>3</v>
      </c>
    </row>
    <row r="1597" spans="1:14" hidden="1" x14ac:dyDescent="0.25">
      <c r="A1597" s="354">
        <v>1</v>
      </c>
      <c r="B1597" s="354">
        <v>0</v>
      </c>
      <c r="C1597" s="354">
        <v>1</v>
      </c>
      <c r="D1597" s="354">
        <v>0</v>
      </c>
      <c r="E1597" s="354">
        <v>2</v>
      </c>
      <c r="F1597" s="354">
        <v>1</v>
      </c>
      <c r="G1597" s="354">
        <v>0</v>
      </c>
      <c r="H1597" s="354">
        <v>0</v>
      </c>
      <c r="I1597" s="354">
        <v>1</v>
      </c>
      <c r="J1597" s="354">
        <v>1</v>
      </c>
      <c r="K1597" s="354">
        <v>0</v>
      </c>
      <c r="L1597" s="354">
        <v>0</v>
      </c>
      <c r="M1597" s="355">
        <v>5</v>
      </c>
      <c r="N1597" s="355">
        <v>2</v>
      </c>
    </row>
    <row r="1598" spans="1:14" hidden="1" x14ac:dyDescent="0.25">
      <c r="A1598" s="354">
        <v>0</v>
      </c>
      <c r="B1598" s="354">
        <v>0</v>
      </c>
      <c r="C1598" s="354">
        <v>1</v>
      </c>
      <c r="D1598" s="354">
        <v>0</v>
      </c>
      <c r="E1598" s="354">
        <v>0</v>
      </c>
      <c r="F1598" s="354">
        <v>1</v>
      </c>
      <c r="G1598" s="354">
        <v>0</v>
      </c>
      <c r="H1598" s="354">
        <v>0</v>
      </c>
      <c r="I1598" s="354">
        <v>1</v>
      </c>
      <c r="J1598" s="354">
        <v>1</v>
      </c>
      <c r="K1598" s="354">
        <v>0</v>
      </c>
      <c r="L1598" s="354">
        <v>0</v>
      </c>
      <c r="M1598" s="355">
        <v>2</v>
      </c>
      <c r="N1598" s="355">
        <v>2</v>
      </c>
    </row>
    <row r="1599" spans="1:14" hidden="1" x14ac:dyDescent="0.25">
      <c r="A1599" s="354">
        <v>1</v>
      </c>
      <c r="B1599" s="354">
        <v>0</v>
      </c>
      <c r="C1599" s="354">
        <v>0</v>
      </c>
      <c r="D1599" s="354">
        <v>1</v>
      </c>
      <c r="E1599" s="354">
        <v>2</v>
      </c>
      <c r="F1599" s="354">
        <v>0</v>
      </c>
      <c r="G1599" s="354">
        <v>0</v>
      </c>
      <c r="H1599" s="354">
        <v>0</v>
      </c>
      <c r="I1599" s="354">
        <v>1</v>
      </c>
      <c r="J1599" s="354">
        <v>1</v>
      </c>
      <c r="K1599" s="354">
        <v>0</v>
      </c>
      <c r="L1599" s="354">
        <v>0</v>
      </c>
      <c r="M1599" s="355">
        <v>4</v>
      </c>
      <c r="N1599" s="355">
        <v>2</v>
      </c>
    </row>
    <row r="1600" spans="1:14" hidden="1" x14ac:dyDescent="0.25">
      <c r="A1600" s="354">
        <v>0</v>
      </c>
      <c r="B1600" s="354">
        <v>0</v>
      </c>
      <c r="C1600" s="354">
        <v>1</v>
      </c>
      <c r="D1600" s="354">
        <v>0</v>
      </c>
      <c r="E1600" s="354">
        <v>2</v>
      </c>
      <c r="F1600" s="354">
        <v>1</v>
      </c>
      <c r="G1600" s="354">
        <v>0</v>
      </c>
      <c r="H1600" s="354">
        <v>0</v>
      </c>
      <c r="I1600" s="354">
        <v>1</v>
      </c>
      <c r="J1600" s="354">
        <v>1</v>
      </c>
      <c r="K1600" s="354">
        <v>0</v>
      </c>
      <c r="L1600" s="354">
        <v>0</v>
      </c>
      <c r="M1600" s="355">
        <v>4</v>
      </c>
      <c r="N1600" s="355">
        <v>2</v>
      </c>
    </row>
    <row r="1601" spans="1:14" hidden="1" x14ac:dyDescent="0.25">
      <c r="A1601" s="354">
        <v>0</v>
      </c>
      <c r="B1601" s="354">
        <v>0</v>
      </c>
      <c r="C1601" s="354">
        <v>0</v>
      </c>
      <c r="D1601" s="354">
        <v>0</v>
      </c>
      <c r="E1601" s="354">
        <v>1</v>
      </c>
      <c r="F1601" s="354">
        <v>2</v>
      </c>
      <c r="G1601" s="354">
        <v>0</v>
      </c>
      <c r="H1601" s="354">
        <v>0</v>
      </c>
      <c r="I1601" s="354">
        <v>0</v>
      </c>
      <c r="J1601" s="354">
        <v>1</v>
      </c>
      <c r="K1601" s="354">
        <v>0</v>
      </c>
      <c r="L1601" s="354">
        <v>0</v>
      </c>
      <c r="M1601" s="355">
        <v>1</v>
      </c>
      <c r="N1601" s="355">
        <v>3</v>
      </c>
    </row>
    <row r="1602" spans="1:14" hidden="1" x14ac:dyDescent="0.25">
      <c r="A1602" s="354">
        <v>1</v>
      </c>
      <c r="B1602" s="354">
        <v>0</v>
      </c>
      <c r="C1602" s="354">
        <v>1</v>
      </c>
      <c r="D1602" s="354">
        <v>0</v>
      </c>
      <c r="E1602" s="354">
        <v>0</v>
      </c>
      <c r="F1602" s="354">
        <v>1</v>
      </c>
      <c r="G1602" s="354">
        <v>0</v>
      </c>
      <c r="H1602" s="354">
        <v>0</v>
      </c>
      <c r="I1602" s="354">
        <v>0</v>
      </c>
      <c r="J1602" s="354">
        <v>1</v>
      </c>
      <c r="K1602" s="354">
        <v>1</v>
      </c>
      <c r="L1602" s="354">
        <v>0</v>
      </c>
      <c r="M1602" s="355">
        <v>3</v>
      </c>
      <c r="N1602" s="355">
        <v>2</v>
      </c>
    </row>
    <row r="1603" spans="1:14" hidden="1" x14ac:dyDescent="0.25">
      <c r="A1603" s="354">
        <v>0</v>
      </c>
      <c r="B1603" s="354">
        <v>0</v>
      </c>
      <c r="C1603" s="354">
        <v>0</v>
      </c>
      <c r="D1603" s="354">
        <v>0</v>
      </c>
      <c r="E1603" s="354">
        <v>2</v>
      </c>
      <c r="F1603" s="354">
        <v>0</v>
      </c>
      <c r="G1603" s="354">
        <v>0</v>
      </c>
      <c r="H1603" s="354">
        <v>0</v>
      </c>
      <c r="I1603" s="354">
        <v>1</v>
      </c>
      <c r="J1603" s="354">
        <v>1</v>
      </c>
      <c r="K1603" s="354">
        <v>0</v>
      </c>
      <c r="L1603" s="354">
        <v>0</v>
      </c>
      <c r="M1603" s="355">
        <v>3</v>
      </c>
      <c r="N1603" s="355">
        <v>1</v>
      </c>
    </row>
    <row r="1604" spans="1:14" hidden="1" x14ac:dyDescent="0.25">
      <c r="A1604" s="354">
        <v>0</v>
      </c>
      <c r="B1604" s="354">
        <v>0</v>
      </c>
      <c r="C1604" s="354">
        <v>1</v>
      </c>
      <c r="D1604" s="354">
        <v>0</v>
      </c>
      <c r="E1604" s="354">
        <v>2</v>
      </c>
      <c r="F1604" s="354">
        <v>1</v>
      </c>
      <c r="G1604" s="354">
        <v>0</v>
      </c>
      <c r="H1604" s="354">
        <v>0</v>
      </c>
      <c r="I1604" s="354">
        <v>1</v>
      </c>
      <c r="J1604" s="354">
        <v>1</v>
      </c>
      <c r="K1604" s="354">
        <v>0</v>
      </c>
      <c r="L1604" s="354">
        <v>0</v>
      </c>
      <c r="M1604" s="355">
        <v>4</v>
      </c>
      <c r="N1604" s="355">
        <v>2</v>
      </c>
    </row>
    <row r="1605" spans="1:14" hidden="1" x14ac:dyDescent="0.25">
      <c r="A1605" s="354">
        <v>0</v>
      </c>
      <c r="B1605" s="354">
        <v>0</v>
      </c>
      <c r="C1605" s="354">
        <v>1</v>
      </c>
      <c r="D1605" s="354">
        <v>0</v>
      </c>
      <c r="E1605" s="354">
        <v>0</v>
      </c>
      <c r="F1605" s="354">
        <v>2</v>
      </c>
      <c r="G1605" s="354">
        <v>1</v>
      </c>
      <c r="H1605" s="354">
        <v>0</v>
      </c>
      <c r="I1605" s="354">
        <v>1</v>
      </c>
      <c r="J1605" s="354">
        <v>2</v>
      </c>
      <c r="K1605" s="354">
        <v>0</v>
      </c>
      <c r="L1605" s="354">
        <v>0</v>
      </c>
      <c r="M1605" s="355">
        <v>3</v>
      </c>
      <c r="N1605" s="355">
        <v>4</v>
      </c>
    </row>
    <row r="1606" spans="1:14" hidden="1" x14ac:dyDescent="0.25">
      <c r="A1606" s="354">
        <v>0</v>
      </c>
      <c r="B1606" s="354">
        <v>0</v>
      </c>
      <c r="C1606" s="354">
        <v>0</v>
      </c>
      <c r="D1606" s="354">
        <v>1</v>
      </c>
      <c r="E1606" s="354">
        <v>1</v>
      </c>
      <c r="F1606" s="354">
        <v>2</v>
      </c>
      <c r="G1606" s="354">
        <v>1</v>
      </c>
      <c r="H1606" s="354">
        <v>1</v>
      </c>
      <c r="I1606" s="354">
        <v>1</v>
      </c>
      <c r="J1606" s="354">
        <v>2</v>
      </c>
      <c r="K1606" s="354">
        <v>0</v>
      </c>
      <c r="L1606" s="354">
        <v>0</v>
      </c>
      <c r="M1606" s="355">
        <v>3</v>
      </c>
      <c r="N1606" s="355">
        <v>6</v>
      </c>
    </row>
    <row r="1607" spans="1:14" hidden="1" x14ac:dyDescent="0.25">
      <c r="A1607" s="354">
        <v>0</v>
      </c>
      <c r="B1607" s="354">
        <v>0</v>
      </c>
      <c r="C1607" s="354">
        <v>1</v>
      </c>
      <c r="D1607" s="354">
        <v>1</v>
      </c>
      <c r="E1607" s="354">
        <v>1</v>
      </c>
      <c r="F1607" s="354">
        <v>1</v>
      </c>
      <c r="G1607" s="354">
        <v>0</v>
      </c>
      <c r="H1607" s="354">
        <v>0</v>
      </c>
      <c r="I1607" s="354">
        <v>1</v>
      </c>
      <c r="J1607" s="354">
        <v>1</v>
      </c>
      <c r="K1607" s="354">
        <v>0</v>
      </c>
      <c r="L1607" s="354">
        <v>0</v>
      </c>
      <c r="M1607" s="355">
        <v>3</v>
      </c>
      <c r="N1607" s="355">
        <v>3</v>
      </c>
    </row>
    <row r="1608" spans="1:14" hidden="1" x14ac:dyDescent="0.25">
      <c r="A1608" s="354">
        <v>0</v>
      </c>
      <c r="B1608" s="354">
        <v>0</v>
      </c>
      <c r="C1608" s="354">
        <v>1</v>
      </c>
      <c r="D1608" s="354">
        <v>2</v>
      </c>
      <c r="E1608" s="354">
        <v>0</v>
      </c>
      <c r="F1608" s="354">
        <v>0</v>
      </c>
      <c r="G1608" s="354">
        <v>0</v>
      </c>
      <c r="H1608" s="354">
        <v>0</v>
      </c>
      <c r="I1608" s="354">
        <v>1</v>
      </c>
      <c r="J1608" s="354">
        <v>1</v>
      </c>
      <c r="K1608" s="354">
        <v>0</v>
      </c>
      <c r="L1608" s="354">
        <v>0</v>
      </c>
      <c r="M1608" s="355">
        <v>2</v>
      </c>
      <c r="N1608" s="355">
        <v>3</v>
      </c>
    </row>
    <row r="1609" spans="1:14" hidden="1" x14ac:dyDescent="0.25">
      <c r="A1609" s="354">
        <v>0</v>
      </c>
      <c r="B1609" s="354">
        <v>0</v>
      </c>
      <c r="C1609" s="354">
        <v>1</v>
      </c>
      <c r="D1609" s="354">
        <v>0</v>
      </c>
      <c r="E1609" s="354">
        <v>2</v>
      </c>
      <c r="F1609" s="354">
        <v>2</v>
      </c>
      <c r="G1609" s="354">
        <v>0</v>
      </c>
      <c r="H1609" s="354">
        <v>0</v>
      </c>
      <c r="I1609" s="354">
        <v>1</v>
      </c>
      <c r="J1609" s="354">
        <v>1</v>
      </c>
      <c r="K1609" s="354">
        <v>0</v>
      </c>
      <c r="L1609" s="354">
        <v>0</v>
      </c>
      <c r="M1609" s="355">
        <v>4</v>
      </c>
      <c r="N1609" s="355">
        <v>3</v>
      </c>
    </row>
    <row r="1610" spans="1:14" hidden="1" x14ac:dyDescent="0.25">
      <c r="A1610" s="354">
        <v>0</v>
      </c>
      <c r="B1610" s="354">
        <v>0</v>
      </c>
      <c r="C1610" s="354">
        <v>1</v>
      </c>
      <c r="D1610" s="354">
        <v>1</v>
      </c>
      <c r="E1610" s="354">
        <v>0</v>
      </c>
      <c r="F1610" s="354">
        <v>0</v>
      </c>
      <c r="G1610" s="354">
        <v>0</v>
      </c>
      <c r="H1610" s="354">
        <v>0</v>
      </c>
      <c r="I1610" s="354">
        <v>1</v>
      </c>
      <c r="J1610" s="354">
        <v>1</v>
      </c>
      <c r="K1610" s="354">
        <v>0</v>
      </c>
      <c r="L1610" s="354">
        <v>0</v>
      </c>
      <c r="M1610" s="355">
        <v>2</v>
      </c>
      <c r="N1610" s="355">
        <v>2</v>
      </c>
    </row>
    <row r="1611" spans="1:14" hidden="1" x14ac:dyDescent="0.25">
      <c r="A1611" s="354">
        <v>1</v>
      </c>
      <c r="B1611" s="354">
        <v>0</v>
      </c>
      <c r="C1611" s="354">
        <v>1</v>
      </c>
      <c r="D1611" s="354">
        <v>0</v>
      </c>
      <c r="E1611" s="354">
        <v>0</v>
      </c>
      <c r="F1611" s="354">
        <v>0</v>
      </c>
      <c r="G1611" s="354">
        <v>0</v>
      </c>
      <c r="H1611" s="354">
        <v>0</v>
      </c>
      <c r="I1611" s="354">
        <v>1</v>
      </c>
      <c r="J1611" s="354">
        <v>1</v>
      </c>
      <c r="K1611" s="354">
        <v>0</v>
      </c>
      <c r="L1611" s="354">
        <v>0</v>
      </c>
      <c r="M1611" s="355">
        <v>3</v>
      </c>
      <c r="N1611" s="355">
        <v>1</v>
      </c>
    </row>
    <row r="1612" spans="1:14" hidden="1" x14ac:dyDescent="0.25">
      <c r="A1612" s="354">
        <v>1</v>
      </c>
      <c r="B1612" s="354">
        <v>0</v>
      </c>
      <c r="C1612" s="354">
        <v>1</v>
      </c>
      <c r="D1612" s="354">
        <v>1</v>
      </c>
      <c r="E1612" s="354">
        <v>0</v>
      </c>
      <c r="F1612" s="354">
        <v>1</v>
      </c>
      <c r="G1612" s="354">
        <v>0</v>
      </c>
      <c r="H1612" s="354">
        <v>0</v>
      </c>
      <c r="I1612" s="354">
        <v>1</v>
      </c>
      <c r="J1612" s="354">
        <v>1</v>
      </c>
      <c r="K1612" s="354">
        <v>0</v>
      </c>
      <c r="L1612" s="354">
        <v>0</v>
      </c>
      <c r="M1612" s="355">
        <v>3</v>
      </c>
      <c r="N1612" s="355">
        <v>3</v>
      </c>
    </row>
    <row r="1613" spans="1:14" hidden="1" x14ac:dyDescent="0.25">
      <c r="A1613" s="354">
        <v>1</v>
      </c>
      <c r="B1613" s="354">
        <v>1</v>
      </c>
      <c r="C1613" s="354">
        <v>0</v>
      </c>
      <c r="D1613" s="354">
        <v>1</v>
      </c>
      <c r="E1613" s="354">
        <v>1</v>
      </c>
      <c r="F1613" s="354">
        <v>1</v>
      </c>
      <c r="G1613" s="354">
        <v>1</v>
      </c>
      <c r="H1613" s="354">
        <v>0</v>
      </c>
      <c r="I1613" s="354">
        <v>1</v>
      </c>
      <c r="J1613" s="354">
        <v>1</v>
      </c>
      <c r="K1613" s="354">
        <v>0</v>
      </c>
      <c r="L1613" s="354">
        <v>0</v>
      </c>
      <c r="M1613" s="355">
        <v>4</v>
      </c>
      <c r="N1613" s="355">
        <v>4</v>
      </c>
    </row>
    <row r="1614" spans="1:14" hidden="1" x14ac:dyDescent="0.25">
      <c r="A1614" s="354">
        <v>0</v>
      </c>
      <c r="B1614" s="354">
        <v>1</v>
      </c>
      <c r="C1614" s="354">
        <v>1</v>
      </c>
      <c r="D1614" s="354">
        <v>1</v>
      </c>
      <c r="E1614" s="354">
        <v>0</v>
      </c>
      <c r="F1614" s="354">
        <v>1</v>
      </c>
      <c r="G1614" s="354">
        <v>1</v>
      </c>
      <c r="H1614" s="354">
        <v>1</v>
      </c>
      <c r="I1614" s="354">
        <v>1</v>
      </c>
      <c r="J1614" s="354">
        <v>1</v>
      </c>
      <c r="K1614" s="354">
        <v>1</v>
      </c>
      <c r="L1614" s="354">
        <v>0</v>
      </c>
      <c r="M1614" s="355">
        <v>4</v>
      </c>
      <c r="N1614" s="355">
        <v>5</v>
      </c>
    </row>
    <row r="1615" spans="1:14" hidden="1" x14ac:dyDescent="0.25">
      <c r="A1615" s="354">
        <v>0</v>
      </c>
      <c r="B1615" s="354">
        <v>0</v>
      </c>
      <c r="C1615" s="354">
        <v>0</v>
      </c>
      <c r="D1615" s="354">
        <v>2</v>
      </c>
      <c r="E1615" s="354">
        <v>1</v>
      </c>
      <c r="F1615" s="354">
        <v>3</v>
      </c>
      <c r="G1615" s="354">
        <v>0</v>
      </c>
      <c r="H1615" s="354">
        <v>0</v>
      </c>
      <c r="I1615" s="354">
        <v>1</v>
      </c>
      <c r="J1615" s="354">
        <v>1</v>
      </c>
      <c r="K1615" s="354">
        <v>0</v>
      </c>
      <c r="L1615" s="354">
        <v>0</v>
      </c>
      <c r="M1615" s="355">
        <v>2</v>
      </c>
      <c r="N1615" s="355">
        <v>6</v>
      </c>
    </row>
    <row r="1616" spans="1:14" hidden="1" x14ac:dyDescent="0.25">
      <c r="A1616" s="354">
        <v>0</v>
      </c>
      <c r="B1616" s="354">
        <v>0</v>
      </c>
      <c r="C1616" s="354">
        <v>2</v>
      </c>
      <c r="D1616" s="354">
        <v>1</v>
      </c>
      <c r="E1616" s="354">
        <v>1</v>
      </c>
      <c r="F1616" s="354">
        <v>0</v>
      </c>
      <c r="G1616" s="354">
        <v>0</v>
      </c>
      <c r="H1616" s="354">
        <v>2</v>
      </c>
      <c r="I1616" s="354">
        <v>4</v>
      </c>
      <c r="J1616" s="354">
        <v>2</v>
      </c>
      <c r="K1616" s="354">
        <v>0</v>
      </c>
      <c r="L1616" s="354">
        <v>0</v>
      </c>
      <c r="M1616" s="355">
        <v>7</v>
      </c>
      <c r="N1616" s="355">
        <v>5</v>
      </c>
    </row>
    <row r="1617" spans="1:14" hidden="1" x14ac:dyDescent="0.25">
      <c r="A1617" s="354">
        <v>0</v>
      </c>
      <c r="B1617" s="354">
        <v>0</v>
      </c>
      <c r="C1617" s="354">
        <v>0</v>
      </c>
      <c r="D1617" s="354">
        <v>0</v>
      </c>
      <c r="E1617" s="354">
        <v>0</v>
      </c>
      <c r="F1617" s="354">
        <v>0</v>
      </c>
      <c r="G1617" s="354">
        <v>0</v>
      </c>
      <c r="H1617" s="354">
        <v>0</v>
      </c>
      <c r="I1617" s="354">
        <v>0</v>
      </c>
      <c r="J1617" s="354">
        <v>1</v>
      </c>
      <c r="K1617" s="354">
        <v>1</v>
      </c>
      <c r="L1617" s="354">
        <v>0</v>
      </c>
      <c r="M1617" s="355">
        <v>1</v>
      </c>
      <c r="N1617" s="355">
        <v>1</v>
      </c>
    </row>
    <row r="1618" spans="1:14" hidden="1" x14ac:dyDescent="0.25">
      <c r="A1618" s="354">
        <v>0</v>
      </c>
      <c r="B1618" s="354">
        <v>0</v>
      </c>
      <c r="C1618" s="354"/>
      <c r="D1618" s="354">
        <v>3</v>
      </c>
      <c r="E1618" s="354">
        <v>3</v>
      </c>
      <c r="F1618" s="354">
        <v>0</v>
      </c>
      <c r="G1618" s="354">
        <v>0</v>
      </c>
      <c r="H1618" s="354">
        <v>0</v>
      </c>
      <c r="I1618" s="354">
        <v>1</v>
      </c>
      <c r="J1618" s="354">
        <v>1</v>
      </c>
      <c r="K1618" s="354">
        <v>0</v>
      </c>
      <c r="L1618" s="354">
        <v>0</v>
      </c>
      <c r="M1618" s="355">
        <v>4</v>
      </c>
      <c r="N1618" s="355">
        <v>4</v>
      </c>
    </row>
    <row r="1619" spans="1:14" hidden="1" x14ac:dyDescent="0.25">
      <c r="A1619" s="354">
        <v>0</v>
      </c>
      <c r="B1619" s="354">
        <v>0</v>
      </c>
      <c r="C1619" s="354">
        <v>2</v>
      </c>
      <c r="D1619" s="354">
        <v>2</v>
      </c>
      <c r="E1619" s="354">
        <v>6</v>
      </c>
      <c r="F1619" s="354">
        <v>1</v>
      </c>
      <c r="G1619" s="354">
        <v>5</v>
      </c>
      <c r="H1619" s="354">
        <v>1</v>
      </c>
      <c r="I1619" s="354">
        <v>1</v>
      </c>
      <c r="J1619" s="354">
        <v>3</v>
      </c>
      <c r="K1619" s="354">
        <v>0</v>
      </c>
      <c r="L1619" s="354">
        <v>0</v>
      </c>
      <c r="M1619" s="355">
        <v>14</v>
      </c>
      <c r="N1619" s="355">
        <v>7</v>
      </c>
    </row>
    <row r="1620" spans="1:14" hidden="1" x14ac:dyDescent="0.25">
      <c r="A1620" s="354">
        <v>1</v>
      </c>
      <c r="B1620" s="354">
        <v>0</v>
      </c>
      <c r="C1620" s="354">
        <v>1</v>
      </c>
      <c r="D1620" s="354">
        <v>1</v>
      </c>
      <c r="E1620" s="354">
        <v>1</v>
      </c>
      <c r="F1620" s="354">
        <v>1</v>
      </c>
      <c r="G1620" s="354">
        <v>0</v>
      </c>
      <c r="H1620" s="354">
        <v>1</v>
      </c>
      <c r="I1620" s="354">
        <v>1</v>
      </c>
      <c r="J1620" s="354">
        <v>1</v>
      </c>
      <c r="K1620" s="354">
        <v>0</v>
      </c>
      <c r="L1620" s="354">
        <v>0</v>
      </c>
      <c r="M1620" s="355">
        <v>4</v>
      </c>
      <c r="N1620" s="355">
        <v>4</v>
      </c>
    </row>
    <row r="1621" spans="1:14" hidden="1" x14ac:dyDescent="0.25">
      <c r="A1621" s="354">
        <v>0</v>
      </c>
      <c r="B1621" s="354">
        <v>1</v>
      </c>
      <c r="C1621" s="354">
        <v>1</v>
      </c>
      <c r="D1621" s="354">
        <v>1</v>
      </c>
      <c r="E1621" s="354">
        <v>0</v>
      </c>
      <c r="F1621" s="354">
        <v>1</v>
      </c>
      <c r="G1621" s="354">
        <v>1</v>
      </c>
      <c r="H1621" s="354">
        <v>1</v>
      </c>
      <c r="I1621" s="354">
        <v>1</v>
      </c>
      <c r="J1621" s="354">
        <v>1</v>
      </c>
      <c r="K1621" s="354">
        <v>0</v>
      </c>
      <c r="L1621" s="354">
        <v>0</v>
      </c>
      <c r="M1621" s="355">
        <v>3</v>
      </c>
      <c r="N1621" s="355">
        <v>5</v>
      </c>
    </row>
    <row r="1622" spans="1:14" hidden="1" x14ac:dyDescent="0.25">
      <c r="A1622" s="354">
        <v>1</v>
      </c>
      <c r="B1622" s="354">
        <v>0</v>
      </c>
      <c r="C1622" s="354">
        <v>0</v>
      </c>
      <c r="D1622" s="354">
        <v>1</v>
      </c>
      <c r="E1622" s="354">
        <v>3</v>
      </c>
      <c r="F1622" s="354">
        <v>0</v>
      </c>
      <c r="G1622" s="354">
        <v>0</v>
      </c>
      <c r="H1622" s="354">
        <v>0</v>
      </c>
      <c r="I1622" s="354">
        <v>1</v>
      </c>
      <c r="J1622" s="354">
        <v>1</v>
      </c>
      <c r="K1622" s="354">
        <v>0</v>
      </c>
      <c r="L1622" s="354">
        <v>0</v>
      </c>
      <c r="M1622" s="355">
        <v>5</v>
      </c>
      <c r="N1622" s="355">
        <v>2</v>
      </c>
    </row>
    <row r="1623" spans="1:14" hidden="1" x14ac:dyDescent="0.25">
      <c r="A1623" s="354">
        <v>0</v>
      </c>
      <c r="B1623" s="354">
        <v>1</v>
      </c>
      <c r="C1623" s="354">
        <v>1</v>
      </c>
      <c r="D1623" s="354">
        <v>0</v>
      </c>
      <c r="E1623" s="354">
        <v>0</v>
      </c>
      <c r="F1623" s="354">
        <v>0</v>
      </c>
      <c r="G1623" s="354">
        <v>0</v>
      </c>
      <c r="H1623" s="354">
        <v>0</v>
      </c>
      <c r="I1623" s="354">
        <v>1</v>
      </c>
      <c r="J1623" s="354">
        <v>1</v>
      </c>
      <c r="K1623" s="354">
        <v>0</v>
      </c>
      <c r="L1623" s="354">
        <v>0</v>
      </c>
      <c r="M1623" s="355">
        <v>2</v>
      </c>
      <c r="N1623" s="355">
        <v>2</v>
      </c>
    </row>
    <row r="1624" spans="1:14" hidden="1" x14ac:dyDescent="0.25">
      <c r="A1624" s="354">
        <v>1</v>
      </c>
      <c r="B1624" s="354">
        <v>0</v>
      </c>
      <c r="C1624" s="354">
        <v>0</v>
      </c>
      <c r="D1624" s="354">
        <v>2</v>
      </c>
      <c r="E1624" s="354">
        <v>2</v>
      </c>
      <c r="F1624" s="354">
        <v>0</v>
      </c>
      <c r="G1624" s="354">
        <v>1</v>
      </c>
      <c r="H1624" s="354">
        <v>1</v>
      </c>
      <c r="I1624" s="354">
        <v>2</v>
      </c>
      <c r="J1624" s="354">
        <v>3</v>
      </c>
      <c r="K1624" s="354">
        <v>0</v>
      </c>
      <c r="L1624" s="354">
        <v>1</v>
      </c>
      <c r="M1624" s="355">
        <v>6</v>
      </c>
      <c r="N1624" s="355">
        <v>7</v>
      </c>
    </row>
    <row r="1625" spans="1:14" hidden="1" x14ac:dyDescent="0.25">
      <c r="A1625" s="354">
        <v>0</v>
      </c>
      <c r="B1625" s="354">
        <v>1</v>
      </c>
      <c r="C1625" s="354">
        <v>0</v>
      </c>
      <c r="D1625" s="354">
        <v>1</v>
      </c>
      <c r="E1625" s="354">
        <v>1</v>
      </c>
      <c r="F1625" s="354">
        <v>0</v>
      </c>
      <c r="G1625" s="354">
        <v>0</v>
      </c>
      <c r="H1625" s="354">
        <v>0</v>
      </c>
      <c r="I1625" s="354">
        <v>1</v>
      </c>
      <c r="J1625" s="354">
        <v>1</v>
      </c>
      <c r="K1625" s="354">
        <v>0</v>
      </c>
      <c r="L1625" s="354">
        <v>0</v>
      </c>
      <c r="M1625" s="355">
        <v>2</v>
      </c>
      <c r="N1625" s="355">
        <v>3</v>
      </c>
    </row>
    <row r="1626" spans="1:14" hidden="1" x14ac:dyDescent="0.25">
      <c r="A1626" s="354">
        <v>0</v>
      </c>
      <c r="B1626" s="354">
        <v>0</v>
      </c>
      <c r="C1626" s="354">
        <v>0</v>
      </c>
      <c r="D1626" s="354">
        <v>0</v>
      </c>
      <c r="E1626" s="354">
        <v>0</v>
      </c>
      <c r="F1626" s="354">
        <v>0</v>
      </c>
      <c r="G1626" s="354">
        <v>0</v>
      </c>
      <c r="H1626" s="354">
        <v>0</v>
      </c>
      <c r="I1626" s="354">
        <v>1</v>
      </c>
      <c r="J1626" s="354">
        <v>1</v>
      </c>
      <c r="K1626" s="354">
        <v>1</v>
      </c>
      <c r="L1626" s="354">
        <v>0</v>
      </c>
      <c r="M1626" s="355">
        <v>2</v>
      </c>
      <c r="N1626" s="355">
        <v>1</v>
      </c>
    </row>
    <row r="1627" spans="1:14" hidden="1" x14ac:dyDescent="0.25">
      <c r="A1627" s="354">
        <v>0</v>
      </c>
      <c r="B1627" s="354">
        <v>0</v>
      </c>
      <c r="C1627" s="354"/>
      <c r="D1627" s="354">
        <v>2</v>
      </c>
      <c r="E1627" s="354">
        <v>2</v>
      </c>
      <c r="F1627" s="354">
        <v>1</v>
      </c>
      <c r="G1627" s="354">
        <v>1</v>
      </c>
      <c r="H1627" s="354">
        <v>0</v>
      </c>
      <c r="I1627" s="354">
        <v>1</v>
      </c>
      <c r="J1627" s="354">
        <v>1</v>
      </c>
      <c r="K1627" s="354">
        <v>0</v>
      </c>
      <c r="L1627" s="354">
        <v>0</v>
      </c>
      <c r="M1627" s="355">
        <v>4</v>
      </c>
      <c r="N1627" s="355">
        <v>4</v>
      </c>
    </row>
    <row r="1628" spans="1:14" hidden="1" x14ac:dyDescent="0.25">
      <c r="A1628" s="354">
        <v>0</v>
      </c>
      <c r="B1628" s="354">
        <v>1</v>
      </c>
      <c r="C1628" s="354">
        <v>0</v>
      </c>
      <c r="D1628" s="354">
        <v>1</v>
      </c>
      <c r="E1628" s="354">
        <v>0</v>
      </c>
      <c r="F1628" s="354">
        <v>1</v>
      </c>
      <c r="G1628" s="354">
        <v>0</v>
      </c>
      <c r="H1628" s="354">
        <v>0</v>
      </c>
      <c r="I1628" s="354">
        <v>1</v>
      </c>
      <c r="J1628" s="354">
        <v>1</v>
      </c>
      <c r="K1628" s="354">
        <v>0</v>
      </c>
      <c r="L1628" s="354">
        <v>0</v>
      </c>
      <c r="M1628" s="355">
        <v>1</v>
      </c>
      <c r="N1628" s="355">
        <v>4</v>
      </c>
    </row>
    <row r="1629" spans="1:14" hidden="1" x14ac:dyDescent="0.25">
      <c r="A1629" s="354">
        <v>1</v>
      </c>
      <c r="B1629" s="354">
        <v>0</v>
      </c>
      <c r="C1629" s="354">
        <v>1</v>
      </c>
      <c r="D1629" s="354">
        <v>0</v>
      </c>
      <c r="E1629" s="354">
        <v>0</v>
      </c>
      <c r="F1629" s="354">
        <v>0</v>
      </c>
      <c r="G1629" s="354">
        <v>0</v>
      </c>
      <c r="H1629" s="354">
        <v>0</v>
      </c>
      <c r="I1629" s="354">
        <v>1</v>
      </c>
      <c r="J1629" s="354">
        <v>1</v>
      </c>
      <c r="K1629" s="354">
        <v>0</v>
      </c>
      <c r="L1629" s="354">
        <v>0</v>
      </c>
      <c r="M1629" s="355">
        <v>3</v>
      </c>
      <c r="N1629" s="355">
        <v>1</v>
      </c>
    </row>
    <row r="1630" spans="1:14" hidden="1" x14ac:dyDescent="0.25">
      <c r="A1630" s="354">
        <v>0</v>
      </c>
      <c r="B1630" s="354">
        <v>0</v>
      </c>
      <c r="C1630" s="354">
        <v>1</v>
      </c>
      <c r="D1630" s="354">
        <v>0</v>
      </c>
      <c r="E1630" s="354">
        <v>2</v>
      </c>
      <c r="F1630" s="354">
        <v>0</v>
      </c>
      <c r="G1630" s="354">
        <v>0</v>
      </c>
      <c r="H1630" s="354">
        <v>0</v>
      </c>
      <c r="I1630" s="354">
        <v>1</v>
      </c>
      <c r="J1630" s="354">
        <v>1</v>
      </c>
      <c r="K1630" s="354">
        <v>0</v>
      </c>
      <c r="L1630" s="354">
        <v>0</v>
      </c>
      <c r="M1630" s="355">
        <v>4</v>
      </c>
      <c r="N1630" s="355">
        <v>1</v>
      </c>
    </row>
    <row r="1631" spans="1:14" hidden="1" x14ac:dyDescent="0.25">
      <c r="A1631" s="354">
        <v>0</v>
      </c>
      <c r="B1631" s="354">
        <v>0</v>
      </c>
      <c r="C1631" s="354"/>
      <c r="D1631" s="354">
        <v>1</v>
      </c>
      <c r="E1631" s="354">
        <v>0</v>
      </c>
      <c r="F1631" s="354">
        <v>3</v>
      </c>
      <c r="G1631" s="354">
        <v>0</v>
      </c>
      <c r="H1631" s="354">
        <v>3</v>
      </c>
      <c r="I1631" s="354">
        <v>3</v>
      </c>
      <c r="J1631" s="354">
        <v>5</v>
      </c>
      <c r="K1631" s="354">
        <v>0</v>
      </c>
      <c r="L1631" s="354">
        <v>0</v>
      </c>
      <c r="M1631" s="355">
        <v>3</v>
      </c>
      <c r="N1631" s="355">
        <v>12</v>
      </c>
    </row>
    <row r="1632" spans="1:14" hidden="1" x14ac:dyDescent="0.25">
      <c r="A1632" s="354">
        <v>0</v>
      </c>
      <c r="B1632" s="354">
        <v>1</v>
      </c>
      <c r="C1632" s="354">
        <v>5</v>
      </c>
      <c r="D1632" s="354">
        <v>0</v>
      </c>
      <c r="E1632" s="354">
        <v>3</v>
      </c>
      <c r="F1632" s="354">
        <v>2</v>
      </c>
      <c r="G1632" s="354">
        <v>2</v>
      </c>
      <c r="H1632" s="354">
        <v>4</v>
      </c>
      <c r="I1632" s="354">
        <v>6</v>
      </c>
      <c r="J1632" s="354">
        <v>4</v>
      </c>
      <c r="K1632" s="354">
        <v>0</v>
      </c>
      <c r="L1632" s="354">
        <v>0</v>
      </c>
      <c r="M1632" s="355">
        <v>16</v>
      </c>
      <c r="N1632" s="355">
        <v>11</v>
      </c>
    </row>
    <row r="1633" spans="1:14" hidden="1" x14ac:dyDescent="0.25">
      <c r="A1633" s="354">
        <v>1</v>
      </c>
      <c r="B1633" s="354">
        <v>0</v>
      </c>
      <c r="C1633" s="354">
        <v>0</v>
      </c>
      <c r="D1633" s="354">
        <v>1</v>
      </c>
      <c r="E1633" s="354">
        <v>0</v>
      </c>
      <c r="F1633" s="354">
        <v>0</v>
      </c>
      <c r="G1633" s="354">
        <v>0</v>
      </c>
      <c r="H1633" s="354">
        <v>0</v>
      </c>
      <c r="I1633" s="354">
        <v>1</v>
      </c>
      <c r="J1633" s="354">
        <v>1</v>
      </c>
      <c r="K1633" s="354">
        <v>0</v>
      </c>
      <c r="L1633" s="354">
        <v>0</v>
      </c>
      <c r="M1633" s="355">
        <v>2</v>
      </c>
      <c r="N1633" s="355">
        <v>2</v>
      </c>
    </row>
    <row r="1634" spans="1:14" hidden="1" x14ac:dyDescent="0.25">
      <c r="A1634" s="354">
        <v>0</v>
      </c>
      <c r="B1634" s="354">
        <v>0</v>
      </c>
      <c r="C1634" s="354">
        <v>0</v>
      </c>
      <c r="D1634" s="354">
        <v>1</v>
      </c>
      <c r="E1634" s="354">
        <v>4</v>
      </c>
      <c r="F1634" s="354">
        <v>0</v>
      </c>
      <c r="G1634" s="354">
        <v>0</v>
      </c>
      <c r="H1634" s="354">
        <v>0</v>
      </c>
      <c r="I1634" s="354">
        <v>0</v>
      </c>
      <c r="J1634" s="354">
        <v>1</v>
      </c>
      <c r="K1634" s="354">
        <v>1</v>
      </c>
      <c r="L1634" s="354">
        <v>0</v>
      </c>
      <c r="M1634" s="355">
        <v>5</v>
      </c>
      <c r="N1634" s="355">
        <v>2</v>
      </c>
    </row>
    <row r="1635" spans="1:14" hidden="1" x14ac:dyDescent="0.25">
      <c r="A1635" s="354">
        <v>1</v>
      </c>
      <c r="B1635" s="354">
        <v>0</v>
      </c>
      <c r="C1635" s="354">
        <v>0</v>
      </c>
      <c r="D1635" s="354">
        <v>2</v>
      </c>
      <c r="E1635" s="354">
        <v>1</v>
      </c>
      <c r="F1635" s="354">
        <v>2</v>
      </c>
      <c r="G1635" s="354">
        <v>0</v>
      </c>
      <c r="H1635" s="354">
        <v>2</v>
      </c>
      <c r="I1635" s="354">
        <v>2</v>
      </c>
      <c r="J1635" s="354">
        <v>2</v>
      </c>
      <c r="K1635" s="354">
        <v>0</v>
      </c>
      <c r="L1635" s="354">
        <v>0</v>
      </c>
      <c r="M1635" s="355">
        <v>4</v>
      </c>
      <c r="N1635" s="355">
        <v>8</v>
      </c>
    </row>
    <row r="1636" spans="1:14" hidden="1" x14ac:dyDescent="0.25">
      <c r="A1636" s="354">
        <v>1</v>
      </c>
      <c r="B1636" s="354">
        <v>0</v>
      </c>
      <c r="C1636" s="354">
        <v>0</v>
      </c>
      <c r="D1636" s="354">
        <v>1</v>
      </c>
      <c r="E1636" s="354">
        <v>0</v>
      </c>
      <c r="F1636" s="354">
        <v>0</v>
      </c>
      <c r="G1636" s="354">
        <v>0</v>
      </c>
      <c r="H1636" s="354">
        <v>0</v>
      </c>
      <c r="I1636" s="354">
        <v>1</v>
      </c>
      <c r="J1636" s="354">
        <v>1</v>
      </c>
      <c r="K1636" s="354">
        <v>0</v>
      </c>
      <c r="L1636" s="354">
        <v>0</v>
      </c>
      <c r="M1636" s="355">
        <v>2</v>
      </c>
      <c r="N1636" s="355">
        <v>2</v>
      </c>
    </row>
    <row r="1637" spans="1:14" hidden="1" x14ac:dyDescent="0.25">
      <c r="A1637" s="354">
        <v>1</v>
      </c>
      <c r="B1637" s="354">
        <v>0</v>
      </c>
      <c r="C1637" s="354">
        <v>1</v>
      </c>
      <c r="D1637" s="354">
        <v>0</v>
      </c>
      <c r="E1637" s="354">
        <v>0</v>
      </c>
      <c r="F1637" s="354">
        <v>3</v>
      </c>
      <c r="G1637" s="354">
        <v>0</v>
      </c>
      <c r="H1637" s="354">
        <v>1</v>
      </c>
      <c r="I1637" s="354">
        <v>1</v>
      </c>
      <c r="J1637" s="354">
        <v>1</v>
      </c>
      <c r="K1637" s="354">
        <v>0</v>
      </c>
      <c r="L1637" s="354">
        <v>0</v>
      </c>
      <c r="M1637" s="355">
        <v>3</v>
      </c>
      <c r="N1637" s="355">
        <v>5</v>
      </c>
    </row>
    <row r="1638" spans="1:14" hidden="1" x14ac:dyDescent="0.25">
      <c r="A1638" s="354">
        <v>0</v>
      </c>
      <c r="B1638" s="354">
        <v>1</v>
      </c>
      <c r="C1638" s="354">
        <v>1</v>
      </c>
      <c r="D1638" s="354">
        <v>0</v>
      </c>
      <c r="E1638" s="354">
        <v>0</v>
      </c>
      <c r="F1638" s="354">
        <v>1</v>
      </c>
      <c r="G1638" s="354">
        <v>0</v>
      </c>
      <c r="H1638" s="354">
        <v>1</v>
      </c>
      <c r="I1638" s="354">
        <v>1</v>
      </c>
      <c r="J1638" s="354">
        <v>1</v>
      </c>
      <c r="K1638" s="354">
        <v>0</v>
      </c>
      <c r="L1638" s="354">
        <v>0</v>
      </c>
      <c r="M1638" s="355">
        <v>2</v>
      </c>
      <c r="N1638" s="355">
        <v>4</v>
      </c>
    </row>
    <row r="1639" spans="1:14" hidden="1" x14ac:dyDescent="0.25">
      <c r="A1639" s="354">
        <v>0</v>
      </c>
      <c r="B1639" s="354">
        <v>0</v>
      </c>
      <c r="C1639" s="354">
        <v>0</v>
      </c>
      <c r="D1639" s="354">
        <v>1</v>
      </c>
      <c r="E1639" s="354">
        <v>2</v>
      </c>
      <c r="F1639" s="354">
        <v>2</v>
      </c>
      <c r="G1639" s="354">
        <v>1</v>
      </c>
      <c r="H1639" s="354">
        <v>0</v>
      </c>
      <c r="I1639" s="354">
        <v>1</v>
      </c>
      <c r="J1639" s="354">
        <v>2</v>
      </c>
      <c r="K1639" s="354">
        <v>0</v>
      </c>
      <c r="L1639" s="354">
        <v>0</v>
      </c>
      <c r="M1639" s="355">
        <v>4</v>
      </c>
      <c r="N1639" s="355">
        <v>5</v>
      </c>
    </row>
    <row r="1640" spans="1:14" hidden="1" x14ac:dyDescent="0.25">
      <c r="A1640" s="354">
        <v>0</v>
      </c>
      <c r="B1640" s="354">
        <v>0</v>
      </c>
      <c r="C1640" s="354">
        <v>1</v>
      </c>
      <c r="D1640" s="354">
        <v>1</v>
      </c>
      <c r="E1640" s="354">
        <v>1</v>
      </c>
      <c r="F1640" s="354">
        <v>0</v>
      </c>
      <c r="G1640" s="354">
        <v>0</v>
      </c>
      <c r="H1640" s="354">
        <v>1</v>
      </c>
      <c r="I1640" s="354">
        <v>0</v>
      </c>
      <c r="J1640" s="354">
        <v>1</v>
      </c>
      <c r="K1640" s="354">
        <v>0</v>
      </c>
      <c r="L1640" s="354">
        <v>1</v>
      </c>
      <c r="M1640" s="355">
        <v>2</v>
      </c>
      <c r="N1640" s="355">
        <v>4</v>
      </c>
    </row>
    <row r="1641" spans="1:14" hidden="1" x14ac:dyDescent="0.25">
      <c r="A1641" s="354">
        <v>1</v>
      </c>
      <c r="B1641" s="354">
        <v>0</v>
      </c>
      <c r="C1641" s="354">
        <v>0</v>
      </c>
      <c r="D1641" s="354">
        <v>0</v>
      </c>
      <c r="E1641" s="354">
        <v>0</v>
      </c>
      <c r="F1641" s="354">
        <v>0</v>
      </c>
      <c r="G1641" s="354">
        <v>0</v>
      </c>
      <c r="H1641" s="354">
        <v>0</v>
      </c>
      <c r="I1641" s="354">
        <v>1</v>
      </c>
      <c r="J1641" s="354">
        <v>1</v>
      </c>
      <c r="K1641" s="354">
        <v>0</v>
      </c>
      <c r="L1641" s="354">
        <v>0</v>
      </c>
      <c r="M1641" s="355">
        <v>2</v>
      </c>
      <c r="N1641" s="355">
        <v>1</v>
      </c>
    </row>
    <row r="1642" spans="1:14" hidden="1" x14ac:dyDescent="0.25">
      <c r="A1642" s="354">
        <v>1</v>
      </c>
      <c r="B1642" s="354">
        <v>0</v>
      </c>
      <c r="C1642" s="354">
        <v>1</v>
      </c>
      <c r="D1642" s="354">
        <v>0</v>
      </c>
      <c r="E1642" s="354">
        <v>0</v>
      </c>
      <c r="F1642" s="354">
        <v>0</v>
      </c>
      <c r="G1642" s="354">
        <v>0</v>
      </c>
      <c r="H1642" s="354">
        <v>0</v>
      </c>
      <c r="I1642" s="354">
        <v>0</v>
      </c>
      <c r="J1642" s="354">
        <v>1</v>
      </c>
      <c r="K1642" s="354">
        <v>0</v>
      </c>
      <c r="L1642" s="354">
        <v>0</v>
      </c>
      <c r="M1642" s="355">
        <v>2</v>
      </c>
      <c r="N1642" s="355">
        <v>1</v>
      </c>
    </row>
    <row r="1643" spans="1:14" hidden="1" x14ac:dyDescent="0.25">
      <c r="A1643" s="354">
        <v>0</v>
      </c>
      <c r="B1643" s="354">
        <v>2</v>
      </c>
      <c r="C1643" s="354">
        <v>0</v>
      </c>
      <c r="D1643" s="354">
        <v>0</v>
      </c>
      <c r="E1643" s="354">
        <v>2</v>
      </c>
      <c r="F1643" s="354">
        <v>0</v>
      </c>
      <c r="G1643" s="354">
        <v>0</v>
      </c>
      <c r="H1643" s="354">
        <v>0</v>
      </c>
      <c r="I1643" s="354">
        <v>1</v>
      </c>
      <c r="J1643" s="354">
        <v>1</v>
      </c>
      <c r="K1643" s="354">
        <v>0</v>
      </c>
      <c r="L1643" s="354">
        <v>0</v>
      </c>
      <c r="M1643" s="355">
        <v>3</v>
      </c>
      <c r="N1643" s="355">
        <v>3</v>
      </c>
    </row>
    <row r="1644" spans="1:14" hidden="1" x14ac:dyDescent="0.25">
      <c r="A1644" s="354">
        <v>0</v>
      </c>
      <c r="B1644" s="354">
        <v>0</v>
      </c>
      <c r="C1644" s="354">
        <v>1</v>
      </c>
      <c r="D1644" s="354">
        <v>0</v>
      </c>
      <c r="E1644" s="354">
        <v>1</v>
      </c>
      <c r="F1644" s="354">
        <v>0</v>
      </c>
      <c r="G1644" s="354">
        <v>0</v>
      </c>
      <c r="H1644" s="354">
        <v>0</v>
      </c>
      <c r="I1644" s="354">
        <v>1</v>
      </c>
      <c r="J1644" s="354">
        <v>1</v>
      </c>
      <c r="K1644" s="354">
        <v>0</v>
      </c>
      <c r="L1644" s="354">
        <v>0</v>
      </c>
      <c r="M1644" s="355">
        <v>3</v>
      </c>
      <c r="N1644" s="355">
        <v>1</v>
      </c>
    </row>
    <row r="1645" spans="1:14" hidden="1" x14ac:dyDescent="0.25">
      <c r="A1645" s="354">
        <v>0</v>
      </c>
      <c r="B1645" s="354">
        <v>0</v>
      </c>
      <c r="C1645" s="354">
        <v>0</v>
      </c>
      <c r="D1645" s="354">
        <v>0</v>
      </c>
      <c r="E1645" s="354">
        <v>2</v>
      </c>
      <c r="F1645" s="354">
        <v>0</v>
      </c>
      <c r="G1645" s="354">
        <v>0</v>
      </c>
      <c r="H1645" s="354">
        <v>0</v>
      </c>
      <c r="I1645" s="354">
        <v>0</v>
      </c>
      <c r="J1645" s="354">
        <v>1</v>
      </c>
      <c r="K1645" s="354">
        <v>1</v>
      </c>
      <c r="L1645" s="354">
        <v>0</v>
      </c>
      <c r="M1645" s="355">
        <v>3</v>
      </c>
      <c r="N1645" s="355">
        <v>1</v>
      </c>
    </row>
    <row r="1646" spans="1:14" hidden="1" x14ac:dyDescent="0.25">
      <c r="A1646" s="354">
        <v>0</v>
      </c>
      <c r="B1646" s="354">
        <v>1</v>
      </c>
      <c r="C1646" s="354">
        <v>2</v>
      </c>
      <c r="D1646" s="354">
        <v>0</v>
      </c>
      <c r="E1646" s="354">
        <v>1</v>
      </c>
      <c r="F1646" s="354">
        <v>0</v>
      </c>
      <c r="G1646" s="354">
        <v>0</v>
      </c>
      <c r="H1646" s="354">
        <v>0</v>
      </c>
      <c r="I1646" s="354">
        <v>1</v>
      </c>
      <c r="J1646" s="354">
        <v>2</v>
      </c>
      <c r="K1646" s="354">
        <v>0</v>
      </c>
      <c r="L1646" s="354">
        <v>0</v>
      </c>
      <c r="M1646" s="355">
        <v>4</v>
      </c>
      <c r="N1646" s="355">
        <v>3</v>
      </c>
    </row>
    <row r="1647" spans="1:14" hidden="1" x14ac:dyDescent="0.25">
      <c r="A1647" s="354">
        <v>1</v>
      </c>
      <c r="B1647" s="354">
        <v>0</v>
      </c>
      <c r="C1647" s="354">
        <v>0</v>
      </c>
      <c r="D1647" s="354">
        <v>0</v>
      </c>
      <c r="E1647" s="354">
        <v>0</v>
      </c>
      <c r="F1647" s="354">
        <v>1</v>
      </c>
      <c r="G1647" s="354">
        <v>0</v>
      </c>
      <c r="H1647" s="354">
        <v>2</v>
      </c>
      <c r="I1647" s="354">
        <v>1</v>
      </c>
      <c r="J1647" s="354">
        <v>3</v>
      </c>
      <c r="K1647" s="354">
        <v>0</v>
      </c>
      <c r="L1647" s="354">
        <v>0</v>
      </c>
      <c r="M1647" s="355">
        <v>2</v>
      </c>
      <c r="N1647" s="355">
        <v>6</v>
      </c>
    </row>
    <row r="1648" spans="1:14" hidden="1" x14ac:dyDescent="0.25">
      <c r="A1648" s="354">
        <v>0</v>
      </c>
      <c r="B1648" s="354">
        <v>0</v>
      </c>
      <c r="C1648" s="354">
        <v>0</v>
      </c>
      <c r="D1648" s="354">
        <v>1</v>
      </c>
      <c r="E1648" s="354">
        <v>1</v>
      </c>
      <c r="F1648" s="354">
        <v>0</v>
      </c>
      <c r="G1648" s="354">
        <v>1</v>
      </c>
      <c r="H1648" s="354">
        <v>1</v>
      </c>
      <c r="I1648" s="354">
        <v>2</v>
      </c>
      <c r="J1648" s="354">
        <v>1</v>
      </c>
      <c r="K1648" s="354">
        <v>0</v>
      </c>
      <c r="L1648" s="354">
        <v>0</v>
      </c>
      <c r="M1648" s="355">
        <v>4</v>
      </c>
      <c r="N1648" s="355">
        <v>3</v>
      </c>
    </row>
    <row r="1649" spans="1:14" hidden="1" x14ac:dyDescent="0.25">
      <c r="A1649" s="354">
        <v>0</v>
      </c>
      <c r="B1649" s="354">
        <v>1</v>
      </c>
      <c r="C1649" s="354">
        <v>0</v>
      </c>
      <c r="D1649" s="354">
        <v>1</v>
      </c>
      <c r="E1649" s="354">
        <v>3</v>
      </c>
      <c r="F1649" s="354">
        <v>0</v>
      </c>
      <c r="G1649" s="354">
        <v>1</v>
      </c>
      <c r="H1649" s="354">
        <v>0</v>
      </c>
      <c r="I1649" s="354">
        <v>1</v>
      </c>
      <c r="J1649" s="354">
        <v>1</v>
      </c>
      <c r="K1649" s="354">
        <v>0</v>
      </c>
      <c r="L1649" s="354">
        <v>0</v>
      </c>
      <c r="M1649" s="355">
        <v>5</v>
      </c>
      <c r="N1649" s="355">
        <v>3</v>
      </c>
    </row>
    <row r="1650" spans="1:14" hidden="1" x14ac:dyDescent="0.25">
      <c r="A1650" s="354">
        <v>0</v>
      </c>
      <c r="B1650" s="354">
        <v>0</v>
      </c>
      <c r="C1650" s="354">
        <v>0</v>
      </c>
      <c r="D1650" s="354">
        <v>0</v>
      </c>
      <c r="E1650" s="354">
        <v>0</v>
      </c>
      <c r="F1650" s="354">
        <v>2</v>
      </c>
      <c r="G1650" s="354">
        <v>1</v>
      </c>
      <c r="H1650" s="354">
        <v>1</v>
      </c>
      <c r="I1650" s="354">
        <v>2</v>
      </c>
      <c r="J1650" s="354">
        <v>1</v>
      </c>
      <c r="K1650" s="354">
        <v>0</v>
      </c>
      <c r="L1650" s="354">
        <v>0</v>
      </c>
      <c r="M1650" s="355">
        <v>3</v>
      </c>
      <c r="N1650" s="355">
        <v>4</v>
      </c>
    </row>
    <row r="1651" spans="1:14" hidden="1" x14ac:dyDescent="0.25">
      <c r="A1651" s="354">
        <v>1</v>
      </c>
      <c r="B1651" s="354">
        <v>0</v>
      </c>
      <c r="C1651" s="354">
        <v>0</v>
      </c>
      <c r="D1651" s="354">
        <v>1</v>
      </c>
      <c r="E1651" s="354">
        <v>1</v>
      </c>
      <c r="F1651" s="354">
        <v>1</v>
      </c>
      <c r="G1651" s="354">
        <v>1</v>
      </c>
      <c r="H1651" s="354">
        <v>1</v>
      </c>
      <c r="I1651" s="354">
        <v>1</v>
      </c>
      <c r="J1651" s="354">
        <v>1</v>
      </c>
      <c r="K1651" s="354">
        <v>0</v>
      </c>
      <c r="L1651" s="354">
        <v>0</v>
      </c>
      <c r="M1651" s="355">
        <v>4</v>
      </c>
      <c r="N1651" s="355">
        <v>4</v>
      </c>
    </row>
    <row r="1652" spans="1:14" hidden="1" x14ac:dyDescent="0.25">
      <c r="A1652" s="354">
        <v>0</v>
      </c>
      <c r="B1652" s="354">
        <v>1</v>
      </c>
      <c r="C1652" s="354">
        <v>0</v>
      </c>
      <c r="D1652" s="354">
        <v>0</v>
      </c>
      <c r="E1652" s="354">
        <v>0</v>
      </c>
      <c r="F1652" s="354">
        <v>0</v>
      </c>
      <c r="G1652" s="354">
        <v>0</v>
      </c>
      <c r="H1652" s="354">
        <v>0</v>
      </c>
      <c r="I1652" s="354">
        <v>1</v>
      </c>
      <c r="J1652" s="354">
        <v>1</v>
      </c>
      <c r="K1652" s="354">
        <v>0</v>
      </c>
      <c r="L1652" s="354">
        <v>0</v>
      </c>
      <c r="M1652" s="355">
        <v>1</v>
      </c>
      <c r="N1652" s="355">
        <v>2</v>
      </c>
    </row>
    <row r="1653" spans="1:14" hidden="1" x14ac:dyDescent="0.25">
      <c r="A1653" s="354">
        <v>0</v>
      </c>
      <c r="B1653" s="354">
        <v>0</v>
      </c>
      <c r="C1653" s="354">
        <v>1</v>
      </c>
      <c r="D1653" s="354">
        <v>1</v>
      </c>
      <c r="E1653" s="354">
        <v>1</v>
      </c>
      <c r="F1653" s="354">
        <v>0</v>
      </c>
      <c r="G1653" s="354">
        <v>1</v>
      </c>
      <c r="H1653" s="354">
        <v>0</v>
      </c>
      <c r="I1653" s="354">
        <v>1</v>
      </c>
      <c r="J1653" s="354">
        <v>1</v>
      </c>
      <c r="K1653" s="354">
        <v>0</v>
      </c>
      <c r="L1653" s="354">
        <v>0</v>
      </c>
      <c r="M1653" s="355">
        <v>4</v>
      </c>
      <c r="N1653" s="355">
        <v>2</v>
      </c>
    </row>
    <row r="1654" spans="1:14" hidden="1" x14ac:dyDescent="0.25">
      <c r="A1654" s="354">
        <v>1</v>
      </c>
      <c r="B1654" s="354">
        <v>0</v>
      </c>
      <c r="C1654" s="354">
        <v>1</v>
      </c>
      <c r="D1654" s="354">
        <v>0</v>
      </c>
      <c r="E1654" s="354">
        <v>0</v>
      </c>
      <c r="F1654" s="354">
        <v>0</v>
      </c>
      <c r="G1654" s="354">
        <v>0</v>
      </c>
      <c r="H1654" s="354">
        <v>0</v>
      </c>
      <c r="I1654" s="354">
        <v>0</v>
      </c>
      <c r="J1654" s="354">
        <v>0</v>
      </c>
      <c r="K1654" s="354">
        <v>0</v>
      </c>
      <c r="L1654" s="354">
        <v>0</v>
      </c>
      <c r="M1654" s="355">
        <v>2</v>
      </c>
      <c r="N1654" s="355">
        <v>0</v>
      </c>
    </row>
    <row r="1655" spans="1:14" hidden="1" x14ac:dyDescent="0.25">
      <c r="A1655" s="354">
        <v>0</v>
      </c>
      <c r="B1655" s="354">
        <v>0</v>
      </c>
      <c r="C1655" s="354">
        <v>0</v>
      </c>
      <c r="D1655" s="354">
        <v>1</v>
      </c>
      <c r="E1655" s="354">
        <v>0</v>
      </c>
      <c r="F1655" s="354">
        <v>0</v>
      </c>
      <c r="G1655" s="354">
        <v>2</v>
      </c>
      <c r="H1655" s="354">
        <v>1</v>
      </c>
      <c r="I1655" s="354">
        <v>1</v>
      </c>
      <c r="J1655" s="354">
        <v>1</v>
      </c>
      <c r="K1655" s="354">
        <v>0</v>
      </c>
      <c r="L1655" s="354">
        <v>0</v>
      </c>
      <c r="M1655" s="355">
        <v>3</v>
      </c>
      <c r="N1655" s="355">
        <v>3</v>
      </c>
    </row>
    <row r="1656" spans="1:14" hidden="1" x14ac:dyDescent="0.25">
      <c r="A1656" s="354">
        <v>0</v>
      </c>
      <c r="B1656" s="354">
        <v>0</v>
      </c>
      <c r="C1656" s="354">
        <v>1</v>
      </c>
      <c r="D1656" s="354">
        <v>0</v>
      </c>
      <c r="E1656" s="354">
        <v>1</v>
      </c>
      <c r="F1656" s="354">
        <v>0</v>
      </c>
      <c r="G1656" s="354">
        <v>1</v>
      </c>
      <c r="H1656" s="354">
        <v>1</v>
      </c>
      <c r="I1656" s="354">
        <v>1</v>
      </c>
      <c r="J1656" s="354">
        <v>1</v>
      </c>
      <c r="K1656" s="354">
        <v>0</v>
      </c>
      <c r="L1656" s="354">
        <v>0</v>
      </c>
      <c r="M1656" s="355">
        <v>4</v>
      </c>
      <c r="N1656" s="355">
        <v>2</v>
      </c>
    </row>
    <row r="1657" spans="1:14" hidden="1" x14ac:dyDescent="0.25">
      <c r="A1657" s="354">
        <v>0</v>
      </c>
      <c r="B1657" s="354">
        <v>0</v>
      </c>
      <c r="C1657" s="354">
        <v>0</v>
      </c>
      <c r="D1657" s="354">
        <v>0</v>
      </c>
      <c r="E1657" s="354">
        <v>0</v>
      </c>
      <c r="F1657" s="354">
        <v>1</v>
      </c>
      <c r="G1657" s="354">
        <v>1</v>
      </c>
      <c r="H1657" s="354">
        <v>1</v>
      </c>
      <c r="I1657" s="354">
        <v>1</v>
      </c>
      <c r="J1657" s="354">
        <v>2</v>
      </c>
      <c r="K1657" s="354">
        <v>0</v>
      </c>
      <c r="L1657" s="354">
        <v>0</v>
      </c>
      <c r="M1657" s="355">
        <v>2</v>
      </c>
      <c r="N1657" s="355">
        <v>4</v>
      </c>
    </row>
    <row r="1658" spans="1:14" hidden="1" x14ac:dyDescent="0.25">
      <c r="A1658" s="354">
        <v>0</v>
      </c>
      <c r="B1658" s="354">
        <v>1</v>
      </c>
      <c r="C1658" s="354">
        <v>0</v>
      </c>
      <c r="D1658" s="354">
        <v>0</v>
      </c>
      <c r="E1658" s="354">
        <v>0</v>
      </c>
      <c r="F1658" s="354">
        <v>0</v>
      </c>
      <c r="G1658" s="354">
        <v>0</v>
      </c>
      <c r="H1658" s="354">
        <v>0</v>
      </c>
      <c r="I1658" s="354">
        <v>1</v>
      </c>
      <c r="J1658" s="354">
        <v>1</v>
      </c>
      <c r="K1658" s="354">
        <v>0</v>
      </c>
      <c r="L1658" s="354">
        <v>0</v>
      </c>
      <c r="M1658" s="355">
        <v>1</v>
      </c>
      <c r="N1658" s="355">
        <v>2</v>
      </c>
    </row>
    <row r="1659" spans="1:14" hidden="1" x14ac:dyDescent="0.25">
      <c r="A1659" s="354">
        <v>1</v>
      </c>
      <c r="B1659" s="354">
        <v>0</v>
      </c>
      <c r="C1659" s="354">
        <v>0</v>
      </c>
      <c r="D1659" s="354">
        <v>0</v>
      </c>
      <c r="E1659" s="354">
        <v>1</v>
      </c>
      <c r="F1659" s="354">
        <v>2</v>
      </c>
      <c r="G1659" s="354">
        <v>0</v>
      </c>
      <c r="H1659" s="354">
        <v>1</v>
      </c>
      <c r="I1659" s="354">
        <v>1</v>
      </c>
      <c r="J1659" s="354">
        <v>1</v>
      </c>
      <c r="K1659" s="354">
        <v>0</v>
      </c>
      <c r="L1659" s="354">
        <v>0</v>
      </c>
      <c r="M1659" s="355">
        <v>3</v>
      </c>
      <c r="N1659" s="355">
        <v>4</v>
      </c>
    </row>
    <row r="1660" spans="1:14" hidden="1" x14ac:dyDescent="0.25">
      <c r="A1660" s="354">
        <v>1</v>
      </c>
      <c r="B1660" s="354">
        <v>0</v>
      </c>
      <c r="C1660" s="354">
        <v>1</v>
      </c>
      <c r="D1660" s="354">
        <v>0</v>
      </c>
      <c r="E1660" s="354">
        <v>0</v>
      </c>
      <c r="F1660" s="354">
        <v>2</v>
      </c>
      <c r="G1660" s="354">
        <v>0</v>
      </c>
      <c r="H1660" s="354">
        <v>0</v>
      </c>
      <c r="I1660" s="354">
        <v>0</v>
      </c>
      <c r="J1660" s="354">
        <v>3</v>
      </c>
      <c r="K1660" s="354">
        <v>0</v>
      </c>
      <c r="L1660" s="354">
        <v>0</v>
      </c>
      <c r="M1660" s="355">
        <v>2</v>
      </c>
      <c r="N1660" s="355">
        <v>5</v>
      </c>
    </row>
    <row r="1661" spans="1:14" hidden="1" x14ac:dyDescent="0.25">
      <c r="A1661" s="354">
        <v>0</v>
      </c>
      <c r="B1661" s="354">
        <v>1</v>
      </c>
      <c r="C1661" s="354">
        <v>0</v>
      </c>
      <c r="D1661" s="354">
        <v>1</v>
      </c>
      <c r="E1661" s="354">
        <v>0</v>
      </c>
      <c r="F1661" s="354">
        <v>2</v>
      </c>
      <c r="G1661" s="354">
        <v>1</v>
      </c>
      <c r="H1661" s="354">
        <v>1</v>
      </c>
      <c r="I1661" s="354">
        <v>1</v>
      </c>
      <c r="J1661" s="354">
        <v>1</v>
      </c>
      <c r="K1661" s="354">
        <v>0</v>
      </c>
      <c r="L1661" s="354">
        <v>0</v>
      </c>
      <c r="M1661" s="355">
        <v>2</v>
      </c>
      <c r="N1661" s="355">
        <v>6</v>
      </c>
    </row>
    <row r="1662" spans="1:14" hidden="1" x14ac:dyDescent="0.25">
      <c r="A1662" s="354">
        <v>0</v>
      </c>
      <c r="B1662" s="354">
        <v>0</v>
      </c>
      <c r="C1662" s="354">
        <v>0</v>
      </c>
      <c r="D1662" s="354">
        <v>0</v>
      </c>
      <c r="E1662" s="354">
        <v>0</v>
      </c>
      <c r="F1662" s="354">
        <v>1</v>
      </c>
      <c r="G1662" s="354">
        <v>1</v>
      </c>
      <c r="H1662" s="354">
        <v>1</v>
      </c>
      <c r="I1662" s="354">
        <v>1</v>
      </c>
      <c r="J1662" s="354">
        <v>1</v>
      </c>
      <c r="K1662" s="354">
        <v>0</v>
      </c>
      <c r="L1662" s="354">
        <v>0</v>
      </c>
      <c r="M1662" s="355">
        <v>2</v>
      </c>
      <c r="N1662" s="355">
        <v>3</v>
      </c>
    </row>
    <row r="1663" spans="1:14" hidden="1" x14ac:dyDescent="0.25">
      <c r="A1663" s="354">
        <v>0</v>
      </c>
      <c r="B1663" s="354">
        <v>1</v>
      </c>
      <c r="C1663" s="354">
        <v>1</v>
      </c>
      <c r="D1663" s="354">
        <v>0</v>
      </c>
      <c r="E1663" s="354">
        <v>1</v>
      </c>
      <c r="F1663" s="354">
        <v>2</v>
      </c>
      <c r="G1663" s="354">
        <v>0</v>
      </c>
      <c r="H1663" s="354">
        <v>0</v>
      </c>
      <c r="I1663" s="354">
        <v>1</v>
      </c>
      <c r="J1663" s="354">
        <v>1</v>
      </c>
      <c r="K1663" s="354">
        <v>0</v>
      </c>
      <c r="L1663" s="354">
        <v>0</v>
      </c>
      <c r="M1663" s="355">
        <v>3</v>
      </c>
      <c r="N1663" s="355">
        <v>4</v>
      </c>
    </row>
    <row r="1664" spans="1:14" hidden="1" x14ac:dyDescent="0.25">
      <c r="A1664" s="354">
        <v>0</v>
      </c>
      <c r="B1664" s="354">
        <v>0</v>
      </c>
      <c r="C1664" s="354">
        <v>1</v>
      </c>
      <c r="D1664" s="354">
        <v>1</v>
      </c>
      <c r="E1664" s="354">
        <v>1</v>
      </c>
      <c r="F1664" s="354">
        <v>1</v>
      </c>
      <c r="G1664" s="354">
        <v>0</v>
      </c>
      <c r="H1664" s="354">
        <v>2</v>
      </c>
      <c r="I1664" s="354">
        <v>0</v>
      </c>
      <c r="J1664" s="354">
        <v>1</v>
      </c>
      <c r="K1664" s="354">
        <v>0</v>
      </c>
      <c r="L1664" s="354">
        <v>0</v>
      </c>
      <c r="M1664" s="355">
        <v>2</v>
      </c>
      <c r="N1664" s="355">
        <v>5</v>
      </c>
    </row>
    <row r="1665" spans="1:14" hidden="1" x14ac:dyDescent="0.25">
      <c r="A1665" s="354">
        <v>0</v>
      </c>
      <c r="B1665" s="354">
        <v>0</v>
      </c>
      <c r="C1665" s="354">
        <v>0</v>
      </c>
      <c r="D1665" s="354">
        <v>1</v>
      </c>
      <c r="E1665" s="354">
        <v>1</v>
      </c>
      <c r="F1665" s="354">
        <v>1</v>
      </c>
      <c r="G1665" s="354">
        <v>0</v>
      </c>
      <c r="H1665" s="354">
        <v>1</v>
      </c>
      <c r="I1665" s="354">
        <v>1</v>
      </c>
      <c r="J1665" s="354">
        <v>1</v>
      </c>
      <c r="K1665" s="354">
        <v>0</v>
      </c>
      <c r="L1665" s="354">
        <v>0</v>
      </c>
      <c r="M1665" s="355">
        <v>2</v>
      </c>
      <c r="N1665" s="355">
        <v>4</v>
      </c>
    </row>
    <row r="1666" spans="1:14" hidden="1" x14ac:dyDescent="0.25">
      <c r="A1666" s="354">
        <v>1</v>
      </c>
      <c r="B1666" s="354">
        <v>1</v>
      </c>
      <c r="C1666" s="354">
        <v>1</v>
      </c>
      <c r="D1666" s="354">
        <v>0</v>
      </c>
      <c r="E1666" s="354">
        <v>0</v>
      </c>
      <c r="F1666" s="354">
        <v>1</v>
      </c>
      <c r="G1666" s="354">
        <v>0</v>
      </c>
      <c r="H1666" s="354">
        <v>0</v>
      </c>
      <c r="I1666" s="354">
        <v>1</v>
      </c>
      <c r="J1666" s="354">
        <v>1</v>
      </c>
      <c r="K1666" s="354">
        <v>0</v>
      </c>
      <c r="L1666" s="354">
        <v>0</v>
      </c>
      <c r="M1666" s="355">
        <v>3</v>
      </c>
      <c r="N1666" s="355">
        <v>3</v>
      </c>
    </row>
    <row r="1667" spans="1:14" hidden="1" x14ac:dyDescent="0.25">
      <c r="A1667" s="354">
        <v>0</v>
      </c>
      <c r="B1667" s="354">
        <v>0</v>
      </c>
      <c r="C1667" s="354">
        <v>1</v>
      </c>
      <c r="D1667" s="354">
        <v>1</v>
      </c>
      <c r="E1667" s="354">
        <v>1</v>
      </c>
      <c r="F1667" s="354">
        <v>2</v>
      </c>
      <c r="G1667" s="354">
        <v>0</v>
      </c>
      <c r="H1667" s="354">
        <v>1</v>
      </c>
      <c r="I1667" s="354">
        <v>1</v>
      </c>
      <c r="J1667" s="354">
        <v>1</v>
      </c>
      <c r="K1667" s="354">
        <v>0</v>
      </c>
      <c r="L1667" s="354">
        <v>0</v>
      </c>
      <c r="M1667" s="355">
        <v>3</v>
      </c>
      <c r="N1667" s="355">
        <v>5</v>
      </c>
    </row>
    <row r="1668" spans="1:14" hidden="1" x14ac:dyDescent="0.25">
      <c r="A1668" s="354">
        <v>0</v>
      </c>
      <c r="B1668" s="354">
        <v>0</v>
      </c>
      <c r="C1668" s="354">
        <v>1</v>
      </c>
      <c r="D1668" s="354">
        <v>1</v>
      </c>
      <c r="E1668" s="354">
        <v>0</v>
      </c>
      <c r="F1668" s="354">
        <v>1</v>
      </c>
      <c r="G1668" s="354">
        <v>1</v>
      </c>
      <c r="H1668" s="354">
        <v>0</v>
      </c>
      <c r="I1668" s="354">
        <v>1</v>
      </c>
      <c r="J1668" s="354">
        <v>1</v>
      </c>
      <c r="K1668" s="354">
        <v>0</v>
      </c>
      <c r="L1668" s="354">
        <v>0</v>
      </c>
      <c r="M1668" s="355">
        <v>3</v>
      </c>
      <c r="N1668" s="355">
        <v>3</v>
      </c>
    </row>
    <row r="1669" spans="1:14" hidden="1" x14ac:dyDescent="0.25">
      <c r="A1669" s="354">
        <v>0</v>
      </c>
      <c r="B1669" s="354">
        <v>1</v>
      </c>
      <c r="C1669" s="354">
        <v>0</v>
      </c>
      <c r="D1669" s="354">
        <v>1</v>
      </c>
      <c r="E1669" s="354">
        <v>2</v>
      </c>
      <c r="F1669" s="354">
        <v>0</v>
      </c>
      <c r="G1669" s="354">
        <v>0</v>
      </c>
      <c r="H1669" s="354">
        <v>1</v>
      </c>
      <c r="I1669" s="354">
        <v>1</v>
      </c>
      <c r="J1669" s="354">
        <v>1</v>
      </c>
      <c r="K1669" s="354">
        <v>0</v>
      </c>
      <c r="L1669" s="354">
        <v>0</v>
      </c>
      <c r="M1669" s="355">
        <v>3</v>
      </c>
      <c r="N1669" s="355">
        <v>4</v>
      </c>
    </row>
    <row r="1670" spans="1:14" hidden="1" x14ac:dyDescent="0.25">
      <c r="A1670" s="354">
        <v>0</v>
      </c>
      <c r="B1670" s="354">
        <v>0</v>
      </c>
      <c r="C1670" s="354">
        <v>0</v>
      </c>
      <c r="D1670" s="354">
        <v>0</v>
      </c>
      <c r="E1670" s="354">
        <v>0</v>
      </c>
      <c r="F1670" s="354">
        <v>0</v>
      </c>
      <c r="G1670" s="354">
        <v>0</v>
      </c>
      <c r="H1670" s="354">
        <v>1</v>
      </c>
      <c r="I1670" s="354">
        <v>1</v>
      </c>
      <c r="J1670" s="354">
        <v>1</v>
      </c>
      <c r="K1670" s="354">
        <v>0</v>
      </c>
      <c r="L1670" s="354">
        <v>0</v>
      </c>
      <c r="M1670" s="355">
        <v>1</v>
      </c>
      <c r="N1670" s="355">
        <v>2</v>
      </c>
    </row>
    <row r="1671" spans="1:14" hidden="1" x14ac:dyDescent="0.25">
      <c r="A1671" s="354">
        <v>0</v>
      </c>
      <c r="B1671" s="354">
        <v>0</v>
      </c>
      <c r="C1671" s="354">
        <v>1</v>
      </c>
      <c r="D1671" s="354">
        <v>1</v>
      </c>
      <c r="E1671" s="354">
        <v>1</v>
      </c>
      <c r="F1671" s="354">
        <v>1</v>
      </c>
      <c r="G1671" s="354">
        <v>0</v>
      </c>
      <c r="H1671" s="354">
        <v>0</v>
      </c>
      <c r="I1671" s="354">
        <v>1</v>
      </c>
      <c r="J1671" s="354">
        <v>1</v>
      </c>
      <c r="K1671" s="354">
        <v>0</v>
      </c>
      <c r="L1671" s="354">
        <v>0</v>
      </c>
      <c r="M1671" s="355">
        <v>3</v>
      </c>
      <c r="N1671" s="355">
        <v>3</v>
      </c>
    </row>
    <row r="1672" spans="1:14" hidden="1" x14ac:dyDescent="0.25">
      <c r="A1672" s="354">
        <v>0</v>
      </c>
      <c r="B1672" s="354">
        <v>1</v>
      </c>
      <c r="C1672" s="354">
        <v>0</v>
      </c>
      <c r="D1672" s="354">
        <v>1</v>
      </c>
      <c r="E1672" s="354">
        <v>1</v>
      </c>
      <c r="F1672" s="354">
        <v>1</v>
      </c>
      <c r="G1672" s="354">
        <v>0</v>
      </c>
      <c r="H1672" s="354">
        <v>1</v>
      </c>
      <c r="I1672" s="354">
        <v>1</v>
      </c>
      <c r="J1672" s="354">
        <v>1</v>
      </c>
      <c r="K1672" s="354">
        <v>0</v>
      </c>
      <c r="L1672" s="354">
        <v>0</v>
      </c>
      <c r="M1672" s="355">
        <v>2</v>
      </c>
      <c r="N1672" s="355">
        <v>5</v>
      </c>
    </row>
    <row r="1673" spans="1:14" hidden="1" x14ac:dyDescent="0.25">
      <c r="A1673" s="354">
        <v>0</v>
      </c>
      <c r="B1673" s="354">
        <v>0</v>
      </c>
      <c r="C1673" s="354">
        <v>0</v>
      </c>
      <c r="D1673" s="354">
        <v>0</v>
      </c>
      <c r="E1673" s="354">
        <v>0</v>
      </c>
      <c r="F1673" s="354">
        <v>0</v>
      </c>
      <c r="G1673" s="354">
        <v>0</v>
      </c>
      <c r="H1673" s="354">
        <v>0</v>
      </c>
      <c r="I1673" s="354">
        <v>1</v>
      </c>
      <c r="J1673" s="354">
        <v>1</v>
      </c>
      <c r="K1673" s="354">
        <v>0</v>
      </c>
      <c r="L1673" s="354">
        <v>0</v>
      </c>
      <c r="M1673" s="355">
        <v>1</v>
      </c>
      <c r="N1673" s="355">
        <v>1</v>
      </c>
    </row>
    <row r="1674" spans="1:14" hidden="1" x14ac:dyDescent="0.25">
      <c r="A1674" s="354">
        <v>0</v>
      </c>
      <c r="B1674" s="354">
        <v>0</v>
      </c>
      <c r="C1674" s="354">
        <v>1</v>
      </c>
      <c r="D1674" s="354">
        <v>2</v>
      </c>
      <c r="E1674" s="354">
        <v>2</v>
      </c>
      <c r="F1674" s="354">
        <v>1</v>
      </c>
      <c r="G1674" s="354">
        <v>1</v>
      </c>
      <c r="H1674" s="354">
        <v>0</v>
      </c>
      <c r="I1674" s="354">
        <v>3</v>
      </c>
      <c r="J1674" s="354">
        <v>3</v>
      </c>
      <c r="K1674" s="354">
        <v>0</v>
      </c>
      <c r="L1674" s="354">
        <v>0</v>
      </c>
      <c r="M1674" s="355">
        <v>7</v>
      </c>
      <c r="N1674" s="355">
        <v>6</v>
      </c>
    </row>
    <row r="1675" spans="1:14" hidden="1" x14ac:dyDescent="0.25">
      <c r="A1675" s="354">
        <v>0</v>
      </c>
      <c r="B1675" s="354">
        <v>1</v>
      </c>
      <c r="C1675" s="354">
        <v>0</v>
      </c>
      <c r="D1675" s="354">
        <v>1</v>
      </c>
      <c r="E1675" s="354">
        <v>0</v>
      </c>
      <c r="F1675" s="354">
        <v>0</v>
      </c>
      <c r="G1675" s="354">
        <v>0</v>
      </c>
      <c r="H1675" s="354">
        <v>0</v>
      </c>
      <c r="I1675" s="354">
        <v>1</v>
      </c>
      <c r="J1675" s="354">
        <v>1</v>
      </c>
      <c r="K1675" s="354">
        <v>0</v>
      </c>
      <c r="L1675" s="354">
        <v>0</v>
      </c>
      <c r="M1675" s="355">
        <v>1</v>
      </c>
      <c r="N1675" s="355">
        <v>3</v>
      </c>
    </row>
    <row r="1676" spans="1:14" hidden="1" x14ac:dyDescent="0.25">
      <c r="A1676" s="354">
        <v>0</v>
      </c>
      <c r="B1676" s="354">
        <v>1</v>
      </c>
      <c r="C1676" s="354">
        <v>1</v>
      </c>
      <c r="D1676" s="354">
        <v>1</v>
      </c>
      <c r="E1676" s="354">
        <v>0</v>
      </c>
      <c r="F1676" s="354">
        <v>0</v>
      </c>
      <c r="G1676" s="354">
        <v>0</v>
      </c>
      <c r="H1676" s="354">
        <v>0</v>
      </c>
      <c r="I1676" s="354">
        <v>1</v>
      </c>
      <c r="J1676" s="354">
        <v>1</v>
      </c>
      <c r="K1676" s="354">
        <v>0</v>
      </c>
      <c r="L1676" s="354">
        <v>0</v>
      </c>
      <c r="M1676" s="355">
        <v>2</v>
      </c>
      <c r="N1676" s="355">
        <v>3</v>
      </c>
    </row>
    <row r="1677" spans="1:14" hidden="1" x14ac:dyDescent="0.25">
      <c r="A1677" s="354">
        <v>0</v>
      </c>
      <c r="B1677" s="354">
        <v>1</v>
      </c>
      <c r="C1677" s="354">
        <v>1</v>
      </c>
      <c r="D1677" s="354">
        <v>1</v>
      </c>
      <c r="E1677" s="354">
        <v>0</v>
      </c>
      <c r="F1677" s="354">
        <v>1</v>
      </c>
      <c r="G1677" s="354">
        <v>0</v>
      </c>
      <c r="H1677" s="354">
        <v>0</v>
      </c>
      <c r="I1677" s="354">
        <v>1</v>
      </c>
      <c r="J1677" s="354">
        <v>1</v>
      </c>
      <c r="K1677" s="354">
        <v>0</v>
      </c>
      <c r="L1677" s="354">
        <v>0</v>
      </c>
      <c r="M1677" s="355">
        <v>2</v>
      </c>
      <c r="N1677" s="355">
        <v>4</v>
      </c>
    </row>
    <row r="1678" spans="1:14" hidden="1" x14ac:dyDescent="0.25">
      <c r="A1678" s="354">
        <v>0</v>
      </c>
      <c r="B1678" s="354">
        <v>0</v>
      </c>
      <c r="C1678" s="354">
        <v>1</v>
      </c>
      <c r="D1678" s="354">
        <v>1</v>
      </c>
      <c r="E1678" s="354">
        <v>1</v>
      </c>
      <c r="F1678" s="354">
        <v>2</v>
      </c>
      <c r="G1678" s="354">
        <v>0</v>
      </c>
      <c r="H1678" s="354">
        <v>1</v>
      </c>
      <c r="I1678" s="354">
        <v>1</v>
      </c>
      <c r="J1678" s="354">
        <v>1</v>
      </c>
      <c r="K1678" s="354">
        <v>0</v>
      </c>
      <c r="L1678" s="354">
        <v>0</v>
      </c>
      <c r="M1678" s="355">
        <v>3</v>
      </c>
      <c r="N1678" s="355">
        <v>5</v>
      </c>
    </row>
    <row r="1679" spans="1:14" hidden="1" x14ac:dyDescent="0.25">
      <c r="A1679" s="354">
        <v>0</v>
      </c>
      <c r="B1679" s="354">
        <v>0</v>
      </c>
      <c r="C1679" s="354">
        <v>0</v>
      </c>
      <c r="D1679" s="354">
        <v>0</v>
      </c>
      <c r="E1679" s="354">
        <v>0</v>
      </c>
      <c r="F1679" s="354">
        <v>0</v>
      </c>
      <c r="G1679" s="354">
        <v>0</v>
      </c>
      <c r="H1679" s="354">
        <v>0</v>
      </c>
      <c r="I1679" s="354">
        <v>2</v>
      </c>
      <c r="J1679" s="354">
        <v>1</v>
      </c>
      <c r="K1679" s="354">
        <v>0</v>
      </c>
      <c r="L1679" s="354">
        <v>0</v>
      </c>
      <c r="M1679" s="355">
        <v>2</v>
      </c>
      <c r="N1679" s="355">
        <v>1</v>
      </c>
    </row>
    <row r="1680" spans="1:14" hidden="1" x14ac:dyDescent="0.25">
      <c r="A1680" s="354">
        <v>1</v>
      </c>
      <c r="B1680" s="354">
        <v>0</v>
      </c>
      <c r="C1680" s="354">
        <v>1</v>
      </c>
      <c r="D1680" s="354">
        <v>2</v>
      </c>
      <c r="E1680" s="354">
        <v>0</v>
      </c>
      <c r="F1680" s="354">
        <v>0</v>
      </c>
      <c r="G1680" s="354">
        <v>0</v>
      </c>
      <c r="H1680" s="354">
        <v>0</v>
      </c>
      <c r="I1680" s="354">
        <v>1</v>
      </c>
      <c r="J1680" s="354">
        <v>1</v>
      </c>
      <c r="K1680" s="354">
        <v>0</v>
      </c>
      <c r="L1680" s="354">
        <v>0</v>
      </c>
      <c r="M1680" s="355">
        <v>3</v>
      </c>
      <c r="N1680" s="355">
        <v>3</v>
      </c>
    </row>
    <row r="1681" spans="1:14" hidden="1" x14ac:dyDescent="0.25">
      <c r="A1681" s="354">
        <v>2</v>
      </c>
      <c r="B1681" s="354">
        <v>1</v>
      </c>
      <c r="C1681" s="354">
        <v>2</v>
      </c>
      <c r="D1681" s="354">
        <v>1</v>
      </c>
      <c r="E1681" s="354">
        <v>2</v>
      </c>
      <c r="F1681" s="354">
        <v>2</v>
      </c>
      <c r="G1681" s="354">
        <v>2</v>
      </c>
      <c r="H1681" s="354">
        <v>2</v>
      </c>
      <c r="I1681" s="354">
        <v>3</v>
      </c>
      <c r="J1681" s="354">
        <v>2</v>
      </c>
      <c r="K1681" s="354">
        <v>0</v>
      </c>
      <c r="L1681" s="354">
        <v>0</v>
      </c>
      <c r="M1681" s="355">
        <v>11</v>
      </c>
      <c r="N1681" s="355">
        <v>8</v>
      </c>
    </row>
    <row r="1682" spans="1:14" hidden="1" x14ac:dyDescent="0.25">
      <c r="A1682" s="354">
        <v>0</v>
      </c>
      <c r="B1682" s="354">
        <v>0</v>
      </c>
      <c r="C1682" s="354">
        <v>1</v>
      </c>
      <c r="D1682" s="354">
        <v>1</v>
      </c>
      <c r="E1682" s="354">
        <v>1</v>
      </c>
      <c r="F1682" s="354">
        <v>1</v>
      </c>
      <c r="G1682" s="354">
        <v>2</v>
      </c>
      <c r="H1682" s="354">
        <v>1</v>
      </c>
      <c r="I1682" s="354">
        <v>2</v>
      </c>
      <c r="J1682" s="354">
        <v>1</v>
      </c>
      <c r="K1682" s="354">
        <v>0</v>
      </c>
      <c r="L1682" s="354">
        <v>0</v>
      </c>
      <c r="M1682" s="355">
        <v>6</v>
      </c>
      <c r="N1682" s="355">
        <v>4</v>
      </c>
    </row>
    <row r="1683" spans="1:14" hidden="1" x14ac:dyDescent="0.25">
      <c r="A1683" s="354">
        <v>0</v>
      </c>
      <c r="B1683" s="354">
        <v>0</v>
      </c>
      <c r="C1683" s="354">
        <v>1</v>
      </c>
      <c r="D1683" s="354">
        <v>0</v>
      </c>
      <c r="E1683" s="354">
        <v>1</v>
      </c>
      <c r="F1683" s="354">
        <v>1</v>
      </c>
      <c r="G1683" s="354">
        <v>1</v>
      </c>
      <c r="H1683" s="354">
        <v>0</v>
      </c>
      <c r="I1683" s="354">
        <v>2</v>
      </c>
      <c r="J1683" s="354">
        <v>1</v>
      </c>
      <c r="K1683" s="354">
        <v>0</v>
      </c>
      <c r="L1683" s="354">
        <v>0</v>
      </c>
      <c r="M1683" s="355">
        <v>5</v>
      </c>
      <c r="N1683" s="355">
        <v>2</v>
      </c>
    </row>
    <row r="1684" spans="1:14" hidden="1" x14ac:dyDescent="0.25">
      <c r="A1684" s="354">
        <v>0</v>
      </c>
      <c r="B1684" s="354">
        <v>0</v>
      </c>
      <c r="C1684" s="354">
        <v>0</v>
      </c>
      <c r="D1684" s="354">
        <v>0</v>
      </c>
      <c r="E1684" s="354">
        <v>2</v>
      </c>
      <c r="F1684" s="354">
        <v>3</v>
      </c>
      <c r="G1684" s="354">
        <v>2</v>
      </c>
      <c r="H1684" s="354">
        <v>0</v>
      </c>
      <c r="I1684" s="354">
        <v>2</v>
      </c>
      <c r="J1684" s="354">
        <v>1</v>
      </c>
      <c r="K1684" s="354">
        <v>0</v>
      </c>
      <c r="L1684" s="354">
        <v>0</v>
      </c>
      <c r="M1684" s="355">
        <v>6</v>
      </c>
      <c r="N1684" s="355">
        <v>4</v>
      </c>
    </row>
    <row r="1685" spans="1:14" hidden="1" x14ac:dyDescent="0.25">
      <c r="A1685" s="354">
        <v>0</v>
      </c>
      <c r="B1685" s="354">
        <v>0</v>
      </c>
      <c r="C1685" s="354">
        <v>0</v>
      </c>
      <c r="D1685" s="354">
        <v>0</v>
      </c>
      <c r="E1685" s="354">
        <v>3</v>
      </c>
      <c r="F1685" s="354">
        <v>1</v>
      </c>
      <c r="G1685" s="354">
        <v>1</v>
      </c>
      <c r="H1685" s="354">
        <v>0</v>
      </c>
      <c r="I1685" s="354">
        <v>1</v>
      </c>
      <c r="J1685" s="354">
        <v>1</v>
      </c>
      <c r="K1685" s="354">
        <v>0</v>
      </c>
      <c r="L1685" s="354">
        <v>0</v>
      </c>
      <c r="M1685" s="355">
        <v>5</v>
      </c>
      <c r="N1685" s="355">
        <v>2</v>
      </c>
    </row>
    <row r="1686" spans="1:14" hidden="1" x14ac:dyDescent="0.25">
      <c r="A1686" s="354">
        <v>0</v>
      </c>
      <c r="B1686" s="354">
        <v>0</v>
      </c>
      <c r="C1686" s="354">
        <v>1</v>
      </c>
      <c r="D1686" s="354">
        <v>0</v>
      </c>
      <c r="E1686" s="354">
        <v>2</v>
      </c>
      <c r="F1686" s="354">
        <v>0</v>
      </c>
      <c r="G1686" s="354">
        <v>1</v>
      </c>
      <c r="H1686" s="354">
        <v>1</v>
      </c>
      <c r="I1686" s="354">
        <v>2</v>
      </c>
      <c r="J1686" s="354">
        <v>1</v>
      </c>
      <c r="K1686" s="354">
        <v>0</v>
      </c>
      <c r="L1686" s="354">
        <v>0</v>
      </c>
      <c r="M1686" s="355">
        <v>6</v>
      </c>
      <c r="N1686" s="355">
        <v>2</v>
      </c>
    </row>
    <row r="1687" spans="1:14" hidden="1" x14ac:dyDescent="0.25">
      <c r="A1687" s="354">
        <v>0</v>
      </c>
      <c r="B1687" s="354">
        <v>0</v>
      </c>
      <c r="C1687" s="354">
        <v>1</v>
      </c>
      <c r="D1687" s="354">
        <v>0</v>
      </c>
      <c r="E1687" s="354">
        <v>1</v>
      </c>
      <c r="F1687" s="354">
        <v>2</v>
      </c>
      <c r="G1687" s="354">
        <v>1</v>
      </c>
      <c r="H1687" s="354">
        <v>0</v>
      </c>
      <c r="I1687" s="354">
        <v>1</v>
      </c>
      <c r="J1687" s="354">
        <v>1</v>
      </c>
      <c r="K1687" s="354">
        <v>0</v>
      </c>
      <c r="L1687" s="354">
        <v>0</v>
      </c>
      <c r="M1687" s="355">
        <v>4</v>
      </c>
      <c r="N1687" s="355">
        <v>3</v>
      </c>
    </row>
    <row r="1688" spans="1:14" hidden="1" x14ac:dyDescent="0.25">
      <c r="A1688" s="354">
        <v>0</v>
      </c>
      <c r="B1688" s="354">
        <v>0</v>
      </c>
      <c r="C1688" s="354">
        <v>1</v>
      </c>
      <c r="D1688" s="354">
        <v>0</v>
      </c>
      <c r="E1688" s="354">
        <v>2</v>
      </c>
      <c r="F1688" s="354">
        <v>1</v>
      </c>
      <c r="G1688" s="354">
        <v>1</v>
      </c>
      <c r="H1688" s="354">
        <v>1</v>
      </c>
      <c r="I1688" s="354">
        <v>1</v>
      </c>
      <c r="J1688" s="354">
        <v>1</v>
      </c>
      <c r="K1688" s="354">
        <v>0</v>
      </c>
      <c r="L1688" s="354">
        <v>0</v>
      </c>
      <c r="M1688" s="355">
        <v>5</v>
      </c>
      <c r="N1688" s="355">
        <v>3</v>
      </c>
    </row>
    <row r="1689" spans="1:14" hidden="1" x14ac:dyDescent="0.25">
      <c r="A1689" s="354">
        <v>0</v>
      </c>
      <c r="B1689" s="354">
        <v>0</v>
      </c>
      <c r="C1689" s="354">
        <v>0</v>
      </c>
      <c r="D1689" s="354">
        <v>1</v>
      </c>
      <c r="E1689" s="354">
        <v>1</v>
      </c>
      <c r="F1689" s="354">
        <v>2</v>
      </c>
      <c r="G1689" s="354">
        <v>1</v>
      </c>
      <c r="H1689" s="354">
        <v>0</v>
      </c>
      <c r="I1689" s="354">
        <v>2</v>
      </c>
      <c r="J1689" s="354">
        <v>1</v>
      </c>
      <c r="K1689" s="354">
        <v>0</v>
      </c>
      <c r="L1689" s="354">
        <v>0</v>
      </c>
      <c r="M1689" s="355">
        <v>4</v>
      </c>
      <c r="N1689" s="355">
        <v>4</v>
      </c>
    </row>
    <row r="1690" spans="1:14" hidden="1" x14ac:dyDescent="0.25">
      <c r="A1690" s="354">
        <v>0</v>
      </c>
      <c r="B1690" s="354">
        <v>0</v>
      </c>
      <c r="C1690" s="354">
        <v>1</v>
      </c>
      <c r="D1690" s="354">
        <v>0</v>
      </c>
      <c r="E1690" s="354">
        <v>2</v>
      </c>
      <c r="F1690" s="354">
        <v>1</v>
      </c>
      <c r="G1690" s="354">
        <v>2</v>
      </c>
      <c r="H1690" s="354">
        <v>0</v>
      </c>
      <c r="I1690" s="354">
        <v>0</v>
      </c>
      <c r="J1690" s="354">
        <v>1</v>
      </c>
      <c r="K1690" s="354">
        <v>0</v>
      </c>
      <c r="L1690" s="354">
        <v>0</v>
      </c>
      <c r="M1690" s="355">
        <v>5</v>
      </c>
      <c r="N1690" s="355">
        <v>2</v>
      </c>
    </row>
    <row r="1691" spans="1:14" hidden="1" x14ac:dyDescent="0.25">
      <c r="A1691" s="354">
        <v>0</v>
      </c>
      <c r="B1691" s="354">
        <v>1</v>
      </c>
      <c r="C1691" s="354">
        <v>1</v>
      </c>
      <c r="D1691" s="354">
        <v>0</v>
      </c>
      <c r="E1691" s="354">
        <v>1</v>
      </c>
      <c r="F1691" s="354">
        <v>1</v>
      </c>
      <c r="G1691" s="354">
        <v>0</v>
      </c>
      <c r="H1691" s="354">
        <v>0</v>
      </c>
      <c r="I1691" s="354"/>
      <c r="J1691" s="354">
        <v>1</v>
      </c>
      <c r="K1691" s="354">
        <v>0</v>
      </c>
      <c r="L1691" s="354">
        <v>0</v>
      </c>
      <c r="M1691" s="355">
        <v>2</v>
      </c>
      <c r="N1691" s="355">
        <v>3</v>
      </c>
    </row>
    <row r="1692" spans="1:14" hidden="1" x14ac:dyDescent="0.25">
      <c r="A1692" s="354">
        <v>2</v>
      </c>
      <c r="B1692" s="354">
        <v>0</v>
      </c>
      <c r="C1692" s="354">
        <v>1</v>
      </c>
      <c r="D1692" s="354">
        <v>1</v>
      </c>
      <c r="E1692" s="354">
        <v>1</v>
      </c>
      <c r="F1692" s="354">
        <v>1</v>
      </c>
      <c r="G1692" s="354">
        <v>1</v>
      </c>
      <c r="H1692" s="354">
        <v>1</v>
      </c>
      <c r="I1692" s="354">
        <v>1</v>
      </c>
      <c r="J1692" s="354">
        <v>2</v>
      </c>
      <c r="K1692" s="354">
        <v>0</v>
      </c>
      <c r="L1692" s="354">
        <v>0</v>
      </c>
      <c r="M1692" s="355">
        <v>6</v>
      </c>
      <c r="N1692" s="355">
        <v>5</v>
      </c>
    </row>
    <row r="1693" spans="1:14" hidden="1" x14ac:dyDescent="0.25">
      <c r="A1693" s="354">
        <v>0</v>
      </c>
      <c r="B1693" s="354">
        <v>1</v>
      </c>
      <c r="C1693" s="354">
        <v>1</v>
      </c>
      <c r="D1693" s="354">
        <v>1</v>
      </c>
      <c r="E1693" s="354">
        <v>1</v>
      </c>
      <c r="F1693" s="354">
        <v>0</v>
      </c>
      <c r="G1693" s="354">
        <v>0</v>
      </c>
      <c r="H1693" s="354">
        <v>0</v>
      </c>
      <c r="I1693" s="354">
        <v>1</v>
      </c>
      <c r="J1693" s="354">
        <v>1</v>
      </c>
      <c r="K1693" s="354">
        <v>0</v>
      </c>
      <c r="L1693" s="354">
        <v>0</v>
      </c>
      <c r="M1693" s="355">
        <v>3</v>
      </c>
      <c r="N1693" s="355">
        <v>3</v>
      </c>
    </row>
    <row r="1694" spans="1:14" hidden="1" x14ac:dyDescent="0.25">
      <c r="A1694" s="354">
        <v>0</v>
      </c>
      <c r="B1694" s="354">
        <v>1</v>
      </c>
      <c r="C1694" s="354">
        <v>1</v>
      </c>
      <c r="D1694" s="354">
        <v>3</v>
      </c>
      <c r="E1694" s="354">
        <v>1</v>
      </c>
      <c r="F1694" s="354">
        <v>1</v>
      </c>
      <c r="G1694" s="354">
        <v>0</v>
      </c>
      <c r="H1694" s="354">
        <v>0</v>
      </c>
      <c r="I1694" s="354">
        <v>1</v>
      </c>
      <c r="J1694" s="354">
        <v>1</v>
      </c>
      <c r="K1694" s="354">
        <v>0</v>
      </c>
      <c r="L1694" s="354">
        <v>0</v>
      </c>
      <c r="M1694" s="355">
        <v>3</v>
      </c>
      <c r="N1694" s="355">
        <v>6</v>
      </c>
    </row>
    <row r="1695" spans="1:14" hidden="1" x14ac:dyDescent="0.25">
      <c r="A1695" s="354">
        <v>2</v>
      </c>
      <c r="B1695" s="354">
        <v>0</v>
      </c>
      <c r="C1695" s="354">
        <v>3</v>
      </c>
      <c r="D1695" s="354">
        <v>1</v>
      </c>
      <c r="E1695" s="354">
        <v>4</v>
      </c>
      <c r="F1695" s="354">
        <v>3</v>
      </c>
      <c r="G1695" s="354">
        <v>0</v>
      </c>
      <c r="H1695" s="354">
        <v>1</v>
      </c>
      <c r="I1695" s="354">
        <v>1</v>
      </c>
      <c r="J1695" s="354">
        <v>2</v>
      </c>
      <c r="K1695" s="354">
        <v>0</v>
      </c>
      <c r="L1695" s="354">
        <v>0</v>
      </c>
      <c r="M1695" s="355">
        <v>10</v>
      </c>
      <c r="N1695" s="355">
        <v>7</v>
      </c>
    </row>
    <row r="1696" spans="1:14" hidden="1" x14ac:dyDescent="0.25">
      <c r="A1696" s="354">
        <v>0</v>
      </c>
      <c r="B1696" s="354">
        <v>2</v>
      </c>
      <c r="C1696" s="354">
        <v>1</v>
      </c>
      <c r="D1696" s="354">
        <v>3</v>
      </c>
      <c r="E1696" s="354">
        <v>2</v>
      </c>
      <c r="F1696" s="354">
        <v>5</v>
      </c>
      <c r="G1696" s="354">
        <v>0</v>
      </c>
      <c r="H1696" s="354">
        <v>1</v>
      </c>
      <c r="I1696" s="354">
        <v>1</v>
      </c>
      <c r="J1696" s="354">
        <v>3</v>
      </c>
      <c r="K1696" s="354">
        <v>0</v>
      </c>
      <c r="L1696" s="354">
        <v>0</v>
      </c>
      <c r="M1696" s="355">
        <v>4</v>
      </c>
      <c r="N1696" s="355">
        <v>14</v>
      </c>
    </row>
    <row r="1697" spans="1:14" hidden="1" x14ac:dyDescent="0.25">
      <c r="A1697" s="354">
        <v>2</v>
      </c>
      <c r="B1697" s="354">
        <v>0</v>
      </c>
      <c r="C1697" s="354">
        <v>2</v>
      </c>
      <c r="D1697" s="354">
        <v>0</v>
      </c>
      <c r="E1697" s="354">
        <v>1</v>
      </c>
      <c r="F1697" s="354">
        <v>0</v>
      </c>
      <c r="G1697" s="354">
        <v>0</v>
      </c>
      <c r="H1697" s="354">
        <v>0</v>
      </c>
      <c r="I1697" s="354">
        <v>1</v>
      </c>
      <c r="J1697" s="354">
        <v>2</v>
      </c>
      <c r="K1697" s="354">
        <v>0</v>
      </c>
      <c r="L1697" s="354">
        <v>0</v>
      </c>
      <c r="M1697" s="355">
        <v>6</v>
      </c>
      <c r="N1697" s="355">
        <v>2</v>
      </c>
    </row>
    <row r="1698" spans="1:14" hidden="1" x14ac:dyDescent="0.25">
      <c r="A1698" s="354">
        <v>0</v>
      </c>
      <c r="B1698" s="354">
        <v>0</v>
      </c>
      <c r="C1698" s="354">
        <v>0</v>
      </c>
      <c r="D1698" s="354">
        <v>0</v>
      </c>
      <c r="E1698" s="354">
        <v>2</v>
      </c>
      <c r="F1698" s="354">
        <v>1</v>
      </c>
      <c r="G1698" s="354">
        <v>1</v>
      </c>
      <c r="H1698" s="354">
        <v>1</v>
      </c>
      <c r="I1698" s="354">
        <v>1</v>
      </c>
      <c r="J1698" s="354">
        <v>2</v>
      </c>
      <c r="K1698" s="354">
        <v>0</v>
      </c>
      <c r="L1698" s="354">
        <v>0</v>
      </c>
      <c r="M1698" s="355">
        <v>4</v>
      </c>
      <c r="N1698" s="355">
        <v>4</v>
      </c>
    </row>
    <row r="1699" spans="1:14" hidden="1" x14ac:dyDescent="0.25">
      <c r="A1699" s="354">
        <v>1</v>
      </c>
      <c r="B1699" s="354">
        <v>1</v>
      </c>
      <c r="C1699" s="354">
        <v>0</v>
      </c>
      <c r="D1699" s="354">
        <v>0</v>
      </c>
      <c r="E1699" s="354">
        <v>0</v>
      </c>
      <c r="F1699" s="354">
        <v>0</v>
      </c>
      <c r="G1699" s="354">
        <v>0</v>
      </c>
      <c r="H1699" s="354">
        <v>0</v>
      </c>
      <c r="I1699" s="354">
        <v>1</v>
      </c>
      <c r="J1699" s="354">
        <v>1</v>
      </c>
      <c r="K1699" s="354">
        <v>0</v>
      </c>
      <c r="L1699" s="354">
        <v>0</v>
      </c>
      <c r="M1699" s="355">
        <v>2</v>
      </c>
      <c r="N1699" s="355">
        <v>2</v>
      </c>
    </row>
    <row r="1700" spans="1:14" hidden="1" x14ac:dyDescent="0.25">
      <c r="A1700" s="354">
        <v>0</v>
      </c>
      <c r="B1700" s="354">
        <v>0</v>
      </c>
      <c r="C1700" s="354">
        <v>0</v>
      </c>
      <c r="D1700" s="354">
        <v>1</v>
      </c>
      <c r="E1700" s="354">
        <v>0</v>
      </c>
      <c r="F1700" s="354">
        <v>0</v>
      </c>
      <c r="G1700" s="354">
        <v>1</v>
      </c>
      <c r="H1700" s="354">
        <v>0</v>
      </c>
      <c r="I1700" s="354">
        <v>2</v>
      </c>
      <c r="J1700" s="354">
        <v>1</v>
      </c>
      <c r="K1700" s="354">
        <v>0</v>
      </c>
      <c r="L1700" s="354">
        <v>0</v>
      </c>
      <c r="M1700" s="355">
        <v>3</v>
      </c>
      <c r="N1700" s="355">
        <v>2</v>
      </c>
    </row>
    <row r="1701" spans="1:14" hidden="1" x14ac:dyDescent="0.25">
      <c r="A1701" s="354">
        <v>0</v>
      </c>
      <c r="B1701" s="354">
        <v>0</v>
      </c>
      <c r="C1701" s="354">
        <v>1</v>
      </c>
      <c r="D1701" s="354">
        <v>1</v>
      </c>
      <c r="E1701" s="354">
        <v>0</v>
      </c>
      <c r="F1701" s="354">
        <v>0</v>
      </c>
      <c r="G1701" s="354">
        <v>0</v>
      </c>
      <c r="H1701" s="354">
        <v>0</v>
      </c>
      <c r="I1701" s="354">
        <v>2</v>
      </c>
      <c r="J1701" s="354">
        <v>1</v>
      </c>
      <c r="K1701" s="354">
        <v>0</v>
      </c>
      <c r="L1701" s="354">
        <v>0</v>
      </c>
      <c r="M1701" s="355">
        <v>3</v>
      </c>
      <c r="N1701" s="355">
        <v>2</v>
      </c>
    </row>
    <row r="1702" spans="1:14" hidden="1" x14ac:dyDescent="0.25">
      <c r="A1702" s="354">
        <v>0</v>
      </c>
      <c r="B1702" s="354">
        <v>0</v>
      </c>
      <c r="C1702" s="354">
        <v>0</v>
      </c>
      <c r="D1702" s="354">
        <v>1</v>
      </c>
      <c r="E1702" s="354">
        <v>0</v>
      </c>
      <c r="F1702" s="354">
        <v>0</v>
      </c>
      <c r="G1702" s="354">
        <v>1</v>
      </c>
      <c r="H1702" s="354">
        <v>1</v>
      </c>
      <c r="I1702" s="354">
        <v>1</v>
      </c>
      <c r="J1702" s="354">
        <v>1</v>
      </c>
      <c r="K1702" s="354">
        <v>1</v>
      </c>
      <c r="L1702" s="354">
        <v>0</v>
      </c>
      <c r="M1702" s="355">
        <v>3</v>
      </c>
      <c r="N1702" s="355">
        <v>3</v>
      </c>
    </row>
    <row r="1703" spans="1:14" hidden="1" x14ac:dyDescent="0.25">
      <c r="A1703" s="354">
        <v>0</v>
      </c>
      <c r="B1703" s="354">
        <v>1</v>
      </c>
      <c r="C1703" s="354">
        <v>1</v>
      </c>
      <c r="D1703" s="354">
        <v>0</v>
      </c>
      <c r="E1703" s="354">
        <v>1</v>
      </c>
      <c r="F1703" s="354">
        <v>0</v>
      </c>
      <c r="G1703" s="354">
        <v>1</v>
      </c>
      <c r="H1703" s="354">
        <v>1</v>
      </c>
      <c r="I1703" s="354">
        <v>1</v>
      </c>
      <c r="J1703" s="354">
        <v>1</v>
      </c>
      <c r="K1703" s="354">
        <v>0</v>
      </c>
      <c r="L1703" s="354">
        <v>0</v>
      </c>
      <c r="M1703" s="355">
        <v>4</v>
      </c>
      <c r="N1703" s="355">
        <v>3</v>
      </c>
    </row>
    <row r="1704" spans="1:14" hidden="1" x14ac:dyDescent="0.25">
      <c r="A1704" s="354">
        <v>0</v>
      </c>
      <c r="B1704" s="354">
        <v>0</v>
      </c>
      <c r="C1704" s="354">
        <v>1</v>
      </c>
      <c r="D1704" s="354">
        <v>1</v>
      </c>
      <c r="E1704" s="354">
        <v>0</v>
      </c>
      <c r="F1704" s="354">
        <v>0</v>
      </c>
      <c r="G1704" s="354">
        <v>1</v>
      </c>
      <c r="H1704" s="354">
        <v>1</v>
      </c>
      <c r="I1704" s="354">
        <v>2</v>
      </c>
      <c r="J1704" s="354">
        <v>3</v>
      </c>
      <c r="K1704" s="354">
        <v>0</v>
      </c>
      <c r="L1704" s="354">
        <v>0</v>
      </c>
      <c r="M1704" s="355">
        <v>4</v>
      </c>
      <c r="N1704" s="355">
        <v>5</v>
      </c>
    </row>
    <row r="1705" spans="1:14" hidden="1" x14ac:dyDescent="0.25">
      <c r="A1705" s="354">
        <v>1</v>
      </c>
      <c r="B1705" s="354">
        <v>0</v>
      </c>
      <c r="C1705" s="354">
        <v>1</v>
      </c>
      <c r="D1705" s="354">
        <v>0</v>
      </c>
      <c r="E1705" s="354">
        <v>0</v>
      </c>
      <c r="F1705" s="354">
        <v>0</v>
      </c>
      <c r="G1705" s="354">
        <v>0</v>
      </c>
      <c r="H1705" s="354">
        <v>0</v>
      </c>
      <c r="I1705" s="354">
        <v>0</v>
      </c>
      <c r="J1705" s="354">
        <v>1</v>
      </c>
      <c r="K1705" s="354">
        <v>0</v>
      </c>
      <c r="L1705" s="354">
        <v>0</v>
      </c>
      <c r="M1705" s="355">
        <v>2</v>
      </c>
      <c r="N1705" s="355">
        <v>1</v>
      </c>
    </row>
    <row r="1706" spans="1:14" hidden="1" x14ac:dyDescent="0.25">
      <c r="A1706" s="354">
        <v>1</v>
      </c>
      <c r="B1706" s="354">
        <v>0</v>
      </c>
      <c r="C1706" s="354">
        <v>0</v>
      </c>
      <c r="D1706" s="354">
        <v>1</v>
      </c>
      <c r="E1706" s="354">
        <v>0</v>
      </c>
      <c r="F1706" s="354">
        <v>0</v>
      </c>
      <c r="G1706" s="354">
        <v>0</v>
      </c>
      <c r="H1706" s="354">
        <v>0</v>
      </c>
      <c r="I1706" s="354">
        <v>1</v>
      </c>
      <c r="J1706" s="354">
        <v>1</v>
      </c>
      <c r="K1706" s="354">
        <v>0</v>
      </c>
      <c r="L1706" s="354">
        <v>0</v>
      </c>
      <c r="M1706" s="355">
        <v>2</v>
      </c>
      <c r="N1706" s="355">
        <v>2</v>
      </c>
    </row>
    <row r="1707" spans="1:14" hidden="1" x14ac:dyDescent="0.25">
      <c r="A1707" s="354">
        <v>0</v>
      </c>
      <c r="B1707" s="354">
        <v>1</v>
      </c>
      <c r="C1707" s="354">
        <v>2</v>
      </c>
      <c r="D1707" s="354">
        <v>0</v>
      </c>
      <c r="E1707" s="354">
        <v>1</v>
      </c>
      <c r="F1707" s="354">
        <v>0</v>
      </c>
      <c r="G1707" s="354">
        <v>2</v>
      </c>
      <c r="H1707" s="354">
        <v>0</v>
      </c>
      <c r="I1707" s="354">
        <v>0</v>
      </c>
      <c r="J1707" s="354">
        <v>1</v>
      </c>
      <c r="K1707" s="354">
        <v>0</v>
      </c>
      <c r="L1707" s="354">
        <v>0</v>
      </c>
      <c r="M1707" s="355">
        <v>5</v>
      </c>
      <c r="N1707" s="355">
        <v>2</v>
      </c>
    </row>
    <row r="1708" spans="1:14" hidden="1" x14ac:dyDescent="0.25">
      <c r="A1708" s="354">
        <v>1</v>
      </c>
      <c r="B1708" s="354">
        <v>0</v>
      </c>
      <c r="C1708" s="354">
        <v>0</v>
      </c>
      <c r="D1708" s="354">
        <v>0</v>
      </c>
      <c r="E1708" s="354">
        <v>0</v>
      </c>
      <c r="F1708" s="354">
        <v>0</v>
      </c>
      <c r="G1708" s="354">
        <v>0</v>
      </c>
      <c r="H1708" s="354">
        <v>0</v>
      </c>
      <c r="I1708" s="354">
        <v>0</v>
      </c>
      <c r="J1708" s="354">
        <v>1</v>
      </c>
      <c r="K1708" s="354">
        <v>0</v>
      </c>
      <c r="L1708" s="354">
        <v>0</v>
      </c>
      <c r="M1708" s="355">
        <v>1</v>
      </c>
      <c r="N1708" s="355">
        <v>1</v>
      </c>
    </row>
    <row r="1709" spans="1:14" hidden="1" x14ac:dyDescent="0.25">
      <c r="A1709" s="354">
        <v>0</v>
      </c>
      <c r="B1709" s="354">
        <v>0</v>
      </c>
      <c r="C1709" s="354">
        <v>0</v>
      </c>
      <c r="D1709" s="354">
        <v>1</v>
      </c>
      <c r="E1709" s="354">
        <v>1</v>
      </c>
      <c r="F1709" s="354">
        <v>0</v>
      </c>
      <c r="G1709" s="354">
        <v>0</v>
      </c>
      <c r="H1709" s="354">
        <v>0</v>
      </c>
      <c r="I1709" s="354">
        <v>1</v>
      </c>
      <c r="J1709" s="354">
        <v>1</v>
      </c>
      <c r="K1709" s="354">
        <v>0</v>
      </c>
      <c r="L1709" s="354">
        <v>0</v>
      </c>
      <c r="M1709" s="355">
        <v>2</v>
      </c>
      <c r="N1709" s="355">
        <v>2</v>
      </c>
    </row>
    <row r="1710" spans="1:14" hidden="1" x14ac:dyDescent="0.25">
      <c r="A1710" s="354">
        <v>0</v>
      </c>
      <c r="B1710" s="354">
        <v>1</v>
      </c>
      <c r="C1710" s="354">
        <v>0</v>
      </c>
      <c r="D1710" s="354">
        <v>1</v>
      </c>
      <c r="E1710" s="354">
        <v>1</v>
      </c>
      <c r="F1710" s="354">
        <v>0</v>
      </c>
      <c r="G1710" s="354">
        <v>0</v>
      </c>
      <c r="H1710" s="354">
        <v>1</v>
      </c>
      <c r="I1710" s="354">
        <v>1</v>
      </c>
      <c r="J1710" s="354">
        <v>1</v>
      </c>
      <c r="K1710" s="354">
        <v>0</v>
      </c>
      <c r="L1710" s="354">
        <v>0</v>
      </c>
      <c r="M1710" s="355">
        <v>2</v>
      </c>
      <c r="N1710" s="355">
        <v>4</v>
      </c>
    </row>
    <row r="1711" spans="1:14" hidden="1" x14ac:dyDescent="0.25">
      <c r="A1711" s="354">
        <v>1</v>
      </c>
      <c r="B1711" s="354">
        <v>0</v>
      </c>
      <c r="C1711" s="354">
        <v>0</v>
      </c>
      <c r="D1711" s="354">
        <v>1</v>
      </c>
      <c r="E1711" s="354">
        <v>2</v>
      </c>
      <c r="F1711" s="354">
        <v>0</v>
      </c>
      <c r="G1711" s="354">
        <v>2</v>
      </c>
      <c r="H1711" s="354">
        <v>1</v>
      </c>
      <c r="I1711" s="354">
        <v>0</v>
      </c>
      <c r="J1711" s="354">
        <v>1</v>
      </c>
      <c r="K1711" s="354">
        <v>0</v>
      </c>
      <c r="L1711" s="354">
        <v>0</v>
      </c>
      <c r="M1711" s="355">
        <v>5</v>
      </c>
      <c r="N1711" s="355">
        <v>3</v>
      </c>
    </row>
    <row r="1712" spans="1:14" hidden="1" x14ac:dyDescent="0.25">
      <c r="A1712" s="354">
        <v>0</v>
      </c>
      <c r="B1712" s="354">
        <v>1</v>
      </c>
      <c r="C1712" s="354">
        <v>1</v>
      </c>
      <c r="D1712" s="354">
        <v>2</v>
      </c>
      <c r="E1712" s="354">
        <v>3</v>
      </c>
      <c r="F1712" s="354">
        <v>0</v>
      </c>
      <c r="G1712" s="354">
        <v>0</v>
      </c>
      <c r="H1712" s="354">
        <v>0</v>
      </c>
      <c r="I1712" s="354">
        <v>1</v>
      </c>
      <c r="J1712" s="354">
        <v>3</v>
      </c>
      <c r="K1712" s="354">
        <v>0</v>
      </c>
      <c r="L1712" s="354">
        <v>0</v>
      </c>
      <c r="M1712" s="355">
        <v>5</v>
      </c>
      <c r="N1712" s="355">
        <v>6</v>
      </c>
    </row>
    <row r="1713" spans="1:14" hidden="1" x14ac:dyDescent="0.25">
      <c r="A1713" s="354">
        <v>0</v>
      </c>
      <c r="B1713" s="354">
        <v>0</v>
      </c>
      <c r="C1713" s="354">
        <v>0</v>
      </c>
      <c r="D1713" s="354">
        <v>0</v>
      </c>
      <c r="E1713" s="354">
        <v>0</v>
      </c>
      <c r="F1713" s="354">
        <v>0</v>
      </c>
      <c r="G1713" s="354">
        <v>2</v>
      </c>
      <c r="H1713" s="354">
        <v>0</v>
      </c>
      <c r="I1713" s="354">
        <v>2</v>
      </c>
      <c r="J1713" s="354">
        <v>3</v>
      </c>
      <c r="K1713" s="354">
        <v>0</v>
      </c>
      <c r="L1713" s="354">
        <v>0</v>
      </c>
      <c r="M1713" s="355">
        <v>4</v>
      </c>
      <c r="N1713" s="355">
        <v>3</v>
      </c>
    </row>
    <row r="1714" spans="1:14" hidden="1" x14ac:dyDescent="0.25">
      <c r="A1714" s="354">
        <v>0</v>
      </c>
      <c r="B1714" s="354">
        <v>1</v>
      </c>
      <c r="C1714" s="354">
        <v>2</v>
      </c>
      <c r="D1714" s="354">
        <v>1</v>
      </c>
      <c r="E1714" s="354">
        <v>2</v>
      </c>
      <c r="F1714" s="354">
        <v>2</v>
      </c>
      <c r="G1714" s="354">
        <v>2</v>
      </c>
      <c r="H1714" s="354">
        <v>0</v>
      </c>
      <c r="I1714" s="354">
        <v>1</v>
      </c>
      <c r="J1714" s="354">
        <v>2</v>
      </c>
      <c r="K1714" s="354">
        <v>0</v>
      </c>
      <c r="L1714" s="354">
        <v>0</v>
      </c>
      <c r="M1714" s="355">
        <v>7</v>
      </c>
      <c r="N1714" s="355">
        <v>6</v>
      </c>
    </row>
    <row r="1715" spans="1:14" hidden="1" x14ac:dyDescent="0.25">
      <c r="A1715" s="354">
        <v>0</v>
      </c>
      <c r="B1715" s="354">
        <v>0</v>
      </c>
      <c r="C1715" s="354">
        <v>0</v>
      </c>
      <c r="D1715" s="354">
        <v>0</v>
      </c>
      <c r="E1715" s="354">
        <v>1</v>
      </c>
      <c r="F1715" s="354">
        <v>2</v>
      </c>
      <c r="G1715" s="354">
        <v>1</v>
      </c>
      <c r="H1715" s="354">
        <v>0</v>
      </c>
      <c r="I1715" s="354">
        <v>2</v>
      </c>
      <c r="J1715" s="354">
        <v>1</v>
      </c>
      <c r="K1715" s="354">
        <v>0</v>
      </c>
      <c r="L1715" s="354">
        <v>0</v>
      </c>
      <c r="M1715" s="355">
        <v>4</v>
      </c>
      <c r="N1715" s="355">
        <v>3</v>
      </c>
    </row>
    <row r="1716" spans="1:14" hidden="1" x14ac:dyDescent="0.25">
      <c r="A1716" s="354">
        <v>0</v>
      </c>
      <c r="B1716" s="354">
        <v>0</v>
      </c>
      <c r="C1716" s="354">
        <v>0</v>
      </c>
      <c r="D1716" s="354">
        <v>1</v>
      </c>
      <c r="E1716" s="354">
        <v>1</v>
      </c>
      <c r="F1716" s="354">
        <v>2</v>
      </c>
      <c r="G1716" s="354">
        <v>2</v>
      </c>
      <c r="H1716" s="354">
        <v>0</v>
      </c>
      <c r="I1716" s="354">
        <v>1</v>
      </c>
      <c r="J1716" s="354">
        <v>2</v>
      </c>
      <c r="K1716" s="354">
        <v>0</v>
      </c>
      <c r="L1716" s="354">
        <v>0</v>
      </c>
      <c r="M1716" s="355">
        <v>4</v>
      </c>
      <c r="N1716" s="355">
        <v>5</v>
      </c>
    </row>
    <row r="1717" spans="1:14" hidden="1" x14ac:dyDescent="0.25">
      <c r="A1717" s="354">
        <v>0</v>
      </c>
      <c r="B1717" s="354">
        <v>0</v>
      </c>
      <c r="C1717" s="354">
        <v>1</v>
      </c>
      <c r="D1717" s="354">
        <v>1</v>
      </c>
      <c r="E1717" s="354">
        <v>2</v>
      </c>
      <c r="F1717" s="354">
        <v>3</v>
      </c>
      <c r="G1717" s="354">
        <v>2</v>
      </c>
      <c r="H1717" s="354">
        <v>1</v>
      </c>
      <c r="I1717" s="354">
        <v>1</v>
      </c>
      <c r="J1717" s="354">
        <v>3</v>
      </c>
      <c r="K1717" s="354">
        <v>0</v>
      </c>
      <c r="L1717" s="354">
        <v>0</v>
      </c>
      <c r="M1717" s="355">
        <v>6</v>
      </c>
      <c r="N1717" s="355">
        <v>8</v>
      </c>
    </row>
    <row r="1718" spans="1:14" hidden="1" x14ac:dyDescent="0.25">
      <c r="A1718" s="354">
        <v>0</v>
      </c>
      <c r="B1718" s="354">
        <v>1</v>
      </c>
      <c r="C1718" s="354">
        <v>1</v>
      </c>
      <c r="D1718" s="354">
        <v>0</v>
      </c>
      <c r="E1718" s="354">
        <v>3</v>
      </c>
      <c r="F1718" s="354">
        <v>2</v>
      </c>
      <c r="G1718" s="354">
        <v>2</v>
      </c>
      <c r="H1718" s="354">
        <v>3</v>
      </c>
      <c r="I1718" s="354">
        <v>4</v>
      </c>
      <c r="J1718" s="354">
        <v>2</v>
      </c>
      <c r="K1718" s="354">
        <v>0</v>
      </c>
      <c r="L1718" s="354">
        <v>0</v>
      </c>
      <c r="M1718" s="355">
        <v>10</v>
      </c>
      <c r="N1718" s="355">
        <v>8</v>
      </c>
    </row>
    <row r="1719" spans="1:14" hidden="1" x14ac:dyDescent="0.25">
      <c r="A1719" s="354">
        <v>1</v>
      </c>
      <c r="B1719" s="354">
        <v>0</v>
      </c>
      <c r="C1719" s="354">
        <v>0</v>
      </c>
      <c r="D1719" s="354">
        <v>0</v>
      </c>
      <c r="E1719" s="354">
        <v>2</v>
      </c>
      <c r="F1719" s="354">
        <v>1</v>
      </c>
      <c r="G1719" s="354">
        <v>0</v>
      </c>
      <c r="H1719" s="354">
        <v>2</v>
      </c>
      <c r="I1719" s="354">
        <v>0</v>
      </c>
      <c r="J1719" s="354">
        <v>1</v>
      </c>
      <c r="K1719" s="354">
        <v>0</v>
      </c>
      <c r="L1719" s="354">
        <v>0</v>
      </c>
      <c r="M1719" s="355">
        <v>3</v>
      </c>
      <c r="N1719" s="355">
        <v>4</v>
      </c>
    </row>
    <row r="1720" spans="1:14" hidden="1" x14ac:dyDescent="0.25">
      <c r="A1720" s="354">
        <v>0</v>
      </c>
      <c r="B1720" s="354">
        <v>0</v>
      </c>
      <c r="C1720" s="354">
        <v>2</v>
      </c>
      <c r="D1720" s="354">
        <v>1</v>
      </c>
      <c r="E1720" s="354">
        <v>2</v>
      </c>
      <c r="F1720" s="354">
        <v>2</v>
      </c>
      <c r="G1720" s="354">
        <v>1</v>
      </c>
      <c r="H1720" s="354">
        <v>0</v>
      </c>
      <c r="I1720" s="354">
        <v>3</v>
      </c>
      <c r="J1720" s="354">
        <v>3</v>
      </c>
      <c r="K1720" s="354">
        <v>0</v>
      </c>
      <c r="L1720" s="354">
        <v>0</v>
      </c>
      <c r="M1720" s="355">
        <v>8</v>
      </c>
      <c r="N1720" s="355">
        <v>6</v>
      </c>
    </row>
    <row r="1721" spans="1:14" hidden="1" x14ac:dyDescent="0.25">
      <c r="A1721" s="354">
        <v>0</v>
      </c>
      <c r="B1721" s="354">
        <v>0</v>
      </c>
      <c r="C1721" s="354">
        <v>0</v>
      </c>
      <c r="D1721" s="354">
        <v>2</v>
      </c>
      <c r="E1721" s="354">
        <v>0</v>
      </c>
      <c r="F1721" s="354">
        <v>2</v>
      </c>
      <c r="G1721" s="354">
        <v>4</v>
      </c>
      <c r="H1721" s="354">
        <v>2</v>
      </c>
      <c r="I1721" s="354">
        <v>4</v>
      </c>
      <c r="J1721" s="354">
        <v>2</v>
      </c>
      <c r="K1721" s="354">
        <v>0</v>
      </c>
      <c r="L1721" s="354">
        <v>0</v>
      </c>
      <c r="M1721" s="355">
        <v>8</v>
      </c>
      <c r="N1721" s="355">
        <v>8</v>
      </c>
    </row>
    <row r="1722" spans="1:14" hidden="1" x14ac:dyDescent="0.25">
      <c r="A1722" s="354">
        <v>0</v>
      </c>
      <c r="B1722" s="354">
        <v>1</v>
      </c>
      <c r="C1722" s="354">
        <v>0</v>
      </c>
      <c r="D1722" s="354">
        <v>0</v>
      </c>
      <c r="E1722" s="354">
        <v>2</v>
      </c>
      <c r="F1722" s="354">
        <v>1</v>
      </c>
      <c r="G1722" s="354">
        <v>1</v>
      </c>
      <c r="H1722" s="354">
        <v>1</v>
      </c>
      <c r="I1722" s="354">
        <v>1</v>
      </c>
      <c r="J1722" s="354">
        <v>1</v>
      </c>
      <c r="K1722" s="354">
        <v>0</v>
      </c>
      <c r="L1722" s="354">
        <v>0</v>
      </c>
      <c r="M1722" s="355">
        <v>4</v>
      </c>
      <c r="N1722" s="355">
        <v>4</v>
      </c>
    </row>
    <row r="1723" spans="1:14" hidden="1" x14ac:dyDescent="0.25">
      <c r="A1723" s="354">
        <v>0</v>
      </c>
      <c r="B1723" s="354">
        <v>0</v>
      </c>
      <c r="C1723" s="354">
        <v>0</v>
      </c>
      <c r="D1723" s="354">
        <v>0</v>
      </c>
      <c r="E1723" s="354">
        <v>0</v>
      </c>
      <c r="F1723" s="354">
        <v>0</v>
      </c>
      <c r="G1723" s="354">
        <v>0</v>
      </c>
      <c r="H1723" s="354">
        <v>2</v>
      </c>
      <c r="I1723" s="354">
        <v>1</v>
      </c>
      <c r="J1723" s="354">
        <v>1</v>
      </c>
      <c r="K1723" s="354">
        <v>0</v>
      </c>
      <c r="L1723" s="354">
        <v>0</v>
      </c>
      <c r="M1723" s="355">
        <v>1</v>
      </c>
      <c r="N1723" s="355">
        <v>3</v>
      </c>
    </row>
    <row r="1724" spans="1:14" hidden="1" x14ac:dyDescent="0.25">
      <c r="A1724" s="354">
        <v>0</v>
      </c>
      <c r="B1724" s="354">
        <v>0</v>
      </c>
      <c r="C1724" s="354">
        <v>0</v>
      </c>
      <c r="D1724" s="354">
        <v>2</v>
      </c>
      <c r="E1724" s="354">
        <v>0</v>
      </c>
      <c r="F1724" s="354">
        <v>1</v>
      </c>
      <c r="G1724" s="354">
        <v>0</v>
      </c>
      <c r="H1724" s="354">
        <v>1</v>
      </c>
      <c r="I1724" s="354">
        <v>1</v>
      </c>
      <c r="J1724" s="354">
        <v>1</v>
      </c>
      <c r="K1724" s="354">
        <v>0</v>
      </c>
      <c r="L1724" s="354">
        <v>0</v>
      </c>
      <c r="M1724" s="355">
        <v>1</v>
      </c>
      <c r="N1724" s="355">
        <v>5</v>
      </c>
    </row>
    <row r="1725" spans="1:14" hidden="1" x14ac:dyDescent="0.25">
      <c r="A1725" s="354">
        <v>0</v>
      </c>
      <c r="B1725" s="354">
        <v>0</v>
      </c>
      <c r="C1725" s="354">
        <v>1</v>
      </c>
      <c r="D1725" s="354">
        <v>1</v>
      </c>
      <c r="E1725" s="354">
        <v>3</v>
      </c>
      <c r="F1725" s="354">
        <v>2</v>
      </c>
      <c r="G1725" s="354">
        <v>2</v>
      </c>
      <c r="H1725" s="354">
        <v>1</v>
      </c>
      <c r="I1725" s="354">
        <v>0</v>
      </c>
      <c r="J1725" s="354">
        <v>3</v>
      </c>
      <c r="K1725" s="354">
        <v>1</v>
      </c>
      <c r="L1725" s="354">
        <v>0</v>
      </c>
      <c r="M1725" s="355">
        <v>7</v>
      </c>
      <c r="N1725" s="355">
        <v>7</v>
      </c>
    </row>
    <row r="1726" spans="1:14" hidden="1" x14ac:dyDescent="0.25">
      <c r="A1726" s="354">
        <v>0</v>
      </c>
      <c r="B1726" s="354">
        <v>0</v>
      </c>
      <c r="C1726" s="354">
        <v>0</v>
      </c>
      <c r="D1726" s="354">
        <v>0</v>
      </c>
      <c r="E1726" s="354">
        <v>2</v>
      </c>
      <c r="F1726" s="354">
        <v>1</v>
      </c>
      <c r="G1726" s="354">
        <v>2</v>
      </c>
      <c r="H1726" s="354">
        <v>1</v>
      </c>
      <c r="I1726" s="354">
        <v>0</v>
      </c>
      <c r="J1726" s="354">
        <v>0</v>
      </c>
      <c r="K1726" s="354">
        <v>0</v>
      </c>
      <c r="L1726" s="354">
        <v>0</v>
      </c>
      <c r="M1726" s="355">
        <v>4</v>
      </c>
      <c r="N1726" s="355">
        <v>2</v>
      </c>
    </row>
    <row r="1727" spans="1:14" hidden="1" x14ac:dyDescent="0.25">
      <c r="A1727" s="354">
        <v>0</v>
      </c>
      <c r="B1727" s="354">
        <v>0</v>
      </c>
      <c r="C1727" s="354">
        <v>1</v>
      </c>
      <c r="D1727" s="354">
        <v>0</v>
      </c>
      <c r="E1727" s="354">
        <v>1</v>
      </c>
      <c r="F1727" s="354">
        <v>0</v>
      </c>
      <c r="G1727" s="354">
        <v>2</v>
      </c>
      <c r="H1727" s="354">
        <v>2</v>
      </c>
      <c r="I1727" s="354">
        <v>1</v>
      </c>
      <c r="J1727" s="354">
        <v>2</v>
      </c>
      <c r="K1727" s="354">
        <v>0</v>
      </c>
      <c r="L1727" s="354">
        <v>0</v>
      </c>
      <c r="M1727" s="355">
        <v>5</v>
      </c>
      <c r="N1727" s="355">
        <v>4</v>
      </c>
    </row>
    <row r="1728" spans="1:14" hidden="1" x14ac:dyDescent="0.25">
      <c r="A1728" s="354">
        <v>0</v>
      </c>
      <c r="B1728" s="354">
        <v>0</v>
      </c>
      <c r="C1728" s="354">
        <v>1</v>
      </c>
      <c r="D1728" s="354">
        <v>1</v>
      </c>
      <c r="E1728" s="354">
        <v>2</v>
      </c>
      <c r="F1728" s="354">
        <v>2</v>
      </c>
      <c r="G1728" s="354">
        <v>3</v>
      </c>
      <c r="H1728" s="354">
        <v>1</v>
      </c>
      <c r="I1728" s="354">
        <v>2</v>
      </c>
      <c r="J1728" s="354">
        <v>4</v>
      </c>
      <c r="K1728" s="354">
        <v>1</v>
      </c>
      <c r="L1728" s="354">
        <v>0</v>
      </c>
      <c r="M1728" s="355">
        <v>9</v>
      </c>
      <c r="N1728" s="355">
        <v>8</v>
      </c>
    </row>
    <row r="1729" spans="1:14" hidden="1" x14ac:dyDescent="0.25">
      <c r="A1729" s="354">
        <v>1</v>
      </c>
      <c r="B1729" s="354">
        <v>0</v>
      </c>
      <c r="C1729" s="354">
        <v>1</v>
      </c>
      <c r="D1729" s="354">
        <v>0</v>
      </c>
      <c r="E1729" s="354">
        <v>2</v>
      </c>
      <c r="F1729" s="354">
        <v>0</v>
      </c>
      <c r="G1729" s="354">
        <v>0</v>
      </c>
      <c r="H1729" s="354">
        <v>0</v>
      </c>
      <c r="I1729" s="354">
        <v>1</v>
      </c>
      <c r="J1729" s="354">
        <v>1</v>
      </c>
      <c r="K1729" s="354">
        <v>0</v>
      </c>
      <c r="L1729" s="354">
        <v>0</v>
      </c>
      <c r="M1729" s="355">
        <v>5</v>
      </c>
      <c r="N1729" s="355">
        <v>1</v>
      </c>
    </row>
    <row r="1730" spans="1:14" hidden="1" x14ac:dyDescent="0.25">
      <c r="A1730" s="354">
        <v>0</v>
      </c>
      <c r="B1730" s="354">
        <v>1</v>
      </c>
      <c r="C1730" s="354">
        <v>0</v>
      </c>
      <c r="D1730" s="354">
        <v>1</v>
      </c>
      <c r="E1730" s="354">
        <v>0</v>
      </c>
      <c r="F1730" s="354">
        <v>0</v>
      </c>
      <c r="G1730" s="354">
        <v>0</v>
      </c>
      <c r="H1730" s="354">
        <v>0</v>
      </c>
      <c r="I1730" s="354">
        <v>1</v>
      </c>
      <c r="J1730" s="354">
        <v>1</v>
      </c>
      <c r="K1730" s="354">
        <v>0</v>
      </c>
      <c r="L1730" s="354">
        <v>0</v>
      </c>
      <c r="M1730" s="355">
        <v>1</v>
      </c>
      <c r="N1730" s="355">
        <v>3</v>
      </c>
    </row>
    <row r="1731" spans="1:14" hidden="1" x14ac:dyDescent="0.25">
      <c r="A1731" s="354">
        <v>1</v>
      </c>
      <c r="B1731" s="354">
        <v>0</v>
      </c>
      <c r="C1731" s="354">
        <v>1</v>
      </c>
      <c r="D1731" s="354">
        <v>0</v>
      </c>
      <c r="E1731" s="354">
        <v>1</v>
      </c>
      <c r="F1731" s="354">
        <v>1</v>
      </c>
      <c r="G1731" s="354">
        <v>1</v>
      </c>
      <c r="H1731" s="354">
        <v>2</v>
      </c>
      <c r="I1731" s="354">
        <v>1</v>
      </c>
      <c r="J1731" s="354">
        <v>1</v>
      </c>
      <c r="K1731" s="354">
        <v>0</v>
      </c>
      <c r="L1731" s="354">
        <v>0</v>
      </c>
      <c r="M1731" s="355">
        <v>5</v>
      </c>
      <c r="N1731" s="355">
        <v>4</v>
      </c>
    </row>
    <row r="1732" spans="1:14" hidden="1" x14ac:dyDescent="0.25">
      <c r="A1732" s="354">
        <v>0</v>
      </c>
      <c r="B1732" s="354">
        <v>0</v>
      </c>
      <c r="C1732" s="354">
        <v>1</v>
      </c>
      <c r="D1732" s="354">
        <v>0</v>
      </c>
      <c r="E1732" s="354">
        <v>1</v>
      </c>
      <c r="F1732" s="354">
        <v>0</v>
      </c>
      <c r="G1732" s="354">
        <v>0</v>
      </c>
      <c r="H1732" s="354">
        <v>1</v>
      </c>
      <c r="I1732" s="354">
        <v>1</v>
      </c>
      <c r="J1732" s="354">
        <v>1</v>
      </c>
      <c r="K1732" s="354">
        <v>0</v>
      </c>
      <c r="L1732" s="354">
        <v>0</v>
      </c>
      <c r="M1732" s="355">
        <v>3</v>
      </c>
      <c r="N1732" s="355">
        <v>2</v>
      </c>
    </row>
    <row r="1733" spans="1:14" hidden="1" x14ac:dyDescent="0.25">
      <c r="A1733" s="354">
        <v>2</v>
      </c>
      <c r="B1733" s="354">
        <v>0</v>
      </c>
      <c r="C1733" s="354">
        <v>0</v>
      </c>
      <c r="D1733" s="354">
        <v>0</v>
      </c>
      <c r="E1733" s="354">
        <v>0</v>
      </c>
      <c r="F1733" s="354">
        <v>0</v>
      </c>
      <c r="G1733" s="354">
        <v>0</v>
      </c>
      <c r="H1733" s="354">
        <v>0</v>
      </c>
      <c r="I1733" s="354">
        <v>1</v>
      </c>
      <c r="J1733" s="354">
        <v>2</v>
      </c>
      <c r="K1733" s="354">
        <v>0</v>
      </c>
      <c r="L1733" s="354">
        <v>0</v>
      </c>
      <c r="M1733" s="355">
        <v>3</v>
      </c>
      <c r="N1733" s="355">
        <v>2</v>
      </c>
    </row>
    <row r="1734" spans="1:14" hidden="1" x14ac:dyDescent="0.25">
      <c r="A1734" s="354">
        <v>1</v>
      </c>
      <c r="B1734" s="354">
        <v>0</v>
      </c>
      <c r="C1734" s="354">
        <v>0</v>
      </c>
      <c r="D1734" s="354">
        <v>0</v>
      </c>
      <c r="E1734" s="354">
        <v>0</v>
      </c>
      <c r="F1734" s="354">
        <v>3</v>
      </c>
      <c r="G1734" s="354">
        <v>1</v>
      </c>
      <c r="H1734" s="354">
        <v>1</v>
      </c>
      <c r="I1734" s="354">
        <v>1</v>
      </c>
      <c r="J1734" s="354">
        <v>1</v>
      </c>
      <c r="K1734" s="354">
        <v>0</v>
      </c>
      <c r="L1734" s="354">
        <v>0</v>
      </c>
      <c r="M1734" s="355">
        <v>3</v>
      </c>
      <c r="N1734" s="355">
        <v>5</v>
      </c>
    </row>
    <row r="1735" spans="1:14" hidden="1" x14ac:dyDescent="0.25">
      <c r="A1735" s="354">
        <v>0</v>
      </c>
      <c r="B1735" s="354">
        <v>0</v>
      </c>
      <c r="C1735" s="354">
        <v>0</v>
      </c>
      <c r="D1735" s="354">
        <v>0</v>
      </c>
      <c r="E1735" s="354">
        <v>1</v>
      </c>
      <c r="F1735" s="354">
        <v>0</v>
      </c>
      <c r="G1735" s="354">
        <v>3</v>
      </c>
      <c r="H1735" s="354">
        <v>2</v>
      </c>
      <c r="I1735" s="354">
        <v>1</v>
      </c>
      <c r="J1735" s="354">
        <v>1</v>
      </c>
      <c r="K1735" s="354">
        <v>0</v>
      </c>
      <c r="L1735" s="354">
        <v>0</v>
      </c>
      <c r="M1735" s="355">
        <v>5</v>
      </c>
      <c r="N1735" s="355">
        <v>3</v>
      </c>
    </row>
    <row r="1736" spans="1:14" hidden="1" x14ac:dyDescent="0.25">
      <c r="A1736" s="354">
        <v>1</v>
      </c>
      <c r="B1736" s="354">
        <v>0</v>
      </c>
      <c r="C1736" s="354">
        <v>2</v>
      </c>
      <c r="D1736" s="354">
        <v>0</v>
      </c>
      <c r="E1736" s="354">
        <v>1</v>
      </c>
      <c r="F1736" s="354">
        <v>2</v>
      </c>
      <c r="G1736" s="354">
        <v>1</v>
      </c>
      <c r="H1736" s="354">
        <v>0</v>
      </c>
      <c r="I1736" s="354">
        <v>1</v>
      </c>
      <c r="J1736" s="354">
        <v>2</v>
      </c>
      <c r="K1736" s="354">
        <v>1</v>
      </c>
      <c r="L1736" s="354">
        <v>0</v>
      </c>
      <c r="M1736" s="355">
        <v>7</v>
      </c>
      <c r="N1736" s="355">
        <v>4</v>
      </c>
    </row>
    <row r="1737" spans="1:14" hidden="1" x14ac:dyDescent="0.25">
      <c r="A1737" s="354">
        <v>1</v>
      </c>
      <c r="B1737" s="354">
        <v>0</v>
      </c>
      <c r="C1737" s="354">
        <v>2</v>
      </c>
      <c r="D1737" s="354">
        <v>1</v>
      </c>
      <c r="E1737" s="354">
        <v>0</v>
      </c>
      <c r="F1737" s="354">
        <v>1</v>
      </c>
      <c r="G1737" s="354">
        <v>0</v>
      </c>
      <c r="H1737" s="354">
        <v>0</v>
      </c>
      <c r="I1737" s="354">
        <v>1</v>
      </c>
      <c r="J1737" s="354">
        <v>1</v>
      </c>
      <c r="K1737" s="354">
        <v>0</v>
      </c>
      <c r="L1737" s="354">
        <v>0</v>
      </c>
      <c r="M1737" s="355">
        <v>4</v>
      </c>
      <c r="N1737" s="355">
        <v>3</v>
      </c>
    </row>
    <row r="1738" spans="1:14" hidden="1" x14ac:dyDescent="0.25">
      <c r="A1738" s="354">
        <v>0</v>
      </c>
      <c r="B1738" s="354">
        <v>0</v>
      </c>
      <c r="C1738" s="354">
        <v>0</v>
      </c>
      <c r="D1738" s="354">
        <v>0</v>
      </c>
      <c r="E1738" s="354">
        <v>0</v>
      </c>
      <c r="F1738" s="354">
        <v>0</v>
      </c>
      <c r="G1738" s="354">
        <v>0</v>
      </c>
      <c r="H1738" s="354">
        <v>0</v>
      </c>
      <c r="I1738" s="354">
        <v>1</v>
      </c>
      <c r="J1738" s="354">
        <v>2</v>
      </c>
      <c r="K1738" s="354">
        <v>0</v>
      </c>
      <c r="L1738" s="354">
        <v>0</v>
      </c>
      <c r="M1738" s="355">
        <v>1</v>
      </c>
      <c r="N1738" s="355">
        <v>2</v>
      </c>
    </row>
    <row r="1739" spans="1:14" hidden="1" x14ac:dyDescent="0.25">
      <c r="A1739" s="354">
        <v>0</v>
      </c>
      <c r="B1739" s="354">
        <v>0</v>
      </c>
      <c r="C1739" s="354">
        <v>1</v>
      </c>
      <c r="D1739" s="354">
        <v>0</v>
      </c>
      <c r="E1739" s="354">
        <v>0</v>
      </c>
      <c r="F1739" s="354">
        <v>0</v>
      </c>
      <c r="G1739" s="354">
        <v>0</v>
      </c>
      <c r="H1739" s="354">
        <v>0</v>
      </c>
      <c r="I1739" s="354">
        <v>0</v>
      </c>
      <c r="J1739" s="354">
        <v>1</v>
      </c>
      <c r="K1739" s="354">
        <v>0</v>
      </c>
      <c r="L1739" s="354">
        <v>0</v>
      </c>
      <c r="M1739" s="355">
        <v>1</v>
      </c>
      <c r="N1739" s="355">
        <v>1</v>
      </c>
    </row>
    <row r="1740" spans="1:14" hidden="1" x14ac:dyDescent="0.25">
      <c r="A1740" s="354">
        <v>0</v>
      </c>
      <c r="B1740" s="354">
        <v>0</v>
      </c>
      <c r="C1740" s="354">
        <v>2</v>
      </c>
      <c r="D1740" s="354">
        <v>0</v>
      </c>
      <c r="E1740" s="354">
        <v>0</v>
      </c>
      <c r="F1740" s="354">
        <v>1</v>
      </c>
      <c r="G1740" s="354">
        <v>0</v>
      </c>
      <c r="H1740" s="354">
        <v>0</v>
      </c>
      <c r="I1740" s="354">
        <v>0</v>
      </c>
      <c r="J1740" s="354">
        <v>1</v>
      </c>
      <c r="K1740" s="354">
        <v>0</v>
      </c>
      <c r="L1740" s="354">
        <v>0</v>
      </c>
      <c r="M1740" s="355">
        <v>2</v>
      </c>
      <c r="N1740" s="355">
        <v>2</v>
      </c>
    </row>
    <row r="1741" spans="1:14" hidden="1" x14ac:dyDescent="0.25">
      <c r="A1741" s="354">
        <v>0</v>
      </c>
      <c r="B1741" s="354">
        <v>1</v>
      </c>
      <c r="C1741" s="354">
        <v>1</v>
      </c>
      <c r="D1741" s="354">
        <v>2</v>
      </c>
      <c r="E1741" s="354">
        <v>1</v>
      </c>
      <c r="F1741" s="354">
        <v>1</v>
      </c>
      <c r="G1741" s="354">
        <v>2</v>
      </c>
      <c r="H1741" s="354">
        <v>1</v>
      </c>
      <c r="I1741" s="354">
        <v>1</v>
      </c>
      <c r="J1741" s="354">
        <v>1</v>
      </c>
      <c r="K1741" s="354">
        <v>1</v>
      </c>
      <c r="L1741" s="354">
        <v>0</v>
      </c>
      <c r="M1741" s="355">
        <v>6</v>
      </c>
      <c r="N1741" s="355">
        <v>6</v>
      </c>
    </row>
    <row r="1742" spans="1:14" hidden="1" x14ac:dyDescent="0.25">
      <c r="A1742" s="354">
        <v>1</v>
      </c>
      <c r="B1742" s="354">
        <v>0</v>
      </c>
      <c r="C1742" s="354">
        <v>1</v>
      </c>
      <c r="D1742" s="354">
        <v>1</v>
      </c>
      <c r="E1742" s="354">
        <v>0</v>
      </c>
      <c r="F1742" s="354">
        <v>0</v>
      </c>
      <c r="G1742" s="354">
        <v>0</v>
      </c>
      <c r="H1742" s="354">
        <v>0</v>
      </c>
      <c r="I1742" s="354">
        <v>1</v>
      </c>
      <c r="J1742" s="354">
        <v>1</v>
      </c>
      <c r="K1742" s="354">
        <v>0</v>
      </c>
      <c r="L1742" s="354">
        <v>0</v>
      </c>
      <c r="M1742" s="355">
        <v>3</v>
      </c>
      <c r="N1742" s="355">
        <v>2</v>
      </c>
    </row>
    <row r="1743" spans="1:14" hidden="1" x14ac:dyDescent="0.25">
      <c r="A1743" s="354">
        <v>0</v>
      </c>
      <c r="B1743" s="354">
        <v>0</v>
      </c>
      <c r="C1743" s="354">
        <v>0</v>
      </c>
      <c r="D1743" s="354">
        <v>0</v>
      </c>
      <c r="E1743" s="354">
        <v>0</v>
      </c>
      <c r="F1743" s="354">
        <v>0</v>
      </c>
      <c r="G1743" s="354">
        <v>0</v>
      </c>
      <c r="H1743" s="354">
        <v>0</v>
      </c>
      <c r="I1743" s="354">
        <v>2</v>
      </c>
      <c r="J1743" s="354">
        <v>2</v>
      </c>
      <c r="K1743" s="354">
        <v>0</v>
      </c>
      <c r="L1743" s="354">
        <v>0</v>
      </c>
      <c r="M1743" s="355">
        <v>2</v>
      </c>
      <c r="N1743" s="355">
        <v>2</v>
      </c>
    </row>
    <row r="1744" spans="1:14" hidden="1" x14ac:dyDescent="0.25">
      <c r="A1744" s="354">
        <v>0</v>
      </c>
      <c r="B1744" s="354">
        <v>1</v>
      </c>
      <c r="C1744" s="354">
        <v>1</v>
      </c>
      <c r="D1744" s="354">
        <v>0</v>
      </c>
      <c r="E1744" s="354">
        <v>2</v>
      </c>
      <c r="F1744" s="354">
        <v>1</v>
      </c>
      <c r="G1744" s="354">
        <v>1</v>
      </c>
      <c r="H1744" s="354">
        <v>0</v>
      </c>
      <c r="I1744" s="354">
        <v>1</v>
      </c>
      <c r="J1744" s="354">
        <v>1</v>
      </c>
      <c r="K1744" s="354">
        <v>0</v>
      </c>
      <c r="L1744" s="354">
        <v>0</v>
      </c>
      <c r="M1744" s="355">
        <v>5</v>
      </c>
      <c r="N1744" s="355">
        <v>3</v>
      </c>
    </row>
    <row r="1745" spans="1:14" hidden="1" x14ac:dyDescent="0.25">
      <c r="A1745" s="354">
        <v>2</v>
      </c>
      <c r="B1745" s="354">
        <v>2</v>
      </c>
      <c r="C1745" s="354">
        <v>0</v>
      </c>
      <c r="D1745" s="354">
        <v>1</v>
      </c>
      <c r="E1745" s="354">
        <v>2</v>
      </c>
      <c r="F1745" s="354">
        <v>0</v>
      </c>
      <c r="G1745" s="354">
        <v>0</v>
      </c>
      <c r="H1745" s="354">
        <v>0</v>
      </c>
      <c r="I1745" s="354">
        <v>1</v>
      </c>
      <c r="J1745" s="354">
        <v>2</v>
      </c>
      <c r="K1745" s="354">
        <v>0</v>
      </c>
      <c r="L1745" s="354">
        <v>0</v>
      </c>
      <c r="M1745" s="355">
        <v>5</v>
      </c>
      <c r="N1745" s="355">
        <v>5</v>
      </c>
    </row>
    <row r="1746" spans="1:14" hidden="1" x14ac:dyDescent="0.25">
      <c r="A1746" s="354">
        <v>0</v>
      </c>
      <c r="B1746" s="354">
        <v>0</v>
      </c>
      <c r="C1746" s="354">
        <v>0</v>
      </c>
      <c r="D1746" s="354">
        <v>1</v>
      </c>
      <c r="E1746" s="354">
        <v>1</v>
      </c>
      <c r="F1746" s="354">
        <v>0</v>
      </c>
      <c r="G1746" s="354">
        <v>0</v>
      </c>
      <c r="H1746" s="354">
        <v>0</v>
      </c>
      <c r="I1746" s="354">
        <v>0</v>
      </c>
      <c r="J1746" s="354">
        <v>1</v>
      </c>
      <c r="K1746" s="354">
        <v>0</v>
      </c>
      <c r="L1746" s="354">
        <v>0</v>
      </c>
      <c r="M1746" s="355">
        <v>1</v>
      </c>
      <c r="N1746" s="355">
        <v>2</v>
      </c>
    </row>
    <row r="1747" spans="1:14" hidden="1" x14ac:dyDescent="0.25">
      <c r="A1747" s="354">
        <v>1</v>
      </c>
      <c r="B1747" s="354">
        <v>0</v>
      </c>
      <c r="C1747" s="354">
        <v>1</v>
      </c>
      <c r="D1747" s="354">
        <v>1</v>
      </c>
      <c r="E1747" s="354">
        <v>0</v>
      </c>
      <c r="F1747" s="354">
        <v>0</v>
      </c>
      <c r="G1747" s="354">
        <v>0</v>
      </c>
      <c r="H1747" s="354">
        <v>0</v>
      </c>
      <c r="I1747" s="354">
        <v>1</v>
      </c>
      <c r="J1747" s="354">
        <v>1</v>
      </c>
      <c r="K1747" s="354">
        <v>0</v>
      </c>
      <c r="L1747" s="354">
        <v>0</v>
      </c>
      <c r="M1747" s="355">
        <v>3</v>
      </c>
      <c r="N1747" s="355">
        <v>2</v>
      </c>
    </row>
    <row r="1748" spans="1:14" hidden="1" x14ac:dyDescent="0.25">
      <c r="A1748" s="354">
        <v>1</v>
      </c>
      <c r="B1748" s="354">
        <v>1</v>
      </c>
      <c r="C1748" s="354">
        <v>0</v>
      </c>
      <c r="D1748" s="354">
        <v>2</v>
      </c>
      <c r="E1748" s="354">
        <v>0</v>
      </c>
      <c r="F1748" s="354">
        <v>0</v>
      </c>
      <c r="G1748" s="354">
        <v>0</v>
      </c>
      <c r="H1748" s="354">
        <v>0</v>
      </c>
      <c r="I1748" s="354">
        <v>1</v>
      </c>
      <c r="J1748" s="354">
        <v>1</v>
      </c>
      <c r="K1748" s="354">
        <v>0</v>
      </c>
      <c r="L1748" s="354">
        <v>0</v>
      </c>
      <c r="M1748" s="355">
        <v>2</v>
      </c>
      <c r="N1748" s="355">
        <v>4</v>
      </c>
    </row>
    <row r="1749" spans="1:14" hidden="1" x14ac:dyDescent="0.25">
      <c r="A1749" s="354">
        <v>1</v>
      </c>
      <c r="B1749" s="354">
        <v>1</v>
      </c>
      <c r="C1749" s="354">
        <v>0</v>
      </c>
      <c r="D1749" s="354">
        <v>1</v>
      </c>
      <c r="E1749" s="354">
        <v>0</v>
      </c>
      <c r="F1749" s="354">
        <v>0</v>
      </c>
      <c r="G1749" s="354">
        <v>0</v>
      </c>
      <c r="H1749" s="354">
        <v>0</v>
      </c>
      <c r="I1749" s="354">
        <v>1</v>
      </c>
      <c r="J1749" s="354">
        <v>1</v>
      </c>
      <c r="K1749" s="354">
        <v>0</v>
      </c>
      <c r="L1749" s="354">
        <v>0</v>
      </c>
      <c r="M1749" s="355">
        <v>2</v>
      </c>
      <c r="N1749" s="355">
        <v>3</v>
      </c>
    </row>
    <row r="1750" spans="1:14" hidden="1" x14ac:dyDescent="0.25">
      <c r="A1750" s="354">
        <v>1</v>
      </c>
      <c r="B1750" s="354">
        <v>0</v>
      </c>
      <c r="C1750" s="354">
        <v>2</v>
      </c>
      <c r="D1750" s="354">
        <v>1</v>
      </c>
      <c r="E1750" s="354">
        <v>0</v>
      </c>
      <c r="F1750" s="354">
        <v>0</v>
      </c>
      <c r="G1750" s="354">
        <v>0</v>
      </c>
      <c r="H1750" s="354">
        <v>0</v>
      </c>
      <c r="I1750" s="354">
        <v>1</v>
      </c>
      <c r="J1750" s="354">
        <v>1</v>
      </c>
      <c r="K1750" s="354">
        <v>0</v>
      </c>
      <c r="L1750" s="354">
        <v>0</v>
      </c>
      <c r="M1750" s="355">
        <v>4</v>
      </c>
      <c r="N1750" s="355">
        <v>2</v>
      </c>
    </row>
    <row r="1751" spans="1:14" hidden="1" x14ac:dyDescent="0.25">
      <c r="A1751" s="354">
        <v>0</v>
      </c>
      <c r="B1751" s="354">
        <v>0</v>
      </c>
      <c r="C1751" s="354">
        <v>0</v>
      </c>
      <c r="D1751" s="354">
        <v>0</v>
      </c>
      <c r="E1751" s="354">
        <v>0</v>
      </c>
      <c r="F1751" s="354">
        <v>0</v>
      </c>
      <c r="G1751" s="354">
        <v>0</v>
      </c>
      <c r="H1751" s="354">
        <v>0</v>
      </c>
      <c r="I1751" s="354">
        <v>1</v>
      </c>
      <c r="J1751" s="354">
        <v>1</v>
      </c>
      <c r="K1751" s="354">
        <v>0</v>
      </c>
      <c r="L1751" s="354">
        <v>0</v>
      </c>
      <c r="M1751" s="355">
        <v>1</v>
      </c>
      <c r="N1751" s="355">
        <v>1</v>
      </c>
    </row>
    <row r="1752" spans="1:14" hidden="1" x14ac:dyDescent="0.25">
      <c r="A1752" s="354">
        <v>0</v>
      </c>
      <c r="B1752" s="354">
        <v>0</v>
      </c>
      <c r="C1752" s="354">
        <v>0</v>
      </c>
      <c r="D1752" s="354">
        <v>0</v>
      </c>
      <c r="E1752" s="354">
        <v>0</v>
      </c>
      <c r="F1752" s="354">
        <v>0</v>
      </c>
      <c r="G1752" s="354">
        <v>0</v>
      </c>
      <c r="H1752" s="354">
        <v>0</v>
      </c>
      <c r="I1752" s="354">
        <v>0</v>
      </c>
      <c r="J1752" s="354">
        <v>1</v>
      </c>
      <c r="K1752" s="354">
        <v>0</v>
      </c>
      <c r="L1752" s="354">
        <v>0</v>
      </c>
      <c r="M1752" s="355">
        <v>0</v>
      </c>
      <c r="N1752" s="355">
        <v>1</v>
      </c>
    </row>
    <row r="1753" spans="1:14" hidden="1" x14ac:dyDescent="0.25">
      <c r="A1753" s="354">
        <v>0</v>
      </c>
      <c r="B1753" s="354">
        <v>0</v>
      </c>
      <c r="C1753" s="354">
        <v>0</v>
      </c>
      <c r="D1753" s="354">
        <v>0</v>
      </c>
      <c r="E1753" s="354">
        <v>0</v>
      </c>
      <c r="F1753" s="354">
        <v>1</v>
      </c>
      <c r="G1753" s="354">
        <v>0</v>
      </c>
      <c r="H1753" s="354">
        <v>0</v>
      </c>
      <c r="I1753" s="354">
        <v>0</v>
      </c>
      <c r="J1753" s="354">
        <v>1</v>
      </c>
      <c r="K1753" s="354">
        <v>0</v>
      </c>
      <c r="L1753" s="354">
        <v>0</v>
      </c>
      <c r="M1753" s="355">
        <v>0</v>
      </c>
      <c r="N1753" s="355">
        <v>2</v>
      </c>
    </row>
    <row r="1754" spans="1:14" hidden="1" x14ac:dyDescent="0.25">
      <c r="A1754" s="354">
        <v>1</v>
      </c>
      <c r="B1754" s="354">
        <v>0</v>
      </c>
      <c r="C1754" s="354">
        <v>1</v>
      </c>
      <c r="D1754" s="354">
        <v>2</v>
      </c>
      <c r="E1754" s="354">
        <v>0</v>
      </c>
      <c r="F1754" s="354">
        <v>0</v>
      </c>
      <c r="G1754" s="354">
        <v>0</v>
      </c>
      <c r="H1754" s="354">
        <v>0</v>
      </c>
      <c r="I1754" s="354">
        <v>1</v>
      </c>
      <c r="J1754" s="354">
        <v>1</v>
      </c>
      <c r="K1754" s="354">
        <v>0</v>
      </c>
      <c r="L1754" s="354">
        <v>0</v>
      </c>
      <c r="M1754" s="355">
        <v>3</v>
      </c>
      <c r="N1754" s="355">
        <v>3</v>
      </c>
    </row>
    <row r="1755" spans="1:14" hidden="1" x14ac:dyDescent="0.25">
      <c r="A1755" s="354">
        <v>1</v>
      </c>
      <c r="B1755" s="354">
        <v>0</v>
      </c>
      <c r="C1755" s="354">
        <v>2</v>
      </c>
      <c r="D1755" s="354">
        <v>0</v>
      </c>
      <c r="E1755" s="354">
        <v>1</v>
      </c>
      <c r="F1755" s="354">
        <v>1</v>
      </c>
      <c r="G1755" s="354">
        <v>0</v>
      </c>
      <c r="H1755" s="354">
        <v>0</v>
      </c>
      <c r="I1755" s="354">
        <v>1</v>
      </c>
      <c r="J1755" s="354">
        <v>1</v>
      </c>
      <c r="K1755" s="354">
        <v>0</v>
      </c>
      <c r="L1755" s="354">
        <v>0</v>
      </c>
      <c r="M1755" s="355">
        <v>5</v>
      </c>
      <c r="N1755" s="355">
        <v>2</v>
      </c>
    </row>
    <row r="1756" spans="1:14" hidden="1" x14ac:dyDescent="0.25">
      <c r="A1756" s="354">
        <v>1</v>
      </c>
      <c r="B1756" s="354">
        <v>0</v>
      </c>
      <c r="C1756" s="354">
        <v>1</v>
      </c>
      <c r="D1756" s="354">
        <v>0</v>
      </c>
      <c r="E1756" s="354">
        <v>1</v>
      </c>
      <c r="F1756" s="354">
        <v>0</v>
      </c>
      <c r="G1756" s="354">
        <v>0</v>
      </c>
      <c r="H1756" s="354">
        <v>0</v>
      </c>
      <c r="I1756" s="354">
        <v>1</v>
      </c>
      <c r="J1756" s="354">
        <v>1</v>
      </c>
      <c r="K1756" s="354">
        <v>0</v>
      </c>
      <c r="L1756" s="354">
        <v>0</v>
      </c>
      <c r="M1756" s="355">
        <v>4</v>
      </c>
      <c r="N1756" s="355">
        <v>1</v>
      </c>
    </row>
    <row r="1757" spans="1:14" hidden="1" x14ac:dyDescent="0.25">
      <c r="A1757" s="354">
        <v>0</v>
      </c>
      <c r="B1757" s="354">
        <v>0</v>
      </c>
      <c r="C1757" s="354">
        <v>0</v>
      </c>
      <c r="D1757" s="354">
        <v>0</v>
      </c>
      <c r="E1757" s="354">
        <v>0</v>
      </c>
      <c r="F1757" s="354">
        <v>1</v>
      </c>
      <c r="G1757" s="354">
        <v>2</v>
      </c>
      <c r="H1757" s="354">
        <v>0</v>
      </c>
      <c r="I1757" s="354">
        <v>1</v>
      </c>
      <c r="J1757" s="354">
        <v>3</v>
      </c>
      <c r="K1757" s="354">
        <v>0</v>
      </c>
      <c r="L1757" s="354">
        <v>0</v>
      </c>
      <c r="M1757" s="355">
        <v>3</v>
      </c>
      <c r="N1757" s="355">
        <v>4</v>
      </c>
    </row>
    <row r="1758" spans="1:14" hidden="1" x14ac:dyDescent="0.25">
      <c r="A1758" s="354">
        <v>0</v>
      </c>
      <c r="B1758" s="354">
        <v>0</v>
      </c>
      <c r="C1758" s="354">
        <v>0</v>
      </c>
      <c r="D1758" s="354">
        <v>0</v>
      </c>
      <c r="E1758" s="354">
        <v>1</v>
      </c>
      <c r="F1758" s="354">
        <v>1</v>
      </c>
      <c r="G1758" s="354">
        <v>0</v>
      </c>
      <c r="H1758" s="354">
        <v>0</v>
      </c>
      <c r="I1758" s="354">
        <v>1</v>
      </c>
      <c r="J1758" s="354">
        <v>1</v>
      </c>
      <c r="K1758" s="354">
        <v>0</v>
      </c>
      <c r="L1758" s="354">
        <v>0</v>
      </c>
      <c r="M1758" s="355">
        <v>2</v>
      </c>
      <c r="N1758" s="355">
        <v>2</v>
      </c>
    </row>
    <row r="1759" spans="1:14" hidden="1" x14ac:dyDescent="0.25">
      <c r="A1759" s="354">
        <v>1</v>
      </c>
      <c r="B1759" s="354">
        <v>0</v>
      </c>
      <c r="C1759" s="354">
        <v>1</v>
      </c>
      <c r="D1759" s="354">
        <v>1</v>
      </c>
      <c r="E1759" s="354">
        <v>1</v>
      </c>
      <c r="F1759" s="354">
        <v>0</v>
      </c>
      <c r="G1759" s="354">
        <v>0</v>
      </c>
      <c r="H1759" s="354">
        <v>0</v>
      </c>
      <c r="I1759" s="354">
        <v>1</v>
      </c>
      <c r="J1759" s="354">
        <v>1</v>
      </c>
      <c r="K1759" s="354">
        <v>0</v>
      </c>
      <c r="L1759" s="354">
        <v>0</v>
      </c>
      <c r="M1759" s="355">
        <v>4</v>
      </c>
      <c r="N1759" s="355">
        <v>2</v>
      </c>
    </row>
    <row r="1760" spans="1:14" hidden="1" x14ac:dyDescent="0.25">
      <c r="A1760" s="354">
        <v>1</v>
      </c>
      <c r="B1760" s="354">
        <v>1</v>
      </c>
      <c r="C1760" s="354">
        <v>0</v>
      </c>
      <c r="D1760" s="354">
        <v>0</v>
      </c>
      <c r="E1760" s="354">
        <v>0</v>
      </c>
      <c r="F1760" s="354">
        <v>1</v>
      </c>
      <c r="G1760" s="354">
        <v>1</v>
      </c>
      <c r="H1760" s="354">
        <v>0</v>
      </c>
      <c r="I1760" s="354">
        <v>1</v>
      </c>
      <c r="J1760" s="354">
        <v>2</v>
      </c>
      <c r="K1760" s="354">
        <v>0</v>
      </c>
      <c r="L1760" s="354">
        <v>0</v>
      </c>
      <c r="M1760" s="355">
        <v>3</v>
      </c>
      <c r="N1760" s="355">
        <v>4</v>
      </c>
    </row>
    <row r="1761" spans="1:14" hidden="1" x14ac:dyDescent="0.25">
      <c r="A1761" s="354">
        <v>0</v>
      </c>
      <c r="B1761" s="354">
        <v>0</v>
      </c>
      <c r="C1761" s="354">
        <v>1</v>
      </c>
      <c r="D1761" s="354">
        <v>1</v>
      </c>
      <c r="E1761" s="354">
        <v>2</v>
      </c>
      <c r="F1761" s="354">
        <v>1</v>
      </c>
      <c r="G1761" s="354">
        <v>0</v>
      </c>
      <c r="H1761" s="354">
        <v>0</v>
      </c>
      <c r="I1761" s="354">
        <v>1</v>
      </c>
      <c r="J1761" s="354">
        <v>1</v>
      </c>
      <c r="K1761" s="354">
        <v>0</v>
      </c>
      <c r="L1761" s="354">
        <v>0</v>
      </c>
      <c r="M1761" s="355">
        <v>4</v>
      </c>
      <c r="N1761" s="355">
        <v>3</v>
      </c>
    </row>
    <row r="1762" spans="1:14" hidden="1" x14ac:dyDescent="0.25">
      <c r="A1762" s="354">
        <v>0</v>
      </c>
      <c r="B1762" s="354">
        <v>0</v>
      </c>
      <c r="C1762" s="354">
        <v>0</v>
      </c>
      <c r="D1762" s="354">
        <v>0</v>
      </c>
      <c r="E1762" s="354">
        <v>1</v>
      </c>
      <c r="F1762" s="354">
        <v>1</v>
      </c>
      <c r="G1762" s="354">
        <v>1</v>
      </c>
      <c r="H1762" s="354">
        <v>1</v>
      </c>
      <c r="I1762" s="354"/>
      <c r="J1762" s="354">
        <v>1</v>
      </c>
      <c r="K1762" s="354">
        <v>1</v>
      </c>
      <c r="L1762" s="354">
        <v>1</v>
      </c>
      <c r="M1762" s="355">
        <v>3</v>
      </c>
      <c r="N1762" s="355">
        <v>4</v>
      </c>
    </row>
    <row r="1763" spans="1:14" hidden="1" x14ac:dyDescent="0.25">
      <c r="A1763" s="354">
        <v>1</v>
      </c>
      <c r="B1763" s="354">
        <v>1</v>
      </c>
      <c r="C1763" s="354">
        <v>0</v>
      </c>
      <c r="D1763" s="354">
        <v>2</v>
      </c>
      <c r="E1763" s="354">
        <v>0</v>
      </c>
      <c r="F1763" s="354">
        <v>0</v>
      </c>
      <c r="G1763" s="354">
        <v>0</v>
      </c>
      <c r="H1763" s="354">
        <v>0</v>
      </c>
      <c r="I1763" s="354">
        <v>1</v>
      </c>
      <c r="J1763" s="354">
        <v>1</v>
      </c>
      <c r="K1763" s="354">
        <v>0</v>
      </c>
      <c r="L1763" s="354">
        <v>0</v>
      </c>
      <c r="M1763" s="355">
        <v>2</v>
      </c>
      <c r="N1763" s="355">
        <v>4</v>
      </c>
    </row>
    <row r="1764" spans="1:14" hidden="1" x14ac:dyDescent="0.25">
      <c r="A1764" s="354">
        <v>1</v>
      </c>
      <c r="B1764" s="354">
        <v>0</v>
      </c>
      <c r="C1764" s="354">
        <v>1</v>
      </c>
      <c r="D1764" s="354">
        <v>2</v>
      </c>
      <c r="E1764" s="354">
        <v>0</v>
      </c>
      <c r="F1764" s="354">
        <v>1</v>
      </c>
      <c r="G1764" s="354">
        <v>0</v>
      </c>
      <c r="H1764" s="354">
        <v>2</v>
      </c>
      <c r="I1764" s="354">
        <v>1</v>
      </c>
      <c r="J1764" s="354">
        <v>1</v>
      </c>
      <c r="K1764" s="354">
        <v>0</v>
      </c>
      <c r="L1764" s="354">
        <v>0</v>
      </c>
      <c r="M1764" s="355">
        <v>3</v>
      </c>
      <c r="N1764" s="355">
        <v>6</v>
      </c>
    </row>
    <row r="1765" spans="1:14" hidden="1" x14ac:dyDescent="0.25">
      <c r="A1765" s="354">
        <v>0</v>
      </c>
      <c r="B1765" s="354">
        <v>0</v>
      </c>
      <c r="C1765" s="354">
        <v>2</v>
      </c>
      <c r="D1765" s="354">
        <v>1</v>
      </c>
      <c r="E1765" s="354">
        <v>1</v>
      </c>
      <c r="F1765" s="354">
        <v>2</v>
      </c>
      <c r="G1765" s="354">
        <v>0</v>
      </c>
      <c r="H1765" s="354">
        <v>2</v>
      </c>
      <c r="I1765" s="354">
        <v>1</v>
      </c>
      <c r="J1765" s="354">
        <v>1</v>
      </c>
      <c r="K1765" s="354">
        <v>0</v>
      </c>
      <c r="L1765" s="354">
        <v>0</v>
      </c>
      <c r="M1765" s="355">
        <v>4</v>
      </c>
      <c r="N1765" s="355">
        <v>6</v>
      </c>
    </row>
    <row r="1766" spans="1:14" hidden="1" x14ac:dyDescent="0.25">
      <c r="A1766" s="354">
        <v>1</v>
      </c>
      <c r="B1766" s="354">
        <v>0</v>
      </c>
      <c r="C1766" s="354">
        <v>1</v>
      </c>
      <c r="D1766" s="354">
        <v>1</v>
      </c>
      <c r="E1766" s="354">
        <v>1</v>
      </c>
      <c r="F1766" s="354">
        <v>0</v>
      </c>
      <c r="G1766" s="354">
        <v>0</v>
      </c>
      <c r="H1766" s="354">
        <v>0</v>
      </c>
      <c r="I1766" s="354">
        <v>1</v>
      </c>
      <c r="J1766" s="354">
        <v>1</v>
      </c>
      <c r="K1766" s="354">
        <v>0</v>
      </c>
      <c r="L1766" s="354">
        <v>0</v>
      </c>
      <c r="M1766" s="355">
        <v>4</v>
      </c>
      <c r="N1766" s="355">
        <v>2</v>
      </c>
    </row>
    <row r="1767" spans="1:14" hidden="1" x14ac:dyDescent="0.25">
      <c r="A1767" s="354">
        <v>1</v>
      </c>
      <c r="B1767" s="354">
        <v>1</v>
      </c>
      <c r="C1767" s="354">
        <v>0</v>
      </c>
      <c r="D1767" s="354">
        <v>2</v>
      </c>
      <c r="E1767" s="354">
        <v>0</v>
      </c>
      <c r="F1767" s="354">
        <v>2</v>
      </c>
      <c r="G1767" s="354">
        <v>0</v>
      </c>
      <c r="H1767" s="354">
        <v>0</v>
      </c>
      <c r="I1767" s="354">
        <v>1</v>
      </c>
      <c r="J1767" s="354">
        <v>1</v>
      </c>
      <c r="K1767" s="354">
        <v>0</v>
      </c>
      <c r="L1767" s="354">
        <v>0</v>
      </c>
      <c r="M1767" s="355">
        <v>2</v>
      </c>
      <c r="N1767" s="355">
        <v>6</v>
      </c>
    </row>
    <row r="1768" spans="1:14" hidden="1" x14ac:dyDescent="0.25">
      <c r="A1768" s="354">
        <v>1</v>
      </c>
      <c r="B1768" s="354">
        <v>0</v>
      </c>
      <c r="C1768" s="354">
        <v>0</v>
      </c>
      <c r="D1768" s="354">
        <v>0</v>
      </c>
      <c r="E1768" s="354">
        <v>0</v>
      </c>
      <c r="F1768" s="354">
        <v>1</v>
      </c>
      <c r="G1768" s="354">
        <v>0</v>
      </c>
      <c r="H1768" s="354">
        <v>0</v>
      </c>
      <c r="I1768" s="354">
        <v>1</v>
      </c>
      <c r="J1768" s="354">
        <v>1</v>
      </c>
      <c r="K1768" s="354">
        <v>0</v>
      </c>
      <c r="L1768" s="354">
        <v>0</v>
      </c>
      <c r="M1768" s="355">
        <v>2</v>
      </c>
      <c r="N1768" s="355">
        <v>2</v>
      </c>
    </row>
    <row r="1769" spans="1:14" hidden="1" x14ac:dyDescent="0.25">
      <c r="A1769" s="354">
        <v>1</v>
      </c>
      <c r="B1769" s="354">
        <v>0</v>
      </c>
      <c r="C1769" s="354">
        <v>0</v>
      </c>
      <c r="D1769" s="354">
        <v>0</v>
      </c>
      <c r="E1769" s="354">
        <v>0</v>
      </c>
      <c r="F1769" s="354">
        <v>0</v>
      </c>
      <c r="G1769" s="354">
        <v>0</v>
      </c>
      <c r="H1769" s="354">
        <v>0</v>
      </c>
      <c r="I1769" s="354">
        <v>1</v>
      </c>
      <c r="J1769" s="354">
        <v>1</v>
      </c>
      <c r="K1769" s="354">
        <v>0</v>
      </c>
      <c r="L1769" s="354">
        <v>0</v>
      </c>
      <c r="M1769" s="355">
        <v>2</v>
      </c>
      <c r="N1769" s="355">
        <v>1</v>
      </c>
    </row>
    <row r="1770" spans="1:14" hidden="1" x14ac:dyDescent="0.25">
      <c r="A1770" s="354">
        <v>1</v>
      </c>
      <c r="B1770" s="354">
        <v>1</v>
      </c>
      <c r="C1770" s="354">
        <v>0</v>
      </c>
      <c r="D1770" s="354">
        <v>1</v>
      </c>
      <c r="E1770" s="354">
        <v>1</v>
      </c>
      <c r="F1770" s="354">
        <v>1</v>
      </c>
      <c r="G1770" s="354">
        <v>0</v>
      </c>
      <c r="H1770" s="354">
        <v>0</v>
      </c>
      <c r="I1770" s="354">
        <v>1</v>
      </c>
      <c r="J1770" s="354">
        <v>1</v>
      </c>
      <c r="K1770" s="354">
        <v>0</v>
      </c>
      <c r="L1770" s="354">
        <v>0</v>
      </c>
      <c r="M1770" s="355">
        <v>3</v>
      </c>
      <c r="N1770" s="355">
        <v>4</v>
      </c>
    </row>
    <row r="1771" spans="1:14" hidden="1" x14ac:dyDescent="0.25">
      <c r="A1771" s="354">
        <v>0</v>
      </c>
      <c r="B1771" s="354">
        <v>0</v>
      </c>
      <c r="C1771" s="354">
        <v>0</v>
      </c>
      <c r="D1771" s="354">
        <v>1</v>
      </c>
      <c r="E1771" s="354">
        <v>0</v>
      </c>
      <c r="F1771" s="354">
        <v>0</v>
      </c>
      <c r="G1771" s="354">
        <v>0</v>
      </c>
      <c r="H1771" s="354">
        <v>0</v>
      </c>
      <c r="I1771" s="354">
        <v>1</v>
      </c>
      <c r="J1771" s="354">
        <v>2</v>
      </c>
      <c r="K1771" s="354">
        <v>0</v>
      </c>
      <c r="L1771" s="354">
        <v>0</v>
      </c>
      <c r="M1771" s="355">
        <v>1</v>
      </c>
      <c r="N1771" s="355">
        <v>3</v>
      </c>
    </row>
    <row r="1772" spans="1:14" hidden="1" x14ac:dyDescent="0.25">
      <c r="A1772" s="354">
        <v>0</v>
      </c>
      <c r="B1772" s="354">
        <v>1</v>
      </c>
      <c r="C1772" s="354">
        <v>0</v>
      </c>
      <c r="D1772" s="354">
        <v>1</v>
      </c>
      <c r="E1772" s="354">
        <v>0</v>
      </c>
      <c r="F1772" s="354">
        <v>1</v>
      </c>
      <c r="G1772" s="354">
        <v>0</v>
      </c>
      <c r="H1772" s="354">
        <v>0</v>
      </c>
      <c r="I1772" s="354">
        <v>1</v>
      </c>
      <c r="J1772" s="354">
        <v>1</v>
      </c>
      <c r="K1772" s="354">
        <v>0</v>
      </c>
      <c r="L1772" s="354">
        <v>0</v>
      </c>
      <c r="M1772" s="355">
        <v>1</v>
      </c>
      <c r="N1772" s="355">
        <v>4</v>
      </c>
    </row>
    <row r="1773" spans="1:14" hidden="1" x14ac:dyDescent="0.25">
      <c r="A1773" s="354">
        <v>1</v>
      </c>
      <c r="B1773" s="354">
        <v>2</v>
      </c>
      <c r="C1773" s="354">
        <v>1</v>
      </c>
      <c r="D1773" s="354">
        <v>0</v>
      </c>
      <c r="E1773" s="354">
        <v>0</v>
      </c>
      <c r="F1773" s="354">
        <v>0</v>
      </c>
      <c r="G1773" s="354">
        <v>0</v>
      </c>
      <c r="H1773" s="354">
        <v>0</v>
      </c>
      <c r="I1773" s="354">
        <v>1</v>
      </c>
      <c r="J1773" s="354">
        <v>1</v>
      </c>
      <c r="K1773" s="354">
        <v>0</v>
      </c>
      <c r="L1773" s="354">
        <v>0</v>
      </c>
      <c r="M1773" s="355">
        <v>3</v>
      </c>
      <c r="N1773" s="355">
        <v>3</v>
      </c>
    </row>
    <row r="1774" spans="1:14" hidden="1" x14ac:dyDescent="0.25">
      <c r="A1774" s="354">
        <v>1</v>
      </c>
      <c r="B1774" s="354">
        <v>1</v>
      </c>
      <c r="C1774" s="354">
        <v>0</v>
      </c>
      <c r="D1774" s="354">
        <v>2</v>
      </c>
      <c r="E1774" s="354">
        <v>0</v>
      </c>
      <c r="F1774" s="354">
        <v>0</v>
      </c>
      <c r="G1774" s="354">
        <v>0</v>
      </c>
      <c r="H1774" s="354">
        <v>0</v>
      </c>
      <c r="I1774" s="354">
        <v>1</v>
      </c>
      <c r="J1774" s="354">
        <v>1</v>
      </c>
      <c r="K1774" s="354">
        <v>0</v>
      </c>
      <c r="L1774" s="354">
        <v>0</v>
      </c>
      <c r="M1774" s="355">
        <v>2</v>
      </c>
      <c r="N1774" s="355">
        <v>4</v>
      </c>
    </row>
    <row r="1775" spans="1:14" hidden="1" x14ac:dyDescent="0.25">
      <c r="A1775" s="354">
        <v>0</v>
      </c>
      <c r="B1775" s="354">
        <v>0</v>
      </c>
      <c r="C1775" s="354">
        <v>1</v>
      </c>
      <c r="D1775" s="354">
        <v>0</v>
      </c>
      <c r="E1775" s="354">
        <v>1</v>
      </c>
      <c r="F1775" s="354">
        <v>0</v>
      </c>
      <c r="G1775" s="354">
        <v>1</v>
      </c>
      <c r="H1775" s="354">
        <v>1</v>
      </c>
      <c r="I1775" s="354">
        <v>0</v>
      </c>
      <c r="J1775" s="354">
        <v>2</v>
      </c>
      <c r="K1775" s="354">
        <v>0</v>
      </c>
      <c r="L1775" s="354">
        <v>0</v>
      </c>
      <c r="M1775" s="355">
        <v>3</v>
      </c>
      <c r="N1775" s="355">
        <v>3</v>
      </c>
    </row>
    <row r="1776" spans="1:14" hidden="1" x14ac:dyDescent="0.25">
      <c r="A1776" s="354">
        <v>0</v>
      </c>
      <c r="B1776" s="354">
        <v>0</v>
      </c>
      <c r="C1776" s="354">
        <v>0</v>
      </c>
      <c r="D1776" s="354">
        <v>0</v>
      </c>
      <c r="E1776" s="354">
        <v>0</v>
      </c>
      <c r="F1776" s="354">
        <v>0</v>
      </c>
      <c r="G1776" s="354">
        <v>3</v>
      </c>
      <c r="H1776" s="354">
        <v>1</v>
      </c>
      <c r="I1776" s="354">
        <v>0</v>
      </c>
      <c r="J1776" s="354">
        <v>0</v>
      </c>
      <c r="K1776" s="354">
        <v>0</v>
      </c>
      <c r="L1776" s="354">
        <v>0</v>
      </c>
      <c r="M1776" s="355">
        <v>3</v>
      </c>
      <c r="N1776" s="355">
        <v>1</v>
      </c>
    </row>
    <row r="1777" spans="1:14" hidden="1" x14ac:dyDescent="0.25">
      <c r="A1777" s="354">
        <v>0</v>
      </c>
      <c r="B1777" s="354">
        <v>0</v>
      </c>
      <c r="C1777" s="354">
        <v>0</v>
      </c>
      <c r="D1777" s="354">
        <v>0</v>
      </c>
      <c r="E1777" s="354">
        <v>0</v>
      </c>
      <c r="F1777" s="354">
        <v>0</v>
      </c>
      <c r="G1777" s="354">
        <v>0</v>
      </c>
      <c r="H1777" s="354">
        <v>0</v>
      </c>
      <c r="I1777" s="354">
        <v>1</v>
      </c>
      <c r="J1777" s="354">
        <v>1</v>
      </c>
      <c r="K1777" s="354">
        <v>0</v>
      </c>
      <c r="L1777" s="354">
        <v>0</v>
      </c>
      <c r="M1777" s="355">
        <v>1</v>
      </c>
      <c r="N1777" s="355">
        <v>1</v>
      </c>
    </row>
    <row r="1778" spans="1:14" hidden="1" x14ac:dyDescent="0.25">
      <c r="A1778" s="354">
        <v>1</v>
      </c>
      <c r="B1778" s="354">
        <v>0</v>
      </c>
      <c r="C1778" s="354">
        <v>1</v>
      </c>
      <c r="D1778" s="354">
        <v>0</v>
      </c>
      <c r="E1778" s="354">
        <v>2</v>
      </c>
      <c r="F1778" s="354">
        <v>1</v>
      </c>
      <c r="G1778" s="354">
        <v>1</v>
      </c>
      <c r="H1778" s="354">
        <v>0</v>
      </c>
      <c r="I1778" s="354">
        <v>1</v>
      </c>
      <c r="J1778" s="354">
        <v>1</v>
      </c>
      <c r="K1778" s="354">
        <v>0</v>
      </c>
      <c r="L1778" s="354">
        <v>0</v>
      </c>
      <c r="M1778" s="355">
        <v>6</v>
      </c>
      <c r="N1778" s="355">
        <v>2</v>
      </c>
    </row>
    <row r="1779" spans="1:14" hidden="1" x14ac:dyDescent="0.25">
      <c r="A1779" s="354">
        <v>1</v>
      </c>
      <c r="B1779" s="354">
        <v>0</v>
      </c>
      <c r="C1779" s="354">
        <v>1</v>
      </c>
      <c r="D1779" s="354">
        <v>0</v>
      </c>
      <c r="E1779" s="354">
        <v>2</v>
      </c>
      <c r="F1779" s="354">
        <v>1</v>
      </c>
      <c r="G1779" s="354">
        <v>1</v>
      </c>
      <c r="H1779" s="354">
        <v>0</v>
      </c>
      <c r="I1779" s="354">
        <v>1</v>
      </c>
      <c r="J1779" s="354">
        <v>1</v>
      </c>
      <c r="K1779" s="354">
        <v>0</v>
      </c>
      <c r="L1779" s="354">
        <v>0</v>
      </c>
      <c r="M1779" s="355">
        <v>6</v>
      </c>
      <c r="N1779" s="355">
        <v>2</v>
      </c>
    </row>
    <row r="1780" spans="1:14" hidden="1" x14ac:dyDescent="0.25">
      <c r="A1780" s="354">
        <v>0</v>
      </c>
      <c r="B1780" s="354">
        <v>0</v>
      </c>
      <c r="C1780" s="354">
        <v>1</v>
      </c>
      <c r="D1780" s="354">
        <v>1</v>
      </c>
      <c r="E1780" s="354">
        <v>1</v>
      </c>
      <c r="F1780" s="354">
        <v>1</v>
      </c>
      <c r="G1780" s="354">
        <v>1</v>
      </c>
      <c r="H1780" s="354">
        <v>1</v>
      </c>
      <c r="I1780" s="354">
        <v>1</v>
      </c>
      <c r="J1780" s="354">
        <v>2</v>
      </c>
      <c r="K1780" s="354">
        <v>1</v>
      </c>
      <c r="L1780" s="354">
        <v>0</v>
      </c>
      <c r="M1780" s="355">
        <v>5</v>
      </c>
      <c r="N1780" s="355">
        <v>5</v>
      </c>
    </row>
    <row r="1781" spans="1:14" hidden="1" x14ac:dyDescent="0.25">
      <c r="A1781" s="354">
        <v>0</v>
      </c>
      <c r="B1781" s="354">
        <v>0</v>
      </c>
      <c r="C1781" s="354">
        <v>1</v>
      </c>
      <c r="D1781" s="354">
        <v>1</v>
      </c>
      <c r="E1781" s="354">
        <v>1</v>
      </c>
      <c r="F1781" s="354">
        <v>2</v>
      </c>
      <c r="G1781" s="354">
        <v>2</v>
      </c>
      <c r="H1781" s="354">
        <v>2</v>
      </c>
      <c r="I1781" s="354">
        <v>1</v>
      </c>
      <c r="J1781" s="354">
        <v>2</v>
      </c>
      <c r="K1781" s="354">
        <v>0</v>
      </c>
      <c r="L1781" s="354">
        <v>0</v>
      </c>
      <c r="M1781" s="355">
        <v>5</v>
      </c>
      <c r="N1781" s="355">
        <v>7</v>
      </c>
    </row>
    <row r="1782" spans="1:14" hidden="1" x14ac:dyDescent="0.25">
      <c r="A1782" s="354">
        <v>0</v>
      </c>
      <c r="B1782" s="354">
        <v>1</v>
      </c>
      <c r="C1782" s="354">
        <v>1</v>
      </c>
      <c r="D1782" s="354">
        <v>1</v>
      </c>
      <c r="E1782" s="354">
        <v>2</v>
      </c>
      <c r="F1782" s="354">
        <v>1</v>
      </c>
      <c r="G1782" s="354">
        <v>2</v>
      </c>
      <c r="H1782" s="354">
        <v>2</v>
      </c>
      <c r="I1782" s="354">
        <v>2</v>
      </c>
      <c r="J1782" s="354">
        <v>3</v>
      </c>
      <c r="K1782" s="354">
        <v>0</v>
      </c>
      <c r="L1782" s="354">
        <v>0</v>
      </c>
      <c r="M1782" s="355">
        <v>7</v>
      </c>
      <c r="N1782" s="355">
        <v>8</v>
      </c>
    </row>
    <row r="1783" spans="1:14" hidden="1" x14ac:dyDescent="0.25">
      <c r="A1783" s="354">
        <v>1</v>
      </c>
      <c r="B1783" s="354">
        <v>0</v>
      </c>
      <c r="C1783" s="354">
        <v>0</v>
      </c>
      <c r="D1783" s="354">
        <v>1</v>
      </c>
      <c r="E1783" s="354">
        <v>0</v>
      </c>
      <c r="F1783" s="354">
        <v>1</v>
      </c>
      <c r="G1783" s="354">
        <v>0</v>
      </c>
      <c r="H1783" s="354">
        <v>0</v>
      </c>
      <c r="I1783" s="354">
        <v>1</v>
      </c>
      <c r="J1783" s="354">
        <v>1</v>
      </c>
      <c r="K1783" s="354">
        <v>0</v>
      </c>
      <c r="L1783" s="354">
        <v>0</v>
      </c>
      <c r="M1783" s="355">
        <v>2</v>
      </c>
      <c r="N1783" s="355">
        <v>3</v>
      </c>
    </row>
    <row r="1784" spans="1:14" hidden="1" x14ac:dyDescent="0.25">
      <c r="A1784" s="354">
        <v>0</v>
      </c>
      <c r="B1784" s="354">
        <v>0</v>
      </c>
      <c r="C1784" s="354">
        <v>1</v>
      </c>
      <c r="D1784" s="354">
        <v>0</v>
      </c>
      <c r="E1784" s="354">
        <v>2</v>
      </c>
      <c r="F1784" s="354">
        <v>1</v>
      </c>
      <c r="G1784" s="354">
        <v>1</v>
      </c>
      <c r="H1784" s="354">
        <v>2</v>
      </c>
      <c r="I1784" s="354">
        <v>2</v>
      </c>
      <c r="J1784" s="354">
        <v>3</v>
      </c>
      <c r="K1784" s="354">
        <v>0</v>
      </c>
      <c r="L1784" s="354">
        <v>0</v>
      </c>
      <c r="M1784" s="355">
        <v>6</v>
      </c>
      <c r="N1784" s="355">
        <v>6</v>
      </c>
    </row>
    <row r="1785" spans="1:14" hidden="1" x14ac:dyDescent="0.25">
      <c r="A1785" s="354">
        <v>0</v>
      </c>
      <c r="B1785" s="354">
        <v>0</v>
      </c>
      <c r="C1785" s="354">
        <v>0</v>
      </c>
      <c r="D1785" s="354">
        <v>0</v>
      </c>
      <c r="E1785" s="354">
        <v>2</v>
      </c>
      <c r="F1785" s="354">
        <v>0</v>
      </c>
      <c r="G1785" s="354">
        <v>3</v>
      </c>
      <c r="H1785" s="354">
        <v>0</v>
      </c>
      <c r="I1785" s="354">
        <v>4</v>
      </c>
      <c r="J1785" s="354">
        <v>1</v>
      </c>
      <c r="K1785" s="354">
        <v>0</v>
      </c>
      <c r="L1785" s="354">
        <v>1</v>
      </c>
      <c r="M1785" s="355">
        <v>9</v>
      </c>
      <c r="N1785" s="355">
        <v>2</v>
      </c>
    </row>
    <row r="1786" spans="1:14" hidden="1" x14ac:dyDescent="0.25">
      <c r="A1786" s="354">
        <v>0</v>
      </c>
      <c r="B1786" s="354">
        <v>1</v>
      </c>
      <c r="C1786" s="354">
        <v>1</v>
      </c>
      <c r="D1786" s="354">
        <v>1</v>
      </c>
      <c r="E1786" s="354">
        <v>1</v>
      </c>
      <c r="F1786" s="354">
        <v>0</v>
      </c>
      <c r="G1786" s="354">
        <v>1</v>
      </c>
      <c r="H1786" s="354">
        <v>1</v>
      </c>
      <c r="I1786" s="354">
        <v>1</v>
      </c>
      <c r="J1786" s="354">
        <v>1</v>
      </c>
      <c r="K1786" s="354">
        <v>0</v>
      </c>
      <c r="L1786" s="354">
        <v>0</v>
      </c>
      <c r="M1786" s="355">
        <v>4</v>
      </c>
      <c r="N1786" s="355">
        <v>4</v>
      </c>
    </row>
    <row r="1787" spans="1:14" hidden="1" x14ac:dyDescent="0.25">
      <c r="A1787" s="354">
        <v>0</v>
      </c>
      <c r="B1787" s="354">
        <v>1</v>
      </c>
      <c r="C1787" s="354">
        <v>1</v>
      </c>
      <c r="D1787" s="354">
        <v>0</v>
      </c>
      <c r="E1787" s="354">
        <v>0</v>
      </c>
      <c r="F1787" s="354">
        <v>2</v>
      </c>
      <c r="G1787" s="354">
        <v>0</v>
      </c>
      <c r="H1787" s="354">
        <v>2</v>
      </c>
      <c r="I1787" s="354">
        <v>1</v>
      </c>
      <c r="J1787" s="354">
        <v>2</v>
      </c>
      <c r="K1787" s="354">
        <v>0</v>
      </c>
      <c r="L1787" s="354">
        <v>0</v>
      </c>
      <c r="M1787" s="355">
        <v>2</v>
      </c>
      <c r="N1787" s="355">
        <v>7</v>
      </c>
    </row>
    <row r="1788" spans="1:14" hidden="1" x14ac:dyDescent="0.25">
      <c r="A1788" s="354">
        <v>0</v>
      </c>
      <c r="B1788" s="354">
        <v>0</v>
      </c>
      <c r="C1788" s="354">
        <v>1</v>
      </c>
      <c r="D1788" s="354">
        <v>0</v>
      </c>
      <c r="E1788" s="354">
        <v>0</v>
      </c>
      <c r="F1788" s="354">
        <v>1</v>
      </c>
      <c r="G1788" s="354">
        <v>0</v>
      </c>
      <c r="H1788" s="354">
        <v>2</v>
      </c>
      <c r="I1788" s="354">
        <v>1</v>
      </c>
      <c r="J1788" s="354">
        <v>1</v>
      </c>
      <c r="K1788" s="354">
        <v>0</v>
      </c>
      <c r="L1788" s="354">
        <v>0</v>
      </c>
      <c r="M1788" s="355">
        <v>2</v>
      </c>
      <c r="N1788" s="355">
        <v>4</v>
      </c>
    </row>
    <row r="1789" spans="1:14" hidden="1" x14ac:dyDescent="0.25">
      <c r="A1789" s="354">
        <v>0</v>
      </c>
      <c r="B1789" s="354">
        <v>0</v>
      </c>
      <c r="C1789" s="354">
        <v>0</v>
      </c>
      <c r="D1789" s="354">
        <v>0</v>
      </c>
      <c r="E1789" s="354">
        <v>1</v>
      </c>
      <c r="F1789" s="354">
        <v>0</v>
      </c>
      <c r="G1789" s="354">
        <v>0</v>
      </c>
      <c r="H1789" s="354">
        <v>1</v>
      </c>
      <c r="I1789" s="354">
        <v>1</v>
      </c>
      <c r="J1789" s="354">
        <v>1</v>
      </c>
      <c r="K1789" s="354">
        <v>0</v>
      </c>
      <c r="L1789" s="354">
        <v>0</v>
      </c>
      <c r="M1789" s="355">
        <v>2</v>
      </c>
      <c r="N1789" s="355">
        <v>2</v>
      </c>
    </row>
    <row r="1790" spans="1:14" hidden="1" x14ac:dyDescent="0.25">
      <c r="A1790" s="354">
        <v>0</v>
      </c>
      <c r="B1790" s="354">
        <v>1</v>
      </c>
      <c r="C1790" s="354">
        <v>1</v>
      </c>
      <c r="D1790" s="354">
        <v>1</v>
      </c>
      <c r="E1790" s="354">
        <v>0</v>
      </c>
      <c r="F1790" s="354">
        <v>2</v>
      </c>
      <c r="G1790" s="354">
        <v>1</v>
      </c>
      <c r="H1790" s="354">
        <v>1</v>
      </c>
      <c r="I1790" s="354">
        <v>2</v>
      </c>
      <c r="J1790" s="354">
        <v>3</v>
      </c>
      <c r="K1790" s="354">
        <v>0</v>
      </c>
      <c r="L1790" s="354">
        <v>0</v>
      </c>
      <c r="M1790" s="355">
        <v>4</v>
      </c>
      <c r="N1790" s="355">
        <v>8</v>
      </c>
    </row>
    <row r="1791" spans="1:14" hidden="1" x14ac:dyDescent="0.25">
      <c r="A1791" s="354">
        <v>0</v>
      </c>
      <c r="B1791" s="354">
        <v>0</v>
      </c>
      <c r="C1791" s="354">
        <v>0</v>
      </c>
      <c r="D1791" s="354">
        <v>0</v>
      </c>
      <c r="E1791" s="354">
        <v>1</v>
      </c>
      <c r="F1791" s="354">
        <v>0</v>
      </c>
      <c r="G1791" s="354">
        <v>2</v>
      </c>
      <c r="H1791" s="354">
        <v>0</v>
      </c>
      <c r="I1791" s="354">
        <v>2</v>
      </c>
      <c r="J1791" s="354">
        <v>1</v>
      </c>
      <c r="K1791" s="354">
        <v>0</v>
      </c>
      <c r="L1791" s="354">
        <v>0</v>
      </c>
      <c r="M1791" s="355">
        <v>5</v>
      </c>
      <c r="N1791" s="355">
        <v>1</v>
      </c>
    </row>
    <row r="1792" spans="1:14" hidden="1" x14ac:dyDescent="0.25">
      <c r="A1792" s="354">
        <v>1</v>
      </c>
      <c r="B1792" s="354">
        <v>0</v>
      </c>
      <c r="C1792" s="354">
        <v>1</v>
      </c>
      <c r="D1792" s="354">
        <v>1</v>
      </c>
      <c r="E1792" s="354">
        <v>1</v>
      </c>
      <c r="F1792" s="354">
        <v>1</v>
      </c>
      <c r="G1792" s="354">
        <v>0</v>
      </c>
      <c r="H1792" s="354">
        <v>1</v>
      </c>
      <c r="I1792" s="354">
        <v>1</v>
      </c>
      <c r="J1792" s="354">
        <v>1</v>
      </c>
      <c r="K1792" s="354">
        <v>0</v>
      </c>
      <c r="L1792" s="354">
        <v>0</v>
      </c>
      <c r="M1792" s="355">
        <v>4</v>
      </c>
      <c r="N1792" s="355">
        <v>4</v>
      </c>
    </row>
    <row r="1793" spans="1:14" hidden="1" x14ac:dyDescent="0.25">
      <c r="A1793" s="354">
        <v>0</v>
      </c>
      <c r="B1793" s="354">
        <v>0</v>
      </c>
      <c r="C1793" s="354">
        <v>1</v>
      </c>
      <c r="D1793" s="354">
        <v>0</v>
      </c>
      <c r="E1793" s="354">
        <v>2</v>
      </c>
      <c r="F1793" s="354">
        <v>0</v>
      </c>
      <c r="G1793" s="354">
        <v>0</v>
      </c>
      <c r="H1793" s="354">
        <v>0</v>
      </c>
      <c r="I1793" s="354">
        <v>1</v>
      </c>
      <c r="J1793" s="354">
        <v>1</v>
      </c>
      <c r="K1793" s="354">
        <v>0</v>
      </c>
      <c r="L1793" s="354">
        <v>0</v>
      </c>
      <c r="M1793" s="355">
        <v>4</v>
      </c>
      <c r="N1793" s="355">
        <v>1</v>
      </c>
    </row>
    <row r="1794" spans="1:14" hidden="1" x14ac:dyDescent="0.25">
      <c r="A1794" s="354">
        <v>1</v>
      </c>
      <c r="B1794" s="354">
        <v>0</v>
      </c>
      <c r="C1794" s="354">
        <v>1</v>
      </c>
      <c r="D1794" s="354">
        <v>1</v>
      </c>
      <c r="E1794" s="354">
        <v>1</v>
      </c>
      <c r="F1794" s="354">
        <v>1</v>
      </c>
      <c r="G1794" s="354">
        <v>0</v>
      </c>
      <c r="H1794" s="354">
        <v>0</v>
      </c>
      <c r="I1794" s="354">
        <v>1</v>
      </c>
      <c r="J1794" s="354">
        <v>1</v>
      </c>
      <c r="K1794" s="354">
        <v>0</v>
      </c>
      <c r="L1794" s="354">
        <v>0</v>
      </c>
      <c r="M1794" s="355">
        <v>4</v>
      </c>
      <c r="N1794" s="355">
        <v>3</v>
      </c>
    </row>
    <row r="1795" spans="1:14" hidden="1" x14ac:dyDescent="0.25">
      <c r="A1795" s="354">
        <v>1</v>
      </c>
      <c r="B1795" s="354">
        <v>1</v>
      </c>
      <c r="C1795" s="354">
        <v>1</v>
      </c>
      <c r="D1795" s="354">
        <v>1</v>
      </c>
      <c r="E1795" s="354">
        <v>0</v>
      </c>
      <c r="F1795" s="354">
        <v>1</v>
      </c>
      <c r="G1795" s="354">
        <v>2</v>
      </c>
      <c r="H1795" s="354">
        <v>1</v>
      </c>
      <c r="I1795" s="354">
        <v>1</v>
      </c>
      <c r="J1795" s="354">
        <v>2</v>
      </c>
      <c r="K1795" s="354">
        <v>0</v>
      </c>
      <c r="L1795" s="354">
        <v>0</v>
      </c>
      <c r="M1795" s="355">
        <v>5</v>
      </c>
      <c r="N1795" s="355">
        <v>6</v>
      </c>
    </row>
    <row r="1796" spans="1:14" hidden="1" x14ac:dyDescent="0.25">
      <c r="A1796" s="354">
        <v>1</v>
      </c>
      <c r="B1796" s="354">
        <v>0</v>
      </c>
      <c r="C1796" s="354">
        <v>1</v>
      </c>
      <c r="D1796" s="354">
        <v>0</v>
      </c>
      <c r="E1796" s="354">
        <v>0</v>
      </c>
      <c r="F1796" s="354">
        <v>1</v>
      </c>
      <c r="G1796" s="354">
        <v>0</v>
      </c>
      <c r="H1796" s="354">
        <v>0</v>
      </c>
      <c r="I1796" s="354">
        <v>1</v>
      </c>
      <c r="J1796" s="354">
        <v>1</v>
      </c>
      <c r="K1796" s="354">
        <v>0</v>
      </c>
      <c r="L1796" s="354">
        <v>0</v>
      </c>
      <c r="M1796" s="355">
        <v>3</v>
      </c>
      <c r="N1796" s="355">
        <v>2</v>
      </c>
    </row>
    <row r="1797" spans="1:14" hidden="1" x14ac:dyDescent="0.25">
      <c r="A1797" s="354">
        <v>0</v>
      </c>
      <c r="B1797" s="354">
        <v>0</v>
      </c>
      <c r="C1797" s="354">
        <v>1</v>
      </c>
      <c r="D1797" s="354">
        <v>1</v>
      </c>
      <c r="E1797" s="354">
        <v>0</v>
      </c>
      <c r="F1797" s="354">
        <v>0</v>
      </c>
      <c r="G1797" s="354">
        <v>0</v>
      </c>
      <c r="H1797" s="354">
        <v>0</v>
      </c>
      <c r="I1797" s="354">
        <v>0</v>
      </c>
      <c r="J1797" s="354">
        <v>1</v>
      </c>
      <c r="K1797" s="354">
        <v>0</v>
      </c>
      <c r="L1797" s="354">
        <v>0</v>
      </c>
      <c r="M1797" s="355">
        <v>1</v>
      </c>
      <c r="N1797" s="355">
        <v>2</v>
      </c>
    </row>
    <row r="1798" spans="1:14" hidden="1" x14ac:dyDescent="0.25">
      <c r="A1798" s="354">
        <v>0</v>
      </c>
      <c r="B1798" s="354">
        <v>1</v>
      </c>
      <c r="C1798" s="354">
        <v>1</v>
      </c>
      <c r="D1798" s="354">
        <v>1</v>
      </c>
      <c r="E1798" s="354">
        <v>1</v>
      </c>
      <c r="F1798" s="354">
        <v>1</v>
      </c>
      <c r="G1798" s="354">
        <v>1</v>
      </c>
      <c r="H1798" s="354">
        <v>0</v>
      </c>
      <c r="I1798" s="354">
        <v>1</v>
      </c>
      <c r="J1798" s="354">
        <v>2</v>
      </c>
      <c r="K1798" s="354">
        <v>0</v>
      </c>
      <c r="L1798" s="354">
        <v>0</v>
      </c>
      <c r="M1798" s="355">
        <v>4</v>
      </c>
      <c r="N1798" s="355">
        <v>5</v>
      </c>
    </row>
    <row r="1799" spans="1:14" hidden="1" x14ac:dyDescent="0.25">
      <c r="A1799" s="354"/>
      <c r="B1799" s="354">
        <v>0</v>
      </c>
      <c r="C1799" s="354">
        <v>0</v>
      </c>
      <c r="D1799" s="354">
        <v>0</v>
      </c>
      <c r="E1799" s="354">
        <v>2</v>
      </c>
      <c r="F1799" s="354">
        <v>2</v>
      </c>
      <c r="G1799" s="354">
        <v>1</v>
      </c>
      <c r="H1799" s="354">
        <v>2</v>
      </c>
      <c r="I1799" s="354">
        <v>2</v>
      </c>
      <c r="J1799" s="354">
        <v>3</v>
      </c>
      <c r="K1799" s="354">
        <v>0</v>
      </c>
      <c r="L1799" s="354">
        <v>0</v>
      </c>
      <c r="M1799" s="355">
        <v>5</v>
      </c>
      <c r="N1799" s="355">
        <v>7</v>
      </c>
    </row>
    <row r="1800" spans="1:14" hidden="1" x14ac:dyDescent="0.25">
      <c r="A1800" s="354">
        <v>0</v>
      </c>
      <c r="B1800" s="354">
        <v>1</v>
      </c>
      <c r="C1800" s="354">
        <v>1</v>
      </c>
      <c r="D1800" s="354">
        <v>0</v>
      </c>
      <c r="E1800" s="354">
        <v>1</v>
      </c>
      <c r="F1800" s="354">
        <v>0</v>
      </c>
      <c r="G1800" s="354">
        <v>2</v>
      </c>
      <c r="H1800" s="354">
        <v>1</v>
      </c>
      <c r="I1800" s="354">
        <v>1</v>
      </c>
      <c r="J1800" s="354">
        <v>1</v>
      </c>
      <c r="K1800" s="354">
        <v>1</v>
      </c>
      <c r="L1800" s="354">
        <v>1</v>
      </c>
      <c r="M1800" s="355">
        <v>6</v>
      </c>
      <c r="N1800" s="355">
        <v>4</v>
      </c>
    </row>
    <row r="1801" spans="1:14" hidden="1" x14ac:dyDescent="0.25">
      <c r="A1801" s="354">
        <v>0</v>
      </c>
      <c r="B1801" s="354">
        <v>0</v>
      </c>
      <c r="C1801" s="354">
        <v>0</v>
      </c>
      <c r="D1801" s="354">
        <v>1</v>
      </c>
      <c r="E1801" s="354">
        <v>2</v>
      </c>
      <c r="F1801" s="354">
        <v>0</v>
      </c>
      <c r="G1801" s="354">
        <v>0</v>
      </c>
      <c r="H1801" s="354">
        <v>1</v>
      </c>
      <c r="I1801" s="354">
        <v>2</v>
      </c>
      <c r="J1801" s="354">
        <v>1</v>
      </c>
      <c r="K1801" s="354">
        <v>0</v>
      </c>
      <c r="L1801" s="354">
        <v>0</v>
      </c>
      <c r="M1801" s="355">
        <v>4</v>
      </c>
      <c r="N1801" s="355">
        <v>3</v>
      </c>
    </row>
    <row r="1802" spans="1:14" hidden="1" x14ac:dyDescent="0.25">
      <c r="A1802" s="354">
        <v>0</v>
      </c>
      <c r="B1802" s="354">
        <v>0</v>
      </c>
      <c r="C1802" s="354">
        <v>0</v>
      </c>
      <c r="D1802" s="354">
        <v>1</v>
      </c>
      <c r="E1802" s="354">
        <v>2</v>
      </c>
      <c r="F1802" s="354">
        <v>0</v>
      </c>
      <c r="G1802" s="354">
        <v>1</v>
      </c>
      <c r="H1802" s="354">
        <v>1</v>
      </c>
      <c r="I1802" s="354">
        <v>3</v>
      </c>
      <c r="J1802" s="354">
        <v>2</v>
      </c>
      <c r="K1802" s="354">
        <v>0</v>
      </c>
      <c r="L1802" s="354">
        <v>0</v>
      </c>
      <c r="M1802" s="355">
        <v>6</v>
      </c>
      <c r="N1802" s="355">
        <v>4</v>
      </c>
    </row>
    <row r="1803" spans="1:14" hidden="1" x14ac:dyDescent="0.25">
      <c r="A1803" s="354">
        <v>1</v>
      </c>
      <c r="B1803" s="354">
        <v>0</v>
      </c>
      <c r="C1803" s="354">
        <v>1</v>
      </c>
      <c r="D1803" s="354">
        <v>1</v>
      </c>
      <c r="E1803" s="354">
        <v>0</v>
      </c>
      <c r="F1803" s="354">
        <v>0</v>
      </c>
      <c r="G1803" s="354">
        <v>0</v>
      </c>
      <c r="H1803" s="354">
        <v>0</v>
      </c>
      <c r="I1803" s="354">
        <v>1</v>
      </c>
      <c r="J1803" s="354">
        <v>1</v>
      </c>
      <c r="K1803" s="354">
        <v>0</v>
      </c>
      <c r="L1803" s="354">
        <v>0</v>
      </c>
      <c r="M1803" s="355">
        <v>3</v>
      </c>
      <c r="N1803" s="355">
        <v>2</v>
      </c>
    </row>
    <row r="1804" spans="1:14" hidden="1" x14ac:dyDescent="0.25">
      <c r="A1804" s="354">
        <v>0</v>
      </c>
      <c r="B1804" s="354">
        <v>0</v>
      </c>
      <c r="C1804" s="354">
        <v>1</v>
      </c>
      <c r="D1804" s="354">
        <v>1</v>
      </c>
      <c r="E1804" s="354">
        <v>1</v>
      </c>
      <c r="F1804" s="354">
        <v>1</v>
      </c>
      <c r="G1804" s="354">
        <v>0</v>
      </c>
      <c r="H1804" s="354">
        <v>1</v>
      </c>
      <c r="I1804" s="354">
        <v>1</v>
      </c>
      <c r="J1804" s="354">
        <v>1</v>
      </c>
      <c r="K1804" s="354">
        <v>0</v>
      </c>
      <c r="L1804" s="354">
        <v>0</v>
      </c>
      <c r="M1804" s="355">
        <v>3</v>
      </c>
      <c r="N1804" s="355">
        <v>4</v>
      </c>
    </row>
    <row r="1805" spans="1:14" hidden="1" x14ac:dyDescent="0.25">
      <c r="A1805" s="354">
        <v>1</v>
      </c>
      <c r="B1805" s="354">
        <v>0</v>
      </c>
      <c r="C1805" s="354">
        <v>1</v>
      </c>
      <c r="D1805" s="354">
        <v>1</v>
      </c>
      <c r="E1805" s="354">
        <v>1</v>
      </c>
      <c r="F1805" s="354">
        <v>0</v>
      </c>
      <c r="G1805" s="354">
        <v>1</v>
      </c>
      <c r="H1805" s="354">
        <v>1</v>
      </c>
      <c r="I1805" s="354">
        <v>1</v>
      </c>
      <c r="J1805" s="354">
        <v>1</v>
      </c>
      <c r="K1805" s="354">
        <v>0</v>
      </c>
      <c r="L1805" s="354">
        <v>0</v>
      </c>
      <c r="M1805" s="355">
        <v>5</v>
      </c>
      <c r="N1805" s="355">
        <v>3</v>
      </c>
    </row>
    <row r="1806" spans="1:14" hidden="1" x14ac:dyDescent="0.25">
      <c r="A1806" s="354">
        <v>1</v>
      </c>
      <c r="B1806" s="354">
        <v>0</v>
      </c>
      <c r="C1806" s="354">
        <v>1</v>
      </c>
      <c r="D1806" s="354">
        <v>1</v>
      </c>
      <c r="E1806" s="354">
        <v>0</v>
      </c>
      <c r="F1806" s="354">
        <v>0</v>
      </c>
      <c r="G1806" s="354">
        <v>0</v>
      </c>
      <c r="H1806" s="354">
        <v>0</v>
      </c>
      <c r="I1806" s="354">
        <v>1</v>
      </c>
      <c r="J1806" s="354">
        <v>1</v>
      </c>
      <c r="K1806" s="354">
        <v>0</v>
      </c>
      <c r="L1806" s="354">
        <v>0</v>
      </c>
      <c r="M1806" s="355">
        <v>3</v>
      </c>
      <c r="N1806" s="355">
        <v>2</v>
      </c>
    </row>
    <row r="1807" spans="1:14" hidden="1" x14ac:dyDescent="0.25">
      <c r="A1807" s="354">
        <v>1</v>
      </c>
      <c r="B1807" s="354">
        <v>0</v>
      </c>
      <c r="C1807" s="354">
        <v>1</v>
      </c>
      <c r="D1807" s="354">
        <v>1</v>
      </c>
      <c r="E1807" s="354">
        <v>0</v>
      </c>
      <c r="F1807" s="354">
        <v>1</v>
      </c>
      <c r="G1807" s="354">
        <v>0</v>
      </c>
      <c r="H1807" s="354">
        <v>1</v>
      </c>
      <c r="I1807" s="354">
        <v>1</v>
      </c>
      <c r="J1807" s="354">
        <v>1</v>
      </c>
      <c r="K1807" s="354">
        <v>0</v>
      </c>
      <c r="L1807" s="354">
        <v>0</v>
      </c>
      <c r="M1807" s="355">
        <v>3</v>
      </c>
      <c r="N1807" s="355">
        <v>4</v>
      </c>
    </row>
    <row r="1808" spans="1:14" hidden="1" x14ac:dyDescent="0.25">
      <c r="A1808" s="354">
        <v>1</v>
      </c>
      <c r="B1808" s="354">
        <v>0</v>
      </c>
      <c r="C1808" s="354">
        <v>1</v>
      </c>
      <c r="D1808" s="354">
        <v>1</v>
      </c>
      <c r="E1808" s="354">
        <v>1</v>
      </c>
      <c r="F1808" s="354">
        <v>0</v>
      </c>
      <c r="G1808" s="354">
        <v>1</v>
      </c>
      <c r="H1808" s="354">
        <v>0</v>
      </c>
      <c r="I1808" s="354">
        <v>1</v>
      </c>
      <c r="J1808" s="354">
        <v>1</v>
      </c>
      <c r="K1808" s="354">
        <v>0</v>
      </c>
      <c r="L1808" s="354">
        <v>0</v>
      </c>
      <c r="M1808" s="355">
        <v>5</v>
      </c>
      <c r="N1808" s="355">
        <v>2</v>
      </c>
    </row>
    <row r="1809" spans="1:14" hidden="1" x14ac:dyDescent="0.25">
      <c r="A1809" s="354">
        <v>1</v>
      </c>
      <c r="B1809" s="354">
        <v>0</v>
      </c>
      <c r="C1809" s="354">
        <v>0</v>
      </c>
      <c r="D1809" s="354">
        <v>3</v>
      </c>
      <c r="E1809" s="354">
        <v>1</v>
      </c>
      <c r="F1809" s="354">
        <v>1</v>
      </c>
      <c r="G1809" s="354">
        <v>0</v>
      </c>
      <c r="H1809" s="354">
        <v>0</v>
      </c>
      <c r="I1809" s="354">
        <v>1</v>
      </c>
      <c r="J1809" s="354">
        <v>2</v>
      </c>
      <c r="K1809" s="354">
        <v>0</v>
      </c>
      <c r="L1809" s="354">
        <v>2</v>
      </c>
      <c r="M1809" s="355">
        <v>3</v>
      </c>
      <c r="N1809" s="355">
        <v>8</v>
      </c>
    </row>
    <row r="1810" spans="1:14" hidden="1" x14ac:dyDescent="0.25">
      <c r="A1810" s="354">
        <v>1</v>
      </c>
      <c r="B1810" s="354">
        <v>0</v>
      </c>
      <c r="C1810" s="354">
        <v>1</v>
      </c>
      <c r="D1810" s="354">
        <v>1</v>
      </c>
      <c r="E1810" s="354">
        <v>0</v>
      </c>
      <c r="F1810" s="354">
        <v>2</v>
      </c>
      <c r="G1810" s="354">
        <v>1</v>
      </c>
      <c r="H1810" s="354">
        <v>1</v>
      </c>
      <c r="I1810" s="354">
        <v>1</v>
      </c>
      <c r="J1810" s="354">
        <v>1</v>
      </c>
      <c r="K1810" s="354">
        <v>0</v>
      </c>
      <c r="L1810" s="354">
        <v>0</v>
      </c>
      <c r="M1810" s="355">
        <v>4</v>
      </c>
      <c r="N1810" s="355">
        <v>5</v>
      </c>
    </row>
    <row r="1811" spans="1:14" hidden="1" x14ac:dyDescent="0.25">
      <c r="A1811" s="354">
        <v>1</v>
      </c>
      <c r="B1811" s="354">
        <v>1</v>
      </c>
      <c r="C1811" s="354">
        <v>2</v>
      </c>
      <c r="D1811" s="354">
        <v>0</v>
      </c>
      <c r="E1811" s="354">
        <v>2</v>
      </c>
      <c r="F1811" s="354">
        <v>1</v>
      </c>
      <c r="G1811" s="354">
        <v>2</v>
      </c>
      <c r="H1811" s="354">
        <v>1</v>
      </c>
      <c r="I1811" s="354">
        <v>1</v>
      </c>
      <c r="J1811" s="354">
        <v>1</v>
      </c>
      <c r="K1811" s="354">
        <v>0</v>
      </c>
      <c r="L1811" s="354">
        <v>0</v>
      </c>
      <c r="M1811" s="355">
        <v>8</v>
      </c>
      <c r="N1811" s="355">
        <v>4</v>
      </c>
    </row>
    <row r="1812" spans="1:14" hidden="1" x14ac:dyDescent="0.25">
      <c r="A1812" s="354">
        <v>0</v>
      </c>
      <c r="B1812" s="354">
        <v>0</v>
      </c>
      <c r="C1812" s="354">
        <v>0</v>
      </c>
      <c r="D1812" s="354">
        <v>1</v>
      </c>
      <c r="E1812" s="354">
        <v>0</v>
      </c>
      <c r="F1812" s="354">
        <v>2</v>
      </c>
      <c r="G1812" s="354">
        <v>3</v>
      </c>
      <c r="H1812" s="354">
        <v>0</v>
      </c>
      <c r="I1812" s="354">
        <v>3</v>
      </c>
      <c r="J1812" s="354">
        <v>2</v>
      </c>
      <c r="K1812" s="354">
        <v>0</v>
      </c>
      <c r="L1812" s="354">
        <v>0</v>
      </c>
      <c r="M1812" s="355">
        <v>6</v>
      </c>
      <c r="N1812" s="355">
        <v>5</v>
      </c>
    </row>
    <row r="1813" spans="1:14" hidden="1" x14ac:dyDescent="0.25">
      <c r="A1813" s="354">
        <v>1</v>
      </c>
      <c r="B1813" s="354">
        <v>0</v>
      </c>
      <c r="C1813" s="354">
        <v>1</v>
      </c>
      <c r="D1813" s="354">
        <v>0</v>
      </c>
      <c r="E1813" s="354">
        <v>0</v>
      </c>
      <c r="F1813" s="354">
        <v>2</v>
      </c>
      <c r="G1813" s="354">
        <v>0</v>
      </c>
      <c r="H1813" s="354">
        <v>0</v>
      </c>
      <c r="I1813" s="354">
        <v>1</v>
      </c>
      <c r="J1813" s="354">
        <v>1</v>
      </c>
      <c r="K1813" s="354">
        <v>1</v>
      </c>
      <c r="L1813" s="354">
        <v>1</v>
      </c>
      <c r="M1813" s="355">
        <v>4</v>
      </c>
      <c r="N1813" s="355">
        <v>4</v>
      </c>
    </row>
    <row r="1814" spans="1:14" hidden="1" x14ac:dyDescent="0.25">
      <c r="A1814" s="354">
        <v>1</v>
      </c>
      <c r="B1814" s="354">
        <v>0</v>
      </c>
      <c r="C1814" s="354">
        <v>0</v>
      </c>
      <c r="D1814" s="354">
        <v>1</v>
      </c>
      <c r="E1814" s="354">
        <v>1</v>
      </c>
      <c r="F1814" s="354">
        <v>0</v>
      </c>
      <c r="G1814" s="354">
        <v>0</v>
      </c>
      <c r="H1814" s="354">
        <v>0</v>
      </c>
      <c r="I1814" s="354">
        <v>2</v>
      </c>
      <c r="J1814" s="354">
        <v>2</v>
      </c>
      <c r="K1814" s="354">
        <v>1</v>
      </c>
      <c r="L1814" s="354">
        <v>0</v>
      </c>
      <c r="M1814" s="355">
        <v>5</v>
      </c>
      <c r="N1814" s="355">
        <v>3</v>
      </c>
    </row>
    <row r="1815" spans="1:14" hidden="1" x14ac:dyDescent="0.25">
      <c r="A1815" s="354">
        <v>2</v>
      </c>
      <c r="B1815" s="354">
        <v>2</v>
      </c>
      <c r="C1815" s="354">
        <v>1</v>
      </c>
      <c r="D1815" s="354">
        <v>0</v>
      </c>
      <c r="E1815" s="354">
        <v>2</v>
      </c>
      <c r="F1815" s="354">
        <v>0</v>
      </c>
      <c r="G1815" s="354">
        <v>2</v>
      </c>
      <c r="H1815" s="354">
        <v>1</v>
      </c>
      <c r="I1815" s="354">
        <v>2</v>
      </c>
      <c r="J1815" s="354">
        <v>0</v>
      </c>
      <c r="K1815" s="354">
        <v>1</v>
      </c>
      <c r="L1815" s="354">
        <v>0</v>
      </c>
      <c r="M1815" s="355">
        <v>10</v>
      </c>
      <c r="N1815" s="355">
        <v>3</v>
      </c>
    </row>
    <row r="1816" spans="1:14" hidden="1" x14ac:dyDescent="0.25">
      <c r="A1816" s="354">
        <v>1</v>
      </c>
      <c r="B1816" s="354">
        <v>0</v>
      </c>
      <c r="C1816" s="354">
        <v>1</v>
      </c>
      <c r="D1816" s="354">
        <v>0</v>
      </c>
      <c r="E1816" s="354">
        <v>0</v>
      </c>
      <c r="F1816" s="354">
        <v>2</v>
      </c>
      <c r="G1816" s="354">
        <v>0</v>
      </c>
      <c r="H1816" s="354">
        <v>0</v>
      </c>
      <c r="I1816" s="354">
        <v>2</v>
      </c>
      <c r="J1816" s="354">
        <v>1</v>
      </c>
      <c r="K1816" s="354">
        <v>0</v>
      </c>
      <c r="L1816" s="354">
        <v>0</v>
      </c>
      <c r="M1816" s="355">
        <v>4</v>
      </c>
      <c r="N1816" s="355">
        <v>3</v>
      </c>
    </row>
    <row r="1817" spans="1:14" hidden="1" x14ac:dyDescent="0.25">
      <c r="A1817" s="354">
        <v>0</v>
      </c>
      <c r="B1817" s="354">
        <v>1</v>
      </c>
      <c r="C1817" s="354">
        <v>0</v>
      </c>
      <c r="D1817" s="354">
        <v>1</v>
      </c>
      <c r="E1817" s="354">
        <v>1</v>
      </c>
      <c r="F1817" s="354">
        <v>0</v>
      </c>
      <c r="G1817" s="354">
        <v>0</v>
      </c>
      <c r="H1817" s="354">
        <v>0</v>
      </c>
      <c r="I1817" s="354">
        <v>1</v>
      </c>
      <c r="J1817" s="354">
        <v>1</v>
      </c>
      <c r="K1817" s="354">
        <v>0</v>
      </c>
      <c r="L1817" s="354">
        <v>0</v>
      </c>
      <c r="M1817" s="355">
        <v>2</v>
      </c>
      <c r="N1817" s="355">
        <v>3</v>
      </c>
    </row>
    <row r="1818" spans="1:14" hidden="1" x14ac:dyDescent="0.25">
      <c r="A1818" s="354">
        <v>1</v>
      </c>
      <c r="B1818" s="354">
        <v>1</v>
      </c>
      <c r="C1818" s="354">
        <v>1</v>
      </c>
      <c r="D1818" s="354">
        <v>0</v>
      </c>
      <c r="E1818" s="354">
        <v>1</v>
      </c>
      <c r="F1818" s="354">
        <v>1</v>
      </c>
      <c r="G1818" s="354">
        <v>1</v>
      </c>
      <c r="H1818" s="354">
        <v>0</v>
      </c>
      <c r="I1818" s="354">
        <v>1</v>
      </c>
      <c r="J1818" s="354">
        <v>1</v>
      </c>
      <c r="K1818" s="354">
        <v>0</v>
      </c>
      <c r="L1818" s="354">
        <v>0</v>
      </c>
      <c r="M1818" s="355">
        <v>5</v>
      </c>
      <c r="N1818" s="355">
        <v>3</v>
      </c>
    </row>
    <row r="1819" spans="1:14" hidden="1" x14ac:dyDescent="0.25">
      <c r="A1819" s="354">
        <v>0</v>
      </c>
      <c r="B1819" s="354">
        <v>0</v>
      </c>
      <c r="C1819" s="354">
        <v>0</v>
      </c>
      <c r="D1819" s="354">
        <v>1</v>
      </c>
      <c r="E1819" s="354">
        <v>1</v>
      </c>
      <c r="F1819" s="354">
        <v>1</v>
      </c>
      <c r="G1819" s="354">
        <v>0</v>
      </c>
      <c r="H1819" s="354">
        <v>1</v>
      </c>
      <c r="I1819" s="354">
        <v>2</v>
      </c>
      <c r="J1819" s="354">
        <v>1</v>
      </c>
      <c r="K1819" s="354">
        <v>0</v>
      </c>
      <c r="L1819" s="354">
        <v>0</v>
      </c>
      <c r="M1819" s="355">
        <v>3</v>
      </c>
      <c r="N1819" s="355">
        <v>4</v>
      </c>
    </row>
    <row r="1820" spans="1:14" hidden="1" x14ac:dyDescent="0.25">
      <c r="A1820" s="354">
        <v>0</v>
      </c>
      <c r="B1820" s="354">
        <v>0</v>
      </c>
      <c r="C1820" s="354">
        <v>0</v>
      </c>
      <c r="D1820" s="354">
        <v>0</v>
      </c>
      <c r="E1820" s="354">
        <v>1</v>
      </c>
      <c r="F1820" s="354">
        <v>1</v>
      </c>
      <c r="G1820" s="354">
        <v>1</v>
      </c>
      <c r="H1820" s="354">
        <v>0</v>
      </c>
      <c r="I1820" s="354">
        <v>1</v>
      </c>
      <c r="J1820" s="354">
        <v>1</v>
      </c>
      <c r="K1820" s="354">
        <v>0</v>
      </c>
      <c r="L1820" s="354">
        <v>0</v>
      </c>
      <c r="M1820" s="355">
        <v>3</v>
      </c>
      <c r="N1820" s="355">
        <v>2</v>
      </c>
    </row>
    <row r="1821" spans="1:14" hidden="1" x14ac:dyDescent="0.25">
      <c r="A1821" s="354">
        <v>0</v>
      </c>
      <c r="B1821" s="354">
        <v>1</v>
      </c>
      <c r="C1821" s="354">
        <v>0</v>
      </c>
      <c r="D1821" s="354">
        <v>1</v>
      </c>
      <c r="E1821" s="354">
        <v>1</v>
      </c>
      <c r="F1821" s="354">
        <v>0</v>
      </c>
      <c r="G1821" s="354">
        <v>1</v>
      </c>
      <c r="H1821" s="354">
        <v>0</v>
      </c>
      <c r="I1821" s="354">
        <v>1</v>
      </c>
      <c r="J1821" s="354">
        <v>1</v>
      </c>
      <c r="K1821" s="354">
        <v>0</v>
      </c>
      <c r="L1821" s="354">
        <v>0</v>
      </c>
      <c r="M1821" s="355">
        <v>3</v>
      </c>
      <c r="N1821" s="355">
        <v>3</v>
      </c>
    </row>
    <row r="1822" spans="1:14" hidden="1" x14ac:dyDescent="0.25">
      <c r="A1822" s="354">
        <v>1</v>
      </c>
      <c r="B1822" s="354">
        <v>0</v>
      </c>
      <c r="C1822" s="354">
        <v>0</v>
      </c>
      <c r="D1822" s="354">
        <v>1</v>
      </c>
      <c r="E1822" s="354">
        <v>0</v>
      </c>
      <c r="F1822" s="354">
        <v>0</v>
      </c>
      <c r="G1822" s="354">
        <v>0</v>
      </c>
      <c r="H1822" s="354">
        <v>0</v>
      </c>
      <c r="I1822" s="354">
        <v>1</v>
      </c>
      <c r="J1822" s="354">
        <v>1</v>
      </c>
      <c r="K1822" s="354">
        <v>0</v>
      </c>
      <c r="L1822" s="354">
        <v>1</v>
      </c>
      <c r="M1822" s="355">
        <v>2</v>
      </c>
      <c r="N1822" s="355">
        <v>3</v>
      </c>
    </row>
    <row r="1823" spans="1:14" hidden="1" x14ac:dyDescent="0.25">
      <c r="A1823" s="354">
        <v>0</v>
      </c>
      <c r="B1823" s="354">
        <v>0</v>
      </c>
      <c r="C1823" s="354">
        <v>0</v>
      </c>
      <c r="D1823" s="354">
        <v>0</v>
      </c>
      <c r="E1823" s="354">
        <v>0</v>
      </c>
      <c r="F1823" s="354">
        <v>0</v>
      </c>
      <c r="G1823" s="354">
        <v>0</v>
      </c>
      <c r="H1823" s="354">
        <v>0</v>
      </c>
      <c r="I1823" s="354">
        <v>1</v>
      </c>
      <c r="J1823" s="354">
        <v>1</v>
      </c>
      <c r="K1823" s="354">
        <v>1</v>
      </c>
      <c r="L1823" s="354">
        <v>0</v>
      </c>
      <c r="M1823" s="355">
        <v>2</v>
      </c>
      <c r="N1823" s="355">
        <v>1</v>
      </c>
    </row>
    <row r="1824" spans="1:14" hidden="1" x14ac:dyDescent="0.25">
      <c r="A1824" s="354">
        <v>0</v>
      </c>
      <c r="B1824" s="354">
        <v>0</v>
      </c>
      <c r="C1824" s="354">
        <v>1</v>
      </c>
      <c r="D1824" s="354">
        <v>0</v>
      </c>
      <c r="E1824" s="354">
        <v>2</v>
      </c>
      <c r="F1824" s="354">
        <v>0</v>
      </c>
      <c r="G1824" s="354">
        <v>3</v>
      </c>
      <c r="H1824" s="354">
        <v>0</v>
      </c>
      <c r="I1824" s="354">
        <v>3</v>
      </c>
      <c r="J1824" s="354">
        <v>4</v>
      </c>
      <c r="K1824" s="354">
        <v>1</v>
      </c>
      <c r="L1824" s="354">
        <v>0</v>
      </c>
      <c r="M1824" s="355">
        <v>10</v>
      </c>
      <c r="N1824" s="355">
        <v>4</v>
      </c>
    </row>
    <row r="1825" spans="1:14" hidden="1" x14ac:dyDescent="0.25">
      <c r="A1825" s="354">
        <v>1</v>
      </c>
      <c r="B1825" s="354">
        <v>0</v>
      </c>
      <c r="C1825" s="354">
        <v>0</v>
      </c>
      <c r="D1825" s="354">
        <v>0</v>
      </c>
      <c r="E1825" s="354">
        <v>0</v>
      </c>
      <c r="F1825" s="354">
        <v>0</v>
      </c>
      <c r="G1825" s="354">
        <v>0</v>
      </c>
      <c r="H1825" s="354">
        <v>1</v>
      </c>
      <c r="I1825" s="354">
        <v>1</v>
      </c>
      <c r="J1825" s="354">
        <v>0</v>
      </c>
      <c r="K1825" s="354">
        <v>0</v>
      </c>
      <c r="L1825" s="354">
        <v>0</v>
      </c>
      <c r="M1825" s="355">
        <v>2</v>
      </c>
      <c r="N1825" s="355">
        <v>1</v>
      </c>
    </row>
    <row r="1826" spans="1:14" hidden="1" x14ac:dyDescent="0.25">
      <c r="A1826" s="354">
        <v>1</v>
      </c>
      <c r="B1826" s="354">
        <v>0</v>
      </c>
      <c r="C1826" s="354">
        <v>0</v>
      </c>
      <c r="D1826" s="354">
        <v>1</v>
      </c>
      <c r="E1826" s="354">
        <v>2</v>
      </c>
      <c r="F1826" s="354">
        <v>0</v>
      </c>
      <c r="G1826" s="354">
        <v>1</v>
      </c>
      <c r="H1826" s="354">
        <v>0</v>
      </c>
      <c r="I1826" s="354">
        <v>1</v>
      </c>
      <c r="J1826" s="354">
        <v>1</v>
      </c>
      <c r="K1826" s="354">
        <v>0</v>
      </c>
      <c r="L1826" s="354">
        <v>0</v>
      </c>
      <c r="M1826" s="355">
        <v>5</v>
      </c>
      <c r="N1826" s="355">
        <v>2</v>
      </c>
    </row>
    <row r="1827" spans="1:14" hidden="1" x14ac:dyDescent="0.25">
      <c r="A1827" s="354">
        <v>0</v>
      </c>
      <c r="B1827" s="354">
        <v>1</v>
      </c>
      <c r="C1827" s="354">
        <v>1</v>
      </c>
      <c r="D1827" s="354">
        <v>0</v>
      </c>
      <c r="E1827" s="354">
        <v>2</v>
      </c>
      <c r="F1827" s="354">
        <v>0</v>
      </c>
      <c r="G1827" s="354">
        <v>0</v>
      </c>
      <c r="H1827" s="354">
        <v>2</v>
      </c>
      <c r="I1827" s="354">
        <v>2</v>
      </c>
      <c r="J1827" s="354">
        <v>2</v>
      </c>
      <c r="K1827" s="354">
        <v>1</v>
      </c>
      <c r="L1827" s="354">
        <v>0</v>
      </c>
      <c r="M1827" s="355">
        <v>6</v>
      </c>
      <c r="N1827" s="355">
        <v>5</v>
      </c>
    </row>
    <row r="1828" spans="1:14" hidden="1" x14ac:dyDescent="0.25">
      <c r="A1828" s="354">
        <v>1</v>
      </c>
      <c r="B1828" s="354">
        <v>10</v>
      </c>
      <c r="C1828" s="354">
        <v>0</v>
      </c>
      <c r="D1828" s="354">
        <v>1</v>
      </c>
      <c r="E1828" s="354">
        <v>2</v>
      </c>
      <c r="F1828" s="354">
        <v>1</v>
      </c>
      <c r="G1828" s="354">
        <v>0</v>
      </c>
      <c r="H1828" s="354">
        <v>2</v>
      </c>
      <c r="I1828" s="354">
        <v>2</v>
      </c>
      <c r="J1828" s="354">
        <v>1</v>
      </c>
      <c r="K1828" s="354">
        <v>2</v>
      </c>
      <c r="L1828" s="354">
        <v>0</v>
      </c>
      <c r="M1828" s="355">
        <v>7</v>
      </c>
      <c r="N1828" s="355">
        <v>15</v>
      </c>
    </row>
    <row r="1829" spans="1:14" hidden="1" x14ac:dyDescent="0.25">
      <c r="A1829" s="354">
        <v>0</v>
      </c>
      <c r="B1829" s="354">
        <v>0</v>
      </c>
      <c r="C1829" s="354">
        <v>1</v>
      </c>
      <c r="D1829" s="354">
        <v>0</v>
      </c>
      <c r="E1829" s="354">
        <v>2</v>
      </c>
      <c r="F1829" s="354">
        <v>2</v>
      </c>
      <c r="G1829" s="354">
        <v>3</v>
      </c>
      <c r="H1829" s="354">
        <v>0</v>
      </c>
      <c r="I1829" s="354">
        <v>3</v>
      </c>
      <c r="J1829" s="354">
        <v>3</v>
      </c>
      <c r="K1829" s="354">
        <v>0</v>
      </c>
      <c r="L1829" s="354">
        <v>0</v>
      </c>
      <c r="M1829" s="355">
        <v>9</v>
      </c>
      <c r="N1829" s="355">
        <v>5</v>
      </c>
    </row>
    <row r="1830" spans="1:14" hidden="1" x14ac:dyDescent="0.25">
      <c r="A1830" s="354">
        <v>0</v>
      </c>
      <c r="B1830" s="354">
        <v>1</v>
      </c>
      <c r="C1830" s="354">
        <v>1</v>
      </c>
      <c r="D1830" s="354">
        <v>1</v>
      </c>
      <c r="E1830" s="354">
        <v>1</v>
      </c>
      <c r="F1830" s="354">
        <v>1</v>
      </c>
      <c r="G1830" s="354">
        <v>0</v>
      </c>
      <c r="H1830" s="354">
        <v>0</v>
      </c>
      <c r="I1830" s="354">
        <v>1</v>
      </c>
      <c r="J1830" s="354">
        <v>1</v>
      </c>
      <c r="K1830" s="354">
        <v>0</v>
      </c>
      <c r="L1830" s="354">
        <v>0</v>
      </c>
      <c r="M1830" s="355">
        <v>3</v>
      </c>
      <c r="N1830" s="355">
        <v>4</v>
      </c>
    </row>
    <row r="1831" spans="1:14" hidden="1" x14ac:dyDescent="0.25">
      <c r="A1831" s="354">
        <v>1</v>
      </c>
      <c r="B1831" s="354">
        <v>1</v>
      </c>
      <c r="C1831" s="354">
        <v>0</v>
      </c>
      <c r="D1831" s="354">
        <v>1</v>
      </c>
      <c r="E1831" s="354">
        <v>2</v>
      </c>
      <c r="F1831" s="354">
        <v>2</v>
      </c>
      <c r="G1831" s="354">
        <v>0</v>
      </c>
      <c r="H1831" s="354">
        <v>1</v>
      </c>
      <c r="I1831" s="354">
        <v>1</v>
      </c>
      <c r="J1831" s="354">
        <v>1</v>
      </c>
      <c r="K1831" s="354">
        <v>0</v>
      </c>
      <c r="L1831" s="354">
        <v>0</v>
      </c>
      <c r="M1831" s="355">
        <v>4</v>
      </c>
      <c r="N1831" s="355">
        <v>6</v>
      </c>
    </row>
    <row r="1832" spans="1:14" hidden="1" x14ac:dyDescent="0.25">
      <c r="A1832" s="354">
        <v>0</v>
      </c>
      <c r="B1832" s="354">
        <v>0</v>
      </c>
      <c r="C1832" s="354">
        <v>1</v>
      </c>
      <c r="D1832" s="354">
        <v>0</v>
      </c>
      <c r="E1832" s="354">
        <v>4</v>
      </c>
      <c r="F1832" s="354">
        <v>1</v>
      </c>
      <c r="G1832" s="354">
        <v>0</v>
      </c>
      <c r="H1832" s="354">
        <v>0</v>
      </c>
      <c r="I1832" s="354">
        <v>1</v>
      </c>
      <c r="J1832" s="354">
        <v>1</v>
      </c>
      <c r="K1832" s="354">
        <v>0</v>
      </c>
      <c r="L1832" s="354">
        <v>0</v>
      </c>
      <c r="M1832" s="355">
        <v>6</v>
      </c>
      <c r="N1832" s="355">
        <v>2</v>
      </c>
    </row>
    <row r="1833" spans="1:14" hidden="1" x14ac:dyDescent="0.25">
      <c r="A1833" s="354">
        <v>0</v>
      </c>
      <c r="B1833" s="354">
        <v>0</v>
      </c>
      <c r="C1833" s="354">
        <v>0</v>
      </c>
      <c r="D1833" s="354">
        <v>0</v>
      </c>
      <c r="E1833" s="354">
        <v>2</v>
      </c>
      <c r="F1833" s="354">
        <v>3</v>
      </c>
      <c r="G1833" s="354">
        <v>1</v>
      </c>
      <c r="H1833" s="354">
        <v>2</v>
      </c>
      <c r="I1833" s="354">
        <v>2</v>
      </c>
      <c r="J1833" s="354">
        <v>1</v>
      </c>
      <c r="K1833" s="354">
        <v>0</v>
      </c>
      <c r="L1833" s="354">
        <v>0</v>
      </c>
      <c r="M1833" s="355">
        <v>5</v>
      </c>
      <c r="N1833" s="355">
        <v>6</v>
      </c>
    </row>
    <row r="1834" spans="1:14" hidden="1" x14ac:dyDescent="0.25">
      <c r="A1834" s="354">
        <v>0</v>
      </c>
      <c r="B1834" s="354">
        <v>0</v>
      </c>
      <c r="C1834" s="354">
        <v>2</v>
      </c>
      <c r="D1834" s="354">
        <v>2</v>
      </c>
      <c r="E1834" s="354">
        <v>0</v>
      </c>
      <c r="F1834" s="354">
        <v>0</v>
      </c>
      <c r="G1834" s="354">
        <v>0</v>
      </c>
      <c r="H1834" s="354">
        <v>0</v>
      </c>
      <c r="I1834" s="354">
        <v>0</v>
      </c>
      <c r="J1834" s="354">
        <v>1</v>
      </c>
      <c r="K1834" s="354">
        <v>0</v>
      </c>
      <c r="L1834" s="354">
        <v>0</v>
      </c>
      <c r="M1834" s="355">
        <v>2</v>
      </c>
      <c r="N1834" s="355">
        <v>3</v>
      </c>
    </row>
    <row r="1835" spans="1:14" hidden="1" x14ac:dyDescent="0.25">
      <c r="A1835" s="354">
        <v>0</v>
      </c>
      <c r="B1835" s="354">
        <v>2</v>
      </c>
      <c r="C1835" s="354">
        <v>2</v>
      </c>
      <c r="D1835" s="354">
        <v>0</v>
      </c>
      <c r="E1835" s="354">
        <v>1</v>
      </c>
      <c r="F1835" s="354">
        <v>0</v>
      </c>
      <c r="G1835" s="354">
        <v>0</v>
      </c>
      <c r="H1835" s="354">
        <v>0</v>
      </c>
      <c r="I1835" s="354">
        <v>1</v>
      </c>
      <c r="J1835" s="354">
        <v>1</v>
      </c>
      <c r="K1835" s="354">
        <v>0</v>
      </c>
      <c r="L1835" s="354">
        <v>0</v>
      </c>
      <c r="M1835" s="355">
        <v>4</v>
      </c>
      <c r="N1835" s="355">
        <v>3</v>
      </c>
    </row>
    <row r="1836" spans="1:14" hidden="1" x14ac:dyDescent="0.25">
      <c r="A1836" s="354">
        <v>0</v>
      </c>
      <c r="B1836" s="354">
        <v>2</v>
      </c>
      <c r="C1836" s="354">
        <v>2</v>
      </c>
      <c r="D1836" s="354">
        <v>0</v>
      </c>
      <c r="E1836" s="354">
        <v>1</v>
      </c>
      <c r="F1836" s="354">
        <v>0</v>
      </c>
      <c r="G1836" s="354">
        <v>0</v>
      </c>
      <c r="H1836" s="354">
        <v>0</v>
      </c>
      <c r="I1836" s="354">
        <v>1</v>
      </c>
      <c r="J1836" s="354">
        <v>1</v>
      </c>
      <c r="K1836" s="354">
        <v>0</v>
      </c>
      <c r="L1836" s="354">
        <v>0</v>
      </c>
      <c r="M1836" s="355">
        <v>4</v>
      </c>
      <c r="N1836" s="355">
        <v>3</v>
      </c>
    </row>
    <row r="1837" spans="1:14" hidden="1" x14ac:dyDescent="0.25">
      <c r="A1837" s="354">
        <v>0</v>
      </c>
      <c r="B1837" s="354">
        <v>1</v>
      </c>
      <c r="C1837" s="354">
        <v>1</v>
      </c>
      <c r="D1837" s="354">
        <v>1</v>
      </c>
      <c r="E1837" s="354">
        <v>1</v>
      </c>
      <c r="F1837" s="354">
        <v>0</v>
      </c>
      <c r="G1837" s="354">
        <v>0</v>
      </c>
      <c r="H1837" s="354">
        <v>0</v>
      </c>
      <c r="I1837" s="354">
        <v>1</v>
      </c>
      <c r="J1837" s="354">
        <v>1</v>
      </c>
      <c r="K1837" s="354">
        <v>0</v>
      </c>
      <c r="L1837" s="354">
        <v>0</v>
      </c>
      <c r="M1837" s="355">
        <v>3</v>
      </c>
      <c r="N1837" s="355">
        <v>3</v>
      </c>
    </row>
    <row r="1838" spans="1:14" hidden="1" x14ac:dyDescent="0.25">
      <c r="A1838" s="354">
        <v>1</v>
      </c>
      <c r="B1838" s="354">
        <v>1</v>
      </c>
      <c r="C1838" s="354">
        <v>1</v>
      </c>
      <c r="D1838" s="354">
        <v>1</v>
      </c>
      <c r="E1838" s="354">
        <v>1</v>
      </c>
      <c r="F1838" s="354">
        <v>0</v>
      </c>
      <c r="G1838" s="354">
        <v>0</v>
      </c>
      <c r="H1838" s="354">
        <v>0</v>
      </c>
      <c r="I1838" s="354">
        <v>1</v>
      </c>
      <c r="J1838" s="354">
        <v>1</v>
      </c>
      <c r="K1838" s="354">
        <v>0</v>
      </c>
      <c r="L1838" s="354">
        <v>0</v>
      </c>
      <c r="M1838" s="355">
        <v>4</v>
      </c>
      <c r="N1838" s="355">
        <v>3</v>
      </c>
    </row>
    <row r="1839" spans="1:14" hidden="1" x14ac:dyDescent="0.25">
      <c r="A1839" s="354">
        <v>0</v>
      </c>
      <c r="B1839" s="354">
        <v>2</v>
      </c>
      <c r="C1839" s="354">
        <v>0</v>
      </c>
      <c r="D1839" s="354">
        <v>1</v>
      </c>
      <c r="E1839" s="354">
        <v>1</v>
      </c>
      <c r="F1839" s="354">
        <v>3</v>
      </c>
      <c r="G1839" s="354">
        <v>1</v>
      </c>
      <c r="H1839" s="354">
        <v>0</v>
      </c>
      <c r="I1839" s="354">
        <v>2</v>
      </c>
      <c r="J1839" s="354">
        <v>1</v>
      </c>
      <c r="K1839" s="354">
        <v>0</v>
      </c>
      <c r="L1839" s="354">
        <v>0</v>
      </c>
      <c r="M1839" s="355">
        <v>4</v>
      </c>
      <c r="N1839" s="355">
        <v>7</v>
      </c>
    </row>
    <row r="1840" spans="1:14" hidden="1" x14ac:dyDescent="0.25">
      <c r="A1840" s="354">
        <v>0</v>
      </c>
      <c r="B1840" s="354">
        <v>0</v>
      </c>
      <c r="C1840" s="354">
        <v>0</v>
      </c>
      <c r="D1840" s="354">
        <v>0</v>
      </c>
      <c r="E1840" s="354">
        <v>1</v>
      </c>
      <c r="F1840" s="354">
        <v>2</v>
      </c>
      <c r="G1840" s="354">
        <v>0</v>
      </c>
      <c r="H1840" s="354">
        <v>0</v>
      </c>
      <c r="I1840" s="354">
        <v>1</v>
      </c>
      <c r="J1840" s="354">
        <v>1</v>
      </c>
      <c r="K1840" s="354">
        <v>0</v>
      </c>
      <c r="L1840" s="354">
        <v>0</v>
      </c>
      <c r="M1840" s="355">
        <v>2</v>
      </c>
      <c r="N1840" s="355">
        <v>3</v>
      </c>
    </row>
    <row r="1841" spans="1:14" hidden="1" x14ac:dyDescent="0.25">
      <c r="A1841" s="354">
        <v>0</v>
      </c>
      <c r="B1841" s="354">
        <v>0</v>
      </c>
      <c r="C1841" s="354">
        <v>1</v>
      </c>
      <c r="D1841" s="354">
        <v>0</v>
      </c>
      <c r="E1841" s="354">
        <v>2</v>
      </c>
      <c r="F1841" s="354">
        <v>2</v>
      </c>
      <c r="G1841" s="354">
        <v>1</v>
      </c>
      <c r="H1841" s="354">
        <v>1</v>
      </c>
      <c r="I1841" s="354">
        <v>0</v>
      </c>
      <c r="J1841" s="354">
        <v>1</v>
      </c>
      <c r="K1841" s="354">
        <v>0</v>
      </c>
      <c r="L1841" s="354">
        <v>0</v>
      </c>
      <c r="M1841" s="355">
        <v>4</v>
      </c>
      <c r="N1841" s="355">
        <v>4</v>
      </c>
    </row>
    <row r="1842" spans="1:14" hidden="1" x14ac:dyDescent="0.25">
      <c r="A1842" s="354">
        <v>0</v>
      </c>
      <c r="B1842" s="354">
        <v>0</v>
      </c>
      <c r="C1842" s="354">
        <v>1</v>
      </c>
      <c r="D1842" s="354">
        <v>2</v>
      </c>
      <c r="E1842" s="354">
        <v>3</v>
      </c>
      <c r="F1842" s="354">
        <v>3</v>
      </c>
      <c r="G1842" s="354">
        <v>3</v>
      </c>
      <c r="H1842" s="354">
        <v>2</v>
      </c>
      <c r="I1842" s="354">
        <v>1</v>
      </c>
      <c r="J1842" s="354">
        <v>2</v>
      </c>
      <c r="K1842" s="354">
        <v>0</v>
      </c>
      <c r="L1842" s="354">
        <v>0</v>
      </c>
      <c r="M1842" s="355">
        <v>8</v>
      </c>
      <c r="N1842" s="355">
        <v>9</v>
      </c>
    </row>
    <row r="1843" spans="1:14" hidden="1" x14ac:dyDescent="0.25">
      <c r="A1843" s="354">
        <v>0</v>
      </c>
      <c r="B1843" s="354">
        <v>0</v>
      </c>
      <c r="C1843" s="354">
        <v>0</v>
      </c>
      <c r="D1843" s="354">
        <v>0</v>
      </c>
      <c r="E1843" s="354">
        <v>2</v>
      </c>
      <c r="F1843" s="354">
        <v>1</v>
      </c>
      <c r="G1843" s="354">
        <v>3</v>
      </c>
      <c r="H1843" s="354">
        <v>3</v>
      </c>
      <c r="I1843" s="354">
        <v>1</v>
      </c>
      <c r="J1843" s="354">
        <v>1</v>
      </c>
      <c r="K1843" s="354">
        <v>0</v>
      </c>
      <c r="L1843" s="354">
        <v>0</v>
      </c>
      <c r="M1843" s="355">
        <v>6</v>
      </c>
      <c r="N1843" s="355">
        <v>5</v>
      </c>
    </row>
    <row r="1844" spans="1:14" hidden="1" x14ac:dyDescent="0.25">
      <c r="A1844" s="354">
        <v>1</v>
      </c>
      <c r="B1844" s="354">
        <v>0</v>
      </c>
      <c r="C1844" s="354">
        <v>0</v>
      </c>
      <c r="D1844" s="354">
        <v>0</v>
      </c>
      <c r="E1844" s="354">
        <v>0</v>
      </c>
      <c r="F1844" s="354">
        <v>0</v>
      </c>
      <c r="G1844" s="354">
        <v>0</v>
      </c>
      <c r="H1844" s="354">
        <v>0</v>
      </c>
      <c r="I1844" s="354">
        <v>1</v>
      </c>
      <c r="J1844" s="354">
        <v>1</v>
      </c>
      <c r="K1844" s="354">
        <v>0</v>
      </c>
      <c r="L1844" s="354">
        <v>0</v>
      </c>
      <c r="M1844" s="355">
        <v>2</v>
      </c>
      <c r="N1844" s="355">
        <v>1</v>
      </c>
    </row>
    <row r="1845" spans="1:14" hidden="1" x14ac:dyDescent="0.25">
      <c r="A1845" s="354">
        <v>0</v>
      </c>
      <c r="B1845" s="354">
        <v>0</v>
      </c>
      <c r="C1845" s="354">
        <v>1</v>
      </c>
      <c r="D1845" s="354">
        <v>1</v>
      </c>
      <c r="E1845" s="354">
        <v>2</v>
      </c>
      <c r="F1845" s="354">
        <v>1</v>
      </c>
      <c r="G1845" s="354">
        <v>1</v>
      </c>
      <c r="H1845" s="354">
        <v>0</v>
      </c>
      <c r="I1845" s="354">
        <v>1</v>
      </c>
      <c r="J1845" s="354">
        <v>1</v>
      </c>
      <c r="K1845" s="354">
        <v>1</v>
      </c>
      <c r="L1845" s="354">
        <v>0</v>
      </c>
      <c r="M1845" s="355">
        <v>6</v>
      </c>
      <c r="N1845" s="355">
        <v>3</v>
      </c>
    </row>
    <row r="1846" spans="1:14" hidden="1" x14ac:dyDescent="0.25">
      <c r="A1846" s="354">
        <v>0</v>
      </c>
      <c r="B1846" s="354">
        <v>0</v>
      </c>
      <c r="C1846" s="354">
        <v>1</v>
      </c>
      <c r="D1846" s="354">
        <v>0</v>
      </c>
      <c r="E1846" s="354">
        <v>2</v>
      </c>
      <c r="F1846" s="354">
        <v>2</v>
      </c>
      <c r="G1846" s="354">
        <v>1</v>
      </c>
      <c r="H1846" s="354">
        <v>0</v>
      </c>
      <c r="I1846" s="354">
        <v>1</v>
      </c>
      <c r="J1846" s="354">
        <v>1</v>
      </c>
      <c r="K1846" s="354">
        <v>0</v>
      </c>
      <c r="L1846" s="354">
        <v>0</v>
      </c>
      <c r="M1846" s="355">
        <v>5</v>
      </c>
      <c r="N1846" s="355">
        <v>3</v>
      </c>
    </row>
    <row r="1847" spans="1:14" hidden="1" x14ac:dyDescent="0.25">
      <c r="A1847" s="354">
        <v>1</v>
      </c>
      <c r="B1847" s="354">
        <v>0</v>
      </c>
      <c r="C1847" s="354">
        <v>1</v>
      </c>
      <c r="D1847" s="354">
        <v>0</v>
      </c>
      <c r="E1847" s="354">
        <v>1</v>
      </c>
      <c r="F1847" s="354">
        <v>3</v>
      </c>
      <c r="G1847" s="354">
        <v>0</v>
      </c>
      <c r="H1847" s="354">
        <v>0</v>
      </c>
      <c r="I1847" s="354">
        <v>1</v>
      </c>
      <c r="J1847" s="354">
        <v>1</v>
      </c>
      <c r="K1847" s="354">
        <v>0</v>
      </c>
      <c r="L1847" s="354">
        <v>0</v>
      </c>
      <c r="M1847" s="355">
        <v>4</v>
      </c>
      <c r="N1847" s="355">
        <v>4</v>
      </c>
    </row>
    <row r="1848" spans="1:14" hidden="1" x14ac:dyDescent="0.25">
      <c r="A1848" s="354">
        <v>0</v>
      </c>
      <c r="B1848" s="354">
        <v>1</v>
      </c>
      <c r="C1848" s="354">
        <v>1</v>
      </c>
      <c r="D1848" s="354">
        <v>0</v>
      </c>
      <c r="E1848" s="354">
        <v>2</v>
      </c>
      <c r="F1848" s="354">
        <v>0</v>
      </c>
      <c r="G1848" s="354">
        <v>0</v>
      </c>
      <c r="H1848" s="354">
        <v>2</v>
      </c>
      <c r="I1848" s="354">
        <v>1</v>
      </c>
      <c r="J1848" s="354">
        <v>1</v>
      </c>
      <c r="K1848" s="354">
        <v>0</v>
      </c>
      <c r="L1848" s="354">
        <v>0</v>
      </c>
      <c r="M1848" s="355">
        <v>4</v>
      </c>
      <c r="N1848" s="355">
        <v>4</v>
      </c>
    </row>
    <row r="1849" spans="1:14" hidden="1" x14ac:dyDescent="0.25">
      <c r="A1849" s="354">
        <v>0</v>
      </c>
      <c r="B1849" s="354">
        <v>0</v>
      </c>
      <c r="C1849" s="354">
        <v>2</v>
      </c>
      <c r="D1849" s="354">
        <v>1</v>
      </c>
      <c r="E1849" s="354">
        <v>3</v>
      </c>
      <c r="F1849" s="354">
        <v>0</v>
      </c>
      <c r="G1849" s="354">
        <v>0</v>
      </c>
      <c r="H1849" s="354">
        <v>0</v>
      </c>
      <c r="I1849" s="354">
        <v>1</v>
      </c>
      <c r="J1849" s="354">
        <v>1</v>
      </c>
      <c r="K1849" s="354">
        <v>0</v>
      </c>
      <c r="L1849" s="354">
        <v>0</v>
      </c>
      <c r="M1849" s="355">
        <v>6</v>
      </c>
      <c r="N1849" s="355">
        <v>2</v>
      </c>
    </row>
    <row r="1850" spans="1:14" hidden="1" x14ac:dyDescent="0.25">
      <c r="A1850" s="354">
        <v>0</v>
      </c>
      <c r="B1850" s="354">
        <v>0</v>
      </c>
      <c r="C1850" s="354">
        <v>1</v>
      </c>
      <c r="D1850" s="354">
        <v>1</v>
      </c>
      <c r="E1850" s="354">
        <v>2</v>
      </c>
      <c r="F1850" s="354">
        <v>0</v>
      </c>
      <c r="G1850" s="354">
        <v>0</v>
      </c>
      <c r="H1850" s="354">
        <v>0</v>
      </c>
      <c r="I1850" s="354">
        <v>0</v>
      </c>
      <c r="J1850" s="354">
        <v>1</v>
      </c>
      <c r="K1850" s="354">
        <v>0</v>
      </c>
      <c r="L1850" s="354">
        <v>0</v>
      </c>
      <c r="M1850" s="355">
        <v>3</v>
      </c>
      <c r="N1850" s="355">
        <v>2</v>
      </c>
    </row>
    <row r="1851" spans="1:14" hidden="1" x14ac:dyDescent="0.25">
      <c r="A1851" s="354">
        <v>1</v>
      </c>
      <c r="B1851" s="354">
        <v>0</v>
      </c>
      <c r="C1851" s="354">
        <v>0</v>
      </c>
      <c r="D1851" s="354">
        <v>2</v>
      </c>
      <c r="E1851" s="354">
        <v>2</v>
      </c>
      <c r="F1851" s="354">
        <v>3</v>
      </c>
      <c r="G1851" s="354">
        <v>0</v>
      </c>
      <c r="H1851" s="354">
        <v>0</v>
      </c>
      <c r="I1851" s="354">
        <v>1</v>
      </c>
      <c r="J1851" s="354">
        <v>2</v>
      </c>
      <c r="K1851" s="354">
        <v>0</v>
      </c>
      <c r="L1851" s="354">
        <v>0</v>
      </c>
      <c r="M1851" s="355">
        <v>4</v>
      </c>
      <c r="N1851" s="355">
        <v>7</v>
      </c>
    </row>
    <row r="1852" spans="1:14" hidden="1" x14ac:dyDescent="0.25">
      <c r="A1852" s="354">
        <v>0</v>
      </c>
      <c r="B1852" s="354">
        <v>0</v>
      </c>
      <c r="C1852" s="354">
        <v>1</v>
      </c>
      <c r="D1852" s="354">
        <v>1</v>
      </c>
      <c r="E1852" s="354">
        <v>0</v>
      </c>
      <c r="F1852" s="354">
        <v>0</v>
      </c>
      <c r="G1852" s="354">
        <v>1</v>
      </c>
      <c r="H1852" s="354">
        <v>0</v>
      </c>
      <c r="I1852" s="354">
        <v>1</v>
      </c>
      <c r="J1852" s="354">
        <v>1</v>
      </c>
      <c r="K1852" s="354">
        <v>0</v>
      </c>
      <c r="L1852" s="354">
        <v>0</v>
      </c>
      <c r="M1852" s="355">
        <v>3</v>
      </c>
      <c r="N1852" s="355">
        <v>2</v>
      </c>
    </row>
    <row r="1853" spans="1:14" hidden="1" x14ac:dyDescent="0.25">
      <c r="A1853" s="354">
        <v>0</v>
      </c>
      <c r="B1853" s="354">
        <v>2</v>
      </c>
      <c r="C1853" s="354">
        <v>2</v>
      </c>
      <c r="D1853" s="354">
        <v>0</v>
      </c>
      <c r="E1853" s="354">
        <v>3</v>
      </c>
      <c r="F1853" s="354">
        <v>0</v>
      </c>
      <c r="G1853" s="354">
        <v>0</v>
      </c>
      <c r="H1853" s="354">
        <v>0</v>
      </c>
      <c r="I1853" s="354">
        <v>1</v>
      </c>
      <c r="J1853" s="354">
        <v>1</v>
      </c>
      <c r="K1853" s="354">
        <v>1</v>
      </c>
      <c r="L1853" s="354">
        <v>1</v>
      </c>
      <c r="M1853" s="355">
        <v>7</v>
      </c>
      <c r="N1853" s="355">
        <v>4</v>
      </c>
    </row>
    <row r="1854" spans="1:14" hidden="1" x14ac:dyDescent="0.25">
      <c r="A1854" s="354">
        <v>1</v>
      </c>
      <c r="B1854" s="354">
        <v>0</v>
      </c>
      <c r="C1854" s="354">
        <v>2</v>
      </c>
      <c r="D1854" s="354">
        <v>1</v>
      </c>
      <c r="E1854" s="354">
        <v>3</v>
      </c>
      <c r="F1854" s="354">
        <v>0</v>
      </c>
      <c r="G1854" s="354">
        <v>1</v>
      </c>
      <c r="H1854" s="354">
        <v>0</v>
      </c>
      <c r="I1854" s="354">
        <v>2</v>
      </c>
      <c r="J1854" s="354">
        <v>2</v>
      </c>
      <c r="K1854" s="354">
        <v>0</v>
      </c>
      <c r="L1854" s="354">
        <v>0</v>
      </c>
      <c r="M1854" s="355">
        <v>9</v>
      </c>
      <c r="N1854" s="355">
        <v>3</v>
      </c>
    </row>
    <row r="1855" spans="1:14" hidden="1" x14ac:dyDescent="0.25">
      <c r="A1855" s="354">
        <v>1</v>
      </c>
      <c r="B1855" s="354">
        <v>1</v>
      </c>
      <c r="C1855" s="354">
        <v>4</v>
      </c>
      <c r="D1855" s="354">
        <v>1</v>
      </c>
      <c r="E1855" s="354">
        <v>3</v>
      </c>
      <c r="F1855" s="354">
        <v>1</v>
      </c>
      <c r="G1855" s="354">
        <v>0</v>
      </c>
      <c r="H1855" s="354">
        <v>0</v>
      </c>
      <c r="I1855" s="354">
        <v>1</v>
      </c>
      <c r="J1855" s="354">
        <v>3</v>
      </c>
      <c r="K1855" s="354">
        <v>0</v>
      </c>
      <c r="L1855" s="354">
        <v>0</v>
      </c>
      <c r="M1855" s="355">
        <v>9</v>
      </c>
      <c r="N1855" s="355">
        <v>6</v>
      </c>
    </row>
    <row r="1856" spans="1:14" hidden="1" x14ac:dyDescent="0.25">
      <c r="A1856" s="354">
        <v>0</v>
      </c>
      <c r="B1856" s="354">
        <v>1</v>
      </c>
      <c r="C1856" s="354">
        <v>1</v>
      </c>
      <c r="D1856" s="354">
        <v>1</v>
      </c>
      <c r="E1856" s="354">
        <v>1</v>
      </c>
      <c r="F1856" s="354">
        <v>3</v>
      </c>
      <c r="G1856" s="354">
        <v>1</v>
      </c>
      <c r="H1856" s="354">
        <v>0</v>
      </c>
      <c r="I1856" s="354">
        <v>1</v>
      </c>
      <c r="J1856" s="354">
        <v>3</v>
      </c>
      <c r="K1856" s="354">
        <v>0</v>
      </c>
      <c r="L1856" s="354">
        <v>0</v>
      </c>
      <c r="M1856" s="355">
        <v>4</v>
      </c>
      <c r="N1856" s="355">
        <v>8</v>
      </c>
    </row>
    <row r="1857" spans="1:14" hidden="1" x14ac:dyDescent="0.25">
      <c r="A1857" s="354">
        <v>0</v>
      </c>
      <c r="B1857" s="354">
        <v>1</v>
      </c>
      <c r="C1857" s="354">
        <v>0</v>
      </c>
      <c r="D1857" s="354">
        <v>1</v>
      </c>
      <c r="E1857" s="354">
        <v>0</v>
      </c>
      <c r="F1857" s="354">
        <v>3</v>
      </c>
      <c r="G1857" s="354">
        <v>0</v>
      </c>
      <c r="H1857" s="354">
        <v>1</v>
      </c>
      <c r="I1857" s="354">
        <v>2</v>
      </c>
      <c r="J1857" s="354">
        <v>2</v>
      </c>
      <c r="K1857" s="354">
        <v>0</v>
      </c>
      <c r="L1857" s="354">
        <v>0</v>
      </c>
      <c r="M1857" s="355">
        <v>2</v>
      </c>
      <c r="N1857" s="355">
        <v>8</v>
      </c>
    </row>
    <row r="1858" spans="1:14" hidden="1" x14ac:dyDescent="0.25">
      <c r="A1858" s="354">
        <v>0</v>
      </c>
      <c r="B1858" s="354">
        <v>1</v>
      </c>
      <c r="C1858" s="354">
        <v>1</v>
      </c>
      <c r="D1858" s="354"/>
      <c r="E1858" s="354">
        <v>1</v>
      </c>
      <c r="F1858" s="354">
        <v>2</v>
      </c>
      <c r="G1858" s="354">
        <v>0</v>
      </c>
      <c r="H1858" s="354">
        <v>2</v>
      </c>
      <c r="I1858" s="354">
        <v>1</v>
      </c>
      <c r="J1858" s="354">
        <v>1</v>
      </c>
      <c r="K1858" s="354">
        <v>0</v>
      </c>
      <c r="L1858" s="354">
        <v>0</v>
      </c>
      <c r="M1858" s="355">
        <v>3</v>
      </c>
      <c r="N1858" s="355">
        <v>6</v>
      </c>
    </row>
    <row r="1859" spans="1:14" hidden="1" x14ac:dyDescent="0.25">
      <c r="A1859" s="354">
        <v>0</v>
      </c>
      <c r="B1859" s="354">
        <v>1</v>
      </c>
      <c r="C1859" s="354">
        <v>0</v>
      </c>
      <c r="D1859" s="354">
        <v>1</v>
      </c>
      <c r="E1859" s="354">
        <v>2</v>
      </c>
      <c r="F1859" s="354">
        <v>0</v>
      </c>
      <c r="G1859" s="354">
        <v>0</v>
      </c>
      <c r="H1859" s="354">
        <v>0</v>
      </c>
      <c r="I1859" s="354">
        <v>0</v>
      </c>
      <c r="J1859" s="354">
        <v>1</v>
      </c>
      <c r="K1859" s="354">
        <v>0</v>
      </c>
      <c r="L1859" s="354">
        <v>0</v>
      </c>
      <c r="M1859" s="355">
        <v>2</v>
      </c>
      <c r="N1859" s="355">
        <v>3</v>
      </c>
    </row>
    <row r="1860" spans="1:14" hidden="1" x14ac:dyDescent="0.25">
      <c r="A1860" s="354">
        <v>0</v>
      </c>
      <c r="B1860" s="354">
        <v>1</v>
      </c>
      <c r="C1860" s="354">
        <v>2</v>
      </c>
      <c r="D1860" s="354">
        <v>0</v>
      </c>
      <c r="E1860" s="354">
        <v>1</v>
      </c>
      <c r="F1860" s="354">
        <v>1</v>
      </c>
      <c r="G1860" s="354">
        <v>0</v>
      </c>
      <c r="H1860" s="354">
        <v>0</v>
      </c>
      <c r="I1860" s="354">
        <v>0</v>
      </c>
      <c r="J1860" s="354">
        <v>1</v>
      </c>
      <c r="K1860" s="354">
        <v>0</v>
      </c>
      <c r="L1860" s="354">
        <v>0</v>
      </c>
      <c r="M1860" s="355">
        <v>3</v>
      </c>
      <c r="N1860" s="355">
        <v>3</v>
      </c>
    </row>
    <row r="1861" spans="1:14" hidden="1" x14ac:dyDescent="0.25">
      <c r="A1861" s="354">
        <v>1</v>
      </c>
      <c r="B1861" s="354">
        <v>0</v>
      </c>
      <c r="C1861" s="354">
        <v>0</v>
      </c>
      <c r="D1861" s="354">
        <v>3</v>
      </c>
      <c r="E1861" s="354">
        <v>0</v>
      </c>
      <c r="F1861" s="354">
        <v>2</v>
      </c>
      <c r="G1861" s="354">
        <v>1</v>
      </c>
      <c r="H1861" s="354">
        <v>0</v>
      </c>
      <c r="I1861" s="354">
        <v>1</v>
      </c>
      <c r="J1861" s="354">
        <v>0</v>
      </c>
      <c r="K1861" s="354">
        <v>0</v>
      </c>
      <c r="L1861" s="354">
        <v>0</v>
      </c>
      <c r="M1861" s="355">
        <v>3</v>
      </c>
      <c r="N1861" s="355">
        <v>5</v>
      </c>
    </row>
    <row r="1862" spans="1:14" hidden="1" x14ac:dyDescent="0.25">
      <c r="A1862" s="354"/>
      <c r="B1862" s="354">
        <v>1</v>
      </c>
      <c r="C1862" s="354">
        <v>0</v>
      </c>
      <c r="D1862" s="354">
        <v>1</v>
      </c>
      <c r="E1862" s="354">
        <v>1</v>
      </c>
      <c r="F1862" s="354">
        <v>3</v>
      </c>
      <c r="G1862" s="354">
        <v>1</v>
      </c>
      <c r="H1862" s="354">
        <v>2</v>
      </c>
      <c r="I1862" s="354">
        <v>3</v>
      </c>
      <c r="J1862" s="354">
        <v>1</v>
      </c>
      <c r="K1862" s="354">
        <v>0</v>
      </c>
      <c r="L1862" s="354">
        <v>0</v>
      </c>
      <c r="M1862" s="355">
        <v>5</v>
      </c>
      <c r="N1862" s="355">
        <v>8</v>
      </c>
    </row>
    <row r="1863" spans="1:14" hidden="1" x14ac:dyDescent="0.25">
      <c r="A1863" s="354">
        <v>1</v>
      </c>
      <c r="B1863" s="354">
        <v>1</v>
      </c>
      <c r="C1863" s="354">
        <v>0</v>
      </c>
      <c r="D1863" s="354">
        <v>2</v>
      </c>
      <c r="E1863" s="354">
        <v>3</v>
      </c>
      <c r="F1863" s="354">
        <v>3</v>
      </c>
      <c r="G1863" s="354">
        <v>2</v>
      </c>
      <c r="H1863" s="354">
        <v>0</v>
      </c>
      <c r="I1863" s="354">
        <v>4</v>
      </c>
      <c r="J1863" s="354">
        <v>3</v>
      </c>
      <c r="K1863" s="354">
        <v>0</v>
      </c>
      <c r="L1863" s="354">
        <v>0</v>
      </c>
      <c r="M1863" s="355">
        <v>10</v>
      </c>
      <c r="N1863" s="355">
        <v>9</v>
      </c>
    </row>
    <row r="1864" spans="1:14" hidden="1" x14ac:dyDescent="0.25">
      <c r="A1864" s="354">
        <v>0</v>
      </c>
      <c r="B1864" s="354">
        <v>0</v>
      </c>
      <c r="C1864" s="354">
        <v>1</v>
      </c>
      <c r="D1864" s="354">
        <v>1</v>
      </c>
      <c r="E1864" s="354">
        <v>1</v>
      </c>
      <c r="F1864" s="354">
        <v>3</v>
      </c>
      <c r="G1864" s="354"/>
      <c r="H1864" s="354">
        <v>2</v>
      </c>
      <c r="I1864" s="354">
        <v>3</v>
      </c>
      <c r="J1864" s="354">
        <v>2</v>
      </c>
      <c r="K1864" s="354">
        <v>0</v>
      </c>
      <c r="L1864" s="354">
        <v>0</v>
      </c>
      <c r="M1864" s="355">
        <v>5</v>
      </c>
      <c r="N1864" s="355">
        <v>8</v>
      </c>
    </row>
    <row r="1865" spans="1:14" hidden="1" x14ac:dyDescent="0.25">
      <c r="A1865" s="354">
        <v>0</v>
      </c>
      <c r="B1865" s="354">
        <v>1</v>
      </c>
      <c r="C1865" s="354">
        <v>0</v>
      </c>
      <c r="D1865" s="354">
        <v>2</v>
      </c>
      <c r="E1865" s="354">
        <v>1</v>
      </c>
      <c r="F1865" s="354">
        <v>0</v>
      </c>
      <c r="G1865" s="354">
        <v>0</v>
      </c>
      <c r="H1865" s="354">
        <v>0</v>
      </c>
      <c r="I1865" s="354">
        <v>1</v>
      </c>
      <c r="J1865" s="354">
        <v>1</v>
      </c>
      <c r="K1865" s="354">
        <v>0</v>
      </c>
      <c r="L1865" s="354">
        <v>0</v>
      </c>
      <c r="M1865" s="355">
        <v>2</v>
      </c>
      <c r="N1865" s="355">
        <v>4</v>
      </c>
    </row>
    <row r="1866" spans="1:14" hidden="1" x14ac:dyDescent="0.25">
      <c r="A1866" s="354">
        <v>0</v>
      </c>
      <c r="B1866" s="354">
        <v>0</v>
      </c>
      <c r="C1866" s="354"/>
      <c r="D1866" s="354">
        <v>2</v>
      </c>
      <c r="E1866" s="354">
        <v>0</v>
      </c>
      <c r="F1866" s="354">
        <v>0</v>
      </c>
      <c r="G1866" s="354">
        <v>2</v>
      </c>
      <c r="H1866" s="354">
        <v>0</v>
      </c>
      <c r="I1866" s="354">
        <v>2</v>
      </c>
      <c r="J1866" s="354">
        <v>1</v>
      </c>
      <c r="K1866" s="354">
        <v>0</v>
      </c>
      <c r="L1866" s="354">
        <v>0</v>
      </c>
      <c r="M1866" s="355">
        <v>4</v>
      </c>
      <c r="N1866" s="355">
        <v>3</v>
      </c>
    </row>
    <row r="1867" spans="1:14" hidden="1" x14ac:dyDescent="0.25">
      <c r="A1867" s="354">
        <v>0</v>
      </c>
      <c r="B1867" s="354">
        <v>1</v>
      </c>
      <c r="C1867" s="354">
        <v>1</v>
      </c>
      <c r="D1867" s="354">
        <v>0</v>
      </c>
      <c r="E1867" s="354">
        <v>0</v>
      </c>
      <c r="F1867" s="354">
        <v>0</v>
      </c>
      <c r="G1867" s="354">
        <v>0</v>
      </c>
      <c r="H1867" s="354">
        <v>0</v>
      </c>
      <c r="I1867" s="354">
        <v>0</v>
      </c>
      <c r="J1867" s="354">
        <v>0</v>
      </c>
      <c r="K1867" s="354">
        <v>0</v>
      </c>
      <c r="L1867" s="354">
        <v>0</v>
      </c>
      <c r="M1867" s="355">
        <v>1</v>
      </c>
      <c r="N1867" s="355">
        <v>1</v>
      </c>
    </row>
    <row r="1868" spans="1:14" hidden="1" x14ac:dyDescent="0.25">
      <c r="A1868" s="354">
        <v>1</v>
      </c>
      <c r="B1868" s="354">
        <v>0</v>
      </c>
      <c r="C1868" s="354">
        <v>1</v>
      </c>
      <c r="D1868" s="354">
        <v>2</v>
      </c>
      <c r="E1868" s="354">
        <v>0</v>
      </c>
      <c r="F1868" s="354">
        <v>2</v>
      </c>
      <c r="G1868" s="354"/>
      <c r="H1868" s="354"/>
      <c r="I1868" s="354">
        <v>1</v>
      </c>
      <c r="J1868" s="354">
        <v>1</v>
      </c>
      <c r="K1868" s="354">
        <v>0</v>
      </c>
      <c r="L1868" s="354">
        <v>0</v>
      </c>
      <c r="M1868" s="355">
        <v>3</v>
      </c>
      <c r="N1868" s="355">
        <v>5</v>
      </c>
    </row>
    <row r="1869" spans="1:14" hidden="1" x14ac:dyDescent="0.25">
      <c r="A1869" s="354">
        <v>0</v>
      </c>
      <c r="B1869" s="354">
        <v>1</v>
      </c>
      <c r="C1869" s="354">
        <v>1</v>
      </c>
      <c r="D1869" s="354">
        <v>0</v>
      </c>
      <c r="E1869" s="354">
        <v>2</v>
      </c>
      <c r="F1869" s="354">
        <v>0</v>
      </c>
      <c r="G1869" s="354">
        <v>0</v>
      </c>
      <c r="H1869" s="354">
        <v>0</v>
      </c>
      <c r="I1869" s="354">
        <v>1</v>
      </c>
      <c r="J1869" s="354">
        <v>1</v>
      </c>
      <c r="K1869" s="354">
        <v>0</v>
      </c>
      <c r="L1869" s="354">
        <v>0</v>
      </c>
      <c r="M1869" s="355">
        <v>4</v>
      </c>
      <c r="N1869" s="355">
        <v>2</v>
      </c>
    </row>
    <row r="1870" spans="1:14" hidden="1" x14ac:dyDescent="0.25">
      <c r="A1870" s="354">
        <v>0</v>
      </c>
      <c r="B1870" s="354">
        <v>0</v>
      </c>
      <c r="C1870" s="354">
        <v>1</v>
      </c>
      <c r="D1870" s="354">
        <v>0</v>
      </c>
      <c r="E1870" s="354">
        <v>0</v>
      </c>
      <c r="F1870" s="354">
        <v>2</v>
      </c>
      <c r="G1870" s="354"/>
      <c r="H1870" s="354">
        <v>2</v>
      </c>
      <c r="I1870" s="354">
        <v>1</v>
      </c>
      <c r="J1870" s="354">
        <v>1</v>
      </c>
      <c r="K1870" s="354">
        <v>0</v>
      </c>
      <c r="L1870" s="354">
        <v>0</v>
      </c>
      <c r="M1870" s="355">
        <v>2</v>
      </c>
      <c r="N1870" s="355">
        <v>5</v>
      </c>
    </row>
    <row r="1871" spans="1:14" hidden="1" x14ac:dyDescent="0.25">
      <c r="A1871" s="354">
        <v>0</v>
      </c>
      <c r="B1871" s="354">
        <v>0</v>
      </c>
      <c r="C1871" s="354">
        <v>0</v>
      </c>
      <c r="D1871" s="354">
        <v>0</v>
      </c>
      <c r="E1871" s="354">
        <v>0</v>
      </c>
      <c r="F1871" s="354">
        <v>1</v>
      </c>
      <c r="G1871" s="354">
        <v>1</v>
      </c>
      <c r="H1871" s="354">
        <v>2</v>
      </c>
      <c r="I1871" s="354">
        <v>3</v>
      </c>
      <c r="J1871" s="354">
        <v>3</v>
      </c>
      <c r="K1871" s="354">
        <v>0</v>
      </c>
      <c r="L1871" s="354">
        <v>0</v>
      </c>
      <c r="M1871" s="355">
        <v>4</v>
      </c>
      <c r="N1871" s="355">
        <v>6</v>
      </c>
    </row>
    <row r="1872" spans="1:14" hidden="1" x14ac:dyDescent="0.25">
      <c r="A1872" s="354">
        <v>0</v>
      </c>
      <c r="B1872" s="354">
        <v>0</v>
      </c>
      <c r="C1872" s="354">
        <v>1</v>
      </c>
      <c r="D1872" s="354">
        <v>0</v>
      </c>
      <c r="E1872" s="354">
        <v>1</v>
      </c>
      <c r="F1872" s="354">
        <v>2</v>
      </c>
      <c r="G1872" s="354">
        <v>2</v>
      </c>
      <c r="H1872" s="354">
        <v>0</v>
      </c>
      <c r="I1872" s="354">
        <v>0</v>
      </c>
      <c r="J1872" s="354">
        <v>1</v>
      </c>
      <c r="K1872" s="354">
        <v>1</v>
      </c>
      <c r="L1872" s="354">
        <v>0</v>
      </c>
      <c r="M1872" s="355">
        <v>5</v>
      </c>
      <c r="N1872" s="355">
        <v>3</v>
      </c>
    </row>
    <row r="1873" spans="1:14" hidden="1" x14ac:dyDescent="0.25">
      <c r="A1873" s="354">
        <v>0</v>
      </c>
      <c r="B1873" s="354">
        <v>0</v>
      </c>
      <c r="C1873" s="354">
        <v>0</v>
      </c>
      <c r="D1873" s="354">
        <v>0</v>
      </c>
      <c r="E1873" s="354">
        <v>1</v>
      </c>
      <c r="F1873" s="354">
        <v>2</v>
      </c>
      <c r="G1873" s="354">
        <v>2</v>
      </c>
      <c r="H1873" s="354">
        <v>1</v>
      </c>
      <c r="I1873" s="354">
        <v>1</v>
      </c>
      <c r="J1873" s="354">
        <v>1</v>
      </c>
      <c r="K1873" s="354">
        <v>0</v>
      </c>
      <c r="L1873" s="354">
        <v>0</v>
      </c>
      <c r="M1873" s="355">
        <v>4</v>
      </c>
      <c r="N1873" s="355">
        <v>4</v>
      </c>
    </row>
    <row r="1874" spans="1:14" hidden="1" x14ac:dyDescent="0.25">
      <c r="A1874" s="354">
        <v>0</v>
      </c>
      <c r="B1874" s="354">
        <v>0</v>
      </c>
      <c r="C1874" s="354">
        <v>1</v>
      </c>
      <c r="D1874" s="354">
        <v>1</v>
      </c>
      <c r="E1874" s="354">
        <v>0</v>
      </c>
      <c r="F1874" s="354">
        <v>0</v>
      </c>
      <c r="G1874" s="354">
        <v>0</v>
      </c>
      <c r="H1874" s="354">
        <v>0</v>
      </c>
      <c r="I1874" s="354">
        <v>1</v>
      </c>
      <c r="J1874" s="354">
        <v>2</v>
      </c>
      <c r="K1874" s="354">
        <v>0</v>
      </c>
      <c r="L1874" s="354">
        <v>0</v>
      </c>
      <c r="M1874" s="355">
        <v>2</v>
      </c>
      <c r="N1874" s="355">
        <v>3</v>
      </c>
    </row>
    <row r="1875" spans="1:14" hidden="1" x14ac:dyDescent="0.25">
      <c r="A1875" s="354">
        <v>0</v>
      </c>
      <c r="B1875" s="354">
        <v>0</v>
      </c>
      <c r="C1875" s="354">
        <v>2</v>
      </c>
      <c r="D1875" s="354">
        <v>1</v>
      </c>
      <c r="E1875" s="354">
        <v>2</v>
      </c>
      <c r="F1875" s="354">
        <v>1</v>
      </c>
      <c r="G1875" s="354">
        <v>0</v>
      </c>
      <c r="H1875" s="354">
        <v>0</v>
      </c>
      <c r="I1875" s="354">
        <v>0</v>
      </c>
      <c r="J1875" s="354">
        <v>1</v>
      </c>
      <c r="K1875" s="354">
        <v>0</v>
      </c>
      <c r="L1875" s="354">
        <v>0</v>
      </c>
      <c r="M1875" s="355">
        <v>4</v>
      </c>
      <c r="N1875" s="355">
        <v>3</v>
      </c>
    </row>
    <row r="1876" spans="1:14" hidden="1" x14ac:dyDescent="0.25">
      <c r="A1876" s="354">
        <v>0</v>
      </c>
      <c r="B1876" s="354">
        <v>0</v>
      </c>
      <c r="C1876" s="354">
        <v>0</v>
      </c>
      <c r="D1876" s="354">
        <v>1</v>
      </c>
      <c r="E1876" s="354">
        <v>2</v>
      </c>
      <c r="F1876" s="354">
        <v>1</v>
      </c>
      <c r="G1876" s="354">
        <v>0</v>
      </c>
      <c r="H1876" s="354">
        <v>0</v>
      </c>
      <c r="I1876" s="354">
        <v>0</v>
      </c>
      <c r="J1876" s="354">
        <v>1</v>
      </c>
      <c r="K1876" s="354">
        <v>0</v>
      </c>
      <c r="L1876" s="354">
        <v>0</v>
      </c>
      <c r="M1876" s="355">
        <v>2</v>
      </c>
      <c r="N1876" s="355">
        <v>3</v>
      </c>
    </row>
    <row r="1877" spans="1:14" hidden="1" x14ac:dyDescent="0.25">
      <c r="A1877" s="354">
        <v>1</v>
      </c>
      <c r="B1877" s="354">
        <v>1</v>
      </c>
      <c r="C1877" s="354">
        <v>0</v>
      </c>
      <c r="D1877" s="354">
        <v>1</v>
      </c>
      <c r="E1877" s="354">
        <v>0</v>
      </c>
      <c r="F1877" s="354">
        <v>0</v>
      </c>
      <c r="G1877" s="354">
        <v>0</v>
      </c>
      <c r="H1877" s="354">
        <v>0</v>
      </c>
      <c r="I1877" s="354">
        <v>1</v>
      </c>
      <c r="J1877" s="354">
        <v>1</v>
      </c>
      <c r="K1877" s="354">
        <v>0</v>
      </c>
      <c r="L1877" s="354">
        <v>0</v>
      </c>
      <c r="M1877" s="355">
        <v>2</v>
      </c>
      <c r="N1877" s="355">
        <v>3</v>
      </c>
    </row>
    <row r="1878" spans="1:14" hidden="1" x14ac:dyDescent="0.25">
      <c r="A1878" s="354">
        <v>0</v>
      </c>
      <c r="B1878" s="354">
        <v>0</v>
      </c>
      <c r="C1878" s="354">
        <v>1</v>
      </c>
      <c r="D1878" s="354">
        <v>1</v>
      </c>
      <c r="E1878" s="354">
        <v>3</v>
      </c>
      <c r="F1878" s="354">
        <v>1</v>
      </c>
      <c r="G1878" s="354">
        <v>0</v>
      </c>
      <c r="H1878" s="354">
        <v>0</v>
      </c>
      <c r="I1878" s="354">
        <v>0</v>
      </c>
      <c r="J1878" s="354">
        <v>1</v>
      </c>
      <c r="K1878" s="354">
        <v>0</v>
      </c>
      <c r="L1878" s="354">
        <v>0</v>
      </c>
      <c r="M1878" s="355">
        <v>4</v>
      </c>
      <c r="N1878" s="355">
        <v>3</v>
      </c>
    </row>
    <row r="1879" spans="1:14" hidden="1" x14ac:dyDescent="0.25">
      <c r="A1879" s="354">
        <v>0</v>
      </c>
      <c r="B1879" s="354">
        <v>0</v>
      </c>
      <c r="C1879" s="354">
        <v>0</v>
      </c>
      <c r="D1879" s="354">
        <v>0</v>
      </c>
      <c r="E1879" s="354">
        <v>2</v>
      </c>
      <c r="F1879" s="354">
        <v>1</v>
      </c>
      <c r="G1879" s="354">
        <v>0</v>
      </c>
      <c r="H1879" s="354">
        <v>2</v>
      </c>
      <c r="I1879" s="354">
        <v>4</v>
      </c>
      <c r="J1879" s="354">
        <v>1</v>
      </c>
      <c r="K1879" s="354">
        <v>0</v>
      </c>
      <c r="L1879" s="354">
        <v>0</v>
      </c>
      <c r="M1879" s="355">
        <v>6</v>
      </c>
      <c r="N1879" s="355">
        <v>4</v>
      </c>
    </row>
    <row r="1880" spans="1:14" hidden="1" x14ac:dyDescent="0.25">
      <c r="A1880" s="354">
        <v>1</v>
      </c>
      <c r="B1880" s="354">
        <v>0</v>
      </c>
      <c r="C1880" s="354">
        <v>1</v>
      </c>
      <c r="D1880" s="354">
        <v>1</v>
      </c>
      <c r="E1880" s="354">
        <v>2</v>
      </c>
      <c r="F1880" s="354">
        <v>1</v>
      </c>
      <c r="G1880" s="354">
        <v>2</v>
      </c>
      <c r="H1880" s="354">
        <v>0</v>
      </c>
      <c r="I1880" s="354">
        <v>3</v>
      </c>
      <c r="J1880" s="354">
        <v>1</v>
      </c>
      <c r="K1880" s="354">
        <v>0</v>
      </c>
      <c r="L1880" s="354">
        <v>0</v>
      </c>
      <c r="M1880" s="355">
        <v>9</v>
      </c>
      <c r="N1880" s="355">
        <v>3</v>
      </c>
    </row>
    <row r="1881" spans="1:14" hidden="1" x14ac:dyDescent="0.25">
      <c r="A1881" s="354">
        <v>1</v>
      </c>
      <c r="B1881" s="354">
        <v>0</v>
      </c>
      <c r="C1881" s="354">
        <v>0</v>
      </c>
      <c r="D1881" s="354">
        <v>2</v>
      </c>
      <c r="E1881" s="354">
        <v>3</v>
      </c>
      <c r="F1881" s="354">
        <v>1</v>
      </c>
      <c r="G1881" s="354">
        <v>1</v>
      </c>
      <c r="H1881" s="354">
        <v>1</v>
      </c>
      <c r="I1881" s="354">
        <v>1</v>
      </c>
      <c r="J1881" s="354">
        <v>2</v>
      </c>
      <c r="K1881" s="354">
        <v>0</v>
      </c>
      <c r="L1881" s="354">
        <v>0</v>
      </c>
      <c r="M1881" s="355">
        <v>6</v>
      </c>
      <c r="N1881" s="355">
        <v>6</v>
      </c>
    </row>
    <row r="1882" spans="1:14" hidden="1" x14ac:dyDescent="0.25">
      <c r="A1882" s="354">
        <v>0</v>
      </c>
      <c r="B1882" s="354">
        <v>0</v>
      </c>
      <c r="C1882" s="354">
        <v>1</v>
      </c>
      <c r="D1882" s="354">
        <v>1</v>
      </c>
      <c r="E1882" s="354">
        <v>0</v>
      </c>
      <c r="F1882" s="354">
        <v>0</v>
      </c>
      <c r="G1882" s="354">
        <v>0</v>
      </c>
      <c r="H1882" s="354">
        <v>0</v>
      </c>
      <c r="I1882" s="354">
        <v>1</v>
      </c>
      <c r="J1882" s="354">
        <v>1</v>
      </c>
      <c r="K1882" s="354">
        <v>0</v>
      </c>
      <c r="L1882" s="354">
        <v>0</v>
      </c>
      <c r="M1882" s="355">
        <v>2</v>
      </c>
      <c r="N1882" s="355">
        <v>2</v>
      </c>
    </row>
    <row r="1883" spans="1:14" hidden="1" x14ac:dyDescent="0.25">
      <c r="A1883" s="354">
        <v>1</v>
      </c>
      <c r="B1883" s="354">
        <v>2</v>
      </c>
      <c r="C1883" s="354">
        <v>2</v>
      </c>
      <c r="D1883" s="354">
        <v>2</v>
      </c>
      <c r="E1883" s="354">
        <v>4</v>
      </c>
      <c r="F1883" s="354">
        <v>0</v>
      </c>
      <c r="G1883" s="354">
        <v>0</v>
      </c>
      <c r="H1883" s="354">
        <v>0</v>
      </c>
      <c r="I1883" s="354">
        <v>1</v>
      </c>
      <c r="J1883" s="354">
        <v>3</v>
      </c>
      <c r="K1883" s="354">
        <v>0</v>
      </c>
      <c r="L1883" s="354">
        <v>0</v>
      </c>
      <c r="M1883" s="355">
        <v>8</v>
      </c>
      <c r="N1883" s="355">
        <v>7</v>
      </c>
    </row>
    <row r="1884" spans="1:14" hidden="1" x14ac:dyDescent="0.25">
      <c r="A1884" s="354">
        <v>1</v>
      </c>
      <c r="B1884" s="354">
        <v>1</v>
      </c>
      <c r="C1884" s="354">
        <v>0</v>
      </c>
      <c r="D1884" s="354">
        <v>0</v>
      </c>
      <c r="E1884" s="354">
        <v>0</v>
      </c>
      <c r="F1884" s="354">
        <v>0</v>
      </c>
      <c r="G1884" s="354">
        <v>0</v>
      </c>
      <c r="H1884" s="354">
        <v>0</v>
      </c>
      <c r="I1884" s="354">
        <v>1</v>
      </c>
      <c r="J1884" s="354">
        <v>1</v>
      </c>
      <c r="K1884" s="354">
        <v>0</v>
      </c>
      <c r="L1884" s="354">
        <v>0</v>
      </c>
      <c r="M1884" s="355">
        <v>2</v>
      </c>
      <c r="N1884" s="355">
        <v>2</v>
      </c>
    </row>
    <row r="1885" spans="1:14" hidden="1" x14ac:dyDescent="0.25">
      <c r="A1885" s="354">
        <v>0</v>
      </c>
      <c r="B1885" s="354">
        <v>0</v>
      </c>
      <c r="C1885" s="354">
        <v>0</v>
      </c>
      <c r="D1885" s="354">
        <v>2</v>
      </c>
      <c r="E1885" s="354">
        <v>0</v>
      </c>
      <c r="F1885" s="354">
        <v>0</v>
      </c>
      <c r="G1885" s="354">
        <v>0</v>
      </c>
      <c r="H1885" s="354">
        <v>0</v>
      </c>
      <c r="I1885" s="354">
        <v>1</v>
      </c>
      <c r="J1885" s="354">
        <v>1</v>
      </c>
      <c r="K1885" s="354">
        <v>0</v>
      </c>
      <c r="L1885" s="354">
        <v>0</v>
      </c>
      <c r="M1885" s="355">
        <v>1</v>
      </c>
      <c r="N1885" s="355">
        <v>3</v>
      </c>
    </row>
    <row r="1886" spans="1:14" hidden="1" x14ac:dyDescent="0.25">
      <c r="A1886" s="354">
        <v>1</v>
      </c>
      <c r="B1886" s="354">
        <v>1</v>
      </c>
      <c r="C1886" s="354">
        <v>0</v>
      </c>
      <c r="D1886" s="354">
        <v>2</v>
      </c>
      <c r="E1886" s="354">
        <v>1</v>
      </c>
      <c r="F1886" s="354">
        <v>1</v>
      </c>
      <c r="G1886" s="354">
        <v>0</v>
      </c>
      <c r="H1886" s="354">
        <v>0</v>
      </c>
      <c r="I1886" s="354">
        <v>0</v>
      </c>
      <c r="J1886" s="354">
        <v>1</v>
      </c>
      <c r="K1886" s="354">
        <v>0</v>
      </c>
      <c r="L1886" s="354">
        <v>0</v>
      </c>
      <c r="M1886" s="355">
        <v>2</v>
      </c>
      <c r="N1886" s="355">
        <v>5</v>
      </c>
    </row>
    <row r="1887" spans="1:14" hidden="1" x14ac:dyDescent="0.25">
      <c r="A1887" s="354">
        <v>1</v>
      </c>
      <c r="B1887" s="354">
        <v>0</v>
      </c>
      <c r="C1887" s="354">
        <v>1</v>
      </c>
      <c r="D1887" s="354">
        <v>1</v>
      </c>
      <c r="E1887" s="354">
        <v>1</v>
      </c>
      <c r="F1887" s="354">
        <v>0</v>
      </c>
      <c r="G1887" s="354">
        <v>0</v>
      </c>
      <c r="H1887" s="354">
        <v>0</v>
      </c>
      <c r="I1887" s="354">
        <v>1</v>
      </c>
      <c r="J1887" s="354">
        <v>1</v>
      </c>
      <c r="K1887" s="354">
        <v>0</v>
      </c>
      <c r="L1887" s="354">
        <v>0</v>
      </c>
      <c r="M1887" s="355">
        <v>4</v>
      </c>
      <c r="N1887" s="355">
        <v>2</v>
      </c>
    </row>
    <row r="1888" spans="1:14" hidden="1" x14ac:dyDescent="0.25">
      <c r="A1888" s="354">
        <v>0</v>
      </c>
      <c r="B1888" s="354">
        <v>0</v>
      </c>
      <c r="C1888" s="354">
        <v>1</v>
      </c>
      <c r="D1888" s="354">
        <v>0</v>
      </c>
      <c r="E1888" s="354">
        <v>2</v>
      </c>
      <c r="F1888" s="354">
        <v>1</v>
      </c>
      <c r="G1888" s="354">
        <v>0</v>
      </c>
      <c r="H1888" s="354">
        <v>1</v>
      </c>
      <c r="I1888" s="354">
        <v>1</v>
      </c>
      <c r="J1888" s="354">
        <v>1</v>
      </c>
      <c r="K1888" s="354">
        <v>0</v>
      </c>
      <c r="L1888" s="354">
        <v>0</v>
      </c>
      <c r="M1888" s="355">
        <v>4</v>
      </c>
      <c r="N1888" s="355">
        <v>3</v>
      </c>
    </row>
    <row r="1889" spans="1:14" hidden="1" x14ac:dyDescent="0.25">
      <c r="A1889" s="354">
        <v>0</v>
      </c>
      <c r="B1889" s="354">
        <v>0</v>
      </c>
      <c r="C1889" s="354">
        <v>1</v>
      </c>
      <c r="D1889" s="354">
        <v>0</v>
      </c>
      <c r="E1889" s="354">
        <v>1</v>
      </c>
      <c r="F1889" s="354">
        <v>0</v>
      </c>
      <c r="G1889" s="354">
        <v>1</v>
      </c>
      <c r="H1889" s="354">
        <v>0</v>
      </c>
      <c r="I1889" s="354">
        <v>1</v>
      </c>
      <c r="J1889" s="354">
        <v>1</v>
      </c>
      <c r="K1889" s="354">
        <v>0</v>
      </c>
      <c r="L1889" s="354">
        <v>0</v>
      </c>
      <c r="M1889" s="355">
        <v>4</v>
      </c>
      <c r="N1889" s="355">
        <v>1</v>
      </c>
    </row>
    <row r="1890" spans="1:14" hidden="1" x14ac:dyDescent="0.25">
      <c r="A1890" s="354">
        <v>1</v>
      </c>
      <c r="B1890" s="354">
        <v>0</v>
      </c>
      <c r="C1890" s="354">
        <v>0</v>
      </c>
      <c r="D1890" s="354">
        <v>0</v>
      </c>
      <c r="E1890" s="354">
        <v>2</v>
      </c>
      <c r="F1890" s="354">
        <v>1</v>
      </c>
      <c r="G1890" s="354">
        <v>1</v>
      </c>
      <c r="H1890" s="354">
        <v>1</v>
      </c>
      <c r="I1890" s="354">
        <v>0</v>
      </c>
      <c r="J1890" s="354">
        <v>1</v>
      </c>
      <c r="K1890" s="354">
        <v>0</v>
      </c>
      <c r="L1890" s="354">
        <v>0</v>
      </c>
      <c r="M1890" s="355">
        <v>4</v>
      </c>
      <c r="N1890" s="355">
        <v>3</v>
      </c>
    </row>
    <row r="1891" spans="1:14" hidden="1" x14ac:dyDescent="0.25">
      <c r="A1891" s="354">
        <v>1</v>
      </c>
      <c r="B1891" s="354">
        <v>0</v>
      </c>
      <c r="C1891" s="354">
        <v>1</v>
      </c>
      <c r="D1891" s="354">
        <v>1</v>
      </c>
      <c r="E1891" s="354">
        <v>2</v>
      </c>
      <c r="F1891" s="354">
        <v>0</v>
      </c>
      <c r="G1891" s="354">
        <v>0</v>
      </c>
      <c r="H1891" s="354">
        <v>0</v>
      </c>
      <c r="I1891" s="354">
        <v>1</v>
      </c>
      <c r="J1891" s="354">
        <v>1</v>
      </c>
      <c r="K1891" s="354">
        <v>0</v>
      </c>
      <c r="L1891" s="354">
        <v>0</v>
      </c>
      <c r="M1891" s="355">
        <v>5</v>
      </c>
      <c r="N1891" s="355">
        <v>2</v>
      </c>
    </row>
    <row r="1892" spans="1:14" hidden="1" x14ac:dyDescent="0.25">
      <c r="A1892" s="354">
        <v>0</v>
      </c>
      <c r="B1892" s="354">
        <v>2</v>
      </c>
      <c r="C1892" s="354">
        <v>0</v>
      </c>
      <c r="D1892" s="354">
        <v>0</v>
      </c>
      <c r="E1892" s="354">
        <v>1</v>
      </c>
      <c r="F1892" s="354">
        <v>1</v>
      </c>
      <c r="G1892" s="354">
        <v>1</v>
      </c>
      <c r="H1892" s="354">
        <v>0</v>
      </c>
      <c r="I1892" s="354">
        <v>1</v>
      </c>
      <c r="J1892" s="354">
        <v>1</v>
      </c>
      <c r="K1892" s="354">
        <v>0</v>
      </c>
      <c r="L1892" s="354">
        <v>0</v>
      </c>
      <c r="M1892" s="355">
        <v>3</v>
      </c>
      <c r="N1892" s="355">
        <v>4</v>
      </c>
    </row>
    <row r="1893" spans="1:14" hidden="1" x14ac:dyDescent="0.25">
      <c r="A1893" s="354">
        <v>0</v>
      </c>
      <c r="B1893" s="354">
        <v>0</v>
      </c>
      <c r="C1893" s="354">
        <v>0</v>
      </c>
      <c r="D1893" s="354">
        <v>1</v>
      </c>
      <c r="E1893" s="354">
        <v>0</v>
      </c>
      <c r="F1893" s="354">
        <v>1</v>
      </c>
      <c r="G1893" s="354">
        <v>0</v>
      </c>
      <c r="H1893" s="354">
        <v>0</v>
      </c>
      <c r="I1893" s="354">
        <v>0</v>
      </c>
      <c r="J1893" s="354">
        <v>2</v>
      </c>
      <c r="K1893" s="354">
        <v>1</v>
      </c>
      <c r="L1893" s="354">
        <v>0</v>
      </c>
      <c r="M1893" s="355">
        <v>1</v>
      </c>
      <c r="N1893" s="355">
        <v>4</v>
      </c>
    </row>
    <row r="1894" spans="1:14" hidden="1" x14ac:dyDescent="0.25">
      <c r="A1894" s="354">
        <v>0</v>
      </c>
      <c r="B1894" s="354">
        <v>0</v>
      </c>
      <c r="C1894" s="354">
        <v>1</v>
      </c>
      <c r="D1894" s="354">
        <v>2</v>
      </c>
      <c r="E1894" s="354">
        <v>1</v>
      </c>
      <c r="F1894" s="354">
        <v>1</v>
      </c>
      <c r="G1894" s="354">
        <v>0</v>
      </c>
      <c r="H1894" s="354">
        <v>0</v>
      </c>
      <c r="I1894" s="354">
        <v>1</v>
      </c>
      <c r="J1894" s="354">
        <v>1</v>
      </c>
      <c r="K1894" s="354">
        <v>1</v>
      </c>
      <c r="L1894" s="354">
        <v>0</v>
      </c>
      <c r="M1894" s="355">
        <v>4</v>
      </c>
      <c r="N1894" s="355">
        <v>4</v>
      </c>
    </row>
    <row r="1895" spans="1:14" hidden="1" x14ac:dyDescent="0.25">
      <c r="A1895" s="354">
        <v>0</v>
      </c>
      <c r="B1895" s="354">
        <v>0</v>
      </c>
      <c r="C1895" s="354">
        <v>1</v>
      </c>
      <c r="D1895" s="354">
        <v>1</v>
      </c>
      <c r="E1895" s="354">
        <v>2</v>
      </c>
      <c r="F1895" s="354">
        <v>1</v>
      </c>
      <c r="G1895" s="354">
        <v>0</v>
      </c>
      <c r="H1895" s="354">
        <v>0</v>
      </c>
      <c r="I1895" s="354">
        <v>1</v>
      </c>
      <c r="J1895" s="354">
        <v>1</v>
      </c>
      <c r="K1895" s="354">
        <v>0</v>
      </c>
      <c r="L1895" s="354">
        <v>0</v>
      </c>
      <c r="M1895" s="355">
        <v>4</v>
      </c>
      <c r="N1895" s="355">
        <v>3</v>
      </c>
    </row>
    <row r="1896" spans="1:14" hidden="1" x14ac:dyDescent="0.25">
      <c r="A1896" s="354">
        <v>0</v>
      </c>
      <c r="B1896" s="354">
        <v>1</v>
      </c>
      <c r="C1896" s="354">
        <v>0</v>
      </c>
      <c r="D1896" s="354">
        <v>2</v>
      </c>
      <c r="E1896" s="354">
        <v>0</v>
      </c>
      <c r="F1896" s="354">
        <v>1</v>
      </c>
      <c r="G1896" s="354">
        <v>0</v>
      </c>
      <c r="H1896" s="354">
        <v>0</v>
      </c>
      <c r="I1896" s="354">
        <v>0</v>
      </c>
      <c r="J1896" s="354">
        <v>1</v>
      </c>
      <c r="K1896" s="354">
        <v>0</v>
      </c>
      <c r="L1896" s="354">
        <v>0</v>
      </c>
      <c r="M1896" s="355">
        <v>0</v>
      </c>
      <c r="N1896" s="355">
        <v>5</v>
      </c>
    </row>
    <row r="1897" spans="1:14" hidden="1" x14ac:dyDescent="0.25">
      <c r="A1897" s="354">
        <v>3</v>
      </c>
      <c r="B1897" s="354">
        <v>1</v>
      </c>
      <c r="C1897" s="354">
        <v>1</v>
      </c>
      <c r="D1897" s="354">
        <v>2</v>
      </c>
      <c r="E1897" s="354">
        <v>0</v>
      </c>
      <c r="F1897" s="354">
        <v>0</v>
      </c>
      <c r="G1897" s="354">
        <v>0</v>
      </c>
      <c r="H1897" s="354">
        <v>0</v>
      </c>
      <c r="I1897" s="354">
        <v>1</v>
      </c>
      <c r="J1897" s="354">
        <v>2</v>
      </c>
      <c r="K1897" s="354">
        <v>0</v>
      </c>
      <c r="L1897" s="354">
        <v>0</v>
      </c>
      <c r="M1897" s="355">
        <v>5</v>
      </c>
      <c r="N1897" s="355">
        <v>5</v>
      </c>
    </row>
    <row r="1898" spans="1:14" hidden="1" x14ac:dyDescent="0.25">
      <c r="A1898" s="354">
        <v>0</v>
      </c>
      <c r="B1898" s="354">
        <v>1</v>
      </c>
      <c r="C1898" s="354">
        <v>0</v>
      </c>
      <c r="D1898" s="354">
        <v>2</v>
      </c>
      <c r="E1898" s="354">
        <v>1</v>
      </c>
      <c r="F1898" s="354">
        <v>1</v>
      </c>
      <c r="G1898" s="354">
        <v>0</v>
      </c>
      <c r="H1898" s="354">
        <v>0</v>
      </c>
      <c r="I1898" s="354">
        <v>1</v>
      </c>
      <c r="J1898" s="354">
        <v>1</v>
      </c>
      <c r="K1898" s="354">
        <v>0</v>
      </c>
      <c r="L1898" s="354">
        <v>0</v>
      </c>
      <c r="M1898" s="355">
        <v>2</v>
      </c>
      <c r="N1898" s="355">
        <v>5</v>
      </c>
    </row>
    <row r="1899" spans="1:14" hidden="1" x14ac:dyDescent="0.25">
      <c r="A1899" s="354">
        <v>1</v>
      </c>
      <c r="B1899" s="354">
        <v>2</v>
      </c>
      <c r="C1899" s="354">
        <v>0</v>
      </c>
      <c r="D1899" s="354">
        <v>0</v>
      </c>
      <c r="E1899" s="354">
        <v>1</v>
      </c>
      <c r="F1899" s="354">
        <v>1</v>
      </c>
      <c r="G1899" s="354">
        <v>0</v>
      </c>
      <c r="H1899" s="354">
        <v>0</v>
      </c>
      <c r="I1899" s="354">
        <v>1</v>
      </c>
      <c r="J1899" s="354">
        <v>2</v>
      </c>
      <c r="K1899" s="354">
        <v>0</v>
      </c>
      <c r="L1899" s="354">
        <v>0</v>
      </c>
      <c r="M1899" s="355">
        <v>3</v>
      </c>
      <c r="N1899" s="355">
        <v>5</v>
      </c>
    </row>
    <row r="1900" spans="1:14" hidden="1" x14ac:dyDescent="0.25">
      <c r="A1900" s="354">
        <v>0</v>
      </c>
      <c r="B1900" s="354">
        <v>0</v>
      </c>
      <c r="C1900" s="354">
        <v>1</v>
      </c>
      <c r="D1900" s="354">
        <v>1</v>
      </c>
      <c r="E1900" s="354">
        <v>2</v>
      </c>
      <c r="F1900" s="354">
        <v>1</v>
      </c>
      <c r="G1900" s="354">
        <v>2</v>
      </c>
      <c r="H1900" s="354">
        <v>0</v>
      </c>
      <c r="I1900" s="354">
        <v>2</v>
      </c>
      <c r="J1900" s="354">
        <v>6</v>
      </c>
      <c r="K1900" s="354">
        <v>1</v>
      </c>
      <c r="L1900" s="354">
        <v>0</v>
      </c>
      <c r="M1900" s="355">
        <v>8</v>
      </c>
      <c r="N1900" s="355">
        <v>8</v>
      </c>
    </row>
    <row r="1901" spans="1:14" hidden="1" x14ac:dyDescent="0.25">
      <c r="A1901" s="354">
        <v>1</v>
      </c>
      <c r="B1901" s="354">
        <v>0</v>
      </c>
      <c r="C1901" s="354">
        <v>0</v>
      </c>
      <c r="D1901" s="354">
        <v>0</v>
      </c>
      <c r="E1901" s="354">
        <v>1</v>
      </c>
      <c r="F1901" s="354">
        <v>0</v>
      </c>
      <c r="G1901" s="354">
        <v>0</v>
      </c>
      <c r="H1901" s="354">
        <v>0</v>
      </c>
      <c r="I1901" s="354">
        <v>1</v>
      </c>
      <c r="J1901" s="354">
        <v>1</v>
      </c>
      <c r="K1901" s="354">
        <v>0</v>
      </c>
      <c r="L1901" s="354">
        <v>0</v>
      </c>
      <c r="M1901" s="355">
        <v>3</v>
      </c>
      <c r="N1901" s="355">
        <v>1</v>
      </c>
    </row>
    <row r="1902" spans="1:14" hidden="1" x14ac:dyDescent="0.25">
      <c r="A1902" s="354">
        <v>0</v>
      </c>
      <c r="B1902" s="354">
        <v>0</v>
      </c>
      <c r="C1902" s="354">
        <v>1</v>
      </c>
      <c r="D1902" s="354">
        <v>0</v>
      </c>
      <c r="E1902" s="354">
        <v>1</v>
      </c>
      <c r="F1902" s="354">
        <v>1</v>
      </c>
      <c r="G1902" s="354">
        <v>1</v>
      </c>
      <c r="H1902" s="354">
        <v>0</v>
      </c>
      <c r="I1902" s="354">
        <v>1</v>
      </c>
      <c r="J1902" s="354">
        <v>1</v>
      </c>
      <c r="K1902" s="354">
        <v>0</v>
      </c>
      <c r="L1902" s="354">
        <v>0</v>
      </c>
      <c r="M1902" s="355">
        <v>4</v>
      </c>
      <c r="N1902" s="355">
        <v>2</v>
      </c>
    </row>
    <row r="1903" spans="1:14" hidden="1" x14ac:dyDescent="0.25">
      <c r="A1903" s="354">
        <v>1</v>
      </c>
      <c r="B1903" s="354">
        <v>0</v>
      </c>
      <c r="C1903" s="354">
        <v>1</v>
      </c>
      <c r="D1903" s="354">
        <v>0</v>
      </c>
      <c r="E1903" s="354">
        <v>0</v>
      </c>
      <c r="F1903" s="354">
        <v>0</v>
      </c>
      <c r="G1903" s="354">
        <v>0</v>
      </c>
      <c r="H1903" s="354">
        <v>0</v>
      </c>
      <c r="I1903" s="354">
        <v>1</v>
      </c>
      <c r="J1903" s="354">
        <v>1</v>
      </c>
      <c r="K1903" s="354">
        <v>0</v>
      </c>
      <c r="L1903" s="354">
        <v>0</v>
      </c>
      <c r="M1903" s="355">
        <v>3</v>
      </c>
      <c r="N1903" s="355">
        <v>1</v>
      </c>
    </row>
    <row r="1904" spans="1:14" hidden="1" x14ac:dyDescent="0.25">
      <c r="A1904" s="354">
        <v>2</v>
      </c>
      <c r="B1904" s="354">
        <v>1</v>
      </c>
      <c r="C1904" s="354">
        <v>1</v>
      </c>
      <c r="D1904" s="354">
        <v>1</v>
      </c>
      <c r="E1904" s="354">
        <v>2</v>
      </c>
      <c r="F1904" s="354">
        <v>1</v>
      </c>
      <c r="G1904" s="354">
        <v>0</v>
      </c>
      <c r="H1904" s="354">
        <v>0</v>
      </c>
      <c r="I1904" s="354">
        <v>0</v>
      </c>
      <c r="J1904" s="354">
        <v>1</v>
      </c>
      <c r="K1904" s="354">
        <v>0</v>
      </c>
      <c r="L1904" s="354">
        <v>0</v>
      </c>
      <c r="M1904" s="355">
        <v>5</v>
      </c>
      <c r="N1904" s="355">
        <v>4</v>
      </c>
    </row>
    <row r="1905" spans="1:14" hidden="1" x14ac:dyDescent="0.25">
      <c r="A1905" s="354">
        <v>1</v>
      </c>
      <c r="B1905" s="354">
        <v>1</v>
      </c>
      <c r="C1905" s="354">
        <v>1</v>
      </c>
      <c r="D1905" s="354">
        <v>0</v>
      </c>
      <c r="E1905" s="354">
        <v>1</v>
      </c>
      <c r="F1905" s="354">
        <v>1</v>
      </c>
      <c r="G1905" s="354">
        <v>0</v>
      </c>
      <c r="H1905" s="354">
        <v>0</v>
      </c>
      <c r="I1905" s="354">
        <v>1</v>
      </c>
      <c r="J1905" s="354">
        <v>1</v>
      </c>
      <c r="K1905" s="354">
        <v>0</v>
      </c>
      <c r="L1905" s="354">
        <v>0</v>
      </c>
      <c r="M1905" s="355">
        <v>4</v>
      </c>
      <c r="N1905" s="355">
        <v>3</v>
      </c>
    </row>
    <row r="1906" spans="1:14" hidden="1" x14ac:dyDescent="0.25">
      <c r="A1906" s="354">
        <v>0</v>
      </c>
      <c r="B1906" s="354">
        <v>0</v>
      </c>
      <c r="C1906" s="354">
        <v>0</v>
      </c>
      <c r="D1906" s="354">
        <v>1</v>
      </c>
      <c r="E1906" s="354">
        <v>2</v>
      </c>
      <c r="F1906" s="354">
        <v>0</v>
      </c>
      <c r="G1906" s="354">
        <v>1</v>
      </c>
      <c r="H1906" s="354">
        <v>1</v>
      </c>
      <c r="I1906" s="354">
        <v>1</v>
      </c>
      <c r="J1906" s="354">
        <v>1</v>
      </c>
      <c r="K1906" s="354">
        <v>0</v>
      </c>
      <c r="L1906" s="354">
        <v>0</v>
      </c>
      <c r="M1906" s="355">
        <v>4</v>
      </c>
      <c r="N1906" s="355">
        <v>3</v>
      </c>
    </row>
    <row r="1907" spans="1:14" hidden="1" x14ac:dyDescent="0.25">
      <c r="A1907" s="354"/>
      <c r="B1907" s="354">
        <v>1</v>
      </c>
      <c r="C1907" s="354">
        <v>0</v>
      </c>
      <c r="D1907" s="354">
        <v>2</v>
      </c>
      <c r="E1907" s="354">
        <v>0</v>
      </c>
      <c r="F1907" s="354">
        <v>1</v>
      </c>
      <c r="G1907" s="354">
        <v>0</v>
      </c>
      <c r="H1907" s="354">
        <v>0</v>
      </c>
      <c r="I1907" s="354">
        <v>1</v>
      </c>
      <c r="J1907" s="354">
        <v>1</v>
      </c>
      <c r="K1907" s="354">
        <v>0</v>
      </c>
      <c r="L1907" s="354">
        <v>0</v>
      </c>
      <c r="M1907" s="355">
        <v>1</v>
      </c>
      <c r="N1907" s="355">
        <v>5</v>
      </c>
    </row>
    <row r="1908" spans="1:14" hidden="1" x14ac:dyDescent="0.25">
      <c r="A1908" s="354">
        <v>0</v>
      </c>
      <c r="B1908" s="354">
        <v>1</v>
      </c>
      <c r="C1908" s="354">
        <v>1</v>
      </c>
      <c r="D1908" s="354">
        <v>2</v>
      </c>
      <c r="E1908" s="354">
        <v>1</v>
      </c>
      <c r="F1908" s="354">
        <v>0</v>
      </c>
      <c r="G1908" s="354">
        <v>2</v>
      </c>
      <c r="H1908" s="354">
        <v>1</v>
      </c>
      <c r="I1908" s="354">
        <v>2</v>
      </c>
      <c r="J1908" s="354">
        <v>1</v>
      </c>
      <c r="K1908" s="354">
        <v>1</v>
      </c>
      <c r="L1908" s="354">
        <v>0</v>
      </c>
      <c r="M1908" s="355">
        <v>7</v>
      </c>
      <c r="N1908" s="355">
        <v>5</v>
      </c>
    </row>
    <row r="1909" spans="1:14" hidden="1" x14ac:dyDescent="0.25">
      <c r="A1909" s="354">
        <v>1</v>
      </c>
      <c r="B1909" s="354">
        <v>1</v>
      </c>
      <c r="C1909" s="354">
        <v>1</v>
      </c>
      <c r="D1909" s="354">
        <v>2</v>
      </c>
      <c r="E1909" s="354">
        <v>0</v>
      </c>
      <c r="F1909" s="354">
        <v>0</v>
      </c>
      <c r="G1909" s="354">
        <v>0</v>
      </c>
      <c r="H1909" s="354">
        <v>0</v>
      </c>
      <c r="I1909" s="354">
        <v>1</v>
      </c>
      <c r="J1909" s="354">
        <v>1</v>
      </c>
      <c r="K1909" s="354">
        <v>0</v>
      </c>
      <c r="L1909" s="354">
        <v>0</v>
      </c>
      <c r="M1909" s="355">
        <v>3</v>
      </c>
      <c r="N1909" s="355">
        <v>4</v>
      </c>
    </row>
    <row r="1910" spans="1:14" hidden="1" x14ac:dyDescent="0.25">
      <c r="A1910" s="354">
        <v>0</v>
      </c>
      <c r="B1910" s="354">
        <v>1</v>
      </c>
      <c r="C1910" s="354">
        <v>1</v>
      </c>
      <c r="D1910" s="354">
        <v>0</v>
      </c>
      <c r="E1910" s="354">
        <v>0</v>
      </c>
      <c r="F1910" s="354">
        <v>0</v>
      </c>
      <c r="G1910" s="354">
        <v>0</v>
      </c>
      <c r="H1910" s="354">
        <v>0</v>
      </c>
      <c r="I1910" s="354">
        <v>1</v>
      </c>
      <c r="J1910" s="354">
        <v>1</v>
      </c>
      <c r="K1910" s="354">
        <v>0</v>
      </c>
      <c r="L1910" s="354">
        <v>0</v>
      </c>
      <c r="M1910" s="355">
        <v>2</v>
      </c>
      <c r="N1910" s="355">
        <v>2</v>
      </c>
    </row>
    <row r="1911" spans="1:14" hidden="1" x14ac:dyDescent="0.25">
      <c r="A1911" s="354">
        <v>1</v>
      </c>
      <c r="B1911" s="354">
        <v>0</v>
      </c>
      <c r="C1911" s="354">
        <v>1</v>
      </c>
      <c r="D1911" s="354">
        <v>1</v>
      </c>
      <c r="E1911" s="354">
        <v>2</v>
      </c>
      <c r="F1911" s="354">
        <v>0</v>
      </c>
      <c r="G1911" s="354">
        <v>1</v>
      </c>
      <c r="H1911" s="354">
        <v>2</v>
      </c>
      <c r="I1911" s="354">
        <v>2</v>
      </c>
      <c r="J1911" s="354">
        <v>1</v>
      </c>
      <c r="K1911" s="354">
        <v>1</v>
      </c>
      <c r="L1911" s="354">
        <v>0</v>
      </c>
      <c r="M1911" s="355">
        <v>8</v>
      </c>
      <c r="N1911" s="355">
        <v>4</v>
      </c>
    </row>
    <row r="1912" spans="1:14" hidden="1" x14ac:dyDescent="0.25">
      <c r="A1912" s="354">
        <v>1</v>
      </c>
      <c r="B1912" s="354">
        <v>0</v>
      </c>
      <c r="C1912" s="354">
        <v>0</v>
      </c>
      <c r="D1912" s="354">
        <v>1</v>
      </c>
      <c r="E1912" s="354">
        <v>2</v>
      </c>
      <c r="F1912" s="354">
        <v>0</v>
      </c>
      <c r="G1912" s="354">
        <v>0</v>
      </c>
      <c r="H1912" s="354">
        <v>0</v>
      </c>
      <c r="I1912" s="354">
        <v>1</v>
      </c>
      <c r="J1912" s="354">
        <v>1</v>
      </c>
      <c r="K1912" s="354">
        <v>0</v>
      </c>
      <c r="L1912" s="354">
        <v>0</v>
      </c>
      <c r="M1912" s="355">
        <v>4</v>
      </c>
      <c r="N1912" s="355">
        <v>2</v>
      </c>
    </row>
    <row r="1913" spans="1:14" hidden="1" x14ac:dyDescent="0.25">
      <c r="A1913" s="354">
        <v>1</v>
      </c>
      <c r="B1913" s="354">
        <v>1</v>
      </c>
      <c r="C1913" s="354">
        <v>2</v>
      </c>
      <c r="D1913" s="354">
        <v>2</v>
      </c>
      <c r="E1913" s="354">
        <v>1</v>
      </c>
      <c r="F1913" s="354">
        <v>1</v>
      </c>
      <c r="G1913" s="354">
        <v>1</v>
      </c>
      <c r="H1913" s="354">
        <v>0</v>
      </c>
      <c r="I1913" s="354">
        <v>1</v>
      </c>
      <c r="J1913" s="354">
        <v>1</v>
      </c>
      <c r="K1913" s="354">
        <v>0</v>
      </c>
      <c r="L1913" s="354">
        <v>0</v>
      </c>
      <c r="M1913" s="355">
        <v>6</v>
      </c>
      <c r="N1913" s="355">
        <v>5</v>
      </c>
    </row>
    <row r="1914" spans="1:14" hidden="1" x14ac:dyDescent="0.25">
      <c r="A1914" s="354">
        <v>1</v>
      </c>
      <c r="B1914" s="354">
        <v>0</v>
      </c>
      <c r="C1914" s="354">
        <v>0</v>
      </c>
      <c r="D1914" s="354">
        <v>1</v>
      </c>
      <c r="E1914" s="354">
        <v>0</v>
      </c>
      <c r="F1914" s="354">
        <v>2</v>
      </c>
      <c r="G1914" s="354">
        <v>1</v>
      </c>
      <c r="H1914" s="354">
        <v>0</v>
      </c>
      <c r="I1914" s="354">
        <v>1</v>
      </c>
      <c r="J1914" s="354">
        <v>1</v>
      </c>
      <c r="K1914" s="354">
        <v>1</v>
      </c>
      <c r="L1914" s="354">
        <v>0</v>
      </c>
      <c r="M1914" s="355">
        <v>4</v>
      </c>
      <c r="N1914" s="355">
        <v>4</v>
      </c>
    </row>
    <row r="1915" spans="1:14" hidden="1" x14ac:dyDescent="0.25">
      <c r="A1915" s="354">
        <v>1</v>
      </c>
      <c r="B1915" s="354">
        <v>0</v>
      </c>
      <c r="C1915" s="354">
        <v>0</v>
      </c>
      <c r="D1915" s="354">
        <v>1</v>
      </c>
      <c r="E1915" s="354">
        <v>1</v>
      </c>
      <c r="F1915" s="354">
        <v>2</v>
      </c>
      <c r="G1915" s="354">
        <v>1</v>
      </c>
      <c r="H1915" s="354">
        <v>2</v>
      </c>
      <c r="I1915" s="354">
        <v>1</v>
      </c>
      <c r="J1915" s="354">
        <v>1</v>
      </c>
      <c r="K1915" s="354">
        <v>0</v>
      </c>
      <c r="L1915" s="354">
        <v>1</v>
      </c>
      <c r="M1915" s="355">
        <v>4</v>
      </c>
      <c r="N1915" s="355">
        <v>7</v>
      </c>
    </row>
    <row r="1916" spans="1:14" hidden="1" x14ac:dyDescent="0.25">
      <c r="A1916" s="354">
        <v>1</v>
      </c>
      <c r="B1916" s="354">
        <v>1</v>
      </c>
      <c r="C1916" s="354">
        <v>2</v>
      </c>
      <c r="D1916" s="354">
        <v>1</v>
      </c>
      <c r="E1916" s="354">
        <v>2</v>
      </c>
      <c r="F1916" s="354">
        <v>1</v>
      </c>
      <c r="G1916" s="354">
        <v>0</v>
      </c>
      <c r="H1916" s="354">
        <v>0</v>
      </c>
      <c r="I1916" s="354">
        <v>1</v>
      </c>
      <c r="J1916" s="354">
        <v>1</v>
      </c>
      <c r="K1916" s="354">
        <v>0</v>
      </c>
      <c r="L1916" s="354">
        <v>0</v>
      </c>
      <c r="M1916" s="355">
        <v>6</v>
      </c>
      <c r="N1916" s="355">
        <v>4</v>
      </c>
    </row>
    <row r="1917" spans="1:14" hidden="1" x14ac:dyDescent="0.25">
      <c r="A1917" s="354">
        <v>0</v>
      </c>
      <c r="B1917" s="354">
        <v>0</v>
      </c>
      <c r="C1917" s="354">
        <v>1</v>
      </c>
      <c r="D1917" s="354">
        <v>4</v>
      </c>
      <c r="E1917" s="354">
        <v>2</v>
      </c>
      <c r="F1917" s="354">
        <v>2</v>
      </c>
      <c r="G1917" s="354">
        <v>4</v>
      </c>
      <c r="H1917" s="354">
        <v>0</v>
      </c>
      <c r="I1917" s="354">
        <v>1</v>
      </c>
      <c r="J1917" s="354">
        <v>3</v>
      </c>
      <c r="K1917" s="354">
        <v>0</v>
      </c>
      <c r="L1917" s="354">
        <v>0</v>
      </c>
      <c r="M1917" s="355">
        <v>8</v>
      </c>
      <c r="N1917" s="355">
        <v>9</v>
      </c>
    </row>
    <row r="1918" spans="1:14" hidden="1" x14ac:dyDescent="0.25">
      <c r="A1918" s="354">
        <v>0</v>
      </c>
      <c r="B1918" s="354">
        <v>0</v>
      </c>
      <c r="C1918" s="354">
        <v>1</v>
      </c>
      <c r="D1918" s="354">
        <v>0</v>
      </c>
      <c r="E1918" s="354">
        <v>1</v>
      </c>
      <c r="F1918" s="354">
        <v>0</v>
      </c>
      <c r="G1918" s="354">
        <v>1</v>
      </c>
      <c r="H1918" s="354">
        <v>1</v>
      </c>
      <c r="I1918" s="354">
        <v>1</v>
      </c>
      <c r="J1918" s="354">
        <v>3</v>
      </c>
      <c r="K1918" s="354">
        <v>0</v>
      </c>
      <c r="L1918" s="354">
        <v>0</v>
      </c>
      <c r="M1918" s="355">
        <v>4</v>
      </c>
      <c r="N1918" s="355">
        <v>4</v>
      </c>
    </row>
    <row r="1919" spans="1:14" hidden="1" x14ac:dyDescent="0.25">
      <c r="A1919" s="354">
        <v>0</v>
      </c>
      <c r="B1919" s="354">
        <v>0</v>
      </c>
      <c r="C1919" s="354">
        <v>2</v>
      </c>
      <c r="D1919" s="354">
        <v>0</v>
      </c>
      <c r="E1919" s="354">
        <v>3</v>
      </c>
      <c r="F1919" s="354">
        <v>1</v>
      </c>
      <c r="G1919" s="354">
        <v>0</v>
      </c>
      <c r="H1919" s="354">
        <v>2</v>
      </c>
      <c r="I1919" s="354">
        <v>2</v>
      </c>
      <c r="J1919" s="354">
        <v>1</v>
      </c>
      <c r="K1919" s="354">
        <v>0</v>
      </c>
      <c r="L1919" s="354">
        <v>0</v>
      </c>
      <c r="M1919" s="355">
        <v>7</v>
      </c>
      <c r="N1919" s="355">
        <v>4</v>
      </c>
    </row>
    <row r="1920" spans="1:14" hidden="1" x14ac:dyDescent="0.25">
      <c r="A1920" s="354">
        <v>1</v>
      </c>
      <c r="B1920" s="354">
        <v>1</v>
      </c>
      <c r="C1920" s="354">
        <v>1</v>
      </c>
      <c r="D1920" s="354">
        <v>1</v>
      </c>
      <c r="E1920" s="354">
        <v>2</v>
      </c>
      <c r="F1920" s="354">
        <v>1</v>
      </c>
      <c r="G1920" s="354">
        <v>0</v>
      </c>
      <c r="H1920" s="354">
        <v>0</v>
      </c>
      <c r="I1920" s="354">
        <v>1</v>
      </c>
      <c r="J1920" s="354">
        <v>1</v>
      </c>
      <c r="K1920" s="354">
        <v>0</v>
      </c>
      <c r="L1920" s="354">
        <v>0</v>
      </c>
      <c r="M1920" s="355">
        <v>5</v>
      </c>
      <c r="N1920" s="355">
        <v>4</v>
      </c>
    </row>
    <row r="1921" spans="1:14" hidden="1" x14ac:dyDescent="0.25">
      <c r="A1921" s="354">
        <v>1</v>
      </c>
      <c r="B1921" s="354">
        <v>0</v>
      </c>
      <c r="C1921" s="354">
        <v>1</v>
      </c>
      <c r="D1921" s="354">
        <v>1</v>
      </c>
      <c r="E1921" s="354">
        <v>2</v>
      </c>
      <c r="F1921" s="354">
        <v>0</v>
      </c>
      <c r="G1921" s="354">
        <v>1</v>
      </c>
      <c r="H1921" s="354">
        <v>1</v>
      </c>
      <c r="I1921" s="354">
        <v>2</v>
      </c>
      <c r="J1921" s="354">
        <v>1</v>
      </c>
      <c r="K1921" s="354">
        <v>1</v>
      </c>
      <c r="L1921" s="354">
        <v>1</v>
      </c>
      <c r="M1921" s="355">
        <v>8</v>
      </c>
      <c r="N1921" s="355">
        <v>4</v>
      </c>
    </row>
    <row r="1922" spans="1:14" hidden="1" x14ac:dyDescent="0.25">
      <c r="A1922" s="354">
        <v>0</v>
      </c>
      <c r="B1922" s="354">
        <v>2</v>
      </c>
      <c r="C1922" s="354">
        <v>0</v>
      </c>
      <c r="D1922" s="354">
        <v>1</v>
      </c>
      <c r="E1922" s="354">
        <v>3</v>
      </c>
      <c r="F1922" s="354">
        <v>1</v>
      </c>
      <c r="G1922" s="354">
        <v>0</v>
      </c>
      <c r="H1922" s="354">
        <v>0</v>
      </c>
      <c r="I1922" s="354">
        <v>1</v>
      </c>
      <c r="J1922" s="354">
        <v>1</v>
      </c>
      <c r="K1922" s="354">
        <v>0</v>
      </c>
      <c r="L1922" s="354">
        <v>0</v>
      </c>
      <c r="M1922" s="355">
        <v>4</v>
      </c>
      <c r="N1922" s="355">
        <v>5</v>
      </c>
    </row>
    <row r="1923" spans="1:14" hidden="1" x14ac:dyDescent="0.25">
      <c r="A1923" s="354">
        <v>1</v>
      </c>
      <c r="B1923" s="354">
        <v>1</v>
      </c>
      <c r="C1923" s="354">
        <v>2</v>
      </c>
      <c r="D1923" s="354">
        <v>1</v>
      </c>
      <c r="E1923" s="354">
        <v>2</v>
      </c>
      <c r="F1923" s="354">
        <v>1</v>
      </c>
      <c r="G1923" s="354">
        <v>1</v>
      </c>
      <c r="H1923" s="354">
        <v>0</v>
      </c>
      <c r="I1923" s="354">
        <v>0</v>
      </c>
      <c r="J1923" s="354">
        <v>1</v>
      </c>
      <c r="K1923" s="354">
        <v>0</v>
      </c>
      <c r="L1923" s="354">
        <v>0</v>
      </c>
      <c r="M1923" s="355">
        <v>6</v>
      </c>
      <c r="N1923" s="355">
        <v>4</v>
      </c>
    </row>
    <row r="1924" spans="1:14" hidden="1" x14ac:dyDescent="0.25">
      <c r="A1924" s="354">
        <v>0</v>
      </c>
      <c r="B1924" s="354">
        <v>0</v>
      </c>
      <c r="C1924" s="354">
        <v>1</v>
      </c>
      <c r="D1924" s="354">
        <v>0</v>
      </c>
      <c r="E1924" s="354">
        <v>1</v>
      </c>
      <c r="F1924" s="354">
        <v>2</v>
      </c>
      <c r="G1924" s="354">
        <v>0</v>
      </c>
      <c r="H1924" s="354">
        <v>0</v>
      </c>
      <c r="I1924" s="354">
        <v>1</v>
      </c>
      <c r="J1924" s="354">
        <v>1</v>
      </c>
      <c r="K1924" s="354">
        <v>0</v>
      </c>
      <c r="L1924" s="354">
        <v>0</v>
      </c>
      <c r="M1924" s="355">
        <v>3</v>
      </c>
      <c r="N1924" s="355">
        <v>3</v>
      </c>
    </row>
    <row r="1925" spans="1:14" hidden="1" x14ac:dyDescent="0.25">
      <c r="A1925" s="354">
        <v>0</v>
      </c>
      <c r="B1925" s="354">
        <v>1</v>
      </c>
      <c r="C1925" s="354">
        <v>1</v>
      </c>
      <c r="D1925" s="354">
        <v>1</v>
      </c>
      <c r="E1925" s="354">
        <v>2</v>
      </c>
      <c r="F1925" s="354">
        <v>0</v>
      </c>
      <c r="G1925" s="354">
        <v>2</v>
      </c>
      <c r="H1925" s="354">
        <v>2</v>
      </c>
      <c r="I1925" s="354">
        <v>1</v>
      </c>
      <c r="J1925" s="354">
        <v>1</v>
      </c>
      <c r="K1925" s="354">
        <v>0</v>
      </c>
      <c r="L1925" s="354">
        <v>0</v>
      </c>
      <c r="M1925" s="355">
        <v>6</v>
      </c>
      <c r="N1925" s="355">
        <v>5</v>
      </c>
    </row>
    <row r="1926" spans="1:14" hidden="1" x14ac:dyDescent="0.25">
      <c r="A1926" s="354">
        <v>0</v>
      </c>
      <c r="B1926" s="354">
        <v>0</v>
      </c>
      <c r="C1926" s="354">
        <v>0</v>
      </c>
      <c r="D1926" s="354">
        <v>1</v>
      </c>
      <c r="E1926" s="354">
        <v>2</v>
      </c>
      <c r="F1926" s="354">
        <v>0</v>
      </c>
      <c r="G1926" s="354">
        <v>0</v>
      </c>
      <c r="H1926" s="354">
        <v>1</v>
      </c>
      <c r="I1926" s="354">
        <v>1</v>
      </c>
      <c r="J1926" s="354">
        <v>1</v>
      </c>
      <c r="K1926" s="354">
        <v>0</v>
      </c>
      <c r="L1926" s="354">
        <v>0</v>
      </c>
      <c r="M1926" s="355">
        <v>3</v>
      </c>
      <c r="N1926" s="355">
        <v>3</v>
      </c>
    </row>
    <row r="1927" spans="1:14" hidden="1" x14ac:dyDescent="0.25">
      <c r="A1927" s="354">
        <v>0</v>
      </c>
      <c r="B1927" s="354">
        <v>0</v>
      </c>
      <c r="C1927" s="354">
        <v>1</v>
      </c>
      <c r="D1927" s="354">
        <v>0</v>
      </c>
      <c r="E1927" s="354">
        <v>0</v>
      </c>
      <c r="F1927" s="354">
        <v>2</v>
      </c>
      <c r="G1927" s="354">
        <v>1</v>
      </c>
      <c r="H1927" s="354">
        <v>0</v>
      </c>
      <c r="I1927" s="354">
        <v>1</v>
      </c>
      <c r="J1927" s="354">
        <v>1</v>
      </c>
      <c r="K1927" s="354">
        <v>0</v>
      </c>
      <c r="L1927" s="354">
        <v>0</v>
      </c>
      <c r="M1927" s="355">
        <v>3</v>
      </c>
      <c r="N1927" s="355">
        <v>3</v>
      </c>
    </row>
    <row r="1928" spans="1:14" hidden="1" x14ac:dyDescent="0.25">
      <c r="A1928" s="354">
        <v>0</v>
      </c>
      <c r="B1928" s="354">
        <v>0</v>
      </c>
      <c r="C1928" s="354">
        <v>1</v>
      </c>
      <c r="D1928" s="354">
        <v>0</v>
      </c>
      <c r="E1928" s="354">
        <v>0</v>
      </c>
      <c r="F1928" s="354">
        <v>2</v>
      </c>
      <c r="G1928" s="354">
        <v>1</v>
      </c>
      <c r="H1928" s="354">
        <v>0</v>
      </c>
      <c r="I1928" s="354">
        <v>1</v>
      </c>
      <c r="J1928" s="354">
        <v>1</v>
      </c>
      <c r="K1928" s="354">
        <v>0</v>
      </c>
      <c r="L1928" s="354">
        <v>0</v>
      </c>
      <c r="M1928" s="355">
        <v>3</v>
      </c>
      <c r="N1928" s="355">
        <v>3</v>
      </c>
    </row>
    <row r="1929" spans="1:14" hidden="1" x14ac:dyDescent="0.25">
      <c r="A1929" s="354">
        <v>0</v>
      </c>
      <c r="B1929" s="354">
        <v>0</v>
      </c>
      <c r="C1929" s="354">
        <v>0</v>
      </c>
      <c r="D1929" s="354">
        <v>0</v>
      </c>
      <c r="E1929" s="354">
        <v>2</v>
      </c>
      <c r="F1929" s="354">
        <v>1</v>
      </c>
      <c r="G1929" s="354">
        <v>0</v>
      </c>
      <c r="H1929" s="354">
        <v>2</v>
      </c>
      <c r="I1929" s="354">
        <v>0</v>
      </c>
      <c r="J1929" s="354">
        <v>1</v>
      </c>
      <c r="K1929" s="354">
        <v>1</v>
      </c>
      <c r="L1929" s="354">
        <v>0</v>
      </c>
      <c r="M1929" s="355">
        <v>3</v>
      </c>
      <c r="N1929" s="355">
        <v>4</v>
      </c>
    </row>
    <row r="1930" spans="1:14" hidden="1" x14ac:dyDescent="0.25">
      <c r="A1930" s="354">
        <v>1</v>
      </c>
      <c r="B1930" s="354">
        <v>1</v>
      </c>
      <c r="C1930" s="354">
        <v>2</v>
      </c>
      <c r="D1930" s="354">
        <v>1</v>
      </c>
      <c r="E1930" s="354">
        <v>1</v>
      </c>
      <c r="F1930" s="354">
        <v>2</v>
      </c>
      <c r="G1930" s="354">
        <v>1</v>
      </c>
      <c r="H1930" s="354">
        <v>2</v>
      </c>
      <c r="I1930" s="354">
        <v>1</v>
      </c>
      <c r="J1930" s="354">
        <v>1</v>
      </c>
      <c r="K1930" s="354">
        <v>0</v>
      </c>
      <c r="L1930" s="354">
        <v>0</v>
      </c>
      <c r="M1930" s="355">
        <v>6</v>
      </c>
      <c r="N1930" s="355">
        <v>7</v>
      </c>
    </row>
    <row r="1931" spans="1:14" hidden="1" x14ac:dyDescent="0.25">
      <c r="A1931" s="354">
        <v>0</v>
      </c>
      <c r="B1931" s="354">
        <v>1</v>
      </c>
      <c r="C1931" s="354">
        <v>0</v>
      </c>
      <c r="D1931" s="354">
        <v>1</v>
      </c>
      <c r="E1931" s="354">
        <v>2</v>
      </c>
      <c r="F1931" s="354">
        <v>0</v>
      </c>
      <c r="G1931" s="354">
        <v>0</v>
      </c>
      <c r="H1931" s="354">
        <v>1</v>
      </c>
      <c r="I1931" s="354">
        <v>1</v>
      </c>
      <c r="J1931" s="354">
        <v>1</v>
      </c>
      <c r="K1931" s="354">
        <v>0</v>
      </c>
      <c r="L1931" s="354">
        <v>0</v>
      </c>
      <c r="M1931" s="355">
        <v>3</v>
      </c>
      <c r="N1931" s="355">
        <v>4</v>
      </c>
    </row>
    <row r="1932" spans="1:14" hidden="1" x14ac:dyDescent="0.25">
      <c r="A1932" s="354">
        <v>1</v>
      </c>
      <c r="B1932" s="354">
        <v>2</v>
      </c>
      <c r="C1932" s="354">
        <v>1</v>
      </c>
      <c r="D1932" s="354">
        <v>1</v>
      </c>
      <c r="E1932" s="354">
        <v>2</v>
      </c>
      <c r="F1932" s="354">
        <v>1</v>
      </c>
      <c r="G1932" s="354">
        <v>0</v>
      </c>
      <c r="H1932" s="354">
        <v>0</v>
      </c>
      <c r="I1932" s="354">
        <v>0</v>
      </c>
      <c r="J1932" s="354">
        <v>0</v>
      </c>
      <c r="K1932" s="354">
        <v>1</v>
      </c>
      <c r="L1932" s="354">
        <v>0</v>
      </c>
      <c r="M1932" s="355">
        <v>5</v>
      </c>
      <c r="N1932" s="355">
        <v>4</v>
      </c>
    </row>
    <row r="1933" spans="1:14" hidden="1" x14ac:dyDescent="0.25">
      <c r="A1933" s="354">
        <v>2</v>
      </c>
      <c r="B1933" s="354">
        <v>0</v>
      </c>
      <c r="C1933" s="354">
        <v>1</v>
      </c>
      <c r="D1933" s="354">
        <v>1</v>
      </c>
      <c r="E1933" s="354">
        <v>2</v>
      </c>
      <c r="F1933" s="354">
        <v>1</v>
      </c>
      <c r="G1933" s="354">
        <v>0</v>
      </c>
      <c r="H1933" s="354">
        <v>1</v>
      </c>
      <c r="I1933" s="354">
        <v>1</v>
      </c>
      <c r="J1933" s="354">
        <v>1</v>
      </c>
      <c r="K1933" s="354">
        <v>0</v>
      </c>
      <c r="L1933" s="354">
        <v>0</v>
      </c>
      <c r="M1933" s="355">
        <v>6</v>
      </c>
      <c r="N1933" s="355">
        <v>4</v>
      </c>
    </row>
    <row r="1934" spans="1:14" hidden="1" x14ac:dyDescent="0.25">
      <c r="A1934" s="354">
        <v>1</v>
      </c>
      <c r="B1934" s="354">
        <v>2</v>
      </c>
      <c r="C1934" s="354">
        <v>0</v>
      </c>
      <c r="D1934" s="354">
        <v>0</v>
      </c>
      <c r="E1934" s="354">
        <v>0</v>
      </c>
      <c r="F1934" s="354">
        <v>0</v>
      </c>
      <c r="G1934" s="354">
        <v>0</v>
      </c>
      <c r="H1934" s="354">
        <v>0</v>
      </c>
      <c r="I1934" s="354">
        <v>0</v>
      </c>
      <c r="J1934" s="354">
        <v>1</v>
      </c>
      <c r="K1934" s="354">
        <v>0</v>
      </c>
      <c r="L1934" s="354">
        <v>0</v>
      </c>
      <c r="M1934" s="355">
        <v>1</v>
      </c>
      <c r="N1934" s="355">
        <v>3</v>
      </c>
    </row>
    <row r="1935" spans="1:14" hidden="1" x14ac:dyDescent="0.25">
      <c r="A1935" s="354">
        <v>0</v>
      </c>
      <c r="B1935" s="354">
        <v>0</v>
      </c>
      <c r="C1935" s="354">
        <v>0</v>
      </c>
      <c r="D1935" s="354">
        <v>0</v>
      </c>
      <c r="E1935" s="354">
        <v>1</v>
      </c>
      <c r="F1935" s="354">
        <v>0</v>
      </c>
      <c r="G1935" s="354">
        <v>1</v>
      </c>
      <c r="H1935" s="354">
        <v>1</v>
      </c>
      <c r="I1935" s="354">
        <v>1</v>
      </c>
      <c r="J1935" s="354">
        <v>1</v>
      </c>
      <c r="K1935" s="354">
        <v>0</v>
      </c>
      <c r="L1935" s="354">
        <v>0</v>
      </c>
      <c r="M1935" s="355">
        <v>3</v>
      </c>
      <c r="N1935" s="355">
        <v>2</v>
      </c>
    </row>
    <row r="1936" spans="1:14" hidden="1" x14ac:dyDescent="0.25">
      <c r="A1936" s="354">
        <v>0</v>
      </c>
      <c r="B1936" s="354">
        <v>1</v>
      </c>
      <c r="C1936" s="354">
        <v>3</v>
      </c>
      <c r="D1936" s="354">
        <v>0</v>
      </c>
      <c r="E1936" s="354">
        <v>0</v>
      </c>
      <c r="F1936" s="354">
        <v>0</v>
      </c>
      <c r="G1936" s="354">
        <v>0</v>
      </c>
      <c r="H1936" s="354">
        <v>0</v>
      </c>
      <c r="I1936" s="354">
        <v>1</v>
      </c>
      <c r="J1936" s="354">
        <v>1</v>
      </c>
      <c r="K1936" s="354">
        <v>0</v>
      </c>
      <c r="L1936" s="354">
        <v>0</v>
      </c>
      <c r="M1936" s="355">
        <v>4</v>
      </c>
      <c r="N1936" s="355">
        <v>2</v>
      </c>
    </row>
    <row r="1937" spans="1:14" hidden="1" x14ac:dyDescent="0.25">
      <c r="A1937" s="354">
        <v>0</v>
      </c>
      <c r="B1937" s="354">
        <v>1</v>
      </c>
      <c r="C1937" s="354">
        <v>0</v>
      </c>
      <c r="D1937" s="354">
        <v>1</v>
      </c>
      <c r="E1937" s="354">
        <v>2</v>
      </c>
      <c r="F1937" s="354">
        <v>0</v>
      </c>
      <c r="G1937" s="354">
        <v>0</v>
      </c>
      <c r="H1937" s="354">
        <v>1</v>
      </c>
      <c r="I1937" s="354">
        <v>1</v>
      </c>
      <c r="J1937" s="354">
        <v>1</v>
      </c>
      <c r="K1937" s="354">
        <v>0</v>
      </c>
      <c r="L1937" s="354">
        <v>0</v>
      </c>
      <c r="M1937" s="355">
        <v>3</v>
      </c>
      <c r="N1937" s="355">
        <v>4</v>
      </c>
    </row>
    <row r="1938" spans="1:14" hidden="1" x14ac:dyDescent="0.25">
      <c r="A1938" s="354">
        <v>0</v>
      </c>
      <c r="B1938" s="354">
        <v>1</v>
      </c>
      <c r="C1938" s="354">
        <v>0</v>
      </c>
      <c r="D1938" s="354">
        <v>2</v>
      </c>
      <c r="E1938" s="354">
        <v>1</v>
      </c>
      <c r="F1938" s="354">
        <v>0</v>
      </c>
      <c r="G1938" s="354">
        <v>0</v>
      </c>
      <c r="H1938" s="354">
        <v>0</v>
      </c>
      <c r="I1938" s="354">
        <v>0</v>
      </c>
      <c r="J1938" s="354">
        <v>1</v>
      </c>
      <c r="K1938" s="354">
        <v>0</v>
      </c>
      <c r="L1938" s="354">
        <v>0</v>
      </c>
      <c r="M1938" s="355">
        <v>1</v>
      </c>
      <c r="N1938" s="355">
        <v>4</v>
      </c>
    </row>
    <row r="1939" spans="1:14" hidden="1" x14ac:dyDescent="0.25">
      <c r="A1939" s="354">
        <v>0</v>
      </c>
      <c r="B1939" s="354">
        <v>0</v>
      </c>
      <c r="C1939" s="354">
        <v>0</v>
      </c>
      <c r="D1939" s="354">
        <v>0</v>
      </c>
      <c r="E1939" s="354">
        <v>0</v>
      </c>
      <c r="F1939" s="354">
        <v>0</v>
      </c>
      <c r="G1939" s="354">
        <v>0</v>
      </c>
      <c r="H1939" s="354">
        <v>0</v>
      </c>
      <c r="I1939" s="354">
        <v>0</v>
      </c>
      <c r="J1939" s="354">
        <v>0</v>
      </c>
      <c r="K1939" s="354">
        <v>1</v>
      </c>
      <c r="L1939" s="354">
        <v>0</v>
      </c>
      <c r="M1939" s="355">
        <v>1</v>
      </c>
      <c r="N1939" s="355">
        <v>0</v>
      </c>
    </row>
    <row r="1940" spans="1:14" hidden="1" x14ac:dyDescent="0.25">
      <c r="A1940" s="354">
        <v>1</v>
      </c>
      <c r="B1940" s="354">
        <v>1</v>
      </c>
      <c r="C1940" s="354">
        <v>1</v>
      </c>
      <c r="D1940" s="354">
        <v>1</v>
      </c>
      <c r="E1940" s="354">
        <v>2</v>
      </c>
      <c r="F1940" s="354">
        <v>0</v>
      </c>
      <c r="G1940" s="354">
        <v>1</v>
      </c>
      <c r="H1940" s="354">
        <v>0</v>
      </c>
      <c r="I1940" s="354">
        <v>0</v>
      </c>
      <c r="J1940" s="354">
        <v>1</v>
      </c>
      <c r="K1940" s="354">
        <v>0</v>
      </c>
      <c r="L1940" s="354">
        <v>0</v>
      </c>
      <c r="M1940" s="355">
        <v>5</v>
      </c>
      <c r="N1940" s="355">
        <v>3</v>
      </c>
    </row>
    <row r="1941" spans="1:14" hidden="1" x14ac:dyDescent="0.25">
      <c r="A1941" s="354">
        <v>0</v>
      </c>
      <c r="B1941" s="354">
        <v>0</v>
      </c>
      <c r="C1941" s="354">
        <v>0</v>
      </c>
      <c r="D1941" s="354">
        <v>0</v>
      </c>
      <c r="E1941" s="354">
        <v>1</v>
      </c>
      <c r="F1941" s="354">
        <v>0</v>
      </c>
      <c r="G1941" s="354">
        <v>1</v>
      </c>
      <c r="H1941" s="354">
        <v>1</v>
      </c>
      <c r="I1941" s="354">
        <v>1</v>
      </c>
      <c r="J1941" s="354">
        <v>0</v>
      </c>
      <c r="K1941" s="354">
        <v>0</v>
      </c>
      <c r="L1941" s="354">
        <v>1</v>
      </c>
      <c r="M1941" s="355">
        <v>3</v>
      </c>
      <c r="N1941" s="355">
        <v>2</v>
      </c>
    </row>
    <row r="1942" spans="1:14" hidden="1" x14ac:dyDescent="0.25">
      <c r="A1942" s="354">
        <v>0</v>
      </c>
      <c r="B1942" s="354">
        <v>0</v>
      </c>
      <c r="C1942" s="354">
        <v>0</v>
      </c>
      <c r="D1942" s="354">
        <v>0</v>
      </c>
      <c r="E1942" s="354">
        <v>0</v>
      </c>
      <c r="F1942" s="354">
        <v>1</v>
      </c>
      <c r="G1942" s="354">
        <v>0</v>
      </c>
      <c r="H1942" s="354">
        <v>0</v>
      </c>
      <c r="I1942" s="354">
        <v>0</v>
      </c>
      <c r="J1942" s="354">
        <v>1</v>
      </c>
      <c r="K1942" s="354">
        <v>0</v>
      </c>
      <c r="L1942" s="354">
        <v>0</v>
      </c>
      <c r="M1942" s="355">
        <v>0</v>
      </c>
      <c r="N1942" s="355">
        <v>2</v>
      </c>
    </row>
    <row r="1943" spans="1:14" hidden="1" x14ac:dyDescent="0.25">
      <c r="A1943" s="354">
        <v>0</v>
      </c>
      <c r="B1943" s="354">
        <v>0</v>
      </c>
      <c r="C1943" s="354">
        <v>0</v>
      </c>
      <c r="D1943" s="354">
        <v>0</v>
      </c>
      <c r="E1943" s="354">
        <v>0</v>
      </c>
      <c r="F1943" s="354">
        <v>0</v>
      </c>
      <c r="G1943" s="354">
        <v>0</v>
      </c>
      <c r="H1943" s="354">
        <v>0</v>
      </c>
      <c r="I1943" s="354">
        <v>1</v>
      </c>
      <c r="J1943" s="354">
        <v>1</v>
      </c>
      <c r="K1943" s="354">
        <v>0</v>
      </c>
      <c r="L1943" s="354">
        <v>0</v>
      </c>
      <c r="M1943" s="355">
        <v>1</v>
      </c>
      <c r="N1943" s="355">
        <v>1</v>
      </c>
    </row>
    <row r="1944" spans="1:14" hidden="1" x14ac:dyDescent="0.25">
      <c r="A1944" s="354">
        <v>0</v>
      </c>
      <c r="B1944" s="354">
        <v>0</v>
      </c>
      <c r="C1944" s="354">
        <v>0</v>
      </c>
      <c r="D1944" s="354">
        <v>1</v>
      </c>
      <c r="E1944" s="354">
        <v>1</v>
      </c>
      <c r="F1944" s="354">
        <v>0</v>
      </c>
      <c r="G1944" s="354">
        <v>1</v>
      </c>
      <c r="H1944" s="354">
        <v>0</v>
      </c>
      <c r="I1944" s="354">
        <v>1</v>
      </c>
      <c r="J1944" s="354">
        <v>1</v>
      </c>
      <c r="K1944" s="354">
        <v>0</v>
      </c>
      <c r="L1944" s="354">
        <v>0</v>
      </c>
      <c r="M1944" s="355">
        <v>3</v>
      </c>
      <c r="N1944" s="355">
        <v>2</v>
      </c>
    </row>
    <row r="1945" spans="1:14" hidden="1" x14ac:dyDescent="0.25">
      <c r="A1945" s="354">
        <v>1</v>
      </c>
      <c r="B1945" s="354">
        <v>2</v>
      </c>
      <c r="C1945" s="354">
        <v>2</v>
      </c>
      <c r="D1945" s="354">
        <v>2</v>
      </c>
      <c r="E1945" s="354">
        <v>1</v>
      </c>
      <c r="F1945" s="354">
        <v>1</v>
      </c>
      <c r="G1945" s="354">
        <v>1</v>
      </c>
      <c r="H1945" s="354">
        <v>1</v>
      </c>
      <c r="I1945" s="354">
        <v>0</v>
      </c>
      <c r="J1945" s="354">
        <v>1</v>
      </c>
      <c r="K1945" s="354">
        <v>0</v>
      </c>
      <c r="L1945" s="354">
        <v>0</v>
      </c>
      <c r="M1945" s="355">
        <v>5</v>
      </c>
      <c r="N1945" s="355">
        <v>7</v>
      </c>
    </row>
    <row r="1946" spans="1:14" hidden="1" x14ac:dyDescent="0.25">
      <c r="A1946" s="354">
        <v>0</v>
      </c>
      <c r="B1946" s="354">
        <v>0</v>
      </c>
      <c r="C1946" s="354">
        <v>0</v>
      </c>
      <c r="D1946" s="354">
        <v>0</v>
      </c>
      <c r="E1946" s="354">
        <v>0</v>
      </c>
      <c r="F1946" s="354">
        <v>0</v>
      </c>
      <c r="G1946" s="354">
        <v>0</v>
      </c>
      <c r="H1946" s="354">
        <v>0</v>
      </c>
      <c r="I1946" s="354">
        <v>1</v>
      </c>
      <c r="J1946" s="354"/>
      <c r="K1946" s="354">
        <v>0</v>
      </c>
      <c r="L1946" s="354">
        <v>0</v>
      </c>
      <c r="M1946" s="355">
        <v>1</v>
      </c>
      <c r="N1946" s="355">
        <v>0</v>
      </c>
    </row>
    <row r="1947" spans="1:14" hidden="1" x14ac:dyDescent="0.25">
      <c r="A1947" s="354">
        <v>1</v>
      </c>
      <c r="B1947" s="354">
        <v>0</v>
      </c>
      <c r="C1947" s="354">
        <v>2</v>
      </c>
      <c r="D1947" s="354">
        <v>1</v>
      </c>
      <c r="E1947" s="354">
        <v>1</v>
      </c>
      <c r="F1947" s="354">
        <v>1</v>
      </c>
      <c r="G1947" s="354">
        <v>2</v>
      </c>
      <c r="H1947" s="354">
        <v>0</v>
      </c>
      <c r="I1947" s="354">
        <v>0</v>
      </c>
      <c r="J1947" s="354">
        <v>1</v>
      </c>
      <c r="K1947" s="354">
        <v>0</v>
      </c>
      <c r="L1947" s="354">
        <v>0</v>
      </c>
      <c r="M1947" s="355">
        <v>6</v>
      </c>
      <c r="N1947" s="355">
        <v>3</v>
      </c>
    </row>
    <row r="1948" spans="1:14" hidden="1" x14ac:dyDescent="0.25">
      <c r="A1948" s="354">
        <v>0</v>
      </c>
      <c r="B1948" s="354">
        <v>1</v>
      </c>
      <c r="C1948" s="354">
        <v>0</v>
      </c>
      <c r="D1948" s="354">
        <v>1</v>
      </c>
      <c r="E1948" s="354">
        <v>1</v>
      </c>
      <c r="F1948" s="354">
        <v>0</v>
      </c>
      <c r="G1948" s="354">
        <v>0</v>
      </c>
      <c r="H1948" s="354">
        <v>0</v>
      </c>
      <c r="I1948" s="354">
        <v>1</v>
      </c>
      <c r="J1948" s="354">
        <v>1</v>
      </c>
      <c r="K1948" s="354">
        <v>0</v>
      </c>
      <c r="L1948" s="354">
        <v>0</v>
      </c>
      <c r="M1948" s="355">
        <v>2</v>
      </c>
      <c r="N1948" s="355">
        <v>3</v>
      </c>
    </row>
    <row r="1949" spans="1:14" hidden="1" x14ac:dyDescent="0.25">
      <c r="A1949" s="354">
        <v>0</v>
      </c>
      <c r="B1949" s="354">
        <v>0</v>
      </c>
      <c r="C1949" s="354">
        <v>0</v>
      </c>
      <c r="D1949" s="354">
        <v>2</v>
      </c>
      <c r="E1949" s="354">
        <v>2</v>
      </c>
      <c r="F1949" s="354">
        <v>1</v>
      </c>
      <c r="G1949" s="354">
        <v>1</v>
      </c>
      <c r="H1949" s="354">
        <v>0</v>
      </c>
      <c r="I1949" s="354">
        <v>1</v>
      </c>
      <c r="J1949" s="354">
        <v>1</v>
      </c>
      <c r="K1949" s="354">
        <v>0</v>
      </c>
      <c r="L1949" s="354">
        <v>0</v>
      </c>
      <c r="M1949" s="355">
        <v>4</v>
      </c>
      <c r="N1949" s="355">
        <v>4</v>
      </c>
    </row>
    <row r="1950" spans="1:14" hidden="1" x14ac:dyDescent="0.25">
      <c r="A1950" s="354">
        <v>0</v>
      </c>
      <c r="B1950" s="354">
        <v>0</v>
      </c>
      <c r="C1950" s="354">
        <v>0</v>
      </c>
      <c r="D1950" s="354">
        <v>0</v>
      </c>
      <c r="E1950" s="354">
        <v>0</v>
      </c>
      <c r="F1950" s="354">
        <v>0</v>
      </c>
      <c r="G1950" s="354">
        <v>0</v>
      </c>
      <c r="H1950" s="354">
        <v>0</v>
      </c>
      <c r="I1950" s="354">
        <v>0</v>
      </c>
      <c r="J1950" s="354">
        <v>1</v>
      </c>
      <c r="K1950" s="354">
        <v>0</v>
      </c>
      <c r="L1950" s="354">
        <v>1</v>
      </c>
      <c r="M1950" s="355">
        <v>0</v>
      </c>
      <c r="N1950" s="355">
        <v>2</v>
      </c>
    </row>
    <row r="1951" spans="1:14" hidden="1" x14ac:dyDescent="0.25">
      <c r="A1951" s="354">
        <v>1</v>
      </c>
      <c r="B1951" s="354">
        <v>0</v>
      </c>
      <c r="C1951" s="354">
        <v>0</v>
      </c>
      <c r="D1951" s="354">
        <v>1</v>
      </c>
      <c r="E1951" s="354">
        <v>1</v>
      </c>
      <c r="F1951" s="354">
        <v>0</v>
      </c>
      <c r="G1951" s="354">
        <v>1</v>
      </c>
      <c r="H1951" s="354">
        <v>0</v>
      </c>
      <c r="I1951" s="354">
        <v>1</v>
      </c>
      <c r="J1951" s="354">
        <v>1</v>
      </c>
      <c r="K1951" s="354">
        <v>0</v>
      </c>
      <c r="L1951" s="354">
        <v>0</v>
      </c>
      <c r="M1951" s="355">
        <v>4</v>
      </c>
      <c r="N1951" s="355">
        <v>2</v>
      </c>
    </row>
    <row r="1952" spans="1:14" hidden="1" x14ac:dyDescent="0.25">
      <c r="A1952" s="354">
        <v>0</v>
      </c>
      <c r="B1952" s="354">
        <v>0</v>
      </c>
      <c r="C1952" s="354">
        <v>0</v>
      </c>
      <c r="D1952" s="354">
        <v>0</v>
      </c>
      <c r="E1952" s="354">
        <v>1</v>
      </c>
      <c r="F1952" s="354">
        <v>0</v>
      </c>
      <c r="G1952" s="354">
        <v>0</v>
      </c>
      <c r="H1952" s="354">
        <v>1</v>
      </c>
      <c r="I1952" s="354">
        <v>0</v>
      </c>
      <c r="J1952" s="354">
        <v>2</v>
      </c>
      <c r="K1952" s="354">
        <v>0</v>
      </c>
      <c r="L1952" s="354">
        <v>0</v>
      </c>
      <c r="M1952" s="355">
        <v>1</v>
      </c>
      <c r="N1952" s="355">
        <v>3</v>
      </c>
    </row>
    <row r="1953" spans="1:14" hidden="1" x14ac:dyDescent="0.25">
      <c r="A1953" s="354">
        <v>1</v>
      </c>
      <c r="B1953" s="354">
        <v>0</v>
      </c>
      <c r="C1953" s="354">
        <v>1</v>
      </c>
      <c r="D1953" s="354">
        <v>1</v>
      </c>
      <c r="E1953" s="354">
        <v>0</v>
      </c>
      <c r="F1953" s="354">
        <v>2</v>
      </c>
      <c r="G1953" s="354">
        <v>1</v>
      </c>
      <c r="H1953" s="354">
        <v>2</v>
      </c>
      <c r="I1953" s="354">
        <v>3</v>
      </c>
      <c r="J1953" s="354">
        <v>3</v>
      </c>
      <c r="K1953" s="354">
        <v>0</v>
      </c>
      <c r="L1953" s="354">
        <v>0</v>
      </c>
      <c r="M1953" s="355">
        <v>6</v>
      </c>
      <c r="N1953" s="355">
        <v>8</v>
      </c>
    </row>
    <row r="1954" spans="1:14" hidden="1" x14ac:dyDescent="0.25">
      <c r="A1954" s="354">
        <v>0</v>
      </c>
      <c r="B1954" s="354">
        <v>0</v>
      </c>
      <c r="C1954" s="354">
        <v>0</v>
      </c>
      <c r="D1954" s="354">
        <v>0</v>
      </c>
      <c r="E1954" s="354">
        <v>0</v>
      </c>
      <c r="F1954" s="354">
        <v>0</v>
      </c>
      <c r="G1954" s="354">
        <v>0</v>
      </c>
      <c r="H1954" s="354">
        <v>0</v>
      </c>
      <c r="I1954" s="354">
        <v>0</v>
      </c>
      <c r="J1954" s="354">
        <v>2</v>
      </c>
      <c r="K1954" s="354">
        <v>0</v>
      </c>
      <c r="L1954" s="354">
        <v>1</v>
      </c>
      <c r="M1954" s="355">
        <v>0</v>
      </c>
      <c r="N1954" s="355">
        <v>3</v>
      </c>
    </row>
    <row r="1955" spans="1:14" hidden="1" x14ac:dyDescent="0.25">
      <c r="A1955" s="354">
        <v>0</v>
      </c>
      <c r="B1955" s="354">
        <v>0</v>
      </c>
      <c r="C1955" s="354">
        <v>0</v>
      </c>
      <c r="D1955" s="354">
        <v>2</v>
      </c>
      <c r="E1955" s="354">
        <v>0</v>
      </c>
      <c r="F1955" s="354">
        <v>2</v>
      </c>
      <c r="G1955" s="354">
        <v>0</v>
      </c>
      <c r="H1955" s="354">
        <v>0</v>
      </c>
      <c r="I1955" s="354">
        <v>0</v>
      </c>
      <c r="J1955" s="354">
        <v>2</v>
      </c>
      <c r="K1955" s="354">
        <v>0</v>
      </c>
      <c r="L1955" s="354">
        <v>0</v>
      </c>
      <c r="M1955" s="355">
        <v>0</v>
      </c>
      <c r="N1955" s="355">
        <v>6</v>
      </c>
    </row>
    <row r="1956" spans="1:14" hidden="1" x14ac:dyDescent="0.25">
      <c r="A1956" s="354">
        <v>0</v>
      </c>
      <c r="B1956" s="354">
        <v>1</v>
      </c>
      <c r="C1956" s="354">
        <v>0</v>
      </c>
      <c r="D1956" s="354">
        <v>1</v>
      </c>
      <c r="E1956" s="354">
        <v>1</v>
      </c>
      <c r="F1956" s="354">
        <v>0</v>
      </c>
      <c r="G1956" s="354">
        <v>0</v>
      </c>
      <c r="H1956" s="354">
        <v>0</v>
      </c>
      <c r="I1956" s="354">
        <v>1</v>
      </c>
      <c r="J1956" s="354">
        <v>1</v>
      </c>
      <c r="K1956" s="354">
        <v>0</v>
      </c>
      <c r="L1956" s="354">
        <v>0</v>
      </c>
      <c r="M1956" s="355">
        <v>2</v>
      </c>
      <c r="N1956" s="355">
        <v>3</v>
      </c>
    </row>
    <row r="1957" spans="1:14" hidden="1" x14ac:dyDescent="0.25">
      <c r="A1957" s="354">
        <v>0</v>
      </c>
      <c r="B1957" s="354">
        <v>0</v>
      </c>
      <c r="C1957" s="354">
        <v>2</v>
      </c>
      <c r="D1957" s="354">
        <v>2</v>
      </c>
      <c r="E1957" s="354">
        <v>3</v>
      </c>
      <c r="F1957" s="354">
        <v>2</v>
      </c>
      <c r="G1957" s="354">
        <v>1</v>
      </c>
      <c r="H1957" s="354">
        <v>0</v>
      </c>
      <c r="I1957" s="354">
        <v>1</v>
      </c>
      <c r="J1957" s="354">
        <v>1</v>
      </c>
      <c r="K1957" s="354">
        <v>0</v>
      </c>
      <c r="L1957" s="354">
        <v>0</v>
      </c>
      <c r="M1957" s="355">
        <v>7</v>
      </c>
      <c r="N1957" s="355">
        <v>5</v>
      </c>
    </row>
    <row r="1958" spans="1:14" hidden="1" x14ac:dyDescent="0.25">
      <c r="A1958" s="354">
        <v>0</v>
      </c>
      <c r="B1958" s="354">
        <v>1</v>
      </c>
      <c r="C1958" s="354">
        <v>1</v>
      </c>
      <c r="D1958" s="354">
        <v>1</v>
      </c>
      <c r="E1958" s="354">
        <v>1</v>
      </c>
      <c r="F1958" s="354">
        <v>0</v>
      </c>
      <c r="G1958" s="354">
        <v>0</v>
      </c>
      <c r="H1958" s="354">
        <v>0</v>
      </c>
      <c r="I1958" s="354">
        <v>1</v>
      </c>
      <c r="J1958" s="354">
        <v>1</v>
      </c>
      <c r="K1958" s="354">
        <v>0</v>
      </c>
      <c r="L1958" s="354">
        <v>0</v>
      </c>
      <c r="M1958" s="355">
        <v>3</v>
      </c>
      <c r="N1958" s="355">
        <v>3</v>
      </c>
    </row>
    <row r="1959" spans="1:14" hidden="1" x14ac:dyDescent="0.25">
      <c r="A1959" s="354">
        <v>0</v>
      </c>
      <c r="B1959" s="354">
        <v>0</v>
      </c>
      <c r="C1959" s="354">
        <v>0</v>
      </c>
      <c r="D1959" s="354">
        <v>0</v>
      </c>
      <c r="E1959" s="354">
        <v>0</v>
      </c>
      <c r="F1959" s="354">
        <v>0</v>
      </c>
      <c r="G1959" s="354">
        <v>1</v>
      </c>
      <c r="H1959" s="354">
        <v>1</v>
      </c>
      <c r="I1959" s="354">
        <v>6</v>
      </c>
      <c r="J1959" s="354">
        <v>4</v>
      </c>
      <c r="K1959" s="354">
        <v>0</v>
      </c>
      <c r="L1959" s="354">
        <v>0</v>
      </c>
      <c r="M1959" s="355">
        <v>7</v>
      </c>
      <c r="N1959" s="355">
        <v>5</v>
      </c>
    </row>
    <row r="1960" spans="1:14" hidden="1" x14ac:dyDescent="0.25">
      <c r="A1960" s="354">
        <v>0</v>
      </c>
      <c r="B1960" s="354">
        <v>0</v>
      </c>
      <c r="C1960" s="354">
        <v>0</v>
      </c>
      <c r="D1960" s="354">
        <v>0</v>
      </c>
      <c r="E1960" s="354">
        <v>0</v>
      </c>
      <c r="F1960" s="354">
        <v>0</v>
      </c>
      <c r="G1960" s="354">
        <v>0</v>
      </c>
      <c r="H1960" s="354">
        <v>0</v>
      </c>
      <c r="I1960" s="354">
        <v>3</v>
      </c>
      <c r="J1960" s="354">
        <v>4</v>
      </c>
      <c r="K1960" s="354">
        <v>0</v>
      </c>
      <c r="L1960" s="354">
        <v>1</v>
      </c>
      <c r="M1960" s="355">
        <v>3</v>
      </c>
      <c r="N1960" s="355">
        <v>5</v>
      </c>
    </row>
    <row r="1961" spans="1:14" hidden="1" x14ac:dyDescent="0.25">
      <c r="A1961" s="354">
        <v>0</v>
      </c>
      <c r="B1961" s="354">
        <v>0</v>
      </c>
      <c r="C1961" s="354">
        <v>1</v>
      </c>
      <c r="D1961" s="354">
        <v>1</v>
      </c>
      <c r="E1961" s="354">
        <v>0</v>
      </c>
      <c r="F1961" s="354">
        <v>3</v>
      </c>
      <c r="G1961" s="354">
        <v>2</v>
      </c>
      <c r="H1961" s="354">
        <v>1</v>
      </c>
      <c r="I1961" s="354">
        <v>0</v>
      </c>
      <c r="J1961" s="354">
        <v>1</v>
      </c>
      <c r="K1961" s="354">
        <v>0</v>
      </c>
      <c r="L1961" s="354">
        <v>0</v>
      </c>
      <c r="M1961" s="355">
        <v>3</v>
      </c>
      <c r="N1961" s="355">
        <v>6</v>
      </c>
    </row>
    <row r="1962" spans="1:14" hidden="1" x14ac:dyDescent="0.25">
      <c r="A1962" s="354">
        <v>1</v>
      </c>
      <c r="B1962" s="354">
        <v>1</v>
      </c>
      <c r="C1962" s="354">
        <v>3</v>
      </c>
      <c r="D1962" s="354">
        <v>2</v>
      </c>
      <c r="E1962" s="354">
        <v>1</v>
      </c>
      <c r="F1962" s="354">
        <v>0</v>
      </c>
      <c r="G1962" s="354">
        <v>0</v>
      </c>
      <c r="H1962" s="354">
        <v>0</v>
      </c>
      <c r="I1962" s="354">
        <v>3</v>
      </c>
      <c r="J1962" s="354">
        <v>2</v>
      </c>
      <c r="K1962" s="354">
        <v>0</v>
      </c>
      <c r="L1962" s="354">
        <v>0</v>
      </c>
      <c r="M1962" s="355">
        <v>8</v>
      </c>
      <c r="N1962" s="355">
        <v>5</v>
      </c>
    </row>
    <row r="1963" spans="1:14" hidden="1" x14ac:dyDescent="0.25">
      <c r="A1963" s="354">
        <v>1</v>
      </c>
      <c r="B1963" s="354">
        <v>0</v>
      </c>
      <c r="C1963" s="354">
        <v>0</v>
      </c>
      <c r="D1963" s="354">
        <v>1</v>
      </c>
      <c r="E1963" s="354">
        <v>0</v>
      </c>
      <c r="F1963" s="354">
        <v>2</v>
      </c>
      <c r="G1963" s="354">
        <v>0</v>
      </c>
      <c r="H1963" s="354">
        <v>0</v>
      </c>
      <c r="I1963" s="354">
        <v>1</v>
      </c>
      <c r="J1963" s="354">
        <v>1</v>
      </c>
      <c r="K1963" s="354">
        <v>0</v>
      </c>
      <c r="L1963" s="354">
        <v>0</v>
      </c>
      <c r="M1963" s="355">
        <v>2</v>
      </c>
      <c r="N1963" s="355">
        <v>4</v>
      </c>
    </row>
    <row r="1964" spans="1:14" hidden="1" x14ac:dyDescent="0.25">
      <c r="A1964" s="354">
        <v>1</v>
      </c>
      <c r="B1964" s="354">
        <v>1</v>
      </c>
      <c r="C1964" s="354">
        <v>1</v>
      </c>
      <c r="D1964" s="354">
        <v>0</v>
      </c>
      <c r="E1964" s="354">
        <v>0</v>
      </c>
      <c r="F1964" s="354">
        <v>0</v>
      </c>
      <c r="G1964" s="354">
        <v>0</v>
      </c>
      <c r="H1964" s="354">
        <v>0</v>
      </c>
      <c r="I1964" s="354">
        <v>1</v>
      </c>
      <c r="J1964" s="354">
        <v>1</v>
      </c>
      <c r="K1964" s="354">
        <v>0</v>
      </c>
      <c r="L1964" s="354">
        <v>0</v>
      </c>
      <c r="M1964" s="355">
        <v>3</v>
      </c>
      <c r="N1964" s="355">
        <v>2</v>
      </c>
    </row>
    <row r="1965" spans="1:14" hidden="1" x14ac:dyDescent="0.25">
      <c r="A1965" s="354">
        <v>1</v>
      </c>
      <c r="B1965" s="354">
        <v>0</v>
      </c>
      <c r="C1965" s="354">
        <v>1</v>
      </c>
      <c r="D1965" s="354">
        <v>0</v>
      </c>
      <c r="E1965" s="354">
        <v>3</v>
      </c>
      <c r="F1965" s="354">
        <v>1</v>
      </c>
      <c r="G1965" s="354">
        <v>0</v>
      </c>
      <c r="H1965" s="354">
        <v>0</v>
      </c>
      <c r="I1965" s="354">
        <v>1</v>
      </c>
      <c r="J1965" s="354">
        <v>1</v>
      </c>
      <c r="K1965" s="354">
        <v>0</v>
      </c>
      <c r="L1965" s="354">
        <v>0</v>
      </c>
      <c r="M1965" s="355">
        <v>6</v>
      </c>
      <c r="N1965" s="355">
        <v>2</v>
      </c>
    </row>
    <row r="1966" spans="1:14" hidden="1" x14ac:dyDescent="0.25">
      <c r="A1966" s="354">
        <v>1</v>
      </c>
      <c r="B1966" s="354">
        <v>1</v>
      </c>
      <c r="C1966" s="354">
        <v>1</v>
      </c>
      <c r="D1966" s="354">
        <v>0</v>
      </c>
      <c r="E1966" s="354">
        <v>0</v>
      </c>
      <c r="F1966" s="354">
        <v>0</v>
      </c>
      <c r="G1966" s="354">
        <v>0</v>
      </c>
      <c r="H1966" s="354">
        <v>0</v>
      </c>
      <c r="I1966" s="354">
        <v>0</v>
      </c>
      <c r="J1966" s="354">
        <v>1</v>
      </c>
      <c r="K1966" s="354">
        <v>0</v>
      </c>
      <c r="L1966" s="354">
        <v>0</v>
      </c>
      <c r="M1966" s="355">
        <v>2</v>
      </c>
      <c r="N1966" s="355">
        <v>2</v>
      </c>
    </row>
    <row r="1967" spans="1:14" hidden="1" x14ac:dyDescent="0.25">
      <c r="A1967" s="354">
        <v>1</v>
      </c>
      <c r="B1967" s="354">
        <v>1</v>
      </c>
      <c r="C1967" s="354">
        <v>2</v>
      </c>
      <c r="D1967" s="354">
        <v>1</v>
      </c>
      <c r="E1967" s="354">
        <v>1</v>
      </c>
      <c r="F1967" s="354">
        <v>0</v>
      </c>
      <c r="G1967" s="354">
        <v>0</v>
      </c>
      <c r="H1967" s="354">
        <v>0</v>
      </c>
      <c r="I1967" s="354">
        <v>0</v>
      </c>
      <c r="J1967" s="354">
        <v>1</v>
      </c>
      <c r="K1967" s="354">
        <v>0</v>
      </c>
      <c r="L1967" s="354">
        <v>0</v>
      </c>
      <c r="M1967" s="355">
        <v>4</v>
      </c>
      <c r="N1967" s="355">
        <v>3</v>
      </c>
    </row>
    <row r="1968" spans="1:14" hidden="1" x14ac:dyDescent="0.25">
      <c r="A1968" s="354">
        <v>0</v>
      </c>
      <c r="B1968" s="354">
        <v>0</v>
      </c>
      <c r="C1968" s="354">
        <v>0</v>
      </c>
      <c r="D1968" s="354">
        <v>1</v>
      </c>
      <c r="E1968" s="354">
        <v>1</v>
      </c>
      <c r="F1968" s="354">
        <v>1</v>
      </c>
      <c r="G1968" s="354">
        <v>0</v>
      </c>
      <c r="H1968" s="354">
        <v>0</v>
      </c>
      <c r="I1968" s="354">
        <v>2</v>
      </c>
      <c r="J1968" s="354">
        <v>1</v>
      </c>
      <c r="K1968" s="354">
        <v>0</v>
      </c>
      <c r="L1968" s="354">
        <v>0</v>
      </c>
      <c r="M1968" s="355">
        <v>3</v>
      </c>
      <c r="N1968" s="355">
        <v>3</v>
      </c>
    </row>
    <row r="1969" spans="1:14" hidden="1" x14ac:dyDescent="0.25">
      <c r="A1969" s="354">
        <v>1</v>
      </c>
      <c r="B1969" s="354">
        <v>2</v>
      </c>
      <c r="C1969" s="354">
        <v>1</v>
      </c>
      <c r="D1969" s="354">
        <v>1</v>
      </c>
      <c r="E1969" s="354">
        <v>2</v>
      </c>
      <c r="F1969" s="354">
        <v>0</v>
      </c>
      <c r="G1969" s="354">
        <v>1</v>
      </c>
      <c r="H1969" s="354">
        <v>1</v>
      </c>
      <c r="I1969" s="354">
        <v>0</v>
      </c>
      <c r="J1969" s="354">
        <v>1</v>
      </c>
      <c r="K1969" s="354">
        <v>0</v>
      </c>
      <c r="L1969" s="354">
        <v>0</v>
      </c>
      <c r="M1969" s="355">
        <v>5</v>
      </c>
      <c r="N1969" s="355">
        <v>5</v>
      </c>
    </row>
    <row r="1970" spans="1:14" hidden="1" x14ac:dyDescent="0.25">
      <c r="A1970" s="354">
        <v>0</v>
      </c>
      <c r="B1970" s="354">
        <v>1</v>
      </c>
      <c r="C1970" s="354">
        <v>0</v>
      </c>
      <c r="D1970" s="354">
        <v>1</v>
      </c>
      <c r="E1970" s="354">
        <v>1</v>
      </c>
      <c r="F1970" s="354">
        <v>1</v>
      </c>
      <c r="G1970" s="354">
        <v>0</v>
      </c>
      <c r="H1970" s="354">
        <v>0</v>
      </c>
      <c r="I1970" s="354">
        <v>1</v>
      </c>
      <c r="J1970" s="354">
        <v>1</v>
      </c>
      <c r="K1970" s="354">
        <v>0</v>
      </c>
      <c r="L1970" s="354">
        <v>0</v>
      </c>
      <c r="M1970" s="355">
        <v>2</v>
      </c>
      <c r="N1970" s="355">
        <v>4</v>
      </c>
    </row>
    <row r="1971" spans="1:14" hidden="1" x14ac:dyDescent="0.25">
      <c r="A1971" s="354">
        <v>0</v>
      </c>
      <c r="B1971" s="354">
        <v>1</v>
      </c>
      <c r="C1971" s="354">
        <v>0</v>
      </c>
      <c r="D1971" s="354">
        <v>1</v>
      </c>
      <c r="E1971" s="354">
        <v>3</v>
      </c>
      <c r="F1971" s="354">
        <v>0</v>
      </c>
      <c r="G1971" s="354">
        <v>0</v>
      </c>
      <c r="H1971" s="354">
        <v>0</v>
      </c>
      <c r="I1971" s="354">
        <v>1</v>
      </c>
      <c r="J1971" s="354">
        <v>1</v>
      </c>
      <c r="K1971" s="354">
        <v>0</v>
      </c>
      <c r="L1971" s="354">
        <v>0</v>
      </c>
      <c r="M1971" s="355">
        <v>4</v>
      </c>
      <c r="N1971" s="355">
        <v>3</v>
      </c>
    </row>
    <row r="1972" spans="1:14" hidden="1" x14ac:dyDescent="0.25">
      <c r="A1972" s="354">
        <v>1</v>
      </c>
      <c r="B1972" s="354">
        <v>2</v>
      </c>
      <c r="C1972" s="354">
        <v>2</v>
      </c>
      <c r="D1972" s="354">
        <v>1</v>
      </c>
      <c r="E1972" s="354">
        <v>1</v>
      </c>
      <c r="F1972" s="354">
        <v>1</v>
      </c>
      <c r="G1972" s="354">
        <v>0</v>
      </c>
      <c r="H1972" s="354">
        <v>0</v>
      </c>
      <c r="I1972" s="354">
        <v>1</v>
      </c>
      <c r="J1972" s="354">
        <v>1</v>
      </c>
      <c r="K1972" s="354">
        <v>0</v>
      </c>
      <c r="L1972" s="354">
        <v>0</v>
      </c>
      <c r="M1972" s="355">
        <v>5</v>
      </c>
      <c r="N1972" s="355">
        <v>5</v>
      </c>
    </row>
    <row r="1973" spans="1:14" hidden="1" x14ac:dyDescent="0.25">
      <c r="A1973" s="354">
        <v>0</v>
      </c>
      <c r="B1973" s="354">
        <v>0</v>
      </c>
      <c r="C1973" s="354">
        <v>0</v>
      </c>
      <c r="D1973" s="354">
        <v>0</v>
      </c>
      <c r="E1973" s="354">
        <v>0</v>
      </c>
      <c r="F1973" s="354">
        <v>1</v>
      </c>
      <c r="G1973" s="354">
        <v>2</v>
      </c>
      <c r="H1973" s="354">
        <v>0</v>
      </c>
      <c r="I1973" s="354">
        <v>2</v>
      </c>
      <c r="J1973" s="354">
        <v>1</v>
      </c>
      <c r="K1973" s="354">
        <v>1</v>
      </c>
      <c r="L1973" s="354">
        <v>0</v>
      </c>
      <c r="M1973" s="355">
        <v>5</v>
      </c>
      <c r="N1973" s="355">
        <v>2</v>
      </c>
    </row>
    <row r="1974" spans="1:14" hidden="1" x14ac:dyDescent="0.25">
      <c r="A1974" s="354">
        <v>0</v>
      </c>
      <c r="B1974" s="354">
        <v>1</v>
      </c>
      <c r="C1974" s="354">
        <v>0</v>
      </c>
      <c r="D1974" s="354">
        <v>1</v>
      </c>
      <c r="E1974" s="354">
        <v>2</v>
      </c>
      <c r="F1974" s="354">
        <v>1</v>
      </c>
      <c r="G1974" s="354">
        <v>1</v>
      </c>
      <c r="H1974" s="354">
        <v>1</v>
      </c>
      <c r="I1974" s="354">
        <v>1</v>
      </c>
      <c r="J1974" s="354">
        <v>2</v>
      </c>
      <c r="K1974" s="354">
        <v>0</v>
      </c>
      <c r="L1974" s="354">
        <v>1</v>
      </c>
      <c r="M1974" s="355">
        <v>4</v>
      </c>
      <c r="N1974" s="355">
        <v>7</v>
      </c>
    </row>
    <row r="1975" spans="1:14" hidden="1" x14ac:dyDescent="0.25">
      <c r="A1975" s="354">
        <v>1</v>
      </c>
      <c r="B1975" s="354">
        <v>0</v>
      </c>
      <c r="C1975" s="354">
        <v>0</v>
      </c>
      <c r="D1975" s="354">
        <v>1</v>
      </c>
      <c r="E1975" s="354">
        <v>2</v>
      </c>
      <c r="F1975" s="354">
        <v>1</v>
      </c>
      <c r="G1975" s="354">
        <v>2</v>
      </c>
      <c r="H1975" s="354">
        <v>1</v>
      </c>
      <c r="I1975" s="354">
        <v>2</v>
      </c>
      <c r="J1975" s="354">
        <v>1</v>
      </c>
      <c r="K1975" s="354">
        <v>0</v>
      </c>
      <c r="L1975" s="354">
        <v>0</v>
      </c>
      <c r="M1975" s="355">
        <v>7</v>
      </c>
      <c r="N1975" s="355">
        <v>4</v>
      </c>
    </row>
    <row r="1976" spans="1:14" hidden="1" x14ac:dyDescent="0.25">
      <c r="A1976" s="354">
        <v>1</v>
      </c>
      <c r="B1976" s="354">
        <v>0</v>
      </c>
      <c r="C1976" s="354">
        <v>1</v>
      </c>
      <c r="D1976" s="354">
        <v>1</v>
      </c>
      <c r="E1976" s="354">
        <v>2</v>
      </c>
      <c r="F1976" s="354">
        <v>1</v>
      </c>
      <c r="G1976" s="354">
        <v>0</v>
      </c>
      <c r="H1976" s="354">
        <v>2</v>
      </c>
      <c r="I1976" s="354">
        <v>3</v>
      </c>
      <c r="J1976" s="354">
        <v>1</v>
      </c>
      <c r="K1976" s="354">
        <v>0</v>
      </c>
      <c r="L1976" s="354">
        <v>0</v>
      </c>
      <c r="M1976" s="355">
        <v>7</v>
      </c>
      <c r="N1976" s="355">
        <v>5</v>
      </c>
    </row>
    <row r="1977" spans="1:14" hidden="1" x14ac:dyDescent="0.25">
      <c r="A1977" s="354">
        <v>1</v>
      </c>
      <c r="B1977" s="354">
        <v>0</v>
      </c>
      <c r="C1977" s="354">
        <v>1</v>
      </c>
      <c r="D1977" s="354">
        <v>1</v>
      </c>
      <c r="E1977" s="354">
        <v>2</v>
      </c>
      <c r="F1977" s="354">
        <v>1</v>
      </c>
      <c r="G1977" s="354">
        <v>1</v>
      </c>
      <c r="H1977" s="354">
        <v>1</v>
      </c>
      <c r="I1977" s="354">
        <v>2</v>
      </c>
      <c r="J1977" s="354">
        <v>2</v>
      </c>
      <c r="K1977" s="354">
        <v>0</v>
      </c>
      <c r="L1977" s="354">
        <v>0</v>
      </c>
      <c r="M1977" s="355">
        <v>7</v>
      </c>
      <c r="N1977" s="355">
        <v>5</v>
      </c>
    </row>
    <row r="1978" spans="1:14" hidden="1" x14ac:dyDescent="0.25">
      <c r="A1978" s="354">
        <v>0</v>
      </c>
      <c r="B1978" s="354">
        <v>0</v>
      </c>
      <c r="C1978" s="354">
        <v>1</v>
      </c>
      <c r="D1978" s="354">
        <v>0</v>
      </c>
      <c r="E1978" s="354">
        <v>0</v>
      </c>
      <c r="F1978" s="354">
        <v>2</v>
      </c>
      <c r="G1978" s="354">
        <v>0</v>
      </c>
      <c r="H1978" s="354">
        <v>1</v>
      </c>
      <c r="I1978" s="354">
        <v>1</v>
      </c>
      <c r="J1978" s="354">
        <v>2</v>
      </c>
      <c r="K1978" s="354">
        <v>0</v>
      </c>
      <c r="L1978" s="354">
        <v>0</v>
      </c>
      <c r="M1978" s="355">
        <v>2</v>
      </c>
      <c r="N1978" s="355">
        <v>5</v>
      </c>
    </row>
    <row r="1979" spans="1:14" hidden="1" x14ac:dyDescent="0.25">
      <c r="A1979" s="354">
        <v>1</v>
      </c>
      <c r="B1979" s="354">
        <v>0</v>
      </c>
      <c r="C1979" s="354">
        <v>1</v>
      </c>
      <c r="D1979" s="354">
        <v>1</v>
      </c>
      <c r="E1979" s="354">
        <v>0</v>
      </c>
      <c r="F1979" s="354">
        <v>0</v>
      </c>
      <c r="G1979" s="354">
        <v>1</v>
      </c>
      <c r="H1979" s="354">
        <v>0</v>
      </c>
      <c r="I1979" s="354">
        <v>1</v>
      </c>
      <c r="J1979" s="354">
        <v>2</v>
      </c>
      <c r="K1979" s="354">
        <v>0</v>
      </c>
      <c r="L1979" s="354">
        <v>0</v>
      </c>
      <c r="M1979" s="355">
        <v>4</v>
      </c>
      <c r="N1979" s="355">
        <v>3</v>
      </c>
    </row>
    <row r="1980" spans="1:14" hidden="1" x14ac:dyDescent="0.25">
      <c r="A1980" s="354">
        <v>1</v>
      </c>
      <c r="B1980" s="354">
        <v>2</v>
      </c>
      <c r="C1980" s="354">
        <v>1</v>
      </c>
      <c r="D1980" s="354">
        <v>1</v>
      </c>
      <c r="E1980" s="354">
        <v>1</v>
      </c>
      <c r="F1980" s="354">
        <v>1</v>
      </c>
      <c r="G1980" s="354">
        <v>1</v>
      </c>
      <c r="H1980" s="354">
        <v>0</v>
      </c>
      <c r="I1980" s="354">
        <v>0</v>
      </c>
      <c r="J1980" s="354">
        <v>1</v>
      </c>
      <c r="K1980" s="354">
        <v>0</v>
      </c>
      <c r="L1980" s="354">
        <v>0</v>
      </c>
      <c r="M1980" s="355">
        <v>4</v>
      </c>
      <c r="N1980" s="355">
        <v>5</v>
      </c>
    </row>
    <row r="1981" spans="1:14" hidden="1" x14ac:dyDescent="0.25">
      <c r="A1981" s="354">
        <v>0</v>
      </c>
      <c r="B1981" s="354">
        <v>0</v>
      </c>
      <c r="C1981" s="354">
        <v>1</v>
      </c>
      <c r="D1981" s="354">
        <v>0</v>
      </c>
      <c r="E1981" s="354">
        <v>1</v>
      </c>
      <c r="F1981" s="354">
        <v>0</v>
      </c>
      <c r="G1981" s="354">
        <v>1</v>
      </c>
      <c r="H1981" s="354">
        <v>1</v>
      </c>
      <c r="I1981" s="354">
        <v>1</v>
      </c>
      <c r="J1981" s="354">
        <v>3</v>
      </c>
      <c r="K1981" s="354">
        <v>0</v>
      </c>
      <c r="L1981" s="354">
        <v>0</v>
      </c>
      <c r="M1981" s="355">
        <v>4</v>
      </c>
      <c r="N1981" s="355">
        <v>4</v>
      </c>
    </row>
    <row r="1982" spans="1:14" hidden="1" x14ac:dyDescent="0.25">
      <c r="A1982" s="354">
        <v>0</v>
      </c>
      <c r="B1982" s="354">
        <v>0</v>
      </c>
      <c r="C1982" s="354">
        <v>1</v>
      </c>
      <c r="D1982" s="354">
        <v>0</v>
      </c>
      <c r="E1982" s="354">
        <v>0</v>
      </c>
      <c r="F1982" s="354">
        <v>0</v>
      </c>
      <c r="G1982" s="354">
        <v>1</v>
      </c>
      <c r="H1982" s="354">
        <v>0</v>
      </c>
      <c r="I1982" s="354">
        <v>1</v>
      </c>
      <c r="J1982" s="354">
        <v>2</v>
      </c>
      <c r="K1982" s="354">
        <v>0</v>
      </c>
      <c r="L1982" s="354">
        <v>0</v>
      </c>
      <c r="M1982" s="355">
        <v>3</v>
      </c>
      <c r="N1982" s="355">
        <v>2</v>
      </c>
    </row>
    <row r="1983" spans="1:14" hidden="1" x14ac:dyDescent="0.25">
      <c r="A1983" s="354">
        <v>0</v>
      </c>
      <c r="B1983" s="354">
        <v>0</v>
      </c>
      <c r="C1983" s="354">
        <v>0</v>
      </c>
      <c r="D1983" s="354">
        <v>1</v>
      </c>
      <c r="E1983" s="354">
        <v>2</v>
      </c>
      <c r="F1983" s="354">
        <v>0</v>
      </c>
      <c r="G1983" s="354">
        <v>0</v>
      </c>
      <c r="H1983" s="354">
        <v>1</v>
      </c>
      <c r="I1983" s="354">
        <v>1</v>
      </c>
      <c r="J1983" s="354">
        <v>1</v>
      </c>
      <c r="K1983" s="354">
        <v>0</v>
      </c>
      <c r="L1983" s="354">
        <v>0</v>
      </c>
      <c r="M1983" s="355">
        <v>3</v>
      </c>
      <c r="N1983" s="355">
        <v>3</v>
      </c>
    </row>
    <row r="1984" spans="1:14" hidden="1" x14ac:dyDescent="0.25">
      <c r="A1984" s="354">
        <v>0</v>
      </c>
      <c r="B1984" s="354">
        <v>0</v>
      </c>
      <c r="C1984" s="354">
        <v>0</v>
      </c>
      <c r="D1984" s="354">
        <v>1</v>
      </c>
      <c r="E1984" s="354">
        <v>1</v>
      </c>
      <c r="F1984" s="354">
        <v>0</v>
      </c>
      <c r="G1984" s="354">
        <v>0</v>
      </c>
      <c r="H1984" s="354">
        <v>0</v>
      </c>
      <c r="I1984" s="354">
        <v>1</v>
      </c>
      <c r="J1984" s="354">
        <v>1</v>
      </c>
      <c r="K1984" s="354">
        <v>0</v>
      </c>
      <c r="L1984" s="354">
        <v>0</v>
      </c>
      <c r="M1984" s="355">
        <v>2</v>
      </c>
      <c r="N1984" s="355">
        <v>2</v>
      </c>
    </row>
    <row r="1985" spans="1:14" hidden="1" x14ac:dyDescent="0.25">
      <c r="A1985" s="354">
        <v>0</v>
      </c>
      <c r="B1985" s="354">
        <v>0</v>
      </c>
      <c r="C1985" s="354">
        <v>0</v>
      </c>
      <c r="D1985" s="354">
        <v>0</v>
      </c>
      <c r="E1985" s="354">
        <v>0</v>
      </c>
      <c r="F1985" s="354">
        <v>0</v>
      </c>
      <c r="G1985" s="354">
        <v>0</v>
      </c>
      <c r="H1985" s="354">
        <v>0</v>
      </c>
      <c r="I1985" s="354">
        <v>2</v>
      </c>
      <c r="J1985" s="354">
        <v>3</v>
      </c>
      <c r="K1985" s="354">
        <v>0</v>
      </c>
      <c r="L1985" s="354">
        <v>0</v>
      </c>
      <c r="M1985" s="355">
        <v>2</v>
      </c>
      <c r="N1985" s="355">
        <v>3</v>
      </c>
    </row>
    <row r="1986" spans="1:14" hidden="1" x14ac:dyDescent="0.25">
      <c r="A1986" s="354">
        <v>0</v>
      </c>
      <c r="B1986" s="354">
        <v>0</v>
      </c>
      <c r="C1986" s="354">
        <v>1</v>
      </c>
      <c r="D1986" s="354">
        <v>0</v>
      </c>
      <c r="E1986" s="354">
        <v>1</v>
      </c>
      <c r="F1986" s="354">
        <v>1</v>
      </c>
      <c r="G1986" s="354">
        <v>0</v>
      </c>
      <c r="H1986" s="354">
        <v>0</v>
      </c>
      <c r="I1986" s="354">
        <v>1</v>
      </c>
      <c r="J1986" s="354">
        <v>1</v>
      </c>
      <c r="K1986" s="354">
        <v>0</v>
      </c>
      <c r="L1986" s="354">
        <v>0</v>
      </c>
      <c r="M1986" s="355">
        <v>3</v>
      </c>
      <c r="N1986" s="355">
        <v>2</v>
      </c>
    </row>
    <row r="1987" spans="1:14" hidden="1" x14ac:dyDescent="0.25">
      <c r="A1987" s="354">
        <v>0</v>
      </c>
      <c r="B1987" s="354">
        <v>0</v>
      </c>
      <c r="C1987" s="354">
        <v>0</v>
      </c>
      <c r="D1987" s="354">
        <v>1</v>
      </c>
      <c r="E1987" s="354">
        <v>1</v>
      </c>
      <c r="F1987" s="354">
        <v>1</v>
      </c>
      <c r="G1987" s="354">
        <v>1</v>
      </c>
      <c r="H1987" s="354">
        <v>0</v>
      </c>
      <c r="I1987" s="354">
        <v>1</v>
      </c>
      <c r="J1987" s="354">
        <v>1</v>
      </c>
      <c r="K1987" s="354">
        <v>0</v>
      </c>
      <c r="L1987" s="354">
        <v>0</v>
      </c>
      <c r="M1987" s="355">
        <v>3</v>
      </c>
      <c r="N1987" s="355">
        <v>3</v>
      </c>
    </row>
    <row r="1988" spans="1:14" hidden="1" x14ac:dyDescent="0.25">
      <c r="A1988" s="354">
        <v>1</v>
      </c>
      <c r="B1988" s="354">
        <v>1</v>
      </c>
      <c r="C1988" s="354">
        <v>0</v>
      </c>
      <c r="D1988" s="354">
        <v>1</v>
      </c>
      <c r="E1988" s="354">
        <v>0</v>
      </c>
      <c r="F1988" s="354">
        <v>0</v>
      </c>
      <c r="G1988" s="354">
        <v>0</v>
      </c>
      <c r="H1988" s="354">
        <v>0</v>
      </c>
      <c r="I1988" s="354">
        <v>0</v>
      </c>
      <c r="J1988" s="354">
        <v>1</v>
      </c>
      <c r="K1988" s="354">
        <v>0</v>
      </c>
      <c r="L1988" s="354">
        <v>0</v>
      </c>
      <c r="M1988" s="355">
        <v>1</v>
      </c>
      <c r="N1988" s="355">
        <v>3</v>
      </c>
    </row>
    <row r="1989" spans="1:14" hidden="1" x14ac:dyDescent="0.25">
      <c r="A1989" s="354">
        <v>1</v>
      </c>
      <c r="B1989" s="354">
        <v>0</v>
      </c>
      <c r="C1989" s="354">
        <v>0</v>
      </c>
      <c r="D1989" s="354">
        <v>1</v>
      </c>
      <c r="E1989" s="354">
        <v>0</v>
      </c>
      <c r="F1989" s="354">
        <v>0</v>
      </c>
      <c r="G1989" s="354">
        <v>0</v>
      </c>
      <c r="H1989" s="354">
        <v>0</v>
      </c>
      <c r="I1989" s="354">
        <v>1</v>
      </c>
      <c r="J1989" s="354">
        <v>1</v>
      </c>
      <c r="K1989" s="354">
        <v>0</v>
      </c>
      <c r="L1989" s="354">
        <v>0</v>
      </c>
      <c r="M1989" s="355">
        <v>2</v>
      </c>
      <c r="N1989" s="355">
        <v>2</v>
      </c>
    </row>
    <row r="1990" spans="1:14" hidden="1" x14ac:dyDescent="0.25">
      <c r="A1990" s="354">
        <v>0</v>
      </c>
      <c r="B1990" s="354">
        <v>1</v>
      </c>
      <c r="C1990" s="354">
        <v>2</v>
      </c>
      <c r="D1990" s="354">
        <v>1</v>
      </c>
      <c r="E1990" s="354">
        <v>1</v>
      </c>
      <c r="F1990" s="354">
        <v>2</v>
      </c>
      <c r="G1990" s="354">
        <v>0</v>
      </c>
      <c r="H1990" s="354">
        <v>0</v>
      </c>
      <c r="I1990" s="354">
        <v>1</v>
      </c>
      <c r="J1990" s="354">
        <v>1</v>
      </c>
      <c r="K1990" s="354">
        <v>0</v>
      </c>
      <c r="L1990" s="354">
        <v>0</v>
      </c>
      <c r="M1990" s="355">
        <v>4</v>
      </c>
      <c r="N1990" s="355">
        <v>5</v>
      </c>
    </row>
    <row r="1991" spans="1:14" hidden="1" x14ac:dyDescent="0.25">
      <c r="A1991" s="354">
        <v>0</v>
      </c>
      <c r="B1991" s="354">
        <v>0</v>
      </c>
      <c r="C1991" s="354">
        <v>1</v>
      </c>
      <c r="D1991" s="354">
        <v>0</v>
      </c>
      <c r="E1991" s="354">
        <v>2</v>
      </c>
      <c r="F1991" s="354">
        <v>1</v>
      </c>
      <c r="G1991" s="354">
        <v>0</v>
      </c>
      <c r="H1991" s="354">
        <v>1</v>
      </c>
      <c r="I1991" s="354">
        <v>1</v>
      </c>
      <c r="J1991" s="354">
        <v>1</v>
      </c>
      <c r="K1991" s="354">
        <v>0</v>
      </c>
      <c r="L1991" s="354">
        <v>0</v>
      </c>
      <c r="M1991" s="355">
        <v>4</v>
      </c>
      <c r="N1991" s="355">
        <v>3</v>
      </c>
    </row>
    <row r="1992" spans="1:14" hidden="1" x14ac:dyDescent="0.25">
      <c r="A1992" s="354">
        <v>1</v>
      </c>
      <c r="B1992" s="354">
        <v>2</v>
      </c>
      <c r="C1992" s="354">
        <v>1</v>
      </c>
      <c r="D1992" s="354">
        <v>2</v>
      </c>
      <c r="E1992" s="354">
        <v>1</v>
      </c>
      <c r="F1992" s="354">
        <v>2</v>
      </c>
      <c r="G1992" s="354">
        <v>1</v>
      </c>
      <c r="H1992" s="354">
        <v>1</v>
      </c>
      <c r="I1992" s="354">
        <v>2</v>
      </c>
      <c r="J1992" s="354">
        <v>2</v>
      </c>
      <c r="K1992" s="354">
        <v>0</v>
      </c>
      <c r="L1992" s="354">
        <v>0</v>
      </c>
      <c r="M1992" s="355">
        <v>6</v>
      </c>
      <c r="N1992" s="355">
        <v>9</v>
      </c>
    </row>
    <row r="1993" spans="1:14" hidden="1" x14ac:dyDescent="0.25">
      <c r="A1993" s="354">
        <v>1</v>
      </c>
      <c r="B1993" s="354">
        <v>0</v>
      </c>
      <c r="C1993" s="354">
        <v>2</v>
      </c>
      <c r="D1993" s="354">
        <v>1</v>
      </c>
      <c r="E1993" s="354">
        <v>1</v>
      </c>
      <c r="F1993" s="354">
        <v>2</v>
      </c>
      <c r="G1993" s="354">
        <v>0</v>
      </c>
      <c r="H1993" s="354">
        <v>0</v>
      </c>
      <c r="I1993" s="354">
        <v>0</v>
      </c>
      <c r="J1993" s="354">
        <v>1</v>
      </c>
      <c r="K1993" s="354">
        <v>0</v>
      </c>
      <c r="L1993" s="354">
        <v>0</v>
      </c>
      <c r="M1993" s="355">
        <v>4</v>
      </c>
      <c r="N1993" s="355">
        <v>4</v>
      </c>
    </row>
    <row r="1994" spans="1:14" hidden="1" x14ac:dyDescent="0.25">
      <c r="A1994" s="354">
        <v>1</v>
      </c>
      <c r="B1994" s="354">
        <v>0</v>
      </c>
      <c r="C1994" s="354">
        <v>1</v>
      </c>
      <c r="D1994" s="354">
        <v>1</v>
      </c>
      <c r="E1994" s="354">
        <v>1</v>
      </c>
      <c r="F1994" s="354">
        <v>0</v>
      </c>
      <c r="G1994" s="354">
        <v>0</v>
      </c>
      <c r="H1994" s="354">
        <v>0</v>
      </c>
      <c r="I1994" s="354">
        <v>1</v>
      </c>
      <c r="J1994" s="354">
        <v>1</v>
      </c>
      <c r="K1994" s="354">
        <v>0</v>
      </c>
      <c r="L1994" s="354">
        <v>0</v>
      </c>
      <c r="M1994" s="355">
        <v>4</v>
      </c>
      <c r="N1994" s="355">
        <v>2</v>
      </c>
    </row>
    <row r="1995" spans="1:14" hidden="1" x14ac:dyDescent="0.25">
      <c r="A1995" s="354">
        <v>1</v>
      </c>
      <c r="B1995" s="354">
        <v>0</v>
      </c>
      <c r="C1995" s="354">
        <v>2</v>
      </c>
      <c r="D1995" s="354">
        <v>0</v>
      </c>
      <c r="E1995" s="354">
        <v>2</v>
      </c>
      <c r="F1995" s="354">
        <v>0</v>
      </c>
      <c r="G1995" s="354">
        <v>0</v>
      </c>
      <c r="H1995" s="354">
        <v>0</v>
      </c>
      <c r="I1995" s="354">
        <v>1</v>
      </c>
      <c r="J1995" s="354">
        <v>1</v>
      </c>
      <c r="K1995" s="354">
        <v>0</v>
      </c>
      <c r="L1995" s="354">
        <v>0</v>
      </c>
      <c r="M1995" s="355">
        <v>6</v>
      </c>
      <c r="N1995" s="355">
        <v>1</v>
      </c>
    </row>
    <row r="1996" spans="1:14" hidden="1" x14ac:dyDescent="0.25">
      <c r="A1996" s="354">
        <v>0</v>
      </c>
      <c r="B1996" s="354">
        <v>1</v>
      </c>
      <c r="C1996" s="354">
        <v>1</v>
      </c>
      <c r="D1996" s="354">
        <v>1</v>
      </c>
      <c r="E1996" s="354">
        <v>0</v>
      </c>
      <c r="F1996" s="354">
        <v>0</v>
      </c>
      <c r="G1996" s="354">
        <v>0</v>
      </c>
      <c r="H1996" s="354">
        <v>0</v>
      </c>
      <c r="I1996" s="354">
        <v>1</v>
      </c>
      <c r="J1996" s="354">
        <v>1</v>
      </c>
      <c r="K1996" s="354">
        <v>0</v>
      </c>
      <c r="L1996" s="354">
        <v>0</v>
      </c>
      <c r="M1996" s="355">
        <v>2</v>
      </c>
      <c r="N1996" s="355">
        <v>3</v>
      </c>
    </row>
    <row r="1997" spans="1:14" hidden="1" x14ac:dyDescent="0.25">
      <c r="A1997" s="354">
        <v>0</v>
      </c>
      <c r="B1997" s="354">
        <v>0</v>
      </c>
      <c r="C1997" s="354">
        <v>0</v>
      </c>
      <c r="D1997" s="354">
        <v>0</v>
      </c>
      <c r="E1997" s="354">
        <v>0</v>
      </c>
      <c r="F1997" s="354">
        <v>0</v>
      </c>
      <c r="G1997" s="354">
        <v>1</v>
      </c>
      <c r="H1997" s="354">
        <v>0</v>
      </c>
      <c r="I1997" s="354">
        <v>1</v>
      </c>
      <c r="J1997" s="354">
        <v>1</v>
      </c>
      <c r="K1997" s="354">
        <v>1</v>
      </c>
      <c r="L1997" s="354">
        <v>0</v>
      </c>
      <c r="M1997" s="355">
        <v>3</v>
      </c>
      <c r="N1997" s="355">
        <v>1</v>
      </c>
    </row>
    <row r="1998" spans="1:14" hidden="1" x14ac:dyDescent="0.25">
      <c r="A1998" s="354">
        <v>1</v>
      </c>
      <c r="B1998" s="354">
        <v>0</v>
      </c>
      <c r="C1998" s="354">
        <v>0</v>
      </c>
      <c r="D1998" s="354">
        <v>1</v>
      </c>
      <c r="E1998" s="354">
        <v>0</v>
      </c>
      <c r="F1998" s="354">
        <v>0</v>
      </c>
      <c r="G1998" s="354">
        <v>0</v>
      </c>
      <c r="H1998" s="354">
        <v>0</v>
      </c>
      <c r="I1998" s="354">
        <v>1</v>
      </c>
      <c r="J1998" s="354">
        <v>1</v>
      </c>
      <c r="K1998" s="354">
        <v>0</v>
      </c>
      <c r="L1998" s="354">
        <v>0</v>
      </c>
      <c r="M1998" s="355">
        <v>2</v>
      </c>
      <c r="N1998" s="355">
        <v>2</v>
      </c>
    </row>
    <row r="1999" spans="1:14" hidden="1" x14ac:dyDescent="0.25">
      <c r="A1999" s="354">
        <v>1</v>
      </c>
      <c r="B1999" s="354">
        <v>0</v>
      </c>
      <c r="C1999" s="354">
        <v>1</v>
      </c>
      <c r="D1999" s="354">
        <v>0</v>
      </c>
      <c r="E1999" s="354">
        <v>1</v>
      </c>
      <c r="F1999" s="354">
        <v>0</v>
      </c>
      <c r="G1999" s="354">
        <v>0</v>
      </c>
      <c r="H1999" s="354">
        <v>0</v>
      </c>
      <c r="I1999" s="354">
        <v>1</v>
      </c>
      <c r="J1999" s="354">
        <v>1</v>
      </c>
      <c r="K1999" s="354">
        <v>0</v>
      </c>
      <c r="L1999" s="354">
        <v>0</v>
      </c>
      <c r="M1999" s="355">
        <v>4</v>
      </c>
      <c r="N1999" s="355">
        <v>1</v>
      </c>
    </row>
    <row r="2000" spans="1:14" hidden="1" x14ac:dyDescent="0.25">
      <c r="A2000" s="354">
        <v>0</v>
      </c>
      <c r="B2000" s="354">
        <v>0</v>
      </c>
      <c r="C2000" s="354">
        <v>0</v>
      </c>
      <c r="D2000" s="354">
        <v>0</v>
      </c>
      <c r="E2000" s="354">
        <v>0</v>
      </c>
      <c r="F2000" s="354">
        <v>1</v>
      </c>
      <c r="G2000" s="354">
        <v>0</v>
      </c>
      <c r="H2000" s="354">
        <v>1</v>
      </c>
      <c r="I2000" s="354">
        <v>0</v>
      </c>
      <c r="J2000" s="354">
        <v>0</v>
      </c>
      <c r="K2000" s="354">
        <v>1</v>
      </c>
      <c r="L2000" s="354">
        <v>1</v>
      </c>
      <c r="M2000" s="355">
        <v>1</v>
      </c>
      <c r="N2000" s="355">
        <v>3</v>
      </c>
    </row>
    <row r="2001" spans="1:14" hidden="1" x14ac:dyDescent="0.25">
      <c r="A2001" s="354">
        <v>1</v>
      </c>
      <c r="B2001" s="354">
        <v>0</v>
      </c>
      <c r="C2001" s="354">
        <v>1</v>
      </c>
      <c r="D2001" s="354">
        <v>1</v>
      </c>
      <c r="E2001" s="354">
        <v>0</v>
      </c>
      <c r="F2001" s="354">
        <v>0</v>
      </c>
      <c r="G2001" s="354">
        <v>0</v>
      </c>
      <c r="H2001" s="354">
        <v>0</v>
      </c>
      <c r="I2001" s="354">
        <v>1</v>
      </c>
      <c r="J2001" s="354">
        <v>1</v>
      </c>
      <c r="K2001" s="354">
        <v>0</v>
      </c>
      <c r="L2001" s="354">
        <v>0</v>
      </c>
      <c r="M2001" s="355">
        <v>3</v>
      </c>
      <c r="N2001" s="355">
        <v>2</v>
      </c>
    </row>
    <row r="2002" spans="1:14" hidden="1" x14ac:dyDescent="0.25">
      <c r="A2002" s="354">
        <v>0</v>
      </c>
      <c r="B2002" s="354">
        <v>1</v>
      </c>
      <c r="C2002" s="354">
        <v>1</v>
      </c>
      <c r="D2002" s="354">
        <v>0</v>
      </c>
      <c r="E2002" s="354">
        <v>2</v>
      </c>
      <c r="F2002" s="354">
        <v>0</v>
      </c>
      <c r="G2002" s="354">
        <v>0</v>
      </c>
      <c r="H2002" s="354">
        <v>0</v>
      </c>
      <c r="I2002" s="354">
        <v>1</v>
      </c>
      <c r="J2002" s="354">
        <v>1</v>
      </c>
      <c r="K2002" s="354">
        <v>0</v>
      </c>
      <c r="L2002" s="354">
        <v>0</v>
      </c>
      <c r="M2002" s="355">
        <v>4</v>
      </c>
      <c r="N2002" s="355">
        <v>2</v>
      </c>
    </row>
    <row r="2003" spans="1:14" hidden="1" x14ac:dyDescent="0.25">
      <c r="A2003" s="354">
        <v>1</v>
      </c>
      <c r="B2003" s="354">
        <v>0</v>
      </c>
      <c r="C2003" s="354">
        <v>1</v>
      </c>
      <c r="D2003" s="354">
        <v>0</v>
      </c>
      <c r="E2003" s="354">
        <v>2</v>
      </c>
      <c r="F2003" s="354">
        <v>1</v>
      </c>
      <c r="G2003" s="354">
        <v>0</v>
      </c>
      <c r="H2003" s="354">
        <v>0</v>
      </c>
      <c r="I2003" s="354">
        <v>1</v>
      </c>
      <c r="J2003" s="354">
        <v>1</v>
      </c>
      <c r="K2003" s="354">
        <v>0</v>
      </c>
      <c r="L2003" s="354">
        <v>0</v>
      </c>
      <c r="M2003" s="355">
        <v>5</v>
      </c>
      <c r="N2003" s="355">
        <v>2</v>
      </c>
    </row>
    <row r="2004" spans="1:14" hidden="1" x14ac:dyDescent="0.25">
      <c r="A2004" s="354">
        <v>1</v>
      </c>
      <c r="B2004" s="354">
        <v>0</v>
      </c>
      <c r="C2004" s="354">
        <v>1</v>
      </c>
      <c r="D2004" s="354">
        <v>1</v>
      </c>
      <c r="E2004" s="354">
        <v>2</v>
      </c>
      <c r="F2004" s="354">
        <v>1</v>
      </c>
      <c r="G2004" s="354">
        <v>0</v>
      </c>
      <c r="H2004" s="354">
        <v>0</v>
      </c>
      <c r="I2004" s="354">
        <v>1</v>
      </c>
      <c r="J2004" s="354">
        <v>1</v>
      </c>
      <c r="K2004" s="354">
        <v>0</v>
      </c>
      <c r="L2004" s="354">
        <v>0</v>
      </c>
      <c r="M2004" s="355">
        <v>5</v>
      </c>
      <c r="N2004" s="355">
        <v>3</v>
      </c>
    </row>
    <row r="2005" spans="1:14" hidden="1" x14ac:dyDescent="0.25">
      <c r="A2005" s="354">
        <v>1</v>
      </c>
      <c r="B2005" s="354">
        <v>0</v>
      </c>
      <c r="C2005" s="354">
        <v>1</v>
      </c>
      <c r="D2005" s="354">
        <v>0</v>
      </c>
      <c r="E2005" s="354">
        <v>1</v>
      </c>
      <c r="F2005" s="354">
        <v>2</v>
      </c>
      <c r="G2005" s="354">
        <v>0</v>
      </c>
      <c r="H2005" s="354">
        <v>0</v>
      </c>
      <c r="I2005" s="354">
        <v>1</v>
      </c>
      <c r="J2005" s="354">
        <v>1</v>
      </c>
      <c r="K2005" s="354">
        <v>0</v>
      </c>
      <c r="L2005" s="354">
        <v>0</v>
      </c>
      <c r="M2005" s="355">
        <v>4</v>
      </c>
      <c r="N2005" s="355">
        <v>3</v>
      </c>
    </row>
    <row r="2006" spans="1:14" hidden="1" x14ac:dyDescent="0.25">
      <c r="A2006" s="354">
        <v>1</v>
      </c>
      <c r="B2006" s="354">
        <v>0</v>
      </c>
      <c r="C2006" s="354">
        <v>1</v>
      </c>
      <c r="D2006" s="354">
        <v>1</v>
      </c>
      <c r="E2006" s="354">
        <v>2</v>
      </c>
      <c r="F2006" s="354">
        <v>0</v>
      </c>
      <c r="G2006" s="354">
        <v>0</v>
      </c>
      <c r="H2006" s="354">
        <v>0</v>
      </c>
      <c r="I2006" s="354">
        <v>1</v>
      </c>
      <c r="J2006" s="354">
        <v>1</v>
      </c>
      <c r="K2006" s="354">
        <v>0</v>
      </c>
      <c r="L2006" s="354">
        <v>0</v>
      </c>
      <c r="M2006" s="355">
        <v>5</v>
      </c>
      <c r="N2006" s="355">
        <v>2</v>
      </c>
    </row>
    <row r="2007" spans="1:14" hidden="1" x14ac:dyDescent="0.25">
      <c r="A2007" s="354">
        <v>0</v>
      </c>
      <c r="B2007" s="354">
        <v>0</v>
      </c>
      <c r="C2007" s="354">
        <v>0</v>
      </c>
      <c r="D2007" s="354">
        <v>0</v>
      </c>
      <c r="E2007" s="354">
        <v>1</v>
      </c>
      <c r="F2007" s="354">
        <v>3</v>
      </c>
      <c r="G2007" s="354">
        <v>0</v>
      </c>
      <c r="H2007" s="354">
        <v>0</v>
      </c>
      <c r="I2007" s="354">
        <v>1</v>
      </c>
      <c r="J2007" s="354">
        <v>1</v>
      </c>
      <c r="K2007" s="354">
        <v>0</v>
      </c>
      <c r="L2007" s="354">
        <v>0</v>
      </c>
      <c r="M2007" s="355">
        <v>2</v>
      </c>
      <c r="N2007" s="355">
        <v>4</v>
      </c>
    </row>
    <row r="2008" spans="1:14" hidden="1" x14ac:dyDescent="0.25">
      <c r="A2008" s="354">
        <v>1</v>
      </c>
      <c r="B2008" s="354">
        <v>1</v>
      </c>
      <c r="C2008" s="354">
        <v>0</v>
      </c>
      <c r="D2008" s="354">
        <v>1</v>
      </c>
      <c r="E2008" s="354">
        <v>1</v>
      </c>
      <c r="F2008" s="354">
        <v>1</v>
      </c>
      <c r="G2008" s="354">
        <v>1</v>
      </c>
      <c r="H2008" s="354">
        <v>1</v>
      </c>
      <c r="I2008" s="354">
        <v>0</v>
      </c>
      <c r="J2008" s="354">
        <v>1</v>
      </c>
      <c r="K2008" s="354">
        <v>0</v>
      </c>
      <c r="L2008" s="354">
        <v>0</v>
      </c>
      <c r="M2008" s="355">
        <v>3</v>
      </c>
      <c r="N2008" s="355">
        <v>5</v>
      </c>
    </row>
    <row r="2009" spans="1:14" hidden="1" x14ac:dyDescent="0.25">
      <c r="A2009" s="354">
        <v>1</v>
      </c>
      <c r="B2009" s="354">
        <v>0</v>
      </c>
      <c r="C2009" s="354">
        <v>0</v>
      </c>
      <c r="D2009" s="354">
        <v>1</v>
      </c>
      <c r="E2009" s="354">
        <v>0</v>
      </c>
      <c r="F2009" s="354">
        <v>0</v>
      </c>
      <c r="G2009" s="354">
        <v>0</v>
      </c>
      <c r="H2009" s="354">
        <v>0</v>
      </c>
      <c r="I2009" s="354">
        <v>1</v>
      </c>
      <c r="J2009" s="354">
        <v>1</v>
      </c>
      <c r="K2009" s="354">
        <v>0</v>
      </c>
      <c r="L2009" s="354">
        <v>0</v>
      </c>
      <c r="M2009" s="355">
        <v>2</v>
      </c>
      <c r="N2009" s="355">
        <v>2</v>
      </c>
    </row>
    <row r="2010" spans="1:14" hidden="1" x14ac:dyDescent="0.25">
      <c r="A2010" s="354">
        <v>1</v>
      </c>
      <c r="B2010" s="354">
        <v>0</v>
      </c>
      <c r="C2010" s="354">
        <v>1</v>
      </c>
      <c r="D2010" s="354">
        <v>2</v>
      </c>
      <c r="E2010" s="354">
        <v>1</v>
      </c>
      <c r="F2010" s="354">
        <v>1</v>
      </c>
      <c r="G2010" s="354">
        <v>1</v>
      </c>
      <c r="H2010" s="354">
        <v>1</v>
      </c>
      <c r="I2010" s="354">
        <v>1</v>
      </c>
      <c r="J2010" s="354">
        <v>1</v>
      </c>
      <c r="K2010" s="354">
        <v>1</v>
      </c>
      <c r="L2010" s="354">
        <v>1</v>
      </c>
      <c r="M2010" s="355">
        <v>6</v>
      </c>
      <c r="N2010" s="355">
        <v>6</v>
      </c>
    </row>
    <row r="2011" spans="1:14" hidden="1" x14ac:dyDescent="0.25">
      <c r="A2011" s="354">
        <v>0</v>
      </c>
      <c r="B2011" s="354">
        <v>1</v>
      </c>
      <c r="C2011" s="354">
        <v>2</v>
      </c>
      <c r="D2011" s="354">
        <v>0</v>
      </c>
      <c r="E2011" s="354">
        <v>1</v>
      </c>
      <c r="F2011" s="354">
        <v>1</v>
      </c>
      <c r="G2011" s="354">
        <v>1</v>
      </c>
      <c r="H2011" s="354">
        <v>1</v>
      </c>
      <c r="I2011" s="354">
        <v>2</v>
      </c>
      <c r="J2011" s="354">
        <v>2</v>
      </c>
      <c r="K2011" s="354">
        <v>1</v>
      </c>
      <c r="L2011" s="354">
        <v>1</v>
      </c>
      <c r="M2011" s="355">
        <v>7</v>
      </c>
      <c r="N2011" s="355">
        <v>6</v>
      </c>
    </row>
    <row r="2012" spans="1:14" hidden="1" x14ac:dyDescent="0.25">
      <c r="A2012" s="354">
        <v>1</v>
      </c>
      <c r="B2012" s="354">
        <v>0</v>
      </c>
      <c r="C2012" s="354">
        <v>1</v>
      </c>
      <c r="D2012" s="354">
        <v>0</v>
      </c>
      <c r="E2012" s="354">
        <v>0</v>
      </c>
      <c r="F2012" s="354">
        <v>1</v>
      </c>
      <c r="G2012" s="354">
        <v>1</v>
      </c>
      <c r="H2012" s="354">
        <v>0</v>
      </c>
      <c r="I2012" s="354">
        <v>1</v>
      </c>
      <c r="J2012" s="354">
        <v>2</v>
      </c>
      <c r="K2012" s="354">
        <v>1</v>
      </c>
      <c r="L2012" s="354">
        <v>1</v>
      </c>
      <c r="M2012" s="355">
        <v>5</v>
      </c>
      <c r="N2012" s="355">
        <v>4</v>
      </c>
    </row>
    <row r="2013" spans="1:14" hidden="1" x14ac:dyDescent="0.25">
      <c r="A2013" s="354">
        <v>1</v>
      </c>
      <c r="B2013" s="354">
        <v>1</v>
      </c>
      <c r="C2013" s="354">
        <v>1</v>
      </c>
      <c r="D2013" s="354">
        <v>1</v>
      </c>
      <c r="E2013" s="354">
        <v>2</v>
      </c>
      <c r="F2013" s="354">
        <v>1</v>
      </c>
      <c r="G2013" s="354">
        <v>1</v>
      </c>
      <c r="H2013" s="354">
        <v>2</v>
      </c>
      <c r="I2013" s="354">
        <v>1</v>
      </c>
      <c r="J2013" s="354">
        <v>1</v>
      </c>
      <c r="K2013" s="354">
        <v>1</v>
      </c>
      <c r="L2013" s="354">
        <v>1</v>
      </c>
      <c r="M2013" s="355">
        <v>7</v>
      </c>
      <c r="N2013" s="355">
        <v>7</v>
      </c>
    </row>
    <row r="2014" spans="1:14" hidden="1" x14ac:dyDescent="0.25">
      <c r="A2014" s="354">
        <v>1</v>
      </c>
      <c r="B2014" s="354">
        <v>0</v>
      </c>
      <c r="C2014" s="354">
        <v>1</v>
      </c>
      <c r="D2014" s="354">
        <v>1</v>
      </c>
      <c r="E2014" s="354">
        <v>1</v>
      </c>
      <c r="F2014" s="354">
        <v>2</v>
      </c>
      <c r="G2014" s="354">
        <v>1</v>
      </c>
      <c r="H2014" s="354">
        <v>1</v>
      </c>
      <c r="I2014" s="354">
        <v>2</v>
      </c>
      <c r="J2014" s="354">
        <v>2</v>
      </c>
      <c r="K2014" s="354">
        <v>1</v>
      </c>
      <c r="L2014" s="354">
        <v>0</v>
      </c>
      <c r="M2014" s="355">
        <v>7</v>
      </c>
      <c r="N2014" s="355">
        <v>6</v>
      </c>
    </row>
    <row r="2015" spans="1:14" hidden="1" x14ac:dyDescent="0.25">
      <c r="A2015" s="354">
        <v>1</v>
      </c>
      <c r="B2015" s="354">
        <v>0</v>
      </c>
      <c r="C2015" s="354">
        <v>1</v>
      </c>
      <c r="D2015" s="354">
        <v>1</v>
      </c>
      <c r="E2015" s="354">
        <v>0</v>
      </c>
      <c r="F2015" s="354">
        <v>0</v>
      </c>
      <c r="G2015" s="354">
        <v>0</v>
      </c>
      <c r="H2015" s="354">
        <v>0</v>
      </c>
      <c r="I2015" s="354">
        <v>1</v>
      </c>
      <c r="J2015" s="354">
        <v>1</v>
      </c>
      <c r="K2015" s="354">
        <v>0</v>
      </c>
      <c r="L2015" s="354">
        <v>0</v>
      </c>
      <c r="M2015" s="355">
        <v>3</v>
      </c>
      <c r="N2015" s="355">
        <v>2</v>
      </c>
    </row>
    <row r="2016" spans="1:14" hidden="1" x14ac:dyDescent="0.25">
      <c r="A2016" s="354">
        <v>2</v>
      </c>
      <c r="B2016" s="354">
        <v>1</v>
      </c>
      <c r="C2016" s="354">
        <v>1</v>
      </c>
      <c r="D2016" s="354">
        <v>1</v>
      </c>
      <c r="E2016" s="354">
        <v>0</v>
      </c>
      <c r="F2016" s="354">
        <v>3</v>
      </c>
      <c r="G2016" s="354">
        <v>0</v>
      </c>
      <c r="H2016" s="354">
        <v>0</v>
      </c>
      <c r="I2016" s="354">
        <v>10</v>
      </c>
      <c r="J2016" s="354">
        <v>2</v>
      </c>
      <c r="K2016" s="354">
        <v>0</v>
      </c>
      <c r="L2016" s="354">
        <v>1</v>
      </c>
      <c r="M2016" s="355">
        <v>13</v>
      </c>
      <c r="N2016" s="355">
        <v>8</v>
      </c>
    </row>
    <row r="2017" spans="1:14" hidden="1" x14ac:dyDescent="0.25">
      <c r="A2017" s="354">
        <v>1</v>
      </c>
      <c r="B2017" s="354">
        <v>1</v>
      </c>
      <c r="C2017" s="354">
        <v>0</v>
      </c>
      <c r="D2017" s="354">
        <v>2</v>
      </c>
      <c r="E2017" s="354">
        <v>2</v>
      </c>
      <c r="F2017" s="354">
        <v>1</v>
      </c>
      <c r="G2017" s="354">
        <v>0</v>
      </c>
      <c r="H2017" s="354">
        <v>1</v>
      </c>
      <c r="I2017" s="354">
        <v>0</v>
      </c>
      <c r="J2017" s="354">
        <v>0</v>
      </c>
      <c r="K2017" s="354">
        <v>1</v>
      </c>
      <c r="L2017" s="354">
        <v>1</v>
      </c>
      <c r="M2017" s="355">
        <v>4</v>
      </c>
      <c r="N2017" s="355">
        <v>6</v>
      </c>
    </row>
    <row r="2018" spans="1:14" hidden="1" x14ac:dyDescent="0.25">
      <c r="A2018" s="354">
        <v>1</v>
      </c>
      <c r="B2018" s="354">
        <v>1</v>
      </c>
      <c r="C2018" s="354">
        <v>1</v>
      </c>
      <c r="D2018" s="354">
        <v>0</v>
      </c>
      <c r="E2018" s="354">
        <v>1</v>
      </c>
      <c r="F2018" s="354">
        <v>2</v>
      </c>
      <c r="G2018" s="354">
        <v>0</v>
      </c>
      <c r="H2018" s="354">
        <v>1</v>
      </c>
      <c r="I2018" s="354">
        <v>1</v>
      </c>
      <c r="J2018" s="354">
        <v>1</v>
      </c>
      <c r="K2018" s="354">
        <v>1</v>
      </c>
      <c r="L2018" s="354">
        <v>1</v>
      </c>
      <c r="M2018" s="355">
        <v>5</v>
      </c>
      <c r="N2018" s="355">
        <v>6</v>
      </c>
    </row>
    <row r="2019" spans="1:14" hidden="1" x14ac:dyDescent="0.25">
      <c r="A2019" s="354">
        <v>0</v>
      </c>
      <c r="B2019" s="354">
        <v>0</v>
      </c>
      <c r="C2019" s="354">
        <v>1</v>
      </c>
      <c r="D2019" s="354">
        <v>0</v>
      </c>
      <c r="E2019" s="354">
        <v>1</v>
      </c>
      <c r="F2019" s="354">
        <v>1</v>
      </c>
      <c r="G2019" s="354">
        <v>0</v>
      </c>
      <c r="H2019" s="354">
        <v>2</v>
      </c>
      <c r="I2019" s="354">
        <v>1</v>
      </c>
      <c r="J2019" s="354">
        <v>1</v>
      </c>
      <c r="K2019" s="354">
        <v>0</v>
      </c>
      <c r="L2019" s="354">
        <v>0</v>
      </c>
      <c r="M2019" s="355">
        <v>3</v>
      </c>
      <c r="N2019" s="355">
        <v>4</v>
      </c>
    </row>
    <row r="2020" spans="1:14" hidden="1" x14ac:dyDescent="0.25">
      <c r="A2020" s="354">
        <v>1</v>
      </c>
      <c r="B2020" s="354">
        <v>1</v>
      </c>
      <c r="C2020" s="354">
        <v>1</v>
      </c>
      <c r="D2020" s="354">
        <v>1</v>
      </c>
      <c r="E2020" s="354">
        <v>1</v>
      </c>
      <c r="F2020" s="354">
        <v>0</v>
      </c>
      <c r="G2020" s="354">
        <v>0</v>
      </c>
      <c r="H2020" s="354">
        <v>0</v>
      </c>
      <c r="I2020" s="354">
        <v>1</v>
      </c>
      <c r="J2020" s="354">
        <v>1</v>
      </c>
      <c r="K2020" s="354">
        <v>0</v>
      </c>
      <c r="L2020" s="354">
        <v>0</v>
      </c>
      <c r="M2020" s="355">
        <v>4</v>
      </c>
      <c r="N2020" s="355">
        <v>3</v>
      </c>
    </row>
    <row r="2021" spans="1:14" hidden="1" x14ac:dyDescent="0.25">
      <c r="A2021" s="354">
        <v>0</v>
      </c>
      <c r="B2021" s="354">
        <v>0</v>
      </c>
      <c r="C2021" s="354">
        <v>0</v>
      </c>
      <c r="D2021" s="354">
        <v>0</v>
      </c>
      <c r="E2021" s="354">
        <v>1</v>
      </c>
      <c r="F2021" s="354">
        <v>1</v>
      </c>
      <c r="G2021" s="354"/>
      <c r="H2021" s="354">
        <v>0</v>
      </c>
      <c r="I2021" s="354">
        <v>0</v>
      </c>
      <c r="J2021" s="354">
        <v>1</v>
      </c>
      <c r="K2021" s="354">
        <v>0</v>
      </c>
      <c r="L2021" s="354">
        <v>0</v>
      </c>
      <c r="M2021" s="355">
        <v>1</v>
      </c>
      <c r="N2021" s="355">
        <v>2</v>
      </c>
    </row>
    <row r="2022" spans="1:14" hidden="1" x14ac:dyDescent="0.25">
      <c r="A2022" s="354">
        <v>0</v>
      </c>
      <c r="B2022" s="354">
        <v>0</v>
      </c>
      <c r="C2022" s="354">
        <v>0</v>
      </c>
      <c r="D2022" s="354">
        <v>1</v>
      </c>
      <c r="E2022" s="354">
        <v>1</v>
      </c>
      <c r="F2022" s="354">
        <v>0</v>
      </c>
      <c r="G2022" s="354">
        <v>0</v>
      </c>
      <c r="H2022" s="354">
        <v>1</v>
      </c>
      <c r="I2022" s="354">
        <v>1</v>
      </c>
      <c r="J2022" s="354">
        <v>1</v>
      </c>
      <c r="K2022" s="354">
        <v>0</v>
      </c>
      <c r="L2022" s="354">
        <v>0</v>
      </c>
      <c r="M2022" s="355">
        <v>2</v>
      </c>
      <c r="N2022" s="355">
        <v>3</v>
      </c>
    </row>
    <row r="2023" spans="1:14" hidden="1" x14ac:dyDescent="0.25">
      <c r="A2023" s="354">
        <v>0</v>
      </c>
      <c r="B2023" s="354">
        <v>0</v>
      </c>
      <c r="C2023" s="354">
        <v>2</v>
      </c>
      <c r="D2023" s="354">
        <v>0</v>
      </c>
      <c r="E2023" s="354">
        <v>3</v>
      </c>
      <c r="F2023" s="354">
        <v>1</v>
      </c>
      <c r="G2023" s="354">
        <v>0</v>
      </c>
      <c r="H2023" s="354">
        <v>2</v>
      </c>
      <c r="I2023" s="354">
        <v>3</v>
      </c>
      <c r="J2023" s="354">
        <v>3</v>
      </c>
      <c r="K2023" s="354">
        <v>0</v>
      </c>
      <c r="L2023" s="354">
        <v>0</v>
      </c>
      <c r="M2023" s="355">
        <v>8</v>
      </c>
      <c r="N2023" s="355">
        <v>6</v>
      </c>
    </row>
    <row r="2024" spans="1:14" hidden="1" x14ac:dyDescent="0.25">
      <c r="A2024" s="354">
        <v>0</v>
      </c>
      <c r="B2024" s="354">
        <v>0</v>
      </c>
      <c r="C2024" s="354">
        <v>0</v>
      </c>
      <c r="D2024" s="354">
        <v>1</v>
      </c>
      <c r="E2024" s="354">
        <v>1</v>
      </c>
      <c r="F2024" s="354">
        <v>0</v>
      </c>
      <c r="G2024" s="354">
        <v>0</v>
      </c>
      <c r="H2024" s="354">
        <v>0</v>
      </c>
      <c r="I2024" s="354">
        <v>0</v>
      </c>
      <c r="J2024" s="354">
        <v>1</v>
      </c>
      <c r="K2024" s="354">
        <v>0</v>
      </c>
      <c r="L2024" s="354">
        <v>0</v>
      </c>
      <c r="M2024" s="355">
        <v>1</v>
      </c>
      <c r="N2024" s="355">
        <v>2</v>
      </c>
    </row>
    <row r="2025" spans="1:14" hidden="1" x14ac:dyDescent="0.25">
      <c r="A2025" s="354">
        <v>0</v>
      </c>
      <c r="B2025" s="354">
        <v>0</v>
      </c>
      <c r="C2025" s="354">
        <v>0</v>
      </c>
      <c r="D2025" s="354">
        <v>2</v>
      </c>
      <c r="E2025" s="354">
        <v>2</v>
      </c>
      <c r="F2025" s="354">
        <v>0</v>
      </c>
      <c r="G2025" s="354">
        <v>0</v>
      </c>
      <c r="H2025" s="354">
        <v>0</v>
      </c>
      <c r="I2025" s="354">
        <v>1</v>
      </c>
      <c r="J2025" s="354">
        <v>1</v>
      </c>
      <c r="K2025" s="354">
        <v>0</v>
      </c>
      <c r="L2025" s="354">
        <v>0</v>
      </c>
      <c r="M2025" s="355">
        <v>3</v>
      </c>
      <c r="N2025" s="355">
        <v>3</v>
      </c>
    </row>
    <row r="2026" spans="1:14" hidden="1" x14ac:dyDescent="0.25">
      <c r="A2026" s="354">
        <v>0</v>
      </c>
      <c r="B2026" s="354">
        <v>0</v>
      </c>
      <c r="C2026" s="354">
        <v>1</v>
      </c>
      <c r="D2026" s="354">
        <v>0</v>
      </c>
      <c r="E2026" s="354">
        <v>0</v>
      </c>
      <c r="F2026" s="354">
        <v>2</v>
      </c>
      <c r="G2026" s="354">
        <v>1</v>
      </c>
      <c r="H2026" s="354">
        <v>0</v>
      </c>
      <c r="I2026" s="354">
        <v>2</v>
      </c>
      <c r="J2026" s="354">
        <v>2</v>
      </c>
      <c r="K2026" s="354">
        <v>0</v>
      </c>
      <c r="L2026" s="354">
        <v>0</v>
      </c>
      <c r="M2026" s="355">
        <v>4</v>
      </c>
      <c r="N2026" s="355">
        <v>4</v>
      </c>
    </row>
    <row r="2027" spans="1:14" hidden="1" x14ac:dyDescent="0.25">
      <c r="A2027" s="354">
        <v>0</v>
      </c>
      <c r="B2027" s="354">
        <v>0</v>
      </c>
      <c r="C2027" s="354">
        <v>1</v>
      </c>
      <c r="D2027" s="354">
        <v>0</v>
      </c>
      <c r="E2027" s="354">
        <v>0</v>
      </c>
      <c r="F2027" s="354">
        <v>2</v>
      </c>
      <c r="G2027" s="354">
        <v>1</v>
      </c>
      <c r="H2027" s="354">
        <v>0</v>
      </c>
      <c r="I2027" s="354">
        <v>1</v>
      </c>
      <c r="J2027" s="354">
        <v>1</v>
      </c>
      <c r="K2027" s="354">
        <v>0</v>
      </c>
      <c r="L2027" s="354">
        <v>0</v>
      </c>
      <c r="M2027" s="355">
        <v>3</v>
      </c>
      <c r="N2027" s="355">
        <v>3</v>
      </c>
    </row>
    <row r="2028" spans="1:14" hidden="1" x14ac:dyDescent="0.25">
      <c r="A2028" s="354">
        <v>0</v>
      </c>
      <c r="B2028" s="354">
        <v>0</v>
      </c>
      <c r="C2028" s="354">
        <v>0</v>
      </c>
      <c r="D2028" s="354">
        <v>0</v>
      </c>
      <c r="E2028" s="354">
        <v>0</v>
      </c>
      <c r="F2028" s="354">
        <v>0</v>
      </c>
      <c r="G2028" s="354">
        <v>0</v>
      </c>
      <c r="H2028" s="354">
        <v>0</v>
      </c>
      <c r="I2028" s="354">
        <v>2</v>
      </c>
      <c r="J2028" s="354">
        <v>0</v>
      </c>
      <c r="K2028" s="354">
        <v>1</v>
      </c>
      <c r="L2028" s="354">
        <v>1</v>
      </c>
      <c r="M2028" s="355">
        <v>3</v>
      </c>
      <c r="N2028" s="355">
        <v>1</v>
      </c>
    </row>
    <row r="2029" spans="1:14" hidden="1" x14ac:dyDescent="0.25">
      <c r="A2029" s="354">
        <v>0</v>
      </c>
      <c r="B2029" s="354">
        <v>0</v>
      </c>
      <c r="C2029" s="354">
        <v>0</v>
      </c>
      <c r="D2029" s="354">
        <v>0</v>
      </c>
      <c r="E2029" s="354">
        <v>2</v>
      </c>
      <c r="F2029" s="354">
        <v>1</v>
      </c>
      <c r="G2029" s="354">
        <v>0</v>
      </c>
      <c r="H2029" s="354">
        <v>1</v>
      </c>
      <c r="I2029" s="354">
        <v>1</v>
      </c>
      <c r="J2029" s="354">
        <v>1</v>
      </c>
      <c r="K2029" s="354">
        <v>0</v>
      </c>
      <c r="L2029" s="354">
        <v>0</v>
      </c>
      <c r="M2029" s="355">
        <v>3</v>
      </c>
      <c r="N2029" s="355">
        <v>3</v>
      </c>
    </row>
    <row r="2030" spans="1:14" hidden="1" x14ac:dyDescent="0.25">
      <c r="A2030" s="354">
        <v>2</v>
      </c>
      <c r="B2030" s="354">
        <v>1</v>
      </c>
      <c r="C2030" s="354">
        <v>0</v>
      </c>
      <c r="D2030" s="354">
        <v>0</v>
      </c>
      <c r="E2030" s="354">
        <v>0</v>
      </c>
      <c r="F2030" s="354">
        <v>1</v>
      </c>
      <c r="G2030" s="354">
        <v>1</v>
      </c>
      <c r="H2030" s="354">
        <v>1</v>
      </c>
      <c r="I2030" s="354">
        <v>1</v>
      </c>
      <c r="J2030" s="354">
        <v>1</v>
      </c>
      <c r="K2030" s="354">
        <v>0</v>
      </c>
      <c r="L2030" s="354">
        <v>0</v>
      </c>
      <c r="M2030" s="355">
        <v>4</v>
      </c>
      <c r="N2030" s="355">
        <v>4</v>
      </c>
    </row>
    <row r="2031" spans="1:14" hidden="1" x14ac:dyDescent="0.25">
      <c r="A2031" s="354">
        <v>1</v>
      </c>
      <c r="B2031" s="354">
        <v>2</v>
      </c>
      <c r="C2031" s="354">
        <v>1</v>
      </c>
      <c r="D2031" s="354">
        <v>1</v>
      </c>
      <c r="E2031" s="354">
        <v>0</v>
      </c>
      <c r="F2031" s="354">
        <v>0</v>
      </c>
      <c r="G2031" s="354">
        <v>0</v>
      </c>
      <c r="H2031" s="354">
        <v>0</v>
      </c>
      <c r="I2031" s="354">
        <v>1</v>
      </c>
      <c r="J2031" s="354">
        <v>1</v>
      </c>
      <c r="K2031" s="354">
        <v>0</v>
      </c>
      <c r="L2031" s="354">
        <v>0</v>
      </c>
      <c r="M2031" s="355">
        <v>3</v>
      </c>
      <c r="N2031" s="355">
        <v>4</v>
      </c>
    </row>
    <row r="2032" spans="1:14" hidden="1" x14ac:dyDescent="0.25">
      <c r="A2032" s="354">
        <v>0</v>
      </c>
      <c r="B2032" s="354">
        <v>0</v>
      </c>
      <c r="C2032" s="354">
        <v>0</v>
      </c>
      <c r="D2032" s="354">
        <v>1</v>
      </c>
      <c r="E2032" s="354">
        <v>2</v>
      </c>
      <c r="F2032" s="354">
        <v>0</v>
      </c>
      <c r="G2032" s="354">
        <v>0</v>
      </c>
      <c r="H2032" s="354">
        <v>1</v>
      </c>
      <c r="I2032" s="354">
        <v>1</v>
      </c>
      <c r="J2032" s="354">
        <v>1</v>
      </c>
      <c r="K2032" s="354">
        <v>0</v>
      </c>
      <c r="L2032" s="354">
        <v>0</v>
      </c>
      <c r="M2032" s="355">
        <v>3</v>
      </c>
      <c r="N2032" s="355">
        <v>3</v>
      </c>
    </row>
    <row r="2033" spans="1:14" hidden="1" x14ac:dyDescent="0.25">
      <c r="A2033" s="354">
        <v>2</v>
      </c>
      <c r="B2033" s="354">
        <v>0</v>
      </c>
      <c r="C2033" s="354">
        <v>1</v>
      </c>
      <c r="D2033" s="354">
        <v>2</v>
      </c>
      <c r="E2033" s="354">
        <v>3</v>
      </c>
      <c r="F2033" s="354">
        <v>1</v>
      </c>
      <c r="G2033" s="354">
        <v>0</v>
      </c>
      <c r="H2033" s="354">
        <v>0</v>
      </c>
      <c r="I2033" s="354">
        <v>2</v>
      </c>
      <c r="J2033" s="354">
        <v>1</v>
      </c>
      <c r="K2033" s="354">
        <v>0</v>
      </c>
      <c r="L2033" s="354">
        <v>0</v>
      </c>
      <c r="M2033" s="355">
        <v>8</v>
      </c>
      <c r="N2033" s="355">
        <v>4</v>
      </c>
    </row>
    <row r="2034" spans="1:14" hidden="1" x14ac:dyDescent="0.25">
      <c r="A2034" s="354">
        <v>0</v>
      </c>
      <c r="B2034" s="354">
        <v>1</v>
      </c>
      <c r="C2034" s="354">
        <v>1</v>
      </c>
      <c r="D2034" s="354">
        <v>1</v>
      </c>
      <c r="E2034" s="354">
        <v>1</v>
      </c>
      <c r="F2034" s="354">
        <v>2</v>
      </c>
      <c r="G2034" s="354">
        <v>0</v>
      </c>
      <c r="H2034" s="354">
        <v>2</v>
      </c>
      <c r="I2034" s="354">
        <v>2</v>
      </c>
      <c r="J2034" s="354">
        <v>1</v>
      </c>
      <c r="K2034" s="354">
        <v>0</v>
      </c>
      <c r="L2034" s="354">
        <v>0</v>
      </c>
      <c r="M2034" s="355">
        <v>4</v>
      </c>
      <c r="N2034" s="355">
        <v>7</v>
      </c>
    </row>
    <row r="2035" spans="1:14" hidden="1" x14ac:dyDescent="0.25">
      <c r="A2035" s="354">
        <v>0</v>
      </c>
      <c r="B2035" s="354">
        <v>0</v>
      </c>
      <c r="C2035" s="354">
        <v>0</v>
      </c>
      <c r="D2035" s="354">
        <v>1</v>
      </c>
      <c r="E2035" s="354">
        <v>0</v>
      </c>
      <c r="F2035" s="354">
        <v>1</v>
      </c>
      <c r="G2035" s="354">
        <v>1</v>
      </c>
      <c r="H2035" s="354">
        <v>1</v>
      </c>
      <c r="I2035" s="354">
        <v>0</v>
      </c>
      <c r="J2035" s="354">
        <v>1</v>
      </c>
      <c r="K2035" s="354">
        <v>0</v>
      </c>
      <c r="L2035" s="354">
        <v>0</v>
      </c>
      <c r="M2035" s="355">
        <v>1</v>
      </c>
      <c r="N2035" s="355">
        <v>4</v>
      </c>
    </row>
    <row r="2036" spans="1:14" hidden="1" x14ac:dyDescent="0.25">
      <c r="A2036" s="354">
        <v>0</v>
      </c>
      <c r="B2036" s="354">
        <v>1</v>
      </c>
      <c r="C2036" s="354">
        <v>1</v>
      </c>
      <c r="D2036" s="354">
        <v>1</v>
      </c>
      <c r="E2036" s="354">
        <v>0</v>
      </c>
      <c r="F2036" s="354">
        <v>1</v>
      </c>
      <c r="G2036" s="354">
        <v>0</v>
      </c>
      <c r="H2036" s="354">
        <v>0</v>
      </c>
      <c r="I2036" s="354">
        <v>1</v>
      </c>
      <c r="J2036" s="354">
        <v>1</v>
      </c>
      <c r="K2036" s="354">
        <v>0</v>
      </c>
      <c r="L2036" s="354">
        <v>0</v>
      </c>
      <c r="M2036" s="355">
        <v>2</v>
      </c>
      <c r="N2036" s="355">
        <v>4</v>
      </c>
    </row>
    <row r="2037" spans="1:14" hidden="1" x14ac:dyDescent="0.25">
      <c r="A2037" s="354">
        <v>0</v>
      </c>
      <c r="B2037" s="354">
        <v>0</v>
      </c>
      <c r="C2037" s="354">
        <v>0</v>
      </c>
      <c r="D2037" s="354">
        <v>1</v>
      </c>
      <c r="E2037" s="354">
        <v>1</v>
      </c>
      <c r="F2037" s="354">
        <v>0</v>
      </c>
      <c r="G2037" s="354">
        <v>0</v>
      </c>
      <c r="H2037" s="354">
        <v>0</v>
      </c>
      <c r="I2037" s="354">
        <v>0</v>
      </c>
      <c r="J2037" s="354">
        <v>1</v>
      </c>
      <c r="K2037" s="354">
        <v>0</v>
      </c>
      <c r="L2037" s="354">
        <v>0</v>
      </c>
      <c r="M2037" s="355">
        <v>1</v>
      </c>
      <c r="N2037" s="355">
        <v>2</v>
      </c>
    </row>
    <row r="2038" spans="1:14" hidden="1" x14ac:dyDescent="0.25">
      <c r="A2038" s="354">
        <v>0</v>
      </c>
      <c r="B2038" s="354">
        <v>0</v>
      </c>
      <c r="C2038" s="354">
        <v>1</v>
      </c>
      <c r="D2038" s="354">
        <v>0</v>
      </c>
      <c r="E2038" s="354">
        <v>1</v>
      </c>
      <c r="F2038" s="354">
        <v>1</v>
      </c>
      <c r="G2038" s="354">
        <v>0</v>
      </c>
      <c r="H2038" s="354">
        <v>0</v>
      </c>
      <c r="I2038" s="354">
        <v>1</v>
      </c>
      <c r="J2038" s="354">
        <v>1</v>
      </c>
      <c r="K2038" s="354">
        <v>0</v>
      </c>
      <c r="L2038" s="354">
        <v>0</v>
      </c>
      <c r="M2038" s="355">
        <v>3</v>
      </c>
      <c r="N2038" s="355">
        <v>2</v>
      </c>
    </row>
    <row r="2039" spans="1:14" hidden="1" x14ac:dyDescent="0.25">
      <c r="A2039" s="354">
        <v>0</v>
      </c>
      <c r="B2039" s="354">
        <v>0</v>
      </c>
      <c r="C2039" s="354">
        <v>0</v>
      </c>
      <c r="D2039" s="354">
        <v>0</v>
      </c>
      <c r="E2039" s="354">
        <v>1</v>
      </c>
      <c r="F2039" s="354">
        <v>0</v>
      </c>
      <c r="G2039" s="354">
        <v>1</v>
      </c>
      <c r="H2039" s="354">
        <v>0</v>
      </c>
      <c r="I2039" s="354">
        <v>2</v>
      </c>
      <c r="J2039" s="354">
        <v>3</v>
      </c>
      <c r="K2039" s="354">
        <v>0</v>
      </c>
      <c r="L2039" s="354">
        <v>0</v>
      </c>
      <c r="M2039" s="355">
        <v>4</v>
      </c>
      <c r="N2039" s="355">
        <v>3</v>
      </c>
    </row>
    <row r="2040" spans="1:14" hidden="1" x14ac:dyDescent="0.25">
      <c r="A2040" s="354">
        <v>0</v>
      </c>
      <c r="B2040" s="354">
        <v>0</v>
      </c>
      <c r="C2040" s="354">
        <v>1</v>
      </c>
      <c r="D2040" s="354">
        <v>0</v>
      </c>
      <c r="E2040" s="354">
        <v>2</v>
      </c>
      <c r="F2040" s="354">
        <v>0</v>
      </c>
      <c r="G2040" s="354">
        <v>0</v>
      </c>
      <c r="H2040" s="354">
        <v>1</v>
      </c>
      <c r="I2040" s="354">
        <v>1</v>
      </c>
      <c r="J2040" s="354">
        <v>1</v>
      </c>
      <c r="K2040" s="354">
        <v>0</v>
      </c>
      <c r="L2040" s="354">
        <v>0</v>
      </c>
      <c r="M2040" s="355">
        <v>4</v>
      </c>
      <c r="N2040" s="355">
        <v>2</v>
      </c>
    </row>
    <row r="2041" spans="1:14" hidden="1" x14ac:dyDescent="0.25">
      <c r="A2041" s="354">
        <v>2</v>
      </c>
      <c r="B2041" s="354">
        <v>0</v>
      </c>
      <c r="C2041" s="354">
        <v>0</v>
      </c>
      <c r="D2041" s="354">
        <v>0</v>
      </c>
      <c r="E2041" s="354">
        <v>1</v>
      </c>
      <c r="F2041" s="354">
        <v>2</v>
      </c>
      <c r="G2041" s="354">
        <v>0</v>
      </c>
      <c r="H2041" s="354">
        <v>0</v>
      </c>
      <c r="I2041" s="354">
        <v>1</v>
      </c>
      <c r="J2041" s="354">
        <v>1</v>
      </c>
      <c r="K2041" s="354">
        <v>0</v>
      </c>
      <c r="L2041" s="354">
        <v>0</v>
      </c>
      <c r="M2041" s="355">
        <v>4</v>
      </c>
      <c r="N2041" s="355">
        <v>3</v>
      </c>
    </row>
    <row r="2042" spans="1:14" hidden="1" x14ac:dyDescent="0.25">
      <c r="A2042" s="354">
        <v>1</v>
      </c>
      <c r="B2042" s="354">
        <v>0</v>
      </c>
      <c r="C2042" s="354">
        <v>0</v>
      </c>
      <c r="D2042" s="354">
        <v>0</v>
      </c>
      <c r="E2042" s="354">
        <v>1</v>
      </c>
      <c r="F2042" s="354">
        <v>2</v>
      </c>
      <c r="G2042" s="354">
        <v>0</v>
      </c>
      <c r="H2042" s="354">
        <v>0</v>
      </c>
      <c r="I2042" s="354">
        <v>0</v>
      </c>
      <c r="J2042" s="354">
        <v>1</v>
      </c>
      <c r="K2042" s="354">
        <v>0</v>
      </c>
      <c r="L2042" s="354">
        <v>0</v>
      </c>
      <c r="M2042" s="355">
        <v>2</v>
      </c>
      <c r="N2042" s="355">
        <v>3</v>
      </c>
    </row>
    <row r="2043" spans="1:14" hidden="1" x14ac:dyDescent="0.25">
      <c r="A2043" s="354">
        <v>0</v>
      </c>
      <c r="B2043" s="354">
        <v>0</v>
      </c>
      <c r="C2043" s="354">
        <v>0</v>
      </c>
      <c r="D2043" s="354">
        <v>0</v>
      </c>
      <c r="E2043" s="354">
        <v>0</v>
      </c>
      <c r="F2043" s="354">
        <v>0</v>
      </c>
      <c r="G2043" s="354">
        <v>0</v>
      </c>
      <c r="H2043" s="354">
        <v>0</v>
      </c>
      <c r="I2043" s="354">
        <v>0</v>
      </c>
      <c r="J2043" s="354">
        <v>1</v>
      </c>
      <c r="K2043" s="354">
        <v>0</v>
      </c>
      <c r="L2043" s="354">
        <v>0</v>
      </c>
      <c r="M2043" s="355">
        <v>0</v>
      </c>
      <c r="N2043" s="355">
        <v>1</v>
      </c>
    </row>
    <row r="2044" spans="1:14" hidden="1" x14ac:dyDescent="0.25">
      <c r="A2044" s="354">
        <v>1</v>
      </c>
      <c r="B2044" s="354">
        <v>2</v>
      </c>
      <c r="C2044" s="354">
        <v>1</v>
      </c>
      <c r="D2044" s="354">
        <v>1</v>
      </c>
      <c r="E2044" s="354">
        <v>0</v>
      </c>
      <c r="F2044" s="354">
        <v>0</v>
      </c>
      <c r="G2044" s="354">
        <v>0</v>
      </c>
      <c r="H2044" s="354">
        <v>1</v>
      </c>
      <c r="I2044" s="354">
        <v>1</v>
      </c>
      <c r="J2044" s="354">
        <v>2</v>
      </c>
      <c r="K2044" s="354">
        <v>0</v>
      </c>
      <c r="L2044" s="354">
        <v>0</v>
      </c>
      <c r="M2044" s="355">
        <v>3</v>
      </c>
      <c r="N2044" s="355">
        <v>6</v>
      </c>
    </row>
    <row r="2045" spans="1:14" hidden="1" x14ac:dyDescent="0.25">
      <c r="A2045" s="354">
        <v>0</v>
      </c>
      <c r="B2045" s="354">
        <v>0</v>
      </c>
      <c r="C2045" s="354">
        <v>0</v>
      </c>
      <c r="D2045" s="354">
        <v>0</v>
      </c>
      <c r="E2045" s="354">
        <v>0</v>
      </c>
      <c r="F2045" s="354">
        <v>0</v>
      </c>
      <c r="G2045" s="354">
        <v>0</v>
      </c>
      <c r="H2045" s="354">
        <v>0</v>
      </c>
      <c r="I2045" s="354">
        <v>0</v>
      </c>
      <c r="J2045" s="354">
        <v>1</v>
      </c>
      <c r="K2045" s="354">
        <v>0</v>
      </c>
      <c r="L2045" s="354">
        <v>0</v>
      </c>
      <c r="M2045" s="355">
        <v>0</v>
      </c>
      <c r="N2045" s="355">
        <v>1</v>
      </c>
    </row>
    <row r="2046" spans="1:14" hidden="1" x14ac:dyDescent="0.25">
      <c r="A2046" s="354">
        <v>0</v>
      </c>
      <c r="B2046" s="354">
        <v>0</v>
      </c>
      <c r="C2046" s="354">
        <v>1</v>
      </c>
      <c r="D2046" s="354">
        <v>1</v>
      </c>
      <c r="E2046" s="354">
        <v>0</v>
      </c>
      <c r="F2046" s="354">
        <v>2</v>
      </c>
      <c r="G2046" s="354">
        <v>0</v>
      </c>
      <c r="H2046" s="354">
        <v>0</v>
      </c>
      <c r="I2046" s="354">
        <v>1</v>
      </c>
      <c r="J2046" s="354">
        <v>1</v>
      </c>
      <c r="K2046" s="354">
        <v>0</v>
      </c>
      <c r="L2046" s="354">
        <v>0</v>
      </c>
      <c r="M2046" s="355">
        <v>2</v>
      </c>
      <c r="N2046" s="355">
        <v>4</v>
      </c>
    </row>
    <row r="2047" spans="1:14" hidden="1" x14ac:dyDescent="0.25">
      <c r="A2047" s="354">
        <v>1</v>
      </c>
      <c r="B2047" s="354">
        <v>0</v>
      </c>
      <c r="C2047" s="354">
        <v>1</v>
      </c>
      <c r="D2047" s="354">
        <v>1</v>
      </c>
      <c r="E2047" s="354">
        <v>2</v>
      </c>
      <c r="F2047" s="354">
        <v>1</v>
      </c>
      <c r="G2047" s="354">
        <v>0</v>
      </c>
      <c r="H2047" s="354">
        <v>0</v>
      </c>
      <c r="I2047" s="354">
        <v>0</v>
      </c>
      <c r="J2047" s="354">
        <v>1</v>
      </c>
      <c r="K2047" s="354">
        <v>0</v>
      </c>
      <c r="L2047" s="354">
        <v>0</v>
      </c>
      <c r="M2047" s="355">
        <v>4</v>
      </c>
      <c r="N2047" s="355">
        <v>3</v>
      </c>
    </row>
    <row r="2048" spans="1:14" hidden="1" x14ac:dyDescent="0.25">
      <c r="A2048" s="354">
        <v>0</v>
      </c>
      <c r="B2048" s="354">
        <v>0</v>
      </c>
      <c r="C2048" s="354">
        <v>1</v>
      </c>
      <c r="D2048" s="354">
        <v>0</v>
      </c>
      <c r="E2048" s="354">
        <v>1</v>
      </c>
      <c r="F2048" s="354">
        <v>1</v>
      </c>
      <c r="G2048" s="354">
        <v>0</v>
      </c>
      <c r="H2048" s="354">
        <v>0</v>
      </c>
      <c r="I2048" s="354">
        <v>1</v>
      </c>
      <c r="J2048" s="354">
        <v>1</v>
      </c>
      <c r="K2048" s="354">
        <v>0</v>
      </c>
      <c r="L2048" s="354">
        <v>0</v>
      </c>
      <c r="M2048" s="355">
        <v>3</v>
      </c>
      <c r="N2048" s="355">
        <v>2</v>
      </c>
    </row>
    <row r="2049" spans="1:14" hidden="1" x14ac:dyDescent="0.25">
      <c r="A2049" s="354">
        <v>0</v>
      </c>
      <c r="B2049" s="354">
        <v>0</v>
      </c>
      <c r="C2049" s="354">
        <v>0</v>
      </c>
      <c r="D2049" s="354">
        <v>0</v>
      </c>
      <c r="E2049" s="354">
        <v>0</v>
      </c>
      <c r="F2049" s="354">
        <v>0</v>
      </c>
      <c r="G2049" s="354">
        <v>0</v>
      </c>
      <c r="H2049" s="354">
        <v>0</v>
      </c>
      <c r="I2049" s="354">
        <v>1</v>
      </c>
      <c r="J2049" s="354">
        <v>1</v>
      </c>
      <c r="K2049" s="354">
        <v>0</v>
      </c>
      <c r="L2049" s="354">
        <v>0</v>
      </c>
      <c r="M2049" s="355">
        <v>1</v>
      </c>
      <c r="N2049" s="355">
        <v>1</v>
      </c>
    </row>
    <row r="2050" spans="1:14" hidden="1" x14ac:dyDescent="0.25">
      <c r="A2050" s="354">
        <v>1</v>
      </c>
      <c r="B2050" s="354">
        <v>0</v>
      </c>
      <c r="C2050" s="354">
        <v>1</v>
      </c>
      <c r="D2050" s="354">
        <v>1</v>
      </c>
      <c r="E2050" s="354">
        <v>2</v>
      </c>
      <c r="F2050" s="354">
        <v>0</v>
      </c>
      <c r="G2050" s="354">
        <v>0</v>
      </c>
      <c r="H2050" s="354">
        <v>0</v>
      </c>
      <c r="I2050" s="354">
        <v>1</v>
      </c>
      <c r="J2050" s="354">
        <v>1</v>
      </c>
      <c r="K2050" s="354">
        <v>0</v>
      </c>
      <c r="L2050" s="354">
        <v>0</v>
      </c>
      <c r="M2050" s="355">
        <v>5</v>
      </c>
      <c r="N2050" s="355">
        <v>2</v>
      </c>
    </row>
    <row r="2051" spans="1:14" hidden="1" x14ac:dyDescent="0.25">
      <c r="A2051" s="354">
        <v>1</v>
      </c>
      <c r="B2051" s="354">
        <v>0</v>
      </c>
      <c r="C2051" s="354">
        <v>0</v>
      </c>
      <c r="D2051" s="354">
        <v>1</v>
      </c>
      <c r="E2051" s="354">
        <v>0</v>
      </c>
      <c r="F2051" s="354">
        <v>0</v>
      </c>
      <c r="G2051" s="354">
        <v>0</v>
      </c>
      <c r="H2051" s="354">
        <v>0</v>
      </c>
      <c r="I2051" s="354">
        <v>1</v>
      </c>
      <c r="J2051" s="354">
        <v>1</v>
      </c>
      <c r="K2051" s="354">
        <v>0</v>
      </c>
      <c r="L2051" s="354">
        <v>0</v>
      </c>
      <c r="M2051" s="355">
        <v>2</v>
      </c>
      <c r="N2051" s="355">
        <v>2</v>
      </c>
    </row>
    <row r="2052" spans="1:14" hidden="1" x14ac:dyDescent="0.25">
      <c r="A2052" s="354">
        <v>0</v>
      </c>
      <c r="B2052" s="354">
        <v>1</v>
      </c>
      <c r="C2052" s="354">
        <v>1</v>
      </c>
      <c r="D2052" s="354">
        <v>2</v>
      </c>
      <c r="E2052" s="354">
        <v>0</v>
      </c>
      <c r="F2052" s="354">
        <v>3</v>
      </c>
      <c r="G2052" s="354">
        <v>3</v>
      </c>
      <c r="H2052" s="354">
        <v>1</v>
      </c>
      <c r="I2052" s="354">
        <v>4</v>
      </c>
      <c r="J2052" s="354">
        <v>3</v>
      </c>
      <c r="K2052" s="354">
        <v>1</v>
      </c>
      <c r="L2052" s="354">
        <v>0</v>
      </c>
      <c r="M2052" s="355">
        <v>9</v>
      </c>
      <c r="N2052" s="355">
        <v>10</v>
      </c>
    </row>
    <row r="2053" spans="1:14" hidden="1" x14ac:dyDescent="0.25">
      <c r="A2053" s="354">
        <v>1</v>
      </c>
      <c r="B2053" s="354">
        <v>0</v>
      </c>
      <c r="C2053" s="354">
        <v>0</v>
      </c>
      <c r="D2053" s="354">
        <v>1</v>
      </c>
      <c r="E2053" s="354">
        <v>0</v>
      </c>
      <c r="F2053" s="354">
        <v>1</v>
      </c>
      <c r="G2053" s="354">
        <v>0</v>
      </c>
      <c r="H2053" s="354">
        <v>0</v>
      </c>
      <c r="I2053" s="354">
        <v>1</v>
      </c>
      <c r="J2053" s="354">
        <v>1</v>
      </c>
      <c r="K2053" s="354">
        <v>0</v>
      </c>
      <c r="L2053" s="354">
        <v>0</v>
      </c>
      <c r="M2053" s="355">
        <v>2</v>
      </c>
      <c r="N2053" s="355">
        <v>3</v>
      </c>
    </row>
    <row r="2054" spans="1:14" hidden="1" x14ac:dyDescent="0.25">
      <c r="A2054" s="354">
        <v>1</v>
      </c>
      <c r="B2054" s="354">
        <v>1</v>
      </c>
      <c r="C2054" s="354">
        <v>2</v>
      </c>
      <c r="D2054" s="354">
        <v>1</v>
      </c>
      <c r="E2054" s="354">
        <v>1</v>
      </c>
      <c r="F2054" s="354">
        <v>2</v>
      </c>
      <c r="G2054" s="354">
        <v>2</v>
      </c>
      <c r="H2054" s="354">
        <v>2</v>
      </c>
      <c r="I2054" s="354">
        <v>3</v>
      </c>
      <c r="J2054" s="354">
        <v>2</v>
      </c>
      <c r="K2054" s="354">
        <v>0</v>
      </c>
      <c r="L2054" s="354">
        <v>0</v>
      </c>
      <c r="M2054" s="355">
        <v>9</v>
      </c>
      <c r="N2054" s="355">
        <v>8</v>
      </c>
    </row>
    <row r="2055" spans="1:14" hidden="1" x14ac:dyDescent="0.25">
      <c r="A2055" s="354">
        <v>1</v>
      </c>
      <c r="B2055" s="354">
        <v>0</v>
      </c>
      <c r="C2055" s="354">
        <v>2</v>
      </c>
      <c r="D2055" s="354">
        <v>2</v>
      </c>
      <c r="E2055" s="354">
        <v>1</v>
      </c>
      <c r="F2055" s="354">
        <v>0</v>
      </c>
      <c r="G2055" s="354">
        <v>0</v>
      </c>
      <c r="H2055" s="354">
        <v>0</v>
      </c>
      <c r="I2055" s="354">
        <v>1</v>
      </c>
      <c r="J2055" s="354">
        <v>1</v>
      </c>
      <c r="K2055" s="354">
        <v>0</v>
      </c>
      <c r="L2055" s="354">
        <v>0</v>
      </c>
      <c r="M2055" s="355">
        <v>5</v>
      </c>
      <c r="N2055" s="355">
        <v>3</v>
      </c>
    </row>
    <row r="2056" spans="1:14" hidden="1" x14ac:dyDescent="0.25">
      <c r="A2056" s="354">
        <v>1</v>
      </c>
      <c r="B2056" s="354">
        <v>0</v>
      </c>
      <c r="C2056" s="354">
        <v>1</v>
      </c>
      <c r="D2056" s="354">
        <v>0</v>
      </c>
      <c r="E2056" s="354">
        <v>1</v>
      </c>
      <c r="F2056" s="354">
        <v>1</v>
      </c>
      <c r="G2056" s="354">
        <v>0</v>
      </c>
      <c r="H2056" s="354">
        <v>1</v>
      </c>
      <c r="I2056" s="354">
        <v>1</v>
      </c>
      <c r="J2056" s="354">
        <v>2</v>
      </c>
      <c r="K2056" s="354">
        <v>0</v>
      </c>
      <c r="L2056" s="354">
        <v>0</v>
      </c>
      <c r="M2056" s="355">
        <v>4</v>
      </c>
      <c r="N2056" s="355">
        <v>4</v>
      </c>
    </row>
    <row r="2057" spans="1:14" hidden="1" x14ac:dyDescent="0.25">
      <c r="A2057" s="354">
        <v>0</v>
      </c>
      <c r="B2057" s="354">
        <v>0</v>
      </c>
      <c r="C2057" s="354">
        <v>2</v>
      </c>
      <c r="D2057" s="354">
        <v>1</v>
      </c>
      <c r="E2057" s="354">
        <v>0</v>
      </c>
      <c r="F2057" s="354">
        <v>1</v>
      </c>
      <c r="G2057" s="354">
        <v>1</v>
      </c>
      <c r="H2057" s="354">
        <v>0</v>
      </c>
      <c r="I2057" s="354">
        <v>2</v>
      </c>
      <c r="J2057" s="354">
        <v>2</v>
      </c>
      <c r="K2057" s="354">
        <v>0</v>
      </c>
      <c r="L2057" s="354">
        <v>0</v>
      </c>
      <c r="M2057" s="355">
        <v>5</v>
      </c>
      <c r="N2057" s="355">
        <v>4</v>
      </c>
    </row>
    <row r="2058" spans="1:14" hidden="1" x14ac:dyDescent="0.25">
      <c r="A2058" s="354">
        <v>2</v>
      </c>
      <c r="B2058" s="354">
        <v>0</v>
      </c>
      <c r="C2058" s="354">
        <v>3</v>
      </c>
      <c r="D2058" s="354">
        <v>1</v>
      </c>
      <c r="E2058" s="354">
        <v>3</v>
      </c>
      <c r="F2058" s="354">
        <v>3</v>
      </c>
      <c r="G2058" s="354">
        <v>3</v>
      </c>
      <c r="H2058" s="354">
        <v>2</v>
      </c>
      <c r="I2058" s="354">
        <v>3</v>
      </c>
      <c r="J2058" s="354">
        <v>2</v>
      </c>
      <c r="K2058" s="354">
        <v>1</v>
      </c>
      <c r="L2058" s="354">
        <v>0</v>
      </c>
      <c r="M2058" s="355">
        <v>15</v>
      </c>
      <c r="N2058" s="355">
        <v>8</v>
      </c>
    </row>
    <row r="2059" spans="1:14" hidden="1" x14ac:dyDescent="0.25">
      <c r="A2059" s="354">
        <v>1</v>
      </c>
      <c r="B2059" s="354">
        <v>1</v>
      </c>
      <c r="C2059" s="354">
        <v>2</v>
      </c>
      <c r="D2059" s="354">
        <v>2</v>
      </c>
      <c r="E2059" s="354">
        <v>3</v>
      </c>
      <c r="F2059" s="354">
        <v>1</v>
      </c>
      <c r="G2059" s="354">
        <v>1</v>
      </c>
      <c r="H2059" s="354">
        <v>1</v>
      </c>
      <c r="I2059" s="354">
        <v>1</v>
      </c>
      <c r="J2059" s="354">
        <v>2</v>
      </c>
      <c r="K2059" s="354">
        <v>0</v>
      </c>
      <c r="L2059" s="354">
        <v>0</v>
      </c>
      <c r="M2059" s="355">
        <v>8</v>
      </c>
      <c r="N2059" s="355">
        <v>7</v>
      </c>
    </row>
    <row r="2060" spans="1:14" hidden="1" x14ac:dyDescent="0.25">
      <c r="A2060" s="354">
        <v>1</v>
      </c>
      <c r="B2060" s="354">
        <v>0</v>
      </c>
      <c r="C2060" s="354">
        <v>0</v>
      </c>
      <c r="D2060" s="354">
        <v>1</v>
      </c>
      <c r="E2060" s="354">
        <v>2</v>
      </c>
      <c r="F2060" s="354">
        <v>1</v>
      </c>
      <c r="G2060" s="354">
        <v>0</v>
      </c>
      <c r="H2060" s="354">
        <v>2</v>
      </c>
      <c r="I2060" s="354">
        <v>1</v>
      </c>
      <c r="J2060" s="354">
        <v>3</v>
      </c>
      <c r="K2060" s="354">
        <v>1</v>
      </c>
      <c r="L2060" s="354">
        <v>0</v>
      </c>
      <c r="M2060" s="355">
        <v>5</v>
      </c>
      <c r="N2060" s="355">
        <v>7</v>
      </c>
    </row>
    <row r="2061" spans="1:14" hidden="1" x14ac:dyDescent="0.25">
      <c r="A2061" s="354">
        <v>0</v>
      </c>
      <c r="B2061" s="354">
        <v>0</v>
      </c>
      <c r="C2061" s="354">
        <v>0</v>
      </c>
      <c r="D2061" s="354">
        <v>0</v>
      </c>
      <c r="E2061" s="354">
        <v>0</v>
      </c>
      <c r="F2061" s="354">
        <v>0</v>
      </c>
      <c r="G2061" s="354">
        <v>0</v>
      </c>
      <c r="H2061" s="354">
        <v>0</v>
      </c>
      <c r="I2061" s="354">
        <v>1</v>
      </c>
      <c r="J2061" s="354">
        <v>1</v>
      </c>
      <c r="K2061" s="354">
        <v>0</v>
      </c>
      <c r="L2061" s="354">
        <v>0</v>
      </c>
      <c r="M2061" s="355">
        <v>1</v>
      </c>
      <c r="N2061" s="355">
        <v>1</v>
      </c>
    </row>
    <row r="2062" spans="1:14" hidden="1" x14ac:dyDescent="0.25">
      <c r="A2062" s="354">
        <v>1</v>
      </c>
      <c r="B2062" s="354">
        <v>1</v>
      </c>
      <c r="C2062" s="354">
        <v>2</v>
      </c>
      <c r="D2062" s="354">
        <v>2</v>
      </c>
      <c r="E2062" s="354">
        <v>0</v>
      </c>
      <c r="F2062" s="354">
        <v>0</v>
      </c>
      <c r="G2062" s="354">
        <v>1</v>
      </c>
      <c r="H2062" s="354">
        <v>0</v>
      </c>
      <c r="I2062" s="354">
        <v>1</v>
      </c>
      <c r="J2062" s="354">
        <v>1</v>
      </c>
      <c r="K2062" s="354">
        <v>0</v>
      </c>
      <c r="L2062" s="354">
        <v>0</v>
      </c>
      <c r="M2062" s="355">
        <v>5</v>
      </c>
      <c r="N2062" s="355">
        <v>4</v>
      </c>
    </row>
    <row r="2063" spans="1:14" hidden="1" x14ac:dyDescent="0.25">
      <c r="A2063" s="354">
        <v>1</v>
      </c>
      <c r="B2063" s="354">
        <v>0</v>
      </c>
      <c r="C2063" s="354">
        <v>1</v>
      </c>
      <c r="D2063" s="354">
        <v>1</v>
      </c>
      <c r="E2063" s="354">
        <v>0</v>
      </c>
      <c r="F2063" s="354">
        <v>0</v>
      </c>
      <c r="G2063" s="354">
        <v>0</v>
      </c>
      <c r="H2063" s="354">
        <v>0</v>
      </c>
      <c r="I2063" s="354">
        <v>1</v>
      </c>
      <c r="J2063" s="354">
        <v>1</v>
      </c>
      <c r="K2063" s="354">
        <v>0</v>
      </c>
      <c r="L2063" s="354">
        <v>0</v>
      </c>
      <c r="M2063" s="355">
        <v>3</v>
      </c>
      <c r="N2063" s="355">
        <v>2</v>
      </c>
    </row>
    <row r="2064" spans="1:14" hidden="1" x14ac:dyDescent="0.25">
      <c r="A2064" s="354">
        <v>1</v>
      </c>
      <c r="B2064" s="354">
        <v>0</v>
      </c>
      <c r="C2064" s="354">
        <v>1</v>
      </c>
      <c r="D2064" s="354">
        <v>1</v>
      </c>
      <c r="E2064" s="354">
        <v>1</v>
      </c>
      <c r="F2064" s="354">
        <v>0</v>
      </c>
      <c r="G2064" s="354">
        <v>0</v>
      </c>
      <c r="H2064" s="354">
        <v>1</v>
      </c>
      <c r="I2064" s="354">
        <v>1</v>
      </c>
      <c r="J2064" s="354">
        <v>1</v>
      </c>
      <c r="K2064" s="354">
        <v>0</v>
      </c>
      <c r="L2064" s="354">
        <v>0</v>
      </c>
      <c r="M2064" s="355">
        <v>4</v>
      </c>
      <c r="N2064" s="355">
        <v>3</v>
      </c>
    </row>
    <row r="2065" spans="1:14" hidden="1" x14ac:dyDescent="0.25">
      <c r="A2065" s="354">
        <v>0</v>
      </c>
      <c r="B2065" s="354">
        <v>1</v>
      </c>
      <c r="C2065" s="354">
        <v>0</v>
      </c>
      <c r="D2065" s="354">
        <v>2</v>
      </c>
      <c r="E2065" s="354">
        <v>0</v>
      </c>
      <c r="F2065" s="354">
        <v>0</v>
      </c>
      <c r="G2065" s="354">
        <v>0</v>
      </c>
      <c r="H2065" s="354">
        <v>0</v>
      </c>
      <c r="I2065" s="354">
        <v>1</v>
      </c>
      <c r="J2065" s="354">
        <v>2</v>
      </c>
      <c r="K2065" s="354">
        <v>0</v>
      </c>
      <c r="L2065" s="354">
        <v>0</v>
      </c>
      <c r="M2065" s="355">
        <v>1</v>
      </c>
      <c r="N2065" s="355">
        <v>5</v>
      </c>
    </row>
    <row r="2066" spans="1:14" hidden="1" x14ac:dyDescent="0.25">
      <c r="A2066" s="354">
        <v>0</v>
      </c>
      <c r="B2066" s="354">
        <v>1</v>
      </c>
      <c r="C2066" s="354">
        <v>0</v>
      </c>
      <c r="D2066" s="354">
        <v>1</v>
      </c>
      <c r="E2066" s="354">
        <v>1</v>
      </c>
      <c r="F2066" s="354">
        <v>0</v>
      </c>
      <c r="G2066" s="354">
        <v>0</v>
      </c>
      <c r="H2066" s="354">
        <v>0</v>
      </c>
      <c r="I2066" s="354">
        <v>1</v>
      </c>
      <c r="J2066" s="354">
        <v>1</v>
      </c>
      <c r="K2066" s="354">
        <v>0</v>
      </c>
      <c r="L2066" s="354">
        <v>0</v>
      </c>
      <c r="M2066" s="355">
        <v>2</v>
      </c>
      <c r="N2066" s="355">
        <v>3</v>
      </c>
    </row>
    <row r="2067" spans="1:14" hidden="1" x14ac:dyDescent="0.25">
      <c r="A2067" s="354">
        <v>2</v>
      </c>
      <c r="B2067" s="354">
        <v>0</v>
      </c>
      <c r="C2067" s="354">
        <v>1</v>
      </c>
      <c r="D2067" s="354">
        <v>2</v>
      </c>
      <c r="E2067" s="354">
        <v>1</v>
      </c>
      <c r="F2067" s="354">
        <v>2</v>
      </c>
      <c r="G2067" s="354">
        <v>1</v>
      </c>
      <c r="H2067" s="354">
        <v>1</v>
      </c>
      <c r="I2067" s="354">
        <v>2</v>
      </c>
      <c r="J2067" s="354">
        <v>1</v>
      </c>
      <c r="K2067" s="354">
        <v>0</v>
      </c>
      <c r="L2067" s="354">
        <v>0</v>
      </c>
      <c r="M2067" s="355">
        <v>7</v>
      </c>
      <c r="N2067" s="355">
        <v>6</v>
      </c>
    </row>
    <row r="2068" spans="1:14" hidden="1" x14ac:dyDescent="0.25">
      <c r="A2068" s="354">
        <v>2</v>
      </c>
      <c r="B2068" s="354">
        <v>0</v>
      </c>
      <c r="C2068" s="354">
        <v>2</v>
      </c>
      <c r="D2068" s="354">
        <v>1</v>
      </c>
      <c r="E2068" s="354">
        <v>3</v>
      </c>
      <c r="F2068" s="354">
        <v>0</v>
      </c>
      <c r="G2068" s="354">
        <v>1</v>
      </c>
      <c r="H2068" s="354">
        <v>0</v>
      </c>
      <c r="I2068" s="354">
        <v>1</v>
      </c>
      <c r="J2068" s="354">
        <v>2</v>
      </c>
      <c r="K2068" s="354">
        <v>0</v>
      </c>
      <c r="L2068" s="354">
        <v>0</v>
      </c>
      <c r="M2068" s="355">
        <v>9</v>
      </c>
      <c r="N2068" s="355">
        <v>3</v>
      </c>
    </row>
    <row r="2069" spans="1:14" hidden="1" x14ac:dyDescent="0.25">
      <c r="A2069" s="354">
        <v>0</v>
      </c>
      <c r="B2069" s="354">
        <v>0</v>
      </c>
      <c r="C2069" s="354">
        <v>1</v>
      </c>
      <c r="D2069" s="354">
        <v>0</v>
      </c>
      <c r="E2069" s="354">
        <v>1</v>
      </c>
      <c r="F2069" s="354">
        <v>1</v>
      </c>
      <c r="G2069" s="354">
        <v>0</v>
      </c>
      <c r="H2069" s="354">
        <v>0</v>
      </c>
      <c r="I2069" s="354">
        <v>1</v>
      </c>
      <c r="J2069" s="354">
        <v>2</v>
      </c>
      <c r="K2069" s="354">
        <v>0</v>
      </c>
      <c r="L2069" s="354">
        <v>0</v>
      </c>
      <c r="M2069" s="355">
        <v>3</v>
      </c>
      <c r="N2069" s="355">
        <v>3</v>
      </c>
    </row>
    <row r="2070" spans="1:14" hidden="1" x14ac:dyDescent="0.25">
      <c r="A2070" s="354">
        <v>0</v>
      </c>
      <c r="B2070" s="354">
        <v>0</v>
      </c>
      <c r="C2070" s="354">
        <v>1</v>
      </c>
      <c r="D2070" s="354">
        <v>0</v>
      </c>
      <c r="E2070" s="354">
        <v>1</v>
      </c>
      <c r="F2070" s="354">
        <v>0</v>
      </c>
      <c r="G2070" s="354">
        <v>0</v>
      </c>
      <c r="H2070" s="354">
        <v>0</v>
      </c>
      <c r="I2070" s="354">
        <v>1</v>
      </c>
      <c r="J2070" s="354">
        <v>1</v>
      </c>
      <c r="K2070" s="354">
        <v>2</v>
      </c>
      <c r="L2070" s="354">
        <v>0</v>
      </c>
      <c r="M2070" s="355">
        <v>5</v>
      </c>
      <c r="N2070" s="355">
        <v>1</v>
      </c>
    </row>
    <row r="2071" spans="1:14" hidden="1" x14ac:dyDescent="0.25">
      <c r="A2071" s="354">
        <v>0</v>
      </c>
      <c r="B2071" s="354">
        <v>0</v>
      </c>
      <c r="C2071" s="354">
        <v>1</v>
      </c>
      <c r="D2071" s="354">
        <v>0</v>
      </c>
      <c r="E2071" s="354">
        <v>1</v>
      </c>
      <c r="F2071" s="354">
        <v>0</v>
      </c>
      <c r="G2071" s="354">
        <v>0</v>
      </c>
      <c r="H2071" s="354">
        <v>0</v>
      </c>
      <c r="I2071" s="354"/>
      <c r="J2071" s="354">
        <v>1</v>
      </c>
      <c r="K2071" s="354">
        <v>2</v>
      </c>
      <c r="L2071" s="354">
        <v>1</v>
      </c>
      <c r="M2071" s="355">
        <v>4</v>
      </c>
      <c r="N2071" s="355">
        <v>2</v>
      </c>
    </row>
    <row r="2072" spans="1:14" hidden="1" x14ac:dyDescent="0.25">
      <c r="A2072" s="354">
        <v>0</v>
      </c>
      <c r="B2072" s="354">
        <v>0</v>
      </c>
      <c r="C2072" s="354">
        <v>2</v>
      </c>
      <c r="D2072" s="354">
        <v>0</v>
      </c>
      <c r="E2072" s="354">
        <v>0</v>
      </c>
      <c r="F2072" s="354">
        <v>0</v>
      </c>
      <c r="G2072" s="354">
        <v>0</v>
      </c>
      <c r="H2072" s="354">
        <v>0</v>
      </c>
      <c r="I2072" s="354">
        <v>0</v>
      </c>
      <c r="J2072" s="354">
        <v>1</v>
      </c>
      <c r="K2072" s="354">
        <v>0</v>
      </c>
      <c r="L2072" s="354">
        <v>0</v>
      </c>
      <c r="M2072" s="355">
        <v>2</v>
      </c>
      <c r="N2072" s="355">
        <v>1</v>
      </c>
    </row>
    <row r="2073" spans="1:14" hidden="1" x14ac:dyDescent="0.25">
      <c r="A2073" s="354">
        <v>0</v>
      </c>
      <c r="B2073" s="354">
        <v>0</v>
      </c>
      <c r="C2073" s="354">
        <v>2</v>
      </c>
      <c r="D2073" s="354">
        <v>0</v>
      </c>
      <c r="E2073" s="354">
        <v>1</v>
      </c>
      <c r="F2073" s="354">
        <v>0</v>
      </c>
      <c r="G2073" s="354">
        <v>1</v>
      </c>
      <c r="H2073" s="354">
        <v>1</v>
      </c>
      <c r="I2073" s="354">
        <v>1</v>
      </c>
      <c r="J2073" s="354">
        <v>1</v>
      </c>
      <c r="K2073" s="354">
        <v>0</v>
      </c>
      <c r="L2073" s="354">
        <v>0</v>
      </c>
      <c r="M2073" s="355">
        <v>5</v>
      </c>
      <c r="N2073" s="355">
        <v>2</v>
      </c>
    </row>
    <row r="2074" spans="1:14" hidden="1" x14ac:dyDescent="0.25">
      <c r="A2074" s="354">
        <v>0</v>
      </c>
      <c r="B2074" s="354">
        <v>0</v>
      </c>
      <c r="C2074" s="354">
        <v>0</v>
      </c>
      <c r="D2074" s="354">
        <v>1</v>
      </c>
      <c r="E2074" s="354">
        <v>2</v>
      </c>
      <c r="F2074" s="354">
        <v>1</v>
      </c>
      <c r="G2074" s="354">
        <v>1</v>
      </c>
      <c r="H2074" s="354">
        <v>0</v>
      </c>
      <c r="I2074" s="354">
        <v>1</v>
      </c>
      <c r="J2074" s="354">
        <v>2</v>
      </c>
      <c r="K2074" s="354">
        <v>0</v>
      </c>
      <c r="L2074" s="354">
        <v>0</v>
      </c>
      <c r="M2074" s="355">
        <v>4</v>
      </c>
      <c r="N2074" s="355">
        <v>4</v>
      </c>
    </row>
    <row r="2075" spans="1:14" hidden="1" x14ac:dyDescent="0.25">
      <c r="A2075" s="354">
        <v>0</v>
      </c>
      <c r="B2075" s="354">
        <v>1</v>
      </c>
      <c r="C2075" s="354">
        <v>1</v>
      </c>
      <c r="D2075" s="354">
        <v>1</v>
      </c>
      <c r="E2075" s="354">
        <v>1</v>
      </c>
      <c r="F2075" s="354">
        <v>2</v>
      </c>
      <c r="G2075" s="354">
        <v>2</v>
      </c>
      <c r="H2075" s="354">
        <v>0</v>
      </c>
      <c r="I2075" s="354">
        <v>1</v>
      </c>
      <c r="J2075" s="354">
        <v>2</v>
      </c>
      <c r="K2075" s="354">
        <v>0</v>
      </c>
      <c r="L2075" s="354">
        <v>0</v>
      </c>
      <c r="M2075" s="355">
        <v>5</v>
      </c>
      <c r="N2075" s="355">
        <v>6</v>
      </c>
    </row>
    <row r="2076" spans="1:14" hidden="1" x14ac:dyDescent="0.25">
      <c r="A2076" s="354">
        <v>0</v>
      </c>
      <c r="B2076" s="354">
        <v>1</v>
      </c>
      <c r="C2076" s="354">
        <v>0</v>
      </c>
      <c r="D2076" s="354">
        <v>0</v>
      </c>
      <c r="E2076" s="354">
        <v>2</v>
      </c>
      <c r="F2076" s="354">
        <v>2</v>
      </c>
      <c r="G2076" s="354">
        <v>1</v>
      </c>
      <c r="H2076" s="354">
        <v>1</v>
      </c>
      <c r="I2076" s="354">
        <v>3</v>
      </c>
      <c r="J2076" s="354">
        <v>2</v>
      </c>
      <c r="K2076" s="354">
        <v>0</v>
      </c>
      <c r="L2076" s="354">
        <v>0</v>
      </c>
      <c r="M2076" s="355">
        <v>6</v>
      </c>
      <c r="N2076" s="355">
        <v>6</v>
      </c>
    </row>
    <row r="2077" spans="1:14" hidden="1" x14ac:dyDescent="0.25">
      <c r="A2077" s="354">
        <v>0</v>
      </c>
      <c r="B2077" s="354">
        <v>0</v>
      </c>
      <c r="C2077" s="354">
        <v>0</v>
      </c>
      <c r="D2077" s="354">
        <v>0</v>
      </c>
      <c r="E2077" s="354">
        <v>0</v>
      </c>
      <c r="F2077" s="354">
        <v>0</v>
      </c>
      <c r="G2077" s="354">
        <v>0</v>
      </c>
      <c r="H2077" s="354">
        <v>0</v>
      </c>
      <c r="I2077" s="354">
        <v>1</v>
      </c>
      <c r="J2077" s="354">
        <v>1</v>
      </c>
      <c r="K2077" s="354">
        <v>0</v>
      </c>
      <c r="L2077" s="354">
        <v>0</v>
      </c>
      <c r="M2077" s="355">
        <v>1</v>
      </c>
      <c r="N2077" s="355">
        <v>1</v>
      </c>
    </row>
    <row r="2078" spans="1:14" hidden="1" x14ac:dyDescent="0.25">
      <c r="A2078" s="354">
        <v>0</v>
      </c>
      <c r="B2078" s="354">
        <v>1</v>
      </c>
      <c r="C2078" s="354">
        <v>0</v>
      </c>
      <c r="D2078" s="354">
        <v>0</v>
      </c>
      <c r="E2078" s="354">
        <v>1</v>
      </c>
      <c r="F2078" s="354">
        <v>1</v>
      </c>
      <c r="G2078" s="354">
        <v>0</v>
      </c>
      <c r="H2078" s="354">
        <v>1</v>
      </c>
      <c r="I2078" s="354">
        <v>1</v>
      </c>
      <c r="J2078" s="354">
        <v>1</v>
      </c>
      <c r="K2078" s="354">
        <v>0</v>
      </c>
      <c r="L2078" s="354">
        <v>0</v>
      </c>
      <c r="M2078" s="355">
        <v>2</v>
      </c>
      <c r="N2078" s="355">
        <v>4</v>
      </c>
    </row>
    <row r="2079" spans="1:14" hidden="1" x14ac:dyDescent="0.25">
      <c r="A2079" s="354">
        <v>1</v>
      </c>
      <c r="B2079" s="354">
        <v>0</v>
      </c>
      <c r="C2079" s="354">
        <v>1</v>
      </c>
      <c r="D2079" s="354">
        <v>0</v>
      </c>
      <c r="E2079" s="354">
        <v>2</v>
      </c>
      <c r="F2079" s="354">
        <v>2</v>
      </c>
      <c r="G2079" s="354">
        <v>0</v>
      </c>
      <c r="H2079" s="354">
        <v>0</v>
      </c>
      <c r="I2079" s="354"/>
      <c r="J2079" s="354">
        <v>1</v>
      </c>
      <c r="K2079" s="354">
        <v>0</v>
      </c>
      <c r="L2079" s="354">
        <v>0</v>
      </c>
      <c r="M2079" s="355">
        <v>4</v>
      </c>
      <c r="N2079" s="355">
        <v>3</v>
      </c>
    </row>
    <row r="2080" spans="1:14" hidden="1" x14ac:dyDescent="0.25">
      <c r="A2080" s="354">
        <v>0</v>
      </c>
      <c r="B2080" s="354">
        <v>0</v>
      </c>
      <c r="C2080" s="354">
        <v>1</v>
      </c>
      <c r="D2080" s="354">
        <v>0</v>
      </c>
      <c r="E2080" s="354">
        <v>2</v>
      </c>
      <c r="F2080" s="354">
        <v>2</v>
      </c>
      <c r="G2080" s="354">
        <v>0</v>
      </c>
      <c r="H2080" s="354">
        <v>2</v>
      </c>
      <c r="I2080" s="354">
        <v>1</v>
      </c>
      <c r="J2080" s="354">
        <v>1</v>
      </c>
      <c r="K2080" s="354">
        <v>0</v>
      </c>
      <c r="L2080" s="354">
        <v>0</v>
      </c>
      <c r="M2080" s="355">
        <v>4</v>
      </c>
      <c r="N2080" s="355">
        <v>5</v>
      </c>
    </row>
    <row r="2081" spans="1:14" hidden="1" x14ac:dyDescent="0.25">
      <c r="A2081" s="354">
        <v>0</v>
      </c>
      <c r="B2081" s="354">
        <v>0</v>
      </c>
      <c r="C2081" s="354">
        <v>0</v>
      </c>
      <c r="D2081" s="354">
        <v>0</v>
      </c>
      <c r="E2081" s="354">
        <v>0</v>
      </c>
      <c r="F2081" s="354">
        <v>1</v>
      </c>
      <c r="G2081" s="354"/>
      <c r="H2081" s="354">
        <v>0</v>
      </c>
      <c r="I2081" s="354">
        <v>0</v>
      </c>
      <c r="J2081" s="354">
        <v>1</v>
      </c>
      <c r="K2081" s="354">
        <v>0</v>
      </c>
      <c r="L2081" s="354">
        <v>0</v>
      </c>
      <c r="M2081" s="355">
        <v>0</v>
      </c>
      <c r="N2081" s="355">
        <v>2</v>
      </c>
    </row>
    <row r="2082" spans="1:14" hidden="1" x14ac:dyDescent="0.25">
      <c r="A2082" s="354">
        <v>1</v>
      </c>
      <c r="B2082" s="354">
        <v>0</v>
      </c>
      <c r="C2082" s="354"/>
      <c r="D2082" s="354">
        <v>2</v>
      </c>
      <c r="E2082" s="354">
        <v>0</v>
      </c>
      <c r="F2082" s="354">
        <v>2</v>
      </c>
      <c r="G2082" s="354">
        <v>1</v>
      </c>
      <c r="H2082" s="354">
        <v>0</v>
      </c>
      <c r="I2082" s="354">
        <v>1</v>
      </c>
      <c r="J2082" s="354">
        <v>2</v>
      </c>
      <c r="K2082" s="354">
        <v>0</v>
      </c>
      <c r="L2082" s="354">
        <v>0</v>
      </c>
      <c r="M2082" s="355">
        <v>3</v>
      </c>
      <c r="N2082" s="355">
        <v>6</v>
      </c>
    </row>
    <row r="2083" spans="1:14" hidden="1" x14ac:dyDescent="0.25">
      <c r="A2083" s="354">
        <v>0</v>
      </c>
      <c r="B2083" s="354">
        <v>0</v>
      </c>
      <c r="C2083" s="354">
        <v>0</v>
      </c>
      <c r="D2083" s="354">
        <v>1</v>
      </c>
      <c r="E2083" s="354">
        <v>1</v>
      </c>
      <c r="F2083" s="354">
        <v>0</v>
      </c>
      <c r="G2083" s="354">
        <v>0</v>
      </c>
      <c r="H2083" s="354">
        <v>0</v>
      </c>
      <c r="I2083" s="354">
        <v>0</v>
      </c>
      <c r="J2083" s="354">
        <v>1</v>
      </c>
      <c r="K2083" s="354">
        <v>0</v>
      </c>
      <c r="L2083" s="354">
        <v>0</v>
      </c>
      <c r="M2083" s="355">
        <v>1</v>
      </c>
      <c r="N2083" s="355">
        <v>2</v>
      </c>
    </row>
    <row r="2084" spans="1:14" hidden="1" x14ac:dyDescent="0.25">
      <c r="A2084" s="354">
        <v>1</v>
      </c>
      <c r="B2084" s="354">
        <v>0</v>
      </c>
      <c r="C2084" s="354"/>
      <c r="D2084" s="354">
        <v>2</v>
      </c>
      <c r="E2084" s="354">
        <v>0</v>
      </c>
      <c r="F2084" s="354">
        <v>2</v>
      </c>
      <c r="G2084" s="354">
        <v>1</v>
      </c>
      <c r="H2084" s="354">
        <v>0</v>
      </c>
      <c r="I2084" s="354">
        <v>1</v>
      </c>
      <c r="J2084" s="354">
        <v>2</v>
      </c>
      <c r="K2084" s="354">
        <v>0</v>
      </c>
      <c r="L2084" s="354">
        <v>0</v>
      </c>
      <c r="M2084" s="355">
        <v>3</v>
      </c>
      <c r="N2084" s="355">
        <v>6</v>
      </c>
    </row>
    <row r="2085" spans="1:14" hidden="1" x14ac:dyDescent="0.25">
      <c r="A2085" s="354">
        <v>0</v>
      </c>
      <c r="B2085" s="354">
        <v>0</v>
      </c>
      <c r="C2085" s="354">
        <v>0</v>
      </c>
      <c r="D2085" s="354">
        <v>0</v>
      </c>
      <c r="E2085" s="354">
        <v>2</v>
      </c>
      <c r="F2085" s="354">
        <v>1</v>
      </c>
      <c r="G2085" s="354">
        <v>2</v>
      </c>
      <c r="H2085" s="354">
        <v>2</v>
      </c>
      <c r="I2085" s="354">
        <v>1</v>
      </c>
      <c r="J2085" s="354">
        <v>1</v>
      </c>
      <c r="K2085" s="354">
        <v>0</v>
      </c>
      <c r="L2085" s="354">
        <v>0</v>
      </c>
      <c r="M2085" s="355">
        <v>5</v>
      </c>
      <c r="N2085" s="355">
        <v>4</v>
      </c>
    </row>
    <row r="2086" spans="1:14" hidden="1" x14ac:dyDescent="0.25">
      <c r="A2086" s="354">
        <v>0</v>
      </c>
      <c r="B2086" s="354">
        <v>0</v>
      </c>
      <c r="C2086" s="354">
        <v>1</v>
      </c>
      <c r="D2086" s="354">
        <v>0</v>
      </c>
      <c r="E2086" s="354">
        <v>2</v>
      </c>
      <c r="F2086" s="354">
        <v>0</v>
      </c>
      <c r="G2086" s="354">
        <v>0</v>
      </c>
      <c r="H2086" s="354">
        <v>1</v>
      </c>
      <c r="I2086" s="354">
        <v>1</v>
      </c>
      <c r="J2086" s="354">
        <v>2</v>
      </c>
      <c r="K2086" s="354">
        <v>1</v>
      </c>
      <c r="L2086" s="354">
        <v>0</v>
      </c>
      <c r="M2086" s="355">
        <v>5</v>
      </c>
      <c r="N2086" s="355">
        <v>3</v>
      </c>
    </row>
    <row r="2087" spans="1:14" hidden="1" x14ac:dyDescent="0.25">
      <c r="A2087" s="354">
        <v>0</v>
      </c>
      <c r="B2087" s="354">
        <v>0</v>
      </c>
      <c r="C2087" s="354">
        <v>1</v>
      </c>
      <c r="D2087" s="354">
        <v>0</v>
      </c>
      <c r="E2087" s="354">
        <v>2</v>
      </c>
      <c r="F2087" s="354">
        <v>0</v>
      </c>
      <c r="G2087" s="354">
        <v>0</v>
      </c>
      <c r="H2087" s="354">
        <v>1</v>
      </c>
      <c r="I2087" s="354">
        <v>1</v>
      </c>
      <c r="J2087" s="354">
        <v>2</v>
      </c>
      <c r="K2087" s="354">
        <v>1</v>
      </c>
      <c r="L2087" s="354">
        <v>0</v>
      </c>
      <c r="M2087" s="355">
        <v>5</v>
      </c>
      <c r="N2087" s="355">
        <v>3</v>
      </c>
    </row>
    <row r="2088" spans="1:14" hidden="1" x14ac:dyDescent="0.25">
      <c r="A2088" s="354">
        <v>0</v>
      </c>
      <c r="B2088" s="354">
        <v>0</v>
      </c>
      <c r="C2088" s="354">
        <v>0</v>
      </c>
      <c r="D2088" s="354">
        <v>0</v>
      </c>
      <c r="E2088" s="354">
        <v>1</v>
      </c>
      <c r="F2088" s="354">
        <v>1</v>
      </c>
      <c r="G2088" s="354">
        <v>0</v>
      </c>
      <c r="H2088" s="354">
        <v>2</v>
      </c>
      <c r="I2088" s="354">
        <v>1</v>
      </c>
      <c r="J2088" s="354">
        <v>1</v>
      </c>
      <c r="K2088" s="354">
        <v>0</v>
      </c>
      <c r="L2088" s="354">
        <v>0</v>
      </c>
      <c r="M2088" s="355">
        <v>2</v>
      </c>
      <c r="N2088" s="355">
        <v>4</v>
      </c>
    </row>
    <row r="2089" spans="1:14" hidden="1" x14ac:dyDescent="0.25">
      <c r="A2089" s="354">
        <v>1</v>
      </c>
      <c r="B2089" s="354">
        <v>2</v>
      </c>
      <c r="C2089" s="354">
        <v>2</v>
      </c>
      <c r="D2089" s="354">
        <v>2</v>
      </c>
      <c r="E2089" s="354">
        <v>1</v>
      </c>
      <c r="F2089" s="354">
        <v>2</v>
      </c>
      <c r="G2089" s="354">
        <v>1</v>
      </c>
      <c r="H2089" s="354">
        <v>2</v>
      </c>
      <c r="I2089" s="354">
        <v>3</v>
      </c>
      <c r="J2089" s="354">
        <v>3</v>
      </c>
      <c r="K2089" s="354">
        <v>0</v>
      </c>
      <c r="L2089" s="354">
        <v>0</v>
      </c>
      <c r="M2089" s="355">
        <v>8</v>
      </c>
      <c r="N2089" s="355">
        <v>11</v>
      </c>
    </row>
    <row r="2090" spans="1:14" hidden="1" x14ac:dyDescent="0.25">
      <c r="A2090" s="354">
        <v>1</v>
      </c>
      <c r="B2090" s="354">
        <v>0</v>
      </c>
      <c r="C2090" s="354">
        <v>2</v>
      </c>
      <c r="D2090" s="354">
        <v>0</v>
      </c>
      <c r="E2090" s="354">
        <v>2</v>
      </c>
      <c r="F2090" s="354">
        <v>1</v>
      </c>
      <c r="G2090" s="354">
        <v>1</v>
      </c>
      <c r="H2090" s="354">
        <v>2</v>
      </c>
      <c r="I2090" s="354">
        <v>2</v>
      </c>
      <c r="J2090" s="354">
        <v>2</v>
      </c>
      <c r="K2090" s="354">
        <v>0</v>
      </c>
      <c r="L2090" s="354">
        <v>0</v>
      </c>
      <c r="M2090" s="355">
        <v>8</v>
      </c>
      <c r="N2090" s="355">
        <v>5</v>
      </c>
    </row>
    <row r="2091" spans="1:14" hidden="1" x14ac:dyDescent="0.25">
      <c r="A2091" s="354">
        <v>1</v>
      </c>
      <c r="B2091" s="354">
        <v>0</v>
      </c>
      <c r="C2091" s="354">
        <v>2</v>
      </c>
      <c r="D2091" s="354">
        <v>1</v>
      </c>
      <c r="E2091" s="354">
        <v>1</v>
      </c>
      <c r="F2091" s="354">
        <v>1</v>
      </c>
      <c r="G2091" s="354">
        <v>2</v>
      </c>
      <c r="H2091" s="354">
        <v>1</v>
      </c>
      <c r="I2091" s="354">
        <v>1</v>
      </c>
      <c r="J2091" s="354">
        <v>1</v>
      </c>
      <c r="K2091" s="354">
        <v>0</v>
      </c>
      <c r="L2091" s="354">
        <v>0</v>
      </c>
      <c r="M2091" s="355">
        <v>7</v>
      </c>
      <c r="N2091" s="355">
        <v>4</v>
      </c>
    </row>
    <row r="2092" spans="1:14" hidden="1" x14ac:dyDescent="0.25">
      <c r="A2092" s="354">
        <v>1</v>
      </c>
      <c r="B2092" s="354">
        <v>0</v>
      </c>
      <c r="C2092" s="354">
        <v>1</v>
      </c>
      <c r="D2092" s="354">
        <v>0</v>
      </c>
      <c r="E2092" s="354">
        <v>0</v>
      </c>
      <c r="F2092" s="354">
        <v>1</v>
      </c>
      <c r="G2092" s="354">
        <v>0</v>
      </c>
      <c r="H2092" s="354">
        <v>0</v>
      </c>
      <c r="I2092" s="354">
        <v>1</v>
      </c>
      <c r="J2092" s="354">
        <v>1</v>
      </c>
      <c r="K2092" s="354">
        <v>0</v>
      </c>
      <c r="L2092" s="354">
        <v>0</v>
      </c>
      <c r="M2092" s="355">
        <v>3</v>
      </c>
      <c r="N2092" s="355">
        <v>2</v>
      </c>
    </row>
    <row r="2093" spans="1:14" hidden="1" x14ac:dyDescent="0.25">
      <c r="A2093" s="354">
        <v>3</v>
      </c>
      <c r="B2093" s="354">
        <v>1</v>
      </c>
      <c r="C2093" s="354">
        <v>2</v>
      </c>
      <c r="D2093" s="354">
        <v>1</v>
      </c>
      <c r="E2093" s="354">
        <v>1</v>
      </c>
      <c r="F2093" s="354">
        <v>2</v>
      </c>
      <c r="G2093" s="354">
        <v>1</v>
      </c>
      <c r="H2093" s="354">
        <v>0</v>
      </c>
      <c r="I2093" s="354">
        <v>1</v>
      </c>
      <c r="J2093" s="354">
        <v>3</v>
      </c>
      <c r="K2093" s="354">
        <v>0</v>
      </c>
      <c r="L2093" s="354">
        <v>0</v>
      </c>
      <c r="M2093" s="355">
        <v>8</v>
      </c>
      <c r="N2093" s="355">
        <v>7</v>
      </c>
    </row>
    <row r="2094" spans="1:14" hidden="1" x14ac:dyDescent="0.25">
      <c r="A2094" s="354">
        <v>1</v>
      </c>
      <c r="B2094" s="354">
        <v>0</v>
      </c>
      <c r="C2094" s="354">
        <v>0</v>
      </c>
      <c r="D2094" s="354">
        <v>2</v>
      </c>
      <c r="E2094" s="354">
        <v>2</v>
      </c>
      <c r="F2094" s="354">
        <v>3</v>
      </c>
      <c r="G2094" s="354">
        <v>1</v>
      </c>
      <c r="H2094" s="354">
        <v>3</v>
      </c>
      <c r="I2094" s="354">
        <v>3</v>
      </c>
      <c r="J2094" s="354">
        <v>3</v>
      </c>
      <c r="K2094" s="354">
        <v>0</v>
      </c>
      <c r="L2094" s="354">
        <v>0</v>
      </c>
      <c r="M2094" s="355">
        <v>7</v>
      </c>
      <c r="N2094" s="355">
        <v>11</v>
      </c>
    </row>
    <row r="2095" spans="1:14" hidden="1" x14ac:dyDescent="0.25">
      <c r="A2095" s="354">
        <v>3</v>
      </c>
      <c r="B2095" s="354">
        <v>1</v>
      </c>
      <c r="C2095" s="354">
        <v>3</v>
      </c>
      <c r="D2095" s="354">
        <v>0</v>
      </c>
      <c r="E2095" s="354">
        <v>2</v>
      </c>
      <c r="F2095" s="354"/>
      <c r="G2095" s="354">
        <v>4</v>
      </c>
      <c r="H2095" s="354">
        <v>2</v>
      </c>
      <c r="I2095" s="354">
        <v>2</v>
      </c>
      <c r="J2095" s="354">
        <v>1</v>
      </c>
      <c r="K2095" s="354">
        <v>1</v>
      </c>
      <c r="L2095" s="354">
        <v>2</v>
      </c>
      <c r="M2095" s="355">
        <v>15</v>
      </c>
      <c r="N2095" s="355">
        <v>6</v>
      </c>
    </row>
    <row r="2096" spans="1:14" hidden="1" x14ac:dyDescent="0.25">
      <c r="A2096" s="354">
        <v>0</v>
      </c>
      <c r="B2096" s="354">
        <v>0</v>
      </c>
      <c r="C2096" s="354">
        <v>1</v>
      </c>
      <c r="D2096" s="354">
        <v>0</v>
      </c>
      <c r="E2096" s="354">
        <v>1</v>
      </c>
      <c r="F2096" s="354">
        <v>1</v>
      </c>
      <c r="G2096" s="354">
        <v>0</v>
      </c>
      <c r="H2096" s="354">
        <v>0</v>
      </c>
      <c r="I2096" s="354">
        <v>1</v>
      </c>
      <c r="J2096" s="354">
        <v>1</v>
      </c>
      <c r="K2096" s="354">
        <v>0</v>
      </c>
      <c r="L2096" s="354">
        <v>0</v>
      </c>
      <c r="M2096" s="355">
        <v>3</v>
      </c>
      <c r="N2096" s="355">
        <v>2</v>
      </c>
    </row>
    <row r="2097" spans="1:14" hidden="1" x14ac:dyDescent="0.25">
      <c r="A2097" s="354">
        <v>1</v>
      </c>
      <c r="B2097" s="354">
        <v>0</v>
      </c>
      <c r="C2097" s="354">
        <v>1</v>
      </c>
      <c r="D2097" s="354">
        <v>0</v>
      </c>
      <c r="E2097" s="354">
        <v>0</v>
      </c>
      <c r="F2097" s="354">
        <v>0</v>
      </c>
      <c r="G2097" s="354">
        <v>0</v>
      </c>
      <c r="H2097" s="354">
        <v>0</v>
      </c>
      <c r="I2097" s="354">
        <v>1</v>
      </c>
      <c r="J2097" s="354">
        <v>1</v>
      </c>
      <c r="K2097" s="354">
        <v>0</v>
      </c>
      <c r="L2097" s="354">
        <v>0</v>
      </c>
      <c r="M2097" s="355">
        <v>3</v>
      </c>
      <c r="N2097" s="355">
        <v>1</v>
      </c>
    </row>
    <row r="2098" spans="1:14" hidden="1" x14ac:dyDescent="0.25">
      <c r="A2098" s="354">
        <v>1</v>
      </c>
      <c r="B2098" s="354">
        <v>0</v>
      </c>
      <c r="C2098" s="354">
        <v>1</v>
      </c>
      <c r="D2098" s="354">
        <v>0</v>
      </c>
      <c r="E2098" s="354">
        <v>1</v>
      </c>
      <c r="F2098" s="354">
        <v>0</v>
      </c>
      <c r="G2098" s="354">
        <v>0</v>
      </c>
      <c r="H2098" s="354">
        <v>0</v>
      </c>
      <c r="I2098" s="354">
        <v>1</v>
      </c>
      <c r="J2098" s="354">
        <v>2</v>
      </c>
      <c r="K2098" s="354">
        <v>0</v>
      </c>
      <c r="L2098" s="354">
        <v>0</v>
      </c>
      <c r="M2098" s="355">
        <v>4</v>
      </c>
      <c r="N2098" s="355">
        <v>2</v>
      </c>
    </row>
    <row r="2099" spans="1:14" hidden="1" x14ac:dyDescent="0.25">
      <c r="A2099" s="354">
        <v>0</v>
      </c>
      <c r="B2099" s="354">
        <v>0</v>
      </c>
      <c r="C2099" s="354">
        <v>0</v>
      </c>
      <c r="D2099" s="354">
        <v>0</v>
      </c>
      <c r="E2099" s="354">
        <v>0</v>
      </c>
      <c r="F2099" s="354">
        <v>0</v>
      </c>
      <c r="G2099" s="354">
        <v>0</v>
      </c>
      <c r="H2099" s="354">
        <v>0</v>
      </c>
      <c r="I2099" s="354">
        <v>3</v>
      </c>
      <c r="J2099" s="354">
        <v>2</v>
      </c>
      <c r="K2099" s="354">
        <v>0</v>
      </c>
      <c r="L2099" s="354">
        <v>1</v>
      </c>
      <c r="M2099" s="355">
        <v>3</v>
      </c>
      <c r="N2099" s="355">
        <v>3</v>
      </c>
    </row>
    <row r="2100" spans="1:14" hidden="1" x14ac:dyDescent="0.25">
      <c r="A2100" s="354">
        <v>0</v>
      </c>
      <c r="B2100" s="354">
        <v>0</v>
      </c>
      <c r="C2100" s="354">
        <v>0</v>
      </c>
      <c r="D2100" s="354">
        <v>0</v>
      </c>
      <c r="E2100" s="354">
        <v>0</v>
      </c>
      <c r="F2100" s="354">
        <v>0</v>
      </c>
      <c r="G2100" s="354">
        <v>0</v>
      </c>
      <c r="H2100" s="354">
        <v>1</v>
      </c>
      <c r="I2100" s="354">
        <v>0</v>
      </c>
      <c r="J2100" s="354">
        <v>2</v>
      </c>
      <c r="K2100" s="354">
        <v>0</v>
      </c>
      <c r="L2100" s="354">
        <v>1</v>
      </c>
      <c r="M2100" s="355">
        <v>0</v>
      </c>
      <c r="N2100" s="355">
        <v>4</v>
      </c>
    </row>
    <row r="2101" spans="1:14" hidden="1" x14ac:dyDescent="0.25">
      <c r="A2101" s="354">
        <v>0</v>
      </c>
      <c r="B2101" s="354">
        <v>0</v>
      </c>
      <c r="C2101" s="354">
        <v>0</v>
      </c>
      <c r="D2101" s="354">
        <v>0</v>
      </c>
      <c r="E2101" s="354">
        <v>0</v>
      </c>
      <c r="F2101" s="354">
        <v>0</v>
      </c>
      <c r="G2101" s="354">
        <v>0</v>
      </c>
      <c r="H2101" s="354">
        <v>1</v>
      </c>
      <c r="I2101" s="354">
        <v>1</v>
      </c>
      <c r="J2101" s="354">
        <v>1</v>
      </c>
      <c r="K2101" s="354">
        <v>0</v>
      </c>
      <c r="L2101" s="354">
        <v>1</v>
      </c>
      <c r="M2101" s="355">
        <v>1</v>
      </c>
      <c r="N2101" s="355">
        <v>3</v>
      </c>
    </row>
    <row r="2102" spans="1:14" hidden="1" x14ac:dyDescent="0.25">
      <c r="A2102" s="354">
        <v>0</v>
      </c>
      <c r="B2102" s="354">
        <v>0</v>
      </c>
      <c r="C2102" s="354">
        <v>0</v>
      </c>
      <c r="D2102" s="354">
        <v>0</v>
      </c>
      <c r="E2102" s="354">
        <v>0</v>
      </c>
      <c r="F2102" s="354">
        <v>0</v>
      </c>
      <c r="G2102" s="354">
        <v>0</v>
      </c>
      <c r="H2102" s="354">
        <v>0</v>
      </c>
      <c r="I2102" s="354">
        <v>1</v>
      </c>
      <c r="J2102" s="354">
        <v>1</v>
      </c>
      <c r="K2102" s="354">
        <v>0</v>
      </c>
      <c r="L2102" s="354">
        <v>1</v>
      </c>
      <c r="M2102" s="355">
        <v>1</v>
      </c>
      <c r="N2102" s="355">
        <v>2</v>
      </c>
    </row>
    <row r="2103" spans="1:14" hidden="1" x14ac:dyDescent="0.25">
      <c r="A2103" s="354">
        <v>0</v>
      </c>
      <c r="B2103" s="354">
        <v>0</v>
      </c>
      <c r="C2103" s="354">
        <v>0</v>
      </c>
      <c r="D2103" s="354">
        <v>1</v>
      </c>
      <c r="E2103" s="354">
        <v>0</v>
      </c>
      <c r="F2103" s="354">
        <v>0</v>
      </c>
      <c r="G2103" s="354">
        <v>1</v>
      </c>
      <c r="H2103" s="354">
        <v>1</v>
      </c>
      <c r="I2103" s="354">
        <v>1</v>
      </c>
      <c r="J2103" s="354">
        <v>2</v>
      </c>
      <c r="K2103" s="354">
        <v>0</v>
      </c>
      <c r="L2103" s="354">
        <v>0</v>
      </c>
      <c r="M2103" s="355">
        <v>2</v>
      </c>
      <c r="N2103" s="355">
        <v>4</v>
      </c>
    </row>
    <row r="2104" spans="1:14" hidden="1" x14ac:dyDescent="0.25">
      <c r="A2104" s="354">
        <v>0</v>
      </c>
      <c r="B2104" s="354">
        <v>0</v>
      </c>
      <c r="C2104" s="354">
        <v>0</v>
      </c>
      <c r="D2104" s="354">
        <v>0</v>
      </c>
      <c r="E2104" s="354">
        <v>0</v>
      </c>
      <c r="F2104" s="354">
        <v>0</v>
      </c>
      <c r="G2104" s="354">
        <v>1</v>
      </c>
      <c r="H2104" s="354">
        <v>0</v>
      </c>
      <c r="I2104" s="354">
        <v>1</v>
      </c>
      <c r="J2104" s="354">
        <v>2</v>
      </c>
      <c r="K2104" s="354">
        <v>1</v>
      </c>
      <c r="L2104" s="354">
        <v>0</v>
      </c>
      <c r="M2104" s="355">
        <v>3</v>
      </c>
      <c r="N2104" s="355">
        <v>2</v>
      </c>
    </row>
    <row r="2105" spans="1:14" hidden="1" x14ac:dyDescent="0.25">
      <c r="A2105" s="354">
        <v>0</v>
      </c>
      <c r="B2105" s="354">
        <v>0</v>
      </c>
      <c r="C2105" s="354">
        <v>0</v>
      </c>
      <c r="D2105" s="354">
        <v>0</v>
      </c>
      <c r="E2105" s="354">
        <v>0</v>
      </c>
      <c r="F2105" s="354">
        <v>0</v>
      </c>
      <c r="G2105" s="354">
        <v>0</v>
      </c>
      <c r="H2105" s="354">
        <v>1</v>
      </c>
      <c r="I2105" s="354">
        <v>2</v>
      </c>
      <c r="J2105" s="354">
        <v>0</v>
      </c>
      <c r="K2105" s="354">
        <v>1</v>
      </c>
      <c r="L2105" s="354">
        <v>0</v>
      </c>
      <c r="M2105" s="355">
        <v>3</v>
      </c>
      <c r="N2105" s="355">
        <v>1</v>
      </c>
    </row>
    <row r="2106" spans="1:14" hidden="1" x14ac:dyDescent="0.25">
      <c r="A2106" s="354">
        <v>0</v>
      </c>
      <c r="B2106" s="354">
        <v>0</v>
      </c>
      <c r="C2106" s="354">
        <v>0</v>
      </c>
      <c r="D2106" s="354">
        <v>0</v>
      </c>
      <c r="E2106" s="354">
        <v>0</v>
      </c>
      <c r="F2106" s="354">
        <v>0</v>
      </c>
      <c r="G2106" s="354">
        <v>1</v>
      </c>
      <c r="H2106" s="354">
        <v>1</v>
      </c>
      <c r="I2106" s="354">
        <v>1</v>
      </c>
      <c r="J2106" s="354">
        <v>1</v>
      </c>
      <c r="K2106" s="354">
        <v>1</v>
      </c>
      <c r="L2106" s="354">
        <v>0</v>
      </c>
      <c r="M2106" s="355">
        <v>3</v>
      </c>
      <c r="N2106" s="355">
        <v>2</v>
      </c>
    </row>
    <row r="2107" spans="1:14" hidden="1" x14ac:dyDescent="0.25">
      <c r="A2107" s="354">
        <v>0</v>
      </c>
      <c r="B2107" s="354">
        <v>0</v>
      </c>
      <c r="C2107" s="354">
        <v>1</v>
      </c>
      <c r="D2107" s="354">
        <v>0</v>
      </c>
      <c r="E2107" s="354">
        <v>1</v>
      </c>
      <c r="F2107" s="354">
        <v>0</v>
      </c>
      <c r="G2107" s="354">
        <v>1</v>
      </c>
      <c r="H2107" s="354">
        <v>0</v>
      </c>
      <c r="I2107" s="354">
        <v>1</v>
      </c>
      <c r="J2107" s="354">
        <v>2</v>
      </c>
      <c r="K2107" s="354">
        <v>0</v>
      </c>
      <c r="L2107" s="354">
        <v>0</v>
      </c>
      <c r="M2107" s="355">
        <v>4</v>
      </c>
      <c r="N2107" s="355">
        <v>2</v>
      </c>
    </row>
    <row r="2108" spans="1:14" hidden="1" x14ac:dyDescent="0.25">
      <c r="A2108" s="354">
        <v>1</v>
      </c>
      <c r="B2108" s="354">
        <v>0</v>
      </c>
      <c r="C2108" s="354">
        <v>0</v>
      </c>
      <c r="D2108" s="354">
        <v>1</v>
      </c>
      <c r="E2108" s="354">
        <v>0</v>
      </c>
      <c r="F2108" s="354">
        <v>1</v>
      </c>
      <c r="G2108" s="354">
        <v>1</v>
      </c>
      <c r="H2108" s="354">
        <v>1</v>
      </c>
      <c r="I2108" s="354">
        <v>2</v>
      </c>
      <c r="J2108" s="354">
        <v>1</v>
      </c>
      <c r="K2108" s="354">
        <v>0</v>
      </c>
      <c r="L2108" s="354">
        <v>0</v>
      </c>
      <c r="M2108" s="355">
        <v>4</v>
      </c>
      <c r="N2108" s="355">
        <v>4</v>
      </c>
    </row>
    <row r="2109" spans="1:14" hidden="1" x14ac:dyDescent="0.25">
      <c r="A2109" s="354">
        <v>0</v>
      </c>
      <c r="B2109" s="354">
        <v>0</v>
      </c>
      <c r="C2109" s="354">
        <v>1</v>
      </c>
      <c r="D2109" s="354">
        <v>0</v>
      </c>
      <c r="E2109" s="354">
        <v>1</v>
      </c>
      <c r="F2109" s="354">
        <v>0</v>
      </c>
      <c r="G2109" s="354">
        <v>2</v>
      </c>
      <c r="H2109" s="354">
        <v>0</v>
      </c>
      <c r="I2109" s="354">
        <v>1</v>
      </c>
      <c r="J2109" s="354">
        <v>2</v>
      </c>
      <c r="K2109" s="354">
        <v>0</v>
      </c>
      <c r="L2109" s="354">
        <v>0</v>
      </c>
      <c r="M2109" s="355">
        <v>5</v>
      </c>
      <c r="N2109" s="355">
        <v>2</v>
      </c>
    </row>
    <row r="2110" spans="1:14" hidden="1" x14ac:dyDescent="0.25">
      <c r="A2110" s="354">
        <v>0</v>
      </c>
      <c r="B2110" s="354">
        <v>0</v>
      </c>
      <c r="C2110" s="354">
        <v>0</v>
      </c>
      <c r="D2110" s="354">
        <v>0</v>
      </c>
      <c r="E2110" s="354">
        <v>0</v>
      </c>
      <c r="F2110" s="354">
        <v>0</v>
      </c>
      <c r="G2110" s="354">
        <v>0</v>
      </c>
      <c r="H2110" s="354">
        <v>1</v>
      </c>
      <c r="I2110" s="354">
        <v>1</v>
      </c>
      <c r="J2110" s="354">
        <v>1</v>
      </c>
      <c r="K2110" s="354">
        <v>1</v>
      </c>
      <c r="L2110" s="354">
        <v>0</v>
      </c>
      <c r="M2110" s="355">
        <v>2</v>
      </c>
      <c r="N2110" s="355">
        <v>2</v>
      </c>
    </row>
    <row r="2111" spans="1:14" hidden="1" x14ac:dyDescent="0.25">
      <c r="A2111" s="354">
        <v>0</v>
      </c>
      <c r="B2111" s="354">
        <v>0</v>
      </c>
      <c r="C2111" s="354">
        <v>0</v>
      </c>
      <c r="D2111" s="354">
        <v>0</v>
      </c>
      <c r="E2111" s="354">
        <v>1</v>
      </c>
      <c r="F2111" s="354">
        <v>0</v>
      </c>
      <c r="G2111" s="354">
        <v>0</v>
      </c>
      <c r="H2111" s="354">
        <v>0</v>
      </c>
      <c r="I2111" s="354">
        <v>1</v>
      </c>
      <c r="J2111" s="354">
        <v>1</v>
      </c>
      <c r="K2111" s="354">
        <v>0</v>
      </c>
      <c r="L2111" s="354">
        <v>1</v>
      </c>
      <c r="M2111" s="355">
        <v>2</v>
      </c>
      <c r="N2111" s="355">
        <v>2</v>
      </c>
    </row>
    <row r="2112" spans="1:14" hidden="1" x14ac:dyDescent="0.25">
      <c r="A2112" s="354">
        <v>0</v>
      </c>
      <c r="B2112" s="354">
        <v>0</v>
      </c>
      <c r="C2112" s="354">
        <v>1</v>
      </c>
      <c r="D2112" s="354">
        <v>1</v>
      </c>
      <c r="E2112" s="354">
        <v>0</v>
      </c>
      <c r="F2112" s="354">
        <v>0</v>
      </c>
      <c r="G2112" s="354">
        <v>1</v>
      </c>
      <c r="H2112" s="354">
        <v>0</v>
      </c>
      <c r="I2112" s="354">
        <v>1</v>
      </c>
      <c r="J2112" s="354">
        <v>1</v>
      </c>
      <c r="K2112" s="354">
        <v>0</v>
      </c>
      <c r="L2112" s="354">
        <v>0</v>
      </c>
      <c r="M2112" s="355">
        <v>3</v>
      </c>
      <c r="N2112" s="355">
        <v>2</v>
      </c>
    </row>
    <row r="2113" spans="1:14" hidden="1" x14ac:dyDescent="0.25">
      <c r="A2113" s="354">
        <v>0</v>
      </c>
      <c r="B2113" s="354">
        <v>0</v>
      </c>
      <c r="C2113" s="354">
        <v>0</v>
      </c>
      <c r="D2113" s="354">
        <v>0</v>
      </c>
      <c r="E2113" s="354">
        <v>0</v>
      </c>
      <c r="F2113" s="354">
        <v>1</v>
      </c>
      <c r="G2113" s="354">
        <v>1</v>
      </c>
      <c r="H2113" s="354">
        <v>1</v>
      </c>
      <c r="I2113" s="354">
        <v>1</v>
      </c>
      <c r="J2113" s="354">
        <v>1</v>
      </c>
      <c r="K2113" s="354">
        <v>0</v>
      </c>
      <c r="L2113" s="354">
        <v>0</v>
      </c>
      <c r="M2113" s="355">
        <v>2</v>
      </c>
      <c r="N2113" s="355">
        <v>3</v>
      </c>
    </row>
    <row r="2114" spans="1:14" hidden="1" x14ac:dyDescent="0.25">
      <c r="A2114" s="354">
        <v>0</v>
      </c>
      <c r="B2114" s="354">
        <v>0</v>
      </c>
      <c r="C2114" s="354">
        <v>0</v>
      </c>
      <c r="D2114" s="354">
        <v>0</v>
      </c>
      <c r="E2114" s="354">
        <v>0</v>
      </c>
      <c r="F2114" s="354">
        <v>1</v>
      </c>
      <c r="G2114" s="354">
        <v>1</v>
      </c>
      <c r="H2114" s="354">
        <v>0</v>
      </c>
      <c r="I2114" s="354">
        <v>2</v>
      </c>
      <c r="J2114" s="354">
        <v>2</v>
      </c>
      <c r="K2114" s="354">
        <v>0</v>
      </c>
      <c r="L2114" s="354">
        <v>0</v>
      </c>
      <c r="M2114" s="355">
        <v>3</v>
      </c>
      <c r="N2114" s="355">
        <v>3</v>
      </c>
    </row>
    <row r="2115" spans="1:14" hidden="1" x14ac:dyDescent="0.25">
      <c r="A2115" s="354">
        <v>0</v>
      </c>
      <c r="B2115" s="354">
        <v>0</v>
      </c>
      <c r="C2115" s="354">
        <v>0</v>
      </c>
      <c r="D2115" s="354">
        <v>0</v>
      </c>
      <c r="E2115" s="354">
        <v>1</v>
      </c>
      <c r="F2115" s="354">
        <v>0</v>
      </c>
      <c r="G2115" s="354">
        <v>1</v>
      </c>
      <c r="H2115" s="354">
        <v>2</v>
      </c>
      <c r="I2115" s="354">
        <v>2</v>
      </c>
      <c r="J2115" s="354">
        <v>3</v>
      </c>
      <c r="K2115" s="354">
        <v>0</v>
      </c>
      <c r="L2115" s="354">
        <v>0</v>
      </c>
      <c r="M2115" s="355">
        <v>4</v>
      </c>
      <c r="N2115" s="355">
        <v>5</v>
      </c>
    </row>
    <row r="2116" spans="1:14" hidden="1" x14ac:dyDescent="0.25">
      <c r="A2116" s="354">
        <v>0</v>
      </c>
      <c r="B2116" s="354">
        <v>0</v>
      </c>
      <c r="C2116" s="354">
        <v>0</v>
      </c>
      <c r="D2116" s="354">
        <v>0</v>
      </c>
      <c r="E2116" s="354">
        <v>1</v>
      </c>
      <c r="F2116" s="354">
        <v>0</v>
      </c>
      <c r="G2116" s="354">
        <v>0</v>
      </c>
      <c r="H2116" s="354">
        <v>1</v>
      </c>
      <c r="I2116" s="354">
        <v>1</v>
      </c>
      <c r="J2116" s="354">
        <v>1</v>
      </c>
      <c r="K2116" s="354">
        <v>0</v>
      </c>
      <c r="L2116" s="354">
        <v>0</v>
      </c>
      <c r="M2116" s="355">
        <v>2</v>
      </c>
      <c r="N2116" s="355">
        <v>2</v>
      </c>
    </row>
    <row r="2117" spans="1:14" hidden="1" x14ac:dyDescent="0.25">
      <c r="A2117" s="354">
        <v>1</v>
      </c>
      <c r="B2117" s="354">
        <v>0</v>
      </c>
      <c r="C2117" s="354">
        <v>0</v>
      </c>
      <c r="D2117" s="354">
        <v>1</v>
      </c>
      <c r="E2117" s="354">
        <v>1</v>
      </c>
      <c r="F2117" s="354">
        <v>0</v>
      </c>
      <c r="G2117" s="354">
        <v>1</v>
      </c>
      <c r="H2117" s="354">
        <v>2</v>
      </c>
      <c r="I2117" s="354">
        <v>2</v>
      </c>
      <c r="J2117" s="354">
        <v>1</v>
      </c>
      <c r="K2117" s="354">
        <v>0</v>
      </c>
      <c r="L2117" s="354">
        <v>0</v>
      </c>
      <c r="M2117" s="355">
        <v>5</v>
      </c>
      <c r="N2117" s="355">
        <v>4</v>
      </c>
    </row>
    <row r="2118" spans="1:14" hidden="1" x14ac:dyDescent="0.25">
      <c r="A2118" s="354">
        <v>0</v>
      </c>
      <c r="B2118" s="354">
        <v>0</v>
      </c>
      <c r="C2118" s="354">
        <v>0</v>
      </c>
      <c r="D2118" s="354">
        <v>0</v>
      </c>
      <c r="E2118" s="354">
        <v>0</v>
      </c>
      <c r="F2118" s="354">
        <v>0</v>
      </c>
      <c r="G2118" s="354">
        <v>1</v>
      </c>
      <c r="H2118" s="354">
        <v>0</v>
      </c>
      <c r="I2118" s="354">
        <v>2</v>
      </c>
      <c r="J2118" s="354">
        <v>4</v>
      </c>
      <c r="K2118" s="354">
        <v>0</v>
      </c>
      <c r="L2118" s="354">
        <v>0</v>
      </c>
      <c r="M2118" s="355">
        <v>3</v>
      </c>
      <c r="N2118" s="355">
        <v>4</v>
      </c>
    </row>
    <row r="2119" spans="1:14" hidden="1" x14ac:dyDescent="0.25">
      <c r="A2119" s="354">
        <v>0</v>
      </c>
      <c r="B2119" s="354">
        <v>0</v>
      </c>
      <c r="C2119" s="354">
        <v>0</v>
      </c>
      <c r="D2119" s="354">
        <v>0</v>
      </c>
      <c r="E2119" s="354">
        <v>1</v>
      </c>
      <c r="F2119" s="354">
        <v>1</v>
      </c>
      <c r="G2119" s="354">
        <v>0</v>
      </c>
      <c r="H2119" s="354">
        <v>2</v>
      </c>
      <c r="I2119" s="354">
        <v>2</v>
      </c>
      <c r="J2119" s="354">
        <v>2</v>
      </c>
      <c r="K2119" s="354">
        <v>0</v>
      </c>
      <c r="L2119" s="354">
        <v>0</v>
      </c>
      <c r="M2119" s="355">
        <v>3</v>
      </c>
      <c r="N2119" s="355">
        <v>5</v>
      </c>
    </row>
    <row r="2120" spans="1:14" hidden="1" x14ac:dyDescent="0.25">
      <c r="A2120" s="354">
        <v>0</v>
      </c>
      <c r="B2120" s="354">
        <v>0</v>
      </c>
      <c r="C2120" s="354">
        <v>0</v>
      </c>
      <c r="D2120" s="354">
        <v>0</v>
      </c>
      <c r="E2120" s="354">
        <v>2</v>
      </c>
      <c r="F2120" s="354">
        <v>0</v>
      </c>
      <c r="G2120" s="354">
        <v>1</v>
      </c>
      <c r="H2120" s="354">
        <v>0</v>
      </c>
      <c r="I2120" s="354">
        <v>1</v>
      </c>
      <c r="J2120" s="354">
        <v>3</v>
      </c>
      <c r="K2120" s="354">
        <v>0</v>
      </c>
      <c r="L2120" s="354">
        <v>0</v>
      </c>
      <c r="M2120" s="355">
        <v>4</v>
      </c>
      <c r="N2120" s="355">
        <v>3</v>
      </c>
    </row>
    <row r="2121" spans="1:14" hidden="1" x14ac:dyDescent="0.25">
      <c r="A2121" s="354">
        <v>0</v>
      </c>
      <c r="B2121" s="354">
        <v>1</v>
      </c>
      <c r="C2121" s="354">
        <v>1</v>
      </c>
      <c r="D2121" s="354">
        <v>0</v>
      </c>
      <c r="E2121" s="354">
        <v>1</v>
      </c>
      <c r="F2121" s="354">
        <v>1</v>
      </c>
      <c r="G2121" s="354">
        <v>0</v>
      </c>
      <c r="H2121" s="354">
        <v>0</v>
      </c>
      <c r="I2121" s="354">
        <v>1</v>
      </c>
      <c r="J2121" s="354">
        <v>1</v>
      </c>
      <c r="K2121" s="354">
        <v>0</v>
      </c>
      <c r="L2121" s="354">
        <v>0</v>
      </c>
      <c r="M2121" s="355">
        <v>3</v>
      </c>
      <c r="N2121" s="355">
        <v>3</v>
      </c>
    </row>
    <row r="2122" spans="1:14" hidden="1" x14ac:dyDescent="0.25">
      <c r="A2122" s="354">
        <v>0</v>
      </c>
      <c r="B2122" s="354">
        <v>1</v>
      </c>
      <c r="C2122" s="354">
        <v>2</v>
      </c>
      <c r="D2122" s="354">
        <v>1</v>
      </c>
      <c r="E2122" s="354">
        <v>3</v>
      </c>
      <c r="F2122" s="354">
        <v>1</v>
      </c>
      <c r="G2122" s="354">
        <v>2</v>
      </c>
      <c r="H2122" s="354">
        <v>3</v>
      </c>
      <c r="I2122" s="354">
        <v>3</v>
      </c>
      <c r="J2122" s="354">
        <v>1</v>
      </c>
      <c r="K2122" s="354">
        <v>0</v>
      </c>
      <c r="L2122" s="354">
        <v>0</v>
      </c>
      <c r="M2122" s="355">
        <v>10</v>
      </c>
      <c r="N2122" s="355">
        <v>7</v>
      </c>
    </row>
    <row r="2123" spans="1:14" hidden="1" x14ac:dyDescent="0.25">
      <c r="A2123" s="354">
        <v>1</v>
      </c>
      <c r="B2123" s="354">
        <v>0</v>
      </c>
      <c r="C2123" s="354">
        <v>1</v>
      </c>
      <c r="D2123" s="354">
        <v>0</v>
      </c>
      <c r="E2123" s="354">
        <v>1</v>
      </c>
      <c r="F2123" s="354">
        <v>0</v>
      </c>
      <c r="G2123" s="354">
        <v>0</v>
      </c>
      <c r="H2123" s="354">
        <v>0</v>
      </c>
      <c r="I2123" s="354">
        <v>1</v>
      </c>
      <c r="J2123" s="354">
        <v>1</v>
      </c>
      <c r="K2123" s="354">
        <v>0</v>
      </c>
      <c r="L2123" s="354">
        <v>0</v>
      </c>
      <c r="M2123" s="355">
        <v>4</v>
      </c>
      <c r="N2123" s="355">
        <v>1</v>
      </c>
    </row>
    <row r="2124" spans="1:14" hidden="1" x14ac:dyDescent="0.25">
      <c r="A2124" s="354">
        <v>0</v>
      </c>
      <c r="B2124" s="354">
        <v>0</v>
      </c>
      <c r="C2124" s="354">
        <v>0</v>
      </c>
      <c r="D2124" s="354">
        <v>0</v>
      </c>
      <c r="E2124" s="354">
        <v>0</v>
      </c>
      <c r="F2124" s="354">
        <v>0</v>
      </c>
      <c r="G2124" s="354">
        <v>0</v>
      </c>
      <c r="H2124" s="354">
        <v>2</v>
      </c>
      <c r="I2124" s="354">
        <v>1</v>
      </c>
      <c r="J2124" s="354">
        <v>1</v>
      </c>
      <c r="K2124" s="354">
        <v>0</v>
      </c>
      <c r="L2124" s="354">
        <v>0</v>
      </c>
      <c r="M2124" s="355">
        <v>1</v>
      </c>
      <c r="N2124" s="355">
        <v>3</v>
      </c>
    </row>
    <row r="2125" spans="1:14" hidden="1" x14ac:dyDescent="0.25">
      <c r="A2125" s="354">
        <v>0</v>
      </c>
      <c r="B2125" s="354">
        <v>0</v>
      </c>
      <c r="C2125" s="354">
        <v>2</v>
      </c>
      <c r="D2125" s="354">
        <v>0</v>
      </c>
      <c r="E2125" s="354">
        <v>0</v>
      </c>
      <c r="F2125" s="354">
        <v>1</v>
      </c>
      <c r="G2125" s="354">
        <v>0</v>
      </c>
      <c r="H2125" s="354">
        <v>0</v>
      </c>
      <c r="I2125" s="354">
        <v>1</v>
      </c>
      <c r="J2125" s="354">
        <v>1</v>
      </c>
      <c r="K2125" s="354">
        <v>0</v>
      </c>
      <c r="L2125" s="354">
        <v>0</v>
      </c>
      <c r="M2125" s="355">
        <v>3</v>
      </c>
      <c r="N2125" s="355">
        <v>2</v>
      </c>
    </row>
    <row r="2126" spans="1:14" hidden="1" x14ac:dyDescent="0.25">
      <c r="A2126" s="354">
        <v>0</v>
      </c>
      <c r="B2126" s="354">
        <v>0</v>
      </c>
      <c r="C2126" s="354">
        <v>1</v>
      </c>
      <c r="D2126" s="354">
        <v>0</v>
      </c>
      <c r="E2126" s="354">
        <v>1</v>
      </c>
      <c r="F2126" s="354">
        <v>1</v>
      </c>
      <c r="G2126" s="354">
        <v>0</v>
      </c>
      <c r="H2126" s="354">
        <v>1</v>
      </c>
      <c r="I2126" s="354">
        <v>1</v>
      </c>
      <c r="J2126" s="354">
        <v>1</v>
      </c>
      <c r="K2126" s="354">
        <v>0</v>
      </c>
      <c r="L2126" s="354">
        <v>0</v>
      </c>
      <c r="M2126" s="355">
        <v>3</v>
      </c>
      <c r="N2126" s="355">
        <v>3</v>
      </c>
    </row>
    <row r="2127" spans="1:14" hidden="1" x14ac:dyDescent="0.25">
      <c r="A2127" s="354">
        <v>0</v>
      </c>
      <c r="B2127" s="354">
        <v>0</v>
      </c>
      <c r="C2127" s="354">
        <v>0</v>
      </c>
      <c r="D2127" s="354">
        <v>0</v>
      </c>
      <c r="E2127" s="354">
        <v>0</v>
      </c>
      <c r="F2127" s="354">
        <v>0</v>
      </c>
      <c r="G2127" s="354">
        <v>0</v>
      </c>
      <c r="H2127" s="354">
        <v>0</v>
      </c>
      <c r="I2127" s="354">
        <v>4</v>
      </c>
      <c r="J2127" s="354">
        <v>1</v>
      </c>
      <c r="K2127" s="354">
        <v>0</v>
      </c>
      <c r="L2127" s="354">
        <v>1</v>
      </c>
      <c r="M2127" s="355">
        <v>4</v>
      </c>
      <c r="N2127" s="355">
        <v>2</v>
      </c>
    </row>
    <row r="2128" spans="1:14" hidden="1" x14ac:dyDescent="0.25">
      <c r="A2128" s="354">
        <v>1</v>
      </c>
      <c r="B2128" s="354">
        <v>0</v>
      </c>
      <c r="C2128" s="354">
        <v>1</v>
      </c>
      <c r="D2128" s="354">
        <v>1</v>
      </c>
      <c r="E2128" s="354">
        <v>0</v>
      </c>
      <c r="F2128" s="354">
        <v>0</v>
      </c>
      <c r="G2128" s="354">
        <v>2</v>
      </c>
      <c r="H2128" s="354">
        <v>0</v>
      </c>
      <c r="I2128" s="354">
        <v>1</v>
      </c>
      <c r="J2128" s="354">
        <v>1</v>
      </c>
      <c r="K2128" s="354">
        <v>0</v>
      </c>
      <c r="L2128" s="354">
        <v>0</v>
      </c>
      <c r="M2128" s="355">
        <v>5</v>
      </c>
      <c r="N2128" s="355">
        <v>2</v>
      </c>
    </row>
    <row r="2129" spans="1:14" hidden="1" x14ac:dyDescent="0.25">
      <c r="A2129" s="354">
        <v>0</v>
      </c>
      <c r="B2129" s="354">
        <v>0</v>
      </c>
      <c r="C2129" s="354">
        <v>1</v>
      </c>
      <c r="D2129" s="354">
        <v>0</v>
      </c>
      <c r="E2129" s="354">
        <v>2</v>
      </c>
      <c r="F2129" s="354">
        <v>2</v>
      </c>
      <c r="G2129" s="354">
        <v>0</v>
      </c>
      <c r="H2129" s="354">
        <v>0</v>
      </c>
      <c r="I2129" s="354">
        <v>1</v>
      </c>
      <c r="J2129" s="354">
        <v>1</v>
      </c>
      <c r="K2129" s="354">
        <v>0</v>
      </c>
      <c r="L2129" s="354">
        <v>0</v>
      </c>
      <c r="M2129" s="355">
        <v>4</v>
      </c>
      <c r="N2129" s="355">
        <v>3</v>
      </c>
    </row>
    <row r="2130" spans="1:14" hidden="1" x14ac:dyDescent="0.25">
      <c r="A2130" s="354">
        <v>0</v>
      </c>
      <c r="B2130" s="354">
        <v>0</v>
      </c>
      <c r="C2130" s="354">
        <v>0</v>
      </c>
      <c r="D2130" s="354">
        <v>0</v>
      </c>
      <c r="E2130" s="354">
        <v>0</v>
      </c>
      <c r="F2130" s="354">
        <v>0</v>
      </c>
      <c r="G2130" s="354">
        <v>1</v>
      </c>
      <c r="H2130" s="354">
        <v>0</v>
      </c>
      <c r="I2130" s="354">
        <v>0</v>
      </c>
      <c r="J2130" s="354">
        <v>1</v>
      </c>
      <c r="K2130" s="354">
        <v>0</v>
      </c>
      <c r="L2130" s="354">
        <v>0</v>
      </c>
      <c r="M2130" s="355">
        <v>1</v>
      </c>
      <c r="N2130" s="355">
        <v>1</v>
      </c>
    </row>
    <row r="2131" spans="1:14" hidden="1" x14ac:dyDescent="0.25">
      <c r="A2131" s="354">
        <v>1</v>
      </c>
      <c r="B2131" s="354">
        <v>0</v>
      </c>
      <c r="C2131" s="354">
        <v>0</v>
      </c>
      <c r="D2131" s="354">
        <v>0</v>
      </c>
      <c r="E2131" s="354">
        <v>0</v>
      </c>
      <c r="F2131" s="354">
        <v>1</v>
      </c>
      <c r="G2131" s="354">
        <v>0</v>
      </c>
      <c r="H2131" s="354">
        <v>0</v>
      </c>
      <c r="I2131" s="354">
        <v>1</v>
      </c>
      <c r="J2131" s="354">
        <v>1</v>
      </c>
      <c r="K2131" s="354">
        <v>0</v>
      </c>
      <c r="L2131" s="354">
        <v>0</v>
      </c>
      <c r="M2131" s="355">
        <v>2</v>
      </c>
      <c r="N2131" s="355">
        <v>2</v>
      </c>
    </row>
    <row r="2132" spans="1:14" hidden="1" x14ac:dyDescent="0.25">
      <c r="A2132" s="354">
        <v>0</v>
      </c>
      <c r="B2132" s="354">
        <v>0</v>
      </c>
      <c r="C2132" s="354">
        <v>0</v>
      </c>
      <c r="D2132" s="354">
        <v>0</v>
      </c>
      <c r="E2132" s="354">
        <v>0</v>
      </c>
      <c r="F2132" s="354">
        <v>0</v>
      </c>
      <c r="G2132" s="354">
        <v>0</v>
      </c>
      <c r="H2132" s="354">
        <v>0</v>
      </c>
      <c r="I2132" s="354">
        <v>1</v>
      </c>
      <c r="J2132" s="354">
        <v>1</v>
      </c>
      <c r="K2132" s="354">
        <v>0</v>
      </c>
      <c r="L2132" s="354">
        <v>0</v>
      </c>
      <c r="M2132" s="355">
        <v>1</v>
      </c>
      <c r="N2132" s="355">
        <v>1</v>
      </c>
    </row>
    <row r="2133" spans="1:14" hidden="1" x14ac:dyDescent="0.25">
      <c r="A2133" s="354">
        <v>0</v>
      </c>
      <c r="B2133" s="354">
        <v>0</v>
      </c>
      <c r="C2133" s="354">
        <v>0</v>
      </c>
      <c r="D2133" s="354">
        <v>0</v>
      </c>
      <c r="E2133" s="354">
        <v>0</v>
      </c>
      <c r="F2133" s="354">
        <v>0</v>
      </c>
      <c r="G2133" s="354">
        <v>0</v>
      </c>
      <c r="H2133" s="354">
        <v>1</v>
      </c>
      <c r="I2133" s="354">
        <v>0</v>
      </c>
      <c r="J2133" s="354">
        <v>1</v>
      </c>
      <c r="K2133" s="354">
        <v>1</v>
      </c>
      <c r="L2133" s="354">
        <v>0</v>
      </c>
      <c r="M2133" s="355">
        <v>1</v>
      </c>
      <c r="N2133" s="355">
        <v>2</v>
      </c>
    </row>
    <row r="2134" spans="1:14" hidden="1" x14ac:dyDescent="0.25">
      <c r="A2134" s="354">
        <v>0</v>
      </c>
      <c r="B2134" s="354">
        <v>0</v>
      </c>
      <c r="C2134" s="354">
        <v>0</v>
      </c>
      <c r="D2134" s="354">
        <v>0</v>
      </c>
      <c r="E2134" s="354">
        <v>0</v>
      </c>
      <c r="F2134" s="354">
        <v>0</v>
      </c>
      <c r="G2134" s="354">
        <v>0</v>
      </c>
      <c r="H2134" s="354">
        <v>1</v>
      </c>
      <c r="I2134" s="354">
        <v>1</v>
      </c>
      <c r="J2134" s="354">
        <v>0</v>
      </c>
      <c r="K2134" s="354">
        <v>0</v>
      </c>
      <c r="L2134" s="354">
        <v>0</v>
      </c>
      <c r="M2134" s="355">
        <v>1</v>
      </c>
      <c r="N2134" s="355">
        <v>1</v>
      </c>
    </row>
    <row r="2135" spans="1:14" hidden="1" x14ac:dyDescent="0.25">
      <c r="A2135" s="354">
        <v>0</v>
      </c>
      <c r="B2135" s="354">
        <v>0</v>
      </c>
      <c r="C2135" s="354">
        <v>1</v>
      </c>
      <c r="D2135" s="354">
        <v>0</v>
      </c>
      <c r="E2135" s="354">
        <v>1</v>
      </c>
      <c r="F2135" s="354">
        <v>1</v>
      </c>
      <c r="G2135" s="354">
        <v>1</v>
      </c>
      <c r="H2135" s="354">
        <v>0</v>
      </c>
      <c r="I2135" s="354">
        <v>1</v>
      </c>
      <c r="J2135" s="354">
        <v>1</v>
      </c>
      <c r="K2135" s="354">
        <v>0</v>
      </c>
      <c r="L2135" s="354">
        <v>0</v>
      </c>
      <c r="M2135" s="355">
        <v>4</v>
      </c>
      <c r="N2135" s="355">
        <v>2</v>
      </c>
    </row>
    <row r="2136" spans="1:14" hidden="1" x14ac:dyDescent="0.25">
      <c r="A2136" s="354">
        <v>0</v>
      </c>
      <c r="B2136" s="354">
        <v>1</v>
      </c>
      <c r="C2136" s="354">
        <v>0</v>
      </c>
      <c r="D2136" s="354">
        <v>1</v>
      </c>
      <c r="E2136" s="354">
        <v>0</v>
      </c>
      <c r="F2136" s="354">
        <v>0</v>
      </c>
      <c r="G2136" s="354">
        <v>0</v>
      </c>
      <c r="H2136" s="354">
        <v>0</v>
      </c>
      <c r="I2136" s="354">
        <v>1</v>
      </c>
      <c r="J2136" s="354">
        <v>1</v>
      </c>
      <c r="K2136" s="354">
        <v>0</v>
      </c>
      <c r="L2136" s="354">
        <v>0</v>
      </c>
      <c r="M2136" s="355">
        <v>1</v>
      </c>
      <c r="N2136" s="355">
        <v>3</v>
      </c>
    </row>
    <row r="2137" spans="1:14" hidden="1" x14ac:dyDescent="0.25">
      <c r="A2137" s="354">
        <v>0</v>
      </c>
      <c r="B2137" s="354">
        <v>0</v>
      </c>
      <c r="C2137" s="354">
        <v>0</v>
      </c>
      <c r="D2137" s="354">
        <v>1</v>
      </c>
      <c r="E2137" s="354">
        <v>0</v>
      </c>
      <c r="F2137" s="354">
        <v>2</v>
      </c>
      <c r="G2137" s="354">
        <v>2</v>
      </c>
      <c r="H2137" s="354">
        <v>0</v>
      </c>
      <c r="I2137" s="354">
        <v>0</v>
      </c>
      <c r="J2137" s="354">
        <v>1</v>
      </c>
      <c r="K2137" s="354">
        <v>1</v>
      </c>
      <c r="L2137" s="354">
        <v>0</v>
      </c>
      <c r="M2137" s="355">
        <v>3</v>
      </c>
      <c r="N2137" s="355">
        <v>4</v>
      </c>
    </row>
    <row r="2138" spans="1:14" hidden="1" x14ac:dyDescent="0.25">
      <c r="A2138" s="354">
        <v>0</v>
      </c>
      <c r="B2138" s="354">
        <v>1</v>
      </c>
      <c r="C2138" s="354">
        <v>1</v>
      </c>
      <c r="D2138" s="354">
        <v>0</v>
      </c>
      <c r="E2138" s="354">
        <v>0</v>
      </c>
      <c r="F2138" s="354">
        <v>0</v>
      </c>
      <c r="G2138" s="354">
        <v>0</v>
      </c>
      <c r="H2138" s="354">
        <v>0</v>
      </c>
      <c r="I2138" s="354">
        <v>1</v>
      </c>
      <c r="J2138" s="354">
        <v>1</v>
      </c>
      <c r="K2138" s="354">
        <v>0</v>
      </c>
      <c r="L2138" s="354">
        <v>0</v>
      </c>
      <c r="M2138" s="355">
        <v>2</v>
      </c>
      <c r="N2138" s="355">
        <v>2</v>
      </c>
    </row>
    <row r="2139" spans="1:14" hidden="1" x14ac:dyDescent="0.25">
      <c r="A2139" s="354"/>
      <c r="B2139" s="354">
        <v>0</v>
      </c>
      <c r="C2139" s="354">
        <v>0</v>
      </c>
      <c r="D2139" s="354">
        <v>0</v>
      </c>
      <c r="E2139" s="354">
        <v>1</v>
      </c>
      <c r="F2139" s="354">
        <v>0</v>
      </c>
      <c r="G2139" s="354">
        <v>2</v>
      </c>
      <c r="H2139" s="354">
        <v>0</v>
      </c>
      <c r="I2139" s="354">
        <v>3</v>
      </c>
      <c r="J2139" s="354">
        <v>1</v>
      </c>
      <c r="K2139" s="354">
        <v>1</v>
      </c>
      <c r="L2139" s="354">
        <v>1</v>
      </c>
      <c r="M2139" s="355">
        <v>7</v>
      </c>
      <c r="N2139" s="355">
        <v>2</v>
      </c>
    </row>
    <row r="2140" spans="1:14" hidden="1" x14ac:dyDescent="0.25">
      <c r="A2140" s="354">
        <v>1</v>
      </c>
      <c r="B2140" s="354">
        <v>0</v>
      </c>
      <c r="C2140" s="354">
        <v>2</v>
      </c>
      <c r="D2140" s="354">
        <v>0</v>
      </c>
      <c r="E2140" s="354">
        <v>1</v>
      </c>
      <c r="F2140" s="354">
        <v>0</v>
      </c>
      <c r="G2140" s="354">
        <v>0</v>
      </c>
      <c r="H2140" s="354">
        <v>1</v>
      </c>
      <c r="I2140" s="354">
        <v>1</v>
      </c>
      <c r="J2140" s="354">
        <v>2</v>
      </c>
      <c r="K2140" s="354">
        <v>0</v>
      </c>
      <c r="L2140" s="354">
        <v>0</v>
      </c>
      <c r="M2140" s="355">
        <v>5</v>
      </c>
      <c r="N2140" s="355">
        <v>3</v>
      </c>
    </row>
    <row r="2141" spans="1:14" hidden="1" x14ac:dyDescent="0.25">
      <c r="A2141" s="354">
        <v>0</v>
      </c>
      <c r="B2141" s="354">
        <v>0</v>
      </c>
      <c r="C2141" s="354">
        <v>0</v>
      </c>
      <c r="D2141" s="354">
        <v>0</v>
      </c>
      <c r="E2141" s="354">
        <v>0</v>
      </c>
      <c r="F2141" s="354">
        <v>0</v>
      </c>
      <c r="G2141" s="354">
        <v>0</v>
      </c>
      <c r="H2141" s="354">
        <v>0</v>
      </c>
      <c r="I2141" s="354">
        <v>0</v>
      </c>
      <c r="J2141" s="354">
        <v>0</v>
      </c>
      <c r="K2141" s="354">
        <v>0</v>
      </c>
      <c r="L2141" s="354">
        <v>1</v>
      </c>
      <c r="M2141" s="355">
        <v>0</v>
      </c>
      <c r="N2141" s="355">
        <v>1</v>
      </c>
    </row>
    <row r="2142" spans="1:14" hidden="1" x14ac:dyDescent="0.25">
      <c r="A2142" s="354">
        <v>0</v>
      </c>
      <c r="B2142" s="354">
        <v>1</v>
      </c>
      <c r="C2142" s="354">
        <v>2</v>
      </c>
      <c r="D2142" s="354">
        <v>0</v>
      </c>
      <c r="E2142" s="354">
        <v>1</v>
      </c>
      <c r="F2142" s="354">
        <v>0</v>
      </c>
      <c r="G2142" s="354">
        <v>1</v>
      </c>
      <c r="H2142" s="354">
        <v>1</v>
      </c>
      <c r="I2142" s="354">
        <v>2</v>
      </c>
      <c r="J2142" s="354">
        <v>1</v>
      </c>
      <c r="K2142" s="354">
        <v>0</v>
      </c>
      <c r="L2142" s="354">
        <v>0</v>
      </c>
      <c r="M2142" s="355">
        <v>6</v>
      </c>
      <c r="N2142" s="355">
        <v>3</v>
      </c>
    </row>
    <row r="2143" spans="1:14" hidden="1" x14ac:dyDescent="0.25">
      <c r="A2143" s="354">
        <v>0</v>
      </c>
      <c r="B2143" s="354">
        <v>0</v>
      </c>
      <c r="C2143" s="354">
        <v>1</v>
      </c>
      <c r="D2143" s="354">
        <v>0</v>
      </c>
      <c r="E2143" s="354">
        <v>1</v>
      </c>
      <c r="F2143" s="354">
        <v>0</v>
      </c>
      <c r="G2143" s="354">
        <v>0</v>
      </c>
      <c r="H2143" s="354">
        <v>0</v>
      </c>
      <c r="I2143" s="354">
        <v>0</v>
      </c>
      <c r="J2143" s="354">
        <v>1</v>
      </c>
      <c r="K2143" s="354">
        <v>1</v>
      </c>
      <c r="L2143" s="354">
        <v>0</v>
      </c>
      <c r="M2143" s="355">
        <v>3</v>
      </c>
      <c r="N2143" s="355">
        <v>1</v>
      </c>
    </row>
    <row r="2144" spans="1:14" hidden="1" x14ac:dyDescent="0.25">
      <c r="A2144" s="354">
        <v>0</v>
      </c>
      <c r="B2144" s="354">
        <v>0</v>
      </c>
      <c r="C2144" s="354">
        <v>0</v>
      </c>
      <c r="D2144" s="354">
        <v>2</v>
      </c>
      <c r="E2144" s="354">
        <v>1</v>
      </c>
      <c r="F2144" s="354">
        <v>0</v>
      </c>
      <c r="G2144" s="354">
        <v>1</v>
      </c>
      <c r="H2144" s="354">
        <v>1</v>
      </c>
      <c r="I2144" s="354">
        <v>1</v>
      </c>
      <c r="J2144" s="354">
        <v>3</v>
      </c>
      <c r="K2144" s="354">
        <v>1</v>
      </c>
      <c r="L2144" s="354">
        <v>0</v>
      </c>
      <c r="M2144" s="355">
        <v>4</v>
      </c>
      <c r="N2144" s="355">
        <v>6</v>
      </c>
    </row>
    <row r="2145" spans="1:14" hidden="1" x14ac:dyDescent="0.25">
      <c r="A2145" s="354">
        <v>0</v>
      </c>
      <c r="B2145" s="354">
        <v>0</v>
      </c>
      <c r="C2145" s="354">
        <v>0</v>
      </c>
      <c r="D2145" s="354">
        <v>0</v>
      </c>
      <c r="E2145" s="354">
        <v>0</v>
      </c>
      <c r="F2145" s="354">
        <v>0</v>
      </c>
      <c r="G2145" s="354">
        <v>0</v>
      </c>
      <c r="H2145" s="354">
        <v>0</v>
      </c>
      <c r="I2145" s="354">
        <v>0</v>
      </c>
      <c r="J2145" s="354">
        <v>2</v>
      </c>
      <c r="K2145" s="354">
        <v>1</v>
      </c>
      <c r="L2145" s="354">
        <v>0</v>
      </c>
      <c r="M2145" s="355">
        <v>1</v>
      </c>
      <c r="N2145" s="355">
        <v>2</v>
      </c>
    </row>
    <row r="2146" spans="1:14" hidden="1" x14ac:dyDescent="0.25">
      <c r="A2146" s="354">
        <v>1</v>
      </c>
      <c r="B2146" s="354">
        <v>0</v>
      </c>
      <c r="C2146" s="354">
        <v>1</v>
      </c>
      <c r="D2146" s="354">
        <v>0</v>
      </c>
      <c r="E2146" s="354">
        <v>1</v>
      </c>
      <c r="F2146" s="354">
        <v>1</v>
      </c>
      <c r="G2146" s="354">
        <v>0</v>
      </c>
      <c r="H2146" s="354">
        <v>1</v>
      </c>
      <c r="I2146" s="354">
        <v>1</v>
      </c>
      <c r="J2146" s="354">
        <v>1</v>
      </c>
      <c r="K2146" s="354">
        <v>0</v>
      </c>
      <c r="L2146" s="354">
        <v>0</v>
      </c>
      <c r="M2146" s="355">
        <v>4</v>
      </c>
      <c r="N2146" s="355">
        <v>3</v>
      </c>
    </row>
    <row r="2147" spans="1:14" hidden="1" x14ac:dyDescent="0.25">
      <c r="A2147" s="354">
        <v>0</v>
      </c>
      <c r="B2147" s="354">
        <v>0</v>
      </c>
      <c r="C2147" s="354">
        <v>1</v>
      </c>
      <c r="D2147" s="354">
        <v>0</v>
      </c>
      <c r="E2147" s="354">
        <v>2</v>
      </c>
      <c r="F2147" s="354">
        <v>1</v>
      </c>
      <c r="G2147" s="354">
        <v>1</v>
      </c>
      <c r="H2147" s="354">
        <v>0</v>
      </c>
      <c r="I2147" s="354">
        <v>4</v>
      </c>
      <c r="J2147" s="354">
        <v>1</v>
      </c>
      <c r="K2147" s="354">
        <v>1</v>
      </c>
      <c r="L2147" s="354">
        <v>0</v>
      </c>
      <c r="M2147" s="355">
        <v>9</v>
      </c>
      <c r="N2147" s="355">
        <v>2</v>
      </c>
    </row>
    <row r="2148" spans="1:14" hidden="1" x14ac:dyDescent="0.25">
      <c r="A2148" s="354">
        <v>1</v>
      </c>
      <c r="B2148" s="354">
        <v>0</v>
      </c>
      <c r="C2148" s="354">
        <v>1</v>
      </c>
      <c r="D2148" s="354">
        <v>1</v>
      </c>
      <c r="E2148" s="354">
        <v>0</v>
      </c>
      <c r="F2148" s="354">
        <v>2</v>
      </c>
      <c r="G2148" s="354">
        <v>2</v>
      </c>
      <c r="H2148" s="354">
        <v>0</v>
      </c>
      <c r="I2148" s="354">
        <v>1</v>
      </c>
      <c r="J2148" s="354">
        <v>1</v>
      </c>
      <c r="K2148" s="354">
        <v>0</v>
      </c>
      <c r="L2148" s="354">
        <v>0</v>
      </c>
      <c r="M2148" s="355">
        <v>5</v>
      </c>
      <c r="N2148" s="355">
        <v>4</v>
      </c>
    </row>
    <row r="2149" spans="1:14" hidden="1" x14ac:dyDescent="0.25">
      <c r="A2149" s="354">
        <v>1</v>
      </c>
      <c r="B2149" s="354">
        <v>1</v>
      </c>
      <c r="C2149" s="354">
        <v>1</v>
      </c>
      <c r="D2149" s="354">
        <v>0</v>
      </c>
      <c r="E2149" s="354">
        <v>1</v>
      </c>
      <c r="F2149" s="354">
        <v>2</v>
      </c>
      <c r="G2149" s="354">
        <v>1</v>
      </c>
      <c r="H2149" s="354">
        <v>0</v>
      </c>
      <c r="I2149" s="354">
        <v>1</v>
      </c>
      <c r="J2149" s="354">
        <v>4</v>
      </c>
      <c r="K2149" s="354">
        <v>0</v>
      </c>
      <c r="L2149" s="354">
        <v>0</v>
      </c>
      <c r="M2149" s="355">
        <v>5</v>
      </c>
      <c r="N2149" s="355">
        <v>7</v>
      </c>
    </row>
    <row r="2150" spans="1:14" hidden="1" x14ac:dyDescent="0.25">
      <c r="A2150" s="354">
        <v>0</v>
      </c>
      <c r="B2150" s="354">
        <v>0</v>
      </c>
      <c r="C2150" s="354">
        <v>1</v>
      </c>
      <c r="D2150" s="354">
        <v>0</v>
      </c>
      <c r="E2150" s="354">
        <v>1</v>
      </c>
      <c r="F2150" s="354">
        <v>0</v>
      </c>
      <c r="G2150" s="354">
        <v>1</v>
      </c>
      <c r="H2150" s="354">
        <v>0</v>
      </c>
      <c r="I2150" s="354">
        <v>0</v>
      </c>
      <c r="J2150" s="354">
        <v>3</v>
      </c>
      <c r="K2150" s="354">
        <v>1</v>
      </c>
      <c r="L2150" s="354">
        <v>0</v>
      </c>
      <c r="M2150" s="355">
        <v>4</v>
      </c>
      <c r="N2150" s="355">
        <v>3</v>
      </c>
    </row>
    <row r="2151" spans="1:14" hidden="1" x14ac:dyDescent="0.25">
      <c r="A2151" s="354">
        <v>1</v>
      </c>
      <c r="B2151" s="354">
        <v>1</v>
      </c>
      <c r="C2151" s="354">
        <v>1</v>
      </c>
      <c r="D2151" s="354">
        <v>1</v>
      </c>
      <c r="E2151" s="354">
        <v>2</v>
      </c>
      <c r="F2151" s="354">
        <v>1</v>
      </c>
      <c r="G2151" s="354">
        <v>0</v>
      </c>
      <c r="H2151" s="354">
        <v>1</v>
      </c>
      <c r="I2151" s="354">
        <v>2</v>
      </c>
      <c r="J2151" s="354">
        <v>3</v>
      </c>
      <c r="K2151" s="354">
        <v>1</v>
      </c>
      <c r="L2151" s="354">
        <v>0</v>
      </c>
      <c r="M2151" s="355">
        <v>7</v>
      </c>
      <c r="N2151" s="355">
        <v>7</v>
      </c>
    </row>
    <row r="2152" spans="1:14" hidden="1" x14ac:dyDescent="0.25">
      <c r="A2152" s="354">
        <v>0</v>
      </c>
      <c r="B2152" s="354">
        <v>0</v>
      </c>
      <c r="C2152" s="354">
        <v>0</v>
      </c>
      <c r="D2152" s="354">
        <v>1</v>
      </c>
      <c r="E2152" s="354">
        <v>0</v>
      </c>
      <c r="F2152" s="354">
        <v>0</v>
      </c>
      <c r="G2152" s="354">
        <v>0</v>
      </c>
      <c r="H2152" s="354">
        <v>0</v>
      </c>
      <c r="I2152" s="354">
        <v>1</v>
      </c>
      <c r="J2152" s="354">
        <v>1</v>
      </c>
      <c r="K2152" s="354">
        <v>0</v>
      </c>
      <c r="L2152" s="354">
        <v>0</v>
      </c>
      <c r="M2152" s="355">
        <v>1</v>
      </c>
      <c r="N2152" s="355">
        <v>2</v>
      </c>
    </row>
    <row r="2153" spans="1:14" hidden="1" x14ac:dyDescent="0.25">
      <c r="A2153" s="354">
        <v>0</v>
      </c>
      <c r="B2153" s="354">
        <v>0</v>
      </c>
      <c r="C2153" s="354">
        <v>1</v>
      </c>
      <c r="D2153" s="354">
        <v>1</v>
      </c>
      <c r="E2153" s="354">
        <v>1</v>
      </c>
      <c r="F2153" s="354">
        <v>1</v>
      </c>
      <c r="G2153" s="354">
        <v>0</v>
      </c>
      <c r="H2153" s="354">
        <v>3</v>
      </c>
      <c r="I2153" s="354">
        <v>2</v>
      </c>
      <c r="J2153" s="354">
        <v>3</v>
      </c>
      <c r="K2153" s="354">
        <v>1</v>
      </c>
      <c r="L2153" s="354">
        <v>0</v>
      </c>
      <c r="M2153" s="355">
        <v>5</v>
      </c>
      <c r="N2153" s="355">
        <v>8</v>
      </c>
    </row>
    <row r="2154" spans="1:14" hidden="1" x14ac:dyDescent="0.25">
      <c r="A2154" s="354">
        <v>0</v>
      </c>
      <c r="B2154" s="354">
        <v>0</v>
      </c>
      <c r="C2154" s="354">
        <v>0</v>
      </c>
      <c r="D2154" s="354">
        <v>2</v>
      </c>
      <c r="E2154" s="354">
        <v>0</v>
      </c>
      <c r="F2154" s="354">
        <v>1</v>
      </c>
      <c r="G2154" s="354">
        <v>1</v>
      </c>
      <c r="H2154" s="354">
        <v>1</v>
      </c>
      <c r="I2154" s="354">
        <v>2</v>
      </c>
      <c r="J2154" s="354">
        <v>0</v>
      </c>
      <c r="K2154" s="354">
        <v>1</v>
      </c>
      <c r="L2154" s="354">
        <v>0</v>
      </c>
      <c r="M2154" s="355">
        <v>4</v>
      </c>
      <c r="N2154" s="355">
        <v>4</v>
      </c>
    </row>
    <row r="2155" spans="1:14" hidden="1" x14ac:dyDescent="0.25">
      <c r="A2155" s="354">
        <v>0</v>
      </c>
      <c r="B2155" s="354">
        <v>0</v>
      </c>
      <c r="C2155" s="354">
        <v>0</v>
      </c>
      <c r="D2155" s="354">
        <v>0</v>
      </c>
      <c r="E2155" s="354">
        <v>0</v>
      </c>
      <c r="F2155" s="354">
        <v>0</v>
      </c>
      <c r="G2155" s="354">
        <v>0</v>
      </c>
      <c r="H2155" s="354">
        <v>1</v>
      </c>
      <c r="I2155" s="354">
        <v>1</v>
      </c>
      <c r="J2155" s="354">
        <v>0</v>
      </c>
      <c r="K2155" s="354">
        <v>0</v>
      </c>
      <c r="L2155" s="354">
        <v>0</v>
      </c>
      <c r="M2155" s="355">
        <v>1</v>
      </c>
      <c r="N2155" s="355">
        <v>1</v>
      </c>
    </row>
    <row r="2156" spans="1:14" hidden="1" x14ac:dyDescent="0.25">
      <c r="A2156" s="354">
        <v>0</v>
      </c>
      <c r="B2156" s="354">
        <v>0</v>
      </c>
      <c r="C2156" s="354">
        <v>1</v>
      </c>
      <c r="D2156" s="354">
        <v>2</v>
      </c>
      <c r="E2156" s="354">
        <v>0</v>
      </c>
      <c r="F2156" s="354">
        <v>1</v>
      </c>
      <c r="G2156" s="354">
        <v>1</v>
      </c>
      <c r="H2156" s="354">
        <v>1</v>
      </c>
      <c r="I2156" s="354">
        <v>1</v>
      </c>
      <c r="J2156" s="354">
        <v>1</v>
      </c>
      <c r="K2156" s="354">
        <v>0</v>
      </c>
      <c r="L2156" s="354">
        <v>0</v>
      </c>
      <c r="M2156" s="355">
        <v>3</v>
      </c>
      <c r="N2156" s="355">
        <v>5</v>
      </c>
    </row>
    <row r="2157" spans="1:14" hidden="1" x14ac:dyDescent="0.25">
      <c r="A2157" s="354">
        <v>1</v>
      </c>
      <c r="B2157" s="354">
        <v>0</v>
      </c>
      <c r="C2157" s="354">
        <v>2</v>
      </c>
      <c r="D2157" s="354">
        <v>2</v>
      </c>
      <c r="E2157" s="354">
        <v>1</v>
      </c>
      <c r="F2157" s="354">
        <v>1</v>
      </c>
      <c r="G2157" s="354">
        <v>0</v>
      </c>
      <c r="H2157" s="354">
        <v>0</v>
      </c>
      <c r="I2157" s="354">
        <v>1</v>
      </c>
      <c r="J2157" s="354">
        <v>1</v>
      </c>
      <c r="K2157" s="354">
        <v>0</v>
      </c>
      <c r="L2157" s="354">
        <v>0</v>
      </c>
      <c r="M2157" s="355">
        <v>5</v>
      </c>
      <c r="N2157" s="355">
        <v>4</v>
      </c>
    </row>
    <row r="2158" spans="1:14" hidden="1" x14ac:dyDescent="0.25">
      <c r="A2158" s="354">
        <v>1</v>
      </c>
      <c r="B2158" s="354">
        <v>0</v>
      </c>
      <c r="C2158" s="354">
        <v>0</v>
      </c>
      <c r="D2158" s="354">
        <v>1</v>
      </c>
      <c r="E2158" s="354">
        <v>0</v>
      </c>
      <c r="F2158" s="354">
        <v>2</v>
      </c>
      <c r="G2158" s="354">
        <v>0</v>
      </c>
      <c r="H2158" s="354">
        <v>0</v>
      </c>
      <c r="I2158" s="354">
        <v>1</v>
      </c>
      <c r="J2158" s="354">
        <v>1</v>
      </c>
      <c r="K2158" s="354">
        <v>0</v>
      </c>
      <c r="L2158" s="354">
        <v>0</v>
      </c>
      <c r="M2158" s="355">
        <v>2</v>
      </c>
      <c r="N2158" s="355">
        <v>4</v>
      </c>
    </row>
    <row r="2159" spans="1:14" hidden="1" x14ac:dyDescent="0.25">
      <c r="A2159" s="354">
        <v>1</v>
      </c>
      <c r="B2159" s="354">
        <v>0</v>
      </c>
      <c r="C2159" s="354">
        <v>0</v>
      </c>
      <c r="D2159" s="354">
        <v>1</v>
      </c>
      <c r="E2159" s="354">
        <v>1</v>
      </c>
      <c r="F2159" s="354">
        <v>2</v>
      </c>
      <c r="G2159" s="354">
        <v>0</v>
      </c>
      <c r="H2159" s="354">
        <v>0</v>
      </c>
      <c r="I2159" s="354">
        <v>1</v>
      </c>
      <c r="J2159" s="354">
        <v>1</v>
      </c>
      <c r="K2159" s="354">
        <v>0</v>
      </c>
      <c r="L2159" s="354">
        <v>0</v>
      </c>
      <c r="M2159" s="355">
        <v>3</v>
      </c>
      <c r="N2159" s="355">
        <v>4</v>
      </c>
    </row>
    <row r="2160" spans="1:14" hidden="1" x14ac:dyDescent="0.25">
      <c r="A2160" s="354">
        <v>0</v>
      </c>
      <c r="B2160" s="354">
        <v>0</v>
      </c>
      <c r="C2160" s="354">
        <v>0</v>
      </c>
      <c r="D2160" s="354">
        <v>0</v>
      </c>
      <c r="E2160" s="354">
        <v>0</v>
      </c>
      <c r="F2160" s="354">
        <v>0</v>
      </c>
      <c r="G2160" s="354">
        <v>1</v>
      </c>
      <c r="H2160" s="354">
        <v>0</v>
      </c>
      <c r="I2160" s="354">
        <v>2</v>
      </c>
      <c r="J2160" s="354">
        <v>2</v>
      </c>
      <c r="K2160" s="354">
        <v>0</v>
      </c>
      <c r="L2160" s="354">
        <v>0</v>
      </c>
      <c r="M2160" s="355">
        <v>3</v>
      </c>
      <c r="N2160" s="355">
        <v>2</v>
      </c>
    </row>
    <row r="2161" spans="1:14" hidden="1" x14ac:dyDescent="0.25">
      <c r="A2161" s="354">
        <v>0</v>
      </c>
      <c r="B2161" s="354">
        <v>0</v>
      </c>
      <c r="C2161" s="354">
        <v>1</v>
      </c>
      <c r="D2161" s="354">
        <v>1</v>
      </c>
      <c r="E2161" s="354">
        <v>1</v>
      </c>
      <c r="F2161" s="354">
        <v>2</v>
      </c>
      <c r="G2161" s="354">
        <v>0</v>
      </c>
      <c r="H2161" s="354">
        <v>2</v>
      </c>
      <c r="I2161" s="354">
        <v>2</v>
      </c>
      <c r="J2161" s="354">
        <v>2</v>
      </c>
      <c r="K2161" s="354">
        <v>1</v>
      </c>
      <c r="L2161" s="354">
        <v>0</v>
      </c>
      <c r="M2161" s="355">
        <v>5</v>
      </c>
      <c r="N2161" s="355">
        <v>7</v>
      </c>
    </row>
    <row r="2162" spans="1:14" hidden="1" x14ac:dyDescent="0.25">
      <c r="A2162" s="354">
        <v>0</v>
      </c>
      <c r="B2162" s="354">
        <v>0</v>
      </c>
      <c r="C2162" s="354">
        <v>1</v>
      </c>
      <c r="D2162" s="354">
        <v>0</v>
      </c>
      <c r="E2162" s="354">
        <v>2</v>
      </c>
      <c r="F2162" s="354">
        <v>0</v>
      </c>
      <c r="G2162" s="354">
        <v>1</v>
      </c>
      <c r="H2162" s="354">
        <v>0</v>
      </c>
      <c r="I2162" s="354">
        <v>1</v>
      </c>
      <c r="J2162" s="354">
        <v>1</v>
      </c>
      <c r="K2162" s="354">
        <v>0</v>
      </c>
      <c r="L2162" s="354">
        <v>0</v>
      </c>
      <c r="M2162" s="355">
        <v>5</v>
      </c>
      <c r="N2162" s="355">
        <v>1</v>
      </c>
    </row>
    <row r="2163" spans="1:14" hidden="1" x14ac:dyDescent="0.25">
      <c r="A2163" s="354">
        <v>0</v>
      </c>
      <c r="B2163" s="354">
        <v>1</v>
      </c>
      <c r="C2163" s="354">
        <v>2</v>
      </c>
      <c r="D2163" s="354">
        <v>0</v>
      </c>
      <c r="E2163" s="354">
        <v>0</v>
      </c>
      <c r="F2163" s="354">
        <v>0</v>
      </c>
      <c r="G2163" s="354">
        <v>0</v>
      </c>
      <c r="H2163" s="354">
        <v>0</v>
      </c>
      <c r="I2163" s="354">
        <v>1</v>
      </c>
      <c r="J2163" s="354">
        <v>1</v>
      </c>
      <c r="K2163" s="354">
        <v>0</v>
      </c>
      <c r="L2163" s="354">
        <v>0</v>
      </c>
      <c r="M2163" s="355">
        <v>3</v>
      </c>
      <c r="N2163" s="355">
        <v>2</v>
      </c>
    </row>
    <row r="2164" spans="1:14" hidden="1" x14ac:dyDescent="0.25">
      <c r="A2164" s="354">
        <v>0</v>
      </c>
      <c r="B2164" s="354">
        <v>1</v>
      </c>
      <c r="C2164" s="354">
        <v>1</v>
      </c>
      <c r="D2164" s="354">
        <v>0</v>
      </c>
      <c r="E2164" s="354">
        <v>0</v>
      </c>
      <c r="F2164" s="354">
        <v>0</v>
      </c>
      <c r="G2164" s="354">
        <v>0</v>
      </c>
      <c r="H2164" s="354">
        <v>0</v>
      </c>
      <c r="I2164" s="354">
        <v>1</v>
      </c>
      <c r="J2164" s="354">
        <v>1</v>
      </c>
      <c r="K2164" s="354">
        <v>0</v>
      </c>
      <c r="L2164" s="354">
        <v>0</v>
      </c>
      <c r="M2164" s="355">
        <v>2</v>
      </c>
      <c r="N2164" s="355">
        <v>2</v>
      </c>
    </row>
    <row r="2165" spans="1:14" hidden="1" x14ac:dyDescent="0.25">
      <c r="A2165" s="354">
        <v>0</v>
      </c>
      <c r="B2165" s="354">
        <v>0</v>
      </c>
      <c r="C2165" s="354">
        <v>0</v>
      </c>
      <c r="D2165" s="354">
        <v>0</v>
      </c>
      <c r="E2165" s="354">
        <v>0</v>
      </c>
      <c r="F2165" s="354">
        <v>0</v>
      </c>
      <c r="G2165" s="354">
        <v>0</v>
      </c>
      <c r="H2165" s="354">
        <v>0</v>
      </c>
      <c r="I2165" s="354">
        <v>1</v>
      </c>
      <c r="J2165" s="354">
        <v>1</v>
      </c>
      <c r="K2165" s="354">
        <v>0</v>
      </c>
      <c r="L2165" s="354">
        <v>0</v>
      </c>
      <c r="M2165" s="355">
        <v>1</v>
      </c>
      <c r="N2165" s="355">
        <v>1</v>
      </c>
    </row>
    <row r="2166" spans="1:14" hidden="1" x14ac:dyDescent="0.25">
      <c r="A2166" s="354">
        <v>0</v>
      </c>
      <c r="B2166" s="354">
        <v>1</v>
      </c>
      <c r="C2166" s="354">
        <v>1</v>
      </c>
      <c r="D2166" s="354">
        <v>0</v>
      </c>
      <c r="E2166" s="354">
        <v>2</v>
      </c>
      <c r="F2166" s="354">
        <v>2</v>
      </c>
      <c r="G2166" s="354">
        <v>0</v>
      </c>
      <c r="H2166" s="354">
        <v>0</v>
      </c>
      <c r="I2166" s="354">
        <v>1</v>
      </c>
      <c r="J2166" s="354">
        <v>1</v>
      </c>
      <c r="K2166" s="354">
        <v>0</v>
      </c>
      <c r="L2166" s="354">
        <v>0</v>
      </c>
      <c r="M2166" s="355">
        <v>4</v>
      </c>
      <c r="N2166" s="355">
        <v>4</v>
      </c>
    </row>
    <row r="2167" spans="1:14" hidden="1" x14ac:dyDescent="0.25">
      <c r="A2167" s="354">
        <v>0</v>
      </c>
      <c r="B2167" s="354">
        <v>1</v>
      </c>
      <c r="C2167" s="354">
        <v>0</v>
      </c>
      <c r="D2167" s="354">
        <v>2</v>
      </c>
      <c r="E2167" s="354">
        <v>2</v>
      </c>
      <c r="F2167" s="354">
        <v>1</v>
      </c>
      <c r="G2167" s="354">
        <v>2</v>
      </c>
      <c r="H2167" s="354">
        <v>1</v>
      </c>
      <c r="I2167" s="354">
        <v>1</v>
      </c>
      <c r="J2167" s="354">
        <v>2</v>
      </c>
      <c r="K2167" s="354">
        <v>0</v>
      </c>
      <c r="L2167" s="354">
        <v>0</v>
      </c>
      <c r="M2167" s="355">
        <v>5</v>
      </c>
      <c r="N2167" s="355">
        <v>7</v>
      </c>
    </row>
    <row r="2168" spans="1:14" hidden="1" x14ac:dyDescent="0.25">
      <c r="A2168" s="354">
        <v>0</v>
      </c>
      <c r="B2168" s="354">
        <v>0</v>
      </c>
      <c r="C2168" s="354">
        <v>0</v>
      </c>
      <c r="D2168" s="354">
        <v>0</v>
      </c>
      <c r="E2168" s="354">
        <v>0</v>
      </c>
      <c r="F2168" s="354">
        <v>0</v>
      </c>
      <c r="G2168" s="354">
        <v>0</v>
      </c>
      <c r="H2168" s="354">
        <v>0</v>
      </c>
      <c r="I2168" s="354">
        <v>1</v>
      </c>
      <c r="J2168" s="354">
        <v>1</v>
      </c>
      <c r="K2168" s="354">
        <v>0</v>
      </c>
      <c r="L2168" s="354">
        <v>0</v>
      </c>
      <c r="M2168" s="355">
        <v>1</v>
      </c>
      <c r="N2168" s="355">
        <v>1</v>
      </c>
    </row>
    <row r="2169" spans="1:14" hidden="1" x14ac:dyDescent="0.25">
      <c r="A2169" s="354">
        <v>0</v>
      </c>
      <c r="B2169" s="354">
        <v>0</v>
      </c>
      <c r="C2169" s="354">
        <v>0</v>
      </c>
      <c r="D2169" s="354">
        <v>0</v>
      </c>
      <c r="E2169" s="354">
        <v>0</v>
      </c>
      <c r="F2169" s="354">
        <v>0</v>
      </c>
      <c r="G2169" s="354">
        <v>1</v>
      </c>
      <c r="H2169" s="354">
        <v>0</v>
      </c>
      <c r="I2169" s="354">
        <v>0</v>
      </c>
      <c r="J2169" s="354">
        <v>0</v>
      </c>
      <c r="K2169" s="354">
        <v>1</v>
      </c>
      <c r="L2169" s="354">
        <v>1</v>
      </c>
      <c r="M2169" s="355">
        <v>2</v>
      </c>
      <c r="N2169" s="355">
        <v>1</v>
      </c>
    </row>
    <row r="2170" spans="1:14" hidden="1" x14ac:dyDescent="0.25">
      <c r="A2170" s="354">
        <v>1</v>
      </c>
      <c r="B2170" s="354">
        <v>0</v>
      </c>
      <c r="C2170" s="354">
        <v>1</v>
      </c>
      <c r="D2170" s="354">
        <v>1</v>
      </c>
      <c r="E2170" s="354">
        <v>1</v>
      </c>
      <c r="F2170" s="354">
        <v>2</v>
      </c>
      <c r="G2170" s="354">
        <v>2</v>
      </c>
      <c r="H2170" s="354">
        <v>1</v>
      </c>
      <c r="I2170" s="354">
        <v>2</v>
      </c>
      <c r="J2170" s="354">
        <v>2</v>
      </c>
      <c r="K2170" s="354">
        <v>0</v>
      </c>
      <c r="L2170" s="354">
        <v>0</v>
      </c>
      <c r="M2170" s="355">
        <v>7</v>
      </c>
      <c r="N2170" s="355">
        <v>6</v>
      </c>
    </row>
    <row r="2171" spans="1:14" hidden="1" x14ac:dyDescent="0.25">
      <c r="A2171" s="354">
        <v>0</v>
      </c>
      <c r="B2171" s="354">
        <v>1</v>
      </c>
      <c r="C2171" s="354">
        <v>1</v>
      </c>
      <c r="D2171" s="354">
        <v>1</v>
      </c>
      <c r="E2171" s="354">
        <v>2</v>
      </c>
      <c r="F2171" s="354">
        <v>4</v>
      </c>
      <c r="G2171" s="354">
        <v>0</v>
      </c>
      <c r="H2171" s="354">
        <v>0</v>
      </c>
      <c r="I2171" s="354">
        <v>1</v>
      </c>
      <c r="J2171" s="354">
        <v>2</v>
      </c>
      <c r="K2171" s="354">
        <v>0</v>
      </c>
      <c r="L2171" s="354">
        <v>0</v>
      </c>
      <c r="M2171" s="355">
        <v>4</v>
      </c>
      <c r="N2171" s="355">
        <v>8</v>
      </c>
    </row>
    <row r="2172" spans="1:14" hidden="1" x14ac:dyDescent="0.25">
      <c r="A2172" s="354">
        <v>0</v>
      </c>
      <c r="B2172" s="354">
        <v>0</v>
      </c>
      <c r="C2172" s="354">
        <v>0</v>
      </c>
      <c r="D2172" s="354">
        <v>0</v>
      </c>
      <c r="E2172" s="354">
        <v>0</v>
      </c>
      <c r="F2172" s="354">
        <v>0</v>
      </c>
      <c r="G2172" s="354">
        <v>0</v>
      </c>
      <c r="H2172" s="354">
        <v>0</v>
      </c>
      <c r="I2172" s="354">
        <v>4</v>
      </c>
      <c r="J2172" s="354">
        <v>8</v>
      </c>
      <c r="K2172" s="354">
        <v>0</v>
      </c>
      <c r="L2172" s="354">
        <v>0</v>
      </c>
      <c r="M2172" s="355">
        <v>4</v>
      </c>
      <c r="N2172" s="355">
        <v>8</v>
      </c>
    </row>
    <row r="2173" spans="1:14" hidden="1" x14ac:dyDescent="0.25">
      <c r="A2173" s="354">
        <v>0</v>
      </c>
      <c r="B2173" s="354">
        <v>0</v>
      </c>
      <c r="C2173" s="354">
        <v>0</v>
      </c>
      <c r="D2173" s="354">
        <v>1</v>
      </c>
      <c r="E2173" s="354">
        <v>1</v>
      </c>
      <c r="F2173" s="354">
        <v>2</v>
      </c>
      <c r="G2173" s="354">
        <v>1</v>
      </c>
      <c r="H2173" s="354">
        <v>0</v>
      </c>
      <c r="I2173" s="354">
        <v>0</v>
      </c>
      <c r="J2173" s="354">
        <v>1</v>
      </c>
      <c r="K2173" s="354">
        <v>1</v>
      </c>
      <c r="L2173" s="354">
        <v>0</v>
      </c>
      <c r="M2173" s="355">
        <v>3</v>
      </c>
      <c r="N2173" s="355">
        <v>4</v>
      </c>
    </row>
    <row r="2174" spans="1:14" hidden="1" x14ac:dyDescent="0.25">
      <c r="A2174" s="354">
        <v>0</v>
      </c>
      <c r="B2174" s="354">
        <v>0</v>
      </c>
      <c r="C2174" s="354">
        <v>1</v>
      </c>
      <c r="D2174" s="354">
        <v>1</v>
      </c>
      <c r="E2174" s="354">
        <v>1</v>
      </c>
      <c r="F2174" s="354">
        <v>1</v>
      </c>
      <c r="G2174" s="354">
        <v>0</v>
      </c>
      <c r="H2174" s="354">
        <v>0</v>
      </c>
      <c r="I2174" s="354">
        <v>1</v>
      </c>
      <c r="J2174" s="354">
        <v>1</v>
      </c>
      <c r="K2174" s="354">
        <v>0</v>
      </c>
      <c r="L2174" s="354">
        <v>0</v>
      </c>
      <c r="M2174" s="355">
        <v>3</v>
      </c>
      <c r="N2174" s="355">
        <v>3</v>
      </c>
    </row>
    <row r="2175" spans="1:14" hidden="1" x14ac:dyDescent="0.25">
      <c r="A2175" s="354">
        <v>0</v>
      </c>
      <c r="B2175" s="354">
        <v>1</v>
      </c>
      <c r="C2175" s="354">
        <v>1</v>
      </c>
      <c r="D2175" s="354">
        <v>1</v>
      </c>
      <c r="E2175" s="354">
        <v>1</v>
      </c>
      <c r="F2175" s="354">
        <v>0</v>
      </c>
      <c r="G2175" s="354">
        <v>0</v>
      </c>
      <c r="H2175" s="354">
        <v>0</v>
      </c>
      <c r="I2175" s="354">
        <v>1</v>
      </c>
      <c r="J2175" s="354">
        <v>1</v>
      </c>
      <c r="K2175" s="354">
        <v>0</v>
      </c>
      <c r="L2175" s="354">
        <v>0</v>
      </c>
      <c r="M2175" s="355">
        <v>3</v>
      </c>
      <c r="N2175" s="355">
        <v>3</v>
      </c>
    </row>
    <row r="2176" spans="1:14" hidden="1" x14ac:dyDescent="0.25">
      <c r="A2176" s="354">
        <v>1</v>
      </c>
      <c r="B2176" s="354">
        <v>0</v>
      </c>
      <c r="C2176" s="354">
        <v>0</v>
      </c>
      <c r="D2176" s="354">
        <v>1</v>
      </c>
      <c r="E2176" s="354">
        <v>0</v>
      </c>
      <c r="F2176" s="354">
        <v>2</v>
      </c>
      <c r="G2176" s="354">
        <v>2</v>
      </c>
      <c r="H2176" s="354">
        <v>0</v>
      </c>
      <c r="I2176" s="354">
        <v>2</v>
      </c>
      <c r="J2176" s="354">
        <v>1</v>
      </c>
      <c r="K2176" s="354">
        <v>0</v>
      </c>
      <c r="L2176" s="354">
        <v>0</v>
      </c>
      <c r="M2176" s="355">
        <v>5</v>
      </c>
      <c r="N2176" s="355">
        <v>4</v>
      </c>
    </row>
    <row r="2177" spans="1:14" hidden="1" x14ac:dyDescent="0.25">
      <c r="A2177" s="354">
        <v>0</v>
      </c>
      <c r="B2177" s="354">
        <v>0</v>
      </c>
      <c r="C2177" s="354">
        <v>0</v>
      </c>
      <c r="D2177" s="354">
        <v>0</v>
      </c>
      <c r="E2177" s="354">
        <v>2</v>
      </c>
      <c r="F2177" s="354">
        <v>3</v>
      </c>
      <c r="G2177" s="354">
        <v>1</v>
      </c>
      <c r="H2177" s="354">
        <v>1</v>
      </c>
      <c r="I2177" s="354">
        <v>1</v>
      </c>
      <c r="J2177" s="354">
        <v>1</v>
      </c>
      <c r="K2177" s="354">
        <v>0</v>
      </c>
      <c r="L2177" s="354">
        <v>0</v>
      </c>
      <c r="M2177" s="355">
        <v>4</v>
      </c>
      <c r="N2177" s="355">
        <v>5</v>
      </c>
    </row>
    <row r="2178" spans="1:14" hidden="1" x14ac:dyDescent="0.25">
      <c r="A2178" s="354">
        <v>1</v>
      </c>
      <c r="B2178" s="354">
        <v>0</v>
      </c>
      <c r="C2178" s="354">
        <v>1</v>
      </c>
      <c r="D2178" s="354">
        <v>1</v>
      </c>
      <c r="E2178" s="354">
        <v>1</v>
      </c>
      <c r="F2178" s="354">
        <v>0</v>
      </c>
      <c r="G2178" s="354">
        <v>1</v>
      </c>
      <c r="H2178" s="354">
        <v>1</v>
      </c>
      <c r="I2178" s="354">
        <v>1</v>
      </c>
      <c r="J2178" s="354">
        <v>1</v>
      </c>
      <c r="K2178" s="354">
        <v>0</v>
      </c>
      <c r="L2178" s="354">
        <v>0</v>
      </c>
      <c r="M2178" s="355">
        <v>5</v>
      </c>
      <c r="N2178" s="355">
        <v>3</v>
      </c>
    </row>
    <row r="2179" spans="1:14" hidden="1" x14ac:dyDescent="0.25">
      <c r="A2179" s="354">
        <v>0</v>
      </c>
      <c r="B2179" s="354">
        <v>0</v>
      </c>
      <c r="C2179" s="354">
        <v>1</v>
      </c>
      <c r="D2179" s="354">
        <v>0</v>
      </c>
      <c r="E2179" s="354">
        <v>1</v>
      </c>
      <c r="F2179" s="354">
        <v>2</v>
      </c>
      <c r="G2179" s="354">
        <v>1</v>
      </c>
      <c r="H2179" s="354">
        <v>0</v>
      </c>
      <c r="I2179" s="354">
        <v>1</v>
      </c>
      <c r="J2179" s="354">
        <v>1</v>
      </c>
      <c r="K2179" s="354">
        <v>0</v>
      </c>
      <c r="L2179" s="354">
        <v>0</v>
      </c>
      <c r="M2179" s="355">
        <v>4</v>
      </c>
      <c r="N2179" s="355">
        <v>3</v>
      </c>
    </row>
    <row r="2180" spans="1:14" hidden="1" x14ac:dyDescent="0.25">
      <c r="A2180" s="354">
        <v>0</v>
      </c>
      <c r="B2180" s="354">
        <v>0</v>
      </c>
      <c r="C2180" s="354">
        <v>0</v>
      </c>
      <c r="D2180" s="354">
        <v>2</v>
      </c>
      <c r="E2180" s="354">
        <v>1</v>
      </c>
      <c r="F2180" s="354">
        <v>1</v>
      </c>
      <c r="G2180" s="354">
        <v>2</v>
      </c>
      <c r="H2180" s="354">
        <v>0</v>
      </c>
      <c r="I2180" s="354">
        <v>2</v>
      </c>
      <c r="J2180" s="354">
        <v>1</v>
      </c>
      <c r="K2180" s="354">
        <v>0</v>
      </c>
      <c r="L2180" s="354">
        <v>0</v>
      </c>
      <c r="M2180" s="355">
        <v>5</v>
      </c>
      <c r="N2180" s="355">
        <v>4</v>
      </c>
    </row>
    <row r="2181" spans="1:14" hidden="1" x14ac:dyDescent="0.25">
      <c r="A2181" s="354">
        <v>0</v>
      </c>
      <c r="B2181" s="354">
        <v>0</v>
      </c>
      <c r="C2181" s="354">
        <v>0</v>
      </c>
      <c r="D2181" s="354">
        <v>1</v>
      </c>
      <c r="E2181" s="354">
        <v>0</v>
      </c>
      <c r="F2181" s="354">
        <v>2</v>
      </c>
      <c r="G2181" s="354">
        <v>2</v>
      </c>
      <c r="H2181" s="354">
        <v>0</v>
      </c>
      <c r="I2181" s="354">
        <v>2</v>
      </c>
      <c r="J2181" s="354">
        <v>1</v>
      </c>
      <c r="K2181" s="354">
        <v>0</v>
      </c>
      <c r="L2181" s="354">
        <v>0</v>
      </c>
      <c r="M2181" s="355">
        <v>4</v>
      </c>
      <c r="N2181" s="355">
        <v>4</v>
      </c>
    </row>
    <row r="2182" spans="1:14" hidden="1" x14ac:dyDescent="0.25">
      <c r="A2182" s="354">
        <v>1</v>
      </c>
      <c r="B2182" s="354">
        <v>0</v>
      </c>
      <c r="C2182" s="354">
        <v>1</v>
      </c>
      <c r="D2182" s="354">
        <v>0</v>
      </c>
      <c r="E2182" s="354">
        <v>1</v>
      </c>
      <c r="F2182" s="354">
        <v>1</v>
      </c>
      <c r="G2182" s="354">
        <v>1</v>
      </c>
      <c r="H2182" s="354">
        <v>0</v>
      </c>
      <c r="I2182" s="354">
        <v>1</v>
      </c>
      <c r="J2182" s="354">
        <v>1</v>
      </c>
      <c r="K2182" s="354">
        <v>0</v>
      </c>
      <c r="L2182" s="354">
        <v>0</v>
      </c>
      <c r="M2182" s="355">
        <v>5</v>
      </c>
      <c r="N2182" s="355">
        <v>2</v>
      </c>
    </row>
    <row r="2183" spans="1:14" hidden="1" x14ac:dyDescent="0.25">
      <c r="A2183" s="354">
        <v>0</v>
      </c>
      <c r="B2183" s="354">
        <v>0</v>
      </c>
      <c r="C2183" s="354">
        <v>0</v>
      </c>
      <c r="D2183" s="354">
        <v>0</v>
      </c>
      <c r="E2183" s="354">
        <v>1</v>
      </c>
      <c r="F2183" s="354">
        <v>1</v>
      </c>
      <c r="G2183" s="354">
        <v>1</v>
      </c>
      <c r="H2183" s="354">
        <v>0</v>
      </c>
      <c r="I2183" s="354">
        <v>3</v>
      </c>
      <c r="J2183" s="354">
        <v>1</v>
      </c>
      <c r="K2183" s="354">
        <v>0</v>
      </c>
      <c r="L2183" s="354">
        <v>0</v>
      </c>
      <c r="M2183" s="355">
        <v>5</v>
      </c>
      <c r="N2183" s="355">
        <v>2</v>
      </c>
    </row>
    <row r="2184" spans="1:14" hidden="1" x14ac:dyDescent="0.25">
      <c r="A2184" s="354">
        <v>0</v>
      </c>
      <c r="B2184" s="354">
        <v>0</v>
      </c>
      <c r="C2184" s="354">
        <v>0</v>
      </c>
      <c r="D2184" s="354">
        <v>0</v>
      </c>
      <c r="E2184" s="354">
        <v>1</v>
      </c>
      <c r="F2184" s="354">
        <v>1</v>
      </c>
      <c r="G2184" s="354">
        <v>1</v>
      </c>
      <c r="H2184" s="354">
        <v>1</v>
      </c>
      <c r="I2184" s="354">
        <v>0</v>
      </c>
      <c r="J2184" s="354">
        <v>0</v>
      </c>
      <c r="K2184" s="354">
        <v>1</v>
      </c>
      <c r="L2184" s="354">
        <v>1</v>
      </c>
      <c r="M2184" s="355">
        <v>3</v>
      </c>
      <c r="N2184" s="355">
        <v>3</v>
      </c>
    </row>
    <row r="2185" spans="1:14" hidden="1" x14ac:dyDescent="0.25">
      <c r="A2185" s="354">
        <v>0</v>
      </c>
      <c r="B2185" s="354">
        <v>0</v>
      </c>
      <c r="C2185" s="354">
        <v>0</v>
      </c>
      <c r="D2185" s="354">
        <v>0</v>
      </c>
      <c r="E2185" s="354">
        <v>1</v>
      </c>
      <c r="F2185" s="354">
        <v>1</v>
      </c>
      <c r="G2185" s="354">
        <v>0</v>
      </c>
      <c r="H2185" s="354">
        <v>1</v>
      </c>
      <c r="I2185" s="354">
        <v>0</v>
      </c>
      <c r="J2185" s="354">
        <v>1</v>
      </c>
      <c r="K2185" s="354">
        <v>1</v>
      </c>
      <c r="L2185" s="354">
        <v>0</v>
      </c>
      <c r="M2185" s="355">
        <v>2</v>
      </c>
      <c r="N2185" s="355">
        <v>3</v>
      </c>
    </row>
    <row r="2186" spans="1:14" hidden="1" x14ac:dyDescent="0.25">
      <c r="A2186" s="354">
        <v>1</v>
      </c>
      <c r="B2186" s="354">
        <v>0</v>
      </c>
      <c r="C2186" s="354">
        <v>1</v>
      </c>
      <c r="D2186" s="354">
        <v>0</v>
      </c>
      <c r="E2186" s="354">
        <v>1</v>
      </c>
      <c r="F2186" s="354">
        <v>0</v>
      </c>
      <c r="G2186" s="354">
        <v>0</v>
      </c>
      <c r="H2186" s="354">
        <v>0</v>
      </c>
      <c r="I2186" s="354">
        <v>1</v>
      </c>
      <c r="J2186" s="354">
        <v>1</v>
      </c>
      <c r="K2186" s="354">
        <v>0</v>
      </c>
      <c r="L2186" s="354">
        <v>0</v>
      </c>
      <c r="M2186" s="355">
        <v>4</v>
      </c>
      <c r="N2186" s="355">
        <v>1</v>
      </c>
    </row>
    <row r="2187" spans="1:14" hidden="1" x14ac:dyDescent="0.25">
      <c r="A2187" s="354">
        <v>0</v>
      </c>
      <c r="B2187" s="354">
        <v>1</v>
      </c>
      <c r="C2187" s="354">
        <v>2</v>
      </c>
      <c r="D2187" s="354">
        <v>0</v>
      </c>
      <c r="E2187" s="354">
        <v>2</v>
      </c>
      <c r="F2187" s="354">
        <v>2</v>
      </c>
      <c r="G2187" s="354">
        <v>1</v>
      </c>
      <c r="H2187" s="354">
        <v>3</v>
      </c>
      <c r="I2187" s="354">
        <v>2</v>
      </c>
      <c r="J2187" s="354">
        <v>2</v>
      </c>
      <c r="K2187" s="354">
        <v>1</v>
      </c>
      <c r="L2187" s="354">
        <v>0</v>
      </c>
      <c r="M2187" s="355">
        <v>8</v>
      </c>
      <c r="N2187" s="355">
        <v>8</v>
      </c>
    </row>
    <row r="2188" spans="1:14" hidden="1" x14ac:dyDescent="0.25">
      <c r="A2188" s="354">
        <v>0</v>
      </c>
      <c r="B2188" s="354">
        <v>1</v>
      </c>
      <c r="C2188" s="354">
        <v>0</v>
      </c>
      <c r="D2188" s="354">
        <v>1</v>
      </c>
      <c r="E2188" s="354">
        <v>0</v>
      </c>
      <c r="F2188" s="354">
        <v>1</v>
      </c>
      <c r="G2188" s="354">
        <v>0</v>
      </c>
      <c r="H2188" s="354">
        <v>0</v>
      </c>
      <c r="I2188" s="354">
        <v>1</v>
      </c>
      <c r="J2188" s="354">
        <v>1</v>
      </c>
      <c r="K2188" s="354">
        <v>0</v>
      </c>
      <c r="L2188" s="354">
        <v>0</v>
      </c>
      <c r="M2188" s="355">
        <v>1</v>
      </c>
      <c r="N2188" s="355">
        <v>4</v>
      </c>
    </row>
    <row r="2189" spans="1:14" hidden="1" x14ac:dyDescent="0.25">
      <c r="A2189" s="354">
        <v>1</v>
      </c>
      <c r="B2189" s="354">
        <v>0</v>
      </c>
      <c r="C2189" s="354">
        <v>1</v>
      </c>
      <c r="D2189" s="354">
        <v>1</v>
      </c>
      <c r="E2189" s="354">
        <v>1</v>
      </c>
      <c r="F2189" s="354">
        <v>0</v>
      </c>
      <c r="G2189" s="354">
        <v>0</v>
      </c>
      <c r="H2189" s="354">
        <v>0</v>
      </c>
      <c r="I2189" s="354">
        <v>1</v>
      </c>
      <c r="J2189" s="354">
        <v>1</v>
      </c>
      <c r="K2189" s="354">
        <v>0</v>
      </c>
      <c r="L2189" s="354">
        <v>0</v>
      </c>
      <c r="M2189" s="355">
        <v>4</v>
      </c>
      <c r="N2189" s="355">
        <v>2</v>
      </c>
    </row>
    <row r="2190" spans="1:14" hidden="1" x14ac:dyDescent="0.25">
      <c r="A2190" s="354">
        <v>1</v>
      </c>
      <c r="B2190" s="354">
        <v>0</v>
      </c>
      <c r="C2190" s="354">
        <v>1</v>
      </c>
      <c r="D2190" s="354">
        <v>0</v>
      </c>
      <c r="E2190" s="354">
        <v>1</v>
      </c>
      <c r="F2190" s="354">
        <v>1</v>
      </c>
      <c r="G2190" s="354">
        <v>1</v>
      </c>
      <c r="H2190" s="354">
        <v>1</v>
      </c>
      <c r="I2190" s="354">
        <v>1</v>
      </c>
      <c r="J2190" s="354">
        <v>1</v>
      </c>
      <c r="K2190" s="354">
        <v>0</v>
      </c>
      <c r="L2190" s="354">
        <v>0</v>
      </c>
      <c r="M2190" s="355">
        <v>5</v>
      </c>
      <c r="N2190" s="355">
        <v>3</v>
      </c>
    </row>
    <row r="2191" spans="1:14" hidden="1" x14ac:dyDescent="0.25">
      <c r="A2191" s="354">
        <v>0</v>
      </c>
      <c r="B2191" s="354">
        <v>0</v>
      </c>
      <c r="C2191" s="354">
        <v>0</v>
      </c>
      <c r="D2191" s="354">
        <v>0</v>
      </c>
      <c r="E2191" s="354">
        <v>0</v>
      </c>
      <c r="F2191" s="354">
        <v>0</v>
      </c>
      <c r="G2191" s="354">
        <v>0</v>
      </c>
      <c r="H2191" s="354">
        <v>0</v>
      </c>
      <c r="I2191" s="354">
        <v>0</v>
      </c>
      <c r="J2191" s="354">
        <v>0</v>
      </c>
      <c r="K2191" s="354">
        <v>1</v>
      </c>
      <c r="L2191" s="354">
        <v>1</v>
      </c>
      <c r="M2191" s="355">
        <v>1</v>
      </c>
      <c r="N2191" s="355">
        <v>1</v>
      </c>
    </row>
    <row r="2192" spans="1:14" hidden="1" x14ac:dyDescent="0.25">
      <c r="A2192" s="354">
        <v>3</v>
      </c>
      <c r="B2192" s="354">
        <v>1</v>
      </c>
      <c r="C2192" s="354">
        <v>1</v>
      </c>
      <c r="D2192" s="354">
        <v>0</v>
      </c>
      <c r="E2192" s="354">
        <v>0</v>
      </c>
      <c r="F2192" s="354">
        <v>0</v>
      </c>
      <c r="G2192" s="354">
        <v>2</v>
      </c>
      <c r="H2192" s="354">
        <v>0</v>
      </c>
      <c r="I2192" s="354">
        <v>0</v>
      </c>
      <c r="J2192" s="354">
        <v>1</v>
      </c>
      <c r="K2192" s="354">
        <v>1</v>
      </c>
      <c r="L2192" s="354">
        <v>1</v>
      </c>
      <c r="M2192" s="355">
        <v>7</v>
      </c>
      <c r="N2192" s="355">
        <v>3</v>
      </c>
    </row>
    <row r="2193" spans="1:14" hidden="1" x14ac:dyDescent="0.25">
      <c r="A2193" s="354">
        <v>0</v>
      </c>
      <c r="B2193" s="354">
        <v>1</v>
      </c>
      <c r="C2193" s="354">
        <v>0</v>
      </c>
      <c r="D2193" s="354">
        <v>1</v>
      </c>
      <c r="E2193" s="354">
        <v>1</v>
      </c>
      <c r="F2193" s="354">
        <v>1</v>
      </c>
      <c r="G2193" s="354">
        <v>1</v>
      </c>
      <c r="H2193" s="354">
        <v>0</v>
      </c>
      <c r="I2193" s="354">
        <v>1</v>
      </c>
      <c r="J2193" s="354">
        <v>1</v>
      </c>
      <c r="K2193" s="354">
        <v>0</v>
      </c>
      <c r="L2193" s="354">
        <v>0</v>
      </c>
      <c r="M2193" s="355">
        <v>3</v>
      </c>
      <c r="N2193" s="355">
        <v>4</v>
      </c>
    </row>
    <row r="2194" spans="1:14" hidden="1" x14ac:dyDescent="0.25">
      <c r="A2194" s="354">
        <v>1</v>
      </c>
      <c r="B2194" s="354">
        <v>0</v>
      </c>
      <c r="C2194" s="354">
        <v>1</v>
      </c>
      <c r="D2194" s="354">
        <v>1</v>
      </c>
      <c r="E2194" s="354">
        <v>1</v>
      </c>
      <c r="F2194" s="354">
        <v>1</v>
      </c>
      <c r="G2194" s="354">
        <v>1</v>
      </c>
      <c r="H2194" s="354">
        <v>0</v>
      </c>
      <c r="I2194" s="354">
        <v>1</v>
      </c>
      <c r="J2194" s="354">
        <v>1</v>
      </c>
      <c r="K2194" s="354">
        <v>0</v>
      </c>
      <c r="L2194" s="354">
        <v>0</v>
      </c>
      <c r="M2194" s="355">
        <v>5</v>
      </c>
      <c r="N2194" s="355">
        <v>3</v>
      </c>
    </row>
    <row r="2195" spans="1:14" hidden="1" x14ac:dyDescent="0.25">
      <c r="A2195" s="354">
        <v>1</v>
      </c>
      <c r="B2195" s="354">
        <v>0</v>
      </c>
      <c r="C2195" s="354">
        <v>1</v>
      </c>
      <c r="D2195" s="354">
        <v>0</v>
      </c>
      <c r="E2195" s="354">
        <v>0</v>
      </c>
      <c r="F2195" s="354">
        <v>1</v>
      </c>
      <c r="G2195" s="354">
        <v>0</v>
      </c>
      <c r="H2195" s="354">
        <v>0</v>
      </c>
      <c r="I2195" s="354">
        <v>1</v>
      </c>
      <c r="J2195" s="354">
        <v>1</v>
      </c>
      <c r="K2195" s="354">
        <v>0</v>
      </c>
      <c r="L2195" s="354">
        <v>0</v>
      </c>
      <c r="M2195" s="355">
        <v>3</v>
      </c>
      <c r="N2195" s="355">
        <v>2</v>
      </c>
    </row>
    <row r="2196" spans="1:14" hidden="1" x14ac:dyDescent="0.25">
      <c r="A2196" s="354">
        <v>1</v>
      </c>
      <c r="B2196" s="354">
        <v>0</v>
      </c>
      <c r="C2196" s="354">
        <v>1</v>
      </c>
      <c r="D2196" s="354">
        <v>0</v>
      </c>
      <c r="E2196" s="354">
        <v>1</v>
      </c>
      <c r="F2196" s="354">
        <v>1</v>
      </c>
      <c r="G2196" s="354">
        <v>1</v>
      </c>
      <c r="H2196" s="354">
        <v>0</v>
      </c>
      <c r="I2196" s="354">
        <v>2</v>
      </c>
      <c r="J2196" s="354">
        <v>2</v>
      </c>
      <c r="K2196" s="354">
        <v>0</v>
      </c>
      <c r="L2196" s="354">
        <v>0</v>
      </c>
      <c r="M2196" s="355">
        <v>6</v>
      </c>
      <c r="N2196" s="355">
        <v>3</v>
      </c>
    </row>
    <row r="2197" spans="1:14" hidden="1" x14ac:dyDescent="0.25">
      <c r="A2197" s="354">
        <v>2</v>
      </c>
      <c r="B2197" s="354">
        <v>1</v>
      </c>
      <c r="C2197" s="354">
        <v>1</v>
      </c>
      <c r="D2197" s="354">
        <v>0</v>
      </c>
      <c r="E2197" s="354">
        <v>1</v>
      </c>
      <c r="F2197" s="354">
        <v>0</v>
      </c>
      <c r="G2197" s="354">
        <v>1</v>
      </c>
      <c r="H2197" s="354">
        <v>0</v>
      </c>
      <c r="I2197" s="354">
        <v>2</v>
      </c>
      <c r="J2197" s="354">
        <v>2</v>
      </c>
      <c r="K2197" s="354">
        <v>0</v>
      </c>
      <c r="L2197" s="354">
        <v>0</v>
      </c>
      <c r="M2197" s="355">
        <v>7</v>
      </c>
      <c r="N2197" s="355">
        <v>3</v>
      </c>
    </row>
    <row r="2198" spans="1:14" hidden="1" x14ac:dyDescent="0.25">
      <c r="A2198" s="354">
        <v>0</v>
      </c>
      <c r="B2198" s="354">
        <v>0</v>
      </c>
      <c r="C2198" s="354">
        <v>2</v>
      </c>
      <c r="D2198" s="354">
        <v>1</v>
      </c>
      <c r="E2198" s="354">
        <v>1</v>
      </c>
      <c r="F2198" s="354">
        <v>0</v>
      </c>
      <c r="G2198" s="354">
        <v>2</v>
      </c>
      <c r="H2198" s="354">
        <v>3</v>
      </c>
      <c r="I2198" s="354">
        <v>2</v>
      </c>
      <c r="J2198" s="354">
        <v>2</v>
      </c>
      <c r="K2198" s="354">
        <v>0</v>
      </c>
      <c r="L2198" s="354">
        <v>1</v>
      </c>
      <c r="M2198" s="355">
        <v>7</v>
      </c>
      <c r="N2198" s="355">
        <v>7</v>
      </c>
    </row>
    <row r="2199" spans="1:14" hidden="1" x14ac:dyDescent="0.25">
      <c r="A2199" s="354">
        <v>0</v>
      </c>
      <c r="B2199" s="354">
        <v>1</v>
      </c>
      <c r="C2199" s="354">
        <v>0</v>
      </c>
      <c r="D2199" s="354">
        <v>2</v>
      </c>
      <c r="E2199" s="354">
        <v>2</v>
      </c>
      <c r="F2199" s="354">
        <v>2</v>
      </c>
      <c r="G2199" s="354">
        <v>1</v>
      </c>
      <c r="H2199" s="354">
        <v>1</v>
      </c>
      <c r="I2199" s="354">
        <v>1</v>
      </c>
      <c r="J2199" s="354">
        <v>2</v>
      </c>
      <c r="K2199" s="354">
        <v>0</v>
      </c>
      <c r="L2199" s="354">
        <v>0</v>
      </c>
      <c r="M2199" s="355">
        <v>4</v>
      </c>
      <c r="N2199" s="355">
        <v>8</v>
      </c>
    </row>
    <row r="2200" spans="1:14" hidden="1" x14ac:dyDescent="0.25">
      <c r="A2200" s="354">
        <v>1</v>
      </c>
      <c r="B2200" s="354">
        <v>0</v>
      </c>
      <c r="C2200" s="354">
        <v>1</v>
      </c>
      <c r="D2200" s="354">
        <v>0</v>
      </c>
      <c r="E2200" s="354">
        <v>1</v>
      </c>
      <c r="F2200" s="354">
        <v>1</v>
      </c>
      <c r="G2200" s="354">
        <v>0</v>
      </c>
      <c r="H2200" s="354">
        <v>0</v>
      </c>
      <c r="I2200" s="354">
        <v>1</v>
      </c>
      <c r="J2200" s="354">
        <v>1</v>
      </c>
      <c r="K2200" s="354">
        <v>0</v>
      </c>
      <c r="L2200" s="354">
        <v>0</v>
      </c>
      <c r="M2200" s="355">
        <v>4</v>
      </c>
      <c r="N2200" s="355">
        <v>2</v>
      </c>
    </row>
    <row r="2201" spans="1:14" hidden="1" x14ac:dyDescent="0.25">
      <c r="A2201" s="354">
        <v>0</v>
      </c>
      <c r="B2201" s="354">
        <v>1</v>
      </c>
      <c r="C2201" s="354">
        <v>1</v>
      </c>
      <c r="D2201" s="354">
        <v>1</v>
      </c>
      <c r="E2201" s="354">
        <v>2</v>
      </c>
      <c r="F2201" s="354">
        <v>0</v>
      </c>
      <c r="G2201" s="354">
        <v>1</v>
      </c>
      <c r="H2201" s="354">
        <v>0</v>
      </c>
      <c r="I2201" s="354">
        <v>1</v>
      </c>
      <c r="J2201" s="354">
        <v>1</v>
      </c>
      <c r="K2201" s="354">
        <v>0</v>
      </c>
      <c r="L2201" s="354">
        <v>0</v>
      </c>
      <c r="M2201" s="355">
        <v>5</v>
      </c>
      <c r="N2201" s="355">
        <v>3</v>
      </c>
    </row>
    <row r="2202" spans="1:14" hidden="1" x14ac:dyDescent="0.25">
      <c r="A2202" s="354">
        <v>0</v>
      </c>
      <c r="B2202" s="354">
        <v>1</v>
      </c>
      <c r="C2202" s="354">
        <v>0</v>
      </c>
      <c r="D2202" s="354">
        <v>1</v>
      </c>
      <c r="E2202" s="354">
        <v>1</v>
      </c>
      <c r="F2202" s="354">
        <v>1</v>
      </c>
      <c r="G2202" s="354">
        <v>0</v>
      </c>
      <c r="H2202" s="354">
        <v>0</v>
      </c>
      <c r="I2202" s="354">
        <v>1</v>
      </c>
      <c r="J2202" s="354">
        <v>1</v>
      </c>
      <c r="K2202" s="354">
        <v>0</v>
      </c>
      <c r="L2202" s="354">
        <v>0</v>
      </c>
      <c r="M2202" s="355">
        <v>2</v>
      </c>
      <c r="N2202" s="355">
        <v>4</v>
      </c>
    </row>
    <row r="2203" spans="1:14" hidden="1" x14ac:dyDescent="0.25">
      <c r="A2203" s="354">
        <v>1</v>
      </c>
      <c r="B2203" s="354">
        <v>0</v>
      </c>
      <c r="C2203" s="354">
        <v>1</v>
      </c>
      <c r="D2203" s="354">
        <v>1</v>
      </c>
      <c r="E2203" s="354">
        <v>1</v>
      </c>
      <c r="F2203" s="354">
        <v>1</v>
      </c>
      <c r="G2203" s="354">
        <v>0</v>
      </c>
      <c r="H2203" s="354">
        <v>0</v>
      </c>
      <c r="I2203" s="354">
        <v>1</v>
      </c>
      <c r="J2203" s="354">
        <v>1</v>
      </c>
      <c r="K2203" s="354">
        <v>0</v>
      </c>
      <c r="L2203" s="354">
        <v>0</v>
      </c>
      <c r="M2203" s="355">
        <v>4</v>
      </c>
      <c r="N2203" s="355">
        <v>3</v>
      </c>
    </row>
    <row r="2204" spans="1:14" hidden="1" x14ac:dyDescent="0.25">
      <c r="A2204" s="354">
        <v>0</v>
      </c>
      <c r="B2204" s="354">
        <v>0</v>
      </c>
      <c r="C2204" s="354">
        <v>1</v>
      </c>
      <c r="D2204" s="354">
        <v>1</v>
      </c>
      <c r="E2204" s="354">
        <v>1</v>
      </c>
      <c r="F2204" s="354">
        <v>0</v>
      </c>
      <c r="G2204" s="354">
        <v>1</v>
      </c>
      <c r="H2204" s="354">
        <v>1</v>
      </c>
      <c r="I2204" s="354">
        <v>1</v>
      </c>
      <c r="J2204" s="354">
        <v>2</v>
      </c>
      <c r="K2204" s="354">
        <v>0</v>
      </c>
      <c r="L2204" s="354">
        <v>0</v>
      </c>
      <c r="M2204" s="355">
        <v>4</v>
      </c>
      <c r="N2204" s="355">
        <v>4</v>
      </c>
    </row>
    <row r="2205" spans="1:14" hidden="1" x14ac:dyDescent="0.25">
      <c r="A2205" s="354">
        <v>1</v>
      </c>
      <c r="B2205" s="354">
        <v>0</v>
      </c>
      <c r="C2205" s="354">
        <v>1</v>
      </c>
      <c r="D2205" s="354">
        <v>0</v>
      </c>
      <c r="E2205" s="354">
        <v>1</v>
      </c>
      <c r="F2205" s="354">
        <v>1</v>
      </c>
      <c r="G2205" s="354">
        <v>0</v>
      </c>
      <c r="H2205" s="354">
        <v>0</v>
      </c>
      <c r="I2205" s="354">
        <v>1</v>
      </c>
      <c r="J2205" s="354">
        <v>1</v>
      </c>
      <c r="K2205" s="354">
        <v>0</v>
      </c>
      <c r="L2205" s="354">
        <v>0</v>
      </c>
      <c r="M2205" s="355">
        <v>4</v>
      </c>
      <c r="N2205" s="355">
        <v>2</v>
      </c>
    </row>
    <row r="2206" spans="1:14" hidden="1" x14ac:dyDescent="0.25">
      <c r="A2206" s="354">
        <v>1</v>
      </c>
      <c r="B2206" s="354">
        <v>0</v>
      </c>
      <c r="C2206" s="354">
        <v>1</v>
      </c>
      <c r="D2206" s="354">
        <v>1</v>
      </c>
      <c r="E2206" s="354">
        <v>0</v>
      </c>
      <c r="F2206" s="354">
        <v>1</v>
      </c>
      <c r="G2206" s="354">
        <v>0</v>
      </c>
      <c r="H2206" s="354">
        <v>0</v>
      </c>
      <c r="I2206" s="354">
        <v>1</v>
      </c>
      <c r="J2206" s="354">
        <v>1</v>
      </c>
      <c r="K2206" s="354">
        <v>0</v>
      </c>
      <c r="L2206" s="354">
        <v>0</v>
      </c>
      <c r="M2206" s="355">
        <v>3</v>
      </c>
      <c r="N2206" s="355">
        <v>3</v>
      </c>
    </row>
    <row r="2207" spans="1:14" hidden="1" x14ac:dyDescent="0.25">
      <c r="A2207" s="354">
        <v>0</v>
      </c>
      <c r="B2207" s="354">
        <v>2</v>
      </c>
      <c r="C2207" s="354">
        <v>1</v>
      </c>
      <c r="D2207" s="354">
        <v>1</v>
      </c>
      <c r="E2207" s="354">
        <v>0</v>
      </c>
      <c r="F2207" s="354">
        <v>1</v>
      </c>
      <c r="G2207" s="354">
        <v>0</v>
      </c>
      <c r="H2207" s="354">
        <v>1</v>
      </c>
      <c r="I2207" s="354">
        <v>1</v>
      </c>
      <c r="J2207" s="354">
        <v>1</v>
      </c>
      <c r="K2207" s="354">
        <v>0</v>
      </c>
      <c r="L2207" s="354">
        <v>0</v>
      </c>
      <c r="M2207" s="355">
        <v>2</v>
      </c>
      <c r="N2207" s="355">
        <v>6</v>
      </c>
    </row>
    <row r="2208" spans="1:14" hidden="1" x14ac:dyDescent="0.25">
      <c r="A2208" s="354">
        <v>1</v>
      </c>
      <c r="B2208" s="354">
        <v>0</v>
      </c>
      <c r="C2208" s="354">
        <v>0</v>
      </c>
      <c r="D2208" s="354">
        <v>1</v>
      </c>
      <c r="E2208" s="354">
        <v>1</v>
      </c>
      <c r="F2208" s="354">
        <v>1</v>
      </c>
      <c r="G2208" s="354">
        <v>0</v>
      </c>
      <c r="H2208" s="354">
        <v>0</v>
      </c>
      <c r="I2208" s="354">
        <v>1</v>
      </c>
      <c r="J2208" s="354">
        <v>1</v>
      </c>
      <c r="K2208" s="354">
        <v>0</v>
      </c>
      <c r="L2208" s="354">
        <v>0</v>
      </c>
      <c r="M2208" s="355">
        <v>3</v>
      </c>
      <c r="N2208" s="355">
        <v>3</v>
      </c>
    </row>
    <row r="2209" spans="1:14" hidden="1" x14ac:dyDescent="0.25">
      <c r="A2209" s="354">
        <v>0</v>
      </c>
      <c r="B2209" s="354">
        <v>1</v>
      </c>
      <c r="C2209" s="354">
        <v>1</v>
      </c>
      <c r="D2209" s="354">
        <v>0</v>
      </c>
      <c r="E2209" s="354">
        <v>1</v>
      </c>
      <c r="F2209" s="354">
        <v>0</v>
      </c>
      <c r="G2209" s="354">
        <v>1</v>
      </c>
      <c r="H2209" s="354">
        <v>0</v>
      </c>
      <c r="I2209" s="354">
        <v>1</v>
      </c>
      <c r="J2209" s="354">
        <v>2</v>
      </c>
      <c r="K2209" s="354">
        <v>0</v>
      </c>
      <c r="L2209" s="354">
        <v>0</v>
      </c>
      <c r="M2209" s="355">
        <v>4</v>
      </c>
      <c r="N2209" s="355">
        <v>3</v>
      </c>
    </row>
    <row r="2210" spans="1:14" hidden="1" x14ac:dyDescent="0.25">
      <c r="A2210" s="354">
        <v>1</v>
      </c>
      <c r="B2210" s="354">
        <v>0</v>
      </c>
      <c r="C2210" s="354">
        <v>1</v>
      </c>
      <c r="D2210" s="354">
        <v>0</v>
      </c>
      <c r="E2210" s="354">
        <v>2</v>
      </c>
      <c r="F2210" s="354">
        <v>1</v>
      </c>
      <c r="G2210" s="354">
        <v>0</v>
      </c>
      <c r="H2210" s="354">
        <v>0</v>
      </c>
      <c r="I2210" s="354">
        <v>1</v>
      </c>
      <c r="J2210" s="354">
        <v>1</v>
      </c>
      <c r="K2210" s="354">
        <v>0</v>
      </c>
      <c r="L2210" s="354">
        <v>0</v>
      </c>
      <c r="M2210" s="355">
        <v>5</v>
      </c>
      <c r="N2210" s="355">
        <v>2</v>
      </c>
    </row>
    <row r="2211" spans="1:14" hidden="1" x14ac:dyDescent="0.25">
      <c r="A2211" s="354">
        <v>0</v>
      </c>
      <c r="B2211" s="354">
        <v>0</v>
      </c>
      <c r="C2211" s="354">
        <v>1</v>
      </c>
      <c r="D2211" s="354">
        <v>1</v>
      </c>
      <c r="E2211" s="354">
        <v>1</v>
      </c>
      <c r="F2211" s="354">
        <v>2</v>
      </c>
      <c r="G2211" s="354">
        <v>0</v>
      </c>
      <c r="H2211" s="354">
        <v>0</v>
      </c>
      <c r="I2211" s="354">
        <v>3</v>
      </c>
      <c r="J2211" s="354">
        <v>2</v>
      </c>
      <c r="K2211" s="354">
        <v>1</v>
      </c>
      <c r="L2211" s="354">
        <v>0</v>
      </c>
      <c r="M2211" s="355">
        <v>6</v>
      </c>
      <c r="N2211" s="355">
        <v>5</v>
      </c>
    </row>
    <row r="2212" spans="1:14" hidden="1" x14ac:dyDescent="0.25">
      <c r="A2212" s="354">
        <v>0</v>
      </c>
      <c r="B2212" s="354">
        <v>1</v>
      </c>
      <c r="C2212" s="354">
        <v>1</v>
      </c>
      <c r="D2212" s="354">
        <v>0</v>
      </c>
      <c r="E2212" s="354">
        <v>0</v>
      </c>
      <c r="F2212" s="354">
        <v>2</v>
      </c>
      <c r="G2212" s="354">
        <v>2</v>
      </c>
      <c r="H2212" s="354">
        <v>0</v>
      </c>
      <c r="I2212" s="354">
        <v>2</v>
      </c>
      <c r="J2212" s="354">
        <v>2</v>
      </c>
      <c r="K2212" s="354">
        <v>0</v>
      </c>
      <c r="L2212" s="354">
        <v>0</v>
      </c>
      <c r="M2212" s="355">
        <v>5</v>
      </c>
      <c r="N2212" s="355">
        <v>5</v>
      </c>
    </row>
    <row r="2213" spans="1:14" hidden="1" x14ac:dyDescent="0.25">
      <c r="A2213" s="354">
        <v>0</v>
      </c>
      <c r="B2213" s="354">
        <v>0</v>
      </c>
      <c r="C2213" s="354">
        <v>0</v>
      </c>
      <c r="D2213" s="354">
        <v>2</v>
      </c>
      <c r="E2213" s="354">
        <v>0</v>
      </c>
      <c r="F2213" s="354">
        <v>0</v>
      </c>
      <c r="G2213" s="354">
        <v>0</v>
      </c>
      <c r="H2213" s="354">
        <v>0</v>
      </c>
      <c r="I2213" s="354">
        <v>0</v>
      </c>
      <c r="J2213" s="354">
        <v>1</v>
      </c>
      <c r="K2213" s="354">
        <v>0</v>
      </c>
      <c r="L2213" s="354">
        <v>0</v>
      </c>
      <c r="M2213" s="355">
        <v>0</v>
      </c>
      <c r="N2213" s="355">
        <v>3</v>
      </c>
    </row>
    <row r="2214" spans="1:14" hidden="1" x14ac:dyDescent="0.25">
      <c r="A2214" s="354">
        <v>0</v>
      </c>
      <c r="B2214" s="354">
        <v>0</v>
      </c>
      <c r="C2214" s="354">
        <v>2</v>
      </c>
      <c r="D2214" s="354">
        <v>1</v>
      </c>
      <c r="E2214" s="354">
        <v>3</v>
      </c>
      <c r="F2214" s="354">
        <v>2</v>
      </c>
      <c r="G2214" s="354">
        <v>2</v>
      </c>
      <c r="H2214" s="354">
        <v>3</v>
      </c>
      <c r="I2214" s="354">
        <v>4</v>
      </c>
      <c r="J2214" s="354">
        <v>3</v>
      </c>
      <c r="K2214" s="354">
        <v>0</v>
      </c>
      <c r="L2214" s="354">
        <v>0</v>
      </c>
      <c r="M2214" s="355">
        <v>11</v>
      </c>
      <c r="N2214" s="355">
        <v>9</v>
      </c>
    </row>
    <row r="2215" spans="1:14" hidden="1" x14ac:dyDescent="0.25">
      <c r="A2215" s="354">
        <v>0</v>
      </c>
      <c r="B2215" s="354">
        <v>0</v>
      </c>
      <c r="C2215" s="354">
        <v>2</v>
      </c>
      <c r="D2215" s="354">
        <v>2</v>
      </c>
      <c r="E2215" s="354">
        <v>4</v>
      </c>
      <c r="F2215" s="354">
        <v>4</v>
      </c>
      <c r="G2215" s="354">
        <v>2</v>
      </c>
      <c r="H2215" s="354">
        <v>3</v>
      </c>
      <c r="I2215" s="354">
        <v>3</v>
      </c>
      <c r="J2215" s="354">
        <v>3</v>
      </c>
      <c r="K2215" s="354">
        <v>0</v>
      </c>
      <c r="L2215" s="354">
        <v>0</v>
      </c>
      <c r="M2215" s="355">
        <v>11</v>
      </c>
      <c r="N2215" s="355">
        <v>12</v>
      </c>
    </row>
    <row r="2216" spans="1:14" hidden="1" x14ac:dyDescent="0.25">
      <c r="A2216" s="354">
        <v>0</v>
      </c>
      <c r="B2216" s="354">
        <v>0</v>
      </c>
      <c r="C2216" s="354">
        <v>0</v>
      </c>
      <c r="D2216" s="354">
        <v>0</v>
      </c>
      <c r="E2216" s="354">
        <v>0</v>
      </c>
      <c r="F2216" s="354">
        <v>0</v>
      </c>
      <c r="G2216" s="354">
        <v>0</v>
      </c>
      <c r="H2216" s="354">
        <v>0</v>
      </c>
      <c r="I2216" s="354">
        <v>0</v>
      </c>
      <c r="J2216" s="354">
        <v>0</v>
      </c>
      <c r="K2216" s="354">
        <v>1</v>
      </c>
      <c r="L2216" s="354">
        <v>0</v>
      </c>
      <c r="M2216" s="355">
        <v>1</v>
      </c>
      <c r="N2216" s="355">
        <v>0</v>
      </c>
    </row>
    <row r="2217" spans="1:14" hidden="1" x14ac:dyDescent="0.25">
      <c r="A2217" s="354"/>
      <c r="B2217" s="354">
        <v>0</v>
      </c>
      <c r="C2217" s="354">
        <v>0</v>
      </c>
      <c r="D2217" s="354">
        <v>0</v>
      </c>
      <c r="E2217" s="354">
        <v>0</v>
      </c>
      <c r="F2217" s="354">
        <v>1</v>
      </c>
      <c r="G2217" s="354">
        <v>0</v>
      </c>
      <c r="H2217" s="354">
        <v>0</v>
      </c>
      <c r="I2217" s="354">
        <v>0</v>
      </c>
      <c r="J2217" s="354">
        <v>0</v>
      </c>
      <c r="K2217" s="354">
        <v>0</v>
      </c>
      <c r="L2217" s="354">
        <v>1</v>
      </c>
      <c r="M2217" s="355">
        <v>0</v>
      </c>
      <c r="N2217" s="355">
        <v>2</v>
      </c>
    </row>
    <row r="2218" spans="1:14" hidden="1" x14ac:dyDescent="0.25">
      <c r="A2218" s="354">
        <v>0</v>
      </c>
      <c r="B2218" s="354">
        <v>0</v>
      </c>
      <c r="C2218" s="354">
        <v>0</v>
      </c>
      <c r="D2218" s="354">
        <v>0</v>
      </c>
      <c r="E2218" s="354">
        <v>2</v>
      </c>
      <c r="F2218" s="354">
        <v>0</v>
      </c>
      <c r="G2218" s="354">
        <v>0</v>
      </c>
      <c r="H2218" s="354">
        <v>0</v>
      </c>
      <c r="I2218" s="354">
        <v>1</v>
      </c>
      <c r="J2218" s="354">
        <v>1</v>
      </c>
      <c r="K2218" s="354">
        <v>0</v>
      </c>
      <c r="L2218" s="354">
        <v>1</v>
      </c>
      <c r="M2218" s="355">
        <v>3</v>
      </c>
      <c r="N2218" s="355">
        <v>2</v>
      </c>
    </row>
    <row r="2219" spans="1:14" hidden="1" x14ac:dyDescent="0.25">
      <c r="A2219" s="354">
        <v>0</v>
      </c>
      <c r="B2219" s="354">
        <v>0</v>
      </c>
      <c r="C2219" s="354">
        <v>3</v>
      </c>
      <c r="D2219" s="354">
        <v>2</v>
      </c>
      <c r="E2219" s="354">
        <v>3</v>
      </c>
      <c r="F2219" s="354">
        <v>3</v>
      </c>
      <c r="G2219" s="354">
        <v>2</v>
      </c>
      <c r="H2219" s="354">
        <v>1</v>
      </c>
      <c r="I2219" s="354">
        <v>1</v>
      </c>
      <c r="J2219" s="354">
        <v>2</v>
      </c>
      <c r="K2219" s="354">
        <v>0</v>
      </c>
      <c r="L2219" s="354">
        <v>0</v>
      </c>
      <c r="M2219" s="355">
        <v>9</v>
      </c>
      <c r="N2219" s="355">
        <v>8</v>
      </c>
    </row>
    <row r="2220" spans="1:14" hidden="1" x14ac:dyDescent="0.25">
      <c r="A2220" s="354">
        <v>0</v>
      </c>
      <c r="B2220" s="354">
        <v>0</v>
      </c>
      <c r="C2220" s="354">
        <v>0</v>
      </c>
      <c r="D2220" s="354">
        <v>0</v>
      </c>
      <c r="E2220" s="354">
        <v>0</v>
      </c>
      <c r="F2220" s="354">
        <v>0</v>
      </c>
      <c r="G2220" s="354">
        <v>0</v>
      </c>
      <c r="H2220" s="354">
        <v>3</v>
      </c>
      <c r="I2220" s="354">
        <v>2</v>
      </c>
      <c r="J2220" s="354">
        <v>4</v>
      </c>
      <c r="K2220" s="354">
        <v>0</v>
      </c>
      <c r="L2220" s="354">
        <v>0</v>
      </c>
      <c r="M2220" s="355">
        <v>2</v>
      </c>
      <c r="N2220" s="355">
        <v>7</v>
      </c>
    </row>
    <row r="2221" spans="1:14" hidden="1" x14ac:dyDescent="0.25">
      <c r="A2221" s="354">
        <v>1</v>
      </c>
      <c r="B2221" s="354">
        <v>1</v>
      </c>
      <c r="C2221" s="354">
        <v>1</v>
      </c>
      <c r="D2221" s="354">
        <v>1</v>
      </c>
      <c r="E2221" s="354">
        <v>0</v>
      </c>
      <c r="F2221" s="354">
        <v>2</v>
      </c>
      <c r="G2221" s="354">
        <v>0</v>
      </c>
      <c r="H2221" s="354">
        <v>2</v>
      </c>
      <c r="I2221" s="354">
        <v>1</v>
      </c>
      <c r="J2221" s="354">
        <v>1</v>
      </c>
      <c r="K2221" s="354">
        <v>1</v>
      </c>
      <c r="L2221" s="354">
        <v>0</v>
      </c>
      <c r="M2221" s="355">
        <v>4</v>
      </c>
      <c r="N2221" s="355">
        <v>7</v>
      </c>
    </row>
    <row r="2222" spans="1:14" hidden="1" x14ac:dyDescent="0.25">
      <c r="A2222" s="354">
        <v>1</v>
      </c>
      <c r="B2222" s="354">
        <v>0</v>
      </c>
      <c r="C2222" s="354">
        <v>0</v>
      </c>
      <c r="D2222" s="354">
        <v>1</v>
      </c>
      <c r="E2222" s="354">
        <v>1</v>
      </c>
      <c r="F2222" s="354">
        <v>1</v>
      </c>
      <c r="G2222" s="354">
        <v>2</v>
      </c>
      <c r="H2222" s="354">
        <v>0</v>
      </c>
      <c r="I2222" s="354">
        <v>3</v>
      </c>
      <c r="J2222" s="354">
        <v>2</v>
      </c>
      <c r="K2222" s="354">
        <v>0</v>
      </c>
      <c r="L2222" s="354">
        <v>1</v>
      </c>
      <c r="M2222" s="355">
        <v>7</v>
      </c>
      <c r="N2222" s="355">
        <v>5</v>
      </c>
    </row>
    <row r="2223" spans="1:14" hidden="1" x14ac:dyDescent="0.25">
      <c r="A2223" s="354">
        <v>0</v>
      </c>
      <c r="B2223" s="354">
        <v>0</v>
      </c>
      <c r="C2223" s="354">
        <v>0</v>
      </c>
      <c r="D2223" s="354">
        <v>1</v>
      </c>
      <c r="E2223" s="354">
        <v>0</v>
      </c>
      <c r="F2223" s="354">
        <v>0</v>
      </c>
      <c r="G2223" s="354">
        <v>2</v>
      </c>
      <c r="H2223" s="354">
        <v>0</v>
      </c>
      <c r="I2223" s="354">
        <v>0</v>
      </c>
      <c r="J2223" s="354">
        <v>1</v>
      </c>
      <c r="K2223" s="354">
        <v>1</v>
      </c>
      <c r="L2223" s="354">
        <v>0</v>
      </c>
      <c r="M2223" s="355">
        <v>3</v>
      </c>
      <c r="N2223" s="355">
        <v>2</v>
      </c>
    </row>
    <row r="2224" spans="1:14" hidden="1" x14ac:dyDescent="0.25">
      <c r="A2224" s="354">
        <v>1</v>
      </c>
      <c r="B2224" s="354">
        <v>0</v>
      </c>
      <c r="C2224" s="354">
        <v>0</v>
      </c>
      <c r="D2224" s="354">
        <v>0</v>
      </c>
      <c r="E2224" s="354">
        <v>3</v>
      </c>
      <c r="F2224" s="354">
        <v>2</v>
      </c>
      <c r="G2224" s="354">
        <v>1</v>
      </c>
      <c r="H2224" s="354">
        <v>1</v>
      </c>
      <c r="I2224" s="354">
        <v>1</v>
      </c>
      <c r="J2224" s="354">
        <v>1</v>
      </c>
      <c r="K2224" s="354">
        <v>0</v>
      </c>
      <c r="L2224" s="354">
        <v>0</v>
      </c>
      <c r="M2224" s="355">
        <v>6</v>
      </c>
      <c r="N2224" s="355">
        <v>4</v>
      </c>
    </row>
    <row r="2225" spans="1:14" hidden="1" x14ac:dyDescent="0.25">
      <c r="A2225" s="354">
        <v>0</v>
      </c>
      <c r="B2225" s="354">
        <v>0</v>
      </c>
      <c r="C2225" s="354">
        <v>1</v>
      </c>
      <c r="D2225" s="354">
        <v>0</v>
      </c>
      <c r="E2225" s="354">
        <v>2</v>
      </c>
      <c r="F2225" s="354">
        <v>0</v>
      </c>
      <c r="G2225" s="354">
        <v>1</v>
      </c>
      <c r="H2225" s="354">
        <v>0</v>
      </c>
      <c r="I2225" s="354">
        <v>0</v>
      </c>
      <c r="J2225" s="354">
        <v>2</v>
      </c>
      <c r="K2225" s="354">
        <v>1</v>
      </c>
      <c r="L2225" s="354">
        <v>0</v>
      </c>
      <c r="M2225" s="355">
        <v>5</v>
      </c>
      <c r="N2225" s="355">
        <v>2</v>
      </c>
    </row>
    <row r="2226" spans="1:14" hidden="1" x14ac:dyDescent="0.25">
      <c r="A2226" s="354">
        <v>1</v>
      </c>
      <c r="B2226" s="354">
        <v>0</v>
      </c>
      <c r="C2226" s="354">
        <v>1</v>
      </c>
      <c r="D2226" s="354">
        <v>0</v>
      </c>
      <c r="E2226" s="354">
        <v>1</v>
      </c>
      <c r="F2226" s="354">
        <v>1</v>
      </c>
      <c r="G2226" s="354">
        <v>0</v>
      </c>
      <c r="H2226" s="354">
        <v>0</v>
      </c>
      <c r="I2226" s="354">
        <v>1</v>
      </c>
      <c r="J2226" s="354">
        <v>1</v>
      </c>
      <c r="K2226" s="354">
        <v>0</v>
      </c>
      <c r="L2226" s="354">
        <v>0</v>
      </c>
      <c r="M2226" s="355">
        <v>4</v>
      </c>
      <c r="N2226" s="355">
        <v>2</v>
      </c>
    </row>
    <row r="2227" spans="1:14" hidden="1" x14ac:dyDescent="0.25">
      <c r="A2227" s="354">
        <v>1</v>
      </c>
      <c r="B2227" s="354">
        <v>0</v>
      </c>
      <c r="C2227" s="354">
        <v>1</v>
      </c>
      <c r="D2227" s="354">
        <v>0</v>
      </c>
      <c r="E2227" s="354">
        <v>0</v>
      </c>
      <c r="F2227" s="354">
        <v>2</v>
      </c>
      <c r="G2227" s="354">
        <v>0</v>
      </c>
      <c r="H2227" s="354">
        <v>0</v>
      </c>
      <c r="I2227" s="354">
        <v>2</v>
      </c>
      <c r="J2227" s="354">
        <v>2</v>
      </c>
      <c r="K2227" s="354">
        <v>0</v>
      </c>
      <c r="L2227" s="354">
        <v>1</v>
      </c>
      <c r="M2227" s="355">
        <v>4</v>
      </c>
      <c r="N2227" s="355">
        <v>5</v>
      </c>
    </row>
    <row r="2228" spans="1:14" hidden="1" x14ac:dyDescent="0.25">
      <c r="A2228" s="354">
        <v>0</v>
      </c>
      <c r="B2228" s="354">
        <v>0</v>
      </c>
      <c r="C2228" s="354">
        <v>1</v>
      </c>
      <c r="D2228" s="354">
        <v>1</v>
      </c>
      <c r="E2228" s="354">
        <v>2</v>
      </c>
      <c r="F2228" s="354">
        <v>1</v>
      </c>
      <c r="G2228" s="354">
        <v>0</v>
      </c>
      <c r="H2228" s="354">
        <v>2</v>
      </c>
      <c r="I2228" s="354">
        <v>1</v>
      </c>
      <c r="J2228" s="354">
        <v>1</v>
      </c>
      <c r="K2228" s="354">
        <v>1</v>
      </c>
      <c r="L2228" s="354">
        <v>0</v>
      </c>
      <c r="M2228" s="355">
        <v>5</v>
      </c>
      <c r="N2228" s="355">
        <v>5</v>
      </c>
    </row>
    <row r="2229" spans="1:14" hidden="1" x14ac:dyDescent="0.25">
      <c r="A2229" s="354">
        <v>0</v>
      </c>
      <c r="B2229" s="354">
        <v>0</v>
      </c>
      <c r="C2229" s="354">
        <v>1</v>
      </c>
      <c r="D2229" s="354">
        <v>0</v>
      </c>
      <c r="E2229" s="354">
        <v>0</v>
      </c>
      <c r="F2229" s="354">
        <v>2</v>
      </c>
      <c r="G2229" s="354">
        <v>0</v>
      </c>
      <c r="H2229" s="354">
        <v>0</v>
      </c>
      <c r="I2229" s="354">
        <v>3</v>
      </c>
      <c r="J2229" s="354">
        <v>2</v>
      </c>
      <c r="K2229" s="354">
        <v>0</v>
      </c>
      <c r="L2229" s="354">
        <v>0</v>
      </c>
      <c r="M2229" s="355">
        <v>4</v>
      </c>
      <c r="N2229" s="355">
        <v>4</v>
      </c>
    </row>
    <row r="2230" spans="1:14" hidden="1" x14ac:dyDescent="0.25">
      <c r="A2230" s="354">
        <v>1</v>
      </c>
      <c r="B2230" s="354">
        <v>0</v>
      </c>
      <c r="C2230" s="354">
        <v>1</v>
      </c>
      <c r="D2230" s="354">
        <v>0</v>
      </c>
      <c r="E2230" s="354">
        <v>0</v>
      </c>
      <c r="F2230" s="354">
        <v>1</v>
      </c>
      <c r="G2230" s="354">
        <v>0</v>
      </c>
      <c r="H2230" s="354">
        <v>0</v>
      </c>
      <c r="I2230" s="354">
        <v>2</v>
      </c>
      <c r="J2230" s="354">
        <v>2</v>
      </c>
      <c r="K2230" s="354">
        <v>0</v>
      </c>
      <c r="L2230" s="354">
        <v>0</v>
      </c>
      <c r="M2230" s="355">
        <v>4</v>
      </c>
      <c r="N2230" s="355">
        <v>3</v>
      </c>
    </row>
    <row r="2231" spans="1:14" hidden="1" x14ac:dyDescent="0.25">
      <c r="A2231" s="354">
        <v>0</v>
      </c>
      <c r="B2231" s="354">
        <v>0</v>
      </c>
      <c r="C2231" s="354">
        <v>1</v>
      </c>
      <c r="D2231" s="354">
        <v>0</v>
      </c>
      <c r="E2231" s="354">
        <v>1</v>
      </c>
      <c r="F2231" s="354">
        <v>0</v>
      </c>
      <c r="G2231" s="354">
        <v>0</v>
      </c>
      <c r="H2231" s="354">
        <v>0</v>
      </c>
      <c r="I2231" s="354">
        <v>0</v>
      </c>
      <c r="J2231" s="354">
        <v>0</v>
      </c>
      <c r="K2231" s="354">
        <v>0</v>
      </c>
      <c r="L2231" s="354">
        <v>1</v>
      </c>
      <c r="M2231" s="355">
        <v>2</v>
      </c>
      <c r="N2231" s="355">
        <v>1</v>
      </c>
    </row>
    <row r="2232" spans="1:14" hidden="1" x14ac:dyDescent="0.25">
      <c r="A2232" s="354">
        <v>0</v>
      </c>
      <c r="B2232" s="354">
        <v>1</v>
      </c>
      <c r="C2232" s="354">
        <v>0</v>
      </c>
      <c r="D2232" s="354">
        <v>0</v>
      </c>
      <c r="E2232" s="354">
        <v>2</v>
      </c>
      <c r="F2232" s="354">
        <v>2</v>
      </c>
      <c r="G2232" s="354">
        <v>0</v>
      </c>
      <c r="H2232" s="354">
        <v>1</v>
      </c>
      <c r="I2232" s="354">
        <v>2</v>
      </c>
      <c r="J2232" s="354">
        <v>2</v>
      </c>
      <c r="K2232" s="354">
        <v>0</v>
      </c>
      <c r="L2232" s="354">
        <v>0</v>
      </c>
      <c r="M2232" s="355">
        <v>4</v>
      </c>
      <c r="N2232" s="355">
        <v>6</v>
      </c>
    </row>
    <row r="2233" spans="1:14" hidden="1" x14ac:dyDescent="0.25">
      <c r="A2233" s="354">
        <v>1</v>
      </c>
      <c r="B2233" s="354">
        <v>0</v>
      </c>
      <c r="C2233" s="354">
        <v>0</v>
      </c>
      <c r="D2233" s="354">
        <v>1</v>
      </c>
      <c r="E2233" s="354">
        <v>1</v>
      </c>
      <c r="F2233" s="354">
        <v>0</v>
      </c>
      <c r="G2233" s="354">
        <v>0</v>
      </c>
      <c r="H2233" s="354">
        <v>2</v>
      </c>
      <c r="I2233" s="354">
        <v>3</v>
      </c>
      <c r="J2233" s="354">
        <v>2</v>
      </c>
      <c r="K2233" s="354">
        <v>0</v>
      </c>
      <c r="L2233" s="354">
        <v>0</v>
      </c>
      <c r="M2233" s="355">
        <v>5</v>
      </c>
      <c r="N2233" s="355">
        <v>5</v>
      </c>
    </row>
    <row r="2234" spans="1:14" hidden="1" x14ac:dyDescent="0.25">
      <c r="A2234" s="354">
        <v>0</v>
      </c>
      <c r="B2234" s="354">
        <v>0</v>
      </c>
      <c r="C2234" s="354">
        <v>1</v>
      </c>
      <c r="D2234" s="354">
        <v>0</v>
      </c>
      <c r="E2234" s="354">
        <v>1</v>
      </c>
      <c r="F2234" s="354">
        <v>0</v>
      </c>
      <c r="G2234" s="354">
        <v>2</v>
      </c>
      <c r="H2234" s="354">
        <v>0</v>
      </c>
      <c r="I2234" s="354">
        <v>1</v>
      </c>
      <c r="J2234" s="354">
        <v>2</v>
      </c>
      <c r="K2234" s="354">
        <v>0</v>
      </c>
      <c r="L2234" s="354">
        <v>0</v>
      </c>
      <c r="M2234" s="355">
        <v>5</v>
      </c>
      <c r="N2234" s="355">
        <v>2</v>
      </c>
    </row>
    <row r="2235" spans="1:14" hidden="1" x14ac:dyDescent="0.25">
      <c r="A2235" s="354">
        <v>0</v>
      </c>
      <c r="B2235" s="354">
        <v>0</v>
      </c>
      <c r="C2235" s="354">
        <v>1</v>
      </c>
      <c r="D2235" s="354">
        <v>1</v>
      </c>
      <c r="E2235" s="354">
        <v>1</v>
      </c>
      <c r="F2235" s="354">
        <v>1</v>
      </c>
      <c r="G2235" s="354">
        <v>0</v>
      </c>
      <c r="H2235" s="354">
        <v>2</v>
      </c>
      <c r="I2235" s="354">
        <v>0</v>
      </c>
      <c r="J2235" s="354">
        <v>1</v>
      </c>
      <c r="K2235" s="354">
        <v>0</v>
      </c>
      <c r="L2235" s="354">
        <v>0</v>
      </c>
      <c r="M2235" s="355">
        <v>2</v>
      </c>
      <c r="N2235" s="355">
        <v>5</v>
      </c>
    </row>
    <row r="2236" spans="1:14" hidden="1" x14ac:dyDescent="0.25">
      <c r="A2236" s="354">
        <v>1</v>
      </c>
      <c r="B2236" s="354">
        <v>1</v>
      </c>
      <c r="C2236" s="354">
        <v>2</v>
      </c>
      <c r="D2236" s="354">
        <v>1</v>
      </c>
      <c r="E2236" s="354">
        <v>3</v>
      </c>
      <c r="F2236" s="354">
        <v>2</v>
      </c>
      <c r="G2236" s="354">
        <v>1</v>
      </c>
      <c r="H2236" s="354">
        <v>1</v>
      </c>
      <c r="I2236" s="354">
        <v>1</v>
      </c>
      <c r="J2236" s="354">
        <v>1</v>
      </c>
      <c r="K2236" s="354">
        <v>0</v>
      </c>
      <c r="L2236" s="354">
        <v>0</v>
      </c>
      <c r="M2236" s="355">
        <v>8</v>
      </c>
      <c r="N2236" s="355">
        <v>6</v>
      </c>
    </row>
    <row r="2237" spans="1:14" hidden="1" x14ac:dyDescent="0.25">
      <c r="A2237" s="354">
        <v>1</v>
      </c>
      <c r="B2237" s="354">
        <v>0</v>
      </c>
      <c r="C2237" s="354">
        <v>0</v>
      </c>
      <c r="D2237" s="354">
        <v>2</v>
      </c>
      <c r="E2237" s="354">
        <v>0</v>
      </c>
      <c r="F2237" s="354">
        <v>0</v>
      </c>
      <c r="G2237" s="354">
        <v>2</v>
      </c>
      <c r="H2237" s="354">
        <v>1</v>
      </c>
      <c r="I2237" s="354">
        <v>1</v>
      </c>
      <c r="J2237" s="354">
        <v>1</v>
      </c>
      <c r="K2237" s="354">
        <v>0</v>
      </c>
      <c r="L2237" s="354">
        <v>0</v>
      </c>
      <c r="M2237" s="355">
        <v>4</v>
      </c>
      <c r="N2237" s="355">
        <v>4</v>
      </c>
    </row>
    <row r="2238" spans="1:14" hidden="1" x14ac:dyDescent="0.25">
      <c r="A2238" s="354">
        <v>1</v>
      </c>
      <c r="B2238" s="354">
        <v>0</v>
      </c>
      <c r="C2238" s="354">
        <v>2</v>
      </c>
      <c r="D2238" s="354">
        <v>1</v>
      </c>
      <c r="E2238" s="354">
        <v>0</v>
      </c>
      <c r="F2238" s="354">
        <v>1</v>
      </c>
      <c r="G2238" s="354">
        <v>1</v>
      </c>
      <c r="H2238" s="354">
        <v>0</v>
      </c>
      <c r="I2238" s="354">
        <v>1</v>
      </c>
      <c r="J2238" s="354">
        <v>2</v>
      </c>
      <c r="K2238" s="354">
        <v>0</v>
      </c>
      <c r="L2238" s="354">
        <v>0</v>
      </c>
      <c r="M2238" s="355">
        <v>5</v>
      </c>
      <c r="N2238" s="355">
        <v>4</v>
      </c>
    </row>
    <row r="2239" spans="1:14" hidden="1" x14ac:dyDescent="0.25">
      <c r="A2239" s="354">
        <v>0</v>
      </c>
      <c r="B2239" s="354">
        <v>0</v>
      </c>
      <c r="C2239" s="354">
        <v>0</v>
      </c>
      <c r="D2239" s="354">
        <v>1</v>
      </c>
      <c r="E2239" s="354">
        <v>1</v>
      </c>
      <c r="F2239" s="354">
        <v>2</v>
      </c>
      <c r="G2239" s="354">
        <v>0</v>
      </c>
      <c r="H2239" s="354">
        <v>0</v>
      </c>
      <c r="I2239" s="354">
        <v>1</v>
      </c>
      <c r="J2239" s="354">
        <v>1</v>
      </c>
      <c r="K2239" s="354">
        <v>0</v>
      </c>
      <c r="L2239" s="354">
        <v>0</v>
      </c>
      <c r="M2239" s="355">
        <v>2</v>
      </c>
      <c r="N2239" s="355">
        <v>4</v>
      </c>
    </row>
    <row r="2240" spans="1:14" hidden="1" x14ac:dyDescent="0.25">
      <c r="A2240" s="354">
        <v>1</v>
      </c>
      <c r="B2240" s="354">
        <v>1</v>
      </c>
      <c r="C2240" s="354">
        <v>1</v>
      </c>
      <c r="D2240" s="354">
        <v>0</v>
      </c>
      <c r="E2240" s="354">
        <v>1</v>
      </c>
      <c r="F2240" s="354">
        <v>0</v>
      </c>
      <c r="G2240" s="354">
        <v>0</v>
      </c>
      <c r="H2240" s="354">
        <v>0</v>
      </c>
      <c r="I2240" s="354">
        <v>1</v>
      </c>
      <c r="J2240" s="354">
        <v>1</v>
      </c>
      <c r="K2240" s="354">
        <v>1</v>
      </c>
      <c r="L2240" s="354">
        <v>0</v>
      </c>
      <c r="M2240" s="355">
        <v>5</v>
      </c>
      <c r="N2240" s="355">
        <v>2</v>
      </c>
    </row>
    <row r="2241" spans="1:14" hidden="1" x14ac:dyDescent="0.25">
      <c r="A2241" s="354">
        <v>1</v>
      </c>
      <c r="B2241" s="354">
        <v>1</v>
      </c>
      <c r="C2241" s="354">
        <v>0</v>
      </c>
      <c r="D2241" s="354">
        <v>1</v>
      </c>
      <c r="E2241" s="354">
        <v>1</v>
      </c>
      <c r="F2241" s="354">
        <v>3</v>
      </c>
      <c r="G2241" s="354">
        <v>0</v>
      </c>
      <c r="H2241" s="354">
        <v>0</v>
      </c>
      <c r="I2241" s="354">
        <v>2</v>
      </c>
      <c r="J2241" s="354">
        <v>1</v>
      </c>
      <c r="K2241" s="354">
        <v>1</v>
      </c>
      <c r="L2241" s="354">
        <v>0</v>
      </c>
      <c r="M2241" s="355">
        <v>5</v>
      </c>
      <c r="N2241" s="355">
        <v>6</v>
      </c>
    </row>
    <row r="2242" spans="1:14" hidden="1" x14ac:dyDescent="0.25">
      <c r="A2242" s="354">
        <v>1</v>
      </c>
      <c r="B2242" s="354">
        <v>1</v>
      </c>
      <c r="C2242" s="354">
        <v>0</v>
      </c>
      <c r="D2242" s="354">
        <v>0</v>
      </c>
      <c r="E2242" s="354">
        <v>2</v>
      </c>
      <c r="F2242" s="354">
        <v>1</v>
      </c>
      <c r="G2242" s="354">
        <v>0</v>
      </c>
      <c r="H2242" s="354">
        <v>0</v>
      </c>
      <c r="I2242" s="354">
        <v>1</v>
      </c>
      <c r="J2242" s="354">
        <v>1</v>
      </c>
      <c r="K2242" s="354">
        <v>1</v>
      </c>
      <c r="L2242" s="354">
        <v>0</v>
      </c>
      <c r="M2242" s="355">
        <v>5</v>
      </c>
      <c r="N2242" s="355">
        <v>3</v>
      </c>
    </row>
    <row r="2243" spans="1:14" hidden="1" x14ac:dyDescent="0.25">
      <c r="A2243" s="354">
        <v>1</v>
      </c>
      <c r="B2243" s="354">
        <v>1</v>
      </c>
      <c r="C2243" s="354">
        <v>1</v>
      </c>
      <c r="D2243" s="354">
        <v>1</v>
      </c>
      <c r="E2243" s="354">
        <v>1</v>
      </c>
      <c r="F2243" s="354">
        <v>0</v>
      </c>
      <c r="G2243" s="354">
        <v>1</v>
      </c>
      <c r="H2243" s="354">
        <v>1</v>
      </c>
      <c r="I2243" s="354">
        <v>2</v>
      </c>
      <c r="J2243" s="354">
        <v>2</v>
      </c>
      <c r="K2243" s="354">
        <v>0</v>
      </c>
      <c r="L2243" s="354">
        <v>0</v>
      </c>
      <c r="M2243" s="355">
        <v>6</v>
      </c>
      <c r="N2243" s="355">
        <v>5</v>
      </c>
    </row>
    <row r="2244" spans="1:14" hidden="1" x14ac:dyDescent="0.25">
      <c r="A2244" s="354">
        <v>2</v>
      </c>
      <c r="B2244" s="354">
        <v>0</v>
      </c>
      <c r="C2244" s="354">
        <v>1</v>
      </c>
      <c r="D2244" s="354">
        <v>1</v>
      </c>
      <c r="E2244" s="354">
        <v>1</v>
      </c>
      <c r="F2244" s="354">
        <v>1</v>
      </c>
      <c r="G2244" s="354">
        <v>0</v>
      </c>
      <c r="H2244" s="354">
        <v>0</v>
      </c>
      <c r="I2244" s="354">
        <v>1</v>
      </c>
      <c r="J2244" s="354">
        <v>1</v>
      </c>
      <c r="K2244" s="354">
        <v>0</v>
      </c>
      <c r="L2244" s="354">
        <v>0</v>
      </c>
      <c r="M2244" s="355">
        <v>5</v>
      </c>
      <c r="N2244" s="355">
        <v>3</v>
      </c>
    </row>
    <row r="2245" spans="1:14" hidden="1" x14ac:dyDescent="0.25">
      <c r="A2245" s="354">
        <v>1</v>
      </c>
      <c r="B2245" s="354">
        <v>0</v>
      </c>
      <c r="C2245" s="354">
        <v>1</v>
      </c>
      <c r="D2245" s="354">
        <v>0</v>
      </c>
      <c r="E2245" s="354">
        <v>0</v>
      </c>
      <c r="F2245" s="354">
        <v>0</v>
      </c>
      <c r="G2245" s="354">
        <v>0</v>
      </c>
      <c r="H2245" s="354">
        <v>0</v>
      </c>
      <c r="I2245" s="354">
        <v>1</v>
      </c>
      <c r="J2245" s="354">
        <v>1</v>
      </c>
      <c r="K2245" s="354">
        <v>0</v>
      </c>
      <c r="L2245" s="354">
        <v>0</v>
      </c>
      <c r="M2245" s="355">
        <v>3</v>
      </c>
      <c r="N2245" s="355">
        <v>1</v>
      </c>
    </row>
    <row r="2246" spans="1:14" hidden="1" x14ac:dyDescent="0.25">
      <c r="A2246" s="354">
        <v>1</v>
      </c>
      <c r="B2246" s="354">
        <v>0</v>
      </c>
      <c r="C2246" s="354">
        <v>0</v>
      </c>
      <c r="D2246" s="354">
        <v>0</v>
      </c>
      <c r="E2246" s="354">
        <v>1</v>
      </c>
      <c r="F2246" s="354">
        <v>0</v>
      </c>
      <c r="G2246" s="354">
        <v>0</v>
      </c>
      <c r="H2246" s="354">
        <v>0</v>
      </c>
      <c r="I2246" s="354">
        <v>0</v>
      </c>
      <c r="J2246" s="354">
        <v>1</v>
      </c>
      <c r="K2246" s="354">
        <v>0</v>
      </c>
      <c r="L2246" s="354">
        <v>0</v>
      </c>
      <c r="M2246" s="355">
        <v>2</v>
      </c>
      <c r="N2246" s="355">
        <v>1</v>
      </c>
    </row>
    <row r="2247" spans="1:14" hidden="1" x14ac:dyDescent="0.25">
      <c r="A2247" s="354">
        <v>0</v>
      </c>
      <c r="B2247" s="354">
        <v>0</v>
      </c>
      <c r="C2247" s="354">
        <v>0</v>
      </c>
      <c r="D2247" s="354">
        <v>0</v>
      </c>
      <c r="E2247" s="354">
        <v>1</v>
      </c>
      <c r="F2247" s="354">
        <v>0</v>
      </c>
      <c r="G2247" s="354">
        <v>1</v>
      </c>
      <c r="H2247" s="354">
        <v>1</v>
      </c>
      <c r="I2247" s="354">
        <v>1</v>
      </c>
      <c r="J2247" s="354">
        <v>1</v>
      </c>
      <c r="K2247" s="354">
        <v>1</v>
      </c>
      <c r="L2247" s="354">
        <v>1</v>
      </c>
      <c r="M2247" s="355">
        <v>4</v>
      </c>
      <c r="N2247" s="355">
        <v>3</v>
      </c>
    </row>
    <row r="2248" spans="1:14" hidden="1" x14ac:dyDescent="0.25">
      <c r="A2248" s="354">
        <v>1</v>
      </c>
      <c r="B2248" s="354">
        <v>2</v>
      </c>
      <c r="C2248" s="354">
        <v>1</v>
      </c>
      <c r="D2248" s="354">
        <v>1</v>
      </c>
      <c r="E2248" s="354">
        <v>2</v>
      </c>
      <c r="F2248" s="354">
        <v>0</v>
      </c>
      <c r="G2248" s="354">
        <v>3</v>
      </c>
      <c r="H2248" s="354">
        <v>0</v>
      </c>
      <c r="I2248" s="354">
        <v>3</v>
      </c>
      <c r="J2248" s="354">
        <v>4</v>
      </c>
      <c r="K2248" s="354">
        <v>0</v>
      </c>
      <c r="L2248" s="354">
        <v>0</v>
      </c>
      <c r="M2248" s="355">
        <v>10</v>
      </c>
      <c r="N2248" s="355">
        <v>7</v>
      </c>
    </row>
    <row r="2249" spans="1:14" hidden="1" x14ac:dyDescent="0.25">
      <c r="A2249" s="354">
        <v>1</v>
      </c>
      <c r="B2249" s="354">
        <v>0</v>
      </c>
      <c r="C2249" s="354">
        <v>0</v>
      </c>
      <c r="D2249" s="354">
        <v>0</v>
      </c>
      <c r="E2249" s="354">
        <v>0</v>
      </c>
      <c r="F2249" s="354">
        <v>0</v>
      </c>
      <c r="G2249" s="354">
        <v>0</v>
      </c>
      <c r="H2249" s="354">
        <v>0</v>
      </c>
      <c r="I2249" s="354">
        <v>1</v>
      </c>
      <c r="J2249" s="354">
        <v>1</v>
      </c>
      <c r="K2249" s="354">
        <v>0</v>
      </c>
      <c r="L2249" s="354">
        <v>0</v>
      </c>
      <c r="M2249" s="355">
        <v>2</v>
      </c>
      <c r="N2249" s="355">
        <v>1</v>
      </c>
    </row>
    <row r="2250" spans="1:14" hidden="1" x14ac:dyDescent="0.25">
      <c r="A2250" s="354">
        <v>3</v>
      </c>
      <c r="B2250" s="354">
        <v>0</v>
      </c>
      <c r="C2250" s="354">
        <v>4</v>
      </c>
      <c r="D2250" s="354">
        <v>1</v>
      </c>
      <c r="E2250" s="354">
        <v>1</v>
      </c>
      <c r="F2250" s="354">
        <v>2</v>
      </c>
      <c r="G2250" s="354">
        <v>0</v>
      </c>
      <c r="H2250" s="354">
        <v>0</v>
      </c>
      <c r="I2250" s="354">
        <v>1</v>
      </c>
      <c r="J2250" s="354">
        <v>2</v>
      </c>
      <c r="K2250" s="354">
        <v>0</v>
      </c>
      <c r="L2250" s="354">
        <v>0</v>
      </c>
      <c r="M2250" s="355">
        <v>9</v>
      </c>
      <c r="N2250" s="355">
        <v>5</v>
      </c>
    </row>
    <row r="2251" spans="1:14" hidden="1" x14ac:dyDescent="0.25">
      <c r="A2251" s="354">
        <v>0</v>
      </c>
      <c r="B2251" s="354">
        <v>0</v>
      </c>
      <c r="C2251" s="354">
        <v>0</v>
      </c>
      <c r="D2251" s="354">
        <v>0</v>
      </c>
      <c r="E2251" s="354">
        <v>1</v>
      </c>
      <c r="F2251" s="354">
        <v>2</v>
      </c>
      <c r="G2251" s="354">
        <v>1</v>
      </c>
      <c r="H2251" s="354">
        <v>0</v>
      </c>
      <c r="I2251" s="354">
        <v>2</v>
      </c>
      <c r="J2251" s="354">
        <v>1</v>
      </c>
      <c r="K2251" s="354">
        <v>0</v>
      </c>
      <c r="L2251" s="354">
        <v>0</v>
      </c>
      <c r="M2251" s="355">
        <v>4</v>
      </c>
      <c r="N2251" s="355">
        <v>3</v>
      </c>
    </row>
    <row r="2252" spans="1:14" hidden="1" x14ac:dyDescent="0.25">
      <c r="A2252" s="354">
        <v>1</v>
      </c>
      <c r="B2252" s="354">
        <v>0</v>
      </c>
      <c r="C2252" s="354">
        <v>0</v>
      </c>
      <c r="D2252" s="354">
        <v>2</v>
      </c>
      <c r="E2252" s="354">
        <v>1</v>
      </c>
      <c r="F2252" s="354">
        <v>0</v>
      </c>
      <c r="G2252" s="354">
        <v>0</v>
      </c>
      <c r="H2252" s="354">
        <v>0</v>
      </c>
      <c r="I2252" s="354">
        <v>1</v>
      </c>
      <c r="J2252" s="354">
        <v>0</v>
      </c>
      <c r="K2252" s="354">
        <v>1</v>
      </c>
      <c r="L2252" s="354">
        <v>0</v>
      </c>
      <c r="M2252" s="355">
        <v>4</v>
      </c>
      <c r="N2252" s="355">
        <v>2</v>
      </c>
    </row>
    <row r="2253" spans="1:14" hidden="1" x14ac:dyDescent="0.25">
      <c r="A2253" s="354">
        <v>0</v>
      </c>
      <c r="B2253" s="354">
        <v>0</v>
      </c>
      <c r="C2253" s="354">
        <v>0</v>
      </c>
      <c r="D2253" s="354">
        <v>0</v>
      </c>
      <c r="E2253" s="354">
        <v>0</v>
      </c>
      <c r="F2253" s="354">
        <v>0</v>
      </c>
      <c r="G2253" s="354">
        <v>0</v>
      </c>
      <c r="H2253" s="354">
        <v>0</v>
      </c>
      <c r="I2253" s="354">
        <v>1</v>
      </c>
      <c r="J2253" s="354">
        <v>0</v>
      </c>
      <c r="K2253" s="354">
        <v>0</v>
      </c>
      <c r="L2253" s="354">
        <v>0</v>
      </c>
      <c r="M2253" s="355">
        <v>1</v>
      </c>
      <c r="N2253" s="355">
        <v>0</v>
      </c>
    </row>
    <row r="2254" spans="1:14" hidden="1" x14ac:dyDescent="0.25">
      <c r="A2254" s="354">
        <v>0</v>
      </c>
      <c r="B2254" s="354">
        <v>0</v>
      </c>
      <c r="C2254" s="354">
        <v>0</v>
      </c>
      <c r="D2254" s="354">
        <v>0</v>
      </c>
      <c r="E2254" s="354">
        <v>2</v>
      </c>
      <c r="F2254" s="354">
        <v>0</v>
      </c>
      <c r="G2254" s="354">
        <v>0</v>
      </c>
      <c r="H2254" s="354">
        <v>0</v>
      </c>
      <c r="I2254" s="354">
        <v>2</v>
      </c>
      <c r="J2254" s="354">
        <v>1</v>
      </c>
      <c r="K2254" s="354">
        <v>0</v>
      </c>
      <c r="L2254" s="354">
        <v>0</v>
      </c>
      <c r="M2254" s="355">
        <v>4</v>
      </c>
      <c r="N2254" s="355">
        <v>1</v>
      </c>
    </row>
    <row r="2255" spans="1:14" hidden="1" x14ac:dyDescent="0.25">
      <c r="A2255" s="354">
        <v>0</v>
      </c>
      <c r="B2255" s="354">
        <v>0</v>
      </c>
      <c r="C2255" s="354">
        <v>1</v>
      </c>
      <c r="D2255" s="354">
        <v>0</v>
      </c>
      <c r="E2255" s="354">
        <v>0</v>
      </c>
      <c r="F2255" s="354">
        <v>1</v>
      </c>
      <c r="G2255" s="354">
        <v>1</v>
      </c>
      <c r="H2255" s="354">
        <v>1</v>
      </c>
      <c r="I2255" s="354">
        <v>3</v>
      </c>
      <c r="J2255" s="354">
        <v>2</v>
      </c>
      <c r="K2255" s="354">
        <v>0</v>
      </c>
      <c r="L2255" s="354">
        <v>0</v>
      </c>
      <c r="M2255" s="355">
        <v>5</v>
      </c>
      <c r="N2255" s="355">
        <v>4</v>
      </c>
    </row>
    <row r="2256" spans="1:14" hidden="1" x14ac:dyDescent="0.25">
      <c r="A2256" s="354">
        <v>0</v>
      </c>
      <c r="B2256" s="354">
        <v>0</v>
      </c>
      <c r="C2256" s="354">
        <v>0</v>
      </c>
      <c r="D2256" s="354">
        <v>1</v>
      </c>
      <c r="E2256" s="354">
        <v>0</v>
      </c>
      <c r="F2256" s="354">
        <v>2</v>
      </c>
      <c r="G2256" s="354">
        <v>0</v>
      </c>
      <c r="H2256" s="354">
        <v>0</v>
      </c>
      <c r="I2256" s="354">
        <v>2</v>
      </c>
      <c r="J2256" s="354">
        <v>2</v>
      </c>
      <c r="K2256" s="354">
        <v>1</v>
      </c>
      <c r="L2256" s="354">
        <v>0</v>
      </c>
      <c r="M2256" s="355">
        <v>3</v>
      </c>
      <c r="N2256" s="355">
        <v>5</v>
      </c>
    </row>
    <row r="2257" spans="1:14" hidden="1" x14ac:dyDescent="0.25">
      <c r="A2257" s="354">
        <v>0</v>
      </c>
      <c r="B2257" s="354">
        <v>0</v>
      </c>
      <c r="C2257" s="354">
        <v>0</v>
      </c>
      <c r="D2257" s="354">
        <v>0</v>
      </c>
      <c r="E2257" s="354">
        <v>0</v>
      </c>
      <c r="F2257" s="354">
        <v>0</v>
      </c>
      <c r="G2257" s="354">
        <v>0</v>
      </c>
      <c r="H2257" s="354">
        <v>1</v>
      </c>
      <c r="I2257" s="354">
        <v>0</v>
      </c>
      <c r="J2257" s="354">
        <v>1</v>
      </c>
      <c r="K2257" s="354">
        <v>0</v>
      </c>
      <c r="L2257" s="354">
        <v>0</v>
      </c>
      <c r="M2257" s="355">
        <v>0</v>
      </c>
      <c r="N2257" s="355">
        <v>2</v>
      </c>
    </row>
    <row r="2258" spans="1:14" hidden="1" x14ac:dyDescent="0.25">
      <c r="A2258" s="354">
        <v>0</v>
      </c>
      <c r="B2258" s="354">
        <v>1</v>
      </c>
      <c r="C2258" s="354">
        <v>1</v>
      </c>
      <c r="D2258" s="354">
        <v>0</v>
      </c>
      <c r="E2258" s="354">
        <v>0</v>
      </c>
      <c r="F2258" s="354">
        <v>0</v>
      </c>
      <c r="G2258" s="354">
        <v>0</v>
      </c>
      <c r="H2258" s="354">
        <v>0</v>
      </c>
      <c r="I2258" s="354">
        <v>0</v>
      </c>
      <c r="J2258" s="354">
        <v>1</v>
      </c>
      <c r="K2258" s="354">
        <v>0</v>
      </c>
      <c r="L2258" s="354">
        <v>0</v>
      </c>
      <c r="M2258" s="355">
        <v>1</v>
      </c>
      <c r="N2258" s="355">
        <v>2</v>
      </c>
    </row>
    <row r="2259" spans="1:14" hidden="1" x14ac:dyDescent="0.25">
      <c r="A2259" s="354">
        <v>0</v>
      </c>
      <c r="B2259" s="354">
        <v>0</v>
      </c>
      <c r="C2259" s="354">
        <v>0</v>
      </c>
      <c r="D2259" s="354">
        <v>0</v>
      </c>
      <c r="E2259" s="354">
        <v>0</v>
      </c>
      <c r="F2259" s="354">
        <v>0</v>
      </c>
      <c r="G2259" s="354">
        <v>0</v>
      </c>
      <c r="H2259" s="354">
        <v>0</v>
      </c>
      <c r="I2259" s="354">
        <v>1</v>
      </c>
      <c r="J2259" s="354">
        <v>0</v>
      </c>
      <c r="K2259" s="354">
        <v>0</v>
      </c>
      <c r="L2259" s="354">
        <v>0</v>
      </c>
      <c r="M2259" s="355">
        <v>1</v>
      </c>
      <c r="N2259" s="355">
        <v>0</v>
      </c>
    </row>
    <row r="2260" spans="1:14" hidden="1" x14ac:dyDescent="0.25">
      <c r="A2260" s="354">
        <v>0</v>
      </c>
      <c r="B2260" s="354">
        <v>0</v>
      </c>
      <c r="C2260" s="354">
        <v>0</v>
      </c>
      <c r="D2260" s="354">
        <v>0</v>
      </c>
      <c r="E2260" s="354">
        <v>0</v>
      </c>
      <c r="F2260" s="354">
        <v>0</v>
      </c>
      <c r="G2260" s="354">
        <v>0</v>
      </c>
      <c r="H2260" s="354">
        <v>0</v>
      </c>
      <c r="I2260" s="354">
        <v>1</v>
      </c>
      <c r="J2260" s="354">
        <v>0</v>
      </c>
      <c r="K2260" s="354">
        <v>0</v>
      </c>
      <c r="L2260" s="354">
        <v>0</v>
      </c>
      <c r="M2260" s="355">
        <v>1</v>
      </c>
      <c r="N2260" s="355">
        <v>0</v>
      </c>
    </row>
    <row r="2261" spans="1:14" hidden="1" x14ac:dyDescent="0.25">
      <c r="A2261" s="354">
        <v>1</v>
      </c>
      <c r="B2261" s="354">
        <v>0</v>
      </c>
      <c r="C2261" s="354">
        <v>1</v>
      </c>
      <c r="D2261" s="354">
        <v>0</v>
      </c>
      <c r="E2261" s="354">
        <v>0</v>
      </c>
      <c r="F2261" s="354">
        <v>2</v>
      </c>
      <c r="G2261" s="354">
        <v>0</v>
      </c>
      <c r="H2261" s="354">
        <v>0</v>
      </c>
      <c r="I2261" s="354">
        <v>1</v>
      </c>
      <c r="J2261" s="354">
        <v>1</v>
      </c>
      <c r="K2261" s="354">
        <v>0</v>
      </c>
      <c r="L2261" s="354">
        <v>0</v>
      </c>
      <c r="M2261" s="355">
        <v>3</v>
      </c>
      <c r="N2261" s="355">
        <v>3</v>
      </c>
    </row>
    <row r="2262" spans="1:14" hidden="1" x14ac:dyDescent="0.25">
      <c r="A2262" s="354">
        <v>0</v>
      </c>
      <c r="B2262" s="354">
        <v>1</v>
      </c>
      <c r="C2262" s="354">
        <v>1</v>
      </c>
      <c r="D2262" s="354">
        <v>0</v>
      </c>
      <c r="E2262" s="354">
        <v>1</v>
      </c>
      <c r="F2262" s="354">
        <v>0</v>
      </c>
      <c r="G2262" s="354">
        <v>0</v>
      </c>
      <c r="H2262" s="354">
        <v>0</v>
      </c>
      <c r="I2262" s="354">
        <v>1</v>
      </c>
      <c r="J2262" s="354">
        <v>1</v>
      </c>
      <c r="K2262" s="354">
        <v>0</v>
      </c>
      <c r="L2262" s="354">
        <v>0</v>
      </c>
      <c r="M2262" s="355">
        <v>3</v>
      </c>
      <c r="N2262" s="355">
        <v>2</v>
      </c>
    </row>
    <row r="2263" spans="1:14" hidden="1" x14ac:dyDescent="0.25">
      <c r="A2263" s="354">
        <v>0</v>
      </c>
      <c r="B2263" s="354">
        <v>0</v>
      </c>
      <c r="C2263" s="354">
        <v>1</v>
      </c>
      <c r="D2263" s="354">
        <v>0</v>
      </c>
      <c r="E2263" s="354">
        <v>1</v>
      </c>
      <c r="F2263" s="354">
        <v>2</v>
      </c>
      <c r="G2263" s="354">
        <v>0</v>
      </c>
      <c r="H2263" s="354">
        <v>0</v>
      </c>
      <c r="I2263" s="354">
        <v>0</v>
      </c>
      <c r="J2263" s="354">
        <v>1</v>
      </c>
      <c r="K2263" s="354">
        <v>0</v>
      </c>
      <c r="L2263" s="354">
        <v>0</v>
      </c>
      <c r="M2263" s="355">
        <v>2</v>
      </c>
      <c r="N2263" s="355">
        <v>3</v>
      </c>
    </row>
    <row r="2264" spans="1:14" hidden="1" x14ac:dyDescent="0.25">
      <c r="A2264" s="354">
        <v>0</v>
      </c>
      <c r="B2264" s="354">
        <v>2</v>
      </c>
      <c r="C2264" s="354">
        <v>2</v>
      </c>
      <c r="D2264" s="354">
        <v>2</v>
      </c>
      <c r="E2264" s="354">
        <v>3</v>
      </c>
      <c r="F2264" s="354">
        <v>1</v>
      </c>
      <c r="G2264" s="354">
        <v>1</v>
      </c>
      <c r="H2264" s="354">
        <v>0</v>
      </c>
      <c r="I2264" s="354">
        <v>1</v>
      </c>
      <c r="J2264" s="354">
        <v>2</v>
      </c>
      <c r="K2264" s="354">
        <v>0</v>
      </c>
      <c r="L2264" s="354">
        <v>0</v>
      </c>
      <c r="M2264" s="355">
        <v>7</v>
      </c>
      <c r="N2264" s="355">
        <v>7</v>
      </c>
    </row>
    <row r="2265" spans="1:14" hidden="1" x14ac:dyDescent="0.25">
      <c r="A2265" s="354">
        <v>0</v>
      </c>
      <c r="B2265" s="354">
        <v>1</v>
      </c>
      <c r="C2265" s="354">
        <v>1</v>
      </c>
      <c r="D2265" s="354">
        <v>0</v>
      </c>
      <c r="E2265" s="354">
        <v>0</v>
      </c>
      <c r="F2265" s="354">
        <v>1</v>
      </c>
      <c r="G2265" s="354">
        <v>0</v>
      </c>
      <c r="H2265" s="354">
        <v>0</v>
      </c>
      <c r="I2265" s="354">
        <v>1</v>
      </c>
      <c r="J2265" s="354">
        <v>1</v>
      </c>
      <c r="K2265" s="354">
        <v>0</v>
      </c>
      <c r="L2265" s="354">
        <v>0</v>
      </c>
      <c r="M2265" s="355">
        <v>2</v>
      </c>
      <c r="N2265" s="355">
        <v>3</v>
      </c>
    </row>
    <row r="2266" spans="1:14" hidden="1" x14ac:dyDescent="0.25">
      <c r="A2266" s="354">
        <v>1</v>
      </c>
      <c r="B2266" s="354">
        <v>0</v>
      </c>
      <c r="C2266" s="354">
        <v>0</v>
      </c>
      <c r="D2266" s="354">
        <v>1</v>
      </c>
      <c r="E2266" s="354">
        <v>0</v>
      </c>
      <c r="F2266" s="354">
        <v>0</v>
      </c>
      <c r="G2266" s="354">
        <v>0</v>
      </c>
      <c r="H2266" s="354">
        <v>0</v>
      </c>
      <c r="I2266" s="354">
        <v>1</v>
      </c>
      <c r="J2266" s="354">
        <v>1</v>
      </c>
      <c r="K2266" s="354">
        <v>0</v>
      </c>
      <c r="L2266" s="354">
        <v>0</v>
      </c>
      <c r="M2266" s="355">
        <v>2</v>
      </c>
      <c r="N2266" s="355">
        <v>2</v>
      </c>
    </row>
    <row r="2267" spans="1:14" hidden="1" x14ac:dyDescent="0.25">
      <c r="A2267" s="354">
        <v>0</v>
      </c>
      <c r="B2267" s="354">
        <v>0</v>
      </c>
      <c r="C2267" s="354">
        <v>0</v>
      </c>
      <c r="D2267" s="354">
        <v>0</v>
      </c>
      <c r="E2267" s="354">
        <v>0</v>
      </c>
      <c r="F2267" s="354">
        <v>1</v>
      </c>
      <c r="G2267" s="354">
        <v>0</v>
      </c>
      <c r="H2267" s="354">
        <v>0</v>
      </c>
      <c r="I2267" s="354">
        <v>0</v>
      </c>
      <c r="J2267" s="354">
        <v>1</v>
      </c>
      <c r="K2267" s="354">
        <v>0</v>
      </c>
      <c r="L2267" s="354">
        <v>0</v>
      </c>
      <c r="M2267" s="355">
        <v>0</v>
      </c>
      <c r="N2267" s="355">
        <v>2</v>
      </c>
    </row>
    <row r="2268" spans="1:14" hidden="1" x14ac:dyDescent="0.25">
      <c r="A2268" s="354">
        <v>2</v>
      </c>
      <c r="B2268" s="354">
        <v>0</v>
      </c>
      <c r="C2268" s="354">
        <v>0</v>
      </c>
      <c r="D2268" s="354">
        <v>0</v>
      </c>
      <c r="E2268" s="354">
        <v>1</v>
      </c>
      <c r="F2268" s="354">
        <v>0</v>
      </c>
      <c r="G2268" s="354">
        <v>0</v>
      </c>
      <c r="H2268" s="354">
        <v>0</v>
      </c>
      <c r="I2268" s="354">
        <v>1</v>
      </c>
      <c r="J2268" s="354">
        <v>5</v>
      </c>
      <c r="K2268" s="354">
        <v>0</v>
      </c>
      <c r="L2268" s="354">
        <v>0</v>
      </c>
      <c r="M2268" s="355">
        <v>4</v>
      </c>
      <c r="N2268" s="355">
        <v>5</v>
      </c>
    </row>
    <row r="2269" spans="1:14" hidden="1" x14ac:dyDescent="0.25">
      <c r="A2269" s="354">
        <v>1</v>
      </c>
      <c r="B2269" s="354">
        <v>1</v>
      </c>
      <c r="C2269" s="354">
        <v>0</v>
      </c>
      <c r="D2269" s="354">
        <v>0</v>
      </c>
      <c r="E2269" s="354">
        <v>2</v>
      </c>
      <c r="F2269" s="354">
        <v>0</v>
      </c>
      <c r="G2269" s="354">
        <v>0</v>
      </c>
      <c r="H2269" s="354">
        <v>2</v>
      </c>
      <c r="I2269" s="354">
        <v>1</v>
      </c>
      <c r="J2269" s="354">
        <v>1</v>
      </c>
      <c r="K2269" s="354">
        <v>0</v>
      </c>
      <c r="L2269" s="354">
        <v>0</v>
      </c>
      <c r="M2269" s="355">
        <v>4</v>
      </c>
      <c r="N2269" s="355">
        <v>4</v>
      </c>
    </row>
    <row r="2270" spans="1:14" hidden="1" x14ac:dyDescent="0.25">
      <c r="A2270" s="354">
        <v>0</v>
      </c>
      <c r="B2270" s="354">
        <v>0</v>
      </c>
      <c r="C2270" s="354">
        <v>0</v>
      </c>
      <c r="D2270" s="354">
        <v>0</v>
      </c>
      <c r="E2270" s="354">
        <v>1</v>
      </c>
      <c r="F2270" s="354">
        <v>0</v>
      </c>
      <c r="G2270" s="354">
        <v>0</v>
      </c>
      <c r="H2270" s="354">
        <v>1</v>
      </c>
      <c r="I2270" s="354">
        <v>0</v>
      </c>
      <c r="J2270" s="354">
        <v>0</v>
      </c>
      <c r="K2270" s="354">
        <v>0</v>
      </c>
      <c r="L2270" s="354">
        <v>0</v>
      </c>
      <c r="M2270" s="355">
        <v>1</v>
      </c>
      <c r="N2270" s="355">
        <v>1</v>
      </c>
    </row>
    <row r="2271" spans="1:14" hidden="1" x14ac:dyDescent="0.25">
      <c r="A2271" s="354">
        <v>0</v>
      </c>
      <c r="B2271" s="354">
        <v>0</v>
      </c>
      <c r="C2271" s="354">
        <v>0</v>
      </c>
      <c r="D2271" s="354">
        <v>0</v>
      </c>
      <c r="E2271" s="354">
        <v>0</v>
      </c>
      <c r="F2271" s="354">
        <v>1</v>
      </c>
      <c r="G2271" s="354">
        <v>2</v>
      </c>
      <c r="H2271" s="354">
        <v>0</v>
      </c>
      <c r="I2271" s="354">
        <v>2</v>
      </c>
      <c r="J2271" s="354">
        <v>2</v>
      </c>
      <c r="K2271" s="354">
        <v>0</v>
      </c>
      <c r="L2271" s="354">
        <v>0</v>
      </c>
      <c r="M2271" s="355">
        <v>4</v>
      </c>
      <c r="N2271" s="355">
        <v>3</v>
      </c>
    </row>
    <row r="2272" spans="1:14" hidden="1" x14ac:dyDescent="0.25">
      <c r="A2272" s="354">
        <v>1</v>
      </c>
      <c r="B2272" s="354">
        <v>0</v>
      </c>
      <c r="C2272" s="354">
        <v>0</v>
      </c>
      <c r="D2272" s="354">
        <v>1</v>
      </c>
      <c r="E2272" s="354">
        <v>3</v>
      </c>
      <c r="F2272" s="354">
        <v>1</v>
      </c>
      <c r="G2272" s="354">
        <v>1</v>
      </c>
      <c r="H2272" s="354">
        <v>1</v>
      </c>
      <c r="I2272" s="354">
        <v>1</v>
      </c>
      <c r="J2272" s="354">
        <v>1</v>
      </c>
      <c r="K2272" s="354">
        <v>0</v>
      </c>
      <c r="L2272" s="354">
        <v>0</v>
      </c>
      <c r="M2272" s="355">
        <v>6</v>
      </c>
      <c r="N2272" s="355">
        <v>4</v>
      </c>
    </row>
    <row r="2273" spans="1:14" hidden="1" x14ac:dyDescent="0.25">
      <c r="A2273" s="354">
        <v>0</v>
      </c>
      <c r="B2273" s="354">
        <v>2</v>
      </c>
      <c r="C2273" s="354">
        <v>1</v>
      </c>
      <c r="D2273" s="354">
        <v>2</v>
      </c>
      <c r="E2273" s="354">
        <v>3</v>
      </c>
      <c r="F2273" s="354">
        <v>1</v>
      </c>
      <c r="G2273" s="354">
        <v>1</v>
      </c>
      <c r="H2273" s="354">
        <v>0</v>
      </c>
      <c r="I2273" s="354">
        <v>1</v>
      </c>
      <c r="J2273" s="354">
        <v>2</v>
      </c>
      <c r="K2273" s="354">
        <v>0</v>
      </c>
      <c r="L2273" s="354">
        <v>0</v>
      </c>
      <c r="M2273" s="355">
        <v>6</v>
      </c>
      <c r="N2273" s="355">
        <v>7</v>
      </c>
    </row>
    <row r="2274" spans="1:14" hidden="1" x14ac:dyDescent="0.25">
      <c r="A2274" s="354">
        <v>0</v>
      </c>
      <c r="B2274" s="354">
        <v>0</v>
      </c>
      <c r="C2274" s="354">
        <v>1</v>
      </c>
      <c r="D2274" s="354">
        <v>0</v>
      </c>
      <c r="E2274" s="354">
        <v>0</v>
      </c>
      <c r="F2274" s="354">
        <v>1</v>
      </c>
      <c r="G2274" s="354">
        <v>2</v>
      </c>
      <c r="H2274" s="354">
        <v>0</v>
      </c>
      <c r="I2274" s="354">
        <v>1</v>
      </c>
      <c r="J2274" s="354">
        <v>0</v>
      </c>
      <c r="K2274" s="354">
        <v>0</v>
      </c>
      <c r="L2274" s="354">
        <v>0</v>
      </c>
      <c r="M2274" s="355">
        <v>4</v>
      </c>
      <c r="N2274" s="355">
        <v>1</v>
      </c>
    </row>
    <row r="2275" spans="1:14" hidden="1" x14ac:dyDescent="0.25">
      <c r="A2275" s="354">
        <v>1</v>
      </c>
      <c r="B2275" s="354">
        <v>2</v>
      </c>
      <c r="C2275" s="354">
        <v>2</v>
      </c>
      <c r="D2275" s="354">
        <v>1</v>
      </c>
      <c r="E2275" s="354">
        <v>2</v>
      </c>
      <c r="F2275" s="354">
        <v>0</v>
      </c>
      <c r="G2275" s="354">
        <v>1</v>
      </c>
      <c r="H2275" s="354">
        <v>1</v>
      </c>
      <c r="I2275" s="354">
        <v>1</v>
      </c>
      <c r="J2275" s="354">
        <v>2</v>
      </c>
      <c r="K2275" s="354">
        <v>0</v>
      </c>
      <c r="L2275" s="354">
        <v>0</v>
      </c>
      <c r="M2275" s="355">
        <v>7</v>
      </c>
      <c r="N2275" s="355">
        <v>6</v>
      </c>
    </row>
    <row r="2276" spans="1:14" hidden="1" x14ac:dyDescent="0.25">
      <c r="A2276" s="354">
        <v>0</v>
      </c>
      <c r="B2276" s="354">
        <v>0</v>
      </c>
      <c r="C2276" s="354">
        <v>0</v>
      </c>
      <c r="D2276" s="354">
        <v>0</v>
      </c>
      <c r="E2276" s="354">
        <v>0</v>
      </c>
      <c r="F2276" s="354">
        <v>0</v>
      </c>
      <c r="G2276" s="354">
        <v>0</v>
      </c>
      <c r="H2276" s="354">
        <v>0</v>
      </c>
      <c r="I2276" s="354">
        <v>0</v>
      </c>
      <c r="J2276" s="354">
        <v>1</v>
      </c>
      <c r="K2276" s="354">
        <v>0</v>
      </c>
      <c r="L2276" s="354">
        <v>0</v>
      </c>
      <c r="M2276" s="355">
        <v>0</v>
      </c>
      <c r="N2276" s="355">
        <v>1</v>
      </c>
    </row>
    <row r="2277" spans="1:14" hidden="1" x14ac:dyDescent="0.25">
      <c r="A2277" s="354">
        <v>1</v>
      </c>
      <c r="B2277" s="354">
        <v>0</v>
      </c>
      <c r="C2277" s="354">
        <v>2</v>
      </c>
      <c r="D2277" s="354">
        <v>1</v>
      </c>
      <c r="E2277" s="354">
        <v>0</v>
      </c>
      <c r="F2277" s="354">
        <v>0</v>
      </c>
      <c r="G2277" s="354">
        <v>0</v>
      </c>
      <c r="H2277" s="354">
        <v>0</v>
      </c>
      <c r="I2277" s="354">
        <v>1</v>
      </c>
      <c r="J2277" s="354">
        <v>1</v>
      </c>
      <c r="K2277" s="354">
        <v>0</v>
      </c>
      <c r="L2277" s="354">
        <v>0</v>
      </c>
      <c r="M2277" s="355">
        <v>4</v>
      </c>
      <c r="N2277" s="355">
        <v>2</v>
      </c>
    </row>
    <row r="2278" spans="1:14" hidden="1" x14ac:dyDescent="0.25">
      <c r="A2278" s="354">
        <v>0</v>
      </c>
      <c r="B2278" s="354">
        <v>0</v>
      </c>
      <c r="C2278" s="354">
        <v>0</v>
      </c>
      <c r="D2278" s="354">
        <v>0</v>
      </c>
      <c r="E2278" s="354">
        <v>2</v>
      </c>
      <c r="F2278" s="354">
        <v>2</v>
      </c>
      <c r="G2278" s="354">
        <v>1</v>
      </c>
      <c r="H2278" s="354">
        <v>3</v>
      </c>
      <c r="I2278" s="354">
        <v>3</v>
      </c>
      <c r="J2278" s="354">
        <v>2</v>
      </c>
      <c r="K2278" s="354">
        <v>0</v>
      </c>
      <c r="L2278" s="354">
        <v>1</v>
      </c>
      <c r="M2278" s="355">
        <v>6</v>
      </c>
      <c r="N2278" s="355">
        <v>8</v>
      </c>
    </row>
    <row r="2279" spans="1:14" hidden="1" x14ac:dyDescent="0.25">
      <c r="A2279" s="354">
        <v>0</v>
      </c>
      <c r="B2279" s="354">
        <v>0</v>
      </c>
      <c r="C2279" s="354">
        <v>1</v>
      </c>
      <c r="D2279" s="354">
        <v>0</v>
      </c>
      <c r="E2279" s="354">
        <v>0</v>
      </c>
      <c r="F2279" s="354">
        <v>2</v>
      </c>
      <c r="G2279" s="354">
        <v>0</v>
      </c>
      <c r="H2279" s="354">
        <v>0</v>
      </c>
      <c r="I2279" s="354">
        <v>1</v>
      </c>
      <c r="J2279" s="354">
        <v>0</v>
      </c>
      <c r="K2279" s="354">
        <v>0</v>
      </c>
      <c r="L2279" s="354">
        <v>0</v>
      </c>
      <c r="M2279" s="355">
        <v>2</v>
      </c>
      <c r="N2279" s="355">
        <v>2</v>
      </c>
    </row>
    <row r="2280" spans="1:14" hidden="1" x14ac:dyDescent="0.25">
      <c r="A2280" s="354">
        <v>0</v>
      </c>
      <c r="B2280" s="354">
        <v>0</v>
      </c>
      <c r="C2280" s="354">
        <v>1</v>
      </c>
      <c r="D2280" s="354">
        <v>1</v>
      </c>
      <c r="E2280" s="354">
        <v>0</v>
      </c>
      <c r="F2280" s="354">
        <v>2</v>
      </c>
      <c r="G2280" s="354">
        <v>1</v>
      </c>
      <c r="H2280" s="354">
        <v>0</v>
      </c>
      <c r="I2280" s="354">
        <v>0</v>
      </c>
      <c r="J2280" s="354">
        <v>1</v>
      </c>
      <c r="K2280" s="354">
        <v>0</v>
      </c>
      <c r="L2280" s="354">
        <v>0</v>
      </c>
      <c r="M2280" s="355">
        <v>2</v>
      </c>
      <c r="N2280" s="355">
        <v>4</v>
      </c>
    </row>
    <row r="2281" spans="1:14" hidden="1" x14ac:dyDescent="0.25">
      <c r="A2281" s="354">
        <v>0</v>
      </c>
      <c r="B2281" s="354">
        <v>1</v>
      </c>
      <c r="C2281" s="354">
        <v>2</v>
      </c>
      <c r="D2281" s="354">
        <v>1</v>
      </c>
      <c r="E2281" s="354">
        <v>2</v>
      </c>
      <c r="F2281" s="354">
        <v>2</v>
      </c>
      <c r="G2281" s="354">
        <v>2</v>
      </c>
      <c r="H2281" s="354">
        <v>0</v>
      </c>
      <c r="I2281" s="354">
        <v>1</v>
      </c>
      <c r="J2281" s="354">
        <v>3</v>
      </c>
      <c r="K2281" s="354">
        <v>0</v>
      </c>
      <c r="L2281" s="354">
        <v>0</v>
      </c>
      <c r="M2281" s="355">
        <v>7</v>
      </c>
      <c r="N2281" s="355">
        <v>7</v>
      </c>
    </row>
    <row r="2282" spans="1:14" hidden="1" x14ac:dyDescent="0.25">
      <c r="A2282" s="354">
        <v>1</v>
      </c>
      <c r="B2282" s="354">
        <v>1</v>
      </c>
      <c r="C2282" s="354">
        <v>0</v>
      </c>
      <c r="D2282" s="354">
        <v>2</v>
      </c>
      <c r="E2282" s="354">
        <v>0</v>
      </c>
      <c r="F2282" s="354">
        <v>0</v>
      </c>
      <c r="G2282" s="354">
        <v>0</v>
      </c>
      <c r="H2282" s="354">
        <v>0</v>
      </c>
      <c r="I2282" s="354">
        <v>1</v>
      </c>
      <c r="J2282" s="354">
        <v>1</v>
      </c>
      <c r="K2282" s="354">
        <v>0</v>
      </c>
      <c r="L2282" s="354">
        <v>0</v>
      </c>
      <c r="M2282" s="355">
        <v>2</v>
      </c>
      <c r="N2282" s="355">
        <v>4</v>
      </c>
    </row>
    <row r="2283" spans="1:14" hidden="1" x14ac:dyDescent="0.25">
      <c r="A2283" s="354">
        <v>1</v>
      </c>
      <c r="B2283" s="354">
        <v>0</v>
      </c>
      <c r="C2283" s="354">
        <v>1</v>
      </c>
      <c r="D2283" s="354">
        <v>1</v>
      </c>
      <c r="E2283" s="354">
        <v>0</v>
      </c>
      <c r="F2283" s="354">
        <v>0</v>
      </c>
      <c r="G2283" s="354">
        <v>0</v>
      </c>
      <c r="H2283" s="354">
        <v>0</v>
      </c>
      <c r="I2283" s="354">
        <v>1</v>
      </c>
      <c r="J2283" s="354">
        <v>1</v>
      </c>
      <c r="K2283" s="354">
        <v>0</v>
      </c>
      <c r="L2283" s="354">
        <v>0</v>
      </c>
      <c r="M2283" s="355">
        <v>3</v>
      </c>
      <c r="N2283" s="355">
        <v>2</v>
      </c>
    </row>
    <row r="2284" spans="1:14" hidden="1" x14ac:dyDescent="0.25">
      <c r="A2284" s="354">
        <v>0</v>
      </c>
      <c r="B2284" s="354">
        <v>1</v>
      </c>
      <c r="C2284" s="354">
        <v>0</v>
      </c>
      <c r="D2284" s="354">
        <v>2</v>
      </c>
      <c r="E2284" s="354">
        <v>2</v>
      </c>
      <c r="F2284" s="354">
        <v>0</v>
      </c>
      <c r="G2284" s="354">
        <v>0</v>
      </c>
      <c r="H2284" s="354">
        <v>0</v>
      </c>
      <c r="I2284" s="354">
        <v>1</v>
      </c>
      <c r="J2284" s="354">
        <v>1</v>
      </c>
      <c r="K2284" s="354">
        <v>0</v>
      </c>
      <c r="L2284" s="354">
        <v>0</v>
      </c>
      <c r="M2284" s="355">
        <v>3</v>
      </c>
      <c r="N2284" s="355">
        <v>4</v>
      </c>
    </row>
    <row r="2285" spans="1:14" hidden="1" x14ac:dyDescent="0.25">
      <c r="A2285" s="354">
        <v>1</v>
      </c>
      <c r="B2285" s="354">
        <v>0</v>
      </c>
      <c r="C2285" s="354">
        <v>1</v>
      </c>
      <c r="D2285" s="354">
        <v>1</v>
      </c>
      <c r="E2285" s="354">
        <v>0</v>
      </c>
      <c r="F2285" s="354">
        <v>0</v>
      </c>
      <c r="G2285" s="354">
        <v>1</v>
      </c>
      <c r="H2285" s="354">
        <v>2</v>
      </c>
      <c r="I2285" s="354">
        <v>1</v>
      </c>
      <c r="J2285" s="354">
        <v>1</v>
      </c>
      <c r="K2285" s="354">
        <v>0</v>
      </c>
      <c r="L2285" s="354">
        <v>0</v>
      </c>
      <c r="M2285" s="355">
        <v>4</v>
      </c>
      <c r="N2285" s="355">
        <v>4</v>
      </c>
    </row>
    <row r="2286" spans="1:14" hidden="1" x14ac:dyDescent="0.25">
      <c r="A2286" s="354">
        <v>0</v>
      </c>
      <c r="B2286" s="354">
        <v>0</v>
      </c>
      <c r="C2286" s="354">
        <v>2</v>
      </c>
      <c r="D2286" s="354">
        <v>0</v>
      </c>
      <c r="E2286" s="354">
        <v>0</v>
      </c>
      <c r="F2286" s="354">
        <v>0</v>
      </c>
      <c r="G2286" s="354">
        <v>0</v>
      </c>
      <c r="H2286" s="354">
        <v>0</v>
      </c>
      <c r="I2286" s="354">
        <v>1</v>
      </c>
      <c r="J2286" s="354">
        <v>1</v>
      </c>
      <c r="K2286" s="354">
        <v>0</v>
      </c>
      <c r="L2286" s="354">
        <v>0</v>
      </c>
      <c r="M2286" s="355">
        <v>3</v>
      </c>
      <c r="N2286" s="355">
        <v>1</v>
      </c>
    </row>
    <row r="2287" spans="1:14" hidden="1" x14ac:dyDescent="0.25">
      <c r="A2287" s="354">
        <v>0</v>
      </c>
      <c r="B2287" s="354">
        <v>1</v>
      </c>
      <c r="C2287" s="354">
        <v>0</v>
      </c>
      <c r="D2287" s="354">
        <v>1</v>
      </c>
      <c r="E2287" s="354">
        <v>0</v>
      </c>
      <c r="F2287" s="354">
        <v>0</v>
      </c>
      <c r="G2287" s="354">
        <v>0</v>
      </c>
      <c r="H2287" s="354">
        <v>0</v>
      </c>
      <c r="I2287" s="354">
        <v>0</v>
      </c>
      <c r="J2287" s="354">
        <v>1</v>
      </c>
      <c r="K2287" s="354">
        <v>0</v>
      </c>
      <c r="L2287" s="354">
        <v>0</v>
      </c>
      <c r="M2287" s="355">
        <v>0</v>
      </c>
      <c r="N2287" s="355">
        <v>3</v>
      </c>
    </row>
    <row r="2288" spans="1:14" hidden="1" x14ac:dyDescent="0.25">
      <c r="A2288" s="354">
        <v>0</v>
      </c>
      <c r="B2288" s="354">
        <v>0</v>
      </c>
      <c r="C2288" s="354">
        <v>0</v>
      </c>
      <c r="D2288" s="354">
        <v>0</v>
      </c>
      <c r="E2288" s="354">
        <v>0</v>
      </c>
      <c r="F2288" s="354">
        <v>0</v>
      </c>
      <c r="G2288" s="354">
        <v>0</v>
      </c>
      <c r="H2288" s="354">
        <v>0</v>
      </c>
      <c r="I2288" s="354">
        <v>0</v>
      </c>
      <c r="J2288" s="354">
        <v>0</v>
      </c>
      <c r="K2288" s="354">
        <v>0</v>
      </c>
      <c r="L2288" s="354">
        <v>1</v>
      </c>
      <c r="M2288" s="355">
        <v>0</v>
      </c>
      <c r="N2288" s="355">
        <v>1</v>
      </c>
    </row>
    <row r="2289" spans="1:14" hidden="1" x14ac:dyDescent="0.25">
      <c r="A2289" s="354">
        <v>0</v>
      </c>
      <c r="B2289" s="354">
        <v>1</v>
      </c>
      <c r="C2289" s="354">
        <v>0</v>
      </c>
      <c r="D2289" s="354">
        <v>1</v>
      </c>
      <c r="E2289" s="354">
        <v>2</v>
      </c>
      <c r="F2289" s="354">
        <v>0</v>
      </c>
      <c r="G2289" s="354">
        <v>0</v>
      </c>
      <c r="H2289" s="354">
        <v>0</v>
      </c>
      <c r="I2289" s="354">
        <v>0</v>
      </c>
      <c r="J2289" s="354">
        <v>1</v>
      </c>
      <c r="K2289" s="354">
        <v>0</v>
      </c>
      <c r="L2289" s="354">
        <v>0</v>
      </c>
      <c r="M2289" s="355">
        <v>2</v>
      </c>
      <c r="N2289" s="355">
        <v>3</v>
      </c>
    </row>
    <row r="2290" spans="1:14" hidden="1" x14ac:dyDescent="0.25">
      <c r="A2290" s="354">
        <v>0</v>
      </c>
      <c r="B2290" s="354">
        <v>0</v>
      </c>
      <c r="C2290" s="354">
        <v>0</v>
      </c>
      <c r="D2290" s="354">
        <v>1</v>
      </c>
      <c r="E2290" s="354">
        <v>0</v>
      </c>
      <c r="F2290" s="354">
        <v>0</v>
      </c>
      <c r="G2290" s="354">
        <v>0</v>
      </c>
      <c r="H2290" s="354">
        <v>0</v>
      </c>
      <c r="I2290" s="354">
        <v>1</v>
      </c>
      <c r="J2290" s="354">
        <v>1</v>
      </c>
      <c r="K2290" s="354">
        <v>0</v>
      </c>
      <c r="L2290" s="354">
        <v>0</v>
      </c>
      <c r="M2290" s="355">
        <v>1</v>
      </c>
      <c r="N2290" s="355">
        <v>2</v>
      </c>
    </row>
    <row r="2291" spans="1:14" hidden="1" x14ac:dyDescent="0.25">
      <c r="A2291" s="354">
        <v>0</v>
      </c>
      <c r="B2291" s="354">
        <v>0</v>
      </c>
      <c r="C2291" s="354">
        <v>0</v>
      </c>
      <c r="D2291" s="354">
        <v>0</v>
      </c>
      <c r="E2291" s="354">
        <v>0</v>
      </c>
      <c r="F2291" s="354">
        <v>0</v>
      </c>
      <c r="G2291" s="354">
        <v>0</v>
      </c>
      <c r="H2291" s="354">
        <v>0</v>
      </c>
      <c r="I2291" s="354">
        <v>1</v>
      </c>
      <c r="J2291" s="354">
        <v>1</v>
      </c>
      <c r="K2291" s="354">
        <v>0</v>
      </c>
      <c r="L2291" s="354">
        <v>0</v>
      </c>
      <c r="M2291" s="355">
        <v>1</v>
      </c>
      <c r="N2291" s="355">
        <v>1</v>
      </c>
    </row>
    <row r="2292" spans="1:14" hidden="1" x14ac:dyDescent="0.25">
      <c r="A2292" s="354">
        <v>1</v>
      </c>
      <c r="B2292" s="354">
        <v>0</v>
      </c>
      <c r="C2292" s="354">
        <v>0</v>
      </c>
      <c r="D2292" s="354">
        <v>1</v>
      </c>
      <c r="E2292" s="354">
        <v>0</v>
      </c>
      <c r="F2292" s="354">
        <v>0</v>
      </c>
      <c r="G2292" s="354">
        <v>0</v>
      </c>
      <c r="H2292" s="354">
        <v>0</v>
      </c>
      <c r="I2292" s="354">
        <v>1</v>
      </c>
      <c r="J2292" s="354">
        <v>1</v>
      </c>
      <c r="K2292" s="354">
        <v>0</v>
      </c>
      <c r="L2292" s="354">
        <v>0</v>
      </c>
      <c r="M2292" s="355">
        <v>2</v>
      </c>
      <c r="N2292" s="355">
        <v>2</v>
      </c>
    </row>
    <row r="2293" spans="1:14" hidden="1" x14ac:dyDescent="0.25">
      <c r="A2293" s="354">
        <v>0</v>
      </c>
      <c r="B2293" s="354">
        <v>0</v>
      </c>
      <c r="C2293" s="354">
        <v>0</v>
      </c>
      <c r="D2293" s="354">
        <v>0</v>
      </c>
      <c r="E2293" s="354">
        <v>0</v>
      </c>
      <c r="F2293" s="354">
        <v>0</v>
      </c>
      <c r="G2293" s="354">
        <v>0</v>
      </c>
      <c r="H2293" s="354">
        <v>0</v>
      </c>
      <c r="I2293" s="354">
        <v>1</v>
      </c>
      <c r="J2293" s="354">
        <v>0</v>
      </c>
      <c r="K2293" s="354">
        <v>0</v>
      </c>
      <c r="L2293" s="354">
        <v>0</v>
      </c>
      <c r="M2293" s="355">
        <v>1</v>
      </c>
      <c r="N2293" s="355">
        <v>0</v>
      </c>
    </row>
    <row r="2294" spans="1:14" hidden="1" x14ac:dyDescent="0.25">
      <c r="A2294" s="354">
        <v>1</v>
      </c>
      <c r="B2294" s="354">
        <v>0</v>
      </c>
      <c r="C2294" s="354">
        <v>1</v>
      </c>
      <c r="D2294" s="354">
        <v>1</v>
      </c>
      <c r="E2294" s="354">
        <v>1</v>
      </c>
      <c r="F2294" s="354">
        <v>0</v>
      </c>
      <c r="G2294" s="354">
        <v>0</v>
      </c>
      <c r="H2294" s="354">
        <v>0</v>
      </c>
      <c r="I2294" s="354">
        <v>1</v>
      </c>
      <c r="J2294" s="354">
        <v>1</v>
      </c>
      <c r="K2294" s="354">
        <v>0</v>
      </c>
      <c r="L2294" s="354">
        <v>0</v>
      </c>
      <c r="M2294" s="355">
        <v>4</v>
      </c>
      <c r="N2294" s="355">
        <v>2</v>
      </c>
    </row>
    <row r="2295" spans="1:14" hidden="1" x14ac:dyDescent="0.25">
      <c r="A2295" s="354">
        <v>1</v>
      </c>
      <c r="B2295" s="354">
        <v>0</v>
      </c>
      <c r="C2295" s="354">
        <v>2</v>
      </c>
      <c r="D2295" s="354">
        <v>1</v>
      </c>
      <c r="E2295" s="354">
        <v>0</v>
      </c>
      <c r="F2295" s="354">
        <v>1</v>
      </c>
      <c r="G2295" s="354">
        <v>0</v>
      </c>
      <c r="H2295" s="354">
        <v>0</v>
      </c>
      <c r="I2295" s="354">
        <v>1</v>
      </c>
      <c r="J2295" s="354">
        <v>1</v>
      </c>
      <c r="K2295" s="354">
        <v>0</v>
      </c>
      <c r="L2295" s="354">
        <v>0</v>
      </c>
      <c r="M2295" s="355">
        <v>4</v>
      </c>
      <c r="N2295" s="355">
        <v>3</v>
      </c>
    </row>
    <row r="2296" spans="1:14" hidden="1" x14ac:dyDescent="0.25">
      <c r="A2296" s="354">
        <v>1</v>
      </c>
      <c r="B2296" s="354">
        <v>1</v>
      </c>
      <c r="C2296" s="354">
        <v>0</v>
      </c>
      <c r="D2296" s="354">
        <v>2</v>
      </c>
      <c r="E2296" s="354">
        <v>0</v>
      </c>
      <c r="F2296" s="354">
        <v>0</v>
      </c>
      <c r="G2296" s="354">
        <v>0</v>
      </c>
      <c r="H2296" s="354">
        <v>0</v>
      </c>
      <c r="I2296" s="354">
        <v>1</v>
      </c>
      <c r="J2296" s="354">
        <v>1</v>
      </c>
      <c r="K2296" s="354">
        <v>0</v>
      </c>
      <c r="L2296" s="354">
        <v>0</v>
      </c>
      <c r="M2296" s="355">
        <v>2</v>
      </c>
      <c r="N2296" s="355">
        <v>4</v>
      </c>
    </row>
    <row r="2297" spans="1:14" hidden="1" x14ac:dyDescent="0.25">
      <c r="A2297" s="354">
        <v>0</v>
      </c>
      <c r="B2297" s="354">
        <v>0</v>
      </c>
      <c r="C2297" s="354">
        <v>0</v>
      </c>
      <c r="D2297" s="354">
        <v>0</v>
      </c>
      <c r="E2297" s="354">
        <v>0</v>
      </c>
      <c r="F2297" s="354">
        <v>0</v>
      </c>
      <c r="G2297" s="354">
        <v>0</v>
      </c>
      <c r="H2297" s="354">
        <v>0</v>
      </c>
      <c r="I2297" s="354">
        <v>1</v>
      </c>
      <c r="J2297" s="354">
        <v>1</v>
      </c>
      <c r="K2297" s="354">
        <v>0</v>
      </c>
      <c r="L2297" s="354">
        <v>0</v>
      </c>
      <c r="M2297" s="355">
        <v>1</v>
      </c>
      <c r="N2297" s="355">
        <v>1</v>
      </c>
    </row>
    <row r="2298" spans="1:14" hidden="1" x14ac:dyDescent="0.25">
      <c r="A2298" s="354">
        <v>1</v>
      </c>
      <c r="B2298" s="354">
        <v>1</v>
      </c>
      <c r="C2298" s="354">
        <v>1</v>
      </c>
      <c r="D2298" s="354">
        <v>0</v>
      </c>
      <c r="E2298" s="354">
        <v>1</v>
      </c>
      <c r="F2298" s="354">
        <v>1</v>
      </c>
      <c r="G2298" s="354">
        <v>0</v>
      </c>
      <c r="H2298" s="354">
        <v>0</v>
      </c>
      <c r="I2298" s="354">
        <v>1</v>
      </c>
      <c r="J2298" s="354">
        <v>1</v>
      </c>
      <c r="K2298" s="354">
        <v>0</v>
      </c>
      <c r="L2298" s="354">
        <v>0</v>
      </c>
      <c r="M2298" s="355">
        <v>4</v>
      </c>
      <c r="N2298" s="355">
        <v>3</v>
      </c>
    </row>
    <row r="2299" spans="1:14" hidden="1" x14ac:dyDescent="0.25">
      <c r="A2299" s="354">
        <v>0</v>
      </c>
      <c r="B2299" s="354">
        <v>1</v>
      </c>
      <c r="C2299" s="354">
        <v>0</v>
      </c>
      <c r="D2299" s="354">
        <v>0</v>
      </c>
      <c r="E2299" s="354">
        <v>0</v>
      </c>
      <c r="F2299" s="354">
        <v>0</v>
      </c>
      <c r="G2299" s="354">
        <v>0</v>
      </c>
      <c r="H2299" s="354">
        <v>0</v>
      </c>
      <c r="I2299" s="354">
        <v>1</v>
      </c>
      <c r="J2299" s="354">
        <v>2</v>
      </c>
      <c r="K2299" s="354">
        <v>0</v>
      </c>
      <c r="L2299" s="354">
        <v>0</v>
      </c>
      <c r="M2299" s="355">
        <v>1</v>
      </c>
      <c r="N2299" s="355">
        <v>3</v>
      </c>
    </row>
    <row r="2300" spans="1:14" hidden="1" x14ac:dyDescent="0.25">
      <c r="A2300" s="354">
        <v>0</v>
      </c>
      <c r="B2300" s="354">
        <v>1</v>
      </c>
      <c r="C2300" s="354">
        <v>0</v>
      </c>
      <c r="D2300" s="354">
        <v>0</v>
      </c>
      <c r="E2300" s="354">
        <v>0</v>
      </c>
      <c r="F2300" s="354">
        <v>0</v>
      </c>
      <c r="G2300" s="354">
        <v>0</v>
      </c>
      <c r="H2300" s="354">
        <v>0</v>
      </c>
      <c r="I2300" s="354">
        <v>1</v>
      </c>
      <c r="J2300" s="354">
        <v>1</v>
      </c>
      <c r="K2300" s="354">
        <v>0</v>
      </c>
      <c r="L2300" s="354">
        <v>0</v>
      </c>
      <c r="M2300" s="355">
        <v>1</v>
      </c>
      <c r="N2300" s="355">
        <v>2</v>
      </c>
    </row>
    <row r="2301" spans="1:14" hidden="1" x14ac:dyDescent="0.25">
      <c r="A2301" s="354">
        <v>0</v>
      </c>
      <c r="B2301" s="354">
        <v>0</v>
      </c>
      <c r="C2301" s="354">
        <v>0</v>
      </c>
      <c r="D2301" s="354">
        <v>0</v>
      </c>
      <c r="E2301" s="354">
        <v>0</v>
      </c>
      <c r="F2301" s="354">
        <v>0</v>
      </c>
      <c r="G2301" s="354">
        <v>0</v>
      </c>
      <c r="H2301" s="354">
        <v>0</v>
      </c>
      <c r="I2301" s="354">
        <v>1</v>
      </c>
      <c r="J2301" s="354">
        <v>0</v>
      </c>
      <c r="K2301" s="354">
        <v>0</v>
      </c>
      <c r="L2301" s="354">
        <v>0</v>
      </c>
      <c r="M2301" s="355">
        <v>1</v>
      </c>
      <c r="N2301" s="355">
        <v>0</v>
      </c>
    </row>
    <row r="2302" spans="1:14" hidden="1" x14ac:dyDescent="0.25">
      <c r="A2302" s="354">
        <v>0</v>
      </c>
      <c r="B2302" s="354">
        <v>2</v>
      </c>
      <c r="C2302" s="354">
        <v>0</v>
      </c>
      <c r="D2302" s="354">
        <v>1</v>
      </c>
      <c r="E2302" s="354">
        <v>1</v>
      </c>
      <c r="F2302" s="354">
        <v>1</v>
      </c>
      <c r="G2302" s="354">
        <v>0</v>
      </c>
      <c r="H2302" s="354">
        <v>0</v>
      </c>
      <c r="I2302" s="354">
        <v>1</v>
      </c>
      <c r="J2302" s="354">
        <v>1</v>
      </c>
      <c r="K2302" s="354">
        <v>0</v>
      </c>
      <c r="L2302" s="354">
        <v>0</v>
      </c>
      <c r="M2302" s="355">
        <v>2</v>
      </c>
      <c r="N2302" s="355">
        <v>5</v>
      </c>
    </row>
    <row r="2303" spans="1:14" hidden="1" x14ac:dyDescent="0.25">
      <c r="A2303" s="354">
        <v>1</v>
      </c>
      <c r="B2303" s="354">
        <v>0</v>
      </c>
      <c r="C2303" s="354">
        <v>1</v>
      </c>
      <c r="D2303" s="354">
        <v>1</v>
      </c>
      <c r="E2303" s="354">
        <v>1</v>
      </c>
      <c r="F2303" s="354">
        <v>1</v>
      </c>
      <c r="G2303" s="354">
        <v>0</v>
      </c>
      <c r="H2303" s="354">
        <v>0</v>
      </c>
      <c r="I2303" s="354">
        <v>1</v>
      </c>
      <c r="J2303" s="354">
        <v>4</v>
      </c>
      <c r="K2303" s="354">
        <v>0</v>
      </c>
      <c r="L2303" s="354">
        <v>1</v>
      </c>
      <c r="M2303" s="355">
        <v>4</v>
      </c>
      <c r="N2303" s="355">
        <v>7</v>
      </c>
    </row>
    <row r="2304" spans="1:14" hidden="1" x14ac:dyDescent="0.25">
      <c r="A2304" s="354">
        <v>0</v>
      </c>
      <c r="B2304" s="354">
        <v>0</v>
      </c>
      <c r="C2304" s="354">
        <v>0</v>
      </c>
      <c r="D2304" s="354">
        <v>1</v>
      </c>
      <c r="E2304" s="354">
        <v>0</v>
      </c>
      <c r="F2304" s="354">
        <v>2</v>
      </c>
      <c r="G2304" s="354">
        <v>0</v>
      </c>
      <c r="H2304" s="354">
        <v>0</v>
      </c>
      <c r="I2304" s="354">
        <v>1</v>
      </c>
      <c r="J2304" s="354">
        <v>1</v>
      </c>
      <c r="K2304" s="354">
        <v>0</v>
      </c>
      <c r="L2304" s="354">
        <v>0</v>
      </c>
      <c r="M2304" s="355">
        <v>1</v>
      </c>
      <c r="N2304" s="355">
        <v>4</v>
      </c>
    </row>
    <row r="2305" spans="1:14" hidden="1" x14ac:dyDescent="0.25">
      <c r="A2305" s="354">
        <v>0</v>
      </c>
      <c r="B2305" s="354">
        <v>0</v>
      </c>
      <c r="C2305" s="354">
        <v>0</v>
      </c>
      <c r="D2305" s="354">
        <v>0</v>
      </c>
      <c r="E2305" s="354">
        <v>0</v>
      </c>
      <c r="F2305" s="354">
        <v>0</v>
      </c>
      <c r="G2305" s="354">
        <v>1</v>
      </c>
      <c r="H2305" s="354">
        <v>0</v>
      </c>
      <c r="I2305" s="354">
        <v>1</v>
      </c>
      <c r="J2305" s="354">
        <v>2</v>
      </c>
      <c r="K2305" s="354">
        <v>0</v>
      </c>
      <c r="L2305" s="354">
        <v>0</v>
      </c>
      <c r="M2305" s="355">
        <v>2</v>
      </c>
      <c r="N2305" s="355">
        <v>2</v>
      </c>
    </row>
    <row r="2306" spans="1:14" hidden="1" x14ac:dyDescent="0.25">
      <c r="A2306" s="354">
        <v>0</v>
      </c>
      <c r="B2306" s="354">
        <v>0</v>
      </c>
      <c r="C2306" s="354">
        <v>0</v>
      </c>
      <c r="D2306" s="354">
        <v>0</v>
      </c>
      <c r="E2306" s="354">
        <v>0</v>
      </c>
      <c r="F2306" s="354">
        <v>0</v>
      </c>
      <c r="G2306" s="354">
        <v>0</v>
      </c>
      <c r="H2306" s="354">
        <v>0</v>
      </c>
      <c r="I2306" s="354">
        <v>1</v>
      </c>
      <c r="J2306" s="354">
        <v>0</v>
      </c>
      <c r="K2306" s="354">
        <v>0</v>
      </c>
      <c r="L2306" s="354">
        <v>0</v>
      </c>
      <c r="M2306" s="355">
        <v>1</v>
      </c>
      <c r="N2306" s="355">
        <v>0</v>
      </c>
    </row>
    <row r="2307" spans="1:14" hidden="1" x14ac:dyDescent="0.25">
      <c r="A2307" s="354">
        <v>0</v>
      </c>
      <c r="B2307" s="354">
        <v>1</v>
      </c>
      <c r="C2307" s="354">
        <v>1</v>
      </c>
      <c r="D2307" s="354">
        <v>0</v>
      </c>
      <c r="E2307" s="354">
        <v>0</v>
      </c>
      <c r="F2307" s="354">
        <v>0</v>
      </c>
      <c r="G2307" s="354">
        <v>0</v>
      </c>
      <c r="H2307" s="354">
        <v>0</v>
      </c>
      <c r="I2307" s="354">
        <v>1</v>
      </c>
      <c r="J2307" s="354">
        <v>1</v>
      </c>
      <c r="K2307" s="354">
        <v>0</v>
      </c>
      <c r="L2307" s="354">
        <v>0</v>
      </c>
      <c r="M2307" s="355">
        <v>2</v>
      </c>
      <c r="N2307" s="355">
        <v>2</v>
      </c>
    </row>
    <row r="2308" spans="1:14" hidden="1" x14ac:dyDescent="0.25">
      <c r="A2308" s="354">
        <v>0</v>
      </c>
      <c r="B2308" s="354">
        <v>0</v>
      </c>
      <c r="C2308" s="354">
        <v>0</v>
      </c>
      <c r="D2308" s="354">
        <v>0</v>
      </c>
      <c r="E2308" s="354">
        <v>0</v>
      </c>
      <c r="F2308" s="354">
        <v>1</v>
      </c>
      <c r="G2308" s="354">
        <v>0</v>
      </c>
      <c r="H2308" s="354">
        <v>0</v>
      </c>
      <c r="I2308" s="354">
        <v>1</v>
      </c>
      <c r="J2308" s="354">
        <v>1</v>
      </c>
      <c r="K2308" s="354">
        <v>0</v>
      </c>
      <c r="L2308" s="354">
        <v>0</v>
      </c>
      <c r="M2308" s="355">
        <v>1</v>
      </c>
      <c r="N2308" s="355">
        <v>2</v>
      </c>
    </row>
    <row r="2309" spans="1:14" hidden="1" x14ac:dyDescent="0.25">
      <c r="A2309" s="354">
        <v>0</v>
      </c>
      <c r="B2309" s="354">
        <v>0</v>
      </c>
      <c r="C2309" s="354">
        <v>0</v>
      </c>
      <c r="D2309" s="354">
        <v>1</v>
      </c>
      <c r="E2309" s="354">
        <v>2</v>
      </c>
      <c r="F2309" s="354">
        <v>0</v>
      </c>
      <c r="G2309" s="354">
        <v>0</v>
      </c>
      <c r="H2309" s="354">
        <v>0</v>
      </c>
      <c r="I2309" s="354">
        <v>1</v>
      </c>
      <c r="J2309" s="354">
        <v>1</v>
      </c>
      <c r="K2309" s="354">
        <v>0</v>
      </c>
      <c r="L2309" s="354">
        <v>0</v>
      </c>
      <c r="M2309" s="355">
        <v>3</v>
      </c>
      <c r="N2309" s="355">
        <v>2</v>
      </c>
    </row>
    <row r="2310" spans="1:14" hidden="1" x14ac:dyDescent="0.25">
      <c r="A2310" s="354">
        <v>1</v>
      </c>
      <c r="B2310" s="354">
        <v>1</v>
      </c>
      <c r="C2310" s="354">
        <v>1</v>
      </c>
      <c r="D2310" s="354">
        <v>0</v>
      </c>
      <c r="E2310" s="354">
        <v>0</v>
      </c>
      <c r="F2310" s="354">
        <v>0</v>
      </c>
      <c r="G2310" s="354">
        <v>0</v>
      </c>
      <c r="H2310" s="354">
        <v>0</v>
      </c>
      <c r="I2310" s="354">
        <v>1</v>
      </c>
      <c r="J2310" s="354">
        <v>2</v>
      </c>
      <c r="K2310" s="354">
        <v>0</v>
      </c>
      <c r="L2310" s="354">
        <v>0</v>
      </c>
      <c r="M2310" s="355">
        <v>3</v>
      </c>
      <c r="N2310" s="355">
        <v>3</v>
      </c>
    </row>
    <row r="2311" spans="1:14" hidden="1" x14ac:dyDescent="0.25">
      <c r="A2311" s="354">
        <v>0</v>
      </c>
      <c r="B2311" s="354">
        <v>0</v>
      </c>
      <c r="C2311" s="354">
        <v>0</v>
      </c>
      <c r="D2311" s="354">
        <v>0</v>
      </c>
      <c r="E2311" s="354">
        <v>0</v>
      </c>
      <c r="F2311" s="354">
        <v>0</v>
      </c>
      <c r="G2311" s="354">
        <v>0</v>
      </c>
      <c r="H2311" s="354">
        <v>0</v>
      </c>
      <c r="I2311" s="354">
        <v>2</v>
      </c>
      <c r="J2311" s="354">
        <v>0</v>
      </c>
      <c r="K2311" s="354">
        <v>0</v>
      </c>
      <c r="L2311" s="354">
        <v>0</v>
      </c>
      <c r="M2311" s="355">
        <v>2</v>
      </c>
      <c r="N2311" s="355">
        <v>0</v>
      </c>
    </row>
    <row r="2312" spans="1:14" hidden="1" x14ac:dyDescent="0.25">
      <c r="A2312" s="354">
        <v>0</v>
      </c>
      <c r="B2312" s="354">
        <v>0</v>
      </c>
      <c r="C2312" s="354">
        <v>2</v>
      </c>
      <c r="D2312" s="354">
        <v>1</v>
      </c>
      <c r="E2312" s="354">
        <v>2</v>
      </c>
      <c r="F2312" s="354">
        <v>3</v>
      </c>
      <c r="G2312" s="354">
        <v>1</v>
      </c>
      <c r="H2312" s="354">
        <v>1</v>
      </c>
      <c r="I2312" s="354">
        <v>0</v>
      </c>
      <c r="J2312" s="354">
        <v>1</v>
      </c>
      <c r="K2312" s="354">
        <v>0</v>
      </c>
      <c r="L2312" s="354">
        <v>0</v>
      </c>
      <c r="M2312" s="355">
        <v>5</v>
      </c>
      <c r="N2312" s="355">
        <v>6</v>
      </c>
    </row>
    <row r="2313" spans="1:14" hidden="1" x14ac:dyDescent="0.25">
      <c r="A2313" s="354">
        <v>0</v>
      </c>
      <c r="B2313" s="354">
        <v>0</v>
      </c>
      <c r="C2313" s="354">
        <v>1</v>
      </c>
      <c r="D2313" s="354">
        <v>0</v>
      </c>
      <c r="E2313" s="354">
        <v>3</v>
      </c>
      <c r="F2313" s="354">
        <v>2</v>
      </c>
      <c r="G2313" s="354">
        <v>3</v>
      </c>
      <c r="H2313" s="354">
        <v>2</v>
      </c>
      <c r="I2313" s="354">
        <v>0</v>
      </c>
      <c r="J2313" s="354">
        <v>1</v>
      </c>
      <c r="K2313" s="354">
        <v>0</v>
      </c>
      <c r="L2313" s="354">
        <v>0</v>
      </c>
      <c r="M2313" s="355">
        <v>7</v>
      </c>
      <c r="N2313" s="355">
        <v>5</v>
      </c>
    </row>
    <row r="2314" spans="1:14" hidden="1" x14ac:dyDescent="0.25">
      <c r="A2314" s="354">
        <v>0</v>
      </c>
      <c r="B2314" s="354">
        <v>1</v>
      </c>
      <c r="C2314" s="354">
        <v>1</v>
      </c>
      <c r="D2314" s="354">
        <v>0</v>
      </c>
      <c r="E2314" s="354">
        <v>1</v>
      </c>
      <c r="F2314" s="354">
        <v>2</v>
      </c>
      <c r="G2314" s="354">
        <v>1</v>
      </c>
      <c r="H2314" s="354">
        <v>0</v>
      </c>
      <c r="I2314" s="354">
        <v>1</v>
      </c>
      <c r="J2314" s="354">
        <v>1</v>
      </c>
      <c r="K2314" s="354">
        <v>0</v>
      </c>
      <c r="L2314" s="354">
        <v>0</v>
      </c>
      <c r="M2314" s="355">
        <v>4</v>
      </c>
      <c r="N2314" s="355">
        <v>4</v>
      </c>
    </row>
    <row r="2315" spans="1:14" hidden="1" x14ac:dyDescent="0.25">
      <c r="A2315" s="354">
        <v>0</v>
      </c>
      <c r="B2315" s="354">
        <v>0</v>
      </c>
      <c r="C2315" s="354">
        <v>1</v>
      </c>
      <c r="D2315" s="354">
        <v>0</v>
      </c>
      <c r="E2315" s="354">
        <v>1</v>
      </c>
      <c r="F2315" s="354">
        <v>1</v>
      </c>
      <c r="G2315" s="354">
        <v>1</v>
      </c>
      <c r="H2315" s="354">
        <v>1</v>
      </c>
      <c r="I2315" s="354">
        <v>0</v>
      </c>
      <c r="J2315" s="354">
        <v>1</v>
      </c>
      <c r="K2315" s="354">
        <v>0</v>
      </c>
      <c r="L2315" s="354">
        <v>0</v>
      </c>
      <c r="M2315" s="355">
        <v>3</v>
      </c>
      <c r="N2315" s="355">
        <v>3</v>
      </c>
    </row>
    <row r="2316" spans="1:14" hidden="1" x14ac:dyDescent="0.25">
      <c r="A2316" s="354">
        <v>1</v>
      </c>
      <c r="B2316" s="354">
        <v>0</v>
      </c>
      <c r="C2316" s="354">
        <v>1</v>
      </c>
      <c r="D2316" s="354">
        <v>2</v>
      </c>
      <c r="E2316" s="354">
        <v>0</v>
      </c>
      <c r="F2316" s="354">
        <v>2</v>
      </c>
      <c r="G2316" s="354">
        <v>1</v>
      </c>
      <c r="H2316" s="354">
        <v>1</v>
      </c>
      <c r="I2316" s="354">
        <v>1</v>
      </c>
      <c r="J2316" s="354">
        <v>1</v>
      </c>
      <c r="K2316" s="354">
        <v>0</v>
      </c>
      <c r="L2316" s="354">
        <v>0</v>
      </c>
      <c r="M2316" s="355">
        <v>4</v>
      </c>
      <c r="N2316" s="355">
        <v>6</v>
      </c>
    </row>
    <row r="2317" spans="1:14" hidden="1" x14ac:dyDescent="0.25">
      <c r="A2317" s="354">
        <v>1</v>
      </c>
      <c r="B2317" s="354">
        <v>0</v>
      </c>
      <c r="C2317" s="354">
        <v>1</v>
      </c>
      <c r="D2317" s="354">
        <v>0</v>
      </c>
      <c r="E2317" s="354">
        <v>2</v>
      </c>
      <c r="F2317" s="354">
        <v>2</v>
      </c>
      <c r="G2317" s="354">
        <v>2</v>
      </c>
      <c r="H2317" s="354">
        <v>2</v>
      </c>
      <c r="I2317" s="354">
        <v>2</v>
      </c>
      <c r="J2317" s="354">
        <v>2</v>
      </c>
      <c r="K2317" s="354">
        <v>0</v>
      </c>
      <c r="L2317" s="354">
        <v>0</v>
      </c>
      <c r="M2317" s="355">
        <v>8</v>
      </c>
      <c r="N2317" s="355">
        <v>6</v>
      </c>
    </row>
    <row r="2318" spans="1:14" hidden="1" x14ac:dyDescent="0.25">
      <c r="A2318" s="354">
        <v>0</v>
      </c>
      <c r="B2318" s="354">
        <v>0</v>
      </c>
      <c r="C2318" s="354">
        <v>0</v>
      </c>
      <c r="D2318" s="354">
        <v>0</v>
      </c>
      <c r="E2318" s="354">
        <v>1</v>
      </c>
      <c r="F2318" s="354">
        <v>0</v>
      </c>
      <c r="G2318" s="354">
        <v>1</v>
      </c>
      <c r="H2318" s="354">
        <v>0</v>
      </c>
      <c r="I2318" s="354">
        <v>2</v>
      </c>
      <c r="J2318" s="354">
        <v>2</v>
      </c>
      <c r="K2318" s="354">
        <v>0</v>
      </c>
      <c r="L2318" s="354">
        <v>0</v>
      </c>
      <c r="M2318" s="355">
        <v>4</v>
      </c>
      <c r="N2318" s="355">
        <v>2</v>
      </c>
    </row>
    <row r="2319" spans="1:14" hidden="1" x14ac:dyDescent="0.25">
      <c r="A2319" s="354">
        <v>1</v>
      </c>
      <c r="B2319" s="354">
        <v>0</v>
      </c>
      <c r="C2319" s="354">
        <v>2</v>
      </c>
      <c r="D2319" s="354">
        <v>3</v>
      </c>
      <c r="E2319" s="354">
        <v>1</v>
      </c>
      <c r="F2319" s="354">
        <v>0</v>
      </c>
      <c r="G2319" s="354">
        <v>0</v>
      </c>
      <c r="H2319" s="354">
        <v>0</v>
      </c>
      <c r="I2319" s="354">
        <v>1</v>
      </c>
      <c r="J2319" s="354">
        <v>1</v>
      </c>
      <c r="K2319" s="354">
        <v>0</v>
      </c>
      <c r="L2319" s="354">
        <v>0</v>
      </c>
      <c r="M2319" s="355">
        <v>5</v>
      </c>
      <c r="N2319" s="355">
        <v>4</v>
      </c>
    </row>
    <row r="2320" spans="1:14" hidden="1" x14ac:dyDescent="0.25">
      <c r="A2320" s="354">
        <v>0</v>
      </c>
      <c r="B2320" s="354">
        <v>1</v>
      </c>
      <c r="C2320" s="354">
        <v>2</v>
      </c>
      <c r="D2320" s="354">
        <v>1</v>
      </c>
      <c r="E2320" s="354">
        <v>1</v>
      </c>
      <c r="F2320" s="354">
        <v>1</v>
      </c>
      <c r="G2320" s="354">
        <v>1</v>
      </c>
      <c r="H2320" s="354">
        <v>0</v>
      </c>
      <c r="I2320" s="354">
        <v>1</v>
      </c>
      <c r="J2320" s="354">
        <v>1</v>
      </c>
      <c r="K2320" s="354">
        <v>0</v>
      </c>
      <c r="L2320" s="354">
        <v>0</v>
      </c>
      <c r="M2320" s="355">
        <v>5</v>
      </c>
      <c r="N2320" s="355">
        <v>4</v>
      </c>
    </row>
    <row r="2321" spans="1:14" hidden="1" x14ac:dyDescent="0.25">
      <c r="A2321" s="354">
        <v>0</v>
      </c>
      <c r="B2321" s="354">
        <v>0</v>
      </c>
      <c r="C2321" s="354">
        <v>2</v>
      </c>
      <c r="D2321" s="354">
        <v>4</v>
      </c>
      <c r="E2321" s="354">
        <v>2</v>
      </c>
      <c r="F2321" s="354">
        <v>2</v>
      </c>
      <c r="G2321" s="354">
        <v>2</v>
      </c>
      <c r="H2321" s="354">
        <v>1</v>
      </c>
      <c r="I2321" s="354">
        <v>2</v>
      </c>
      <c r="J2321" s="354">
        <v>3</v>
      </c>
      <c r="K2321" s="354">
        <v>0</v>
      </c>
      <c r="L2321" s="354">
        <v>0</v>
      </c>
      <c r="M2321" s="355">
        <v>8</v>
      </c>
      <c r="N2321" s="355">
        <v>10</v>
      </c>
    </row>
    <row r="2322" spans="1:14" hidden="1" x14ac:dyDescent="0.25">
      <c r="A2322" s="354">
        <v>1</v>
      </c>
      <c r="B2322" s="354">
        <v>0</v>
      </c>
      <c r="C2322" s="354">
        <v>0</v>
      </c>
      <c r="D2322" s="354">
        <v>2</v>
      </c>
      <c r="E2322" s="354">
        <v>2</v>
      </c>
      <c r="F2322" s="354">
        <v>2</v>
      </c>
      <c r="G2322" s="354">
        <v>1</v>
      </c>
      <c r="H2322" s="354">
        <v>1</v>
      </c>
      <c r="I2322" s="354">
        <v>1</v>
      </c>
      <c r="J2322" s="354">
        <v>1</v>
      </c>
      <c r="K2322" s="354">
        <v>0</v>
      </c>
      <c r="L2322" s="354">
        <v>0</v>
      </c>
      <c r="M2322" s="355">
        <v>5</v>
      </c>
      <c r="N2322" s="355">
        <v>6</v>
      </c>
    </row>
    <row r="2323" spans="1:14" hidden="1" x14ac:dyDescent="0.25">
      <c r="A2323" s="354">
        <v>0</v>
      </c>
      <c r="B2323" s="354">
        <v>0</v>
      </c>
      <c r="C2323" s="354">
        <v>0</v>
      </c>
      <c r="D2323" s="354">
        <v>1</v>
      </c>
      <c r="E2323" s="354">
        <v>1</v>
      </c>
      <c r="F2323" s="354">
        <v>1</v>
      </c>
      <c r="G2323" s="354">
        <v>1</v>
      </c>
      <c r="H2323" s="354">
        <v>2</v>
      </c>
      <c r="I2323" s="354">
        <v>0</v>
      </c>
      <c r="J2323" s="354">
        <v>3</v>
      </c>
      <c r="K2323" s="354">
        <v>1</v>
      </c>
      <c r="L2323" s="354">
        <v>0</v>
      </c>
      <c r="M2323" s="355">
        <v>3</v>
      </c>
      <c r="N2323" s="355">
        <v>7</v>
      </c>
    </row>
    <row r="2324" spans="1:14" hidden="1" x14ac:dyDescent="0.25">
      <c r="A2324" s="354">
        <v>0</v>
      </c>
      <c r="B2324" s="354">
        <v>0</v>
      </c>
      <c r="C2324" s="354">
        <v>1</v>
      </c>
      <c r="D2324" s="354">
        <v>1</v>
      </c>
      <c r="E2324" s="354">
        <v>1</v>
      </c>
      <c r="F2324" s="354">
        <v>1</v>
      </c>
      <c r="G2324" s="354">
        <v>2</v>
      </c>
      <c r="H2324" s="354">
        <v>1</v>
      </c>
      <c r="I2324" s="354">
        <v>1</v>
      </c>
      <c r="J2324" s="354">
        <v>1</v>
      </c>
      <c r="K2324" s="354">
        <v>0</v>
      </c>
      <c r="L2324" s="354">
        <v>0</v>
      </c>
      <c r="M2324" s="355">
        <v>5</v>
      </c>
      <c r="N2324" s="355">
        <v>4</v>
      </c>
    </row>
    <row r="2325" spans="1:14" hidden="1" x14ac:dyDescent="0.25">
      <c r="A2325" s="354">
        <v>1</v>
      </c>
      <c r="B2325" s="354">
        <v>0</v>
      </c>
      <c r="C2325" s="354">
        <v>0</v>
      </c>
      <c r="D2325" s="354">
        <v>1</v>
      </c>
      <c r="E2325" s="354">
        <v>1</v>
      </c>
      <c r="F2325" s="354">
        <v>0</v>
      </c>
      <c r="G2325" s="354">
        <v>0</v>
      </c>
      <c r="H2325" s="354">
        <v>0</v>
      </c>
      <c r="I2325" s="354">
        <v>1</v>
      </c>
      <c r="J2325" s="354">
        <v>1</v>
      </c>
      <c r="K2325" s="354">
        <v>0</v>
      </c>
      <c r="L2325" s="354">
        <v>0</v>
      </c>
      <c r="M2325" s="355">
        <v>3</v>
      </c>
      <c r="N2325" s="355">
        <v>2</v>
      </c>
    </row>
    <row r="2326" spans="1:14" hidden="1" x14ac:dyDescent="0.25">
      <c r="A2326" s="354">
        <v>1</v>
      </c>
      <c r="B2326" s="354">
        <v>0</v>
      </c>
      <c r="C2326" s="354">
        <v>1</v>
      </c>
      <c r="D2326" s="354">
        <v>1</v>
      </c>
      <c r="E2326" s="354">
        <v>0</v>
      </c>
      <c r="F2326" s="354">
        <v>0</v>
      </c>
      <c r="G2326" s="354">
        <v>0</v>
      </c>
      <c r="H2326" s="354">
        <v>0</v>
      </c>
      <c r="I2326" s="354">
        <v>1</v>
      </c>
      <c r="J2326" s="354">
        <v>1</v>
      </c>
      <c r="K2326" s="354">
        <v>0</v>
      </c>
      <c r="L2326" s="354">
        <v>0</v>
      </c>
      <c r="M2326" s="355">
        <v>3</v>
      </c>
      <c r="N2326" s="355">
        <v>2</v>
      </c>
    </row>
    <row r="2327" spans="1:14" hidden="1" x14ac:dyDescent="0.25">
      <c r="A2327" s="354">
        <v>0</v>
      </c>
      <c r="B2327" s="354">
        <v>0</v>
      </c>
      <c r="C2327" s="354">
        <v>0</v>
      </c>
      <c r="D2327" s="354">
        <v>0</v>
      </c>
      <c r="E2327" s="354">
        <v>0</v>
      </c>
      <c r="F2327" s="354">
        <v>0</v>
      </c>
      <c r="G2327" s="354">
        <v>0</v>
      </c>
      <c r="H2327" s="354">
        <v>1</v>
      </c>
      <c r="I2327" s="354">
        <v>3</v>
      </c>
      <c r="J2327" s="354">
        <v>2</v>
      </c>
      <c r="K2327" s="354">
        <v>0</v>
      </c>
      <c r="L2327" s="354">
        <v>1</v>
      </c>
      <c r="M2327" s="355">
        <v>3</v>
      </c>
      <c r="N2327" s="355">
        <v>4</v>
      </c>
    </row>
    <row r="2328" spans="1:14" hidden="1" x14ac:dyDescent="0.25">
      <c r="A2328" s="354">
        <v>1</v>
      </c>
      <c r="B2328" s="354">
        <v>0</v>
      </c>
      <c r="C2328" s="354">
        <v>1</v>
      </c>
      <c r="D2328" s="354">
        <v>1</v>
      </c>
      <c r="E2328" s="354">
        <v>0</v>
      </c>
      <c r="F2328" s="354">
        <v>0</v>
      </c>
      <c r="G2328" s="354">
        <v>0</v>
      </c>
      <c r="H2328" s="354">
        <v>0</v>
      </c>
      <c r="I2328" s="354">
        <v>1</v>
      </c>
      <c r="J2328" s="354">
        <v>1</v>
      </c>
      <c r="K2328" s="354">
        <v>0</v>
      </c>
      <c r="L2328" s="354">
        <v>0</v>
      </c>
      <c r="M2328" s="355">
        <v>3</v>
      </c>
      <c r="N2328" s="355">
        <v>2</v>
      </c>
    </row>
    <row r="2329" spans="1:14" hidden="1" x14ac:dyDescent="0.25">
      <c r="A2329" s="354">
        <v>1</v>
      </c>
      <c r="B2329" s="354">
        <v>1</v>
      </c>
      <c r="C2329" s="354">
        <v>1</v>
      </c>
      <c r="D2329" s="354">
        <v>1</v>
      </c>
      <c r="E2329" s="354">
        <v>0</v>
      </c>
      <c r="F2329" s="354">
        <v>1</v>
      </c>
      <c r="G2329" s="354">
        <v>0</v>
      </c>
      <c r="H2329" s="354">
        <v>0</v>
      </c>
      <c r="I2329" s="354">
        <v>1</v>
      </c>
      <c r="J2329" s="354">
        <v>1</v>
      </c>
      <c r="K2329" s="354">
        <v>0</v>
      </c>
      <c r="L2329" s="354">
        <v>0</v>
      </c>
      <c r="M2329" s="355">
        <v>3</v>
      </c>
      <c r="N2329" s="355">
        <v>4</v>
      </c>
    </row>
    <row r="2330" spans="1:14" hidden="1" x14ac:dyDescent="0.25">
      <c r="A2330" s="354">
        <v>1</v>
      </c>
      <c r="B2330" s="354">
        <v>0</v>
      </c>
      <c r="C2330" s="354">
        <v>0</v>
      </c>
      <c r="D2330" s="354">
        <v>1</v>
      </c>
      <c r="E2330" s="354">
        <v>0</v>
      </c>
      <c r="F2330" s="354">
        <v>0</v>
      </c>
      <c r="G2330" s="354">
        <v>0</v>
      </c>
      <c r="H2330" s="354">
        <v>0</v>
      </c>
      <c r="I2330" s="354">
        <v>1</v>
      </c>
      <c r="J2330" s="354">
        <v>1</v>
      </c>
      <c r="K2330" s="354">
        <v>0</v>
      </c>
      <c r="L2330" s="354">
        <v>0</v>
      </c>
      <c r="M2330" s="355">
        <v>2</v>
      </c>
      <c r="N2330" s="355">
        <v>2</v>
      </c>
    </row>
    <row r="2331" spans="1:14" hidden="1" x14ac:dyDescent="0.25">
      <c r="A2331" s="354">
        <v>1</v>
      </c>
      <c r="B2331" s="354">
        <v>0</v>
      </c>
      <c r="C2331" s="354">
        <v>1</v>
      </c>
      <c r="D2331" s="354">
        <v>1</v>
      </c>
      <c r="E2331" s="354">
        <v>0</v>
      </c>
      <c r="F2331" s="354">
        <v>1</v>
      </c>
      <c r="G2331" s="354">
        <v>0</v>
      </c>
      <c r="H2331" s="354">
        <v>2</v>
      </c>
      <c r="I2331" s="354">
        <v>1</v>
      </c>
      <c r="J2331" s="354">
        <v>1</v>
      </c>
      <c r="K2331" s="354">
        <v>0</v>
      </c>
      <c r="L2331" s="354">
        <v>0</v>
      </c>
      <c r="M2331" s="355">
        <v>3</v>
      </c>
      <c r="N2331" s="355">
        <v>5</v>
      </c>
    </row>
    <row r="2332" spans="1:14" hidden="1" x14ac:dyDescent="0.25">
      <c r="A2332" s="354">
        <v>1</v>
      </c>
      <c r="B2332" s="354">
        <v>0</v>
      </c>
      <c r="C2332" s="354">
        <v>0</v>
      </c>
      <c r="D2332" s="354">
        <v>0</v>
      </c>
      <c r="E2332" s="354">
        <v>1</v>
      </c>
      <c r="F2332" s="354">
        <v>0</v>
      </c>
      <c r="G2332" s="354">
        <v>1</v>
      </c>
      <c r="H2332" s="354">
        <v>2</v>
      </c>
      <c r="I2332" s="354">
        <v>1</v>
      </c>
      <c r="J2332" s="354">
        <v>1</v>
      </c>
      <c r="K2332" s="354">
        <v>0</v>
      </c>
      <c r="L2332" s="354">
        <v>1</v>
      </c>
      <c r="M2332" s="355">
        <v>4</v>
      </c>
      <c r="N2332" s="355">
        <v>4</v>
      </c>
    </row>
    <row r="2333" spans="1:14" hidden="1" x14ac:dyDescent="0.25">
      <c r="A2333" s="354">
        <v>1</v>
      </c>
      <c r="B2333" s="354">
        <v>0</v>
      </c>
      <c r="C2333" s="354">
        <v>2</v>
      </c>
      <c r="D2333" s="354">
        <v>1</v>
      </c>
      <c r="E2333" s="354">
        <v>0</v>
      </c>
      <c r="F2333" s="354">
        <v>0</v>
      </c>
      <c r="G2333" s="354">
        <v>0</v>
      </c>
      <c r="H2333" s="354">
        <v>0</v>
      </c>
      <c r="I2333" s="354">
        <v>1</v>
      </c>
      <c r="J2333" s="354">
        <v>2</v>
      </c>
      <c r="K2333" s="354">
        <v>0</v>
      </c>
      <c r="L2333" s="354">
        <v>0</v>
      </c>
      <c r="M2333" s="355">
        <v>4</v>
      </c>
      <c r="N2333" s="355">
        <v>3</v>
      </c>
    </row>
    <row r="2334" spans="1:14" hidden="1" x14ac:dyDescent="0.25">
      <c r="A2334" s="354">
        <v>1</v>
      </c>
      <c r="B2334" s="354">
        <v>0</v>
      </c>
      <c r="C2334" s="354">
        <v>0</v>
      </c>
      <c r="D2334" s="354">
        <v>1</v>
      </c>
      <c r="E2334" s="354">
        <v>0</v>
      </c>
      <c r="F2334" s="354">
        <v>1</v>
      </c>
      <c r="G2334" s="354">
        <v>1</v>
      </c>
      <c r="H2334" s="354">
        <v>1</v>
      </c>
      <c r="I2334" s="354">
        <v>1</v>
      </c>
      <c r="J2334" s="354">
        <v>1</v>
      </c>
      <c r="K2334" s="354">
        <v>0</v>
      </c>
      <c r="L2334" s="354">
        <v>0</v>
      </c>
      <c r="M2334" s="355">
        <v>3</v>
      </c>
      <c r="N2334" s="355">
        <v>4</v>
      </c>
    </row>
    <row r="2335" spans="1:14" hidden="1" x14ac:dyDescent="0.25">
      <c r="A2335" s="354">
        <v>0</v>
      </c>
      <c r="B2335" s="354">
        <v>1</v>
      </c>
      <c r="C2335" s="354">
        <v>0</v>
      </c>
      <c r="D2335" s="354">
        <v>1</v>
      </c>
      <c r="E2335" s="354">
        <v>1</v>
      </c>
      <c r="F2335" s="354">
        <v>1</v>
      </c>
      <c r="G2335" s="354">
        <v>1</v>
      </c>
      <c r="H2335" s="354">
        <v>1</v>
      </c>
      <c r="I2335" s="354">
        <v>1</v>
      </c>
      <c r="J2335" s="354">
        <v>1</v>
      </c>
      <c r="K2335" s="354">
        <v>0</v>
      </c>
      <c r="L2335" s="354">
        <v>0</v>
      </c>
      <c r="M2335" s="355">
        <v>3</v>
      </c>
      <c r="N2335" s="355">
        <v>5</v>
      </c>
    </row>
    <row r="2336" spans="1:14" hidden="1" x14ac:dyDescent="0.25">
      <c r="A2336" s="354">
        <v>1</v>
      </c>
      <c r="B2336" s="354">
        <v>0</v>
      </c>
      <c r="C2336" s="354">
        <v>1</v>
      </c>
      <c r="D2336" s="354">
        <v>0</v>
      </c>
      <c r="E2336" s="354">
        <v>1</v>
      </c>
      <c r="F2336" s="354">
        <v>2</v>
      </c>
      <c r="G2336" s="354">
        <v>0</v>
      </c>
      <c r="H2336" s="354">
        <v>1</v>
      </c>
      <c r="I2336" s="354">
        <v>1</v>
      </c>
      <c r="J2336" s="354">
        <v>1</v>
      </c>
      <c r="K2336" s="354">
        <v>0</v>
      </c>
      <c r="L2336" s="354">
        <v>1</v>
      </c>
      <c r="M2336" s="355">
        <v>4</v>
      </c>
      <c r="N2336" s="355">
        <v>5</v>
      </c>
    </row>
    <row r="2337" spans="1:14" hidden="1" x14ac:dyDescent="0.25">
      <c r="A2337" s="354">
        <v>1</v>
      </c>
      <c r="B2337" s="354">
        <v>0</v>
      </c>
      <c r="C2337" s="354">
        <v>1</v>
      </c>
      <c r="D2337" s="354">
        <v>1</v>
      </c>
      <c r="E2337" s="354">
        <v>1</v>
      </c>
      <c r="F2337" s="354">
        <v>1</v>
      </c>
      <c r="G2337" s="354">
        <v>0</v>
      </c>
      <c r="H2337" s="354">
        <v>1</v>
      </c>
      <c r="I2337" s="354">
        <v>1</v>
      </c>
      <c r="J2337" s="354">
        <v>1</v>
      </c>
      <c r="K2337" s="354">
        <v>0</v>
      </c>
      <c r="L2337" s="354">
        <v>0</v>
      </c>
      <c r="M2337" s="355">
        <v>4</v>
      </c>
      <c r="N2337" s="355">
        <v>4</v>
      </c>
    </row>
    <row r="2338" spans="1:14" hidden="1" x14ac:dyDescent="0.25">
      <c r="A2338" s="354">
        <v>1</v>
      </c>
      <c r="B2338" s="354">
        <v>0</v>
      </c>
      <c r="C2338" s="354">
        <v>1</v>
      </c>
      <c r="D2338" s="354">
        <v>1</v>
      </c>
      <c r="E2338" s="354">
        <v>0</v>
      </c>
      <c r="F2338" s="354">
        <v>1</v>
      </c>
      <c r="G2338" s="354">
        <v>1</v>
      </c>
      <c r="H2338" s="354">
        <v>0</v>
      </c>
      <c r="I2338" s="354">
        <v>1</v>
      </c>
      <c r="J2338" s="354">
        <v>1</v>
      </c>
      <c r="K2338" s="354">
        <v>0</v>
      </c>
      <c r="L2338" s="354">
        <v>1</v>
      </c>
      <c r="M2338" s="355">
        <v>4</v>
      </c>
      <c r="N2338" s="355">
        <v>4</v>
      </c>
    </row>
    <row r="2339" spans="1:14" hidden="1" x14ac:dyDescent="0.25">
      <c r="A2339" s="354">
        <v>1</v>
      </c>
      <c r="B2339" s="354">
        <v>0</v>
      </c>
      <c r="C2339" s="354">
        <v>0</v>
      </c>
      <c r="D2339" s="354">
        <v>1</v>
      </c>
      <c r="E2339" s="354">
        <v>1</v>
      </c>
      <c r="F2339" s="354">
        <v>1</v>
      </c>
      <c r="G2339" s="354">
        <v>0</v>
      </c>
      <c r="H2339" s="354">
        <v>1</v>
      </c>
      <c r="I2339" s="354">
        <v>1</v>
      </c>
      <c r="J2339" s="354">
        <v>1</v>
      </c>
      <c r="K2339" s="354">
        <v>0</v>
      </c>
      <c r="L2339" s="354">
        <v>1</v>
      </c>
      <c r="M2339" s="355">
        <v>3</v>
      </c>
      <c r="N2339" s="355">
        <v>5</v>
      </c>
    </row>
    <row r="2340" spans="1:14" hidden="1" x14ac:dyDescent="0.25">
      <c r="A2340" s="354">
        <v>1</v>
      </c>
      <c r="B2340" s="354">
        <v>0</v>
      </c>
      <c r="C2340" s="354">
        <v>1</v>
      </c>
      <c r="D2340" s="354">
        <v>1</v>
      </c>
      <c r="E2340" s="354">
        <v>1</v>
      </c>
      <c r="F2340" s="354">
        <v>2</v>
      </c>
      <c r="G2340" s="354">
        <v>0</v>
      </c>
      <c r="H2340" s="354">
        <v>2</v>
      </c>
      <c r="I2340" s="354">
        <v>1</v>
      </c>
      <c r="J2340" s="354">
        <v>1</v>
      </c>
      <c r="K2340" s="354">
        <v>0</v>
      </c>
      <c r="L2340" s="354">
        <v>0</v>
      </c>
      <c r="M2340" s="355">
        <v>4</v>
      </c>
      <c r="N2340" s="355">
        <v>6</v>
      </c>
    </row>
    <row r="2341" spans="1:14" hidden="1" x14ac:dyDescent="0.25">
      <c r="A2341" s="354">
        <v>0</v>
      </c>
      <c r="B2341" s="354">
        <v>0</v>
      </c>
      <c r="C2341" s="354">
        <v>1</v>
      </c>
      <c r="D2341" s="354">
        <v>1</v>
      </c>
      <c r="E2341" s="354">
        <v>1</v>
      </c>
      <c r="F2341" s="354">
        <v>1</v>
      </c>
      <c r="G2341" s="354">
        <v>1</v>
      </c>
      <c r="H2341" s="354">
        <v>0</v>
      </c>
      <c r="I2341" s="354">
        <v>1</v>
      </c>
      <c r="J2341" s="354">
        <v>1</v>
      </c>
      <c r="K2341" s="354">
        <v>0</v>
      </c>
      <c r="L2341" s="354">
        <v>0</v>
      </c>
      <c r="M2341" s="355">
        <v>4</v>
      </c>
      <c r="N2341" s="355">
        <v>3</v>
      </c>
    </row>
    <row r="2342" spans="1:14" hidden="1" x14ac:dyDescent="0.25">
      <c r="A2342" s="354">
        <v>0</v>
      </c>
      <c r="B2342" s="354">
        <v>1</v>
      </c>
      <c r="C2342" s="354">
        <v>0</v>
      </c>
      <c r="D2342" s="354">
        <v>1</v>
      </c>
      <c r="E2342" s="354">
        <v>1</v>
      </c>
      <c r="F2342" s="354">
        <v>0</v>
      </c>
      <c r="G2342" s="354">
        <v>0</v>
      </c>
      <c r="H2342" s="354">
        <v>0</v>
      </c>
      <c r="I2342" s="354">
        <v>1</v>
      </c>
      <c r="J2342" s="354">
        <v>1</v>
      </c>
      <c r="K2342" s="354">
        <v>0</v>
      </c>
      <c r="L2342" s="354">
        <v>0</v>
      </c>
      <c r="M2342" s="355">
        <v>2</v>
      </c>
      <c r="N2342" s="355">
        <v>3</v>
      </c>
    </row>
    <row r="2343" spans="1:14" hidden="1" x14ac:dyDescent="0.25">
      <c r="A2343" s="354">
        <v>1</v>
      </c>
      <c r="B2343" s="354">
        <v>0</v>
      </c>
      <c r="C2343" s="354">
        <v>1</v>
      </c>
      <c r="D2343" s="354">
        <v>1</v>
      </c>
      <c r="E2343" s="354">
        <v>1</v>
      </c>
      <c r="F2343" s="354">
        <v>0</v>
      </c>
      <c r="G2343" s="354">
        <v>1</v>
      </c>
      <c r="H2343" s="354">
        <v>0</v>
      </c>
      <c r="I2343" s="354">
        <v>1</v>
      </c>
      <c r="J2343" s="354">
        <v>2</v>
      </c>
      <c r="K2343" s="354">
        <v>0</v>
      </c>
      <c r="L2343" s="354">
        <v>0</v>
      </c>
      <c r="M2343" s="355">
        <v>5</v>
      </c>
      <c r="N2343" s="355">
        <v>3</v>
      </c>
    </row>
    <row r="2344" spans="1:14" hidden="1" x14ac:dyDescent="0.25">
      <c r="A2344" s="354">
        <v>0</v>
      </c>
      <c r="B2344" s="354">
        <v>1</v>
      </c>
      <c r="C2344" s="354">
        <v>1</v>
      </c>
      <c r="D2344" s="354">
        <v>1</v>
      </c>
      <c r="E2344" s="354">
        <v>1</v>
      </c>
      <c r="F2344" s="354">
        <v>0</v>
      </c>
      <c r="G2344" s="354">
        <v>0</v>
      </c>
      <c r="H2344" s="354">
        <v>0</v>
      </c>
      <c r="I2344" s="354">
        <v>1</v>
      </c>
      <c r="J2344" s="354">
        <v>1</v>
      </c>
      <c r="K2344" s="354">
        <v>0</v>
      </c>
      <c r="L2344" s="354">
        <v>0</v>
      </c>
      <c r="M2344" s="355">
        <v>3</v>
      </c>
      <c r="N2344" s="355">
        <v>3</v>
      </c>
    </row>
    <row r="2345" spans="1:14" hidden="1" x14ac:dyDescent="0.25">
      <c r="A2345" s="354">
        <v>1</v>
      </c>
      <c r="B2345" s="354">
        <v>0</v>
      </c>
      <c r="C2345" s="354">
        <v>1</v>
      </c>
      <c r="D2345" s="354">
        <v>1</v>
      </c>
      <c r="E2345" s="354">
        <v>1</v>
      </c>
      <c r="F2345" s="354">
        <v>1</v>
      </c>
      <c r="G2345" s="354">
        <v>0</v>
      </c>
      <c r="H2345" s="354">
        <v>0</v>
      </c>
      <c r="I2345" s="354">
        <v>1</v>
      </c>
      <c r="J2345" s="354">
        <v>1</v>
      </c>
      <c r="K2345" s="354">
        <v>0</v>
      </c>
      <c r="L2345" s="354">
        <v>0</v>
      </c>
      <c r="M2345" s="355">
        <v>4</v>
      </c>
      <c r="N2345" s="355">
        <v>3</v>
      </c>
    </row>
    <row r="2346" spans="1:14" hidden="1" x14ac:dyDescent="0.25">
      <c r="A2346" s="354">
        <v>1</v>
      </c>
      <c r="B2346" s="354">
        <v>0</v>
      </c>
      <c r="C2346" s="354">
        <v>1</v>
      </c>
      <c r="D2346" s="354">
        <v>1</v>
      </c>
      <c r="E2346" s="354">
        <v>0</v>
      </c>
      <c r="F2346" s="354">
        <v>1</v>
      </c>
      <c r="G2346" s="354">
        <v>0</v>
      </c>
      <c r="H2346" s="354">
        <v>0</v>
      </c>
      <c r="I2346" s="354">
        <v>1</v>
      </c>
      <c r="J2346" s="354">
        <v>1</v>
      </c>
      <c r="K2346" s="354">
        <v>0</v>
      </c>
      <c r="L2346" s="354">
        <v>0</v>
      </c>
      <c r="M2346" s="355">
        <v>3</v>
      </c>
      <c r="N2346" s="355">
        <v>3</v>
      </c>
    </row>
    <row r="2347" spans="1:14" hidden="1" x14ac:dyDescent="0.25">
      <c r="A2347" s="354">
        <v>1</v>
      </c>
      <c r="B2347" s="354">
        <v>0</v>
      </c>
      <c r="C2347" s="354">
        <v>1</v>
      </c>
      <c r="D2347" s="354">
        <v>3</v>
      </c>
      <c r="E2347" s="354">
        <v>0</v>
      </c>
      <c r="F2347" s="354">
        <v>0</v>
      </c>
      <c r="G2347" s="354">
        <v>0</v>
      </c>
      <c r="H2347" s="354">
        <v>0</v>
      </c>
      <c r="I2347" s="354">
        <v>1</v>
      </c>
      <c r="J2347" s="354">
        <v>2</v>
      </c>
      <c r="K2347" s="354">
        <v>0</v>
      </c>
      <c r="L2347" s="354">
        <v>0</v>
      </c>
      <c r="M2347" s="355">
        <v>3</v>
      </c>
      <c r="N2347" s="355">
        <v>5</v>
      </c>
    </row>
    <row r="2348" spans="1:14" hidden="1" x14ac:dyDescent="0.25">
      <c r="A2348" s="354">
        <v>0</v>
      </c>
      <c r="B2348" s="354">
        <v>0</v>
      </c>
      <c r="C2348" s="354">
        <v>1</v>
      </c>
      <c r="D2348" s="354">
        <v>2</v>
      </c>
      <c r="E2348" s="354">
        <v>0</v>
      </c>
      <c r="F2348" s="354">
        <v>3</v>
      </c>
      <c r="G2348" s="354">
        <v>1</v>
      </c>
      <c r="H2348" s="354">
        <v>0</v>
      </c>
      <c r="I2348" s="354">
        <v>1</v>
      </c>
      <c r="J2348" s="354">
        <v>1</v>
      </c>
      <c r="K2348" s="354">
        <v>0</v>
      </c>
      <c r="L2348" s="354">
        <v>0</v>
      </c>
      <c r="M2348" s="355">
        <v>3</v>
      </c>
      <c r="N2348" s="355">
        <v>6</v>
      </c>
    </row>
    <row r="2349" spans="1:14" hidden="1" x14ac:dyDescent="0.25">
      <c r="A2349" s="354">
        <v>0</v>
      </c>
      <c r="B2349" s="354">
        <v>0</v>
      </c>
      <c r="C2349" s="354">
        <v>0</v>
      </c>
      <c r="D2349" s="354">
        <v>0</v>
      </c>
      <c r="E2349" s="354">
        <v>3</v>
      </c>
      <c r="F2349" s="354">
        <v>1</v>
      </c>
      <c r="G2349" s="354">
        <v>1</v>
      </c>
      <c r="H2349" s="354">
        <v>0</v>
      </c>
      <c r="I2349" s="354">
        <v>1</v>
      </c>
      <c r="J2349" s="354">
        <v>1</v>
      </c>
      <c r="K2349" s="354">
        <v>0</v>
      </c>
      <c r="L2349" s="354">
        <v>0</v>
      </c>
      <c r="M2349" s="355">
        <v>5</v>
      </c>
      <c r="N2349" s="355">
        <v>2</v>
      </c>
    </row>
    <row r="2350" spans="1:14" hidden="1" x14ac:dyDescent="0.25">
      <c r="A2350" s="354">
        <v>0</v>
      </c>
      <c r="B2350" s="354">
        <v>0</v>
      </c>
      <c r="C2350" s="354">
        <v>0</v>
      </c>
      <c r="D2350" s="354">
        <v>1</v>
      </c>
      <c r="E2350" s="354">
        <v>2</v>
      </c>
      <c r="F2350" s="354">
        <v>1</v>
      </c>
      <c r="G2350" s="354">
        <v>0</v>
      </c>
      <c r="H2350" s="354">
        <v>0</v>
      </c>
      <c r="I2350" s="354">
        <v>1</v>
      </c>
      <c r="J2350" s="354">
        <v>1</v>
      </c>
      <c r="K2350" s="354">
        <v>0</v>
      </c>
      <c r="L2350" s="354">
        <v>0</v>
      </c>
      <c r="M2350" s="355">
        <v>3</v>
      </c>
      <c r="N2350" s="355">
        <v>3</v>
      </c>
    </row>
    <row r="2351" spans="1:14" hidden="1" x14ac:dyDescent="0.25">
      <c r="A2351" s="354">
        <v>1</v>
      </c>
      <c r="B2351" s="354">
        <v>0</v>
      </c>
      <c r="C2351" s="354">
        <v>1</v>
      </c>
      <c r="D2351" s="354">
        <v>1</v>
      </c>
      <c r="E2351" s="354">
        <v>0</v>
      </c>
      <c r="F2351" s="354">
        <v>0</v>
      </c>
      <c r="G2351" s="354">
        <v>0</v>
      </c>
      <c r="H2351" s="354">
        <v>0</v>
      </c>
      <c r="I2351" s="354">
        <v>1</v>
      </c>
      <c r="J2351" s="354">
        <v>1</v>
      </c>
      <c r="K2351" s="354">
        <v>0</v>
      </c>
      <c r="L2351" s="354">
        <v>0</v>
      </c>
      <c r="M2351" s="355">
        <v>3</v>
      </c>
      <c r="N2351" s="355">
        <v>2</v>
      </c>
    </row>
    <row r="2352" spans="1:14" hidden="1" x14ac:dyDescent="0.25">
      <c r="A2352" s="354">
        <v>0</v>
      </c>
      <c r="B2352" s="354">
        <v>0</v>
      </c>
      <c r="C2352" s="354">
        <v>2</v>
      </c>
      <c r="D2352" s="354">
        <v>0</v>
      </c>
      <c r="E2352" s="354">
        <v>1</v>
      </c>
      <c r="F2352" s="354">
        <v>3</v>
      </c>
      <c r="G2352" s="354">
        <v>0</v>
      </c>
      <c r="H2352" s="354">
        <v>2</v>
      </c>
      <c r="I2352" s="354">
        <v>1</v>
      </c>
      <c r="J2352" s="354">
        <v>1</v>
      </c>
      <c r="K2352" s="354">
        <v>0</v>
      </c>
      <c r="L2352" s="354">
        <v>0</v>
      </c>
      <c r="M2352" s="355">
        <v>4</v>
      </c>
      <c r="N2352" s="355">
        <v>6</v>
      </c>
    </row>
    <row r="2353" spans="1:14" hidden="1" x14ac:dyDescent="0.25">
      <c r="A2353" s="354">
        <v>1</v>
      </c>
      <c r="B2353" s="354">
        <v>0</v>
      </c>
      <c r="C2353" s="354">
        <v>2</v>
      </c>
      <c r="D2353" s="354">
        <v>0</v>
      </c>
      <c r="E2353" s="354">
        <v>0</v>
      </c>
      <c r="F2353" s="354">
        <v>1</v>
      </c>
      <c r="G2353" s="354">
        <v>0</v>
      </c>
      <c r="H2353" s="354">
        <v>0</v>
      </c>
      <c r="I2353" s="354">
        <v>1</v>
      </c>
      <c r="J2353" s="354">
        <v>2</v>
      </c>
      <c r="K2353" s="354">
        <v>0</v>
      </c>
      <c r="L2353" s="354">
        <v>0</v>
      </c>
      <c r="M2353" s="355">
        <v>4</v>
      </c>
      <c r="N2353" s="355">
        <v>3</v>
      </c>
    </row>
    <row r="2354" spans="1:14" hidden="1" x14ac:dyDescent="0.25">
      <c r="A2354" s="354">
        <v>0</v>
      </c>
      <c r="B2354" s="354">
        <v>0</v>
      </c>
      <c r="C2354" s="354">
        <v>0</v>
      </c>
      <c r="D2354" s="354">
        <v>1</v>
      </c>
      <c r="E2354" s="354">
        <v>1</v>
      </c>
      <c r="F2354" s="354">
        <v>0</v>
      </c>
      <c r="G2354" s="354">
        <v>1</v>
      </c>
      <c r="H2354" s="354">
        <v>1</v>
      </c>
      <c r="I2354" s="354">
        <v>1</v>
      </c>
      <c r="J2354" s="354">
        <v>1</v>
      </c>
      <c r="K2354" s="354">
        <v>0</v>
      </c>
      <c r="L2354" s="354">
        <v>0</v>
      </c>
      <c r="M2354" s="355">
        <v>3</v>
      </c>
      <c r="N2354" s="355">
        <v>3</v>
      </c>
    </row>
    <row r="2355" spans="1:14" hidden="1" x14ac:dyDescent="0.25">
      <c r="A2355" s="354">
        <v>1</v>
      </c>
      <c r="B2355" s="354">
        <v>1</v>
      </c>
      <c r="C2355" s="354">
        <v>0</v>
      </c>
      <c r="D2355" s="354">
        <v>0</v>
      </c>
      <c r="E2355" s="354">
        <v>1</v>
      </c>
      <c r="F2355" s="354">
        <v>1</v>
      </c>
      <c r="G2355" s="354">
        <v>1</v>
      </c>
      <c r="H2355" s="354">
        <v>0</v>
      </c>
      <c r="I2355" s="354">
        <v>1</v>
      </c>
      <c r="J2355" s="354">
        <v>1</v>
      </c>
      <c r="K2355" s="354">
        <v>0</v>
      </c>
      <c r="L2355" s="354">
        <v>0</v>
      </c>
      <c r="M2355" s="355">
        <v>4</v>
      </c>
      <c r="N2355" s="355">
        <v>3</v>
      </c>
    </row>
    <row r="2356" spans="1:14" hidden="1" x14ac:dyDescent="0.25">
      <c r="A2356" s="354">
        <v>1</v>
      </c>
      <c r="B2356" s="354">
        <v>0</v>
      </c>
      <c r="C2356" s="354">
        <v>1</v>
      </c>
      <c r="D2356" s="354">
        <v>1</v>
      </c>
      <c r="E2356" s="354">
        <v>0</v>
      </c>
      <c r="F2356" s="354">
        <v>0</v>
      </c>
      <c r="G2356" s="354">
        <v>0</v>
      </c>
      <c r="H2356" s="354">
        <v>0</v>
      </c>
      <c r="I2356" s="354">
        <v>1</v>
      </c>
      <c r="J2356" s="354">
        <v>1</v>
      </c>
      <c r="K2356" s="354">
        <v>0</v>
      </c>
      <c r="L2356" s="354">
        <v>0</v>
      </c>
      <c r="M2356" s="355">
        <v>3</v>
      </c>
      <c r="N2356" s="355">
        <v>2</v>
      </c>
    </row>
    <row r="2357" spans="1:14" hidden="1" x14ac:dyDescent="0.25">
      <c r="A2357" s="354">
        <v>1</v>
      </c>
      <c r="B2357" s="354">
        <v>0</v>
      </c>
      <c r="C2357" s="354">
        <v>1</v>
      </c>
      <c r="D2357" s="354">
        <v>1</v>
      </c>
      <c r="E2357" s="354">
        <v>0</v>
      </c>
      <c r="F2357" s="354">
        <v>0</v>
      </c>
      <c r="G2357" s="354">
        <v>0</v>
      </c>
      <c r="H2357" s="354">
        <v>0</v>
      </c>
      <c r="I2357" s="354">
        <v>1</v>
      </c>
      <c r="J2357" s="354">
        <v>1</v>
      </c>
      <c r="K2357" s="354">
        <v>0</v>
      </c>
      <c r="L2357" s="354">
        <v>0</v>
      </c>
      <c r="M2357" s="355">
        <v>3</v>
      </c>
      <c r="N2357" s="355">
        <v>2</v>
      </c>
    </row>
    <row r="2358" spans="1:14" hidden="1" x14ac:dyDescent="0.25">
      <c r="A2358" s="354">
        <v>0</v>
      </c>
      <c r="B2358" s="354">
        <v>0</v>
      </c>
      <c r="C2358" s="354">
        <v>0</v>
      </c>
      <c r="D2358" s="354">
        <v>0</v>
      </c>
      <c r="E2358" s="354">
        <v>0</v>
      </c>
      <c r="F2358" s="354">
        <v>2</v>
      </c>
      <c r="G2358" s="354">
        <v>1</v>
      </c>
      <c r="H2358" s="354">
        <v>1</v>
      </c>
      <c r="I2358" s="354">
        <v>2</v>
      </c>
      <c r="J2358" s="354">
        <v>3</v>
      </c>
      <c r="K2358" s="354">
        <v>0</v>
      </c>
      <c r="L2358" s="354">
        <v>0</v>
      </c>
      <c r="M2358" s="355">
        <v>3</v>
      </c>
      <c r="N2358" s="355">
        <v>6</v>
      </c>
    </row>
    <row r="2359" spans="1:14" hidden="1" x14ac:dyDescent="0.25">
      <c r="A2359" s="354">
        <v>1</v>
      </c>
      <c r="B2359" s="354">
        <v>0</v>
      </c>
      <c r="C2359" s="354">
        <v>1</v>
      </c>
      <c r="D2359" s="354">
        <v>0</v>
      </c>
      <c r="E2359" s="354">
        <v>1</v>
      </c>
      <c r="F2359" s="354">
        <v>1</v>
      </c>
      <c r="G2359" s="354">
        <v>0</v>
      </c>
      <c r="H2359" s="354">
        <v>2</v>
      </c>
      <c r="I2359" s="354">
        <v>1</v>
      </c>
      <c r="J2359" s="354">
        <v>2</v>
      </c>
      <c r="K2359" s="354">
        <v>0</v>
      </c>
      <c r="L2359" s="354">
        <v>0</v>
      </c>
      <c r="M2359" s="355">
        <v>4</v>
      </c>
      <c r="N2359" s="355">
        <v>5</v>
      </c>
    </row>
    <row r="2360" spans="1:14" hidden="1" x14ac:dyDescent="0.25">
      <c r="A2360" s="354">
        <v>0</v>
      </c>
      <c r="B2360" s="354">
        <v>0</v>
      </c>
      <c r="C2360" s="354">
        <v>0</v>
      </c>
      <c r="D2360" s="354">
        <v>1</v>
      </c>
      <c r="E2360" s="354">
        <v>0</v>
      </c>
      <c r="F2360" s="354">
        <v>2</v>
      </c>
      <c r="G2360" s="354">
        <v>1</v>
      </c>
      <c r="H2360" s="354">
        <v>0</v>
      </c>
      <c r="I2360" s="354">
        <v>1</v>
      </c>
      <c r="J2360" s="354">
        <v>1</v>
      </c>
      <c r="K2360" s="354">
        <v>0</v>
      </c>
      <c r="L2360" s="354">
        <v>0</v>
      </c>
      <c r="M2360" s="355">
        <v>2</v>
      </c>
      <c r="N2360" s="355">
        <v>4</v>
      </c>
    </row>
    <row r="2361" spans="1:14" hidden="1" x14ac:dyDescent="0.25">
      <c r="A2361" s="354">
        <v>1</v>
      </c>
      <c r="B2361" s="354">
        <v>0</v>
      </c>
      <c r="C2361" s="354">
        <v>2</v>
      </c>
      <c r="D2361" s="354">
        <v>1</v>
      </c>
      <c r="E2361" s="354">
        <v>0</v>
      </c>
      <c r="F2361" s="354">
        <v>0</v>
      </c>
      <c r="G2361" s="354">
        <v>0</v>
      </c>
      <c r="H2361" s="354">
        <v>0</v>
      </c>
      <c r="I2361" s="354">
        <v>1</v>
      </c>
      <c r="J2361" s="354">
        <v>1</v>
      </c>
      <c r="K2361" s="354">
        <v>0</v>
      </c>
      <c r="L2361" s="354">
        <v>2</v>
      </c>
      <c r="M2361" s="355">
        <v>4</v>
      </c>
      <c r="N2361" s="355">
        <v>4</v>
      </c>
    </row>
    <row r="2362" spans="1:14" hidden="1" x14ac:dyDescent="0.25">
      <c r="A2362" s="354">
        <v>1</v>
      </c>
      <c r="B2362" s="354">
        <v>0</v>
      </c>
      <c r="C2362" s="354">
        <v>1</v>
      </c>
      <c r="D2362" s="354">
        <v>1</v>
      </c>
      <c r="E2362" s="354">
        <v>0</v>
      </c>
      <c r="F2362" s="354">
        <v>0</v>
      </c>
      <c r="G2362" s="354">
        <v>0</v>
      </c>
      <c r="H2362" s="354">
        <v>0</v>
      </c>
      <c r="I2362" s="354">
        <v>1</v>
      </c>
      <c r="J2362" s="354">
        <v>1</v>
      </c>
      <c r="K2362" s="354">
        <v>0</v>
      </c>
      <c r="L2362" s="354">
        <v>0</v>
      </c>
      <c r="M2362" s="355">
        <v>3</v>
      </c>
      <c r="N2362" s="355">
        <v>2</v>
      </c>
    </row>
    <row r="2363" spans="1:14" hidden="1" x14ac:dyDescent="0.25">
      <c r="A2363" s="354">
        <v>1</v>
      </c>
      <c r="B2363" s="354">
        <v>1</v>
      </c>
      <c r="C2363" s="354">
        <v>0</v>
      </c>
      <c r="D2363" s="354">
        <v>2</v>
      </c>
      <c r="E2363" s="354">
        <v>0</v>
      </c>
      <c r="F2363" s="354">
        <v>0</v>
      </c>
      <c r="G2363" s="354">
        <v>0</v>
      </c>
      <c r="H2363" s="354">
        <v>0</v>
      </c>
      <c r="I2363" s="354">
        <v>1</v>
      </c>
      <c r="J2363" s="354">
        <v>1</v>
      </c>
      <c r="K2363" s="354">
        <v>0</v>
      </c>
      <c r="L2363" s="354">
        <v>0</v>
      </c>
      <c r="M2363" s="355">
        <v>2</v>
      </c>
      <c r="N2363" s="355">
        <v>4</v>
      </c>
    </row>
    <row r="2364" spans="1:14" hidden="1" x14ac:dyDescent="0.25">
      <c r="A2364" s="354">
        <v>1</v>
      </c>
      <c r="B2364" s="354">
        <v>1</v>
      </c>
      <c r="C2364" s="354">
        <v>0</v>
      </c>
      <c r="D2364" s="354">
        <v>2</v>
      </c>
      <c r="E2364" s="354">
        <v>1</v>
      </c>
      <c r="F2364" s="354">
        <v>1</v>
      </c>
      <c r="G2364" s="354">
        <v>0</v>
      </c>
      <c r="H2364" s="354">
        <v>1</v>
      </c>
      <c r="I2364" s="354">
        <v>1</v>
      </c>
      <c r="J2364" s="354">
        <v>2</v>
      </c>
      <c r="K2364" s="354">
        <v>0</v>
      </c>
      <c r="L2364" s="354">
        <v>0</v>
      </c>
      <c r="M2364" s="355">
        <v>3</v>
      </c>
      <c r="N2364" s="355">
        <v>7</v>
      </c>
    </row>
    <row r="2365" spans="1:14" hidden="1" x14ac:dyDescent="0.25">
      <c r="A2365" s="354">
        <v>1</v>
      </c>
      <c r="B2365" s="354">
        <v>1</v>
      </c>
      <c r="C2365" s="354">
        <v>1</v>
      </c>
      <c r="D2365" s="354">
        <v>1</v>
      </c>
      <c r="E2365" s="354">
        <v>0</v>
      </c>
      <c r="F2365" s="354">
        <v>1</v>
      </c>
      <c r="G2365" s="354">
        <v>1</v>
      </c>
      <c r="H2365" s="354">
        <v>1</v>
      </c>
      <c r="I2365" s="354">
        <v>1</v>
      </c>
      <c r="J2365" s="354">
        <v>1</v>
      </c>
      <c r="K2365" s="354">
        <v>1</v>
      </c>
      <c r="L2365" s="354">
        <v>0</v>
      </c>
      <c r="M2365" s="355">
        <v>5</v>
      </c>
      <c r="N2365" s="355">
        <v>5</v>
      </c>
    </row>
    <row r="2366" spans="1:14" hidden="1" x14ac:dyDescent="0.25">
      <c r="A2366" s="354">
        <v>0</v>
      </c>
      <c r="B2366" s="354">
        <v>1</v>
      </c>
      <c r="C2366" s="354">
        <v>1</v>
      </c>
      <c r="D2366" s="354">
        <v>0</v>
      </c>
      <c r="E2366" s="354">
        <v>1</v>
      </c>
      <c r="F2366" s="354">
        <v>2</v>
      </c>
      <c r="G2366" s="354">
        <v>0</v>
      </c>
      <c r="H2366" s="354">
        <v>1</v>
      </c>
      <c r="I2366" s="354">
        <v>1</v>
      </c>
      <c r="J2366" s="354">
        <v>2</v>
      </c>
      <c r="K2366" s="354">
        <v>1</v>
      </c>
      <c r="L2366" s="354">
        <v>1</v>
      </c>
      <c r="M2366" s="355">
        <v>4</v>
      </c>
      <c r="N2366" s="355">
        <v>7</v>
      </c>
    </row>
    <row r="2367" spans="1:14" hidden="1" x14ac:dyDescent="0.25">
      <c r="A2367" s="354">
        <v>1</v>
      </c>
      <c r="B2367" s="354">
        <v>0</v>
      </c>
      <c r="C2367" s="354">
        <v>1</v>
      </c>
      <c r="D2367" s="354">
        <v>1</v>
      </c>
      <c r="E2367" s="354">
        <v>0</v>
      </c>
      <c r="F2367" s="354">
        <v>1</v>
      </c>
      <c r="G2367" s="354">
        <v>1</v>
      </c>
      <c r="H2367" s="354">
        <v>0</v>
      </c>
      <c r="I2367" s="354">
        <v>1</v>
      </c>
      <c r="J2367" s="354">
        <v>1</v>
      </c>
      <c r="K2367" s="354">
        <v>0</v>
      </c>
      <c r="L2367" s="354">
        <v>0</v>
      </c>
      <c r="M2367" s="355">
        <v>4</v>
      </c>
      <c r="N2367" s="355">
        <v>3</v>
      </c>
    </row>
    <row r="2368" spans="1:14" hidden="1" x14ac:dyDescent="0.25">
      <c r="A2368" s="354">
        <v>1</v>
      </c>
      <c r="B2368" s="354">
        <v>1</v>
      </c>
      <c r="C2368" s="354">
        <v>1</v>
      </c>
      <c r="D2368" s="354">
        <v>1</v>
      </c>
      <c r="E2368" s="354">
        <v>0</v>
      </c>
      <c r="F2368" s="354">
        <v>1</v>
      </c>
      <c r="G2368" s="354">
        <v>1</v>
      </c>
      <c r="H2368" s="354">
        <v>1</v>
      </c>
      <c r="I2368" s="354">
        <v>1</v>
      </c>
      <c r="J2368" s="354">
        <v>2</v>
      </c>
      <c r="K2368" s="354">
        <v>1</v>
      </c>
      <c r="L2368" s="354">
        <v>1</v>
      </c>
      <c r="M2368" s="355">
        <v>5</v>
      </c>
      <c r="N2368" s="355">
        <v>7</v>
      </c>
    </row>
    <row r="2369" spans="1:14" hidden="1" x14ac:dyDescent="0.25">
      <c r="A2369" s="354">
        <v>1</v>
      </c>
      <c r="B2369" s="354">
        <v>0</v>
      </c>
      <c r="C2369" s="354">
        <v>2</v>
      </c>
      <c r="D2369" s="354">
        <v>1</v>
      </c>
      <c r="E2369" s="354">
        <v>1</v>
      </c>
      <c r="F2369" s="354">
        <v>0</v>
      </c>
      <c r="G2369" s="354">
        <v>1</v>
      </c>
      <c r="H2369" s="354">
        <v>1</v>
      </c>
      <c r="I2369" s="354">
        <v>1</v>
      </c>
      <c r="J2369" s="354">
        <v>1</v>
      </c>
      <c r="K2369" s="354">
        <v>0</v>
      </c>
      <c r="L2369" s="354">
        <v>1</v>
      </c>
      <c r="M2369" s="355">
        <v>6</v>
      </c>
      <c r="N2369" s="355">
        <v>4</v>
      </c>
    </row>
    <row r="2370" spans="1:14" hidden="1" x14ac:dyDescent="0.25">
      <c r="A2370" s="354">
        <v>1</v>
      </c>
      <c r="B2370" s="354">
        <v>1</v>
      </c>
      <c r="C2370" s="354">
        <v>0</v>
      </c>
      <c r="D2370" s="354">
        <v>1</v>
      </c>
      <c r="E2370" s="354">
        <v>0</v>
      </c>
      <c r="F2370" s="354">
        <v>0</v>
      </c>
      <c r="G2370" s="354">
        <v>0</v>
      </c>
      <c r="H2370" s="354">
        <v>0</v>
      </c>
      <c r="I2370" s="354">
        <v>1</v>
      </c>
      <c r="J2370" s="354">
        <v>1</v>
      </c>
      <c r="K2370" s="354">
        <v>0</v>
      </c>
      <c r="L2370" s="354">
        <v>0</v>
      </c>
      <c r="M2370" s="355">
        <v>2</v>
      </c>
      <c r="N2370" s="355">
        <v>3</v>
      </c>
    </row>
    <row r="2371" spans="1:14" hidden="1" x14ac:dyDescent="0.25">
      <c r="A2371" s="354">
        <v>1</v>
      </c>
      <c r="B2371" s="354">
        <v>1</v>
      </c>
      <c r="C2371" s="354">
        <v>1</v>
      </c>
      <c r="D2371" s="354">
        <v>1</v>
      </c>
      <c r="E2371" s="354">
        <v>1</v>
      </c>
      <c r="F2371" s="354">
        <v>0</v>
      </c>
      <c r="G2371" s="354">
        <v>1</v>
      </c>
      <c r="H2371" s="354">
        <v>1</v>
      </c>
      <c r="I2371" s="354">
        <v>1</v>
      </c>
      <c r="J2371" s="354">
        <v>1</v>
      </c>
      <c r="K2371" s="354">
        <v>1</v>
      </c>
      <c r="L2371" s="354">
        <v>0</v>
      </c>
      <c r="M2371" s="355">
        <v>6</v>
      </c>
      <c r="N2371" s="355">
        <v>4</v>
      </c>
    </row>
    <row r="2372" spans="1:14" hidden="1" x14ac:dyDescent="0.25">
      <c r="A2372" s="354">
        <v>1</v>
      </c>
      <c r="B2372" s="354">
        <v>1</v>
      </c>
      <c r="C2372" s="354">
        <v>1</v>
      </c>
      <c r="D2372" s="354">
        <v>1</v>
      </c>
      <c r="E2372" s="354">
        <v>1</v>
      </c>
      <c r="F2372" s="354">
        <v>1</v>
      </c>
      <c r="G2372" s="354">
        <v>1</v>
      </c>
      <c r="H2372" s="354">
        <v>1</v>
      </c>
      <c r="I2372" s="354">
        <v>1</v>
      </c>
      <c r="J2372" s="354">
        <v>1</v>
      </c>
      <c r="K2372" s="354">
        <v>1</v>
      </c>
      <c r="L2372" s="354">
        <v>0</v>
      </c>
      <c r="M2372" s="355">
        <v>6</v>
      </c>
      <c r="N2372" s="355">
        <v>5</v>
      </c>
    </row>
    <row r="2373" spans="1:14" hidden="1" x14ac:dyDescent="0.25">
      <c r="A2373" s="354">
        <v>0</v>
      </c>
      <c r="B2373" s="354">
        <v>1</v>
      </c>
      <c r="C2373" s="354">
        <v>1</v>
      </c>
      <c r="D2373" s="354">
        <v>1</v>
      </c>
      <c r="E2373" s="354">
        <v>1</v>
      </c>
      <c r="F2373" s="354">
        <v>1</v>
      </c>
      <c r="G2373" s="354">
        <v>1</v>
      </c>
      <c r="H2373" s="354">
        <v>1</v>
      </c>
      <c r="I2373" s="354">
        <v>1</v>
      </c>
      <c r="J2373" s="354">
        <v>1</v>
      </c>
      <c r="K2373" s="354">
        <v>0</v>
      </c>
      <c r="L2373" s="354">
        <v>0</v>
      </c>
      <c r="M2373" s="355">
        <v>4</v>
      </c>
      <c r="N2373" s="355">
        <v>5</v>
      </c>
    </row>
    <row r="2374" spans="1:14" hidden="1" x14ac:dyDescent="0.25">
      <c r="A2374" s="354">
        <v>1</v>
      </c>
      <c r="B2374" s="354">
        <v>1</v>
      </c>
      <c r="C2374" s="354">
        <v>1</v>
      </c>
      <c r="D2374" s="354">
        <v>1</v>
      </c>
      <c r="E2374" s="354">
        <v>1</v>
      </c>
      <c r="F2374" s="354">
        <v>1</v>
      </c>
      <c r="G2374" s="354">
        <v>1</v>
      </c>
      <c r="H2374" s="354">
        <v>0</v>
      </c>
      <c r="I2374" s="354">
        <v>2</v>
      </c>
      <c r="J2374" s="354">
        <v>2</v>
      </c>
      <c r="K2374" s="354">
        <v>1</v>
      </c>
      <c r="L2374" s="354">
        <v>1</v>
      </c>
      <c r="M2374" s="355">
        <v>7</v>
      </c>
      <c r="N2374" s="355">
        <v>6</v>
      </c>
    </row>
    <row r="2375" spans="1:14" hidden="1" x14ac:dyDescent="0.25">
      <c r="A2375" s="354">
        <v>1</v>
      </c>
      <c r="B2375" s="354">
        <v>0</v>
      </c>
      <c r="C2375" s="354">
        <v>0</v>
      </c>
      <c r="D2375" s="354">
        <v>1</v>
      </c>
      <c r="E2375" s="354">
        <v>2</v>
      </c>
      <c r="F2375" s="354">
        <v>1</v>
      </c>
      <c r="G2375" s="354">
        <v>1</v>
      </c>
      <c r="H2375" s="354">
        <v>1</v>
      </c>
      <c r="I2375" s="354">
        <v>1</v>
      </c>
      <c r="J2375" s="354">
        <v>2</v>
      </c>
      <c r="K2375" s="354">
        <v>1</v>
      </c>
      <c r="L2375" s="354">
        <v>1</v>
      </c>
      <c r="M2375" s="355">
        <v>6</v>
      </c>
      <c r="N2375" s="355">
        <v>6</v>
      </c>
    </row>
    <row r="2376" spans="1:14" hidden="1" x14ac:dyDescent="0.25">
      <c r="A2376" s="354">
        <v>1</v>
      </c>
      <c r="B2376" s="354">
        <v>1</v>
      </c>
      <c r="C2376" s="354">
        <v>1</v>
      </c>
      <c r="D2376" s="354">
        <v>1</v>
      </c>
      <c r="E2376" s="354">
        <v>0</v>
      </c>
      <c r="F2376" s="354">
        <v>0</v>
      </c>
      <c r="G2376" s="354">
        <v>1</v>
      </c>
      <c r="H2376" s="354">
        <v>0</v>
      </c>
      <c r="I2376" s="354">
        <v>1</v>
      </c>
      <c r="J2376" s="354">
        <v>2</v>
      </c>
      <c r="K2376" s="354">
        <v>0</v>
      </c>
      <c r="L2376" s="354">
        <v>0</v>
      </c>
      <c r="M2376" s="355">
        <v>4</v>
      </c>
      <c r="N2376" s="355">
        <v>4</v>
      </c>
    </row>
    <row r="2377" spans="1:14" hidden="1" x14ac:dyDescent="0.25">
      <c r="A2377" s="354">
        <v>1</v>
      </c>
      <c r="B2377" s="354">
        <v>0</v>
      </c>
      <c r="C2377" s="354">
        <v>0</v>
      </c>
      <c r="D2377" s="354">
        <v>2</v>
      </c>
      <c r="E2377" s="354">
        <v>1</v>
      </c>
      <c r="F2377" s="354">
        <v>1</v>
      </c>
      <c r="G2377" s="354">
        <v>0</v>
      </c>
      <c r="H2377" s="354">
        <v>0</v>
      </c>
      <c r="I2377" s="354">
        <v>1</v>
      </c>
      <c r="J2377" s="354">
        <v>1</v>
      </c>
      <c r="K2377" s="354">
        <v>1</v>
      </c>
      <c r="L2377" s="354">
        <v>1</v>
      </c>
      <c r="M2377" s="355">
        <v>4</v>
      </c>
      <c r="N2377" s="355">
        <v>5</v>
      </c>
    </row>
    <row r="2378" spans="1:14" hidden="1" x14ac:dyDescent="0.25">
      <c r="A2378" s="354">
        <v>1</v>
      </c>
      <c r="B2378" s="354">
        <v>1</v>
      </c>
      <c r="C2378" s="354">
        <v>1</v>
      </c>
      <c r="D2378" s="354">
        <v>1</v>
      </c>
      <c r="E2378" s="354">
        <v>1</v>
      </c>
      <c r="F2378" s="354">
        <v>2</v>
      </c>
      <c r="G2378" s="354">
        <v>1</v>
      </c>
      <c r="H2378" s="354">
        <v>1</v>
      </c>
      <c r="I2378" s="354">
        <v>1</v>
      </c>
      <c r="J2378" s="354">
        <v>2</v>
      </c>
      <c r="K2378" s="354">
        <v>1</v>
      </c>
      <c r="L2378" s="354">
        <v>0</v>
      </c>
      <c r="M2378" s="355">
        <v>6</v>
      </c>
      <c r="N2378" s="355">
        <v>7</v>
      </c>
    </row>
    <row r="2379" spans="1:14" hidden="1" x14ac:dyDescent="0.25">
      <c r="A2379" s="354">
        <v>0</v>
      </c>
      <c r="B2379" s="354">
        <v>0</v>
      </c>
      <c r="C2379" s="354">
        <v>1</v>
      </c>
      <c r="D2379" s="354">
        <v>1</v>
      </c>
      <c r="E2379" s="354">
        <v>0</v>
      </c>
      <c r="F2379" s="354">
        <v>1</v>
      </c>
      <c r="G2379" s="354">
        <v>1</v>
      </c>
      <c r="H2379" s="354">
        <v>0</v>
      </c>
      <c r="I2379" s="354">
        <v>1</v>
      </c>
      <c r="J2379" s="354">
        <v>2</v>
      </c>
      <c r="K2379" s="354">
        <v>0</v>
      </c>
      <c r="L2379" s="354">
        <v>0</v>
      </c>
      <c r="M2379" s="355">
        <v>3</v>
      </c>
      <c r="N2379" s="355">
        <v>4</v>
      </c>
    </row>
    <row r="2380" spans="1:14" hidden="1" x14ac:dyDescent="0.25">
      <c r="A2380" s="354">
        <v>0</v>
      </c>
      <c r="B2380" s="354">
        <v>1</v>
      </c>
      <c r="C2380" s="354">
        <v>1</v>
      </c>
      <c r="D2380" s="354">
        <v>1</v>
      </c>
      <c r="E2380" s="354">
        <v>2</v>
      </c>
      <c r="F2380" s="354">
        <v>1</v>
      </c>
      <c r="G2380" s="354">
        <v>1</v>
      </c>
      <c r="H2380" s="354">
        <v>1</v>
      </c>
      <c r="I2380" s="354">
        <v>1</v>
      </c>
      <c r="J2380" s="354">
        <v>1</v>
      </c>
      <c r="K2380" s="354">
        <v>0</v>
      </c>
      <c r="L2380" s="354">
        <v>0</v>
      </c>
      <c r="M2380" s="355">
        <v>5</v>
      </c>
      <c r="N2380" s="355">
        <v>5</v>
      </c>
    </row>
    <row r="2381" spans="1:14" hidden="1" x14ac:dyDescent="0.25">
      <c r="A2381" s="354">
        <v>1</v>
      </c>
      <c r="B2381" s="354">
        <v>1</v>
      </c>
      <c r="C2381" s="354">
        <v>1</v>
      </c>
      <c r="D2381" s="354">
        <v>1</v>
      </c>
      <c r="E2381" s="354">
        <v>1</v>
      </c>
      <c r="F2381" s="354">
        <v>1</v>
      </c>
      <c r="G2381" s="354">
        <v>1</v>
      </c>
      <c r="H2381" s="354">
        <v>1</v>
      </c>
      <c r="I2381" s="354">
        <v>1</v>
      </c>
      <c r="J2381" s="354">
        <v>1</v>
      </c>
      <c r="K2381" s="354">
        <v>0</v>
      </c>
      <c r="L2381" s="354">
        <v>0</v>
      </c>
      <c r="M2381" s="355">
        <v>5</v>
      </c>
      <c r="N2381" s="355">
        <v>5</v>
      </c>
    </row>
    <row r="2382" spans="1:14" hidden="1" x14ac:dyDescent="0.25">
      <c r="A2382" s="354">
        <v>0</v>
      </c>
      <c r="B2382" s="354">
        <v>0</v>
      </c>
      <c r="C2382" s="354">
        <v>1</v>
      </c>
      <c r="D2382" s="354">
        <v>1</v>
      </c>
      <c r="E2382" s="354">
        <v>1</v>
      </c>
      <c r="F2382" s="354">
        <v>1</v>
      </c>
      <c r="G2382" s="354">
        <v>1</v>
      </c>
      <c r="H2382" s="354">
        <v>1</v>
      </c>
      <c r="I2382" s="354">
        <v>1</v>
      </c>
      <c r="J2382" s="354">
        <v>1</v>
      </c>
      <c r="K2382" s="354">
        <v>0</v>
      </c>
      <c r="L2382" s="354">
        <v>0</v>
      </c>
      <c r="M2382" s="355">
        <v>4</v>
      </c>
      <c r="N2382" s="355">
        <v>4</v>
      </c>
    </row>
    <row r="2383" spans="1:14" hidden="1" x14ac:dyDescent="0.25">
      <c r="A2383" s="354">
        <v>1</v>
      </c>
      <c r="B2383" s="354">
        <v>1</v>
      </c>
      <c r="C2383" s="354">
        <v>1</v>
      </c>
      <c r="D2383" s="354">
        <v>1</v>
      </c>
      <c r="E2383" s="354">
        <v>1</v>
      </c>
      <c r="F2383" s="354">
        <v>1</v>
      </c>
      <c r="G2383" s="354">
        <v>1</v>
      </c>
      <c r="H2383" s="354">
        <v>0</v>
      </c>
      <c r="I2383" s="354">
        <v>0</v>
      </c>
      <c r="J2383" s="354">
        <v>0</v>
      </c>
      <c r="K2383" s="354">
        <v>0</v>
      </c>
      <c r="L2383" s="354">
        <v>0</v>
      </c>
      <c r="M2383" s="355">
        <v>4</v>
      </c>
      <c r="N2383" s="355">
        <v>3</v>
      </c>
    </row>
    <row r="2384" spans="1:14" hidden="1" x14ac:dyDescent="0.25">
      <c r="A2384" s="354">
        <v>1</v>
      </c>
      <c r="B2384" s="354">
        <v>1</v>
      </c>
      <c r="C2384" s="354">
        <v>1</v>
      </c>
      <c r="D2384" s="354">
        <v>0</v>
      </c>
      <c r="E2384" s="354">
        <v>1</v>
      </c>
      <c r="F2384" s="354">
        <v>2</v>
      </c>
      <c r="G2384" s="354">
        <v>1</v>
      </c>
      <c r="H2384" s="354">
        <v>1</v>
      </c>
      <c r="I2384" s="354">
        <v>1</v>
      </c>
      <c r="J2384" s="354">
        <v>1</v>
      </c>
      <c r="K2384" s="354">
        <v>0</v>
      </c>
      <c r="L2384" s="354">
        <v>0</v>
      </c>
      <c r="M2384" s="355">
        <v>5</v>
      </c>
      <c r="N2384" s="355">
        <v>5</v>
      </c>
    </row>
    <row r="2385" spans="1:14" hidden="1" x14ac:dyDescent="0.25">
      <c r="A2385" s="354">
        <v>2</v>
      </c>
      <c r="B2385" s="354">
        <v>1</v>
      </c>
      <c r="C2385" s="354"/>
      <c r="D2385" s="354">
        <v>1</v>
      </c>
      <c r="E2385" s="354"/>
      <c r="F2385" s="354">
        <v>0</v>
      </c>
      <c r="G2385" s="354">
        <v>1</v>
      </c>
      <c r="H2385" s="354">
        <v>1</v>
      </c>
      <c r="I2385" s="354">
        <v>0</v>
      </c>
      <c r="J2385" s="354">
        <v>0</v>
      </c>
      <c r="K2385" s="354">
        <v>0</v>
      </c>
      <c r="L2385" s="354">
        <v>0</v>
      </c>
      <c r="M2385" s="355">
        <v>3</v>
      </c>
      <c r="N2385" s="355">
        <v>3</v>
      </c>
    </row>
    <row r="2386" spans="1:14" hidden="1" x14ac:dyDescent="0.25">
      <c r="A2386" s="354">
        <v>3</v>
      </c>
      <c r="B2386" s="354">
        <v>1</v>
      </c>
      <c r="C2386" s="354">
        <v>1</v>
      </c>
      <c r="D2386" s="354">
        <v>0</v>
      </c>
      <c r="E2386" s="354">
        <v>1</v>
      </c>
      <c r="F2386" s="354">
        <v>1</v>
      </c>
      <c r="G2386" s="354">
        <v>0</v>
      </c>
      <c r="H2386" s="354">
        <v>2</v>
      </c>
      <c r="I2386" s="354">
        <v>1</v>
      </c>
      <c r="J2386" s="354">
        <v>0</v>
      </c>
      <c r="K2386" s="354">
        <v>0</v>
      </c>
      <c r="L2386" s="354">
        <v>0</v>
      </c>
      <c r="M2386" s="355">
        <v>6</v>
      </c>
      <c r="N2386" s="355">
        <v>4</v>
      </c>
    </row>
    <row r="2387" spans="1:14" hidden="1" x14ac:dyDescent="0.25">
      <c r="A2387" s="354">
        <v>1</v>
      </c>
      <c r="B2387" s="354">
        <v>0</v>
      </c>
      <c r="C2387" s="354">
        <v>0</v>
      </c>
      <c r="D2387" s="354">
        <v>1</v>
      </c>
      <c r="E2387" s="354">
        <v>2</v>
      </c>
      <c r="F2387" s="354">
        <v>0</v>
      </c>
      <c r="G2387" s="354">
        <v>0</v>
      </c>
      <c r="H2387" s="354">
        <v>1</v>
      </c>
      <c r="I2387" s="354">
        <v>1</v>
      </c>
      <c r="J2387" s="354">
        <v>0</v>
      </c>
      <c r="K2387" s="354">
        <v>1</v>
      </c>
      <c r="L2387" s="354">
        <v>1</v>
      </c>
      <c r="M2387" s="355">
        <v>5</v>
      </c>
      <c r="N2387" s="355">
        <v>3</v>
      </c>
    </row>
    <row r="2388" spans="1:14" hidden="1" x14ac:dyDescent="0.25">
      <c r="A2388" s="354">
        <v>1</v>
      </c>
      <c r="B2388" s="354">
        <v>1</v>
      </c>
      <c r="C2388" s="354">
        <v>1</v>
      </c>
      <c r="D2388" s="354">
        <v>1</v>
      </c>
      <c r="E2388" s="354">
        <v>1</v>
      </c>
      <c r="F2388" s="354">
        <v>1</v>
      </c>
      <c r="G2388" s="354">
        <v>1</v>
      </c>
      <c r="H2388" s="354">
        <v>1</v>
      </c>
      <c r="I2388" s="354">
        <v>1</v>
      </c>
      <c r="J2388" s="354">
        <v>0</v>
      </c>
      <c r="K2388" s="354">
        <v>0</v>
      </c>
      <c r="L2388" s="354">
        <v>0</v>
      </c>
      <c r="M2388" s="355">
        <v>5</v>
      </c>
      <c r="N2388" s="355">
        <v>4</v>
      </c>
    </row>
    <row r="2389" spans="1:14" hidden="1" x14ac:dyDescent="0.25">
      <c r="A2389" s="354">
        <v>0</v>
      </c>
      <c r="B2389" s="354">
        <v>0</v>
      </c>
      <c r="C2389" s="354">
        <v>0</v>
      </c>
      <c r="D2389" s="354">
        <v>1</v>
      </c>
      <c r="E2389" s="354">
        <v>1</v>
      </c>
      <c r="F2389" s="354">
        <v>1</v>
      </c>
      <c r="G2389" s="354">
        <v>1</v>
      </c>
      <c r="H2389" s="354">
        <v>1</v>
      </c>
      <c r="I2389" s="354">
        <v>1</v>
      </c>
      <c r="J2389" s="354">
        <v>1</v>
      </c>
      <c r="K2389" s="354">
        <v>1</v>
      </c>
      <c r="L2389" s="354">
        <v>1</v>
      </c>
      <c r="M2389" s="355">
        <v>4</v>
      </c>
      <c r="N2389" s="355">
        <v>5</v>
      </c>
    </row>
    <row r="2390" spans="1:14" hidden="1" x14ac:dyDescent="0.25">
      <c r="A2390" s="354">
        <v>1</v>
      </c>
      <c r="B2390" s="354">
        <v>1</v>
      </c>
      <c r="C2390" s="354">
        <v>1</v>
      </c>
      <c r="D2390" s="354">
        <v>1</v>
      </c>
      <c r="E2390" s="354">
        <v>1</v>
      </c>
      <c r="F2390" s="354">
        <v>1</v>
      </c>
      <c r="G2390" s="354">
        <v>1</v>
      </c>
      <c r="H2390" s="354">
        <v>1</v>
      </c>
      <c r="I2390" s="354">
        <v>1</v>
      </c>
      <c r="J2390" s="354">
        <v>1</v>
      </c>
      <c r="K2390" s="354">
        <v>0</v>
      </c>
      <c r="L2390" s="354">
        <v>0</v>
      </c>
      <c r="M2390" s="355">
        <v>5</v>
      </c>
      <c r="N2390" s="355">
        <v>5</v>
      </c>
    </row>
    <row r="2391" spans="1:14" hidden="1" x14ac:dyDescent="0.25">
      <c r="A2391" s="354">
        <v>0</v>
      </c>
      <c r="B2391" s="354">
        <v>0</v>
      </c>
      <c r="C2391" s="354">
        <v>1</v>
      </c>
      <c r="D2391" s="354">
        <v>1</v>
      </c>
      <c r="E2391" s="354">
        <v>1</v>
      </c>
      <c r="F2391" s="354">
        <v>0</v>
      </c>
      <c r="G2391" s="354">
        <v>0</v>
      </c>
      <c r="H2391" s="354">
        <v>0</v>
      </c>
      <c r="I2391" s="354">
        <v>1</v>
      </c>
      <c r="J2391" s="354">
        <v>2</v>
      </c>
      <c r="K2391" s="354"/>
      <c r="L2391" s="354">
        <v>1</v>
      </c>
      <c r="M2391" s="355">
        <v>3</v>
      </c>
      <c r="N2391" s="355">
        <v>4</v>
      </c>
    </row>
    <row r="2392" spans="1:14" hidden="1" x14ac:dyDescent="0.25">
      <c r="A2392" s="354">
        <v>1</v>
      </c>
      <c r="B2392" s="354">
        <v>0</v>
      </c>
      <c r="C2392" s="354">
        <v>0</v>
      </c>
      <c r="D2392" s="354">
        <v>2</v>
      </c>
      <c r="E2392" s="354">
        <v>1</v>
      </c>
      <c r="F2392" s="354">
        <v>1</v>
      </c>
      <c r="G2392" s="354">
        <v>0</v>
      </c>
      <c r="H2392" s="354">
        <v>0</v>
      </c>
      <c r="I2392" s="354">
        <v>1</v>
      </c>
      <c r="J2392" s="354">
        <v>1</v>
      </c>
      <c r="K2392" s="354">
        <v>0</v>
      </c>
      <c r="L2392" s="354">
        <v>1</v>
      </c>
      <c r="M2392" s="355">
        <v>3</v>
      </c>
      <c r="N2392" s="355">
        <v>5</v>
      </c>
    </row>
    <row r="2393" spans="1:14" hidden="1" x14ac:dyDescent="0.25">
      <c r="A2393" s="354">
        <v>0</v>
      </c>
      <c r="B2393" s="354">
        <v>0</v>
      </c>
      <c r="C2393" s="354">
        <v>0</v>
      </c>
      <c r="D2393" s="354">
        <v>1</v>
      </c>
      <c r="E2393" s="354">
        <v>1</v>
      </c>
      <c r="F2393" s="354">
        <v>2</v>
      </c>
      <c r="G2393" s="354">
        <v>0</v>
      </c>
      <c r="H2393" s="354">
        <v>1</v>
      </c>
      <c r="I2393" s="354">
        <v>0</v>
      </c>
      <c r="J2393" s="354">
        <v>1</v>
      </c>
      <c r="K2393" s="354">
        <v>1</v>
      </c>
      <c r="L2393" s="354">
        <v>0</v>
      </c>
      <c r="M2393" s="355">
        <v>2</v>
      </c>
      <c r="N2393" s="355">
        <v>5</v>
      </c>
    </row>
    <row r="2394" spans="1:14" hidden="1" x14ac:dyDescent="0.25">
      <c r="A2394" s="354">
        <v>0</v>
      </c>
      <c r="B2394" s="354">
        <v>1</v>
      </c>
      <c r="C2394" s="354">
        <v>0</v>
      </c>
      <c r="D2394" s="354">
        <v>1</v>
      </c>
      <c r="E2394" s="354">
        <v>1</v>
      </c>
      <c r="F2394" s="354">
        <v>0</v>
      </c>
      <c r="G2394" s="354">
        <v>1</v>
      </c>
      <c r="H2394" s="354">
        <v>0</v>
      </c>
      <c r="I2394" s="354">
        <v>2</v>
      </c>
      <c r="J2394" s="354">
        <v>1</v>
      </c>
      <c r="K2394" s="354">
        <v>0</v>
      </c>
      <c r="L2394" s="354">
        <v>0</v>
      </c>
      <c r="M2394" s="355">
        <v>4</v>
      </c>
      <c r="N2394" s="355">
        <v>3</v>
      </c>
    </row>
    <row r="2395" spans="1:14" hidden="1" x14ac:dyDescent="0.25">
      <c r="A2395" s="354">
        <v>1</v>
      </c>
      <c r="B2395" s="354">
        <v>0</v>
      </c>
      <c r="C2395" s="354">
        <v>2</v>
      </c>
      <c r="D2395" s="354">
        <v>2</v>
      </c>
      <c r="E2395" s="354">
        <v>0</v>
      </c>
      <c r="F2395" s="354">
        <v>1</v>
      </c>
      <c r="G2395" s="354">
        <v>0</v>
      </c>
      <c r="H2395" s="354">
        <v>1</v>
      </c>
      <c r="I2395" s="354">
        <v>1</v>
      </c>
      <c r="J2395" s="354">
        <v>1</v>
      </c>
      <c r="K2395" s="354">
        <v>0</v>
      </c>
      <c r="L2395" s="354">
        <v>0</v>
      </c>
      <c r="M2395" s="355">
        <v>4</v>
      </c>
      <c r="N2395" s="355">
        <v>5</v>
      </c>
    </row>
    <row r="2396" spans="1:14" hidden="1" x14ac:dyDescent="0.25">
      <c r="A2396" s="354">
        <v>1</v>
      </c>
      <c r="B2396" s="354">
        <v>1</v>
      </c>
      <c r="C2396" s="354">
        <v>1</v>
      </c>
      <c r="D2396" s="354">
        <v>1</v>
      </c>
      <c r="E2396" s="354">
        <v>1</v>
      </c>
      <c r="F2396" s="354">
        <v>2</v>
      </c>
      <c r="G2396" s="354">
        <v>1</v>
      </c>
      <c r="H2396" s="354">
        <v>1</v>
      </c>
      <c r="I2396" s="354">
        <v>1</v>
      </c>
      <c r="J2396" s="354">
        <v>3</v>
      </c>
      <c r="K2396" s="354">
        <v>0</v>
      </c>
      <c r="L2396" s="354">
        <v>0</v>
      </c>
      <c r="M2396" s="355">
        <v>5</v>
      </c>
      <c r="N2396" s="355">
        <v>8</v>
      </c>
    </row>
    <row r="2397" spans="1:14" hidden="1" x14ac:dyDescent="0.25">
      <c r="A2397" s="354">
        <v>1</v>
      </c>
      <c r="B2397" s="354">
        <v>0</v>
      </c>
      <c r="C2397" s="354">
        <v>1</v>
      </c>
      <c r="D2397" s="354">
        <v>0</v>
      </c>
      <c r="E2397" s="354">
        <v>1</v>
      </c>
      <c r="F2397" s="354">
        <v>1</v>
      </c>
      <c r="G2397" s="354">
        <v>0</v>
      </c>
      <c r="H2397" s="354">
        <v>0</v>
      </c>
      <c r="I2397" s="354">
        <v>1</v>
      </c>
      <c r="J2397" s="354">
        <v>1</v>
      </c>
      <c r="K2397" s="354">
        <v>0</v>
      </c>
      <c r="L2397" s="354">
        <v>0</v>
      </c>
      <c r="M2397" s="355">
        <v>4</v>
      </c>
      <c r="N2397" s="355">
        <v>2</v>
      </c>
    </row>
    <row r="2398" spans="1:14" hidden="1" x14ac:dyDescent="0.25">
      <c r="A2398" s="354">
        <v>1</v>
      </c>
      <c r="B2398" s="354">
        <v>1</v>
      </c>
      <c r="C2398" s="354">
        <v>1</v>
      </c>
      <c r="D2398" s="354">
        <v>0</v>
      </c>
      <c r="E2398" s="354">
        <v>0</v>
      </c>
      <c r="F2398" s="354">
        <v>1</v>
      </c>
      <c r="G2398" s="354">
        <v>1</v>
      </c>
      <c r="H2398" s="354">
        <v>1</v>
      </c>
      <c r="I2398" s="354">
        <v>1</v>
      </c>
      <c r="J2398" s="354">
        <v>1</v>
      </c>
      <c r="K2398" s="354">
        <v>0</v>
      </c>
      <c r="L2398" s="354">
        <v>0</v>
      </c>
      <c r="M2398" s="355">
        <v>4</v>
      </c>
      <c r="N2398" s="355">
        <v>4</v>
      </c>
    </row>
    <row r="2399" spans="1:14" hidden="1" x14ac:dyDescent="0.25">
      <c r="A2399" s="354">
        <v>0</v>
      </c>
      <c r="B2399" s="354">
        <v>1</v>
      </c>
      <c r="C2399" s="354">
        <v>1</v>
      </c>
      <c r="D2399" s="354">
        <v>1</v>
      </c>
      <c r="E2399" s="354">
        <v>2</v>
      </c>
      <c r="F2399" s="354">
        <v>1</v>
      </c>
      <c r="G2399" s="354">
        <v>2</v>
      </c>
      <c r="H2399" s="354">
        <v>1</v>
      </c>
      <c r="I2399" s="354">
        <v>1</v>
      </c>
      <c r="J2399" s="354">
        <v>1</v>
      </c>
      <c r="K2399" s="354">
        <v>0</v>
      </c>
      <c r="L2399" s="354">
        <v>0</v>
      </c>
      <c r="M2399" s="355">
        <v>6</v>
      </c>
      <c r="N2399" s="355">
        <v>5</v>
      </c>
    </row>
    <row r="2400" spans="1:14" hidden="1" x14ac:dyDescent="0.25">
      <c r="A2400" s="354">
        <v>1</v>
      </c>
      <c r="B2400" s="354">
        <v>1</v>
      </c>
      <c r="C2400" s="354">
        <v>1</v>
      </c>
      <c r="D2400" s="354">
        <v>1</v>
      </c>
      <c r="E2400" s="354">
        <v>1</v>
      </c>
      <c r="F2400" s="354">
        <v>1</v>
      </c>
      <c r="G2400" s="354">
        <v>1</v>
      </c>
      <c r="H2400" s="354">
        <v>1</v>
      </c>
      <c r="I2400" s="354">
        <v>1</v>
      </c>
      <c r="J2400" s="354">
        <v>1</v>
      </c>
      <c r="K2400" s="354">
        <v>0</v>
      </c>
      <c r="L2400" s="354">
        <v>0</v>
      </c>
      <c r="M2400" s="355">
        <v>5</v>
      </c>
      <c r="N2400" s="355">
        <v>5</v>
      </c>
    </row>
    <row r="2401" spans="1:14" hidden="1" x14ac:dyDescent="0.25">
      <c r="A2401" s="354">
        <v>0</v>
      </c>
      <c r="B2401" s="354">
        <v>0</v>
      </c>
      <c r="C2401" s="354">
        <v>1</v>
      </c>
      <c r="D2401" s="354">
        <v>1</v>
      </c>
      <c r="E2401" s="354">
        <v>1</v>
      </c>
      <c r="F2401" s="354">
        <v>1</v>
      </c>
      <c r="G2401" s="354">
        <v>1</v>
      </c>
      <c r="H2401" s="354">
        <v>0</v>
      </c>
      <c r="I2401" s="354">
        <v>0</v>
      </c>
      <c r="J2401" s="354">
        <v>1</v>
      </c>
      <c r="K2401" s="354">
        <v>0</v>
      </c>
      <c r="L2401" s="354">
        <v>0</v>
      </c>
      <c r="M2401" s="355">
        <v>3</v>
      </c>
      <c r="N2401" s="355">
        <v>3</v>
      </c>
    </row>
    <row r="2402" spans="1:14" hidden="1" x14ac:dyDescent="0.25">
      <c r="A2402" s="354">
        <v>0</v>
      </c>
      <c r="B2402" s="354">
        <v>0</v>
      </c>
      <c r="C2402" s="354">
        <v>0</v>
      </c>
      <c r="D2402" s="354">
        <v>0</v>
      </c>
      <c r="E2402" s="354">
        <v>0</v>
      </c>
      <c r="F2402" s="354">
        <v>0</v>
      </c>
      <c r="G2402" s="354">
        <v>2</v>
      </c>
      <c r="H2402" s="354">
        <v>0</v>
      </c>
      <c r="I2402" s="354">
        <v>5</v>
      </c>
      <c r="J2402" s="354">
        <v>3</v>
      </c>
      <c r="K2402" s="354">
        <v>1</v>
      </c>
      <c r="L2402" s="354">
        <v>0</v>
      </c>
      <c r="M2402" s="355">
        <v>8</v>
      </c>
      <c r="N2402" s="355">
        <v>3</v>
      </c>
    </row>
    <row r="2403" spans="1:14" hidden="1" x14ac:dyDescent="0.25">
      <c r="A2403" s="354">
        <v>0</v>
      </c>
      <c r="B2403" s="354">
        <v>0</v>
      </c>
      <c r="C2403" s="354">
        <v>0</v>
      </c>
      <c r="D2403" s="354">
        <v>0</v>
      </c>
      <c r="E2403" s="354">
        <v>0</v>
      </c>
      <c r="F2403" s="354">
        <v>0</v>
      </c>
      <c r="G2403" s="354">
        <v>2</v>
      </c>
      <c r="H2403" s="354">
        <v>0</v>
      </c>
      <c r="I2403" s="354">
        <v>1</v>
      </c>
      <c r="J2403" s="354">
        <v>1</v>
      </c>
      <c r="K2403" s="354">
        <v>0</v>
      </c>
      <c r="L2403" s="354">
        <v>0</v>
      </c>
      <c r="M2403" s="355">
        <v>3</v>
      </c>
      <c r="N2403" s="355">
        <v>1</v>
      </c>
    </row>
    <row r="2404" spans="1:14" hidden="1" x14ac:dyDescent="0.25">
      <c r="A2404" s="354">
        <v>1</v>
      </c>
      <c r="B2404" s="354">
        <v>0</v>
      </c>
      <c r="C2404" s="354">
        <v>1</v>
      </c>
      <c r="D2404" s="354">
        <v>0</v>
      </c>
      <c r="E2404" s="354">
        <v>1</v>
      </c>
      <c r="F2404" s="354">
        <v>0</v>
      </c>
      <c r="G2404" s="354">
        <v>0</v>
      </c>
      <c r="H2404" s="354">
        <v>0</v>
      </c>
      <c r="I2404" s="354">
        <v>1</v>
      </c>
      <c r="J2404" s="354">
        <v>1</v>
      </c>
      <c r="K2404" s="354">
        <v>0</v>
      </c>
      <c r="L2404" s="354">
        <v>0</v>
      </c>
      <c r="M2404" s="355">
        <v>4</v>
      </c>
      <c r="N2404" s="355">
        <v>1</v>
      </c>
    </row>
    <row r="2405" spans="1:14" hidden="1" x14ac:dyDescent="0.25">
      <c r="A2405" s="354">
        <v>0</v>
      </c>
      <c r="B2405" s="354">
        <v>0</v>
      </c>
      <c r="C2405" s="354">
        <v>0</v>
      </c>
      <c r="D2405" s="354">
        <v>2</v>
      </c>
      <c r="E2405" s="354">
        <v>0</v>
      </c>
      <c r="F2405" s="354">
        <v>0</v>
      </c>
      <c r="G2405" s="354">
        <v>0</v>
      </c>
      <c r="H2405" s="354">
        <v>0</v>
      </c>
      <c r="I2405" s="354">
        <v>3</v>
      </c>
      <c r="J2405" s="354">
        <v>1</v>
      </c>
      <c r="K2405" s="354">
        <v>0</v>
      </c>
      <c r="L2405" s="354">
        <v>0</v>
      </c>
      <c r="M2405" s="355">
        <v>3</v>
      </c>
      <c r="N2405" s="355">
        <v>3</v>
      </c>
    </row>
    <row r="2406" spans="1:14" hidden="1" x14ac:dyDescent="0.25">
      <c r="A2406" s="354">
        <v>0</v>
      </c>
      <c r="B2406" s="354">
        <v>2</v>
      </c>
      <c r="C2406" s="354">
        <v>2</v>
      </c>
      <c r="D2406" s="354">
        <v>0</v>
      </c>
      <c r="E2406" s="354">
        <v>1</v>
      </c>
      <c r="F2406" s="354">
        <v>0</v>
      </c>
      <c r="G2406" s="354">
        <v>0</v>
      </c>
      <c r="H2406" s="354">
        <v>0</v>
      </c>
      <c r="I2406" s="354">
        <v>1</v>
      </c>
      <c r="J2406" s="354">
        <v>1</v>
      </c>
      <c r="K2406" s="354">
        <v>0</v>
      </c>
      <c r="L2406" s="354">
        <v>0</v>
      </c>
      <c r="M2406" s="355">
        <v>4</v>
      </c>
      <c r="N2406" s="355">
        <v>3</v>
      </c>
    </row>
    <row r="2407" spans="1:14" hidden="1" x14ac:dyDescent="0.25">
      <c r="A2407" s="354">
        <v>1</v>
      </c>
      <c r="B2407" s="354">
        <v>1</v>
      </c>
      <c r="C2407" s="354">
        <v>0</v>
      </c>
      <c r="D2407" s="354">
        <v>2</v>
      </c>
      <c r="E2407" s="354">
        <v>1</v>
      </c>
      <c r="F2407" s="354">
        <v>0</v>
      </c>
      <c r="G2407" s="354">
        <v>1</v>
      </c>
      <c r="H2407" s="354">
        <v>1</v>
      </c>
      <c r="I2407" s="354">
        <v>1</v>
      </c>
      <c r="J2407" s="354">
        <v>3</v>
      </c>
      <c r="K2407" s="354">
        <v>1</v>
      </c>
      <c r="L2407" s="354">
        <v>1</v>
      </c>
      <c r="M2407" s="355">
        <v>5</v>
      </c>
      <c r="N2407" s="355">
        <v>8</v>
      </c>
    </row>
    <row r="2408" spans="1:14" hidden="1" x14ac:dyDescent="0.25">
      <c r="A2408" s="354">
        <v>0</v>
      </c>
      <c r="B2408" s="354">
        <v>1</v>
      </c>
      <c r="C2408" s="354">
        <v>1</v>
      </c>
      <c r="D2408" s="354">
        <v>0</v>
      </c>
      <c r="E2408" s="354">
        <v>0</v>
      </c>
      <c r="F2408" s="354">
        <v>1</v>
      </c>
      <c r="G2408" s="354">
        <v>0</v>
      </c>
      <c r="H2408" s="354">
        <v>0</v>
      </c>
      <c r="I2408" s="354">
        <v>3</v>
      </c>
      <c r="J2408" s="354">
        <v>1</v>
      </c>
      <c r="K2408" s="354">
        <v>0</v>
      </c>
      <c r="L2408" s="354">
        <v>0</v>
      </c>
      <c r="M2408" s="355">
        <v>4</v>
      </c>
      <c r="N2408" s="355">
        <v>3</v>
      </c>
    </row>
    <row r="2409" spans="1:14" hidden="1" x14ac:dyDescent="0.25">
      <c r="A2409" s="354">
        <v>0</v>
      </c>
      <c r="B2409" s="354">
        <v>0</v>
      </c>
      <c r="C2409" s="354">
        <v>1</v>
      </c>
      <c r="D2409" s="354">
        <v>1</v>
      </c>
      <c r="E2409" s="354">
        <v>1</v>
      </c>
      <c r="F2409" s="354">
        <v>1</v>
      </c>
      <c r="G2409" s="354">
        <v>1</v>
      </c>
      <c r="H2409" s="354">
        <v>1</v>
      </c>
      <c r="I2409" s="354">
        <v>1</v>
      </c>
      <c r="J2409" s="354">
        <v>1</v>
      </c>
      <c r="K2409" s="354">
        <v>0</v>
      </c>
      <c r="L2409" s="354">
        <v>0</v>
      </c>
      <c r="M2409" s="355">
        <v>4</v>
      </c>
      <c r="N2409" s="355">
        <v>4</v>
      </c>
    </row>
    <row r="2410" spans="1:14" hidden="1" x14ac:dyDescent="0.25">
      <c r="A2410" s="354">
        <v>0</v>
      </c>
      <c r="B2410" s="354">
        <v>1</v>
      </c>
      <c r="C2410" s="354">
        <v>1</v>
      </c>
      <c r="D2410" s="354">
        <v>1</v>
      </c>
      <c r="E2410" s="354">
        <v>2</v>
      </c>
      <c r="F2410" s="354">
        <v>2</v>
      </c>
      <c r="G2410" s="354">
        <v>1</v>
      </c>
      <c r="H2410" s="354">
        <v>0</v>
      </c>
      <c r="I2410" s="354">
        <v>0</v>
      </c>
      <c r="J2410" s="354">
        <v>0</v>
      </c>
      <c r="K2410" s="354">
        <v>0</v>
      </c>
      <c r="L2410" s="354">
        <v>0</v>
      </c>
      <c r="M2410" s="355">
        <v>4</v>
      </c>
      <c r="N2410" s="355">
        <v>4</v>
      </c>
    </row>
    <row r="2411" spans="1:14" hidden="1" x14ac:dyDescent="0.25">
      <c r="A2411" s="354">
        <v>1</v>
      </c>
      <c r="B2411" s="354">
        <v>0</v>
      </c>
      <c r="C2411" s="354">
        <v>1</v>
      </c>
      <c r="D2411" s="354">
        <v>1</v>
      </c>
      <c r="E2411" s="354">
        <v>0</v>
      </c>
      <c r="F2411" s="354">
        <v>0</v>
      </c>
      <c r="G2411" s="354">
        <v>0</v>
      </c>
      <c r="H2411" s="354">
        <v>0</v>
      </c>
      <c r="I2411" s="354">
        <v>1</v>
      </c>
      <c r="J2411" s="354">
        <v>1</v>
      </c>
      <c r="K2411" s="354">
        <v>0</v>
      </c>
      <c r="L2411" s="354">
        <v>0</v>
      </c>
      <c r="M2411" s="355">
        <v>3</v>
      </c>
      <c r="N2411" s="355">
        <v>2</v>
      </c>
    </row>
    <row r="2412" spans="1:14" hidden="1" x14ac:dyDescent="0.25">
      <c r="A2412" s="354">
        <v>1</v>
      </c>
      <c r="B2412" s="354">
        <v>0</v>
      </c>
      <c r="C2412" s="354">
        <v>1</v>
      </c>
      <c r="D2412" s="354">
        <v>1</v>
      </c>
      <c r="E2412" s="354">
        <v>0</v>
      </c>
      <c r="F2412" s="354">
        <v>2</v>
      </c>
      <c r="G2412" s="354">
        <v>1</v>
      </c>
      <c r="H2412" s="354">
        <v>1</v>
      </c>
      <c r="I2412" s="354">
        <v>1</v>
      </c>
      <c r="J2412" s="354">
        <v>0</v>
      </c>
      <c r="K2412" s="354">
        <v>0</v>
      </c>
      <c r="L2412" s="354">
        <v>0</v>
      </c>
      <c r="M2412" s="355">
        <v>4</v>
      </c>
      <c r="N2412" s="355">
        <v>4</v>
      </c>
    </row>
    <row r="2413" spans="1:14" hidden="1" x14ac:dyDescent="0.25">
      <c r="A2413" s="354">
        <v>0</v>
      </c>
      <c r="B2413" s="354">
        <v>0</v>
      </c>
      <c r="C2413" s="354">
        <v>0</v>
      </c>
      <c r="D2413" s="354">
        <v>0</v>
      </c>
      <c r="E2413" s="354">
        <v>1</v>
      </c>
      <c r="F2413" s="354">
        <v>2</v>
      </c>
      <c r="G2413" s="354">
        <v>2</v>
      </c>
      <c r="H2413" s="354">
        <v>1</v>
      </c>
      <c r="I2413" s="354">
        <v>2</v>
      </c>
      <c r="J2413" s="354">
        <v>1</v>
      </c>
      <c r="K2413" s="354">
        <v>1</v>
      </c>
      <c r="L2413" s="354">
        <v>0</v>
      </c>
      <c r="M2413" s="355">
        <v>6</v>
      </c>
      <c r="N2413" s="355">
        <v>4</v>
      </c>
    </row>
    <row r="2414" spans="1:14" hidden="1" x14ac:dyDescent="0.25">
      <c r="A2414" s="354">
        <v>0</v>
      </c>
      <c r="B2414" s="354">
        <v>0</v>
      </c>
      <c r="C2414" s="354">
        <v>0</v>
      </c>
      <c r="D2414" s="354">
        <v>0</v>
      </c>
      <c r="E2414" s="354">
        <v>0</v>
      </c>
      <c r="F2414" s="354">
        <v>0</v>
      </c>
      <c r="G2414" s="354">
        <v>0</v>
      </c>
      <c r="H2414" s="354">
        <v>0</v>
      </c>
      <c r="I2414" s="354">
        <v>0</v>
      </c>
      <c r="J2414" s="354">
        <v>1</v>
      </c>
      <c r="K2414" s="354">
        <v>1</v>
      </c>
      <c r="L2414" s="354">
        <v>1</v>
      </c>
      <c r="M2414" s="355">
        <v>1</v>
      </c>
      <c r="N2414" s="355">
        <v>2</v>
      </c>
    </row>
    <row r="2415" spans="1:14" hidden="1" x14ac:dyDescent="0.25">
      <c r="A2415" s="354">
        <v>0</v>
      </c>
      <c r="B2415" s="354">
        <v>0</v>
      </c>
      <c r="C2415" s="354">
        <v>1</v>
      </c>
      <c r="D2415" s="354">
        <v>0</v>
      </c>
      <c r="E2415" s="354">
        <v>1</v>
      </c>
      <c r="F2415" s="354">
        <v>0</v>
      </c>
      <c r="G2415" s="354">
        <v>0</v>
      </c>
      <c r="H2415" s="354">
        <v>0</v>
      </c>
      <c r="I2415" s="354">
        <v>1</v>
      </c>
      <c r="J2415" s="354">
        <v>1</v>
      </c>
      <c r="K2415" s="354">
        <v>0</v>
      </c>
      <c r="L2415" s="354">
        <v>0</v>
      </c>
      <c r="M2415" s="355">
        <v>3</v>
      </c>
      <c r="N2415" s="355">
        <v>1</v>
      </c>
    </row>
    <row r="2416" spans="1:14" hidden="1" x14ac:dyDescent="0.25">
      <c r="A2416" s="354">
        <v>2</v>
      </c>
      <c r="B2416" s="354">
        <v>2</v>
      </c>
      <c r="C2416" s="354">
        <v>0</v>
      </c>
      <c r="D2416" s="354">
        <v>2</v>
      </c>
      <c r="E2416" s="354">
        <v>0</v>
      </c>
      <c r="F2416" s="354">
        <v>0</v>
      </c>
      <c r="G2416" s="354">
        <v>0</v>
      </c>
      <c r="H2416" s="354">
        <v>0</v>
      </c>
      <c r="I2416" s="354">
        <v>1</v>
      </c>
      <c r="J2416" s="354">
        <v>2</v>
      </c>
      <c r="K2416" s="354">
        <v>0</v>
      </c>
      <c r="L2416" s="354">
        <v>0</v>
      </c>
      <c r="M2416" s="355">
        <v>3</v>
      </c>
      <c r="N2416" s="355">
        <v>6</v>
      </c>
    </row>
    <row r="2417" spans="1:14" hidden="1" x14ac:dyDescent="0.25">
      <c r="A2417" s="354">
        <v>0</v>
      </c>
      <c r="B2417" s="354">
        <v>1</v>
      </c>
      <c r="C2417" s="354">
        <v>0</v>
      </c>
      <c r="D2417" s="354">
        <v>0</v>
      </c>
      <c r="E2417" s="354">
        <v>0</v>
      </c>
      <c r="F2417" s="354">
        <v>0</v>
      </c>
      <c r="G2417" s="354">
        <v>1</v>
      </c>
      <c r="H2417" s="354">
        <v>1</v>
      </c>
      <c r="I2417" s="354">
        <v>0</v>
      </c>
      <c r="J2417" s="354">
        <v>1</v>
      </c>
      <c r="K2417" s="354">
        <v>0</v>
      </c>
      <c r="L2417" s="354">
        <v>0</v>
      </c>
      <c r="M2417" s="355">
        <v>1</v>
      </c>
      <c r="N2417" s="355">
        <v>3</v>
      </c>
    </row>
    <row r="2418" spans="1:14" hidden="1" x14ac:dyDescent="0.25">
      <c r="A2418" s="354">
        <v>0</v>
      </c>
      <c r="B2418" s="354">
        <v>1</v>
      </c>
      <c r="C2418" s="354">
        <v>2</v>
      </c>
      <c r="D2418" s="354">
        <v>2</v>
      </c>
      <c r="E2418" s="354">
        <v>3</v>
      </c>
      <c r="F2418" s="354">
        <v>0</v>
      </c>
      <c r="G2418" s="354">
        <v>3</v>
      </c>
      <c r="H2418" s="354">
        <v>0</v>
      </c>
      <c r="I2418" s="354">
        <v>2</v>
      </c>
      <c r="J2418" s="354">
        <v>2</v>
      </c>
      <c r="K2418" s="354">
        <v>0</v>
      </c>
      <c r="L2418" s="354">
        <v>0</v>
      </c>
      <c r="M2418" s="355">
        <v>10</v>
      </c>
      <c r="N2418" s="355">
        <v>5</v>
      </c>
    </row>
    <row r="2419" spans="1:14" hidden="1" x14ac:dyDescent="0.25">
      <c r="A2419" s="354">
        <v>0</v>
      </c>
      <c r="B2419" s="354">
        <v>1</v>
      </c>
      <c r="C2419" s="354">
        <v>2</v>
      </c>
      <c r="D2419" s="354">
        <v>0</v>
      </c>
      <c r="E2419" s="354">
        <v>1</v>
      </c>
      <c r="F2419" s="354">
        <v>0</v>
      </c>
      <c r="G2419" s="354">
        <v>2</v>
      </c>
      <c r="H2419" s="354">
        <v>0</v>
      </c>
      <c r="I2419" s="354">
        <v>1</v>
      </c>
      <c r="J2419" s="354">
        <v>1</v>
      </c>
      <c r="K2419" s="354">
        <v>0</v>
      </c>
      <c r="L2419" s="354">
        <v>0</v>
      </c>
      <c r="M2419" s="355">
        <v>6</v>
      </c>
      <c r="N2419" s="355">
        <v>2</v>
      </c>
    </row>
    <row r="2420" spans="1:14" hidden="1" x14ac:dyDescent="0.25">
      <c r="A2420" s="354">
        <v>1</v>
      </c>
      <c r="B2420" s="354">
        <v>0</v>
      </c>
      <c r="C2420" s="354">
        <v>1</v>
      </c>
      <c r="D2420" s="354">
        <v>0</v>
      </c>
      <c r="E2420" s="354">
        <v>1</v>
      </c>
      <c r="F2420" s="354">
        <v>0</v>
      </c>
      <c r="G2420" s="354">
        <v>0</v>
      </c>
      <c r="H2420" s="354">
        <v>0</v>
      </c>
      <c r="I2420" s="354">
        <v>1</v>
      </c>
      <c r="J2420" s="354">
        <v>1</v>
      </c>
      <c r="K2420" s="354">
        <v>0</v>
      </c>
      <c r="L2420" s="354">
        <v>0</v>
      </c>
      <c r="M2420" s="355">
        <v>4</v>
      </c>
      <c r="N2420" s="355">
        <v>1</v>
      </c>
    </row>
    <row r="2421" spans="1:14" hidden="1" x14ac:dyDescent="0.25">
      <c r="A2421" s="354">
        <v>0</v>
      </c>
      <c r="B2421" s="354">
        <v>0</v>
      </c>
      <c r="C2421" s="354">
        <v>1</v>
      </c>
      <c r="D2421" s="354">
        <v>0</v>
      </c>
      <c r="E2421" s="354">
        <v>3</v>
      </c>
      <c r="F2421" s="354">
        <v>0</v>
      </c>
      <c r="G2421" s="354">
        <v>2</v>
      </c>
      <c r="H2421" s="354">
        <v>0</v>
      </c>
      <c r="I2421" s="354">
        <v>1</v>
      </c>
      <c r="J2421" s="354">
        <v>2</v>
      </c>
      <c r="K2421" s="354">
        <v>0</v>
      </c>
      <c r="L2421" s="354">
        <v>0</v>
      </c>
      <c r="M2421" s="355">
        <v>7</v>
      </c>
      <c r="N2421" s="355">
        <v>2</v>
      </c>
    </row>
    <row r="2422" spans="1:14" hidden="1" x14ac:dyDescent="0.25">
      <c r="A2422" s="354">
        <v>0</v>
      </c>
      <c r="B2422" s="354">
        <v>1</v>
      </c>
      <c r="C2422" s="354">
        <v>0</v>
      </c>
      <c r="D2422" s="354">
        <v>1</v>
      </c>
      <c r="E2422" s="354">
        <v>1</v>
      </c>
      <c r="F2422" s="354">
        <v>0</v>
      </c>
      <c r="G2422" s="354">
        <v>0</v>
      </c>
      <c r="H2422" s="354">
        <v>0</v>
      </c>
      <c r="I2422" s="354">
        <v>1</v>
      </c>
      <c r="J2422" s="354">
        <v>2</v>
      </c>
      <c r="K2422" s="354">
        <v>0</v>
      </c>
      <c r="L2422" s="354">
        <v>0</v>
      </c>
      <c r="M2422" s="355">
        <v>2</v>
      </c>
      <c r="N2422" s="355">
        <v>4</v>
      </c>
    </row>
    <row r="2423" spans="1:14" hidden="1" x14ac:dyDescent="0.25">
      <c r="A2423" s="354">
        <v>0</v>
      </c>
      <c r="B2423" s="354">
        <v>1</v>
      </c>
      <c r="C2423" s="354">
        <v>1</v>
      </c>
      <c r="D2423" s="354">
        <v>1</v>
      </c>
      <c r="E2423" s="354">
        <v>0</v>
      </c>
      <c r="F2423" s="354">
        <v>0</v>
      </c>
      <c r="G2423" s="354">
        <v>1</v>
      </c>
      <c r="H2423" s="354">
        <v>1</v>
      </c>
      <c r="I2423" s="354">
        <v>1</v>
      </c>
      <c r="J2423" s="354">
        <v>1</v>
      </c>
      <c r="K2423" s="354">
        <v>0</v>
      </c>
      <c r="L2423" s="354">
        <v>0</v>
      </c>
      <c r="M2423" s="355">
        <v>3</v>
      </c>
      <c r="N2423" s="355">
        <v>4</v>
      </c>
    </row>
    <row r="2424" spans="1:14" hidden="1" x14ac:dyDescent="0.25">
      <c r="A2424" s="354">
        <v>0</v>
      </c>
      <c r="B2424" s="354">
        <v>0</v>
      </c>
      <c r="C2424" s="354">
        <v>0</v>
      </c>
      <c r="D2424" s="354">
        <v>1</v>
      </c>
      <c r="E2424" s="354">
        <v>2</v>
      </c>
      <c r="F2424" s="354">
        <v>1</v>
      </c>
      <c r="G2424" s="354">
        <v>1</v>
      </c>
      <c r="H2424" s="354">
        <v>3</v>
      </c>
      <c r="I2424" s="354">
        <v>1</v>
      </c>
      <c r="J2424" s="354">
        <v>1</v>
      </c>
      <c r="K2424" s="354">
        <v>0</v>
      </c>
      <c r="L2424" s="354">
        <v>0</v>
      </c>
      <c r="M2424" s="355">
        <v>4</v>
      </c>
      <c r="N2424" s="355">
        <v>6</v>
      </c>
    </row>
    <row r="2425" spans="1:14" hidden="1" x14ac:dyDescent="0.25">
      <c r="A2425" s="354">
        <v>0</v>
      </c>
      <c r="B2425" s="354">
        <v>0</v>
      </c>
      <c r="C2425" s="354">
        <v>0</v>
      </c>
      <c r="D2425" s="354">
        <v>0</v>
      </c>
      <c r="E2425" s="354">
        <v>0</v>
      </c>
      <c r="F2425" s="354">
        <v>0</v>
      </c>
      <c r="G2425" s="354">
        <v>0</v>
      </c>
      <c r="H2425" s="354">
        <v>0</v>
      </c>
      <c r="I2425" s="354">
        <v>0</v>
      </c>
      <c r="J2425" s="354">
        <v>0</v>
      </c>
      <c r="K2425" s="354">
        <v>0</v>
      </c>
      <c r="L2425" s="354">
        <v>1</v>
      </c>
      <c r="M2425" s="355">
        <v>0</v>
      </c>
      <c r="N2425" s="355">
        <v>1</v>
      </c>
    </row>
    <row r="2426" spans="1:14" hidden="1" x14ac:dyDescent="0.25">
      <c r="A2426" s="354">
        <v>1</v>
      </c>
      <c r="B2426" s="354">
        <v>1</v>
      </c>
      <c r="C2426" s="354">
        <v>0</v>
      </c>
      <c r="D2426" s="354">
        <v>2</v>
      </c>
      <c r="E2426" s="354">
        <v>0</v>
      </c>
      <c r="F2426" s="354">
        <v>1</v>
      </c>
      <c r="G2426" s="354">
        <v>0</v>
      </c>
      <c r="H2426" s="354">
        <v>0</v>
      </c>
      <c r="I2426" s="354">
        <v>1</v>
      </c>
      <c r="J2426" s="354">
        <v>1</v>
      </c>
      <c r="K2426" s="354">
        <v>0</v>
      </c>
      <c r="L2426" s="354">
        <v>0</v>
      </c>
      <c r="M2426" s="355">
        <v>2</v>
      </c>
      <c r="N2426" s="355">
        <v>5</v>
      </c>
    </row>
    <row r="2427" spans="1:14" hidden="1" x14ac:dyDescent="0.25">
      <c r="A2427" s="354">
        <v>0</v>
      </c>
      <c r="B2427" s="354">
        <v>1</v>
      </c>
      <c r="C2427" s="354">
        <v>0</v>
      </c>
      <c r="D2427" s="354">
        <v>2</v>
      </c>
      <c r="E2427" s="354">
        <v>0</v>
      </c>
      <c r="F2427" s="354">
        <v>0</v>
      </c>
      <c r="G2427" s="354">
        <v>0</v>
      </c>
      <c r="H2427" s="354">
        <v>0</v>
      </c>
      <c r="I2427" s="354">
        <v>1</v>
      </c>
      <c r="J2427" s="354">
        <v>1</v>
      </c>
      <c r="K2427" s="354">
        <v>0</v>
      </c>
      <c r="L2427" s="354">
        <v>0</v>
      </c>
      <c r="M2427" s="355">
        <v>1</v>
      </c>
      <c r="N2427" s="355">
        <v>4</v>
      </c>
    </row>
    <row r="2428" spans="1:14" hidden="1" x14ac:dyDescent="0.25">
      <c r="A2428" s="354">
        <v>1</v>
      </c>
      <c r="B2428" s="354">
        <v>1</v>
      </c>
      <c r="C2428" s="354">
        <v>0</v>
      </c>
      <c r="D2428" s="354">
        <v>0</v>
      </c>
      <c r="E2428" s="354">
        <v>0</v>
      </c>
      <c r="F2428" s="354">
        <v>0</v>
      </c>
      <c r="G2428" s="354">
        <v>0</v>
      </c>
      <c r="H2428" s="354">
        <v>0</v>
      </c>
      <c r="I2428" s="354">
        <v>1</v>
      </c>
      <c r="J2428" s="354">
        <v>1</v>
      </c>
      <c r="K2428" s="354">
        <v>0</v>
      </c>
      <c r="L2428" s="354">
        <v>0</v>
      </c>
      <c r="M2428" s="355">
        <v>2</v>
      </c>
      <c r="N2428" s="355">
        <v>2</v>
      </c>
    </row>
    <row r="2429" spans="1:14" hidden="1" x14ac:dyDescent="0.25">
      <c r="A2429" s="354">
        <v>3</v>
      </c>
      <c r="B2429" s="354">
        <v>4</v>
      </c>
      <c r="C2429" s="354">
        <v>1</v>
      </c>
      <c r="D2429" s="354">
        <v>4</v>
      </c>
      <c r="E2429" s="354">
        <v>3</v>
      </c>
      <c r="F2429" s="354">
        <v>2</v>
      </c>
      <c r="G2429" s="354">
        <v>2</v>
      </c>
      <c r="H2429" s="354">
        <v>1</v>
      </c>
      <c r="I2429" s="354">
        <v>3</v>
      </c>
      <c r="J2429" s="354">
        <v>3</v>
      </c>
      <c r="K2429" s="354">
        <v>0</v>
      </c>
      <c r="L2429" s="354">
        <v>0</v>
      </c>
      <c r="M2429" s="355">
        <v>12</v>
      </c>
      <c r="N2429" s="355">
        <v>14</v>
      </c>
    </row>
    <row r="2430" spans="1:14" hidden="1" x14ac:dyDescent="0.25">
      <c r="A2430" s="354">
        <v>1</v>
      </c>
      <c r="B2430" s="354">
        <v>2</v>
      </c>
      <c r="C2430" s="354">
        <v>0</v>
      </c>
      <c r="D2430" s="354">
        <v>5</v>
      </c>
      <c r="E2430" s="354">
        <v>0</v>
      </c>
      <c r="F2430" s="354">
        <v>0</v>
      </c>
      <c r="G2430" s="354">
        <v>2</v>
      </c>
      <c r="H2430" s="354">
        <v>4</v>
      </c>
      <c r="I2430" s="354">
        <v>1</v>
      </c>
      <c r="J2430" s="354">
        <v>2</v>
      </c>
      <c r="K2430" s="354">
        <v>0</v>
      </c>
      <c r="L2430" s="354">
        <v>0</v>
      </c>
      <c r="M2430" s="355">
        <v>4</v>
      </c>
      <c r="N2430" s="355">
        <v>13</v>
      </c>
    </row>
    <row r="2431" spans="1:14" hidden="1" x14ac:dyDescent="0.25">
      <c r="A2431" s="354">
        <v>1</v>
      </c>
      <c r="B2431" s="354">
        <v>1</v>
      </c>
      <c r="C2431" s="354">
        <v>1</v>
      </c>
      <c r="D2431" s="354">
        <v>1</v>
      </c>
      <c r="E2431" s="354">
        <v>1</v>
      </c>
      <c r="F2431" s="354">
        <v>1</v>
      </c>
      <c r="G2431" s="354">
        <v>1</v>
      </c>
      <c r="H2431" s="354">
        <v>0</v>
      </c>
      <c r="I2431" s="354">
        <v>1</v>
      </c>
      <c r="J2431" s="354">
        <v>2</v>
      </c>
      <c r="K2431" s="354">
        <v>1</v>
      </c>
      <c r="L2431" s="354">
        <v>1</v>
      </c>
      <c r="M2431" s="355">
        <v>6</v>
      </c>
      <c r="N2431" s="355">
        <v>6</v>
      </c>
    </row>
    <row r="2432" spans="1:14" hidden="1" x14ac:dyDescent="0.25">
      <c r="A2432" s="354">
        <v>1</v>
      </c>
      <c r="B2432" s="354">
        <v>0</v>
      </c>
      <c r="C2432" s="354">
        <v>1</v>
      </c>
      <c r="D2432" s="354">
        <v>0</v>
      </c>
      <c r="E2432" s="354">
        <v>1</v>
      </c>
      <c r="F2432" s="354">
        <v>0</v>
      </c>
      <c r="G2432" s="354">
        <v>0</v>
      </c>
      <c r="H2432" s="354">
        <v>0</v>
      </c>
      <c r="I2432" s="354">
        <v>1</v>
      </c>
      <c r="J2432" s="354">
        <v>1</v>
      </c>
      <c r="K2432" s="354">
        <v>0</v>
      </c>
      <c r="L2432" s="354">
        <v>0</v>
      </c>
      <c r="M2432" s="355">
        <v>4</v>
      </c>
      <c r="N2432" s="355">
        <v>1</v>
      </c>
    </row>
    <row r="2433" spans="1:14" hidden="1" x14ac:dyDescent="0.25">
      <c r="A2433" s="354">
        <v>1</v>
      </c>
      <c r="B2433" s="354">
        <v>0</v>
      </c>
      <c r="C2433" s="354">
        <v>1</v>
      </c>
      <c r="D2433" s="354">
        <v>0</v>
      </c>
      <c r="E2433" s="354">
        <v>0</v>
      </c>
      <c r="F2433" s="354">
        <v>1</v>
      </c>
      <c r="G2433" s="354">
        <v>0</v>
      </c>
      <c r="H2433" s="354">
        <v>0</v>
      </c>
      <c r="I2433" s="354">
        <v>0</v>
      </c>
      <c r="J2433" s="354">
        <v>1</v>
      </c>
      <c r="K2433" s="354">
        <v>1</v>
      </c>
      <c r="L2433" s="354">
        <v>0</v>
      </c>
      <c r="M2433" s="355">
        <v>3</v>
      </c>
      <c r="N2433" s="355">
        <v>2</v>
      </c>
    </row>
    <row r="2434" spans="1:14" hidden="1" x14ac:dyDescent="0.25">
      <c r="A2434" s="354">
        <v>1</v>
      </c>
      <c r="B2434" s="354">
        <v>0</v>
      </c>
      <c r="C2434" s="354">
        <v>1</v>
      </c>
      <c r="D2434" s="354">
        <v>0</v>
      </c>
      <c r="E2434" s="354">
        <v>1</v>
      </c>
      <c r="F2434" s="354">
        <v>1</v>
      </c>
      <c r="G2434" s="354">
        <v>1</v>
      </c>
      <c r="H2434" s="354">
        <v>1</v>
      </c>
      <c r="I2434" s="354">
        <v>2</v>
      </c>
      <c r="J2434" s="354">
        <v>2</v>
      </c>
      <c r="K2434" s="354">
        <v>0</v>
      </c>
      <c r="L2434" s="354">
        <v>0</v>
      </c>
      <c r="M2434" s="355">
        <v>6</v>
      </c>
      <c r="N2434" s="355">
        <v>4</v>
      </c>
    </row>
    <row r="2435" spans="1:14" hidden="1" x14ac:dyDescent="0.25">
      <c r="A2435" s="354">
        <v>1</v>
      </c>
      <c r="B2435" s="354">
        <v>1</v>
      </c>
      <c r="C2435" s="354">
        <v>2</v>
      </c>
      <c r="D2435" s="354">
        <v>1</v>
      </c>
      <c r="E2435" s="354">
        <v>0</v>
      </c>
      <c r="F2435" s="354">
        <v>2</v>
      </c>
      <c r="G2435" s="354">
        <v>2</v>
      </c>
      <c r="H2435" s="354">
        <v>0</v>
      </c>
      <c r="I2435" s="354">
        <v>1</v>
      </c>
      <c r="J2435" s="354">
        <v>2</v>
      </c>
      <c r="K2435" s="354">
        <v>0</v>
      </c>
      <c r="L2435" s="354">
        <v>0</v>
      </c>
      <c r="M2435" s="355">
        <v>6</v>
      </c>
      <c r="N2435" s="355">
        <v>6</v>
      </c>
    </row>
    <row r="2436" spans="1:14" hidden="1" x14ac:dyDescent="0.25">
      <c r="A2436" s="354">
        <v>1</v>
      </c>
      <c r="B2436" s="354">
        <v>0</v>
      </c>
      <c r="C2436" s="354">
        <v>1</v>
      </c>
      <c r="D2436" s="354">
        <v>0</v>
      </c>
      <c r="E2436" s="354">
        <v>1</v>
      </c>
      <c r="F2436" s="354">
        <v>0</v>
      </c>
      <c r="G2436" s="354">
        <v>0</v>
      </c>
      <c r="H2436" s="354">
        <v>0</v>
      </c>
      <c r="I2436" s="354">
        <v>1</v>
      </c>
      <c r="J2436" s="354">
        <v>1</v>
      </c>
      <c r="K2436" s="354">
        <v>0</v>
      </c>
      <c r="L2436" s="354">
        <v>0</v>
      </c>
      <c r="M2436" s="355">
        <v>4</v>
      </c>
      <c r="N2436" s="355">
        <v>1</v>
      </c>
    </row>
    <row r="2437" spans="1:14" hidden="1" x14ac:dyDescent="0.25">
      <c r="A2437" s="354">
        <v>1</v>
      </c>
      <c r="B2437" s="354">
        <v>0</v>
      </c>
      <c r="C2437" s="354">
        <v>1</v>
      </c>
      <c r="D2437" s="354">
        <v>1</v>
      </c>
      <c r="E2437" s="354">
        <v>2</v>
      </c>
      <c r="F2437" s="354">
        <v>2</v>
      </c>
      <c r="G2437" s="354">
        <v>2</v>
      </c>
      <c r="H2437" s="354">
        <v>1</v>
      </c>
      <c r="I2437" s="354">
        <v>1</v>
      </c>
      <c r="J2437" s="354">
        <v>1</v>
      </c>
      <c r="K2437" s="354">
        <v>0</v>
      </c>
      <c r="L2437" s="354">
        <v>0</v>
      </c>
      <c r="M2437" s="355">
        <v>7</v>
      </c>
      <c r="N2437" s="355">
        <v>5</v>
      </c>
    </row>
    <row r="2438" spans="1:14" hidden="1" x14ac:dyDescent="0.25">
      <c r="A2438" s="354">
        <v>0</v>
      </c>
      <c r="B2438" s="354">
        <v>0</v>
      </c>
      <c r="C2438" s="354">
        <v>0</v>
      </c>
      <c r="D2438" s="354">
        <v>0</v>
      </c>
      <c r="E2438" s="354">
        <v>1</v>
      </c>
      <c r="F2438" s="354">
        <v>1</v>
      </c>
      <c r="G2438" s="354">
        <v>1</v>
      </c>
      <c r="H2438" s="354">
        <v>1</v>
      </c>
      <c r="I2438" s="354">
        <v>1</v>
      </c>
      <c r="J2438" s="354">
        <v>2</v>
      </c>
      <c r="K2438" s="354">
        <v>0</v>
      </c>
      <c r="L2438" s="354">
        <v>0</v>
      </c>
      <c r="M2438" s="355">
        <v>3</v>
      </c>
      <c r="N2438" s="355">
        <v>4</v>
      </c>
    </row>
    <row r="2439" spans="1:14" hidden="1" x14ac:dyDescent="0.25">
      <c r="A2439" s="354">
        <v>0</v>
      </c>
      <c r="B2439" s="354">
        <v>0</v>
      </c>
      <c r="C2439" s="354">
        <v>0</v>
      </c>
      <c r="D2439" s="354">
        <v>0</v>
      </c>
      <c r="E2439" s="354">
        <v>0</v>
      </c>
      <c r="F2439" s="354">
        <v>1</v>
      </c>
      <c r="G2439" s="354">
        <v>0</v>
      </c>
      <c r="H2439" s="354">
        <v>1</v>
      </c>
      <c r="I2439" s="354">
        <v>1</v>
      </c>
      <c r="J2439" s="354">
        <v>2</v>
      </c>
      <c r="K2439" s="354">
        <v>1</v>
      </c>
      <c r="L2439" s="354">
        <v>0</v>
      </c>
      <c r="M2439" s="355">
        <v>2</v>
      </c>
      <c r="N2439" s="355">
        <v>4</v>
      </c>
    </row>
    <row r="2440" spans="1:14" hidden="1" x14ac:dyDescent="0.25">
      <c r="A2440" s="354">
        <v>1</v>
      </c>
      <c r="B2440" s="354">
        <v>0</v>
      </c>
      <c r="C2440" s="354">
        <v>1</v>
      </c>
      <c r="D2440" s="354">
        <v>2</v>
      </c>
      <c r="E2440" s="354">
        <v>1</v>
      </c>
      <c r="F2440" s="354">
        <v>0</v>
      </c>
      <c r="G2440" s="354">
        <v>1</v>
      </c>
      <c r="H2440" s="354">
        <v>0</v>
      </c>
      <c r="I2440" s="354">
        <v>1</v>
      </c>
      <c r="J2440" s="354">
        <v>2</v>
      </c>
      <c r="K2440" s="354">
        <v>0</v>
      </c>
      <c r="L2440" s="354">
        <v>0</v>
      </c>
      <c r="M2440" s="355">
        <v>5</v>
      </c>
      <c r="N2440" s="355">
        <v>4</v>
      </c>
    </row>
    <row r="2441" spans="1:14" hidden="1" x14ac:dyDescent="0.25">
      <c r="A2441" s="354">
        <v>0</v>
      </c>
      <c r="B2441" s="354">
        <v>0</v>
      </c>
      <c r="C2441" s="354">
        <v>0</v>
      </c>
      <c r="D2441" s="354">
        <v>0</v>
      </c>
      <c r="E2441" s="354">
        <v>0</v>
      </c>
      <c r="F2441" s="354">
        <v>0</v>
      </c>
      <c r="G2441" s="354">
        <v>0</v>
      </c>
      <c r="H2441" s="354">
        <v>0</v>
      </c>
      <c r="I2441" s="354">
        <v>1</v>
      </c>
      <c r="J2441" s="354">
        <v>1</v>
      </c>
      <c r="K2441" s="354">
        <v>0</v>
      </c>
      <c r="L2441" s="354">
        <v>0</v>
      </c>
      <c r="M2441" s="355">
        <v>1</v>
      </c>
      <c r="N2441" s="355">
        <v>1</v>
      </c>
    </row>
    <row r="2442" spans="1:14" hidden="1" x14ac:dyDescent="0.25">
      <c r="A2442" s="354">
        <v>1</v>
      </c>
      <c r="B2442" s="354">
        <v>0</v>
      </c>
      <c r="C2442" s="354">
        <v>0</v>
      </c>
      <c r="D2442" s="354">
        <v>1</v>
      </c>
      <c r="E2442" s="354">
        <v>1</v>
      </c>
      <c r="F2442" s="354">
        <v>0</v>
      </c>
      <c r="G2442" s="354">
        <v>0</v>
      </c>
      <c r="H2442" s="354">
        <v>0</v>
      </c>
      <c r="I2442" s="354">
        <v>1</v>
      </c>
      <c r="J2442" s="354">
        <v>1</v>
      </c>
      <c r="K2442" s="354">
        <v>0</v>
      </c>
      <c r="L2442" s="354">
        <v>0</v>
      </c>
      <c r="M2442" s="355">
        <v>3</v>
      </c>
      <c r="N2442" s="355">
        <v>2</v>
      </c>
    </row>
    <row r="2443" spans="1:14" hidden="1" x14ac:dyDescent="0.25">
      <c r="A2443" s="354">
        <v>0</v>
      </c>
      <c r="B2443" s="354">
        <v>0</v>
      </c>
      <c r="C2443" s="354">
        <v>1</v>
      </c>
      <c r="D2443" s="354">
        <v>0</v>
      </c>
      <c r="E2443" s="354">
        <v>5</v>
      </c>
      <c r="F2443" s="354">
        <v>1</v>
      </c>
      <c r="G2443" s="354">
        <v>1</v>
      </c>
      <c r="H2443" s="354">
        <v>0</v>
      </c>
      <c r="I2443" s="354">
        <v>1</v>
      </c>
      <c r="J2443" s="354">
        <v>1</v>
      </c>
      <c r="K2443" s="354">
        <v>0</v>
      </c>
      <c r="L2443" s="354">
        <v>0</v>
      </c>
      <c r="M2443" s="355">
        <v>8</v>
      </c>
      <c r="N2443" s="355">
        <v>2</v>
      </c>
    </row>
    <row r="2444" spans="1:14" hidden="1" x14ac:dyDescent="0.25">
      <c r="A2444" s="354">
        <v>1</v>
      </c>
      <c r="B2444" s="354"/>
      <c r="C2444" s="354">
        <v>1</v>
      </c>
      <c r="D2444" s="354">
        <v>2</v>
      </c>
      <c r="E2444" s="354">
        <v>1</v>
      </c>
      <c r="F2444" s="354">
        <v>1</v>
      </c>
      <c r="G2444" s="354">
        <v>0</v>
      </c>
      <c r="H2444" s="354">
        <v>0</v>
      </c>
      <c r="I2444" s="354">
        <v>1</v>
      </c>
      <c r="J2444" s="354">
        <v>1</v>
      </c>
      <c r="K2444" s="354">
        <v>0</v>
      </c>
      <c r="L2444" s="354">
        <v>0</v>
      </c>
      <c r="M2444" s="355">
        <v>4</v>
      </c>
      <c r="N2444" s="355">
        <v>4</v>
      </c>
    </row>
    <row r="2445" spans="1:14" hidden="1" x14ac:dyDescent="0.25">
      <c r="A2445" s="354">
        <v>0</v>
      </c>
      <c r="B2445" s="354">
        <v>1</v>
      </c>
      <c r="C2445" s="354">
        <v>0</v>
      </c>
      <c r="D2445" s="354">
        <v>1</v>
      </c>
      <c r="E2445" s="354">
        <v>2</v>
      </c>
      <c r="F2445" s="354">
        <v>2</v>
      </c>
      <c r="G2445" s="354">
        <v>3</v>
      </c>
      <c r="H2445" s="354">
        <v>1</v>
      </c>
      <c r="I2445" s="354">
        <v>3</v>
      </c>
      <c r="J2445" s="354">
        <v>2</v>
      </c>
      <c r="K2445" s="354">
        <v>0</v>
      </c>
      <c r="L2445" s="354">
        <v>0</v>
      </c>
      <c r="M2445" s="355">
        <v>8</v>
      </c>
      <c r="N2445" s="355">
        <v>7</v>
      </c>
    </row>
    <row r="2446" spans="1:14" hidden="1" x14ac:dyDescent="0.25">
      <c r="A2446" s="354">
        <v>1</v>
      </c>
      <c r="B2446" s="354">
        <v>1</v>
      </c>
      <c r="C2446" s="354">
        <v>1</v>
      </c>
      <c r="D2446" s="354">
        <v>1</v>
      </c>
      <c r="E2446" s="354">
        <v>1</v>
      </c>
      <c r="F2446" s="354">
        <v>1</v>
      </c>
      <c r="G2446" s="354">
        <v>1</v>
      </c>
      <c r="H2446" s="354">
        <v>1</v>
      </c>
      <c r="I2446" s="354">
        <v>1</v>
      </c>
      <c r="J2446" s="354">
        <v>1</v>
      </c>
      <c r="K2446" s="354">
        <v>1</v>
      </c>
      <c r="L2446" s="354">
        <v>0</v>
      </c>
      <c r="M2446" s="355">
        <v>6</v>
      </c>
      <c r="N2446" s="355">
        <v>5</v>
      </c>
    </row>
    <row r="2447" spans="1:14" hidden="1" x14ac:dyDescent="0.25">
      <c r="A2447" s="354">
        <v>1</v>
      </c>
      <c r="B2447" s="354">
        <v>0</v>
      </c>
      <c r="C2447" s="354">
        <v>1</v>
      </c>
      <c r="D2447" s="354">
        <v>1</v>
      </c>
      <c r="E2447" s="354">
        <v>0</v>
      </c>
      <c r="F2447" s="354">
        <v>0</v>
      </c>
      <c r="G2447" s="354">
        <v>0</v>
      </c>
      <c r="H2447" s="354">
        <v>0</v>
      </c>
      <c r="I2447" s="354">
        <v>1</v>
      </c>
      <c r="J2447" s="354">
        <v>1</v>
      </c>
      <c r="K2447" s="354">
        <v>0</v>
      </c>
      <c r="L2447" s="354">
        <v>0</v>
      </c>
      <c r="M2447" s="355">
        <v>3</v>
      </c>
      <c r="N2447" s="355">
        <v>2</v>
      </c>
    </row>
    <row r="2448" spans="1:14" hidden="1" x14ac:dyDescent="0.25">
      <c r="A2448" s="354">
        <v>0</v>
      </c>
      <c r="B2448" s="354">
        <v>2</v>
      </c>
      <c r="C2448" s="354">
        <v>0</v>
      </c>
      <c r="D2448" s="354">
        <v>1</v>
      </c>
      <c r="E2448" s="354">
        <v>2</v>
      </c>
      <c r="F2448" s="354">
        <v>1</v>
      </c>
      <c r="G2448" s="354">
        <v>0</v>
      </c>
      <c r="H2448" s="354">
        <v>0</v>
      </c>
      <c r="I2448" s="354">
        <v>1</v>
      </c>
      <c r="J2448" s="354">
        <v>1</v>
      </c>
      <c r="K2448" s="354">
        <v>0</v>
      </c>
      <c r="L2448" s="354">
        <v>0</v>
      </c>
      <c r="M2448" s="355">
        <v>3</v>
      </c>
      <c r="N2448" s="355">
        <v>5</v>
      </c>
    </row>
    <row r="2449" spans="1:14" hidden="1" x14ac:dyDescent="0.25">
      <c r="A2449" s="354"/>
      <c r="B2449" s="354">
        <v>1</v>
      </c>
      <c r="C2449" s="354">
        <v>0</v>
      </c>
      <c r="D2449" s="354">
        <v>1</v>
      </c>
      <c r="E2449" s="354">
        <v>0</v>
      </c>
      <c r="F2449" s="354">
        <v>0</v>
      </c>
      <c r="G2449" s="354">
        <v>0</v>
      </c>
      <c r="H2449" s="354">
        <v>0</v>
      </c>
      <c r="I2449" s="354">
        <v>1</v>
      </c>
      <c r="J2449" s="354">
        <v>1</v>
      </c>
      <c r="K2449" s="354">
        <v>0</v>
      </c>
      <c r="L2449" s="354">
        <v>0</v>
      </c>
      <c r="M2449" s="355">
        <v>1</v>
      </c>
      <c r="N2449" s="355">
        <v>3</v>
      </c>
    </row>
    <row r="2450" spans="1:14" hidden="1" x14ac:dyDescent="0.25">
      <c r="A2450" s="354">
        <v>0</v>
      </c>
      <c r="B2450" s="354">
        <v>0</v>
      </c>
      <c r="C2450" s="354">
        <v>1</v>
      </c>
      <c r="D2450" s="354">
        <v>0</v>
      </c>
      <c r="E2450" s="354">
        <v>2</v>
      </c>
      <c r="F2450" s="354">
        <v>2</v>
      </c>
      <c r="G2450" s="354">
        <v>2</v>
      </c>
      <c r="H2450" s="354">
        <v>2</v>
      </c>
      <c r="I2450" s="354">
        <v>4</v>
      </c>
      <c r="J2450" s="354">
        <v>1</v>
      </c>
      <c r="K2450" s="354">
        <v>1</v>
      </c>
      <c r="L2450" s="354">
        <v>0</v>
      </c>
      <c r="M2450" s="355">
        <v>10</v>
      </c>
      <c r="N2450" s="355">
        <v>5</v>
      </c>
    </row>
    <row r="2451" spans="1:14" hidden="1" x14ac:dyDescent="0.25">
      <c r="A2451" s="354">
        <v>1</v>
      </c>
      <c r="B2451" s="354">
        <v>0</v>
      </c>
      <c r="C2451" s="354">
        <v>0</v>
      </c>
      <c r="D2451" s="354">
        <v>1</v>
      </c>
      <c r="E2451" s="354">
        <v>0</v>
      </c>
      <c r="F2451" s="354">
        <v>1</v>
      </c>
      <c r="G2451" s="354">
        <v>0</v>
      </c>
      <c r="H2451" s="354">
        <v>0</v>
      </c>
      <c r="I2451" s="354">
        <v>1</v>
      </c>
      <c r="J2451" s="354">
        <v>1</v>
      </c>
      <c r="K2451" s="354">
        <v>0</v>
      </c>
      <c r="L2451" s="354">
        <v>0</v>
      </c>
      <c r="M2451" s="355">
        <v>2</v>
      </c>
      <c r="N2451" s="355">
        <v>3</v>
      </c>
    </row>
    <row r="2452" spans="1:14" hidden="1" x14ac:dyDescent="0.25">
      <c r="A2452" s="354">
        <v>0</v>
      </c>
      <c r="B2452" s="354">
        <v>1</v>
      </c>
      <c r="C2452" s="354">
        <v>0</v>
      </c>
      <c r="D2452" s="354">
        <v>0</v>
      </c>
      <c r="E2452" s="354">
        <v>1</v>
      </c>
      <c r="F2452" s="354">
        <v>1</v>
      </c>
      <c r="G2452" s="354">
        <v>0</v>
      </c>
      <c r="H2452" s="354">
        <v>0</v>
      </c>
      <c r="I2452" s="354">
        <v>1</v>
      </c>
      <c r="J2452" s="354">
        <v>1</v>
      </c>
      <c r="K2452" s="354">
        <v>0</v>
      </c>
      <c r="L2452" s="354">
        <v>0</v>
      </c>
      <c r="M2452" s="355">
        <v>2</v>
      </c>
      <c r="N2452" s="355">
        <v>3</v>
      </c>
    </row>
    <row r="2453" spans="1:14" hidden="1" x14ac:dyDescent="0.25">
      <c r="A2453" s="354">
        <v>0</v>
      </c>
      <c r="B2453" s="354">
        <v>1</v>
      </c>
      <c r="C2453" s="354">
        <v>0</v>
      </c>
      <c r="D2453" s="354">
        <v>0</v>
      </c>
      <c r="E2453" s="354">
        <v>0</v>
      </c>
      <c r="F2453" s="354">
        <v>0</v>
      </c>
      <c r="G2453" s="354">
        <v>0</v>
      </c>
      <c r="H2453" s="354">
        <v>0</v>
      </c>
      <c r="I2453" s="354">
        <v>1</v>
      </c>
      <c r="J2453" s="354">
        <v>1</v>
      </c>
      <c r="K2453" s="354">
        <v>0</v>
      </c>
      <c r="L2453" s="354">
        <v>0</v>
      </c>
      <c r="M2453" s="355">
        <v>1</v>
      </c>
      <c r="N2453" s="355">
        <v>2</v>
      </c>
    </row>
    <row r="2454" spans="1:14" hidden="1" x14ac:dyDescent="0.25">
      <c r="A2454" s="354">
        <v>1</v>
      </c>
      <c r="B2454" s="354">
        <v>2</v>
      </c>
      <c r="C2454" s="354">
        <v>1</v>
      </c>
      <c r="D2454" s="354">
        <v>3</v>
      </c>
      <c r="E2454" s="354">
        <v>0</v>
      </c>
      <c r="F2454" s="354">
        <v>1</v>
      </c>
      <c r="G2454" s="354">
        <v>2</v>
      </c>
      <c r="H2454" s="354">
        <v>0</v>
      </c>
      <c r="I2454" s="354">
        <v>1</v>
      </c>
      <c r="J2454" s="354">
        <v>2</v>
      </c>
      <c r="K2454" s="354">
        <v>0</v>
      </c>
      <c r="L2454" s="354">
        <v>0</v>
      </c>
      <c r="M2454" s="355">
        <v>5</v>
      </c>
      <c r="N2454" s="355">
        <v>8</v>
      </c>
    </row>
    <row r="2455" spans="1:14" hidden="1" x14ac:dyDescent="0.25">
      <c r="A2455" s="354">
        <v>1</v>
      </c>
      <c r="B2455" s="354">
        <v>0</v>
      </c>
      <c r="C2455" s="354">
        <v>1</v>
      </c>
      <c r="D2455" s="354">
        <v>1</v>
      </c>
      <c r="E2455" s="354">
        <v>1</v>
      </c>
      <c r="F2455" s="354">
        <v>0</v>
      </c>
      <c r="G2455" s="354">
        <v>1</v>
      </c>
      <c r="H2455" s="354">
        <v>0</v>
      </c>
      <c r="I2455" s="354">
        <v>1</v>
      </c>
      <c r="J2455" s="354">
        <v>1</v>
      </c>
      <c r="K2455" s="354">
        <v>0</v>
      </c>
      <c r="L2455" s="354">
        <v>0</v>
      </c>
      <c r="M2455" s="355">
        <v>5</v>
      </c>
      <c r="N2455" s="355">
        <v>2</v>
      </c>
    </row>
    <row r="2456" spans="1:14" hidden="1" x14ac:dyDescent="0.25">
      <c r="A2456" s="354">
        <v>1</v>
      </c>
      <c r="B2456" s="354">
        <v>1</v>
      </c>
      <c r="C2456" s="354">
        <v>1</v>
      </c>
      <c r="D2456" s="354">
        <v>1</v>
      </c>
      <c r="E2456" s="354">
        <v>1</v>
      </c>
      <c r="F2456" s="354">
        <v>0</v>
      </c>
      <c r="G2456" s="354">
        <v>1</v>
      </c>
      <c r="H2456" s="354">
        <v>1</v>
      </c>
      <c r="I2456" s="354">
        <v>1</v>
      </c>
      <c r="J2456" s="354">
        <v>1</v>
      </c>
      <c r="K2456" s="354">
        <v>0</v>
      </c>
      <c r="L2456" s="354">
        <v>0</v>
      </c>
      <c r="M2456" s="355">
        <v>5</v>
      </c>
      <c r="N2456" s="355">
        <v>4</v>
      </c>
    </row>
    <row r="2457" spans="1:14" hidden="1" x14ac:dyDescent="0.25">
      <c r="A2457" s="354">
        <v>1</v>
      </c>
      <c r="B2457" s="354">
        <v>0</v>
      </c>
      <c r="C2457" s="354">
        <v>1</v>
      </c>
      <c r="D2457" s="354">
        <v>1</v>
      </c>
      <c r="E2457" s="354">
        <v>1</v>
      </c>
      <c r="F2457" s="354">
        <v>2</v>
      </c>
      <c r="G2457" s="354">
        <v>1</v>
      </c>
      <c r="H2457" s="354">
        <v>0</v>
      </c>
      <c r="I2457" s="354">
        <v>0</v>
      </c>
      <c r="J2457" s="354">
        <v>1</v>
      </c>
      <c r="K2457" s="354">
        <v>1</v>
      </c>
      <c r="L2457" s="354">
        <v>0</v>
      </c>
      <c r="M2457" s="355">
        <v>5</v>
      </c>
      <c r="N2457" s="355">
        <v>4</v>
      </c>
    </row>
    <row r="2458" spans="1:14" hidden="1" x14ac:dyDescent="0.25">
      <c r="A2458" s="354">
        <v>1</v>
      </c>
      <c r="B2458" s="354">
        <v>0</v>
      </c>
      <c r="C2458" s="354">
        <v>1</v>
      </c>
      <c r="D2458" s="354">
        <v>0</v>
      </c>
      <c r="E2458" s="354">
        <v>1</v>
      </c>
      <c r="F2458" s="354">
        <v>1</v>
      </c>
      <c r="G2458" s="354">
        <v>0</v>
      </c>
      <c r="H2458" s="354">
        <v>1</v>
      </c>
      <c r="I2458" s="354">
        <v>1</v>
      </c>
      <c r="J2458" s="354">
        <v>1</v>
      </c>
      <c r="K2458" s="354">
        <v>0</v>
      </c>
      <c r="L2458" s="354">
        <v>1</v>
      </c>
      <c r="M2458" s="355">
        <v>4</v>
      </c>
      <c r="N2458" s="355">
        <v>4</v>
      </c>
    </row>
    <row r="2459" spans="1:14" hidden="1" x14ac:dyDescent="0.25">
      <c r="A2459" s="354">
        <v>0</v>
      </c>
      <c r="B2459" s="354">
        <v>1</v>
      </c>
      <c r="C2459" s="354">
        <v>1</v>
      </c>
      <c r="D2459" s="354">
        <v>0</v>
      </c>
      <c r="E2459" s="354">
        <v>0</v>
      </c>
      <c r="F2459" s="354">
        <v>0</v>
      </c>
      <c r="G2459" s="354">
        <v>0</v>
      </c>
      <c r="H2459" s="354">
        <v>0</v>
      </c>
      <c r="I2459" s="354">
        <v>1</v>
      </c>
      <c r="J2459" s="354">
        <v>1</v>
      </c>
      <c r="K2459" s="354">
        <v>0</v>
      </c>
      <c r="L2459" s="354">
        <v>0</v>
      </c>
      <c r="M2459" s="355">
        <v>2</v>
      </c>
      <c r="N2459" s="355">
        <v>2</v>
      </c>
    </row>
    <row r="2460" spans="1:14" hidden="1" x14ac:dyDescent="0.25">
      <c r="A2460" s="354">
        <v>1</v>
      </c>
      <c r="B2460" s="354">
        <v>0</v>
      </c>
      <c r="C2460" s="354">
        <v>0</v>
      </c>
      <c r="D2460" s="354">
        <v>1</v>
      </c>
      <c r="E2460" s="354">
        <v>0</v>
      </c>
      <c r="F2460" s="354">
        <v>0</v>
      </c>
      <c r="G2460" s="354">
        <v>0</v>
      </c>
      <c r="H2460" s="354">
        <v>0</v>
      </c>
      <c r="I2460" s="354">
        <v>1</v>
      </c>
      <c r="J2460" s="354">
        <v>1</v>
      </c>
      <c r="K2460" s="354">
        <v>0</v>
      </c>
      <c r="L2460" s="354">
        <v>0</v>
      </c>
      <c r="M2460" s="355">
        <v>2</v>
      </c>
      <c r="N2460" s="355">
        <v>2</v>
      </c>
    </row>
    <row r="2461" spans="1:14" hidden="1" x14ac:dyDescent="0.25">
      <c r="A2461" s="354">
        <v>0</v>
      </c>
      <c r="B2461" s="354">
        <v>0</v>
      </c>
      <c r="C2461" s="354">
        <v>0</v>
      </c>
      <c r="D2461" s="354">
        <v>0</v>
      </c>
      <c r="E2461" s="354">
        <v>0</v>
      </c>
      <c r="F2461" s="354">
        <v>0</v>
      </c>
      <c r="G2461" s="354">
        <v>0</v>
      </c>
      <c r="H2461" s="354">
        <v>0</v>
      </c>
      <c r="I2461" s="354">
        <v>1</v>
      </c>
      <c r="J2461" s="354">
        <v>1</v>
      </c>
      <c r="K2461" s="354">
        <v>0</v>
      </c>
      <c r="L2461" s="354">
        <v>0</v>
      </c>
      <c r="M2461" s="355">
        <v>1</v>
      </c>
      <c r="N2461" s="355">
        <v>1</v>
      </c>
    </row>
    <row r="2462" spans="1:14" hidden="1" x14ac:dyDescent="0.25">
      <c r="A2462" s="354">
        <v>0</v>
      </c>
      <c r="B2462" s="354">
        <v>1</v>
      </c>
      <c r="C2462" s="354">
        <v>0</v>
      </c>
      <c r="D2462" s="354">
        <v>0</v>
      </c>
      <c r="E2462" s="354">
        <v>1</v>
      </c>
      <c r="F2462" s="354">
        <v>0</v>
      </c>
      <c r="G2462" s="354">
        <v>0</v>
      </c>
      <c r="H2462" s="354">
        <v>0</v>
      </c>
      <c r="I2462" s="354">
        <v>1</v>
      </c>
      <c r="J2462" s="354">
        <v>1</v>
      </c>
      <c r="K2462" s="354">
        <v>0</v>
      </c>
      <c r="L2462" s="354">
        <v>0</v>
      </c>
      <c r="M2462" s="355">
        <v>2</v>
      </c>
      <c r="N2462" s="355">
        <v>2</v>
      </c>
    </row>
    <row r="2463" spans="1:14" hidden="1" x14ac:dyDescent="0.25">
      <c r="A2463" s="354">
        <v>0</v>
      </c>
      <c r="B2463" s="354">
        <v>0</v>
      </c>
      <c r="C2463" s="354">
        <v>0</v>
      </c>
      <c r="D2463" s="354">
        <v>0</v>
      </c>
      <c r="E2463" s="354">
        <v>0</v>
      </c>
      <c r="F2463" s="354">
        <v>0</v>
      </c>
      <c r="G2463" s="354">
        <v>1</v>
      </c>
      <c r="H2463" s="354">
        <v>1</v>
      </c>
      <c r="I2463" s="354">
        <v>1</v>
      </c>
      <c r="J2463" s="354">
        <v>1</v>
      </c>
      <c r="K2463" s="354">
        <v>1</v>
      </c>
      <c r="L2463" s="354">
        <v>0</v>
      </c>
      <c r="M2463" s="355">
        <v>3</v>
      </c>
      <c r="N2463" s="355">
        <v>2</v>
      </c>
    </row>
    <row r="2464" spans="1:14" hidden="1" x14ac:dyDescent="0.25">
      <c r="A2464" s="354">
        <v>0</v>
      </c>
      <c r="B2464" s="354">
        <v>0</v>
      </c>
      <c r="C2464" s="354">
        <v>0</v>
      </c>
      <c r="D2464" s="354">
        <v>0</v>
      </c>
      <c r="E2464" s="354">
        <v>0</v>
      </c>
      <c r="F2464" s="354">
        <v>0</v>
      </c>
      <c r="G2464" s="354">
        <v>0</v>
      </c>
      <c r="H2464" s="354">
        <v>0</v>
      </c>
      <c r="I2464" s="354">
        <v>1</v>
      </c>
      <c r="J2464" s="354">
        <v>1</v>
      </c>
      <c r="K2464" s="354">
        <v>0</v>
      </c>
      <c r="L2464" s="354">
        <v>0</v>
      </c>
      <c r="M2464" s="355">
        <v>1</v>
      </c>
      <c r="N2464" s="355">
        <v>1</v>
      </c>
    </row>
    <row r="2465" spans="1:14" hidden="1" x14ac:dyDescent="0.25">
      <c r="A2465" s="354">
        <v>1</v>
      </c>
      <c r="B2465" s="354">
        <v>0</v>
      </c>
      <c r="C2465" s="354">
        <v>1</v>
      </c>
      <c r="D2465" s="354">
        <v>0</v>
      </c>
      <c r="E2465" s="354">
        <v>0</v>
      </c>
      <c r="F2465" s="354">
        <v>0</v>
      </c>
      <c r="G2465" s="354">
        <v>0</v>
      </c>
      <c r="H2465" s="354">
        <v>0</v>
      </c>
      <c r="I2465" s="354">
        <v>1</v>
      </c>
      <c r="J2465" s="354">
        <v>1</v>
      </c>
      <c r="K2465" s="354">
        <v>0</v>
      </c>
      <c r="L2465" s="354">
        <v>0</v>
      </c>
      <c r="M2465" s="355">
        <v>3</v>
      </c>
      <c r="N2465" s="355">
        <v>1</v>
      </c>
    </row>
    <row r="2466" spans="1:14" hidden="1" x14ac:dyDescent="0.25">
      <c r="A2466" s="354">
        <v>1</v>
      </c>
      <c r="B2466" s="354">
        <v>0</v>
      </c>
      <c r="C2466" s="354">
        <v>1</v>
      </c>
      <c r="D2466" s="354">
        <v>0</v>
      </c>
      <c r="E2466" s="354">
        <v>0</v>
      </c>
      <c r="F2466" s="354">
        <v>1</v>
      </c>
      <c r="G2466" s="354">
        <v>0</v>
      </c>
      <c r="H2466" s="354">
        <v>0</v>
      </c>
      <c r="I2466" s="354">
        <v>1</v>
      </c>
      <c r="J2466" s="354">
        <v>1</v>
      </c>
      <c r="K2466" s="354">
        <v>0</v>
      </c>
      <c r="L2466" s="354">
        <v>0</v>
      </c>
      <c r="M2466" s="355">
        <v>3</v>
      </c>
      <c r="N2466" s="355">
        <v>2</v>
      </c>
    </row>
    <row r="2467" spans="1:14" hidden="1" x14ac:dyDescent="0.25">
      <c r="A2467" s="354">
        <v>0</v>
      </c>
      <c r="B2467" s="354">
        <v>0</v>
      </c>
      <c r="C2467" s="354">
        <v>1</v>
      </c>
      <c r="D2467" s="354">
        <v>0</v>
      </c>
      <c r="E2467" s="354">
        <v>0</v>
      </c>
      <c r="F2467" s="354">
        <v>0</v>
      </c>
      <c r="G2467" s="354">
        <v>0</v>
      </c>
      <c r="H2467" s="354">
        <v>0</v>
      </c>
      <c r="I2467" s="354">
        <v>1</v>
      </c>
      <c r="J2467" s="354">
        <v>1</v>
      </c>
      <c r="K2467" s="354">
        <v>0</v>
      </c>
      <c r="L2467" s="354">
        <v>0</v>
      </c>
      <c r="M2467" s="355">
        <v>2</v>
      </c>
      <c r="N2467" s="355">
        <v>1</v>
      </c>
    </row>
    <row r="2468" spans="1:14" hidden="1" x14ac:dyDescent="0.25">
      <c r="A2468" s="354">
        <v>0</v>
      </c>
      <c r="B2468" s="354">
        <v>0</v>
      </c>
      <c r="C2468" s="354">
        <v>0</v>
      </c>
      <c r="D2468" s="354">
        <v>0</v>
      </c>
      <c r="E2468" s="354">
        <v>2</v>
      </c>
      <c r="F2468" s="354">
        <v>1</v>
      </c>
      <c r="G2468" s="354">
        <v>0</v>
      </c>
      <c r="H2468" s="354">
        <v>0</v>
      </c>
      <c r="I2468" s="354">
        <v>1</v>
      </c>
      <c r="J2468" s="354">
        <v>1</v>
      </c>
      <c r="K2468" s="354">
        <v>0</v>
      </c>
      <c r="L2468" s="354">
        <v>0</v>
      </c>
      <c r="M2468" s="355">
        <v>3</v>
      </c>
      <c r="N2468" s="355">
        <v>2</v>
      </c>
    </row>
    <row r="2469" spans="1:14" hidden="1" x14ac:dyDescent="0.25">
      <c r="A2469" s="354">
        <v>1</v>
      </c>
      <c r="B2469" s="354">
        <v>0</v>
      </c>
      <c r="C2469" s="354">
        <v>1</v>
      </c>
      <c r="D2469" s="354">
        <v>0</v>
      </c>
      <c r="E2469" s="354">
        <v>2</v>
      </c>
      <c r="F2469" s="354">
        <v>0</v>
      </c>
      <c r="G2469" s="354">
        <v>0</v>
      </c>
      <c r="H2469" s="354">
        <v>0</v>
      </c>
      <c r="I2469" s="354">
        <v>1</v>
      </c>
      <c r="J2469" s="354">
        <v>2</v>
      </c>
      <c r="K2469" s="354">
        <v>0</v>
      </c>
      <c r="L2469" s="354">
        <v>0</v>
      </c>
      <c r="M2469" s="355">
        <v>5</v>
      </c>
      <c r="N2469" s="355">
        <v>2</v>
      </c>
    </row>
    <row r="2470" spans="1:14" hidden="1" x14ac:dyDescent="0.25">
      <c r="A2470" s="354">
        <v>0</v>
      </c>
      <c r="B2470" s="354">
        <v>0</v>
      </c>
      <c r="C2470" s="354">
        <v>0</v>
      </c>
      <c r="D2470" s="354">
        <v>0</v>
      </c>
      <c r="E2470" s="354">
        <v>0</v>
      </c>
      <c r="F2470" s="354">
        <v>0</v>
      </c>
      <c r="G2470" s="354">
        <v>0</v>
      </c>
      <c r="H2470" s="354">
        <v>0</v>
      </c>
      <c r="I2470" s="354">
        <v>1</v>
      </c>
      <c r="J2470" s="354">
        <v>1</v>
      </c>
      <c r="K2470" s="354">
        <v>0</v>
      </c>
      <c r="L2470" s="354">
        <v>0</v>
      </c>
      <c r="M2470" s="355">
        <v>1</v>
      </c>
      <c r="N2470" s="355">
        <v>1</v>
      </c>
    </row>
    <row r="2471" spans="1:14" hidden="1" x14ac:dyDescent="0.25">
      <c r="A2471" s="354">
        <v>0</v>
      </c>
      <c r="B2471" s="354">
        <v>1</v>
      </c>
      <c r="C2471" s="354">
        <v>1</v>
      </c>
      <c r="D2471" s="354">
        <v>0</v>
      </c>
      <c r="E2471" s="354"/>
      <c r="F2471" s="354">
        <v>0</v>
      </c>
      <c r="G2471" s="354">
        <v>0</v>
      </c>
      <c r="H2471" s="354">
        <v>0</v>
      </c>
      <c r="I2471" s="354">
        <v>1</v>
      </c>
      <c r="J2471" s="354">
        <v>1</v>
      </c>
      <c r="K2471" s="354">
        <v>0</v>
      </c>
      <c r="L2471" s="354">
        <v>0</v>
      </c>
      <c r="M2471" s="355">
        <v>2</v>
      </c>
      <c r="N2471" s="355">
        <v>2</v>
      </c>
    </row>
    <row r="2472" spans="1:14" hidden="1" x14ac:dyDescent="0.25">
      <c r="A2472" s="354">
        <v>0</v>
      </c>
      <c r="B2472" s="354">
        <v>1</v>
      </c>
      <c r="C2472" s="354">
        <v>0</v>
      </c>
      <c r="D2472" s="354">
        <v>0</v>
      </c>
      <c r="E2472" s="354">
        <v>0</v>
      </c>
      <c r="F2472" s="354">
        <v>0</v>
      </c>
      <c r="G2472" s="354">
        <v>0</v>
      </c>
      <c r="H2472" s="354">
        <v>0</v>
      </c>
      <c r="I2472" s="354">
        <v>1</v>
      </c>
      <c r="J2472" s="354">
        <v>1</v>
      </c>
      <c r="K2472" s="354">
        <v>0</v>
      </c>
      <c r="L2472" s="354">
        <v>0</v>
      </c>
      <c r="M2472" s="355">
        <v>1</v>
      </c>
      <c r="N2472" s="355">
        <v>2</v>
      </c>
    </row>
    <row r="2473" spans="1:14" hidden="1" x14ac:dyDescent="0.25">
      <c r="A2473" s="354">
        <v>0</v>
      </c>
      <c r="B2473" s="354">
        <v>0</v>
      </c>
      <c r="C2473" s="354">
        <v>0</v>
      </c>
      <c r="D2473" s="354">
        <v>0</v>
      </c>
      <c r="E2473" s="354">
        <v>0</v>
      </c>
      <c r="F2473" s="354">
        <v>0</v>
      </c>
      <c r="G2473" s="354">
        <v>0</v>
      </c>
      <c r="H2473" s="354">
        <v>0</v>
      </c>
      <c r="I2473" s="354">
        <v>1</v>
      </c>
      <c r="J2473" s="354">
        <v>1</v>
      </c>
      <c r="K2473" s="354">
        <v>0</v>
      </c>
      <c r="L2473" s="354">
        <v>0</v>
      </c>
      <c r="M2473" s="355">
        <v>1</v>
      </c>
      <c r="N2473" s="355">
        <v>1</v>
      </c>
    </row>
    <row r="2474" spans="1:14" hidden="1" x14ac:dyDescent="0.25">
      <c r="A2474" s="354">
        <v>0</v>
      </c>
      <c r="B2474" s="354">
        <v>0</v>
      </c>
      <c r="C2474" s="354">
        <v>1</v>
      </c>
      <c r="D2474" s="354">
        <v>0</v>
      </c>
      <c r="E2474" s="354">
        <v>0</v>
      </c>
      <c r="F2474" s="354">
        <v>0</v>
      </c>
      <c r="G2474" s="354">
        <v>0</v>
      </c>
      <c r="H2474" s="354">
        <v>0</v>
      </c>
      <c r="I2474" s="354">
        <v>0</v>
      </c>
      <c r="J2474" s="354">
        <v>1</v>
      </c>
      <c r="K2474" s="354">
        <v>0</v>
      </c>
      <c r="L2474" s="354">
        <v>0</v>
      </c>
      <c r="M2474" s="355">
        <v>1</v>
      </c>
      <c r="N2474" s="355">
        <v>1</v>
      </c>
    </row>
    <row r="2475" spans="1:14" hidden="1" x14ac:dyDescent="0.25">
      <c r="A2475" s="354">
        <v>0</v>
      </c>
      <c r="B2475" s="354">
        <v>1</v>
      </c>
      <c r="C2475" s="354">
        <v>0</v>
      </c>
      <c r="D2475" s="354">
        <v>0</v>
      </c>
      <c r="E2475" s="354">
        <v>0</v>
      </c>
      <c r="F2475" s="354">
        <v>0</v>
      </c>
      <c r="G2475" s="354">
        <v>0</v>
      </c>
      <c r="H2475" s="354">
        <v>0</v>
      </c>
      <c r="I2475" s="354">
        <v>1</v>
      </c>
      <c r="J2475" s="354">
        <v>1</v>
      </c>
      <c r="K2475" s="354">
        <v>0</v>
      </c>
      <c r="L2475" s="354">
        <v>0</v>
      </c>
      <c r="M2475" s="355">
        <v>1</v>
      </c>
      <c r="N2475" s="355">
        <v>2</v>
      </c>
    </row>
    <row r="2476" spans="1:14" hidden="1" x14ac:dyDescent="0.25">
      <c r="A2476" s="354">
        <v>1</v>
      </c>
      <c r="B2476" s="354">
        <v>1</v>
      </c>
      <c r="C2476" s="354">
        <v>1</v>
      </c>
      <c r="D2476" s="354">
        <v>0</v>
      </c>
      <c r="E2476" s="354">
        <v>1</v>
      </c>
      <c r="F2476" s="354">
        <v>0</v>
      </c>
      <c r="G2476" s="354">
        <v>1</v>
      </c>
      <c r="H2476" s="354">
        <v>0</v>
      </c>
      <c r="I2476" s="354">
        <v>1</v>
      </c>
      <c r="J2476" s="354">
        <v>1</v>
      </c>
      <c r="K2476" s="354">
        <v>0</v>
      </c>
      <c r="L2476" s="354">
        <v>0</v>
      </c>
      <c r="M2476" s="355">
        <v>5</v>
      </c>
      <c r="N2476" s="355">
        <v>2</v>
      </c>
    </row>
    <row r="2477" spans="1:14" hidden="1" x14ac:dyDescent="0.25">
      <c r="A2477" s="354">
        <v>0</v>
      </c>
      <c r="B2477" s="354">
        <v>1</v>
      </c>
      <c r="C2477" s="354">
        <v>1</v>
      </c>
      <c r="D2477" s="354">
        <v>1</v>
      </c>
      <c r="E2477" s="354">
        <v>1</v>
      </c>
      <c r="F2477" s="354">
        <v>1</v>
      </c>
      <c r="G2477" s="354">
        <v>1</v>
      </c>
      <c r="H2477" s="354">
        <v>2</v>
      </c>
      <c r="I2477" s="354">
        <v>1</v>
      </c>
      <c r="J2477" s="354">
        <v>1</v>
      </c>
      <c r="K2477" s="354">
        <v>0</v>
      </c>
      <c r="L2477" s="354">
        <v>0</v>
      </c>
      <c r="M2477" s="355">
        <v>4</v>
      </c>
      <c r="N2477" s="355">
        <v>6</v>
      </c>
    </row>
    <row r="2478" spans="1:14" hidden="1" x14ac:dyDescent="0.25">
      <c r="A2478" s="354">
        <v>1</v>
      </c>
      <c r="B2478" s="354">
        <v>0</v>
      </c>
      <c r="C2478" s="354">
        <v>2</v>
      </c>
      <c r="D2478" s="354">
        <v>0</v>
      </c>
      <c r="E2478" s="354">
        <v>3</v>
      </c>
      <c r="F2478" s="354">
        <v>1</v>
      </c>
      <c r="G2478" s="354">
        <v>1</v>
      </c>
      <c r="H2478" s="354">
        <v>1</v>
      </c>
      <c r="I2478" s="354">
        <v>1</v>
      </c>
      <c r="J2478" s="354">
        <v>1</v>
      </c>
      <c r="K2478" s="354">
        <v>0</v>
      </c>
      <c r="L2478" s="354">
        <v>0</v>
      </c>
      <c r="M2478" s="355">
        <v>8</v>
      </c>
      <c r="N2478" s="355">
        <v>3</v>
      </c>
    </row>
    <row r="2479" spans="1:14" hidden="1" x14ac:dyDescent="0.25">
      <c r="A2479" s="354">
        <v>1</v>
      </c>
      <c r="B2479" s="354">
        <v>0</v>
      </c>
      <c r="C2479" s="354">
        <v>1</v>
      </c>
      <c r="D2479" s="354">
        <v>0</v>
      </c>
      <c r="E2479" s="354">
        <v>0</v>
      </c>
      <c r="F2479" s="354">
        <v>0</v>
      </c>
      <c r="G2479" s="354">
        <v>0</v>
      </c>
      <c r="H2479" s="354">
        <v>0</v>
      </c>
      <c r="I2479" s="354">
        <v>1</v>
      </c>
      <c r="J2479" s="354">
        <v>1</v>
      </c>
      <c r="K2479" s="354">
        <v>0</v>
      </c>
      <c r="L2479" s="354">
        <v>0</v>
      </c>
      <c r="M2479" s="355">
        <v>3</v>
      </c>
      <c r="N2479" s="355">
        <v>1</v>
      </c>
    </row>
    <row r="2480" spans="1:14" hidden="1" x14ac:dyDescent="0.25">
      <c r="A2480" s="354">
        <v>2</v>
      </c>
      <c r="B2480" s="354">
        <v>4</v>
      </c>
      <c r="C2480" s="354">
        <v>2</v>
      </c>
      <c r="D2480" s="354">
        <v>4</v>
      </c>
      <c r="E2480" s="354">
        <v>0</v>
      </c>
      <c r="F2480" s="354">
        <v>3</v>
      </c>
      <c r="G2480" s="354">
        <v>1</v>
      </c>
      <c r="H2480" s="354">
        <v>0</v>
      </c>
      <c r="I2480" s="354">
        <v>1</v>
      </c>
      <c r="J2480" s="354">
        <v>2</v>
      </c>
      <c r="K2480" s="354">
        <v>0</v>
      </c>
      <c r="L2480" s="354">
        <v>0</v>
      </c>
      <c r="M2480" s="355">
        <v>6</v>
      </c>
      <c r="N2480" s="355">
        <v>13</v>
      </c>
    </row>
    <row r="2481" spans="1:14" hidden="1" x14ac:dyDescent="0.25">
      <c r="A2481" s="354">
        <v>1</v>
      </c>
      <c r="B2481" s="354">
        <v>1</v>
      </c>
      <c r="C2481" s="354">
        <v>1</v>
      </c>
      <c r="D2481" s="354">
        <v>1</v>
      </c>
      <c r="E2481" s="354">
        <v>1</v>
      </c>
      <c r="F2481" s="354">
        <v>1</v>
      </c>
      <c r="G2481" s="354">
        <v>1</v>
      </c>
      <c r="H2481" s="354">
        <v>1</v>
      </c>
      <c r="I2481" s="354">
        <v>1</v>
      </c>
      <c r="J2481" s="354">
        <v>0</v>
      </c>
      <c r="K2481" s="354">
        <v>1</v>
      </c>
      <c r="L2481" s="354">
        <v>0</v>
      </c>
      <c r="M2481" s="355">
        <v>6</v>
      </c>
      <c r="N2481" s="355">
        <v>4</v>
      </c>
    </row>
    <row r="2482" spans="1:14" hidden="1" x14ac:dyDescent="0.25">
      <c r="A2482" s="354">
        <v>0</v>
      </c>
      <c r="B2482" s="354">
        <v>0</v>
      </c>
      <c r="C2482" s="354">
        <v>0</v>
      </c>
      <c r="D2482" s="354">
        <v>1</v>
      </c>
      <c r="E2482" s="354">
        <v>2</v>
      </c>
      <c r="F2482" s="354">
        <v>2</v>
      </c>
      <c r="G2482" s="354">
        <v>0</v>
      </c>
      <c r="H2482" s="354">
        <v>0</v>
      </c>
      <c r="I2482" s="354">
        <v>0</v>
      </c>
      <c r="J2482" s="354">
        <v>1</v>
      </c>
      <c r="K2482" s="354">
        <v>0</v>
      </c>
      <c r="L2482" s="354">
        <v>0</v>
      </c>
      <c r="M2482" s="355">
        <v>2</v>
      </c>
      <c r="N2482" s="355">
        <v>4</v>
      </c>
    </row>
    <row r="2483" spans="1:14" hidden="1" x14ac:dyDescent="0.25">
      <c r="A2483" s="354">
        <v>0</v>
      </c>
      <c r="B2483" s="354">
        <v>0</v>
      </c>
      <c r="C2483" s="354">
        <v>0</v>
      </c>
      <c r="D2483" s="354">
        <v>2</v>
      </c>
      <c r="E2483" s="354">
        <v>3</v>
      </c>
      <c r="F2483" s="354">
        <v>2</v>
      </c>
      <c r="G2483" s="354">
        <v>2</v>
      </c>
      <c r="H2483" s="354">
        <v>1</v>
      </c>
      <c r="I2483" s="354">
        <v>1</v>
      </c>
      <c r="J2483" s="354">
        <v>1</v>
      </c>
      <c r="K2483" s="354">
        <v>0</v>
      </c>
      <c r="L2483" s="354">
        <v>0</v>
      </c>
      <c r="M2483" s="355">
        <v>6</v>
      </c>
      <c r="N2483" s="355">
        <v>6</v>
      </c>
    </row>
    <row r="2484" spans="1:14" hidden="1" x14ac:dyDescent="0.25">
      <c r="A2484" s="354">
        <v>1</v>
      </c>
      <c r="B2484" s="354">
        <v>0</v>
      </c>
      <c r="C2484" s="354">
        <v>1</v>
      </c>
      <c r="D2484" s="354">
        <v>1</v>
      </c>
      <c r="E2484" s="354">
        <v>2</v>
      </c>
      <c r="F2484" s="354">
        <v>2</v>
      </c>
      <c r="G2484" s="354">
        <v>2</v>
      </c>
      <c r="H2484" s="354">
        <v>2</v>
      </c>
      <c r="I2484" s="354">
        <v>2</v>
      </c>
      <c r="J2484" s="354">
        <v>1</v>
      </c>
      <c r="K2484" s="354">
        <v>0</v>
      </c>
      <c r="L2484" s="354">
        <v>0</v>
      </c>
      <c r="M2484" s="355">
        <v>8</v>
      </c>
      <c r="N2484" s="355">
        <v>6</v>
      </c>
    </row>
    <row r="2485" spans="1:14" hidden="1" x14ac:dyDescent="0.25">
      <c r="A2485" s="354">
        <v>1</v>
      </c>
      <c r="B2485" s="354">
        <v>1</v>
      </c>
      <c r="C2485" s="354">
        <v>1</v>
      </c>
      <c r="D2485" s="354">
        <v>1</v>
      </c>
      <c r="E2485" s="354">
        <v>0</v>
      </c>
      <c r="F2485" s="354">
        <v>0</v>
      </c>
      <c r="G2485" s="354">
        <v>1</v>
      </c>
      <c r="H2485" s="354">
        <v>0</v>
      </c>
      <c r="I2485" s="354">
        <v>1</v>
      </c>
      <c r="J2485" s="354">
        <v>1</v>
      </c>
      <c r="K2485" s="354">
        <v>0</v>
      </c>
      <c r="L2485" s="354">
        <v>0</v>
      </c>
      <c r="M2485" s="355">
        <v>4</v>
      </c>
      <c r="N2485" s="355">
        <v>3</v>
      </c>
    </row>
    <row r="2486" spans="1:14" hidden="1" x14ac:dyDescent="0.25">
      <c r="A2486" s="354">
        <v>0</v>
      </c>
      <c r="B2486" s="354">
        <v>1</v>
      </c>
      <c r="C2486" s="354">
        <v>0</v>
      </c>
      <c r="D2486" s="354">
        <v>1</v>
      </c>
      <c r="E2486" s="354">
        <v>0</v>
      </c>
      <c r="F2486" s="354">
        <v>0</v>
      </c>
      <c r="G2486" s="354">
        <v>0</v>
      </c>
      <c r="H2486" s="354">
        <v>0</v>
      </c>
      <c r="I2486" s="354">
        <v>1</v>
      </c>
      <c r="J2486" s="354">
        <v>1</v>
      </c>
      <c r="K2486" s="354">
        <v>0</v>
      </c>
      <c r="L2486" s="354">
        <v>0</v>
      </c>
      <c r="M2486" s="355">
        <v>1</v>
      </c>
      <c r="N2486" s="355">
        <v>3</v>
      </c>
    </row>
    <row r="2487" spans="1:14" hidden="1" x14ac:dyDescent="0.25">
      <c r="A2487" s="354">
        <v>0</v>
      </c>
      <c r="B2487" s="354">
        <v>0</v>
      </c>
      <c r="C2487" s="354">
        <v>0</v>
      </c>
      <c r="D2487" s="354">
        <v>1</v>
      </c>
      <c r="E2487" s="354">
        <v>2</v>
      </c>
      <c r="F2487" s="354">
        <v>1</v>
      </c>
      <c r="G2487" s="354">
        <v>1</v>
      </c>
      <c r="H2487" s="354">
        <v>1</v>
      </c>
      <c r="I2487" s="354">
        <v>1</v>
      </c>
      <c r="J2487" s="354">
        <v>1</v>
      </c>
      <c r="K2487" s="354">
        <v>0</v>
      </c>
      <c r="L2487" s="354">
        <v>0</v>
      </c>
      <c r="M2487" s="355">
        <v>4</v>
      </c>
      <c r="N2487" s="355">
        <v>4</v>
      </c>
    </row>
    <row r="2488" spans="1:14" hidden="1" x14ac:dyDescent="0.25">
      <c r="A2488" s="354">
        <v>0</v>
      </c>
      <c r="B2488" s="354">
        <v>1</v>
      </c>
      <c r="C2488" s="354">
        <v>0</v>
      </c>
      <c r="D2488" s="354">
        <v>1</v>
      </c>
      <c r="E2488" s="354">
        <v>0</v>
      </c>
      <c r="F2488" s="354">
        <v>0</v>
      </c>
      <c r="G2488" s="354">
        <v>0</v>
      </c>
      <c r="H2488" s="354">
        <v>0</v>
      </c>
      <c r="I2488" s="354">
        <v>1</v>
      </c>
      <c r="J2488" s="354">
        <v>1</v>
      </c>
      <c r="K2488" s="354">
        <v>0</v>
      </c>
      <c r="L2488" s="354">
        <v>0</v>
      </c>
      <c r="M2488" s="355">
        <v>1</v>
      </c>
      <c r="N2488" s="355">
        <v>3</v>
      </c>
    </row>
    <row r="2489" spans="1:14" hidden="1" x14ac:dyDescent="0.25">
      <c r="A2489" s="354">
        <v>1</v>
      </c>
      <c r="B2489" s="354">
        <v>0</v>
      </c>
      <c r="C2489" s="354">
        <v>1</v>
      </c>
      <c r="D2489" s="354">
        <v>1</v>
      </c>
      <c r="E2489" s="354">
        <v>2</v>
      </c>
      <c r="F2489" s="354">
        <v>1</v>
      </c>
      <c r="G2489" s="354">
        <v>0</v>
      </c>
      <c r="H2489" s="354">
        <v>0</v>
      </c>
      <c r="I2489" s="354">
        <v>0</v>
      </c>
      <c r="J2489" s="354">
        <v>1</v>
      </c>
      <c r="K2489" s="354">
        <v>0</v>
      </c>
      <c r="L2489" s="354">
        <v>0</v>
      </c>
      <c r="M2489" s="355">
        <v>4</v>
      </c>
      <c r="N2489" s="355">
        <v>3</v>
      </c>
    </row>
    <row r="2490" spans="1:14" hidden="1" x14ac:dyDescent="0.25">
      <c r="A2490" s="354">
        <v>0</v>
      </c>
      <c r="B2490" s="354">
        <v>0</v>
      </c>
      <c r="C2490" s="354">
        <v>0</v>
      </c>
      <c r="D2490" s="354">
        <v>0</v>
      </c>
      <c r="E2490" s="354">
        <v>0</v>
      </c>
      <c r="F2490" s="354">
        <v>1</v>
      </c>
      <c r="G2490" s="354">
        <v>0</v>
      </c>
      <c r="H2490" s="354">
        <v>0</v>
      </c>
      <c r="I2490" s="354">
        <v>1</v>
      </c>
      <c r="J2490" s="354">
        <v>1</v>
      </c>
      <c r="K2490" s="354">
        <v>0</v>
      </c>
      <c r="L2490" s="354">
        <v>0</v>
      </c>
      <c r="M2490" s="355">
        <v>1</v>
      </c>
      <c r="N2490" s="355">
        <v>2</v>
      </c>
    </row>
    <row r="2491" spans="1:14" hidden="1" x14ac:dyDescent="0.25">
      <c r="A2491" s="354">
        <v>1</v>
      </c>
      <c r="B2491" s="354">
        <v>1</v>
      </c>
      <c r="C2491" s="354">
        <v>1</v>
      </c>
      <c r="D2491" s="354">
        <v>1</v>
      </c>
      <c r="E2491" s="354">
        <v>1</v>
      </c>
      <c r="F2491" s="354">
        <v>1</v>
      </c>
      <c r="G2491" s="354">
        <v>1</v>
      </c>
      <c r="H2491" s="354">
        <v>1</v>
      </c>
      <c r="I2491" s="354">
        <v>1</v>
      </c>
      <c r="J2491" s="354">
        <v>1</v>
      </c>
      <c r="K2491" s="354">
        <v>0</v>
      </c>
      <c r="L2491" s="354">
        <v>0</v>
      </c>
      <c r="M2491" s="355">
        <v>5</v>
      </c>
      <c r="N2491" s="355">
        <v>5</v>
      </c>
    </row>
    <row r="2492" spans="1:14" hidden="1" x14ac:dyDescent="0.25">
      <c r="A2492" s="354">
        <v>1</v>
      </c>
      <c r="B2492" s="354">
        <v>0</v>
      </c>
      <c r="C2492" s="354">
        <v>0</v>
      </c>
      <c r="D2492" s="354">
        <v>0</v>
      </c>
      <c r="E2492" s="354">
        <v>1</v>
      </c>
      <c r="F2492" s="354">
        <v>2</v>
      </c>
      <c r="G2492" s="354">
        <v>1</v>
      </c>
      <c r="H2492" s="354">
        <v>2</v>
      </c>
      <c r="I2492" s="354">
        <v>6</v>
      </c>
      <c r="J2492" s="354">
        <v>8</v>
      </c>
      <c r="K2492" s="354">
        <v>0</v>
      </c>
      <c r="L2492" s="354">
        <v>0</v>
      </c>
      <c r="M2492" s="355">
        <v>9</v>
      </c>
      <c r="N2492" s="355">
        <v>12</v>
      </c>
    </row>
    <row r="2493" spans="1:14" hidden="1" x14ac:dyDescent="0.25">
      <c r="A2493" s="354">
        <v>1</v>
      </c>
      <c r="B2493" s="354">
        <v>0</v>
      </c>
      <c r="C2493" s="354">
        <v>2</v>
      </c>
      <c r="D2493" s="354">
        <v>1</v>
      </c>
      <c r="E2493" s="354">
        <v>0</v>
      </c>
      <c r="F2493" s="354">
        <v>1</v>
      </c>
      <c r="G2493" s="354">
        <v>0</v>
      </c>
      <c r="H2493" s="354">
        <v>0</v>
      </c>
      <c r="I2493" s="354">
        <v>1</v>
      </c>
      <c r="J2493" s="354">
        <v>1</v>
      </c>
      <c r="K2493" s="354">
        <v>0</v>
      </c>
      <c r="L2493" s="354">
        <v>0</v>
      </c>
      <c r="M2493" s="355">
        <v>4</v>
      </c>
      <c r="N2493" s="355">
        <v>3</v>
      </c>
    </row>
    <row r="2494" spans="1:14" hidden="1" x14ac:dyDescent="0.25">
      <c r="A2494" s="354">
        <v>0</v>
      </c>
      <c r="B2494" s="354">
        <v>1</v>
      </c>
      <c r="C2494" s="354">
        <v>2</v>
      </c>
      <c r="D2494" s="354">
        <v>2</v>
      </c>
      <c r="E2494" s="354">
        <v>2</v>
      </c>
      <c r="F2494" s="354">
        <v>0</v>
      </c>
      <c r="G2494" s="354">
        <v>0</v>
      </c>
      <c r="H2494" s="354">
        <v>0</v>
      </c>
      <c r="I2494" s="354">
        <v>1</v>
      </c>
      <c r="J2494" s="354">
        <v>2</v>
      </c>
      <c r="K2494" s="354">
        <v>0</v>
      </c>
      <c r="L2494" s="354">
        <v>0</v>
      </c>
      <c r="M2494" s="355">
        <v>5</v>
      </c>
      <c r="N2494" s="355">
        <v>5</v>
      </c>
    </row>
    <row r="2495" spans="1:14" hidden="1" x14ac:dyDescent="0.25">
      <c r="A2495" s="354">
        <v>0</v>
      </c>
      <c r="B2495" s="354">
        <v>0</v>
      </c>
      <c r="C2495" s="354">
        <v>0</v>
      </c>
      <c r="D2495" s="354">
        <v>1</v>
      </c>
      <c r="E2495" s="354">
        <v>2</v>
      </c>
      <c r="F2495" s="354">
        <v>2</v>
      </c>
      <c r="G2495" s="354">
        <v>1</v>
      </c>
      <c r="H2495" s="354">
        <v>0</v>
      </c>
      <c r="I2495" s="354">
        <v>0</v>
      </c>
      <c r="J2495" s="354">
        <v>1</v>
      </c>
      <c r="K2495" s="354">
        <v>0</v>
      </c>
      <c r="L2495" s="354">
        <v>0</v>
      </c>
      <c r="M2495" s="355">
        <v>3</v>
      </c>
      <c r="N2495" s="355">
        <v>4</v>
      </c>
    </row>
    <row r="2496" spans="1:14" hidden="1" x14ac:dyDescent="0.25">
      <c r="A2496" s="354">
        <v>0</v>
      </c>
      <c r="B2496" s="354">
        <v>1</v>
      </c>
      <c r="C2496" s="354">
        <v>0</v>
      </c>
      <c r="D2496" s="354">
        <v>1</v>
      </c>
      <c r="E2496" s="354">
        <v>0</v>
      </c>
      <c r="F2496" s="354">
        <v>0</v>
      </c>
      <c r="G2496" s="354">
        <v>0</v>
      </c>
      <c r="H2496" s="354">
        <v>0</v>
      </c>
      <c r="I2496" s="354">
        <v>1</v>
      </c>
      <c r="J2496" s="354">
        <v>1</v>
      </c>
      <c r="K2496" s="354">
        <v>0</v>
      </c>
      <c r="L2496" s="354">
        <v>0</v>
      </c>
      <c r="M2496" s="355">
        <v>1</v>
      </c>
      <c r="N2496" s="355">
        <v>3</v>
      </c>
    </row>
    <row r="2497" spans="1:14" hidden="1" x14ac:dyDescent="0.25">
      <c r="A2497" s="354">
        <v>1</v>
      </c>
      <c r="B2497" s="354">
        <v>0</v>
      </c>
      <c r="C2497" s="354">
        <v>1</v>
      </c>
      <c r="D2497" s="354">
        <v>1</v>
      </c>
      <c r="E2497" s="354">
        <v>1</v>
      </c>
      <c r="F2497" s="354">
        <v>1</v>
      </c>
      <c r="G2497" s="354">
        <v>0</v>
      </c>
      <c r="H2497" s="354">
        <v>0</v>
      </c>
      <c r="I2497" s="354">
        <v>1</v>
      </c>
      <c r="J2497" s="354">
        <v>1</v>
      </c>
      <c r="K2497" s="354">
        <v>0</v>
      </c>
      <c r="L2497" s="354">
        <v>0</v>
      </c>
      <c r="M2497" s="355">
        <v>4</v>
      </c>
      <c r="N2497" s="355">
        <v>3</v>
      </c>
    </row>
    <row r="2498" spans="1:14" hidden="1" x14ac:dyDescent="0.25">
      <c r="A2498" s="354">
        <v>0</v>
      </c>
      <c r="B2498" s="354">
        <v>1</v>
      </c>
      <c r="C2498" s="354">
        <v>1</v>
      </c>
      <c r="D2498" s="354">
        <v>1</v>
      </c>
      <c r="E2498" s="354">
        <v>0</v>
      </c>
      <c r="F2498" s="354">
        <v>2</v>
      </c>
      <c r="G2498" s="354">
        <v>0</v>
      </c>
      <c r="H2498" s="354">
        <v>0</v>
      </c>
      <c r="I2498" s="354">
        <v>1</v>
      </c>
      <c r="J2498" s="354">
        <v>1</v>
      </c>
      <c r="K2498" s="354">
        <v>0</v>
      </c>
      <c r="L2498" s="354">
        <v>0</v>
      </c>
      <c r="M2498" s="355">
        <v>2</v>
      </c>
      <c r="N2498" s="355">
        <v>5</v>
      </c>
    </row>
    <row r="2499" spans="1:14" hidden="1" x14ac:dyDescent="0.25">
      <c r="A2499" s="354">
        <v>0</v>
      </c>
      <c r="B2499" s="354">
        <v>0</v>
      </c>
      <c r="C2499" s="354">
        <v>0</v>
      </c>
      <c r="D2499" s="354">
        <v>1</v>
      </c>
      <c r="E2499" s="354">
        <v>0</v>
      </c>
      <c r="F2499" s="354">
        <v>0</v>
      </c>
      <c r="G2499" s="354">
        <v>1</v>
      </c>
      <c r="H2499" s="354">
        <v>2</v>
      </c>
      <c r="I2499" s="354">
        <v>1</v>
      </c>
      <c r="J2499" s="354">
        <v>0</v>
      </c>
      <c r="K2499" s="354">
        <v>1</v>
      </c>
      <c r="L2499" s="354">
        <v>0</v>
      </c>
      <c r="M2499" s="355">
        <v>3</v>
      </c>
      <c r="N2499" s="355">
        <v>3</v>
      </c>
    </row>
    <row r="2500" spans="1:14" hidden="1" x14ac:dyDescent="0.25">
      <c r="A2500" s="354">
        <v>0</v>
      </c>
      <c r="B2500" s="354">
        <v>1</v>
      </c>
      <c r="C2500" s="354">
        <v>1</v>
      </c>
      <c r="D2500" s="354">
        <v>1</v>
      </c>
      <c r="E2500" s="354">
        <v>0</v>
      </c>
      <c r="F2500" s="354">
        <v>1</v>
      </c>
      <c r="G2500" s="354">
        <v>0</v>
      </c>
      <c r="H2500" s="354">
        <v>0</v>
      </c>
      <c r="I2500" s="354">
        <v>1</v>
      </c>
      <c r="J2500" s="354">
        <v>1</v>
      </c>
      <c r="K2500" s="354">
        <v>0</v>
      </c>
      <c r="L2500" s="354">
        <v>0</v>
      </c>
      <c r="M2500" s="355">
        <v>2</v>
      </c>
      <c r="N2500" s="355">
        <v>4</v>
      </c>
    </row>
    <row r="2501" spans="1:14" hidden="1" x14ac:dyDescent="0.25">
      <c r="A2501" s="354">
        <v>1</v>
      </c>
      <c r="B2501" s="354">
        <v>0</v>
      </c>
      <c r="C2501" s="354">
        <v>1</v>
      </c>
      <c r="D2501" s="354">
        <v>1</v>
      </c>
      <c r="E2501" s="354">
        <v>1</v>
      </c>
      <c r="F2501" s="354">
        <v>0</v>
      </c>
      <c r="G2501" s="354">
        <v>0</v>
      </c>
      <c r="H2501" s="354">
        <v>0</v>
      </c>
      <c r="I2501" s="354">
        <v>1</v>
      </c>
      <c r="J2501" s="354">
        <v>1</v>
      </c>
      <c r="K2501" s="354">
        <v>0</v>
      </c>
      <c r="L2501" s="354">
        <v>0</v>
      </c>
      <c r="M2501" s="355">
        <v>4</v>
      </c>
      <c r="N2501" s="355">
        <v>2</v>
      </c>
    </row>
    <row r="2502" spans="1:14" hidden="1" x14ac:dyDescent="0.25">
      <c r="A2502" s="354">
        <v>0</v>
      </c>
      <c r="B2502" s="354">
        <v>1</v>
      </c>
      <c r="C2502" s="354">
        <v>0</v>
      </c>
      <c r="D2502" s="354">
        <v>1</v>
      </c>
      <c r="E2502" s="354">
        <v>1</v>
      </c>
      <c r="F2502" s="354">
        <v>1</v>
      </c>
      <c r="G2502" s="354">
        <v>1</v>
      </c>
      <c r="H2502" s="354">
        <v>0</v>
      </c>
      <c r="I2502" s="354">
        <v>1</v>
      </c>
      <c r="J2502" s="354">
        <v>1</v>
      </c>
      <c r="K2502" s="354">
        <v>0</v>
      </c>
      <c r="L2502" s="354">
        <v>0</v>
      </c>
      <c r="M2502" s="355">
        <v>3</v>
      </c>
      <c r="N2502" s="355">
        <v>4</v>
      </c>
    </row>
    <row r="2503" spans="1:14" hidden="1" x14ac:dyDescent="0.25">
      <c r="A2503" s="354">
        <v>1</v>
      </c>
      <c r="B2503" s="354">
        <v>0</v>
      </c>
      <c r="C2503" s="354">
        <v>2</v>
      </c>
      <c r="D2503" s="354">
        <v>1</v>
      </c>
      <c r="E2503" s="354">
        <v>1</v>
      </c>
      <c r="F2503" s="354">
        <v>1</v>
      </c>
      <c r="G2503" s="354">
        <v>0</v>
      </c>
      <c r="H2503" s="354">
        <v>0</v>
      </c>
      <c r="I2503" s="354">
        <v>1</v>
      </c>
      <c r="J2503" s="354">
        <v>1</v>
      </c>
      <c r="K2503" s="354">
        <v>0</v>
      </c>
      <c r="L2503" s="354">
        <v>0</v>
      </c>
      <c r="M2503" s="355">
        <v>5</v>
      </c>
      <c r="N2503" s="355">
        <v>3</v>
      </c>
    </row>
    <row r="2504" spans="1:14" hidden="1" x14ac:dyDescent="0.25">
      <c r="A2504" s="354">
        <v>1</v>
      </c>
      <c r="B2504" s="354">
        <v>0</v>
      </c>
      <c r="C2504" s="354">
        <v>2</v>
      </c>
      <c r="D2504" s="354">
        <v>1</v>
      </c>
      <c r="E2504" s="354">
        <v>0</v>
      </c>
      <c r="F2504" s="354">
        <v>1</v>
      </c>
      <c r="G2504" s="354">
        <v>0</v>
      </c>
      <c r="H2504" s="354">
        <v>0</v>
      </c>
      <c r="I2504" s="354">
        <v>1</v>
      </c>
      <c r="J2504" s="354">
        <v>1</v>
      </c>
      <c r="K2504" s="354">
        <v>0</v>
      </c>
      <c r="L2504" s="354">
        <v>0</v>
      </c>
      <c r="M2504" s="355">
        <v>4</v>
      </c>
      <c r="N2504" s="355">
        <v>3</v>
      </c>
    </row>
    <row r="2505" spans="1:14" hidden="1" x14ac:dyDescent="0.25">
      <c r="A2505" s="354">
        <v>0</v>
      </c>
      <c r="B2505" s="354">
        <v>1</v>
      </c>
      <c r="C2505" s="354">
        <v>0</v>
      </c>
      <c r="D2505" s="354">
        <v>1</v>
      </c>
      <c r="E2505" s="354">
        <v>1</v>
      </c>
      <c r="F2505" s="354">
        <v>1</v>
      </c>
      <c r="G2505" s="354">
        <v>0</v>
      </c>
      <c r="H2505" s="354">
        <v>0</v>
      </c>
      <c r="I2505" s="354">
        <v>1</v>
      </c>
      <c r="J2505" s="354">
        <v>1</v>
      </c>
      <c r="K2505" s="354">
        <v>0</v>
      </c>
      <c r="L2505" s="354">
        <v>0</v>
      </c>
      <c r="M2505" s="355">
        <v>2</v>
      </c>
      <c r="N2505" s="355">
        <v>4</v>
      </c>
    </row>
    <row r="2506" spans="1:14" hidden="1" x14ac:dyDescent="0.25">
      <c r="A2506" s="354">
        <v>0</v>
      </c>
      <c r="B2506" s="354">
        <v>1</v>
      </c>
      <c r="C2506" s="354">
        <v>0</v>
      </c>
      <c r="D2506" s="354">
        <v>0</v>
      </c>
      <c r="E2506" s="354">
        <v>2</v>
      </c>
      <c r="F2506" s="354">
        <v>1</v>
      </c>
      <c r="G2506" s="354">
        <v>0</v>
      </c>
      <c r="H2506" s="354">
        <v>0</v>
      </c>
      <c r="I2506" s="354">
        <v>1</v>
      </c>
      <c r="J2506" s="354">
        <v>1</v>
      </c>
      <c r="K2506" s="354">
        <v>0</v>
      </c>
      <c r="L2506" s="354">
        <v>0</v>
      </c>
      <c r="M2506" s="355">
        <v>3</v>
      </c>
      <c r="N2506" s="355">
        <v>3</v>
      </c>
    </row>
    <row r="2507" spans="1:14" hidden="1" x14ac:dyDescent="0.25">
      <c r="A2507" s="354">
        <v>0</v>
      </c>
      <c r="B2507" s="354">
        <v>0</v>
      </c>
      <c r="C2507" s="354">
        <v>2</v>
      </c>
      <c r="D2507" s="354">
        <v>1</v>
      </c>
      <c r="E2507" s="354">
        <v>2</v>
      </c>
      <c r="F2507" s="354">
        <v>2</v>
      </c>
      <c r="G2507" s="354">
        <v>1</v>
      </c>
      <c r="H2507" s="354">
        <v>1</v>
      </c>
      <c r="I2507" s="354">
        <v>1</v>
      </c>
      <c r="J2507" s="354">
        <v>2</v>
      </c>
      <c r="K2507" s="354">
        <v>0</v>
      </c>
      <c r="L2507" s="354">
        <v>0</v>
      </c>
      <c r="M2507" s="355">
        <v>6</v>
      </c>
      <c r="N2507" s="355">
        <v>6</v>
      </c>
    </row>
    <row r="2508" spans="1:14" hidden="1" x14ac:dyDescent="0.25">
      <c r="A2508" s="354">
        <v>1</v>
      </c>
      <c r="B2508" s="354">
        <v>0</v>
      </c>
      <c r="C2508" s="354">
        <v>0</v>
      </c>
      <c r="D2508" s="354">
        <v>2</v>
      </c>
      <c r="E2508" s="354">
        <v>0</v>
      </c>
      <c r="F2508" s="354">
        <v>0</v>
      </c>
      <c r="G2508" s="354">
        <v>0</v>
      </c>
      <c r="H2508" s="354">
        <v>0</v>
      </c>
      <c r="I2508" s="354">
        <v>1</v>
      </c>
      <c r="J2508" s="354">
        <v>1</v>
      </c>
      <c r="K2508" s="354">
        <v>0</v>
      </c>
      <c r="L2508" s="354">
        <v>0</v>
      </c>
      <c r="M2508" s="355">
        <v>2</v>
      </c>
      <c r="N2508" s="355">
        <v>3</v>
      </c>
    </row>
    <row r="2509" spans="1:14" hidden="1" x14ac:dyDescent="0.25">
      <c r="A2509" s="354">
        <v>1</v>
      </c>
      <c r="B2509" s="354">
        <v>1</v>
      </c>
      <c r="C2509" s="354">
        <v>0</v>
      </c>
      <c r="D2509" s="354">
        <v>1</v>
      </c>
      <c r="E2509" s="354">
        <v>0</v>
      </c>
      <c r="F2509" s="354">
        <v>0</v>
      </c>
      <c r="G2509" s="354">
        <v>1</v>
      </c>
      <c r="H2509" s="354">
        <v>1</v>
      </c>
      <c r="I2509" s="354">
        <v>1</v>
      </c>
      <c r="J2509" s="354">
        <v>1</v>
      </c>
      <c r="K2509" s="354">
        <v>0</v>
      </c>
      <c r="L2509" s="354">
        <v>0</v>
      </c>
      <c r="M2509" s="355">
        <v>3</v>
      </c>
      <c r="N2509" s="355">
        <v>4</v>
      </c>
    </row>
    <row r="2510" spans="1:14" hidden="1" x14ac:dyDescent="0.25">
      <c r="A2510" s="354">
        <v>0</v>
      </c>
      <c r="B2510" s="354">
        <v>1</v>
      </c>
      <c r="C2510" s="354">
        <v>1</v>
      </c>
      <c r="D2510" s="354">
        <v>0</v>
      </c>
      <c r="E2510" s="354">
        <v>0</v>
      </c>
      <c r="F2510" s="354">
        <v>0</v>
      </c>
      <c r="G2510" s="354">
        <v>0</v>
      </c>
      <c r="H2510" s="354">
        <v>0</v>
      </c>
      <c r="I2510" s="354">
        <v>0</v>
      </c>
      <c r="J2510" s="354">
        <v>1</v>
      </c>
      <c r="K2510" s="354">
        <v>0</v>
      </c>
      <c r="L2510" s="354">
        <v>1</v>
      </c>
      <c r="M2510" s="355">
        <v>1</v>
      </c>
      <c r="N2510" s="355">
        <v>3</v>
      </c>
    </row>
    <row r="2511" spans="1:14" hidden="1" x14ac:dyDescent="0.25">
      <c r="A2511" s="354">
        <v>1</v>
      </c>
      <c r="B2511" s="354">
        <v>0</v>
      </c>
      <c r="C2511" s="354">
        <v>0</v>
      </c>
      <c r="D2511" s="354">
        <v>1</v>
      </c>
      <c r="E2511" s="354">
        <v>0</v>
      </c>
      <c r="F2511" s="354">
        <v>0</v>
      </c>
      <c r="G2511" s="354">
        <v>0</v>
      </c>
      <c r="H2511" s="354">
        <v>0</v>
      </c>
      <c r="I2511" s="354">
        <v>1</v>
      </c>
      <c r="J2511" s="354">
        <v>1</v>
      </c>
      <c r="K2511" s="354">
        <v>0</v>
      </c>
      <c r="L2511" s="354">
        <v>1</v>
      </c>
      <c r="M2511" s="355">
        <v>2</v>
      </c>
      <c r="N2511" s="355">
        <v>3</v>
      </c>
    </row>
    <row r="2512" spans="1:14" hidden="1" x14ac:dyDescent="0.25">
      <c r="A2512" s="354">
        <v>1</v>
      </c>
      <c r="B2512" s="354">
        <v>0</v>
      </c>
      <c r="C2512" s="354">
        <v>0</v>
      </c>
      <c r="D2512" s="354">
        <v>1</v>
      </c>
      <c r="E2512" s="354">
        <v>0</v>
      </c>
      <c r="F2512" s="354">
        <v>0</v>
      </c>
      <c r="G2512" s="354">
        <v>0</v>
      </c>
      <c r="H2512" s="354">
        <v>0</v>
      </c>
      <c r="I2512" s="354">
        <v>1</v>
      </c>
      <c r="J2512" s="354">
        <v>1</v>
      </c>
      <c r="K2512" s="354">
        <v>0</v>
      </c>
      <c r="L2512" s="354">
        <v>0</v>
      </c>
      <c r="M2512" s="355">
        <v>2</v>
      </c>
      <c r="N2512" s="355">
        <v>2</v>
      </c>
    </row>
    <row r="2513" spans="1:14" hidden="1" x14ac:dyDescent="0.25">
      <c r="A2513" s="354">
        <v>1</v>
      </c>
      <c r="B2513" s="354">
        <v>0</v>
      </c>
      <c r="C2513" s="354">
        <v>1</v>
      </c>
      <c r="D2513" s="354">
        <v>2</v>
      </c>
      <c r="E2513" s="354">
        <v>0</v>
      </c>
      <c r="F2513" s="354">
        <v>1</v>
      </c>
      <c r="G2513" s="354">
        <v>0</v>
      </c>
      <c r="H2513" s="354">
        <v>0</v>
      </c>
      <c r="I2513" s="354">
        <v>1</v>
      </c>
      <c r="J2513" s="354">
        <v>1</v>
      </c>
      <c r="K2513" s="354">
        <v>1</v>
      </c>
      <c r="L2513" s="354">
        <v>0</v>
      </c>
      <c r="M2513" s="355">
        <v>4</v>
      </c>
      <c r="N2513" s="355">
        <v>4</v>
      </c>
    </row>
    <row r="2514" spans="1:14" hidden="1" x14ac:dyDescent="0.25">
      <c r="A2514" s="354">
        <v>1</v>
      </c>
      <c r="B2514" s="354">
        <v>0</v>
      </c>
      <c r="C2514" s="354">
        <v>0</v>
      </c>
      <c r="D2514" s="354">
        <v>0</v>
      </c>
      <c r="E2514" s="354">
        <v>0</v>
      </c>
      <c r="F2514" s="354">
        <v>0</v>
      </c>
      <c r="G2514" s="354">
        <v>0</v>
      </c>
      <c r="H2514" s="354">
        <v>0</v>
      </c>
      <c r="I2514" s="354">
        <v>1</v>
      </c>
      <c r="J2514" s="354">
        <v>1</v>
      </c>
      <c r="K2514" s="354">
        <v>0</v>
      </c>
      <c r="L2514" s="354">
        <v>0</v>
      </c>
      <c r="M2514" s="355">
        <v>2</v>
      </c>
      <c r="N2514" s="355">
        <v>1</v>
      </c>
    </row>
    <row r="2515" spans="1:14" hidden="1" x14ac:dyDescent="0.25">
      <c r="A2515" s="354">
        <v>1</v>
      </c>
      <c r="B2515" s="354">
        <v>0</v>
      </c>
      <c r="C2515" s="354">
        <v>0</v>
      </c>
      <c r="D2515" s="354">
        <v>1</v>
      </c>
      <c r="E2515" s="354">
        <v>0</v>
      </c>
      <c r="F2515" s="354">
        <v>1</v>
      </c>
      <c r="G2515" s="354">
        <v>1</v>
      </c>
      <c r="H2515" s="354">
        <v>0</v>
      </c>
      <c r="I2515" s="354">
        <v>1</v>
      </c>
      <c r="J2515" s="354">
        <v>1</v>
      </c>
      <c r="K2515" s="354">
        <v>0</v>
      </c>
      <c r="L2515" s="354">
        <v>0</v>
      </c>
      <c r="M2515" s="355">
        <v>3</v>
      </c>
      <c r="N2515" s="355">
        <v>3</v>
      </c>
    </row>
    <row r="2516" spans="1:14" hidden="1" x14ac:dyDescent="0.25">
      <c r="A2516" s="354">
        <v>1</v>
      </c>
      <c r="B2516" s="354">
        <v>1</v>
      </c>
      <c r="C2516" s="354">
        <v>0</v>
      </c>
      <c r="D2516" s="354">
        <v>2</v>
      </c>
      <c r="E2516" s="354">
        <v>0</v>
      </c>
      <c r="F2516" s="354">
        <v>0</v>
      </c>
      <c r="G2516" s="354">
        <v>1</v>
      </c>
      <c r="H2516" s="354">
        <v>1</v>
      </c>
      <c r="I2516" s="354">
        <v>1</v>
      </c>
      <c r="J2516" s="354">
        <v>1</v>
      </c>
      <c r="K2516" s="354">
        <v>0</v>
      </c>
      <c r="L2516" s="354">
        <v>0</v>
      </c>
      <c r="M2516" s="355">
        <v>3</v>
      </c>
      <c r="N2516" s="355">
        <v>5</v>
      </c>
    </row>
    <row r="2517" spans="1:14" hidden="1" x14ac:dyDescent="0.25">
      <c r="A2517" s="354">
        <v>1</v>
      </c>
      <c r="B2517" s="354">
        <v>0</v>
      </c>
      <c r="C2517" s="354">
        <v>0</v>
      </c>
      <c r="D2517" s="354">
        <v>2</v>
      </c>
      <c r="E2517" s="354">
        <v>1</v>
      </c>
      <c r="F2517" s="354">
        <v>0</v>
      </c>
      <c r="G2517" s="354">
        <v>0</v>
      </c>
      <c r="H2517" s="354">
        <v>2</v>
      </c>
      <c r="I2517" s="354">
        <v>1</v>
      </c>
      <c r="J2517" s="354">
        <v>1</v>
      </c>
      <c r="K2517" s="354">
        <v>0</v>
      </c>
      <c r="L2517" s="354">
        <v>0</v>
      </c>
      <c r="M2517" s="355">
        <v>3</v>
      </c>
      <c r="N2517" s="355">
        <v>5</v>
      </c>
    </row>
    <row r="2518" spans="1:14" hidden="1" x14ac:dyDescent="0.25">
      <c r="A2518" s="354">
        <v>1</v>
      </c>
      <c r="B2518" s="354">
        <v>0</v>
      </c>
      <c r="C2518" s="354">
        <v>0</v>
      </c>
      <c r="D2518" s="354">
        <v>1</v>
      </c>
      <c r="E2518" s="354">
        <v>0</v>
      </c>
      <c r="F2518" s="354">
        <v>0</v>
      </c>
      <c r="G2518" s="354">
        <v>2</v>
      </c>
      <c r="H2518" s="354">
        <v>0</v>
      </c>
      <c r="I2518" s="354">
        <v>0</v>
      </c>
      <c r="J2518" s="354">
        <v>1</v>
      </c>
      <c r="K2518" s="354">
        <v>0</v>
      </c>
      <c r="L2518" s="354">
        <v>0</v>
      </c>
      <c r="M2518" s="355">
        <v>3</v>
      </c>
      <c r="N2518" s="355">
        <v>2</v>
      </c>
    </row>
    <row r="2519" spans="1:14" hidden="1" x14ac:dyDescent="0.25">
      <c r="A2519" s="354">
        <v>1</v>
      </c>
      <c r="B2519" s="354">
        <v>1</v>
      </c>
      <c r="C2519" s="354">
        <v>0</v>
      </c>
      <c r="D2519" s="354">
        <v>0</v>
      </c>
      <c r="E2519" s="354">
        <v>1</v>
      </c>
      <c r="F2519" s="354">
        <v>0</v>
      </c>
      <c r="G2519" s="354">
        <v>1</v>
      </c>
      <c r="H2519" s="354">
        <v>0</v>
      </c>
      <c r="I2519" s="354">
        <v>1</v>
      </c>
      <c r="J2519" s="354">
        <v>1</v>
      </c>
      <c r="K2519" s="354">
        <v>0</v>
      </c>
      <c r="L2519" s="354">
        <v>0</v>
      </c>
      <c r="M2519" s="355">
        <v>4</v>
      </c>
      <c r="N2519" s="355">
        <v>2</v>
      </c>
    </row>
    <row r="2520" spans="1:14" hidden="1" x14ac:dyDescent="0.25">
      <c r="A2520" s="354">
        <v>1</v>
      </c>
      <c r="B2520" s="354">
        <v>1</v>
      </c>
      <c r="C2520" s="354">
        <v>0</v>
      </c>
      <c r="D2520" s="354">
        <v>0</v>
      </c>
      <c r="E2520" s="354">
        <v>1</v>
      </c>
      <c r="F2520" s="354">
        <v>1</v>
      </c>
      <c r="G2520" s="354">
        <v>0</v>
      </c>
      <c r="H2520" s="354">
        <v>1</v>
      </c>
      <c r="I2520" s="354">
        <v>1</v>
      </c>
      <c r="J2520" s="354">
        <v>1</v>
      </c>
      <c r="K2520" s="354">
        <v>1</v>
      </c>
      <c r="L2520" s="354">
        <v>0</v>
      </c>
      <c r="M2520" s="355">
        <v>4</v>
      </c>
      <c r="N2520" s="355">
        <v>4</v>
      </c>
    </row>
    <row r="2521" spans="1:14" hidden="1" x14ac:dyDescent="0.25">
      <c r="A2521" s="354">
        <v>3</v>
      </c>
      <c r="B2521" s="354">
        <v>0</v>
      </c>
      <c r="C2521" s="354">
        <v>1</v>
      </c>
      <c r="D2521" s="354">
        <v>4</v>
      </c>
      <c r="E2521" s="354">
        <v>1</v>
      </c>
      <c r="F2521" s="354">
        <v>1</v>
      </c>
      <c r="G2521" s="354">
        <v>1</v>
      </c>
      <c r="H2521" s="354">
        <v>0</v>
      </c>
      <c r="I2521" s="354">
        <v>1</v>
      </c>
      <c r="J2521" s="354">
        <v>2</v>
      </c>
      <c r="K2521" s="354">
        <v>1</v>
      </c>
      <c r="L2521" s="354">
        <v>0</v>
      </c>
      <c r="M2521" s="355">
        <v>8</v>
      </c>
      <c r="N2521" s="355">
        <v>7</v>
      </c>
    </row>
    <row r="2522" spans="1:14" hidden="1" x14ac:dyDescent="0.25">
      <c r="A2522" s="354">
        <v>1</v>
      </c>
      <c r="B2522" s="354">
        <v>0</v>
      </c>
      <c r="C2522" s="354">
        <v>1</v>
      </c>
      <c r="D2522" s="354">
        <v>1</v>
      </c>
      <c r="E2522" s="354">
        <v>0</v>
      </c>
      <c r="F2522" s="354">
        <v>0</v>
      </c>
      <c r="G2522" s="354">
        <v>1</v>
      </c>
      <c r="H2522" s="354">
        <v>0</v>
      </c>
      <c r="I2522" s="354">
        <v>2</v>
      </c>
      <c r="J2522" s="354">
        <v>1</v>
      </c>
      <c r="K2522" s="354">
        <v>0</v>
      </c>
      <c r="L2522" s="354">
        <v>0</v>
      </c>
      <c r="M2522" s="355">
        <v>5</v>
      </c>
      <c r="N2522" s="355">
        <v>2</v>
      </c>
    </row>
    <row r="2523" spans="1:14" hidden="1" x14ac:dyDescent="0.25">
      <c r="A2523" s="354">
        <v>1</v>
      </c>
      <c r="B2523" s="354">
        <v>0</v>
      </c>
      <c r="C2523" s="354">
        <v>0</v>
      </c>
      <c r="D2523" s="354">
        <v>1</v>
      </c>
      <c r="E2523" s="354">
        <v>1</v>
      </c>
      <c r="F2523" s="354">
        <v>0</v>
      </c>
      <c r="G2523" s="354">
        <v>0</v>
      </c>
      <c r="H2523" s="354">
        <v>0</v>
      </c>
      <c r="I2523" s="354">
        <v>1</v>
      </c>
      <c r="J2523" s="354">
        <v>1</v>
      </c>
      <c r="K2523" s="354">
        <v>0</v>
      </c>
      <c r="L2523" s="354">
        <v>0</v>
      </c>
      <c r="M2523" s="355">
        <v>3</v>
      </c>
      <c r="N2523" s="355">
        <v>2</v>
      </c>
    </row>
    <row r="2524" spans="1:14" hidden="1" x14ac:dyDescent="0.25">
      <c r="A2524" s="354">
        <v>1</v>
      </c>
      <c r="B2524" s="354">
        <v>0</v>
      </c>
      <c r="C2524" s="354">
        <v>1</v>
      </c>
      <c r="D2524" s="354">
        <v>1</v>
      </c>
      <c r="E2524" s="354">
        <v>0</v>
      </c>
      <c r="F2524" s="354">
        <v>0</v>
      </c>
      <c r="G2524" s="354">
        <v>1</v>
      </c>
      <c r="H2524" s="354">
        <v>0</v>
      </c>
      <c r="I2524" s="354">
        <v>0</v>
      </c>
      <c r="J2524" s="354">
        <v>1</v>
      </c>
      <c r="K2524" s="354">
        <v>0</v>
      </c>
      <c r="L2524" s="354">
        <v>0</v>
      </c>
      <c r="M2524" s="355">
        <v>3</v>
      </c>
      <c r="N2524" s="355">
        <v>2</v>
      </c>
    </row>
    <row r="2525" spans="1:14" hidden="1" x14ac:dyDescent="0.25">
      <c r="A2525" s="354">
        <v>1</v>
      </c>
      <c r="B2525" s="354">
        <v>1</v>
      </c>
      <c r="C2525" s="354">
        <v>0</v>
      </c>
      <c r="D2525" s="354">
        <v>1</v>
      </c>
      <c r="E2525" s="354">
        <v>1</v>
      </c>
      <c r="F2525" s="354">
        <v>0</v>
      </c>
      <c r="G2525" s="354">
        <v>1</v>
      </c>
      <c r="H2525" s="354">
        <v>0</v>
      </c>
      <c r="I2525" s="354">
        <v>0</v>
      </c>
      <c r="J2525" s="354">
        <v>1</v>
      </c>
      <c r="K2525" s="354">
        <v>0</v>
      </c>
      <c r="L2525" s="354">
        <v>0</v>
      </c>
      <c r="M2525" s="355">
        <v>3</v>
      </c>
      <c r="N2525" s="355">
        <v>3</v>
      </c>
    </row>
    <row r="2526" spans="1:14" hidden="1" x14ac:dyDescent="0.25">
      <c r="A2526" s="354">
        <v>0</v>
      </c>
      <c r="B2526" s="354">
        <v>0</v>
      </c>
      <c r="C2526" s="354">
        <v>1</v>
      </c>
      <c r="D2526" s="354">
        <v>2</v>
      </c>
      <c r="E2526" s="354">
        <v>0</v>
      </c>
      <c r="F2526" s="354">
        <v>1</v>
      </c>
      <c r="G2526" s="354">
        <v>0</v>
      </c>
      <c r="H2526" s="354">
        <v>0</v>
      </c>
      <c r="I2526" s="354">
        <v>1</v>
      </c>
      <c r="J2526" s="354">
        <v>1</v>
      </c>
      <c r="K2526" s="354">
        <v>0</v>
      </c>
      <c r="L2526" s="354">
        <v>0</v>
      </c>
      <c r="M2526" s="355">
        <v>2</v>
      </c>
      <c r="N2526" s="355">
        <v>4</v>
      </c>
    </row>
    <row r="2527" spans="1:14" hidden="1" x14ac:dyDescent="0.25">
      <c r="A2527" s="354">
        <v>1</v>
      </c>
      <c r="B2527" s="354">
        <v>0</v>
      </c>
      <c r="C2527" s="354">
        <v>0</v>
      </c>
      <c r="D2527" s="354">
        <v>2</v>
      </c>
      <c r="E2527" s="354">
        <v>1</v>
      </c>
      <c r="F2527" s="354">
        <v>0</v>
      </c>
      <c r="G2527" s="354">
        <v>0</v>
      </c>
      <c r="H2527" s="354">
        <v>0</v>
      </c>
      <c r="I2527" s="354">
        <v>1</v>
      </c>
      <c r="J2527" s="354">
        <v>1</v>
      </c>
      <c r="K2527" s="354">
        <v>0</v>
      </c>
      <c r="L2527" s="354">
        <v>1</v>
      </c>
      <c r="M2527" s="355">
        <v>3</v>
      </c>
      <c r="N2527" s="355">
        <v>4</v>
      </c>
    </row>
    <row r="2528" spans="1:14" hidden="1" x14ac:dyDescent="0.25">
      <c r="A2528" s="354">
        <v>1</v>
      </c>
      <c r="B2528" s="354">
        <v>1</v>
      </c>
      <c r="C2528" s="354">
        <v>1</v>
      </c>
      <c r="D2528" s="354">
        <v>2</v>
      </c>
      <c r="E2528" s="354">
        <v>0</v>
      </c>
      <c r="F2528" s="354">
        <v>1</v>
      </c>
      <c r="G2528" s="354">
        <v>0</v>
      </c>
      <c r="H2528" s="354">
        <v>1</v>
      </c>
      <c r="I2528" s="354">
        <v>1</v>
      </c>
      <c r="J2528" s="354">
        <v>1</v>
      </c>
      <c r="K2528" s="354">
        <v>0</v>
      </c>
      <c r="L2528" s="354">
        <v>0</v>
      </c>
      <c r="M2528" s="355">
        <v>3</v>
      </c>
      <c r="N2528" s="355">
        <v>6</v>
      </c>
    </row>
    <row r="2529" spans="1:14" hidden="1" x14ac:dyDescent="0.25">
      <c r="A2529" s="354">
        <v>2</v>
      </c>
      <c r="B2529" s="354">
        <v>0</v>
      </c>
      <c r="C2529" s="354">
        <v>0</v>
      </c>
      <c r="D2529" s="354">
        <v>2</v>
      </c>
      <c r="E2529" s="354">
        <v>0</v>
      </c>
      <c r="F2529" s="354">
        <v>0</v>
      </c>
      <c r="G2529" s="354">
        <v>0</v>
      </c>
      <c r="H2529" s="354">
        <v>0</v>
      </c>
      <c r="I2529" s="354">
        <v>1</v>
      </c>
      <c r="J2529" s="354">
        <v>2</v>
      </c>
      <c r="K2529" s="354">
        <v>0</v>
      </c>
      <c r="L2529" s="354">
        <v>0</v>
      </c>
      <c r="M2529" s="355">
        <v>3</v>
      </c>
      <c r="N2529" s="355">
        <v>4</v>
      </c>
    </row>
    <row r="2530" spans="1:14" hidden="1" x14ac:dyDescent="0.25">
      <c r="A2530" s="354">
        <v>1</v>
      </c>
      <c r="B2530" s="354">
        <v>0</v>
      </c>
      <c r="C2530" s="354">
        <v>0</v>
      </c>
      <c r="D2530" s="354">
        <v>1</v>
      </c>
      <c r="E2530" s="354">
        <v>0</v>
      </c>
      <c r="F2530" s="354">
        <v>0</v>
      </c>
      <c r="G2530" s="354">
        <v>1</v>
      </c>
      <c r="H2530" s="354">
        <v>0</v>
      </c>
      <c r="I2530" s="354">
        <v>0</v>
      </c>
      <c r="J2530" s="354">
        <v>1</v>
      </c>
      <c r="K2530" s="354">
        <v>0</v>
      </c>
      <c r="L2530" s="354">
        <v>0</v>
      </c>
      <c r="M2530" s="355">
        <v>2</v>
      </c>
      <c r="N2530" s="355">
        <v>2</v>
      </c>
    </row>
    <row r="2531" spans="1:14" hidden="1" x14ac:dyDescent="0.25">
      <c r="A2531" s="354">
        <v>0</v>
      </c>
      <c r="B2531" s="354">
        <v>1</v>
      </c>
      <c r="C2531" s="354">
        <v>0</v>
      </c>
      <c r="D2531" s="354">
        <v>1</v>
      </c>
      <c r="E2531" s="354">
        <v>0</v>
      </c>
      <c r="F2531" s="354">
        <v>0</v>
      </c>
      <c r="G2531" s="354">
        <v>1</v>
      </c>
      <c r="H2531" s="354">
        <v>0</v>
      </c>
      <c r="I2531" s="354">
        <v>1</v>
      </c>
      <c r="J2531" s="354">
        <v>2</v>
      </c>
      <c r="K2531" s="354">
        <v>0</v>
      </c>
      <c r="L2531" s="354">
        <v>1</v>
      </c>
      <c r="M2531" s="355">
        <v>2</v>
      </c>
      <c r="N2531" s="355">
        <v>5</v>
      </c>
    </row>
    <row r="2532" spans="1:14" hidden="1" x14ac:dyDescent="0.25">
      <c r="A2532" s="354">
        <v>1</v>
      </c>
      <c r="B2532" s="354">
        <v>1</v>
      </c>
      <c r="C2532" s="354">
        <v>1</v>
      </c>
      <c r="D2532" s="354">
        <v>0</v>
      </c>
      <c r="E2532" s="354">
        <v>1</v>
      </c>
      <c r="F2532" s="354">
        <v>0</v>
      </c>
      <c r="G2532" s="354">
        <v>0</v>
      </c>
      <c r="H2532" s="354">
        <v>1</v>
      </c>
      <c r="I2532" s="354">
        <v>1</v>
      </c>
      <c r="J2532" s="354">
        <v>2</v>
      </c>
      <c r="K2532" s="354">
        <v>0</v>
      </c>
      <c r="L2532" s="354">
        <v>0</v>
      </c>
      <c r="M2532" s="355">
        <v>4</v>
      </c>
      <c r="N2532" s="355">
        <v>4</v>
      </c>
    </row>
    <row r="2533" spans="1:14" hidden="1" x14ac:dyDescent="0.25">
      <c r="A2533" s="354">
        <v>1</v>
      </c>
      <c r="B2533" s="354">
        <v>0</v>
      </c>
      <c r="C2533" s="354">
        <v>1</v>
      </c>
      <c r="D2533" s="354">
        <v>1</v>
      </c>
      <c r="E2533" s="354">
        <v>0</v>
      </c>
      <c r="F2533" s="354">
        <v>0</v>
      </c>
      <c r="G2533" s="354">
        <v>0</v>
      </c>
      <c r="H2533" s="354">
        <v>0</v>
      </c>
      <c r="I2533" s="354">
        <v>1</v>
      </c>
      <c r="J2533" s="354">
        <v>1</v>
      </c>
      <c r="K2533" s="354">
        <v>0</v>
      </c>
      <c r="L2533" s="354">
        <v>0</v>
      </c>
      <c r="M2533" s="355">
        <v>3</v>
      </c>
      <c r="N2533" s="355">
        <v>2</v>
      </c>
    </row>
    <row r="2534" spans="1:14" hidden="1" x14ac:dyDescent="0.25">
      <c r="A2534" s="354">
        <v>1</v>
      </c>
      <c r="B2534" s="354">
        <v>0</v>
      </c>
      <c r="C2534" s="354">
        <v>0</v>
      </c>
      <c r="D2534" s="354">
        <v>1</v>
      </c>
      <c r="E2534" s="354">
        <v>1</v>
      </c>
      <c r="F2534" s="354">
        <v>0</v>
      </c>
      <c r="G2534" s="354">
        <v>0</v>
      </c>
      <c r="H2534" s="354">
        <v>1</v>
      </c>
      <c r="I2534" s="354">
        <v>1</v>
      </c>
      <c r="J2534" s="354">
        <v>2</v>
      </c>
      <c r="K2534" s="354">
        <v>0</v>
      </c>
      <c r="L2534" s="354">
        <v>0</v>
      </c>
      <c r="M2534" s="355">
        <v>3</v>
      </c>
      <c r="N2534" s="355">
        <v>4</v>
      </c>
    </row>
    <row r="2535" spans="1:14" hidden="1" x14ac:dyDescent="0.25">
      <c r="A2535" s="354">
        <v>1</v>
      </c>
      <c r="B2535" s="354">
        <v>0</v>
      </c>
      <c r="C2535" s="354">
        <v>0</v>
      </c>
      <c r="D2535" s="354">
        <v>2</v>
      </c>
      <c r="E2535" s="354">
        <v>1</v>
      </c>
      <c r="F2535" s="354">
        <v>0</v>
      </c>
      <c r="G2535" s="354">
        <v>1</v>
      </c>
      <c r="H2535" s="354">
        <v>0</v>
      </c>
      <c r="I2535" s="354">
        <v>1</v>
      </c>
      <c r="J2535" s="354">
        <v>2</v>
      </c>
      <c r="K2535" s="354">
        <v>0</v>
      </c>
      <c r="L2535" s="354">
        <v>0</v>
      </c>
      <c r="M2535" s="355">
        <v>4</v>
      </c>
      <c r="N2535" s="355">
        <v>4</v>
      </c>
    </row>
    <row r="2536" spans="1:14" hidden="1" x14ac:dyDescent="0.25">
      <c r="A2536" s="354">
        <v>0</v>
      </c>
      <c r="B2536" s="354">
        <v>1</v>
      </c>
      <c r="C2536" s="354">
        <v>1</v>
      </c>
      <c r="D2536" s="354">
        <v>1</v>
      </c>
      <c r="E2536" s="354">
        <v>2</v>
      </c>
      <c r="F2536" s="354">
        <v>0</v>
      </c>
      <c r="G2536" s="354">
        <v>0</v>
      </c>
      <c r="H2536" s="354">
        <v>0</v>
      </c>
      <c r="I2536" s="354">
        <v>1</v>
      </c>
      <c r="J2536" s="354">
        <v>1</v>
      </c>
      <c r="K2536" s="354">
        <v>0</v>
      </c>
      <c r="L2536" s="354">
        <v>0</v>
      </c>
      <c r="M2536" s="355">
        <v>4</v>
      </c>
      <c r="N2536" s="355">
        <v>3</v>
      </c>
    </row>
    <row r="2537" spans="1:14" hidden="1" x14ac:dyDescent="0.25">
      <c r="A2537" s="354">
        <v>0</v>
      </c>
      <c r="B2537" s="354">
        <v>0</v>
      </c>
      <c r="C2537" s="354">
        <v>0</v>
      </c>
      <c r="D2537" s="354">
        <v>0</v>
      </c>
      <c r="E2537" s="354">
        <v>1</v>
      </c>
      <c r="F2537" s="354">
        <v>0</v>
      </c>
      <c r="G2537" s="354">
        <v>1</v>
      </c>
      <c r="H2537" s="354">
        <v>1</v>
      </c>
      <c r="I2537" s="354">
        <v>0</v>
      </c>
      <c r="J2537" s="354">
        <v>1</v>
      </c>
      <c r="K2537" s="354">
        <v>1</v>
      </c>
      <c r="L2537" s="354">
        <v>0</v>
      </c>
      <c r="M2537" s="355">
        <v>3</v>
      </c>
      <c r="N2537" s="355">
        <v>2</v>
      </c>
    </row>
    <row r="2538" spans="1:14" hidden="1" x14ac:dyDescent="0.25">
      <c r="A2538" s="354">
        <v>0</v>
      </c>
      <c r="B2538" s="354">
        <v>1</v>
      </c>
      <c r="C2538" s="354">
        <v>1</v>
      </c>
      <c r="D2538" s="354">
        <v>0</v>
      </c>
      <c r="E2538" s="354">
        <v>1</v>
      </c>
      <c r="F2538" s="354">
        <v>1</v>
      </c>
      <c r="G2538" s="354">
        <v>0</v>
      </c>
      <c r="H2538" s="354">
        <v>1</v>
      </c>
      <c r="I2538" s="354">
        <v>1</v>
      </c>
      <c r="J2538" s="354">
        <v>1</v>
      </c>
      <c r="K2538" s="354">
        <v>1</v>
      </c>
      <c r="L2538" s="354">
        <v>0</v>
      </c>
      <c r="M2538" s="355">
        <v>4</v>
      </c>
      <c r="N2538" s="355">
        <v>4</v>
      </c>
    </row>
    <row r="2539" spans="1:14" hidden="1" x14ac:dyDescent="0.25">
      <c r="A2539" s="354">
        <v>1</v>
      </c>
      <c r="B2539" s="354">
        <v>0</v>
      </c>
      <c r="C2539" s="354">
        <v>0</v>
      </c>
      <c r="D2539" s="354">
        <v>1</v>
      </c>
      <c r="E2539" s="354">
        <v>1</v>
      </c>
      <c r="F2539" s="354">
        <v>0</v>
      </c>
      <c r="G2539" s="354">
        <v>0</v>
      </c>
      <c r="H2539" s="354">
        <v>0</v>
      </c>
      <c r="I2539" s="354">
        <v>1</v>
      </c>
      <c r="J2539" s="354">
        <v>1</v>
      </c>
      <c r="K2539" s="354">
        <v>0</v>
      </c>
      <c r="L2539" s="354">
        <v>0</v>
      </c>
      <c r="M2539" s="355">
        <v>3</v>
      </c>
      <c r="N2539" s="355">
        <v>2</v>
      </c>
    </row>
    <row r="2540" spans="1:14" hidden="1" x14ac:dyDescent="0.25">
      <c r="A2540" s="354">
        <v>0</v>
      </c>
      <c r="B2540" s="354">
        <v>1</v>
      </c>
      <c r="C2540" s="354">
        <v>0</v>
      </c>
      <c r="D2540" s="354">
        <v>1</v>
      </c>
      <c r="E2540" s="354">
        <v>0</v>
      </c>
      <c r="F2540" s="354">
        <v>1</v>
      </c>
      <c r="G2540" s="354">
        <v>1</v>
      </c>
      <c r="H2540" s="354">
        <v>0</v>
      </c>
      <c r="I2540" s="354">
        <v>1</v>
      </c>
      <c r="J2540" s="354">
        <v>1</v>
      </c>
      <c r="K2540" s="354">
        <v>0</v>
      </c>
      <c r="L2540" s="354">
        <v>0</v>
      </c>
      <c r="M2540" s="355">
        <v>2</v>
      </c>
      <c r="N2540" s="355">
        <v>4</v>
      </c>
    </row>
    <row r="2541" spans="1:14" hidden="1" x14ac:dyDescent="0.25">
      <c r="A2541" s="354">
        <v>1</v>
      </c>
      <c r="B2541" s="354">
        <v>0</v>
      </c>
      <c r="C2541" s="354">
        <v>0</v>
      </c>
      <c r="D2541" s="354">
        <v>1</v>
      </c>
      <c r="E2541" s="354">
        <v>1</v>
      </c>
      <c r="F2541" s="354">
        <v>0</v>
      </c>
      <c r="G2541" s="354">
        <v>0</v>
      </c>
      <c r="H2541" s="354">
        <v>1</v>
      </c>
      <c r="I2541" s="354">
        <v>1</v>
      </c>
      <c r="J2541" s="354">
        <v>1</v>
      </c>
      <c r="K2541" s="354">
        <v>0</v>
      </c>
      <c r="L2541" s="354">
        <v>0</v>
      </c>
      <c r="M2541" s="355">
        <v>3</v>
      </c>
      <c r="N2541" s="355">
        <v>3</v>
      </c>
    </row>
    <row r="2542" spans="1:14" hidden="1" x14ac:dyDescent="0.25">
      <c r="A2542" s="354">
        <v>0</v>
      </c>
      <c r="B2542" s="354">
        <v>1</v>
      </c>
      <c r="C2542" s="354">
        <v>0</v>
      </c>
      <c r="D2542" s="354">
        <v>2</v>
      </c>
      <c r="E2542" s="354">
        <v>0</v>
      </c>
      <c r="F2542" s="354">
        <v>1</v>
      </c>
      <c r="G2542" s="354">
        <v>0</v>
      </c>
      <c r="H2542" s="354">
        <v>0</v>
      </c>
      <c r="I2542" s="354">
        <v>1</v>
      </c>
      <c r="J2542" s="354">
        <v>1</v>
      </c>
      <c r="K2542" s="354">
        <v>0</v>
      </c>
      <c r="L2542" s="354">
        <v>0</v>
      </c>
      <c r="M2542" s="355">
        <v>1</v>
      </c>
      <c r="N2542" s="355">
        <v>5</v>
      </c>
    </row>
    <row r="2543" spans="1:14" hidden="1" x14ac:dyDescent="0.25">
      <c r="A2543" s="354">
        <v>1</v>
      </c>
      <c r="B2543" s="354">
        <v>0</v>
      </c>
      <c r="C2543" s="354">
        <v>0</v>
      </c>
      <c r="D2543" s="354">
        <v>1</v>
      </c>
      <c r="E2543" s="354">
        <v>0</v>
      </c>
      <c r="F2543" s="354">
        <v>1</v>
      </c>
      <c r="G2543" s="354">
        <v>0</v>
      </c>
      <c r="H2543" s="354">
        <v>0</v>
      </c>
      <c r="I2543" s="354">
        <v>1</v>
      </c>
      <c r="J2543" s="354">
        <v>1</v>
      </c>
      <c r="K2543" s="354">
        <v>0</v>
      </c>
      <c r="L2543" s="354">
        <v>0</v>
      </c>
      <c r="M2543" s="355">
        <v>2</v>
      </c>
      <c r="N2543" s="355">
        <v>3</v>
      </c>
    </row>
    <row r="2544" spans="1:14" hidden="1" x14ac:dyDescent="0.25">
      <c r="A2544" s="354">
        <v>1</v>
      </c>
      <c r="B2544" s="354">
        <v>0</v>
      </c>
      <c r="C2544" s="354">
        <v>0</v>
      </c>
      <c r="D2544" s="354">
        <v>1</v>
      </c>
      <c r="E2544" s="354">
        <v>1</v>
      </c>
      <c r="F2544" s="354">
        <v>0</v>
      </c>
      <c r="G2544" s="354">
        <v>0</v>
      </c>
      <c r="H2544" s="354">
        <v>0</v>
      </c>
      <c r="I2544" s="354">
        <v>1</v>
      </c>
      <c r="J2544" s="354">
        <v>1</v>
      </c>
      <c r="K2544" s="354">
        <v>0</v>
      </c>
      <c r="L2544" s="354">
        <v>0</v>
      </c>
      <c r="M2544" s="355">
        <v>3</v>
      </c>
      <c r="N2544" s="355">
        <v>2</v>
      </c>
    </row>
    <row r="2545" spans="1:14" hidden="1" x14ac:dyDescent="0.25">
      <c r="A2545" s="354">
        <v>1</v>
      </c>
      <c r="B2545" s="354">
        <v>0</v>
      </c>
      <c r="C2545" s="354">
        <v>0</v>
      </c>
      <c r="D2545" s="354">
        <v>1</v>
      </c>
      <c r="E2545" s="354">
        <v>1</v>
      </c>
      <c r="F2545" s="354">
        <v>0</v>
      </c>
      <c r="G2545" s="354">
        <v>1</v>
      </c>
      <c r="H2545" s="354">
        <v>1</v>
      </c>
      <c r="I2545" s="354">
        <v>1</v>
      </c>
      <c r="J2545" s="354">
        <v>1</v>
      </c>
      <c r="K2545" s="354">
        <v>0</v>
      </c>
      <c r="L2545" s="354">
        <v>0</v>
      </c>
      <c r="M2545" s="355">
        <v>4</v>
      </c>
      <c r="N2545" s="355">
        <v>3</v>
      </c>
    </row>
    <row r="2546" spans="1:14" hidden="1" x14ac:dyDescent="0.25">
      <c r="A2546" s="354">
        <v>1</v>
      </c>
      <c r="B2546" s="354">
        <v>0</v>
      </c>
      <c r="C2546" s="354">
        <v>0</v>
      </c>
      <c r="D2546" s="354">
        <v>1</v>
      </c>
      <c r="E2546" s="354">
        <v>1</v>
      </c>
      <c r="F2546" s="354">
        <v>0</v>
      </c>
      <c r="G2546" s="354">
        <v>1</v>
      </c>
      <c r="H2546" s="354">
        <v>0</v>
      </c>
      <c r="I2546" s="354">
        <v>1</v>
      </c>
      <c r="J2546" s="354">
        <v>1</v>
      </c>
      <c r="K2546" s="354">
        <v>0</v>
      </c>
      <c r="L2546" s="354">
        <v>0</v>
      </c>
      <c r="M2546" s="355">
        <v>4</v>
      </c>
      <c r="N2546" s="355">
        <v>2</v>
      </c>
    </row>
    <row r="2547" spans="1:14" hidden="1" x14ac:dyDescent="0.25">
      <c r="A2547" s="354">
        <v>1</v>
      </c>
      <c r="B2547" s="354">
        <v>0</v>
      </c>
      <c r="C2547" s="354">
        <v>0</v>
      </c>
      <c r="D2547" s="354">
        <v>1</v>
      </c>
      <c r="E2547" s="354">
        <v>0</v>
      </c>
      <c r="F2547" s="354">
        <v>1</v>
      </c>
      <c r="G2547" s="354">
        <v>0</v>
      </c>
      <c r="H2547" s="354">
        <v>0</v>
      </c>
      <c r="I2547" s="354">
        <v>1</v>
      </c>
      <c r="J2547" s="354">
        <v>1</v>
      </c>
      <c r="K2547" s="354">
        <v>0</v>
      </c>
      <c r="L2547" s="354">
        <v>0</v>
      </c>
      <c r="M2547" s="355">
        <v>2</v>
      </c>
      <c r="N2547" s="355">
        <v>3</v>
      </c>
    </row>
    <row r="2548" spans="1:14" hidden="1" x14ac:dyDescent="0.25">
      <c r="A2548" s="354">
        <v>2</v>
      </c>
      <c r="B2548" s="354">
        <v>0</v>
      </c>
      <c r="C2548" s="354">
        <v>0</v>
      </c>
      <c r="D2548" s="354">
        <v>0</v>
      </c>
      <c r="E2548" s="354">
        <v>1</v>
      </c>
      <c r="F2548" s="354">
        <v>2</v>
      </c>
      <c r="G2548" s="354">
        <v>0</v>
      </c>
      <c r="H2548" s="354">
        <v>2</v>
      </c>
      <c r="I2548" s="354">
        <v>3</v>
      </c>
      <c r="J2548" s="354">
        <v>3</v>
      </c>
      <c r="K2548" s="354">
        <v>0</v>
      </c>
      <c r="L2548" s="354">
        <v>0</v>
      </c>
      <c r="M2548" s="355">
        <v>6</v>
      </c>
      <c r="N2548" s="355">
        <v>7</v>
      </c>
    </row>
    <row r="2549" spans="1:14" hidden="1" x14ac:dyDescent="0.25">
      <c r="A2549" s="354">
        <v>0</v>
      </c>
      <c r="B2549" s="354">
        <v>1</v>
      </c>
      <c r="C2549" s="354">
        <v>1</v>
      </c>
      <c r="D2549" s="354">
        <v>0</v>
      </c>
      <c r="E2549" s="354">
        <v>1</v>
      </c>
      <c r="F2549" s="354">
        <v>0</v>
      </c>
      <c r="G2549" s="354">
        <v>1</v>
      </c>
      <c r="H2549" s="354">
        <v>0</v>
      </c>
      <c r="I2549" s="354">
        <v>1</v>
      </c>
      <c r="J2549" s="354">
        <v>1</v>
      </c>
      <c r="K2549" s="354">
        <v>0</v>
      </c>
      <c r="L2549" s="354">
        <v>0</v>
      </c>
      <c r="M2549" s="355">
        <v>4</v>
      </c>
      <c r="N2549" s="355">
        <v>2</v>
      </c>
    </row>
    <row r="2550" spans="1:14" hidden="1" x14ac:dyDescent="0.25">
      <c r="A2550" s="354">
        <v>0</v>
      </c>
      <c r="B2550" s="354">
        <v>1</v>
      </c>
      <c r="C2550" s="354">
        <v>1</v>
      </c>
      <c r="D2550" s="354">
        <v>1</v>
      </c>
      <c r="E2550" s="354">
        <v>1</v>
      </c>
      <c r="F2550" s="354">
        <v>1</v>
      </c>
      <c r="G2550" s="354">
        <v>1</v>
      </c>
      <c r="H2550" s="354">
        <v>1</v>
      </c>
      <c r="I2550" s="354">
        <v>1</v>
      </c>
      <c r="J2550" s="354">
        <v>1</v>
      </c>
      <c r="K2550" s="354">
        <v>0</v>
      </c>
      <c r="L2550" s="354">
        <v>0</v>
      </c>
      <c r="M2550" s="355">
        <v>4</v>
      </c>
      <c r="N2550" s="355">
        <v>5</v>
      </c>
    </row>
    <row r="2551" spans="1:14" hidden="1" x14ac:dyDescent="0.25">
      <c r="A2551" s="354">
        <v>1</v>
      </c>
      <c r="B2551" s="354">
        <v>0</v>
      </c>
      <c r="C2551" s="354">
        <v>0</v>
      </c>
      <c r="D2551" s="354">
        <v>1</v>
      </c>
      <c r="E2551" s="354">
        <v>0</v>
      </c>
      <c r="F2551" s="354">
        <v>0</v>
      </c>
      <c r="G2551" s="354">
        <v>0</v>
      </c>
      <c r="H2551" s="354">
        <v>0</v>
      </c>
      <c r="I2551" s="354">
        <v>1</v>
      </c>
      <c r="J2551" s="354">
        <v>1</v>
      </c>
      <c r="K2551" s="354">
        <v>0</v>
      </c>
      <c r="L2551" s="354">
        <v>0</v>
      </c>
      <c r="M2551" s="355">
        <v>2</v>
      </c>
      <c r="N2551" s="355">
        <v>2</v>
      </c>
    </row>
    <row r="2552" spans="1:14" hidden="1" x14ac:dyDescent="0.25">
      <c r="A2552" s="354">
        <v>1</v>
      </c>
      <c r="B2552" s="354">
        <v>0</v>
      </c>
      <c r="C2552" s="354">
        <v>0</v>
      </c>
      <c r="D2552" s="354">
        <v>1</v>
      </c>
      <c r="E2552" s="354">
        <v>1</v>
      </c>
      <c r="F2552" s="354">
        <v>0</v>
      </c>
      <c r="G2552" s="354">
        <v>1</v>
      </c>
      <c r="H2552" s="354">
        <v>0</v>
      </c>
      <c r="I2552" s="354">
        <v>1</v>
      </c>
      <c r="J2552" s="354">
        <v>1</v>
      </c>
      <c r="K2552" s="354">
        <v>0</v>
      </c>
      <c r="L2552" s="354">
        <v>0</v>
      </c>
      <c r="M2552" s="355">
        <v>4</v>
      </c>
      <c r="N2552" s="355">
        <v>2</v>
      </c>
    </row>
    <row r="2553" spans="1:14" hidden="1" x14ac:dyDescent="0.25">
      <c r="A2553" s="354">
        <v>1</v>
      </c>
      <c r="B2553" s="354">
        <v>0</v>
      </c>
      <c r="C2553" s="354">
        <v>3</v>
      </c>
      <c r="D2553" s="354">
        <v>1</v>
      </c>
      <c r="E2553" s="354">
        <v>1</v>
      </c>
      <c r="F2553" s="354">
        <v>1</v>
      </c>
      <c r="G2553" s="354">
        <v>2</v>
      </c>
      <c r="H2553" s="354">
        <v>0</v>
      </c>
      <c r="I2553" s="354">
        <v>1</v>
      </c>
      <c r="J2553" s="354">
        <v>2</v>
      </c>
      <c r="K2553" s="354">
        <v>0</v>
      </c>
      <c r="L2553" s="354">
        <v>0</v>
      </c>
      <c r="M2553" s="355">
        <v>8</v>
      </c>
      <c r="N2553" s="355">
        <v>4</v>
      </c>
    </row>
    <row r="2554" spans="1:14" hidden="1" x14ac:dyDescent="0.25">
      <c r="A2554" s="354">
        <v>2</v>
      </c>
      <c r="B2554" s="354">
        <v>1</v>
      </c>
      <c r="C2554" s="354">
        <v>1</v>
      </c>
      <c r="D2554" s="354">
        <v>0</v>
      </c>
      <c r="E2554" s="354">
        <v>2</v>
      </c>
      <c r="F2554" s="354">
        <v>1</v>
      </c>
      <c r="G2554" s="354">
        <v>2</v>
      </c>
      <c r="H2554" s="354">
        <v>1</v>
      </c>
      <c r="I2554" s="354">
        <v>3</v>
      </c>
      <c r="J2554" s="354">
        <v>2</v>
      </c>
      <c r="K2554" s="354">
        <v>1</v>
      </c>
      <c r="L2554" s="354">
        <v>0</v>
      </c>
      <c r="M2554" s="355">
        <v>11</v>
      </c>
      <c r="N2554" s="355">
        <v>5</v>
      </c>
    </row>
    <row r="2555" spans="1:14" hidden="1" x14ac:dyDescent="0.25">
      <c r="A2555" s="354">
        <v>0</v>
      </c>
      <c r="B2555" s="354">
        <v>0</v>
      </c>
      <c r="C2555" s="354">
        <v>1</v>
      </c>
      <c r="D2555" s="354">
        <v>0</v>
      </c>
      <c r="E2555" s="354">
        <v>1</v>
      </c>
      <c r="F2555" s="354">
        <v>1</v>
      </c>
      <c r="G2555" s="354">
        <v>1</v>
      </c>
      <c r="H2555" s="354">
        <v>2</v>
      </c>
      <c r="I2555" s="354">
        <v>1</v>
      </c>
      <c r="J2555" s="354">
        <v>1</v>
      </c>
      <c r="K2555" s="354">
        <v>0</v>
      </c>
      <c r="L2555" s="354">
        <v>1</v>
      </c>
      <c r="M2555" s="355">
        <v>4</v>
      </c>
      <c r="N2555" s="355">
        <v>5</v>
      </c>
    </row>
    <row r="2556" spans="1:14" hidden="1" x14ac:dyDescent="0.25">
      <c r="A2556" s="354">
        <v>1</v>
      </c>
      <c r="B2556" s="354">
        <v>2</v>
      </c>
      <c r="C2556" s="354">
        <v>1</v>
      </c>
      <c r="D2556" s="354">
        <v>2</v>
      </c>
      <c r="E2556" s="354">
        <v>2</v>
      </c>
      <c r="F2556" s="354">
        <v>1</v>
      </c>
      <c r="G2556" s="354">
        <v>0</v>
      </c>
      <c r="H2556" s="354">
        <v>4</v>
      </c>
      <c r="I2556" s="354">
        <v>2</v>
      </c>
      <c r="J2556" s="354">
        <v>3</v>
      </c>
      <c r="K2556" s="354">
        <v>1</v>
      </c>
      <c r="L2556" s="354">
        <v>0</v>
      </c>
      <c r="M2556" s="355">
        <v>7</v>
      </c>
      <c r="N2556" s="355">
        <v>12</v>
      </c>
    </row>
    <row r="2557" spans="1:14" hidden="1" x14ac:dyDescent="0.25">
      <c r="A2557" s="354">
        <v>1</v>
      </c>
      <c r="B2557" s="354">
        <v>0</v>
      </c>
      <c r="C2557" s="354">
        <v>2</v>
      </c>
      <c r="D2557" s="354">
        <v>1</v>
      </c>
      <c r="E2557" s="354">
        <v>2</v>
      </c>
      <c r="F2557" s="354">
        <v>2</v>
      </c>
      <c r="G2557" s="354">
        <v>0</v>
      </c>
      <c r="H2557" s="354">
        <v>0</v>
      </c>
      <c r="I2557" s="354">
        <v>1</v>
      </c>
      <c r="J2557" s="354">
        <v>1</v>
      </c>
      <c r="K2557" s="354">
        <v>0</v>
      </c>
      <c r="L2557" s="354">
        <v>0</v>
      </c>
      <c r="M2557" s="355">
        <v>6</v>
      </c>
      <c r="N2557" s="355">
        <v>4</v>
      </c>
    </row>
    <row r="2558" spans="1:14" hidden="1" x14ac:dyDescent="0.25">
      <c r="A2558" s="354">
        <v>1</v>
      </c>
      <c r="B2558" s="354">
        <v>1</v>
      </c>
      <c r="C2558" s="354">
        <v>1</v>
      </c>
      <c r="D2558" s="354">
        <v>1</v>
      </c>
      <c r="E2558" s="354">
        <v>2</v>
      </c>
      <c r="F2558" s="354">
        <v>1</v>
      </c>
      <c r="G2558" s="354">
        <v>1</v>
      </c>
      <c r="H2558" s="354">
        <v>0</v>
      </c>
      <c r="I2558" s="354">
        <v>1</v>
      </c>
      <c r="J2558" s="354">
        <v>1</v>
      </c>
      <c r="K2558" s="354">
        <v>0</v>
      </c>
      <c r="L2558" s="354">
        <v>0</v>
      </c>
      <c r="M2558" s="355">
        <v>6</v>
      </c>
      <c r="N2558" s="355">
        <v>4</v>
      </c>
    </row>
    <row r="2559" spans="1:14" hidden="1" x14ac:dyDescent="0.25">
      <c r="A2559" s="354">
        <v>0</v>
      </c>
      <c r="B2559" s="354">
        <v>1</v>
      </c>
      <c r="C2559" s="354">
        <v>2</v>
      </c>
      <c r="D2559" s="354">
        <v>0</v>
      </c>
      <c r="E2559" s="354">
        <v>3</v>
      </c>
      <c r="F2559" s="354">
        <v>0</v>
      </c>
      <c r="G2559" s="354">
        <v>0</v>
      </c>
      <c r="H2559" s="354">
        <v>1</v>
      </c>
      <c r="I2559" s="354">
        <v>1</v>
      </c>
      <c r="J2559" s="354">
        <v>1</v>
      </c>
      <c r="K2559" s="354">
        <v>0</v>
      </c>
      <c r="L2559" s="354">
        <v>0</v>
      </c>
      <c r="M2559" s="355">
        <v>6</v>
      </c>
      <c r="N2559" s="355">
        <v>3</v>
      </c>
    </row>
    <row r="2560" spans="1:14" hidden="1" x14ac:dyDescent="0.25">
      <c r="A2560" s="354">
        <v>1</v>
      </c>
      <c r="B2560" s="354">
        <v>1</v>
      </c>
      <c r="C2560" s="354">
        <v>0</v>
      </c>
      <c r="D2560" s="354">
        <v>1</v>
      </c>
      <c r="E2560" s="354">
        <v>1</v>
      </c>
      <c r="F2560" s="354">
        <v>0</v>
      </c>
      <c r="G2560" s="354">
        <v>1</v>
      </c>
      <c r="H2560" s="354">
        <v>1</v>
      </c>
      <c r="I2560" s="354">
        <v>2</v>
      </c>
      <c r="J2560" s="354">
        <v>1</v>
      </c>
      <c r="K2560" s="354">
        <v>0</v>
      </c>
      <c r="L2560" s="354">
        <v>0</v>
      </c>
      <c r="M2560" s="355">
        <v>5</v>
      </c>
      <c r="N2560" s="355">
        <v>4</v>
      </c>
    </row>
    <row r="2561" spans="1:14" hidden="1" x14ac:dyDescent="0.25">
      <c r="A2561" s="354">
        <v>1</v>
      </c>
      <c r="B2561" s="354">
        <v>1</v>
      </c>
      <c r="C2561" s="354">
        <v>1</v>
      </c>
      <c r="D2561" s="354">
        <v>1</v>
      </c>
      <c r="E2561" s="354">
        <v>2</v>
      </c>
      <c r="F2561" s="354">
        <v>1</v>
      </c>
      <c r="G2561" s="354">
        <v>1</v>
      </c>
      <c r="H2561" s="354">
        <v>0</v>
      </c>
      <c r="I2561" s="354">
        <v>3</v>
      </c>
      <c r="J2561" s="354">
        <v>2</v>
      </c>
      <c r="K2561" s="354">
        <v>0</v>
      </c>
      <c r="L2561" s="354">
        <v>0</v>
      </c>
      <c r="M2561" s="355">
        <v>8</v>
      </c>
      <c r="N2561" s="355">
        <v>5</v>
      </c>
    </row>
    <row r="2562" spans="1:14" hidden="1" x14ac:dyDescent="0.25">
      <c r="A2562" s="354">
        <v>0</v>
      </c>
      <c r="B2562" s="354">
        <v>0</v>
      </c>
      <c r="C2562" s="354">
        <v>1</v>
      </c>
      <c r="D2562" s="354">
        <v>1</v>
      </c>
      <c r="E2562" s="354">
        <v>1</v>
      </c>
      <c r="F2562" s="354">
        <v>1</v>
      </c>
      <c r="G2562" s="354">
        <v>1</v>
      </c>
      <c r="H2562" s="354">
        <v>2</v>
      </c>
      <c r="I2562" s="354">
        <v>1</v>
      </c>
      <c r="J2562" s="354">
        <v>1</v>
      </c>
      <c r="K2562" s="354">
        <v>1</v>
      </c>
      <c r="L2562" s="354">
        <v>1</v>
      </c>
      <c r="M2562" s="355">
        <v>5</v>
      </c>
      <c r="N2562" s="355">
        <v>6</v>
      </c>
    </row>
    <row r="2563" spans="1:14" hidden="1" x14ac:dyDescent="0.25">
      <c r="A2563" s="354">
        <v>0</v>
      </c>
      <c r="B2563" s="354">
        <v>0</v>
      </c>
      <c r="C2563" s="354">
        <v>2</v>
      </c>
      <c r="D2563" s="354">
        <v>1</v>
      </c>
      <c r="E2563" s="354">
        <v>1</v>
      </c>
      <c r="F2563" s="354">
        <v>2</v>
      </c>
      <c r="G2563" s="354">
        <v>1</v>
      </c>
      <c r="H2563" s="354">
        <v>1</v>
      </c>
      <c r="I2563" s="354">
        <v>1</v>
      </c>
      <c r="J2563" s="354">
        <v>2</v>
      </c>
      <c r="K2563" s="354">
        <v>0</v>
      </c>
      <c r="L2563" s="354">
        <v>0</v>
      </c>
      <c r="M2563" s="355">
        <v>5</v>
      </c>
      <c r="N2563" s="355">
        <v>6</v>
      </c>
    </row>
    <row r="2564" spans="1:14" hidden="1" x14ac:dyDescent="0.25">
      <c r="A2564" s="354">
        <v>0</v>
      </c>
      <c r="B2564" s="354">
        <v>0</v>
      </c>
      <c r="C2564" s="354">
        <v>1</v>
      </c>
      <c r="D2564" s="354">
        <v>1</v>
      </c>
      <c r="E2564" s="354">
        <v>2</v>
      </c>
      <c r="F2564" s="354">
        <v>1</v>
      </c>
      <c r="G2564" s="354">
        <v>1</v>
      </c>
      <c r="H2564" s="354">
        <v>2</v>
      </c>
      <c r="I2564" s="354">
        <v>1</v>
      </c>
      <c r="J2564" s="354">
        <v>1</v>
      </c>
      <c r="K2564" s="354">
        <v>0</v>
      </c>
      <c r="L2564" s="354">
        <v>0</v>
      </c>
      <c r="M2564" s="355">
        <v>5</v>
      </c>
      <c r="N2564" s="355">
        <v>5</v>
      </c>
    </row>
    <row r="2565" spans="1:14" hidden="1" x14ac:dyDescent="0.25">
      <c r="A2565" s="354">
        <v>1</v>
      </c>
      <c r="B2565" s="354">
        <v>0</v>
      </c>
      <c r="C2565" s="354">
        <v>1</v>
      </c>
      <c r="D2565" s="354">
        <v>2</v>
      </c>
      <c r="E2565" s="354">
        <v>1</v>
      </c>
      <c r="F2565" s="354">
        <v>2</v>
      </c>
      <c r="G2565" s="354">
        <v>1</v>
      </c>
      <c r="H2565" s="354">
        <v>1</v>
      </c>
      <c r="I2565" s="354">
        <v>1</v>
      </c>
      <c r="J2565" s="354">
        <v>0</v>
      </c>
      <c r="K2565" s="354">
        <v>0</v>
      </c>
      <c r="L2565" s="354">
        <v>0</v>
      </c>
      <c r="M2565" s="355">
        <v>5</v>
      </c>
      <c r="N2565" s="355">
        <v>5</v>
      </c>
    </row>
    <row r="2566" spans="1:14" hidden="1" x14ac:dyDescent="0.25">
      <c r="A2566" s="354">
        <v>0</v>
      </c>
      <c r="B2566" s="354">
        <v>1</v>
      </c>
      <c r="C2566" s="354">
        <v>1</v>
      </c>
      <c r="D2566" s="354">
        <v>1</v>
      </c>
      <c r="E2566" s="354">
        <v>1</v>
      </c>
      <c r="F2566" s="354">
        <v>1</v>
      </c>
      <c r="G2566" s="354">
        <v>1</v>
      </c>
      <c r="H2566" s="354">
        <v>0</v>
      </c>
      <c r="I2566" s="354">
        <v>1</v>
      </c>
      <c r="J2566" s="354">
        <v>1</v>
      </c>
      <c r="K2566" s="354">
        <v>0</v>
      </c>
      <c r="L2566" s="354">
        <v>0</v>
      </c>
      <c r="M2566" s="355">
        <v>4</v>
      </c>
      <c r="N2566" s="355">
        <v>4</v>
      </c>
    </row>
    <row r="2567" spans="1:14" hidden="1" x14ac:dyDescent="0.25">
      <c r="A2567" s="354">
        <v>0</v>
      </c>
      <c r="B2567" s="354">
        <v>0</v>
      </c>
      <c r="C2567" s="354">
        <v>1</v>
      </c>
      <c r="D2567" s="354">
        <v>1</v>
      </c>
      <c r="E2567" s="354">
        <v>1</v>
      </c>
      <c r="F2567" s="354">
        <v>2</v>
      </c>
      <c r="G2567" s="354">
        <v>1</v>
      </c>
      <c r="H2567" s="354">
        <v>1</v>
      </c>
      <c r="I2567" s="354">
        <v>2</v>
      </c>
      <c r="J2567" s="354">
        <v>1</v>
      </c>
      <c r="K2567" s="354">
        <v>0</v>
      </c>
      <c r="L2567" s="354">
        <v>0</v>
      </c>
      <c r="M2567" s="355">
        <v>5</v>
      </c>
      <c r="N2567" s="355">
        <v>5</v>
      </c>
    </row>
    <row r="2568" spans="1:14" hidden="1" x14ac:dyDescent="0.25">
      <c r="A2568" s="354">
        <v>0</v>
      </c>
      <c r="B2568" s="354">
        <v>1</v>
      </c>
      <c r="C2568" s="354">
        <v>2</v>
      </c>
      <c r="D2568" s="354">
        <v>0</v>
      </c>
      <c r="E2568" s="354">
        <v>1</v>
      </c>
      <c r="F2568" s="354">
        <v>0</v>
      </c>
      <c r="G2568" s="354">
        <v>0</v>
      </c>
      <c r="H2568" s="354">
        <v>1</v>
      </c>
      <c r="I2568" s="354">
        <v>1</v>
      </c>
      <c r="J2568" s="354">
        <v>0</v>
      </c>
      <c r="K2568" s="354">
        <v>0</v>
      </c>
      <c r="L2568" s="354">
        <v>0</v>
      </c>
      <c r="M2568" s="355">
        <v>4</v>
      </c>
      <c r="N2568" s="355">
        <v>2</v>
      </c>
    </row>
    <row r="2569" spans="1:14" hidden="1" x14ac:dyDescent="0.25">
      <c r="A2569" s="354">
        <v>1</v>
      </c>
      <c r="B2569" s="354">
        <v>0</v>
      </c>
      <c r="C2569" s="354">
        <v>1</v>
      </c>
      <c r="D2569" s="354">
        <v>1</v>
      </c>
      <c r="E2569" s="354">
        <v>0</v>
      </c>
      <c r="F2569" s="354">
        <v>0</v>
      </c>
      <c r="G2569" s="354">
        <v>0</v>
      </c>
      <c r="H2569" s="354">
        <v>1</v>
      </c>
      <c r="I2569" s="354">
        <v>1</v>
      </c>
      <c r="J2569" s="354">
        <v>0</v>
      </c>
      <c r="K2569" s="354">
        <v>0</v>
      </c>
      <c r="L2569" s="354">
        <v>0</v>
      </c>
      <c r="M2569" s="355">
        <v>3</v>
      </c>
      <c r="N2569" s="355">
        <v>2</v>
      </c>
    </row>
    <row r="2570" spans="1:14" hidden="1" x14ac:dyDescent="0.25">
      <c r="A2570" s="354">
        <v>1</v>
      </c>
      <c r="B2570" s="354">
        <v>0</v>
      </c>
      <c r="C2570" s="354">
        <v>1</v>
      </c>
      <c r="D2570" s="354">
        <v>1</v>
      </c>
      <c r="E2570" s="354">
        <v>1</v>
      </c>
      <c r="F2570" s="354">
        <v>1</v>
      </c>
      <c r="G2570" s="354">
        <v>0</v>
      </c>
      <c r="H2570" s="354">
        <v>0</v>
      </c>
      <c r="I2570" s="354">
        <v>1</v>
      </c>
      <c r="J2570" s="354">
        <v>2</v>
      </c>
      <c r="K2570" s="354">
        <v>0</v>
      </c>
      <c r="L2570" s="354">
        <v>0</v>
      </c>
      <c r="M2570" s="355">
        <v>4</v>
      </c>
      <c r="N2570" s="355">
        <v>4</v>
      </c>
    </row>
    <row r="2571" spans="1:14" hidden="1" x14ac:dyDescent="0.25">
      <c r="A2571" s="354">
        <v>1</v>
      </c>
      <c r="B2571" s="354">
        <v>0</v>
      </c>
      <c r="C2571" s="354">
        <v>1</v>
      </c>
      <c r="D2571" s="354">
        <v>2</v>
      </c>
      <c r="E2571" s="354">
        <v>2</v>
      </c>
      <c r="F2571" s="354">
        <v>1</v>
      </c>
      <c r="G2571" s="354">
        <v>1</v>
      </c>
      <c r="H2571" s="354">
        <v>1</v>
      </c>
      <c r="I2571" s="354">
        <v>1</v>
      </c>
      <c r="J2571" s="354">
        <v>1</v>
      </c>
      <c r="K2571" s="354">
        <v>0</v>
      </c>
      <c r="L2571" s="354">
        <v>0</v>
      </c>
      <c r="M2571" s="355">
        <v>6</v>
      </c>
      <c r="N2571" s="355">
        <v>5</v>
      </c>
    </row>
    <row r="2572" spans="1:14" hidden="1" x14ac:dyDescent="0.25">
      <c r="A2572" s="354">
        <v>0</v>
      </c>
      <c r="B2572" s="354">
        <v>0</v>
      </c>
      <c r="C2572" s="354">
        <v>0</v>
      </c>
      <c r="D2572" s="354">
        <v>1</v>
      </c>
      <c r="E2572" s="354">
        <v>1</v>
      </c>
      <c r="F2572" s="354">
        <v>2</v>
      </c>
      <c r="G2572" s="354"/>
      <c r="H2572" s="354">
        <v>0</v>
      </c>
      <c r="I2572" s="354">
        <v>1</v>
      </c>
      <c r="J2572" s="354">
        <v>1</v>
      </c>
      <c r="K2572" s="354">
        <v>0</v>
      </c>
      <c r="L2572" s="354">
        <v>0</v>
      </c>
      <c r="M2572" s="355">
        <v>2</v>
      </c>
      <c r="N2572" s="355">
        <v>4</v>
      </c>
    </row>
    <row r="2573" spans="1:14" hidden="1" x14ac:dyDescent="0.25">
      <c r="A2573" s="354">
        <v>2</v>
      </c>
      <c r="B2573" s="354">
        <v>3</v>
      </c>
      <c r="C2573" s="354">
        <v>2</v>
      </c>
      <c r="D2573" s="354">
        <v>3</v>
      </c>
      <c r="E2573" s="354">
        <v>1</v>
      </c>
      <c r="F2573" s="354">
        <v>2</v>
      </c>
      <c r="G2573" s="354">
        <v>1</v>
      </c>
      <c r="H2573" s="354">
        <v>0</v>
      </c>
      <c r="I2573" s="354">
        <v>1</v>
      </c>
      <c r="J2573" s="354">
        <v>3</v>
      </c>
      <c r="K2573" s="354">
        <v>0</v>
      </c>
      <c r="L2573" s="354">
        <v>0</v>
      </c>
      <c r="M2573" s="355">
        <v>7</v>
      </c>
      <c r="N2573" s="355">
        <v>11</v>
      </c>
    </row>
    <row r="2574" spans="1:14" hidden="1" x14ac:dyDescent="0.25">
      <c r="A2574" s="354">
        <v>0</v>
      </c>
      <c r="B2574" s="354">
        <v>0</v>
      </c>
      <c r="C2574" s="354">
        <v>0</v>
      </c>
      <c r="D2574" s="354">
        <v>1</v>
      </c>
      <c r="E2574" s="354">
        <v>0</v>
      </c>
      <c r="F2574" s="354">
        <v>2</v>
      </c>
      <c r="G2574" s="354">
        <v>0</v>
      </c>
      <c r="H2574" s="354">
        <v>0</v>
      </c>
      <c r="I2574" s="354">
        <v>1</v>
      </c>
      <c r="J2574" s="354">
        <v>1</v>
      </c>
      <c r="K2574" s="354">
        <v>0</v>
      </c>
      <c r="L2574" s="354">
        <v>0</v>
      </c>
      <c r="M2574" s="355">
        <v>1</v>
      </c>
      <c r="N2574" s="355">
        <v>4</v>
      </c>
    </row>
    <row r="2575" spans="1:14" hidden="1" x14ac:dyDescent="0.25">
      <c r="A2575" s="354">
        <v>0</v>
      </c>
      <c r="B2575" s="354">
        <v>1</v>
      </c>
      <c r="C2575" s="354">
        <v>2</v>
      </c>
      <c r="D2575" s="354">
        <v>1</v>
      </c>
      <c r="E2575" s="354">
        <v>1</v>
      </c>
      <c r="F2575" s="354">
        <v>0</v>
      </c>
      <c r="G2575" s="354">
        <v>0</v>
      </c>
      <c r="H2575" s="354">
        <v>0</v>
      </c>
      <c r="I2575" s="354">
        <v>1</v>
      </c>
      <c r="J2575" s="354">
        <v>1</v>
      </c>
      <c r="K2575" s="354">
        <v>0</v>
      </c>
      <c r="L2575" s="354">
        <v>0</v>
      </c>
      <c r="M2575" s="355">
        <v>4</v>
      </c>
      <c r="N2575" s="355">
        <v>3</v>
      </c>
    </row>
    <row r="2576" spans="1:14" hidden="1" x14ac:dyDescent="0.25">
      <c r="A2576" s="354">
        <v>1</v>
      </c>
      <c r="B2576" s="354">
        <v>0</v>
      </c>
      <c r="C2576" s="354">
        <v>2</v>
      </c>
      <c r="D2576" s="354">
        <v>1</v>
      </c>
      <c r="E2576" s="354">
        <v>0</v>
      </c>
      <c r="F2576" s="354">
        <v>1</v>
      </c>
      <c r="G2576" s="354">
        <v>0</v>
      </c>
      <c r="H2576" s="354">
        <v>1</v>
      </c>
      <c r="I2576" s="354">
        <v>1</v>
      </c>
      <c r="J2576" s="354">
        <v>1</v>
      </c>
      <c r="K2576" s="354">
        <v>0</v>
      </c>
      <c r="L2576" s="354">
        <v>0</v>
      </c>
      <c r="M2576" s="355">
        <v>4</v>
      </c>
      <c r="N2576" s="355">
        <v>4</v>
      </c>
    </row>
    <row r="2577" spans="1:14" hidden="1" x14ac:dyDescent="0.25">
      <c r="A2577" s="354">
        <v>2</v>
      </c>
      <c r="B2577" s="354">
        <v>1</v>
      </c>
      <c r="C2577" s="354">
        <v>0</v>
      </c>
      <c r="D2577" s="354">
        <v>0</v>
      </c>
      <c r="E2577" s="354">
        <v>1</v>
      </c>
      <c r="F2577" s="354">
        <v>2</v>
      </c>
      <c r="G2577" s="354">
        <v>0</v>
      </c>
      <c r="H2577" s="354">
        <v>1</v>
      </c>
      <c r="I2577" s="354">
        <v>1</v>
      </c>
      <c r="J2577" s="354">
        <v>1</v>
      </c>
      <c r="K2577" s="354">
        <v>0</v>
      </c>
      <c r="L2577" s="354">
        <v>0</v>
      </c>
      <c r="M2577" s="355">
        <v>4</v>
      </c>
      <c r="N2577" s="355">
        <v>5</v>
      </c>
    </row>
    <row r="2578" spans="1:14" hidden="1" x14ac:dyDescent="0.25">
      <c r="A2578" s="354">
        <v>1</v>
      </c>
      <c r="B2578" s="354">
        <v>0</v>
      </c>
      <c r="C2578" s="354">
        <v>1</v>
      </c>
      <c r="D2578" s="354">
        <v>1</v>
      </c>
      <c r="E2578" s="354">
        <v>1</v>
      </c>
      <c r="F2578" s="354">
        <v>0</v>
      </c>
      <c r="G2578" s="354">
        <v>0</v>
      </c>
      <c r="H2578" s="354">
        <v>0</v>
      </c>
      <c r="I2578" s="354">
        <v>1</v>
      </c>
      <c r="J2578" s="354">
        <v>2</v>
      </c>
      <c r="K2578" s="354">
        <v>0</v>
      </c>
      <c r="L2578" s="354">
        <v>0</v>
      </c>
      <c r="M2578" s="355">
        <v>4</v>
      </c>
      <c r="N2578" s="355">
        <v>3</v>
      </c>
    </row>
    <row r="2579" spans="1:14" hidden="1" x14ac:dyDescent="0.25">
      <c r="A2579" s="354">
        <v>4</v>
      </c>
      <c r="B2579" s="354">
        <v>2</v>
      </c>
      <c r="C2579" s="354">
        <v>2</v>
      </c>
      <c r="D2579" s="354">
        <v>1</v>
      </c>
      <c r="E2579" s="354">
        <v>3</v>
      </c>
      <c r="F2579" s="354">
        <v>3</v>
      </c>
      <c r="G2579" s="354">
        <v>0</v>
      </c>
      <c r="H2579" s="354">
        <v>3</v>
      </c>
      <c r="I2579" s="354">
        <v>3</v>
      </c>
      <c r="J2579" s="354">
        <v>3</v>
      </c>
      <c r="K2579" s="354">
        <v>0</v>
      </c>
      <c r="L2579" s="354">
        <v>0</v>
      </c>
      <c r="M2579" s="355">
        <v>12</v>
      </c>
      <c r="N2579" s="355">
        <v>12</v>
      </c>
    </row>
    <row r="2580" spans="1:14" hidden="1" x14ac:dyDescent="0.25">
      <c r="A2580" s="354">
        <v>4</v>
      </c>
      <c r="B2580" s="354">
        <v>3</v>
      </c>
      <c r="C2580" s="354">
        <v>3</v>
      </c>
      <c r="D2580" s="354">
        <v>3</v>
      </c>
      <c r="E2580" s="354">
        <v>2</v>
      </c>
      <c r="F2580" s="354">
        <v>3</v>
      </c>
      <c r="G2580" s="354">
        <v>2</v>
      </c>
      <c r="H2580" s="354">
        <v>3</v>
      </c>
      <c r="I2580" s="354">
        <v>3</v>
      </c>
      <c r="J2580" s="354">
        <v>2</v>
      </c>
      <c r="K2580" s="354">
        <v>0</v>
      </c>
      <c r="L2580" s="354">
        <v>1</v>
      </c>
      <c r="M2580" s="355">
        <v>14</v>
      </c>
      <c r="N2580" s="355">
        <v>15</v>
      </c>
    </row>
    <row r="2581" spans="1:14" hidden="1" x14ac:dyDescent="0.25">
      <c r="A2581" s="354">
        <v>1</v>
      </c>
      <c r="B2581" s="354">
        <v>2</v>
      </c>
      <c r="C2581" s="354">
        <v>2</v>
      </c>
      <c r="D2581" s="354">
        <v>1</v>
      </c>
      <c r="E2581" s="354">
        <v>5</v>
      </c>
      <c r="F2581" s="354">
        <v>3</v>
      </c>
      <c r="G2581" s="354">
        <v>2</v>
      </c>
      <c r="H2581" s="354">
        <v>1</v>
      </c>
      <c r="I2581" s="354">
        <v>2</v>
      </c>
      <c r="J2581" s="354">
        <v>6</v>
      </c>
      <c r="K2581" s="354">
        <v>1</v>
      </c>
      <c r="L2581" s="354">
        <v>0</v>
      </c>
      <c r="M2581" s="355">
        <v>13</v>
      </c>
      <c r="N2581" s="355">
        <v>13</v>
      </c>
    </row>
    <row r="2582" spans="1:14" hidden="1" x14ac:dyDescent="0.25">
      <c r="A2582" s="354">
        <v>1</v>
      </c>
      <c r="B2582" s="354">
        <v>0</v>
      </c>
      <c r="C2582" s="354">
        <v>2</v>
      </c>
      <c r="D2582" s="354">
        <v>0</v>
      </c>
      <c r="E2582" s="354">
        <v>0</v>
      </c>
      <c r="F2582" s="354">
        <v>1</v>
      </c>
      <c r="G2582" s="354">
        <v>0</v>
      </c>
      <c r="H2582" s="354">
        <v>0</v>
      </c>
      <c r="I2582" s="354">
        <v>0</v>
      </c>
      <c r="J2582" s="354">
        <v>1</v>
      </c>
      <c r="K2582" s="354">
        <v>0</v>
      </c>
      <c r="L2582" s="354">
        <v>0</v>
      </c>
      <c r="M2582" s="355">
        <v>3</v>
      </c>
      <c r="N2582" s="355">
        <v>2</v>
      </c>
    </row>
    <row r="2583" spans="1:14" hidden="1" x14ac:dyDescent="0.25">
      <c r="A2583" s="354">
        <v>0</v>
      </c>
      <c r="B2583" s="354">
        <v>0</v>
      </c>
      <c r="C2583" s="354">
        <v>0</v>
      </c>
      <c r="D2583" s="354">
        <v>1</v>
      </c>
      <c r="E2583" s="354">
        <v>1</v>
      </c>
      <c r="F2583" s="354">
        <v>1</v>
      </c>
      <c r="G2583" s="354">
        <v>1</v>
      </c>
      <c r="H2583" s="354">
        <v>1</v>
      </c>
      <c r="I2583" s="354">
        <v>1</v>
      </c>
      <c r="J2583" s="354">
        <v>1</v>
      </c>
      <c r="K2583" s="354">
        <v>0</v>
      </c>
      <c r="L2583" s="354">
        <v>0</v>
      </c>
      <c r="M2583" s="355">
        <v>3</v>
      </c>
      <c r="N2583" s="355">
        <v>4</v>
      </c>
    </row>
    <row r="2584" spans="1:14" hidden="1" x14ac:dyDescent="0.25">
      <c r="A2584" s="354">
        <v>0</v>
      </c>
      <c r="B2584" s="354">
        <v>0</v>
      </c>
      <c r="C2584" s="354">
        <v>1</v>
      </c>
      <c r="D2584" s="354">
        <v>0</v>
      </c>
      <c r="E2584" s="354">
        <v>0</v>
      </c>
      <c r="F2584" s="354">
        <v>3</v>
      </c>
      <c r="G2584" s="354">
        <v>2</v>
      </c>
      <c r="H2584" s="354">
        <v>0</v>
      </c>
      <c r="I2584" s="354">
        <v>5</v>
      </c>
      <c r="J2584" s="354">
        <v>1</v>
      </c>
      <c r="K2584" s="354">
        <v>0</v>
      </c>
      <c r="L2584" s="354">
        <v>0</v>
      </c>
      <c r="M2584" s="355">
        <v>8</v>
      </c>
      <c r="N2584" s="355">
        <v>4</v>
      </c>
    </row>
    <row r="2585" spans="1:14" hidden="1" x14ac:dyDescent="0.25">
      <c r="A2585" s="354">
        <v>0</v>
      </c>
      <c r="B2585" s="354">
        <v>2</v>
      </c>
      <c r="C2585" s="354">
        <v>1</v>
      </c>
      <c r="D2585" s="354">
        <v>1</v>
      </c>
      <c r="E2585" s="354">
        <v>1</v>
      </c>
      <c r="F2585" s="354">
        <v>0</v>
      </c>
      <c r="G2585" s="354">
        <v>0</v>
      </c>
      <c r="H2585" s="354">
        <v>0</v>
      </c>
      <c r="I2585" s="354">
        <v>1</v>
      </c>
      <c r="J2585" s="354">
        <v>1</v>
      </c>
      <c r="K2585" s="354">
        <v>0</v>
      </c>
      <c r="L2585" s="354">
        <v>0</v>
      </c>
      <c r="M2585" s="355">
        <v>3</v>
      </c>
      <c r="N2585" s="355">
        <v>4</v>
      </c>
    </row>
    <row r="2586" spans="1:14" hidden="1" x14ac:dyDescent="0.25">
      <c r="A2586" s="354">
        <v>3</v>
      </c>
      <c r="B2586" s="354">
        <v>2</v>
      </c>
      <c r="C2586" s="354">
        <v>0</v>
      </c>
      <c r="D2586" s="354">
        <v>2</v>
      </c>
      <c r="E2586" s="354">
        <v>4</v>
      </c>
      <c r="F2586" s="354">
        <v>1</v>
      </c>
      <c r="G2586" s="354">
        <v>1</v>
      </c>
      <c r="H2586" s="354">
        <v>1</v>
      </c>
      <c r="I2586" s="354">
        <v>2</v>
      </c>
      <c r="J2586" s="354">
        <v>4</v>
      </c>
      <c r="K2586" s="354">
        <v>0</v>
      </c>
      <c r="L2586" s="354">
        <v>1</v>
      </c>
      <c r="M2586" s="355">
        <v>10</v>
      </c>
      <c r="N2586" s="355">
        <v>11</v>
      </c>
    </row>
    <row r="2587" spans="1:14" hidden="1" x14ac:dyDescent="0.25">
      <c r="A2587" s="354">
        <v>1</v>
      </c>
      <c r="B2587" s="354">
        <v>0</v>
      </c>
      <c r="C2587" s="354">
        <v>1</v>
      </c>
      <c r="D2587" s="354">
        <v>0</v>
      </c>
      <c r="E2587" s="354">
        <v>2</v>
      </c>
      <c r="F2587" s="354">
        <v>2</v>
      </c>
      <c r="G2587" s="354">
        <v>2</v>
      </c>
      <c r="H2587" s="354">
        <v>2</v>
      </c>
      <c r="I2587" s="354">
        <v>0</v>
      </c>
      <c r="J2587" s="354">
        <v>2</v>
      </c>
      <c r="K2587" s="354">
        <v>0</v>
      </c>
      <c r="L2587" s="354">
        <v>0</v>
      </c>
      <c r="M2587" s="355">
        <v>6</v>
      </c>
      <c r="N2587" s="355">
        <v>6</v>
      </c>
    </row>
    <row r="2588" spans="1:14" hidden="1" x14ac:dyDescent="0.25">
      <c r="A2588" s="354">
        <v>1</v>
      </c>
      <c r="B2588" s="354">
        <v>1</v>
      </c>
      <c r="C2588" s="354">
        <v>2</v>
      </c>
      <c r="D2588" s="354">
        <v>0</v>
      </c>
      <c r="E2588" s="354">
        <v>2</v>
      </c>
      <c r="F2588" s="354">
        <v>1</v>
      </c>
      <c r="G2588" s="354">
        <v>1</v>
      </c>
      <c r="H2588" s="354">
        <v>1</v>
      </c>
      <c r="I2588" s="354">
        <v>1</v>
      </c>
      <c r="J2588" s="354">
        <v>2</v>
      </c>
      <c r="K2588" s="354">
        <v>1</v>
      </c>
      <c r="L2588" s="354">
        <v>0</v>
      </c>
      <c r="M2588" s="355">
        <v>8</v>
      </c>
      <c r="N2588" s="355">
        <v>5</v>
      </c>
    </row>
    <row r="2589" spans="1:14" hidden="1" x14ac:dyDescent="0.25">
      <c r="A2589" s="354">
        <v>3</v>
      </c>
      <c r="B2589" s="354">
        <v>2</v>
      </c>
      <c r="C2589" s="354">
        <v>0</v>
      </c>
      <c r="D2589" s="354">
        <v>2</v>
      </c>
      <c r="E2589" s="354">
        <v>4</v>
      </c>
      <c r="F2589" s="354">
        <v>1</v>
      </c>
      <c r="G2589" s="354">
        <v>1</v>
      </c>
      <c r="H2589" s="354">
        <v>1</v>
      </c>
      <c r="I2589" s="354">
        <v>2</v>
      </c>
      <c r="J2589" s="354">
        <v>4</v>
      </c>
      <c r="K2589" s="354">
        <v>0</v>
      </c>
      <c r="L2589" s="354">
        <v>1</v>
      </c>
      <c r="M2589" s="355">
        <v>10</v>
      </c>
      <c r="N2589" s="355">
        <v>11</v>
      </c>
    </row>
    <row r="2590" spans="1:14" hidden="1" x14ac:dyDescent="0.25">
      <c r="A2590" s="354">
        <v>2</v>
      </c>
      <c r="B2590" s="354">
        <v>1</v>
      </c>
      <c r="C2590" s="354">
        <v>1</v>
      </c>
      <c r="D2590" s="354">
        <v>0</v>
      </c>
      <c r="E2590" s="354">
        <v>1</v>
      </c>
      <c r="F2590" s="354">
        <v>0</v>
      </c>
      <c r="G2590" s="354">
        <v>0</v>
      </c>
      <c r="H2590" s="354">
        <v>0</v>
      </c>
      <c r="I2590" s="354">
        <v>1</v>
      </c>
      <c r="J2590" s="354">
        <v>2</v>
      </c>
      <c r="K2590" s="354">
        <v>0</v>
      </c>
      <c r="L2590" s="354">
        <v>0</v>
      </c>
      <c r="M2590" s="355">
        <v>5</v>
      </c>
      <c r="N2590" s="355">
        <v>3</v>
      </c>
    </row>
    <row r="2591" spans="1:14" hidden="1" x14ac:dyDescent="0.25">
      <c r="A2591" s="354">
        <v>1</v>
      </c>
      <c r="B2591" s="354">
        <v>1</v>
      </c>
      <c r="C2591" s="354">
        <v>1</v>
      </c>
      <c r="D2591" s="354">
        <v>2</v>
      </c>
      <c r="E2591" s="354">
        <v>1</v>
      </c>
      <c r="F2591" s="354">
        <v>2</v>
      </c>
      <c r="G2591" s="354">
        <v>1</v>
      </c>
      <c r="H2591" s="354">
        <v>2</v>
      </c>
      <c r="I2591" s="354">
        <v>3</v>
      </c>
      <c r="J2591" s="354">
        <v>1</v>
      </c>
      <c r="K2591" s="354">
        <v>0</v>
      </c>
      <c r="L2591" s="354">
        <v>0</v>
      </c>
      <c r="M2591" s="355">
        <v>7</v>
      </c>
      <c r="N2591" s="355">
        <v>8</v>
      </c>
    </row>
    <row r="2592" spans="1:14" hidden="1" x14ac:dyDescent="0.25">
      <c r="A2592" s="354">
        <v>1</v>
      </c>
      <c r="B2592" s="354">
        <v>1</v>
      </c>
      <c r="C2592" s="354">
        <v>3</v>
      </c>
      <c r="D2592" s="354">
        <v>2</v>
      </c>
      <c r="E2592" s="354">
        <v>3</v>
      </c>
      <c r="F2592" s="354">
        <v>1</v>
      </c>
      <c r="G2592" s="354">
        <v>2</v>
      </c>
      <c r="H2592" s="354">
        <v>1</v>
      </c>
      <c r="I2592" s="354">
        <v>1</v>
      </c>
      <c r="J2592" s="354">
        <v>4</v>
      </c>
      <c r="K2592" s="354">
        <v>0</v>
      </c>
      <c r="L2592" s="354">
        <v>0</v>
      </c>
      <c r="M2592" s="355">
        <v>10</v>
      </c>
      <c r="N2592" s="355">
        <v>9</v>
      </c>
    </row>
    <row r="2593" spans="1:14" hidden="1" x14ac:dyDescent="0.25">
      <c r="A2593" s="354">
        <v>0</v>
      </c>
      <c r="B2593" s="354">
        <v>0</v>
      </c>
      <c r="C2593" s="354">
        <v>0</v>
      </c>
      <c r="D2593" s="354">
        <v>0</v>
      </c>
      <c r="E2593" s="354">
        <v>0</v>
      </c>
      <c r="F2593" s="354">
        <v>0</v>
      </c>
      <c r="G2593" s="354">
        <v>1</v>
      </c>
      <c r="H2593" s="354">
        <v>0</v>
      </c>
      <c r="I2593" s="354">
        <v>1</v>
      </c>
      <c r="J2593" s="354">
        <v>1</v>
      </c>
      <c r="K2593" s="354">
        <v>0</v>
      </c>
      <c r="L2593" s="354">
        <v>0</v>
      </c>
      <c r="M2593" s="355">
        <v>2</v>
      </c>
      <c r="N2593" s="355">
        <v>1</v>
      </c>
    </row>
    <row r="2594" spans="1:14" hidden="1" x14ac:dyDescent="0.25">
      <c r="A2594" s="354">
        <v>2</v>
      </c>
      <c r="B2594" s="354">
        <v>3</v>
      </c>
      <c r="C2594" s="354">
        <v>1</v>
      </c>
      <c r="D2594" s="354">
        <v>2</v>
      </c>
      <c r="E2594" s="354">
        <v>2</v>
      </c>
      <c r="F2594" s="354">
        <v>1</v>
      </c>
      <c r="G2594" s="354">
        <v>1</v>
      </c>
      <c r="H2594" s="354">
        <v>2</v>
      </c>
      <c r="I2594" s="354">
        <v>1</v>
      </c>
      <c r="J2594" s="354">
        <v>2</v>
      </c>
      <c r="K2594" s="354">
        <v>0</v>
      </c>
      <c r="L2594" s="354">
        <v>1</v>
      </c>
      <c r="M2594" s="355">
        <v>7</v>
      </c>
      <c r="N2594" s="355">
        <v>11</v>
      </c>
    </row>
    <row r="2595" spans="1:14" hidden="1" x14ac:dyDescent="0.25">
      <c r="A2595" s="354">
        <v>0</v>
      </c>
      <c r="B2595" s="354">
        <v>0</v>
      </c>
      <c r="C2595" s="354">
        <v>1</v>
      </c>
      <c r="D2595" s="354">
        <v>0</v>
      </c>
      <c r="E2595" s="354">
        <v>1</v>
      </c>
      <c r="F2595" s="354">
        <v>1</v>
      </c>
      <c r="G2595" s="354">
        <v>0</v>
      </c>
      <c r="H2595" s="354">
        <v>0</v>
      </c>
      <c r="I2595" s="354">
        <v>2</v>
      </c>
      <c r="J2595" s="354">
        <v>2</v>
      </c>
      <c r="K2595" s="354">
        <v>0</v>
      </c>
      <c r="L2595" s="354">
        <v>0</v>
      </c>
      <c r="M2595" s="355">
        <v>4</v>
      </c>
      <c r="N2595" s="355">
        <v>3</v>
      </c>
    </row>
    <row r="2596" spans="1:14" hidden="1" x14ac:dyDescent="0.25">
      <c r="A2596" s="354">
        <v>1</v>
      </c>
      <c r="B2596" s="354">
        <v>1</v>
      </c>
      <c r="C2596" s="354">
        <v>0</v>
      </c>
      <c r="D2596" s="354">
        <v>1</v>
      </c>
      <c r="E2596" s="354">
        <v>1</v>
      </c>
      <c r="F2596" s="354">
        <v>1</v>
      </c>
      <c r="G2596" s="354">
        <v>1</v>
      </c>
      <c r="H2596" s="354">
        <v>0</v>
      </c>
      <c r="I2596" s="354">
        <v>1</v>
      </c>
      <c r="J2596" s="354">
        <v>1</v>
      </c>
      <c r="K2596" s="354">
        <v>0</v>
      </c>
      <c r="L2596" s="354">
        <v>0</v>
      </c>
      <c r="M2596" s="355">
        <v>4</v>
      </c>
      <c r="N2596" s="355">
        <v>4</v>
      </c>
    </row>
    <row r="2597" spans="1:14" hidden="1" x14ac:dyDescent="0.25">
      <c r="A2597" s="354">
        <v>0</v>
      </c>
      <c r="B2597" s="354">
        <v>0</v>
      </c>
      <c r="C2597" s="354">
        <v>0</v>
      </c>
      <c r="D2597" s="354">
        <v>0</v>
      </c>
      <c r="E2597" s="354">
        <v>2</v>
      </c>
      <c r="F2597" s="354">
        <v>0</v>
      </c>
      <c r="G2597" s="354">
        <v>0</v>
      </c>
      <c r="H2597" s="354">
        <v>2</v>
      </c>
      <c r="I2597" s="354">
        <v>1</v>
      </c>
      <c r="J2597" s="354">
        <v>0</v>
      </c>
      <c r="K2597" s="354">
        <v>0</v>
      </c>
      <c r="L2597" s="354">
        <v>1</v>
      </c>
      <c r="M2597" s="355">
        <v>3</v>
      </c>
      <c r="N2597" s="355">
        <v>3</v>
      </c>
    </row>
    <row r="2598" spans="1:14" hidden="1" x14ac:dyDescent="0.25">
      <c r="A2598" s="354">
        <v>2</v>
      </c>
      <c r="B2598" s="354">
        <v>1</v>
      </c>
      <c r="C2598" s="354">
        <v>0</v>
      </c>
      <c r="D2598" s="354">
        <v>1</v>
      </c>
      <c r="E2598" s="354">
        <v>0</v>
      </c>
      <c r="F2598" s="354">
        <v>0</v>
      </c>
      <c r="G2598" s="354">
        <v>1</v>
      </c>
      <c r="H2598" s="354">
        <v>0</v>
      </c>
      <c r="I2598" s="354">
        <v>1</v>
      </c>
      <c r="J2598" s="354">
        <v>0</v>
      </c>
      <c r="K2598" s="354">
        <v>0</v>
      </c>
      <c r="L2598" s="354">
        <v>0</v>
      </c>
      <c r="M2598" s="355">
        <v>4</v>
      </c>
      <c r="N2598" s="355">
        <v>2</v>
      </c>
    </row>
    <row r="2599" spans="1:14" hidden="1" x14ac:dyDescent="0.25">
      <c r="A2599" s="354">
        <v>1</v>
      </c>
      <c r="B2599" s="354">
        <v>3</v>
      </c>
      <c r="C2599" s="354">
        <v>2</v>
      </c>
      <c r="D2599" s="354">
        <v>3</v>
      </c>
      <c r="E2599" s="354">
        <v>2</v>
      </c>
      <c r="F2599" s="354">
        <v>1</v>
      </c>
      <c r="G2599" s="354">
        <v>1</v>
      </c>
      <c r="H2599" s="354">
        <v>2</v>
      </c>
      <c r="I2599" s="354">
        <v>1</v>
      </c>
      <c r="J2599" s="354">
        <v>2</v>
      </c>
      <c r="K2599" s="354">
        <v>1</v>
      </c>
      <c r="L2599" s="354">
        <v>0</v>
      </c>
      <c r="M2599" s="355">
        <v>8</v>
      </c>
      <c r="N2599" s="355">
        <v>11</v>
      </c>
    </row>
    <row r="2600" spans="1:14" hidden="1" x14ac:dyDescent="0.25">
      <c r="A2600" s="354">
        <v>0</v>
      </c>
      <c r="B2600" s="354">
        <v>1</v>
      </c>
      <c r="C2600" s="354">
        <v>1</v>
      </c>
      <c r="D2600" s="354">
        <v>0</v>
      </c>
      <c r="E2600" s="354">
        <v>2</v>
      </c>
      <c r="F2600" s="354"/>
      <c r="G2600" s="354">
        <v>2</v>
      </c>
      <c r="H2600" s="354">
        <v>0</v>
      </c>
      <c r="I2600" s="354">
        <v>2</v>
      </c>
      <c r="J2600" s="354">
        <v>1</v>
      </c>
      <c r="K2600" s="354">
        <v>0</v>
      </c>
      <c r="L2600" s="354">
        <v>0</v>
      </c>
      <c r="M2600" s="355">
        <v>7</v>
      </c>
      <c r="N2600" s="355">
        <v>2</v>
      </c>
    </row>
    <row r="2601" spans="1:14" hidden="1" x14ac:dyDescent="0.25">
      <c r="A2601" s="354">
        <v>0</v>
      </c>
      <c r="B2601" s="354">
        <v>1</v>
      </c>
      <c r="C2601" s="354">
        <v>1</v>
      </c>
      <c r="D2601" s="354">
        <v>1</v>
      </c>
      <c r="E2601" s="354">
        <v>0</v>
      </c>
      <c r="F2601" s="354">
        <v>1</v>
      </c>
      <c r="G2601" s="354">
        <v>2</v>
      </c>
      <c r="H2601" s="354">
        <v>2</v>
      </c>
      <c r="I2601" s="354">
        <v>0</v>
      </c>
      <c r="J2601" s="354">
        <v>3</v>
      </c>
      <c r="K2601" s="354">
        <v>1</v>
      </c>
      <c r="L2601" s="354">
        <v>0</v>
      </c>
      <c r="M2601" s="355">
        <v>4</v>
      </c>
      <c r="N2601" s="355">
        <v>8</v>
      </c>
    </row>
    <row r="2602" spans="1:14" hidden="1" x14ac:dyDescent="0.25">
      <c r="A2602" s="354">
        <v>1</v>
      </c>
      <c r="B2602" s="354">
        <v>2</v>
      </c>
      <c r="C2602" s="354">
        <v>1</v>
      </c>
      <c r="D2602" s="354">
        <v>0</v>
      </c>
      <c r="E2602" s="354">
        <v>2</v>
      </c>
      <c r="F2602" s="354">
        <v>2</v>
      </c>
      <c r="G2602" s="354">
        <v>1</v>
      </c>
      <c r="H2602" s="354">
        <v>0</v>
      </c>
      <c r="I2602" s="354">
        <v>1</v>
      </c>
      <c r="J2602" s="354">
        <v>1</v>
      </c>
      <c r="K2602" s="354">
        <v>0</v>
      </c>
      <c r="L2602" s="354">
        <v>0</v>
      </c>
      <c r="M2602" s="355">
        <v>6</v>
      </c>
      <c r="N2602" s="355">
        <v>5</v>
      </c>
    </row>
    <row r="2603" spans="1:14" hidden="1" x14ac:dyDescent="0.25">
      <c r="A2603" s="354">
        <v>0</v>
      </c>
      <c r="B2603" s="354">
        <v>0</v>
      </c>
      <c r="C2603" s="354">
        <v>0</v>
      </c>
      <c r="D2603" s="354">
        <v>1</v>
      </c>
      <c r="E2603" s="354">
        <v>2</v>
      </c>
      <c r="F2603" s="354">
        <v>3</v>
      </c>
      <c r="G2603" s="354">
        <v>4</v>
      </c>
      <c r="H2603" s="354">
        <v>1</v>
      </c>
      <c r="I2603" s="354">
        <v>0</v>
      </c>
      <c r="J2603" s="354">
        <v>0</v>
      </c>
      <c r="K2603" s="354">
        <v>1</v>
      </c>
      <c r="L2603" s="354">
        <v>1</v>
      </c>
      <c r="M2603" s="355">
        <v>7</v>
      </c>
      <c r="N2603" s="355">
        <v>6</v>
      </c>
    </row>
    <row r="2604" spans="1:14" hidden="1" x14ac:dyDescent="0.25">
      <c r="A2604" s="354">
        <v>3</v>
      </c>
      <c r="B2604" s="354">
        <v>3</v>
      </c>
      <c r="C2604" s="354">
        <v>4</v>
      </c>
      <c r="D2604" s="354">
        <v>3</v>
      </c>
      <c r="E2604" s="354">
        <v>3</v>
      </c>
      <c r="F2604" s="354">
        <v>3</v>
      </c>
      <c r="G2604" s="354">
        <v>3</v>
      </c>
      <c r="H2604" s="354">
        <v>2</v>
      </c>
      <c r="I2604" s="354">
        <v>4</v>
      </c>
      <c r="J2604" s="354">
        <v>6</v>
      </c>
      <c r="K2604" s="354">
        <v>0</v>
      </c>
      <c r="L2604" s="354">
        <v>0</v>
      </c>
      <c r="M2604" s="355">
        <v>17</v>
      </c>
      <c r="N2604" s="355">
        <v>17</v>
      </c>
    </row>
    <row r="2605" spans="1:14" hidden="1" x14ac:dyDescent="0.25">
      <c r="A2605" s="354">
        <v>0</v>
      </c>
      <c r="B2605" s="354">
        <v>1</v>
      </c>
      <c r="C2605" s="354">
        <v>1</v>
      </c>
      <c r="D2605" s="354">
        <v>3</v>
      </c>
      <c r="E2605" s="354">
        <v>0</v>
      </c>
      <c r="F2605" s="354">
        <v>2</v>
      </c>
      <c r="G2605" s="354">
        <v>0</v>
      </c>
      <c r="H2605" s="354">
        <v>0</v>
      </c>
      <c r="I2605" s="354">
        <v>2</v>
      </c>
      <c r="J2605" s="354">
        <v>3</v>
      </c>
      <c r="K2605" s="354">
        <v>0</v>
      </c>
      <c r="L2605" s="354">
        <v>0</v>
      </c>
      <c r="M2605" s="355">
        <v>3</v>
      </c>
      <c r="N2605" s="355">
        <v>9</v>
      </c>
    </row>
    <row r="2606" spans="1:14" hidden="1" x14ac:dyDescent="0.25">
      <c r="A2606" s="354">
        <v>2</v>
      </c>
      <c r="B2606" s="354">
        <v>3</v>
      </c>
      <c r="C2606" s="354">
        <v>3</v>
      </c>
      <c r="D2606" s="354">
        <v>1</v>
      </c>
      <c r="E2606" s="354">
        <v>2</v>
      </c>
      <c r="F2606" s="354">
        <v>2</v>
      </c>
      <c r="G2606" s="354">
        <v>1</v>
      </c>
      <c r="H2606" s="354">
        <v>5</v>
      </c>
      <c r="I2606" s="354">
        <v>1</v>
      </c>
      <c r="J2606" s="354">
        <v>3</v>
      </c>
      <c r="K2606" s="354">
        <v>0</v>
      </c>
      <c r="L2606" s="354">
        <v>1</v>
      </c>
      <c r="M2606" s="355">
        <v>9</v>
      </c>
      <c r="N2606" s="355">
        <v>15</v>
      </c>
    </row>
    <row r="2607" spans="1:14" hidden="1" x14ac:dyDescent="0.25">
      <c r="A2607" s="354">
        <v>0</v>
      </c>
      <c r="B2607" s="354">
        <v>0</v>
      </c>
      <c r="C2607" s="354">
        <v>0</v>
      </c>
      <c r="D2607" s="354">
        <v>0</v>
      </c>
      <c r="E2607" s="354">
        <v>2</v>
      </c>
      <c r="F2607" s="354">
        <v>1</v>
      </c>
      <c r="G2607" s="354">
        <v>1</v>
      </c>
      <c r="H2607" s="354">
        <v>0</v>
      </c>
      <c r="I2607" s="354">
        <v>3</v>
      </c>
      <c r="J2607" s="354">
        <v>4</v>
      </c>
      <c r="K2607" s="354">
        <v>0</v>
      </c>
      <c r="L2607" s="354">
        <v>0</v>
      </c>
      <c r="M2607" s="355">
        <v>6</v>
      </c>
      <c r="N2607" s="355">
        <v>5</v>
      </c>
    </row>
    <row r="2608" spans="1:14" hidden="1" x14ac:dyDescent="0.25">
      <c r="A2608" s="354">
        <v>1</v>
      </c>
      <c r="B2608" s="354">
        <v>0</v>
      </c>
      <c r="C2608" s="354">
        <v>1</v>
      </c>
      <c r="D2608" s="354">
        <v>0</v>
      </c>
      <c r="E2608" s="354">
        <v>0</v>
      </c>
      <c r="F2608" s="354">
        <v>1</v>
      </c>
      <c r="G2608" s="354">
        <v>1</v>
      </c>
      <c r="H2608" s="354">
        <v>0</v>
      </c>
      <c r="I2608" s="354">
        <v>1</v>
      </c>
      <c r="J2608" s="354">
        <v>1</v>
      </c>
      <c r="K2608" s="354">
        <v>0</v>
      </c>
      <c r="L2608" s="354">
        <v>0</v>
      </c>
      <c r="M2608" s="355">
        <v>4</v>
      </c>
      <c r="N2608" s="355">
        <v>2</v>
      </c>
    </row>
    <row r="2609" spans="1:14" hidden="1" x14ac:dyDescent="0.25">
      <c r="A2609" s="354">
        <v>0</v>
      </c>
      <c r="B2609" s="354">
        <v>0</v>
      </c>
      <c r="C2609" s="354">
        <v>0</v>
      </c>
      <c r="D2609" s="354">
        <v>0</v>
      </c>
      <c r="E2609" s="354">
        <v>3</v>
      </c>
      <c r="F2609" s="354">
        <v>1</v>
      </c>
      <c r="G2609" s="354">
        <v>2</v>
      </c>
      <c r="H2609" s="354">
        <v>2</v>
      </c>
      <c r="I2609" s="354">
        <v>1</v>
      </c>
      <c r="J2609" s="354">
        <v>1</v>
      </c>
      <c r="K2609" s="354">
        <v>1</v>
      </c>
      <c r="L2609" s="354">
        <v>0</v>
      </c>
      <c r="M2609" s="355">
        <v>7</v>
      </c>
      <c r="N2609" s="355">
        <v>4</v>
      </c>
    </row>
    <row r="2610" spans="1:14" hidden="1" x14ac:dyDescent="0.25">
      <c r="A2610" s="354">
        <v>1</v>
      </c>
      <c r="B2610" s="354"/>
      <c r="C2610" s="354">
        <v>1</v>
      </c>
      <c r="D2610" s="354">
        <v>1</v>
      </c>
      <c r="E2610" s="354">
        <v>2</v>
      </c>
      <c r="F2610" s="354">
        <v>1</v>
      </c>
      <c r="G2610" s="354">
        <v>1</v>
      </c>
      <c r="H2610" s="354">
        <v>1</v>
      </c>
      <c r="I2610" s="354">
        <v>1</v>
      </c>
      <c r="J2610" s="354">
        <v>1</v>
      </c>
      <c r="K2610" s="354">
        <v>0</v>
      </c>
      <c r="L2610" s="354">
        <v>0</v>
      </c>
      <c r="M2610" s="355">
        <v>6</v>
      </c>
      <c r="N2610" s="355">
        <v>4</v>
      </c>
    </row>
    <row r="2611" spans="1:14" hidden="1" x14ac:dyDescent="0.25">
      <c r="A2611" s="354">
        <v>1</v>
      </c>
      <c r="B2611" s="354">
        <v>0</v>
      </c>
      <c r="C2611" s="354">
        <v>1</v>
      </c>
      <c r="D2611" s="354">
        <v>1</v>
      </c>
      <c r="E2611" s="354">
        <v>2</v>
      </c>
      <c r="F2611" s="354">
        <v>1</v>
      </c>
      <c r="G2611" s="354">
        <v>0</v>
      </c>
      <c r="H2611" s="354">
        <v>1</v>
      </c>
      <c r="I2611" s="354">
        <v>1</v>
      </c>
      <c r="J2611" s="354">
        <v>1</v>
      </c>
      <c r="K2611" s="354">
        <v>0</v>
      </c>
      <c r="L2611" s="354">
        <v>0</v>
      </c>
      <c r="M2611" s="355">
        <v>5</v>
      </c>
      <c r="N2611" s="355">
        <v>4</v>
      </c>
    </row>
    <row r="2612" spans="1:14" hidden="1" x14ac:dyDescent="0.25">
      <c r="A2612" s="354">
        <v>0</v>
      </c>
      <c r="B2612" s="354">
        <v>0</v>
      </c>
      <c r="C2612" s="354">
        <v>1</v>
      </c>
      <c r="D2612" s="354">
        <v>1</v>
      </c>
      <c r="E2612" s="354">
        <v>2</v>
      </c>
      <c r="F2612" s="354">
        <v>1</v>
      </c>
      <c r="G2612" s="354">
        <v>1</v>
      </c>
      <c r="H2612" s="354">
        <v>0</v>
      </c>
      <c r="I2612" s="354">
        <v>1</v>
      </c>
      <c r="J2612" s="354">
        <v>1</v>
      </c>
      <c r="K2612" s="354">
        <v>0</v>
      </c>
      <c r="L2612" s="354">
        <v>0</v>
      </c>
      <c r="M2612" s="355">
        <v>5</v>
      </c>
      <c r="N2612" s="355">
        <v>3</v>
      </c>
    </row>
    <row r="2613" spans="1:14" hidden="1" x14ac:dyDescent="0.25">
      <c r="A2613" s="354">
        <v>1</v>
      </c>
      <c r="B2613" s="354">
        <v>0</v>
      </c>
      <c r="C2613" s="354">
        <v>1</v>
      </c>
      <c r="D2613" s="354">
        <v>1</v>
      </c>
      <c r="E2613" s="354">
        <v>1</v>
      </c>
      <c r="F2613" s="354">
        <v>1</v>
      </c>
      <c r="G2613" s="354">
        <v>1</v>
      </c>
      <c r="H2613" s="354">
        <v>1</v>
      </c>
      <c r="I2613" s="354">
        <v>0</v>
      </c>
      <c r="J2613" s="354">
        <v>1</v>
      </c>
      <c r="K2613" s="354">
        <v>1</v>
      </c>
      <c r="L2613" s="354">
        <v>0</v>
      </c>
      <c r="M2613" s="355">
        <v>5</v>
      </c>
      <c r="N2613" s="355">
        <v>4</v>
      </c>
    </row>
    <row r="2614" spans="1:14" hidden="1" x14ac:dyDescent="0.25">
      <c r="A2614" s="354">
        <v>0</v>
      </c>
      <c r="B2614" s="354"/>
      <c r="C2614" s="354">
        <v>1</v>
      </c>
      <c r="D2614" s="354">
        <v>1</v>
      </c>
      <c r="E2614" s="354">
        <v>1</v>
      </c>
      <c r="F2614" s="354">
        <v>1</v>
      </c>
      <c r="G2614" s="354">
        <v>2</v>
      </c>
      <c r="H2614" s="354">
        <v>0</v>
      </c>
      <c r="I2614" s="354">
        <v>1</v>
      </c>
      <c r="J2614" s="354">
        <v>1</v>
      </c>
      <c r="K2614" s="354">
        <v>1</v>
      </c>
      <c r="L2614" s="354">
        <v>0</v>
      </c>
      <c r="M2614" s="355">
        <v>6</v>
      </c>
      <c r="N2614" s="355">
        <v>3</v>
      </c>
    </row>
    <row r="2615" spans="1:14" hidden="1" x14ac:dyDescent="0.25">
      <c r="A2615" s="354">
        <v>1</v>
      </c>
      <c r="B2615" s="354"/>
      <c r="C2615" s="354">
        <v>1</v>
      </c>
      <c r="D2615" s="354">
        <v>1</v>
      </c>
      <c r="E2615" s="354">
        <v>1</v>
      </c>
      <c r="F2615" s="354">
        <v>1</v>
      </c>
      <c r="G2615" s="354">
        <v>0</v>
      </c>
      <c r="H2615" s="354">
        <v>0</v>
      </c>
      <c r="I2615" s="354">
        <v>1</v>
      </c>
      <c r="J2615" s="354">
        <v>1</v>
      </c>
      <c r="K2615" s="354">
        <v>0</v>
      </c>
      <c r="L2615" s="354">
        <v>0</v>
      </c>
      <c r="M2615" s="355">
        <v>4</v>
      </c>
      <c r="N2615" s="355">
        <v>3</v>
      </c>
    </row>
    <row r="2616" spans="1:14" hidden="1" x14ac:dyDescent="0.25">
      <c r="A2616" s="354">
        <v>1</v>
      </c>
      <c r="B2616" s="354">
        <v>1</v>
      </c>
      <c r="C2616" s="354">
        <v>1</v>
      </c>
      <c r="D2616" s="354">
        <v>1</v>
      </c>
      <c r="E2616" s="354">
        <v>1</v>
      </c>
      <c r="F2616" s="354">
        <v>0</v>
      </c>
      <c r="G2616" s="354">
        <v>0</v>
      </c>
      <c r="H2616" s="354">
        <v>0</v>
      </c>
      <c r="I2616" s="354">
        <v>1</v>
      </c>
      <c r="J2616" s="354">
        <v>1</v>
      </c>
      <c r="K2616" s="354">
        <v>0</v>
      </c>
      <c r="L2616" s="354">
        <v>0</v>
      </c>
      <c r="M2616" s="355">
        <v>4</v>
      </c>
      <c r="N2616" s="355">
        <v>3</v>
      </c>
    </row>
    <row r="2617" spans="1:14" hidden="1" x14ac:dyDescent="0.25">
      <c r="A2617" s="354">
        <v>1</v>
      </c>
      <c r="B2617" s="354">
        <v>1</v>
      </c>
      <c r="C2617" s="354">
        <v>0</v>
      </c>
      <c r="D2617" s="354">
        <v>2</v>
      </c>
      <c r="E2617" s="354">
        <v>1</v>
      </c>
      <c r="F2617" s="354">
        <v>2</v>
      </c>
      <c r="G2617" s="354">
        <v>1</v>
      </c>
      <c r="H2617" s="354">
        <v>1</v>
      </c>
      <c r="I2617" s="354">
        <v>1</v>
      </c>
      <c r="J2617" s="354">
        <v>1</v>
      </c>
      <c r="K2617" s="354">
        <v>0</v>
      </c>
      <c r="L2617" s="354">
        <v>0</v>
      </c>
      <c r="M2617" s="355">
        <v>4</v>
      </c>
      <c r="N2617" s="355">
        <v>7</v>
      </c>
    </row>
    <row r="2618" spans="1:14" hidden="1" x14ac:dyDescent="0.25">
      <c r="A2618" s="354">
        <v>1</v>
      </c>
      <c r="B2618" s="354">
        <v>1</v>
      </c>
      <c r="C2618" s="354">
        <v>0</v>
      </c>
      <c r="D2618" s="354">
        <v>1</v>
      </c>
      <c r="E2618" s="354">
        <v>0</v>
      </c>
      <c r="F2618" s="354">
        <v>0</v>
      </c>
      <c r="G2618" s="354">
        <v>0</v>
      </c>
      <c r="H2618" s="354">
        <v>0</v>
      </c>
      <c r="I2618" s="354">
        <v>1</v>
      </c>
      <c r="J2618" s="354">
        <v>1</v>
      </c>
      <c r="K2618" s="354">
        <v>0</v>
      </c>
      <c r="L2618" s="354">
        <v>0</v>
      </c>
      <c r="M2618" s="355">
        <v>2</v>
      </c>
      <c r="N2618" s="355">
        <v>3</v>
      </c>
    </row>
    <row r="2619" spans="1:14" hidden="1" x14ac:dyDescent="0.25">
      <c r="A2619" s="354">
        <v>1</v>
      </c>
      <c r="B2619" s="354">
        <v>0</v>
      </c>
      <c r="C2619" s="354">
        <v>2</v>
      </c>
      <c r="D2619" s="354">
        <v>1</v>
      </c>
      <c r="E2619" s="354">
        <v>1</v>
      </c>
      <c r="F2619" s="354">
        <v>2</v>
      </c>
      <c r="G2619" s="354">
        <v>1</v>
      </c>
      <c r="H2619" s="354">
        <v>1</v>
      </c>
      <c r="I2619" s="354">
        <v>1</v>
      </c>
      <c r="J2619" s="354">
        <v>1</v>
      </c>
      <c r="K2619" s="354">
        <v>0</v>
      </c>
      <c r="L2619" s="354">
        <v>0</v>
      </c>
      <c r="M2619" s="355">
        <v>6</v>
      </c>
      <c r="N2619" s="355">
        <v>5</v>
      </c>
    </row>
    <row r="2620" spans="1:14" hidden="1" x14ac:dyDescent="0.25">
      <c r="A2620" s="354">
        <v>1</v>
      </c>
      <c r="B2620" s="354"/>
      <c r="C2620" s="354">
        <v>2</v>
      </c>
      <c r="D2620" s="354">
        <v>1</v>
      </c>
      <c r="E2620" s="354">
        <v>1</v>
      </c>
      <c r="F2620" s="354">
        <v>1</v>
      </c>
      <c r="G2620" s="354">
        <v>0</v>
      </c>
      <c r="H2620" s="354">
        <v>1</v>
      </c>
      <c r="I2620" s="354">
        <v>1</v>
      </c>
      <c r="J2620" s="354">
        <v>1</v>
      </c>
      <c r="K2620" s="354">
        <v>0</v>
      </c>
      <c r="L2620" s="354">
        <v>0</v>
      </c>
      <c r="M2620" s="355">
        <v>5</v>
      </c>
      <c r="N2620" s="355">
        <v>4</v>
      </c>
    </row>
    <row r="2621" spans="1:14" hidden="1" x14ac:dyDescent="0.25">
      <c r="A2621" s="354">
        <v>1</v>
      </c>
      <c r="B2621" s="354">
        <v>0</v>
      </c>
      <c r="C2621" s="354">
        <v>1</v>
      </c>
      <c r="D2621" s="354">
        <v>1</v>
      </c>
      <c r="E2621" s="354">
        <v>2</v>
      </c>
      <c r="F2621" s="354">
        <v>1</v>
      </c>
      <c r="G2621" s="354">
        <v>1</v>
      </c>
      <c r="H2621" s="354">
        <v>0</v>
      </c>
      <c r="I2621" s="354">
        <v>1</v>
      </c>
      <c r="J2621" s="354">
        <v>1</v>
      </c>
      <c r="K2621" s="354">
        <v>0</v>
      </c>
      <c r="L2621" s="354">
        <v>0</v>
      </c>
      <c r="M2621" s="355">
        <v>6</v>
      </c>
      <c r="N2621" s="355">
        <v>3</v>
      </c>
    </row>
    <row r="2622" spans="1:14" hidden="1" x14ac:dyDescent="0.25">
      <c r="A2622" s="354">
        <v>1</v>
      </c>
      <c r="B2622" s="354">
        <v>1</v>
      </c>
      <c r="C2622" s="354">
        <v>1</v>
      </c>
      <c r="D2622" s="354">
        <v>1</v>
      </c>
      <c r="E2622" s="354">
        <v>1</v>
      </c>
      <c r="F2622" s="354">
        <v>3</v>
      </c>
      <c r="G2622" s="354">
        <v>1</v>
      </c>
      <c r="H2622" s="354">
        <v>3</v>
      </c>
      <c r="I2622" s="354">
        <v>1</v>
      </c>
      <c r="J2622" s="354">
        <v>2</v>
      </c>
      <c r="K2622" s="354">
        <v>0</v>
      </c>
      <c r="L2622" s="354">
        <v>0</v>
      </c>
      <c r="M2622" s="355">
        <v>5</v>
      </c>
      <c r="N2622" s="355">
        <v>10</v>
      </c>
    </row>
    <row r="2623" spans="1:14" hidden="1" x14ac:dyDescent="0.25">
      <c r="A2623" s="354">
        <v>1</v>
      </c>
      <c r="B2623" s="354">
        <v>0</v>
      </c>
      <c r="C2623" s="354">
        <v>0</v>
      </c>
      <c r="D2623" s="354">
        <v>0</v>
      </c>
      <c r="E2623" s="354">
        <v>2</v>
      </c>
      <c r="F2623" s="354">
        <v>0</v>
      </c>
      <c r="G2623" s="354">
        <v>2</v>
      </c>
      <c r="H2623" s="354">
        <v>0</v>
      </c>
      <c r="I2623" s="354">
        <v>1</v>
      </c>
      <c r="J2623" s="354">
        <v>1</v>
      </c>
      <c r="K2623" s="354">
        <v>0</v>
      </c>
      <c r="L2623" s="354">
        <v>0</v>
      </c>
      <c r="M2623" s="355">
        <v>6</v>
      </c>
      <c r="N2623" s="355">
        <v>1</v>
      </c>
    </row>
    <row r="2624" spans="1:14" hidden="1" x14ac:dyDescent="0.25">
      <c r="A2624" s="354">
        <v>0</v>
      </c>
      <c r="B2624" s="354">
        <v>0</v>
      </c>
      <c r="C2624" s="354">
        <v>0</v>
      </c>
      <c r="D2624" s="354">
        <v>1</v>
      </c>
      <c r="E2624" s="354">
        <v>2</v>
      </c>
      <c r="F2624" s="354">
        <v>1</v>
      </c>
      <c r="G2624" s="354">
        <v>0</v>
      </c>
      <c r="H2624" s="354">
        <v>2</v>
      </c>
      <c r="I2624" s="354">
        <v>1</v>
      </c>
      <c r="J2624" s="354">
        <v>0</v>
      </c>
      <c r="K2624" s="354">
        <v>1</v>
      </c>
      <c r="L2624" s="354">
        <v>0</v>
      </c>
      <c r="M2624" s="355">
        <v>4</v>
      </c>
      <c r="N2624" s="355">
        <v>4</v>
      </c>
    </row>
    <row r="2625" spans="1:14" hidden="1" x14ac:dyDescent="0.25">
      <c r="A2625" s="354">
        <v>0</v>
      </c>
      <c r="B2625" s="354">
        <v>0</v>
      </c>
      <c r="C2625" s="354">
        <v>0</v>
      </c>
      <c r="D2625" s="354">
        <v>0</v>
      </c>
      <c r="E2625" s="354">
        <v>0</v>
      </c>
      <c r="F2625" s="354">
        <v>0</v>
      </c>
      <c r="G2625" s="354">
        <v>0</v>
      </c>
      <c r="H2625" s="354">
        <v>0</v>
      </c>
      <c r="I2625" s="354">
        <v>1</v>
      </c>
      <c r="J2625" s="354">
        <v>1</v>
      </c>
      <c r="K2625" s="354">
        <v>1</v>
      </c>
      <c r="L2625" s="354">
        <v>1</v>
      </c>
      <c r="M2625" s="355">
        <v>2</v>
      </c>
      <c r="N2625" s="355">
        <v>2</v>
      </c>
    </row>
    <row r="2626" spans="1:14" hidden="1" x14ac:dyDescent="0.25">
      <c r="A2626" s="354">
        <v>0</v>
      </c>
      <c r="B2626" s="354">
        <v>1</v>
      </c>
      <c r="C2626" s="354">
        <v>1</v>
      </c>
      <c r="D2626" s="354">
        <v>0</v>
      </c>
      <c r="E2626" s="354">
        <v>2</v>
      </c>
      <c r="F2626" s="354">
        <v>1</v>
      </c>
      <c r="G2626" s="354">
        <v>0</v>
      </c>
      <c r="H2626" s="354">
        <v>0</v>
      </c>
      <c r="I2626" s="354">
        <v>1</v>
      </c>
      <c r="J2626" s="354">
        <v>1</v>
      </c>
      <c r="K2626" s="354">
        <v>1</v>
      </c>
      <c r="L2626" s="354">
        <v>0</v>
      </c>
      <c r="M2626" s="355">
        <v>5</v>
      </c>
      <c r="N2626" s="355">
        <v>3</v>
      </c>
    </row>
    <row r="2627" spans="1:14" hidden="1" x14ac:dyDescent="0.25">
      <c r="A2627" s="354">
        <v>2</v>
      </c>
      <c r="B2627" s="354">
        <v>0</v>
      </c>
      <c r="C2627" s="354">
        <v>1</v>
      </c>
      <c r="D2627" s="354">
        <v>0</v>
      </c>
      <c r="E2627" s="354">
        <v>0</v>
      </c>
      <c r="F2627" s="354">
        <v>0</v>
      </c>
      <c r="G2627" s="354">
        <v>0</v>
      </c>
      <c r="H2627" s="354">
        <v>0</v>
      </c>
      <c r="I2627" s="354">
        <v>2</v>
      </c>
      <c r="J2627" s="354">
        <v>2</v>
      </c>
      <c r="K2627" s="354">
        <v>0</v>
      </c>
      <c r="L2627" s="354">
        <v>0</v>
      </c>
      <c r="M2627" s="355">
        <v>5</v>
      </c>
      <c r="N2627" s="355">
        <v>2</v>
      </c>
    </row>
    <row r="2628" spans="1:14" hidden="1" x14ac:dyDescent="0.25">
      <c r="A2628" s="354">
        <v>0</v>
      </c>
      <c r="B2628" s="354">
        <v>0</v>
      </c>
      <c r="C2628" s="354">
        <v>1</v>
      </c>
      <c r="D2628" s="354">
        <v>0</v>
      </c>
      <c r="E2628" s="354">
        <v>2</v>
      </c>
      <c r="F2628" s="354">
        <v>0</v>
      </c>
      <c r="G2628" s="354">
        <v>1</v>
      </c>
      <c r="H2628" s="354">
        <v>1</v>
      </c>
      <c r="I2628" s="354">
        <v>3</v>
      </c>
      <c r="J2628" s="354">
        <v>3</v>
      </c>
      <c r="K2628" s="354">
        <v>1</v>
      </c>
      <c r="L2628" s="354">
        <v>0</v>
      </c>
      <c r="M2628" s="355">
        <v>8</v>
      </c>
      <c r="N2628" s="355">
        <v>4</v>
      </c>
    </row>
    <row r="2629" spans="1:14" hidden="1" x14ac:dyDescent="0.25">
      <c r="A2629" s="354">
        <v>0</v>
      </c>
      <c r="B2629" s="354">
        <v>1</v>
      </c>
      <c r="C2629" s="354">
        <v>1</v>
      </c>
      <c r="D2629" s="354">
        <v>0</v>
      </c>
      <c r="E2629" s="354">
        <v>2</v>
      </c>
      <c r="F2629" s="354">
        <v>0</v>
      </c>
      <c r="G2629" s="354">
        <v>1</v>
      </c>
      <c r="H2629" s="354">
        <v>0</v>
      </c>
      <c r="I2629" s="354">
        <v>1</v>
      </c>
      <c r="J2629" s="354">
        <v>1</v>
      </c>
      <c r="K2629" s="354">
        <v>0</v>
      </c>
      <c r="L2629" s="354">
        <v>1</v>
      </c>
      <c r="M2629" s="355">
        <v>5</v>
      </c>
      <c r="N2629" s="355">
        <v>3</v>
      </c>
    </row>
    <row r="2630" spans="1:14" hidden="1" x14ac:dyDescent="0.25">
      <c r="A2630" s="354">
        <v>0</v>
      </c>
      <c r="B2630" s="354">
        <v>1</v>
      </c>
      <c r="C2630" s="354">
        <v>0</v>
      </c>
      <c r="D2630" s="354">
        <v>1</v>
      </c>
      <c r="E2630" s="354">
        <v>2</v>
      </c>
      <c r="F2630" s="354">
        <v>0</v>
      </c>
      <c r="G2630" s="354">
        <v>0</v>
      </c>
      <c r="H2630" s="354">
        <v>2</v>
      </c>
      <c r="I2630" s="354">
        <v>4</v>
      </c>
      <c r="J2630" s="354">
        <v>3</v>
      </c>
      <c r="K2630" s="354">
        <v>0</v>
      </c>
      <c r="L2630" s="354">
        <v>0</v>
      </c>
      <c r="M2630" s="355">
        <v>6</v>
      </c>
      <c r="N2630" s="355">
        <v>7</v>
      </c>
    </row>
    <row r="2631" spans="1:14" hidden="1" x14ac:dyDescent="0.25">
      <c r="A2631" s="354">
        <v>0</v>
      </c>
      <c r="B2631" s="354">
        <v>1</v>
      </c>
      <c r="C2631" s="354">
        <v>1</v>
      </c>
      <c r="D2631" s="354">
        <v>0</v>
      </c>
      <c r="E2631" s="354">
        <v>2</v>
      </c>
      <c r="F2631" s="354">
        <v>1</v>
      </c>
      <c r="G2631" s="354">
        <v>1</v>
      </c>
      <c r="H2631" s="354">
        <v>0</v>
      </c>
      <c r="I2631" s="354">
        <v>1</v>
      </c>
      <c r="J2631" s="354">
        <v>1</v>
      </c>
      <c r="K2631" s="354">
        <v>1</v>
      </c>
      <c r="L2631" s="354">
        <v>0</v>
      </c>
      <c r="M2631" s="355">
        <v>6</v>
      </c>
      <c r="N2631" s="355">
        <v>3</v>
      </c>
    </row>
    <row r="2632" spans="1:14" hidden="1" x14ac:dyDescent="0.25">
      <c r="A2632" s="354">
        <v>0</v>
      </c>
      <c r="B2632" s="354">
        <v>0</v>
      </c>
      <c r="C2632" s="354">
        <v>0</v>
      </c>
      <c r="D2632" s="354">
        <v>1</v>
      </c>
      <c r="E2632" s="354">
        <v>1</v>
      </c>
      <c r="F2632" s="354">
        <v>0</v>
      </c>
      <c r="G2632" s="354">
        <v>1</v>
      </c>
      <c r="H2632" s="354">
        <v>0</v>
      </c>
      <c r="I2632" s="354">
        <v>0</v>
      </c>
      <c r="J2632" s="354">
        <v>1</v>
      </c>
      <c r="K2632" s="354">
        <v>0</v>
      </c>
      <c r="L2632" s="354">
        <v>0</v>
      </c>
      <c r="M2632" s="355">
        <v>2</v>
      </c>
      <c r="N2632" s="355">
        <v>2</v>
      </c>
    </row>
    <row r="2633" spans="1:14" hidden="1" x14ac:dyDescent="0.25">
      <c r="A2633" s="354">
        <v>0</v>
      </c>
      <c r="B2633" s="354">
        <v>0</v>
      </c>
      <c r="C2633" s="354">
        <v>1</v>
      </c>
      <c r="D2633" s="354">
        <v>0</v>
      </c>
      <c r="E2633" s="354">
        <v>1</v>
      </c>
      <c r="F2633" s="354">
        <v>2</v>
      </c>
      <c r="G2633" s="354">
        <v>1</v>
      </c>
      <c r="H2633" s="354">
        <v>0</v>
      </c>
      <c r="I2633" s="354">
        <v>0</v>
      </c>
      <c r="J2633" s="354">
        <v>2</v>
      </c>
      <c r="K2633" s="354">
        <v>1</v>
      </c>
      <c r="L2633" s="354">
        <v>0</v>
      </c>
      <c r="M2633" s="355">
        <v>4</v>
      </c>
      <c r="N2633" s="355">
        <v>4</v>
      </c>
    </row>
    <row r="2634" spans="1:14" hidden="1" x14ac:dyDescent="0.25">
      <c r="A2634" s="354">
        <v>1</v>
      </c>
      <c r="B2634" s="354">
        <v>1</v>
      </c>
      <c r="C2634" s="354">
        <v>0</v>
      </c>
      <c r="D2634" s="354">
        <v>1</v>
      </c>
      <c r="E2634" s="354">
        <v>1</v>
      </c>
      <c r="F2634" s="354">
        <v>0</v>
      </c>
      <c r="G2634" s="354">
        <v>0</v>
      </c>
      <c r="H2634" s="354">
        <v>0</v>
      </c>
      <c r="I2634" s="354">
        <v>1</v>
      </c>
      <c r="J2634" s="354">
        <v>2</v>
      </c>
      <c r="K2634" s="354">
        <v>0</v>
      </c>
      <c r="L2634" s="354">
        <v>0</v>
      </c>
      <c r="M2634" s="355">
        <v>3</v>
      </c>
      <c r="N2634" s="355">
        <v>4</v>
      </c>
    </row>
    <row r="2635" spans="1:14" hidden="1" x14ac:dyDescent="0.25">
      <c r="A2635" s="354">
        <v>0</v>
      </c>
      <c r="B2635" s="354">
        <v>0</v>
      </c>
      <c r="C2635" s="354">
        <v>1</v>
      </c>
      <c r="D2635" s="354">
        <v>1</v>
      </c>
      <c r="E2635" s="354">
        <v>1</v>
      </c>
      <c r="F2635" s="354">
        <v>0</v>
      </c>
      <c r="G2635" s="354">
        <v>1</v>
      </c>
      <c r="H2635" s="354">
        <v>1</v>
      </c>
      <c r="I2635" s="354">
        <v>1</v>
      </c>
      <c r="J2635" s="354">
        <v>1</v>
      </c>
      <c r="K2635" s="354">
        <v>0</v>
      </c>
      <c r="L2635" s="354">
        <v>0</v>
      </c>
      <c r="M2635" s="355">
        <v>4</v>
      </c>
      <c r="N2635" s="355">
        <v>3</v>
      </c>
    </row>
    <row r="2636" spans="1:14" hidden="1" x14ac:dyDescent="0.25">
      <c r="A2636" s="354">
        <v>0</v>
      </c>
      <c r="B2636" s="354">
        <v>0</v>
      </c>
      <c r="C2636" s="354">
        <v>0</v>
      </c>
      <c r="D2636" s="354">
        <v>0</v>
      </c>
      <c r="E2636" s="354">
        <v>1</v>
      </c>
      <c r="F2636" s="354">
        <v>0</v>
      </c>
      <c r="G2636" s="354">
        <v>0</v>
      </c>
      <c r="H2636" s="354">
        <v>0</v>
      </c>
      <c r="I2636" s="354">
        <v>2</v>
      </c>
      <c r="J2636" s="354">
        <v>0</v>
      </c>
      <c r="K2636" s="354">
        <v>0</v>
      </c>
      <c r="L2636" s="354">
        <v>1</v>
      </c>
      <c r="M2636" s="355">
        <v>3</v>
      </c>
      <c r="N2636" s="355">
        <v>1</v>
      </c>
    </row>
    <row r="2637" spans="1:14" hidden="1" x14ac:dyDescent="0.25">
      <c r="A2637" s="354">
        <v>0</v>
      </c>
      <c r="B2637" s="354">
        <v>1</v>
      </c>
      <c r="C2637" s="354">
        <v>1</v>
      </c>
      <c r="D2637" s="354">
        <v>1</v>
      </c>
      <c r="E2637" s="354">
        <v>1</v>
      </c>
      <c r="F2637" s="354">
        <v>1</v>
      </c>
      <c r="G2637" s="354">
        <v>1</v>
      </c>
      <c r="H2637" s="354">
        <v>1</v>
      </c>
      <c r="I2637" s="354">
        <v>1</v>
      </c>
      <c r="J2637" s="354">
        <v>2</v>
      </c>
      <c r="K2637" s="354">
        <v>0</v>
      </c>
      <c r="L2637" s="354">
        <v>0</v>
      </c>
      <c r="M2637" s="355">
        <v>4</v>
      </c>
      <c r="N2637" s="355">
        <v>6</v>
      </c>
    </row>
    <row r="2638" spans="1:14" hidden="1" x14ac:dyDescent="0.25">
      <c r="A2638" s="354">
        <v>0</v>
      </c>
      <c r="B2638" s="354">
        <v>1</v>
      </c>
      <c r="C2638" s="354">
        <v>1</v>
      </c>
      <c r="D2638" s="354">
        <v>0</v>
      </c>
      <c r="E2638" s="354">
        <v>2</v>
      </c>
      <c r="F2638" s="354">
        <v>1</v>
      </c>
      <c r="G2638" s="354">
        <v>0</v>
      </c>
      <c r="H2638" s="354">
        <v>0</v>
      </c>
      <c r="I2638" s="354">
        <v>1</v>
      </c>
      <c r="J2638" s="354">
        <v>1</v>
      </c>
      <c r="K2638" s="354">
        <v>0</v>
      </c>
      <c r="L2638" s="354">
        <v>0</v>
      </c>
      <c r="M2638" s="355">
        <v>4</v>
      </c>
      <c r="N2638" s="355">
        <v>3</v>
      </c>
    </row>
    <row r="2639" spans="1:14" hidden="1" x14ac:dyDescent="0.25">
      <c r="A2639" s="354">
        <v>0</v>
      </c>
      <c r="B2639" s="354">
        <v>0</v>
      </c>
      <c r="C2639" s="354">
        <v>1</v>
      </c>
      <c r="D2639" s="354">
        <v>0</v>
      </c>
      <c r="E2639" s="354">
        <v>2</v>
      </c>
      <c r="F2639" s="354">
        <v>0</v>
      </c>
      <c r="G2639" s="354">
        <v>0</v>
      </c>
      <c r="H2639" s="354">
        <v>1</v>
      </c>
      <c r="I2639" s="354">
        <v>1</v>
      </c>
      <c r="J2639" s="354">
        <v>1</v>
      </c>
      <c r="K2639" s="354">
        <v>0</v>
      </c>
      <c r="L2639" s="354">
        <v>0</v>
      </c>
      <c r="M2639" s="355">
        <v>4</v>
      </c>
      <c r="N2639" s="355">
        <v>2</v>
      </c>
    </row>
    <row r="2640" spans="1:14" hidden="1" x14ac:dyDescent="0.25">
      <c r="A2640" s="354">
        <v>0</v>
      </c>
      <c r="B2640" s="354">
        <v>1</v>
      </c>
      <c r="C2640" s="354">
        <v>2</v>
      </c>
      <c r="D2640" s="354">
        <v>2</v>
      </c>
      <c r="E2640" s="354">
        <v>0</v>
      </c>
      <c r="F2640" s="354">
        <v>1</v>
      </c>
      <c r="G2640" s="354">
        <v>0</v>
      </c>
      <c r="H2640" s="354">
        <v>2</v>
      </c>
      <c r="I2640" s="354">
        <v>3</v>
      </c>
      <c r="J2640" s="354">
        <v>3</v>
      </c>
      <c r="K2640" s="354">
        <v>0</v>
      </c>
      <c r="L2640" s="354">
        <v>0</v>
      </c>
      <c r="M2640" s="355">
        <v>5</v>
      </c>
      <c r="N2640" s="355">
        <v>9</v>
      </c>
    </row>
    <row r="2641" spans="1:14" hidden="1" x14ac:dyDescent="0.25">
      <c r="A2641" s="354">
        <v>0</v>
      </c>
      <c r="B2641" s="354">
        <v>0</v>
      </c>
      <c r="C2641" s="354">
        <v>0</v>
      </c>
      <c r="D2641" s="354">
        <v>0</v>
      </c>
      <c r="E2641" s="354">
        <v>0</v>
      </c>
      <c r="F2641" s="354">
        <v>0</v>
      </c>
      <c r="G2641" s="354">
        <v>1</v>
      </c>
      <c r="H2641" s="354">
        <v>1</v>
      </c>
      <c r="I2641" s="354">
        <v>0</v>
      </c>
      <c r="J2641" s="354">
        <v>1</v>
      </c>
      <c r="K2641" s="354">
        <v>0</v>
      </c>
      <c r="L2641" s="354">
        <v>0</v>
      </c>
      <c r="M2641" s="355">
        <v>1</v>
      </c>
      <c r="N2641" s="355">
        <v>2</v>
      </c>
    </row>
    <row r="2642" spans="1:14" hidden="1" x14ac:dyDescent="0.25">
      <c r="A2642" s="354">
        <v>0</v>
      </c>
      <c r="B2642" s="354">
        <v>0</v>
      </c>
      <c r="C2642" s="354">
        <v>1</v>
      </c>
      <c r="D2642" s="354">
        <v>0</v>
      </c>
      <c r="E2642" s="354">
        <v>1</v>
      </c>
      <c r="F2642" s="354">
        <v>0</v>
      </c>
      <c r="G2642" s="354">
        <v>1</v>
      </c>
      <c r="H2642" s="354">
        <v>0</v>
      </c>
      <c r="I2642" s="354">
        <v>0</v>
      </c>
      <c r="J2642" s="354">
        <v>2</v>
      </c>
      <c r="K2642" s="354">
        <v>1</v>
      </c>
      <c r="L2642" s="354">
        <v>0</v>
      </c>
      <c r="M2642" s="355">
        <v>4</v>
      </c>
      <c r="N2642" s="355">
        <v>2</v>
      </c>
    </row>
    <row r="2643" spans="1:14" hidden="1" x14ac:dyDescent="0.25">
      <c r="A2643" s="354">
        <v>0</v>
      </c>
      <c r="B2643" s="354">
        <v>0</v>
      </c>
      <c r="C2643" s="354">
        <v>0</v>
      </c>
      <c r="D2643" s="354">
        <v>0</v>
      </c>
      <c r="E2643" s="354">
        <v>0</v>
      </c>
      <c r="F2643" s="354">
        <v>0</v>
      </c>
      <c r="G2643" s="354">
        <v>1</v>
      </c>
      <c r="H2643" s="354">
        <v>0</v>
      </c>
      <c r="I2643" s="354">
        <v>0</v>
      </c>
      <c r="J2643" s="354">
        <v>1</v>
      </c>
      <c r="K2643" s="354">
        <v>0</v>
      </c>
      <c r="L2643" s="354">
        <v>1</v>
      </c>
      <c r="M2643" s="355">
        <v>1</v>
      </c>
      <c r="N2643" s="355">
        <v>2</v>
      </c>
    </row>
    <row r="2644" spans="1:14" hidden="1" x14ac:dyDescent="0.25">
      <c r="A2644" s="354">
        <v>0</v>
      </c>
      <c r="B2644" s="354">
        <v>1</v>
      </c>
      <c r="C2644" s="354">
        <v>1</v>
      </c>
      <c r="D2644" s="354">
        <v>2</v>
      </c>
      <c r="E2644" s="354">
        <v>1</v>
      </c>
      <c r="F2644" s="354">
        <v>2</v>
      </c>
      <c r="G2644" s="354">
        <v>0</v>
      </c>
      <c r="H2644" s="354">
        <v>1</v>
      </c>
      <c r="I2644" s="354">
        <v>2</v>
      </c>
      <c r="J2644" s="354">
        <v>1</v>
      </c>
      <c r="K2644" s="354">
        <v>0</v>
      </c>
      <c r="L2644" s="354">
        <v>0</v>
      </c>
      <c r="M2644" s="355">
        <v>4</v>
      </c>
      <c r="N2644" s="355">
        <v>7</v>
      </c>
    </row>
    <row r="2645" spans="1:14" hidden="1" x14ac:dyDescent="0.25">
      <c r="A2645" s="354">
        <v>0</v>
      </c>
      <c r="B2645" s="354">
        <v>0</v>
      </c>
      <c r="C2645" s="354">
        <v>0</v>
      </c>
      <c r="D2645" s="354">
        <v>0</v>
      </c>
      <c r="E2645" s="354">
        <v>1</v>
      </c>
      <c r="F2645" s="354">
        <v>1</v>
      </c>
      <c r="G2645" s="354">
        <v>1</v>
      </c>
      <c r="H2645" s="354">
        <v>0</v>
      </c>
      <c r="I2645" s="354">
        <v>0</v>
      </c>
      <c r="J2645" s="354">
        <v>1</v>
      </c>
      <c r="K2645" s="354">
        <v>0</v>
      </c>
      <c r="L2645" s="354">
        <v>0</v>
      </c>
      <c r="M2645" s="355">
        <v>2</v>
      </c>
      <c r="N2645" s="355">
        <v>2</v>
      </c>
    </row>
    <row r="2646" spans="1:14" hidden="1" x14ac:dyDescent="0.25">
      <c r="A2646" s="354">
        <v>1</v>
      </c>
      <c r="B2646" s="354">
        <v>1</v>
      </c>
      <c r="C2646" s="354">
        <v>1</v>
      </c>
      <c r="D2646" s="354">
        <v>0</v>
      </c>
      <c r="E2646" s="354">
        <v>1</v>
      </c>
      <c r="F2646" s="354">
        <v>0</v>
      </c>
      <c r="G2646" s="354">
        <v>0</v>
      </c>
      <c r="H2646" s="354">
        <v>1</v>
      </c>
      <c r="I2646" s="354">
        <v>1</v>
      </c>
      <c r="J2646" s="354">
        <v>1</v>
      </c>
      <c r="K2646" s="354">
        <v>0</v>
      </c>
      <c r="L2646" s="354">
        <v>0</v>
      </c>
      <c r="M2646" s="355">
        <v>4</v>
      </c>
      <c r="N2646" s="355">
        <v>3</v>
      </c>
    </row>
    <row r="2647" spans="1:14" hidden="1" x14ac:dyDescent="0.25">
      <c r="A2647" s="354">
        <v>0</v>
      </c>
      <c r="B2647" s="354">
        <v>0</v>
      </c>
      <c r="C2647" s="354">
        <v>0</v>
      </c>
      <c r="D2647" s="354">
        <v>0</v>
      </c>
      <c r="E2647" s="354">
        <v>0</v>
      </c>
      <c r="F2647" s="354">
        <v>1</v>
      </c>
      <c r="G2647" s="354">
        <v>1</v>
      </c>
      <c r="H2647" s="354">
        <v>0</v>
      </c>
      <c r="I2647" s="354">
        <v>0</v>
      </c>
      <c r="J2647" s="354">
        <v>2</v>
      </c>
      <c r="K2647" s="354">
        <v>0</v>
      </c>
      <c r="L2647" s="354">
        <v>0</v>
      </c>
      <c r="M2647" s="355">
        <v>1</v>
      </c>
      <c r="N2647" s="355">
        <v>3</v>
      </c>
    </row>
    <row r="2648" spans="1:14" hidden="1" x14ac:dyDescent="0.25">
      <c r="A2648" s="354">
        <v>2</v>
      </c>
      <c r="B2648" s="354">
        <v>2</v>
      </c>
      <c r="C2648" s="354">
        <v>3</v>
      </c>
      <c r="D2648" s="354">
        <v>3</v>
      </c>
      <c r="E2648" s="354">
        <v>4</v>
      </c>
      <c r="F2648" s="354">
        <v>3</v>
      </c>
      <c r="G2648" s="354">
        <v>4</v>
      </c>
      <c r="H2648" s="354">
        <v>0</v>
      </c>
      <c r="I2648" s="354">
        <v>1</v>
      </c>
      <c r="J2648" s="354">
        <v>4</v>
      </c>
      <c r="K2648" s="354">
        <v>0</v>
      </c>
      <c r="L2648" s="354">
        <v>0</v>
      </c>
      <c r="M2648" s="355">
        <v>14</v>
      </c>
      <c r="N2648" s="355">
        <v>12</v>
      </c>
    </row>
    <row r="2649" spans="1:14" hidden="1" x14ac:dyDescent="0.25">
      <c r="A2649" s="354">
        <v>0</v>
      </c>
      <c r="B2649" s="354">
        <v>1</v>
      </c>
      <c r="C2649" s="354">
        <v>1</v>
      </c>
      <c r="D2649" s="354">
        <v>0</v>
      </c>
      <c r="E2649" s="354">
        <v>1</v>
      </c>
      <c r="F2649" s="354">
        <v>0</v>
      </c>
      <c r="G2649" s="354">
        <v>0</v>
      </c>
      <c r="H2649" s="354">
        <v>0</v>
      </c>
      <c r="I2649" s="354">
        <v>0</v>
      </c>
      <c r="J2649" s="354">
        <v>1</v>
      </c>
      <c r="K2649" s="354">
        <v>0</v>
      </c>
      <c r="L2649" s="354">
        <v>0</v>
      </c>
      <c r="M2649" s="355">
        <v>2</v>
      </c>
      <c r="N2649" s="355">
        <v>2</v>
      </c>
    </row>
    <row r="2650" spans="1:14" hidden="1" x14ac:dyDescent="0.25">
      <c r="A2650" s="354">
        <v>1</v>
      </c>
      <c r="B2650" s="354">
        <v>0</v>
      </c>
      <c r="C2650" s="354">
        <v>0</v>
      </c>
      <c r="D2650" s="354">
        <v>1</v>
      </c>
      <c r="E2650" s="354">
        <v>2</v>
      </c>
      <c r="F2650" s="354">
        <v>3</v>
      </c>
      <c r="G2650" s="354">
        <v>2</v>
      </c>
      <c r="H2650" s="354">
        <v>2</v>
      </c>
      <c r="I2650" s="354">
        <v>4</v>
      </c>
      <c r="J2650" s="354">
        <v>1</v>
      </c>
      <c r="K2650" s="354">
        <v>0</v>
      </c>
      <c r="L2650" s="354">
        <v>0</v>
      </c>
      <c r="M2650" s="355">
        <v>9</v>
      </c>
      <c r="N2650" s="355">
        <v>7</v>
      </c>
    </row>
    <row r="2651" spans="1:14" hidden="1" x14ac:dyDescent="0.25">
      <c r="A2651" s="354">
        <v>1</v>
      </c>
      <c r="B2651" s="354">
        <v>1</v>
      </c>
      <c r="C2651" s="354">
        <v>2</v>
      </c>
      <c r="D2651" s="354">
        <v>0</v>
      </c>
      <c r="E2651" s="354">
        <v>1</v>
      </c>
      <c r="F2651" s="354">
        <v>0</v>
      </c>
      <c r="G2651" s="354">
        <v>1</v>
      </c>
      <c r="H2651" s="354">
        <v>1</v>
      </c>
      <c r="I2651" s="354">
        <v>1</v>
      </c>
      <c r="J2651" s="354">
        <v>1</v>
      </c>
      <c r="K2651" s="354">
        <v>0</v>
      </c>
      <c r="L2651" s="354">
        <v>0</v>
      </c>
      <c r="M2651" s="355">
        <v>6</v>
      </c>
      <c r="N2651" s="355">
        <v>3</v>
      </c>
    </row>
    <row r="2652" spans="1:14" hidden="1" x14ac:dyDescent="0.25">
      <c r="A2652" s="354">
        <v>2</v>
      </c>
      <c r="B2652" s="354">
        <v>3</v>
      </c>
      <c r="C2652" s="354">
        <v>1</v>
      </c>
      <c r="D2652" s="354">
        <v>1</v>
      </c>
      <c r="E2652" s="354">
        <v>2</v>
      </c>
      <c r="F2652" s="354">
        <v>0</v>
      </c>
      <c r="G2652" s="354">
        <v>2</v>
      </c>
      <c r="H2652" s="354">
        <v>1</v>
      </c>
      <c r="I2652" s="354">
        <v>0</v>
      </c>
      <c r="J2652" s="354">
        <v>1</v>
      </c>
      <c r="K2652" s="354">
        <v>1</v>
      </c>
      <c r="L2652" s="354">
        <v>0</v>
      </c>
      <c r="M2652" s="355">
        <v>8</v>
      </c>
      <c r="N2652" s="355">
        <v>6</v>
      </c>
    </row>
    <row r="2653" spans="1:14" hidden="1" x14ac:dyDescent="0.25">
      <c r="A2653" s="354">
        <v>0</v>
      </c>
      <c r="B2653" s="354">
        <v>1</v>
      </c>
      <c r="C2653" s="354">
        <v>0</v>
      </c>
      <c r="D2653" s="354">
        <v>2</v>
      </c>
      <c r="E2653" s="354">
        <v>2</v>
      </c>
      <c r="F2653" s="354">
        <v>3</v>
      </c>
      <c r="G2653" s="354">
        <v>0</v>
      </c>
      <c r="H2653" s="354">
        <v>0</v>
      </c>
      <c r="I2653" s="354">
        <v>1</v>
      </c>
      <c r="J2653" s="354">
        <v>2</v>
      </c>
      <c r="K2653" s="354">
        <v>0</v>
      </c>
      <c r="L2653" s="354">
        <v>0</v>
      </c>
      <c r="M2653" s="355">
        <v>3</v>
      </c>
      <c r="N2653" s="355">
        <v>8</v>
      </c>
    </row>
    <row r="2654" spans="1:14" hidden="1" x14ac:dyDescent="0.25">
      <c r="A2654" s="354">
        <v>1</v>
      </c>
      <c r="B2654" s="354">
        <v>0</v>
      </c>
      <c r="C2654" s="354">
        <v>0</v>
      </c>
      <c r="D2654" s="354">
        <v>3</v>
      </c>
      <c r="E2654" s="354">
        <v>2</v>
      </c>
      <c r="F2654" s="354">
        <v>2</v>
      </c>
      <c r="G2654" s="354">
        <v>0</v>
      </c>
      <c r="H2654" s="354">
        <v>1</v>
      </c>
      <c r="I2654" s="354">
        <v>1</v>
      </c>
      <c r="J2654" s="354">
        <v>2</v>
      </c>
      <c r="K2654" s="354">
        <v>0</v>
      </c>
      <c r="L2654" s="354">
        <v>0</v>
      </c>
      <c r="M2654" s="355">
        <v>4</v>
      </c>
      <c r="N2654" s="355">
        <v>8</v>
      </c>
    </row>
    <row r="2655" spans="1:14" hidden="1" x14ac:dyDescent="0.25">
      <c r="A2655" s="354">
        <v>0</v>
      </c>
      <c r="B2655" s="354">
        <v>0</v>
      </c>
      <c r="C2655" s="354">
        <v>0</v>
      </c>
      <c r="D2655" s="354">
        <v>1</v>
      </c>
      <c r="E2655" s="354">
        <v>1</v>
      </c>
      <c r="F2655" s="354">
        <v>1</v>
      </c>
      <c r="G2655" s="354">
        <v>2</v>
      </c>
      <c r="H2655" s="354">
        <v>1</v>
      </c>
      <c r="I2655" s="354">
        <v>4</v>
      </c>
      <c r="J2655" s="354">
        <v>3</v>
      </c>
      <c r="K2655" s="354">
        <v>0</v>
      </c>
      <c r="L2655" s="354">
        <v>0</v>
      </c>
      <c r="M2655" s="355">
        <v>7</v>
      </c>
      <c r="N2655" s="355">
        <v>6</v>
      </c>
    </row>
    <row r="2656" spans="1:14" hidden="1" x14ac:dyDescent="0.25">
      <c r="A2656" s="354">
        <v>0</v>
      </c>
      <c r="B2656" s="354">
        <v>1</v>
      </c>
      <c r="C2656" s="354">
        <v>1</v>
      </c>
      <c r="D2656" s="354">
        <v>0</v>
      </c>
      <c r="E2656" s="354">
        <v>3</v>
      </c>
      <c r="F2656" s="354">
        <v>1</v>
      </c>
      <c r="G2656" s="354">
        <v>1</v>
      </c>
      <c r="H2656" s="354">
        <v>0</v>
      </c>
      <c r="I2656" s="354">
        <v>0</v>
      </c>
      <c r="J2656" s="354">
        <v>1</v>
      </c>
      <c r="K2656" s="354">
        <v>0</v>
      </c>
      <c r="L2656" s="354">
        <v>1</v>
      </c>
      <c r="M2656" s="355">
        <v>5</v>
      </c>
      <c r="N2656" s="355">
        <v>4</v>
      </c>
    </row>
    <row r="2657" spans="1:14" hidden="1" x14ac:dyDescent="0.25">
      <c r="A2657" s="354">
        <v>1</v>
      </c>
      <c r="B2657" s="354">
        <v>1</v>
      </c>
      <c r="C2657" s="354">
        <v>2</v>
      </c>
      <c r="D2657" s="354">
        <v>0</v>
      </c>
      <c r="E2657" s="354">
        <v>2</v>
      </c>
      <c r="F2657" s="354">
        <v>0</v>
      </c>
      <c r="G2657" s="354">
        <v>1</v>
      </c>
      <c r="H2657" s="354">
        <v>0</v>
      </c>
      <c r="I2657" s="354">
        <v>1</v>
      </c>
      <c r="J2657" s="354">
        <v>1</v>
      </c>
      <c r="K2657" s="354">
        <v>0</v>
      </c>
      <c r="L2657" s="354">
        <v>0</v>
      </c>
      <c r="M2657" s="355">
        <v>7</v>
      </c>
      <c r="N2657" s="355">
        <v>2</v>
      </c>
    </row>
    <row r="2658" spans="1:14" hidden="1" x14ac:dyDescent="0.25">
      <c r="A2658" s="354">
        <v>1</v>
      </c>
      <c r="B2658" s="354">
        <v>0</v>
      </c>
      <c r="C2658" s="354">
        <v>1</v>
      </c>
      <c r="D2658" s="354">
        <v>0</v>
      </c>
      <c r="E2658" s="354">
        <v>2</v>
      </c>
      <c r="F2658" s="354">
        <v>0</v>
      </c>
      <c r="G2658" s="354">
        <v>1</v>
      </c>
      <c r="H2658" s="354">
        <v>0</v>
      </c>
      <c r="I2658" s="354"/>
      <c r="J2658" s="354">
        <v>1</v>
      </c>
      <c r="K2658" s="354">
        <v>0</v>
      </c>
      <c r="L2658" s="354">
        <v>0</v>
      </c>
      <c r="M2658" s="355">
        <v>5</v>
      </c>
      <c r="N2658" s="355">
        <v>1</v>
      </c>
    </row>
    <row r="2659" spans="1:14" hidden="1" x14ac:dyDescent="0.25">
      <c r="A2659" s="354">
        <v>2</v>
      </c>
      <c r="B2659" s="354">
        <v>3</v>
      </c>
      <c r="C2659" s="354">
        <v>1</v>
      </c>
      <c r="D2659" s="354">
        <v>1</v>
      </c>
      <c r="E2659" s="354">
        <v>2</v>
      </c>
      <c r="F2659" s="354">
        <v>0</v>
      </c>
      <c r="G2659" s="354">
        <v>2</v>
      </c>
      <c r="H2659" s="354">
        <v>1</v>
      </c>
      <c r="I2659" s="354">
        <v>0</v>
      </c>
      <c r="J2659" s="354">
        <v>1</v>
      </c>
      <c r="K2659" s="354">
        <v>1</v>
      </c>
      <c r="L2659" s="354">
        <v>0</v>
      </c>
      <c r="M2659" s="355">
        <v>8</v>
      </c>
      <c r="N2659" s="355">
        <v>6</v>
      </c>
    </row>
    <row r="2660" spans="1:14" hidden="1" x14ac:dyDescent="0.25">
      <c r="A2660" s="354">
        <v>4</v>
      </c>
      <c r="B2660" s="354">
        <v>2</v>
      </c>
      <c r="C2660" s="354">
        <v>3</v>
      </c>
      <c r="D2660" s="354">
        <v>2</v>
      </c>
      <c r="E2660" s="354">
        <v>6</v>
      </c>
      <c r="F2660" s="354">
        <v>3</v>
      </c>
      <c r="G2660" s="354">
        <v>1</v>
      </c>
      <c r="H2660" s="354">
        <v>0</v>
      </c>
      <c r="I2660" s="354">
        <v>2</v>
      </c>
      <c r="J2660" s="354">
        <v>4</v>
      </c>
      <c r="K2660" s="354">
        <v>0</v>
      </c>
      <c r="L2660" s="354">
        <v>1</v>
      </c>
      <c r="M2660" s="355">
        <v>16</v>
      </c>
      <c r="N2660" s="355">
        <v>12</v>
      </c>
    </row>
    <row r="2661" spans="1:14" hidden="1" x14ac:dyDescent="0.25">
      <c r="A2661" s="354">
        <v>1</v>
      </c>
      <c r="B2661" s="354">
        <v>0</v>
      </c>
      <c r="C2661" s="354">
        <v>1</v>
      </c>
      <c r="D2661" s="354">
        <v>2</v>
      </c>
      <c r="E2661" s="354">
        <v>0</v>
      </c>
      <c r="F2661" s="354">
        <v>0</v>
      </c>
      <c r="G2661" s="354">
        <v>2</v>
      </c>
      <c r="H2661" s="354">
        <v>0</v>
      </c>
      <c r="I2661" s="354">
        <v>1</v>
      </c>
      <c r="J2661" s="354">
        <v>1</v>
      </c>
      <c r="K2661" s="354">
        <v>0</v>
      </c>
      <c r="L2661" s="354">
        <v>1</v>
      </c>
      <c r="M2661" s="355">
        <v>5</v>
      </c>
      <c r="N2661" s="355">
        <v>4</v>
      </c>
    </row>
    <row r="2662" spans="1:14" hidden="1" x14ac:dyDescent="0.25">
      <c r="A2662" s="354">
        <v>0</v>
      </c>
      <c r="B2662" s="354">
        <v>0</v>
      </c>
      <c r="C2662" s="354">
        <v>0</v>
      </c>
      <c r="D2662" s="354">
        <v>0</v>
      </c>
      <c r="E2662" s="354">
        <v>0</v>
      </c>
      <c r="F2662" s="354">
        <v>0</v>
      </c>
      <c r="G2662" s="354">
        <v>2</v>
      </c>
      <c r="H2662" s="354">
        <v>1</v>
      </c>
      <c r="I2662" s="354">
        <v>1</v>
      </c>
      <c r="J2662" s="354">
        <v>0</v>
      </c>
      <c r="K2662" s="354">
        <v>1</v>
      </c>
      <c r="L2662" s="354">
        <v>1</v>
      </c>
      <c r="M2662" s="355">
        <v>4</v>
      </c>
      <c r="N2662" s="355">
        <v>2</v>
      </c>
    </row>
    <row r="2663" spans="1:14" hidden="1" x14ac:dyDescent="0.25">
      <c r="A2663" s="354">
        <v>0</v>
      </c>
      <c r="B2663" s="354">
        <v>1</v>
      </c>
      <c r="C2663" s="354">
        <v>3</v>
      </c>
      <c r="D2663" s="354">
        <v>0</v>
      </c>
      <c r="E2663" s="354">
        <v>1</v>
      </c>
      <c r="F2663" s="354">
        <v>2</v>
      </c>
      <c r="G2663" s="354">
        <v>0</v>
      </c>
      <c r="H2663" s="354">
        <v>0</v>
      </c>
      <c r="I2663" s="354">
        <v>1</v>
      </c>
      <c r="J2663" s="354">
        <v>1</v>
      </c>
      <c r="K2663" s="354">
        <v>0</v>
      </c>
      <c r="L2663" s="354">
        <v>0</v>
      </c>
      <c r="M2663" s="355">
        <v>5</v>
      </c>
      <c r="N2663" s="355">
        <v>4</v>
      </c>
    </row>
    <row r="2664" spans="1:14" hidden="1" x14ac:dyDescent="0.25">
      <c r="A2664" s="354">
        <v>0</v>
      </c>
      <c r="B2664" s="354">
        <v>0</v>
      </c>
      <c r="C2664" s="354">
        <v>1</v>
      </c>
      <c r="D2664" s="354">
        <v>0</v>
      </c>
      <c r="E2664" s="354">
        <v>0</v>
      </c>
      <c r="F2664" s="354">
        <v>3</v>
      </c>
      <c r="G2664" s="354">
        <v>1</v>
      </c>
      <c r="H2664" s="354">
        <v>2</v>
      </c>
      <c r="I2664" s="354">
        <v>2</v>
      </c>
      <c r="J2664" s="354">
        <v>3</v>
      </c>
      <c r="K2664" s="354">
        <v>0</v>
      </c>
      <c r="L2664" s="354">
        <v>0</v>
      </c>
      <c r="M2664" s="355">
        <v>4</v>
      </c>
      <c r="N2664" s="355">
        <v>8</v>
      </c>
    </row>
    <row r="2665" spans="1:14" hidden="1" x14ac:dyDescent="0.25">
      <c r="A2665" s="354">
        <v>0</v>
      </c>
      <c r="B2665" s="354">
        <v>2</v>
      </c>
      <c r="C2665" s="354">
        <v>1</v>
      </c>
      <c r="D2665" s="354">
        <v>0</v>
      </c>
      <c r="E2665" s="354">
        <v>0</v>
      </c>
      <c r="F2665" s="354">
        <v>2</v>
      </c>
      <c r="G2665" s="354">
        <v>1</v>
      </c>
      <c r="H2665" s="354">
        <v>0</v>
      </c>
      <c r="I2665" s="354">
        <v>2</v>
      </c>
      <c r="J2665" s="354">
        <v>3</v>
      </c>
      <c r="K2665" s="354">
        <v>0</v>
      </c>
      <c r="L2665" s="354">
        <v>0</v>
      </c>
      <c r="M2665" s="355">
        <v>4</v>
      </c>
      <c r="N2665" s="355">
        <v>7</v>
      </c>
    </row>
    <row r="2666" spans="1:14" hidden="1" x14ac:dyDescent="0.25">
      <c r="A2666" s="354">
        <v>1</v>
      </c>
      <c r="B2666" s="354">
        <v>1</v>
      </c>
      <c r="C2666" s="354">
        <v>0</v>
      </c>
      <c r="D2666" s="354">
        <v>2</v>
      </c>
      <c r="E2666" s="354">
        <v>0</v>
      </c>
      <c r="F2666" s="354">
        <v>2</v>
      </c>
      <c r="G2666" s="354">
        <v>0</v>
      </c>
      <c r="H2666" s="354">
        <v>0</v>
      </c>
      <c r="I2666" s="354">
        <v>1</v>
      </c>
      <c r="J2666" s="354">
        <v>2</v>
      </c>
      <c r="K2666" s="354">
        <v>0</v>
      </c>
      <c r="L2666" s="354">
        <v>0</v>
      </c>
      <c r="M2666" s="355">
        <v>2</v>
      </c>
      <c r="N2666" s="355">
        <v>7</v>
      </c>
    </row>
    <row r="2667" spans="1:14" hidden="1" x14ac:dyDescent="0.25">
      <c r="A2667" s="354">
        <v>0</v>
      </c>
      <c r="B2667" s="354">
        <v>0</v>
      </c>
      <c r="C2667" s="354">
        <v>0</v>
      </c>
      <c r="D2667" s="354">
        <v>1</v>
      </c>
      <c r="E2667" s="354">
        <v>0</v>
      </c>
      <c r="F2667" s="354">
        <v>2</v>
      </c>
      <c r="G2667" s="354">
        <v>1</v>
      </c>
      <c r="H2667" s="354">
        <v>2</v>
      </c>
      <c r="I2667" s="354">
        <v>1</v>
      </c>
      <c r="J2667" s="354">
        <v>1</v>
      </c>
      <c r="K2667" s="354">
        <v>0</v>
      </c>
      <c r="L2667" s="354">
        <v>0</v>
      </c>
      <c r="M2667" s="355">
        <v>2</v>
      </c>
      <c r="N2667" s="355">
        <v>6</v>
      </c>
    </row>
    <row r="2668" spans="1:14" hidden="1" x14ac:dyDescent="0.25">
      <c r="A2668" s="354">
        <v>0</v>
      </c>
      <c r="B2668" s="354">
        <v>0</v>
      </c>
      <c r="C2668" s="354">
        <v>0</v>
      </c>
      <c r="D2668" s="354">
        <v>0</v>
      </c>
      <c r="E2668" s="354">
        <v>0</v>
      </c>
      <c r="F2668" s="354">
        <v>0</v>
      </c>
      <c r="G2668" s="354">
        <v>0</v>
      </c>
      <c r="H2668" s="354">
        <v>0</v>
      </c>
      <c r="I2668" s="354">
        <v>1</v>
      </c>
      <c r="J2668" s="354">
        <v>1</v>
      </c>
      <c r="K2668" s="354">
        <v>0</v>
      </c>
      <c r="L2668" s="354">
        <v>0</v>
      </c>
      <c r="M2668" s="355">
        <v>1</v>
      </c>
      <c r="N2668" s="355">
        <v>1</v>
      </c>
    </row>
    <row r="2669" spans="1:14" hidden="1" x14ac:dyDescent="0.25">
      <c r="A2669" s="354">
        <v>0</v>
      </c>
      <c r="B2669" s="354">
        <v>2</v>
      </c>
      <c r="C2669" s="354">
        <v>0</v>
      </c>
      <c r="D2669" s="354">
        <v>0</v>
      </c>
      <c r="E2669" s="354">
        <v>0</v>
      </c>
      <c r="F2669" s="354">
        <v>0</v>
      </c>
      <c r="G2669" s="354">
        <v>0</v>
      </c>
      <c r="H2669" s="354">
        <v>0</v>
      </c>
      <c r="I2669" s="354">
        <v>1</v>
      </c>
      <c r="J2669" s="354">
        <v>1</v>
      </c>
      <c r="K2669" s="354">
        <v>0</v>
      </c>
      <c r="L2669" s="354">
        <v>0</v>
      </c>
      <c r="M2669" s="355">
        <v>1</v>
      </c>
      <c r="N2669" s="355">
        <v>3</v>
      </c>
    </row>
    <row r="2670" spans="1:14" hidden="1" x14ac:dyDescent="0.25">
      <c r="A2670" s="354">
        <v>1</v>
      </c>
      <c r="B2670" s="354">
        <v>1</v>
      </c>
      <c r="C2670" s="354">
        <v>1</v>
      </c>
      <c r="D2670" s="354">
        <v>2</v>
      </c>
      <c r="E2670" s="354">
        <v>1</v>
      </c>
      <c r="F2670" s="354">
        <v>1</v>
      </c>
      <c r="G2670" s="354">
        <v>1</v>
      </c>
      <c r="H2670" s="354">
        <v>0</v>
      </c>
      <c r="I2670" s="354">
        <v>1</v>
      </c>
      <c r="J2670" s="354">
        <v>2</v>
      </c>
      <c r="K2670" s="354">
        <v>0</v>
      </c>
      <c r="L2670" s="354">
        <v>0</v>
      </c>
      <c r="M2670" s="355">
        <v>5</v>
      </c>
      <c r="N2670" s="355">
        <v>6</v>
      </c>
    </row>
    <row r="2671" spans="1:14" hidden="1" x14ac:dyDescent="0.25">
      <c r="A2671" s="354">
        <v>0</v>
      </c>
      <c r="B2671" s="354">
        <v>1</v>
      </c>
      <c r="C2671" s="354">
        <v>2</v>
      </c>
      <c r="D2671" s="354">
        <v>1</v>
      </c>
      <c r="E2671" s="354">
        <v>1</v>
      </c>
      <c r="F2671" s="354">
        <v>1</v>
      </c>
      <c r="G2671" s="354">
        <v>1</v>
      </c>
      <c r="H2671" s="354">
        <v>0</v>
      </c>
      <c r="I2671" s="354">
        <v>1</v>
      </c>
      <c r="J2671" s="354">
        <v>1</v>
      </c>
      <c r="K2671" s="354">
        <v>0</v>
      </c>
      <c r="L2671" s="354">
        <v>1</v>
      </c>
      <c r="M2671" s="355">
        <v>5</v>
      </c>
      <c r="N2671" s="355">
        <v>5</v>
      </c>
    </row>
    <row r="2672" spans="1:14" hidden="1" x14ac:dyDescent="0.25">
      <c r="A2672" s="354">
        <v>1</v>
      </c>
      <c r="B2672" s="354">
        <v>0</v>
      </c>
      <c r="C2672" s="354">
        <v>1</v>
      </c>
      <c r="D2672" s="354">
        <v>0</v>
      </c>
      <c r="E2672" s="354">
        <v>1</v>
      </c>
      <c r="F2672" s="354">
        <v>0</v>
      </c>
      <c r="G2672" s="354">
        <v>0</v>
      </c>
      <c r="H2672" s="354">
        <v>0</v>
      </c>
      <c r="I2672" s="354">
        <v>1</v>
      </c>
      <c r="J2672" s="354">
        <v>1</v>
      </c>
      <c r="K2672" s="354">
        <v>0</v>
      </c>
      <c r="L2672" s="354">
        <v>0</v>
      </c>
      <c r="M2672" s="355">
        <v>4</v>
      </c>
      <c r="N2672" s="355">
        <v>1</v>
      </c>
    </row>
    <row r="2673" spans="1:14" hidden="1" x14ac:dyDescent="0.25">
      <c r="A2673" s="354">
        <v>0</v>
      </c>
      <c r="B2673" s="354">
        <v>1</v>
      </c>
      <c r="C2673" s="354">
        <v>0</v>
      </c>
      <c r="D2673" s="354">
        <v>0</v>
      </c>
      <c r="E2673" s="354">
        <v>2</v>
      </c>
      <c r="F2673" s="354">
        <v>0</v>
      </c>
      <c r="G2673" s="354">
        <v>0</v>
      </c>
      <c r="H2673" s="354">
        <v>0</v>
      </c>
      <c r="I2673" s="354">
        <v>1</v>
      </c>
      <c r="J2673" s="354">
        <v>1</v>
      </c>
      <c r="K2673" s="354">
        <v>0</v>
      </c>
      <c r="L2673" s="354">
        <v>0</v>
      </c>
      <c r="M2673" s="355">
        <v>3</v>
      </c>
      <c r="N2673" s="355">
        <v>2</v>
      </c>
    </row>
    <row r="2674" spans="1:14" hidden="1" x14ac:dyDescent="0.25">
      <c r="A2674" s="354">
        <v>0</v>
      </c>
      <c r="B2674" s="354">
        <v>0</v>
      </c>
      <c r="C2674" s="354">
        <v>0</v>
      </c>
      <c r="D2674" s="354">
        <v>0</v>
      </c>
      <c r="E2674" s="354">
        <v>2</v>
      </c>
      <c r="F2674" s="354">
        <v>1</v>
      </c>
      <c r="G2674" s="354">
        <v>1</v>
      </c>
      <c r="H2674" s="354">
        <v>1</v>
      </c>
      <c r="I2674" s="354">
        <v>1</v>
      </c>
      <c r="J2674" s="354">
        <v>1</v>
      </c>
      <c r="K2674" s="354">
        <v>1</v>
      </c>
      <c r="L2674" s="354">
        <v>0</v>
      </c>
      <c r="M2674" s="355">
        <v>5</v>
      </c>
      <c r="N2674" s="355">
        <v>3</v>
      </c>
    </row>
    <row r="2675" spans="1:14" hidden="1" x14ac:dyDescent="0.25">
      <c r="A2675" s="354">
        <v>0</v>
      </c>
      <c r="B2675" s="354">
        <v>0</v>
      </c>
      <c r="C2675" s="354">
        <v>0</v>
      </c>
      <c r="D2675" s="354">
        <v>1</v>
      </c>
      <c r="E2675" s="354">
        <v>2</v>
      </c>
      <c r="F2675" s="354">
        <v>2</v>
      </c>
      <c r="G2675" s="354">
        <v>1</v>
      </c>
      <c r="H2675" s="354">
        <v>0</v>
      </c>
      <c r="I2675" s="354">
        <v>1</v>
      </c>
      <c r="J2675" s="354">
        <v>1</v>
      </c>
      <c r="K2675" s="354">
        <v>0</v>
      </c>
      <c r="L2675" s="354">
        <v>0</v>
      </c>
      <c r="M2675" s="355">
        <v>4</v>
      </c>
      <c r="N2675" s="355">
        <v>4</v>
      </c>
    </row>
    <row r="2676" spans="1:14" hidden="1" x14ac:dyDescent="0.25">
      <c r="A2676" s="354">
        <v>1</v>
      </c>
      <c r="B2676" s="354">
        <v>0</v>
      </c>
      <c r="C2676" s="354">
        <v>1</v>
      </c>
      <c r="D2676" s="354">
        <v>0</v>
      </c>
      <c r="E2676" s="354">
        <v>1</v>
      </c>
      <c r="F2676" s="354">
        <v>0</v>
      </c>
      <c r="G2676" s="354">
        <v>0</v>
      </c>
      <c r="H2676" s="354">
        <v>0</v>
      </c>
      <c r="I2676" s="354">
        <v>2</v>
      </c>
      <c r="J2676" s="354">
        <v>1</v>
      </c>
      <c r="K2676" s="354">
        <v>0</v>
      </c>
      <c r="L2676" s="354">
        <v>0</v>
      </c>
      <c r="M2676" s="355">
        <v>5</v>
      </c>
      <c r="N2676" s="355">
        <v>1</v>
      </c>
    </row>
    <row r="2677" spans="1:14" hidden="1" x14ac:dyDescent="0.25">
      <c r="A2677" s="354">
        <v>0</v>
      </c>
      <c r="B2677" s="354">
        <v>0</v>
      </c>
      <c r="C2677" s="354">
        <v>0</v>
      </c>
      <c r="D2677" s="354">
        <v>0</v>
      </c>
      <c r="E2677" s="354">
        <v>2</v>
      </c>
      <c r="F2677" s="354">
        <v>0</v>
      </c>
      <c r="G2677" s="354">
        <v>1</v>
      </c>
      <c r="H2677" s="354">
        <v>0</v>
      </c>
      <c r="I2677" s="354">
        <v>3</v>
      </c>
      <c r="J2677" s="354">
        <v>1</v>
      </c>
      <c r="K2677" s="354">
        <v>0</v>
      </c>
      <c r="L2677" s="354">
        <v>0</v>
      </c>
      <c r="M2677" s="355">
        <v>6</v>
      </c>
      <c r="N2677" s="355">
        <v>1</v>
      </c>
    </row>
    <row r="2678" spans="1:14" hidden="1" x14ac:dyDescent="0.25">
      <c r="A2678" s="354">
        <v>1</v>
      </c>
      <c r="B2678" s="354">
        <v>1</v>
      </c>
      <c r="C2678" s="354">
        <v>1</v>
      </c>
      <c r="D2678" s="354">
        <v>7</v>
      </c>
      <c r="E2678" s="354">
        <v>3</v>
      </c>
      <c r="F2678" s="354">
        <v>6</v>
      </c>
      <c r="G2678" s="354">
        <v>1</v>
      </c>
      <c r="H2678" s="354">
        <v>6</v>
      </c>
      <c r="I2678" s="354">
        <v>4</v>
      </c>
      <c r="J2678" s="354">
        <v>6</v>
      </c>
      <c r="K2678" s="354">
        <v>1</v>
      </c>
      <c r="L2678" s="354">
        <v>1</v>
      </c>
      <c r="M2678" s="355">
        <v>11</v>
      </c>
      <c r="N2678" s="355">
        <v>27</v>
      </c>
    </row>
    <row r="2679" spans="1:14" hidden="1" x14ac:dyDescent="0.25">
      <c r="A2679" s="354">
        <v>1</v>
      </c>
      <c r="B2679" s="354">
        <v>1</v>
      </c>
      <c r="C2679" s="354">
        <v>1</v>
      </c>
      <c r="D2679" s="354">
        <v>0</v>
      </c>
      <c r="E2679" s="354">
        <v>1</v>
      </c>
      <c r="F2679" s="354">
        <v>1</v>
      </c>
      <c r="G2679" s="354">
        <v>1</v>
      </c>
      <c r="H2679" s="354">
        <v>0</v>
      </c>
      <c r="I2679" s="354">
        <v>1</v>
      </c>
      <c r="J2679" s="354">
        <v>1</v>
      </c>
      <c r="K2679" s="354">
        <v>0</v>
      </c>
      <c r="L2679" s="354">
        <v>1</v>
      </c>
      <c r="M2679" s="355">
        <v>5</v>
      </c>
      <c r="N2679" s="355">
        <v>4</v>
      </c>
    </row>
    <row r="2680" spans="1:14" hidden="1" x14ac:dyDescent="0.25">
      <c r="A2680" s="354">
        <v>0</v>
      </c>
      <c r="B2680" s="354">
        <v>0</v>
      </c>
      <c r="C2680" s="354">
        <v>0</v>
      </c>
      <c r="D2680" s="354">
        <v>1</v>
      </c>
      <c r="E2680" s="354">
        <v>2</v>
      </c>
      <c r="F2680" s="354">
        <v>0</v>
      </c>
      <c r="G2680" s="354">
        <v>0</v>
      </c>
      <c r="H2680" s="354">
        <v>2</v>
      </c>
      <c r="I2680" s="354">
        <v>0</v>
      </c>
      <c r="J2680" s="354">
        <v>1</v>
      </c>
      <c r="K2680" s="354">
        <v>1</v>
      </c>
      <c r="L2680" s="354">
        <v>0</v>
      </c>
      <c r="M2680" s="355">
        <v>3</v>
      </c>
      <c r="N2680" s="355">
        <v>4</v>
      </c>
    </row>
    <row r="2681" spans="1:14" hidden="1" x14ac:dyDescent="0.25">
      <c r="A2681" s="354">
        <v>0</v>
      </c>
      <c r="B2681" s="354">
        <v>0</v>
      </c>
      <c r="C2681" s="354">
        <v>0</v>
      </c>
      <c r="D2681" s="354">
        <v>0</v>
      </c>
      <c r="E2681" s="354">
        <v>0</v>
      </c>
      <c r="F2681" s="354">
        <v>0</v>
      </c>
      <c r="G2681" s="354">
        <v>1</v>
      </c>
      <c r="H2681" s="354">
        <v>1</v>
      </c>
      <c r="I2681" s="354">
        <v>0</v>
      </c>
      <c r="J2681" s="354">
        <v>0</v>
      </c>
      <c r="K2681" s="354">
        <v>0</v>
      </c>
      <c r="L2681" s="354">
        <v>1</v>
      </c>
      <c r="M2681" s="355">
        <v>1</v>
      </c>
      <c r="N2681" s="355">
        <v>2</v>
      </c>
    </row>
    <row r="2682" spans="1:14" hidden="1" x14ac:dyDescent="0.25">
      <c r="A2682" s="354">
        <v>0</v>
      </c>
      <c r="B2682" s="354">
        <v>0</v>
      </c>
      <c r="C2682" s="354">
        <v>1</v>
      </c>
      <c r="D2682" s="354">
        <v>1</v>
      </c>
      <c r="E2682" s="354">
        <v>0</v>
      </c>
      <c r="F2682" s="354">
        <v>1</v>
      </c>
      <c r="G2682" s="354">
        <v>0</v>
      </c>
      <c r="H2682" s="354">
        <v>1</v>
      </c>
      <c r="I2682" s="354">
        <v>1</v>
      </c>
      <c r="J2682" s="354">
        <v>3</v>
      </c>
      <c r="K2682" s="354">
        <v>1</v>
      </c>
      <c r="L2682" s="354">
        <v>0</v>
      </c>
      <c r="M2682" s="355">
        <v>3</v>
      </c>
      <c r="N2682" s="355">
        <v>6</v>
      </c>
    </row>
    <row r="2683" spans="1:14" hidden="1" x14ac:dyDescent="0.25">
      <c r="A2683" s="354">
        <v>0</v>
      </c>
      <c r="B2683" s="354">
        <v>0</v>
      </c>
      <c r="C2683" s="354">
        <v>1</v>
      </c>
      <c r="D2683" s="354">
        <v>0</v>
      </c>
      <c r="E2683" s="354">
        <v>2</v>
      </c>
      <c r="F2683" s="354">
        <v>2</v>
      </c>
      <c r="G2683" s="354">
        <v>2</v>
      </c>
      <c r="H2683" s="354">
        <v>1</v>
      </c>
      <c r="I2683" s="354">
        <v>1</v>
      </c>
      <c r="J2683" s="354">
        <v>1</v>
      </c>
      <c r="K2683" s="354">
        <v>0</v>
      </c>
      <c r="L2683" s="354">
        <v>1</v>
      </c>
      <c r="M2683" s="355">
        <v>6</v>
      </c>
      <c r="N2683" s="355">
        <v>5</v>
      </c>
    </row>
    <row r="2684" spans="1:14" hidden="1" x14ac:dyDescent="0.25">
      <c r="A2684" s="354">
        <v>0</v>
      </c>
      <c r="B2684" s="354">
        <v>0</v>
      </c>
      <c r="C2684" s="354">
        <v>0</v>
      </c>
      <c r="D2684" s="354">
        <v>0</v>
      </c>
      <c r="E2684" s="354">
        <v>0</v>
      </c>
      <c r="F2684" s="354">
        <v>1</v>
      </c>
      <c r="G2684" s="354">
        <v>1</v>
      </c>
      <c r="H2684" s="354">
        <v>0</v>
      </c>
      <c r="I2684" s="354">
        <v>1</v>
      </c>
      <c r="J2684" s="354">
        <v>1</v>
      </c>
      <c r="K2684" s="354">
        <v>0</v>
      </c>
      <c r="L2684" s="354">
        <v>0</v>
      </c>
      <c r="M2684" s="355">
        <v>2</v>
      </c>
      <c r="N2684" s="355">
        <v>2</v>
      </c>
    </row>
    <row r="2685" spans="1:14" hidden="1" x14ac:dyDescent="0.25">
      <c r="A2685" s="354">
        <v>1</v>
      </c>
      <c r="B2685" s="354">
        <v>0</v>
      </c>
      <c r="C2685" s="354">
        <v>1</v>
      </c>
      <c r="D2685" s="354">
        <v>0</v>
      </c>
      <c r="E2685" s="354">
        <v>1</v>
      </c>
      <c r="F2685" s="354">
        <v>1</v>
      </c>
      <c r="G2685" s="354">
        <v>0</v>
      </c>
      <c r="H2685" s="354">
        <v>0</v>
      </c>
      <c r="I2685" s="354">
        <v>1</v>
      </c>
      <c r="J2685" s="354">
        <v>1</v>
      </c>
      <c r="K2685" s="354">
        <v>0</v>
      </c>
      <c r="L2685" s="354">
        <v>0</v>
      </c>
      <c r="M2685" s="355">
        <v>4</v>
      </c>
      <c r="N2685" s="355">
        <v>2</v>
      </c>
    </row>
    <row r="2686" spans="1:14" hidden="1" x14ac:dyDescent="0.25">
      <c r="A2686" s="354">
        <v>1</v>
      </c>
      <c r="B2686" s="354">
        <v>0</v>
      </c>
      <c r="C2686" s="354">
        <v>3</v>
      </c>
      <c r="D2686" s="354">
        <v>4</v>
      </c>
      <c r="E2686" s="354">
        <v>3</v>
      </c>
      <c r="F2686" s="354">
        <v>1</v>
      </c>
      <c r="G2686" s="354">
        <v>2</v>
      </c>
      <c r="H2686" s="354">
        <v>0</v>
      </c>
      <c r="I2686" s="354">
        <v>2</v>
      </c>
      <c r="J2686" s="354">
        <v>3</v>
      </c>
      <c r="K2686" s="354">
        <v>0</v>
      </c>
      <c r="L2686" s="354">
        <v>0</v>
      </c>
      <c r="M2686" s="355">
        <v>11</v>
      </c>
      <c r="N2686" s="355">
        <v>8</v>
      </c>
    </row>
    <row r="2687" spans="1:14" hidden="1" x14ac:dyDescent="0.25">
      <c r="A2687" s="354">
        <v>0</v>
      </c>
      <c r="B2687" s="354">
        <v>0</v>
      </c>
      <c r="C2687" s="354">
        <v>0</v>
      </c>
      <c r="D2687" s="354">
        <v>1</v>
      </c>
      <c r="E2687" s="354">
        <v>0</v>
      </c>
      <c r="F2687" s="354">
        <v>1</v>
      </c>
      <c r="G2687" s="354">
        <v>0</v>
      </c>
      <c r="H2687" s="354">
        <v>1</v>
      </c>
      <c r="I2687" s="354">
        <v>1</v>
      </c>
      <c r="J2687" s="354">
        <v>1</v>
      </c>
      <c r="K2687" s="354">
        <v>0</v>
      </c>
      <c r="L2687" s="354">
        <v>0</v>
      </c>
      <c r="M2687" s="355">
        <v>1</v>
      </c>
      <c r="N2687" s="355">
        <v>4</v>
      </c>
    </row>
    <row r="2688" spans="1:14" hidden="1" x14ac:dyDescent="0.25">
      <c r="A2688" s="354">
        <v>1</v>
      </c>
      <c r="B2688" s="354">
        <v>0</v>
      </c>
      <c r="C2688" s="354">
        <v>2</v>
      </c>
      <c r="D2688" s="354">
        <v>1</v>
      </c>
      <c r="E2688" s="354">
        <v>1</v>
      </c>
      <c r="F2688" s="354">
        <v>1</v>
      </c>
      <c r="G2688" s="354">
        <v>0</v>
      </c>
      <c r="H2688" s="354">
        <v>2</v>
      </c>
      <c r="I2688" s="354">
        <v>3</v>
      </c>
      <c r="J2688" s="354">
        <v>9</v>
      </c>
      <c r="K2688" s="354">
        <v>0</v>
      </c>
      <c r="L2688" s="354">
        <v>0</v>
      </c>
      <c r="M2688" s="355">
        <v>7</v>
      </c>
      <c r="N2688" s="355">
        <v>13</v>
      </c>
    </row>
    <row r="2689" spans="1:14" hidden="1" x14ac:dyDescent="0.25">
      <c r="A2689" s="354">
        <v>0</v>
      </c>
      <c r="B2689" s="354">
        <v>2</v>
      </c>
      <c r="C2689" s="354">
        <v>0</v>
      </c>
      <c r="D2689" s="354">
        <v>2</v>
      </c>
      <c r="E2689" s="354">
        <v>4</v>
      </c>
      <c r="F2689" s="354">
        <v>1</v>
      </c>
      <c r="G2689" s="354">
        <v>2</v>
      </c>
      <c r="H2689" s="354">
        <v>0</v>
      </c>
      <c r="I2689" s="354">
        <v>2</v>
      </c>
      <c r="J2689" s="354">
        <v>2</v>
      </c>
      <c r="K2689" s="354">
        <v>1</v>
      </c>
      <c r="L2689" s="354">
        <v>0</v>
      </c>
      <c r="M2689" s="355">
        <v>9</v>
      </c>
      <c r="N2689" s="355">
        <v>7</v>
      </c>
    </row>
    <row r="2690" spans="1:14" hidden="1" x14ac:dyDescent="0.25">
      <c r="A2690" s="354">
        <v>0</v>
      </c>
      <c r="B2690" s="354">
        <v>0</v>
      </c>
      <c r="C2690" s="354">
        <v>0</v>
      </c>
      <c r="D2690" s="354">
        <v>1</v>
      </c>
      <c r="E2690" s="354">
        <v>1</v>
      </c>
      <c r="F2690" s="354">
        <v>1</v>
      </c>
      <c r="G2690" s="354">
        <v>0</v>
      </c>
      <c r="H2690" s="354">
        <v>0</v>
      </c>
      <c r="I2690" s="354">
        <v>1</v>
      </c>
      <c r="J2690" s="354">
        <v>1</v>
      </c>
      <c r="K2690" s="354">
        <v>0</v>
      </c>
      <c r="L2690" s="354">
        <v>0</v>
      </c>
      <c r="M2690" s="355">
        <v>2</v>
      </c>
      <c r="N2690" s="355">
        <v>3</v>
      </c>
    </row>
    <row r="2691" spans="1:14" hidden="1" x14ac:dyDescent="0.25">
      <c r="A2691" s="354">
        <v>1</v>
      </c>
      <c r="B2691" s="354">
        <v>0</v>
      </c>
      <c r="C2691" s="354">
        <v>0</v>
      </c>
      <c r="D2691" s="354">
        <v>1</v>
      </c>
      <c r="E2691" s="354">
        <v>1</v>
      </c>
      <c r="F2691" s="354">
        <v>1</v>
      </c>
      <c r="G2691" s="354">
        <v>1</v>
      </c>
      <c r="H2691" s="354">
        <v>1</v>
      </c>
      <c r="I2691" s="354">
        <v>1</v>
      </c>
      <c r="J2691" s="354">
        <v>1</v>
      </c>
      <c r="K2691" s="354">
        <v>1</v>
      </c>
      <c r="L2691" s="354">
        <v>1</v>
      </c>
      <c r="M2691" s="355">
        <v>5</v>
      </c>
      <c r="N2691" s="355">
        <v>5</v>
      </c>
    </row>
    <row r="2692" spans="1:14" hidden="1" x14ac:dyDescent="0.25">
      <c r="A2692" s="354">
        <v>0</v>
      </c>
      <c r="B2692" s="354">
        <v>0</v>
      </c>
      <c r="C2692" s="354">
        <v>0</v>
      </c>
      <c r="D2692" s="354">
        <v>2</v>
      </c>
      <c r="E2692" s="354">
        <v>0</v>
      </c>
      <c r="F2692" s="354">
        <v>2</v>
      </c>
      <c r="G2692" s="354">
        <v>1</v>
      </c>
      <c r="H2692" s="354">
        <v>0</v>
      </c>
      <c r="I2692" s="354">
        <v>1</v>
      </c>
      <c r="J2692" s="354">
        <v>1</v>
      </c>
      <c r="K2692" s="354">
        <v>0</v>
      </c>
      <c r="L2692" s="354">
        <v>0</v>
      </c>
      <c r="M2692" s="355">
        <v>2</v>
      </c>
      <c r="N2692" s="355">
        <v>5</v>
      </c>
    </row>
    <row r="2693" spans="1:14" hidden="1" x14ac:dyDescent="0.25">
      <c r="A2693" s="354">
        <v>0</v>
      </c>
      <c r="B2693" s="354">
        <v>2</v>
      </c>
      <c r="C2693" s="354">
        <v>3</v>
      </c>
      <c r="D2693" s="354">
        <v>1</v>
      </c>
      <c r="E2693" s="354">
        <v>3</v>
      </c>
      <c r="F2693" s="354">
        <v>0</v>
      </c>
      <c r="G2693" s="354">
        <v>4</v>
      </c>
      <c r="H2693" s="354">
        <v>0</v>
      </c>
      <c r="I2693" s="354">
        <v>1</v>
      </c>
      <c r="J2693" s="354">
        <v>1</v>
      </c>
      <c r="K2693" s="354">
        <v>0</v>
      </c>
      <c r="L2693" s="354">
        <v>0</v>
      </c>
      <c r="M2693" s="355">
        <v>11</v>
      </c>
      <c r="N2693" s="355">
        <v>4</v>
      </c>
    </row>
    <row r="2694" spans="1:14" hidden="1" x14ac:dyDescent="0.25">
      <c r="A2694" s="354">
        <v>0</v>
      </c>
      <c r="B2694" s="354">
        <v>1</v>
      </c>
      <c r="C2694" s="354">
        <v>1</v>
      </c>
      <c r="D2694" s="354">
        <v>1</v>
      </c>
      <c r="E2694" s="354">
        <v>1</v>
      </c>
      <c r="F2694" s="354">
        <v>1</v>
      </c>
      <c r="G2694" s="354">
        <v>0</v>
      </c>
      <c r="H2694" s="354">
        <v>0</v>
      </c>
      <c r="I2694" s="354">
        <v>1</v>
      </c>
      <c r="J2694" s="354">
        <v>2</v>
      </c>
      <c r="K2694" s="354">
        <v>0</v>
      </c>
      <c r="L2694" s="354">
        <v>0</v>
      </c>
      <c r="M2694" s="355">
        <v>3</v>
      </c>
      <c r="N2694" s="355">
        <v>5</v>
      </c>
    </row>
    <row r="2695" spans="1:14" hidden="1" x14ac:dyDescent="0.25">
      <c r="A2695" s="354">
        <v>1</v>
      </c>
      <c r="B2695" s="354">
        <v>0</v>
      </c>
      <c r="C2695" s="354">
        <v>2</v>
      </c>
      <c r="D2695" s="354">
        <v>2</v>
      </c>
      <c r="E2695" s="354">
        <v>0</v>
      </c>
      <c r="F2695" s="354">
        <v>0</v>
      </c>
      <c r="G2695" s="354">
        <v>0</v>
      </c>
      <c r="H2695" s="354">
        <v>0</v>
      </c>
      <c r="I2695" s="354">
        <v>1</v>
      </c>
      <c r="J2695" s="354">
        <v>2</v>
      </c>
      <c r="K2695" s="354">
        <v>0</v>
      </c>
      <c r="L2695" s="354">
        <v>0</v>
      </c>
      <c r="M2695" s="355">
        <v>4</v>
      </c>
      <c r="N2695" s="355">
        <v>4</v>
      </c>
    </row>
    <row r="2696" spans="1:14" hidden="1" x14ac:dyDescent="0.25">
      <c r="A2696" s="354">
        <v>0</v>
      </c>
      <c r="B2696" s="354">
        <v>0</v>
      </c>
      <c r="C2696" s="354">
        <v>0</v>
      </c>
      <c r="D2696" s="354">
        <v>1</v>
      </c>
      <c r="E2696" s="354">
        <v>1</v>
      </c>
      <c r="F2696" s="354">
        <v>1</v>
      </c>
      <c r="G2696" s="354">
        <v>1</v>
      </c>
      <c r="H2696" s="354">
        <v>1</v>
      </c>
      <c r="I2696" s="354">
        <v>1</v>
      </c>
      <c r="J2696" s="354">
        <v>1</v>
      </c>
      <c r="K2696" s="354">
        <v>1</v>
      </c>
      <c r="L2696" s="354">
        <v>1</v>
      </c>
      <c r="M2696" s="355">
        <v>4</v>
      </c>
      <c r="N2696" s="355">
        <v>5</v>
      </c>
    </row>
    <row r="2697" spans="1:14" hidden="1" x14ac:dyDescent="0.25">
      <c r="A2697" s="354">
        <v>0</v>
      </c>
      <c r="B2697" s="354">
        <v>2</v>
      </c>
      <c r="C2697" s="354">
        <v>2</v>
      </c>
      <c r="D2697" s="354">
        <v>1</v>
      </c>
      <c r="E2697" s="354">
        <v>1</v>
      </c>
      <c r="F2697" s="354">
        <v>2</v>
      </c>
      <c r="G2697" s="354">
        <v>0</v>
      </c>
      <c r="H2697" s="354">
        <v>0</v>
      </c>
      <c r="I2697" s="354">
        <v>1</v>
      </c>
      <c r="J2697" s="354">
        <v>2</v>
      </c>
      <c r="K2697" s="354">
        <v>0</v>
      </c>
      <c r="L2697" s="354">
        <v>0</v>
      </c>
      <c r="M2697" s="355">
        <v>4</v>
      </c>
      <c r="N2697" s="355">
        <v>7</v>
      </c>
    </row>
    <row r="2698" spans="1:14" hidden="1" x14ac:dyDescent="0.25">
      <c r="A2698" s="354">
        <v>1</v>
      </c>
      <c r="B2698" s="354">
        <v>0</v>
      </c>
      <c r="C2698" s="354">
        <v>2</v>
      </c>
      <c r="D2698" s="354">
        <v>1</v>
      </c>
      <c r="E2698" s="354">
        <v>1</v>
      </c>
      <c r="F2698" s="354">
        <v>0</v>
      </c>
      <c r="G2698" s="354">
        <v>2</v>
      </c>
      <c r="H2698" s="354">
        <v>0</v>
      </c>
      <c r="I2698" s="354">
        <v>1</v>
      </c>
      <c r="J2698" s="354">
        <v>1</v>
      </c>
      <c r="K2698" s="354">
        <v>0</v>
      </c>
      <c r="L2698" s="354">
        <v>0</v>
      </c>
      <c r="M2698" s="355">
        <v>7</v>
      </c>
      <c r="N2698" s="355">
        <v>2</v>
      </c>
    </row>
    <row r="2699" spans="1:14" hidden="1" x14ac:dyDescent="0.25">
      <c r="A2699" s="354">
        <v>1</v>
      </c>
      <c r="B2699" s="354">
        <v>0</v>
      </c>
      <c r="C2699" s="354">
        <v>1</v>
      </c>
      <c r="D2699" s="354">
        <v>0</v>
      </c>
      <c r="E2699" s="354">
        <v>1</v>
      </c>
      <c r="F2699" s="354">
        <v>0</v>
      </c>
      <c r="G2699" s="354">
        <v>1</v>
      </c>
      <c r="H2699" s="354">
        <v>0</v>
      </c>
      <c r="I2699" s="354">
        <v>0</v>
      </c>
      <c r="J2699" s="354">
        <v>1</v>
      </c>
      <c r="K2699" s="354">
        <v>0</v>
      </c>
      <c r="L2699" s="354">
        <v>0</v>
      </c>
      <c r="M2699" s="355">
        <v>4</v>
      </c>
      <c r="N2699" s="355">
        <v>1</v>
      </c>
    </row>
    <row r="2700" spans="1:14" hidden="1" x14ac:dyDescent="0.25">
      <c r="A2700" s="354">
        <v>0</v>
      </c>
      <c r="B2700" s="354">
        <v>1</v>
      </c>
      <c r="C2700" s="354">
        <v>1</v>
      </c>
      <c r="D2700" s="354">
        <v>1</v>
      </c>
      <c r="E2700" s="354">
        <v>0</v>
      </c>
      <c r="F2700" s="354">
        <v>1</v>
      </c>
      <c r="G2700" s="354">
        <v>0</v>
      </c>
      <c r="H2700" s="354">
        <v>0</v>
      </c>
      <c r="I2700" s="354">
        <v>0</v>
      </c>
      <c r="J2700" s="354">
        <v>1</v>
      </c>
      <c r="K2700" s="354">
        <v>0</v>
      </c>
      <c r="L2700" s="354">
        <v>0</v>
      </c>
      <c r="M2700" s="355">
        <v>1</v>
      </c>
      <c r="N2700" s="355">
        <v>4</v>
      </c>
    </row>
    <row r="2701" spans="1:14" hidden="1" x14ac:dyDescent="0.25">
      <c r="A2701" s="354">
        <v>0</v>
      </c>
      <c r="B2701" s="354">
        <v>1</v>
      </c>
      <c r="C2701" s="354">
        <v>0</v>
      </c>
      <c r="D2701" s="354">
        <v>2</v>
      </c>
      <c r="E2701" s="354">
        <v>1</v>
      </c>
      <c r="F2701" s="354">
        <v>1</v>
      </c>
      <c r="G2701" s="354">
        <v>0</v>
      </c>
      <c r="H2701" s="354">
        <v>0</v>
      </c>
      <c r="I2701" s="354">
        <v>0</v>
      </c>
      <c r="J2701" s="354">
        <v>1</v>
      </c>
      <c r="K2701" s="354">
        <v>0</v>
      </c>
      <c r="L2701" s="354">
        <v>0</v>
      </c>
      <c r="M2701" s="355">
        <v>1</v>
      </c>
      <c r="N2701" s="355">
        <v>5</v>
      </c>
    </row>
    <row r="2702" spans="1:14" hidden="1" x14ac:dyDescent="0.25">
      <c r="A2702" s="354">
        <v>0</v>
      </c>
      <c r="B2702" s="354">
        <v>2</v>
      </c>
      <c r="C2702" s="354">
        <v>0</v>
      </c>
      <c r="D2702" s="354">
        <v>1</v>
      </c>
      <c r="E2702" s="354">
        <v>0</v>
      </c>
      <c r="F2702" s="354">
        <v>4</v>
      </c>
      <c r="G2702" s="354">
        <v>0</v>
      </c>
      <c r="H2702" s="354">
        <v>3</v>
      </c>
      <c r="I2702" s="354">
        <v>1</v>
      </c>
      <c r="J2702" s="354">
        <v>2</v>
      </c>
      <c r="K2702" s="354">
        <v>1</v>
      </c>
      <c r="L2702" s="354">
        <v>0</v>
      </c>
      <c r="M2702" s="355">
        <v>2</v>
      </c>
      <c r="N2702" s="355">
        <v>12</v>
      </c>
    </row>
    <row r="2703" spans="1:14" hidden="1" x14ac:dyDescent="0.25">
      <c r="A2703" s="354">
        <v>0</v>
      </c>
      <c r="B2703" s="354">
        <v>0</v>
      </c>
      <c r="C2703" s="354">
        <v>1</v>
      </c>
      <c r="D2703" s="354">
        <v>1</v>
      </c>
      <c r="E2703" s="354">
        <v>2</v>
      </c>
      <c r="F2703" s="354">
        <v>0</v>
      </c>
      <c r="G2703" s="354">
        <v>1</v>
      </c>
      <c r="H2703" s="354">
        <v>0</v>
      </c>
      <c r="I2703" s="354">
        <v>1</v>
      </c>
      <c r="J2703" s="354">
        <v>1</v>
      </c>
      <c r="K2703" s="354">
        <v>0</v>
      </c>
      <c r="L2703" s="354">
        <v>0</v>
      </c>
      <c r="M2703" s="355">
        <v>5</v>
      </c>
      <c r="N2703" s="355">
        <v>2</v>
      </c>
    </row>
    <row r="2704" spans="1:14" hidden="1" x14ac:dyDescent="0.25">
      <c r="A2704" s="354">
        <v>1</v>
      </c>
      <c r="B2704" s="354">
        <v>1</v>
      </c>
      <c r="C2704" s="354">
        <v>1</v>
      </c>
      <c r="D2704" s="354">
        <v>1</v>
      </c>
      <c r="E2704" s="354">
        <v>1</v>
      </c>
      <c r="F2704" s="354">
        <v>1</v>
      </c>
      <c r="G2704" s="354">
        <v>1</v>
      </c>
      <c r="H2704" s="354">
        <v>1</v>
      </c>
      <c r="I2704" s="354">
        <v>1</v>
      </c>
      <c r="J2704" s="354">
        <v>1</v>
      </c>
      <c r="K2704" s="354">
        <v>1</v>
      </c>
      <c r="L2704" s="354">
        <v>1</v>
      </c>
      <c r="M2704" s="355">
        <v>6</v>
      </c>
      <c r="N2704" s="355">
        <v>6</v>
      </c>
    </row>
    <row r="2705" spans="1:14" hidden="1" x14ac:dyDescent="0.25">
      <c r="A2705" s="354">
        <v>0</v>
      </c>
      <c r="B2705" s="354">
        <v>0</v>
      </c>
      <c r="C2705" s="354">
        <v>0</v>
      </c>
      <c r="D2705" s="354">
        <v>0</v>
      </c>
      <c r="E2705" s="354">
        <v>1</v>
      </c>
      <c r="F2705" s="354">
        <v>1</v>
      </c>
      <c r="G2705" s="354">
        <v>0</v>
      </c>
      <c r="H2705" s="354">
        <v>1</v>
      </c>
      <c r="I2705" s="354">
        <v>2</v>
      </c>
      <c r="J2705" s="354">
        <v>1</v>
      </c>
      <c r="K2705" s="354">
        <v>0</v>
      </c>
      <c r="L2705" s="354">
        <v>0</v>
      </c>
      <c r="M2705" s="355">
        <v>3</v>
      </c>
      <c r="N2705" s="355">
        <v>3</v>
      </c>
    </row>
    <row r="2706" spans="1:14" hidden="1" x14ac:dyDescent="0.25">
      <c r="A2706" s="354">
        <v>0</v>
      </c>
      <c r="B2706" s="354">
        <v>1</v>
      </c>
      <c r="C2706" s="354">
        <v>0</v>
      </c>
      <c r="D2706" s="354">
        <v>0</v>
      </c>
      <c r="E2706" s="354">
        <v>0</v>
      </c>
      <c r="F2706" s="354">
        <v>0</v>
      </c>
      <c r="G2706" s="354">
        <v>1</v>
      </c>
      <c r="H2706" s="354">
        <v>1</v>
      </c>
      <c r="I2706" s="354">
        <v>1</v>
      </c>
      <c r="J2706" s="354">
        <v>1</v>
      </c>
      <c r="K2706" s="354">
        <v>0</v>
      </c>
      <c r="L2706" s="354">
        <v>0</v>
      </c>
      <c r="M2706" s="355">
        <v>2</v>
      </c>
      <c r="N2706" s="355">
        <v>3</v>
      </c>
    </row>
    <row r="2707" spans="1:14" hidden="1" x14ac:dyDescent="0.25">
      <c r="A2707" s="354">
        <v>0</v>
      </c>
      <c r="B2707" s="354">
        <v>0</v>
      </c>
      <c r="C2707" s="354">
        <v>1</v>
      </c>
      <c r="D2707" s="354">
        <v>1</v>
      </c>
      <c r="E2707" s="354">
        <v>0</v>
      </c>
      <c r="F2707" s="354">
        <v>1</v>
      </c>
      <c r="G2707" s="354">
        <v>1</v>
      </c>
      <c r="H2707" s="354">
        <v>1</v>
      </c>
      <c r="I2707" s="354">
        <v>1</v>
      </c>
      <c r="J2707" s="354">
        <v>1</v>
      </c>
      <c r="K2707" s="354">
        <v>0</v>
      </c>
      <c r="L2707" s="354">
        <v>0</v>
      </c>
      <c r="M2707" s="355">
        <v>3</v>
      </c>
      <c r="N2707" s="355">
        <v>4</v>
      </c>
    </row>
    <row r="2708" spans="1:14" hidden="1" x14ac:dyDescent="0.25">
      <c r="A2708" s="354">
        <v>1</v>
      </c>
      <c r="B2708" s="354">
        <v>1</v>
      </c>
      <c r="C2708" s="354">
        <v>1</v>
      </c>
      <c r="D2708" s="354">
        <v>1</v>
      </c>
      <c r="E2708" s="354">
        <v>0</v>
      </c>
      <c r="F2708" s="354">
        <v>1</v>
      </c>
      <c r="G2708" s="354">
        <v>1</v>
      </c>
      <c r="H2708" s="354">
        <v>1</v>
      </c>
      <c r="I2708" s="354">
        <v>1</v>
      </c>
      <c r="J2708" s="354">
        <v>1</v>
      </c>
      <c r="K2708" s="354">
        <v>1</v>
      </c>
      <c r="L2708" s="354">
        <v>0</v>
      </c>
      <c r="M2708" s="355">
        <v>5</v>
      </c>
      <c r="N2708" s="355">
        <v>5</v>
      </c>
    </row>
    <row r="2709" spans="1:14" hidden="1" x14ac:dyDescent="0.25">
      <c r="A2709" s="354">
        <v>1</v>
      </c>
      <c r="B2709" s="354">
        <v>0</v>
      </c>
      <c r="C2709" s="354">
        <v>1</v>
      </c>
      <c r="D2709" s="354">
        <v>1</v>
      </c>
      <c r="E2709" s="354">
        <v>0</v>
      </c>
      <c r="F2709" s="354">
        <v>1</v>
      </c>
      <c r="G2709" s="354">
        <v>0</v>
      </c>
      <c r="H2709" s="354">
        <v>1</v>
      </c>
      <c r="I2709" s="354">
        <v>1</v>
      </c>
      <c r="J2709" s="354">
        <v>1</v>
      </c>
      <c r="K2709" s="354">
        <v>0</v>
      </c>
      <c r="L2709" s="354">
        <v>0</v>
      </c>
      <c r="M2709" s="355">
        <v>3</v>
      </c>
      <c r="N2709" s="355">
        <v>4</v>
      </c>
    </row>
    <row r="2710" spans="1:14" hidden="1" x14ac:dyDescent="0.25">
      <c r="A2710" s="354">
        <v>1</v>
      </c>
      <c r="B2710" s="354">
        <v>0</v>
      </c>
      <c r="C2710" s="354">
        <v>1</v>
      </c>
      <c r="D2710" s="354">
        <v>1</v>
      </c>
      <c r="E2710" s="354">
        <v>1</v>
      </c>
      <c r="F2710" s="354">
        <v>1</v>
      </c>
      <c r="G2710" s="354">
        <v>1</v>
      </c>
      <c r="H2710" s="354">
        <v>1</v>
      </c>
      <c r="I2710" s="354">
        <v>1</v>
      </c>
      <c r="J2710" s="354">
        <v>1</v>
      </c>
      <c r="K2710" s="354">
        <v>0</v>
      </c>
      <c r="L2710" s="354">
        <v>0</v>
      </c>
      <c r="M2710" s="355">
        <v>5</v>
      </c>
      <c r="N2710" s="355">
        <v>4</v>
      </c>
    </row>
    <row r="2711" spans="1:14" hidden="1" x14ac:dyDescent="0.25">
      <c r="A2711" s="354">
        <v>0</v>
      </c>
      <c r="B2711" s="354">
        <v>0</v>
      </c>
      <c r="C2711" s="354">
        <v>1</v>
      </c>
      <c r="D2711" s="354">
        <v>1</v>
      </c>
      <c r="E2711" s="354">
        <v>1</v>
      </c>
      <c r="F2711" s="354">
        <v>1</v>
      </c>
      <c r="G2711" s="354">
        <v>1</v>
      </c>
      <c r="H2711" s="354">
        <v>0</v>
      </c>
      <c r="I2711" s="354">
        <v>2</v>
      </c>
      <c r="J2711" s="354">
        <v>2</v>
      </c>
      <c r="K2711" s="354">
        <v>0</v>
      </c>
      <c r="L2711" s="354">
        <v>0</v>
      </c>
      <c r="M2711" s="355">
        <v>5</v>
      </c>
      <c r="N2711" s="355">
        <v>4</v>
      </c>
    </row>
    <row r="2712" spans="1:14" hidden="1" x14ac:dyDescent="0.25">
      <c r="A2712" s="354">
        <v>0</v>
      </c>
      <c r="B2712" s="354">
        <v>2</v>
      </c>
      <c r="C2712" s="354">
        <v>1</v>
      </c>
      <c r="D2712" s="354">
        <v>1</v>
      </c>
      <c r="E2712" s="354">
        <v>2</v>
      </c>
      <c r="F2712" s="354">
        <v>3</v>
      </c>
      <c r="G2712" s="354">
        <v>1</v>
      </c>
      <c r="H2712" s="354">
        <v>1</v>
      </c>
      <c r="I2712" s="354">
        <v>0</v>
      </c>
      <c r="J2712" s="354">
        <v>2</v>
      </c>
      <c r="K2712" s="354">
        <v>1</v>
      </c>
      <c r="L2712" s="354">
        <v>1</v>
      </c>
      <c r="M2712" s="355">
        <v>5</v>
      </c>
      <c r="N2712" s="355">
        <v>10</v>
      </c>
    </row>
    <row r="2713" spans="1:14" hidden="1" x14ac:dyDescent="0.25">
      <c r="A2713" s="354">
        <v>1</v>
      </c>
      <c r="B2713" s="354">
        <v>1</v>
      </c>
      <c r="C2713" s="354">
        <v>1</v>
      </c>
      <c r="D2713" s="354">
        <v>1</v>
      </c>
      <c r="E2713" s="354">
        <v>1</v>
      </c>
      <c r="F2713" s="354">
        <v>1</v>
      </c>
      <c r="G2713" s="354">
        <v>1</v>
      </c>
      <c r="H2713" s="354">
        <v>1</v>
      </c>
      <c r="I2713" s="354">
        <v>2</v>
      </c>
      <c r="J2713" s="354">
        <v>2</v>
      </c>
      <c r="K2713" s="354"/>
      <c r="L2713" s="354">
        <v>0</v>
      </c>
      <c r="M2713" s="355">
        <v>6</v>
      </c>
      <c r="N2713" s="355">
        <v>6</v>
      </c>
    </row>
    <row r="2714" spans="1:14" hidden="1" x14ac:dyDescent="0.25">
      <c r="A2714" s="354">
        <v>0</v>
      </c>
      <c r="B2714" s="354">
        <v>0</v>
      </c>
      <c r="C2714" s="354">
        <v>1</v>
      </c>
      <c r="D2714" s="354">
        <v>0</v>
      </c>
      <c r="E2714" s="354">
        <v>0</v>
      </c>
      <c r="F2714" s="354">
        <v>2</v>
      </c>
      <c r="G2714" s="354">
        <v>1</v>
      </c>
      <c r="H2714" s="354">
        <v>0</v>
      </c>
      <c r="I2714" s="354">
        <v>2</v>
      </c>
      <c r="J2714" s="354">
        <v>1</v>
      </c>
      <c r="K2714" s="354">
        <v>0</v>
      </c>
      <c r="L2714" s="354">
        <v>0</v>
      </c>
      <c r="M2714" s="355">
        <v>4</v>
      </c>
      <c r="N2714" s="355">
        <v>3</v>
      </c>
    </row>
    <row r="2715" spans="1:14" hidden="1" x14ac:dyDescent="0.25">
      <c r="A2715" s="354">
        <v>1</v>
      </c>
      <c r="B2715" s="354">
        <v>1</v>
      </c>
      <c r="C2715" s="354">
        <v>1</v>
      </c>
      <c r="D2715" s="354">
        <v>1</v>
      </c>
      <c r="E2715" s="354">
        <v>1</v>
      </c>
      <c r="F2715" s="354">
        <v>1</v>
      </c>
      <c r="G2715" s="354">
        <v>1</v>
      </c>
      <c r="H2715" s="354">
        <v>1</v>
      </c>
      <c r="I2715" s="354">
        <v>1</v>
      </c>
      <c r="J2715" s="354">
        <v>2</v>
      </c>
      <c r="K2715" s="354">
        <v>0</v>
      </c>
      <c r="L2715" s="354">
        <v>1</v>
      </c>
      <c r="M2715" s="355">
        <v>5</v>
      </c>
      <c r="N2715" s="355">
        <v>7</v>
      </c>
    </row>
    <row r="2716" spans="1:14" hidden="1" x14ac:dyDescent="0.25">
      <c r="A2716" s="354">
        <v>0</v>
      </c>
      <c r="B2716" s="354">
        <v>0</v>
      </c>
      <c r="C2716" s="354">
        <v>0</v>
      </c>
      <c r="D2716" s="354">
        <v>0</v>
      </c>
      <c r="E2716" s="354">
        <v>2</v>
      </c>
      <c r="F2716" s="354">
        <v>1</v>
      </c>
      <c r="G2716" s="354">
        <v>1</v>
      </c>
      <c r="H2716" s="354">
        <v>0</v>
      </c>
      <c r="I2716" s="354">
        <v>3</v>
      </c>
      <c r="J2716" s="354">
        <v>2</v>
      </c>
      <c r="K2716" s="354">
        <v>0</v>
      </c>
      <c r="L2716" s="354">
        <v>0</v>
      </c>
      <c r="M2716" s="355">
        <v>6</v>
      </c>
      <c r="N2716" s="355">
        <v>3</v>
      </c>
    </row>
    <row r="2717" spans="1:14" hidden="1" x14ac:dyDescent="0.25">
      <c r="A2717" s="354">
        <v>0</v>
      </c>
      <c r="B2717" s="354">
        <v>0</v>
      </c>
      <c r="C2717" s="354">
        <v>0</v>
      </c>
      <c r="D2717" s="354">
        <v>0</v>
      </c>
      <c r="E2717" s="354">
        <v>1</v>
      </c>
      <c r="F2717" s="354">
        <v>2</v>
      </c>
      <c r="G2717" s="354">
        <v>1</v>
      </c>
      <c r="H2717" s="354">
        <v>2</v>
      </c>
      <c r="I2717" s="354">
        <v>1</v>
      </c>
      <c r="J2717" s="354">
        <v>1</v>
      </c>
      <c r="K2717" s="354">
        <v>0</v>
      </c>
      <c r="L2717" s="354">
        <v>0</v>
      </c>
      <c r="M2717" s="355">
        <v>3</v>
      </c>
      <c r="N2717" s="355">
        <v>5</v>
      </c>
    </row>
    <row r="2718" spans="1:14" hidden="1" x14ac:dyDescent="0.25">
      <c r="A2718" s="354">
        <v>0</v>
      </c>
      <c r="B2718" s="354">
        <v>0</v>
      </c>
      <c r="C2718" s="354">
        <v>0</v>
      </c>
      <c r="D2718" s="354">
        <v>1</v>
      </c>
      <c r="E2718" s="354">
        <v>0</v>
      </c>
      <c r="F2718" s="354">
        <v>0</v>
      </c>
      <c r="G2718" s="354">
        <v>1</v>
      </c>
      <c r="H2718" s="354">
        <v>0</v>
      </c>
      <c r="I2718" s="354">
        <v>2</v>
      </c>
      <c r="J2718" s="354">
        <v>2</v>
      </c>
      <c r="K2718" s="354">
        <v>0</v>
      </c>
      <c r="L2718" s="354">
        <v>0</v>
      </c>
      <c r="M2718" s="355">
        <v>3</v>
      </c>
      <c r="N2718" s="355">
        <v>3</v>
      </c>
    </row>
    <row r="2719" spans="1:14" hidden="1" x14ac:dyDescent="0.25">
      <c r="A2719" s="354">
        <v>1</v>
      </c>
      <c r="B2719" s="354">
        <v>0</v>
      </c>
      <c r="C2719" s="354">
        <v>1</v>
      </c>
      <c r="D2719" s="354">
        <v>2</v>
      </c>
      <c r="E2719" s="354">
        <v>1</v>
      </c>
      <c r="F2719" s="354">
        <v>2</v>
      </c>
      <c r="G2719" s="354">
        <v>0</v>
      </c>
      <c r="H2719" s="354">
        <v>1</v>
      </c>
      <c r="I2719" s="354">
        <v>1</v>
      </c>
      <c r="J2719" s="354">
        <v>2</v>
      </c>
      <c r="K2719" s="354">
        <v>0</v>
      </c>
      <c r="L2719" s="354">
        <v>0</v>
      </c>
      <c r="M2719" s="355">
        <v>4</v>
      </c>
      <c r="N2719" s="355">
        <v>7</v>
      </c>
    </row>
    <row r="2720" spans="1:14" hidden="1" x14ac:dyDescent="0.25">
      <c r="A2720" s="354">
        <v>0</v>
      </c>
      <c r="B2720" s="354">
        <v>0</v>
      </c>
      <c r="C2720" s="354">
        <v>0</v>
      </c>
      <c r="D2720" s="354">
        <v>0</v>
      </c>
      <c r="E2720" s="354">
        <v>0</v>
      </c>
      <c r="F2720" s="354">
        <v>0</v>
      </c>
      <c r="G2720" s="354">
        <v>0</v>
      </c>
      <c r="H2720" s="354">
        <v>0</v>
      </c>
      <c r="I2720" s="354">
        <v>1</v>
      </c>
      <c r="J2720" s="354">
        <v>1</v>
      </c>
      <c r="K2720" s="354">
        <v>0</v>
      </c>
      <c r="L2720" s="354">
        <v>0</v>
      </c>
      <c r="M2720" s="355">
        <v>1</v>
      </c>
      <c r="N2720" s="355">
        <v>1</v>
      </c>
    </row>
    <row r="2721" spans="1:14" hidden="1" x14ac:dyDescent="0.25">
      <c r="A2721" s="354">
        <v>2</v>
      </c>
      <c r="B2721" s="354">
        <v>0</v>
      </c>
      <c r="C2721" s="354">
        <v>1</v>
      </c>
      <c r="D2721" s="354">
        <v>2</v>
      </c>
      <c r="E2721" s="354">
        <v>1</v>
      </c>
      <c r="F2721" s="354">
        <v>2</v>
      </c>
      <c r="G2721" s="354">
        <v>1</v>
      </c>
      <c r="H2721" s="354">
        <v>0</v>
      </c>
      <c r="I2721" s="354">
        <v>1</v>
      </c>
      <c r="J2721" s="354">
        <v>2</v>
      </c>
      <c r="K2721" s="354">
        <v>1</v>
      </c>
      <c r="L2721" s="354">
        <v>0</v>
      </c>
      <c r="M2721" s="355">
        <v>7</v>
      </c>
      <c r="N2721" s="355">
        <v>6</v>
      </c>
    </row>
    <row r="2722" spans="1:14" hidden="1" x14ac:dyDescent="0.25">
      <c r="A2722" s="354">
        <v>1</v>
      </c>
      <c r="B2722" s="354">
        <v>0</v>
      </c>
      <c r="C2722" s="354">
        <v>1</v>
      </c>
      <c r="D2722" s="354">
        <v>0</v>
      </c>
      <c r="E2722" s="354">
        <v>1</v>
      </c>
      <c r="F2722" s="354">
        <v>1</v>
      </c>
      <c r="G2722" s="354">
        <v>1</v>
      </c>
      <c r="H2722" s="354">
        <v>1</v>
      </c>
      <c r="I2722" s="354">
        <v>1</v>
      </c>
      <c r="J2722" s="354">
        <v>1</v>
      </c>
      <c r="K2722" s="354">
        <v>0</v>
      </c>
      <c r="L2722" s="354">
        <v>0</v>
      </c>
      <c r="M2722" s="355">
        <v>5</v>
      </c>
      <c r="N2722" s="355">
        <v>3</v>
      </c>
    </row>
    <row r="2723" spans="1:14" hidden="1" x14ac:dyDescent="0.25">
      <c r="A2723" s="354">
        <v>0</v>
      </c>
      <c r="B2723" s="354">
        <v>0</v>
      </c>
      <c r="C2723" s="354">
        <v>1</v>
      </c>
      <c r="D2723" s="354">
        <v>1</v>
      </c>
      <c r="E2723" s="354">
        <v>1</v>
      </c>
      <c r="F2723" s="354">
        <v>1</v>
      </c>
      <c r="G2723" s="354">
        <v>0</v>
      </c>
      <c r="H2723" s="354">
        <v>0</v>
      </c>
      <c r="I2723" s="354">
        <v>1</v>
      </c>
      <c r="J2723" s="354">
        <v>1</v>
      </c>
      <c r="K2723" s="354">
        <v>0</v>
      </c>
      <c r="L2723" s="354">
        <v>0</v>
      </c>
      <c r="M2723" s="355">
        <v>3</v>
      </c>
      <c r="N2723" s="355">
        <v>3</v>
      </c>
    </row>
    <row r="2724" spans="1:14" hidden="1" x14ac:dyDescent="0.25">
      <c r="A2724" s="354">
        <v>0</v>
      </c>
      <c r="B2724" s="354">
        <v>1</v>
      </c>
      <c r="C2724" s="354">
        <v>1</v>
      </c>
      <c r="D2724" s="354">
        <v>0</v>
      </c>
      <c r="E2724" s="354"/>
      <c r="F2724" s="354">
        <v>1</v>
      </c>
      <c r="G2724" s="354">
        <v>0</v>
      </c>
      <c r="H2724" s="354">
        <v>1</v>
      </c>
      <c r="I2724" s="354">
        <v>1</v>
      </c>
      <c r="J2724" s="354">
        <v>1</v>
      </c>
      <c r="K2724" s="354">
        <v>0</v>
      </c>
      <c r="L2724" s="354">
        <v>0</v>
      </c>
      <c r="M2724" s="355">
        <v>2</v>
      </c>
      <c r="N2724" s="355">
        <v>4</v>
      </c>
    </row>
    <row r="2725" spans="1:14" hidden="1" x14ac:dyDescent="0.25">
      <c r="A2725" s="354">
        <v>0</v>
      </c>
      <c r="B2725" s="354">
        <v>0</v>
      </c>
      <c r="C2725" s="354">
        <v>0</v>
      </c>
      <c r="D2725" s="354">
        <v>1</v>
      </c>
      <c r="E2725" s="354">
        <v>2</v>
      </c>
      <c r="F2725" s="354">
        <v>0</v>
      </c>
      <c r="G2725" s="354">
        <v>0</v>
      </c>
      <c r="H2725" s="354">
        <v>1</v>
      </c>
      <c r="I2725" s="354">
        <v>1</v>
      </c>
      <c r="J2725" s="354">
        <v>2</v>
      </c>
      <c r="K2725" s="354">
        <v>0</v>
      </c>
      <c r="L2725" s="354">
        <v>0</v>
      </c>
      <c r="M2725" s="355">
        <v>3</v>
      </c>
      <c r="N2725" s="355">
        <v>4</v>
      </c>
    </row>
    <row r="2726" spans="1:14" hidden="1" x14ac:dyDescent="0.25">
      <c r="A2726" s="354">
        <v>0</v>
      </c>
      <c r="B2726" s="354">
        <v>0</v>
      </c>
      <c r="C2726" s="354">
        <v>0</v>
      </c>
      <c r="D2726" s="354">
        <v>1</v>
      </c>
      <c r="E2726" s="354">
        <v>1</v>
      </c>
      <c r="F2726" s="354">
        <v>1</v>
      </c>
      <c r="G2726" s="354">
        <v>1</v>
      </c>
      <c r="H2726" s="354">
        <v>2</v>
      </c>
      <c r="I2726" s="354">
        <v>1</v>
      </c>
      <c r="J2726" s="354">
        <v>1</v>
      </c>
      <c r="K2726" s="354">
        <v>0</v>
      </c>
      <c r="L2726" s="354">
        <v>0</v>
      </c>
      <c r="M2726" s="355">
        <v>3</v>
      </c>
      <c r="N2726" s="355">
        <v>5</v>
      </c>
    </row>
    <row r="2727" spans="1:14" hidden="1" x14ac:dyDescent="0.25">
      <c r="A2727" s="354">
        <v>0</v>
      </c>
      <c r="B2727" s="354">
        <v>0</v>
      </c>
      <c r="C2727" s="354">
        <v>0</v>
      </c>
      <c r="D2727" s="354">
        <v>0</v>
      </c>
      <c r="E2727" s="354">
        <v>2</v>
      </c>
      <c r="F2727" s="354">
        <v>1</v>
      </c>
      <c r="G2727" s="354">
        <v>1</v>
      </c>
      <c r="H2727" s="354">
        <v>1</v>
      </c>
      <c r="I2727" s="354">
        <v>1</v>
      </c>
      <c r="J2727" s="354">
        <v>1</v>
      </c>
      <c r="K2727" s="354">
        <v>1</v>
      </c>
      <c r="L2727" s="354">
        <v>0</v>
      </c>
      <c r="M2727" s="355">
        <v>5</v>
      </c>
      <c r="N2727" s="355">
        <v>3</v>
      </c>
    </row>
    <row r="2728" spans="1:14" hidden="1" x14ac:dyDescent="0.25">
      <c r="A2728" s="354">
        <v>0</v>
      </c>
      <c r="B2728" s="354">
        <v>0</v>
      </c>
      <c r="C2728" s="354">
        <v>0</v>
      </c>
      <c r="D2728" s="354">
        <v>1</v>
      </c>
      <c r="E2728" s="354">
        <v>1</v>
      </c>
      <c r="F2728" s="354">
        <v>2</v>
      </c>
      <c r="G2728" s="354">
        <v>1</v>
      </c>
      <c r="H2728" s="354">
        <v>1</v>
      </c>
      <c r="I2728" s="354">
        <v>2</v>
      </c>
      <c r="J2728" s="354">
        <v>1</v>
      </c>
      <c r="K2728" s="354">
        <v>0</v>
      </c>
      <c r="L2728" s="354">
        <v>0</v>
      </c>
      <c r="M2728" s="355">
        <v>4</v>
      </c>
      <c r="N2728" s="355">
        <v>5</v>
      </c>
    </row>
    <row r="2729" spans="1:14" hidden="1" x14ac:dyDescent="0.25">
      <c r="A2729" s="354">
        <v>0</v>
      </c>
      <c r="B2729" s="354">
        <v>0</v>
      </c>
      <c r="C2729" s="354">
        <v>1</v>
      </c>
      <c r="D2729" s="354">
        <v>1</v>
      </c>
      <c r="E2729" s="354">
        <v>2</v>
      </c>
      <c r="F2729" s="354">
        <v>1</v>
      </c>
      <c r="G2729" s="354">
        <v>1</v>
      </c>
      <c r="H2729" s="354">
        <v>1</v>
      </c>
      <c r="I2729" s="354">
        <v>1</v>
      </c>
      <c r="J2729" s="354">
        <v>2</v>
      </c>
      <c r="K2729" s="354">
        <v>0</v>
      </c>
      <c r="L2729" s="354">
        <v>0</v>
      </c>
      <c r="M2729" s="355">
        <v>5</v>
      </c>
      <c r="N2729" s="355">
        <v>5</v>
      </c>
    </row>
    <row r="2730" spans="1:14" hidden="1" x14ac:dyDescent="0.25">
      <c r="A2730" s="354">
        <v>0</v>
      </c>
      <c r="B2730" s="354">
        <v>1</v>
      </c>
      <c r="C2730" s="354">
        <v>1</v>
      </c>
      <c r="D2730" s="354">
        <v>1</v>
      </c>
      <c r="E2730" s="354">
        <v>1</v>
      </c>
      <c r="F2730" s="354">
        <v>1</v>
      </c>
      <c r="G2730" s="354">
        <v>2</v>
      </c>
      <c r="H2730" s="354">
        <v>2</v>
      </c>
      <c r="I2730" s="354">
        <v>1</v>
      </c>
      <c r="J2730" s="354">
        <v>1</v>
      </c>
      <c r="K2730" s="354">
        <v>0</v>
      </c>
      <c r="L2730" s="354">
        <v>0</v>
      </c>
      <c r="M2730" s="355">
        <v>5</v>
      </c>
      <c r="N2730" s="355">
        <v>6</v>
      </c>
    </row>
    <row r="2731" spans="1:14" hidden="1" x14ac:dyDescent="0.25">
      <c r="A2731" s="354">
        <v>1</v>
      </c>
      <c r="B2731" s="354">
        <v>0</v>
      </c>
      <c r="C2731" s="354">
        <v>1</v>
      </c>
      <c r="D2731" s="354">
        <v>1</v>
      </c>
      <c r="E2731" s="354">
        <v>1</v>
      </c>
      <c r="F2731" s="354">
        <v>1</v>
      </c>
      <c r="G2731" s="354">
        <v>0</v>
      </c>
      <c r="H2731" s="354">
        <v>1</v>
      </c>
      <c r="I2731" s="354">
        <v>1</v>
      </c>
      <c r="J2731" s="354">
        <v>1</v>
      </c>
      <c r="K2731" s="354">
        <v>0</v>
      </c>
      <c r="L2731" s="354">
        <v>0</v>
      </c>
      <c r="M2731" s="355">
        <v>4</v>
      </c>
      <c r="N2731" s="355">
        <v>4</v>
      </c>
    </row>
    <row r="2732" spans="1:14" hidden="1" x14ac:dyDescent="0.25">
      <c r="A2732" s="354">
        <v>0</v>
      </c>
      <c r="B2732" s="354">
        <v>0</v>
      </c>
      <c r="C2732" s="354">
        <v>1</v>
      </c>
      <c r="D2732" s="354">
        <v>1</v>
      </c>
      <c r="E2732" s="354">
        <v>2</v>
      </c>
      <c r="F2732" s="354">
        <v>1</v>
      </c>
      <c r="G2732" s="354">
        <v>0</v>
      </c>
      <c r="H2732" s="354">
        <v>1</v>
      </c>
      <c r="I2732" s="354">
        <v>1</v>
      </c>
      <c r="J2732" s="354">
        <v>2</v>
      </c>
      <c r="K2732" s="354">
        <v>0</v>
      </c>
      <c r="L2732" s="354">
        <v>0</v>
      </c>
      <c r="M2732" s="355">
        <v>4</v>
      </c>
      <c r="N2732" s="355">
        <v>5</v>
      </c>
    </row>
    <row r="2733" spans="1:14" hidden="1" x14ac:dyDescent="0.25">
      <c r="A2733" s="354">
        <v>1</v>
      </c>
      <c r="B2733" s="354">
        <v>0</v>
      </c>
      <c r="C2733" s="354">
        <v>1</v>
      </c>
      <c r="D2733" s="354">
        <v>0</v>
      </c>
      <c r="E2733" s="354">
        <v>1</v>
      </c>
      <c r="F2733" s="354">
        <v>2</v>
      </c>
      <c r="G2733" s="354">
        <v>1</v>
      </c>
      <c r="H2733" s="354">
        <v>1</v>
      </c>
      <c r="I2733" s="354">
        <v>2</v>
      </c>
      <c r="J2733" s="354">
        <v>2</v>
      </c>
      <c r="K2733" s="354">
        <v>0</v>
      </c>
      <c r="L2733" s="354">
        <v>0</v>
      </c>
      <c r="M2733" s="355">
        <v>6</v>
      </c>
      <c r="N2733" s="355">
        <v>5</v>
      </c>
    </row>
    <row r="2734" spans="1:14" hidden="1" x14ac:dyDescent="0.25">
      <c r="A2734" s="354">
        <v>0</v>
      </c>
      <c r="B2734" s="354">
        <v>1</v>
      </c>
      <c r="C2734" s="354">
        <v>1</v>
      </c>
      <c r="D2734" s="354">
        <v>1</v>
      </c>
      <c r="E2734" s="354">
        <v>1</v>
      </c>
      <c r="F2734" s="354">
        <v>2</v>
      </c>
      <c r="G2734" s="354">
        <v>1</v>
      </c>
      <c r="H2734" s="354">
        <v>1</v>
      </c>
      <c r="I2734" s="354">
        <v>1</v>
      </c>
      <c r="J2734" s="354">
        <v>1</v>
      </c>
      <c r="K2734" s="354">
        <v>0</v>
      </c>
      <c r="L2734" s="354">
        <v>0</v>
      </c>
      <c r="M2734" s="355">
        <v>4</v>
      </c>
      <c r="N2734" s="355">
        <v>6</v>
      </c>
    </row>
    <row r="2735" spans="1:14" hidden="1" x14ac:dyDescent="0.25">
      <c r="A2735" s="354">
        <v>0</v>
      </c>
      <c r="B2735" s="354">
        <v>0</v>
      </c>
      <c r="C2735" s="354">
        <v>0</v>
      </c>
      <c r="D2735" s="354">
        <v>1</v>
      </c>
      <c r="E2735" s="354">
        <v>2</v>
      </c>
      <c r="F2735" s="354">
        <v>1</v>
      </c>
      <c r="G2735" s="354">
        <v>2</v>
      </c>
      <c r="H2735" s="354">
        <v>0</v>
      </c>
      <c r="I2735" s="354">
        <v>1</v>
      </c>
      <c r="J2735" s="354">
        <v>3</v>
      </c>
      <c r="K2735" s="354">
        <v>0</v>
      </c>
      <c r="L2735" s="354">
        <v>0</v>
      </c>
      <c r="M2735" s="355">
        <v>5</v>
      </c>
      <c r="N2735" s="355">
        <v>5</v>
      </c>
    </row>
    <row r="2736" spans="1:14" hidden="1" x14ac:dyDescent="0.25">
      <c r="A2736" s="354">
        <v>1</v>
      </c>
      <c r="B2736" s="354">
        <v>0</v>
      </c>
      <c r="C2736" s="354">
        <v>1</v>
      </c>
      <c r="D2736" s="354">
        <v>1</v>
      </c>
      <c r="E2736" s="354">
        <v>1</v>
      </c>
      <c r="F2736" s="354">
        <v>2</v>
      </c>
      <c r="G2736" s="354">
        <v>1</v>
      </c>
      <c r="H2736" s="354">
        <v>0</v>
      </c>
      <c r="I2736" s="354">
        <v>1</v>
      </c>
      <c r="J2736" s="354">
        <v>1</v>
      </c>
      <c r="K2736" s="354">
        <v>0</v>
      </c>
      <c r="L2736" s="354">
        <v>0</v>
      </c>
      <c r="M2736" s="355">
        <v>5</v>
      </c>
      <c r="N2736" s="355">
        <v>4</v>
      </c>
    </row>
    <row r="2737" spans="1:14" hidden="1" x14ac:dyDescent="0.25">
      <c r="A2737" s="354">
        <v>0</v>
      </c>
      <c r="B2737" s="354">
        <v>0</v>
      </c>
      <c r="C2737" s="354">
        <v>0</v>
      </c>
      <c r="D2737" s="354">
        <v>1</v>
      </c>
      <c r="E2737" s="354">
        <v>2</v>
      </c>
      <c r="F2737" s="354">
        <v>0</v>
      </c>
      <c r="G2737" s="354">
        <v>1</v>
      </c>
      <c r="H2737" s="354">
        <v>1</v>
      </c>
      <c r="I2737" s="354">
        <v>3</v>
      </c>
      <c r="J2737" s="354">
        <v>2</v>
      </c>
      <c r="K2737" s="354">
        <v>0</v>
      </c>
      <c r="L2737" s="354">
        <v>0</v>
      </c>
      <c r="M2737" s="355">
        <v>6</v>
      </c>
      <c r="N2737" s="355">
        <v>4</v>
      </c>
    </row>
    <row r="2738" spans="1:14" hidden="1" x14ac:dyDescent="0.25">
      <c r="A2738" s="354">
        <v>1</v>
      </c>
      <c r="B2738" s="354">
        <v>0</v>
      </c>
      <c r="C2738" s="354">
        <v>0</v>
      </c>
      <c r="D2738" s="354">
        <v>1</v>
      </c>
      <c r="E2738" s="354">
        <v>1</v>
      </c>
      <c r="F2738" s="354">
        <v>1</v>
      </c>
      <c r="G2738" s="354">
        <v>0</v>
      </c>
      <c r="H2738" s="354">
        <v>1</v>
      </c>
      <c r="I2738" s="354">
        <v>1</v>
      </c>
      <c r="J2738" s="354">
        <v>1</v>
      </c>
      <c r="K2738" s="354">
        <v>0</v>
      </c>
      <c r="L2738" s="354">
        <v>0</v>
      </c>
      <c r="M2738" s="355">
        <v>3</v>
      </c>
      <c r="N2738" s="355">
        <v>4</v>
      </c>
    </row>
    <row r="2739" spans="1:14" hidden="1" x14ac:dyDescent="0.25">
      <c r="A2739" s="354">
        <v>0</v>
      </c>
      <c r="B2739" s="354">
        <v>1</v>
      </c>
      <c r="C2739" s="354">
        <v>1</v>
      </c>
      <c r="D2739" s="354">
        <v>1</v>
      </c>
      <c r="E2739" s="354">
        <v>0</v>
      </c>
      <c r="F2739" s="354">
        <v>2</v>
      </c>
      <c r="G2739" s="354">
        <v>0</v>
      </c>
      <c r="H2739" s="354">
        <v>0</v>
      </c>
      <c r="I2739" s="354">
        <v>1</v>
      </c>
      <c r="J2739" s="354">
        <v>1</v>
      </c>
      <c r="K2739" s="354">
        <v>0</v>
      </c>
      <c r="L2739" s="354">
        <v>0</v>
      </c>
      <c r="M2739" s="355">
        <v>2</v>
      </c>
      <c r="N2739" s="355">
        <v>5</v>
      </c>
    </row>
    <row r="2740" spans="1:14" hidden="1" x14ac:dyDescent="0.25">
      <c r="A2740" s="354">
        <v>0</v>
      </c>
      <c r="B2740" s="354">
        <v>0</v>
      </c>
      <c r="C2740" s="354">
        <v>0</v>
      </c>
      <c r="D2740" s="354">
        <v>0</v>
      </c>
      <c r="E2740" s="354">
        <v>0</v>
      </c>
      <c r="F2740" s="354">
        <v>1</v>
      </c>
      <c r="G2740" s="354">
        <v>1</v>
      </c>
      <c r="H2740" s="354">
        <v>0</v>
      </c>
      <c r="I2740" s="354">
        <v>2</v>
      </c>
      <c r="J2740" s="354">
        <v>1</v>
      </c>
      <c r="K2740" s="354">
        <v>0</v>
      </c>
      <c r="L2740" s="354">
        <v>1</v>
      </c>
      <c r="M2740" s="355">
        <v>3</v>
      </c>
      <c r="N2740" s="355">
        <v>3</v>
      </c>
    </row>
    <row r="2741" spans="1:14" hidden="1" x14ac:dyDescent="0.25">
      <c r="A2741" s="354">
        <v>1</v>
      </c>
      <c r="B2741" s="354"/>
      <c r="C2741" s="354">
        <v>0</v>
      </c>
      <c r="D2741" s="354">
        <v>1</v>
      </c>
      <c r="E2741" s="354">
        <v>2</v>
      </c>
      <c r="F2741" s="354">
        <v>0</v>
      </c>
      <c r="G2741" s="354">
        <v>0</v>
      </c>
      <c r="H2741" s="354">
        <v>1</v>
      </c>
      <c r="I2741" s="354">
        <v>1</v>
      </c>
      <c r="J2741" s="354">
        <v>1</v>
      </c>
      <c r="K2741" s="354">
        <v>0</v>
      </c>
      <c r="L2741" s="354">
        <v>0</v>
      </c>
      <c r="M2741" s="355">
        <v>4</v>
      </c>
      <c r="N2741" s="355">
        <v>3</v>
      </c>
    </row>
    <row r="2742" spans="1:14" hidden="1" x14ac:dyDescent="0.25">
      <c r="A2742" s="354">
        <v>0</v>
      </c>
      <c r="B2742" s="354">
        <v>0</v>
      </c>
      <c r="C2742" s="354">
        <v>0</v>
      </c>
      <c r="D2742" s="354">
        <v>0</v>
      </c>
      <c r="E2742" s="354">
        <v>2</v>
      </c>
      <c r="F2742" s="354">
        <v>1</v>
      </c>
      <c r="G2742" s="354">
        <v>1</v>
      </c>
      <c r="H2742" s="354">
        <v>2</v>
      </c>
      <c r="I2742" s="354">
        <v>1</v>
      </c>
      <c r="J2742" s="354">
        <v>2</v>
      </c>
      <c r="K2742" s="354">
        <v>0</v>
      </c>
      <c r="L2742" s="354">
        <v>0</v>
      </c>
      <c r="M2742" s="355">
        <v>4</v>
      </c>
      <c r="N2742" s="355">
        <v>5</v>
      </c>
    </row>
    <row r="2743" spans="1:14" hidden="1" x14ac:dyDescent="0.25">
      <c r="A2743" s="354">
        <v>0</v>
      </c>
      <c r="B2743" s="354">
        <v>0</v>
      </c>
      <c r="C2743" s="354">
        <v>1</v>
      </c>
      <c r="D2743" s="354">
        <v>1</v>
      </c>
      <c r="E2743" s="354">
        <v>1</v>
      </c>
      <c r="F2743" s="354">
        <v>1</v>
      </c>
      <c r="G2743" s="354">
        <v>2</v>
      </c>
      <c r="H2743" s="354">
        <v>1</v>
      </c>
      <c r="I2743" s="354">
        <v>2</v>
      </c>
      <c r="J2743" s="354">
        <v>2</v>
      </c>
      <c r="K2743" s="354">
        <v>0</v>
      </c>
      <c r="L2743" s="354">
        <v>0</v>
      </c>
      <c r="M2743" s="355">
        <v>6</v>
      </c>
      <c r="N2743" s="355">
        <v>5</v>
      </c>
    </row>
    <row r="2744" spans="1:14" hidden="1" x14ac:dyDescent="0.25">
      <c r="A2744" s="354">
        <v>0</v>
      </c>
      <c r="B2744" s="354">
        <v>0</v>
      </c>
      <c r="C2744" s="354">
        <v>1</v>
      </c>
      <c r="D2744" s="354">
        <v>1</v>
      </c>
      <c r="E2744" s="354">
        <v>1</v>
      </c>
      <c r="F2744" s="354">
        <v>0</v>
      </c>
      <c r="G2744" s="354">
        <v>1</v>
      </c>
      <c r="H2744" s="354">
        <v>2</v>
      </c>
      <c r="I2744" s="354">
        <v>1</v>
      </c>
      <c r="J2744" s="354">
        <v>2</v>
      </c>
      <c r="K2744" s="354">
        <v>0</v>
      </c>
      <c r="L2744" s="354">
        <v>0</v>
      </c>
      <c r="M2744" s="355">
        <v>4</v>
      </c>
      <c r="N2744" s="355">
        <v>5</v>
      </c>
    </row>
    <row r="2745" spans="1:14" hidden="1" x14ac:dyDescent="0.25">
      <c r="A2745" s="354">
        <v>0</v>
      </c>
      <c r="B2745" s="354">
        <v>0</v>
      </c>
      <c r="C2745" s="354">
        <v>0</v>
      </c>
      <c r="D2745" s="354">
        <v>1</v>
      </c>
      <c r="E2745" s="354">
        <v>2</v>
      </c>
      <c r="F2745" s="354">
        <v>1</v>
      </c>
      <c r="G2745" s="354">
        <v>1</v>
      </c>
      <c r="H2745" s="354">
        <v>1</v>
      </c>
      <c r="I2745" s="354">
        <v>1</v>
      </c>
      <c r="J2745" s="354">
        <v>2</v>
      </c>
      <c r="K2745" s="354">
        <v>0</v>
      </c>
      <c r="L2745" s="354">
        <v>0</v>
      </c>
      <c r="M2745" s="355">
        <v>4</v>
      </c>
      <c r="N2745" s="355">
        <v>5</v>
      </c>
    </row>
    <row r="2746" spans="1:14" hidden="1" x14ac:dyDescent="0.25">
      <c r="A2746" s="354">
        <v>0</v>
      </c>
      <c r="B2746" s="354">
        <v>1</v>
      </c>
      <c r="C2746" s="354">
        <v>1</v>
      </c>
      <c r="D2746" s="354">
        <v>1</v>
      </c>
      <c r="E2746" s="354">
        <v>2</v>
      </c>
      <c r="F2746" s="354">
        <v>0</v>
      </c>
      <c r="G2746" s="354">
        <v>1</v>
      </c>
      <c r="H2746" s="354">
        <v>0</v>
      </c>
      <c r="I2746" s="354">
        <v>1</v>
      </c>
      <c r="J2746" s="354">
        <v>1</v>
      </c>
      <c r="K2746" s="354">
        <v>0</v>
      </c>
      <c r="L2746" s="354">
        <v>0</v>
      </c>
      <c r="M2746" s="355">
        <v>5</v>
      </c>
      <c r="N2746" s="355">
        <v>3</v>
      </c>
    </row>
    <row r="2747" spans="1:14" hidden="1" x14ac:dyDescent="0.25">
      <c r="A2747" s="354">
        <v>0</v>
      </c>
      <c r="B2747" s="354">
        <v>0</v>
      </c>
      <c r="C2747" s="354">
        <v>0</v>
      </c>
      <c r="D2747" s="354">
        <v>1</v>
      </c>
      <c r="E2747" s="354">
        <v>1</v>
      </c>
      <c r="F2747" s="354">
        <v>1</v>
      </c>
      <c r="G2747" s="354">
        <v>1</v>
      </c>
      <c r="H2747" s="354">
        <v>1</v>
      </c>
      <c r="I2747" s="354">
        <v>1</v>
      </c>
      <c r="J2747" s="354">
        <v>1</v>
      </c>
      <c r="K2747" s="354">
        <v>0</v>
      </c>
      <c r="L2747" s="354">
        <v>0</v>
      </c>
      <c r="M2747" s="355">
        <v>3</v>
      </c>
      <c r="N2747" s="355">
        <v>4</v>
      </c>
    </row>
    <row r="2748" spans="1:14" hidden="1" x14ac:dyDescent="0.25">
      <c r="A2748" s="354">
        <v>1</v>
      </c>
      <c r="B2748" s="354">
        <v>0</v>
      </c>
      <c r="C2748" s="354">
        <v>0</v>
      </c>
      <c r="D2748" s="354">
        <v>1</v>
      </c>
      <c r="E2748" s="354">
        <v>1</v>
      </c>
      <c r="F2748" s="354">
        <v>0</v>
      </c>
      <c r="G2748" s="354">
        <v>1</v>
      </c>
      <c r="H2748" s="354">
        <v>2</v>
      </c>
      <c r="I2748" s="354">
        <v>2</v>
      </c>
      <c r="J2748" s="354">
        <v>2</v>
      </c>
      <c r="K2748" s="354">
        <v>1</v>
      </c>
      <c r="L2748" s="354">
        <v>0</v>
      </c>
      <c r="M2748" s="355">
        <v>6</v>
      </c>
      <c r="N2748" s="355">
        <v>5</v>
      </c>
    </row>
    <row r="2749" spans="1:14" hidden="1" x14ac:dyDescent="0.25">
      <c r="A2749" s="354">
        <v>1</v>
      </c>
      <c r="B2749" s="354">
        <v>1</v>
      </c>
      <c r="C2749" s="354">
        <v>0</v>
      </c>
      <c r="D2749" s="354">
        <v>0</v>
      </c>
      <c r="E2749" s="354">
        <v>1</v>
      </c>
      <c r="F2749" s="354">
        <v>1</v>
      </c>
      <c r="G2749" s="354">
        <v>0</v>
      </c>
      <c r="H2749" s="354">
        <v>1</v>
      </c>
      <c r="I2749" s="354">
        <v>1</v>
      </c>
      <c r="J2749" s="354">
        <v>1</v>
      </c>
      <c r="K2749" s="354">
        <v>1</v>
      </c>
      <c r="L2749" s="354">
        <v>0</v>
      </c>
      <c r="M2749" s="355">
        <v>4</v>
      </c>
      <c r="N2749" s="355">
        <v>4</v>
      </c>
    </row>
    <row r="2750" spans="1:14" hidden="1" x14ac:dyDescent="0.25">
      <c r="A2750" s="354">
        <v>2</v>
      </c>
      <c r="B2750" s="354">
        <v>1</v>
      </c>
      <c r="C2750" s="354">
        <v>0</v>
      </c>
      <c r="D2750" s="354">
        <v>0</v>
      </c>
      <c r="E2750" s="354">
        <v>2</v>
      </c>
      <c r="F2750" s="354">
        <v>1</v>
      </c>
      <c r="G2750" s="354">
        <v>1</v>
      </c>
      <c r="H2750" s="354">
        <v>1</v>
      </c>
      <c r="I2750" s="354">
        <v>2</v>
      </c>
      <c r="J2750" s="354">
        <v>2</v>
      </c>
      <c r="K2750" s="354">
        <v>0</v>
      </c>
      <c r="L2750" s="354">
        <v>0</v>
      </c>
      <c r="M2750" s="355">
        <v>7</v>
      </c>
      <c r="N2750" s="355">
        <v>5</v>
      </c>
    </row>
    <row r="2751" spans="1:14" hidden="1" x14ac:dyDescent="0.25">
      <c r="A2751" s="354">
        <v>1</v>
      </c>
      <c r="B2751" s="354">
        <v>0</v>
      </c>
      <c r="C2751" s="354">
        <v>0</v>
      </c>
      <c r="D2751" s="354">
        <v>1</v>
      </c>
      <c r="E2751" s="354">
        <v>0</v>
      </c>
      <c r="F2751" s="354">
        <v>1</v>
      </c>
      <c r="G2751" s="354">
        <v>0</v>
      </c>
      <c r="H2751" s="354">
        <v>0</v>
      </c>
      <c r="I2751" s="354">
        <v>1</v>
      </c>
      <c r="J2751" s="354">
        <v>1</v>
      </c>
      <c r="K2751" s="354">
        <v>0</v>
      </c>
      <c r="L2751" s="354">
        <v>0</v>
      </c>
      <c r="M2751" s="355">
        <v>2</v>
      </c>
      <c r="N2751" s="355">
        <v>3</v>
      </c>
    </row>
    <row r="2752" spans="1:14" hidden="1" x14ac:dyDescent="0.25">
      <c r="A2752" s="354">
        <v>1</v>
      </c>
      <c r="B2752" s="354">
        <v>0</v>
      </c>
      <c r="C2752" s="354">
        <v>1</v>
      </c>
      <c r="D2752" s="354">
        <v>1</v>
      </c>
      <c r="E2752" s="354">
        <v>1</v>
      </c>
      <c r="F2752" s="354">
        <v>2</v>
      </c>
      <c r="G2752" s="354">
        <v>1</v>
      </c>
      <c r="H2752" s="354">
        <v>0</v>
      </c>
      <c r="I2752" s="354">
        <v>1</v>
      </c>
      <c r="J2752" s="354">
        <v>1</v>
      </c>
      <c r="K2752" s="354">
        <v>0</v>
      </c>
      <c r="L2752" s="354">
        <v>0</v>
      </c>
      <c r="M2752" s="355">
        <v>5</v>
      </c>
      <c r="N2752" s="355">
        <v>4</v>
      </c>
    </row>
    <row r="2753" spans="1:14" hidden="1" x14ac:dyDescent="0.25">
      <c r="A2753" s="354">
        <v>0</v>
      </c>
      <c r="B2753" s="354">
        <v>0</v>
      </c>
      <c r="C2753" s="354">
        <v>0</v>
      </c>
      <c r="D2753" s="354">
        <v>0</v>
      </c>
      <c r="E2753" s="354">
        <v>0</v>
      </c>
      <c r="F2753" s="354">
        <v>0</v>
      </c>
      <c r="G2753" s="354">
        <v>0</v>
      </c>
      <c r="H2753" s="354">
        <v>0</v>
      </c>
      <c r="I2753" s="354">
        <v>0</v>
      </c>
      <c r="J2753" s="354">
        <v>0</v>
      </c>
      <c r="K2753" s="354">
        <v>1</v>
      </c>
      <c r="L2753" s="354">
        <v>1</v>
      </c>
      <c r="M2753" s="355">
        <v>1</v>
      </c>
      <c r="N2753" s="355">
        <v>1</v>
      </c>
    </row>
    <row r="2754" spans="1:14" hidden="1" x14ac:dyDescent="0.25">
      <c r="A2754" s="354">
        <v>1</v>
      </c>
      <c r="B2754" s="354">
        <v>0</v>
      </c>
      <c r="C2754" s="354">
        <v>2</v>
      </c>
      <c r="D2754" s="354">
        <v>0</v>
      </c>
      <c r="E2754" s="354">
        <v>1</v>
      </c>
      <c r="F2754" s="354">
        <v>2</v>
      </c>
      <c r="G2754" s="354">
        <v>0</v>
      </c>
      <c r="H2754" s="354">
        <v>1</v>
      </c>
      <c r="I2754" s="354">
        <v>1</v>
      </c>
      <c r="J2754" s="354">
        <v>0</v>
      </c>
      <c r="K2754" s="354">
        <v>0</v>
      </c>
      <c r="L2754" s="354">
        <v>0</v>
      </c>
      <c r="M2754" s="355">
        <v>5</v>
      </c>
      <c r="N2754" s="355">
        <v>3</v>
      </c>
    </row>
    <row r="2755" spans="1:14" hidden="1" x14ac:dyDescent="0.25">
      <c r="A2755" s="354">
        <v>1</v>
      </c>
      <c r="B2755" s="354">
        <v>0</v>
      </c>
      <c r="C2755" s="354">
        <v>2</v>
      </c>
      <c r="D2755" s="354">
        <v>1</v>
      </c>
      <c r="E2755" s="354">
        <v>0</v>
      </c>
      <c r="F2755" s="354">
        <v>2</v>
      </c>
      <c r="G2755" s="354">
        <v>1</v>
      </c>
      <c r="H2755" s="354">
        <v>1</v>
      </c>
      <c r="I2755" s="354">
        <v>2</v>
      </c>
      <c r="J2755" s="354">
        <v>2</v>
      </c>
      <c r="K2755" s="354">
        <v>0</v>
      </c>
      <c r="L2755" s="354">
        <v>0</v>
      </c>
      <c r="M2755" s="355">
        <v>6</v>
      </c>
      <c r="N2755" s="355">
        <v>6</v>
      </c>
    </row>
    <row r="2756" spans="1:14" hidden="1" x14ac:dyDescent="0.25">
      <c r="A2756" s="354">
        <v>0</v>
      </c>
      <c r="B2756" s="354">
        <v>0</v>
      </c>
      <c r="C2756" s="354">
        <v>1</v>
      </c>
      <c r="D2756" s="354">
        <v>0</v>
      </c>
      <c r="E2756" s="354">
        <v>0</v>
      </c>
      <c r="F2756" s="354">
        <v>1</v>
      </c>
      <c r="G2756" s="354">
        <v>0</v>
      </c>
      <c r="H2756" s="354">
        <v>0</v>
      </c>
      <c r="I2756" s="354">
        <v>0</v>
      </c>
      <c r="J2756" s="354">
        <v>1</v>
      </c>
      <c r="K2756" s="354">
        <v>1</v>
      </c>
      <c r="L2756" s="354">
        <v>0</v>
      </c>
      <c r="M2756" s="355">
        <v>2</v>
      </c>
      <c r="N2756" s="355">
        <v>2</v>
      </c>
    </row>
    <row r="2757" spans="1:14" hidden="1" x14ac:dyDescent="0.25">
      <c r="A2757" s="354">
        <v>0</v>
      </c>
      <c r="B2757" s="354">
        <v>0</v>
      </c>
      <c r="C2757" s="354">
        <v>0</v>
      </c>
      <c r="D2757" s="354">
        <v>0</v>
      </c>
      <c r="E2757" s="354">
        <v>0</v>
      </c>
      <c r="F2757" s="354">
        <v>0</v>
      </c>
      <c r="G2757" s="354">
        <v>1</v>
      </c>
      <c r="H2757" s="354">
        <v>0</v>
      </c>
      <c r="I2757" s="354">
        <v>1</v>
      </c>
      <c r="J2757" s="354">
        <v>0</v>
      </c>
      <c r="K2757" s="354">
        <v>1</v>
      </c>
      <c r="L2757" s="354">
        <v>0</v>
      </c>
      <c r="M2757" s="355">
        <v>3</v>
      </c>
      <c r="N2757" s="355">
        <v>0</v>
      </c>
    </row>
    <row r="2758" spans="1:14" hidden="1" x14ac:dyDescent="0.25">
      <c r="A2758" s="354">
        <v>1</v>
      </c>
      <c r="B2758" s="354">
        <v>1</v>
      </c>
      <c r="C2758" s="354">
        <v>1</v>
      </c>
      <c r="D2758" s="354">
        <v>0</v>
      </c>
      <c r="E2758" s="354">
        <v>0</v>
      </c>
      <c r="F2758" s="354">
        <v>2</v>
      </c>
      <c r="G2758" s="354">
        <v>0</v>
      </c>
      <c r="H2758" s="354">
        <v>0</v>
      </c>
      <c r="I2758" s="354">
        <v>1</v>
      </c>
      <c r="J2758" s="354">
        <v>1</v>
      </c>
      <c r="K2758" s="354">
        <v>0</v>
      </c>
      <c r="L2758" s="354">
        <v>0</v>
      </c>
      <c r="M2758" s="355">
        <v>3</v>
      </c>
      <c r="N2758" s="355">
        <v>4</v>
      </c>
    </row>
    <row r="2759" spans="1:14" hidden="1" x14ac:dyDescent="0.25">
      <c r="A2759" s="354">
        <v>1</v>
      </c>
      <c r="B2759" s="354">
        <v>0</v>
      </c>
      <c r="C2759" s="354">
        <v>0</v>
      </c>
      <c r="D2759" s="354">
        <v>1</v>
      </c>
      <c r="E2759" s="354">
        <v>1</v>
      </c>
      <c r="F2759" s="354">
        <v>1</v>
      </c>
      <c r="G2759" s="354">
        <v>1</v>
      </c>
      <c r="H2759" s="354">
        <v>1</v>
      </c>
      <c r="I2759" s="354">
        <v>1</v>
      </c>
      <c r="J2759" s="354">
        <v>1</v>
      </c>
      <c r="K2759" s="354">
        <v>0</v>
      </c>
      <c r="L2759" s="354">
        <v>0</v>
      </c>
      <c r="M2759" s="355">
        <v>4</v>
      </c>
      <c r="N2759" s="355">
        <v>4</v>
      </c>
    </row>
    <row r="2760" spans="1:14" hidden="1" x14ac:dyDescent="0.25">
      <c r="A2760" s="354">
        <v>1</v>
      </c>
      <c r="B2760" s="354">
        <v>0</v>
      </c>
      <c r="C2760" s="354">
        <v>1</v>
      </c>
      <c r="D2760" s="354">
        <v>0</v>
      </c>
      <c r="E2760" s="354">
        <v>0</v>
      </c>
      <c r="F2760" s="354">
        <v>0</v>
      </c>
      <c r="G2760" s="354">
        <v>0</v>
      </c>
      <c r="H2760" s="354">
        <v>0</v>
      </c>
      <c r="I2760" s="354">
        <v>1</v>
      </c>
      <c r="J2760" s="354">
        <v>1</v>
      </c>
      <c r="K2760" s="354">
        <v>0</v>
      </c>
      <c r="L2760" s="354">
        <v>0</v>
      </c>
      <c r="M2760" s="355">
        <v>3</v>
      </c>
      <c r="N2760" s="355">
        <v>1</v>
      </c>
    </row>
    <row r="2761" spans="1:14" hidden="1" x14ac:dyDescent="0.25">
      <c r="A2761" s="354">
        <v>1</v>
      </c>
      <c r="B2761" s="354">
        <v>1</v>
      </c>
      <c r="C2761" s="354">
        <v>1</v>
      </c>
      <c r="D2761" s="354">
        <v>1</v>
      </c>
      <c r="E2761" s="354">
        <v>1</v>
      </c>
      <c r="F2761" s="354">
        <v>1</v>
      </c>
      <c r="G2761" s="354">
        <v>1</v>
      </c>
      <c r="H2761" s="354">
        <v>1</v>
      </c>
      <c r="I2761" s="354">
        <v>1</v>
      </c>
      <c r="J2761" s="354">
        <v>1</v>
      </c>
      <c r="K2761" s="354">
        <v>1</v>
      </c>
      <c r="L2761" s="354">
        <v>1</v>
      </c>
      <c r="M2761" s="355">
        <v>6</v>
      </c>
      <c r="N2761" s="355">
        <v>6</v>
      </c>
    </row>
    <row r="2762" spans="1:14" hidden="1" x14ac:dyDescent="0.25">
      <c r="A2762" s="354">
        <v>1</v>
      </c>
      <c r="B2762" s="354">
        <v>1</v>
      </c>
      <c r="C2762" s="354">
        <v>2</v>
      </c>
      <c r="D2762" s="354">
        <v>2</v>
      </c>
      <c r="E2762" s="354">
        <v>2</v>
      </c>
      <c r="F2762" s="354">
        <v>2</v>
      </c>
      <c r="G2762" s="354">
        <v>1</v>
      </c>
      <c r="H2762" s="354">
        <v>3</v>
      </c>
      <c r="I2762" s="354">
        <v>2</v>
      </c>
      <c r="J2762" s="354">
        <v>3</v>
      </c>
      <c r="K2762" s="354">
        <v>1</v>
      </c>
      <c r="L2762" s="354">
        <v>1</v>
      </c>
      <c r="M2762" s="355">
        <v>9</v>
      </c>
      <c r="N2762" s="355">
        <v>12</v>
      </c>
    </row>
    <row r="2763" spans="1:14" hidden="1" x14ac:dyDescent="0.25">
      <c r="A2763" s="354">
        <v>1</v>
      </c>
      <c r="B2763" s="354">
        <v>1</v>
      </c>
      <c r="C2763" s="354">
        <v>1</v>
      </c>
      <c r="D2763" s="354">
        <v>1</v>
      </c>
      <c r="E2763" s="354">
        <v>1</v>
      </c>
      <c r="F2763" s="354">
        <v>1</v>
      </c>
      <c r="G2763" s="354">
        <v>1</v>
      </c>
      <c r="H2763" s="354">
        <v>1</v>
      </c>
      <c r="I2763" s="354">
        <v>1</v>
      </c>
      <c r="J2763" s="354">
        <v>1</v>
      </c>
      <c r="K2763" s="354">
        <v>1</v>
      </c>
      <c r="L2763" s="354">
        <v>1</v>
      </c>
      <c r="M2763" s="355">
        <v>6</v>
      </c>
      <c r="N2763" s="355">
        <v>6</v>
      </c>
    </row>
    <row r="2764" spans="1:14" hidden="1" x14ac:dyDescent="0.25">
      <c r="A2764" s="354">
        <v>0</v>
      </c>
      <c r="B2764" s="354">
        <v>1</v>
      </c>
      <c r="C2764" s="354">
        <v>1</v>
      </c>
      <c r="D2764" s="354">
        <v>0</v>
      </c>
      <c r="E2764" s="354">
        <v>2</v>
      </c>
      <c r="F2764" s="354">
        <v>2</v>
      </c>
      <c r="G2764" s="354">
        <v>1</v>
      </c>
      <c r="H2764" s="354">
        <v>0</v>
      </c>
      <c r="I2764" s="354">
        <v>2</v>
      </c>
      <c r="J2764" s="354">
        <v>2</v>
      </c>
      <c r="K2764" s="354">
        <v>1</v>
      </c>
      <c r="L2764" s="354">
        <v>0</v>
      </c>
      <c r="M2764" s="355">
        <v>7</v>
      </c>
      <c r="N2764" s="355">
        <v>5</v>
      </c>
    </row>
    <row r="2765" spans="1:14" hidden="1" x14ac:dyDescent="0.25">
      <c r="A2765" s="354">
        <v>1</v>
      </c>
      <c r="B2765" s="354">
        <v>1</v>
      </c>
      <c r="C2765" s="354">
        <v>0</v>
      </c>
      <c r="D2765" s="354">
        <v>2</v>
      </c>
      <c r="E2765" s="354">
        <v>2</v>
      </c>
      <c r="F2765" s="354">
        <v>0</v>
      </c>
      <c r="G2765" s="354">
        <v>1</v>
      </c>
      <c r="H2765" s="354">
        <v>0</v>
      </c>
      <c r="I2765" s="354">
        <v>2</v>
      </c>
      <c r="J2765" s="354">
        <v>3</v>
      </c>
      <c r="K2765" s="354">
        <v>0</v>
      </c>
      <c r="L2765" s="354">
        <v>0</v>
      </c>
      <c r="M2765" s="355">
        <v>6</v>
      </c>
      <c r="N2765" s="355">
        <v>6</v>
      </c>
    </row>
    <row r="2766" spans="1:14" hidden="1" x14ac:dyDescent="0.25">
      <c r="A2766" s="354">
        <v>0</v>
      </c>
      <c r="B2766" s="354">
        <v>2</v>
      </c>
      <c r="C2766" s="354">
        <v>1</v>
      </c>
      <c r="D2766" s="354">
        <v>0</v>
      </c>
      <c r="E2766" s="354">
        <v>2</v>
      </c>
      <c r="F2766" s="354">
        <v>1</v>
      </c>
      <c r="G2766" s="354">
        <v>0</v>
      </c>
      <c r="H2766" s="354">
        <v>0</v>
      </c>
      <c r="I2766" s="354">
        <v>1</v>
      </c>
      <c r="J2766" s="354">
        <v>2</v>
      </c>
      <c r="K2766" s="354">
        <v>0</v>
      </c>
      <c r="L2766" s="354">
        <v>0</v>
      </c>
      <c r="M2766" s="355">
        <v>4</v>
      </c>
      <c r="N2766" s="355">
        <v>5</v>
      </c>
    </row>
    <row r="2767" spans="1:14" hidden="1" x14ac:dyDescent="0.25">
      <c r="A2767" s="354">
        <v>0</v>
      </c>
      <c r="B2767" s="354">
        <v>0</v>
      </c>
      <c r="C2767" s="354">
        <v>0</v>
      </c>
      <c r="D2767" s="354">
        <v>0</v>
      </c>
      <c r="E2767" s="354">
        <v>0</v>
      </c>
      <c r="F2767" s="354">
        <v>1</v>
      </c>
      <c r="G2767" s="354">
        <v>0</v>
      </c>
      <c r="H2767" s="354">
        <v>2</v>
      </c>
      <c r="I2767" s="354">
        <v>1</v>
      </c>
      <c r="J2767" s="354">
        <v>3</v>
      </c>
      <c r="K2767" s="354">
        <v>1</v>
      </c>
      <c r="L2767" s="354">
        <v>1</v>
      </c>
      <c r="M2767" s="355">
        <v>2</v>
      </c>
      <c r="N2767" s="355">
        <v>7</v>
      </c>
    </row>
    <row r="2768" spans="1:14" hidden="1" x14ac:dyDescent="0.25">
      <c r="A2768" s="354">
        <v>2</v>
      </c>
      <c r="B2768" s="354">
        <v>0</v>
      </c>
      <c r="C2768" s="354">
        <v>2</v>
      </c>
      <c r="D2768" s="354">
        <v>0</v>
      </c>
      <c r="E2768" s="354">
        <v>0</v>
      </c>
      <c r="F2768" s="354">
        <v>2</v>
      </c>
      <c r="G2768" s="354">
        <v>1</v>
      </c>
      <c r="H2768" s="354">
        <v>1</v>
      </c>
      <c r="I2768" s="354">
        <v>2</v>
      </c>
      <c r="J2768" s="354">
        <v>3</v>
      </c>
      <c r="K2768" s="354">
        <v>0</v>
      </c>
      <c r="L2768" s="354">
        <v>0</v>
      </c>
      <c r="M2768" s="355">
        <v>7</v>
      </c>
      <c r="N2768" s="355">
        <v>6</v>
      </c>
    </row>
    <row r="2769" spans="1:14" hidden="1" x14ac:dyDescent="0.25">
      <c r="A2769" s="354">
        <v>0</v>
      </c>
      <c r="B2769" s="354">
        <v>0</v>
      </c>
      <c r="C2769" s="354">
        <v>0</v>
      </c>
      <c r="D2769" s="354">
        <v>0</v>
      </c>
      <c r="E2769" s="354">
        <v>0</v>
      </c>
      <c r="F2769" s="354">
        <v>0</v>
      </c>
      <c r="G2769" s="354">
        <v>1</v>
      </c>
      <c r="H2769" s="354">
        <v>0</v>
      </c>
      <c r="I2769" s="354">
        <v>1</v>
      </c>
      <c r="J2769" s="354">
        <v>2</v>
      </c>
      <c r="K2769" s="354">
        <v>1</v>
      </c>
      <c r="L2769" s="354">
        <v>0</v>
      </c>
      <c r="M2769" s="355">
        <v>3</v>
      </c>
      <c r="N2769" s="355">
        <v>2</v>
      </c>
    </row>
    <row r="2770" spans="1:14" hidden="1" x14ac:dyDescent="0.25">
      <c r="A2770" s="354">
        <v>0</v>
      </c>
      <c r="B2770" s="354">
        <v>0</v>
      </c>
      <c r="C2770" s="354">
        <v>0</v>
      </c>
      <c r="D2770" s="354">
        <v>0</v>
      </c>
      <c r="E2770" s="354">
        <v>0</v>
      </c>
      <c r="F2770" s="354">
        <v>1</v>
      </c>
      <c r="G2770" s="354">
        <v>0</v>
      </c>
      <c r="H2770" s="354">
        <v>2</v>
      </c>
      <c r="I2770" s="354">
        <v>1</v>
      </c>
      <c r="J2770" s="354">
        <v>2</v>
      </c>
      <c r="K2770" s="354"/>
      <c r="L2770" s="354">
        <v>1</v>
      </c>
      <c r="M2770" s="355">
        <v>1</v>
      </c>
      <c r="N2770" s="355">
        <v>6</v>
      </c>
    </row>
    <row r="2771" spans="1:14" hidden="1" x14ac:dyDescent="0.25">
      <c r="A2771" s="354">
        <v>1</v>
      </c>
      <c r="B2771" s="354">
        <v>0</v>
      </c>
      <c r="C2771" s="354">
        <v>1</v>
      </c>
      <c r="D2771" s="354">
        <v>0</v>
      </c>
      <c r="E2771" s="354">
        <v>1</v>
      </c>
      <c r="F2771" s="354">
        <v>1</v>
      </c>
      <c r="G2771" s="354">
        <v>0</v>
      </c>
      <c r="H2771" s="354">
        <v>2</v>
      </c>
      <c r="I2771" s="354">
        <v>1</v>
      </c>
      <c r="J2771" s="354">
        <v>2</v>
      </c>
      <c r="K2771" s="354">
        <v>0</v>
      </c>
      <c r="L2771" s="354">
        <v>0</v>
      </c>
      <c r="M2771" s="355">
        <v>4</v>
      </c>
      <c r="N2771" s="355">
        <v>5</v>
      </c>
    </row>
    <row r="2772" spans="1:14" hidden="1" x14ac:dyDescent="0.25">
      <c r="A2772" s="354">
        <v>0</v>
      </c>
      <c r="B2772" s="354">
        <v>0</v>
      </c>
      <c r="C2772" s="354">
        <v>0</v>
      </c>
      <c r="D2772" s="354">
        <v>0</v>
      </c>
      <c r="E2772" s="354"/>
      <c r="F2772" s="354">
        <v>1</v>
      </c>
      <c r="G2772" s="354">
        <v>0</v>
      </c>
      <c r="H2772" s="354">
        <v>1</v>
      </c>
      <c r="I2772" s="354">
        <v>0</v>
      </c>
      <c r="J2772" s="354">
        <v>3</v>
      </c>
      <c r="K2772" s="354">
        <v>1</v>
      </c>
      <c r="L2772" s="354">
        <v>0</v>
      </c>
      <c r="M2772" s="355">
        <v>1</v>
      </c>
      <c r="N2772" s="355">
        <v>5</v>
      </c>
    </row>
    <row r="2773" spans="1:14" hidden="1" x14ac:dyDescent="0.25">
      <c r="A2773" s="354">
        <v>0</v>
      </c>
      <c r="B2773" s="354">
        <v>0</v>
      </c>
      <c r="C2773" s="354">
        <v>0</v>
      </c>
      <c r="D2773" s="354">
        <v>1</v>
      </c>
      <c r="E2773" s="354">
        <v>0</v>
      </c>
      <c r="F2773" s="354">
        <v>2</v>
      </c>
      <c r="G2773" s="354">
        <v>1</v>
      </c>
      <c r="H2773" s="354">
        <v>1</v>
      </c>
      <c r="I2773" s="354">
        <v>1</v>
      </c>
      <c r="J2773" s="354">
        <v>2</v>
      </c>
      <c r="K2773" s="354">
        <v>1</v>
      </c>
      <c r="L2773" s="354">
        <v>0</v>
      </c>
      <c r="M2773" s="355">
        <v>3</v>
      </c>
      <c r="N2773" s="355">
        <v>6</v>
      </c>
    </row>
    <row r="2774" spans="1:14" hidden="1" x14ac:dyDescent="0.25">
      <c r="A2774" s="354">
        <v>2</v>
      </c>
      <c r="B2774" s="354">
        <v>0</v>
      </c>
      <c r="C2774" s="354">
        <v>1</v>
      </c>
      <c r="D2774" s="354">
        <v>1</v>
      </c>
      <c r="E2774" s="354">
        <v>2</v>
      </c>
      <c r="F2774" s="354">
        <v>2</v>
      </c>
      <c r="G2774" s="354">
        <v>0</v>
      </c>
      <c r="H2774" s="354">
        <v>1</v>
      </c>
      <c r="I2774" s="354">
        <v>1</v>
      </c>
      <c r="J2774" s="354">
        <v>3</v>
      </c>
      <c r="K2774" s="354">
        <v>0</v>
      </c>
      <c r="L2774" s="354">
        <v>0</v>
      </c>
      <c r="M2774" s="355">
        <v>6</v>
      </c>
      <c r="N2774" s="355">
        <v>7</v>
      </c>
    </row>
    <row r="2775" spans="1:14" hidden="1" x14ac:dyDescent="0.25">
      <c r="A2775" s="354">
        <v>1</v>
      </c>
      <c r="B2775" s="354">
        <v>0</v>
      </c>
      <c r="C2775" s="354">
        <v>1</v>
      </c>
      <c r="D2775" s="354">
        <v>0</v>
      </c>
      <c r="E2775" s="354">
        <v>0</v>
      </c>
      <c r="F2775" s="354">
        <v>1</v>
      </c>
      <c r="G2775" s="354">
        <v>0</v>
      </c>
      <c r="H2775" s="354">
        <v>0</v>
      </c>
      <c r="I2775" s="354">
        <v>1</v>
      </c>
      <c r="J2775" s="354">
        <v>1</v>
      </c>
      <c r="K2775" s="354">
        <v>0</v>
      </c>
      <c r="L2775" s="354">
        <v>0</v>
      </c>
      <c r="M2775" s="355">
        <v>3</v>
      </c>
      <c r="N2775" s="355">
        <v>2</v>
      </c>
    </row>
    <row r="2776" spans="1:14" hidden="1" x14ac:dyDescent="0.25">
      <c r="A2776" s="354">
        <v>1</v>
      </c>
      <c r="B2776" s="354">
        <v>0</v>
      </c>
      <c r="C2776" s="354">
        <v>0</v>
      </c>
      <c r="D2776" s="354">
        <v>1</v>
      </c>
      <c r="E2776" s="354">
        <v>0</v>
      </c>
      <c r="F2776" s="354">
        <v>1</v>
      </c>
      <c r="G2776" s="354">
        <v>0</v>
      </c>
      <c r="H2776" s="354">
        <v>2</v>
      </c>
      <c r="I2776" s="354">
        <v>1</v>
      </c>
      <c r="J2776" s="354">
        <v>2</v>
      </c>
      <c r="K2776" s="354">
        <v>0</v>
      </c>
      <c r="L2776" s="354">
        <v>0</v>
      </c>
      <c r="M2776" s="355">
        <v>2</v>
      </c>
      <c r="N2776" s="355">
        <v>6</v>
      </c>
    </row>
    <row r="2777" spans="1:14" hidden="1" x14ac:dyDescent="0.25">
      <c r="A2777" s="354">
        <v>0</v>
      </c>
      <c r="B2777" s="354">
        <v>1</v>
      </c>
      <c r="C2777" s="354">
        <v>1</v>
      </c>
      <c r="D2777" s="354">
        <v>0</v>
      </c>
      <c r="E2777" s="354">
        <v>0</v>
      </c>
      <c r="F2777" s="354">
        <v>1</v>
      </c>
      <c r="G2777" s="354">
        <v>0</v>
      </c>
      <c r="H2777" s="354">
        <v>0</v>
      </c>
      <c r="I2777" s="354">
        <v>1</v>
      </c>
      <c r="J2777" s="354">
        <v>1</v>
      </c>
      <c r="K2777" s="354">
        <v>0</v>
      </c>
      <c r="L2777" s="354">
        <v>0</v>
      </c>
      <c r="M2777" s="355">
        <v>2</v>
      </c>
      <c r="N2777" s="355">
        <v>3</v>
      </c>
    </row>
    <row r="2778" spans="1:14" hidden="1" x14ac:dyDescent="0.25">
      <c r="A2778" s="354">
        <v>0</v>
      </c>
      <c r="B2778" s="354">
        <v>0</v>
      </c>
      <c r="C2778" s="354">
        <v>1</v>
      </c>
      <c r="D2778" s="354">
        <v>1</v>
      </c>
      <c r="E2778" s="354">
        <v>0</v>
      </c>
      <c r="F2778" s="354">
        <v>0</v>
      </c>
      <c r="G2778" s="354">
        <v>0</v>
      </c>
      <c r="H2778" s="354">
        <v>0</v>
      </c>
      <c r="I2778" s="354">
        <v>0</v>
      </c>
      <c r="J2778" s="354">
        <v>0</v>
      </c>
      <c r="K2778" s="354">
        <v>0</v>
      </c>
      <c r="L2778" s="354">
        <v>0</v>
      </c>
      <c r="M2778" s="355">
        <v>1</v>
      </c>
      <c r="N2778" s="355">
        <v>1</v>
      </c>
    </row>
    <row r="2779" spans="1:14" hidden="1" x14ac:dyDescent="0.25">
      <c r="A2779" s="354">
        <v>0</v>
      </c>
      <c r="B2779" s="354">
        <v>0</v>
      </c>
      <c r="C2779" s="354">
        <v>1</v>
      </c>
      <c r="D2779" s="354">
        <v>1</v>
      </c>
      <c r="E2779" s="354">
        <v>2</v>
      </c>
      <c r="F2779" s="354">
        <v>0</v>
      </c>
      <c r="G2779" s="354">
        <v>1</v>
      </c>
      <c r="H2779" s="354">
        <v>1</v>
      </c>
      <c r="I2779" s="354">
        <v>1</v>
      </c>
      <c r="J2779" s="354">
        <v>2</v>
      </c>
      <c r="K2779" s="354">
        <v>0</v>
      </c>
      <c r="L2779" s="354">
        <v>0</v>
      </c>
      <c r="M2779" s="355">
        <v>5</v>
      </c>
      <c r="N2779" s="355">
        <v>4</v>
      </c>
    </row>
    <row r="2780" spans="1:14" hidden="1" x14ac:dyDescent="0.25">
      <c r="A2780" s="354">
        <v>0</v>
      </c>
      <c r="B2780" s="354">
        <v>1</v>
      </c>
      <c r="C2780" s="354">
        <v>1</v>
      </c>
      <c r="D2780" s="354">
        <v>1</v>
      </c>
      <c r="E2780" s="354">
        <v>1</v>
      </c>
      <c r="F2780" s="354">
        <v>1</v>
      </c>
      <c r="G2780" s="354">
        <v>1</v>
      </c>
      <c r="H2780" s="354">
        <v>1</v>
      </c>
      <c r="I2780" s="354">
        <v>1</v>
      </c>
      <c r="J2780" s="354">
        <v>2</v>
      </c>
      <c r="K2780" s="354">
        <v>0</v>
      </c>
      <c r="L2780" s="354">
        <v>0</v>
      </c>
      <c r="M2780" s="355">
        <v>4</v>
      </c>
      <c r="N2780" s="355">
        <v>6</v>
      </c>
    </row>
    <row r="2781" spans="1:14" hidden="1" x14ac:dyDescent="0.25">
      <c r="A2781" s="354">
        <v>0</v>
      </c>
      <c r="B2781" s="354">
        <v>1</v>
      </c>
      <c r="C2781" s="354">
        <v>1</v>
      </c>
      <c r="D2781" s="354">
        <v>1</v>
      </c>
      <c r="E2781" s="354">
        <v>1</v>
      </c>
      <c r="F2781" s="354">
        <v>1</v>
      </c>
      <c r="G2781" s="354">
        <v>1</v>
      </c>
      <c r="H2781" s="354">
        <v>1</v>
      </c>
      <c r="I2781" s="354">
        <v>1</v>
      </c>
      <c r="J2781" s="354">
        <v>2</v>
      </c>
      <c r="K2781" s="354">
        <v>1</v>
      </c>
      <c r="L2781" s="354">
        <v>0</v>
      </c>
      <c r="M2781" s="355">
        <v>5</v>
      </c>
      <c r="N2781" s="355">
        <v>6</v>
      </c>
    </row>
    <row r="2782" spans="1:14" hidden="1" x14ac:dyDescent="0.25">
      <c r="A2782" s="354">
        <v>1</v>
      </c>
      <c r="B2782" s="354">
        <v>0</v>
      </c>
      <c r="C2782" s="354">
        <v>2</v>
      </c>
      <c r="D2782" s="354">
        <v>1</v>
      </c>
      <c r="E2782" s="354">
        <v>1</v>
      </c>
      <c r="F2782" s="354">
        <v>1</v>
      </c>
      <c r="G2782" s="354">
        <v>0</v>
      </c>
      <c r="H2782" s="354">
        <v>0</v>
      </c>
      <c r="I2782" s="354">
        <v>1</v>
      </c>
      <c r="J2782" s="354">
        <v>1</v>
      </c>
      <c r="K2782" s="354">
        <v>0</v>
      </c>
      <c r="L2782" s="354">
        <v>0</v>
      </c>
      <c r="M2782" s="355">
        <v>5</v>
      </c>
      <c r="N2782" s="355">
        <v>3</v>
      </c>
    </row>
    <row r="2783" spans="1:14" hidden="1" x14ac:dyDescent="0.25">
      <c r="A2783" s="354">
        <v>1</v>
      </c>
      <c r="B2783" s="354">
        <v>1</v>
      </c>
      <c r="C2783" s="354">
        <v>2</v>
      </c>
      <c r="D2783" s="354">
        <v>1</v>
      </c>
      <c r="E2783" s="354">
        <v>1</v>
      </c>
      <c r="F2783" s="354">
        <v>0</v>
      </c>
      <c r="G2783" s="354">
        <v>0</v>
      </c>
      <c r="H2783" s="354">
        <v>0</v>
      </c>
      <c r="I2783" s="354">
        <v>0</v>
      </c>
      <c r="J2783" s="354">
        <v>1</v>
      </c>
      <c r="K2783" s="354">
        <v>1</v>
      </c>
      <c r="L2783" s="354">
        <v>0</v>
      </c>
      <c r="M2783" s="355">
        <v>5</v>
      </c>
      <c r="N2783" s="355">
        <v>3</v>
      </c>
    </row>
    <row r="2784" spans="1:14" hidden="1" x14ac:dyDescent="0.25">
      <c r="A2784" s="354">
        <v>0</v>
      </c>
      <c r="B2784" s="354">
        <v>1</v>
      </c>
      <c r="C2784" s="354">
        <v>1</v>
      </c>
      <c r="D2784" s="354">
        <v>0</v>
      </c>
      <c r="E2784" s="354">
        <v>1</v>
      </c>
      <c r="F2784" s="354">
        <v>1</v>
      </c>
      <c r="G2784" s="354">
        <v>0</v>
      </c>
      <c r="H2784" s="354">
        <v>0</v>
      </c>
      <c r="I2784" s="354">
        <v>1</v>
      </c>
      <c r="J2784" s="354">
        <v>1</v>
      </c>
      <c r="K2784" s="354">
        <v>0</v>
      </c>
      <c r="L2784" s="354">
        <v>0</v>
      </c>
      <c r="M2784" s="355">
        <v>3</v>
      </c>
      <c r="N2784" s="355">
        <v>3</v>
      </c>
    </row>
    <row r="2785" spans="1:14" hidden="1" x14ac:dyDescent="0.25">
      <c r="A2785" s="354">
        <v>2</v>
      </c>
      <c r="B2785" s="354">
        <v>0</v>
      </c>
      <c r="C2785" s="354">
        <v>1</v>
      </c>
      <c r="D2785" s="354">
        <v>0</v>
      </c>
      <c r="E2785" s="354">
        <v>1</v>
      </c>
      <c r="F2785" s="354">
        <v>2</v>
      </c>
      <c r="G2785" s="354">
        <v>1</v>
      </c>
      <c r="H2785" s="354">
        <v>0</v>
      </c>
      <c r="I2785" s="354">
        <v>2</v>
      </c>
      <c r="J2785" s="354">
        <v>2</v>
      </c>
      <c r="K2785" s="354">
        <v>0</v>
      </c>
      <c r="L2785" s="354">
        <v>0</v>
      </c>
      <c r="M2785" s="355">
        <v>7</v>
      </c>
      <c r="N2785" s="355">
        <v>4</v>
      </c>
    </row>
    <row r="2786" spans="1:14" hidden="1" x14ac:dyDescent="0.25">
      <c r="A2786" s="354">
        <v>1</v>
      </c>
      <c r="B2786" s="354">
        <v>1</v>
      </c>
      <c r="C2786" s="354">
        <v>1</v>
      </c>
      <c r="D2786" s="354">
        <v>0</v>
      </c>
      <c r="E2786" s="354">
        <v>1</v>
      </c>
      <c r="F2786" s="354">
        <v>1</v>
      </c>
      <c r="G2786" s="354">
        <v>1</v>
      </c>
      <c r="H2786" s="354">
        <v>1</v>
      </c>
      <c r="I2786" s="354">
        <v>1</v>
      </c>
      <c r="J2786" s="354">
        <v>1</v>
      </c>
      <c r="K2786" s="354">
        <v>1</v>
      </c>
      <c r="L2786" s="354">
        <v>1</v>
      </c>
      <c r="M2786" s="355">
        <v>6</v>
      </c>
      <c r="N2786" s="355">
        <v>5</v>
      </c>
    </row>
    <row r="2787" spans="1:14" hidden="1" x14ac:dyDescent="0.25">
      <c r="A2787" s="354">
        <v>1</v>
      </c>
      <c r="B2787" s="354">
        <v>0</v>
      </c>
      <c r="C2787" s="354">
        <v>0</v>
      </c>
      <c r="D2787" s="354">
        <v>1</v>
      </c>
      <c r="E2787" s="354">
        <v>1</v>
      </c>
      <c r="F2787" s="354">
        <v>1</v>
      </c>
      <c r="G2787" s="354">
        <v>1</v>
      </c>
      <c r="H2787" s="354">
        <v>0</v>
      </c>
      <c r="I2787" s="354">
        <v>2</v>
      </c>
      <c r="J2787" s="354">
        <v>2</v>
      </c>
      <c r="K2787" s="354">
        <v>1</v>
      </c>
      <c r="L2787" s="354">
        <v>0</v>
      </c>
      <c r="M2787" s="355">
        <v>6</v>
      </c>
      <c r="N2787" s="355">
        <v>4</v>
      </c>
    </row>
    <row r="2788" spans="1:14" hidden="1" x14ac:dyDescent="0.25">
      <c r="A2788" s="354">
        <v>0</v>
      </c>
      <c r="B2788" s="354">
        <v>1</v>
      </c>
      <c r="C2788" s="354">
        <v>0</v>
      </c>
      <c r="D2788" s="354">
        <v>1</v>
      </c>
      <c r="E2788" s="354">
        <v>1</v>
      </c>
      <c r="F2788" s="354">
        <v>1</v>
      </c>
      <c r="G2788" s="354">
        <v>0</v>
      </c>
      <c r="H2788" s="354">
        <v>0</v>
      </c>
      <c r="I2788" s="354">
        <v>1</v>
      </c>
      <c r="J2788" s="354">
        <v>1</v>
      </c>
      <c r="K2788" s="354">
        <v>0</v>
      </c>
      <c r="L2788" s="354">
        <v>0</v>
      </c>
      <c r="M2788" s="355">
        <v>2</v>
      </c>
      <c r="N2788" s="355">
        <v>4</v>
      </c>
    </row>
    <row r="2789" spans="1:14" hidden="1" x14ac:dyDescent="0.25">
      <c r="A2789" s="354">
        <v>0</v>
      </c>
      <c r="B2789" s="354">
        <v>0</v>
      </c>
      <c r="C2789" s="354">
        <v>0</v>
      </c>
      <c r="D2789" s="354">
        <v>0</v>
      </c>
      <c r="E2789" s="354">
        <v>1</v>
      </c>
      <c r="F2789" s="354">
        <v>0</v>
      </c>
      <c r="G2789" s="354">
        <v>0</v>
      </c>
      <c r="H2789" s="354">
        <v>0</v>
      </c>
      <c r="I2789" s="354">
        <v>0</v>
      </c>
      <c r="J2789" s="354">
        <v>0</v>
      </c>
      <c r="K2789" s="354">
        <v>1</v>
      </c>
      <c r="L2789" s="354">
        <v>0</v>
      </c>
      <c r="M2789" s="355">
        <v>2</v>
      </c>
      <c r="N2789" s="355">
        <v>0</v>
      </c>
    </row>
    <row r="2790" spans="1:14" hidden="1" x14ac:dyDescent="0.25">
      <c r="A2790" s="354">
        <v>1</v>
      </c>
      <c r="B2790" s="354">
        <v>0</v>
      </c>
      <c r="C2790" s="354">
        <v>1</v>
      </c>
      <c r="D2790" s="354">
        <v>0</v>
      </c>
      <c r="E2790" s="354">
        <v>1</v>
      </c>
      <c r="F2790" s="354">
        <v>1</v>
      </c>
      <c r="G2790" s="354">
        <v>0</v>
      </c>
      <c r="H2790" s="354">
        <v>2</v>
      </c>
      <c r="I2790" s="354">
        <v>2</v>
      </c>
      <c r="J2790" s="354">
        <v>2</v>
      </c>
      <c r="K2790" s="354">
        <v>0</v>
      </c>
      <c r="L2790" s="354">
        <v>0</v>
      </c>
      <c r="M2790" s="355">
        <v>5</v>
      </c>
      <c r="N2790" s="355">
        <v>5</v>
      </c>
    </row>
    <row r="2791" spans="1:14" hidden="1" x14ac:dyDescent="0.25">
      <c r="A2791" s="354">
        <v>0</v>
      </c>
      <c r="B2791" s="354">
        <v>0</v>
      </c>
      <c r="C2791" s="354">
        <v>0</v>
      </c>
      <c r="D2791" s="354">
        <v>0</v>
      </c>
      <c r="E2791" s="354">
        <v>0</v>
      </c>
      <c r="F2791" s="354">
        <v>0</v>
      </c>
      <c r="G2791" s="354">
        <v>0</v>
      </c>
      <c r="H2791" s="354">
        <v>0</v>
      </c>
      <c r="I2791" s="354">
        <v>1</v>
      </c>
      <c r="J2791" s="354">
        <v>2</v>
      </c>
      <c r="K2791" s="354">
        <v>0</v>
      </c>
      <c r="L2791" s="354">
        <v>0</v>
      </c>
      <c r="M2791" s="355">
        <v>1</v>
      </c>
      <c r="N2791" s="355">
        <v>2</v>
      </c>
    </row>
    <row r="2792" spans="1:14" hidden="1" x14ac:dyDescent="0.25">
      <c r="A2792" s="354">
        <v>0</v>
      </c>
      <c r="B2792" s="354">
        <v>1</v>
      </c>
      <c r="C2792" s="354">
        <v>0</v>
      </c>
      <c r="D2792" s="354">
        <v>1</v>
      </c>
      <c r="E2792" s="354">
        <v>0</v>
      </c>
      <c r="F2792" s="354">
        <v>0</v>
      </c>
      <c r="G2792" s="354">
        <v>1</v>
      </c>
      <c r="H2792" s="354">
        <v>0</v>
      </c>
      <c r="I2792" s="354">
        <v>2</v>
      </c>
      <c r="J2792" s="354">
        <v>2</v>
      </c>
      <c r="K2792" s="354">
        <v>0</v>
      </c>
      <c r="L2792" s="354">
        <v>0</v>
      </c>
      <c r="M2792" s="355">
        <v>3</v>
      </c>
      <c r="N2792" s="355">
        <v>4</v>
      </c>
    </row>
    <row r="2793" spans="1:14" hidden="1" x14ac:dyDescent="0.25">
      <c r="A2793" s="354">
        <v>0</v>
      </c>
      <c r="B2793" s="354">
        <v>0</v>
      </c>
      <c r="C2793" s="354">
        <v>0</v>
      </c>
      <c r="D2793" s="354">
        <v>1</v>
      </c>
      <c r="E2793" s="354">
        <v>0</v>
      </c>
      <c r="F2793" s="354">
        <v>0</v>
      </c>
      <c r="G2793" s="354">
        <v>0</v>
      </c>
      <c r="H2793" s="354">
        <v>0</v>
      </c>
      <c r="I2793" s="354">
        <v>1</v>
      </c>
      <c r="J2793" s="354">
        <v>1</v>
      </c>
      <c r="K2793" s="354">
        <v>0</v>
      </c>
      <c r="L2793" s="354">
        <v>0</v>
      </c>
      <c r="M2793" s="355">
        <v>1</v>
      </c>
      <c r="N2793" s="355">
        <v>2</v>
      </c>
    </row>
    <row r="2794" spans="1:14" hidden="1" x14ac:dyDescent="0.25">
      <c r="A2794" s="354">
        <v>0</v>
      </c>
      <c r="B2794" s="354">
        <v>0</v>
      </c>
      <c r="C2794" s="354">
        <v>0</v>
      </c>
      <c r="D2794" s="354">
        <v>0</v>
      </c>
      <c r="E2794" s="354">
        <v>1</v>
      </c>
      <c r="F2794" s="354">
        <v>0</v>
      </c>
      <c r="G2794" s="354">
        <v>1</v>
      </c>
      <c r="H2794" s="354">
        <v>0</v>
      </c>
      <c r="I2794" s="354">
        <v>2</v>
      </c>
      <c r="J2794" s="354">
        <v>1</v>
      </c>
      <c r="K2794" s="354">
        <v>0</v>
      </c>
      <c r="L2794" s="354">
        <v>0</v>
      </c>
      <c r="M2794" s="355">
        <v>4</v>
      </c>
      <c r="N2794" s="355">
        <v>1</v>
      </c>
    </row>
    <row r="2795" spans="1:14" hidden="1" x14ac:dyDescent="0.25">
      <c r="A2795" s="354">
        <v>0</v>
      </c>
      <c r="B2795" s="354">
        <v>1</v>
      </c>
      <c r="C2795" s="354">
        <v>0</v>
      </c>
      <c r="D2795" s="354">
        <v>0</v>
      </c>
      <c r="E2795" s="354">
        <v>1</v>
      </c>
      <c r="F2795" s="354">
        <v>1</v>
      </c>
      <c r="G2795" s="354">
        <v>0</v>
      </c>
      <c r="H2795" s="354">
        <v>0</v>
      </c>
      <c r="I2795" s="354">
        <v>1</v>
      </c>
      <c r="J2795" s="354">
        <v>1</v>
      </c>
      <c r="K2795" s="354">
        <v>0</v>
      </c>
      <c r="L2795" s="354">
        <v>0</v>
      </c>
      <c r="M2795" s="355">
        <v>2</v>
      </c>
      <c r="N2795" s="355">
        <v>3</v>
      </c>
    </row>
    <row r="2796" spans="1:14" hidden="1" x14ac:dyDescent="0.25">
      <c r="A2796" s="354">
        <v>1</v>
      </c>
      <c r="B2796" s="354">
        <v>0</v>
      </c>
      <c r="C2796" s="354">
        <v>1</v>
      </c>
      <c r="D2796" s="354">
        <v>0</v>
      </c>
      <c r="E2796" s="354">
        <v>2</v>
      </c>
      <c r="F2796" s="354">
        <v>1</v>
      </c>
      <c r="G2796" s="354">
        <v>1</v>
      </c>
      <c r="H2796" s="354">
        <v>1</v>
      </c>
      <c r="I2796" s="354">
        <v>1</v>
      </c>
      <c r="J2796" s="354">
        <v>1</v>
      </c>
      <c r="K2796" s="354">
        <v>0</v>
      </c>
      <c r="L2796" s="354">
        <v>0</v>
      </c>
      <c r="M2796" s="355">
        <v>6</v>
      </c>
      <c r="N2796" s="355">
        <v>3</v>
      </c>
    </row>
    <row r="2797" spans="1:14" hidden="1" x14ac:dyDescent="0.25">
      <c r="A2797" s="354">
        <v>1</v>
      </c>
      <c r="B2797" s="354">
        <v>0</v>
      </c>
      <c r="C2797" s="354">
        <v>0</v>
      </c>
      <c r="D2797" s="354">
        <v>1</v>
      </c>
      <c r="E2797" s="354">
        <v>1</v>
      </c>
      <c r="F2797" s="354">
        <v>0</v>
      </c>
      <c r="G2797" s="354">
        <v>1</v>
      </c>
      <c r="H2797" s="354">
        <v>1</v>
      </c>
      <c r="I2797" s="354">
        <v>1</v>
      </c>
      <c r="J2797" s="354">
        <v>2</v>
      </c>
      <c r="K2797" s="354">
        <v>0</v>
      </c>
      <c r="L2797" s="354">
        <v>0</v>
      </c>
      <c r="M2797" s="355">
        <v>4</v>
      </c>
      <c r="N2797" s="355">
        <v>4</v>
      </c>
    </row>
    <row r="2798" spans="1:14" hidden="1" x14ac:dyDescent="0.25">
      <c r="A2798" s="354">
        <v>0</v>
      </c>
      <c r="B2798" s="354">
        <v>1</v>
      </c>
      <c r="C2798" s="354">
        <v>0</v>
      </c>
      <c r="D2798" s="354">
        <v>1</v>
      </c>
      <c r="E2798" s="354">
        <v>1</v>
      </c>
      <c r="F2798" s="354">
        <v>1</v>
      </c>
      <c r="G2798" s="354">
        <v>0</v>
      </c>
      <c r="H2798" s="354">
        <v>0</v>
      </c>
      <c r="I2798" s="354">
        <v>1</v>
      </c>
      <c r="J2798" s="354">
        <v>1</v>
      </c>
      <c r="K2798" s="354">
        <v>0</v>
      </c>
      <c r="L2798" s="354">
        <v>0</v>
      </c>
      <c r="M2798" s="355">
        <v>2</v>
      </c>
      <c r="N2798" s="355">
        <v>4</v>
      </c>
    </row>
    <row r="2799" spans="1:14" hidden="1" x14ac:dyDescent="0.25">
      <c r="A2799" s="354">
        <v>0</v>
      </c>
      <c r="B2799" s="354">
        <v>0</v>
      </c>
      <c r="C2799" s="354">
        <v>0</v>
      </c>
      <c r="D2799" s="354">
        <v>0</v>
      </c>
      <c r="E2799" s="354">
        <v>2</v>
      </c>
      <c r="F2799" s="354">
        <v>1</v>
      </c>
      <c r="G2799" s="354">
        <v>0</v>
      </c>
      <c r="H2799" s="354">
        <v>3</v>
      </c>
      <c r="I2799" s="354">
        <v>2</v>
      </c>
      <c r="J2799" s="354">
        <v>1</v>
      </c>
      <c r="K2799" s="354">
        <v>0</v>
      </c>
      <c r="L2799" s="354">
        <v>0</v>
      </c>
      <c r="M2799" s="355">
        <v>4</v>
      </c>
      <c r="N2799" s="355">
        <v>5</v>
      </c>
    </row>
    <row r="2800" spans="1:14" hidden="1" x14ac:dyDescent="0.25">
      <c r="A2800" s="354">
        <v>0</v>
      </c>
      <c r="B2800" s="354">
        <v>0</v>
      </c>
      <c r="C2800" s="354">
        <v>0</v>
      </c>
      <c r="D2800" s="354">
        <v>2</v>
      </c>
      <c r="E2800" s="354">
        <v>1</v>
      </c>
      <c r="F2800" s="354">
        <v>1</v>
      </c>
      <c r="G2800" s="354">
        <v>1</v>
      </c>
      <c r="H2800" s="354">
        <v>0</v>
      </c>
      <c r="I2800" s="354">
        <v>2</v>
      </c>
      <c r="J2800" s="354">
        <v>1</v>
      </c>
      <c r="K2800" s="354">
        <v>0</v>
      </c>
      <c r="L2800" s="354">
        <v>0</v>
      </c>
      <c r="M2800" s="355">
        <v>4</v>
      </c>
      <c r="N2800" s="355">
        <v>4</v>
      </c>
    </row>
    <row r="2801" spans="1:14" hidden="1" x14ac:dyDescent="0.25">
      <c r="A2801" s="354">
        <v>0</v>
      </c>
      <c r="B2801" s="354">
        <v>0</v>
      </c>
      <c r="C2801" s="354">
        <v>0</v>
      </c>
      <c r="D2801" s="354">
        <v>0</v>
      </c>
      <c r="E2801" s="354">
        <v>2</v>
      </c>
      <c r="F2801" s="354">
        <v>1</v>
      </c>
      <c r="G2801" s="354">
        <v>1</v>
      </c>
      <c r="H2801" s="354">
        <v>1</v>
      </c>
      <c r="I2801" s="354">
        <v>2</v>
      </c>
      <c r="J2801" s="354">
        <v>1</v>
      </c>
      <c r="K2801" s="354">
        <v>0</v>
      </c>
      <c r="L2801" s="354">
        <v>0</v>
      </c>
      <c r="M2801" s="355">
        <v>5</v>
      </c>
      <c r="N2801" s="355">
        <v>3</v>
      </c>
    </row>
    <row r="2802" spans="1:14" hidden="1" x14ac:dyDescent="0.25">
      <c r="A2802" s="354">
        <v>0</v>
      </c>
      <c r="B2802" s="354">
        <v>0</v>
      </c>
      <c r="C2802" s="354">
        <v>0</v>
      </c>
      <c r="D2802" s="354">
        <v>0</v>
      </c>
      <c r="E2802" s="354">
        <v>1</v>
      </c>
      <c r="F2802" s="354">
        <v>1</v>
      </c>
      <c r="G2802" s="354">
        <v>2</v>
      </c>
      <c r="H2802" s="354">
        <v>2</v>
      </c>
      <c r="I2802" s="354">
        <v>2</v>
      </c>
      <c r="J2802" s="354">
        <v>1</v>
      </c>
      <c r="K2802" s="354">
        <v>0</v>
      </c>
      <c r="L2802" s="354">
        <v>0</v>
      </c>
      <c r="M2802" s="355">
        <v>5</v>
      </c>
      <c r="N2802" s="355">
        <v>4</v>
      </c>
    </row>
    <row r="2803" spans="1:14" hidden="1" x14ac:dyDescent="0.25">
      <c r="A2803" s="354">
        <v>0</v>
      </c>
      <c r="B2803" s="354">
        <v>0</v>
      </c>
      <c r="C2803" s="354">
        <v>0</v>
      </c>
      <c r="D2803" s="354">
        <v>0</v>
      </c>
      <c r="E2803" s="354">
        <v>0</v>
      </c>
      <c r="F2803" s="354">
        <v>2</v>
      </c>
      <c r="G2803" s="354">
        <v>2</v>
      </c>
      <c r="H2803" s="354">
        <v>0</v>
      </c>
      <c r="I2803" s="354">
        <v>2</v>
      </c>
      <c r="J2803" s="354">
        <v>1</v>
      </c>
      <c r="K2803" s="354">
        <v>0</v>
      </c>
      <c r="L2803" s="354">
        <v>0</v>
      </c>
      <c r="M2803" s="355">
        <v>4</v>
      </c>
      <c r="N2803" s="355">
        <v>3</v>
      </c>
    </row>
    <row r="2804" spans="1:14" hidden="1" x14ac:dyDescent="0.25">
      <c r="A2804" s="354">
        <v>1</v>
      </c>
      <c r="B2804" s="354">
        <v>0</v>
      </c>
      <c r="C2804" s="354">
        <v>1</v>
      </c>
      <c r="D2804" s="354">
        <v>0</v>
      </c>
      <c r="E2804" s="354">
        <v>1</v>
      </c>
      <c r="F2804" s="354">
        <v>0</v>
      </c>
      <c r="G2804" s="354">
        <v>0</v>
      </c>
      <c r="H2804" s="354">
        <v>0</v>
      </c>
      <c r="I2804" s="354">
        <v>1</v>
      </c>
      <c r="J2804" s="354">
        <v>1</v>
      </c>
      <c r="K2804" s="354">
        <v>0</v>
      </c>
      <c r="L2804" s="354">
        <v>0</v>
      </c>
      <c r="M2804" s="355">
        <v>4</v>
      </c>
      <c r="N2804" s="355">
        <v>1</v>
      </c>
    </row>
    <row r="2805" spans="1:14" hidden="1" x14ac:dyDescent="0.25">
      <c r="A2805" s="354">
        <v>1</v>
      </c>
      <c r="B2805" s="354">
        <v>0</v>
      </c>
      <c r="C2805" s="354">
        <v>1</v>
      </c>
      <c r="D2805" s="354">
        <v>0</v>
      </c>
      <c r="E2805" s="354">
        <v>1</v>
      </c>
      <c r="F2805" s="354">
        <v>1</v>
      </c>
      <c r="G2805" s="354">
        <v>1</v>
      </c>
      <c r="H2805" s="354">
        <v>0</v>
      </c>
      <c r="I2805" s="354">
        <v>1</v>
      </c>
      <c r="J2805" s="354">
        <v>1</v>
      </c>
      <c r="K2805" s="354">
        <v>0</v>
      </c>
      <c r="L2805" s="354">
        <v>0</v>
      </c>
      <c r="M2805" s="355">
        <v>5</v>
      </c>
      <c r="N2805" s="355">
        <v>2</v>
      </c>
    </row>
    <row r="2806" spans="1:14" hidden="1" x14ac:dyDescent="0.25">
      <c r="A2806" s="354">
        <v>0</v>
      </c>
      <c r="B2806" s="354">
        <v>0</v>
      </c>
      <c r="C2806" s="354">
        <v>0</v>
      </c>
      <c r="D2806" s="354">
        <v>0</v>
      </c>
      <c r="E2806" s="354">
        <v>0</v>
      </c>
      <c r="F2806" s="354">
        <v>1</v>
      </c>
      <c r="G2806" s="354">
        <v>0</v>
      </c>
      <c r="H2806" s="354">
        <v>0</v>
      </c>
      <c r="I2806" s="354">
        <v>0</v>
      </c>
      <c r="J2806" s="354">
        <v>1</v>
      </c>
      <c r="K2806" s="354">
        <v>0</v>
      </c>
      <c r="L2806" s="354">
        <v>1</v>
      </c>
      <c r="M2806" s="355">
        <v>0</v>
      </c>
      <c r="N2806" s="355">
        <v>3</v>
      </c>
    </row>
    <row r="2807" spans="1:14" hidden="1" x14ac:dyDescent="0.25">
      <c r="A2807" s="354">
        <v>1</v>
      </c>
      <c r="B2807" s="354">
        <v>0</v>
      </c>
      <c r="C2807" s="354">
        <v>1</v>
      </c>
      <c r="D2807" s="354">
        <v>0</v>
      </c>
      <c r="E2807" s="354">
        <v>1</v>
      </c>
      <c r="F2807" s="354">
        <v>1</v>
      </c>
      <c r="G2807" s="354">
        <v>1</v>
      </c>
      <c r="H2807" s="354">
        <v>0</v>
      </c>
      <c r="I2807" s="354">
        <v>1</v>
      </c>
      <c r="J2807" s="354">
        <v>1</v>
      </c>
      <c r="K2807" s="354">
        <v>0</v>
      </c>
      <c r="L2807" s="354">
        <v>0</v>
      </c>
      <c r="M2807" s="355">
        <v>5</v>
      </c>
      <c r="N2807" s="355">
        <v>2</v>
      </c>
    </row>
    <row r="2808" spans="1:14" hidden="1" x14ac:dyDescent="0.25">
      <c r="A2808" s="354">
        <v>1</v>
      </c>
      <c r="B2808" s="354">
        <v>0</v>
      </c>
      <c r="C2808" s="354">
        <v>0</v>
      </c>
      <c r="D2808" s="354">
        <v>1</v>
      </c>
      <c r="E2808" s="354">
        <v>1</v>
      </c>
      <c r="F2808" s="354">
        <v>1</v>
      </c>
      <c r="G2808" s="354">
        <v>0</v>
      </c>
      <c r="H2808" s="354">
        <v>0</v>
      </c>
      <c r="I2808" s="354">
        <v>1</v>
      </c>
      <c r="J2808" s="354">
        <v>1</v>
      </c>
      <c r="K2808" s="354">
        <v>0</v>
      </c>
      <c r="L2808" s="354">
        <v>0</v>
      </c>
      <c r="M2808" s="355">
        <v>3</v>
      </c>
      <c r="N2808" s="355">
        <v>3</v>
      </c>
    </row>
    <row r="2809" spans="1:14" hidden="1" x14ac:dyDescent="0.25">
      <c r="A2809" s="354">
        <v>1</v>
      </c>
      <c r="B2809" s="354">
        <v>0</v>
      </c>
      <c r="C2809" s="354">
        <v>0</v>
      </c>
      <c r="D2809" s="354">
        <v>0</v>
      </c>
      <c r="E2809" s="354">
        <v>2</v>
      </c>
      <c r="F2809" s="354">
        <v>1</v>
      </c>
      <c r="G2809" s="354">
        <v>1</v>
      </c>
      <c r="H2809" s="354">
        <v>0</v>
      </c>
      <c r="I2809" s="354">
        <v>3</v>
      </c>
      <c r="J2809" s="354">
        <v>2</v>
      </c>
      <c r="K2809" s="354">
        <v>0</v>
      </c>
      <c r="L2809" s="354">
        <v>0</v>
      </c>
      <c r="M2809" s="355">
        <v>7</v>
      </c>
      <c r="N2809" s="355">
        <v>3</v>
      </c>
    </row>
    <row r="2810" spans="1:14" hidden="1" x14ac:dyDescent="0.25">
      <c r="A2810" s="354">
        <v>0</v>
      </c>
      <c r="B2810" s="354">
        <v>0</v>
      </c>
      <c r="C2810" s="354">
        <v>1</v>
      </c>
      <c r="D2810" s="354">
        <v>0</v>
      </c>
      <c r="E2810" s="354">
        <v>2</v>
      </c>
      <c r="F2810" s="354">
        <v>2</v>
      </c>
      <c r="G2810" s="354">
        <v>1</v>
      </c>
      <c r="H2810" s="354">
        <v>2</v>
      </c>
      <c r="I2810" s="354">
        <v>1</v>
      </c>
      <c r="J2810" s="354">
        <v>1</v>
      </c>
      <c r="K2810" s="354">
        <v>0</v>
      </c>
      <c r="L2810" s="354">
        <v>0</v>
      </c>
      <c r="M2810" s="355">
        <v>5</v>
      </c>
      <c r="N2810" s="355">
        <v>5</v>
      </c>
    </row>
    <row r="2811" spans="1:14" hidden="1" x14ac:dyDescent="0.25">
      <c r="A2811" s="354">
        <v>0</v>
      </c>
      <c r="B2811" s="354">
        <v>1</v>
      </c>
      <c r="C2811" s="354">
        <v>0</v>
      </c>
      <c r="D2811" s="354">
        <v>2</v>
      </c>
      <c r="E2811" s="354">
        <v>2</v>
      </c>
      <c r="F2811" s="354">
        <v>1</v>
      </c>
      <c r="G2811" s="354">
        <v>0</v>
      </c>
      <c r="H2811" s="354">
        <v>0</v>
      </c>
      <c r="I2811" s="354">
        <v>1</v>
      </c>
      <c r="J2811" s="354">
        <v>0</v>
      </c>
      <c r="K2811" s="354">
        <v>1</v>
      </c>
      <c r="L2811" s="354">
        <v>1</v>
      </c>
      <c r="M2811" s="355">
        <v>4</v>
      </c>
      <c r="N2811" s="355">
        <v>5</v>
      </c>
    </row>
    <row r="2812" spans="1:14" hidden="1" x14ac:dyDescent="0.25">
      <c r="A2812" s="354">
        <v>1</v>
      </c>
      <c r="B2812" s="354">
        <v>2</v>
      </c>
      <c r="C2812" s="354">
        <v>1</v>
      </c>
      <c r="D2812" s="354">
        <v>2</v>
      </c>
      <c r="E2812" s="354">
        <v>1</v>
      </c>
      <c r="F2812" s="354">
        <v>2</v>
      </c>
      <c r="G2812" s="354">
        <v>1</v>
      </c>
      <c r="H2812" s="354">
        <v>0</v>
      </c>
      <c r="I2812" s="354">
        <v>3</v>
      </c>
      <c r="J2812" s="354">
        <v>3</v>
      </c>
      <c r="K2812" s="354">
        <v>0</v>
      </c>
      <c r="L2812" s="354">
        <v>0</v>
      </c>
      <c r="M2812" s="355">
        <v>7</v>
      </c>
      <c r="N2812" s="355">
        <v>9</v>
      </c>
    </row>
    <row r="2813" spans="1:14" hidden="1" x14ac:dyDescent="0.25">
      <c r="A2813" s="354">
        <v>0</v>
      </c>
      <c r="B2813" s="354">
        <v>0</v>
      </c>
      <c r="C2813" s="354">
        <v>0</v>
      </c>
      <c r="D2813" s="354">
        <v>1</v>
      </c>
      <c r="E2813" s="354">
        <v>3</v>
      </c>
      <c r="F2813" s="354">
        <v>2</v>
      </c>
      <c r="G2813" s="354">
        <v>0</v>
      </c>
      <c r="H2813" s="354">
        <v>2</v>
      </c>
      <c r="I2813" s="354">
        <v>0</v>
      </c>
      <c r="J2813" s="354">
        <v>1</v>
      </c>
      <c r="K2813" s="354">
        <v>0</v>
      </c>
      <c r="L2813" s="354">
        <v>0</v>
      </c>
      <c r="M2813" s="355">
        <v>3</v>
      </c>
      <c r="N2813" s="355">
        <v>6</v>
      </c>
    </row>
    <row r="2814" spans="1:14" hidden="1" x14ac:dyDescent="0.25">
      <c r="A2814" s="354">
        <v>1</v>
      </c>
      <c r="B2814" s="354">
        <v>0</v>
      </c>
      <c r="C2814" s="354">
        <v>0</v>
      </c>
      <c r="D2814" s="354">
        <v>1</v>
      </c>
      <c r="E2814" s="354">
        <v>1</v>
      </c>
      <c r="F2814" s="354">
        <v>1</v>
      </c>
      <c r="G2814" s="354">
        <v>0</v>
      </c>
      <c r="H2814" s="354">
        <v>0</v>
      </c>
      <c r="I2814" s="354">
        <v>0</v>
      </c>
      <c r="J2814" s="354">
        <v>1</v>
      </c>
      <c r="K2814" s="354">
        <v>0</v>
      </c>
      <c r="L2814" s="354">
        <v>0</v>
      </c>
      <c r="M2814" s="355">
        <v>2</v>
      </c>
      <c r="N2814" s="355">
        <v>3</v>
      </c>
    </row>
    <row r="2815" spans="1:14" hidden="1" x14ac:dyDescent="0.25">
      <c r="A2815" s="354">
        <v>0</v>
      </c>
      <c r="B2815" s="354">
        <v>0</v>
      </c>
      <c r="C2815" s="354">
        <v>1</v>
      </c>
      <c r="D2815" s="354">
        <v>2</v>
      </c>
      <c r="E2815" s="354">
        <v>0</v>
      </c>
      <c r="F2815" s="354">
        <v>0</v>
      </c>
      <c r="G2815" s="354">
        <v>0</v>
      </c>
      <c r="H2815" s="354">
        <v>0</v>
      </c>
      <c r="I2815" s="354">
        <v>0</v>
      </c>
      <c r="J2815" s="354">
        <v>1</v>
      </c>
      <c r="K2815" s="354">
        <v>0</v>
      </c>
      <c r="L2815" s="354">
        <v>0</v>
      </c>
      <c r="M2815" s="355">
        <v>1</v>
      </c>
      <c r="N2815" s="355">
        <v>3</v>
      </c>
    </row>
    <row r="2816" spans="1:14" hidden="1" x14ac:dyDescent="0.25">
      <c r="A2816" s="354">
        <v>1</v>
      </c>
      <c r="B2816" s="354">
        <v>0</v>
      </c>
      <c r="C2816" s="354">
        <v>0</v>
      </c>
      <c r="D2816" s="354">
        <v>0</v>
      </c>
      <c r="E2816" s="354">
        <v>0</v>
      </c>
      <c r="F2816" s="354">
        <v>0</v>
      </c>
      <c r="G2816" s="354">
        <v>0</v>
      </c>
      <c r="H2816" s="354">
        <v>0</v>
      </c>
      <c r="I2816" s="354">
        <v>0</v>
      </c>
      <c r="J2816" s="354">
        <v>1</v>
      </c>
      <c r="K2816" s="354">
        <v>0</v>
      </c>
      <c r="L2816" s="354">
        <v>0</v>
      </c>
      <c r="M2816" s="355">
        <v>1</v>
      </c>
      <c r="N2816" s="355">
        <v>1</v>
      </c>
    </row>
    <row r="2817" spans="1:14" hidden="1" x14ac:dyDescent="0.25">
      <c r="A2817" s="354">
        <v>0</v>
      </c>
      <c r="B2817" s="354">
        <v>0</v>
      </c>
      <c r="C2817" s="354">
        <v>1</v>
      </c>
      <c r="D2817" s="354">
        <v>2</v>
      </c>
      <c r="E2817" s="354">
        <v>2</v>
      </c>
      <c r="F2817" s="354">
        <v>0</v>
      </c>
      <c r="G2817" s="354">
        <v>1</v>
      </c>
      <c r="H2817" s="354">
        <v>0</v>
      </c>
      <c r="I2817" s="354">
        <v>1</v>
      </c>
      <c r="J2817" s="354">
        <v>1</v>
      </c>
      <c r="K2817" s="354">
        <v>0</v>
      </c>
      <c r="L2817" s="354">
        <v>0</v>
      </c>
      <c r="M2817" s="355">
        <v>5</v>
      </c>
      <c r="N2817" s="355">
        <v>3</v>
      </c>
    </row>
    <row r="2818" spans="1:14" hidden="1" x14ac:dyDescent="0.25">
      <c r="A2818" s="354">
        <v>1</v>
      </c>
      <c r="B2818" s="354">
        <v>0</v>
      </c>
      <c r="C2818" s="354">
        <v>0</v>
      </c>
      <c r="D2818" s="354">
        <v>2</v>
      </c>
      <c r="E2818" s="354">
        <v>1</v>
      </c>
      <c r="F2818" s="354">
        <v>2</v>
      </c>
      <c r="G2818" s="354">
        <v>0</v>
      </c>
      <c r="H2818" s="354">
        <v>0</v>
      </c>
      <c r="I2818" s="354">
        <v>1</v>
      </c>
      <c r="J2818" s="354">
        <v>1</v>
      </c>
      <c r="K2818" s="354">
        <v>0</v>
      </c>
      <c r="L2818" s="354">
        <v>0</v>
      </c>
      <c r="M2818" s="355">
        <v>3</v>
      </c>
      <c r="N2818" s="355">
        <v>5</v>
      </c>
    </row>
    <row r="2819" spans="1:14" hidden="1" x14ac:dyDescent="0.25">
      <c r="A2819" s="354">
        <v>0</v>
      </c>
      <c r="B2819" s="354">
        <v>1</v>
      </c>
      <c r="C2819" s="354">
        <v>1</v>
      </c>
      <c r="D2819" s="354">
        <v>1</v>
      </c>
      <c r="E2819" s="354">
        <v>1</v>
      </c>
      <c r="F2819" s="354">
        <v>1</v>
      </c>
      <c r="G2819" s="354">
        <v>1</v>
      </c>
      <c r="H2819" s="354">
        <v>2</v>
      </c>
      <c r="I2819" s="354">
        <v>2</v>
      </c>
      <c r="J2819" s="354">
        <v>1</v>
      </c>
      <c r="K2819" s="354">
        <v>0</v>
      </c>
      <c r="L2819" s="354">
        <v>0</v>
      </c>
      <c r="M2819" s="355">
        <v>5</v>
      </c>
      <c r="N2819" s="355">
        <v>6</v>
      </c>
    </row>
    <row r="2820" spans="1:14" hidden="1" x14ac:dyDescent="0.25">
      <c r="A2820" s="354">
        <v>2</v>
      </c>
      <c r="B2820" s="354">
        <v>0</v>
      </c>
      <c r="C2820" s="354">
        <v>1</v>
      </c>
      <c r="D2820" s="354">
        <v>1</v>
      </c>
      <c r="E2820" s="354">
        <v>1</v>
      </c>
      <c r="F2820" s="354">
        <v>0</v>
      </c>
      <c r="G2820" s="354">
        <v>0</v>
      </c>
      <c r="H2820" s="354">
        <v>0</v>
      </c>
      <c r="I2820" s="354">
        <v>1</v>
      </c>
      <c r="J2820" s="354">
        <v>1</v>
      </c>
      <c r="K2820" s="354">
        <v>0</v>
      </c>
      <c r="L2820" s="354">
        <v>0</v>
      </c>
      <c r="M2820" s="355">
        <v>5</v>
      </c>
      <c r="N2820" s="355">
        <v>2</v>
      </c>
    </row>
    <row r="2821" spans="1:14" hidden="1" x14ac:dyDescent="0.25">
      <c r="A2821" s="354">
        <v>1</v>
      </c>
      <c r="B2821" s="354">
        <v>0</v>
      </c>
      <c r="C2821" s="354">
        <v>0</v>
      </c>
      <c r="D2821" s="354">
        <v>1</v>
      </c>
      <c r="E2821" s="354">
        <v>0</v>
      </c>
      <c r="F2821" s="354">
        <v>1</v>
      </c>
      <c r="G2821" s="354">
        <v>0</v>
      </c>
      <c r="H2821" s="354">
        <v>0</v>
      </c>
      <c r="I2821" s="354">
        <v>1</v>
      </c>
      <c r="J2821" s="354">
        <v>1</v>
      </c>
      <c r="K2821" s="354">
        <v>0</v>
      </c>
      <c r="L2821" s="354">
        <v>0</v>
      </c>
      <c r="M2821" s="355">
        <v>2</v>
      </c>
      <c r="N2821" s="355">
        <v>3</v>
      </c>
    </row>
    <row r="2822" spans="1:14" hidden="1" x14ac:dyDescent="0.25">
      <c r="A2822" s="354">
        <v>0</v>
      </c>
      <c r="B2822" s="354">
        <v>0</v>
      </c>
      <c r="C2822" s="354">
        <v>2</v>
      </c>
      <c r="D2822" s="354">
        <v>0</v>
      </c>
      <c r="E2822" s="354">
        <v>1</v>
      </c>
      <c r="F2822" s="354">
        <v>1</v>
      </c>
      <c r="G2822" s="354">
        <v>1</v>
      </c>
      <c r="H2822" s="354">
        <v>1</v>
      </c>
      <c r="I2822" s="354">
        <v>2</v>
      </c>
      <c r="J2822" s="354">
        <v>1</v>
      </c>
      <c r="K2822" s="354">
        <v>0</v>
      </c>
      <c r="L2822" s="354">
        <v>0</v>
      </c>
      <c r="M2822" s="355">
        <v>6</v>
      </c>
      <c r="N2822" s="355">
        <v>3</v>
      </c>
    </row>
    <row r="2823" spans="1:14" hidden="1" x14ac:dyDescent="0.25">
      <c r="A2823" s="354">
        <v>1</v>
      </c>
      <c r="B2823" s="354">
        <v>0</v>
      </c>
      <c r="C2823" s="354">
        <v>0</v>
      </c>
      <c r="D2823" s="354">
        <v>1</v>
      </c>
      <c r="E2823" s="354">
        <v>1</v>
      </c>
      <c r="F2823" s="354">
        <v>1</v>
      </c>
      <c r="G2823" s="354">
        <v>0</v>
      </c>
      <c r="H2823" s="354">
        <v>0</v>
      </c>
      <c r="I2823" s="354">
        <v>1</v>
      </c>
      <c r="J2823" s="354">
        <v>1</v>
      </c>
      <c r="K2823" s="354">
        <v>0</v>
      </c>
      <c r="L2823" s="354">
        <v>0</v>
      </c>
      <c r="M2823" s="355">
        <v>3</v>
      </c>
      <c r="N2823" s="355">
        <v>3</v>
      </c>
    </row>
    <row r="2824" spans="1:14" hidden="1" x14ac:dyDescent="0.25">
      <c r="A2824" s="354">
        <v>0</v>
      </c>
      <c r="B2824" s="354">
        <v>0</v>
      </c>
      <c r="C2824" s="354">
        <v>1</v>
      </c>
      <c r="D2824" s="354">
        <v>0</v>
      </c>
      <c r="E2824" s="354">
        <v>1</v>
      </c>
      <c r="F2824" s="354">
        <v>0</v>
      </c>
      <c r="G2824" s="354">
        <v>0</v>
      </c>
      <c r="H2824" s="354">
        <v>1</v>
      </c>
      <c r="I2824" s="354">
        <v>2</v>
      </c>
      <c r="J2824" s="354">
        <v>1</v>
      </c>
      <c r="K2824" s="354">
        <v>0</v>
      </c>
      <c r="L2824" s="354">
        <v>0</v>
      </c>
      <c r="M2824" s="355">
        <v>4</v>
      </c>
      <c r="N2824" s="355">
        <v>2</v>
      </c>
    </row>
    <row r="2825" spans="1:14" hidden="1" x14ac:dyDescent="0.25">
      <c r="A2825" s="354">
        <v>0</v>
      </c>
      <c r="B2825" s="354">
        <v>1</v>
      </c>
      <c r="C2825" s="354">
        <v>0</v>
      </c>
      <c r="D2825" s="354">
        <v>1</v>
      </c>
      <c r="E2825" s="354">
        <v>0</v>
      </c>
      <c r="F2825" s="354">
        <v>1</v>
      </c>
      <c r="G2825" s="354">
        <v>0</v>
      </c>
      <c r="H2825" s="354">
        <v>1</v>
      </c>
      <c r="I2825" s="354">
        <v>1</v>
      </c>
      <c r="J2825" s="354">
        <v>1</v>
      </c>
      <c r="K2825" s="354">
        <v>0</v>
      </c>
      <c r="L2825" s="354">
        <v>0</v>
      </c>
      <c r="M2825" s="355">
        <v>1</v>
      </c>
      <c r="N2825" s="355">
        <v>5</v>
      </c>
    </row>
    <row r="2826" spans="1:14" hidden="1" x14ac:dyDescent="0.25">
      <c r="A2826" s="354">
        <v>0</v>
      </c>
      <c r="B2826" s="354">
        <v>0</v>
      </c>
      <c r="C2826" s="354">
        <v>1</v>
      </c>
      <c r="D2826" s="354">
        <v>0</v>
      </c>
      <c r="E2826" s="354">
        <v>1</v>
      </c>
      <c r="F2826" s="354">
        <v>0</v>
      </c>
      <c r="G2826" s="354">
        <v>1</v>
      </c>
      <c r="H2826" s="354">
        <v>0</v>
      </c>
      <c r="I2826" s="354">
        <v>2</v>
      </c>
      <c r="J2826" s="354">
        <v>2</v>
      </c>
      <c r="K2826" s="354">
        <v>0</v>
      </c>
      <c r="L2826" s="354">
        <v>0</v>
      </c>
      <c r="M2826" s="355">
        <v>5</v>
      </c>
      <c r="N2826" s="355">
        <v>2</v>
      </c>
    </row>
    <row r="2827" spans="1:14" hidden="1" x14ac:dyDescent="0.25">
      <c r="A2827" s="354">
        <v>0</v>
      </c>
      <c r="B2827" s="354">
        <v>0</v>
      </c>
      <c r="C2827" s="354">
        <v>0</v>
      </c>
      <c r="D2827" s="354">
        <v>0</v>
      </c>
      <c r="E2827" s="354">
        <v>0</v>
      </c>
      <c r="F2827" s="354">
        <v>0</v>
      </c>
      <c r="G2827" s="354">
        <v>0</v>
      </c>
      <c r="H2827" s="354">
        <v>1</v>
      </c>
      <c r="I2827" s="354">
        <v>2</v>
      </c>
      <c r="J2827" s="354">
        <v>1</v>
      </c>
      <c r="K2827" s="354">
        <v>0</v>
      </c>
      <c r="L2827" s="354">
        <v>0</v>
      </c>
      <c r="M2827" s="355">
        <v>2</v>
      </c>
      <c r="N2827" s="355">
        <v>2</v>
      </c>
    </row>
    <row r="2828" spans="1:14" hidden="1" x14ac:dyDescent="0.25">
      <c r="A2828" s="354">
        <v>0</v>
      </c>
      <c r="B2828" s="354">
        <v>0</v>
      </c>
      <c r="C2828" s="354">
        <v>0</v>
      </c>
      <c r="D2828" s="354">
        <v>0</v>
      </c>
      <c r="E2828" s="354">
        <v>0</v>
      </c>
      <c r="F2828" s="354">
        <v>0</v>
      </c>
      <c r="G2828" s="354">
        <v>0</v>
      </c>
      <c r="H2828" s="354">
        <v>0</v>
      </c>
      <c r="I2828" s="354">
        <v>2</v>
      </c>
      <c r="J2828" s="354">
        <v>2</v>
      </c>
      <c r="K2828" s="354">
        <v>0</v>
      </c>
      <c r="L2828" s="354">
        <v>0</v>
      </c>
      <c r="M2828" s="355">
        <v>2</v>
      </c>
      <c r="N2828" s="355">
        <v>2</v>
      </c>
    </row>
    <row r="2829" spans="1:14" hidden="1" x14ac:dyDescent="0.25">
      <c r="A2829" s="354">
        <v>0</v>
      </c>
      <c r="B2829" s="354">
        <v>0</v>
      </c>
      <c r="C2829" s="354">
        <v>0</v>
      </c>
      <c r="D2829" s="354">
        <v>0</v>
      </c>
      <c r="E2829" s="354">
        <v>1</v>
      </c>
      <c r="F2829" s="354">
        <v>0</v>
      </c>
      <c r="G2829" s="354">
        <v>1</v>
      </c>
      <c r="H2829" s="354">
        <v>0</v>
      </c>
      <c r="I2829" s="354">
        <v>2</v>
      </c>
      <c r="J2829" s="354">
        <v>3</v>
      </c>
      <c r="K2829" s="354">
        <v>0</v>
      </c>
      <c r="L2829" s="354">
        <v>0</v>
      </c>
      <c r="M2829" s="355">
        <v>4</v>
      </c>
      <c r="N2829" s="355">
        <v>3</v>
      </c>
    </row>
    <row r="2830" spans="1:14" hidden="1" x14ac:dyDescent="0.25">
      <c r="A2830" s="354">
        <v>0</v>
      </c>
      <c r="B2830" s="354">
        <v>0</v>
      </c>
      <c r="C2830" s="354">
        <v>0</v>
      </c>
      <c r="D2830" s="354">
        <v>0</v>
      </c>
      <c r="E2830" s="354">
        <v>0</v>
      </c>
      <c r="F2830" s="354">
        <v>0</v>
      </c>
      <c r="G2830" s="354">
        <v>1</v>
      </c>
      <c r="H2830" s="354">
        <v>0</v>
      </c>
      <c r="I2830" s="354">
        <v>2</v>
      </c>
      <c r="J2830" s="354">
        <v>2</v>
      </c>
      <c r="K2830" s="354">
        <v>0</v>
      </c>
      <c r="L2830" s="354">
        <v>0</v>
      </c>
      <c r="M2830" s="355">
        <v>3</v>
      </c>
      <c r="N2830" s="355">
        <v>2</v>
      </c>
    </row>
    <row r="2831" spans="1:14" hidden="1" x14ac:dyDescent="0.25">
      <c r="A2831" s="354">
        <v>0</v>
      </c>
      <c r="B2831" s="354">
        <v>0</v>
      </c>
      <c r="C2831" s="354">
        <v>0</v>
      </c>
      <c r="D2831" s="354">
        <v>0</v>
      </c>
      <c r="E2831" s="354">
        <v>0</v>
      </c>
      <c r="F2831" s="354">
        <v>0</v>
      </c>
      <c r="G2831" s="354">
        <v>0</v>
      </c>
      <c r="H2831" s="354">
        <v>0</v>
      </c>
      <c r="I2831" s="354">
        <v>3</v>
      </c>
      <c r="J2831" s="354">
        <v>4</v>
      </c>
      <c r="K2831" s="354">
        <v>0</v>
      </c>
      <c r="L2831" s="354">
        <v>0</v>
      </c>
      <c r="M2831" s="355">
        <v>3</v>
      </c>
      <c r="N2831" s="355">
        <v>4</v>
      </c>
    </row>
    <row r="2832" spans="1:14" hidden="1" x14ac:dyDescent="0.25">
      <c r="A2832" s="354">
        <v>0</v>
      </c>
      <c r="B2832" s="354">
        <v>1</v>
      </c>
      <c r="C2832" s="354">
        <v>0</v>
      </c>
      <c r="D2832" s="354">
        <v>0</v>
      </c>
      <c r="E2832" s="354">
        <v>1</v>
      </c>
      <c r="F2832" s="354">
        <v>2</v>
      </c>
      <c r="G2832" s="354">
        <v>1</v>
      </c>
      <c r="H2832" s="354">
        <v>2</v>
      </c>
      <c r="I2832" s="354">
        <v>2</v>
      </c>
      <c r="J2832" s="354">
        <v>2</v>
      </c>
      <c r="K2832" s="354">
        <v>0</v>
      </c>
      <c r="L2832" s="354">
        <v>0</v>
      </c>
      <c r="M2832" s="355">
        <v>4</v>
      </c>
      <c r="N2832" s="355">
        <v>7</v>
      </c>
    </row>
    <row r="2833" spans="1:14" hidden="1" x14ac:dyDescent="0.25">
      <c r="A2833" s="354">
        <v>1</v>
      </c>
      <c r="B2833" s="354">
        <v>0</v>
      </c>
      <c r="C2833" s="354">
        <v>0</v>
      </c>
      <c r="D2833" s="354">
        <v>1</v>
      </c>
      <c r="E2833" s="354">
        <v>1</v>
      </c>
      <c r="F2833" s="354">
        <v>2</v>
      </c>
      <c r="G2833" s="354">
        <v>0</v>
      </c>
      <c r="H2833" s="354">
        <v>0</v>
      </c>
      <c r="I2833" s="354">
        <v>1</v>
      </c>
      <c r="J2833" s="354">
        <v>2</v>
      </c>
      <c r="K2833" s="354">
        <v>0</v>
      </c>
      <c r="L2833" s="354">
        <v>0</v>
      </c>
      <c r="M2833" s="355">
        <v>3</v>
      </c>
      <c r="N2833" s="355">
        <v>5</v>
      </c>
    </row>
    <row r="2834" spans="1:14" hidden="1" x14ac:dyDescent="0.25">
      <c r="A2834" s="354">
        <v>1</v>
      </c>
      <c r="B2834" s="354">
        <v>0</v>
      </c>
      <c r="C2834" s="354">
        <v>1</v>
      </c>
      <c r="D2834" s="354">
        <v>2</v>
      </c>
      <c r="E2834" s="354">
        <v>1</v>
      </c>
      <c r="F2834" s="354">
        <v>2</v>
      </c>
      <c r="G2834" s="354">
        <v>1</v>
      </c>
      <c r="H2834" s="354">
        <v>2</v>
      </c>
      <c r="I2834" s="354">
        <v>1</v>
      </c>
      <c r="J2834" s="354">
        <v>1</v>
      </c>
      <c r="K2834" s="354">
        <v>0</v>
      </c>
      <c r="L2834" s="354">
        <v>0</v>
      </c>
      <c r="M2834" s="355">
        <v>5</v>
      </c>
      <c r="N2834" s="355">
        <v>7</v>
      </c>
    </row>
    <row r="2835" spans="1:14" hidden="1" x14ac:dyDescent="0.25">
      <c r="A2835" s="354">
        <v>0</v>
      </c>
      <c r="B2835" s="354">
        <v>1</v>
      </c>
      <c r="C2835" s="354">
        <v>1</v>
      </c>
      <c r="D2835" s="354">
        <v>0</v>
      </c>
      <c r="E2835" s="354">
        <v>1</v>
      </c>
      <c r="F2835" s="354">
        <v>0</v>
      </c>
      <c r="G2835" s="354">
        <v>1</v>
      </c>
      <c r="H2835" s="354">
        <v>0</v>
      </c>
      <c r="I2835" s="354">
        <v>1</v>
      </c>
      <c r="J2835" s="354">
        <v>1</v>
      </c>
      <c r="K2835" s="354">
        <v>1</v>
      </c>
      <c r="L2835" s="354">
        <v>0</v>
      </c>
      <c r="M2835" s="355">
        <v>5</v>
      </c>
      <c r="N2835" s="355">
        <v>2</v>
      </c>
    </row>
    <row r="2836" spans="1:14" hidden="1" x14ac:dyDescent="0.25">
      <c r="A2836" s="354">
        <v>0</v>
      </c>
      <c r="B2836" s="354">
        <v>0</v>
      </c>
      <c r="C2836" s="354">
        <v>1</v>
      </c>
      <c r="D2836" s="354">
        <v>1</v>
      </c>
      <c r="E2836" s="354">
        <v>0</v>
      </c>
      <c r="F2836" s="354">
        <v>1</v>
      </c>
      <c r="G2836" s="354">
        <v>1</v>
      </c>
      <c r="H2836" s="354">
        <v>2</v>
      </c>
      <c r="I2836" s="354">
        <v>2</v>
      </c>
      <c r="J2836" s="354">
        <v>2</v>
      </c>
      <c r="K2836" s="354">
        <v>0</v>
      </c>
      <c r="L2836" s="354">
        <v>0</v>
      </c>
      <c r="M2836" s="355">
        <v>4</v>
      </c>
      <c r="N2836" s="355">
        <v>6</v>
      </c>
    </row>
    <row r="2837" spans="1:14" hidden="1" x14ac:dyDescent="0.25">
      <c r="A2837" s="354">
        <v>0</v>
      </c>
      <c r="B2837" s="354">
        <v>0</v>
      </c>
      <c r="C2837" s="354">
        <v>0</v>
      </c>
      <c r="D2837" s="354">
        <v>0</v>
      </c>
      <c r="E2837" s="354">
        <v>2</v>
      </c>
      <c r="F2837" s="354">
        <v>2</v>
      </c>
      <c r="G2837" s="354">
        <v>1</v>
      </c>
      <c r="H2837" s="354"/>
      <c r="I2837" s="354">
        <v>3</v>
      </c>
      <c r="J2837" s="354">
        <v>2</v>
      </c>
      <c r="K2837" s="354">
        <v>0</v>
      </c>
      <c r="L2837" s="354">
        <v>0</v>
      </c>
      <c r="M2837" s="355">
        <v>6</v>
      </c>
      <c r="N2837" s="355">
        <v>4</v>
      </c>
    </row>
    <row r="2838" spans="1:14" hidden="1" x14ac:dyDescent="0.25">
      <c r="A2838" s="354">
        <v>1</v>
      </c>
      <c r="B2838" s="354">
        <v>0</v>
      </c>
      <c r="C2838" s="354">
        <v>1</v>
      </c>
      <c r="D2838" s="354">
        <v>0</v>
      </c>
      <c r="E2838" s="354">
        <v>2</v>
      </c>
      <c r="F2838" s="354">
        <v>0</v>
      </c>
      <c r="G2838" s="354">
        <v>1</v>
      </c>
      <c r="H2838" s="354">
        <v>0</v>
      </c>
      <c r="I2838" s="354">
        <v>1</v>
      </c>
      <c r="J2838" s="354">
        <v>2</v>
      </c>
      <c r="K2838" s="354">
        <v>0</v>
      </c>
      <c r="L2838" s="354">
        <v>0</v>
      </c>
      <c r="M2838" s="355">
        <v>6</v>
      </c>
      <c r="N2838" s="355">
        <v>2</v>
      </c>
    </row>
    <row r="2839" spans="1:14" hidden="1" x14ac:dyDescent="0.25">
      <c r="A2839" s="354">
        <v>0</v>
      </c>
      <c r="B2839" s="354">
        <v>0</v>
      </c>
      <c r="C2839" s="354">
        <v>0</v>
      </c>
      <c r="D2839" s="354">
        <v>0</v>
      </c>
      <c r="E2839" s="354">
        <v>0</v>
      </c>
      <c r="F2839" s="354">
        <v>0</v>
      </c>
      <c r="G2839" s="354">
        <v>0</v>
      </c>
      <c r="H2839" s="354">
        <v>0</v>
      </c>
      <c r="I2839" s="354">
        <v>6</v>
      </c>
      <c r="J2839" s="354">
        <v>4</v>
      </c>
      <c r="K2839" s="354">
        <v>0</v>
      </c>
      <c r="L2839" s="354">
        <v>0</v>
      </c>
      <c r="M2839" s="355">
        <v>6</v>
      </c>
      <c r="N2839" s="355">
        <v>4</v>
      </c>
    </row>
    <row r="2840" spans="1:14" hidden="1" x14ac:dyDescent="0.25">
      <c r="A2840" s="354">
        <v>3</v>
      </c>
      <c r="B2840" s="354">
        <v>0</v>
      </c>
      <c r="C2840" s="354">
        <v>4</v>
      </c>
      <c r="D2840" s="354">
        <v>0</v>
      </c>
      <c r="E2840" s="354">
        <v>4</v>
      </c>
      <c r="F2840" s="354">
        <v>3</v>
      </c>
      <c r="G2840" s="354">
        <v>3</v>
      </c>
      <c r="H2840" s="354">
        <v>1</v>
      </c>
      <c r="I2840" s="354">
        <v>6</v>
      </c>
      <c r="J2840" s="354">
        <v>7</v>
      </c>
      <c r="K2840" s="354">
        <v>1</v>
      </c>
      <c r="L2840" s="354">
        <v>0</v>
      </c>
      <c r="M2840" s="355">
        <v>21</v>
      </c>
      <c r="N2840" s="355">
        <v>11</v>
      </c>
    </row>
    <row r="2841" spans="1:14" hidden="1" x14ac:dyDescent="0.25">
      <c r="A2841" s="354">
        <v>1</v>
      </c>
      <c r="B2841" s="354">
        <v>0</v>
      </c>
      <c r="C2841" s="354">
        <v>2</v>
      </c>
      <c r="D2841" s="354">
        <v>1</v>
      </c>
      <c r="E2841" s="354">
        <v>0</v>
      </c>
      <c r="F2841" s="354">
        <v>1</v>
      </c>
      <c r="G2841" s="354">
        <v>0</v>
      </c>
      <c r="H2841" s="354">
        <v>1</v>
      </c>
      <c r="I2841" s="354">
        <v>1</v>
      </c>
      <c r="J2841" s="354">
        <v>1</v>
      </c>
      <c r="K2841" s="354">
        <v>0</v>
      </c>
      <c r="L2841" s="354">
        <v>0</v>
      </c>
      <c r="M2841" s="355">
        <v>4</v>
      </c>
      <c r="N2841" s="355">
        <v>4</v>
      </c>
    </row>
    <row r="2842" spans="1:14" hidden="1" x14ac:dyDescent="0.25">
      <c r="A2842" s="354">
        <v>1</v>
      </c>
      <c r="B2842" s="354">
        <v>1</v>
      </c>
      <c r="C2842" s="354">
        <v>0</v>
      </c>
      <c r="D2842" s="354">
        <v>2</v>
      </c>
      <c r="E2842" s="354">
        <v>0</v>
      </c>
      <c r="F2842" s="354">
        <v>0</v>
      </c>
      <c r="G2842" s="354">
        <v>1</v>
      </c>
      <c r="H2842" s="354">
        <v>0</v>
      </c>
      <c r="I2842" s="354">
        <v>1</v>
      </c>
      <c r="J2842" s="354">
        <v>1</v>
      </c>
      <c r="K2842" s="354">
        <v>0</v>
      </c>
      <c r="L2842" s="354">
        <v>0</v>
      </c>
      <c r="M2842" s="355">
        <v>3</v>
      </c>
      <c r="N2842" s="355">
        <v>4</v>
      </c>
    </row>
    <row r="2843" spans="1:14" hidden="1" x14ac:dyDescent="0.25">
      <c r="A2843" s="354">
        <v>0</v>
      </c>
      <c r="B2843" s="354">
        <v>1</v>
      </c>
      <c r="C2843" s="354">
        <v>0</v>
      </c>
      <c r="D2843" s="354">
        <v>1</v>
      </c>
      <c r="E2843" s="354">
        <v>0</v>
      </c>
      <c r="F2843" s="354">
        <v>1</v>
      </c>
      <c r="G2843" s="354">
        <v>0</v>
      </c>
      <c r="H2843" s="354">
        <v>1</v>
      </c>
      <c r="I2843" s="354">
        <v>2</v>
      </c>
      <c r="J2843" s="354">
        <v>2</v>
      </c>
      <c r="K2843" s="354">
        <v>0</v>
      </c>
      <c r="L2843" s="354">
        <v>0</v>
      </c>
      <c r="M2843" s="355">
        <v>2</v>
      </c>
      <c r="N2843" s="355">
        <v>6</v>
      </c>
    </row>
    <row r="2844" spans="1:14" hidden="1" x14ac:dyDescent="0.25">
      <c r="A2844" s="354">
        <v>0</v>
      </c>
      <c r="B2844" s="354">
        <v>1</v>
      </c>
      <c r="C2844" s="354">
        <v>0</v>
      </c>
      <c r="D2844" s="354">
        <v>1</v>
      </c>
      <c r="E2844" s="354">
        <v>1</v>
      </c>
      <c r="F2844" s="354">
        <v>0</v>
      </c>
      <c r="G2844" s="354">
        <v>1</v>
      </c>
      <c r="H2844" s="354">
        <v>0</v>
      </c>
      <c r="I2844" s="354">
        <v>1</v>
      </c>
      <c r="J2844" s="354">
        <v>1</v>
      </c>
      <c r="K2844" s="354">
        <v>0</v>
      </c>
      <c r="L2844" s="354">
        <v>0</v>
      </c>
      <c r="M2844" s="355">
        <v>3</v>
      </c>
      <c r="N2844" s="355">
        <v>3</v>
      </c>
    </row>
    <row r="2845" spans="1:14" hidden="1" x14ac:dyDescent="0.25">
      <c r="A2845" s="354">
        <v>0</v>
      </c>
      <c r="B2845" s="354">
        <v>0</v>
      </c>
      <c r="C2845" s="354">
        <v>1</v>
      </c>
      <c r="D2845" s="354">
        <v>1</v>
      </c>
      <c r="E2845" s="354">
        <v>0</v>
      </c>
      <c r="F2845" s="354">
        <v>1</v>
      </c>
      <c r="G2845" s="354">
        <v>0</v>
      </c>
      <c r="H2845" s="354">
        <v>1</v>
      </c>
      <c r="I2845" s="354">
        <v>1</v>
      </c>
      <c r="J2845" s="354">
        <v>1</v>
      </c>
      <c r="K2845" s="354">
        <v>0</v>
      </c>
      <c r="L2845" s="354">
        <v>0</v>
      </c>
      <c r="M2845" s="355">
        <v>2</v>
      </c>
      <c r="N2845" s="355">
        <v>4</v>
      </c>
    </row>
    <row r="2846" spans="1:14" hidden="1" x14ac:dyDescent="0.25">
      <c r="A2846" s="354">
        <v>0</v>
      </c>
      <c r="B2846" s="354">
        <v>1</v>
      </c>
      <c r="C2846" s="354">
        <v>1</v>
      </c>
      <c r="D2846" s="354">
        <v>2</v>
      </c>
      <c r="E2846" s="354">
        <v>0</v>
      </c>
      <c r="F2846" s="354">
        <v>0</v>
      </c>
      <c r="G2846" s="354">
        <v>1</v>
      </c>
      <c r="H2846" s="354">
        <v>1</v>
      </c>
      <c r="I2846" s="354">
        <v>1</v>
      </c>
      <c r="J2846" s="354">
        <v>1</v>
      </c>
      <c r="K2846" s="354">
        <v>0</v>
      </c>
      <c r="L2846" s="354">
        <v>0</v>
      </c>
      <c r="M2846" s="355">
        <v>3</v>
      </c>
      <c r="N2846" s="355">
        <v>5</v>
      </c>
    </row>
    <row r="2847" spans="1:14" hidden="1" x14ac:dyDescent="0.25">
      <c r="A2847" s="354">
        <v>1</v>
      </c>
      <c r="B2847" s="354">
        <v>1</v>
      </c>
      <c r="C2847" s="354">
        <v>0</v>
      </c>
      <c r="D2847" s="354">
        <v>1</v>
      </c>
      <c r="E2847" s="354">
        <v>0</v>
      </c>
      <c r="F2847" s="354">
        <v>1</v>
      </c>
      <c r="G2847" s="354">
        <v>0</v>
      </c>
      <c r="H2847" s="354">
        <v>0</v>
      </c>
      <c r="I2847" s="354">
        <v>1</v>
      </c>
      <c r="J2847" s="354">
        <v>1</v>
      </c>
      <c r="K2847" s="354">
        <v>0</v>
      </c>
      <c r="L2847" s="354">
        <v>0</v>
      </c>
      <c r="M2847" s="355">
        <v>2</v>
      </c>
      <c r="N2847" s="355">
        <v>4</v>
      </c>
    </row>
    <row r="2848" spans="1:14" hidden="1" x14ac:dyDescent="0.25">
      <c r="A2848" s="354">
        <v>0</v>
      </c>
      <c r="B2848" s="354">
        <v>1</v>
      </c>
      <c r="C2848" s="354">
        <v>1</v>
      </c>
      <c r="D2848" s="354">
        <v>0</v>
      </c>
      <c r="E2848" s="354">
        <v>2</v>
      </c>
      <c r="F2848" s="354">
        <v>2</v>
      </c>
      <c r="G2848" s="354">
        <v>2</v>
      </c>
      <c r="H2848" s="354">
        <v>0</v>
      </c>
      <c r="I2848" s="354">
        <v>1</v>
      </c>
      <c r="J2848" s="354">
        <v>1</v>
      </c>
      <c r="K2848" s="354">
        <v>0</v>
      </c>
      <c r="L2848" s="354">
        <v>0</v>
      </c>
      <c r="M2848" s="355">
        <v>6</v>
      </c>
      <c r="N2848" s="355">
        <v>4</v>
      </c>
    </row>
    <row r="2849" spans="1:14" hidden="1" x14ac:dyDescent="0.25">
      <c r="A2849" s="354">
        <v>0</v>
      </c>
      <c r="B2849" s="354">
        <v>0</v>
      </c>
      <c r="C2849" s="354">
        <v>2</v>
      </c>
      <c r="D2849" s="354">
        <v>1</v>
      </c>
      <c r="E2849" s="354">
        <v>0</v>
      </c>
      <c r="F2849" s="354">
        <v>1</v>
      </c>
      <c r="G2849" s="354">
        <v>0</v>
      </c>
      <c r="H2849" s="354">
        <v>0</v>
      </c>
      <c r="I2849" s="354">
        <v>1</v>
      </c>
      <c r="J2849" s="354">
        <v>1</v>
      </c>
      <c r="K2849" s="354">
        <v>0</v>
      </c>
      <c r="L2849" s="354">
        <v>0</v>
      </c>
      <c r="M2849" s="355">
        <v>3</v>
      </c>
      <c r="N2849" s="355">
        <v>3</v>
      </c>
    </row>
    <row r="2850" spans="1:14" hidden="1" x14ac:dyDescent="0.25">
      <c r="A2850" s="354">
        <v>0</v>
      </c>
      <c r="B2850" s="354">
        <v>0</v>
      </c>
      <c r="C2850" s="354">
        <v>1</v>
      </c>
      <c r="D2850" s="354">
        <v>0</v>
      </c>
      <c r="E2850" s="354">
        <v>1</v>
      </c>
      <c r="F2850" s="354">
        <v>1</v>
      </c>
      <c r="G2850" s="354">
        <v>0</v>
      </c>
      <c r="H2850" s="354">
        <v>1</v>
      </c>
      <c r="I2850" s="354">
        <v>1</v>
      </c>
      <c r="J2850" s="354">
        <v>2</v>
      </c>
      <c r="K2850" s="354">
        <v>0</v>
      </c>
      <c r="L2850" s="354">
        <v>0</v>
      </c>
      <c r="M2850" s="355">
        <v>3</v>
      </c>
      <c r="N2850" s="355">
        <v>4</v>
      </c>
    </row>
    <row r="2851" spans="1:14" hidden="1" x14ac:dyDescent="0.25">
      <c r="A2851" s="354">
        <v>1</v>
      </c>
      <c r="B2851" s="354">
        <v>1</v>
      </c>
      <c r="C2851" s="354">
        <v>1</v>
      </c>
      <c r="D2851" s="354">
        <v>0</v>
      </c>
      <c r="E2851" s="354">
        <v>1</v>
      </c>
      <c r="F2851" s="354">
        <v>1</v>
      </c>
      <c r="G2851" s="354">
        <v>1</v>
      </c>
      <c r="H2851" s="354">
        <v>0</v>
      </c>
      <c r="I2851" s="354">
        <v>2</v>
      </c>
      <c r="J2851" s="354">
        <v>2</v>
      </c>
      <c r="K2851" s="354">
        <v>1</v>
      </c>
      <c r="L2851" s="354">
        <v>0</v>
      </c>
      <c r="M2851" s="355">
        <v>7</v>
      </c>
      <c r="N2851" s="355">
        <v>4</v>
      </c>
    </row>
    <row r="2852" spans="1:14" hidden="1" x14ac:dyDescent="0.25">
      <c r="A2852" s="354">
        <v>1</v>
      </c>
      <c r="B2852" s="354">
        <v>1</v>
      </c>
      <c r="C2852" s="354">
        <v>1</v>
      </c>
      <c r="D2852" s="354">
        <v>2</v>
      </c>
      <c r="E2852" s="354">
        <v>1</v>
      </c>
      <c r="F2852" s="354">
        <v>3</v>
      </c>
      <c r="G2852" s="354">
        <v>2</v>
      </c>
      <c r="H2852" s="354">
        <v>1</v>
      </c>
      <c r="I2852" s="354">
        <v>0</v>
      </c>
      <c r="J2852" s="354">
        <v>1</v>
      </c>
      <c r="K2852" s="354">
        <v>0</v>
      </c>
      <c r="L2852" s="354">
        <v>0</v>
      </c>
      <c r="M2852" s="355">
        <v>5</v>
      </c>
      <c r="N2852" s="355">
        <v>8</v>
      </c>
    </row>
    <row r="2853" spans="1:14" hidden="1" x14ac:dyDescent="0.25">
      <c r="A2853" s="354">
        <v>0</v>
      </c>
      <c r="B2853" s="354">
        <v>0</v>
      </c>
      <c r="C2853" s="354">
        <v>0</v>
      </c>
      <c r="D2853" s="354">
        <v>3</v>
      </c>
      <c r="E2853" s="354">
        <v>2</v>
      </c>
      <c r="F2853" s="354">
        <v>0</v>
      </c>
      <c r="G2853" s="354">
        <v>1</v>
      </c>
      <c r="H2853" s="354">
        <v>2</v>
      </c>
      <c r="I2853" s="354">
        <v>0</v>
      </c>
      <c r="J2853" s="354">
        <v>1</v>
      </c>
      <c r="K2853" s="354">
        <v>0</v>
      </c>
      <c r="L2853" s="354">
        <v>0</v>
      </c>
      <c r="M2853" s="355">
        <v>3</v>
      </c>
      <c r="N2853" s="355">
        <v>6</v>
      </c>
    </row>
    <row r="2854" spans="1:14" hidden="1" x14ac:dyDescent="0.25">
      <c r="A2854" s="354">
        <v>0</v>
      </c>
      <c r="B2854" s="354">
        <v>1</v>
      </c>
      <c r="C2854" s="354">
        <v>1</v>
      </c>
      <c r="D2854" s="354">
        <v>0</v>
      </c>
      <c r="E2854" s="354">
        <v>0</v>
      </c>
      <c r="F2854" s="354">
        <v>3</v>
      </c>
      <c r="G2854" s="354">
        <v>0</v>
      </c>
      <c r="H2854" s="354">
        <v>2</v>
      </c>
      <c r="I2854" s="354">
        <v>1</v>
      </c>
      <c r="J2854" s="354">
        <v>1</v>
      </c>
      <c r="K2854" s="354">
        <v>0</v>
      </c>
      <c r="L2854" s="354">
        <v>0</v>
      </c>
      <c r="M2854" s="355">
        <v>2</v>
      </c>
      <c r="N2854" s="355">
        <v>7</v>
      </c>
    </row>
    <row r="2855" spans="1:14" hidden="1" x14ac:dyDescent="0.25">
      <c r="A2855" s="354">
        <v>0</v>
      </c>
      <c r="B2855" s="354">
        <v>0</v>
      </c>
      <c r="C2855" s="354">
        <v>0</v>
      </c>
      <c r="D2855" s="354">
        <v>0</v>
      </c>
      <c r="E2855" s="354">
        <v>1</v>
      </c>
      <c r="F2855" s="354">
        <v>1</v>
      </c>
      <c r="G2855" s="354">
        <v>2</v>
      </c>
      <c r="H2855" s="354">
        <v>0</v>
      </c>
      <c r="I2855" s="354">
        <v>0</v>
      </c>
      <c r="J2855" s="354">
        <v>1</v>
      </c>
      <c r="K2855" s="354">
        <v>0</v>
      </c>
      <c r="L2855" s="354">
        <v>0</v>
      </c>
      <c r="M2855" s="355">
        <v>3</v>
      </c>
      <c r="N2855" s="355">
        <v>2</v>
      </c>
    </row>
    <row r="2856" spans="1:14" hidden="1" x14ac:dyDescent="0.25">
      <c r="A2856" s="354">
        <v>1</v>
      </c>
      <c r="B2856" s="354">
        <v>0</v>
      </c>
      <c r="C2856" s="354">
        <v>0</v>
      </c>
      <c r="D2856" s="354">
        <v>0</v>
      </c>
      <c r="E2856" s="354">
        <v>2</v>
      </c>
      <c r="F2856" s="354">
        <v>0</v>
      </c>
      <c r="G2856" s="354">
        <v>3</v>
      </c>
      <c r="H2856" s="354">
        <v>0</v>
      </c>
      <c r="I2856" s="354">
        <v>1</v>
      </c>
      <c r="J2856" s="354">
        <v>0</v>
      </c>
      <c r="K2856" s="354">
        <v>0</v>
      </c>
      <c r="L2856" s="354">
        <v>0</v>
      </c>
      <c r="M2856" s="355">
        <v>7</v>
      </c>
      <c r="N2856" s="355">
        <v>0</v>
      </c>
    </row>
    <row r="2857" spans="1:14" hidden="1" x14ac:dyDescent="0.25">
      <c r="A2857" s="354">
        <v>0</v>
      </c>
      <c r="B2857" s="354">
        <v>0</v>
      </c>
      <c r="C2857" s="354">
        <v>1</v>
      </c>
      <c r="D2857" s="354">
        <v>0</v>
      </c>
      <c r="E2857" s="354">
        <v>0</v>
      </c>
      <c r="F2857" s="354">
        <v>1</v>
      </c>
      <c r="G2857" s="354">
        <v>1</v>
      </c>
      <c r="H2857" s="354">
        <v>0</v>
      </c>
      <c r="I2857" s="354">
        <v>1</v>
      </c>
      <c r="J2857" s="354">
        <v>1</v>
      </c>
      <c r="K2857" s="354">
        <v>0</v>
      </c>
      <c r="L2857" s="354">
        <v>0</v>
      </c>
      <c r="M2857" s="355">
        <v>3</v>
      </c>
      <c r="N2857" s="355">
        <v>2</v>
      </c>
    </row>
    <row r="2858" spans="1:14" hidden="1" x14ac:dyDescent="0.25">
      <c r="A2858" s="354">
        <v>0</v>
      </c>
      <c r="B2858" s="354">
        <v>0</v>
      </c>
      <c r="C2858" s="354">
        <v>1</v>
      </c>
      <c r="D2858" s="354">
        <v>0</v>
      </c>
      <c r="E2858" s="354">
        <v>0</v>
      </c>
      <c r="F2858" s="354">
        <v>2</v>
      </c>
      <c r="G2858" s="354">
        <v>2</v>
      </c>
      <c r="H2858" s="354">
        <v>0</v>
      </c>
      <c r="I2858" s="354">
        <v>0</v>
      </c>
      <c r="J2858" s="354">
        <v>1</v>
      </c>
      <c r="K2858" s="354">
        <v>0</v>
      </c>
      <c r="L2858" s="354">
        <v>0</v>
      </c>
      <c r="M2858" s="355">
        <v>3</v>
      </c>
      <c r="N2858" s="355">
        <v>3</v>
      </c>
    </row>
    <row r="2859" spans="1:14" hidden="1" x14ac:dyDescent="0.25">
      <c r="A2859" s="354">
        <v>0</v>
      </c>
      <c r="B2859" s="354">
        <v>0</v>
      </c>
      <c r="C2859" s="354">
        <v>0</v>
      </c>
      <c r="D2859" s="354">
        <v>0</v>
      </c>
      <c r="E2859" s="354">
        <v>0</v>
      </c>
      <c r="F2859" s="354">
        <v>2</v>
      </c>
      <c r="G2859" s="354">
        <v>0</v>
      </c>
      <c r="H2859" s="354">
        <v>1</v>
      </c>
      <c r="I2859" s="354">
        <v>2</v>
      </c>
      <c r="J2859" s="354">
        <v>1</v>
      </c>
      <c r="K2859" s="354">
        <v>0</v>
      </c>
      <c r="L2859" s="354">
        <v>0</v>
      </c>
      <c r="M2859" s="355">
        <v>2</v>
      </c>
      <c r="N2859" s="355">
        <v>4</v>
      </c>
    </row>
    <row r="2860" spans="1:14" hidden="1" x14ac:dyDescent="0.25">
      <c r="A2860" s="354">
        <v>1</v>
      </c>
      <c r="B2860" s="354">
        <v>0</v>
      </c>
      <c r="C2860" s="354">
        <v>0</v>
      </c>
      <c r="D2860" s="354">
        <v>2</v>
      </c>
      <c r="E2860" s="354">
        <v>0</v>
      </c>
      <c r="F2860" s="354">
        <v>0</v>
      </c>
      <c r="G2860" s="354">
        <v>0</v>
      </c>
      <c r="H2860" s="354">
        <v>2</v>
      </c>
      <c r="I2860" s="354">
        <v>1</v>
      </c>
      <c r="J2860" s="354">
        <v>1</v>
      </c>
      <c r="K2860" s="354">
        <v>0</v>
      </c>
      <c r="L2860" s="354">
        <v>0</v>
      </c>
      <c r="M2860" s="355">
        <v>2</v>
      </c>
      <c r="N2860" s="355">
        <v>5</v>
      </c>
    </row>
    <row r="2861" spans="1:14" hidden="1" x14ac:dyDescent="0.25">
      <c r="A2861" s="354">
        <v>0</v>
      </c>
      <c r="B2861" s="354">
        <v>1</v>
      </c>
      <c r="C2861" s="354">
        <v>1</v>
      </c>
      <c r="D2861" s="354">
        <v>0</v>
      </c>
      <c r="E2861" s="354">
        <v>1</v>
      </c>
      <c r="F2861" s="354">
        <v>1</v>
      </c>
      <c r="G2861" s="354">
        <v>0</v>
      </c>
      <c r="H2861" s="354">
        <v>0</v>
      </c>
      <c r="I2861" s="354">
        <v>1</v>
      </c>
      <c r="J2861" s="354">
        <v>1</v>
      </c>
      <c r="K2861" s="354">
        <v>0</v>
      </c>
      <c r="L2861" s="354">
        <v>0</v>
      </c>
      <c r="M2861" s="355">
        <v>3</v>
      </c>
      <c r="N2861" s="355">
        <v>3</v>
      </c>
    </row>
    <row r="2862" spans="1:14" hidden="1" x14ac:dyDescent="0.25">
      <c r="A2862" s="354">
        <v>0</v>
      </c>
      <c r="B2862" s="354">
        <v>2</v>
      </c>
      <c r="C2862" s="354">
        <v>1</v>
      </c>
      <c r="D2862" s="354">
        <v>2</v>
      </c>
      <c r="E2862" s="354">
        <v>3</v>
      </c>
      <c r="F2862" s="354">
        <v>0</v>
      </c>
      <c r="G2862" s="354">
        <v>0</v>
      </c>
      <c r="H2862" s="354">
        <v>0</v>
      </c>
      <c r="I2862" s="354">
        <v>1</v>
      </c>
      <c r="J2862" s="354">
        <v>1</v>
      </c>
      <c r="K2862" s="354">
        <v>0</v>
      </c>
      <c r="L2862" s="354">
        <v>0</v>
      </c>
      <c r="M2862" s="355">
        <v>5</v>
      </c>
      <c r="N2862" s="355">
        <v>5</v>
      </c>
    </row>
    <row r="2863" spans="1:14" hidden="1" x14ac:dyDescent="0.25">
      <c r="A2863" s="354">
        <v>0</v>
      </c>
      <c r="B2863" s="354">
        <v>0</v>
      </c>
      <c r="C2863" s="354">
        <v>0</v>
      </c>
      <c r="D2863" s="354">
        <v>0</v>
      </c>
      <c r="E2863" s="354">
        <v>1</v>
      </c>
      <c r="F2863" s="354">
        <v>1</v>
      </c>
      <c r="G2863" s="354">
        <v>1</v>
      </c>
      <c r="H2863" s="354">
        <v>1</v>
      </c>
      <c r="I2863" s="354">
        <v>0</v>
      </c>
      <c r="J2863" s="354">
        <v>1</v>
      </c>
      <c r="K2863" s="354">
        <v>0</v>
      </c>
      <c r="L2863" s="354">
        <v>0</v>
      </c>
      <c r="M2863" s="355">
        <v>2</v>
      </c>
      <c r="N2863" s="355">
        <v>3</v>
      </c>
    </row>
    <row r="2864" spans="1:14" hidden="1" x14ac:dyDescent="0.25">
      <c r="A2864" s="354">
        <v>0</v>
      </c>
      <c r="B2864" s="354">
        <v>0</v>
      </c>
      <c r="C2864" s="354">
        <v>0</v>
      </c>
      <c r="D2864" s="354">
        <v>0</v>
      </c>
      <c r="E2864" s="354">
        <v>0</v>
      </c>
      <c r="F2864" s="354">
        <v>1</v>
      </c>
      <c r="G2864" s="354">
        <v>1</v>
      </c>
      <c r="H2864" s="354">
        <v>0</v>
      </c>
      <c r="I2864" s="354">
        <v>0</v>
      </c>
      <c r="J2864" s="354">
        <v>1</v>
      </c>
      <c r="K2864" s="354">
        <v>0</v>
      </c>
      <c r="L2864" s="354">
        <v>0</v>
      </c>
      <c r="M2864" s="355">
        <v>1</v>
      </c>
      <c r="N2864" s="355">
        <v>2</v>
      </c>
    </row>
    <row r="2865" spans="1:14" hidden="1" x14ac:dyDescent="0.25">
      <c r="A2865" s="354">
        <v>0</v>
      </c>
      <c r="B2865" s="354">
        <v>0</v>
      </c>
      <c r="C2865" s="354">
        <v>0</v>
      </c>
      <c r="D2865" s="354">
        <v>0</v>
      </c>
      <c r="E2865" s="354">
        <v>1</v>
      </c>
      <c r="F2865" s="354">
        <v>1</v>
      </c>
      <c r="G2865" s="354">
        <v>0</v>
      </c>
      <c r="H2865" s="354">
        <v>0</v>
      </c>
      <c r="I2865" s="354">
        <v>0</v>
      </c>
      <c r="J2865" s="354">
        <v>2</v>
      </c>
      <c r="K2865" s="354">
        <v>0</v>
      </c>
      <c r="L2865" s="354">
        <v>0</v>
      </c>
      <c r="M2865" s="355">
        <v>1</v>
      </c>
      <c r="N2865" s="355">
        <v>3</v>
      </c>
    </row>
    <row r="2866" spans="1:14" hidden="1" x14ac:dyDescent="0.25">
      <c r="A2866" s="354">
        <v>0</v>
      </c>
      <c r="B2866" s="354">
        <v>1</v>
      </c>
      <c r="C2866" s="354">
        <v>1</v>
      </c>
      <c r="D2866" s="354">
        <v>1</v>
      </c>
      <c r="E2866" s="354">
        <v>1</v>
      </c>
      <c r="F2866" s="354">
        <v>0</v>
      </c>
      <c r="G2866" s="354">
        <v>0</v>
      </c>
      <c r="H2866" s="354">
        <v>0</v>
      </c>
      <c r="I2866" s="354">
        <v>1</v>
      </c>
      <c r="J2866" s="354">
        <v>0</v>
      </c>
      <c r="K2866" s="354">
        <v>0</v>
      </c>
      <c r="L2866" s="354">
        <v>0</v>
      </c>
      <c r="M2866" s="355">
        <v>3</v>
      </c>
      <c r="N2866" s="355">
        <v>2</v>
      </c>
    </row>
    <row r="2867" spans="1:14" hidden="1" x14ac:dyDescent="0.25">
      <c r="A2867" s="354">
        <v>0</v>
      </c>
      <c r="B2867" s="354">
        <v>0</v>
      </c>
      <c r="C2867" s="354">
        <v>0</v>
      </c>
      <c r="D2867" s="354">
        <v>3</v>
      </c>
      <c r="E2867" s="354">
        <v>2</v>
      </c>
      <c r="F2867" s="354">
        <v>0</v>
      </c>
      <c r="G2867" s="354">
        <v>1</v>
      </c>
      <c r="H2867" s="354">
        <v>2</v>
      </c>
      <c r="I2867" s="354">
        <v>0</v>
      </c>
      <c r="J2867" s="354">
        <v>1</v>
      </c>
      <c r="K2867" s="354">
        <v>0</v>
      </c>
      <c r="L2867" s="354">
        <v>0</v>
      </c>
      <c r="M2867" s="355">
        <v>3</v>
      </c>
      <c r="N2867" s="355">
        <v>6</v>
      </c>
    </row>
    <row r="2868" spans="1:14" hidden="1" x14ac:dyDescent="0.25">
      <c r="A2868" s="354">
        <v>1</v>
      </c>
      <c r="B2868" s="354">
        <v>0</v>
      </c>
      <c r="C2868" s="354">
        <v>1</v>
      </c>
      <c r="D2868" s="354">
        <v>0</v>
      </c>
      <c r="E2868" s="354">
        <v>1</v>
      </c>
      <c r="F2868" s="354">
        <v>0</v>
      </c>
      <c r="G2868" s="354">
        <v>1</v>
      </c>
      <c r="H2868" s="354">
        <v>1</v>
      </c>
      <c r="I2868" s="354">
        <v>1</v>
      </c>
      <c r="J2868" s="354">
        <v>2</v>
      </c>
      <c r="K2868" s="354">
        <v>1</v>
      </c>
      <c r="L2868" s="354">
        <v>0</v>
      </c>
      <c r="M2868" s="355">
        <v>6</v>
      </c>
      <c r="N2868" s="355">
        <v>3</v>
      </c>
    </row>
    <row r="2869" spans="1:14" hidden="1" x14ac:dyDescent="0.25">
      <c r="A2869" s="354">
        <v>0</v>
      </c>
      <c r="B2869" s="354">
        <v>1</v>
      </c>
      <c r="C2869" s="354">
        <v>0</v>
      </c>
      <c r="D2869" s="354">
        <v>0</v>
      </c>
      <c r="E2869" s="354">
        <v>0</v>
      </c>
      <c r="F2869" s="354">
        <v>0</v>
      </c>
      <c r="G2869" s="354">
        <v>0</v>
      </c>
      <c r="H2869" s="354">
        <v>0</v>
      </c>
      <c r="I2869" s="354">
        <v>1</v>
      </c>
      <c r="J2869" s="354">
        <v>1</v>
      </c>
      <c r="K2869" s="354">
        <v>0</v>
      </c>
      <c r="L2869" s="354">
        <v>0</v>
      </c>
      <c r="M2869" s="355">
        <v>1</v>
      </c>
      <c r="N2869" s="355">
        <v>2</v>
      </c>
    </row>
    <row r="2870" spans="1:14" hidden="1" x14ac:dyDescent="0.25">
      <c r="A2870" s="354">
        <v>1</v>
      </c>
      <c r="B2870" s="354">
        <v>0</v>
      </c>
      <c r="C2870" s="354">
        <v>2</v>
      </c>
      <c r="D2870" s="354">
        <v>1</v>
      </c>
      <c r="E2870" s="354">
        <v>0</v>
      </c>
      <c r="F2870" s="354">
        <v>0</v>
      </c>
      <c r="G2870" s="354">
        <v>0</v>
      </c>
      <c r="H2870" s="354">
        <v>0</v>
      </c>
      <c r="I2870" s="354">
        <v>1</v>
      </c>
      <c r="J2870" s="354">
        <v>1</v>
      </c>
      <c r="K2870" s="354">
        <v>0</v>
      </c>
      <c r="L2870" s="354">
        <v>0</v>
      </c>
      <c r="M2870" s="355">
        <v>4</v>
      </c>
      <c r="N2870" s="355">
        <v>2</v>
      </c>
    </row>
    <row r="2871" spans="1:14" hidden="1" x14ac:dyDescent="0.25">
      <c r="A2871" s="354">
        <v>1</v>
      </c>
      <c r="B2871" s="354">
        <v>0</v>
      </c>
      <c r="C2871" s="354">
        <v>0</v>
      </c>
      <c r="D2871" s="354">
        <v>1</v>
      </c>
      <c r="E2871" s="354">
        <v>0</v>
      </c>
      <c r="F2871" s="354">
        <v>0</v>
      </c>
      <c r="G2871" s="354">
        <v>0</v>
      </c>
      <c r="H2871" s="354">
        <v>0</v>
      </c>
      <c r="I2871" s="354">
        <v>1</v>
      </c>
      <c r="J2871" s="354">
        <v>1</v>
      </c>
      <c r="K2871" s="354">
        <v>0</v>
      </c>
      <c r="L2871" s="354">
        <v>0</v>
      </c>
      <c r="M2871" s="355">
        <v>2</v>
      </c>
      <c r="N2871" s="355">
        <v>2</v>
      </c>
    </row>
    <row r="2872" spans="1:14" hidden="1" x14ac:dyDescent="0.25">
      <c r="A2872" s="354">
        <v>0</v>
      </c>
      <c r="B2872" s="354">
        <v>0</v>
      </c>
      <c r="C2872" s="354">
        <v>0</v>
      </c>
      <c r="D2872" s="354">
        <v>0</v>
      </c>
      <c r="E2872" s="354">
        <v>0</v>
      </c>
      <c r="F2872" s="354">
        <v>0</v>
      </c>
      <c r="G2872" s="354">
        <v>0</v>
      </c>
      <c r="H2872" s="354">
        <v>1</v>
      </c>
      <c r="I2872" s="354">
        <v>0</v>
      </c>
      <c r="J2872" s="354">
        <v>2</v>
      </c>
      <c r="K2872" s="354">
        <v>0</v>
      </c>
      <c r="L2872" s="354">
        <v>0</v>
      </c>
      <c r="M2872" s="355">
        <v>0</v>
      </c>
      <c r="N2872" s="355">
        <v>3</v>
      </c>
    </row>
    <row r="2873" spans="1:14" hidden="1" x14ac:dyDescent="0.25">
      <c r="A2873" s="354">
        <v>0</v>
      </c>
      <c r="B2873" s="354">
        <v>0</v>
      </c>
      <c r="C2873" s="354">
        <v>1</v>
      </c>
      <c r="D2873" s="354">
        <v>2</v>
      </c>
      <c r="E2873" s="354">
        <v>0</v>
      </c>
      <c r="F2873" s="354">
        <v>2</v>
      </c>
      <c r="G2873" s="354">
        <v>1</v>
      </c>
      <c r="H2873" s="354">
        <v>0</v>
      </c>
      <c r="I2873" s="354">
        <v>1</v>
      </c>
      <c r="J2873" s="354">
        <v>1</v>
      </c>
      <c r="K2873" s="354">
        <v>0</v>
      </c>
      <c r="L2873" s="354">
        <v>0</v>
      </c>
      <c r="M2873" s="355">
        <v>3</v>
      </c>
      <c r="N2873" s="355">
        <v>5</v>
      </c>
    </row>
    <row r="2874" spans="1:14" hidden="1" x14ac:dyDescent="0.25">
      <c r="A2874" s="354">
        <v>1</v>
      </c>
      <c r="B2874" s="354">
        <v>0</v>
      </c>
      <c r="C2874" s="354">
        <v>1</v>
      </c>
      <c r="D2874" s="354">
        <v>1</v>
      </c>
      <c r="E2874" s="354">
        <v>0</v>
      </c>
      <c r="F2874" s="354">
        <v>0</v>
      </c>
      <c r="G2874" s="354">
        <v>0</v>
      </c>
      <c r="H2874" s="354">
        <v>0</v>
      </c>
      <c r="I2874" s="354">
        <v>1</v>
      </c>
      <c r="J2874" s="354">
        <v>1</v>
      </c>
      <c r="K2874" s="354">
        <v>0</v>
      </c>
      <c r="L2874" s="354">
        <v>0</v>
      </c>
      <c r="M2874" s="355">
        <v>3</v>
      </c>
      <c r="N2874" s="355">
        <v>2</v>
      </c>
    </row>
    <row r="2875" spans="1:14" hidden="1" x14ac:dyDescent="0.25">
      <c r="A2875" s="354">
        <v>1</v>
      </c>
      <c r="B2875" s="354">
        <v>0</v>
      </c>
      <c r="C2875" s="354">
        <v>1</v>
      </c>
      <c r="D2875" s="354">
        <v>0</v>
      </c>
      <c r="E2875" s="354">
        <v>2</v>
      </c>
      <c r="F2875" s="354">
        <v>1</v>
      </c>
      <c r="G2875" s="354">
        <v>0</v>
      </c>
      <c r="H2875" s="354">
        <v>0</v>
      </c>
      <c r="I2875" s="354">
        <v>1</v>
      </c>
      <c r="J2875" s="354">
        <v>1</v>
      </c>
      <c r="K2875" s="354">
        <v>0</v>
      </c>
      <c r="L2875" s="354">
        <v>0</v>
      </c>
      <c r="M2875" s="355">
        <v>5</v>
      </c>
      <c r="N2875" s="355">
        <v>2</v>
      </c>
    </row>
    <row r="2876" spans="1:14" hidden="1" x14ac:dyDescent="0.25">
      <c r="A2876" s="354">
        <v>0</v>
      </c>
      <c r="B2876" s="354">
        <v>1</v>
      </c>
      <c r="C2876" s="354">
        <v>0</v>
      </c>
      <c r="D2876" s="354">
        <v>1</v>
      </c>
      <c r="E2876" s="354">
        <v>2</v>
      </c>
      <c r="F2876" s="354">
        <v>0</v>
      </c>
      <c r="G2876" s="354">
        <v>0</v>
      </c>
      <c r="H2876" s="354">
        <v>0</v>
      </c>
      <c r="I2876" s="354">
        <v>1</v>
      </c>
      <c r="J2876" s="354">
        <v>1</v>
      </c>
      <c r="K2876" s="354">
        <v>0</v>
      </c>
      <c r="L2876" s="354">
        <v>0</v>
      </c>
      <c r="M2876" s="355">
        <v>3</v>
      </c>
      <c r="N2876" s="355">
        <v>3</v>
      </c>
    </row>
    <row r="2877" spans="1:14" hidden="1" x14ac:dyDescent="0.25">
      <c r="A2877" s="354">
        <v>0</v>
      </c>
      <c r="B2877" s="354">
        <v>0</v>
      </c>
      <c r="C2877" s="354">
        <v>0</v>
      </c>
      <c r="D2877" s="354">
        <v>0</v>
      </c>
      <c r="E2877" s="354">
        <v>0</v>
      </c>
      <c r="F2877" s="354">
        <v>0</v>
      </c>
      <c r="G2877" s="354">
        <v>0</v>
      </c>
      <c r="H2877" s="354">
        <v>0</v>
      </c>
      <c r="I2877" s="354">
        <v>1</v>
      </c>
      <c r="J2877" s="354">
        <v>1</v>
      </c>
      <c r="K2877" s="354">
        <v>0</v>
      </c>
      <c r="L2877" s="354">
        <v>0</v>
      </c>
      <c r="M2877" s="355">
        <v>1</v>
      </c>
      <c r="N2877" s="355">
        <v>1</v>
      </c>
    </row>
    <row r="2878" spans="1:14" hidden="1" x14ac:dyDescent="0.25">
      <c r="A2878" s="354">
        <v>0</v>
      </c>
      <c r="B2878" s="354">
        <v>0</v>
      </c>
      <c r="C2878" s="354">
        <v>0</v>
      </c>
      <c r="D2878" s="354">
        <v>0</v>
      </c>
      <c r="E2878" s="354">
        <v>0</v>
      </c>
      <c r="F2878" s="354">
        <v>0</v>
      </c>
      <c r="G2878" s="354">
        <v>0</v>
      </c>
      <c r="H2878" s="354">
        <v>0</v>
      </c>
      <c r="I2878" s="354">
        <v>1</v>
      </c>
      <c r="J2878" s="354">
        <v>1</v>
      </c>
      <c r="K2878" s="354">
        <v>0</v>
      </c>
      <c r="L2878" s="354">
        <v>0</v>
      </c>
      <c r="M2878" s="355">
        <v>1</v>
      </c>
      <c r="N2878" s="355">
        <v>1</v>
      </c>
    </row>
    <row r="2879" spans="1:14" hidden="1" x14ac:dyDescent="0.25">
      <c r="A2879" s="354">
        <v>1</v>
      </c>
      <c r="B2879" s="354">
        <v>0</v>
      </c>
      <c r="C2879" s="354">
        <v>0</v>
      </c>
      <c r="D2879" s="354">
        <v>0</v>
      </c>
      <c r="E2879" s="354">
        <v>0</v>
      </c>
      <c r="F2879" s="354">
        <v>1</v>
      </c>
      <c r="G2879" s="354">
        <v>0</v>
      </c>
      <c r="H2879" s="354">
        <v>0</v>
      </c>
      <c r="I2879" s="354">
        <v>0</v>
      </c>
      <c r="J2879" s="354">
        <v>1</v>
      </c>
      <c r="K2879" s="354">
        <v>0</v>
      </c>
      <c r="L2879" s="354">
        <v>0</v>
      </c>
      <c r="M2879" s="355">
        <v>1</v>
      </c>
      <c r="N2879" s="355">
        <v>2</v>
      </c>
    </row>
    <row r="2880" spans="1:14" hidden="1" x14ac:dyDescent="0.25">
      <c r="A2880" s="354">
        <v>0</v>
      </c>
      <c r="B2880" s="354">
        <v>0</v>
      </c>
      <c r="C2880" s="354">
        <v>0</v>
      </c>
      <c r="D2880" s="354">
        <v>0</v>
      </c>
      <c r="E2880" s="354">
        <v>0</v>
      </c>
      <c r="F2880" s="354">
        <v>0</v>
      </c>
      <c r="G2880" s="354">
        <v>0</v>
      </c>
      <c r="H2880" s="354">
        <v>0</v>
      </c>
      <c r="I2880" s="354">
        <v>1</v>
      </c>
      <c r="J2880" s="354">
        <v>0</v>
      </c>
      <c r="K2880" s="354">
        <v>0</v>
      </c>
      <c r="L2880" s="354">
        <v>0</v>
      </c>
      <c r="M2880" s="355">
        <v>1</v>
      </c>
      <c r="N2880" s="355">
        <v>0</v>
      </c>
    </row>
    <row r="2881" spans="1:14" hidden="1" x14ac:dyDescent="0.25">
      <c r="A2881" s="354">
        <v>0</v>
      </c>
      <c r="B2881" s="354">
        <v>0</v>
      </c>
      <c r="C2881" s="354">
        <v>0</v>
      </c>
      <c r="D2881" s="354">
        <v>0</v>
      </c>
      <c r="E2881" s="354">
        <v>3</v>
      </c>
      <c r="F2881" s="354">
        <v>0</v>
      </c>
      <c r="G2881" s="354">
        <v>0</v>
      </c>
      <c r="H2881" s="354">
        <v>0</v>
      </c>
      <c r="I2881" s="354">
        <v>0</v>
      </c>
      <c r="J2881" s="354">
        <v>1</v>
      </c>
      <c r="K2881" s="354">
        <v>0</v>
      </c>
      <c r="L2881" s="354">
        <v>0</v>
      </c>
      <c r="M2881" s="355">
        <v>3</v>
      </c>
      <c r="N2881" s="355">
        <v>1</v>
      </c>
    </row>
    <row r="2882" spans="1:14" hidden="1" x14ac:dyDescent="0.25">
      <c r="A2882" s="354">
        <v>0</v>
      </c>
      <c r="B2882" s="354">
        <v>0</v>
      </c>
      <c r="C2882" s="354">
        <v>1</v>
      </c>
      <c r="D2882" s="354">
        <v>2</v>
      </c>
      <c r="E2882" s="354">
        <v>0</v>
      </c>
      <c r="F2882" s="354">
        <v>0</v>
      </c>
      <c r="G2882" s="354">
        <v>0</v>
      </c>
      <c r="H2882" s="354">
        <v>0</v>
      </c>
      <c r="I2882" s="354">
        <v>1</v>
      </c>
      <c r="J2882" s="354">
        <v>1</v>
      </c>
      <c r="K2882" s="354">
        <v>0</v>
      </c>
      <c r="L2882" s="354">
        <v>0</v>
      </c>
      <c r="M2882" s="355">
        <v>2</v>
      </c>
      <c r="N2882" s="355">
        <v>3</v>
      </c>
    </row>
    <row r="2883" spans="1:14" hidden="1" x14ac:dyDescent="0.25">
      <c r="A2883" s="354">
        <v>0</v>
      </c>
      <c r="B2883" s="354">
        <v>1</v>
      </c>
      <c r="C2883" s="354">
        <v>1</v>
      </c>
      <c r="D2883" s="354">
        <v>0</v>
      </c>
      <c r="E2883" s="354">
        <v>1</v>
      </c>
      <c r="F2883" s="354">
        <v>2</v>
      </c>
      <c r="G2883" s="354">
        <v>0</v>
      </c>
      <c r="H2883" s="354">
        <v>0</v>
      </c>
      <c r="I2883" s="354">
        <v>1</v>
      </c>
      <c r="J2883" s="354">
        <v>1</v>
      </c>
      <c r="K2883" s="354">
        <v>0</v>
      </c>
      <c r="L2883" s="354">
        <v>0</v>
      </c>
      <c r="M2883" s="355">
        <v>3</v>
      </c>
      <c r="N2883" s="355">
        <v>4</v>
      </c>
    </row>
    <row r="2884" spans="1:14" hidden="1" x14ac:dyDescent="0.25">
      <c r="A2884" s="354">
        <v>2</v>
      </c>
      <c r="B2884" s="354">
        <v>1</v>
      </c>
      <c r="C2884" s="354">
        <v>0</v>
      </c>
      <c r="D2884" s="354">
        <v>1</v>
      </c>
      <c r="E2884" s="354">
        <v>1</v>
      </c>
      <c r="F2884" s="354">
        <v>2</v>
      </c>
      <c r="G2884" s="354">
        <v>0</v>
      </c>
      <c r="H2884" s="354">
        <v>0</v>
      </c>
      <c r="I2884" s="354">
        <v>1</v>
      </c>
      <c r="J2884" s="354">
        <v>1</v>
      </c>
      <c r="K2884" s="354">
        <v>0</v>
      </c>
      <c r="L2884" s="354">
        <v>0</v>
      </c>
      <c r="M2884" s="355">
        <v>4</v>
      </c>
      <c r="N2884" s="355">
        <v>5</v>
      </c>
    </row>
    <row r="2885" spans="1:14" hidden="1" x14ac:dyDescent="0.25">
      <c r="A2885" s="354">
        <v>0</v>
      </c>
      <c r="B2885" s="354">
        <v>1</v>
      </c>
      <c r="C2885" s="354">
        <v>0</v>
      </c>
      <c r="D2885" s="354">
        <v>1</v>
      </c>
      <c r="E2885" s="354">
        <v>1</v>
      </c>
      <c r="F2885" s="354">
        <v>2</v>
      </c>
      <c r="G2885" s="354">
        <v>0</v>
      </c>
      <c r="H2885" s="354">
        <v>0</v>
      </c>
      <c r="I2885" s="354">
        <v>1</v>
      </c>
      <c r="J2885" s="354">
        <v>2</v>
      </c>
      <c r="K2885" s="354">
        <v>0</v>
      </c>
      <c r="L2885" s="354">
        <v>0</v>
      </c>
      <c r="M2885" s="355">
        <v>2</v>
      </c>
      <c r="N2885" s="355">
        <v>6</v>
      </c>
    </row>
    <row r="2886" spans="1:14" hidden="1" x14ac:dyDescent="0.25">
      <c r="A2886" s="354">
        <v>4</v>
      </c>
      <c r="B2886" s="354">
        <v>1</v>
      </c>
      <c r="C2886" s="354">
        <v>2</v>
      </c>
      <c r="D2886" s="354">
        <v>1</v>
      </c>
      <c r="E2886" s="354">
        <v>1</v>
      </c>
      <c r="F2886" s="354">
        <v>1</v>
      </c>
      <c r="G2886" s="354">
        <v>2</v>
      </c>
      <c r="H2886" s="354">
        <v>0</v>
      </c>
      <c r="I2886" s="354">
        <v>5</v>
      </c>
      <c r="J2886" s="354">
        <v>8</v>
      </c>
      <c r="K2886" s="354">
        <v>0</v>
      </c>
      <c r="L2886" s="354">
        <v>0</v>
      </c>
      <c r="M2886" s="355">
        <v>14</v>
      </c>
      <c r="N2886" s="355">
        <v>11</v>
      </c>
    </row>
    <row r="2887" spans="1:14" hidden="1" x14ac:dyDescent="0.25">
      <c r="A2887" s="354">
        <v>0</v>
      </c>
      <c r="B2887" s="354">
        <v>0</v>
      </c>
      <c r="C2887" s="354">
        <v>0</v>
      </c>
      <c r="D2887" s="354">
        <v>0</v>
      </c>
      <c r="E2887" s="354">
        <v>0</v>
      </c>
      <c r="F2887" s="354">
        <v>1</v>
      </c>
      <c r="G2887" s="354">
        <v>0</v>
      </c>
      <c r="H2887" s="354">
        <v>0</v>
      </c>
      <c r="I2887" s="354">
        <v>0</v>
      </c>
      <c r="J2887" s="354">
        <v>2</v>
      </c>
      <c r="K2887" s="354">
        <v>0</v>
      </c>
      <c r="L2887" s="354">
        <v>0</v>
      </c>
      <c r="M2887" s="355">
        <v>0</v>
      </c>
      <c r="N2887" s="355">
        <v>3</v>
      </c>
    </row>
    <row r="2888" spans="1:14" hidden="1" x14ac:dyDescent="0.25">
      <c r="A2888" s="354">
        <v>1</v>
      </c>
      <c r="B2888" s="354">
        <v>0</v>
      </c>
      <c r="C2888" s="354">
        <v>1</v>
      </c>
      <c r="D2888" s="354">
        <v>1</v>
      </c>
      <c r="E2888" s="354">
        <v>0</v>
      </c>
      <c r="F2888" s="354">
        <v>1</v>
      </c>
      <c r="G2888" s="354">
        <v>0</v>
      </c>
      <c r="H2888" s="354">
        <v>0</v>
      </c>
      <c r="I2888" s="354">
        <v>2</v>
      </c>
      <c r="J2888" s="354">
        <v>3</v>
      </c>
      <c r="K2888" s="354">
        <v>0</v>
      </c>
      <c r="L2888" s="354">
        <v>0</v>
      </c>
      <c r="M2888" s="355">
        <v>4</v>
      </c>
      <c r="N2888" s="355">
        <v>5</v>
      </c>
    </row>
    <row r="2889" spans="1:14" hidden="1" x14ac:dyDescent="0.25">
      <c r="A2889" s="354">
        <v>1</v>
      </c>
      <c r="B2889" s="354">
        <v>0</v>
      </c>
      <c r="C2889" s="354">
        <v>1</v>
      </c>
      <c r="D2889" s="354">
        <v>0</v>
      </c>
      <c r="E2889" s="354">
        <v>0</v>
      </c>
      <c r="F2889" s="354">
        <v>2</v>
      </c>
      <c r="G2889" s="354">
        <v>1</v>
      </c>
      <c r="H2889" s="354">
        <v>0</v>
      </c>
      <c r="I2889" s="354">
        <v>2</v>
      </c>
      <c r="J2889" s="354">
        <v>2</v>
      </c>
      <c r="K2889" s="354">
        <v>0</v>
      </c>
      <c r="L2889" s="354">
        <v>0</v>
      </c>
      <c r="M2889" s="355">
        <v>5</v>
      </c>
      <c r="N2889" s="355">
        <v>4</v>
      </c>
    </row>
    <row r="2890" spans="1:14" hidden="1" x14ac:dyDescent="0.25">
      <c r="A2890" s="354">
        <v>1</v>
      </c>
      <c r="B2890" s="354">
        <v>1</v>
      </c>
      <c r="C2890" s="354">
        <v>2</v>
      </c>
      <c r="D2890" s="354">
        <v>1</v>
      </c>
      <c r="E2890" s="354">
        <v>1</v>
      </c>
      <c r="F2890" s="354">
        <v>1</v>
      </c>
      <c r="G2890" s="354">
        <v>0</v>
      </c>
      <c r="H2890" s="354">
        <v>0</v>
      </c>
      <c r="I2890" s="354">
        <v>1</v>
      </c>
      <c r="J2890" s="354">
        <v>2</v>
      </c>
      <c r="K2890" s="354">
        <v>0</v>
      </c>
      <c r="L2890" s="354">
        <v>0</v>
      </c>
      <c r="M2890" s="355">
        <v>5</v>
      </c>
      <c r="N2890" s="355">
        <v>5</v>
      </c>
    </row>
    <row r="2891" spans="1:14" hidden="1" x14ac:dyDescent="0.25">
      <c r="A2891" s="354">
        <v>0</v>
      </c>
      <c r="B2891" s="354">
        <v>0</v>
      </c>
      <c r="C2891" s="354">
        <v>0</v>
      </c>
      <c r="D2891" s="354">
        <v>0</v>
      </c>
      <c r="E2891" s="354">
        <v>0</v>
      </c>
      <c r="F2891" s="354">
        <v>0</v>
      </c>
      <c r="G2891" s="354">
        <v>0</v>
      </c>
      <c r="H2891" s="354">
        <v>0</v>
      </c>
      <c r="I2891" s="354">
        <v>3</v>
      </c>
      <c r="J2891" s="354">
        <v>1</v>
      </c>
      <c r="K2891" s="354">
        <v>0</v>
      </c>
      <c r="L2891" s="354">
        <v>0</v>
      </c>
      <c r="M2891" s="355">
        <v>3</v>
      </c>
      <c r="N2891" s="355">
        <v>1</v>
      </c>
    </row>
    <row r="2892" spans="1:14" hidden="1" x14ac:dyDescent="0.25">
      <c r="A2892" s="354">
        <v>1</v>
      </c>
      <c r="B2892" s="354">
        <v>0</v>
      </c>
      <c r="C2892" s="354">
        <v>1</v>
      </c>
      <c r="D2892" s="354">
        <v>0</v>
      </c>
      <c r="E2892" s="354">
        <v>2</v>
      </c>
      <c r="F2892" s="354">
        <v>0</v>
      </c>
      <c r="G2892" s="354">
        <v>0</v>
      </c>
      <c r="H2892" s="354">
        <v>0</v>
      </c>
      <c r="I2892" s="354">
        <v>2</v>
      </c>
      <c r="J2892" s="354">
        <v>1</v>
      </c>
      <c r="K2892" s="354">
        <v>0</v>
      </c>
      <c r="L2892" s="354">
        <v>0</v>
      </c>
      <c r="M2892" s="355">
        <v>6</v>
      </c>
      <c r="N2892" s="355">
        <v>1</v>
      </c>
    </row>
    <row r="2893" spans="1:14" hidden="1" x14ac:dyDescent="0.25">
      <c r="A2893" s="354">
        <v>1</v>
      </c>
      <c r="B2893" s="354">
        <v>0</v>
      </c>
      <c r="C2893" s="354">
        <v>1</v>
      </c>
      <c r="D2893" s="354">
        <v>2</v>
      </c>
      <c r="E2893" s="354">
        <v>0</v>
      </c>
      <c r="F2893" s="354">
        <v>0</v>
      </c>
      <c r="G2893" s="354">
        <v>0</v>
      </c>
      <c r="H2893" s="354">
        <v>0</v>
      </c>
      <c r="I2893" s="354">
        <v>1</v>
      </c>
      <c r="J2893" s="354">
        <v>1</v>
      </c>
      <c r="K2893" s="354">
        <v>0</v>
      </c>
      <c r="L2893" s="354">
        <v>0</v>
      </c>
      <c r="M2893" s="355">
        <v>3</v>
      </c>
      <c r="N2893" s="355">
        <v>3</v>
      </c>
    </row>
    <row r="2894" spans="1:14" hidden="1" x14ac:dyDescent="0.25">
      <c r="A2894" s="354">
        <v>0</v>
      </c>
      <c r="B2894" s="354">
        <v>1</v>
      </c>
      <c r="C2894" s="354">
        <v>0</v>
      </c>
      <c r="D2894" s="354">
        <v>1</v>
      </c>
      <c r="E2894" s="354">
        <v>0</v>
      </c>
      <c r="F2894" s="354">
        <v>0</v>
      </c>
      <c r="G2894" s="354">
        <v>0</v>
      </c>
      <c r="H2894" s="354">
        <v>0</v>
      </c>
      <c r="I2894" s="354">
        <v>1</v>
      </c>
      <c r="J2894" s="354">
        <v>1</v>
      </c>
      <c r="K2894" s="354">
        <v>0</v>
      </c>
      <c r="L2894" s="354">
        <v>0</v>
      </c>
      <c r="M2894" s="355">
        <v>1</v>
      </c>
      <c r="N2894" s="355">
        <v>3</v>
      </c>
    </row>
    <row r="2895" spans="1:14" hidden="1" x14ac:dyDescent="0.25">
      <c r="A2895" s="354">
        <v>0</v>
      </c>
      <c r="B2895" s="354">
        <v>1</v>
      </c>
      <c r="C2895" s="354">
        <v>0</v>
      </c>
      <c r="D2895" s="354">
        <v>0</v>
      </c>
      <c r="E2895" s="354">
        <v>1</v>
      </c>
      <c r="F2895" s="354">
        <v>0</v>
      </c>
      <c r="G2895" s="354">
        <v>0</v>
      </c>
      <c r="H2895" s="354">
        <v>0</v>
      </c>
      <c r="I2895" s="354">
        <v>1</v>
      </c>
      <c r="J2895" s="354">
        <v>1</v>
      </c>
      <c r="K2895" s="354">
        <v>0</v>
      </c>
      <c r="L2895" s="354">
        <v>0</v>
      </c>
      <c r="M2895" s="355">
        <v>2</v>
      </c>
      <c r="N2895" s="355">
        <v>2</v>
      </c>
    </row>
    <row r="2896" spans="1:14" hidden="1" x14ac:dyDescent="0.25">
      <c r="A2896" s="354">
        <v>1</v>
      </c>
      <c r="B2896" s="354">
        <v>1</v>
      </c>
      <c r="C2896" s="354">
        <v>0</v>
      </c>
      <c r="D2896" s="354">
        <v>2</v>
      </c>
      <c r="E2896" s="354">
        <v>0</v>
      </c>
      <c r="F2896" s="354">
        <v>0</v>
      </c>
      <c r="G2896" s="354">
        <v>0</v>
      </c>
      <c r="H2896" s="354">
        <v>0</v>
      </c>
      <c r="I2896" s="354">
        <v>1</v>
      </c>
      <c r="J2896" s="354">
        <v>1</v>
      </c>
      <c r="K2896" s="354">
        <v>0</v>
      </c>
      <c r="L2896" s="354">
        <v>0</v>
      </c>
      <c r="M2896" s="355">
        <v>2</v>
      </c>
      <c r="N2896" s="355">
        <v>4</v>
      </c>
    </row>
    <row r="2897" spans="1:14" hidden="1" x14ac:dyDescent="0.25">
      <c r="A2897" s="354">
        <v>1</v>
      </c>
      <c r="B2897" s="354">
        <v>0</v>
      </c>
      <c r="C2897" s="354">
        <v>1</v>
      </c>
      <c r="D2897" s="354">
        <v>0</v>
      </c>
      <c r="E2897" s="354">
        <v>1</v>
      </c>
      <c r="F2897" s="354">
        <v>1</v>
      </c>
      <c r="G2897" s="354">
        <v>0</v>
      </c>
      <c r="H2897" s="354">
        <v>0</v>
      </c>
      <c r="I2897" s="354">
        <v>1</v>
      </c>
      <c r="J2897" s="354">
        <v>1</v>
      </c>
      <c r="K2897" s="354">
        <v>0</v>
      </c>
      <c r="L2897" s="354">
        <v>0</v>
      </c>
      <c r="M2897" s="355">
        <v>4</v>
      </c>
      <c r="N2897" s="355">
        <v>2</v>
      </c>
    </row>
    <row r="2898" spans="1:14" hidden="1" x14ac:dyDescent="0.25">
      <c r="A2898" s="354">
        <v>1</v>
      </c>
      <c r="B2898" s="354">
        <v>0</v>
      </c>
      <c r="C2898" s="354">
        <v>1</v>
      </c>
      <c r="D2898" s="354">
        <v>2</v>
      </c>
      <c r="E2898" s="354">
        <v>0</v>
      </c>
      <c r="F2898" s="354">
        <v>0</v>
      </c>
      <c r="G2898" s="354">
        <v>0</v>
      </c>
      <c r="H2898" s="354">
        <v>0</v>
      </c>
      <c r="I2898" s="354">
        <v>1</v>
      </c>
      <c r="J2898" s="354">
        <v>2</v>
      </c>
      <c r="K2898" s="354">
        <v>0</v>
      </c>
      <c r="L2898" s="354">
        <v>0</v>
      </c>
      <c r="M2898" s="355">
        <v>3</v>
      </c>
      <c r="N2898" s="355">
        <v>4</v>
      </c>
    </row>
    <row r="2899" spans="1:14" hidden="1" x14ac:dyDescent="0.25">
      <c r="A2899" s="354">
        <v>1</v>
      </c>
      <c r="B2899" s="354">
        <v>0</v>
      </c>
      <c r="C2899" s="354">
        <v>0</v>
      </c>
      <c r="D2899" s="354">
        <v>1</v>
      </c>
      <c r="E2899" s="354">
        <v>1</v>
      </c>
      <c r="F2899" s="354">
        <v>0</v>
      </c>
      <c r="G2899" s="354">
        <v>0</v>
      </c>
      <c r="H2899" s="354">
        <v>0</v>
      </c>
      <c r="I2899" s="354">
        <v>1</v>
      </c>
      <c r="J2899" s="354">
        <v>1</v>
      </c>
      <c r="K2899" s="354">
        <v>0</v>
      </c>
      <c r="L2899" s="354">
        <v>0</v>
      </c>
      <c r="M2899" s="355">
        <v>3</v>
      </c>
      <c r="N2899" s="355">
        <v>2</v>
      </c>
    </row>
    <row r="2900" spans="1:14" hidden="1" x14ac:dyDescent="0.25">
      <c r="A2900" s="354">
        <v>1</v>
      </c>
      <c r="B2900" s="354">
        <v>1</v>
      </c>
      <c r="C2900" s="354">
        <v>0</v>
      </c>
      <c r="D2900" s="354">
        <v>2</v>
      </c>
      <c r="E2900" s="354">
        <v>0</v>
      </c>
      <c r="F2900" s="354">
        <v>1</v>
      </c>
      <c r="G2900" s="354">
        <v>0</v>
      </c>
      <c r="H2900" s="354">
        <v>0</v>
      </c>
      <c r="I2900" s="354">
        <v>1</v>
      </c>
      <c r="J2900" s="354">
        <v>1</v>
      </c>
      <c r="K2900" s="354">
        <v>0</v>
      </c>
      <c r="L2900" s="354">
        <v>0</v>
      </c>
      <c r="M2900" s="355">
        <v>2</v>
      </c>
      <c r="N2900" s="355">
        <v>5</v>
      </c>
    </row>
    <row r="2901" spans="1:14" hidden="1" x14ac:dyDescent="0.25">
      <c r="A2901" s="354">
        <v>0</v>
      </c>
      <c r="B2901" s="354">
        <v>0</v>
      </c>
      <c r="C2901" s="354">
        <v>1</v>
      </c>
      <c r="D2901" s="354">
        <v>0</v>
      </c>
      <c r="E2901" s="354">
        <v>2</v>
      </c>
      <c r="F2901" s="354">
        <v>1</v>
      </c>
      <c r="G2901" s="354">
        <v>2</v>
      </c>
      <c r="H2901" s="354">
        <v>1</v>
      </c>
      <c r="I2901" s="354">
        <v>1</v>
      </c>
      <c r="J2901" s="354">
        <v>1</v>
      </c>
      <c r="K2901" s="354">
        <v>0</v>
      </c>
      <c r="L2901" s="354">
        <v>0</v>
      </c>
      <c r="M2901" s="355">
        <v>6</v>
      </c>
      <c r="N2901" s="355">
        <v>3</v>
      </c>
    </row>
    <row r="2902" spans="1:14" hidden="1" x14ac:dyDescent="0.25">
      <c r="A2902" s="354">
        <v>0</v>
      </c>
      <c r="B2902" s="354">
        <v>0</v>
      </c>
      <c r="C2902" s="354">
        <v>0</v>
      </c>
      <c r="D2902" s="354">
        <v>1</v>
      </c>
      <c r="E2902" s="354">
        <v>0</v>
      </c>
      <c r="F2902" s="354">
        <v>2</v>
      </c>
      <c r="G2902" s="354">
        <v>3</v>
      </c>
      <c r="H2902" s="354">
        <v>2</v>
      </c>
      <c r="I2902" s="354">
        <v>2</v>
      </c>
      <c r="J2902" s="354">
        <v>1</v>
      </c>
      <c r="K2902" s="354">
        <v>0</v>
      </c>
      <c r="L2902" s="354">
        <v>0</v>
      </c>
      <c r="M2902" s="355">
        <v>5</v>
      </c>
      <c r="N2902" s="355">
        <v>6</v>
      </c>
    </row>
    <row r="2903" spans="1:14" hidden="1" x14ac:dyDescent="0.25">
      <c r="A2903" s="354">
        <v>0</v>
      </c>
      <c r="B2903" s="354">
        <v>0</v>
      </c>
      <c r="C2903" s="354">
        <v>0</v>
      </c>
      <c r="D2903" s="354">
        <v>0</v>
      </c>
      <c r="E2903" s="354">
        <v>0</v>
      </c>
      <c r="F2903" s="354">
        <v>2</v>
      </c>
      <c r="G2903" s="354">
        <v>1</v>
      </c>
      <c r="H2903" s="354">
        <v>2</v>
      </c>
      <c r="I2903" s="354">
        <v>3</v>
      </c>
      <c r="J2903" s="354">
        <v>2</v>
      </c>
      <c r="K2903" s="354">
        <v>0</v>
      </c>
      <c r="L2903" s="354">
        <v>0</v>
      </c>
      <c r="M2903" s="355">
        <v>4</v>
      </c>
      <c r="N2903" s="355">
        <v>6</v>
      </c>
    </row>
    <row r="2904" spans="1:14" hidden="1" x14ac:dyDescent="0.25">
      <c r="A2904" s="354">
        <v>0</v>
      </c>
      <c r="B2904" s="354">
        <v>0</v>
      </c>
      <c r="C2904" s="354">
        <v>0</v>
      </c>
      <c r="D2904" s="354">
        <v>0</v>
      </c>
      <c r="E2904" s="354">
        <v>3</v>
      </c>
      <c r="F2904" s="354">
        <v>2</v>
      </c>
      <c r="G2904" s="354">
        <v>0</v>
      </c>
      <c r="H2904" s="354">
        <v>1</v>
      </c>
      <c r="I2904" s="354">
        <v>2</v>
      </c>
      <c r="J2904" s="354">
        <v>1</v>
      </c>
      <c r="K2904" s="354">
        <v>0</v>
      </c>
      <c r="L2904" s="354">
        <v>0</v>
      </c>
      <c r="M2904" s="355">
        <v>5</v>
      </c>
      <c r="N2904" s="355">
        <v>4</v>
      </c>
    </row>
    <row r="2905" spans="1:14" hidden="1" x14ac:dyDescent="0.25">
      <c r="A2905" s="354">
        <v>0</v>
      </c>
      <c r="B2905" s="354">
        <v>0</v>
      </c>
      <c r="C2905" s="354">
        <v>0</v>
      </c>
      <c r="D2905" s="354">
        <v>2</v>
      </c>
      <c r="E2905" s="354">
        <v>1</v>
      </c>
      <c r="F2905" s="354">
        <v>2</v>
      </c>
      <c r="G2905" s="354">
        <v>1</v>
      </c>
      <c r="H2905" s="354">
        <v>0</v>
      </c>
      <c r="I2905" s="354">
        <v>2</v>
      </c>
      <c r="J2905" s="354">
        <v>2</v>
      </c>
      <c r="K2905" s="354">
        <v>0</v>
      </c>
      <c r="L2905" s="354">
        <v>0</v>
      </c>
      <c r="M2905" s="355">
        <v>4</v>
      </c>
      <c r="N2905" s="355">
        <v>6</v>
      </c>
    </row>
    <row r="2906" spans="1:14" hidden="1" x14ac:dyDescent="0.25">
      <c r="A2906" s="354">
        <v>0</v>
      </c>
      <c r="B2906" s="354">
        <v>0</v>
      </c>
      <c r="C2906" s="354">
        <v>0</v>
      </c>
      <c r="D2906" s="354">
        <v>2</v>
      </c>
      <c r="E2906" s="354">
        <v>1</v>
      </c>
      <c r="F2906" s="354">
        <v>2</v>
      </c>
      <c r="G2906" s="354">
        <v>1</v>
      </c>
      <c r="H2906" s="354">
        <v>0</v>
      </c>
      <c r="I2906" s="354">
        <v>2</v>
      </c>
      <c r="J2906" s="354">
        <v>2</v>
      </c>
      <c r="K2906" s="354">
        <v>0</v>
      </c>
      <c r="L2906" s="354">
        <v>0</v>
      </c>
      <c r="M2906" s="355">
        <v>4</v>
      </c>
      <c r="N2906" s="355">
        <v>6</v>
      </c>
    </row>
    <row r="2907" spans="1:14" hidden="1" x14ac:dyDescent="0.25">
      <c r="A2907" s="354">
        <v>1</v>
      </c>
      <c r="B2907" s="354"/>
      <c r="C2907" s="354">
        <v>1</v>
      </c>
      <c r="D2907" s="354">
        <v>1</v>
      </c>
      <c r="E2907" s="354">
        <v>1</v>
      </c>
      <c r="F2907" s="354">
        <v>0</v>
      </c>
      <c r="G2907" s="354">
        <v>1</v>
      </c>
      <c r="H2907" s="354">
        <v>1</v>
      </c>
      <c r="I2907" s="354">
        <v>1</v>
      </c>
      <c r="J2907" s="354">
        <v>1</v>
      </c>
      <c r="K2907" s="354">
        <v>0</v>
      </c>
      <c r="L2907" s="354">
        <v>0</v>
      </c>
      <c r="M2907" s="355">
        <v>5</v>
      </c>
      <c r="N2907" s="355">
        <v>3</v>
      </c>
    </row>
    <row r="2908" spans="1:14" hidden="1" x14ac:dyDescent="0.25">
      <c r="A2908" s="354">
        <v>0</v>
      </c>
      <c r="B2908" s="354">
        <v>0</v>
      </c>
      <c r="C2908" s="354">
        <v>1</v>
      </c>
      <c r="D2908" s="354">
        <v>0</v>
      </c>
      <c r="E2908" s="354">
        <v>1</v>
      </c>
      <c r="F2908" s="354">
        <v>1</v>
      </c>
      <c r="G2908" s="354">
        <v>0</v>
      </c>
      <c r="H2908" s="354">
        <v>2</v>
      </c>
      <c r="I2908" s="354">
        <v>1</v>
      </c>
      <c r="J2908" s="354">
        <v>1</v>
      </c>
      <c r="K2908" s="354">
        <v>0</v>
      </c>
      <c r="L2908" s="354">
        <v>0</v>
      </c>
      <c r="M2908" s="355">
        <v>3</v>
      </c>
      <c r="N2908" s="355">
        <v>4</v>
      </c>
    </row>
    <row r="2909" spans="1:14" hidden="1" x14ac:dyDescent="0.25">
      <c r="A2909" s="354">
        <v>0</v>
      </c>
      <c r="B2909" s="354">
        <v>0</v>
      </c>
      <c r="C2909" s="354">
        <v>1</v>
      </c>
      <c r="D2909" s="354">
        <v>0</v>
      </c>
      <c r="E2909" s="354">
        <v>1</v>
      </c>
      <c r="F2909" s="354">
        <v>1</v>
      </c>
      <c r="G2909" s="354">
        <v>0</v>
      </c>
      <c r="H2909" s="354">
        <v>2</v>
      </c>
      <c r="I2909" s="354">
        <v>1</v>
      </c>
      <c r="J2909" s="354">
        <v>1</v>
      </c>
      <c r="K2909" s="354">
        <v>0</v>
      </c>
      <c r="L2909" s="354">
        <v>0</v>
      </c>
      <c r="M2909" s="355">
        <v>3</v>
      </c>
      <c r="N2909" s="355">
        <v>4</v>
      </c>
    </row>
    <row r="2910" spans="1:14" hidden="1" x14ac:dyDescent="0.25">
      <c r="A2910" s="354">
        <v>0</v>
      </c>
      <c r="B2910" s="354">
        <v>0</v>
      </c>
      <c r="C2910" s="354">
        <v>1</v>
      </c>
      <c r="D2910" s="354">
        <v>0</v>
      </c>
      <c r="E2910" s="354">
        <v>3</v>
      </c>
      <c r="F2910" s="354">
        <v>2</v>
      </c>
      <c r="G2910" s="354">
        <v>0</v>
      </c>
      <c r="H2910" s="354">
        <v>1</v>
      </c>
      <c r="I2910" s="354">
        <v>2</v>
      </c>
      <c r="J2910" s="354">
        <v>1</v>
      </c>
      <c r="K2910" s="354">
        <v>0</v>
      </c>
      <c r="L2910" s="354">
        <v>0</v>
      </c>
      <c r="M2910" s="355">
        <v>6</v>
      </c>
      <c r="N2910" s="355">
        <v>4</v>
      </c>
    </row>
    <row r="2911" spans="1:14" hidden="1" x14ac:dyDescent="0.25">
      <c r="A2911" s="354">
        <v>0</v>
      </c>
      <c r="B2911" s="354">
        <v>0</v>
      </c>
      <c r="C2911" s="354">
        <v>1</v>
      </c>
      <c r="D2911" s="354">
        <v>1</v>
      </c>
      <c r="E2911" s="354">
        <v>1</v>
      </c>
      <c r="F2911" s="354">
        <v>1</v>
      </c>
      <c r="G2911" s="354">
        <v>0</v>
      </c>
      <c r="H2911" s="354">
        <v>0</v>
      </c>
      <c r="I2911" s="354">
        <v>2</v>
      </c>
      <c r="J2911" s="354">
        <v>1</v>
      </c>
      <c r="K2911" s="354">
        <v>0</v>
      </c>
      <c r="L2911" s="354">
        <v>0</v>
      </c>
      <c r="M2911" s="355">
        <v>4</v>
      </c>
      <c r="N2911" s="355">
        <v>3</v>
      </c>
    </row>
    <row r="2912" spans="1:14" hidden="1" x14ac:dyDescent="0.25">
      <c r="A2912" s="354">
        <v>0</v>
      </c>
      <c r="B2912" s="354">
        <v>1</v>
      </c>
      <c r="C2912" s="354">
        <v>1</v>
      </c>
      <c r="D2912" s="354">
        <v>1</v>
      </c>
      <c r="E2912" s="354">
        <v>0</v>
      </c>
      <c r="F2912" s="354">
        <v>1</v>
      </c>
      <c r="G2912" s="354">
        <v>1</v>
      </c>
      <c r="H2912" s="354">
        <v>2</v>
      </c>
      <c r="I2912" s="354">
        <v>1</v>
      </c>
      <c r="J2912" s="354">
        <v>1</v>
      </c>
      <c r="K2912" s="354">
        <v>0</v>
      </c>
      <c r="L2912" s="354">
        <v>0</v>
      </c>
      <c r="M2912" s="355">
        <v>3</v>
      </c>
      <c r="N2912" s="355">
        <v>6</v>
      </c>
    </row>
    <row r="2913" spans="1:14" hidden="1" x14ac:dyDescent="0.25">
      <c r="A2913" s="354">
        <v>2</v>
      </c>
      <c r="B2913" s="354">
        <v>1</v>
      </c>
      <c r="C2913" s="354">
        <v>2</v>
      </c>
      <c r="D2913" s="354">
        <v>1</v>
      </c>
      <c r="E2913" s="354">
        <v>0</v>
      </c>
      <c r="F2913" s="354">
        <v>1</v>
      </c>
      <c r="G2913" s="354">
        <v>1</v>
      </c>
      <c r="H2913" s="354">
        <v>0</v>
      </c>
      <c r="I2913" s="354">
        <v>2</v>
      </c>
      <c r="J2913" s="354">
        <v>3</v>
      </c>
      <c r="K2913" s="354">
        <v>0</v>
      </c>
      <c r="L2913" s="354">
        <v>0</v>
      </c>
      <c r="M2913" s="355">
        <v>7</v>
      </c>
      <c r="N2913" s="355">
        <v>6</v>
      </c>
    </row>
    <row r="2914" spans="1:14" hidden="1" x14ac:dyDescent="0.25">
      <c r="A2914" s="354">
        <v>1</v>
      </c>
      <c r="B2914" s="354">
        <v>0</v>
      </c>
      <c r="C2914" s="354">
        <v>1</v>
      </c>
      <c r="D2914" s="354">
        <v>2</v>
      </c>
      <c r="E2914" s="354">
        <v>0</v>
      </c>
      <c r="F2914" s="354">
        <v>0</v>
      </c>
      <c r="G2914" s="354">
        <v>0</v>
      </c>
      <c r="H2914" s="354">
        <v>0</v>
      </c>
      <c r="I2914" s="354">
        <v>1</v>
      </c>
      <c r="J2914" s="354">
        <v>1</v>
      </c>
      <c r="K2914" s="354">
        <v>0</v>
      </c>
      <c r="L2914" s="354">
        <v>0</v>
      </c>
      <c r="M2914" s="355">
        <v>3</v>
      </c>
      <c r="N2914" s="355">
        <v>3</v>
      </c>
    </row>
    <row r="2915" spans="1:14" hidden="1" x14ac:dyDescent="0.25">
      <c r="A2915" s="354">
        <v>0</v>
      </c>
      <c r="B2915" s="354">
        <v>0</v>
      </c>
      <c r="C2915" s="354">
        <v>1</v>
      </c>
      <c r="D2915" s="354">
        <v>2</v>
      </c>
      <c r="E2915" s="354">
        <v>0</v>
      </c>
      <c r="F2915" s="354">
        <v>1</v>
      </c>
      <c r="G2915" s="354">
        <v>0</v>
      </c>
      <c r="H2915" s="354">
        <v>0</v>
      </c>
      <c r="I2915" s="354">
        <v>1</v>
      </c>
      <c r="J2915" s="354">
        <v>1</v>
      </c>
      <c r="K2915" s="354">
        <v>0</v>
      </c>
      <c r="L2915" s="354">
        <v>0</v>
      </c>
      <c r="M2915" s="355">
        <v>2</v>
      </c>
      <c r="N2915" s="355">
        <v>4</v>
      </c>
    </row>
    <row r="2916" spans="1:14" hidden="1" x14ac:dyDescent="0.25">
      <c r="A2916" s="354">
        <v>0</v>
      </c>
      <c r="B2916" s="354">
        <v>1</v>
      </c>
      <c r="C2916" s="354">
        <v>0</v>
      </c>
      <c r="D2916" s="354">
        <v>2</v>
      </c>
      <c r="E2916" s="354">
        <v>1</v>
      </c>
      <c r="F2916" s="354">
        <v>1</v>
      </c>
      <c r="G2916" s="354">
        <v>0</v>
      </c>
      <c r="H2916" s="354">
        <v>0</v>
      </c>
      <c r="I2916" s="354">
        <v>1</v>
      </c>
      <c r="J2916" s="354">
        <v>1</v>
      </c>
      <c r="K2916" s="354">
        <v>0</v>
      </c>
      <c r="L2916" s="354">
        <v>0</v>
      </c>
      <c r="M2916" s="355">
        <v>2</v>
      </c>
      <c r="N2916" s="355">
        <v>5</v>
      </c>
    </row>
    <row r="2917" spans="1:14" hidden="1" x14ac:dyDescent="0.25">
      <c r="A2917" s="354">
        <v>0</v>
      </c>
      <c r="B2917" s="354">
        <v>1</v>
      </c>
      <c r="C2917" s="354">
        <v>1</v>
      </c>
      <c r="D2917" s="354">
        <v>2</v>
      </c>
      <c r="E2917" s="354">
        <v>0</v>
      </c>
      <c r="F2917" s="354">
        <v>1</v>
      </c>
      <c r="G2917" s="354">
        <v>0</v>
      </c>
      <c r="H2917" s="354">
        <v>1</v>
      </c>
      <c r="I2917" s="354">
        <v>1</v>
      </c>
      <c r="J2917" s="354">
        <v>1</v>
      </c>
      <c r="K2917" s="354">
        <v>1</v>
      </c>
      <c r="L2917" s="354">
        <v>0</v>
      </c>
      <c r="M2917" s="355">
        <v>3</v>
      </c>
      <c r="N2917" s="355">
        <v>6</v>
      </c>
    </row>
    <row r="2918" spans="1:14" hidden="1" x14ac:dyDescent="0.25">
      <c r="A2918" s="354">
        <v>1</v>
      </c>
      <c r="B2918" s="354">
        <v>0</v>
      </c>
      <c r="C2918" s="354">
        <v>1</v>
      </c>
      <c r="D2918" s="354">
        <v>1</v>
      </c>
      <c r="E2918" s="354">
        <v>0</v>
      </c>
      <c r="F2918" s="354">
        <v>2</v>
      </c>
      <c r="G2918" s="354">
        <v>0</v>
      </c>
      <c r="H2918" s="354">
        <v>0</v>
      </c>
      <c r="I2918" s="354">
        <v>1</v>
      </c>
      <c r="J2918" s="354">
        <v>1</v>
      </c>
      <c r="K2918" s="354">
        <v>0</v>
      </c>
      <c r="L2918" s="354">
        <v>0</v>
      </c>
      <c r="M2918" s="355">
        <v>3</v>
      </c>
      <c r="N2918" s="355">
        <v>4</v>
      </c>
    </row>
    <row r="2919" spans="1:14" hidden="1" x14ac:dyDescent="0.25">
      <c r="A2919" s="354">
        <v>1</v>
      </c>
      <c r="B2919" s="354">
        <v>0</v>
      </c>
      <c r="C2919" s="354">
        <v>1</v>
      </c>
      <c r="D2919" s="354">
        <v>0</v>
      </c>
      <c r="E2919" s="354">
        <v>1</v>
      </c>
      <c r="F2919" s="354">
        <v>0</v>
      </c>
      <c r="G2919" s="354">
        <v>0</v>
      </c>
      <c r="H2919" s="354">
        <v>0</v>
      </c>
      <c r="I2919" s="354">
        <v>1</v>
      </c>
      <c r="J2919" s="354">
        <v>1</v>
      </c>
      <c r="K2919" s="354">
        <v>0</v>
      </c>
      <c r="L2919" s="354">
        <v>0</v>
      </c>
      <c r="M2919" s="355">
        <v>4</v>
      </c>
      <c r="N2919" s="355">
        <v>1</v>
      </c>
    </row>
    <row r="2920" spans="1:14" hidden="1" x14ac:dyDescent="0.25">
      <c r="A2920" s="354">
        <v>0</v>
      </c>
      <c r="B2920" s="354">
        <v>1</v>
      </c>
      <c r="C2920" s="354">
        <v>1</v>
      </c>
      <c r="D2920" s="354">
        <v>1</v>
      </c>
      <c r="E2920" s="354">
        <v>0</v>
      </c>
      <c r="F2920" s="354">
        <v>1</v>
      </c>
      <c r="G2920" s="354">
        <v>1</v>
      </c>
      <c r="H2920" s="354">
        <v>1</v>
      </c>
      <c r="I2920" s="354">
        <v>1</v>
      </c>
      <c r="J2920" s="354">
        <v>1</v>
      </c>
      <c r="K2920" s="354">
        <v>0</v>
      </c>
      <c r="L2920" s="354">
        <v>0</v>
      </c>
      <c r="M2920" s="355">
        <v>3</v>
      </c>
      <c r="N2920" s="355">
        <v>5</v>
      </c>
    </row>
    <row r="2921" spans="1:14" hidden="1" x14ac:dyDescent="0.25">
      <c r="A2921" s="354">
        <v>1</v>
      </c>
      <c r="B2921" s="354">
        <v>0</v>
      </c>
      <c r="C2921" s="354">
        <v>1</v>
      </c>
      <c r="D2921" s="354">
        <v>1</v>
      </c>
      <c r="E2921" s="354">
        <v>0</v>
      </c>
      <c r="F2921" s="354">
        <v>1</v>
      </c>
      <c r="G2921" s="354">
        <v>0</v>
      </c>
      <c r="H2921" s="354">
        <v>1</v>
      </c>
      <c r="I2921" s="354">
        <v>1</v>
      </c>
      <c r="J2921" s="354">
        <v>1</v>
      </c>
      <c r="K2921" s="354">
        <v>0</v>
      </c>
      <c r="L2921" s="354">
        <v>0</v>
      </c>
      <c r="M2921" s="355">
        <v>3</v>
      </c>
      <c r="N2921" s="355">
        <v>4</v>
      </c>
    </row>
    <row r="2922" spans="1:14" hidden="1" x14ac:dyDescent="0.25">
      <c r="A2922" s="354">
        <v>0</v>
      </c>
      <c r="B2922" s="354">
        <v>1</v>
      </c>
      <c r="C2922" s="354">
        <v>0</v>
      </c>
      <c r="D2922" s="354">
        <v>1</v>
      </c>
      <c r="E2922" s="354">
        <v>1</v>
      </c>
      <c r="F2922" s="354">
        <v>1</v>
      </c>
      <c r="G2922" s="354">
        <v>0</v>
      </c>
      <c r="H2922" s="354">
        <v>1</v>
      </c>
      <c r="I2922" s="354">
        <v>1</v>
      </c>
      <c r="J2922" s="354">
        <v>1</v>
      </c>
      <c r="K2922" s="354">
        <v>0</v>
      </c>
      <c r="L2922" s="354">
        <v>0</v>
      </c>
      <c r="M2922" s="355">
        <v>2</v>
      </c>
      <c r="N2922" s="355">
        <v>5</v>
      </c>
    </row>
    <row r="2923" spans="1:14" hidden="1" x14ac:dyDescent="0.25">
      <c r="A2923" s="354">
        <v>0</v>
      </c>
      <c r="B2923" s="354">
        <v>1</v>
      </c>
      <c r="C2923" s="354">
        <v>1</v>
      </c>
      <c r="D2923" s="354">
        <v>1</v>
      </c>
      <c r="E2923" s="354">
        <v>0</v>
      </c>
      <c r="F2923" s="354">
        <v>1</v>
      </c>
      <c r="G2923" s="354">
        <v>1</v>
      </c>
      <c r="H2923" s="354">
        <v>1</v>
      </c>
      <c r="I2923" s="354">
        <v>1</v>
      </c>
      <c r="J2923" s="354">
        <v>1</v>
      </c>
      <c r="K2923" s="354">
        <v>0</v>
      </c>
      <c r="L2923" s="354">
        <v>0</v>
      </c>
      <c r="M2923" s="355">
        <v>3</v>
      </c>
      <c r="N2923" s="355">
        <v>5</v>
      </c>
    </row>
    <row r="2924" spans="1:14" hidden="1" x14ac:dyDescent="0.25">
      <c r="A2924" s="354">
        <v>1</v>
      </c>
      <c r="B2924" s="354">
        <v>0</v>
      </c>
      <c r="C2924" s="354">
        <v>1</v>
      </c>
      <c r="D2924" s="354">
        <v>1</v>
      </c>
      <c r="E2924" s="354">
        <v>0</v>
      </c>
      <c r="F2924" s="354">
        <v>1</v>
      </c>
      <c r="G2924" s="354">
        <v>1</v>
      </c>
      <c r="H2924" s="354">
        <v>0</v>
      </c>
      <c r="I2924" s="354">
        <v>1</v>
      </c>
      <c r="J2924" s="354">
        <v>1</v>
      </c>
      <c r="K2924" s="354">
        <v>0</v>
      </c>
      <c r="L2924" s="354">
        <v>0</v>
      </c>
      <c r="M2924" s="355">
        <v>4</v>
      </c>
      <c r="N2924" s="355">
        <v>3</v>
      </c>
    </row>
    <row r="2925" spans="1:14" hidden="1" x14ac:dyDescent="0.25">
      <c r="A2925" s="354">
        <v>0</v>
      </c>
      <c r="B2925" s="354">
        <v>1</v>
      </c>
      <c r="C2925" s="354">
        <v>0</v>
      </c>
      <c r="D2925" s="354">
        <v>1</v>
      </c>
      <c r="E2925" s="354">
        <v>1</v>
      </c>
      <c r="F2925" s="354">
        <v>1</v>
      </c>
      <c r="G2925" s="354">
        <v>1</v>
      </c>
      <c r="H2925" s="354">
        <v>1</v>
      </c>
      <c r="I2925" s="354">
        <v>0</v>
      </c>
      <c r="J2925" s="354">
        <v>1</v>
      </c>
      <c r="K2925" s="354">
        <v>0</v>
      </c>
      <c r="L2925" s="354">
        <v>0</v>
      </c>
      <c r="M2925" s="355">
        <v>2</v>
      </c>
      <c r="N2925" s="355">
        <v>5</v>
      </c>
    </row>
    <row r="2926" spans="1:14" hidden="1" x14ac:dyDescent="0.25">
      <c r="A2926" s="354">
        <v>1</v>
      </c>
      <c r="B2926" s="354">
        <v>0</v>
      </c>
      <c r="C2926" s="354">
        <v>1</v>
      </c>
      <c r="D2926" s="354">
        <v>1</v>
      </c>
      <c r="E2926" s="354">
        <v>0</v>
      </c>
      <c r="F2926" s="354">
        <v>1</v>
      </c>
      <c r="G2926" s="354">
        <v>1</v>
      </c>
      <c r="H2926" s="354">
        <v>2</v>
      </c>
      <c r="I2926" s="354">
        <v>1</v>
      </c>
      <c r="J2926" s="354">
        <v>1</v>
      </c>
      <c r="K2926" s="354">
        <v>0</v>
      </c>
      <c r="L2926" s="354">
        <v>0</v>
      </c>
      <c r="M2926" s="355">
        <v>4</v>
      </c>
      <c r="N2926" s="355">
        <v>5</v>
      </c>
    </row>
    <row r="2927" spans="1:14" hidden="1" x14ac:dyDescent="0.25">
      <c r="A2927" s="354">
        <v>1</v>
      </c>
      <c r="B2927" s="354">
        <v>0</v>
      </c>
      <c r="C2927" s="354">
        <v>0</v>
      </c>
      <c r="D2927" s="354">
        <v>1</v>
      </c>
      <c r="E2927" s="354">
        <v>1</v>
      </c>
      <c r="F2927" s="354">
        <v>1</v>
      </c>
      <c r="G2927" s="354">
        <v>0</v>
      </c>
      <c r="H2927" s="354">
        <v>1</v>
      </c>
      <c r="I2927" s="354">
        <v>1</v>
      </c>
      <c r="J2927" s="354">
        <v>1</v>
      </c>
      <c r="K2927" s="354">
        <v>0</v>
      </c>
      <c r="L2927" s="354">
        <v>0</v>
      </c>
      <c r="M2927" s="355">
        <v>3</v>
      </c>
      <c r="N2927" s="355">
        <v>4</v>
      </c>
    </row>
    <row r="2928" spans="1:14" hidden="1" x14ac:dyDescent="0.25">
      <c r="A2928" s="354">
        <v>0</v>
      </c>
      <c r="B2928" s="354">
        <v>1</v>
      </c>
      <c r="C2928" s="354">
        <v>0</v>
      </c>
      <c r="D2928" s="354">
        <v>1</v>
      </c>
      <c r="E2928" s="354">
        <v>1</v>
      </c>
      <c r="F2928" s="354">
        <v>1</v>
      </c>
      <c r="G2928" s="354">
        <v>1</v>
      </c>
      <c r="H2928" s="354">
        <v>1</v>
      </c>
      <c r="I2928" s="354">
        <v>1</v>
      </c>
      <c r="J2928" s="354">
        <v>1</v>
      </c>
      <c r="K2928" s="354">
        <v>0</v>
      </c>
      <c r="L2928" s="354">
        <v>0</v>
      </c>
      <c r="M2928" s="355">
        <v>3</v>
      </c>
      <c r="N2928" s="355">
        <v>5</v>
      </c>
    </row>
    <row r="2929" spans="1:14" hidden="1" x14ac:dyDescent="0.25">
      <c r="A2929" s="354">
        <v>1</v>
      </c>
      <c r="B2929" s="354">
        <v>0</v>
      </c>
      <c r="C2929" s="354">
        <v>0</v>
      </c>
      <c r="D2929" s="354">
        <v>1</v>
      </c>
      <c r="E2929" s="354">
        <v>1</v>
      </c>
      <c r="F2929" s="354">
        <v>2</v>
      </c>
      <c r="G2929" s="354">
        <v>1</v>
      </c>
      <c r="H2929" s="354">
        <v>0</v>
      </c>
      <c r="I2929" s="354">
        <v>1</v>
      </c>
      <c r="J2929" s="354">
        <v>1</v>
      </c>
      <c r="K2929" s="354">
        <v>0</v>
      </c>
      <c r="L2929" s="354">
        <v>0</v>
      </c>
      <c r="M2929" s="355">
        <v>4</v>
      </c>
      <c r="N2929" s="355">
        <v>4</v>
      </c>
    </row>
    <row r="2930" spans="1:14" hidden="1" x14ac:dyDescent="0.25">
      <c r="A2930" s="354">
        <v>0</v>
      </c>
      <c r="B2930" s="354">
        <v>1</v>
      </c>
      <c r="C2930" s="354">
        <v>1</v>
      </c>
      <c r="D2930" s="354">
        <v>0</v>
      </c>
      <c r="E2930" s="354">
        <v>1</v>
      </c>
      <c r="F2930" s="354">
        <v>1</v>
      </c>
      <c r="G2930" s="354">
        <v>1</v>
      </c>
      <c r="H2930" s="354">
        <v>1</v>
      </c>
      <c r="I2930" s="354">
        <v>1</v>
      </c>
      <c r="J2930" s="354">
        <v>1</v>
      </c>
      <c r="K2930" s="354">
        <v>0</v>
      </c>
      <c r="L2930" s="354">
        <v>0</v>
      </c>
      <c r="M2930" s="355">
        <v>4</v>
      </c>
      <c r="N2930" s="355">
        <v>4</v>
      </c>
    </row>
    <row r="2931" spans="1:14" hidden="1" x14ac:dyDescent="0.25">
      <c r="A2931" s="354">
        <v>0</v>
      </c>
      <c r="B2931" s="354">
        <v>1</v>
      </c>
      <c r="C2931" s="354">
        <v>1</v>
      </c>
      <c r="D2931" s="354">
        <v>2</v>
      </c>
      <c r="E2931" s="354">
        <v>2</v>
      </c>
      <c r="F2931" s="354">
        <v>2</v>
      </c>
      <c r="G2931" s="354">
        <v>3</v>
      </c>
      <c r="H2931" s="354">
        <v>2</v>
      </c>
      <c r="I2931" s="354">
        <v>2</v>
      </c>
      <c r="J2931" s="354">
        <v>2</v>
      </c>
      <c r="K2931" s="354">
        <v>0</v>
      </c>
      <c r="L2931" s="354">
        <v>1</v>
      </c>
      <c r="M2931" s="355">
        <v>8</v>
      </c>
      <c r="N2931" s="355">
        <v>10</v>
      </c>
    </row>
    <row r="2932" spans="1:14" hidden="1" x14ac:dyDescent="0.25">
      <c r="A2932" s="354">
        <v>1</v>
      </c>
      <c r="B2932" s="354">
        <v>0</v>
      </c>
      <c r="C2932" s="354">
        <v>1</v>
      </c>
      <c r="D2932" s="354">
        <v>2</v>
      </c>
      <c r="E2932" s="354">
        <v>1</v>
      </c>
      <c r="F2932" s="354">
        <v>2</v>
      </c>
      <c r="G2932" s="354">
        <v>2</v>
      </c>
      <c r="H2932" s="354">
        <v>1</v>
      </c>
      <c r="I2932" s="354">
        <v>1</v>
      </c>
      <c r="J2932" s="354">
        <v>1</v>
      </c>
      <c r="K2932" s="354">
        <v>0</v>
      </c>
      <c r="L2932" s="354">
        <v>1</v>
      </c>
      <c r="M2932" s="355">
        <v>6</v>
      </c>
      <c r="N2932" s="355">
        <v>7</v>
      </c>
    </row>
    <row r="2933" spans="1:14" hidden="1" x14ac:dyDescent="0.25">
      <c r="A2933" s="354">
        <v>1</v>
      </c>
      <c r="B2933" s="354">
        <v>1</v>
      </c>
      <c r="C2933" s="354">
        <v>3</v>
      </c>
      <c r="D2933" s="354">
        <v>1</v>
      </c>
      <c r="E2933" s="354">
        <v>0</v>
      </c>
      <c r="F2933" s="354">
        <v>4</v>
      </c>
      <c r="G2933" s="354">
        <v>1</v>
      </c>
      <c r="H2933" s="354">
        <v>3</v>
      </c>
      <c r="I2933" s="354">
        <v>2</v>
      </c>
      <c r="J2933" s="354">
        <v>2</v>
      </c>
      <c r="K2933" s="354">
        <v>0</v>
      </c>
      <c r="L2933" s="354">
        <v>0</v>
      </c>
      <c r="M2933" s="355">
        <v>7</v>
      </c>
      <c r="N2933" s="355">
        <v>11</v>
      </c>
    </row>
    <row r="2934" spans="1:14" hidden="1" x14ac:dyDescent="0.25">
      <c r="A2934" s="354">
        <v>1</v>
      </c>
      <c r="B2934" s="354">
        <v>0</v>
      </c>
      <c r="C2934" s="354">
        <v>1</v>
      </c>
      <c r="D2934" s="354">
        <v>0</v>
      </c>
      <c r="E2934" s="354">
        <v>2</v>
      </c>
      <c r="F2934" s="354">
        <v>1</v>
      </c>
      <c r="G2934" s="354">
        <v>1</v>
      </c>
      <c r="H2934" s="354">
        <v>1</v>
      </c>
      <c r="I2934" s="354">
        <v>1</v>
      </c>
      <c r="J2934" s="354">
        <v>1</v>
      </c>
      <c r="K2934" s="354">
        <v>0</v>
      </c>
      <c r="L2934" s="354">
        <v>0</v>
      </c>
      <c r="M2934" s="355">
        <v>6</v>
      </c>
      <c r="N2934" s="355">
        <v>3</v>
      </c>
    </row>
    <row r="2935" spans="1:14" hidden="1" x14ac:dyDescent="0.25">
      <c r="A2935" s="354">
        <v>1</v>
      </c>
      <c r="B2935" s="354">
        <v>0</v>
      </c>
      <c r="C2935" s="354">
        <v>0</v>
      </c>
      <c r="D2935" s="354">
        <v>1</v>
      </c>
      <c r="E2935" s="354">
        <v>1</v>
      </c>
      <c r="F2935" s="354">
        <v>0</v>
      </c>
      <c r="G2935" s="354">
        <v>0</v>
      </c>
      <c r="H2935" s="354">
        <v>0</v>
      </c>
      <c r="I2935" s="354">
        <v>1</v>
      </c>
      <c r="J2935" s="354">
        <v>1</v>
      </c>
      <c r="K2935" s="354">
        <v>0</v>
      </c>
      <c r="L2935" s="354">
        <v>0</v>
      </c>
      <c r="M2935" s="355">
        <v>3</v>
      </c>
      <c r="N2935" s="355">
        <v>2</v>
      </c>
    </row>
    <row r="2936" spans="1:14" hidden="1" x14ac:dyDescent="0.25">
      <c r="A2936" s="354">
        <v>0</v>
      </c>
      <c r="B2936" s="354">
        <v>0</v>
      </c>
      <c r="C2936" s="354">
        <v>0</v>
      </c>
      <c r="D2936" s="354">
        <v>0</v>
      </c>
      <c r="E2936" s="354">
        <v>2</v>
      </c>
      <c r="F2936" s="354">
        <v>0</v>
      </c>
      <c r="G2936" s="354">
        <v>0</v>
      </c>
      <c r="H2936" s="354">
        <v>0</v>
      </c>
      <c r="I2936" s="354">
        <v>1</v>
      </c>
      <c r="J2936" s="354">
        <v>1</v>
      </c>
      <c r="K2936" s="354">
        <v>0</v>
      </c>
      <c r="L2936" s="354">
        <v>0</v>
      </c>
      <c r="M2936" s="355">
        <v>3</v>
      </c>
      <c r="N2936" s="355">
        <v>1</v>
      </c>
    </row>
    <row r="2937" spans="1:14" hidden="1" x14ac:dyDescent="0.25">
      <c r="A2937" s="354">
        <v>1</v>
      </c>
      <c r="B2937" s="354">
        <v>0</v>
      </c>
      <c r="C2937" s="354">
        <v>1</v>
      </c>
      <c r="D2937" s="354">
        <v>1</v>
      </c>
      <c r="E2937" s="354">
        <v>2</v>
      </c>
      <c r="F2937" s="354">
        <v>1</v>
      </c>
      <c r="G2937" s="354">
        <v>1</v>
      </c>
      <c r="H2937" s="354">
        <v>1</v>
      </c>
      <c r="I2937" s="354">
        <v>1</v>
      </c>
      <c r="J2937" s="354">
        <v>1</v>
      </c>
      <c r="K2937" s="354">
        <v>0</v>
      </c>
      <c r="L2937" s="354">
        <v>0</v>
      </c>
      <c r="M2937" s="355">
        <v>6</v>
      </c>
      <c r="N2937" s="355">
        <v>4</v>
      </c>
    </row>
    <row r="2938" spans="1:14" hidden="1" x14ac:dyDescent="0.25">
      <c r="A2938" s="354">
        <v>1</v>
      </c>
      <c r="B2938" s="354">
        <v>0</v>
      </c>
      <c r="C2938" s="354">
        <v>1</v>
      </c>
      <c r="D2938" s="354">
        <v>1</v>
      </c>
      <c r="E2938" s="354">
        <v>1</v>
      </c>
      <c r="F2938" s="354">
        <v>0</v>
      </c>
      <c r="G2938" s="354">
        <v>0</v>
      </c>
      <c r="H2938" s="354">
        <v>0</v>
      </c>
      <c r="I2938" s="354">
        <v>1</v>
      </c>
      <c r="J2938" s="354">
        <v>1</v>
      </c>
      <c r="K2938" s="354">
        <v>0</v>
      </c>
      <c r="L2938" s="354">
        <v>0</v>
      </c>
      <c r="M2938" s="355">
        <v>4</v>
      </c>
      <c r="N2938" s="355">
        <v>2</v>
      </c>
    </row>
    <row r="2939" spans="1:14" hidden="1" x14ac:dyDescent="0.25">
      <c r="A2939" s="354">
        <v>1</v>
      </c>
      <c r="B2939" s="354">
        <v>0</v>
      </c>
      <c r="C2939" s="354">
        <v>0</v>
      </c>
      <c r="D2939" s="354">
        <v>1</v>
      </c>
      <c r="E2939" s="354">
        <v>3</v>
      </c>
      <c r="F2939" s="354">
        <v>1</v>
      </c>
      <c r="G2939" s="354">
        <v>1</v>
      </c>
      <c r="H2939" s="354">
        <v>0</v>
      </c>
      <c r="I2939" s="354">
        <v>1</v>
      </c>
      <c r="J2939" s="354">
        <v>1</v>
      </c>
      <c r="K2939" s="354">
        <v>0</v>
      </c>
      <c r="L2939" s="354">
        <v>0</v>
      </c>
      <c r="M2939" s="355">
        <v>6</v>
      </c>
      <c r="N2939" s="355">
        <v>3</v>
      </c>
    </row>
    <row r="2940" spans="1:14" hidden="1" x14ac:dyDescent="0.25">
      <c r="A2940" s="354">
        <v>1</v>
      </c>
      <c r="B2940" s="354">
        <v>0</v>
      </c>
      <c r="C2940" s="354">
        <v>1</v>
      </c>
      <c r="D2940" s="354">
        <v>1</v>
      </c>
      <c r="E2940" s="354">
        <v>1</v>
      </c>
      <c r="F2940" s="354">
        <v>1</v>
      </c>
      <c r="G2940" s="354">
        <v>0</v>
      </c>
      <c r="H2940" s="354">
        <v>1</v>
      </c>
      <c r="I2940" s="354">
        <v>1</v>
      </c>
      <c r="J2940" s="354">
        <v>1</v>
      </c>
      <c r="K2940" s="354">
        <v>0</v>
      </c>
      <c r="L2940" s="354">
        <v>0</v>
      </c>
      <c r="M2940" s="355">
        <v>4</v>
      </c>
      <c r="N2940" s="355">
        <v>4</v>
      </c>
    </row>
    <row r="2941" spans="1:14" hidden="1" x14ac:dyDescent="0.25">
      <c r="A2941" s="354">
        <v>0</v>
      </c>
      <c r="B2941" s="354">
        <v>0</v>
      </c>
      <c r="C2941" s="354">
        <v>1</v>
      </c>
      <c r="D2941" s="354">
        <v>1</v>
      </c>
      <c r="E2941" s="354">
        <v>1</v>
      </c>
      <c r="F2941" s="354">
        <v>1</v>
      </c>
      <c r="G2941" s="354">
        <v>1</v>
      </c>
      <c r="H2941" s="354">
        <v>0</v>
      </c>
      <c r="I2941" s="354">
        <v>1</v>
      </c>
      <c r="J2941" s="354">
        <v>1</v>
      </c>
      <c r="K2941" s="354">
        <v>1</v>
      </c>
      <c r="L2941" s="354">
        <v>1</v>
      </c>
      <c r="M2941" s="355">
        <v>5</v>
      </c>
      <c r="N2941" s="355">
        <v>4</v>
      </c>
    </row>
    <row r="2942" spans="1:14" hidden="1" x14ac:dyDescent="0.25">
      <c r="A2942" s="354">
        <v>0</v>
      </c>
      <c r="B2942" s="354">
        <v>0</v>
      </c>
      <c r="C2942" s="354">
        <v>1</v>
      </c>
      <c r="D2942" s="354">
        <v>0</v>
      </c>
      <c r="E2942" s="354">
        <v>1</v>
      </c>
      <c r="F2942" s="354">
        <v>0</v>
      </c>
      <c r="G2942" s="354">
        <v>0</v>
      </c>
      <c r="H2942" s="354">
        <v>2</v>
      </c>
      <c r="I2942" s="354">
        <v>2</v>
      </c>
      <c r="J2942" s="354">
        <v>1</v>
      </c>
      <c r="K2942" s="354">
        <v>0</v>
      </c>
      <c r="L2942" s="354">
        <v>0</v>
      </c>
      <c r="M2942" s="355">
        <v>4</v>
      </c>
      <c r="N2942" s="355">
        <v>3</v>
      </c>
    </row>
    <row r="2943" spans="1:14" hidden="1" x14ac:dyDescent="0.25">
      <c r="A2943" s="354">
        <v>1</v>
      </c>
      <c r="B2943" s="354">
        <v>0</v>
      </c>
      <c r="C2943" s="354">
        <v>1</v>
      </c>
      <c r="D2943" s="354">
        <v>1</v>
      </c>
      <c r="E2943" s="354">
        <v>1</v>
      </c>
      <c r="F2943" s="354">
        <v>0</v>
      </c>
      <c r="G2943" s="354">
        <v>0</v>
      </c>
      <c r="H2943" s="354">
        <v>0</v>
      </c>
      <c r="I2943" s="354">
        <v>1</v>
      </c>
      <c r="J2943" s="354">
        <v>1</v>
      </c>
      <c r="K2943" s="354">
        <v>0</v>
      </c>
      <c r="L2943" s="354">
        <v>0</v>
      </c>
      <c r="M2943" s="355">
        <v>4</v>
      </c>
      <c r="N2943" s="355">
        <v>2</v>
      </c>
    </row>
    <row r="2944" spans="1:14" hidden="1" x14ac:dyDescent="0.25">
      <c r="A2944" s="354">
        <v>1</v>
      </c>
      <c r="B2944" s="354">
        <v>0</v>
      </c>
      <c r="C2944" s="354">
        <v>1</v>
      </c>
      <c r="D2944" s="354">
        <v>1</v>
      </c>
      <c r="E2944" s="354">
        <v>2</v>
      </c>
      <c r="F2944" s="354">
        <v>1</v>
      </c>
      <c r="G2944" s="354">
        <v>0</v>
      </c>
      <c r="H2944" s="354">
        <v>1</v>
      </c>
      <c r="I2944" s="354">
        <v>1</v>
      </c>
      <c r="J2944" s="354">
        <v>1</v>
      </c>
      <c r="K2944" s="354">
        <v>0</v>
      </c>
      <c r="L2944" s="354">
        <v>0</v>
      </c>
      <c r="M2944" s="355">
        <v>5</v>
      </c>
      <c r="N2944" s="355">
        <v>4</v>
      </c>
    </row>
    <row r="2945" spans="1:14" hidden="1" x14ac:dyDescent="0.25">
      <c r="A2945" s="354">
        <v>1</v>
      </c>
      <c r="B2945" s="354">
        <v>0</v>
      </c>
      <c r="C2945" s="354">
        <v>1</v>
      </c>
      <c r="D2945" s="354">
        <v>1</v>
      </c>
      <c r="E2945" s="354">
        <v>1</v>
      </c>
      <c r="F2945" s="354">
        <v>0</v>
      </c>
      <c r="G2945" s="354">
        <v>1</v>
      </c>
      <c r="H2945" s="354">
        <v>1</v>
      </c>
      <c r="I2945" s="354">
        <v>1</v>
      </c>
      <c r="J2945" s="354">
        <v>1</v>
      </c>
      <c r="K2945" s="354">
        <v>0</v>
      </c>
      <c r="L2945" s="354">
        <v>0</v>
      </c>
      <c r="M2945" s="355">
        <v>5</v>
      </c>
      <c r="N2945" s="355">
        <v>3</v>
      </c>
    </row>
    <row r="2946" spans="1:14" hidden="1" x14ac:dyDescent="0.25">
      <c r="A2946" s="354">
        <v>0</v>
      </c>
      <c r="B2946" s="354">
        <v>0</v>
      </c>
      <c r="C2946" s="354">
        <v>0</v>
      </c>
      <c r="D2946" s="354">
        <v>1</v>
      </c>
      <c r="E2946" s="354">
        <v>0</v>
      </c>
      <c r="F2946" s="354">
        <v>1</v>
      </c>
      <c r="G2946" s="354">
        <v>0</v>
      </c>
      <c r="H2946" s="354">
        <v>0</v>
      </c>
      <c r="I2946" s="354">
        <v>1</v>
      </c>
      <c r="J2946" s="354">
        <v>1</v>
      </c>
      <c r="K2946" s="354">
        <v>0</v>
      </c>
      <c r="L2946" s="354">
        <v>0</v>
      </c>
      <c r="M2946" s="355">
        <v>1</v>
      </c>
      <c r="N2946" s="355">
        <v>3</v>
      </c>
    </row>
    <row r="2947" spans="1:14" hidden="1" x14ac:dyDescent="0.25">
      <c r="A2947" s="354">
        <v>0</v>
      </c>
      <c r="B2947" s="354">
        <v>0</v>
      </c>
      <c r="C2947" s="354">
        <v>0</v>
      </c>
      <c r="D2947" s="354">
        <v>1</v>
      </c>
      <c r="E2947" s="354">
        <v>0</v>
      </c>
      <c r="F2947" s="354">
        <v>0</v>
      </c>
      <c r="G2947" s="354">
        <v>1</v>
      </c>
      <c r="H2947" s="354">
        <v>0</v>
      </c>
      <c r="I2947" s="354">
        <v>1</v>
      </c>
      <c r="J2947" s="354">
        <v>1</v>
      </c>
      <c r="K2947" s="354">
        <v>0</v>
      </c>
      <c r="L2947" s="354">
        <v>0</v>
      </c>
      <c r="M2947" s="355">
        <v>2</v>
      </c>
      <c r="N2947" s="355">
        <v>2</v>
      </c>
    </row>
    <row r="2948" spans="1:14" hidden="1" x14ac:dyDescent="0.25">
      <c r="A2948" s="354">
        <v>1</v>
      </c>
      <c r="B2948" s="354">
        <v>0</v>
      </c>
      <c r="C2948" s="354">
        <v>1</v>
      </c>
      <c r="D2948" s="354">
        <v>0</v>
      </c>
      <c r="E2948" s="354">
        <v>1</v>
      </c>
      <c r="F2948" s="354">
        <v>2</v>
      </c>
      <c r="G2948" s="354">
        <v>1</v>
      </c>
      <c r="H2948" s="354">
        <v>1</v>
      </c>
      <c r="I2948" s="354">
        <v>1</v>
      </c>
      <c r="J2948" s="354">
        <v>1</v>
      </c>
      <c r="K2948" s="354">
        <v>0</v>
      </c>
      <c r="L2948" s="354">
        <v>0</v>
      </c>
      <c r="M2948" s="355">
        <v>5</v>
      </c>
      <c r="N2948" s="355">
        <v>4</v>
      </c>
    </row>
    <row r="2949" spans="1:14" hidden="1" x14ac:dyDescent="0.25">
      <c r="A2949" s="354">
        <v>1</v>
      </c>
      <c r="B2949" s="354">
        <v>0</v>
      </c>
      <c r="C2949" s="354">
        <v>1</v>
      </c>
      <c r="D2949" s="354">
        <v>0</v>
      </c>
      <c r="E2949" s="354">
        <v>1</v>
      </c>
      <c r="F2949" s="354">
        <v>1</v>
      </c>
      <c r="G2949" s="354">
        <v>1</v>
      </c>
      <c r="H2949" s="354">
        <v>0</v>
      </c>
      <c r="I2949" s="354">
        <v>1</v>
      </c>
      <c r="J2949" s="354">
        <v>1</v>
      </c>
      <c r="K2949" s="354">
        <v>0</v>
      </c>
      <c r="L2949" s="354">
        <v>0</v>
      </c>
      <c r="M2949" s="355">
        <v>5</v>
      </c>
      <c r="N2949" s="355">
        <v>2</v>
      </c>
    </row>
    <row r="2950" spans="1:14" hidden="1" x14ac:dyDescent="0.25">
      <c r="A2950" s="354">
        <v>1</v>
      </c>
      <c r="B2950" s="354">
        <v>0</v>
      </c>
      <c r="C2950" s="354">
        <v>1</v>
      </c>
      <c r="D2950" s="354">
        <v>0</v>
      </c>
      <c r="E2950" s="354">
        <v>0</v>
      </c>
      <c r="F2950" s="354">
        <v>0</v>
      </c>
      <c r="G2950" s="354">
        <v>0</v>
      </c>
      <c r="H2950" s="354">
        <v>0</v>
      </c>
      <c r="I2950" s="354">
        <v>1</v>
      </c>
      <c r="J2950" s="354">
        <v>1</v>
      </c>
      <c r="K2950" s="354">
        <v>0</v>
      </c>
      <c r="L2950" s="354">
        <v>0</v>
      </c>
      <c r="M2950" s="355">
        <v>3</v>
      </c>
      <c r="N2950" s="355">
        <v>1</v>
      </c>
    </row>
    <row r="2951" spans="1:14" hidden="1" x14ac:dyDescent="0.25">
      <c r="A2951" s="354">
        <v>1</v>
      </c>
      <c r="B2951" s="354">
        <v>0</v>
      </c>
      <c r="C2951" s="354">
        <v>1</v>
      </c>
      <c r="D2951" s="354">
        <v>2</v>
      </c>
      <c r="E2951" s="354">
        <v>1</v>
      </c>
      <c r="F2951" s="354">
        <v>1</v>
      </c>
      <c r="G2951" s="354">
        <v>1</v>
      </c>
      <c r="H2951" s="354">
        <v>0</v>
      </c>
      <c r="I2951" s="354">
        <v>2</v>
      </c>
      <c r="J2951" s="354">
        <v>2</v>
      </c>
      <c r="K2951" s="354">
        <v>1</v>
      </c>
      <c r="L2951" s="354">
        <v>0</v>
      </c>
      <c r="M2951" s="355">
        <v>7</v>
      </c>
      <c r="N2951" s="355">
        <v>5</v>
      </c>
    </row>
    <row r="2952" spans="1:14" hidden="1" x14ac:dyDescent="0.25">
      <c r="A2952" s="354">
        <v>1</v>
      </c>
      <c r="B2952" s="354">
        <v>0</v>
      </c>
      <c r="C2952" s="354">
        <v>2</v>
      </c>
      <c r="D2952" s="354">
        <v>0</v>
      </c>
      <c r="E2952" s="354">
        <v>1</v>
      </c>
      <c r="F2952" s="354">
        <v>2</v>
      </c>
      <c r="G2952" s="354">
        <v>1</v>
      </c>
      <c r="H2952" s="354">
        <v>1</v>
      </c>
      <c r="I2952" s="354">
        <v>1</v>
      </c>
      <c r="J2952" s="354">
        <v>1</v>
      </c>
      <c r="K2952" s="354">
        <v>0</v>
      </c>
      <c r="L2952" s="354">
        <v>0</v>
      </c>
      <c r="M2952" s="355">
        <v>6</v>
      </c>
      <c r="N2952" s="355">
        <v>4</v>
      </c>
    </row>
    <row r="2953" spans="1:14" hidden="1" x14ac:dyDescent="0.25">
      <c r="A2953" s="354">
        <v>1</v>
      </c>
      <c r="B2953" s="354">
        <v>0</v>
      </c>
      <c r="C2953" s="354">
        <v>0</v>
      </c>
      <c r="D2953" s="354">
        <v>1</v>
      </c>
      <c r="E2953" s="354">
        <v>0</v>
      </c>
      <c r="F2953" s="354">
        <v>0</v>
      </c>
      <c r="G2953" s="354">
        <v>0</v>
      </c>
      <c r="H2953" s="354">
        <v>1</v>
      </c>
      <c r="I2953" s="354">
        <v>1</v>
      </c>
      <c r="J2953" s="354">
        <v>1</v>
      </c>
      <c r="K2953" s="354">
        <v>0</v>
      </c>
      <c r="L2953" s="354">
        <v>0</v>
      </c>
      <c r="M2953" s="355">
        <v>2</v>
      </c>
      <c r="N2953" s="355">
        <v>3</v>
      </c>
    </row>
    <row r="2954" spans="1:14" hidden="1" x14ac:dyDescent="0.25">
      <c r="A2954" s="354">
        <v>0</v>
      </c>
      <c r="B2954" s="354">
        <v>0</v>
      </c>
      <c r="C2954" s="354">
        <v>1</v>
      </c>
      <c r="D2954" s="354">
        <v>1</v>
      </c>
      <c r="E2954" s="354">
        <v>2</v>
      </c>
      <c r="F2954" s="354">
        <v>1</v>
      </c>
      <c r="G2954" s="354">
        <v>1</v>
      </c>
      <c r="H2954" s="354">
        <v>1</v>
      </c>
      <c r="I2954" s="354">
        <v>2</v>
      </c>
      <c r="J2954" s="354">
        <v>2</v>
      </c>
      <c r="K2954" s="354">
        <v>0</v>
      </c>
      <c r="L2954" s="354">
        <v>0</v>
      </c>
      <c r="M2954" s="355">
        <v>6</v>
      </c>
      <c r="N2954" s="355">
        <v>5</v>
      </c>
    </row>
    <row r="2955" spans="1:14" hidden="1" x14ac:dyDescent="0.25">
      <c r="A2955" s="354">
        <v>1</v>
      </c>
      <c r="B2955" s="354">
        <v>0</v>
      </c>
      <c r="C2955" s="354">
        <v>1</v>
      </c>
      <c r="D2955" s="354">
        <v>1</v>
      </c>
      <c r="E2955" s="354">
        <v>1</v>
      </c>
      <c r="F2955" s="354">
        <v>2</v>
      </c>
      <c r="G2955" s="354">
        <v>1</v>
      </c>
      <c r="H2955" s="354">
        <v>1</v>
      </c>
      <c r="I2955" s="354">
        <v>1</v>
      </c>
      <c r="J2955" s="354">
        <v>1</v>
      </c>
      <c r="K2955" s="354">
        <v>0</v>
      </c>
      <c r="L2955" s="354">
        <v>0</v>
      </c>
      <c r="M2955" s="355">
        <v>5</v>
      </c>
      <c r="N2955" s="355">
        <v>5</v>
      </c>
    </row>
    <row r="2956" spans="1:14" hidden="1" x14ac:dyDescent="0.25">
      <c r="A2956" s="354">
        <v>0</v>
      </c>
      <c r="B2956" s="354">
        <v>1</v>
      </c>
      <c r="C2956" s="354">
        <v>0</v>
      </c>
      <c r="D2956" s="354">
        <v>0</v>
      </c>
      <c r="E2956" s="354">
        <v>1</v>
      </c>
      <c r="F2956" s="354">
        <v>1</v>
      </c>
      <c r="G2956" s="354">
        <v>0</v>
      </c>
      <c r="H2956" s="354">
        <v>1</v>
      </c>
      <c r="I2956" s="354">
        <v>1</v>
      </c>
      <c r="J2956" s="354">
        <v>1</v>
      </c>
      <c r="K2956" s="354">
        <v>0</v>
      </c>
      <c r="L2956" s="354">
        <v>0</v>
      </c>
      <c r="M2956" s="355">
        <v>2</v>
      </c>
      <c r="N2956" s="355">
        <v>4</v>
      </c>
    </row>
    <row r="2957" spans="1:14" hidden="1" x14ac:dyDescent="0.25">
      <c r="A2957" s="354">
        <v>0</v>
      </c>
      <c r="B2957" s="354">
        <v>0</v>
      </c>
      <c r="C2957" s="354">
        <v>0</v>
      </c>
      <c r="D2957" s="354">
        <v>1</v>
      </c>
      <c r="E2957" s="354">
        <v>0</v>
      </c>
      <c r="F2957" s="354">
        <v>0</v>
      </c>
      <c r="G2957" s="354">
        <v>1</v>
      </c>
      <c r="H2957" s="354">
        <v>0</v>
      </c>
      <c r="I2957" s="354">
        <v>2</v>
      </c>
      <c r="J2957" s="354">
        <v>2</v>
      </c>
      <c r="K2957" s="354">
        <v>0</v>
      </c>
      <c r="L2957" s="354">
        <v>0</v>
      </c>
      <c r="M2957" s="355">
        <v>3</v>
      </c>
      <c r="N2957" s="355">
        <v>3</v>
      </c>
    </row>
    <row r="2958" spans="1:14" hidden="1" x14ac:dyDescent="0.25">
      <c r="A2958" s="354">
        <v>0</v>
      </c>
      <c r="B2958" s="354">
        <v>0</v>
      </c>
      <c r="C2958" s="354">
        <v>0</v>
      </c>
      <c r="D2958" s="354">
        <v>0</v>
      </c>
      <c r="E2958" s="354">
        <v>1</v>
      </c>
      <c r="F2958" s="354">
        <v>0</v>
      </c>
      <c r="G2958" s="354">
        <v>0</v>
      </c>
      <c r="H2958" s="354">
        <v>0</v>
      </c>
      <c r="I2958" s="354">
        <v>2</v>
      </c>
      <c r="J2958" s="354">
        <v>3</v>
      </c>
      <c r="K2958" s="354">
        <v>0</v>
      </c>
      <c r="L2958" s="354">
        <v>0</v>
      </c>
      <c r="M2958" s="355">
        <v>3</v>
      </c>
      <c r="N2958" s="355">
        <v>3</v>
      </c>
    </row>
    <row r="2959" spans="1:14" hidden="1" x14ac:dyDescent="0.25">
      <c r="A2959" s="354">
        <v>1</v>
      </c>
      <c r="B2959" s="354">
        <v>0</v>
      </c>
      <c r="C2959" s="354">
        <v>2</v>
      </c>
      <c r="D2959" s="354">
        <v>0</v>
      </c>
      <c r="E2959" s="354">
        <v>1</v>
      </c>
      <c r="F2959" s="354">
        <v>1</v>
      </c>
      <c r="G2959" s="354">
        <v>0</v>
      </c>
      <c r="H2959" s="354">
        <v>0</v>
      </c>
      <c r="I2959" s="354">
        <v>1</v>
      </c>
      <c r="J2959" s="354">
        <v>1</v>
      </c>
      <c r="K2959" s="354">
        <v>0</v>
      </c>
      <c r="L2959" s="354">
        <v>0</v>
      </c>
      <c r="M2959" s="355">
        <v>5</v>
      </c>
      <c r="N2959" s="355">
        <v>2</v>
      </c>
    </row>
    <row r="2960" spans="1:14" hidden="1" x14ac:dyDescent="0.25">
      <c r="A2960" s="354">
        <v>0</v>
      </c>
      <c r="B2960" s="354">
        <v>0</v>
      </c>
      <c r="C2960" s="354">
        <v>1</v>
      </c>
      <c r="D2960" s="354">
        <v>1</v>
      </c>
      <c r="E2960" s="354">
        <v>0</v>
      </c>
      <c r="F2960" s="354">
        <v>1</v>
      </c>
      <c r="G2960" s="354">
        <v>1</v>
      </c>
      <c r="H2960" s="354">
        <v>0</v>
      </c>
      <c r="I2960" s="354">
        <v>1</v>
      </c>
      <c r="J2960" s="354">
        <v>1</v>
      </c>
      <c r="K2960" s="354">
        <v>0</v>
      </c>
      <c r="L2960" s="354">
        <v>0</v>
      </c>
      <c r="M2960" s="355">
        <v>3</v>
      </c>
      <c r="N2960" s="355">
        <v>3</v>
      </c>
    </row>
    <row r="2961" spans="1:14" hidden="1" x14ac:dyDescent="0.25">
      <c r="A2961" s="354">
        <v>1</v>
      </c>
      <c r="B2961" s="354">
        <v>0</v>
      </c>
      <c r="C2961" s="354">
        <v>1</v>
      </c>
      <c r="D2961" s="354">
        <v>0</v>
      </c>
      <c r="E2961" s="354">
        <v>1</v>
      </c>
      <c r="F2961" s="354">
        <v>0</v>
      </c>
      <c r="G2961" s="354">
        <v>0</v>
      </c>
      <c r="H2961" s="354">
        <v>0</v>
      </c>
      <c r="I2961" s="354">
        <v>1</v>
      </c>
      <c r="J2961" s="354">
        <v>1</v>
      </c>
      <c r="K2961" s="354">
        <v>0</v>
      </c>
      <c r="L2961" s="354">
        <v>0</v>
      </c>
      <c r="M2961" s="355">
        <v>4</v>
      </c>
      <c r="N2961" s="355">
        <v>1</v>
      </c>
    </row>
    <row r="2962" spans="1:14" hidden="1" x14ac:dyDescent="0.25">
      <c r="A2962" s="354">
        <v>0</v>
      </c>
      <c r="B2962" s="354">
        <v>1</v>
      </c>
      <c r="C2962" s="354">
        <v>1</v>
      </c>
      <c r="D2962" s="354">
        <v>0</v>
      </c>
      <c r="E2962" s="354">
        <v>0</v>
      </c>
      <c r="F2962" s="354">
        <v>1</v>
      </c>
      <c r="G2962" s="354">
        <v>0</v>
      </c>
      <c r="H2962" s="354">
        <v>0</v>
      </c>
      <c r="I2962" s="354">
        <v>1</v>
      </c>
      <c r="J2962" s="354">
        <v>1</v>
      </c>
      <c r="K2962" s="354">
        <v>0</v>
      </c>
      <c r="L2962" s="354">
        <v>0</v>
      </c>
      <c r="M2962" s="355">
        <v>2</v>
      </c>
      <c r="N2962" s="355">
        <v>3</v>
      </c>
    </row>
    <row r="2963" spans="1:14" hidden="1" x14ac:dyDescent="0.25">
      <c r="A2963" s="354">
        <v>1</v>
      </c>
      <c r="B2963" s="354">
        <v>0</v>
      </c>
      <c r="C2963" s="354">
        <v>1</v>
      </c>
      <c r="D2963" s="354">
        <v>1</v>
      </c>
      <c r="E2963" s="354">
        <v>1</v>
      </c>
      <c r="F2963" s="354">
        <v>0</v>
      </c>
      <c r="G2963" s="354">
        <v>1</v>
      </c>
      <c r="H2963" s="354">
        <v>0</v>
      </c>
      <c r="I2963" s="354">
        <v>1</v>
      </c>
      <c r="J2963" s="354">
        <v>1</v>
      </c>
      <c r="K2963" s="354">
        <v>0</v>
      </c>
      <c r="L2963" s="354">
        <v>0</v>
      </c>
      <c r="M2963" s="355">
        <v>5</v>
      </c>
      <c r="N2963" s="355">
        <v>2</v>
      </c>
    </row>
    <row r="2964" spans="1:14" hidden="1" x14ac:dyDescent="0.25">
      <c r="A2964" s="354">
        <v>1</v>
      </c>
      <c r="B2964" s="354">
        <v>0</v>
      </c>
      <c r="C2964" s="354">
        <v>1</v>
      </c>
      <c r="D2964" s="354">
        <v>1</v>
      </c>
      <c r="E2964" s="354">
        <v>2</v>
      </c>
      <c r="F2964" s="354">
        <v>0</v>
      </c>
      <c r="G2964" s="354">
        <v>1</v>
      </c>
      <c r="H2964" s="354">
        <v>0</v>
      </c>
      <c r="I2964" s="354">
        <v>1</v>
      </c>
      <c r="J2964" s="354">
        <v>1</v>
      </c>
      <c r="K2964" s="354">
        <v>0</v>
      </c>
      <c r="L2964" s="354">
        <v>0</v>
      </c>
      <c r="M2964" s="355">
        <v>6</v>
      </c>
      <c r="N2964" s="355">
        <v>2</v>
      </c>
    </row>
    <row r="2965" spans="1:14" hidden="1" x14ac:dyDescent="0.25">
      <c r="A2965" s="354">
        <v>1</v>
      </c>
      <c r="B2965" s="354">
        <v>0</v>
      </c>
      <c r="C2965" s="354">
        <v>0</v>
      </c>
      <c r="D2965" s="354">
        <v>1</v>
      </c>
      <c r="E2965" s="354">
        <v>1</v>
      </c>
      <c r="F2965" s="354">
        <v>0</v>
      </c>
      <c r="G2965" s="354">
        <v>0</v>
      </c>
      <c r="H2965" s="354">
        <v>0</v>
      </c>
      <c r="I2965" s="354">
        <v>1</v>
      </c>
      <c r="J2965" s="354">
        <v>1</v>
      </c>
      <c r="K2965" s="354">
        <v>0</v>
      </c>
      <c r="L2965" s="354">
        <v>0</v>
      </c>
      <c r="M2965" s="355">
        <v>3</v>
      </c>
      <c r="N2965" s="355">
        <v>2</v>
      </c>
    </row>
    <row r="2966" spans="1:14" hidden="1" x14ac:dyDescent="0.25">
      <c r="A2966" s="354">
        <v>0</v>
      </c>
      <c r="B2966" s="354">
        <v>0</v>
      </c>
      <c r="C2966" s="354">
        <v>1</v>
      </c>
      <c r="D2966" s="354">
        <v>1</v>
      </c>
      <c r="E2966" s="354">
        <v>2</v>
      </c>
      <c r="F2966" s="354">
        <v>1</v>
      </c>
      <c r="G2966" s="354">
        <v>2</v>
      </c>
      <c r="H2966" s="354">
        <v>1</v>
      </c>
      <c r="I2966" s="354">
        <v>1</v>
      </c>
      <c r="J2966" s="354">
        <v>2</v>
      </c>
      <c r="K2966" s="354">
        <v>1</v>
      </c>
      <c r="L2966" s="354">
        <v>0</v>
      </c>
      <c r="M2966" s="355">
        <v>7</v>
      </c>
      <c r="N2966" s="355">
        <v>5</v>
      </c>
    </row>
    <row r="2967" spans="1:14" hidden="1" x14ac:dyDescent="0.25">
      <c r="A2967" s="354">
        <v>0</v>
      </c>
      <c r="B2967" s="354">
        <v>0</v>
      </c>
      <c r="C2967" s="354">
        <v>0</v>
      </c>
      <c r="D2967" s="354">
        <v>1</v>
      </c>
      <c r="E2967" s="354">
        <v>0</v>
      </c>
      <c r="F2967" s="354">
        <v>0</v>
      </c>
      <c r="G2967" s="354">
        <v>1</v>
      </c>
      <c r="H2967" s="354">
        <v>0</v>
      </c>
      <c r="I2967" s="354">
        <v>1</v>
      </c>
      <c r="J2967" s="354">
        <v>2</v>
      </c>
      <c r="K2967" s="354">
        <v>0</v>
      </c>
      <c r="L2967" s="354">
        <v>0</v>
      </c>
      <c r="M2967" s="355">
        <v>2</v>
      </c>
      <c r="N2967" s="355">
        <v>3</v>
      </c>
    </row>
    <row r="2968" spans="1:14" hidden="1" x14ac:dyDescent="0.25">
      <c r="A2968" s="354">
        <v>0</v>
      </c>
      <c r="B2968" s="354">
        <v>2</v>
      </c>
      <c r="C2968" s="354">
        <v>0</v>
      </c>
      <c r="D2968" s="354">
        <v>0</v>
      </c>
      <c r="E2968" s="354">
        <v>2</v>
      </c>
      <c r="F2968" s="354">
        <v>1</v>
      </c>
      <c r="G2968" s="354">
        <v>1</v>
      </c>
      <c r="H2968" s="354">
        <v>0</v>
      </c>
      <c r="I2968" s="354">
        <v>2</v>
      </c>
      <c r="J2968" s="354">
        <v>2</v>
      </c>
      <c r="K2968" s="354">
        <v>0</v>
      </c>
      <c r="L2968" s="354">
        <v>0</v>
      </c>
      <c r="M2968" s="355">
        <v>5</v>
      </c>
      <c r="N2968" s="355">
        <v>5</v>
      </c>
    </row>
    <row r="2969" spans="1:14" hidden="1" x14ac:dyDescent="0.25">
      <c r="A2969" s="354">
        <v>1</v>
      </c>
      <c r="B2969" s="354">
        <v>1</v>
      </c>
      <c r="C2969" s="354">
        <v>1</v>
      </c>
      <c r="D2969" s="354">
        <v>1</v>
      </c>
      <c r="E2969" s="354">
        <v>1</v>
      </c>
      <c r="F2969" s="354">
        <v>0</v>
      </c>
      <c r="G2969" s="354">
        <v>1</v>
      </c>
      <c r="H2969" s="354">
        <v>1</v>
      </c>
      <c r="I2969" s="354">
        <v>1</v>
      </c>
      <c r="J2969" s="354">
        <v>1</v>
      </c>
      <c r="K2969" s="354">
        <v>0</v>
      </c>
      <c r="L2969" s="354">
        <v>0</v>
      </c>
      <c r="M2969" s="355">
        <v>5</v>
      </c>
      <c r="N2969" s="355">
        <v>4</v>
      </c>
    </row>
    <row r="2970" spans="1:14" hidden="1" x14ac:dyDescent="0.25">
      <c r="A2970" s="354">
        <v>1</v>
      </c>
      <c r="B2970" s="354">
        <v>0</v>
      </c>
      <c r="C2970" s="354">
        <v>0</v>
      </c>
      <c r="D2970" s="354">
        <v>1</v>
      </c>
      <c r="E2970" s="354">
        <v>1</v>
      </c>
      <c r="F2970" s="354">
        <v>0</v>
      </c>
      <c r="G2970" s="354">
        <v>2</v>
      </c>
      <c r="H2970" s="354">
        <v>1</v>
      </c>
      <c r="I2970" s="354">
        <v>2</v>
      </c>
      <c r="J2970" s="354">
        <v>2</v>
      </c>
      <c r="K2970" s="354">
        <v>0</v>
      </c>
      <c r="L2970" s="354">
        <v>0</v>
      </c>
      <c r="M2970" s="355">
        <v>6</v>
      </c>
      <c r="N2970" s="355">
        <v>4</v>
      </c>
    </row>
    <row r="2971" spans="1:14" hidden="1" x14ac:dyDescent="0.25">
      <c r="A2971" s="354">
        <v>1</v>
      </c>
      <c r="B2971" s="354">
        <v>0</v>
      </c>
      <c r="C2971" s="354">
        <v>1</v>
      </c>
      <c r="D2971" s="354">
        <v>2</v>
      </c>
      <c r="E2971" s="354">
        <v>1</v>
      </c>
      <c r="F2971" s="354">
        <v>1</v>
      </c>
      <c r="G2971" s="354">
        <v>1</v>
      </c>
      <c r="H2971" s="354">
        <v>0</v>
      </c>
      <c r="I2971" s="354">
        <v>1</v>
      </c>
      <c r="J2971" s="354">
        <v>1</v>
      </c>
      <c r="K2971" s="354">
        <v>0</v>
      </c>
      <c r="L2971" s="354">
        <v>0</v>
      </c>
      <c r="M2971" s="355">
        <v>5</v>
      </c>
      <c r="N2971" s="355">
        <v>4</v>
      </c>
    </row>
    <row r="2972" spans="1:14" hidden="1" x14ac:dyDescent="0.25">
      <c r="A2972" s="354">
        <v>1</v>
      </c>
      <c r="B2972" s="354">
        <v>2</v>
      </c>
      <c r="C2972" s="354">
        <v>1</v>
      </c>
      <c r="D2972" s="354">
        <v>0</v>
      </c>
      <c r="E2972" s="354">
        <v>3</v>
      </c>
      <c r="F2972" s="354">
        <v>1</v>
      </c>
      <c r="G2972" s="354">
        <v>2</v>
      </c>
      <c r="H2972" s="354">
        <v>1</v>
      </c>
      <c r="I2972" s="354">
        <v>3</v>
      </c>
      <c r="J2972" s="354">
        <v>4</v>
      </c>
      <c r="K2972" s="354">
        <v>1</v>
      </c>
      <c r="L2972" s="354">
        <v>0</v>
      </c>
      <c r="M2972" s="355">
        <v>11</v>
      </c>
      <c r="N2972" s="355">
        <v>8</v>
      </c>
    </row>
    <row r="2973" spans="1:14" hidden="1" x14ac:dyDescent="0.25">
      <c r="A2973" s="354">
        <v>0</v>
      </c>
      <c r="B2973" s="354">
        <v>1</v>
      </c>
      <c r="C2973" s="354">
        <v>1</v>
      </c>
      <c r="D2973" s="354">
        <v>1</v>
      </c>
      <c r="E2973" s="354">
        <v>1</v>
      </c>
      <c r="F2973" s="354">
        <v>2</v>
      </c>
      <c r="G2973" s="354">
        <v>1</v>
      </c>
      <c r="H2973" s="354">
        <v>1</v>
      </c>
      <c r="I2973" s="354">
        <v>1</v>
      </c>
      <c r="J2973" s="354">
        <v>2</v>
      </c>
      <c r="K2973" s="354">
        <v>0</v>
      </c>
      <c r="L2973" s="354">
        <v>0</v>
      </c>
      <c r="M2973" s="355">
        <v>4</v>
      </c>
      <c r="N2973" s="355">
        <v>7</v>
      </c>
    </row>
    <row r="2974" spans="1:14" hidden="1" x14ac:dyDescent="0.25">
      <c r="A2974" s="354">
        <v>1</v>
      </c>
      <c r="B2974" s="354">
        <v>0</v>
      </c>
      <c r="C2974" s="354">
        <v>1</v>
      </c>
      <c r="D2974" s="354">
        <v>1</v>
      </c>
      <c r="E2974" s="354">
        <v>1</v>
      </c>
      <c r="F2974" s="354">
        <v>1</v>
      </c>
      <c r="G2974" s="354">
        <v>0</v>
      </c>
      <c r="H2974" s="354">
        <v>0</v>
      </c>
      <c r="I2974" s="354">
        <v>1</v>
      </c>
      <c r="J2974" s="354">
        <v>1</v>
      </c>
      <c r="K2974" s="354">
        <v>0</v>
      </c>
      <c r="L2974" s="354">
        <v>0</v>
      </c>
      <c r="M2974" s="355">
        <v>4</v>
      </c>
      <c r="N2974" s="355">
        <v>3</v>
      </c>
    </row>
    <row r="2975" spans="1:14" hidden="1" x14ac:dyDescent="0.25">
      <c r="A2975" s="354">
        <v>0</v>
      </c>
      <c r="B2975" s="354">
        <v>0</v>
      </c>
      <c r="C2975" s="354">
        <v>0</v>
      </c>
      <c r="D2975" s="354">
        <v>0</v>
      </c>
      <c r="E2975" s="354">
        <v>3</v>
      </c>
      <c r="F2975" s="354">
        <v>1</v>
      </c>
      <c r="G2975" s="354">
        <v>2</v>
      </c>
      <c r="H2975" s="354">
        <v>1</v>
      </c>
      <c r="I2975" s="354">
        <v>2</v>
      </c>
      <c r="J2975" s="354">
        <v>1</v>
      </c>
      <c r="K2975" s="354">
        <v>1</v>
      </c>
      <c r="L2975" s="354">
        <v>0</v>
      </c>
      <c r="M2975" s="355">
        <v>8</v>
      </c>
      <c r="N2975" s="355">
        <v>3</v>
      </c>
    </row>
    <row r="2976" spans="1:14" hidden="1" x14ac:dyDescent="0.25">
      <c r="A2976" s="354">
        <v>1</v>
      </c>
      <c r="B2976" s="354">
        <v>0</v>
      </c>
      <c r="C2976" s="354">
        <v>0</v>
      </c>
      <c r="D2976" s="354">
        <v>0</v>
      </c>
      <c r="E2976" s="354">
        <v>1</v>
      </c>
      <c r="F2976" s="354">
        <v>0</v>
      </c>
      <c r="G2976" s="354">
        <v>0</v>
      </c>
      <c r="H2976" s="354">
        <v>0</v>
      </c>
      <c r="I2976" s="354">
        <v>1</v>
      </c>
      <c r="J2976" s="354">
        <v>1</v>
      </c>
      <c r="K2976" s="354">
        <v>0</v>
      </c>
      <c r="L2976" s="354">
        <v>0</v>
      </c>
      <c r="M2976" s="355">
        <v>3</v>
      </c>
      <c r="N2976" s="355">
        <v>1</v>
      </c>
    </row>
    <row r="2977" spans="1:14" hidden="1" x14ac:dyDescent="0.25">
      <c r="A2977" s="354">
        <v>1</v>
      </c>
      <c r="B2977" s="354">
        <v>0</v>
      </c>
      <c r="C2977" s="354">
        <v>1</v>
      </c>
      <c r="D2977" s="354">
        <v>1</v>
      </c>
      <c r="E2977" s="354">
        <v>1</v>
      </c>
      <c r="F2977" s="354">
        <v>1</v>
      </c>
      <c r="G2977" s="354">
        <v>0</v>
      </c>
      <c r="H2977" s="354">
        <v>0</v>
      </c>
      <c r="I2977" s="354">
        <v>1</v>
      </c>
      <c r="J2977" s="354">
        <v>1</v>
      </c>
      <c r="K2977" s="354">
        <v>0</v>
      </c>
      <c r="L2977" s="354">
        <v>0</v>
      </c>
      <c r="M2977" s="355">
        <v>4</v>
      </c>
      <c r="N2977" s="355">
        <v>3</v>
      </c>
    </row>
    <row r="2978" spans="1:14" hidden="1" x14ac:dyDescent="0.25">
      <c r="A2978" s="354">
        <v>0</v>
      </c>
      <c r="B2978" s="354">
        <v>0</v>
      </c>
      <c r="C2978" s="354">
        <v>1</v>
      </c>
      <c r="D2978" s="354">
        <v>1</v>
      </c>
      <c r="E2978" s="354">
        <v>2</v>
      </c>
      <c r="F2978" s="354">
        <v>1</v>
      </c>
      <c r="G2978" s="354">
        <v>1</v>
      </c>
      <c r="H2978" s="354">
        <v>0</v>
      </c>
      <c r="I2978" s="354">
        <v>1</v>
      </c>
      <c r="J2978" s="354">
        <v>1</v>
      </c>
      <c r="K2978" s="354">
        <v>0</v>
      </c>
      <c r="L2978" s="354">
        <v>1</v>
      </c>
      <c r="M2978" s="355">
        <v>5</v>
      </c>
      <c r="N2978" s="355">
        <v>4</v>
      </c>
    </row>
    <row r="2979" spans="1:14" hidden="1" x14ac:dyDescent="0.25">
      <c r="A2979" s="354">
        <v>0</v>
      </c>
      <c r="B2979" s="354">
        <v>2</v>
      </c>
      <c r="C2979" s="354">
        <v>2</v>
      </c>
      <c r="D2979" s="354">
        <v>3</v>
      </c>
      <c r="E2979" s="354">
        <v>3</v>
      </c>
      <c r="F2979" s="354">
        <v>0</v>
      </c>
      <c r="G2979" s="354">
        <v>3</v>
      </c>
      <c r="H2979" s="354">
        <v>0</v>
      </c>
      <c r="I2979" s="354">
        <v>3</v>
      </c>
      <c r="J2979" s="354">
        <v>2</v>
      </c>
      <c r="K2979" s="354">
        <v>0</v>
      </c>
      <c r="L2979" s="354">
        <v>0</v>
      </c>
      <c r="M2979" s="355">
        <v>11</v>
      </c>
      <c r="N2979" s="355">
        <v>7</v>
      </c>
    </row>
    <row r="2980" spans="1:14" hidden="1" x14ac:dyDescent="0.25">
      <c r="A2980" s="354">
        <v>1</v>
      </c>
      <c r="B2980" s="354">
        <v>0</v>
      </c>
      <c r="C2980" s="354">
        <v>1</v>
      </c>
      <c r="D2980" s="354">
        <v>1</v>
      </c>
      <c r="E2980" s="354">
        <v>2</v>
      </c>
      <c r="F2980" s="354">
        <v>1</v>
      </c>
      <c r="G2980" s="354">
        <v>1</v>
      </c>
      <c r="H2980" s="354">
        <v>1</v>
      </c>
      <c r="I2980" s="354">
        <v>1</v>
      </c>
      <c r="J2980" s="354">
        <v>1</v>
      </c>
      <c r="K2980" s="354">
        <v>0</v>
      </c>
      <c r="L2980" s="354">
        <v>0</v>
      </c>
      <c r="M2980" s="355">
        <v>6</v>
      </c>
      <c r="N2980" s="355">
        <v>4</v>
      </c>
    </row>
    <row r="2981" spans="1:14" hidden="1" x14ac:dyDescent="0.25">
      <c r="A2981" s="354">
        <v>1</v>
      </c>
      <c r="B2981" s="354">
        <v>0</v>
      </c>
      <c r="C2981" s="354">
        <v>0</v>
      </c>
      <c r="D2981" s="354">
        <v>0</v>
      </c>
      <c r="E2981" s="354">
        <v>1</v>
      </c>
      <c r="F2981" s="354">
        <v>0</v>
      </c>
      <c r="G2981" s="354">
        <v>0</v>
      </c>
      <c r="H2981" s="354">
        <v>0</v>
      </c>
      <c r="I2981" s="354">
        <v>1</v>
      </c>
      <c r="J2981" s="354">
        <v>1</v>
      </c>
      <c r="K2981" s="354">
        <v>0</v>
      </c>
      <c r="L2981" s="354">
        <v>0</v>
      </c>
      <c r="M2981" s="355">
        <v>3</v>
      </c>
      <c r="N2981" s="355">
        <v>1</v>
      </c>
    </row>
    <row r="2982" spans="1:14" hidden="1" x14ac:dyDescent="0.25">
      <c r="A2982" s="354">
        <v>1</v>
      </c>
      <c r="B2982" s="354">
        <v>0</v>
      </c>
      <c r="C2982" s="354">
        <v>1</v>
      </c>
      <c r="D2982" s="354">
        <v>1</v>
      </c>
      <c r="E2982" s="354">
        <v>2</v>
      </c>
      <c r="F2982" s="354">
        <v>1</v>
      </c>
      <c r="G2982" s="354">
        <v>2</v>
      </c>
      <c r="H2982" s="354">
        <v>0</v>
      </c>
      <c r="I2982" s="354">
        <v>0</v>
      </c>
      <c r="J2982" s="354">
        <v>0</v>
      </c>
      <c r="K2982" s="354">
        <v>1</v>
      </c>
      <c r="L2982" s="354">
        <v>1</v>
      </c>
      <c r="M2982" s="355">
        <v>7</v>
      </c>
      <c r="N2982" s="355">
        <v>3</v>
      </c>
    </row>
    <row r="2983" spans="1:14" hidden="1" x14ac:dyDescent="0.25">
      <c r="A2983" s="354">
        <v>2</v>
      </c>
      <c r="B2983" s="354">
        <v>0</v>
      </c>
      <c r="C2983" s="354">
        <v>2</v>
      </c>
      <c r="D2983" s="354">
        <v>0</v>
      </c>
      <c r="E2983" s="354">
        <v>3</v>
      </c>
      <c r="F2983" s="354">
        <v>1</v>
      </c>
      <c r="G2983" s="354">
        <v>1</v>
      </c>
      <c r="H2983" s="354">
        <v>1</v>
      </c>
      <c r="I2983" s="354">
        <v>1</v>
      </c>
      <c r="J2983" s="354">
        <v>2</v>
      </c>
      <c r="K2983" s="354">
        <v>0</v>
      </c>
      <c r="L2983" s="354">
        <v>0</v>
      </c>
      <c r="M2983" s="355">
        <v>9</v>
      </c>
      <c r="N2983" s="355">
        <v>4</v>
      </c>
    </row>
    <row r="2984" spans="1:14" hidden="1" x14ac:dyDescent="0.25">
      <c r="A2984" s="354">
        <v>0</v>
      </c>
      <c r="B2984" s="354">
        <v>0</v>
      </c>
      <c r="C2984" s="354">
        <v>0</v>
      </c>
      <c r="D2984" s="354">
        <v>1</v>
      </c>
      <c r="E2984" s="354">
        <v>0</v>
      </c>
      <c r="F2984" s="354">
        <v>1</v>
      </c>
      <c r="G2984" s="354">
        <v>1</v>
      </c>
      <c r="H2984" s="354">
        <v>0</v>
      </c>
      <c r="I2984" s="354">
        <v>1</v>
      </c>
      <c r="J2984" s="354">
        <v>1</v>
      </c>
      <c r="K2984" s="354">
        <v>0</v>
      </c>
      <c r="L2984" s="354">
        <v>0</v>
      </c>
      <c r="M2984" s="355">
        <v>2</v>
      </c>
      <c r="N2984" s="355">
        <v>3</v>
      </c>
    </row>
    <row r="2985" spans="1:14" hidden="1" x14ac:dyDescent="0.25">
      <c r="A2985" s="354">
        <v>0</v>
      </c>
      <c r="B2985" s="354">
        <v>0</v>
      </c>
      <c r="C2985" s="354">
        <v>1</v>
      </c>
      <c r="D2985" s="354">
        <v>0</v>
      </c>
      <c r="E2985" s="354">
        <v>1</v>
      </c>
      <c r="F2985" s="354">
        <v>2</v>
      </c>
      <c r="G2985" s="354">
        <v>1</v>
      </c>
      <c r="H2985" s="354">
        <v>0</v>
      </c>
      <c r="I2985" s="354">
        <v>0</v>
      </c>
      <c r="J2985" s="354">
        <v>0</v>
      </c>
      <c r="K2985" s="354">
        <v>1</v>
      </c>
      <c r="L2985" s="354">
        <v>1</v>
      </c>
      <c r="M2985" s="355">
        <v>4</v>
      </c>
      <c r="N2985" s="355">
        <v>3</v>
      </c>
    </row>
    <row r="2986" spans="1:14" hidden="1" x14ac:dyDescent="0.25">
      <c r="A2986" s="354">
        <v>0</v>
      </c>
      <c r="B2986" s="354">
        <v>0</v>
      </c>
      <c r="C2986" s="354">
        <v>1</v>
      </c>
      <c r="D2986" s="354">
        <v>1</v>
      </c>
      <c r="E2986" s="354">
        <v>1</v>
      </c>
      <c r="F2986" s="354">
        <v>0</v>
      </c>
      <c r="G2986" s="354">
        <v>0</v>
      </c>
      <c r="H2986" s="354">
        <v>0</v>
      </c>
      <c r="I2986" s="354">
        <v>1</v>
      </c>
      <c r="J2986" s="354">
        <v>1</v>
      </c>
      <c r="K2986" s="354">
        <v>0</v>
      </c>
      <c r="L2986" s="354">
        <v>0</v>
      </c>
      <c r="M2986" s="355">
        <v>3</v>
      </c>
      <c r="N2986" s="355">
        <v>2</v>
      </c>
    </row>
    <row r="2987" spans="1:14" hidden="1" x14ac:dyDescent="0.25">
      <c r="A2987" s="354">
        <v>0</v>
      </c>
      <c r="B2987" s="354">
        <v>0</v>
      </c>
      <c r="C2987" s="354">
        <v>1</v>
      </c>
      <c r="D2987" s="354"/>
      <c r="E2987" s="354">
        <v>2</v>
      </c>
      <c r="F2987" s="354">
        <v>2</v>
      </c>
      <c r="G2987" s="354">
        <v>1</v>
      </c>
      <c r="H2987" s="354">
        <v>0</v>
      </c>
      <c r="I2987" s="354">
        <v>1</v>
      </c>
      <c r="J2987" s="354">
        <v>1</v>
      </c>
      <c r="K2987" s="354">
        <v>0</v>
      </c>
      <c r="L2987" s="354">
        <v>0</v>
      </c>
      <c r="M2987" s="355">
        <v>5</v>
      </c>
      <c r="N2987" s="355">
        <v>3</v>
      </c>
    </row>
    <row r="2988" spans="1:14" hidden="1" x14ac:dyDescent="0.25">
      <c r="A2988" s="354">
        <v>0</v>
      </c>
      <c r="B2988" s="354">
        <v>0</v>
      </c>
      <c r="C2988" s="354">
        <v>0</v>
      </c>
      <c r="D2988" s="354">
        <v>1</v>
      </c>
      <c r="E2988" s="354">
        <v>1</v>
      </c>
      <c r="F2988" s="354">
        <v>0</v>
      </c>
      <c r="G2988" s="354">
        <v>1</v>
      </c>
      <c r="H2988" s="354">
        <v>0</v>
      </c>
      <c r="I2988" s="354">
        <v>1</v>
      </c>
      <c r="J2988" s="354">
        <v>1</v>
      </c>
      <c r="K2988" s="354">
        <v>0</v>
      </c>
      <c r="L2988" s="354">
        <v>0</v>
      </c>
      <c r="M2988" s="355">
        <v>3</v>
      </c>
      <c r="N2988" s="355">
        <v>2</v>
      </c>
    </row>
    <row r="2989" spans="1:14" hidden="1" x14ac:dyDescent="0.25">
      <c r="A2989" s="354">
        <v>1</v>
      </c>
      <c r="B2989" s="354">
        <v>0</v>
      </c>
      <c r="C2989" s="354">
        <v>2</v>
      </c>
      <c r="D2989" s="354">
        <v>1</v>
      </c>
      <c r="E2989" s="354">
        <v>2</v>
      </c>
      <c r="F2989" s="354">
        <v>1</v>
      </c>
      <c r="G2989" s="354">
        <v>1</v>
      </c>
      <c r="H2989" s="354">
        <v>2</v>
      </c>
      <c r="I2989" s="354">
        <v>1</v>
      </c>
      <c r="J2989" s="354">
        <v>1</v>
      </c>
      <c r="K2989" s="354">
        <v>0</v>
      </c>
      <c r="L2989" s="354">
        <v>0</v>
      </c>
      <c r="M2989" s="355">
        <v>7</v>
      </c>
      <c r="N2989" s="355">
        <v>5</v>
      </c>
    </row>
    <row r="2990" spans="1:14" hidden="1" x14ac:dyDescent="0.25">
      <c r="A2990" s="354">
        <v>0</v>
      </c>
      <c r="B2990" s="354">
        <v>0</v>
      </c>
      <c r="C2990" s="354">
        <v>1</v>
      </c>
      <c r="D2990" s="354">
        <v>0</v>
      </c>
      <c r="E2990" s="354">
        <v>1</v>
      </c>
      <c r="F2990" s="354">
        <v>1</v>
      </c>
      <c r="G2990" s="354">
        <v>1</v>
      </c>
      <c r="H2990" s="354">
        <v>1</v>
      </c>
      <c r="I2990" s="354">
        <v>0</v>
      </c>
      <c r="J2990" s="354">
        <v>0</v>
      </c>
      <c r="K2990" s="354">
        <v>1</v>
      </c>
      <c r="L2990" s="354">
        <v>1</v>
      </c>
      <c r="M2990" s="355">
        <v>4</v>
      </c>
      <c r="N2990" s="355">
        <v>3</v>
      </c>
    </row>
    <row r="2991" spans="1:14" hidden="1" x14ac:dyDescent="0.25">
      <c r="A2991" s="354">
        <v>1</v>
      </c>
      <c r="B2991" s="354">
        <v>0</v>
      </c>
      <c r="C2991" s="354">
        <v>1</v>
      </c>
      <c r="D2991" s="354">
        <v>1</v>
      </c>
      <c r="E2991" s="354">
        <v>2</v>
      </c>
      <c r="F2991" s="354">
        <v>0</v>
      </c>
      <c r="G2991" s="354">
        <v>1</v>
      </c>
      <c r="H2991" s="354">
        <v>1</v>
      </c>
      <c r="I2991" s="354">
        <v>1</v>
      </c>
      <c r="J2991" s="354">
        <v>1</v>
      </c>
      <c r="K2991" s="354">
        <v>0</v>
      </c>
      <c r="L2991" s="354">
        <v>0</v>
      </c>
      <c r="M2991" s="355">
        <v>6</v>
      </c>
      <c r="N2991" s="355">
        <v>3</v>
      </c>
    </row>
    <row r="2992" spans="1:14" hidden="1" x14ac:dyDescent="0.25">
      <c r="A2992" s="354">
        <v>0</v>
      </c>
      <c r="B2992" s="354">
        <v>1</v>
      </c>
      <c r="C2992" s="354"/>
      <c r="D2992" s="354">
        <v>1</v>
      </c>
      <c r="E2992" s="354">
        <v>2</v>
      </c>
      <c r="F2992" s="354">
        <v>1</v>
      </c>
      <c r="G2992" s="354">
        <v>1</v>
      </c>
      <c r="H2992" s="354">
        <v>1</v>
      </c>
      <c r="I2992" s="354">
        <v>2</v>
      </c>
      <c r="J2992" s="354">
        <v>3</v>
      </c>
      <c r="K2992" s="354">
        <v>0</v>
      </c>
      <c r="L2992" s="354">
        <v>0</v>
      </c>
      <c r="M2992" s="355">
        <v>5</v>
      </c>
      <c r="N2992" s="355">
        <v>7</v>
      </c>
    </row>
    <row r="2993" spans="1:14" hidden="1" x14ac:dyDescent="0.25">
      <c r="A2993" s="354">
        <v>1</v>
      </c>
      <c r="B2993" s="354"/>
      <c r="C2993" s="354">
        <v>1</v>
      </c>
      <c r="D2993" s="354">
        <v>1</v>
      </c>
      <c r="E2993" s="354">
        <v>1</v>
      </c>
      <c r="F2993" s="354">
        <v>0</v>
      </c>
      <c r="G2993" s="354">
        <v>0</v>
      </c>
      <c r="H2993" s="354">
        <v>0</v>
      </c>
      <c r="I2993" s="354">
        <v>1</v>
      </c>
      <c r="J2993" s="354">
        <v>1</v>
      </c>
      <c r="K2993" s="354">
        <v>0</v>
      </c>
      <c r="L2993" s="354">
        <v>0</v>
      </c>
      <c r="M2993" s="355">
        <v>4</v>
      </c>
      <c r="N2993" s="355">
        <v>2</v>
      </c>
    </row>
    <row r="2994" spans="1:14" hidden="1" x14ac:dyDescent="0.25">
      <c r="A2994" s="354">
        <v>0</v>
      </c>
      <c r="B2994" s="354">
        <v>1</v>
      </c>
      <c r="C2994" s="354">
        <v>1</v>
      </c>
      <c r="D2994" s="354">
        <v>0</v>
      </c>
      <c r="E2994" s="354">
        <v>0</v>
      </c>
      <c r="F2994" s="354">
        <v>0</v>
      </c>
      <c r="G2994" s="354">
        <v>0</v>
      </c>
      <c r="H2994" s="354">
        <v>0</v>
      </c>
      <c r="I2994" s="354">
        <v>1</v>
      </c>
      <c r="J2994" s="354">
        <v>1</v>
      </c>
      <c r="K2994" s="354">
        <v>0</v>
      </c>
      <c r="L2994" s="354">
        <v>0</v>
      </c>
      <c r="M2994" s="355">
        <v>2</v>
      </c>
      <c r="N2994" s="355">
        <v>2</v>
      </c>
    </row>
    <row r="2995" spans="1:14" hidden="1" x14ac:dyDescent="0.25">
      <c r="A2995" s="354">
        <v>1</v>
      </c>
      <c r="B2995" s="354">
        <v>0</v>
      </c>
      <c r="C2995" s="354">
        <v>0</v>
      </c>
      <c r="D2995" s="354">
        <v>1</v>
      </c>
      <c r="E2995" s="354">
        <v>1</v>
      </c>
      <c r="F2995" s="354">
        <v>1</v>
      </c>
      <c r="G2995" s="354">
        <v>0</v>
      </c>
      <c r="H2995" s="354">
        <v>0</v>
      </c>
      <c r="I2995" s="354">
        <v>1</v>
      </c>
      <c r="J2995" s="354">
        <v>1</v>
      </c>
      <c r="K2995" s="354">
        <v>0</v>
      </c>
      <c r="L2995" s="354">
        <v>0</v>
      </c>
      <c r="M2995" s="355">
        <v>3</v>
      </c>
      <c r="N2995" s="355">
        <v>3</v>
      </c>
    </row>
    <row r="2996" spans="1:14" hidden="1" x14ac:dyDescent="0.25">
      <c r="A2996" s="354">
        <v>0</v>
      </c>
      <c r="B2996" s="354">
        <v>0</v>
      </c>
      <c r="C2996" s="354">
        <v>1</v>
      </c>
      <c r="D2996" s="354">
        <v>1</v>
      </c>
      <c r="E2996" s="354">
        <v>1</v>
      </c>
      <c r="F2996" s="354">
        <v>1</v>
      </c>
      <c r="G2996" s="354">
        <v>0</v>
      </c>
      <c r="H2996" s="354">
        <v>1</v>
      </c>
      <c r="I2996" s="354"/>
      <c r="J2996" s="354">
        <v>1</v>
      </c>
      <c r="K2996" s="354">
        <v>0</v>
      </c>
      <c r="L2996" s="354">
        <v>0</v>
      </c>
      <c r="M2996" s="355">
        <v>2</v>
      </c>
      <c r="N2996" s="355">
        <v>4</v>
      </c>
    </row>
    <row r="2997" spans="1:14" hidden="1" x14ac:dyDescent="0.25">
      <c r="A2997" s="354">
        <v>1</v>
      </c>
      <c r="B2997" s="354">
        <v>0</v>
      </c>
      <c r="C2997" s="354">
        <v>1</v>
      </c>
      <c r="D2997" s="354">
        <v>1</v>
      </c>
      <c r="E2997" s="354">
        <v>1</v>
      </c>
      <c r="F2997" s="354">
        <v>0</v>
      </c>
      <c r="G2997" s="354">
        <v>0</v>
      </c>
      <c r="H2997" s="354">
        <v>0</v>
      </c>
      <c r="I2997" s="354">
        <v>1</v>
      </c>
      <c r="J2997" s="354">
        <v>1</v>
      </c>
      <c r="K2997" s="354">
        <v>0</v>
      </c>
      <c r="L2997" s="354">
        <v>0</v>
      </c>
      <c r="M2997" s="355">
        <v>4</v>
      </c>
      <c r="N2997" s="355">
        <v>2</v>
      </c>
    </row>
    <row r="2998" spans="1:14" hidden="1" x14ac:dyDescent="0.25">
      <c r="A2998" s="354">
        <v>0</v>
      </c>
      <c r="B2998" s="354">
        <v>1</v>
      </c>
      <c r="C2998" s="354">
        <v>1</v>
      </c>
      <c r="D2998" s="354">
        <v>0</v>
      </c>
      <c r="E2998" s="354">
        <v>1</v>
      </c>
      <c r="F2998" s="354">
        <v>0</v>
      </c>
      <c r="G2998" s="354">
        <v>0</v>
      </c>
      <c r="H2998" s="354">
        <v>0</v>
      </c>
      <c r="I2998" s="354">
        <v>1</v>
      </c>
      <c r="J2998" s="354">
        <v>1</v>
      </c>
      <c r="K2998" s="354">
        <v>0</v>
      </c>
      <c r="L2998" s="354">
        <v>0</v>
      </c>
      <c r="M2998" s="355">
        <v>3</v>
      </c>
      <c r="N2998" s="355">
        <v>2</v>
      </c>
    </row>
    <row r="2999" spans="1:14" hidden="1" x14ac:dyDescent="0.25">
      <c r="A2999" s="354">
        <v>0</v>
      </c>
      <c r="B2999" s="354">
        <v>0</v>
      </c>
      <c r="C2999" s="354">
        <v>1</v>
      </c>
      <c r="D2999" s="354">
        <v>0</v>
      </c>
      <c r="E2999" s="354">
        <v>2</v>
      </c>
      <c r="F2999" s="354">
        <v>1</v>
      </c>
      <c r="G2999" s="354">
        <v>1</v>
      </c>
      <c r="H2999" s="354">
        <v>1</v>
      </c>
      <c r="I2999" s="354">
        <v>2</v>
      </c>
      <c r="J2999" s="354">
        <v>3</v>
      </c>
      <c r="K2999" s="354">
        <v>1</v>
      </c>
      <c r="L2999" s="354">
        <v>0</v>
      </c>
      <c r="M2999" s="355">
        <v>7</v>
      </c>
      <c r="N2999" s="355">
        <v>5</v>
      </c>
    </row>
    <row r="3000" spans="1:14" hidden="1" x14ac:dyDescent="0.25">
      <c r="A3000" s="354">
        <v>1</v>
      </c>
      <c r="B3000" s="354">
        <v>0</v>
      </c>
      <c r="C3000" s="354">
        <v>1</v>
      </c>
      <c r="D3000" s="354">
        <v>1</v>
      </c>
      <c r="E3000" s="354">
        <v>2</v>
      </c>
      <c r="F3000" s="354">
        <v>1</v>
      </c>
      <c r="G3000" s="354">
        <v>2</v>
      </c>
      <c r="H3000" s="354">
        <v>1</v>
      </c>
      <c r="I3000" s="354">
        <v>1</v>
      </c>
      <c r="J3000" s="354">
        <v>1</v>
      </c>
      <c r="K3000" s="354">
        <v>0</v>
      </c>
      <c r="L3000" s="354">
        <v>0</v>
      </c>
      <c r="M3000" s="355">
        <v>7</v>
      </c>
      <c r="N3000" s="355">
        <v>4</v>
      </c>
    </row>
    <row r="3001" spans="1:14" hidden="1" x14ac:dyDescent="0.25">
      <c r="A3001" s="354">
        <v>1</v>
      </c>
      <c r="B3001" s="354">
        <v>0</v>
      </c>
      <c r="C3001" s="354">
        <v>1</v>
      </c>
      <c r="D3001" s="354">
        <v>1</v>
      </c>
      <c r="E3001" s="354">
        <v>0</v>
      </c>
      <c r="F3001" s="354">
        <v>1</v>
      </c>
      <c r="G3001" s="354">
        <v>0</v>
      </c>
      <c r="H3001" s="354">
        <v>0</v>
      </c>
      <c r="I3001" s="354">
        <v>0</v>
      </c>
      <c r="J3001" s="354">
        <v>1</v>
      </c>
      <c r="K3001" s="354">
        <v>0</v>
      </c>
      <c r="L3001" s="354">
        <v>0</v>
      </c>
      <c r="M3001" s="355">
        <v>2</v>
      </c>
      <c r="N3001" s="355">
        <v>3</v>
      </c>
    </row>
    <row r="3002" spans="1:14" hidden="1" x14ac:dyDescent="0.25">
      <c r="A3002" s="354">
        <v>0</v>
      </c>
      <c r="B3002" s="354">
        <v>1</v>
      </c>
      <c r="C3002" s="354">
        <v>1</v>
      </c>
      <c r="D3002" s="354">
        <v>1</v>
      </c>
      <c r="E3002" s="354">
        <v>1</v>
      </c>
      <c r="F3002" s="354">
        <v>1</v>
      </c>
      <c r="G3002" s="354">
        <v>0</v>
      </c>
      <c r="H3002" s="354">
        <v>0</v>
      </c>
      <c r="I3002" s="354">
        <v>1</v>
      </c>
      <c r="J3002" s="354">
        <v>1</v>
      </c>
      <c r="K3002" s="354">
        <v>0</v>
      </c>
      <c r="L3002" s="354">
        <v>0</v>
      </c>
      <c r="M3002" s="355">
        <v>3</v>
      </c>
      <c r="N3002" s="355">
        <v>4</v>
      </c>
    </row>
    <row r="3003" spans="1:14" hidden="1" x14ac:dyDescent="0.25">
      <c r="A3003" s="354">
        <v>1</v>
      </c>
      <c r="B3003" s="354">
        <v>0</v>
      </c>
      <c r="C3003" s="354">
        <v>1</v>
      </c>
      <c r="D3003" s="354">
        <v>1</v>
      </c>
      <c r="E3003" s="354">
        <v>0</v>
      </c>
      <c r="F3003" s="354">
        <v>0</v>
      </c>
      <c r="G3003" s="354">
        <v>0</v>
      </c>
      <c r="H3003" s="354">
        <v>1</v>
      </c>
      <c r="I3003" s="354">
        <v>1</v>
      </c>
      <c r="J3003" s="354">
        <v>1</v>
      </c>
      <c r="K3003" s="354">
        <v>0</v>
      </c>
      <c r="L3003" s="354">
        <v>0</v>
      </c>
      <c r="M3003" s="355">
        <v>3</v>
      </c>
      <c r="N3003" s="355">
        <v>3</v>
      </c>
    </row>
    <row r="3004" spans="1:14" hidden="1" x14ac:dyDescent="0.25">
      <c r="A3004" s="354">
        <v>1</v>
      </c>
      <c r="B3004" s="354">
        <v>0</v>
      </c>
      <c r="C3004" s="354">
        <v>1</v>
      </c>
      <c r="D3004" s="354">
        <v>1</v>
      </c>
      <c r="E3004" s="354">
        <v>1</v>
      </c>
      <c r="F3004" s="354">
        <v>2</v>
      </c>
      <c r="G3004" s="354"/>
      <c r="H3004" s="354">
        <v>1</v>
      </c>
      <c r="I3004" s="354">
        <v>1</v>
      </c>
      <c r="J3004" s="354">
        <v>1</v>
      </c>
      <c r="K3004" s="354">
        <v>0</v>
      </c>
      <c r="L3004" s="354">
        <v>0</v>
      </c>
      <c r="M3004" s="355">
        <v>4</v>
      </c>
      <c r="N3004" s="355">
        <v>5</v>
      </c>
    </row>
    <row r="3005" spans="1:14" hidden="1" x14ac:dyDescent="0.25">
      <c r="A3005" s="354">
        <v>0</v>
      </c>
      <c r="B3005" s="354">
        <v>1</v>
      </c>
      <c r="C3005" s="354">
        <v>1</v>
      </c>
      <c r="D3005" s="354">
        <v>0</v>
      </c>
      <c r="E3005" s="354">
        <v>1</v>
      </c>
      <c r="F3005" s="354">
        <v>1</v>
      </c>
      <c r="G3005" s="354">
        <v>2</v>
      </c>
      <c r="H3005" s="354">
        <v>1</v>
      </c>
      <c r="I3005" s="354">
        <v>1</v>
      </c>
      <c r="J3005" s="354">
        <v>1</v>
      </c>
      <c r="K3005" s="354">
        <v>0</v>
      </c>
      <c r="L3005" s="354">
        <v>0</v>
      </c>
      <c r="M3005" s="355">
        <v>5</v>
      </c>
      <c r="N3005" s="355">
        <v>4</v>
      </c>
    </row>
    <row r="3006" spans="1:14" hidden="1" x14ac:dyDescent="0.25">
      <c r="A3006" s="354">
        <v>1</v>
      </c>
      <c r="B3006" s="354">
        <v>0</v>
      </c>
      <c r="C3006" s="354">
        <v>0</v>
      </c>
      <c r="D3006" s="354">
        <v>1</v>
      </c>
      <c r="E3006" s="354">
        <v>1</v>
      </c>
      <c r="F3006" s="354">
        <v>0</v>
      </c>
      <c r="G3006" s="354">
        <v>0</v>
      </c>
      <c r="H3006" s="354">
        <v>0</v>
      </c>
      <c r="I3006" s="354">
        <v>1</v>
      </c>
      <c r="J3006" s="354">
        <v>1</v>
      </c>
      <c r="K3006" s="354">
        <v>0</v>
      </c>
      <c r="L3006" s="354">
        <v>0</v>
      </c>
      <c r="M3006" s="355">
        <v>3</v>
      </c>
      <c r="N3006" s="355">
        <v>2</v>
      </c>
    </row>
    <row r="3007" spans="1:14" hidden="1" x14ac:dyDescent="0.25">
      <c r="A3007" s="354">
        <v>0</v>
      </c>
      <c r="B3007" s="354">
        <v>0</v>
      </c>
      <c r="C3007" s="354">
        <v>0</v>
      </c>
      <c r="D3007" s="354">
        <v>3</v>
      </c>
      <c r="E3007" s="354">
        <v>0</v>
      </c>
      <c r="F3007" s="354">
        <v>2</v>
      </c>
      <c r="G3007" s="354">
        <v>0</v>
      </c>
      <c r="H3007" s="354">
        <v>3</v>
      </c>
      <c r="I3007" s="354">
        <v>1</v>
      </c>
      <c r="J3007" s="354">
        <v>1</v>
      </c>
      <c r="K3007" s="354">
        <v>0</v>
      </c>
      <c r="L3007" s="354">
        <v>0</v>
      </c>
      <c r="M3007" s="355">
        <v>1</v>
      </c>
      <c r="N3007" s="355">
        <v>9</v>
      </c>
    </row>
    <row r="3008" spans="1:14" hidden="1" x14ac:dyDescent="0.25">
      <c r="A3008" s="354">
        <v>0</v>
      </c>
      <c r="B3008" s="354">
        <v>2</v>
      </c>
      <c r="C3008" s="354">
        <v>0</v>
      </c>
      <c r="D3008" s="354">
        <v>1</v>
      </c>
      <c r="E3008" s="354">
        <v>0</v>
      </c>
      <c r="F3008" s="354">
        <v>1</v>
      </c>
      <c r="G3008" s="354">
        <v>0</v>
      </c>
      <c r="H3008" s="354">
        <v>1</v>
      </c>
      <c r="I3008" s="354">
        <v>1</v>
      </c>
      <c r="J3008" s="354">
        <v>1</v>
      </c>
      <c r="K3008" s="354">
        <v>0</v>
      </c>
      <c r="L3008" s="354">
        <v>0</v>
      </c>
      <c r="M3008" s="355">
        <v>1</v>
      </c>
      <c r="N3008" s="355">
        <v>6</v>
      </c>
    </row>
    <row r="3009" spans="1:14" hidden="1" x14ac:dyDescent="0.25">
      <c r="A3009" s="354">
        <v>0</v>
      </c>
      <c r="B3009" s="354">
        <v>0</v>
      </c>
      <c r="C3009" s="354">
        <v>1</v>
      </c>
      <c r="D3009" s="354">
        <v>0</v>
      </c>
      <c r="E3009" s="354">
        <v>1</v>
      </c>
      <c r="F3009" s="354">
        <v>1</v>
      </c>
      <c r="G3009" s="354">
        <v>0</v>
      </c>
      <c r="H3009" s="354">
        <v>1</v>
      </c>
      <c r="I3009" s="354">
        <v>1</v>
      </c>
      <c r="J3009" s="354">
        <v>1</v>
      </c>
      <c r="K3009" s="354">
        <v>0</v>
      </c>
      <c r="L3009" s="354">
        <v>0</v>
      </c>
      <c r="M3009" s="355">
        <v>3</v>
      </c>
      <c r="N3009" s="355">
        <v>3</v>
      </c>
    </row>
    <row r="3010" spans="1:14" hidden="1" x14ac:dyDescent="0.25">
      <c r="A3010" s="354">
        <v>1</v>
      </c>
      <c r="B3010" s="354">
        <v>0</v>
      </c>
      <c r="C3010" s="354">
        <v>1</v>
      </c>
      <c r="D3010" s="354">
        <v>1</v>
      </c>
      <c r="E3010" s="354">
        <v>1</v>
      </c>
      <c r="F3010" s="354">
        <v>0</v>
      </c>
      <c r="G3010" s="354">
        <v>0</v>
      </c>
      <c r="H3010" s="354">
        <v>2</v>
      </c>
      <c r="I3010" s="354">
        <v>1</v>
      </c>
      <c r="J3010" s="354">
        <v>2</v>
      </c>
      <c r="K3010" s="354">
        <v>0</v>
      </c>
      <c r="L3010" s="354">
        <v>0</v>
      </c>
      <c r="M3010" s="355">
        <v>4</v>
      </c>
      <c r="N3010" s="355">
        <v>5</v>
      </c>
    </row>
    <row r="3011" spans="1:14" hidden="1" x14ac:dyDescent="0.25">
      <c r="A3011" s="354">
        <v>0</v>
      </c>
      <c r="B3011" s="354">
        <v>0</v>
      </c>
      <c r="C3011" s="354">
        <v>0</v>
      </c>
      <c r="D3011" s="354">
        <v>0</v>
      </c>
      <c r="E3011" s="354">
        <v>1</v>
      </c>
      <c r="F3011" s="354">
        <v>2</v>
      </c>
      <c r="G3011" s="354">
        <v>0</v>
      </c>
      <c r="H3011" s="354">
        <v>1</v>
      </c>
      <c r="I3011" s="354">
        <v>1</v>
      </c>
      <c r="J3011" s="354">
        <v>1</v>
      </c>
      <c r="K3011" s="354">
        <v>0</v>
      </c>
      <c r="L3011" s="354">
        <v>0</v>
      </c>
      <c r="M3011" s="355">
        <v>2</v>
      </c>
      <c r="N3011" s="355">
        <v>4</v>
      </c>
    </row>
    <row r="3012" spans="1:14" hidden="1" x14ac:dyDescent="0.25">
      <c r="A3012" s="354">
        <v>1</v>
      </c>
      <c r="B3012" s="354">
        <v>0</v>
      </c>
      <c r="C3012" s="354">
        <v>1</v>
      </c>
      <c r="D3012" s="354">
        <v>0</v>
      </c>
      <c r="E3012" s="354">
        <v>1</v>
      </c>
      <c r="F3012" s="354">
        <v>0</v>
      </c>
      <c r="G3012" s="354">
        <v>2</v>
      </c>
      <c r="H3012" s="354">
        <v>1</v>
      </c>
      <c r="I3012" s="354">
        <v>1</v>
      </c>
      <c r="J3012" s="354">
        <v>1</v>
      </c>
      <c r="K3012" s="354">
        <v>0</v>
      </c>
      <c r="L3012" s="354">
        <v>0</v>
      </c>
      <c r="M3012" s="355">
        <v>6</v>
      </c>
      <c r="N3012" s="355">
        <v>2</v>
      </c>
    </row>
    <row r="3013" spans="1:14" hidden="1" x14ac:dyDescent="0.25">
      <c r="A3013" s="354">
        <v>1</v>
      </c>
      <c r="B3013" s="354">
        <v>0</v>
      </c>
      <c r="C3013" s="354">
        <v>0</v>
      </c>
      <c r="D3013" s="354">
        <v>2</v>
      </c>
      <c r="E3013" s="354">
        <v>1</v>
      </c>
      <c r="F3013" s="354">
        <v>0</v>
      </c>
      <c r="G3013" s="354">
        <v>1</v>
      </c>
      <c r="H3013" s="354">
        <v>0</v>
      </c>
      <c r="I3013" s="354">
        <v>1</v>
      </c>
      <c r="J3013" s="354">
        <v>2</v>
      </c>
      <c r="K3013" s="354">
        <v>0</v>
      </c>
      <c r="L3013" s="354">
        <v>0</v>
      </c>
      <c r="M3013" s="355">
        <v>4</v>
      </c>
      <c r="N3013" s="355">
        <v>4</v>
      </c>
    </row>
    <row r="3014" spans="1:14" hidden="1" x14ac:dyDescent="0.25">
      <c r="A3014" s="354">
        <v>0</v>
      </c>
      <c r="B3014" s="354">
        <v>0</v>
      </c>
      <c r="C3014" s="354">
        <v>0</v>
      </c>
      <c r="D3014" s="354">
        <v>2</v>
      </c>
      <c r="E3014" s="354">
        <v>1</v>
      </c>
      <c r="F3014" s="354">
        <v>2</v>
      </c>
      <c r="G3014" s="354">
        <v>1</v>
      </c>
      <c r="H3014" s="354">
        <v>0</v>
      </c>
      <c r="I3014" s="354">
        <v>2</v>
      </c>
      <c r="J3014" s="354">
        <v>3</v>
      </c>
      <c r="K3014" s="354">
        <v>0</v>
      </c>
      <c r="L3014" s="354">
        <v>0</v>
      </c>
      <c r="M3014" s="355">
        <v>4</v>
      </c>
      <c r="N3014" s="355">
        <v>7</v>
      </c>
    </row>
    <row r="3015" spans="1:14" hidden="1" x14ac:dyDescent="0.25">
      <c r="A3015" s="354">
        <v>1</v>
      </c>
      <c r="B3015" s="354">
        <v>0</v>
      </c>
      <c r="C3015" s="354">
        <v>1</v>
      </c>
      <c r="D3015" s="354">
        <v>0</v>
      </c>
      <c r="E3015" s="354">
        <v>1</v>
      </c>
      <c r="F3015" s="354">
        <v>0</v>
      </c>
      <c r="G3015" s="354">
        <v>1</v>
      </c>
      <c r="H3015" s="354">
        <v>0</v>
      </c>
      <c r="I3015" s="354">
        <v>2</v>
      </c>
      <c r="J3015" s="354">
        <v>1</v>
      </c>
      <c r="K3015" s="354">
        <v>0</v>
      </c>
      <c r="L3015" s="354">
        <v>0</v>
      </c>
      <c r="M3015" s="355">
        <v>6</v>
      </c>
      <c r="N3015" s="355">
        <v>1</v>
      </c>
    </row>
    <row r="3016" spans="1:14" hidden="1" x14ac:dyDescent="0.25">
      <c r="A3016" s="354">
        <v>1</v>
      </c>
      <c r="B3016" s="354">
        <v>0</v>
      </c>
      <c r="C3016" s="354">
        <v>1</v>
      </c>
      <c r="D3016" s="354">
        <v>0</v>
      </c>
      <c r="E3016" s="354">
        <v>2</v>
      </c>
      <c r="F3016" s="354">
        <v>0</v>
      </c>
      <c r="G3016" s="354">
        <v>2</v>
      </c>
      <c r="H3016" s="354">
        <v>0</v>
      </c>
      <c r="I3016" s="354">
        <v>2</v>
      </c>
      <c r="J3016" s="354">
        <v>2</v>
      </c>
      <c r="K3016" s="354">
        <v>0</v>
      </c>
      <c r="L3016" s="354">
        <v>0</v>
      </c>
      <c r="M3016" s="355">
        <v>8</v>
      </c>
      <c r="N3016" s="355">
        <v>2</v>
      </c>
    </row>
    <row r="3017" spans="1:14" hidden="1" x14ac:dyDescent="0.25">
      <c r="A3017" s="354">
        <v>0</v>
      </c>
      <c r="B3017" s="354">
        <v>0</v>
      </c>
      <c r="C3017" s="354">
        <v>1</v>
      </c>
      <c r="D3017" s="354">
        <v>0</v>
      </c>
      <c r="E3017" s="354">
        <v>1</v>
      </c>
      <c r="F3017" s="354">
        <v>0</v>
      </c>
      <c r="G3017" s="354">
        <v>1</v>
      </c>
      <c r="H3017" s="354">
        <v>1</v>
      </c>
      <c r="I3017" s="354">
        <v>1</v>
      </c>
      <c r="J3017" s="354">
        <v>2</v>
      </c>
      <c r="K3017" s="354">
        <v>0</v>
      </c>
      <c r="L3017" s="354">
        <v>0</v>
      </c>
      <c r="M3017" s="355">
        <v>4</v>
      </c>
      <c r="N3017" s="355">
        <v>3</v>
      </c>
    </row>
    <row r="3018" spans="1:14" hidden="1" x14ac:dyDescent="0.25">
      <c r="A3018" s="354">
        <v>1</v>
      </c>
      <c r="B3018" s="354">
        <v>0</v>
      </c>
      <c r="C3018" s="354">
        <v>0</v>
      </c>
      <c r="D3018" s="354">
        <v>1</v>
      </c>
      <c r="E3018" s="354">
        <v>0</v>
      </c>
      <c r="F3018" s="354">
        <v>1</v>
      </c>
      <c r="G3018" s="354">
        <v>1</v>
      </c>
      <c r="H3018" s="354">
        <v>0</v>
      </c>
      <c r="I3018" s="354">
        <v>2</v>
      </c>
      <c r="J3018" s="354">
        <v>2</v>
      </c>
      <c r="K3018" s="354">
        <v>0</v>
      </c>
      <c r="L3018" s="354">
        <v>0</v>
      </c>
      <c r="M3018" s="355">
        <v>4</v>
      </c>
      <c r="N3018" s="355">
        <v>4</v>
      </c>
    </row>
    <row r="3019" spans="1:14" hidden="1" x14ac:dyDescent="0.25">
      <c r="A3019" s="354">
        <v>0</v>
      </c>
      <c r="B3019" s="354">
        <v>1</v>
      </c>
      <c r="C3019" s="354">
        <v>0</v>
      </c>
      <c r="D3019" s="354">
        <v>1</v>
      </c>
      <c r="E3019" s="354">
        <v>1</v>
      </c>
      <c r="F3019" s="354">
        <v>0</v>
      </c>
      <c r="G3019" s="354">
        <v>1</v>
      </c>
      <c r="H3019" s="354">
        <v>1</v>
      </c>
      <c r="I3019" s="354">
        <v>1</v>
      </c>
      <c r="J3019" s="354">
        <v>1</v>
      </c>
      <c r="K3019" s="354">
        <v>0</v>
      </c>
      <c r="L3019" s="354">
        <v>0</v>
      </c>
      <c r="M3019" s="355">
        <v>3</v>
      </c>
      <c r="N3019" s="355">
        <v>4</v>
      </c>
    </row>
    <row r="3020" spans="1:14" hidden="1" x14ac:dyDescent="0.25">
      <c r="A3020" s="354">
        <v>0</v>
      </c>
      <c r="B3020" s="354">
        <v>1</v>
      </c>
      <c r="C3020" s="354">
        <v>0</v>
      </c>
      <c r="D3020" s="354">
        <v>1</v>
      </c>
      <c r="E3020" s="354">
        <v>2</v>
      </c>
      <c r="F3020" s="354">
        <v>0</v>
      </c>
      <c r="G3020" s="354">
        <v>0</v>
      </c>
      <c r="H3020" s="354">
        <v>1</v>
      </c>
      <c r="I3020" s="354">
        <v>1</v>
      </c>
      <c r="J3020" s="354">
        <v>1</v>
      </c>
      <c r="K3020" s="354">
        <v>0</v>
      </c>
      <c r="L3020" s="354">
        <v>0</v>
      </c>
      <c r="M3020" s="355">
        <v>3</v>
      </c>
      <c r="N3020" s="355">
        <v>4</v>
      </c>
    </row>
    <row r="3021" spans="1:14" hidden="1" x14ac:dyDescent="0.25">
      <c r="A3021" s="354">
        <v>2</v>
      </c>
      <c r="B3021" s="354">
        <v>0</v>
      </c>
      <c r="C3021" s="354">
        <v>1</v>
      </c>
      <c r="D3021" s="354">
        <v>0</v>
      </c>
      <c r="E3021" s="354">
        <v>2</v>
      </c>
      <c r="F3021" s="354">
        <v>0</v>
      </c>
      <c r="G3021" s="354">
        <v>2</v>
      </c>
      <c r="H3021" s="354">
        <v>0</v>
      </c>
      <c r="I3021" s="354">
        <v>0</v>
      </c>
      <c r="J3021" s="354">
        <v>1</v>
      </c>
      <c r="K3021" s="354">
        <v>0</v>
      </c>
      <c r="L3021" s="354">
        <v>0</v>
      </c>
      <c r="M3021" s="355">
        <v>7</v>
      </c>
      <c r="N3021" s="355">
        <v>1</v>
      </c>
    </row>
    <row r="3022" spans="1:14" hidden="1" x14ac:dyDescent="0.25">
      <c r="A3022" s="354">
        <v>1</v>
      </c>
      <c r="B3022" s="354">
        <v>0</v>
      </c>
      <c r="C3022" s="354">
        <v>2</v>
      </c>
      <c r="D3022" s="354">
        <v>0</v>
      </c>
      <c r="E3022" s="354">
        <v>3</v>
      </c>
      <c r="F3022" s="354"/>
      <c r="G3022" s="354">
        <v>1</v>
      </c>
      <c r="H3022" s="354">
        <v>0</v>
      </c>
      <c r="I3022" s="354">
        <v>1</v>
      </c>
      <c r="J3022" s="354">
        <v>1</v>
      </c>
      <c r="K3022" s="354">
        <v>0</v>
      </c>
      <c r="L3022" s="354">
        <v>0</v>
      </c>
      <c r="M3022" s="355">
        <v>8</v>
      </c>
      <c r="N3022" s="355">
        <v>1</v>
      </c>
    </row>
    <row r="3023" spans="1:14" hidden="1" x14ac:dyDescent="0.25">
      <c r="A3023" s="354">
        <v>0</v>
      </c>
      <c r="B3023" s="354">
        <v>0</v>
      </c>
      <c r="C3023" s="354">
        <v>0</v>
      </c>
      <c r="D3023" s="354">
        <v>1</v>
      </c>
      <c r="E3023" s="354">
        <v>0</v>
      </c>
      <c r="F3023" s="354">
        <v>1</v>
      </c>
      <c r="G3023" s="354">
        <v>2</v>
      </c>
      <c r="H3023" s="354">
        <v>1</v>
      </c>
      <c r="I3023" s="354">
        <v>1</v>
      </c>
      <c r="J3023" s="354">
        <v>1</v>
      </c>
      <c r="K3023" s="354">
        <v>0</v>
      </c>
      <c r="L3023" s="354">
        <v>0</v>
      </c>
      <c r="M3023" s="355">
        <v>3</v>
      </c>
      <c r="N3023" s="355">
        <v>4</v>
      </c>
    </row>
    <row r="3024" spans="1:14" hidden="1" x14ac:dyDescent="0.25">
      <c r="A3024" s="354">
        <v>0</v>
      </c>
      <c r="B3024" s="354">
        <v>0</v>
      </c>
      <c r="C3024" s="354">
        <v>0</v>
      </c>
      <c r="D3024" s="354">
        <v>2</v>
      </c>
      <c r="E3024" s="354">
        <v>2</v>
      </c>
      <c r="F3024" s="354">
        <v>3</v>
      </c>
      <c r="G3024" s="354">
        <v>0</v>
      </c>
      <c r="H3024" s="354">
        <v>1</v>
      </c>
      <c r="I3024" s="354">
        <v>0</v>
      </c>
      <c r="J3024" s="354">
        <v>1</v>
      </c>
      <c r="K3024" s="354">
        <v>0</v>
      </c>
      <c r="L3024" s="354">
        <v>0</v>
      </c>
      <c r="M3024" s="355">
        <v>2</v>
      </c>
      <c r="N3024" s="355">
        <v>7</v>
      </c>
    </row>
    <row r="3025" spans="1:14" hidden="1" x14ac:dyDescent="0.25">
      <c r="A3025" s="354">
        <v>1</v>
      </c>
      <c r="B3025" s="354">
        <v>0</v>
      </c>
      <c r="C3025" s="354">
        <v>1</v>
      </c>
      <c r="D3025" s="354">
        <v>0</v>
      </c>
      <c r="E3025" s="354">
        <v>0</v>
      </c>
      <c r="F3025" s="354">
        <v>0</v>
      </c>
      <c r="G3025" s="354">
        <v>0</v>
      </c>
      <c r="H3025" s="354">
        <v>0</v>
      </c>
      <c r="I3025" s="354">
        <v>1</v>
      </c>
      <c r="J3025" s="354">
        <v>1</v>
      </c>
      <c r="K3025" s="354">
        <v>0</v>
      </c>
      <c r="L3025" s="354">
        <v>0</v>
      </c>
      <c r="M3025" s="355">
        <v>3</v>
      </c>
      <c r="N3025" s="355">
        <v>1</v>
      </c>
    </row>
    <row r="3026" spans="1:14" hidden="1" x14ac:dyDescent="0.25">
      <c r="A3026" s="354">
        <v>0</v>
      </c>
      <c r="B3026" s="354">
        <v>2</v>
      </c>
      <c r="C3026" s="354">
        <v>0</v>
      </c>
      <c r="D3026" s="354">
        <v>3</v>
      </c>
      <c r="E3026" s="354">
        <v>0</v>
      </c>
      <c r="F3026" s="354">
        <v>3</v>
      </c>
      <c r="G3026" s="354">
        <v>0</v>
      </c>
      <c r="H3026" s="354">
        <v>1</v>
      </c>
      <c r="I3026" s="354">
        <v>1</v>
      </c>
      <c r="J3026" s="354">
        <v>1</v>
      </c>
      <c r="K3026" s="354">
        <v>0</v>
      </c>
      <c r="L3026" s="354">
        <v>0</v>
      </c>
      <c r="M3026" s="355">
        <v>1</v>
      </c>
      <c r="N3026" s="355">
        <v>10</v>
      </c>
    </row>
    <row r="3027" spans="1:14" hidden="1" x14ac:dyDescent="0.25">
      <c r="A3027" s="354">
        <v>1</v>
      </c>
      <c r="B3027" s="354">
        <v>0</v>
      </c>
      <c r="C3027" s="354">
        <v>2</v>
      </c>
      <c r="D3027" s="354">
        <v>0</v>
      </c>
      <c r="E3027" s="354">
        <v>2</v>
      </c>
      <c r="F3027" s="354">
        <v>0</v>
      </c>
      <c r="G3027" s="354">
        <v>2</v>
      </c>
      <c r="H3027" s="354">
        <v>0</v>
      </c>
      <c r="I3027" s="354">
        <v>1</v>
      </c>
      <c r="J3027" s="354">
        <v>0</v>
      </c>
      <c r="K3027" s="354">
        <v>1</v>
      </c>
      <c r="L3027" s="354">
        <v>1</v>
      </c>
      <c r="M3027" s="355">
        <v>9</v>
      </c>
      <c r="N3027" s="355">
        <v>1</v>
      </c>
    </row>
    <row r="3028" spans="1:14" hidden="1" x14ac:dyDescent="0.25">
      <c r="A3028" s="354">
        <v>0</v>
      </c>
      <c r="B3028" s="354">
        <v>0</v>
      </c>
      <c r="C3028" s="354">
        <v>0</v>
      </c>
      <c r="D3028" s="354">
        <v>0</v>
      </c>
      <c r="E3028" s="354">
        <v>0</v>
      </c>
      <c r="F3028" s="354">
        <v>0</v>
      </c>
      <c r="G3028" s="354">
        <v>4</v>
      </c>
      <c r="H3028" s="354">
        <v>3</v>
      </c>
      <c r="I3028" s="354">
        <v>3</v>
      </c>
      <c r="J3028" s="354">
        <v>3</v>
      </c>
      <c r="K3028" s="354">
        <v>1</v>
      </c>
      <c r="L3028" s="354">
        <v>0</v>
      </c>
      <c r="M3028" s="355">
        <v>8</v>
      </c>
      <c r="N3028" s="355">
        <v>6</v>
      </c>
    </row>
    <row r="3029" spans="1:14" hidden="1" x14ac:dyDescent="0.25">
      <c r="A3029" s="354">
        <v>0</v>
      </c>
      <c r="B3029" s="354">
        <v>0</v>
      </c>
      <c r="C3029" s="354">
        <v>1</v>
      </c>
      <c r="D3029" s="354">
        <v>0</v>
      </c>
      <c r="E3029" s="354">
        <v>2</v>
      </c>
      <c r="F3029" s="354">
        <v>2</v>
      </c>
      <c r="G3029" s="354">
        <v>0</v>
      </c>
      <c r="H3029" s="354">
        <v>0</v>
      </c>
      <c r="I3029" s="354">
        <v>2</v>
      </c>
      <c r="J3029" s="354">
        <v>3</v>
      </c>
      <c r="K3029" s="354">
        <v>0</v>
      </c>
      <c r="L3029" s="354">
        <v>0</v>
      </c>
      <c r="M3029" s="355">
        <v>5</v>
      </c>
      <c r="N3029" s="355">
        <v>5</v>
      </c>
    </row>
    <row r="3030" spans="1:14" hidden="1" x14ac:dyDescent="0.25">
      <c r="A3030" s="354">
        <v>0</v>
      </c>
      <c r="B3030" s="354">
        <v>0</v>
      </c>
      <c r="C3030" s="354">
        <v>0</v>
      </c>
      <c r="D3030" s="354">
        <v>0</v>
      </c>
      <c r="E3030" s="354">
        <v>0</v>
      </c>
      <c r="F3030" s="354">
        <v>2</v>
      </c>
      <c r="G3030" s="354">
        <v>1</v>
      </c>
      <c r="H3030" s="354">
        <v>4</v>
      </c>
      <c r="I3030" s="354">
        <v>1</v>
      </c>
      <c r="J3030" s="354">
        <v>1</v>
      </c>
      <c r="K3030" s="354">
        <v>0</v>
      </c>
      <c r="L3030" s="354">
        <v>0</v>
      </c>
      <c r="M3030" s="355">
        <v>2</v>
      </c>
      <c r="N3030" s="355">
        <v>7</v>
      </c>
    </row>
    <row r="3031" spans="1:14" hidden="1" x14ac:dyDescent="0.25">
      <c r="A3031" s="354">
        <v>0</v>
      </c>
      <c r="B3031" s="354">
        <v>1</v>
      </c>
      <c r="C3031" s="354">
        <v>1</v>
      </c>
      <c r="D3031" s="354">
        <v>1</v>
      </c>
      <c r="E3031" s="354">
        <v>1</v>
      </c>
      <c r="F3031" s="354">
        <v>0</v>
      </c>
      <c r="G3031" s="354">
        <v>0</v>
      </c>
      <c r="H3031" s="354">
        <v>2</v>
      </c>
      <c r="I3031" s="354">
        <v>2</v>
      </c>
      <c r="J3031" s="354">
        <v>2</v>
      </c>
      <c r="K3031" s="354">
        <v>0</v>
      </c>
      <c r="L3031" s="354">
        <v>0</v>
      </c>
      <c r="M3031" s="355">
        <v>4</v>
      </c>
      <c r="N3031" s="355">
        <v>6</v>
      </c>
    </row>
    <row r="3032" spans="1:14" hidden="1" x14ac:dyDescent="0.25">
      <c r="A3032" s="354">
        <v>0</v>
      </c>
      <c r="B3032" s="354">
        <v>0</v>
      </c>
      <c r="C3032" s="354">
        <v>0</v>
      </c>
      <c r="D3032" s="354">
        <v>0</v>
      </c>
      <c r="E3032" s="354">
        <v>0</v>
      </c>
      <c r="F3032" s="354">
        <v>0</v>
      </c>
      <c r="G3032" s="354">
        <v>3</v>
      </c>
      <c r="H3032" s="354">
        <v>2</v>
      </c>
      <c r="I3032" s="354">
        <v>2</v>
      </c>
      <c r="J3032" s="354">
        <v>2</v>
      </c>
      <c r="K3032" s="354">
        <v>0</v>
      </c>
      <c r="L3032" s="354">
        <v>0</v>
      </c>
      <c r="M3032" s="355">
        <v>5</v>
      </c>
      <c r="N3032" s="355">
        <v>4</v>
      </c>
    </row>
    <row r="3033" spans="1:14" hidden="1" x14ac:dyDescent="0.25">
      <c r="A3033" s="354">
        <v>0</v>
      </c>
      <c r="B3033" s="354">
        <v>0</v>
      </c>
      <c r="C3033" s="354">
        <v>0</v>
      </c>
      <c r="D3033" s="354">
        <v>0</v>
      </c>
      <c r="E3033" s="354">
        <v>3</v>
      </c>
      <c r="F3033" s="354">
        <v>1</v>
      </c>
      <c r="G3033" s="354">
        <v>0</v>
      </c>
      <c r="H3033" s="354">
        <v>2</v>
      </c>
      <c r="I3033" s="354">
        <v>2</v>
      </c>
      <c r="J3033" s="354">
        <v>2</v>
      </c>
      <c r="K3033" s="354">
        <v>0</v>
      </c>
      <c r="L3033" s="354">
        <v>0</v>
      </c>
      <c r="M3033" s="355">
        <v>5</v>
      </c>
      <c r="N3033" s="355">
        <v>5</v>
      </c>
    </row>
    <row r="3034" spans="1:14" hidden="1" x14ac:dyDescent="0.25">
      <c r="A3034" s="354">
        <v>1</v>
      </c>
      <c r="B3034" s="354">
        <v>0</v>
      </c>
      <c r="C3034" s="354">
        <v>0</v>
      </c>
      <c r="D3034" s="354">
        <v>0</v>
      </c>
      <c r="E3034" s="354">
        <v>2</v>
      </c>
      <c r="F3034" s="354">
        <v>1</v>
      </c>
      <c r="G3034" s="354">
        <v>0</v>
      </c>
      <c r="H3034" s="354">
        <v>0</v>
      </c>
      <c r="I3034" s="354">
        <v>2</v>
      </c>
      <c r="J3034" s="354">
        <v>2</v>
      </c>
      <c r="K3034" s="354">
        <v>0</v>
      </c>
      <c r="L3034" s="354">
        <v>0</v>
      </c>
      <c r="M3034" s="355">
        <v>5</v>
      </c>
      <c r="N3034" s="355">
        <v>3</v>
      </c>
    </row>
    <row r="3035" spans="1:14" hidden="1" x14ac:dyDescent="0.25">
      <c r="A3035" s="354">
        <v>1</v>
      </c>
      <c r="B3035" s="354"/>
      <c r="C3035" s="354">
        <v>0</v>
      </c>
      <c r="D3035" s="354"/>
      <c r="E3035" s="354">
        <v>0</v>
      </c>
      <c r="F3035" s="354">
        <v>1</v>
      </c>
      <c r="G3035" s="354">
        <v>0</v>
      </c>
      <c r="H3035" s="354">
        <v>0</v>
      </c>
      <c r="I3035" s="354">
        <v>2</v>
      </c>
      <c r="J3035" s="354">
        <v>1</v>
      </c>
      <c r="K3035" s="354">
        <v>0</v>
      </c>
      <c r="L3035" s="354">
        <v>0</v>
      </c>
      <c r="M3035" s="355">
        <v>3</v>
      </c>
      <c r="N3035" s="355">
        <v>2</v>
      </c>
    </row>
    <row r="3036" spans="1:14" hidden="1" x14ac:dyDescent="0.25">
      <c r="A3036" s="354">
        <v>0</v>
      </c>
      <c r="B3036" s="354">
        <v>0</v>
      </c>
      <c r="C3036" s="354">
        <v>1</v>
      </c>
      <c r="D3036" s="354">
        <v>0</v>
      </c>
      <c r="E3036" s="354">
        <v>1</v>
      </c>
      <c r="F3036" s="354">
        <v>2</v>
      </c>
      <c r="G3036" s="354">
        <v>0</v>
      </c>
      <c r="H3036" s="354">
        <v>0</v>
      </c>
      <c r="I3036" s="354">
        <v>1</v>
      </c>
      <c r="J3036" s="354">
        <v>1</v>
      </c>
      <c r="K3036" s="354">
        <v>0</v>
      </c>
      <c r="L3036" s="354">
        <v>0</v>
      </c>
      <c r="M3036" s="355">
        <v>3</v>
      </c>
      <c r="N3036" s="355">
        <v>3</v>
      </c>
    </row>
    <row r="3037" spans="1:14" hidden="1" x14ac:dyDescent="0.25">
      <c r="A3037" s="354">
        <v>0</v>
      </c>
      <c r="B3037" s="354">
        <v>0</v>
      </c>
      <c r="C3037" s="354">
        <v>0</v>
      </c>
      <c r="D3037" s="354">
        <v>0</v>
      </c>
      <c r="E3037" s="354">
        <v>2</v>
      </c>
      <c r="F3037" s="354">
        <v>2</v>
      </c>
      <c r="G3037" s="354">
        <v>0</v>
      </c>
      <c r="H3037" s="354">
        <v>3</v>
      </c>
      <c r="I3037" s="354">
        <v>2</v>
      </c>
      <c r="J3037" s="354">
        <v>1</v>
      </c>
      <c r="K3037" s="354">
        <v>1</v>
      </c>
      <c r="L3037" s="354">
        <v>0</v>
      </c>
      <c r="M3037" s="355">
        <v>5</v>
      </c>
      <c r="N3037" s="355">
        <v>6</v>
      </c>
    </row>
    <row r="3038" spans="1:14" hidden="1" x14ac:dyDescent="0.25">
      <c r="A3038" s="354">
        <v>0</v>
      </c>
      <c r="B3038" s="354">
        <v>0</v>
      </c>
      <c r="C3038" s="354">
        <v>2</v>
      </c>
      <c r="D3038" s="354">
        <v>1</v>
      </c>
      <c r="E3038" s="354">
        <v>0</v>
      </c>
      <c r="F3038" s="354">
        <v>0</v>
      </c>
      <c r="G3038" s="354">
        <v>1</v>
      </c>
      <c r="H3038" s="354">
        <v>2</v>
      </c>
      <c r="I3038" s="354">
        <v>1</v>
      </c>
      <c r="J3038" s="354">
        <v>1</v>
      </c>
      <c r="K3038" s="354">
        <v>0</v>
      </c>
      <c r="L3038" s="354">
        <v>0</v>
      </c>
      <c r="M3038" s="355">
        <v>4</v>
      </c>
      <c r="N3038" s="355">
        <v>4</v>
      </c>
    </row>
    <row r="3039" spans="1:14" hidden="1" x14ac:dyDescent="0.25">
      <c r="A3039" s="354">
        <v>0</v>
      </c>
      <c r="B3039" s="354">
        <v>0</v>
      </c>
      <c r="C3039" s="354">
        <v>1</v>
      </c>
      <c r="D3039" s="354">
        <v>1</v>
      </c>
      <c r="E3039" s="354">
        <v>0</v>
      </c>
      <c r="F3039" s="354">
        <v>0</v>
      </c>
      <c r="G3039" s="354">
        <v>1</v>
      </c>
      <c r="H3039" s="354">
        <v>1</v>
      </c>
      <c r="I3039" s="354">
        <v>1</v>
      </c>
      <c r="J3039" s="354">
        <v>1</v>
      </c>
      <c r="K3039" s="354">
        <v>0</v>
      </c>
      <c r="L3039" s="354">
        <v>0</v>
      </c>
      <c r="M3039" s="355">
        <v>3</v>
      </c>
      <c r="N3039" s="355">
        <v>3</v>
      </c>
    </row>
    <row r="3040" spans="1:14" hidden="1" x14ac:dyDescent="0.25">
      <c r="A3040" s="354">
        <v>1</v>
      </c>
      <c r="B3040" s="354">
        <v>0</v>
      </c>
      <c r="C3040" s="354">
        <v>0</v>
      </c>
      <c r="D3040" s="354">
        <v>1</v>
      </c>
      <c r="E3040" s="354"/>
      <c r="F3040" s="354">
        <v>1</v>
      </c>
      <c r="G3040" s="354">
        <v>1</v>
      </c>
      <c r="H3040" s="354">
        <v>0</v>
      </c>
      <c r="I3040" s="354">
        <v>1</v>
      </c>
      <c r="J3040" s="354">
        <v>1</v>
      </c>
      <c r="K3040" s="354">
        <v>0</v>
      </c>
      <c r="L3040" s="354">
        <v>0</v>
      </c>
      <c r="M3040" s="355">
        <v>3</v>
      </c>
      <c r="N3040" s="355">
        <v>3</v>
      </c>
    </row>
    <row r="3041" spans="1:14" hidden="1" x14ac:dyDescent="0.25">
      <c r="A3041" s="354">
        <v>0</v>
      </c>
      <c r="B3041" s="354">
        <v>0</v>
      </c>
      <c r="C3041" s="354">
        <v>1</v>
      </c>
      <c r="D3041" s="354">
        <v>0</v>
      </c>
      <c r="E3041" s="354">
        <v>0</v>
      </c>
      <c r="F3041" s="354">
        <v>1</v>
      </c>
      <c r="G3041" s="354">
        <v>2</v>
      </c>
      <c r="H3041" s="354">
        <v>0</v>
      </c>
      <c r="I3041" s="354">
        <v>1</v>
      </c>
      <c r="J3041" s="354">
        <v>1</v>
      </c>
      <c r="K3041" s="354">
        <v>0</v>
      </c>
      <c r="L3041" s="354">
        <v>0</v>
      </c>
      <c r="M3041" s="355">
        <v>4</v>
      </c>
      <c r="N3041" s="355">
        <v>2</v>
      </c>
    </row>
    <row r="3042" spans="1:14" hidden="1" x14ac:dyDescent="0.25">
      <c r="A3042" s="354">
        <v>1</v>
      </c>
      <c r="B3042" s="354">
        <v>0</v>
      </c>
      <c r="C3042" s="354">
        <v>1</v>
      </c>
      <c r="D3042" s="354">
        <v>0</v>
      </c>
      <c r="E3042" s="354">
        <v>1</v>
      </c>
      <c r="F3042" s="354">
        <v>0</v>
      </c>
      <c r="G3042" s="354">
        <v>0</v>
      </c>
      <c r="H3042" s="354">
        <v>0</v>
      </c>
      <c r="I3042" s="354">
        <v>1</v>
      </c>
      <c r="J3042" s="354">
        <v>1</v>
      </c>
      <c r="K3042" s="354">
        <v>0</v>
      </c>
      <c r="L3042" s="354">
        <v>0</v>
      </c>
      <c r="M3042" s="355">
        <v>4</v>
      </c>
      <c r="N3042" s="355">
        <v>1</v>
      </c>
    </row>
    <row r="3043" spans="1:14" hidden="1" x14ac:dyDescent="0.25">
      <c r="A3043" s="354">
        <v>1</v>
      </c>
      <c r="B3043" s="354">
        <v>0</v>
      </c>
      <c r="C3043" s="354">
        <v>0</v>
      </c>
      <c r="D3043" s="354">
        <v>1</v>
      </c>
      <c r="E3043" s="354">
        <v>2</v>
      </c>
      <c r="F3043" s="354">
        <v>2</v>
      </c>
      <c r="G3043" s="354">
        <v>1</v>
      </c>
      <c r="H3043" s="354">
        <v>0</v>
      </c>
      <c r="I3043" s="354">
        <v>1</v>
      </c>
      <c r="J3043" s="354">
        <v>1</v>
      </c>
      <c r="K3043" s="354">
        <v>0</v>
      </c>
      <c r="L3043" s="354">
        <v>0</v>
      </c>
      <c r="M3043" s="355">
        <v>5</v>
      </c>
      <c r="N3043" s="355">
        <v>4</v>
      </c>
    </row>
    <row r="3044" spans="1:14" hidden="1" x14ac:dyDescent="0.25">
      <c r="A3044" s="354">
        <v>1</v>
      </c>
      <c r="B3044" s="354">
        <v>0</v>
      </c>
      <c r="C3044" s="354">
        <v>2</v>
      </c>
      <c r="D3044" s="354">
        <v>0</v>
      </c>
      <c r="E3044" s="354">
        <v>1</v>
      </c>
      <c r="F3044" s="354">
        <v>2</v>
      </c>
      <c r="G3044" s="354">
        <v>0</v>
      </c>
      <c r="H3044" s="354">
        <v>0</v>
      </c>
      <c r="I3044" s="354">
        <v>1</v>
      </c>
      <c r="J3044" s="354">
        <v>1</v>
      </c>
      <c r="K3044" s="354">
        <v>0</v>
      </c>
      <c r="L3044" s="354">
        <v>0</v>
      </c>
      <c r="M3044" s="355">
        <v>5</v>
      </c>
      <c r="N3044" s="355">
        <v>3</v>
      </c>
    </row>
    <row r="3045" spans="1:14" hidden="1" x14ac:dyDescent="0.25">
      <c r="A3045" s="354">
        <v>0</v>
      </c>
      <c r="B3045" s="354">
        <v>1</v>
      </c>
      <c r="C3045" s="354">
        <v>1</v>
      </c>
      <c r="D3045" s="354">
        <v>1</v>
      </c>
      <c r="E3045" s="354">
        <v>2</v>
      </c>
      <c r="F3045" s="354">
        <v>0</v>
      </c>
      <c r="G3045" s="354">
        <v>0</v>
      </c>
      <c r="H3045" s="354">
        <v>0</v>
      </c>
      <c r="I3045" s="354">
        <v>1</v>
      </c>
      <c r="J3045" s="354">
        <v>1</v>
      </c>
      <c r="K3045" s="354">
        <v>0</v>
      </c>
      <c r="L3045" s="354">
        <v>0</v>
      </c>
      <c r="M3045" s="355">
        <v>4</v>
      </c>
      <c r="N3045" s="355">
        <v>3</v>
      </c>
    </row>
    <row r="3046" spans="1:14" hidden="1" x14ac:dyDescent="0.25">
      <c r="A3046" s="354">
        <v>0</v>
      </c>
      <c r="B3046" s="354">
        <v>1</v>
      </c>
      <c r="C3046" s="354">
        <v>1</v>
      </c>
      <c r="D3046" s="354">
        <v>0</v>
      </c>
      <c r="E3046" s="354">
        <v>1</v>
      </c>
      <c r="F3046" s="354">
        <v>0</v>
      </c>
      <c r="G3046" s="354">
        <v>0</v>
      </c>
      <c r="H3046" s="354">
        <v>0</v>
      </c>
      <c r="I3046" s="354">
        <v>1</v>
      </c>
      <c r="J3046" s="354">
        <v>1</v>
      </c>
      <c r="K3046" s="354">
        <v>0</v>
      </c>
      <c r="L3046" s="354">
        <v>0</v>
      </c>
      <c r="M3046" s="355">
        <v>3</v>
      </c>
      <c r="N3046" s="355">
        <v>2</v>
      </c>
    </row>
    <row r="3047" spans="1:14" hidden="1" x14ac:dyDescent="0.25">
      <c r="A3047" s="354">
        <v>1</v>
      </c>
      <c r="B3047" s="354">
        <v>0</v>
      </c>
      <c r="C3047" s="354">
        <v>1</v>
      </c>
      <c r="D3047" s="354">
        <v>0</v>
      </c>
      <c r="E3047" s="354">
        <v>1</v>
      </c>
      <c r="F3047" s="354">
        <v>3</v>
      </c>
      <c r="G3047" s="354">
        <v>0</v>
      </c>
      <c r="H3047" s="354">
        <v>1</v>
      </c>
      <c r="I3047" s="354">
        <v>1</v>
      </c>
      <c r="J3047" s="354">
        <v>1</v>
      </c>
      <c r="K3047" s="354">
        <v>0</v>
      </c>
      <c r="L3047" s="354">
        <v>0</v>
      </c>
      <c r="M3047" s="355">
        <v>4</v>
      </c>
      <c r="N3047" s="355">
        <v>5</v>
      </c>
    </row>
    <row r="3048" spans="1:14" hidden="1" x14ac:dyDescent="0.25">
      <c r="A3048" s="354">
        <v>0</v>
      </c>
      <c r="B3048" s="354">
        <v>0</v>
      </c>
      <c r="C3048" s="354">
        <v>1</v>
      </c>
      <c r="D3048" s="354">
        <v>0</v>
      </c>
      <c r="E3048" s="354">
        <v>2</v>
      </c>
      <c r="F3048" s="354">
        <v>1</v>
      </c>
      <c r="G3048" s="354">
        <v>0</v>
      </c>
      <c r="H3048" s="354">
        <v>0</v>
      </c>
      <c r="I3048" s="354"/>
      <c r="J3048" s="354">
        <v>1</v>
      </c>
      <c r="K3048" s="354">
        <v>0</v>
      </c>
      <c r="L3048" s="354">
        <v>0</v>
      </c>
      <c r="M3048" s="355">
        <v>3</v>
      </c>
      <c r="N3048" s="355">
        <v>2</v>
      </c>
    </row>
    <row r="3049" spans="1:14" hidden="1" x14ac:dyDescent="0.25">
      <c r="A3049" s="354">
        <v>1</v>
      </c>
      <c r="B3049" s="354">
        <v>0</v>
      </c>
      <c r="C3049" s="354">
        <v>1</v>
      </c>
      <c r="D3049" s="354">
        <v>1</v>
      </c>
      <c r="E3049" s="354">
        <v>0</v>
      </c>
      <c r="F3049" s="354">
        <v>1</v>
      </c>
      <c r="G3049" s="354">
        <v>0</v>
      </c>
      <c r="H3049" s="354">
        <v>0</v>
      </c>
      <c r="I3049" s="354">
        <v>0</v>
      </c>
      <c r="J3049" s="354">
        <v>1</v>
      </c>
      <c r="K3049" s="354">
        <v>1</v>
      </c>
      <c r="L3049" s="354">
        <v>0</v>
      </c>
      <c r="M3049" s="355">
        <v>3</v>
      </c>
      <c r="N3049" s="355">
        <v>3</v>
      </c>
    </row>
    <row r="3050" spans="1:14" hidden="1" x14ac:dyDescent="0.25">
      <c r="A3050" s="354">
        <v>0</v>
      </c>
      <c r="B3050" s="354">
        <v>0</v>
      </c>
      <c r="C3050" s="354">
        <v>0</v>
      </c>
      <c r="D3050" s="354">
        <v>0</v>
      </c>
      <c r="E3050" s="354">
        <v>2</v>
      </c>
      <c r="F3050" s="354">
        <v>0</v>
      </c>
      <c r="G3050" s="354">
        <v>2</v>
      </c>
      <c r="H3050" s="354">
        <v>1</v>
      </c>
      <c r="I3050" s="354">
        <v>1</v>
      </c>
      <c r="J3050" s="354">
        <v>1</v>
      </c>
      <c r="K3050" s="354">
        <v>0</v>
      </c>
      <c r="L3050" s="354">
        <v>0</v>
      </c>
      <c r="M3050" s="355">
        <v>5</v>
      </c>
      <c r="N3050" s="355">
        <v>2</v>
      </c>
    </row>
    <row r="3051" spans="1:14" hidden="1" x14ac:dyDescent="0.25">
      <c r="A3051" s="354">
        <v>2</v>
      </c>
      <c r="B3051" s="354">
        <v>0</v>
      </c>
      <c r="C3051" s="354">
        <v>1</v>
      </c>
      <c r="D3051" s="354">
        <v>0</v>
      </c>
      <c r="E3051" s="354">
        <v>1</v>
      </c>
      <c r="F3051" s="354">
        <v>0</v>
      </c>
      <c r="G3051" s="354">
        <v>1</v>
      </c>
      <c r="H3051" s="354">
        <v>0</v>
      </c>
      <c r="I3051" s="354">
        <v>0</v>
      </c>
      <c r="J3051" s="354">
        <v>1</v>
      </c>
      <c r="K3051" s="354">
        <v>0</v>
      </c>
      <c r="L3051" s="354">
        <v>0</v>
      </c>
      <c r="M3051" s="355">
        <v>5</v>
      </c>
      <c r="N3051" s="355">
        <v>1</v>
      </c>
    </row>
    <row r="3052" spans="1:14" hidden="1" x14ac:dyDescent="0.25">
      <c r="A3052" s="354">
        <v>1</v>
      </c>
      <c r="B3052" s="354"/>
      <c r="C3052" s="354">
        <v>0</v>
      </c>
      <c r="D3052" s="354">
        <v>1</v>
      </c>
      <c r="E3052" s="354">
        <v>2</v>
      </c>
      <c r="F3052" s="354">
        <v>0</v>
      </c>
      <c r="G3052" s="354">
        <v>0</v>
      </c>
      <c r="H3052" s="354">
        <v>0</v>
      </c>
      <c r="I3052" s="354">
        <v>1</v>
      </c>
      <c r="J3052" s="354">
        <v>1</v>
      </c>
      <c r="K3052" s="354">
        <v>0</v>
      </c>
      <c r="L3052" s="354">
        <v>0</v>
      </c>
      <c r="M3052" s="355">
        <v>4</v>
      </c>
      <c r="N3052" s="355">
        <v>2</v>
      </c>
    </row>
    <row r="3053" spans="1:14" hidden="1" x14ac:dyDescent="0.25">
      <c r="A3053" s="354">
        <v>0</v>
      </c>
      <c r="B3053" s="354">
        <v>0</v>
      </c>
      <c r="C3053" s="354">
        <v>0</v>
      </c>
      <c r="D3053" s="354">
        <v>2</v>
      </c>
      <c r="E3053" s="354">
        <v>0</v>
      </c>
      <c r="F3053" s="354">
        <v>4</v>
      </c>
      <c r="G3053" s="354">
        <v>0</v>
      </c>
      <c r="H3053" s="354">
        <v>2</v>
      </c>
      <c r="I3053" s="354">
        <v>1</v>
      </c>
      <c r="J3053" s="354">
        <v>2</v>
      </c>
      <c r="K3053" s="354">
        <v>0</v>
      </c>
      <c r="L3053" s="354">
        <v>0</v>
      </c>
      <c r="M3053" s="355">
        <v>1</v>
      </c>
      <c r="N3053" s="355">
        <v>10</v>
      </c>
    </row>
    <row r="3054" spans="1:14" hidden="1" x14ac:dyDescent="0.25">
      <c r="A3054" s="354">
        <v>0</v>
      </c>
      <c r="B3054" s="354">
        <v>0</v>
      </c>
      <c r="C3054" s="354">
        <v>0</v>
      </c>
      <c r="D3054" s="354">
        <v>0</v>
      </c>
      <c r="E3054" s="354">
        <v>2</v>
      </c>
      <c r="F3054" s="354">
        <v>0</v>
      </c>
      <c r="G3054" s="354">
        <v>1</v>
      </c>
      <c r="H3054" s="354">
        <v>1</v>
      </c>
      <c r="I3054" s="354">
        <v>1</v>
      </c>
      <c r="J3054" s="354">
        <v>1</v>
      </c>
      <c r="K3054" s="354">
        <v>0</v>
      </c>
      <c r="L3054" s="354">
        <v>0</v>
      </c>
      <c r="M3054" s="355">
        <v>4</v>
      </c>
      <c r="N3054" s="355">
        <v>2</v>
      </c>
    </row>
    <row r="3055" spans="1:14" hidden="1" x14ac:dyDescent="0.25">
      <c r="A3055" s="354">
        <v>1</v>
      </c>
      <c r="B3055" s="354">
        <v>0</v>
      </c>
      <c r="C3055" s="354">
        <v>0</v>
      </c>
      <c r="D3055" s="354">
        <v>1</v>
      </c>
      <c r="E3055" s="354">
        <v>2</v>
      </c>
      <c r="F3055" s="354">
        <v>0</v>
      </c>
      <c r="G3055" s="354">
        <v>1</v>
      </c>
      <c r="H3055" s="354">
        <v>0</v>
      </c>
      <c r="I3055" s="354">
        <v>1</v>
      </c>
      <c r="J3055" s="354">
        <v>1</v>
      </c>
      <c r="K3055" s="354">
        <v>0</v>
      </c>
      <c r="L3055" s="354">
        <v>0</v>
      </c>
      <c r="M3055" s="355">
        <v>5</v>
      </c>
      <c r="N3055" s="355">
        <v>2</v>
      </c>
    </row>
    <row r="3056" spans="1:14" hidden="1" x14ac:dyDescent="0.25">
      <c r="A3056" s="354">
        <v>2</v>
      </c>
      <c r="B3056" s="354">
        <v>2</v>
      </c>
      <c r="C3056" s="354">
        <v>1</v>
      </c>
      <c r="D3056" s="354">
        <v>2</v>
      </c>
      <c r="E3056" s="354">
        <v>2</v>
      </c>
      <c r="F3056" s="354">
        <v>2</v>
      </c>
      <c r="G3056" s="354">
        <v>2</v>
      </c>
      <c r="H3056" s="354">
        <v>1</v>
      </c>
      <c r="I3056" s="354"/>
      <c r="J3056" s="354">
        <v>2</v>
      </c>
      <c r="K3056" s="354">
        <v>0</v>
      </c>
      <c r="L3056" s="354">
        <v>1</v>
      </c>
      <c r="M3056" s="355">
        <v>7</v>
      </c>
      <c r="N3056" s="355">
        <v>10</v>
      </c>
    </row>
    <row r="3057" spans="1:14" hidden="1" x14ac:dyDescent="0.25">
      <c r="A3057" s="354">
        <v>1</v>
      </c>
      <c r="B3057" s="354">
        <v>1</v>
      </c>
      <c r="C3057" s="354">
        <v>0</v>
      </c>
      <c r="D3057" s="354">
        <v>2</v>
      </c>
      <c r="E3057" s="354">
        <v>0</v>
      </c>
      <c r="F3057" s="354">
        <v>0</v>
      </c>
      <c r="G3057" s="354">
        <v>1</v>
      </c>
      <c r="H3057" s="354">
        <v>0</v>
      </c>
      <c r="I3057" s="354">
        <v>0</v>
      </c>
      <c r="J3057" s="354">
        <v>1</v>
      </c>
      <c r="K3057" s="354">
        <v>0</v>
      </c>
      <c r="L3057" s="354">
        <v>0</v>
      </c>
      <c r="M3057" s="355">
        <v>2</v>
      </c>
      <c r="N3057" s="355">
        <v>4</v>
      </c>
    </row>
    <row r="3058" spans="1:14" hidden="1" x14ac:dyDescent="0.25">
      <c r="A3058" s="354">
        <v>0</v>
      </c>
      <c r="B3058" s="354">
        <v>1</v>
      </c>
      <c r="C3058" s="354">
        <v>0</v>
      </c>
      <c r="D3058" s="354">
        <v>1</v>
      </c>
      <c r="E3058" s="354">
        <v>2</v>
      </c>
      <c r="F3058" s="354">
        <v>2</v>
      </c>
      <c r="G3058" s="354">
        <v>0</v>
      </c>
      <c r="H3058" s="354">
        <v>0</v>
      </c>
      <c r="I3058" s="354">
        <v>1</v>
      </c>
      <c r="J3058" s="354">
        <v>1</v>
      </c>
      <c r="K3058" s="354">
        <v>0</v>
      </c>
      <c r="L3058" s="354">
        <v>0</v>
      </c>
      <c r="M3058" s="355">
        <v>3</v>
      </c>
      <c r="N3058" s="355">
        <v>5</v>
      </c>
    </row>
    <row r="3059" spans="1:14" hidden="1" x14ac:dyDescent="0.25">
      <c r="A3059" s="354">
        <v>0</v>
      </c>
      <c r="B3059" s="354">
        <v>0</v>
      </c>
      <c r="C3059" s="354">
        <v>0</v>
      </c>
      <c r="D3059" s="354">
        <v>0</v>
      </c>
      <c r="E3059" s="354">
        <v>0</v>
      </c>
      <c r="F3059" s="354">
        <v>0</v>
      </c>
      <c r="G3059" s="354">
        <v>0</v>
      </c>
      <c r="H3059" s="354">
        <v>0</v>
      </c>
      <c r="I3059" s="354">
        <v>1</v>
      </c>
      <c r="J3059" s="354">
        <v>1</v>
      </c>
      <c r="K3059" s="354">
        <v>0</v>
      </c>
      <c r="L3059" s="354">
        <v>0</v>
      </c>
      <c r="M3059" s="355">
        <v>1</v>
      </c>
      <c r="N3059" s="355">
        <v>1</v>
      </c>
    </row>
    <row r="3060" spans="1:14" hidden="1" x14ac:dyDescent="0.25">
      <c r="A3060" s="354">
        <v>0</v>
      </c>
      <c r="B3060" s="354">
        <v>1</v>
      </c>
      <c r="C3060" s="354">
        <v>1</v>
      </c>
      <c r="D3060" s="354">
        <v>0</v>
      </c>
      <c r="E3060" s="354">
        <v>2</v>
      </c>
      <c r="F3060" s="354">
        <v>1</v>
      </c>
      <c r="G3060" s="354">
        <v>0</v>
      </c>
      <c r="H3060" s="354">
        <v>0</v>
      </c>
      <c r="I3060" s="354">
        <v>1</v>
      </c>
      <c r="J3060" s="354">
        <v>1</v>
      </c>
      <c r="K3060" s="354">
        <v>0</v>
      </c>
      <c r="L3060" s="354">
        <v>0</v>
      </c>
      <c r="M3060" s="355">
        <v>4</v>
      </c>
      <c r="N3060" s="355">
        <v>3</v>
      </c>
    </row>
    <row r="3061" spans="1:14" hidden="1" x14ac:dyDescent="0.25">
      <c r="A3061" s="354">
        <v>0</v>
      </c>
      <c r="B3061" s="354">
        <v>0</v>
      </c>
      <c r="C3061" s="354">
        <v>1</v>
      </c>
      <c r="D3061" s="354">
        <v>1</v>
      </c>
      <c r="E3061" s="354">
        <v>0</v>
      </c>
      <c r="F3061" s="354">
        <v>2</v>
      </c>
      <c r="G3061" s="354">
        <v>2</v>
      </c>
      <c r="H3061" s="354">
        <v>1</v>
      </c>
      <c r="I3061" s="354">
        <v>1</v>
      </c>
      <c r="J3061" s="354">
        <v>1</v>
      </c>
      <c r="K3061" s="354">
        <v>0</v>
      </c>
      <c r="L3061" s="354">
        <v>0</v>
      </c>
      <c r="M3061" s="355">
        <v>4</v>
      </c>
      <c r="N3061" s="355">
        <v>5</v>
      </c>
    </row>
    <row r="3062" spans="1:14" hidden="1" x14ac:dyDescent="0.25">
      <c r="A3062" s="354">
        <v>0</v>
      </c>
      <c r="B3062" s="354">
        <v>1</v>
      </c>
      <c r="C3062" s="354">
        <v>1</v>
      </c>
      <c r="D3062" s="354">
        <v>0</v>
      </c>
      <c r="E3062" s="354">
        <v>2</v>
      </c>
      <c r="F3062" s="354">
        <v>1</v>
      </c>
      <c r="G3062" s="354">
        <v>0</v>
      </c>
      <c r="H3062" s="354">
        <v>1</v>
      </c>
      <c r="I3062" s="354">
        <v>0</v>
      </c>
      <c r="J3062" s="354">
        <v>3</v>
      </c>
      <c r="K3062" s="354">
        <v>1</v>
      </c>
      <c r="L3062" s="354">
        <v>1</v>
      </c>
      <c r="M3062" s="355">
        <v>4</v>
      </c>
      <c r="N3062" s="355">
        <v>7</v>
      </c>
    </row>
    <row r="3063" spans="1:14" hidden="1" x14ac:dyDescent="0.25">
      <c r="A3063" s="354">
        <v>0</v>
      </c>
      <c r="B3063" s="354">
        <v>0</v>
      </c>
      <c r="C3063" s="354">
        <v>0</v>
      </c>
      <c r="D3063" s="354">
        <v>0</v>
      </c>
      <c r="E3063" s="354">
        <v>1</v>
      </c>
      <c r="F3063" s="354">
        <v>0</v>
      </c>
      <c r="G3063" s="354">
        <v>2</v>
      </c>
      <c r="H3063" s="354">
        <v>1</v>
      </c>
      <c r="I3063" s="354">
        <v>1</v>
      </c>
      <c r="J3063" s="354">
        <v>1</v>
      </c>
      <c r="K3063" s="354">
        <v>0</v>
      </c>
      <c r="L3063" s="354">
        <v>0</v>
      </c>
      <c r="M3063" s="355">
        <v>4</v>
      </c>
      <c r="N3063" s="355">
        <v>2</v>
      </c>
    </row>
    <row r="3064" spans="1:14" hidden="1" x14ac:dyDescent="0.25">
      <c r="A3064" s="354">
        <v>0</v>
      </c>
      <c r="B3064" s="354">
        <v>2</v>
      </c>
      <c r="C3064" s="354">
        <v>1</v>
      </c>
      <c r="D3064" s="354">
        <v>1</v>
      </c>
      <c r="E3064" s="354">
        <v>0</v>
      </c>
      <c r="F3064" s="354">
        <v>1</v>
      </c>
      <c r="G3064" s="354">
        <v>0</v>
      </c>
      <c r="H3064" s="354">
        <v>0</v>
      </c>
      <c r="I3064" s="354">
        <v>1</v>
      </c>
      <c r="J3064" s="354">
        <v>1</v>
      </c>
      <c r="K3064" s="354">
        <v>0</v>
      </c>
      <c r="L3064" s="354">
        <v>0</v>
      </c>
      <c r="M3064" s="355">
        <v>2</v>
      </c>
      <c r="N3064" s="355">
        <v>5</v>
      </c>
    </row>
    <row r="3065" spans="1:14" hidden="1" x14ac:dyDescent="0.25">
      <c r="A3065" s="354">
        <v>0</v>
      </c>
      <c r="B3065" s="354">
        <v>0</v>
      </c>
      <c r="C3065" s="354">
        <v>0</v>
      </c>
      <c r="D3065" s="354">
        <v>0</v>
      </c>
      <c r="E3065" s="354">
        <v>0</v>
      </c>
      <c r="F3065" s="354">
        <v>0</v>
      </c>
      <c r="G3065" s="354">
        <v>0</v>
      </c>
      <c r="H3065" s="354">
        <v>0</v>
      </c>
      <c r="I3065" s="354">
        <v>0</v>
      </c>
      <c r="J3065" s="354">
        <v>1</v>
      </c>
      <c r="K3065" s="354">
        <v>0</v>
      </c>
      <c r="L3065" s="354">
        <v>0</v>
      </c>
      <c r="M3065" s="355">
        <v>0</v>
      </c>
      <c r="N3065" s="355">
        <v>1</v>
      </c>
    </row>
    <row r="3066" spans="1:14" hidden="1" x14ac:dyDescent="0.25">
      <c r="A3066" s="354">
        <v>2</v>
      </c>
      <c r="B3066" s="354">
        <v>0</v>
      </c>
      <c r="C3066" s="354">
        <v>0</v>
      </c>
      <c r="D3066" s="354">
        <v>1</v>
      </c>
      <c r="E3066" s="354">
        <v>1</v>
      </c>
      <c r="F3066" s="354">
        <v>0</v>
      </c>
      <c r="G3066" s="354">
        <v>2</v>
      </c>
      <c r="H3066" s="354">
        <v>0</v>
      </c>
      <c r="I3066" s="354">
        <v>2</v>
      </c>
      <c r="J3066" s="354">
        <v>1</v>
      </c>
      <c r="K3066" s="354">
        <v>0</v>
      </c>
      <c r="L3066" s="354">
        <v>0</v>
      </c>
      <c r="M3066" s="355">
        <v>7</v>
      </c>
      <c r="N3066" s="355">
        <v>2</v>
      </c>
    </row>
    <row r="3067" spans="1:14" hidden="1" x14ac:dyDescent="0.25">
      <c r="A3067" s="354">
        <v>0</v>
      </c>
      <c r="B3067" s="354">
        <v>1</v>
      </c>
      <c r="C3067" s="354">
        <v>1</v>
      </c>
      <c r="D3067" s="354">
        <v>1</v>
      </c>
      <c r="E3067" s="354">
        <v>0</v>
      </c>
      <c r="F3067" s="354">
        <v>1</v>
      </c>
      <c r="G3067" s="354">
        <v>0</v>
      </c>
      <c r="H3067" s="354">
        <v>0</v>
      </c>
      <c r="I3067" s="354">
        <v>1</v>
      </c>
      <c r="J3067" s="354">
        <v>1</v>
      </c>
      <c r="K3067" s="354">
        <v>0</v>
      </c>
      <c r="L3067" s="354">
        <v>0</v>
      </c>
      <c r="M3067" s="355">
        <v>2</v>
      </c>
      <c r="N3067" s="355">
        <v>4</v>
      </c>
    </row>
    <row r="3068" spans="1:14" hidden="1" x14ac:dyDescent="0.25">
      <c r="A3068" s="354">
        <v>0</v>
      </c>
      <c r="B3068" s="354">
        <v>0</v>
      </c>
      <c r="C3068" s="354">
        <v>0</v>
      </c>
      <c r="D3068" s="354">
        <v>0</v>
      </c>
      <c r="E3068" s="354">
        <v>1</v>
      </c>
      <c r="F3068" s="354">
        <v>0</v>
      </c>
      <c r="G3068" s="354">
        <v>1</v>
      </c>
      <c r="H3068" s="354">
        <v>1</v>
      </c>
      <c r="I3068" s="354">
        <v>1</v>
      </c>
      <c r="J3068" s="354">
        <v>1</v>
      </c>
      <c r="K3068" s="354">
        <v>0</v>
      </c>
      <c r="L3068" s="354">
        <v>0</v>
      </c>
      <c r="M3068" s="355">
        <v>3</v>
      </c>
      <c r="N3068" s="355">
        <v>2</v>
      </c>
    </row>
    <row r="3069" spans="1:14" hidden="1" x14ac:dyDescent="0.25">
      <c r="A3069" s="354">
        <v>0</v>
      </c>
      <c r="B3069" s="354">
        <v>0</v>
      </c>
      <c r="C3069" s="354">
        <v>1</v>
      </c>
      <c r="D3069" s="354">
        <v>0</v>
      </c>
      <c r="E3069" s="354">
        <v>1</v>
      </c>
      <c r="F3069" s="354">
        <v>2</v>
      </c>
      <c r="G3069" s="354">
        <v>0</v>
      </c>
      <c r="H3069" s="354">
        <v>0</v>
      </c>
      <c r="I3069" s="354">
        <v>1</v>
      </c>
      <c r="J3069" s="354">
        <v>1</v>
      </c>
      <c r="K3069" s="354">
        <v>0</v>
      </c>
      <c r="L3069" s="354">
        <v>0</v>
      </c>
      <c r="M3069" s="355">
        <v>3</v>
      </c>
      <c r="N3069" s="355">
        <v>3</v>
      </c>
    </row>
    <row r="3070" spans="1:14" hidden="1" x14ac:dyDescent="0.25">
      <c r="A3070" s="354">
        <v>0</v>
      </c>
      <c r="B3070" s="354">
        <v>0</v>
      </c>
      <c r="C3070" s="354">
        <v>2</v>
      </c>
      <c r="D3070" s="354">
        <v>0</v>
      </c>
      <c r="E3070" s="354">
        <v>2</v>
      </c>
      <c r="F3070" s="354">
        <v>0</v>
      </c>
      <c r="G3070" s="354">
        <v>0</v>
      </c>
      <c r="H3070" s="354">
        <v>0</v>
      </c>
      <c r="I3070" s="354">
        <v>0</v>
      </c>
      <c r="J3070" s="354">
        <v>1</v>
      </c>
      <c r="K3070" s="354">
        <v>0</v>
      </c>
      <c r="L3070" s="354">
        <v>0</v>
      </c>
      <c r="M3070" s="355">
        <v>4</v>
      </c>
      <c r="N3070" s="355">
        <v>1</v>
      </c>
    </row>
    <row r="3071" spans="1:14" hidden="1" x14ac:dyDescent="0.25">
      <c r="A3071" s="354">
        <v>0</v>
      </c>
      <c r="B3071" s="354">
        <v>0</v>
      </c>
      <c r="C3071" s="354">
        <v>2</v>
      </c>
      <c r="D3071" s="354">
        <v>1</v>
      </c>
      <c r="E3071" s="354">
        <v>0</v>
      </c>
      <c r="F3071" s="354">
        <v>2</v>
      </c>
      <c r="G3071" s="354">
        <v>0</v>
      </c>
      <c r="H3071" s="354">
        <v>1</v>
      </c>
      <c r="I3071" s="354">
        <v>1</v>
      </c>
      <c r="J3071" s="354">
        <v>1</v>
      </c>
      <c r="K3071" s="354">
        <v>0</v>
      </c>
      <c r="L3071" s="354">
        <v>0</v>
      </c>
      <c r="M3071" s="355">
        <v>3</v>
      </c>
      <c r="N3071" s="355">
        <v>5</v>
      </c>
    </row>
    <row r="3072" spans="1:14" hidden="1" x14ac:dyDescent="0.25">
      <c r="A3072" s="354">
        <v>0</v>
      </c>
      <c r="B3072" s="354">
        <v>0</v>
      </c>
      <c r="C3072" s="354">
        <v>1</v>
      </c>
      <c r="D3072" s="354">
        <v>1</v>
      </c>
      <c r="E3072" s="354">
        <v>0</v>
      </c>
      <c r="F3072" s="354">
        <v>0</v>
      </c>
      <c r="G3072" s="354">
        <v>0</v>
      </c>
      <c r="H3072" s="354">
        <v>0</v>
      </c>
      <c r="I3072" s="354">
        <v>1</v>
      </c>
      <c r="J3072" s="354">
        <v>1</v>
      </c>
      <c r="K3072" s="354">
        <v>0</v>
      </c>
      <c r="L3072" s="354">
        <v>0</v>
      </c>
      <c r="M3072" s="355">
        <v>2</v>
      </c>
      <c r="N3072" s="355">
        <v>2</v>
      </c>
    </row>
    <row r="3073" spans="1:14" hidden="1" x14ac:dyDescent="0.25">
      <c r="A3073" s="354">
        <v>0</v>
      </c>
      <c r="B3073" s="354">
        <v>0</v>
      </c>
      <c r="C3073" s="354">
        <v>0</v>
      </c>
      <c r="D3073" s="354">
        <v>0</v>
      </c>
      <c r="E3073" s="354">
        <v>0</v>
      </c>
      <c r="F3073" s="354">
        <v>0</v>
      </c>
      <c r="G3073" s="354">
        <v>0</v>
      </c>
      <c r="H3073" s="354">
        <v>0</v>
      </c>
      <c r="I3073" s="354">
        <v>1</v>
      </c>
      <c r="J3073" s="354">
        <v>0</v>
      </c>
      <c r="K3073" s="354">
        <v>0</v>
      </c>
      <c r="L3073" s="354">
        <v>0</v>
      </c>
      <c r="M3073" s="355">
        <v>1</v>
      </c>
      <c r="N3073" s="355">
        <v>0</v>
      </c>
    </row>
    <row r="3074" spans="1:14" hidden="1" x14ac:dyDescent="0.25">
      <c r="A3074" s="354">
        <v>0</v>
      </c>
      <c r="B3074" s="354">
        <v>0</v>
      </c>
      <c r="C3074" s="354">
        <v>2</v>
      </c>
      <c r="D3074" s="354">
        <v>0</v>
      </c>
      <c r="E3074" s="354">
        <v>1</v>
      </c>
      <c r="F3074" s="354">
        <v>0</v>
      </c>
      <c r="G3074" s="354">
        <v>0</v>
      </c>
      <c r="H3074" s="354">
        <v>0</v>
      </c>
      <c r="I3074" s="354">
        <v>0</v>
      </c>
      <c r="J3074" s="354">
        <v>1</v>
      </c>
      <c r="K3074" s="354">
        <v>0</v>
      </c>
      <c r="L3074" s="354">
        <v>0</v>
      </c>
      <c r="M3074" s="355">
        <v>3</v>
      </c>
      <c r="N3074" s="355">
        <v>1</v>
      </c>
    </row>
    <row r="3075" spans="1:14" hidden="1" x14ac:dyDescent="0.25">
      <c r="A3075" s="354">
        <v>0</v>
      </c>
      <c r="B3075" s="354">
        <v>0</v>
      </c>
      <c r="C3075" s="354">
        <v>0</v>
      </c>
      <c r="D3075" s="354">
        <v>0</v>
      </c>
      <c r="E3075" s="354">
        <v>1</v>
      </c>
      <c r="F3075" s="354">
        <v>0</v>
      </c>
      <c r="G3075" s="354">
        <v>0</v>
      </c>
      <c r="H3075" s="354">
        <v>2</v>
      </c>
      <c r="I3075" s="354">
        <v>1</v>
      </c>
      <c r="J3075" s="354">
        <v>1</v>
      </c>
      <c r="K3075" s="354">
        <v>0</v>
      </c>
      <c r="L3075" s="354">
        <v>0</v>
      </c>
      <c r="M3075" s="355">
        <v>2</v>
      </c>
      <c r="N3075" s="355">
        <v>3</v>
      </c>
    </row>
    <row r="3076" spans="1:14" hidden="1" x14ac:dyDescent="0.25">
      <c r="A3076" s="354">
        <v>2</v>
      </c>
      <c r="B3076" s="354">
        <v>0</v>
      </c>
      <c r="C3076" s="354">
        <v>0</v>
      </c>
      <c r="D3076" s="354">
        <v>2</v>
      </c>
      <c r="E3076" s="354">
        <v>0</v>
      </c>
      <c r="F3076" s="354">
        <v>0</v>
      </c>
      <c r="G3076" s="354">
        <v>0</v>
      </c>
      <c r="H3076" s="354">
        <v>0</v>
      </c>
      <c r="I3076" s="354">
        <v>0</v>
      </c>
      <c r="J3076" s="354">
        <v>1</v>
      </c>
      <c r="K3076" s="354">
        <v>0</v>
      </c>
      <c r="L3076" s="354">
        <v>0</v>
      </c>
      <c r="M3076" s="355">
        <v>2</v>
      </c>
      <c r="N3076" s="355">
        <v>3</v>
      </c>
    </row>
    <row r="3077" spans="1:14" hidden="1" x14ac:dyDescent="0.25">
      <c r="A3077" s="354">
        <v>1</v>
      </c>
      <c r="B3077" s="354">
        <v>0</v>
      </c>
      <c r="C3077" s="354">
        <v>1</v>
      </c>
      <c r="D3077" s="354">
        <v>0</v>
      </c>
      <c r="E3077" s="354">
        <v>2</v>
      </c>
      <c r="F3077" s="354">
        <v>1</v>
      </c>
      <c r="G3077" s="354">
        <v>0</v>
      </c>
      <c r="H3077" s="354">
        <v>0</v>
      </c>
      <c r="I3077" s="354">
        <v>2</v>
      </c>
      <c r="J3077" s="354">
        <v>2</v>
      </c>
      <c r="K3077" s="354">
        <v>0</v>
      </c>
      <c r="L3077" s="354">
        <v>0</v>
      </c>
      <c r="M3077" s="355">
        <v>6</v>
      </c>
      <c r="N3077" s="355">
        <v>3</v>
      </c>
    </row>
    <row r="3078" spans="1:14" hidden="1" x14ac:dyDescent="0.25">
      <c r="A3078" s="354">
        <v>0</v>
      </c>
      <c r="B3078" s="354">
        <v>0</v>
      </c>
      <c r="C3078" s="354">
        <v>2</v>
      </c>
      <c r="D3078" s="354">
        <v>1</v>
      </c>
      <c r="E3078" s="354">
        <v>1</v>
      </c>
      <c r="F3078" s="354">
        <v>0</v>
      </c>
      <c r="G3078" s="354">
        <v>1</v>
      </c>
      <c r="H3078" s="354">
        <v>0</v>
      </c>
      <c r="I3078" s="354">
        <v>1</v>
      </c>
      <c r="J3078" s="354">
        <v>2</v>
      </c>
      <c r="K3078" s="354">
        <v>0</v>
      </c>
      <c r="L3078" s="354">
        <v>0</v>
      </c>
      <c r="M3078" s="355">
        <v>5</v>
      </c>
      <c r="N3078" s="355">
        <v>3</v>
      </c>
    </row>
    <row r="3079" spans="1:14" hidden="1" x14ac:dyDescent="0.25">
      <c r="A3079" s="354">
        <v>0</v>
      </c>
      <c r="B3079" s="354">
        <v>1</v>
      </c>
      <c r="C3079" s="354">
        <v>2</v>
      </c>
      <c r="D3079" s="354">
        <v>0</v>
      </c>
      <c r="E3079" s="354">
        <v>0</v>
      </c>
      <c r="F3079" s="354">
        <v>1</v>
      </c>
      <c r="G3079" s="354">
        <v>0</v>
      </c>
      <c r="H3079" s="354">
        <v>2</v>
      </c>
      <c r="I3079" s="354">
        <v>1</v>
      </c>
      <c r="J3079" s="354">
        <v>2</v>
      </c>
      <c r="K3079" s="354">
        <v>0</v>
      </c>
      <c r="L3079" s="354">
        <v>0</v>
      </c>
      <c r="M3079" s="355">
        <v>3</v>
      </c>
      <c r="N3079" s="355">
        <v>6</v>
      </c>
    </row>
    <row r="3080" spans="1:14" hidden="1" x14ac:dyDescent="0.25">
      <c r="A3080" s="354">
        <v>0</v>
      </c>
      <c r="B3080" s="354">
        <v>2</v>
      </c>
      <c r="C3080" s="354">
        <v>1</v>
      </c>
      <c r="D3080" s="354">
        <v>0</v>
      </c>
      <c r="E3080" s="354">
        <v>1</v>
      </c>
      <c r="F3080" s="354">
        <v>1</v>
      </c>
      <c r="G3080" s="354">
        <v>0</v>
      </c>
      <c r="H3080" s="354">
        <v>1</v>
      </c>
      <c r="I3080" s="354">
        <v>2</v>
      </c>
      <c r="J3080" s="354">
        <v>1</v>
      </c>
      <c r="K3080" s="354">
        <v>0</v>
      </c>
      <c r="L3080" s="354">
        <v>0</v>
      </c>
      <c r="M3080" s="355">
        <v>4</v>
      </c>
      <c r="N3080" s="355">
        <v>5</v>
      </c>
    </row>
    <row r="3081" spans="1:14" hidden="1" x14ac:dyDescent="0.25">
      <c r="A3081" s="354">
        <v>0</v>
      </c>
      <c r="B3081" s="354">
        <v>1</v>
      </c>
      <c r="C3081" s="354">
        <v>1</v>
      </c>
      <c r="D3081" s="354">
        <v>0</v>
      </c>
      <c r="E3081" s="354">
        <v>1</v>
      </c>
      <c r="F3081" s="354">
        <v>0</v>
      </c>
      <c r="G3081" s="354">
        <v>0</v>
      </c>
      <c r="H3081" s="354">
        <v>2</v>
      </c>
      <c r="I3081" s="354">
        <v>1</v>
      </c>
      <c r="J3081" s="354">
        <v>1</v>
      </c>
      <c r="K3081" s="354">
        <v>0</v>
      </c>
      <c r="L3081" s="354">
        <v>1</v>
      </c>
      <c r="M3081" s="355">
        <v>3</v>
      </c>
      <c r="N3081" s="355">
        <v>5</v>
      </c>
    </row>
    <row r="3082" spans="1:14" hidden="1" x14ac:dyDescent="0.25">
      <c r="A3082" s="354">
        <v>1</v>
      </c>
      <c r="B3082" s="354">
        <v>0</v>
      </c>
      <c r="C3082" s="354">
        <v>1</v>
      </c>
      <c r="D3082" s="354">
        <v>0</v>
      </c>
      <c r="E3082" s="354">
        <v>0</v>
      </c>
      <c r="F3082" s="354">
        <v>0</v>
      </c>
      <c r="G3082" s="354">
        <v>1</v>
      </c>
      <c r="H3082" s="354">
        <v>1</v>
      </c>
      <c r="I3082" s="354">
        <v>1</v>
      </c>
      <c r="J3082" s="354">
        <v>3</v>
      </c>
      <c r="K3082" s="354">
        <v>0</v>
      </c>
      <c r="L3082" s="354">
        <v>0</v>
      </c>
      <c r="M3082" s="355">
        <v>4</v>
      </c>
      <c r="N3082" s="355">
        <v>4</v>
      </c>
    </row>
    <row r="3083" spans="1:14" hidden="1" x14ac:dyDescent="0.25">
      <c r="A3083" s="354">
        <v>0</v>
      </c>
      <c r="B3083" s="354">
        <v>1</v>
      </c>
      <c r="C3083" s="354">
        <v>1</v>
      </c>
      <c r="D3083" s="354">
        <v>0</v>
      </c>
      <c r="E3083" s="354">
        <v>0</v>
      </c>
      <c r="F3083" s="354">
        <v>1</v>
      </c>
      <c r="G3083" s="354">
        <v>1</v>
      </c>
      <c r="H3083" s="354">
        <v>0</v>
      </c>
      <c r="I3083" s="354">
        <v>1</v>
      </c>
      <c r="J3083" s="354">
        <v>2</v>
      </c>
      <c r="K3083" s="354">
        <v>0</v>
      </c>
      <c r="L3083" s="354">
        <v>0</v>
      </c>
      <c r="M3083" s="355">
        <v>3</v>
      </c>
      <c r="N3083" s="355">
        <v>4</v>
      </c>
    </row>
    <row r="3084" spans="1:14" hidden="1" x14ac:dyDescent="0.25">
      <c r="A3084" s="354">
        <v>1</v>
      </c>
      <c r="B3084" s="354">
        <v>0</v>
      </c>
      <c r="C3084" s="354">
        <v>0</v>
      </c>
      <c r="D3084" s="354">
        <v>0</v>
      </c>
      <c r="E3084" s="354">
        <v>1</v>
      </c>
      <c r="F3084" s="354">
        <v>1</v>
      </c>
      <c r="G3084" s="354">
        <v>0</v>
      </c>
      <c r="H3084" s="354">
        <v>0</v>
      </c>
      <c r="I3084" s="354">
        <v>1</v>
      </c>
      <c r="J3084" s="354">
        <v>1</v>
      </c>
      <c r="K3084" s="354">
        <v>0</v>
      </c>
      <c r="L3084" s="354">
        <v>0</v>
      </c>
      <c r="M3084" s="355">
        <v>3</v>
      </c>
      <c r="N3084" s="355">
        <v>2</v>
      </c>
    </row>
    <row r="3085" spans="1:14" hidden="1" x14ac:dyDescent="0.25">
      <c r="A3085" s="354">
        <v>0</v>
      </c>
      <c r="B3085" s="354">
        <v>1</v>
      </c>
      <c r="C3085" s="354">
        <v>0</v>
      </c>
      <c r="D3085" s="354">
        <v>0</v>
      </c>
      <c r="E3085" s="354">
        <v>1</v>
      </c>
      <c r="F3085" s="354">
        <v>0</v>
      </c>
      <c r="G3085" s="354">
        <v>2</v>
      </c>
      <c r="H3085" s="354">
        <v>0</v>
      </c>
      <c r="I3085" s="354">
        <v>1</v>
      </c>
      <c r="J3085" s="354">
        <v>2</v>
      </c>
      <c r="K3085" s="354">
        <v>0</v>
      </c>
      <c r="L3085" s="354">
        <v>0</v>
      </c>
      <c r="M3085" s="355">
        <v>4</v>
      </c>
      <c r="N3085" s="355">
        <v>3</v>
      </c>
    </row>
    <row r="3086" spans="1:14" hidden="1" x14ac:dyDescent="0.25">
      <c r="A3086" s="354">
        <v>1</v>
      </c>
      <c r="B3086" s="354">
        <v>0</v>
      </c>
      <c r="C3086" s="354">
        <v>0</v>
      </c>
      <c r="D3086" s="354">
        <v>0</v>
      </c>
      <c r="E3086" s="354">
        <v>1</v>
      </c>
      <c r="F3086" s="354">
        <v>1</v>
      </c>
      <c r="G3086" s="354">
        <v>0</v>
      </c>
      <c r="H3086" s="354">
        <v>0</v>
      </c>
      <c r="I3086" s="354">
        <v>1</v>
      </c>
      <c r="J3086" s="354">
        <v>1</v>
      </c>
      <c r="K3086" s="354">
        <v>0</v>
      </c>
      <c r="L3086" s="354">
        <v>0</v>
      </c>
      <c r="M3086" s="355">
        <v>3</v>
      </c>
      <c r="N3086" s="355">
        <v>2</v>
      </c>
    </row>
    <row r="3087" spans="1:14" hidden="1" x14ac:dyDescent="0.25">
      <c r="A3087" s="354">
        <v>2</v>
      </c>
      <c r="B3087" s="354">
        <v>1</v>
      </c>
      <c r="C3087" s="354">
        <v>0</v>
      </c>
      <c r="D3087" s="354">
        <v>0</v>
      </c>
      <c r="E3087" s="354">
        <v>0</v>
      </c>
      <c r="F3087" s="354">
        <v>0</v>
      </c>
      <c r="G3087" s="354">
        <v>2</v>
      </c>
      <c r="H3087" s="354">
        <v>0</v>
      </c>
      <c r="I3087" s="354">
        <v>1</v>
      </c>
      <c r="J3087" s="354">
        <v>3</v>
      </c>
      <c r="K3087" s="354">
        <v>0</v>
      </c>
      <c r="L3087" s="354">
        <v>0</v>
      </c>
      <c r="M3087" s="355">
        <v>5</v>
      </c>
      <c r="N3087" s="355">
        <v>4</v>
      </c>
    </row>
    <row r="3088" spans="1:14" hidden="1" x14ac:dyDescent="0.25">
      <c r="A3088" s="354">
        <v>0</v>
      </c>
      <c r="B3088" s="354">
        <v>0</v>
      </c>
      <c r="C3088" s="354">
        <v>1</v>
      </c>
      <c r="D3088" s="354">
        <v>2</v>
      </c>
      <c r="E3088" s="354">
        <v>1</v>
      </c>
      <c r="F3088" s="354">
        <v>0</v>
      </c>
      <c r="G3088" s="354">
        <v>2</v>
      </c>
      <c r="H3088" s="354">
        <v>1</v>
      </c>
      <c r="I3088" s="354">
        <v>1</v>
      </c>
      <c r="J3088" s="354">
        <v>2</v>
      </c>
      <c r="K3088" s="354">
        <v>0</v>
      </c>
      <c r="L3088" s="354">
        <v>1</v>
      </c>
      <c r="M3088" s="355">
        <v>5</v>
      </c>
      <c r="N3088" s="355">
        <v>6</v>
      </c>
    </row>
    <row r="3089" spans="1:14" hidden="1" x14ac:dyDescent="0.25">
      <c r="A3089" s="354">
        <v>0</v>
      </c>
      <c r="B3089" s="354">
        <v>2</v>
      </c>
      <c r="C3089" s="354">
        <v>3</v>
      </c>
      <c r="D3089" s="354">
        <v>2</v>
      </c>
      <c r="E3089" s="354">
        <v>2</v>
      </c>
      <c r="F3089" s="354">
        <v>2</v>
      </c>
      <c r="G3089" s="354">
        <v>2</v>
      </c>
      <c r="H3089" s="354">
        <v>2</v>
      </c>
      <c r="I3089" s="354">
        <v>2</v>
      </c>
      <c r="J3089" s="354">
        <v>3</v>
      </c>
      <c r="K3089" s="354">
        <v>0</v>
      </c>
      <c r="L3089" s="354">
        <v>0</v>
      </c>
      <c r="M3089" s="355">
        <v>9</v>
      </c>
      <c r="N3089" s="355">
        <v>11</v>
      </c>
    </row>
    <row r="3090" spans="1:14" hidden="1" x14ac:dyDescent="0.25">
      <c r="A3090" s="354">
        <v>1</v>
      </c>
      <c r="B3090" s="354">
        <v>0</v>
      </c>
      <c r="C3090" s="354">
        <v>0</v>
      </c>
      <c r="D3090" s="354">
        <v>1</v>
      </c>
      <c r="E3090" s="354">
        <v>0</v>
      </c>
      <c r="F3090" s="354">
        <v>1</v>
      </c>
      <c r="G3090" s="354">
        <v>0</v>
      </c>
      <c r="H3090" s="354">
        <v>0</v>
      </c>
      <c r="I3090" s="354">
        <v>1</v>
      </c>
      <c r="J3090" s="354">
        <v>1</v>
      </c>
      <c r="K3090" s="354">
        <v>0</v>
      </c>
      <c r="L3090" s="354">
        <v>0</v>
      </c>
      <c r="M3090" s="355">
        <v>2</v>
      </c>
      <c r="N3090" s="355">
        <v>3</v>
      </c>
    </row>
    <row r="3091" spans="1:14" hidden="1" x14ac:dyDescent="0.25">
      <c r="A3091" s="354">
        <v>0</v>
      </c>
      <c r="B3091" s="354">
        <v>0</v>
      </c>
      <c r="C3091" s="354">
        <v>0</v>
      </c>
      <c r="D3091" s="354">
        <v>1</v>
      </c>
      <c r="E3091" s="354">
        <v>0</v>
      </c>
      <c r="F3091" s="354">
        <v>1</v>
      </c>
      <c r="G3091" s="354">
        <v>1</v>
      </c>
      <c r="H3091" s="354">
        <v>1</v>
      </c>
      <c r="I3091" s="354">
        <v>1</v>
      </c>
      <c r="J3091" s="354">
        <v>1</v>
      </c>
      <c r="K3091" s="354">
        <v>0</v>
      </c>
      <c r="L3091" s="354">
        <v>1</v>
      </c>
      <c r="M3091" s="355">
        <v>2</v>
      </c>
      <c r="N3091" s="355">
        <v>5</v>
      </c>
    </row>
    <row r="3092" spans="1:14" hidden="1" x14ac:dyDescent="0.25">
      <c r="A3092" s="354">
        <v>0</v>
      </c>
      <c r="B3092" s="354">
        <v>0</v>
      </c>
      <c r="C3092" s="354">
        <v>2</v>
      </c>
      <c r="D3092" s="354">
        <v>1</v>
      </c>
      <c r="E3092" s="354">
        <v>1</v>
      </c>
      <c r="F3092" s="354">
        <v>0</v>
      </c>
      <c r="G3092" s="354">
        <v>1</v>
      </c>
      <c r="H3092" s="354">
        <v>1</v>
      </c>
      <c r="I3092" s="354">
        <v>1</v>
      </c>
      <c r="J3092" s="354">
        <v>1</v>
      </c>
      <c r="K3092" s="354">
        <v>0</v>
      </c>
      <c r="L3092" s="354">
        <v>0</v>
      </c>
      <c r="M3092" s="355">
        <v>5</v>
      </c>
      <c r="N3092" s="355">
        <v>3</v>
      </c>
    </row>
    <row r="3093" spans="1:14" hidden="1" x14ac:dyDescent="0.25">
      <c r="A3093" s="354">
        <v>0</v>
      </c>
      <c r="B3093" s="354">
        <v>0</v>
      </c>
      <c r="C3093" s="354">
        <v>0</v>
      </c>
      <c r="D3093" s="354">
        <v>0</v>
      </c>
      <c r="E3093" s="354">
        <v>0</v>
      </c>
      <c r="F3093" s="354">
        <v>0</v>
      </c>
      <c r="G3093" s="354">
        <v>0</v>
      </c>
      <c r="H3093" s="354">
        <v>0</v>
      </c>
      <c r="I3093" s="354">
        <v>0</v>
      </c>
      <c r="J3093" s="354">
        <v>0</v>
      </c>
      <c r="K3093" s="354">
        <v>0</v>
      </c>
      <c r="L3093" s="354">
        <v>1</v>
      </c>
      <c r="M3093" s="355">
        <v>0</v>
      </c>
      <c r="N3093" s="355">
        <v>1</v>
      </c>
    </row>
    <row r="3094" spans="1:14" hidden="1" x14ac:dyDescent="0.25">
      <c r="A3094" s="354">
        <v>0</v>
      </c>
      <c r="B3094" s="354">
        <v>0</v>
      </c>
      <c r="C3094" s="354">
        <v>1</v>
      </c>
      <c r="D3094" s="354">
        <v>1</v>
      </c>
      <c r="E3094" s="354">
        <v>0</v>
      </c>
      <c r="F3094" s="354">
        <v>2</v>
      </c>
      <c r="G3094" s="354">
        <v>0</v>
      </c>
      <c r="H3094" s="354">
        <v>1</v>
      </c>
      <c r="I3094" s="354">
        <v>1</v>
      </c>
      <c r="J3094" s="354">
        <v>1</v>
      </c>
      <c r="K3094" s="354">
        <v>0</v>
      </c>
      <c r="L3094" s="354">
        <v>0</v>
      </c>
      <c r="M3094" s="355">
        <v>2</v>
      </c>
      <c r="N3094" s="355">
        <v>5</v>
      </c>
    </row>
    <row r="3095" spans="1:14" hidden="1" x14ac:dyDescent="0.25">
      <c r="A3095" s="354">
        <v>2</v>
      </c>
      <c r="B3095" s="354">
        <v>0</v>
      </c>
      <c r="C3095" s="354">
        <v>1</v>
      </c>
      <c r="D3095" s="354">
        <v>2</v>
      </c>
      <c r="E3095" s="354">
        <v>1</v>
      </c>
      <c r="F3095" s="354">
        <v>2</v>
      </c>
      <c r="G3095" s="354">
        <v>0</v>
      </c>
      <c r="H3095" s="354">
        <v>1</v>
      </c>
      <c r="I3095" s="354">
        <v>1</v>
      </c>
      <c r="J3095" s="354">
        <v>2</v>
      </c>
      <c r="K3095" s="354">
        <v>0</v>
      </c>
      <c r="L3095" s="354">
        <v>0</v>
      </c>
      <c r="M3095" s="355">
        <v>5</v>
      </c>
      <c r="N3095" s="355">
        <v>7</v>
      </c>
    </row>
    <row r="3096" spans="1:14" hidden="1" x14ac:dyDescent="0.25">
      <c r="A3096" s="354">
        <v>0</v>
      </c>
      <c r="B3096" s="354">
        <v>0</v>
      </c>
      <c r="C3096" s="354">
        <v>1</v>
      </c>
      <c r="D3096" s="354">
        <v>0</v>
      </c>
      <c r="E3096" s="354">
        <v>2</v>
      </c>
      <c r="F3096" s="354">
        <v>1</v>
      </c>
      <c r="G3096" s="354">
        <v>0</v>
      </c>
      <c r="H3096" s="354">
        <v>0</v>
      </c>
      <c r="I3096" s="354">
        <v>1</v>
      </c>
      <c r="J3096" s="354">
        <v>1</v>
      </c>
      <c r="K3096" s="354">
        <v>0</v>
      </c>
      <c r="L3096" s="354">
        <v>0</v>
      </c>
      <c r="M3096" s="355">
        <v>4</v>
      </c>
      <c r="N3096" s="355">
        <v>2</v>
      </c>
    </row>
    <row r="3097" spans="1:14" hidden="1" x14ac:dyDescent="0.25">
      <c r="A3097" s="354">
        <v>1</v>
      </c>
      <c r="B3097" s="354">
        <v>0</v>
      </c>
      <c r="C3097" s="354">
        <v>0</v>
      </c>
      <c r="D3097" s="354">
        <v>0</v>
      </c>
      <c r="E3097" s="354">
        <v>2</v>
      </c>
      <c r="F3097" s="354">
        <v>1</v>
      </c>
      <c r="G3097" s="354">
        <v>0</v>
      </c>
      <c r="H3097" s="354">
        <v>1</v>
      </c>
      <c r="I3097" s="354">
        <v>1</v>
      </c>
      <c r="J3097" s="354">
        <v>2</v>
      </c>
      <c r="K3097" s="354">
        <v>0</v>
      </c>
      <c r="L3097" s="354">
        <v>0</v>
      </c>
      <c r="M3097" s="355">
        <v>4</v>
      </c>
      <c r="N3097" s="355">
        <v>4</v>
      </c>
    </row>
    <row r="3098" spans="1:14" hidden="1" x14ac:dyDescent="0.25">
      <c r="A3098" s="354">
        <v>0</v>
      </c>
      <c r="B3098" s="354">
        <v>0</v>
      </c>
      <c r="C3098" s="354">
        <v>1</v>
      </c>
      <c r="D3098" s="354">
        <v>2</v>
      </c>
      <c r="E3098" s="354">
        <v>1</v>
      </c>
      <c r="F3098" s="354">
        <v>0</v>
      </c>
      <c r="G3098" s="354">
        <v>1</v>
      </c>
      <c r="H3098" s="354">
        <v>1</v>
      </c>
      <c r="I3098" s="354">
        <v>1</v>
      </c>
      <c r="J3098" s="354">
        <v>2</v>
      </c>
      <c r="K3098" s="354">
        <v>0</v>
      </c>
      <c r="L3098" s="354">
        <v>0</v>
      </c>
      <c r="M3098" s="355">
        <v>4</v>
      </c>
      <c r="N3098" s="355">
        <v>5</v>
      </c>
    </row>
    <row r="3099" spans="1:14" hidden="1" x14ac:dyDescent="0.25">
      <c r="A3099" s="354">
        <v>0</v>
      </c>
      <c r="B3099" s="354">
        <v>0</v>
      </c>
      <c r="C3099" s="354">
        <v>0</v>
      </c>
      <c r="D3099" s="354">
        <v>0</v>
      </c>
      <c r="E3099" s="354">
        <v>0</v>
      </c>
      <c r="F3099" s="354">
        <v>1</v>
      </c>
      <c r="G3099" s="354">
        <v>2</v>
      </c>
      <c r="H3099" s="354">
        <v>2</v>
      </c>
      <c r="I3099" s="354">
        <v>10</v>
      </c>
      <c r="J3099" s="354">
        <v>4</v>
      </c>
      <c r="K3099" s="354">
        <v>0</v>
      </c>
      <c r="L3099" s="354">
        <v>0</v>
      </c>
      <c r="M3099" s="355">
        <v>12</v>
      </c>
      <c r="N3099" s="355">
        <v>7</v>
      </c>
    </row>
    <row r="3100" spans="1:14" hidden="1" x14ac:dyDescent="0.25">
      <c r="A3100" s="354">
        <v>1</v>
      </c>
      <c r="B3100" s="354">
        <v>0</v>
      </c>
      <c r="C3100" s="354">
        <v>0</v>
      </c>
      <c r="D3100" s="354">
        <v>1</v>
      </c>
      <c r="E3100" s="354">
        <v>0</v>
      </c>
      <c r="F3100" s="354">
        <v>0</v>
      </c>
      <c r="G3100" s="354">
        <v>2</v>
      </c>
      <c r="H3100" s="354">
        <v>1</v>
      </c>
      <c r="I3100" s="354">
        <v>1</v>
      </c>
      <c r="J3100" s="354">
        <v>2</v>
      </c>
      <c r="K3100" s="354">
        <v>0</v>
      </c>
      <c r="L3100" s="354">
        <v>0</v>
      </c>
      <c r="M3100" s="355">
        <v>4</v>
      </c>
      <c r="N3100" s="355">
        <v>4</v>
      </c>
    </row>
    <row r="3101" spans="1:14" hidden="1" x14ac:dyDescent="0.25">
      <c r="A3101" s="354">
        <v>0</v>
      </c>
      <c r="B3101" s="354">
        <v>1</v>
      </c>
      <c r="C3101" s="354">
        <v>0</v>
      </c>
      <c r="D3101" s="354">
        <v>0</v>
      </c>
      <c r="E3101" s="354">
        <v>0</v>
      </c>
      <c r="F3101" s="354">
        <v>2</v>
      </c>
      <c r="G3101" s="354">
        <v>1</v>
      </c>
      <c r="H3101" s="354">
        <v>0</v>
      </c>
      <c r="I3101" s="354">
        <v>2</v>
      </c>
      <c r="J3101" s="354">
        <v>3</v>
      </c>
      <c r="K3101" s="354">
        <v>0</v>
      </c>
      <c r="L3101" s="354">
        <v>0</v>
      </c>
      <c r="M3101" s="355">
        <v>3</v>
      </c>
      <c r="N3101" s="355">
        <v>6</v>
      </c>
    </row>
    <row r="3102" spans="1:14" hidden="1" x14ac:dyDescent="0.25">
      <c r="A3102" s="354">
        <v>0</v>
      </c>
      <c r="B3102" s="354">
        <v>1</v>
      </c>
      <c r="C3102" s="354">
        <v>1</v>
      </c>
      <c r="D3102" s="354">
        <v>0</v>
      </c>
      <c r="E3102" s="354">
        <v>0</v>
      </c>
      <c r="F3102" s="354">
        <v>1</v>
      </c>
      <c r="G3102" s="354">
        <v>0</v>
      </c>
      <c r="H3102" s="354">
        <v>2</v>
      </c>
      <c r="I3102" s="354">
        <v>1</v>
      </c>
      <c r="J3102" s="354">
        <v>2</v>
      </c>
      <c r="K3102" s="354">
        <v>0</v>
      </c>
      <c r="L3102" s="354">
        <v>0</v>
      </c>
      <c r="M3102" s="355">
        <v>2</v>
      </c>
      <c r="N3102" s="355">
        <v>6</v>
      </c>
    </row>
    <row r="3103" spans="1:14" hidden="1" x14ac:dyDescent="0.25">
      <c r="A3103" s="354">
        <v>0</v>
      </c>
      <c r="B3103" s="354">
        <v>0</v>
      </c>
      <c r="C3103" s="354">
        <v>1</v>
      </c>
      <c r="D3103" s="354">
        <v>0</v>
      </c>
      <c r="E3103" s="354">
        <v>1</v>
      </c>
      <c r="F3103" s="354">
        <v>1</v>
      </c>
      <c r="G3103" s="354">
        <v>0</v>
      </c>
      <c r="H3103" s="354">
        <v>0</v>
      </c>
      <c r="I3103" s="354">
        <v>1</v>
      </c>
      <c r="J3103" s="354">
        <v>2</v>
      </c>
      <c r="K3103" s="354">
        <v>0</v>
      </c>
      <c r="L3103" s="354">
        <v>0</v>
      </c>
      <c r="M3103" s="355">
        <v>3</v>
      </c>
      <c r="N3103" s="355">
        <v>3</v>
      </c>
    </row>
    <row r="3104" spans="1:14" hidden="1" x14ac:dyDescent="0.25">
      <c r="A3104" s="354">
        <v>1</v>
      </c>
      <c r="B3104" s="354">
        <v>0</v>
      </c>
      <c r="C3104" s="354">
        <v>0</v>
      </c>
      <c r="D3104" s="354">
        <v>2</v>
      </c>
      <c r="E3104" s="354">
        <v>1</v>
      </c>
      <c r="F3104" s="354">
        <v>0</v>
      </c>
      <c r="G3104" s="354">
        <v>1</v>
      </c>
      <c r="H3104" s="354">
        <v>0</v>
      </c>
      <c r="I3104" s="354">
        <v>1</v>
      </c>
      <c r="J3104" s="354">
        <v>1</v>
      </c>
      <c r="K3104" s="354">
        <v>0</v>
      </c>
      <c r="L3104" s="354">
        <v>0</v>
      </c>
      <c r="M3104" s="355">
        <v>4</v>
      </c>
      <c r="N3104" s="355">
        <v>3</v>
      </c>
    </row>
    <row r="3105" spans="1:14" hidden="1" x14ac:dyDescent="0.25">
      <c r="A3105" s="354">
        <v>0</v>
      </c>
      <c r="B3105" s="354">
        <v>0</v>
      </c>
      <c r="C3105" s="354">
        <v>1</v>
      </c>
      <c r="D3105" s="354">
        <v>1</v>
      </c>
      <c r="E3105" s="354">
        <v>1</v>
      </c>
      <c r="F3105" s="354">
        <v>0</v>
      </c>
      <c r="G3105" s="354">
        <v>1</v>
      </c>
      <c r="H3105" s="354">
        <v>1</v>
      </c>
      <c r="I3105" s="354">
        <v>1</v>
      </c>
      <c r="J3105" s="354">
        <v>2</v>
      </c>
      <c r="K3105" s="354">
        <v>0</v>
      </c>
      <c r="L3105" s="354">
        <v>0</v>
      </c>
      <c r="M3105" s="355">
        <v>4</v>
      </c>
      <c r="N3105" s="355">
        <v>4</v>
      </c>
    </row>
    <row r="3106" spans="1:14" hidden="1" x14ac:dyDescent="0.25">
      <c r="A3106" s="354">
        <v>0</v>
      </c>
      <c r="B3106" s="354">
        <v>0</v>
      </c>
      <c r="C3106" s="354">
        <v>0</v>
      </c>
      <c r="D3106" s="354">
        <v>1</v>
      </c>
      <c r="E3106" s="354">
        <v>1</v>
      </c>
      <c r="F3106" s="354">
        <v>2</v>
      </c>
      <c r="G3106" s="354">
        <v>0</v>
      </c>
      <c r="H3106" s="354">
        <v>1</v>
      </c>
      <c r="I3106" s="354">
        <v>2</v>
      </c>
      <c r="J3106" s="354">
        <v>3</v>
      </c>
      <c r="K3106" s="354">
        <v>0</v>
      </c>
      <c r="L3106" s="354">
        <v>0</v>
      </c>
      <c r="M3106" s="355">
        <v>3</v>
      </c>
      <c r="N3106" s="355">
        <v>7</v>
      </c>
    </row>
    <row r="3107" spans="1:14" hidden="1" x14ac:dyDescent="0.25">
      <c r="A3107" s="354">
        <v>0</v>
      </c>
      <c r="B3107" s="354">
        <v>1</v>
      </c>
      <c r="C3107" s="354">
        <v>1</v>
      </c>
      <c r="D3107" s="354">
        <v>1</v>
      </c>
      <c r="E3107" s="354">
        <v>1</v>
      </c>
      <c r="F3107" s="354">
        <v>1</v>
      </c>
      <c r="G3107" s="354">
        <v>1</v>
      </c>
      <c r="H3107" s="354">
        <v>1</v>
      </c>
      <c r="I3107" s="354">
        <v>1</v>
      </c>
      <c r="J3107" s="354">
        <v>1</v>
      </c>
      <c r="K3107" s="354">
        <v>0</v>
      </c>
      <c r="L3107" s="354">
        <v>0</v>
      </c>
      <c r="M3107" s="355">
        <v>4</v>
      </c>
      <c r="N3107" s="355">
        <v>5</v>
      </c>
    </row>
    <row r="3108" spans="1:14" hidden="1" x14ac:dyDescent="0.25">
      <c r="A3108" s="354">
        <v>0</v>
      </c>
      <c r="B3108" s="354">
        <v>0</v>
      </c>
      <c r="C3108" s="354">
        <v>0</v>
      </c>
      <c r="D3108" s="354">
        <v>1</v>
      </c>
      <c r="E3108" s="354">
        <v>1</v>
      </c>
      <c r="F3108" s="354">
        <v>1</v>
      </c>
      <c r="G3108" s="354">
        <v>0</v>
      </c>
      <c r="H3108" s="354">
        <v>2</v>
      </c>
      <c r="I3108" s="354">
        <v>1</v>
      </c>
      <c r="J3108" s="354">
        <v>1</v>
      </c>
      <c r="K3108" s="354">
        <v>0</v>
      </c>
      <c r="L3108" s="354">
        <v>0</v>
      </c>
      <c r="M3108" s="355">
        <v>2</v>
      </c>
      <c r="N3108" s="355">
        <v>5</v>
      </c>
    </row>
    <row r="3109" spans="1:14" hidden="1" x14ac:dyDescent="0.25">
      <c r="A3109" s="354">
        <v>0</v>
      </c>
      <c r="B3109" s="354">
        <v>0</v>
      </c>
      <c r="C3109" s="354">
        <v>2</v>
      </c>
      <c r="D3109" s="354">
        <v>1</v>
      </c>
      <c r="E3109" s="354">
        <v>1</v>
      </c>
      <c r="F3109" s="354">
        <v>2</v>
      </c>
      <c r="G3109" s="354">
        <v>0</v>
      </c>
      <c r="H3109" s="354">
        <v>1</v>
      </c>
      <c r="I3109" s="354">
        <v>1</v>
      </c>
      <c r="J3109" s="354">
        <v>1</v>
      </c>
      <c r="K3109" s="354">
        <v>0</v>
      </c>
      <c r="L3109" s="354">
        <v>0</v>
      </c>
      <c r="M3109" s="355">
        <v>4</v>
      </c>
      <c r="N3109" s="355">
        <v>5</v>
      </c>
    </row>
    <row r="3110" spans="1:14" hidden="1" x14ac:dyDescent="0.25">
      <c r="A3110" s="354">
        <v>1</v>
      </c>
      <c r="B3110" s="354">
        <v>0</v>
      </c>
      <c r="C3110" s="354">
        <v>0</v>
      </c>
      <c r="D3110" s="354">
        <v>2</v>
      </c>
      <c r="E3110" s="354">
        <v>1</v>
      </c>
      <c r="F3110" s="354">
        <v>2</v>
      </c>
      <c r="G3110" s="354">
        <v>1</v>
      </c>
      <c r="H3110" s="354">
        <v>0</v>
      </c>
      <c r="I3110" s="354">
        <v>1</v>
      </c>
      <c r="J3110" s="354">
        <v>2</v>
      </c>
      <c r="K3110" s="354">
        <v>0</v>
      </c>
      <c r="L3110" s="354">
        <v>0</v>
      </c>
      <c r="M3110" s="355">
        <v>4</v>
      </c>
      <c r="N3110" s="355">
        <v>6</v>
      </c>
    </row>
    <row r="3111" spans="1:14" hidden="1" x14ac:dyDescent="0.25">
      <c r="A3111" s="354">
        <v>0</v>
      </c>
      <c r="B3111" s="354">
        <v>1</v>
      </c>
      <c r="C3111" s="354">
        <v>1</v>
      </c>
      <c r="D3111" s="354">
        <v>0</v>
      </c>
      <c r="E3111" s="354">
        <v>0</v>
      </c>
      <c r="F3111" s="354">
        <v>0</v>
      </c>
      <c r="G3111" s="354">
        <v>0</v>
      </c>
      <c r="H3111" s="354">
        <v>0</v>
      </c>
      <c r="I3111" s="354">
        <v>1</v>
      </c>
      <c r="J3111" s="354">
        <v>1</v>
      </c>
      <c r="K3111" s="354">
        <v>0</v>
      </c>
      <c r="L3111" s="354">
        <v>0</v>
      </c>
      <c r="M3111" s="355">
        <v>2</v>
      </c>
      <c r="N3111" s="355">
        <v>2</v>
      </c>
    </row>
    <row r="3112" spans="1:14" hidden="1" x14ac:dyDescent="0.25">
      <c r="A3112" s="354">
        <v>0</v>
      </c>
      <c r="B3112" s="354">
        <v>0</v>
      </c>
      <c r="C3112" s="354">
        <v>0</v>
      </c>
      <c r="D3112" s="354">
        <v>0</v>
      </c>
      <c r="E3112" s="354">
        <v>0</v>
      </c>
      <c r="F3112" s="354">
        <v>0</v>
      </c>
      <c r="G3112" s="354">
        <v>0</v>
      </c>
      <c r="H3112" s="354">
        <v>0</v>
      </c>
      <c r="I3112" s="354">
        <v>0</v>
      </c>
      <c r="J3112" s="354">
        <v>0</v>
      </c>
      <c r="K3112" s="354">
        <v>0</v>
      </c>
      <c r="L3112" s="354">
        <v>1</v>
      </c>
      <c r="M3112" s="355">
        <v>0</v>
      </c>
      <c r="N3112" s="355">
        <v>1</v>
      </c>
    </row>
    <row r="3113" spans="1:14" hidden="1" x14ac:dyDescent="0.25">
      <c r="A3113" s="354">
        <v>0</v>
      </c>
      <c r="B3113" s="354">
        <v>0</v>
      </c>
      <c r="C3113" s="354">
        <v>1</v>
      </c>
      <c r="D3113" s="354">
        <v>0</v>
      </c>
      <c r="E3113" s="354">
        <v>1</v>
      </c>
      <c r="F3113" s="354">
        <v>2</v>
      </c>
      <c r="G3113" s="354">
        <v>1</v>
      </c>
      <c r="H3113" s="354">
        <v>0</v>
      </c>
      <c r="I3113" s="354">
        <v>2</v>
      </c>
      <c r="J3113" s="354">
        <v>1</v>
      </c>
      <c r="K3113" s="354">
        <v>0</v>
      </c>
      <c r="L3113" s="354">
        <v>1</v>
      </c>
      <c r="M3113" s="355">
        <v>5</v>
      </c>
      <c r="N3113" s="355">
        <v>4</v>
      </c>
    </row>
    <row r="3114" spans="1:14" hidden="1" x14ac:dyDescent="0.25">
      <c r="A3114" s="354">
        <v>0</v>
      </c>
      <c r="B3114" s="354">
        <v>0</v>
      </c>
      <c r="C3114" s="354">
        <v>1</v>
      </c>
      <c r="D3114" s="354">
        <v>1</v>
      </c>
      <c r="E3114" s="354">
        <v>1</v>
      </c>
      <c r="F3114" s="354">
        <v>0</v>
      </c>
      <c r="G3114" s="354">
        <v>1</v>
      </c>
      <c r="H3114" s="354">
        <v>1</v>
      </c>
      <c r="I3114" s="354">
        <v>1</v>
      </c>
      <c r="J3114" s="354">
        <v>1</v>
      </c>
      <c r="K3114" s="354">
        <v>0</v>
      </c>
      <c r="L3114" s="354">
        <v>0</v>
      </c>
      <c r="M3114" s="355">
        <v>4</v>
      </c>
      <c r="N3114" s="355">
        <v>3</v>
      </c>
    </row>
    <row r="3115" spans="1:14" hidden="1" x14ac:dyDescent="0.25">
      <c r="A3115" s="354">
        <v>1</v>
      </c>
      <c r="B3115" s="354">
        <v>0</v>
      </c>
      <c r="C3115" s="354">
        <v>0</v>
      </c>
      <c r="D3115" s="354">
        <v>0</v>
      </c>
      <c r="E3115" s="354">
        <v>2</v>
      </c>
      <c r="F3115" s="354">
        <v>1</v>
      </c>
      <c r="G3115" s="354">
        <v>0</v>
      </c>
      <c r="H3115" s="354">
        <v>1</v>
      </c>
      <c r="I3115" s="354">
        <v>1</v>
      </c>
      <c r="J3115" s="354">
        <v>2</v>
      </c>
      <c r="K3115" s="354">
        <v>0</v>
      </c>
      <c r="L3115" s="354">
        <v>0</v>
      </c>
      <c r="M3115" s="355">
        <v>4</v>
      </c>
      <c r="N3115" s="355">
        <v>4</v>
      </c>
    </row>
    <row r="3116" spans="1:14" hidden="1" x14ac:dyDescent="0.25">
      <c r="A3116" s="354">
        <v>0</v>
      </c>
      <c r="B3116" s="354">
        <v>0</v>
      </c>
      <c r="C3116" s="354">
        <v>1</v>
      </c>
      <c r="D3116" s="354">
        <v>2</v>
      </c>
      <c r="E3116" s="354">
        <v>0</v>
      </c>
      <c r="F3116" s="354">
        <v>1</v>
      </c>
      <c r="G3116" s="354">
        <v>0</v>
      </c>
      <c r="H3116" s="354">
        <v>0</v>
      </c>
      <c r="I3116" s="354">
        <v>2</v>
      </c>
      <c r="J3116" s="354">
        <v>3</v>
      </c>
      <c r="K3116" s="354">
        <v>0</v>
      </c>
      <c r="L3116" s="354">
        <v>0</v>
      </c>
      <c r="M3116" s="355">
        <v>3</v>
      </c>
      <c r="N3116" s="355">
        <v>6</v>
      </c>
    </row>
    <row r="3117" spans="1:14" hidden="1" x14ac:dyDescent="0.25">
      <c r="A3117" s="354">
        <v>0</v>
      </c>
      <c r="B3117" s="354">
        <v>0</v>
      </c>
      <c r="C3117" s="354">
        <v>0</v>
      </c>
      <c r="D3117" s="354">
        <v>0</v>
      </c>
      <c r="E3117" s="354">
        <v>0</v>
      </c>
      <c r="F3117" s="354">
        <v>0</v>
      </c>
      <c r="G3117" s="354">
        <v>0</v>
      </c>
      <c r="H3117" s="354">
        <v>0</v>
      </c>
      <c r="I3117" s="354">
        <v>1</v>
      </c>
      <c r="J3117" s="354">
        <v>0</v>
      </c>
      <c r="K3117" s="354">
        <v>0</v>
      </c>
      <c r="L3117" s="354">
        <v>0</v>
      </c>
      <c r="M3117" s="355">
        <v>1</v>
      </c>
      <c r="N3117" s="355">
        <v>0</v>
      </c>
    </row>
    <row r="3118" spans="1:14" hidden="1" x14ac:dyDescent="0.25">
      <c r="A3118" s="354">
        <v>0</v>
      </c>
      <c r="B3118" s="354">
        <v>1</v>
      </c>
      <c r="C3118" s="354">
        <v>0</v>
      </c>
      <c r="D3118" s="354">
        <v>1</v>
      </c>
      <c r="E3118" s="354">
        <v>1</v>
      </c>
      <c r="F3118" s="354">
        <v>0</v>
      </c>
      <c r="G3118" s="354">
        <v>1</v>
      </c>
      <c r="H3118" s="354">
        <v>0</v>
      </c>
      <c r="I3118" s="354">
        <v>1</v>
      </c>
      <c r="J3118" s="354">
        <v>1</v>
      </c>
      <c r="K3118" s="354">
        <v>0</v>
      </c>
      <c r="L3118" s="354">
        <v>0</v>
      </c>
      <c r="M3118" s="355">
        <v>3</v>
      </c>
      <c r="N3118" s="355">
        <v>3</v>
      </c>
    </row>
    <row r="3119" spans="1:14" hidden="1" x14ac:dyDescent="0.25">
      <c r="A3119" s="354">
        <v>0</v>
      </c>
      <c r="B3119" s="354">
        <v>0</v>
      </c>
      <c r="C3119" s="354">
        <v>0</v>
      </c>
      <c r="D3119" s="354">
        <v>0</v>
      </c>
      <c r="E3119" s="354">
        <v>0</v>
      </c>
      <c r="F3119" s="354">
        <v>0</v>
      </c>
      <c r="G3119" s="354">
        <v>0</v>
      </c>
      <c r="H3119" s="354">
        <v>1</v>
      </c>
      <c r="I3119" s="354">
        <v>0</v>
      </c>
      <c r="J3119" s="354">
        <v>1</v>
      </c>
      <c r="K3119" s="354">
        <v>0</v>
      </c>
      <c r="L3119" s="354">
        <v>0</v>
      </c>
      <c r="M3119" s="355">
        <v>0</v>
      </c>
      <c r="N3119" s="355">
        <v>2</v>
      </c>
    </row>
    <row r="3120" spans="1:14" hidden="1" x14ac:dyDescent="0.25">
      <c r="A3120" s="354">
        <v>0</v>
      </c>
      <c r="B3120" s="354">
        <v>0</v>
      </c>
      <c r="C3120" s="354">
        <v>0</v>
      </c>
      <c r="D3120" s="354">
        <v>0</v>
      </c>
      <c r="E3120" s="354">
        <v>1</v>
      </c>
      <c r="F3120" s="354">
        <v>1</v>
      </c>
      <c r="G3120" s="354">
        <v>0</v>
      </c>
      <c r="H3120" s="354">
        <v>1</v>
      </c>
      <c r="I3120" s="354">
        <v>1</v>
      </c>
      <c r="J3120" s="354">
        <v>1</v>
      </c>
      <c r="K3120" s="354">
        <v>0</v>
      </c>
      <c r="L3120" s="354">
        <v>0</v>
      </c>
      <c r="M3120" s="355">
        <v>2</v>
      </c>
      <c r="N3120" s="355">
        <v>3</v>
      </c>
    </row>
    <row r="3121" spans="1:14" hidden="1" x14ac:dyDescent="0.25">
      <c r="A3121" s="354">
        <v>1</v>
      </c>
      <c r="B3121" s="354">
        <v>1</v>
      </c>
      <c r="C3121" s="354">
        <v>0</v>
      </c>
      <c r="D3121" s="354">
        <v>0</v>
      </c>
      <c r="E3121" s="354">
        <v>1</v>
      </c>
      <c r="F3121" s="354">
        <v>0</v>
      </c>
      <c r="G3121" s="354">
        <v>2</v>
      </c>
      <c r="H3121" s="354">
        <v>0</v>
      </c>
      <c r="I3121" s="354">
        <v>1</v>
      </c>
      <c r="J3121" s="354">
        <v>1</v>
      </c>
      <c r="K3121" s="354">
        <v>0</v>
      </c>
      <c r="L3121" s="354">
        <v>1</v>
      </c>
      <c r="M3121" s="355">
        <v>5</v>
      </c>
      <c r="N3121" s="355">
        <v>3</v>
      </c>
    </row>
    <row r="3122" spans="1:14" hidden="1" x14ac:dyDescent="0.25">
      <c r="A3122" s="354">
        <v>1</v>
      </c>
      <c r="B3122" s="354">
        <v>1</v>
      </c>
      <c r="C3122" s="354">
        <v>2</v>
      </c>
      <c r="D3122" s="354">
        <v>0</v>
      </c>
      <c r="E3122" s="354">
        <v>0</v>
      </c>
      <c r="F3122" s="354">
        <v>1</v>
      </c>
      <c r="G3122" s="354">
        <v>1</v>
      </c>
      <c r="H3122" s="354">
        <v>0</v>
      </c>
      <c r="I3122" s="354">
        <v>1</v>
      </c>
      <c r="J3122" s="354">
        <v>1</v>
      </c>
      <c r="K3122" s="354">
        <v>0</v>
      </c>
      <c r="L3122" s="354">
        <v>0</v>
      </c>
      <c r="M3122" s="355">
        <v>5</v>
      </c>
      <c r="N3122" s="355">
        <v>3</v>
      </c>
    </row>
    <row r="3123" spans="1:14" hidden="1" x14ac:dyDescent="0.25">
      <c r="A3123" s="354">
        <v>0</v>
      </c>
      <c r="B3123" s="354">
        <v>2</v>
      </c>
      <c r="C3123" s="354">
        <v>1</v>
      </c>
      <c r="D3123" s="354">
        <v>0</v>
      </c>
      <c r="E3123" s="354">
        <v>0</v>
      </c>
      <c r="F3123" s="354">
        <v>1</v>
      </c>
      <c r="G3123" s="354">
        <v>2</v>
      </c>
      <c r="H3123" s="354">
        <v>0</v>
      </c>
      <c r="I3123" s="354">
        <v>1</v>
      </c>
      <c r="J3123" s="354">
        <v>4</v>
      </c>
      <c r="K3123" s="354">
        <v>0</v>
      </c>
      <c r="L3123" s="354">
        <v>0</v>
      </c>
      <c r="M3123" s="355">
        <v>4</v>
      </c>
      <c r="N3123" s="355">
        <v>7</v>
      </c>
    </row>
    <row r="3124" spans="1:14" hidden="1" x14ac:dyDescent="0.25">
      <c r="A3124" s="354">
        <v>1</v>
      </c>
      <c r="B3124" s="354">
        <v>1</v>
      </c>
      <c r="C3124" s="354">
        <v>2</v>
      </c>
      <c r="D3124" s="354">
        <v>0</v>
      </c>
      <c r="E3124" s="354">
        <v>0</v>
      </c>
      <c r="F3124" s="354">
        <v>1</v>
      </c>
      <c r="G3124" s="354">
        <v>1</v>
      </c>
      <c r="H3124" s="354">
        <v>0</v>
      </c>
      <c r="I3124" s="354">
        <v>1</v>
      </c>
      <c r="J3124" s="354">
        <v>1</v>
      </c>
      <c r="K3124" s="354">
        <v>0</v>
      </c>
      <c r="L3124" s="354">
        <v>0</v>
      </c>
      <c r="M3124" s="355">
        <v>5</v>
      </c>
      <c r="N3124" s="355">
        <v>3</v>
      </c>
    </row>
    <row r="3125" spans="1:14" hidden="1" x14ac:dyDescent="0.25">
      <c r="A3125" s="354">
        <v>0</v>
      </c>
      <c r="B3125" s="354">
        <v>0</v>
      </c>
      <c r="C3125" s="354">
        <v>1</v>
      </c>
      <c r="D3125" s="354">
        <v>0</v>
      </c>
      <c r="E3125" s="354">
        <v>0</v>
      </c>
      <c r="F3125" s="354">
        <v>1</v>
      </c>
      <c r="G3125" s="354">
        <v>0</v>
      </c>
      <c r="H3125" s="354">
        <v>2</v>
      </c>
      <c r="I3125" s="354">
        <v>1</v>
      </c>
      <c r="J3125" s="354">
        <v>1</v>
      </c>
      <c r="K3125" s="354">
        <v>0</v>
      </c>
      <c r="L3125" s="354">
        <v>0</v>
      </c>
      <c r="M3125" s="355">
        <v>2</v>
      </c>
      <c r="N3125" s="355">
        <v>4</v>
      </c>
    </row>
    <row r="3126" spans="1:14" hidden="1" x14ac:dyDescent="0.25">
      <c r="A3126" s="354">
        <v>1</v>
      </c>
      <c r="B3126" s="354">
        <v>1</v>
      </c>
      <c r="C3126" s="354">
        <v>1</v>
      </c>
      <c r="D3126" s="354">
        <v>0</v>
      </c>
      <c r="E3126" s="354">
        <v>1</v>
      </c>
      <c r="F3126" s="354">
        <v>0</v>
      </c>
      <c r="G3126" s="354">
        <v>1</v>
      </c>
      <c r="H3126" s="354">
        <v>0</v>
      </c>
      <c r="I3126" s="354">
        <v>1</v>
      </c>
      <c r="J3126" s="354">
        <v>1</v>
      </c>
      <c r="K3126" s="354">
        <v>0</v>
      </c>
      <c r="L3126" s="354">
        <v>0</v>
      </c>
      <c r="M3126" s="355">
        <v>5</v>
      </c>
      <c r="N3126" s="355">
        <v>2</v>
      </c>
    </row>
    <row r="3127" spans="1:14" hidden="1" x14ac:dyDescent="0.25">
      <c r="A3127" s="354">
        <v>0</v>
      </c>
      <c r="B3127" s="354">
        <v>0</v>
      </c>
      <c r="C3127" s="354">
        <v>0</v>
      </c>
      <c r="D3127" s="354">
        <v>1</v>
      </c>
      <c r="E3127" s="354">
        <v>1</v>
      </c>
      <c r="F3127" s="354">
        <v>2</v>
      </c>
      <c r="G3127" s="354">
        <v>0</v>
      </c>
      <c r="H3127" s="354">
        <v>2</v>
      </c>
      <c r="I3127" s="354">
        <v>1</v>
      </c>
      <c r="J3127" s="354">
        <v>1</v>
      </c>
      <c r="K3127" s="354">
        <v>0</v>
      </c>
      <c r="L3127" s="354">
        <v>0</v>
      </c>
      <c r="M3127" s="355">
        <v>2</v>
      </c>
      <c r="N3127" s="355">
        <v>6</v>
      </c>
    </row>
    <row r="3128" spans="1:14" hidden="1" x14ac:dyDescent="0.25">
      <c r="A3128" s="354">
        <v>0</v>
      </c>
      <c r="B3128" s="354">
        <v>0</v>
      </c>
      <c r="C3128" s="354">
        <v>1</v>
      </c>
      <c r="D3128" s="354">
        <v>1</v>
      </c>
      <c r="E3128" s="354">
        <v>1</v>
      </c>
      <c r="F3128" s="354">
        <v>1</v>
      </c>
      <c r="G3128" s="354">
        <v>0</v>
      </c>
      <c r="H3128" s="354">
        <v>0</v>
      </c>
      <c r="I3128" s="354">
        <v>2</v>
      </c>
      <c r="J3128" s="354">
        <v>3</v>
      </c>
      <c r="K3128" s="354">
        <v>0</v>
      </c>
      <c r="L3128" s="354">
        <v>0</v>
      </c>
      <c r="M3128" s="355">
        <v>4</v>
      </c>
      <c r="N3128" s="355">
        <v>5</v>
      </c>
    </row>
    <row r="3129" spans="1:14" hidden="1" x14ac:dyDescent="0.25">
      <c r="A3129" s="354">
        <v>0</v>
      </c>
      <c r="B3129" s="354">
        <v>0</v>
      </c>
      <c r="C3129" s="354">
        <v>1</v>
      </c>
      <c r="D3129" s="354">
        <v>1</v>
      </c>
      <c r="E3129" s="354">
        <v>0</v>
      </c>
      <c r="F3129" s="354">
        <v>0</v>
      </c>
      <c r="G3129" s="354">
        <v>0</v>
      </c>
      <c r="H3129" s="354">
        <v>2</v>
      </c>
      <c r="I3129" s="354">
        <v>1</v>
      </c>
      <c r="J3129" s="354">
        <v>1</v>
      </c>
      <c r="K3129" s="354">
        <v>1</v>
      </c>
      <c r="L3129" s="354">
        <v>1</v>
      </c>
      <c r="M3129" s="355">
        <v>3</v>
      </c>
      <c r="N3129" s="355">
        <v>5</v>
      </c>
    </row>
    <row r="3130" spans="1:14" hidden="1" x14ac:dyDescent="0.25">
      <c r="A3130" s="354">
        <v>0</v>
      </c>
      <c r="B3130" s="354">
        <v>0</v>
      </c>
      <c r="C3130" s="354">
        <v>2</v>
      </c>
      <c r="D3130" s="354">
        <v>1</v>
      </c>
      <c r="E3130" s="354">
        <v>0</v>
      </c>
      <c r="F3130" s="354">
        <v>1</v>
      </c>
      <c r="G3130" s="354">
        <v>1</v>
      </c>
      <c r="H3130" s="354">
        <v>0</v>
      </c>
      <c r="I3130" s="354">
        <v>2</v>
      </c>
      <c r="J3130" s="354">
        <v>3</v>
      </c>
      <c r="K3130" s="354">
        <v>0</v>
      </c>
      <c r="L3130" s="354">
        <v>0</v>
      </c>
      <c r="M3130" s="355">
        <v>5</v>
      </c>
      <c r="N3130" s="355">
        <v>5</v>
      </c>
    </row>
    <row r="3131" spans="1:14" hidden="1" x14ac:dyDescent="0.25">
      <c r="A3131" s="354">
        <v>1</v>
      </c>
      <c r="B3131" s="354">
        <v>0</v>
      </c>
      <c r="C3131" s="354">
        <v>0</v>
      </c>
      <c r="D3131" s="354">
        <v>1</v>
      </c>
      <c r="E3131" s="354">
        <v>1</v>
      </c>
      <c r="F3131" s="354">
        <v>0</v>
      </c>
      <c r="G3131" s="354">
        <v>0</v>
      </c>
      <c r="H3131" s="354">
        <v>0</v>
      </c>
      <c r="I3131" s="354">
        <v>1</v>
      </c>
      <c r="J3131" s="354">
        <v>1</v>
      </c>
      <c r="K3131" s="354">
        <v>0</v>
      </c>
      <c r="L3131" s="354">
        <v>0</v>
      </c>
      <c r="M3131" s="355">
        <v>3</v>
      </c>
      <c r="N3131" s="355">
        <v>2</v>
      </c>
    </row>
    <row r="3132" spans="1:14" hidden="1" x14ac:dyDescent="0.25">
      <c r="A3132" s="354">
        <v>0</v>
      </c>
      <c r="B3132" s="354">
        <v>2</v>
      </c>
      <c r="C3132" s="354">
        <v>0</v>
      </c>
      <c r="D3132" s="354">
        <v>0</v>
      </c>
      <c r="E3132" s="354">
        <v>2</v>
      </c>
      <c r="F3132" s="354">
        <v>0</v>
      </c>
      <c r="G3132" s="354">
        <v>1</v>
      </c>
      <c r="H3132" s="354">
        <v>2</v>
      </c>
      <c r="I3132" s="354">
        <v>1</v>
      </c>
      <c r="J3132" s="354">
        <v>2</v>
      </c>
      <c r="K3132" s="354">
        <v>0</v>
      </c>
      <c r="L3132" s="354">
        <v>0</v>
      </c>
      <c r="M3132" s="355">
        <v>4</v>
      </c>
      <c r="N3132" s="355">
        <v>6</v>
      </c>
    </row>
    <row r="3133" spans="1:14" hidden="1" x14ac:dyDescent="0.25">
      <c r="A3133" s="354">
        <v>0</v>
      </c>
      <c r="B3133" s="354">
        <v>1</v>
      </c>
      <c r="C3133" s="354">
        <v>1</v>
      </c>
      <c r="D3133" s="354">
        <v>0</v>
      </c>
      <c r="E3133" s="354">
        <v>1</v>
      </c>
      <c r="F3133" s="354">
        <v>1</v>
      </c>
      <c r="G3133" s="354">
        <v>0</v>
      </c>
      <c r="H3133" s="354">
        <v>0</v>
      </c>
      <c r="I3133" s="354">
        <v>1</v>
      </c>
      <c r="J3133" s="354">
        <v>1</v>
      </c>
      <c r="K3133" s="354">
        <v>0</v>
      </c>
      <c r="L3133" s="354">
        <v>0</v>
      </c>
      <c r="M3133" s="355">
        <v>3</v>
      </c>
      <c r="N3133" s="355">
        <v>3</v>
      </c>
    </row>
    <row r="3134" spans="1:14" hidden="1" x14ac:dyDescent="0.25">
      <c r="A3134" s="354">
        <v>0</v>
      </c>
      <c r="B3134" s="354">
        <v>0</v>
      </c>
      <c r="C3134" s="354">
        <v>0</v>
      </c>
      <c r="D3134" s="354">
        <v>0</v>
      </c>
      <c r="E3134" s="354">
        <v>1</v>
      </c>
      <c r="F3134" s="354">
        <v>1</v>
      </c>
      <c r="G3134" s="354">
        <v>0</v>
      </c>
      <c r="H3134" s="354">
        <v>0</v>
      </c>
      <c r="I3134" s="354">
        <v>1</v>
      </c>
      <c r="J3134" s="354">
        <v>1</v>
      </c>
      <c r="K3134" s="354">
        <v>0</v>
      </c>
      <c r="L3134" s="354">
        <v>0</v>
      </c>
      <c r="M3134" s="355">
        <v>2</v>
      </c>
      <c r="N3134" s="355">
        <v>2</v>
      </c>
    </row>
    <row r="3135" spans="1:14" hidden="1" x14ac:dyDescent="0.25">
      <c r="A3135" s="354">
        <v>0</v>
      </c>
      <c r="B3135" s="354">
        <v>0</v>
      </c>
      <c r="C3135" s="354">
        <v>1</v>
      </c>
      <c r="D3135" s="354">
        <v>1</v>
      </c>
      <c r="E3135" s="354">
        <v>1</v>
      </c>
      <c r="F3135" s="354">
        <v>1</v>
      </c>
      <c r="G3135" s="354">
        <v>0</v>
      </c>
      <c r="H3135" s="354">
        <v>0</v>
      </c>
      <c r="I3135" s="354">
        <v>1</v>
      </c>
      <c r="J3135" s="354">
        <v>1</v>
      </c>
      <c r="K3135" s="354">
        <v>0</v>
      </c>
      <c r="L3135" s="354">
        <v>0</v>
      </c>
      <c r="M3135" s="355">
        <v>3</v>
      </c>
      <c r="N3135" s="355">
        <v>3</v>
      </c>
    </row>
    <row r="3136" spans="1:14" hidden="1" x14ac:dyDescent="0.25">
      <c r="A3136" s="354">
        <v>0</v>
      </c>
      <c r="B3136" s="354">
        <v>2</v>
      </c>
      <c r="C3136" s="354">
        <v>1</v>
      </c>
      <c r="D3136" s="354">
        <v>1</v>
      </c>
      <c r="E3136" s="354">
        <v>0</v>
      </c>
      <c r="F3136" s="354">
        <v>0</v>
      </c>
      <c r="G3136" s="354">
        <v>2</v>
      </c>
      <c r="H3136" s="354">
        <v>0</v>
      </c>
      <c r="I3136" s="354">
        <v>2</v>
      </c>
      <c r="J3136" s="354">
        <v>1</v>
      </c>
      <c r="K3136" s="354">
        <v>0</v>
      </c>
      <c r="L3136" s="354">
        <v>0</v>
      </c>
      <c r="M3136" s="355">
        <v>5</v>
      </c>
      <c r="N3136" s="355">
        <v>4</v>
      </c>
    </row>
    <row r="3137" spans="1:14" hidden="1" x14ac:dyDescent="0.25">
      <c r="A3137" s="354">
        <v>0</v>
      </c>
      <c r="B3137" s="354">
        <v>1</v>
      </c>
      <c r="C3137" s="354">
        <v>0</v>
      </c>
      <c r="D3137" s="354">
        <v>2</v>
      </c>
      <c r="E3137" s="354">
        <v>1</v>
      </c>
      <c r="F3137" s="354">
        <v>1</v>
      </c>
      <c r="G3137" s="354">
        <v>0</v>
      </c>
      <c r="H3137" s="354">
        <v>3</v>
      </c>
      <c r="I3137" s="354">
        <v>1</v>
      </c>
      <c r="J3137" s="354">
        <v>4</v>
      </c>
      <c r="K3137" s="354">
        <v>0</v>
      </c>
      <c r="L3137" s="354">
        <v>0</v>
      </c>
      <c r="M3137" s="355">
        <v>2</v>
      </c>
      <c r="N3137" s="355">
        <v>11</v>
      </c>
    </row>
    <row r="3138" spans="1:14" hidden="1" x14ac:dyDescent="0.25">
      <c r="A3138" s="354">
        <v>0</v>
      </c>
      <c r="B3138" s="354">
        <v>0</v>
      </c>
      <c r="C3138" s="354">
        <v>2</v>
      </c>
      <c r="D3138" s="354">
        <v>0</v>
      </c>
      <c r="E3138" s="354">
        <v>2</v>
      </c>
      <c r="F3138" s="354">
        <v>0</v>
      </c>
      <c r="G3138" s="354">
        <v>0</v>
      </c>
      <c r="H3138" s="354">
        <v>3</v>
      </c>
      <c r="I3138" s="354">
        <v>2</v>
      </c>
      <c r="J3138" s="354">
        <v>2</v>
      </c>
      <c r="K3138" s="354">
        <v>0</v>
      </c>
      <c r="L3138" s="354">
        <v>0</v>
      </c>
      <c r="M3138" s="355">
        <v>6</v>
      </c>
      <c r="N3138" s="355">
        <v>5</v>
      </c>
    </row>
    <row r="3139" spans="1:14" hidden="1" x14ac:dyDescent="0.25">
      <c r="A3139" s="354">
        <v>1</v>
      </c>
      <c r="B3139" s="354">
        <v>1</v>
      </c>
      <c r="C3139" s="354">
        <v>0</v>
      </c>
      <c r="D3139" s="354">
        <v>0</v>
      </c>
      <c r="E3139" s="354">
        <v>2</v>
      </c>
      <c r="F3139" s="354">
        <v>0</v>
      </c>
      <c r="G3139" s="354">
        <v>2</v>
      </c>
      <c r="H3139" s="354">
        <v>1</v>
      </c>
      <c r="I3139" s="354">
        <v>1</v>
      </c>
      <c r="J3139" s="354">
        <v>2</v>
      </c>
      <c r="K3139" s="354">
        <v>0</v>
      </c>
      <c r="L3139" s="354">
        <v>0</v>
      </c>
      <c r="M3139" s="355">
        <v>6</v>
      </c>
      <c r="N3139" s="355">
        <v>4</v>
      </c>
    </row>
    <row r="3140" spans="1:14" hidden="1" x14ac:dyDescent="0.25">
      <c r="A3140" s="354">
        <v>0</v>
      </c>
      <c r="B3140" s="354">
        <v>0</v>
      </c>
      <c r="C3140" s="354">
        <v>2</v>
      </c>
      <c r="D3140" s="354">
        <v>1</v>
      </c>
      <c r="E3140" s="354">
        <v>0</v>
      </c>
      <c r="F3140" s="354">
        <v>2</v>
      </c>
      <c r="G3140" s="354">
        <v>0</v>
      </c>
      <c r="H3140" s="354">
        <v>1</v>
      </c>
      <c r="I3140" s="354">
        <v>0</v>
      </c>
      <c r="J3140" s="354">
        <v>2</v>
      </c>
      <c r="K3140" s="354">
        <v>1</v>
      </c>
      <c r="L3140" s="354">
        <v>1</v>
      </c>
      <c r="M3140" s="355">
        <v>3</v>
      </c>
      <c r="N3140" s="355">
        <v>7</v>
      </c>
    </row>
    <row r="3141" spans="1:14" hidden="1" x14ac:dyDescent="0.25">
      <c r="A3141" s="354">
        <v>0</v>
      </c>
      <c r="B3141" s="354">
        <v>0</v>
      </c>
      <c r="C3141" s="354">
        <v>2</v>
      </c>
      <c r="D3141" s="354">
        <v>0</v>
      </c>
      <c r="E3141" s="354">
        <v>2</v>
      </c>
      <c r="F3141" s="354">
        <v>0</v>
      </c>
      <c r="G3141" s="354">
        <v>0</v>
      </c>
      <c r="H3141" s="354">
        <v>3</v>
      </c>
      <c r="I3141" s="354">
        <v>2</v>
      </c>
      <c r="J3141" s="354">
        <v>2</v>
      </c>
      <c r="K3141" s="354">
        <v>0</v>
      </c>
      <c r="L3141" s="354">
        <v>0</v>
      </c>
      <c r="M3141" s="355">
        <v>6</v>
      </c>
      <c r="N3141" s="355">
        <v>5</v>
      </c>
    </row>
    <row r="3142" spans="1:14" hidden="1" x14ac:dyDescent="0.25">
      <c r="A3142" s="354">
        <v>1</v>
      </c>
      <c r="B3142" s="354">
        <v>0</v>
      </c>
      <c r="C3142" s="354">
        <v>1</v>
      </c>
      <c r="D3142" s="354">
        <v>1</v>
      </c>
      <c r="E3142" s="354">
        <v>1</v>
      </c>
      <c r="F3142" s="354">
        <v>1</v>
      </c>
      <c r="G3142" s="354">
        <v>2</v>
      </c>
      <c r="H3142" s="354">
        <v>0</v>
      </c>
      <c r="I3142" s="354">
        <v>1</v>
      </c>
      <c r="J3142" s="354">
        <v>1</v>
      </c>
      <c r="K3142" s="354">
        <v>0</v>
      </c>
      <c r="L3142" s="354">
        <v>0</v>
      </c>
      <c r="M3142" s="355">
        <v>6</v>
      </c>
      <c r="N3142" s="355">
        <v>3</v>
      </c>
    </row>
    <row r="3143" spans="1:14" hidden="1" x14ac:dyDescent="0.25">
      <c r="A3143" s="354">
        <v>1</v>
      </c>
      <c r="B3143" s="354">
        <v>1</v>
      </c>
      <c r="C3143" s="354">
        <v>0</v>
      </c>
      <c r="D3143" s="354">
        <v>0</v>
      </c>
      <c r="E3143" s="354">
        <v>3</v>
      </c>
      <c r="F3143" s="354">
        <v>0</v>
      </c>
      <c r="G3143" s="354">
        <v>1</v>
      </c>
      <c r="H3143" s="354">
        <v>0</v>
      </c>
      <c r="I3143" s="354">
        <v>1</v>
      </c>
      <c r="J3143" s="354">
        <v>1</v>
      </c>
      <c r="K3143" s="354">
        <v>0</v>
      </c>
      <c r="L3143" s="354">
        <v>0</v>
      </c>
      <c r="M3143" s="355">
        <v>6</v>
      </c>
      <c r="N3143" s="355">
        <v>2</v>
      </c>
    </row>
    <row r="3144" spans="1:14" hidden="1" x14ac:dyDescent="0.25">
      <c r="A3144" s="354">
        <v>0</v>
      </c>
      <c r="B3144" s="354">
        <v>0</v>
      </c>
      <c r="C3144" s="354">
        <v>2</v>
      </c>
      <c r="D3144" s="354">
        <v>1</v>
      </c>
      <c r="E3144" s="354">
        <v>0</v>
      </c>
      <c r="F3144" s="354">
        <v>1</v>
      </c>
      <c r="G3144" s="354">
        <v>1</v>
      </c>
      <c r="H3144" s="354">
        <v>0</v>
      </c>
      <c r="I3144" s="354">
        <v>1</v>
      </c>
      <c r="J3144" s="354">
        <v>2</v>
      </c>
      <c r="K3144" s="354">
        <v>0</v>
      </c>
      <c r="L3144" s="354">
        <v>0</v>
      </c>
      <c r="M3144" s="355">
        <v>4</v>
      </c>
      <c r="N3144" s="355">
        <v>4</v>
      </c>
    </row>
    <row r="3145" spans="1:14" hidden="1" x14ac:dyDescent="0.25">
      <c r="A3145" s="354">
        <v>0</v>
      </c>
      <c r="B3145" s="354">
        <v>0</v>
      </c>
      <c r="C3145" s="354">
        <v>2</v>
      </c>
      <c r="D3145" s="354">
        <v>1</v>
      </c>
      <c r="E3145" s="354">
        <v>1</v>
      </c>
      <c r="F3145" s="354">
        <v>0</v>
      </c>
      <c r="G3145" s="354">
        <v>1</v>
      </c>
      <c r="H3145" s="354">
        <v>2</v>
      </c>
      <c r="I3145" s="354">
        <v>1</v>
      </c>
      <c r="J3145" s="354">
        <v>2</v>
      </c>
      <c r="K3145" s="354">
        <v>0</v>
      </c>
      <c r="L3145" s="354">
        <v>0</v>
      </c>
      <c r="M3145" s="355">
        <v>5</v>
      </c>
      <c r="N3145" s="355">
        <v>5</v>
      </c>
    </row>
    <row r="3146" spans="1:14" hidden="1" x14ac:dyDescent="0.25">
      <c r="A3146" s="354">
        <v>1</v>
      </c>
      <c r="B3146" s="354">
        <v>2</v>
      </c>
      <c r="C3146" s="354">
        <v>0</v>
      </c>
      <c r="D3146" s="354">
        <v>0</v>
      </c>
      <c r="E3146" s="354">
        <v>1</v>
      </c>
      <c r="F3146" s="354">
        <v>1</v>
      </c>
      <c r="G3146" s="354">
        <v>2</v>
      </c>
      <c r="H3146" s="354">
        <v>1</v>
      </c>
      <c r="I3146" s="354">
        <v>1</v>
      </c>
      <c r="J3146" s="354">
        <v>1</v>
      </c>
      <c r="K3146" s="354">
        <v>0</v>
      </c>
      <c r="L3146" s="354">
        <v>0</v>
      </c>
      <c r="M3146" s="355">
        <v>5</v>
      </c>
      <c r="N3146" s="355">
        <v>5</v>
      </c>
    </row>
    <row r="3147" spans="1:14" hidden="1" x14ac:dyDescent="0.25">
      <c r="A3147" s="354">
        <v>1</v>
      </c>
      <c r="B3147" s="354">
        <v>0</v>
      </c>
      <c r="C3147" s="354">
        <v>0</v>
      </c>
      <c r="D3147" s="354">
        <v>2</v>
      </c>
      <c r="E3147" s="354">
        <v>1</v>
      </c>
      <c r="F3147" s="354">
        <v>0</v>
      </c>
      <c r="G3147" s="354">
        <v>0</v>
      </c>
      <c r="H3147" s="354">
        <v>2</v>
      </c>
      <c r="I3147" s="354">
        <v>1</v>
      </c>
      <c r="J3147" s="354">
        <v>1</v>
      </c>
      <c r="K3147" s="354">
        <v>0</v>
      </c>
      <c r="L3147" s="354">
        <v>1</v>
      </c>
      <c r="M3147" s="355">
        <v>3</v>
      </c>
      <c r="N3147" s="355">
        <v>6</v>
      </c>
    </row>
    <row r="3148" spans="1:14" hidden="1" x14ac:dyDescent="0.25">
      <c r="A3148" s="354">
        <v>1</v>
      </c>
      <c r="B3148" s="354">
        <v>0</v>
      </c>
      <c r="C3148" s="354">
        <v>0</v>
      </c>
      <c r="D3148" s="354">
        <v>0</v>
      </c>
      <c r="E3148" s="354">
        <v>1</v>
      </c>
      <c r="F3148" s="354">
        <v>2</v>
      </c>
      <c r="G3148" s="354">
        <v>1</v>
      </c>
      <c r="H3148" s="354">
        <v>1</v>
      </c>
      <c r="I3148" s="354">
        <v>2</v>
      </c>
      <c r="J3148" s="354">
        <v>4</v>
      </c>
      <c r="K3148" s="354">
        <v>0</v>
      </c>
      <c r="L3148" s="354">
        <v>0</v>
      </c>
      <c r="M3148" s="355">
        <v>5</v>
      </c>
      <c r="N3148" s="355">
        <v>7</v>
      </c>
    </row>
    <row r="3149" spans="1:14" hidden="1" x14ac:dyDescent="0.25">
      <c r="A3149" s="354">
        <v>1</v>
      </c>
      <c r="B3149" s="354">
        <v>0</v>
      </c>
      <c r="C3149" s="354">
        <v>1</v>
      </c>
      <c r="D3149" s="354">
        <v>0</v>
      </c>
      <c r="E3149" s="354">
        <v>2</v>
      </c>
      <c r="F3149" s="354">
        <v>0</v>
      </c>
      <c r="G3149" s="354">
        <v>0</v>
      </c>
      <c r="H3149" s="354">
        <v>2</v>
      </c>
      <c r="I3149" s="354">
        <v>2</v>
      </c>
      <c r="J3149" s="354">
        <v>2</v>
      </c>
      <c r="K3149" s="354">
        <v>0</v>
      </c>
      <c r="L3149" s="354">
        <v>0</v>
      </c>
      <c r="M3149" s="355">
        <v>6</v>
      </c>
      <c r="N3149" s="355">
        <v>4</v>
      </c>
    </row>
    <row r="3150" spans="1:14" hidden="1" x14ac:dyDescent="0.25">
      <c r="A3150" s="354">
        <v>0</v>
      </c>
      <c r="B3150" s="354">
        <v>0</v>
      </c>
      <c r="C3150" s="354">
        <v>1</v>
      </c>
      <c r="D3150" s="354">
        <v>0</v>
      </c>
      <c r="E3150" s="354">
        <v>0</v>
      </c>
      <c r="F3150" s="354">
        <v>0</v>
      </c>
      <c r="G3150" s="354">
        <v>1</v>
      </c>
      <c r="H3150" s="354">
        <v>2</v>
      </c>
      <c r="I3150" s="354">
        <v>1</v>
      </c>
      <c r="J3150" s="354">
        <v>1</v>
      </c>
      <c r="K3150" s="354">
        <v>0</v>
      </c>
      <c r="L3150" s="354">
        <v>0</v>
      </c>
      <c r="M3150" s="355">
        <v>3</v>
      </c>
      <c r="N3150" s="355">
        <v>3</v>
      </c>
    </row>
    <row r="3151" spans="1:14" hidden="1" x14ac:dyDescent="0.25">
      <c r="A3151" s="354">
        <v>0</v>
      </c>
      <c r="B3151" s="354">
        <v>1</v>
      </c>
      <c r="C3151" s="354">
        <v>1</v>
      </c>
      <c r="D3151" s="354">
        <v>0</v>
      </c>
      <c r="E3151" s="354">
        <v>2</v>
      </c>
      <c r="F3151" s="354">
        <v>0</v>
      </c>
      <c r="G3151" s="354">
        <v>0</v>
      </c>
      <c r="H3151" s="354">
        <v>2</v>
      </c>
      <c r="I3151" s="354">
        <v>1</v>
      </c>
      <c r="J3151" s="354">
        <v>1</v>
      </c>
      <c r="K3151" s="354">
        <v>0</v>
      </c>
      <c r="L3151" s="354">
        <v>1</v>
      </c>
      <c r="M3151" s="355">
        <v>4</v>
      </c>
      <c r="N3151" s="355">
        <v>5</v>
      </c>
    </row>
    <row r="3152" spans="1:14" hidden="1" x14ac:dyDescent="0.25">
      <c r="A3152" s="354">
        <v>1</v>
      </c>
      <c r="B3152" s="354">
        <v>0</v>
      </c>
      <c r="C3152" s="354">
        <v>0</v>
      </c>
      <c r="D3152" s="354">
        <v>1</v>
      </c>
      <c r="E3152" s="354">
        <v>0</v>
      </c>
      <c r="F3152" s="354">
        <v>2</v>
      </c>
      <c r="G3152" s="354">
        <v>1</v>
      </c>
      <c r="H3152" s="354">
        <v>1</v>
      </c>
      <c r="I3152" s="354">
        <v>1</v>
      </c>
      <c r="J3152" s="354">
        <v>1</v>
      </c>
      <c r="K3152" s="354">
        <v>0</v>
      </c>
      <c r="L3152" s="354">
        <v>0</v>
      </c>
      <c r="M3152" s="355">
        <v>3</v>
      </c>
      <c r="N3152" s="355">
        <v>5</v>
      </c>
    </row>
    <row r="3153" spans="1:14" hidden="1" x14ac:dyDescent="0.25">
      <c r="A3153" s="354">
        <v>0</v>
      </c>
      <c r="B3153" s="354">
        <v>0</v>
      </c>
      <c r="C3153" s="354">
        <v>2</v>
      </c>
      <c r="D3153" s="354">
        <v>1</v>
      </c>
      <c r="E3153" s="354">
        <v>0</v>
      </c>
      <c r="F3153" s="354">
        <v>0</v>
      </c>
      <c r="G3153" s="354">
        <v>1</v>
      </c>
      <c r="H3153" s="354">
        <v>2</v>
      </c>
      <c r="I3153" s="354">
        <v>1</v>
      </c>
      <c r="J3153" s="354">
        <v>2</v>
      </c>
      <c r="K3153" s="354">
        <v>0</v>
      </c>
      <c r="L3153" s="354">
        <v>0</v>
      </c>
      <c r="M3153" s="355">
        <v>4</v>
      </c>
      <c r="N3153" s="355">
        <v>5</v>
      </c>
    </row>
    <row r="3154" spans="1:14" hidden="1" x14ac:dyDescent="0.25">
      <c r="A3154" s="354">
        <v>0</v>
      </c>
      <c r="B3154" s="354">
        <v>0</v>
      </c>
      <c r="C3154" s="354">
        <v>0</v>
      </c>
      <c r="D3154" s="354">
        <v>0</v>
      </c>
      <c r="E3154" s="354">
        <v>0</v>
      </c>
      <c r="F3154" s="354">
        <v>1</v>
      </c>
      <c r="G3154" s="354">
        <v>0</v>
      </c>
      <c r="H3154" s="354">
        <v>2</v>
      </c>
      <c r="I3154" s="354">
        <v>1</v>
      </c>
      <c r="J3154" s="354">
        <v>1</v>
      </c>
      <c r="K3154" s="354">
        <v>1</v>
      </c>
      <c r="L3154" s="354">
        <v>0</v>
      </c>
      <c r="M3154" s="355">
        <v>2</v>
      </c>
      <c r="N3154" s="355">
        <v>4</v>
      </c>
    </row>
    <row r="3155" spans="1:14" hidden="1" x14ac:dyDescent="0.25">
      <c r="A3155" s="354">
        <v>1</v>
      </c>
      <c r="B3155" s="354">
        <v>1</v>
      </c>
      <c r="C3155" s="354">
        <v>0</v>
      </c>
      <c r="D3155" s="354">
        <v>1</v>
      </c>
      <c r="E3155" s="354">
        <v>0</v>
      </c>
      <c r="F3155" s="354">
        <v>2</v>
      </c>
      <c r="G3155" s="354">
        <v>1</v>
      </c>
      <c r="H3155" s="354">
        <v>0</v>
      </c>
      <c r="I3155" s="354">
        <v>1</v>
      </c>
      <c r="J3155" s="354">
        <v>1</v>
      </c>
      <c r="K3155" s="354">
        <v>0</v>
      </c>
      <c r="L3155" s="354">
        <v>0</v>
      </c>
      <c r="M3155" s="355">
        <v>3</v>
      </c>
      <c r="N3155" s="355">
        <v>5</v>
      </c>
    </row>
    <row r="3156" spans="1:14" hidden="1" x14ac:dyDescent="0.25">
      <c r="A3156" s="354">
        <v>1</v>
      </c>
      <c r="B3156" s="354">
        <v>0</v>
      </c>
      <c r="C3156" s="354">
        <v>0</v>
      </c>
      <c r="D3156" s="354">
        <v>1</v>
      </c>
      <c r="E3156" s="354">
        <v>0</v>
      </c>
      <c r="F3156" s="354">
        <v>1</v>
      </c>
      <c r="G3156" s="354">
        <v>1</v>
      </c>
      <c r="H3156" s="354">
        <v>1</v>
      </c>
      <c r="I3156" s="354">
        <v>1</v>
      </c>
      <c r="J3156" s="354">
        <v>1</v>
      </c>
      <c r="K3156" s="354">
        <v>0</v>
      </c>
      <c r="L3156" s="354">
        <v>0</v>
      </c>
      <c r="M3156" s="355">
        <v>3</v>
      </c>
      <c r="N3156" s="355">
        <v>4</v>
      </c>
    </row>
    <row r="3157" spans="1:14" hidden="1" x14ac:dyDescent="0.25">
      <c r="A3157" s="354">
        <v>0</v>
      </c>
      <c r="B3157" s="354">
        <v>1</v>
      </c>
      <c r="C3157" s="354">
        <v>1</v>
      </c>
      <c r="D3157" s="354">
        <v>1</v>
      </c>
      <c r="E3157" s="354">
        <v>1</v>
      </c>
      <c r="F3157" s="354">
        <v>1</v>
      </c>
      <c r="G3157" s="354">
        <v>0</v>
      </c>
      <c r="H3157" s="354">
        <v>0</v>
      </c>
      <c r="I3157" s="354">
        <v>1</v>
      </c>
      <c r="J3157" s="354">
        <v>1</v>
      </c>
      <c r="K3157" s="354">
        <v>0</v>
      </c>
      <c r="L3157" s="354">
        <v>0</v>
      </c>
      <c r="M3157" s="355">
        <v>3</v>
      </c>
      <c r="N3157" s="355">
        <v>4</v>
      </c>
    </row>
    <row r="3158" spans="1:14" hidden="1" x14ac:dyDescent="0.25">
      <c r="A3158" s="354">
        <v>1</v>
      </c>
      <c r="B3158" s="354">
        <v>1</v>
      </c>
      <c r="C3158" s="354">
        <v>0</v>
      </c>
      <c r="D3158" s="354">
        <v>1</v>
      </c>
      <c r="E3158" s="354">
        <v>1</v>
      </c>
      <c r="F3158" s="354">
        <v>1</v>
      </c>
      <c r="G3158" s="354">
        <v>0</v>
      </c>
      <c r="H3158" s="354">
        <v>0</v>
      </c>
      <c r="I3158" s="354">
        <v>1</v>
      </c>
      <c r="J3158" s="354">
        <v>1</v>
      </c>
      <c r="K3158" s="354">
        <v>0</v>
      </c>
      <c r="L3158" s="354">
        <v>0</v>
      </c>
      <c r="M3158" s="355">
        <v>3</v>
      </c>
      <c r="N3158" s="355">
        <v>4</v>
      </c>
    </row>
    <row r="3159" spans="1:14" hidden="1" x14ac:dyDescent="0.25">
      <c r="A3159" s="354">
        <v>1</v>
      </c>
      <c r="B3159" s="354">
        <v>1</v>
      </c>
      <c r="C3159" s="354">
        <v>0</v>
      </c>
      <c r="D3159" s="354">
        <v>1</v>
      </c>
      <c r="E3159" s="354">
        <v>0</v>
      </c>
      <c r="F3159" s="354">
        <v>1</v>
      </c>
      <c r="G3159" s="354">
        <v>1</v>
      </c>
      <c r="H3159" s="354">
        <v>0</v>
      </c>
      <c r="I3159" s="354">
        <v>1</v>
      </c>
      <c r="J3159" s="354">
        <v>2</v>
      </c>
      <c r="K3159" s="354">
        <v>0</v>
      </c>
      <c r="L3159" s="354">
        <v>0</v>
      </c>
      <c r="M3159" s="355">
        <v>3</v>
      </c>
      <c r="N3159" s="355">
        <v>5</v>
      </c>
    </row>
    <row r="3160" spans="1:14" hidden="1" x14ac:dyDescent="0.25">
      <c r="A3160" s="354">
        <v>0</v>
      </c>
      <c r="B3160" s="354">
        <v>0</v>
      </c>
      <c r="C3160" s="354">
        <v>1</v>
      </c>
      <c r="D3160" s="354">
        <v>1</v>
      </c>
      <c r="E3160" s="354">
        <v>0</v>
      </c>
      <c r="F3160" s="354">
        <v>1</v>
      </c>
      <c r="G3160" s="354">
        <v>1</v>
      </c>
      <c r="H3160" s="354">
        <v>0</v>
      </c>
      <c r="I3160" s="354">
        <v>0</v>
      </c>
      <c r="J3160" s="354">
        <v>1</v>
      </c>
      <c r="K3160" s="354">
        <v>0</v>
      </c>
      <c r="L3160" s="354">
        <v>0</v>
      </c>
      <c r="M3160" s="355">
        <v>2</v>
      </c>
      <c r="N3160" s="355">
        <v>3</v>
      </c>
    </row>
    <row r="3161" spans="1:14" hidden="1" x14ac:dyDescent="0.25">
      <c r="A3161" s="354">
        <v>1</v>
      </c>
      <c r="B3161" s="354">
        <v>0</v>
      </c>
      <c r="C3161" s="354">
        <v>0</v>
      </c>
      <c r="D3161" s="354">
        <v>1</v>
      </c>
      <c r="E3161" s="354">
        <v>1</v>
      </c>
      <c r="F3161" s="354">
        <v>1</v>
      </c>
      <c r="G3161" s="354">
        <v>0</v>
      </c>
      <c r="H3161" s="354">
        <v>1</v>
      </c>
      <c r="I3161" s="354">
        <v>1</v>
      </c>
      <c r="J3161" s="354">
        <v>1</v>
      </c>
      <c r="K3161" s="354">
        <v>0</v>
      </c>
      <c r="L3161" s="354">
        <v>1</v>
      </c>
      <c r="M3161" s="355">
        <v>3</v>
      </c>
      <c r="N3161" s="355">
        <v>5</v>
      </c>
    </row>
    <row r="3162" spans="1:14" hidden="1" x14ac:dyDescent="0.25">
      <c r="A3162" s="354">
        <v>0</v>
      </c>
      <c r="B3162" s="354">
        <v>0</v>
      </c>
      <c r="C3162" s="354">
        <v>1</v>
      </c>
      <c r="D3162" s="354">
        <v>1</v>
      </c>
      <c r="E3162" s="354">
        <v>1</v>
      </c>
      <c r="F3162" s="354">
        <v>0</v>
      </c>
      <c r="G3162" s="354">
        <v>0</v>
      </c>
      <c r="H3162" s="354">
        <v>1</v>
      </c>
      <c r="I3162" s="354">
        <v>1</v>
      </c>
      <c r="J3162" s="354">
        <v>1</v>
      </c>
      <c r="K3162" s="354">
        <v>0</v>
      </c>
      <c r="L3162" s="354">
        <v>0</v>
      </c>
      <c r="M3162" s="355">
        <v>3</v>
      </c>
      <c r="N3162" s="355">
        <v>3</v>
      </c>
    </row>
    <row r="3163" spans="1:14" hidden="1" x14ac:dyDescent="0.25">
      <c r="A3163" s="354">
        <v>0</v>
      </c>
      <c r="B3163" s="354">
        <v>1</v>
      </c>
      <c r="C3163" s="354">
        <v>0</v>
      </c>
      <c r="D3163" s="354">
        <v>1</v>
      </c>
      <c r="E3163" s="354">
        <v>1</v>
      </c>
      <c r="F3163" s="354">
        <v>1</v>
      </c>
      <c r="G3163" s="354">
        <v>1</v>
      </c>
      <c r="H3163" s="354">
        <v>1</v>
      </c>
      <c r="I3163" s="354">
        <v>1</v>
      </c>
      <c r="J3163" s="354">
        <v>1</v>
      </c>
      <c r="K3163" s="354">
        <v>0</v>
      </c>
      <c r="L3163" s="354">
        <v>0</v>
      </c>
      <c r="M3163" s="355">
        <v>3</v>
      </c>
      <c r="N3163" s="355">
        <v>5</v>
      </c>
    </row>
    <row r="3164" spans="1:14" hidden="1" x14ac:dyDescent="0.25">
      <c r="A3164" s="354">
        <v>0</v>
      </c>
      <c r="B3164" s="354">
        <v>1</v>
      </c>
      <c r="C3164" s="354">
        <v>1</v>
      </c>
      <c r="D3164" s="354">
        <v>1</v>
      </c>
      <c r="E3164" s="354">
        <v>0</v>
      </c>
      <c r="F3164" s="354">
        <v>1</v>
      </c>
      <c r="G3164" s="354">
        <v>0</v>
      </c>
      <c r="H3164" s="354">
        <v>1</v>
      </c>
      <c r="I3164" s="354">
        <v>1</v>
      </c>
      <c r="J3164" s="354">
        <v>1</v>
      </c>
      <c r="K3164" s="354">
        <v>0</v>
      </c>
      <c r="L3164" s="354">
        <v>0</v>
      </c>
      <c r="M3164" s="355">
        <v>2</v>
      </c>
      <c r="N3164" s="355">
        <v>5</v>
      </c>
    </row>
    <row r="3165" spans="1:14" hidden="1" x14ac:dyDescent="0.25">
      <c r="A3165" s="354">
        <v>1</v>
      </c>
      <c r="B3165" s="354">
        <v>0</v>
      </c>
      <c r="C3165" s="354">
        <v>1</v>
      </c>
      <c r="D3165" s="354">
        <v>1</v>
      </c>
      <c r="E3165" s="354">
        <v>1</v>
      </c>
      <c r="F3165" s="354">
        <v>1</v>
      </c>
      <c r="G3165" s="354">
        <v>0</v>
      </c>
      <c r="H3165" s="354">
        <v>1</v>
      </c>
      <c r="I3165" s="354">
        <v>1</v>
      </c>
      <c r="J3165" s="354">
        <v>1</v>
      </c>
      <c r="K3165" s="354">
        <v>0</v>
      </c>
      <c r="L3165" s="354">
        <v>0</v>
      </c>
      <c r="M3165" s="355">
        <v>4</v>
      </c>
      <c r="N3165" s="355">
        <v>4</v>
      </c>
    </row>
    <row r="3166" spans="1:14" hidden="1" x14ac:dyDescent="0.25">
      <c r="A3166" s="354">
        <v>0</v>
      </c>
      <c r="B3166" s="354">
        <v>1</v>
      </c>
      <c r="C3166" s="354">
        <v>2</v>
      </c>
      <c r="D3166" s="354">
        <v>1</v>
      </c>
      <c r="E3166" s="354">
        <v>0</v>
      </c>
      <c r="F3166" s="354">
        <v>1</v>
      </c>
      <c r="G3166" s="354">
        <v>1</v>
      </c>
      <c r="H3166" s="354">
        <v>1</v>
      </c>
      <c r="I3166" s="354">
        <v>1</v>
      </c>
      <c r="J3166" s="354">
        <v>1</v>
      </c>
      <c r="K3166" s="354">
        <v>0</v>
      </c>
      <c r="L3166" s="354">
        <v>0</v>
      </c>
      <c r="M3166" s="355">
        <v>4</v>
      </c>
      <c r="N3166" s="355">
        <v>5</v>
      </c>
    </row>
    <row r="3167" spans="1:14" hidden="1" x14ac:dyDescent="0.25">
      <c r="A3167" s="354">
        <v>1</v>
      </c>
      <c r="B3167" s="354">
        <v>0</v>
      </c>
      <c r="C3167" s="354">
        <v>1</v>
      </c>
      <c r="D3167" s="354">
        <v>0</v>
      </c>
      <c r="E3167" s="354">
        <v>2</v>
      </c>
      <c r="F3167" s="354">
        <v>1</v>
      </c>
      <c r="G3167" s="354">
        <v>1</v>
      </c>
      <c r="H3167" s="354">
        <v>0</v>
      </c>
      <c r="I3167" s="354">
        <v>1</v>
      </c>
      <c r="J3167" s="354">
        <v>1</v>
      </c>
      <c r="K3167" s="354">
        <v>1</v>
      </c>
      <c r="L3167" s="354">
        <v>0</v>
      </c>
      <c r="M3167" s="355">
        <v>7</v>
      </c>
      <c r="N3167" s="355">
        <v>2</v>
      </c>
    </row>
    <row r="3168" spans="1:14" hidden="1" x14ac:dyDescent="0.25">
      <c r="A3168" s="354">
        <v>0</v>
      </c>
      <c r="B3168" s="354">
        <v>1</v>
      </c>
      <c r="C3168" s="354">
        <v>1</v>
      </c>
      <c r="D3168" s="354">
        <v>0</v>
      </c>
      <c r="E3168" s="354">
        <v>1</v>
      </c>
      <c r="F3168" s="354">
        <v>1</v>
      </c>
      <c r="G3168" s="354">
        <v>2</v>
      </c>
      <c r="H3168" s="354">
        <v>1</v>
      </c>
      <c r="I3168" s="354">
        <v>1</v>
      </c>
      <c r="J3168" s="354">
        <v>1</v>
      </c>
      <c r="K3168" s="354">
        <v>0</v>
      </c>
      <c r="L3168" s="354">
        <v>1</v>
      </c>
      <c r="M3168" s="355">
        <v>5</v>
      </c>
      <c r="N3168" s="355">
        <v>5</v>
      </c>
    </row>
    <row r="3169" spans="1:14" hidden="1" x14ac:dyDescent="0.25">
      <c r="A3169" s="354">
        <v>2</v>
      </c>
      <c r="B3169" s="354">
        <v>0</v>
      </c>
      <c r="C3169" s="354">
        <v>0</v>
      </c>
      <c r="D3169" s="354">
        <v>1</v>
      </c>
      <c r="E3169" s="354">
        <v>0</v>
      </c>
      <c r="F3169" s="354">
        <v>2</v>
      </c>
      <c r="G3169" s="354">
        <v>1</v>
      </c>
      <c r="H3169" s="354">
        <v>0</v>
      </c>
      <c r="I3169" s="354">
        <v>3</v>
      </c>
      <c r="J3169" s="354">
        <v>1</v>
      </c>
      <c r="K3169" s="354">
        <v>0</v>
      </c>
      <c r="L3169" s="354">
        <v>0</v>
      </c>
      <c r="M3169" s="355">
        <v>6</v>
      </c>
      <c r="N3169" s="355">
        <v>4</v>
      </c>
    </row>
    <row r="3170" spans="1:14" hidden="1" x14ac:dyDescent="0.25">
      <c r="A3170" s="354">
        <v>1</v>
      </c>
      <c r="B3170" s="354">
        <v>0</v>
      </c>
      <c r="C3170" s="354">
        <v>2</v>
      </c>
      <c r="D3170" s="354">
        <v>0</v>
      </c>
      <c r="E3170" s="354">
        <v>0</v>
      </c>
      <c r="F3170" s="354">
        <v>0</v>
      </c>
      <c r="G3170" s="354">
        <v>0</v>
      </c>
      <c r="H3170" s="354">
        <v>0</v>
      </c>
      <c r="I3170" s="354">
        <v>1</v>
      </c>
      <c r="J3170" s="354">
        <v>5</v>
      </c>
      <c r="K3170" s="354">
        <v>0</v>
      </c>
      <c r="L3170" s="354">
        <v>0</v>
      </c>
      <c r="M3170" s="355">
        <v>4</v>
      </c>
      <c r="N3170" s="355">
        <v>5</v>
      </c>
    </row>
    <row r="3171" spans="1:14" hidden="1" x14ac:dyDescent="0.25">
      <c r="A3171" s="354">
        <v>0</v>
      </c>
      <c r="B3171" s="354">
        <v>0</v>
      </c>
      <c r="C3171" s="354">
        <v>0</v>
      </c>
      <c r="D3171" s="354">
        <v>1</v>
      </c>
      <c r="E3171" s="354">
        <v>1</v>
      </c>
      <c r="F3171" s="354">
        <v>1</v>
      </c>
      <c r="G3171" s="354">
        <v>0</v>
      </c>
      <c r="H3171" s="354">
        <v>0</v>
      </c>
      <c r="I3171" s="354">
        <v>1</v>
      </c>
      <c r="J3171" s="354">
        <v>1</v>
      </c>
      <c r="K3171" s="354">
        <v>0</v>
      </c>
      <c r="L3171" s="354">
        <v>0</v>
      </c>
      <c r="M3171" s="355">
        <v>2</v>
      </c>
      <c r="N3171" s="355">
        <v>3</v>
      </c>
    </row>
    <row r="3172" spans="1:14" hidden="1" x14ac:dyDescent="0.25">
      <c r="A3172" s="354">
        <v>0</v>
      </c>
      <c r="B3172" s="354">
        <v>1</v>
      </c>
      <c r="C3172" s="354">
        <v>4</v>
      </c>
      <c r="D3172" s="354">
        <v>1</v>
      </c>
      <c r="E3172" s="354">
        <v>2</v>
      </c>
      <c r="F3172" s="354">
        <v>3</v>
      </c>
      <c r="G3172" s="354">
        <v>0</v>
      </c>
      <c r="H3172" s="354">
        <v>0</v>
      </c>
      <c r="I3172" s="354">
        <v>1</v>
      </c>
      <c r="J3172" s="354">
        <v>1</v>
      </c>
      <c r="K3172" s="354">
        <v>0</v>
      </c>
      <c r="L3172" s="354">
        <v>0</v>
      </c>
      <c r="M3172" s="355">
        <v>7</v>
      </c>
      <c r="N3172" s="355">
        <v>6</v>
      </c>
    </row>
    <row r="3173" spans="1:14" hidden="1" x14ac:dyDescent="0.25">
      <c r="A3173" s="354">
        <v>1</v>
      </c>
      <c r="B3173" s="354">
        <v>0</v>
      </c>
      <c r="C3173" s="354">
        <v>0</v>
      </c>
      <c r="D3173" s="354">
        <v>0</v>
      </c>
      <c r="E3173" s="354">
        <v>1</v>
      </c>
      <c r="F3173" s="354">
        <v>1</v>
      </c>
      <c r="G3173" s="354">
        <v>0</v>
      </c>
      <c r="H3173" s="354">
        <v>0</v>
      </c>
      <c r="I3173" s="354">
        <v>3</v>
      </c>
      <c r="J3173" s="354">
        <v>2</v>
      </c>
      <c r="K3173" s="354">
        <v>0</v>
      </c>
      <c r="L3173" s="354">
        <v>0</v>
      </c>
      <c r="M3173" s="355">
        <v>5</v>
      </c>
      <c r="N3173" s="355">
        <v>3</v>
      </c>
    </row>
    <row r="3174" spans="1:14" hidden="1" x14ac:dyDescent="0.25">
      <c r="A3174" s="354">
        <v>0</v>
      </c>
      <c r="B3174" s="354">
        <v>0</v>
      </c>
      <c r="C3174" s="354">
        <v>1</v>
      </c>
      <c r="D3174" s="354">
        <v>1</v>
      </c>
      <c r="E3174" s="354">
        <v>0</v>
      </c>
      <c r="F3174" s="354">
        <v>0</v>
      </c>
      <c r="G3174" s="354">
        <v>0</v>
      </c>
      <c r="H3174" s="354">
        <v>0</v>
      </c>
      <c r="I3174" s="354">
        <v>1</v>
      </c>
      <c r="J3174" s="354">
        <v>1</v>
      </c>
      <c r="K3174" s="354">
        <v>0</v>
      </c>
      <c r="L3174" s="354">
        <v>0</v>
      </c>
      <c r="M3174" s="355">
        <v>2</v>
      </c>
      <c r="N3174" s="355">
        <v>2</v>
      </c>
    </row>
    <row r="3175" spans="1:14" hidden="1" x14ac:dyDescent="0.25">
      <c r="A3175" s="354">
        <v>0</v>
      </c>
      <c r="B3175" s="354">
        <v>0</v>
      </c>
      <c r="C3175" s="354">
        <v>0</v>
      </c>
      <c r="D3175" s="354">
        <v>0</v>
      </c>
      <c r="E3175" s="354">
        <v>0</v>
      </c>
      <c r="F3175" s="354">
        <v>0</v>
      </c>
      <c r="G3175" s="354">
        <v>0</v>
      </c>
      <c r="H3175" s="354">
        <v>0</v>
      </c>
      <c r="I3175" s="354">
        <v>1</v>
      </c>
      <c r="J3175" s="354">
        <v>1</v>
      </c>
      <c r="K3175" s="354">
        <v>0</v>
      </c>
      <c r="L3175" s="354">
        <v>0</v>
      </c>
      <c r="M3175" s="355">
        <v>1</v>
      </c>
      <c r="N3175" s="355">
        <v>1</v>
      </c>
    </row>
    <row r="3176" spans="1:14" hidden="1" x14ac:dyDescent="0.25">
      <c r="A3176" s="354">
        <v>1</v>
      </c>
      <c r="B3176" s="354">
        <v>0</v>
      </c>
      <c r="C3176" s="354">
        <v>1</v>
      </c>
      <c r="D3176" s="354">
        <v>0</v>
      </c>
      <c r="E3176" s="354">
        <v>1</v>
      </c>
      <c r="F3176" s="354">
        <v>0</v>
      </c>
      <c r="G3176" s="354">
        <v>0</v>
      </c>
      <c r="H3176" s="354">
        <v>0</v>
      </c>
      <c r="I3176" s="354">
        <v>1</v>
      </c>
      <c r="J3176" s="354">
        <v>1</v>
      </c>
      <c r="K3176" s="354">
        <v>0</v>
      </c>
      <c r="L3176" s="354">
        <v>0</v>
      </c>
      <c r="M3176" s="355">
        <v>4</v>
      </c>
      <c r="N3176" s="355">
        <v>1</v>
      </c>
    </row>
    <row r="3177" spans="1:14" hidden="1" x14ac:dyDescent="0.25">
      <c r="A3177" s="354">
        <v>0</v>
      </c>
      <c r="B3177" s="354">
        <v>0</v>
      </c>
      <c r="C3177" s="354">
        <v>0</v>
      </c>
      <c r="D3177" s="354">
        <v>0</v>
      </c>
      <c r="E3177" s="354">
        <v>0</v>
      </c>
      <c r="F3177" s="354">
        <v>0</v>
      </c>
      <c r="G3177" s="354">
        <v>0</v>
      </c>
      <c r="H3177" s="354">
        <v>0</v>
      </c>
      <c r="I3177" s="354">
        <v>1</v>
      </c>
      <c r="J3177" s="354">
        <v>1</v>
      </c>
      <c r="K3177" s="354">
        <v>0</v>
      </c>
      <c r="L3177" s="354">
        <v>0</v>
      </c>
      <c r="M3177" s="355">
        <v>1</v>
      </c>
      <c r="N3177" s="355">
        <v>1</v>
      </c>
    </row>
    <row r="3178" spans="1:14" hidden="1" x14ac:dyDescent="0.25">
      <c r="A3178" s="354">
        <v>1</v>
      </c>
      <c r="B3178" s="354">
        <v>0</v>
      </c>
      <c r="C3178" s="354">
        <v>1</v>
      </c>
      <c r="D3178" s="354">
        <v>0</v>
      </c>
      <c r="E3178" s="354">
        <v>2</v>
      </c>
      <c r="F3178" s="354">
        <v>0</v>
      </c>
      <c r="G3178" s="354">
        <v>0</v>
      </c>
      <c r="H3178" s="354">
        <v>0</v>
      </c>
      <c r="I3178" s="354">
        <v>1</v>
      </c>
      <c r="J3178" s="354">
        <v>1</v>
      </c>
      <c r="K3178" s="354">
        <v>0</v>
      </c>
      <c r="L3178" s="354">
        <v>0</v>
      </c>
      <c r="M3178" s="355">
        <v>5</v>
      </c>
      <c r="N3178" s="355">
        <v>1</v>
      </c>
    </row>
    <row r="3179" spans="1:14" hidden="1" x14ac:dyDescent="0.25">
      <c r="A3179" s="354">
        <v>0</v>
      </c>
      <c r="B3179" s="354">
        <v>0</v>
      </c>
      <c r="C3179" s="354">
        <v>0</v>
      </c>
      <c r="D3179" s="354">
        <v>0</v>
      </c>
      <c r="E3179" s="354">
        <v>0</v>
      </c>
      <c r="F3179" s="354">
        <v>0</v>
      </c>
      <c r="G3179" s="354">
        <v>0</v>
      </c>
      <c r="H3179" s="354">
        <v>0</v>
      </c>
      <c r="I3179" s="354">
        <v>1</v>
      </c>
      <c r="J3179" s="354">
        <v>1</v>
      </c>
      <c r="K3179" s="354">
        <v>0</v>
      </c>
      <c r="L3179" s="354">
        <v>0</v>
      </c>
      <c r="M3179" s="355">
        <v>1</v>
      </c>
      <c r="N3179" s="355">
        <v>1</v>
      </c>
    </row>
    <row r="3180" spans="1:14" hidden="1" x14ac:dyDescent="0.25">
      <c r="A3180" s="354">
        <v>0</v>
      </c>
      <c r="B3180" s="354">
        <v>1</v>
      </c>
      <c r="C3180" s="354">
        <v>0</v>
      </c>
      <c r="D3180" s="354">
        <v>0</v>
      </c>
      <c r="E3180" s="354">
        <v>0</v>
      </c>
      <c r="F3180" s="354">
        <v>0</v>
      </c>
      <c r="G3180" s="354">
        <v>0</v>
      </c>
      <c r="H3180" s="354">
        <v>0</v>
      </c>
      <c r="I3180" s="354">
        <v>1</v>
      </c>
      <c r="J3180" s="354">
        <v>1</v>
      </c>
      <c r="K3180" s="354">
        <v>0</v>
      </c>
      <c r="L3180" s="354">
        <v>0</v>
      </c>
      <c r="M3180" s="355">
        <v>1</v>
      </c>
      <c r="N3180" s="355">
        <v>2</v>
      </c>
    </row>
    <row r="3181" spans="1:14" hidden="1" x14ac:dyDescent="0.25">
      <c r="A3181" s="354">
        <v>0</v>
      </c>
      <c r="B3181" s="354">
        <v>0</v>
      </c>
      <c r="C3181" s="354">
        <v>1</v>
      </c>
      <c r="D3181" s="354">
        <v>0</v>
      </c>
      <c r="E3181" s="354">
        <v>2</v>
      </c>
      <c r="F3181" s="354">
        <v>0</v>
      </c>
      <c r="G3181" s="354">
        <v>0</v>
      </c>
      <c r="H3181" s="354">
        <v>0</v>
      </c>
      <c r="I3181" s="354">
        <v>1</v>
      </c>
      <c r="J3181" s="354">
        <v>1</v>
      </c>
      <c r="K3181" s="354">
        <v>0</v>
      </c>
      <c r="L3181" s="354">
        <v>0</v>
      </c>
      <c r="M3181" s="355">
        <v>4</v>
      </c>
      <c r="N3181" s="355">
        <v>1</v>
      </c>
    </row>
    <row r="3182" spans="1:14" hidden="1" x14ac:dyDescent="0.25">
      <c r="A3182" s="354">
        <v>0</v>
      </c>
      <c r="B3182" s="354">
        <v>1</v>
      </c>
      <c r="C3182" s="354">
        <v>0</v>
      </c>
      <c r="D3182" s="354">
        <v>0</v>
      </c>
      <c r="E3182" s="354">
        <v>0</v>
      </c>
      <c r="F3182" s="354">
        <v>0</v>
      </c>
      <c r="G3182" s="354">
        <v>0</v>
      </c>
      <c r="H3182" s="354">
        <v>0</v>
      </c>
      <c r="I3182" s="354">
        <v>1</v>
      </c>
      <c r="J3182" s="354">
        <v>1</v>
      </c>
      <c r="K3182" s="354">
        <v>0</v>
      </c>
      <c r="L3182" s="354">
        <v>0</v>
      </c>
      <c r="M3182" s="355">
        <v>1</v>
      </c>
      <c r="N3182" s="355">
        <v>2</v>
      </c>
    </row>
    <row r="3183" spans="1:14" hidden="1" x14ac:dyDescent="0.25">
      <c r="A3183" s="354">
        <v>1</v>
      </c>
      <c r="B3183" s="354">
        <v>0</v>
      </c>
      <c r="C3183" s="354">
        <v>0</v>
      </c>
      <c r="D3183" s="354">
        <v>0</v>
      </c>
      <c r="E3183" s="354">
        <v>1</v>
      </c>
      <c r="F3183" s="354">
        <v>0</v>
      </c>
      <c r="G3183" s="354">
        <v>0</v>
      </c>
      <c r="H3183" s="354">
        <v>0</v>
      </c>
      <c r="I3183" s="354">
        <v>1</v>
      </c>
      <c r="J3183" s="354">
        <v>1</v>
      </c>
      <c r="K3183" s="354">
        <v>0</v>
      </c>
      <c r="L3183" s="354">
        <v>0</v>
      </c>
      <c r="M3183" s="355">
        <v>3</v>
      </c>
      <c r="N3183" s="355">
        <v>1</v>
      </c>
    </row>
    <row r="3184" spans="1:14" hidden="1" x14ac:dyDescent="0.25">
      <c r="A3184" s="354">
        <v>0</v>
      </c>
      <c r="B3184" s="354">
        <v>0</v>
      </c>
      <c r="C3184" s="354">
        <v>0</v>
      </c>
      <c r="D3184" s="354">
        <v>0</v>
      </c>
      <c r="E3184" s="354">
        <v>0</v>
      </c>
      <c r="F3184" s="354">
        <v>0</v>
      </c>
      <c r="G3184" s="354">
        <v>0</v>
      </c>
      <c r="H3184" s="354">
        <v>0</v>
      </c>
      <c r="I3184" s="354">
        <v>1</v>
      </c>
      <c r="J3184" s="354">
        <v>1</v>
      </c>
      <c r="K3184" s="354">
        <v>0</v>
      </c>
      <c r="L3184" s="354">
        <v>0</v>
      </c>
      <c r="M3184" s="355">
        <v>1</v>
      </c>
      <c r="N3184" s="355">
        <v>1</v>
      </c>
    </row>
    <row r="3185" spans="1:14" hidden="1" x14ac:dyDescent="0.25">
      <c r="A3185" s="354">
        <v>0</v>
      </c>
      <c r="B3185" s="354">
        <v>0</v>
      </c>
      <c r="C3185" s="354">
        <v>1</v>
      </c>
      <c r="D3185" s="354">
        <v>0</v>
      </c>
      <c r="E3185" s="354">
        <v>1</v>
      </c>
      <c r="F3185" s="354">
        <v>1</v>
      </c>
      <c r="G3185" s="354">
        <v>0</v>
      </c>
      <c r="H3185" s="354">
        <v>0</v>
      </c>
      <c r="I3185" s="354">
        <v>1</v>
      </c>
      <c r="J3185" s="354">
        <v>1</v>
      </c>
      <c r="K3185" s="354">
        <v>0</v>
      </c>
      <c r="L3185" s="354">
        <v>0</v>
      </c>
      <c r="M3185" s="355">
        <v>3</v>
      </c>
      <c r="N3185" s="355">
        <v>2</v>
      </c>
    </row>
    <row r="3186" spans="1:14" hidden="1" x14ac:dyDescent="0.25">
      <c r="A3186" s="354">
        <v>1</v>
      </c>
      <c r="B3186" s="354">
        <v>0</v>
      </c>
      <c r="C3186" s="354">
        <v>0</v>
      </c>
      <c r="D3186" s="354">
        <v>1</v>
      </c>
      <c r="E3186" s="354">
        <v>2</v>
      </c>
      <c r="F3186" s="354">
        <v>0</v>
      </c>
      <c r="G3186" s="354">
        <v>0</v>
      </c>
      <c r="H3186" s="354">
        <v>0</v>
      </c>
      <c r="I3186" s="354">
        <v>1</v>
      </c>
      <c r="J3186" s="354">
        <v>1</v>
      </c>
      <c r="K3186" s="354">
        <v>0</v>
      </c>
      <c r="L3186" s="354">
        <v>0</v>
      </c>
      <c r="M3186" s="355">
        <v>4</v>
      </c>
      <c r="N3186" s="355">
        <v>2</v>
      </c>
    </row>
    <row r="3187" spans="1:14" hidden="1" x14ac:dyDescent="0.25">
      <c r="A3187" s="354">
        <v>1</v>
      </c>
      <c r="B3187" s="354">
        <v>0</v>
      </c>
      <c r="C3187" s="354">
        <v>1</v>
      </c>
      <c r="D3187" s="354">
        <v>0</v>
      </c>
      <c r="E3187" s="354">
        <v>0</v>
      </c>
      <c r="F3187" s="354">
        <v>0</v>
      </c>
      <c r="G3187" s="354">
        <v>0</v>
      </c>
      <c r="H3187" s="354">
        <v>0</v>
      </c>
      <c r="I3187" s="354">
        <v>1</v>
      </c>
      <c r="J3187" s="354">
        <v>1</v>
      </c>
      <c r="K3187" s="354">
        <v>0</v>
      </c>
      <c r="L3187" s="354">
        <v>0</v>
      </c>
      <c r="M3187" s="355">
        <v>3</v>
      </c>
      <c r="N3187" s="355">
        <v>1</v>
      </c>
    </row>
    <row r="3188" spans="1:14" hidden="1" x14ac:dyDescent="0.25">
      <c r="A3188" s="354">
        <v>1</v>
      </c>
      <c r="B3188" s="354">
        <v>0</v>
      </c>
      <c r="C3188" s="354">
        <v>0</v>
      </c>
      <c r="D3188" s="354">
        <v>1</v>
      </c>
      <c r="E3188" s="354">
        <v>0</v>
      </c>
      <c r="F3188" s="354">
        <v>0</v>
      </c>
      <c r="G3188" s="354">
        <v>0</v>
      </c>
      <c r="H3188" s="354">
        <v>0</v>
      </c>
      <c r="I3188" s="354">
        <v>1</v>
      </c>
      <c r="J3188" s="354">
        <v>1</v>
      </c>
      <c r="K3188" s="354">
        <v>0</v>
      </c>
      <c r="L3188" s="354">
        <v>0</v>
      </c>
      <c r="M3188" s="355">
        <v>2</v>
      </c>
      <c r="N3188" s="355">
        <v>2</v>
      </c>
    </row>
    <row r="3189" spans="1:14" hidden="1" x14ac:dyDescent="0.25">
      <c r="A3189" s="354">
        <v>1</v>
      </c>
      <c r="B3189" s="354">
        <v>0</v>
      </c>
      <c r="C3189" s="354">
        <v>1</v>
      </c>
      <c r="D3189" s="354">
        <v>0</v>
      </c>
      <c r="E3189" s="354">
        <v>1</v>
      </c>
      <c r="F3189" s="354">
        <v>1</v>
      </c>
      <c r="G3189" s="354">
        <v>1</v>
      </c>
      <c r="H3189" s="354">
        <v>0</v>
      </c>
      <c r="I3189" s="354">
        <v>2</v>
      </c>
      <c r="J3189" s="354">
        <v>1</v>
      </c>
      <c r="K3189" s="354">
        <v>0</v>
      </c>
      <c r="L3189" s="354">
        <v>0</v>
      </c>
      <c r="M3189" s="355">
        <v>6</v>
      </c>
      <c r="N3189" s="355">
        <v>2</v>
      </c>
    </row>
    <row r="3190" spans="1:14" hidden="1" x14ac:dyDescent="0.25">
      <c r="A3190" s="354">
        <v>0</v>
      </c>
      <c r="B3190" s="354">
        <v>0</v>
      </c>
      <c r="C3190" s="354">
        <v>0</v>
      </c>
      <c r="D3190" s="354">
        <v>0</v>
      </c>
      <c r="E3190" s="354">
        <v>0</v>
      </c>
      <c r="F3190" s="354">
        <v>0</v>
      </c>
      <c r="G3190" s="354">
        <v>0</v>
      </c>
      <c r="H3190" s="354">
        <v>0</v>
      </c>
      <c r="I3190" s="354">
        <v>1</v>
      </c>
      <c r="J3190" s="354">
        <v>1</v>
      </c>
      <c r="K3190" s="354">
        <v>0</v>
      </c>
      <c r="L3190" s="354">
        <v>0</v>
      </c>
      <c r="M3190" s="355">
        <v>1</v>
      </c>
      <c r="N3190" s="355">
        <v>1</v>
      </c>
    </row>
    <row r="3191" spans="1:14" hidden="1" x14ac:dyDescent="0.25">
      <c r="A3191" s="354">
        <v>0</v>
      </c>
      <c r="B3191" s="354">
        <v>0</v>
      </c>
      <c r="C3191" s="354">
        <v>0</v>
      </c>
      <c r="D3191" s="354">
        <v>0</v>
      </c>
      <c r="E3191" s="354">
        <v>0</v>
      </c>
      <c r="F3191" s="354">
        <v>0</v>
      </c>
      <c r="G3191" s="354">
        <v>0</v>
      </c>
      <c r="H3191" s="354">
        <v>0</v>
      </c>
      <c r="I3191" s="354">
        <v>2</v>
      </c>
      <c r="J3191" s="354">
        <v>1</v>
      </c>
      <c r="K3191" s="354">
        <v>0</v>
      </c>
      <c r="L3191" s="354">
        <v>0</v>
      </c>
      <c r="M3191" s="355">
        <v>2</v>
      </c>
      <c r="N3191" s="355">
        <v>1</v>
      </c>
    </row>
    <row r="3192" spans="1:14" hidden="1" x14ac:dyDescent="0.25">
      <c r="A3192" s="354">
        <v>0</v>
      </c>
      <c r="B3192" s="354">
        <v>0</v>
      </c>
      <c r="C3192" s="354">
        <v>0</v>
      </c>
      <c r="D3192" s="354">
        <v>0</v>
      </c>
      <c r="E3192" s="354">
        <v>0</v>
      </c>
      <c r="F3192" s="354">
        <v>0</v>
      </c>
      <c r="G3192" s="354">
        <v>0</v>
      </c>
      <c r="H3192" s="354">
        <v>0</v>
      </c>
      <c r="I3192" s="354">
        <v>1</v>
      </c>
      <c r="J3192" s="354">
        <v>1</v>
      </c>
      <c r="K3192" s="354">
        <v>0</v>
      </c>
      <c r="L3192" s="354">
        <v>0</v>
      </c>
      <c r="M3192" s="355">
        <v>1</v>
      </c>
      <c r="N3192" s="355">
        <v>1</v>
      </c>
    </row>
    <row r="3193" spans="1:14" hidden="1" x14ac:dyDescent="0.25">
      <c r="A3193" s="354">
        <v>0</v>
      </c>
      <c r="B3193" s="354">
        <v>0</v>
      </c>
      <c r="C3193" s="354">
        <v>0</v>
      </c>
      <c r="D3193" s="354">
        <v>0</v>
      </c>
      <c r="E3193" s="354">
        <v>0</v>
      </c>
      <c r="F3193" s="354">
        <v>0</v>
      </c>
      <c r="G3193" s="354">
        <v>1</v>
      </c>
      <c r="H3193" s="354">
        <v>0</v>
      </c>
      <c r="I3193" s="354">
        <v>1</v>
      </c>
      <c r="J3193" s="354">
        <v>1</v>
      </c>
      <c r="K3193" s="354">
        <v>0</v>
      </c>
      <c r="L3193" s="354">
        <v>0</v>
      </c>
      <c r="M3193" s="355">
        <v>2</v>
      </c>
      <c r="N3193" s="355">
        <v>1</v>
      </c>
    </row>
    <row r="3194" spans="1:14" hidden="1" x14ac:dyDescent="0.25">
      <c r="A3194" s="354">
        <v>0</v>
      </c>
      <c r="B3194" s="354">
        <v>0</v>
      </c>
      <c r="C3194" s="354">
        <v>0</v>
      </c>
      <c r="D3194" s="354">
        <v>0</v>
      </c>
      <c r="E3194" s="354">
        <v>0</v>
      </c>
      <c r="F3194" s="354">
        <v>0</v>
      </c>
      <c r="G3194" s="354">
        <v>0</v>
      </c>
      <c r="H3194" s="354">
        <v>0</v>
      </c>
      <c r="I3194" s="354">
        <v>1</v>
      </c>
      <c r="J3194" s="354">
        <v>1</v>
      </c>
      <c r="K3194" s="354">
        <v>0</v>
      </c>
      <c r="L3194" s="354">
        <v>0</v>
      </c>
      <c r="M3194" s="355">
        <v>1</v>
      </c>
      <c r="N3194" s="355">
        <v>1</v>
      </c>
    </row>
    <row r="3195" spans="1:14" hidden="1" x14ac:dyDescent="0.25">
      <c r="A3195" s="354">
        <v>0</v>
      </c>
      <c r="B3195" s="354">
        <v>1</v>
      </c>
      <c r="C3195" s="354">
        <v>0</v>
      </c>
      <c r="D3195" s="354">
        <v>0</v>
      </c>
      <c r="E3195" s="354">
        <v>0</v>
      </c>
      <c r="F3195" s="354">
        <v>0</v>
      </c>
      <c r="G3195" s="354">
        <v>0</v>
      </c>
      <c r="H3195" s="354">
        <v>0</v>
      </c>
      <c r="I3195" s="354">
        <v>1</v>
      </c>
      <c r="J3195" s="354">
        <v>1</v>
      </c>
      <c r="K3195" s="354">
        <v>0</v>
      </c>
      <c r="L3195" s="354">
        <v>0</v>
      </c>
      <c r="M3195" s="355">
        <v>1</v>
      </c>
      <c r="N3195" s="355">
        <v>2</v>
      </c>
    </row>
    <row r="3196" spans="1:14" hidden="1" x14ac:dyDescent="0.25">
      <c r="A3196" s="354">
        <v>0</v>
      </c>
      <c r="B3196" s="354">
        <v>0</v>
      </c>
      <c r="C3196" s="354">
        <v>0</v>
      </c>
      <c r="D3196" s="354">
        <v>0</v>
      </c>
      <c r="E3196" s="354">
        <v>0</v>
      </c>
      <c r="F3196" s="354">
        <v>0</v>
      </c>
      <c r="G3196" s="354">
        <v>0</v>
      </c>
      <c r="H3196" s="354">
        <v>0</v>
      </c>
      <c r="I3196" s="354">
        <v>1</v>
      </c>
      <c r="J3196" s="354">
        <v>1</v>
      </c>
      <c r="K3196" s="354">
        <v>0</v>
      </c>
      <c r="L3196" s="354">
        <v>0</v>
      </c>
      <c r="M3196" s="355">
        <v>1</v>
      </c>
      <c r="N3196" s="355">
        <v>1</v>
      </c>
    </row>
    <row r="3197" spans="1:14" hidden="1" x14ac:dyDescent="0.25">
      <c r="A3197" s="354">
        <v>0</v>
      </c>
      <c r="B3197" s="354">
        <v>0</v>
      </c>
      <c r="C3197" s="354">
        <v>0</v>
      </c>
      <c r="D3197" s="354">
        <v>0</v>
      </c>
      <c r="E3197" s="354">
        <v>0</v>
      </c>
      <c r="F3197" s="354">
        <v>0</v>
      </c>
      <c r="G3197" s="354">
        <v>0</v>
      </c>
      <c r="H3197" s="354">
        <v>0</v>
      </c>
      <c r="I3197" s="354">
        <v>1</v>
      </c>
      <c r="J3197" s="354">
        <v>1</v>
      </c>
      <c r="K3197" s="354">
        <v>0</v>
      </c>
      <c r="L3197" s="354">
        <v>0</v>
      </c>
      <c r="M3197" s="355">
        <v>1</v>
      </c>
      <c r="N3197" s="355">
        <v>1</v>
      </c>
    </row>
    <row r="3198" spans="1:14" hidden="1" x14ac:dyDescent="0.25">
      <c r="A3198" s="354">
        <v>0</v>
      </c>
      <c r="B3198" s="354">
        <v>0</v>
      </c>
      <c r="C3198" s="354">
        <v>0</v>
      </c>
      <c r="D3198" s="354">
        <v>0</v>
      </c>
      <c r="E3198" s="354">
        <v>0</v>
      </c>
      <c r="F3198" s="354">
        <v>0</v>
      </c>
      <c r="G3198" s="354">
        <v>0</v>
      </c>
      <c r="H3198" s="354">
        <v>0</v>
      </c>
      <c r="I3198" s="354">
        <v>1</v>
      </c>
      <c r="J3198" s="354">
        <v>1</v>
      </c>
      <c r="K3198" s="354">
        <v>0</v>
      </c>
      <c r="L3198" s="354">
        <v>0</v>
      </c>
      <c r="M3198" s="355">
        <v>1</v>
      </c>
      <c r="N3198" s="355">
        <v>1</v>
      </c>
    </row>
    <row r="3199" spans="1:14" hidden="1" x14ac:dyDescent="0.25">
      <c r="A3199" s="354">
        <v>0</v>
      </c>
      <c r="B3199" s="354">
        <v>1</v>
      </c>
      <c r="C3199" s="354">
        <v>0</v>
      </c>
      <c r="D3199" s="354">
        <v>1</v>
      </c>
      <c r="E3199" s="354">
        <v>0</v>
      </c>
      <c r="F3199" s="354">
        <v>2</v>
      </c>
      <c r="G3199" s="354">
        <v>1</v>
      </c>
      <c r="H3199" s="354">
        <v>0</v>
      </c>
      <c r="I3199" s="354">
        <v>1</v>
      </c>
      <c r="J3199" s="354">
        <v>1</v>
      </c>
      <c r="K3199" s="354">
        <v>0</v>
      </c>
      <c r="L3199" s="354">
        <v>0</v>
      </c>
      <c r="M3199" s="355">
        <v>2</v>
      </c>
      <c r="N3199" s="355">
        <v>5</v>
      </c>
    </row>
    <row r="3200" spans="1:14" hidden="1" x14ac:dyDescent="0.25">
      <c r="A3200" s="354">
        <v>0</v>
      </c>
      <c r="B3200" s="354">
        <v>0</v>
      </c>
      <c r="C3200" s="354">
        <v>1</v>
      </c>
      <c r="D3200" s="354">
        <v>0</v>
      </c>
      <c r="E3200" s="354">
        <v>1</v>
      </c>
      <c r="F3200" s="354">
        <v>0</v>
      </c>
      <c r="G3200" s="354">
        <v>1</v>
      </c>
      <c r="H3200" s="354">
        <v>0</v>
      </c>
      <c r="I3200" s="354">
        <v>1</v>
      </c>
      <c r="J3200" s="354">
        <v>2</v>
      </c>
      <c r="K3200" s="354">
        <v>0</v>
      </c>
      <c r="L3200" s="354">
        <v>0</v>
      </c>
      <c r="M3200" s="355">
        <v>4</v>
      </c>
      <c r="N3200" s="355">
        <v>2</v>
      </c>
    </row>
    <row r="3201" spans="1:14" hidden="1" x14ac:dyDescent="0.25">
      <c r="A3201" s="354">
        <v>0</v>
      </c>
      <c r="B3201" s="354">
        <v>1</v>
      </c>
      <c r="C3201" s="354">
        <v>1</v>
      </c>
      <c r="D3201" s="354">
        <v>0</v>
      </c>
      <c r="E3201" s="354">
        <v>0</v>
      </c>
      <c r="F3201" s="354">
        <v>1</v>
      </c>
      <c r="G3201" s="354">
        <v>0</v>
      </c>
      <c r="H3201" s="354">
        <v>1</v>
      </c>
      <c r="I3201" s="354">
        <v>1</v>
      </c>
      <c r="J3201" s="354">
        <v>1</v>
      </c>
      <c r="K3201" s="354">
        <v>0</v>
      </c>
      <c r="L3201" s="354">
        <v>0</v>
      </c>
      <c r="M3201" s="355">
        <v>2</v>
      </c>
      <c r="N3201" s="355">
        <v>4</v>
      </c>
    </row>
    <row r="3202" spans="1:14" hidden="1" x14ac:dyDescent="0.25">
      <c r="A3202" s="354">
        <v>0</v>
      </c>
      <c r="B3202" s="354">
        <v>1</v>
      </c>
      <c r="C3202" s="354">
        <v>0</v>
      </c>
      <c r="D3202" s="354">
        <v>1</v>
      </c>
      <c r="E3202" s="354">
        <v>0</v>
      </c>
      <c r="F3202" s="354">
        <v>1</v>
      </c>
      <c r="G3202" s="354">
        <v>0</v>
      </c>
      <c r="H3202" s="354">
        <v>0</v>
      </c>
      <c r="I3202" s="354">
        <v>1</v>
      </c>
      <c r="J3202" s="354">
        <v>1</v>
      </c>
      <c r="K3202" s="354">
        <v>0</v>
      </c>
      <c r="L3202" s="354">
        <v>0</v>
      </c>
      <c r="M3202" s="355">
        <v>1</v>
      </c>
      <c r="N3202" s="355">
        <v>4</v>
      </c>
    </row>
    <row r="3203" spans="1:14" hidden="1" x14ac:dyDescent="0.25">
      <c r="A3203" s="354">
        <v>1</v>
      </c>
      <c r="B3203" s="354">
        <v>0</v>
      </c>
      <c r="C3203" s="354">
        <v>0</v>
      </c>
      <c r="D3203" s="354">
        <v>0</v>
      </c>
      <c r="E3203" s="354">
        <v>1</v>
      </c>
      <c r="F3203" s="354">
        <v>1</v>
      </c>
      <c r="G3203" s="354">
        <v>0</v>
      </c>
      <c r="H3203" s="354">
        <v>0</v>
      </c>
      <c r="I3203" s="354">
        <v>1</v>
      </c>
      <c r="J3203" s="354">
        <v>1</v>
      </c>
      <c r="K3203" s="354">
        <v>0</v>
      </c>
      <c r="L3203" s="354">
        <v>0</v>
      </c>
      <c r="M3203" s="355">
        <v>3</v>
      </c>
      <c r="N3203" s="355">
        <v>2</v>
      </c>
    </row>
    <row r="3204" spans="1:14" hidden="1" x14ac:dyDescent="0.25">
      <c r="A3204" s="354">
        <v>0</v>
      </c>
      <c r="B3204" s="354">
        <v>0</v>
      </c>
      <c r="C3204" s="354">
        <v>0</v>
      </c>
      <c r="D3204" s="354">
        <v>0</v>
      </c>
      <c r="E3204" s="354">
        <v>0</v>
      </c>
      <c r="F3204" s="354">
        <v>0</v>
      </c>
      <c r="G3204" s="354">
        <v>0</v>
      </c>
      <c r="H3204" s="354">
        <v>0</v>
      </c>
      <c r="I3204" s="354">
        <v>0</v>
      </c>
      <c r="J3204" s="354">
        <v>1</v>
      </c>
      <c r="K3204" s="354">
        <v>0</v>
      </c>
      <c r="L3204" s="354">
        <v>0</v>
      </c>
      <c r="M3204" s="355">
        <v>0</v>
      </c>
      <c r="N3204" s="355">
        <v>1</v>
      </c>
    </row>
    <row r="3205" spans="1:14" hidden="1" x14ac:dyDescent="0.25">
      <c r="A3205" s="354">
        <v>1</v>
      </c>
      <c r="B3205" s="354">
        <v>0</v>
      </c>
      <c r="C3205" s="354">
        <v>0</v>
      </c>
      <c r="D3205" s="354">
        <v>0</v>
      </c>
      <c r="E3205" s="354">
        <v>0</v>
      </c>
      <c r="F3205" s="354">
        <v>0</v>
      </c>
      <c r="G3205" s="354">
        <v>0</v>
      </c>
      <c r="H3205" s="354">
        <v>0</v>
      </c>
      <c r="I3205" s="354">
        <v>0</v>
      </c>
      <c r="J3205" s="354">
        <v>0</v>
      </c>
      <c r="K3205" s="354">
        <v>0</v>
      </c>
      <c r="L3205" s="354">
        <v>0</v>
      </c>
      <c r="M3205" s="355">
        <v>1</v>
      </c>
      <c r="N3205" s="355">
        <v>0</v>
      </c>
    </row>
    <row r="3206" spans="1:14" hidden="1" x14ac:dyDescent="0.25">
      <c r="A3206" s="354">
        <v>1</v>
      </c>
      <c r="B3206" s="354">
        <v>0</v>
      </c>
      <c r="C3206" s="354">
        <v>0</v>
      </c>
      <c r="D3206" s="354">
        <v>1</v>
      </c>
      <c r="E3206" s="354">
        <v>1</v>
      </c>
      <c r="F3206" s="354">
        <v>1</v>
      </c>
      <c r="G3206" s="354">
        <v>1</v>
      </c>
      <c r="H3206" s="354">
        <v>0</v>
      </c>
      <c r="I3206" s="354">
        <v>1</v>
      </c>
      <c r="J3206" s="354">
        <v>2</v>
      </c>
      <c r="K3206" s="354">
        <v>0</v>
      </c>
      <c r="L3206" s="354">
        <v>0</v>
      </c>
      <c r="M3206" s="355">
        <v>4</v>
      </c>
      <c r="N3206" s="355">
        <v>4</v>
      </c>
    </row>
    <row r="3207" spans="1:14" hidden="1" x14ac:dyDescent="0.25">
      <c r="A3207" s="354">
        <v>0</v>
      </c>
      <c r="B3207" s="354">
        <v>0</v>
      </c>
      <c r="C3207" s="354">
        <v>0</v>
      </c>
      <c r="D3207" s="354">
        <v>0</v>
      </c>
      <c r="E3207" s="354">
        <v>1</v>
      </c>
      <c r="F3207" s="354">
        <v>0</v>
      </c>
      <c r="G3207" s="354">
        <v>0</v>
      </c>
      <c r="H3207" s="354">
        <v>0</v>
      </c>
      <c r="I3207" s="354">
        <v>1</v>
      </c>
      <c r="J3207" s="354">
        <v>1</v>
      </c>
      <c r="K3207" s="354">
        <v>0</v>
      </c>
      <c r="L3207" s="354">
        <v>0</v>
      </c>
      <c r="M3207" s="355">
        <v>2</v>
      </c>
      <c r="N3207" s="355">
        <v>1</v>
      </c>
    </row>
    <row r="3208" spans="1:14" hidden="1" x14ac:dyDescent="0.25">
      <c r="A3208" s="354">
        <v>0</v>
      </c>
      <c r="B3208" s="354">
        <v>0</v>
      </c>
      <c r="C3208" s="354">
        <v>1</v>
      </c>
      <c r="D3208" s="354">
        <v>0</v>
      </c>
      <c r="E3208" s="354">
        <v>1</v>
      </c>
      <c r="F3208" s="354">
        <v>1</v>
      </c>
      <c r="G3208" s="354">
        <v>2</v>
      </c>
      <c r="H3208" s="354">
        <v>1</v>
      </c>
      <c r="I3208" s="354">
        <v>1</v>
      </c>
      <c r="J3208" s="354">
        <v>1</v>
      </c>
      <c r="K3208" s="354">
        <v>0</v>
      </c>
      <c r="L3208" s="354">
        <v>0</v>
      </c>
      <c r="M3208" s="355">
        <v>5</v>
      </c>
      <c r="N3208" s="355">
        <v>3</v>
      </c>
    </row>
    <row r="3209" spans="1:14" hidden="1" x14ac:dyDescent="0.25">
      <c r="A3209" s="354">
        <v>0</v>
      </c>
      <c r="B3209" s="354">
        <v>1</v>
      </c>
      <c r="C3209" s="354">
        <v>0</v>
      </c>
      <c r="D3209" s="354">
        <v>1</v>
      </c>
      <c r="E3209" s="354">
        <v>1</v>
      </c>
      <c r="F3209" s="354">
        <v>0</v>
      </c>
      <c r="G3209" s="354">
        <v>0</v>
      </c>
      <c r="H3209" s="354">
        <v>1</v>
      </c>
      <c r="I3209" s="354">
        <v>1</v>
      </c>
      <c r="J3209" s="354">
        <v>1</v>
      </c>
      <c r="K3209" s="354">
        <v>0</v>
      </c>
      <c r="L3209" s="354">
        <v>0</v>
      </c>
      <c r="M3209" s="355">
        <v>2</v>
      </c>
      <c r="N3209" s="355">
        <v>4</v>
      </c>
    </row>
    <row r="3210" spans="1:14" hidden="1" x14ac:dyDescent="0.25">
      <c r="A3210" s="354">
        <v>0</v>
      </c>
      <c r="B3210" s="354">
        <v>1</v>
      </c>
      <c r="C3210" s="354">
        <v>1</v>
      </c>
      <c r="D3210" s="354">
        <v>0</v>
      </c>
      <c r="E3210" s="354">
        <v>1</v>
      </c>
      <c r="F3210" s="354">
        <v>0</v>
      </c>
      <c r="G3210" s="354">
        <v>0</v>
      </c>
      <c r="H3210" s="354">
        <v>1</v>
      </c>
      <c r="I3210" s="354">
        <v>1</v>
      </c>
      <c r="J3210" s="354">
        <v>1</v>
      </c>
      <c r="K3210" s="354">
        <v>0</v>
      </c>
      <c r="L3210" s="354">
        <v>0</v>
      </c>
      <c r="M3210" s="355">
        <v>3</v>
      </c>
      <c r="N3210" s="355">
        <v>3</v>
      </c>
    </row>
    <row r="3211" spans="1:14" hidden="1" x14ac:dyDescent="0.25">
      <c r="A3211" s="354">
        <v>0</v>
      </c>
      <c r="B3211" s="354">
        <v>0</v>
      </c>
      <c r="C3211" s="354">
        <v>1</v>
      </c>
      <c r="D3211" s="354">
        <v>0</v>
      </c>
      <c r="E3211" s="354">
        <v>1</v>
      </c>
      <c r="F3211" s="354">
        <v>1</v>
      </c>
      <c r="G3211" s="354">
        <v>0</v>
      </c>
      <c r="H3211" s="354">
        <v>2</v>
      </c>
      <c r="I3211" s="354">
        <v>1</v>
      </c>
      <c r="J3211" s="354">
        <v>2</v>
      </c>
      <c r="K3211" s="354">
        <v>0</v>
      </c>
      <c r="L3211" s="354">
        <v>0</v>
      </c>
      <c r="M3211" s="355">
        <v>3</v>
      </c>
      <c r="N3211" s="355">
        <v>5</v>
      </c>
    </row>
    <row r="3212" spans="1:14" hidden="1" x14ac:dyDescent="0.25">
      <c r="A3212" s="354">
        <v>1</v>
      </c>
      <c r="B3212" s="354">
        <v>0</v>
      </c>
      <c r="C3212" s="354">
        <v>1</v>
      </c>
      <c r="D3212" s="354">
        <v>0</v>
      </c>
      <c r="E3212" s="354">
        <v>0</v>
      </c>
      <c r="F3212" s="354">
        <v>0</v>
      </c>
      <c r="G3212" s="354">
        <v>0</v>
      </c>
      <c r="H3212" s="354">
        <v>0</v>
      </c>
      <c r="I3212" s="354">
        <v>1</v>
      </c>
      <c r="J3212" s="354">
        <v>1</v>
      </c>
      <c r="K3212" s="354">
        <v>0</v>
      </c>
      <c r="L3212" s="354">
        <v>0</v>
      </c>
      <c r="M3212" s="355">
        <v>3</v>
      </c>
      <c r="N3212" s="355">
        <v>1</v>
      </c>
    </row>
    <row r="3213" spans="1:14" hidden="1" x14ac:dyDescent="0.25">
      <c r="A3213" s="354">
        <v>0</v>
      </c>
      <c r="B3213" s="354">
        <v>0</v>
      </c>
      <c r="C3213" s="354">
        <v>1</v>
      </c>
      <c r="D3213" s="354">
        <v>0</v>
      </c>
      <c r="E3213" s="354">
        <v>2</v>
      </c>
      <c r="F3213" s="354">
        <v>1</v>
      </c>
      <c r="G3213" s="354">
        <v>0</v>
      </c>
      <c r="H3213" s="354">
        <v>2</v>
      </c>
      <c r="I3213" s="354">
        <v>1</v>
      </c>
      <c r="J3213" s="354">
        <v>2</v>
      </c>
      <c r="K3213" s="354">
        <v>0</v>
      </c>
      <c r="L3213" s="354">
        <v>0</v>
      </c>
      <c r="M3213" s="355">
        <v>4</v>
      </c>
      <c r="N3213" s="355">
        <v>5</v>
      </c>
    </row>
    <row r="3214" spans="1:14" hidden="1" x14ac:dyDescent="0.25">
      <c r="A3214" s="354">
        <v>1</v>
      </c>
      <c r="B3214" s="354">
        <v>0</v>
      </c>
      <c r="C3214" s="354">
        <v>2</v>
      </c>
      <c r="D3214" s="354">
        <v>1</v>
      </c>
      <c r="E3214" s="354">
        <v>0</v>
      </c>
      <c r="F3214" s="354">
        <v>1</v>
      </c>
      <c r="G3214" s="354">
        <v>0</v>
      </c>
      <c r="H3214" s="354">
        <v>0</v>
      </c>
      <c r="I3214" s="354">
        <v>1</v>
      </c>
      <c r="J3214" s="354">
        <v>1</v>
      </c>
      <c r="K3214" s="354">
        <v>0</v>
      </c>
      <c r="L3214" s="354">
        <v>0</v>
      </c>
      <c r="M3214" s="355">
        <v>4</v>
      </c>
      <c r="N3214" s="355">
        <v>3</v>
      </c>
    </row>
    <row r="3215" spans="1:14" hidden="1" x14ac:dyDescent="0.25">
      <c r="A3215" s="354">
        <v>0</v>
      </c>
      <c r="B3215" s="354">
        <v>0</v>
      </c>
      <c r="C3215" s="354">
        <v>1</v>
      </c>
      <c r="D3215" s="354">
        <v>1</v>
      </c>
      <c r="E3215" s="354">
        <v>0</v>
      </c>
      <c r="F3215" s="354">
        <v>1</v>
      </c>
      <c r="G3215" s="354">
        <v>0</v>
      </c>
      <c r="H3215" s="354">
        <v>0</v>
      </c>
      <c r="I3215" s="354">
        <v>1</v>
      </c>
      <c r="J3215" s="354">
        <v>1</v>
      </c>
      <c r="K3215" s="354">
        <v>0</v>
      </c>
      <c r="L3215" s="354">
        <v>0</v>
      </c>
      <c r="M3215" s="355">
        <v>2</v>
      </c>
      <c r="N3215" s="355">
        <v>3</v>
      </c>
    </row>
    <row r="3216" spans="1:14" hidden="1" x14ac:dyDescent="0.25">
      <c r="A3216" s="354">
        <v>1</v>
      </c>
      <c r="B3216" s="354">
        <v>0</v>
      </c>
      <c r="C3216" s="354">
        <v>1</v>
      </c>
      <c r="D3216" s="354">
        <v>0</v>
      </c>
      <c r="E3216" s="354">
        <v>2</v>
      </c>
      <c r="F3216" s="354">
        <v>0</v>
      </c>
      <c r="G3216" s="354">
        <v>2</v>
      </c>
      <c r="H3216" s="354">
        <v>0</v>
      </c>
      <c r="I3216" s="354">
        <v>1</v>
      </c>
      <c r="J3216" s="354">
        <v>2</v>
      </c>
      <c r="K3216" s="354">
        <v>0</v>
      </c>
      <c r="L3216" s="354">
        <v>0</v>
      </c>
      <c r="M3216" s="355">
        <v>7</v>
      </c>
      <c r="N3216" s="355">
        <v>2</v>
      </c>
    </row>
    <row r="3217" spans="1:14" hidden="1" x14ac:dyDescent="0.25">
      <c r="A3217" s="354">
        <v>0</v>
      </c>
      <c r="B3217" s="354">
        <v>1</v>
      </c>
      <c r="C3217" s="354">
        <v>0</v>
      </c>
      <c r="D3217" s="354">
        <v>1</v>
      </c>
      <c r="E3217" s="354">
        <v>0</v>
      </c>
      <c r="F3217" s="354">
        <v>1</v>
      </c>
      <c r="G3217" s="354">
        <v>0</v>
      </c>
      <c r="H3217" s="354">
        <v>1</v>
      </c>
      <c r="I3217" s="354">
        <v>1</v>
      </c>
      <c r="J3217" s="354">
        <v>1</v>
      </c>
      <c r="K3217" s="354">
        <v>0</v>
      </c>
      <c r="L3217" s="354">
        <v>0</v>
      </c>
      <c r="M3217" s="355">
        <v>1</v>
      </c>
      <c r="N3217" s="355">
        <v>5</v>
      </c>
    </row>
    <row r="3218" spans="1:14" hidden="1" x14ac:dyDescent="0.25">
      <c r="A3218" s="354">
        <v>0</v>
      </c>
      <c r="B3218" s="354">
        <v>1</v>
      </c>
      <c r="C3218" s="354">
        <v>2</v>
      </c>
      <c r="D3218" s="354">
        <v>0</v>
      </c>
      <c r="E3218" s="354">
        <v>1</v>
      </c>
      <c r="F3218" s="354">
        <v>1</v>
      </c>
      <c r="G3218" s="354">
        <v>1</v>
      </c>
      <c r="H3218" s="354">
        <v>2</v>
      </c>
      <c r="I3218" s="354">
        <v>1</v>
      </c>
      <c r="J3218" s="354">
        <v>2</v>
      </c>
      <c r="K3218" s="354">
        <v>0</v>
      </c>
      <c r="L3218" s="354">
        <v>0</v>
      </c>
      <c r="M3218" s="355">
        <v>5</v>
      </c>
      <c r="N3218" s="355">
        <v>6</v>
      </c>
    </row>
    <row r="3219" spans="1:14" hidden="1" x14ac:dyDescent="0.25">
      <c r="A3219" s="354">
        <v>1</v>
      </c>
      <c r="B3219" s="354">
        <v>0</v>
      </c>
      <c r="C3219" s="354">
        <v>1</v>
      </c>
      <c r="D3219" s="354">
        <v>1</v>
      </c>
      <c r="E3219" s="354">
        <v>0</v>
      </c>
      <c r="F3219" s="354">
        <v>1</v>
      </c>
      <c r="G3219" s="354">
        <v>0</v>
      </c>
      <c r="H3219" s="354">
        <v>1</v>
      </c>
      <c r="I3219" s="354">
        <v>1</v>
      </c>
      <c r="J3219" s="354">
        <v>1</v>
      </c>
      <c r="K3219" s="354">
        <v>0</v>
      </c>
      <c r="L3219" s="354">
        <v>0</v>
      </c>
      <c r="M3219" s="355">
        <v>3</v>
      </c>
      <c r="N3219" s="355">
        <v>4</v>
      </c>
    </row>
    <row r="3220" spans="1:14" hidden="1" x14ac:dyDescent="0.25">
      <c r="A3220" s="354">
        <v>1</v>
      </c>
      <c r="B3220" s="354">
        <v>1</v>
      </c>
      <c r="C3220" s="354">
        <v>0</v>
      </c>
      <c r="D3220" s="354">
        <v>1</v>
      </c>
      <c r="E3220" s="354">
        <v>1</v>
      </c>
      <c r="F3220" s="354">
        <v>0</v>
      </c>
      <c r="G3220" s="354">
        <v>0</v>
      </c>
      <c r="H3220" s="354">
        <v>0</v>
      </c>
      <c r="I3220" s="354">
        <v>1</v>
      </c>
      <c r="J3220" s="354">
        <v>1</v>
      </c>
      <c r="K3220" s="354">
        <v>0</v>
      </c>
      <c r="L3220" s="354">
        <v>0</v>
      </c>
      <c r="M3220" s="355">
        <v>3</v>
      </c>
      <c r="N3220" s="355">
        <v>3</v>
      </c>
    </row>
    <row r="3221" spans="1:14" hidden="1" x14ac:dyDescent="0.25">
      <c r="A3221" s="354">
        <v>1</v>
      </c>
      <c r="B3221" s="354">
        <v>1</v>
      </c>
      <c r="C3221" s="354">
        <v>0</v>
      </c>
      <c r="D3221" s="354">
        <v>0</v>
      </c>
      <c r="E3221" s="354">
        <v>1</v>
      </c>
      <c r="F3221" s="354">
        <v>0</v>
      </c>
      <c r="G3221" s="354">
        <v>0</v>
      </c>
      <c r="H3221" s="354">
        <v>0</v>
      </c>
      <c r="I3221" s="354">
        <v>1</v>
      </c>
      <c r="J3221" s="354">
        <v>1</v>
      </c>
      <c r="K3221" s="354">
        <v>0</v>
      </c>
      <c r="L3221" s="354">
        <v>0</v>
      </c>
      <c r="M3221" s="355">
        <v>3</v>
      </c>
      <c r="N3221" s="355">
        <v>2</v>
      </c>
    </row>
    <row r="3222" spans="1:14" hidden="1" x14ac:dyDescent="0.25">
      <c r="A3222" s="354">
        <v>1</v>
      </c>
      <c r="B3222" s="354">
        <v>0</v>
      </c>
      <c r="C3222" s="354">
        <v>1</v>
      </c>
      <c r="D3222" s="354">
        <v>1</v>
      </c>
      <c r="E3222" s="354">
        <v>0</v>
      </c>
      <c r="F3222" s="354">
        <v>1</v>
      </c>
      <c r="G3222" s="354">
        <v>0</v>
      </c>
      <c r="H3222" s="354">
        <v>0</v>
      </c>
      <c r="I3222" s="354">
        <v>1</v>
      </c>
      <c r="J3222" s="354">
        <v>1</v>
      </c>
      <c r="K3222" s="354">
        <v>0</v>
      </c>
      <c r="L3222" s="354">
        <v>0</v>
      </c>
      <c r="M3222" s="355">
        <v>3</v>
      </c>
      <c r="N3222" s="355">
        <v>3</v>
      </c>
    </row>
    <row r="3223" spans="1:14" hidden="1" x14ac:dyDescent="0.25">
      <c r="A3223" s="354">
        <v>1</v>
      </c>
      <c r="B3223" s="354">
        <v>1</v>
      </c>
      <c r="C3223" s="354">
        <v>0</v>
      </c>
      <c r="D3223" s="354">
        <v>1</v>
      </c>
      <c r="E3223" s="354">
        <v>0</v>
      </c>
      <c r="F3223" s="354">
        <v>0</v>
      </c>
      <c r="G3223" s="354">
        <v>0</v>
      </c>
      <c r="H3223" s="354">
        <v>0</v>
      </c>
      <c r="I3223" s="354">
        <v>1</v>
      </c>
      <c r="J3223" s="354">
        <v>1</v>
      </c>
      <c r="K3223" s="354">
        <v>0</v>
      </c>
      <c r="L3223" s="354">
        <v>0</v>
      </c>
      <c r="M3223" s="355">
        <v>2</v>
      </c>
      <c r="N3223" s="355">
        <v>3</v>
      </c>
    </row>
    <row r="3224" spans="1:14" hidden="1" x14ac:dyDescent="0.25">
      <c r="A3224" s="354">
        <v>0</v>
      </c>
      <c r="B3224" s="354">
        <v>0</v>
      </c>
      <c r="C3224" s="354">
        <v>1</v>
      </c>
      <c r="D3224" s="354">
        <v>0</v>
      </c>
      <c r="E3224" s="354">
        <v>1</v>
      </c>
      <c r="F3224" s="354">
        <v>0</v>
      </c>
      <c r="G3224" s="354">
        <v>0</v>
      </c>
      <c r="H3224" s="354">
        <v>0</v>
      </c>
      <c r="I3224" s="354">
        <v>1</v>
      </c>
      <c r="J3224" s="354">
        <v>1</v>
      </c>
      <c r="K3224" s="354">
        <v>0</v>
      </c>
      <c r="L3224" s="354">
        <v>0</v>
      </c>
      <c r="M3224" s="355">
        <v>3</v>
      </c>
      <c r="N3224" s="355">
        <v>1</v>
      </c>
    </row>
    <row r="3225" spans="1:14" hidden="1" x14ac:dyDescent="0.25">
      <c r="A3225" s="354">
        <v>1</v>
      </c>
      <c r="B3225" s="354">
        <v>0</v>
      </c>
      <c r="C3225" s="354">
        <v>1</v>
      </c>
      <c r="D3225" s="354">
        <v>1</v>
      </c>
      <c r="E3225" s="354">
        <v>0</v>
      </c>
      <c r="F3225" s="354">
        <v>1</v>
      </c>
      <c r="G3225" s="354">
        <v>1</v>
      </c>
      <c r="H3225" s="354">
        <v>0</v>
      </c>
      <c r="I3225" s="354">
        <v>1</v>
      </c>
      <c r="J3225" s="354">
        <v>1</v>
      </c>
      <c r="K3225" s="354">
        <v>0</v>
      </c>
      <c r="L3225" s="354">
        <v>0</v>
      </c>
      <c r="M3225" s="355">
        <v>4</v>
      </c>
      <c r="N3225" s="355">
        <v>3</v>
      </c>
    </row>
    <row r="3226" spans="1:14" hidden="1" x14ac:dyDescent="0.25">
      <c r="A3226" s="354">
        <v>1</v>
      </c>
      <c r="B3226" s="354">
        <v>0</v>
      </c>
      <c r="C3226" s="354">
        <v>1</v>
      </c>
      <c r="D3226" s="354">
        <v>1</v>
      </c>
      <c r="E3226" s="354">
        <v>0</v>
      </c>
      <c r="F3226" s="354">
        <v>1</v>
      </c>
      <c r="G3226" s="354">
        <v>1</v>
      </c>
      <c r="H3226" s="354">
        <v>0</v>
      </c>
      <c r="I3226" s="354">
        <v>1</v>
      </c>
      <c r="J3226" s="354">
        <v>1</v>
      </c>
      <c r="K3226" s="354">
        <v>0</v>
      </c>
      <c r="L3226" s="354">
        <v>0</v>
      </c>
      <c r="M3226" s="355">
        <v>4</v>
      </c>
      <c r="N3226" s="355">
        <v>3</v>
      </c>
    </row>
    <row r="3227" spans="1:14" hidden="1" x14ac:dyDescent="0.25">
      <c r="A3227" s="354">
        <v>1</v>
      </c>
      <c r="B3227" s="354">
        <v>0</v>
      </c>
      <c r="C3227" s="354">
        <v>1</v>
      </c>
      <c r="D3227" s="354">
        <v>1</v>
      </c>
      <c r="E3227" s="354">
        <v>0</v>
      </c>
      <c r="F3227" s="354">
        <v>1</v>
      </c>
      <c r="G3227" s="354">
        <v>0</v>
      </c>
      <c r="H3227" s="354">
        <v>0</v>
      </c>
      <c r="I3227" s="354">
        <v>1</v>
      </c>
      <c r="J3227" s="354">
        <v>1</v>
      </c>
      <c r="K3227" s="354">
        <v>0</v>
      </c>
      <c r="L3227" s="354">
        <v>0</v>
      </c>
      <c r="M3227" s="355">
        <v>3</v>
      </c>
      <c r="N3227" s="355">
        <v>3</v>
      </c>
    </row>
    <row r="3228" spans="1:14" hidden="1" x14ac:dyDescent="0.25">
      <c r="A3228" s="354">
        <v>1</v>
      </c>
      <c r="B3228" s="354">
        <v>0</v>
      </c>
      <c r="C3228" s="354">
        <v>1</v>
      </c>
      <c r="D3228" s="354">
        <v>0</v>
      </c>
      <c r="E3228" s="354">
        <v>1</v>
      </c>
      <c r="F3228" s="354">
        <v>1</v>
      </c>
      <c r="G3228" s="354">
        <v>0</v>
      </c>
      <c r="H3228" s="354">
        <v>0</v>
      </c>
      <c r="I3228" s="354">
        <v>1</v>
      </c>
      <c r="J3228" s="354">
        <v>1</v>
      </c>
      <c r="K3228" s="354">
        <v>0</v>
      </c>
      <c r="L3228" s="354">
        <v>0</v>
      </c>
      <c r="M3228" s="355">
        <v>4</v>
      </c>
      <c r="N3228" s="355">
        <v>2</v>
      </c>
    </row>
    <row r="3229" spans="1:14" hidden="1" x14ac:dyDescent="0.25">
      <c r="A3229" s="354">
        <v>1</v>
      </c>
      <c r="B3229" s="354">
        <v>0</v>
      </c>
      <c r="C3229" s="354">
        <v>1</v>
      </c>
      <c r="D3229" s="354">
        <v>1</v>
      </c>
      <c r="E3229" s="354">
        <v>0</v>
      </c>
      <c r="F3229" s="354">
        <v>0</v>
      </c>
      <c r="G3229" s="354">
        <v>1</v>
      </c>
      <c r="H3229" s="354">
        <v>1</v>
      </c>
      <c r="I3229" s="354">
        <v>1</v>
      </c>
      <c r="J3229" s="354">
        <v>1</v>
      </c>
      <c r="K3229" s="354">
        <v>0</v>
      </c>
      <c r="L3229" s="354">
        <v>0</v>
      </c>
      <c r="M3229" s="355">
        <v>4</v>
      </c>
      <c r="N3229" s="355">
        <v>3</v>
      </c>
    </row>
    <row r="3230" spans="1:14" hidden="1" x14ac:dyDescent="0.25">
      <c r="A3230" s="354">
        <v>1</v>
      </c>
      <c r="B3230" s="354">
        <v>0</v>
      </c>
      <c r="C3230" s="354">
        <v>1</v>
      </c>
      <c r="D3230" s="354">
        <v>1</v>
      </c>
      <c r="E3230" s="354">
        <v>2</v>
      </c>
      <c r="F3230" s="354">
        <v>0</v>
      </c>
      <c r="G3230" s="354">
        <v>0</v>
      </c>
      <c r="H3230" s="354">
        <v>1</v>
      </c>
      <c r="I3230" s="354">
        <v>1</v>
      </c>
      <c r="J3230" s="354">
        <v>1</v>
      </c>
      <c r="K3230" s="354">
        <v>0</v>
      </c>
      <c r="L3230" s="354">
        <v>0</v>
      </c>
      <c r="M3230" s="355">
        <v>5</v>
      </c>
      <c r="N3230" s="355">
        <v>3</v>
      </c>
    </row>
    <row r="3231" spans="1:14" hidden="1" x14ac:dyDescent="0.25">
      <c r="A3231" s="354">
        <v>0</v>
      </c>
      <c r="B3231" s="354">
        <v>0</v>
      </c>
      <c r="C3231" s="354">
        <v>0</v>
      </c>
      <c r="D3231" s="354">
        <v>0</v>
      </c>
      <c r="E3231" s="354">
        <v>2</v>
      </c>
      <c r="F3231" s="354">
        <v>1</v>
      </c>
      <c r="G3231" s="354">
        <v>0</v>
      </c>
      <c r="H3231" s="354">
        <v>3</v>
      </c>
      <c r="I3231" s="354">
        <v>2</v>
      </c>
      <c r="J3231" s="354">
        <v>2</v>
      </c>
      <c r="K3231" s="354">
        <v>0</v>
      </c>
      <c r="L3231" s="354">
        <v>0</v>
      </c>
      <c r="M3231" s="355">
        <v>4</v>
      </c>
      <c r="N3231" s="355">
        <v>6</v>
      </c>
    </row>
    <row r="3232" spans="1:14" hidden="1" x14ac:dyDescent="0.25">
      <c r="A3232" s="354">
        <v>0</v>
      </c>
      <c r="B3232" s="354">
        <v>0</v>
      </c>
      <c r="C3232" s="354">
        <v>0</v>
      </c>
      <c r="D3232" s="354">
        <v>0</v>
      </c>
      <c r="E3232" s="354">
        <v>0</v>
      </c>
      <c r="F3232" s="354">
        <v>2</v>
      </c>
      <c r="G3232" s="354">
        <v>1</v>
      </c>
      <c r="H3232" s="354">
        <v>1</v>
      </c>
      <c r="I3232" s="354">
        <v>2</v>
      </c>
      <c r="J3232" s="354">
        <v>3</v>
      </c>
      <c r="K3232" s="354">
        <v>0</v>
      </c>
      <c r="L3232" s="354">
        <v>0</v>
      </c>
      <c r="M3232" s="355">
        <v>3</v>
      </c>
      <c r="N3232" s="355">
        <v>6</v>
      </c>
    </row>
    <row r="3233" spans="1:14" hidden="1" x14ac:dyDescent="0.25">
      <c r="A3233" s="354">
        <v>0</v>
      </c>
      <c r="B3233" s="354">
        <v>0</v>
      </c>
      <c r="C3233" s="354">
        <v>1</v>
      </c>
      <c r="D3233" s="354">
        <v>2</v>
      </c>
      <c r="E3233" s="354">
        <v>0</v>
      </c>
      <c r="F3233" s="354">
        <v>1</v>
      </c>
      <c r="G3233" s="354">
        <v>0</v>
      </c>
      <c r="H3233" s="354">
        <v>0</v>
      </c>
      <c r="I3233" s="354">
        <v>3</v>
      </c>
      <c r="J3233" s="354">
        <v>2</v>
      </c>
      <c r="K3233" s="354">
        <v>0</v>
      </c>
      <c r="L3233" s="354">
        <v>0</v>
      </c>
      <c r="M3233" s="355">
        <v>4</v>
      </c>
      <c r="N3233" s="355">
        <v>5</v>
      </c>
    </row>
    <row r="3234" spans="1:14" hidden="1" x14ac:dyDescent="0.25">
      <c r="A3234" s="354">
        <v>0</v>
      </c>
      <c r="B3234" s="354">
        <v>0</v>
      </c>
      <c r="C3234" s="354">
        <v>0</v>
      </c>
      <c r="D3234" s="354">
        <v>0</v>
      </c>
      <c r="E3234" s="354">
        <v>0</v>
      </c>
      <c r="F3234" s="354">
        <v>0</v>
      </c>
      <c r="G3234" s="354">
        <v>0</v>
      </c>
      <c r="H3234" s="354">
        <v>0</v>
      </c>
      <c r="I3234" s="354">
        <v>3</v>
      </c>
      <c r="J3234" s="354">
        <v>5</v>
      </c>
      <c r="K3234" s="354">
        <v>0</v>
      </c>
      <c r="L3234" s="354">
        <v>0</v>
      </c>
      <c r="M3234" s="355">
        <v>3</v>
      </c>
      <c r="N3234" s="355">
        <v>5</v>
      </c>
    </row>
    <row r="3235" spans="1:14" hidden="1" x14ac:dyDescent="0.25">
      <c r="A3235" s="354">
        <v>1</v>
      </c>
      <c r="B3235" s="354">
        <v>0</v>
      </c>
      <c r="C3235" s="354">
        <v>1</v>
      </c>
      <c r="D3235" s="354">
        <v>1</v>
      </c>
      <c r="E3235" s="354">
        <v>0</v>
      </c>
      <c r="F3235" s="354">
        <v>0</v>
      </c>
      <c r="G3235" s="354">
        <v>0</v>
      </c>
      <c r="H3235" s="354">
        <v>1</v>
      </c>
      <c r="I3235" s="354">
        <v>1</v>
      </c>
      <c r="J3235" s="354">
        <v>1</v>
      </c>
      <c r="K3235" s="354">
        <v>0</v>
      </c>
      <c r="L3235" s="354">
        <v>0</v>
      </c>
      <c r="M3235" s="355">
        <v>3</v>
      </c>
      <c r="N3235" s="355">
        <v>3</v>
      </c>
    </row>
    <row r="3236" spans="1:14" hidden="1" x14ac:dyDescent="0.25">
      <c r="A3236" s="354">
        <v>0</v>
      </c>
      <c r="B3236" s="354">
        <v>0</v>
      </c>
      <c r="C3236" s="354">
        <v>0</v>
      </c>
      <c r="D3236" s="354">
        <v>2</v>
      </c>
      <c r="E3236" s="354">
        <v>1</v>
      </c>
      <c r="F3236" s="354">
        <v>1</v>
      </c>
      <c r="G3236" s="354">
        <v>0</v>
      </c>
      <c r="H3236" s="354">
        <v>0</v>
      </c>
      <c r="I3236" s="354">
        <v>3</v>
      </c>
      <c r="J3236" s="354">
        <v>2</v>
      </c>
      <c r="K3236" s="354">
        <v>0</v>
      </c>
      <c r="L3236" s="354">
        <v>0</v>
      </c>
      <c r="M3236" s="355">
        <v>4</v>
      </c>
      <c r="N3236" s="355">
        <v>5</v>
      </c>
    </row>
    <row r="3237" spans="1:14" hidden="1" x14ac:dyDescent="0.25">
      <c r="A3237" s="354">
        <v>0</v>
      </c>
      <c r="B3237" s="354">
        <v>0</v>
      </c>
      <c r="C3237" s="354">
        <v>0</v>
      </c>
      <c r="D3237" s="354">
        <v>0</v>
      </c>
      <c r="E3237" s="354">
        <v>0</v>
      </c>
      <c r="F3237" s="354">
        <v>2</v>
      </c>
      <c r="G3237" s="354">
        <v>3</v>
      </c>
      <c r="H3237" s="354">
        <v>2</v>
      </c>
      <c r="I3237" s="354">
        <v>2</v>
      </c>
      <c r="J3237" s="354">
        <v>1</v>
      </c>
      <c r="K3237" s="354">
        <v>0</v>
      </c>
      <c r="L3237" s="354">
        <v>0</v>
      </c>
      <c r="M3237" s="355">
        <v>5</v>
      </c>
      <c r="N3237" s="355">
        <v>5</v>
      </c>
    </row>
    <row r="3238" spans="1:14" hidden="1" x14ac:dyDescent="0.25">
      <c r="A3238" s="354">
        <v>0</v>
      </c>
      <c r="B3238" s="354">
        <v>0</v>
      </c>
      <c r="C3238" s="354">
        <v>1</v>
      </c>
      <c r="D3238" s="354">
        <v>1</v>
      </c>
      <c r="E3238" s="354">
        <v>0</v>
      </c>
      <c r="F3238" s="354">
        <v>0</v>
      </c>
      <c r="G3238" s="354">
        <v>2</v>
      </c>
      <c r="H3238" s="354">
        <v>1</v>
      </c>
      <c r="I3238" s="354">
        <v>1</v>
      </c>
      <c r="J3238" s="354">
        <v>1</v>
      </c>
      <c r="K3238" s="354">
        <v>0</v>
      </c>
      <c r="L3238" s="354">
        <v>0</v>
      </c>
      <c r="M3238" s="355">
        <v>4</v>
      </c>
      <c r="N3238" s="355">
        <v>3</v>
      </c>
    </row>
    <row r="3239" spans="1:14" hidden="1" x14ac:dyDescent="0.25">
      <c r="A3239" s="354">
        <v>0</v>
      </c>
      <c r="B3239" s="354">
        <v>0</v>
      </c>
      <c r="C3239" s="354">
        <v>2</v>
      </c>
      <c r="D3239" s="354">
        <v>1</v>
      </c>
      <c r="E3239" s="354">
        <v>1</v>
      </c>
      <c r="F3239" s="354">
        <v>1</v>
      </c>
      <c r="G3239" s="354">
        <v>0</v>
      </c>
      <c r="H3239" s="354">
        <v>0</v>
      </c>
      <c r="I3239" s="354">
        <v>1</v>
      </c>
      <c r="J3239" s="354">
        <v>1</v>
      </c>
      <c r="K3239" s="354">
        <v>0</v>
      </c>
      <c r="L3239" s="354">
        <v>0</v>
      </c>
      <c r="M3239" s="355">
        <v>4</v>
      </c>
      <c r="N3239" s="355">
        <v>3</v>
      </c>
    </row>
    <row r="3240" spans="1:14" hidden="1" x14ac:dyDescent="0.25">
      <c r="A3240" s="354">
        <v>2</v>
      </c>
      <c r="B3240" s="354">
        <v>1</v>
      </c>
      <c r="C3240" s="354">
        <v>2</v>
      </c>
      <c r="D3240" s="354">
        <v>0</v>
      </c>
      <c r="E3240" s="354">
        <v>1</v>
      </c>
      <c r="F3240" s="354">
        <v>0</v>
      </c>
      <c r="G3240" s="354">
        <v>0</v>
      </c>
      <c r="H3240" s="354">
        <v>0</v>
      </c>
      <c r="I3240" s="354">
        <v>2</v>
      </c>
      <c r="J3240" s="354">
        <v>1</v>
      </c>
      <c r="K3240" s="354">
        <v>0</v>
      </c>
      <c r="L3240" s="354">
        <v>0</v>
      </c>
      <c r="M3240" s="355">
        <v>7</v>
      </c>
      <c r="N3240" s="355">
        <v>2</v>
      </c>
    </row>
    <row r="3241" spans="1:14" hidden="1" x14ac:dyDescent="0.25">
      <c r="A3241" s="354">
        <v>1</v>
      </c>
      <c r="B3241" s="354">
        <v>0</v>
      </c>
      <c r="C3241" s="354">
        <v>0</v>
      </c>
      <c r="D3241" s="354">
        <v>1</v>
      </c>
      <c r="E3241" s="354">
        <v>1</v>
      </c>
      <c r="F3241" s="354">
        <v>0</v>
      </c>
      <c r="G3241" s="354">
        <v>0</v>
      </c>
      <c r="H3241" s="354">
        <v>2</v>
      </c>
      <c r="I3241" s="354"/>
      <c r="J3241" s="354">
        <v>1</v>
      </c>
      <c r="K3241" s="354">
        <v>0</v>
      </c>
      <c r="L3241" s="354">
        <v>0</v>
      </c>
      <c r="M3241" s="355">
        <v>2</v>
      </c>
      <c r="N3241" s="355">
        <v>4</v>
      </c>
    </row>
    <row r="3242" spans="1:14" hidden="1" x14ac:dyDescent="0.25">
      <c r="A3242" s="354">
        <v>0</v>
      </c>
      <c r="B3242" s="354">
        <v>0</v>
      </c>
      <c r="C3242" s="354">
        <v>2</v>
      </c>
      <c r="D3242" s="354">
        <v>1</v>
      </c>
      <c r="E3242" s="354">
        <v>1</v>
      </c>
      <c r="F3242" s="354">
        <v>1</v>
      </c>
      <c r="G3242" s="354">
        <v>0</v>
      </c>
      <c r="H3242" s="354">
        <v>0</v>
      </c>
      <c r="I3242" s="354">
        <v>1</v>
      </c>
      <c r="J3242" s="354">
        <v>1</v>
      </c>
      <c r="K3242" s="354">
        <v>0</v>
      </c>
      <c r="L3242" s="354">
        <v>0</v>
      </c>
      <c r="M3242" s="355">
        <v>4</v>
      </c>
      <c r="N3242" s="355">
        <v>3</v>
      </c>
    </row>
    <row r="3243" spans="1:14" hidden="1" x14ac:dyDescent="0.25">
      <c r="A3243" s="354">
        <v>0</v>
      </c>
      <c r="B3243" s="354">
        <v>0</v>
      </c>
      <c r="C3243" s="354">
        <v>0</v>
      </c>
      <c r="D3243" s="354">
        <v>0</v>
      </c>
      <c r="E3243" s="354">
        <v>2</v>
      </c>
      <c r="F3243" s="354">
        <v>3</v>
      </c>
      <c r="G3243" s="354">
        <v>1</v>
      </c>
      <c r="H3243" s="354">
        <v>2</v>
      </c>
      <c r="I3243" s="354">
        <v>3</v>
      </c>
      <c r="J3243" s="354">
        <v>3</v>
      </c>
      <c r="K3243" s="354">
        <v>0</v>
      </c>
      <c r="L3243" s="354">
        <v>0</v>
      </c>
      <c r="M3243" s="355">
        <v>6</v>
      </c>
      <c r="N3243" s="355">
        <v>8</v>
      </c>
    </row>
    <row r="3244" spans="1:14" hidden="1" x14ac:dyDescent="0.25">
      <c r="A3244" s="354">
        <v>0</v>
      </c>
      <c r="B3244" s="354">
        <v>0</v>
      </c>
      <c r="C3244" s="354">
        <v>0</v>
      </c>
      <c r="D3244" s="354">
        <v>0</v>
      </c>
      <c r="E3244" s="354">
        <v>0</v>
      </c>
      <c r="F3244" s="354">
        <v>0</v>
      </c>
      <c r="G3244" s="354">
        <v>0</v>
      </c>
      <c r="H3244" s="354">
        <v>0</v>
      </c>
      <c r="I3244" s="354">
        <v>3</v>
      </c>
      <c r="J3244" s="354">
        <v>2</v>
      </c>
      <c r="K3244" s="354">
        <v>0</v>
      </c>
      <c r="L3244" s="354">
        <v>0</v>
      </c>
      <c r="M3244" s="355">
        <v>3</v>
      </c>
      <c r="N3244" s="355">
        <v>2</v>
      </c>
    </row>
    <row r="3245" spans="1:14" hidden="1" x14ac:dyDescent="0.25">
      <c r="A3245" s="354">
        <v>0</v>
      </c>
      <c r="B3245" s="354">
        <v>0</v>
      </c>
      <c r="C3245" s="354">
        <v>0</v>
      </c>
      <c r="D3245" s="354">
        <v>0</v>
      </c>
      <c r="E3245" s="354">
        <v>0</v>
      </c>
      <c r="F3245" s="354">
        <v>0</v>
      </c>
      <c r="G3245" s="354">
        <v>0</v>
      </c>
      <c r="H3245" s="354">
        <v>0</v>
      </c>
      <c r="I3245" s="354">
        <v>1</v>
      </c>
      <c r="J3245" s="354">
        <v>1</v>
      </c>
      <c r="K3245" s="354">
        <v>0</v>
      </c>
      <c r="L3245" s="354">
        <v>1</v>
      </c>
      <c r="M3245" s="355">
        <v>1</v>
      </c>
      <c r="N3245" s="355">
        <v>2</v>
      </c>
    </row>
    <row r="3246" spans="1:14" hidden="1" x14ac:dyDescent="0.25">
      <c r="A3246" s="354">
        <v>1</v>
      </c>
      <c r="B3246" s="354">
        <v>0</v>
      </c>
      <c r="C3246" s="354">
        <v>2</v>
      </c>
      <c r="D3246" s="354">
        <v>1</v>
      </c>
      <c r="E3246" s="354">
        <v>1</v>
      </c>
      <c r="F3246" s="354">
        <v>0</v>
      </c>
      <c r="G3246" s="354">
        <v>2</v>
      </c>
      <c r="H3246" s="354">
        <v>0</v>
      </c>
      <c r="I3246" s="354">
        <v>3</v>
      </c>
      <c r="J3246" s="354">
        <v>4</v>
      </c>
      <c r="K3246" s="354">
        <v>0</v>
      </c>
      <c r="L3246" s="354">
        <v>1</v>
      </c>
      <c r="M3246" s="355">
        <v>9</v>
      </c>
      <c r="N3246" s="355">
        <v>6</v>
      </c>
    </row>
    <row r="3247" spans="1:14" hidden="1" x14ac:dyDescent="0.25">
      <c r="A3247" s="354">
        <v>0</v>
      </c>
      <c r="B3247" s="354">
        <v>0</v>
      </c>
      <c r="C3247" s="354">
        <v>0</v>
      </c>
      <c r="D3247" s="354">
        <v>0</v>
      </c>
      <c r="E3247" s="354">
        <v>0</v>
      </c>
      <c r="F3247" s="354">
        <v>1</v>
      </c>
      <c r="G3247" s="354">
        <v>0</v>
      </c>
      <c r="H3247" s="354">
        <v>1</v>
      </c>
      <c r="I3247" s="354">
        <v>2</v>
      </c>
      <c r="J3247" s="354">
        <v>3</v>
      </c>
      <c r="K3247" s="354">
        <v>0</v>
      </c>
      <c r="L3247" s="354">
        <v>0</v>
      </c>
      <c r="M3247" s="355">
        <v>2</v>
      </c>
      <c r="N3247" s="355">
        <v>5</v>
      </c>
    </row>
    <row r="3248" spans="1:14" hidden="1" x14ac:dyDescent="0.25">
      <c r="A3248" s="354">
        <v>0</v>
      </c>
      <c r="B3248" s="354">
        <v>0</v>
      </c>
      <c r="C3248" s="354">
        <v>0</v>
      </c>
      <c r="D3248" s="354">
        <v>0</v>
      </c>
      <c r="E3248" s="354">
        <v>0</v>
      </c>
      <c r="F3248" s="354">
        <v>0</v>
      </c>
      <c r="G3248" s="354">
        <v>0</v>
      </c>
      <c r="H3248" s="354">
        <v>0</v>
      </c>
      <c r="I3248" s="354">
        <v>1</v>
      </c>
      <c r="J3248" s="354">
        <v>2</v>
      </c>
      <c r="K3248" s="354">
        <v>0</v>
      </c>
      <c r="L3248" s="354">
        <v>1</v>
      </c>
      <c r="M3248" s="355">
        <v>1</v>
      </c>
      <c r="N3248" s="355">
        <v>3</v>
      </c>
    </row>
    <row r="3249" spans="1:14" hidden="1" x14ac:dyDescent="0.25">
      <c r="A3249" s="354">
        <v>0</v>
      </c>
      <c r="B3249" s="354">
        <v>0</v>
      </c>
      <c r="C3249" s="354">
        <v>1</v>
      </c>
      <c r="D3249" s="354">
        <v>0</v>
      </c>
      <c r="E3249" s="354">
        <v>1</v>
      </c>
      <c r="F3249" s="354">
        <v>2</v>
      </c>
      <c r="G3249" s="354">
        <v>0</v>
      </c>
      <c r="H3249" s="354">
        <v>1</v>
      </c>
      <c r="I3249" s="354">
        <v>1</v>
      </c>
      <c r="J3249" s="354">
        <v>2</v>
      </c>
      <c r="K3249" s="354">
        <v>1</v>
      </c>
      <c r="L3249" s="354">
        <v>0</v>
      </c>
      <c r="M3249" s="355">
        <v>4</v>
      </c>
      <c r="N3249" s="355">
        <v>5</v>
      </c>
    </row>
    <row r="3250" spans="1:14" hidden="1" x14ac:dyDescent="0.25">
      <c r="A3250" s="354">
        <v>0</v>
      </c>
      <c r="B3250" s="354">
        <v>0</v>
      </c>
      <c r="C3250" s="354">
        <v>0</v>
      </c>
      <c r="D3250" s="354">
        <v>0</v>
      </c>
      <c r="E3250" s="354">
        <v>0</v>
      </c>
      <c r="F3250" s="354">
        <v>0</v>
      </c>
      <c r="G3250" s="354">
        <v>0</v>
      </c>
      <c r="H3250" s="354">
        <v>0</v>
      </c>
      <c r="I3250" s="354">
        <v>1</v>
      </c>
      <c r="J3250" s="354">
        <v>2</v>
      </c>
      <c r="K3250" s="354">
        <v>1</v>
      </c>
      <c r="L3250" s="354">
        <v>1</v>
      </c>
      <c r="M3250" s="355">
        <v>2</v>
      </c>
      <c r="N3250" s="355">
        <v>3</v>
      </c>
    </row>
    <row r="3251" spans="1:14" hidden="1" x14ac:dyDescent="0.25">
      <c r="A3251" s="354">
        <v>0</v>
      </c>
      <c r="B3251" s="354">
        <v>1</v>
      </c>
      <c r="C3251" s="354">
        <v>0</v>
      </c>
      <c r="D3251" s="354">
        <v>0</v>
      </c>
      <c r="E3251" s="354">
        <v>1</v>
      </c>
      <c r="F3251" s="354">
        <v>1</v>
      </c>
      <c r="G3251" s="354">
        <v>0</v>
      </c>
      <c r="H3251" s="354">
        <v>0</v>
      </c>
      <c r="I3251" s="354">
        <v>1</v>
      </c>
      <c r="J3251" s="354">
        <v>1</v>
      </c>
      <c r="K3251" s="354">
        <v>0</v>
      </c>
      <c r="L3251" s="354">
        <v>0</v>
      </c>
      <c r="M3251" s="355">
        <v>2</v>
      </c>
      <c r="N3251" s="355">
        <v>3</v>
      </c>
    </row>
    <row r="3252" spans="1:14" hidden="1" x14ac:dyDescent="0.25">
      <c r="A3252" s="354">
        <v>0</v>
      </c>
      <c r="B3252" s="354">
        <v>0</v>
      </c>
      <c r="C3252" s="354">
        <v>1</v>
      </c>
      <c r="D3252" s="354">
        <v>0</v>
      </c>
      <c r="E3252" s="354">
        <v>1</v>
      </c>
      <c r="F3252" s="354">
        <v>1</v>
      </c>
      <c r="G3252" s="354">
        <v>0</v>
      </c>
      <c r="H3252" s="354">
        <v>0</v>
      </c>
      <c r="I3252" s="354">
        <v>1</v>
      </c>
      <c r="J3252" s="354">
        <v>2</v>
      </c>
      <c r="K3252" s="354">
        <v>0</v>
      </c>
      <c r="L3252" s="354">
        <v>0</v>
      </c>
      <c r="M3252" s="355">
        <v>3</v>
      </c>
      <c r="N3252" s="355">
        <v>3</v>
      </c>
    </row>
    <row r="3253" spans="1:14" hidden="1" x14ac:dyDescent="0.25">
      <c r="A3253" s="354">
        <v>0</v>
      </c>
      <c r="B3253" s="354">
        <v>0</v>
      </c>
      <c r="C3253" s="354">
        <v>1</v>
      </c>
      <c r="D3253" s="354">
        <v>0</v>
      </c>
      <c r="E3253" s="354">
        <v>1</v>
      </c>
      <c r="F3253" s="354">
        <v>1</v>
      </c>
      <c r="G3253" s="354">
        <v>0</v>
      </c>
      <c r="H3253" s="354">
        <v>1</v>
      </c>
      <c r="I3253" s="354">
        <v>1</v>
      </c>
      <c r="J3253" s="354">
        <v>1</v>
      </c>
      <c r="K3253" s="354">
        <v>0</v>
      </c>
      <c r="L3253" s="354">
        <v>0</v>
      </c>
      <c r="M3253" s="355">
        <v>3</v>
      </c>
      <c r="N3253" s="355">
        <v>3</v>
      </c>
    </row>
    <row r="3254" spans="1:14" hidden="1" x14ac:dyDescent="0.25">
      <c r="A3254" s="354">
        <v>0</v>
      </c>
      <c r="B3254" s="354">
        <v>0</v>
      </c>
      <c r="C3254" s="354">
        <v>1</v>
      </c>
      <c r="D3254" s="354">
        <v>0</v>
      </c>
      <c r="E3254" s="354">
        <v>1</v>
      </c>
      <c r="F3254" s="354">
        <v>0</v>
      </c>
      <c r="G3254" s="354">
        <v>2</v>
      </c>
      <c r="H3254" s="354">
        <v>1</v>
      </c>
      <c r="I3254" s="354">
        <v>1</v>
      </c>
      <c r="J3254" s="354">
        <v>2</v>
      </c>
      <c r="K3254" s="354">
        <v>0</v>
      </c>
      <c r="L3254" s="354">
        <v>0</v>
      </c>
      <c r="M3254" s="355">
        <v>5</v>
      </c>
      <c r="N3254" s="355">
        <v>3</v>
      </c>
    </row>
    <row r="3255" spans="1:14" hidden="1" x14ac:dyDescent="0.25">
      <c r="A3255" s="354">
        <v>1</v>
      </c>
      <c r="B3255" s="354">
        <v>1</v>
      </c>
      <c r="C3255" s="354">
        <v>0</v>
      </c>
      <c r="D3255" s="354">
        <v>1</v>
      </c>
      <c r="E3255" s="354">
        <v>1</v>
      </c>
      <c r="F3255" s="354">
        <v>1</v>
      </c>
      <c r="G3255" s="354"/>
      <c r="H3255" s="354"/>
      <c r="I3255" s="354">
        <v>0</v>
      </c>
      <c r="J3255" s="354">
        <v>1</v>
      </c>
      <c r="K3255" s="354">
        <v>1</v>
      </c>
      <c r="L3255" s="354">
        <v>0</v>
      </c>
      <c r="M3255" s="355">
        <v>3</v>
      </c>
      <c r="N3255" s="355">
        <v>4</v>
      </c>
    </row>
    <row r="3256" spans="1:14" hidden="1" x14ac:dyDescent="0.25">
      <c r="A3256" s="354">
        <v>0</v>
      </c>
      <c r="B3256" s="354">
        <v>0</v>
      </c>
      <c r="C3256" s="354">
        <v>2</v>
      </c>
      <c r="D3256" s="354">
        <v>1</v>
      </c>
      <c r="E3256" s="354">
        <v>1</v>
      </c>
      <c r="F3256" s="354">
        <v>1</v>
      </c>
      <c r="G3256" s="354">
        <v>1</v>
      </c>
      <c r="H3256" s="354">
        <v>2</v>
      </c>
      <c r="I3256" s="354">
        <v>1</v>
      </c>
      <c r="J3256" s="354">
        <v>1</v>
      </c>
      <c r="K3256" s="354">
        <v>0</v>
      </c>
      <c r="L3256" s="354">
        <v>0</v>
      </c>
      <c r="M3256" s="355">
        <v>5</v>
      </c>
      <c r="N3256" s="355">
        <v>5</v>
      </c>
    </row>
    <row r="3257" spans="1:14" hidden="1" x14ac:dyDescent="0.25">
      <c r="A3257" s="354">
        <v>0</v>
      </c>
      <c r="B3257" s="354">
        <v>1</v>
      </c>
      <c r="C3257" s="354">
        <v>1</v>
      </c>
      <c r="D3257" s="354">
        <v>1</v>
      </c>
      <c r="E3257" s="354">
        <v>1</v>
      </c>
      <c r="F3257" s="354">
        <v>1</v>
      </c>
      <c r="G3257" s="354">
        <v>1</v>
      </c>
      <c r="H3257" s="354">
        <v>1</v>
      </c>
      <c r="I3257" s="354">
        <v>1</v>
      </c>
      <c r="J3257" s="354">
        <v>1</v>
      </c>
      <c r="K3257" s="354">
        <v>0</v>
      </c>
      <c r="L3257" s="354">
        <v>0</v>
      </c>
      <c r="M3257" s="355">
        <v>4</v>
      </c>
      <c r="N3257" s="355">
        <v>5</v>
      </c>
    </row>
    <row r="3258" spans="1:14" hidden="1" x14ac:dyDescent="0.25">
      <c r="A3258" s="354">
        <v>0</v>
      </c>
      <c r="B3258" s="354">
        <v>1</v>
      </c>
      <c r="C3258" s="354">
        <v>1</v>
      </c>
      <c r="D3258" s="354">
        <v>1</v>
      </c>
      <c r="E3258" s="354">
        <v>1</v>
      </c>
      <c r="F3258" s="354">
        <v>1</v>
      </c>
      <c r="G3258" s="354">
        <v>2</v>
      </c>
      <c r="H3258" s="354">
        <v>1</v>
      </c>
      <c r="I3258" s="354">
        <v>1</v>
      </c>
      <c r="J3258" s="354">
        <v>1</v>
      </c>
      <c r="K3258" s="354">
        <v>0</v>
      </c>
      <c r="L3258" s="354">
        <v>0</v>
      </c>
      <c r="M3258" s="355">
        <v>5</v>
      </c>
      <c r="N3258" s="355">
        <v>5</v>
      </c>
    </row>
    <row r="3259" spans="1:14" hidden="1" x14ac:dyDescent="0.25">
      <c r="A3259" s="354">
        <v>1</v>
      </c>
      <c r="B3259" s="354">
        <v>1</v>
      </c>
      <c r="C3259" s="354">
        <v>1</v>
      </c>
      <c r="D3259" s="354">
        <v>1</v>
      </c>
      <c r="E3259" s="354">
        <v>1</v>
      </c>
      <c r="F3259" s="354">
        <v>1</v>
      </c>
      <c r="G3259" s="354">
        <v>0</v>
      </c>
      <c r="H3259" s="354">
        <v>1</v>
      </c>
      <c r="I3259" s="354">
        <v>1</v>
      </c>
      <c r="J3259" s="354">
        <v>1</v>
      </c>
      <c r="K3259" s="354">
        <v>0</v>
      </c>
      <c r="L3259" s="354">
        <v>0</v>
      </c>
      <c r="M3259" s="355">
        <v>4</v>
      </c>
      <c r="N3259" s="355">
        <v>5</v>
      </c>
    </row>
    <row r="3260" spans="1:14" hidden="1" x14ac:dyDescent="0.25">
      <c r="A3260" s="354">
        <v>1</v>
      </c>
      <c r="B3260" s="354">
        <v>1</v>
      </c>
      <c r="C3260" s="354">
        <v>1</v>
      </c>
      <c r="D3260" s="354">
        <v>1</v>
      </c>
      <c r="E3260" s="354">
        <v>1</v>
      </c>
      <c r="F3260" s="354">
        <v>1</v>
      </c>
      <c r="G3260" s="354">
        <v>0</v>
      </c>
      <c r="H3260" s="354">
        <v>1</v>
      </c>
      <c r="I3260" s="354">
        <v>1</v>
      </c>
      <c r="J3260" s="354">
        <v>1</v>
      </c>
      <c r="K3260" s="354">
        <v>0</v>
      </c>
      <c r="L3260" s="354">
        <v>0</v>
      </c>
      <c r="M3260" s="355">
        <v>4</v>
      </c>
      <c r="N3260" s="355">
        <v>5</v>
      </c>
    </row>
    <row r="3261" spans="1:14" hidden="1" x14ac:dyDescent="0.25">
      <c r="A3261" s="354">
        <v>1</v>
      </c>
      <c r="B3261" s="354">
        <v>1</v>
      </c>
      <c r="C3261" s="354">
        <v>1</v>
      </c>
      <c r="D3261" s="354"/>
      <c r="E3261" s="354">
        <v>1</v>
      </c>
      <c r="F3261" s="354">
        <v>1</v>
      </c>
      <c r="G3261" s="354">
        <v>2</v>
      </c>
      <c r="H3261" s="354">
        <v>0</v>
      </c>
      <c r="I3261" s="354">
        <v>1</v>
      </c>
      <c r="J3261" s="354">
        <v>1</v>
      </c>
      <c r="K3261" s="354">
        <v>0</v>
      </c>
      <c r="L3261" s="354">
        <v>0</v>
      </c>
      <c r="M3261" s="355">
        <v>6</v>
      </c>
      <c r="N3261" s="355">
        <v>3</v>
      </c>
    </row>
    <row r="3262" spans="1:14" hidden="1" x14ac:dyDescent="0.25">
      <c r="A3262" s="354">
        <v>0</v>
      </c>
      <c r="B3262" s="354">
        <v>0</v>
      </c>
      <c r="C3262" s="354">
        <v>2</v>
      </c>
      <c r="D3262" s="354">
        <v>1</v>
      </c>
      <c r="E3262" s="354">
        <v>0</v>
      </c>
      <c r="F3262" s="354">
        <v>1</v>
      </c>
      <c r="G3262" s="354">
        <v>0</v>
      </c>
      <c r="H3262" s="354">
        <v>0</v>
      </c>
      <c r="I3262" s="354">
        <v>1</v>
      </c>
      <c r="J3262" s="354">
        <v>1</v>
      </c>
      <c r="K3262" s="354">
        <v>0</v>
      </c>
      <c r="L3262" s="354">
        <v>0</v>
      </c>
      <c r="M3262" s="355">
        <v>3</v>
      </c>
      <c r="N3262" s="355">
        <v>3</v>
      </c>
    </row>
    <row r="3263" spans="1:14" hidden="1" x14ac:dyDescent="0.25">
      <c r="A3263" s="354">
        <v>1</v>
      </c>
      <c r="B3263" s="354">
        <v>0</v>
      </c>
      <c r="C3263" s="354">
        <v>1</v>
      </c>
      <c r="D3263" s="354">
        <v>1</v>
      </c>
      <c r="E3263" s="354">
        <v>0</v>
      </c>
      <c r="F3263" s="354">
        <v>0</v>
      </c>
      <c r="G3263" s="354">
        <v>0</v>
      </c>
      <c r="H3263" s="354">
        <v>0</v>
      </c>
      <c r="I3263" s="354">
        <v>1</v>
      </c>
      <c r="J3263" s="354">
        <v>1</v>
      </c>
      <c r="K3263" s="354">
        <v>0</v>
      </c>
      <c r="L3263" s="354">
        <v>0</v>
      </c>
      <c r="M3263" s="355">
        <v>3</v>
      </c>
      <c r="N3263" s="355">
        <v>2</v>
      </c>
    </row>
    <row r="3264" spans="1:14" hidden="1" x14ac:dyDescent="0.25">
      <c r="A3264" s="354">
        <v>0</v>
      </c>
      <c r="B3264" s="354">
        <v>1</v>
      </c>
      <c r="C3264" s="354">
        <v>1</v>
      </c>
      <c r="D3264" s="354">
        <v>0</v>
      </c>
      <c r="E3264" s="354">
        <v>0</v>
      </c>
      <c r="F3264" s="354">
        <v>0</v>
      </c>
      <c r="G3264" s="354">
        <v>0</v>
      </c>
      <c r="H3264" s="354">
        <v>0</v>
      </c>
      <c r="I3264" s="354">
        <v>1</v>
      </c>
      <c r="J3264" s="354">
        <v>1</v>
      </c>
      <c r="K3264" s="354">
        <v>0</v>
      </c>
      <c r="L3264" s="354">
        <v>0</v>
      </c>
      <c r="M3264" s="355">
        <v>2</v>
      </c>
      <c r="N3264" s="355">
        <v>2</v>
      </c>
    </row>
    <row r="3265" spans="1:14" hidden="1" x14ac:dyDescent="0.25">
      <c r="A3265" s="354">
        <v>1</v>
      </c>
      <c r="B3265" s="354">
        <v>0</v>
      </c>
      <c r="C3265" s="354">
        <v>0</v>
      </c>
      <c r="D3265" s="354">
        <v>0</v>
      </c>
      <c r="E3265" s="354">
        <v>0</v>
      </c>
      <c r="F3265" s="354">
        <v>0</v>
      </c>
      <c r="G3265" s="354">
        <v>0</v>
      </c>
      <c r="H3265" s="354">
        <v>0</v>
      </c>
      <c r="I3265" s="354">
        <v>1</v>
      </c>
      <c r="J3265" s="354">
        <v>1</v>
      </c>
      <c r="K3265" s="354">
        <v>0</v>
      </c>
      <c r="L3265" s="354">
        <v>0</v>
      </c>
      <c r="M3265" s="355">
        <v>2</v>
      </c>
      <c r="N3265" s="355">
        <v>1</v>
      </c>
    </row>
    <row r="3266" spans="1:14" hidden="1" x14ac:dyDescent="0.25">
      <c r="A3266" s="354">
        <v>1</v>
      </c>
      <c r="B3266" s="354">
        <v>0</v>
      </c>
      <c r="C3266" s="354">
        <v>1</v>
      </c>
      <c r="D3266" s="354">
        <v>0</v>
      </c>
      <c r="E3266" s="354">
        <v>0</v>
      </c>
      <c r="F3266" s="354">
        <v>0</v>
      </c>
      <c r="G3266" s="354">
        <v>0</v>
      </c>
      <c r="H3266" s="354">
        <v>0</v>
      </c>
      <c r="I3266" s="354">
        <v>1</v>
      </c>
      <c r="J3266" s="354">
        <v>1</v>
      </c>
      <c r="K3266" s="354">
        <v>0</v>
      </c>
      <c r="L3266" s="354">
        <v>0</v>
      </c>
      <c r="M3266" s="355">
        <v>3</v>
      </c>
      <c r="N3266" s="355">
        <v>1</v>
      </c>
    </row>
    <row r="3267" spans="1:14" hidden="1" x14ac:dyDescent="0.25">
      <c r="A3267" s="354">
        <v>1</v>
      </c>
      <c r="B3267" s="354">
        <v>0</v>
      </c>
      <c r="C3267" s="354">
        <v>1</v>
      </c>
      <c r="D3267" s="354">
        <v>0</v>
      </c>
      <c r="E3267" s="354">
        <v>0</v>
      </c>
      <c r="F3267" s="354">
        <v>0</v>
      </c>
      <c r="G3267" s="354">
        <v>0</v>
      </c>
      <c r="H3267" s="354">
        <v>0</v>
      </c>
      <c r="I3267" s="354">
        <v>1</v>
      </c>
      <c r="J3267" s="354">
        <v>1</v>
      </c>
      <c r="K3267" s="354">
        <v>0</v>
      </c>
      <c r="L3267" s="354">
        <v>0</v>
      </c>
      <c r="M3267" s="355">
        <v>3</v>
      </c>
      <c r="N3267" s="355">
        <v>1</v>
      </c>
    </row>
    <row r="3268" spans="1:14" hidden="1" x14ac:dyDescent="0.25">
      <c r="A3268" s="354">
        <v>0</v>
      </c>
      <c r="B3268" s="354">
        <v>0</v>
      </c>
      <c r="C3268" s="354">
        <v>0</v>
      </c>
      <c r="D3268" s="354">
        <v>0</v>
      </c>
      <c r="E3268" s="354">
        <v>0</v>
      </c>
      <c r="F3268" s="354">
        <v>0</v>
      </c>
      <c r="G3268" s="354">
        <v>0</v>
      </c>
      <c r="H3268" s="354">
        <v>0</v>
      </c>
      <c r="I3268" s="354">
        <v>1</v>
      </c>
      <c r="J3268" s="354">
        <v>1</v>
      </c>
      <c r="K3268" s="354">
        <v>0</v>
      </c>
      <c r="L3268" s="354">
        <v>0</v>
      </c>
      <c r="M3268" s="355">
        <v>1</v>
      </c>
      <c r="N3268" s="355">
        <v>1</v>
      </c>
    </row>
    <row r="3269" spans="1:14" hidden="1" x14ac:dyDescent="0.25">
      <c r="A3269" s="354">
        <v>0</v>
      </c>
      <c r="B3269" s="354">
        <v>0</v>
      </c>
      <c r="C3269" s="354">
        <v>0</v>
      </c>
      <c r="D3269" s="354">
        <v>0</v>
      </c>
      <c r="E3269" s="354">
        <v>0</v>
      </c>
      <c r="F3269" s="354">
        <v>0</v>
      </c>
      <c r="G3269" s="354">
        <v>0</v>
      </c>
      <c r="H3269" s="354">
        <v>0</v>
      </c>
      <c r="I3269" s="354">
        <v>1</v>
      </c>
      <c r="J3269" s="354">
        <v>0</v>
      </c>
      <c r="K3269" s="354">
        <v>0</v>
      </c>
      <c r="L3269" s="354">
        <v>0</v>
      </c>
      <c r="M3269" s="355">
        <v>1</v>
      </c>
      <c r="N3269" s="355">
        <v>0</v>
      </c>
    </row>
    <row r="3270" spans="1:14" hidden="1" x14ac:dyDescent="0.25">
      <c r="A3270" s="354">
        <v>0</v>
      </c>
      <c r="B3270" s="354">
        <v>0</v>
      </c>
      <c r="C3270" s="354">
        <v>0</v>
      </c>
      <c r="D3270" s="354">
        <v>0</v>
      </c>
      <c r="E3270" s="354">
        <v>0</v>
      </c>
      <c r="F3270" s="354">
        <v>0</v>
      </c>
      <c r="G3270" s="354">
        <v>0</v>
      </c>
      <c r="H3270" s="354">
        <v>0</v>
      </c>
      <c r="I3270" s="354">
        <v>1</v>
      </c>
      <c r="J3270" s="354">
        <v>1</v>
      </c>
      <c r="K3270" s="354">
        <v>0</v>
      </c>
      <c r="L3270" s="354">
        <v>0</v>
      </c>
      <c r="M3270" s="355">
        <v>1</v>
      </c>
      <c r="N3270" s="355">
        <v>1</v>
      </c>
    </row>
    <row r="3271" spans="1:14" hidden="1" x14ac:dyDescent="0.25">
      <c r="A3271" s="354">
        <v>0</v>
      </c>
      <c r="B3271" s="354">
        <v>0</v>
      </c>
      <c r="C3271" s="354">
        <v>0</v>
      </c>
      <c r="D3271" s="354">
        <v>0</v>
      </c>
      <c r="E3271" s="354">
        <v>0</v>
      </c>
      <c r="F3271" s="354">
        <v>0</v>
      </c>
      <c r="G3271" s="354">
        <v>0</v>
      </c>
      <c r="H3271" s="354">
        <v>0</v>
      </c>
      <c r="I3271" s="354">
        <v>1</v>
      </c>
      <c r="J3271" s="354">
        <v>1</v>
      </c>
      <c r="K3271" s="354">
        <v>0</v>
      </c>
      <c r="L3271" s="354">
        <v>0</v>
      </c>
      <c r="M3271" s="355">
        <v>1</v>
      </c>
      <c r="N3271" s="355">
        <v>1</v>
      </c>
    </row>
    <row r="3272" spans="1:14" hidden="1" x14ac:dyDescent="0.25">
      <c r="A3272" s="354">
        <v>0</v>
      </c>
      <c r="B3272" s="354">
        <v>1</v>
      </c>
      <c r="C3272" s="354">
        <v>0</v>
      </c>
      <c r="D3272" s="354">
        <v>0</v>
      </c>
      <c r="E3272" s="354">
        <v>1</v>
      </c>
      <c r="F3272" s="354">
        <v>1</v>
      </c>
      <c r="G3272" s="354">
        <v>0</v>
      </c>
      <c r="H3272" s="354">
        <v>0</v>
      </c>
      <c r="I3272" s="354">
        <v>1</v>
      </c>
      <c r="J3272" s="354">
        <v>1</v>
      </c>
      <c r="K3272" s="354">
        <v>0</v>
      </c>
      <c r="L3272" s="354">
        <v>0</v>
      </c>
      <c r="M3272" s="355">
        <v>2</v>
      </c>
      <c r="N3272" s="355">
        <v>3</v>
      </c>
    </row>
    <row r="3273" spans="1:14" hidden="1" x14ac:dyDescent="0.25">
      <c r="A3273" s="354">
        <v>0</v>
      </c>
      <c r="B3273" s="354">
        <v>0</v>
      </c>
      <c r="C3273" s="354">
        <v>0</v>
      </c>
      <c r="D3273" s="354">
        <v>0</v>
      </c>
      <c r="E3273" s="354">
        <v>0</v>
      </c>
      <c r="F3273" s="354">
        <v>0</v>
      </c>
      <c r="G3273" s="354">
        <v>0</v>
      </c>
      <c r="H3273" s="354">
        <v>0</v>
      </c>
      <c r="I3273" s="354">
        <v>1</v>
      </c>
      <c r="J3273" s="354">
        <v>1</v>
      </c>
      <c r="K3273" s="354">
        <v>0</v>
      </c>
      <c r="L3273" s="354">
        <v>0</v>
      </c>
      <c r="M3273" s="355">
        <v>1</v>
      </c>
      <c r="N3273" s="355">
        <v>1</v>
      </c>
    </row>
    <row r="3274" spans="1:14" hidden="1" x14ac:dyDescent="0.25">
      <c r="A3274" s="354">
        <v>0</v>
      </c>
      <c r="B3274" s="354">
        <v>0</v>
      </c>
      <c r="C3274" s="354">
        <v>0</v>
      </c>
      <c r="D3274" s="354">
        <v>0</v>
      </c>
      <c r="E3274" s="354">
        <v>0</v>
      </c>
      <c r="F3274" s="354">
        <v>0</v>
      </c>
      <c r="G3274" s="354">
        <v>0</v>
      </c>
      <c r="H3274" s="354">
        <v>0</v>
      </c>
      <c r="I3274" s="354">
        <v>1</v>
      </c>
      <c r="J3274" s="354">
        <v>1</v>
      </c>
      <c r="K3274" s="354">
        <v>0</v>
      </c>
      <c r="L3274" s="354">
        <v>0</v>
      </c>
      <c r="M3274" s="355">
        <v>1</v>
      </c>
      <c r="N3274" s="355">
        <v>1</v>
      </c>
    </row>
    <row r="3275" spans="1:14" hidden="1" x14ac:dyDescent="0.25">
      <c r="A3275" s="354">
        <v>0</v>
      </c>
      <c r="B3275" s="354">
        <v>0</v>
      </c>
      <c r="C3275" s="354">
        <v>0</v>
      </c>
      <c r="D3275" s="354">
        <v>0</v>
      </c>
      <c r="E3275" s="354">
        <v>0</v>
      </c>
      <c r="F3275" s="354">
        <v>0</v>
      </c>
      <c r="G3275" s="354">
        <v>0</v>
      </c>
      <c r="H3275" s="354">
        <v>0</v>
      </c>
      <c r="I3275" s="354">
        <v>1</v>
      </c>
      <c r="J3275" s="354">
        <v>1</v>
      </c>
      <c r="K3275" s="354">
        <v>0</v>
      </c>
      <c r="L3275" s="354">
        <v>0</v>
      </c>
      <c r="M3275" s="355">
        <v>1</v>
      </c>
      <c r="N3275" s="355">
        <v>1</v>
      </c>
    </row>
    <row r="3276" spans="1:14" hidden="1" x14ac:dyDescent="0.25">
      <c r="A3276" s="354">
        <v>0</v>
      </c>
      <c r="B3276" s="354">
        <v>0</v>
      </c>
      <c r="C3276" s="354">
        <v>0</v>
      </c>
      <c r="D3276" s="354">
        <v>1</v>
      </c>
      <c r="E3276" s="354">
        <v>0</v>
      </c>
      <c r="F3276" s="354">
        <v>0</v>
      </c>
      <c r="G3276" s="354">
        <v>0</v>
      </c>
      <c r="H3276" s="354">
        <v>0</v>
      </c>
      <c r="I3276" s="354">
        <v>1</v>
      </c>
      <c r="J3276" s="354">
        <v>1</v>
      </c>
      <c r="K3276" s="354">
        <v>0</v>
      </c>
      <c r="L3276" s="354">
        <v>0</v>
      </c>
      <c r="M3276" s="355">
        <v>1</v>
      </c>
      <c r="N3276" s="355">
        <v>2</v>
      </c>
    </row>
    <row r="3277" spans="1:14" hidden="1" x14ac:dyDescent="0.25">
      <c r="A3277" s="354">
        <v>0</v>
      </c>
      <c r="B3277" s="354">
        <v>0</v>
      </c>
      <c r="C3277" s="354">
        <v>0</v>
      </c>
      <c r="D3277" s="354">
        <v>1</v>
      </c>
      <c r="E3277" s="354">
        <v>1</v>
      </c>
      <c r="F3277" s="354">
        <v>0</v>
      </c>
      <c r="G3277" s="354">
        <v>0</v>
      </c>
      <c r="H3277" s="354">
        <v>0</v>
      </c>
      <c r="I3277" s="354">
        <v>1</v>
      </c>
      <c r="J3277" s="354">
        <v>1</v>
      </c>
      <c r="K3277" s="354">
        <v>0</v>
      </c>
      <c r="L3277" s="354">
        <v>0</v>
      </c>
      <c r="M3277" s="355">
        <v>2</v>
      </c>
      <c r="N3277" s="355">
        <v>2</v>
      </c>
    </row>
    <row r="3278" spans="1:14" hidden="1" x14ac:dyDescent="0.25">
      <c r="A3278" s="354">
        <v>0</v>
      </c>
      <c r="B3278" s="354">
        <v>0</v>
      </c>
      <c r="C3278" s="354">
        <v>0</v>
      </c>
      <c r="D3278" s="354">
        <v>0</v>
      </c>
      <c r="E3278" s="354">
        <v>0</v>
      </c>
      <c r="F3278" s="354">
        <v>0</v>
      </c>
      <c r="G3278" s="354">
        <v>0</v>
      </c>
      <c r="H3278" s="354">
        <v>0</v>
      </c>
      <c r="I3278" s="354">
        <v>1</v>
      </c>
      <c r="J3278" s="354">
        <v>1</v>
      </c>
      <c r="K3278" s="354">
        <v>0</v>
      </c>
      <c r="L3278" s="354">
        <v>0</v>
      </c>
      <c r="M3278" s="355">
        <v>1</v>
      </c>
      <c r="N3278" s="355">
        <v>1</v>
      </c>
    </row>
    <row r="3279" spans="1:14" hidden="1" x14ac:dyDescent="0.25">
      <c r="A3279" s="354">
        <v>0</v>
      </c>
      <c r="B3279" s="354">
        <v>0</v>
      </c>
      <c r="C3279" s="354">
        <v>1</v>
      </c>
      <c r="D3279" s="354">
        <v>0</v>
      </c>
      <c r="E3279" s="354">
        <v>1</v>
      </c>
      <c r="F3279" s="354">
        <v>0</v>
      </c>
      <c r="G3279" s="354">
        <v>0</v>
      </c>
      <c r="H3279" s="354">
        <v>2</v>
      </c>
      <c r="I3279" s="354">
        <v>1</v>
      </c>
      <c r="J3279" s="354">
        <v>1</v>
      </c>
      <c r="K3279" s="354">
        <v>0</v>
      </c>
      <c r="L3279" s="354">
        <v>0</v>
      </c>
      <c r="M3279" s="355">
        <v>3</v>
      </c>
      <c r="N3279" s="355">
        <v>3</v>
      </c>
    </row>
    <row r="3280" spans="1:14" hidden="1" x14ac:dyDescent="0.25">
      <c r="A3280" s="354">
        <v>0</v>
      </c>
      <c r="B3280" s="354">
        <v>1</v>
      </c>
      <c r="C3280" s="354">
        <v>1</v>
      </c>
      <c r="D3280" s="354">
        <v>0</v>
      </c>
      <c r="E3280" s="354">
        <v>2</v>
      </c>
      <c r="F3280" s="354">
        <v>1</v>
      </c>
      <c r="G3280" s="354">
        <v>0</v>
      </c>
      <c r="H3280" s="354">
        <v>1</v>
      </c>
      <c r="I3280" s="354">
        <v>1</v>
      </c>
      <c r="J3280" s="354">
        <v>1</v>
      </c>
      <c r="K3280" s="354">
        <v>0</v>
      </c>
      <c r="L3280" s="354">
        <v>0</v>
      </c>
      <c r="M3280" s="355">
        <v>4</v>
      </c>
      <c r="N3280" s="355">
        <v>4</v>
      </c>
    </row>
    <row r="3281" spans="1:14" hidden="1" x14ac:dyDescent="0.25">
      <c r="A3281" s="354">
        <v>0</v>
      </c>
      <c r="B3281" s="354">
        <v>1</v>
      </c>
      <c r="C3281" s="354">
        <v>0</v>
      </c>
      <c r="D3281" s="354">
        <v>1</v>
      </c>
      <c r="E3281" s="354">
        <v>1</v>
      </c>
      <c r="F3281" s="354">
        <v>0</v>
      </c>
      <c r="G3281" s="354">
        <v>0</v>
      </c>
      <c r="H3281" s="354">
        <v>0</v>
      </c>
      <c r="I3281" s="354">
        <v>1</v>
      </c>
      <c r="J3281" s="354">
        <v>1</v>
      </c>
      <c r="K3281" s="354">
        <v>0</v>
      </c>
      <c r="L3281" s="354">
        <v>0</v>
      </c>
      <c r="M3281" s="355">
        <v>2</v>
      </c>
      <c r="N3281" s="355">
        <v>3</v>
      </c>
    </row>
    <row r="3282" spans="1:14" hidden="1" x14ac:dyDescent="0.25">
      <c r="A3282" s="354">
        <v>1</v>
      </c>
      <c r="B3282" s="354">
        <v>0</v>
      </c>
      <c r="C3282" s="354">
        <v>1</v>
      </c>
      <c r="D3282" s="354">
        <v>1</v>
      </c>
      <c r="E3282" s="354">
        <v>0</v>
      </c>
      <c r="F3282" s="354">
        <v>0</v>
      </c>
      <c r="G3282" s="354">
        <v>0</v>
      </c>
      <c r="H3282" s="354">
        <v>0</v>
      </c>
      <c r="I3282" s="354">
        <v>1</v>
      </c>
      <c r="J3282" s="354">
        <v>1</v>
      </c>
      <c r="K3282" s="354">
        <v>0</v>
      </c>
      <c r="L3282" s="354">
        <v>0</v>
      </c>
      <c r="M3282" s="355">
        <v>3</v>
      </c>
      <c r="N3282" s="355">
        <v>2</v>
      </c>
    </row>
    <row r="3283" spans="1:14" hidden="1" x14ac:dyDescent="0.25">
      <c r="A3283" s="354">
        <v>1</v>
      </c>
      <c r="B3283" s="354">
        <v>1</v>
      </c>
      <c r="C3283" s="354">
        <v>2</v>
      </c>
      <c r="D3283" s="354">
        <v>1</v>
      </c>
      <c r="E3283" s="354">
        <v>2</v>
      </c>
      <c r="F3283" s="354">
        <v>2</v>
      </c>
      <c r="G3283" s="354">
        <v>1</v>
      </c>
      <c r="H3283" s="354">
        <v>1</v>
      </c>
      <c r="I3283" s="354">
        <v>1</v>
      </c>
      <c r="J3283" s="354">
        <v>3</v>
      </c>
      <c r="K3283" s="354">
        <v>0</v>
      </c>
      <c r="L3283" s="354">
        <v>0</v>
      </c>
      <c r="M3283" s="355">
        <v>7</v>
      </c>
      <c r="N3283" s="355">
        <v>8</v>
      </c>
    </row>
    <row r="3284" spans="1:14" hidden="1" x14ac:dyDescent="0.25">
      <c r="A3284" s="354">
        <v>1</v>
      </c>
      <c r="B3284" s="354">
        <v>0</v>
      </c>
      <c r="C3284" s="354">
        <v>2</v>
      </c>
      <c r="D3284" s="354">
        <v>1</v>
      </c>
      <c r="E3284" s="354">
        <v>2</v>
      </c>
      <c r="F3284" s="354">
        <v>1</v>
      </c>
      <c r="G3284" s="354">
        <v>2</v>
      </c>
      <c r="H3284" s="354">
        <v>0</v>
      </c>
      <c r="I3284" s="354">
        <v>1</v>
      </c>
      <c r="J3284" s="354">
        <v>3</v>
      </c>
      <c r="K3284" s="354">
        <v>0</v>
      </c>
      <c r="L3284" s="354">
        <v>0</v>
      </c>
      <c r="M3284" s="355">
        <v>8</v>
      </c>
      <c r="N3284" s="355">
        <v>5</v>
      </c>
    </row>
    <row r="3285" spans="1:14" hidden="1" x14ac:dyDescent="0.25">
      <c r="A3285" s="354">
        <v>0</v>
      </c>
      <c r="B3285" s="354">
        <v>0</v>
      </c>
      <c r="C3285" s="354">
        <v>1</v>
      </c>
      <c r="D3285" s="354">
        <v>0</v>
      </c>
      <c r="E3285" s="354">
        <v>2</v>
      </c>
      <c r="F3285" s="354">
        <v>1</v>
      </c>
      <c r="G3285" s="354">
        <v>1</v>
      </c>
      <c r="H3285" s="354">
        <v>2</v>
      </c>
      <c r="I3285" s="354">
        <v>4</v>
      </c>
      <c r="J3285" s="354">
        <v>2</v>
      </c>
      <c r="K3285" s="354">
        <v>0</v>
      </c>
      <c r="L3285" s="354">
        <v>0</v>
      </c>
      <c r="M3285" s="355">
        <v>8</v>
      </c>
      <c r="N3285" s="355">
        <v>5</v>
      </c>
    </row>
    <row r="3286" spans="1:14" hidden="1" x14ac:dyDescent="0.25">
      <c r="A3286" s="354">
        <v>1</v>
      </c>
      <c r="B3286" s="354">
        <v>1</v>
      </c>
      <c r="C3286" s="354">
        <v>1</v>
      </c>
      <c r="D3286" s="354">
        <v>0</v>
      </c>
      <c r="E3286" s="354">
        <v>0</v>
      </c>
      <c r="F3286" s="354">
        <v>1</v>
      </c>
      <c r="G3286" s="354">
        <v>1</v>
      </c>
      <c r="H3286" s="354">
        <v>1</v>
      </c>
      <c r="I3286" s="354">
        <v>1</v>
      </c>
      <c r="J3286" s="354">
        <v>2</v>
      </c>
      <c r="K3286" s="354">
        <v>0</v>
      </c>
      <c r="L3286" s="354">
        <v>0</v>
      </c>
      <c r="M3286" s="355">
        <v>4</v>
      </c>
      <c r="N3286" s="355">
        <v>5</v>
      </c>
    </row>
    <row r="3287" spans="1:14" hidden="1" x14ac:dyDescent="0.25">
      <c r="A3287" s="354">
        <v>1</v>
      </c>
      <c r="B3287" s="354">
        <v>0</v>
      </c>
      <c r="C3287" s="354">
        <v>2</v>
      </c>
      <c r="D3287" s="354">
        <v>0</v>
      </c>
      <c r="E3287" s="354">
        <v>0</v>
      </c>
      <c r="F3287" s="354">
        <v>0</v>
      </c>
      <c r="G3287" s="354">
        <v>0</v>
      </c>
      <c r="H3287" s="354">
        <v>0</v>
      </c>
      <c r="I3287" s="354">
        <v>1</v>
      </c>
      <c r="J3287" s="354">
        <v>1</v>
      </c>
      <c r="K3287" s="354">
        <v>0</v>
      </c>
      <c r="L3287" s="354">
        <v>0</v>
      </c>
      <c r="M3287" s="355">
        <v>4</v>
      </c>
      <c r="N3287" s="355">
        <v>1</v>
      </c>
    </row>
    <row r="3288" spans="1:14" hidden="1" x14ac:dyDescent="0.25">
      <c r="A3288" s="354">
        <v>1</v>
      </c>
      <c r="B3288" s="354">
        <v>0</v>
      </c>
      <c r="C3288" s="354">
        <v>1</v>
      </c>
      <c r="D3288" s="354">
        <v>1</v>
      </c>
      <c r="E3288" s="354">
        <v>1</v>
      </c>
      <c r="F3288" s="354">
        <v>0</v>
      </c>
      <c r="G3288" s="354">
        <v>0</v>
      </c>
      <c r="H3288" s="354">
        <v>0</v>
      </c>
      <c r="I3288" s="354">
        <v>1</v>
      </c>
      <c r="J3288" s="354">
        <v>1</v>
      </c>
      <c r="K3288" s="354">
        <v>0</v>
      </c>
      <c r="L3288" s="354">
        <v>0</v>
      </c>
      <c r="M3288" s="355">
        <v>4</v>
      </c>
      <c r="N3288" s="355">
        <v>2</v>
      </c>
    </row>
    <row r="3289" spans="1:14" hidden="1" x14ac:dyDescent="0.25">
      <c r="A3289" s="354">
        <v>0</v>
      </c>
      <c r="B3289" s="354">
        <v>1</v>
      </c>
      <c r="C3289" s="354">
        <v>1</v>
      </c>
      <c r="D3289" s="354">
        <v>0</v>
      </c>
      <c r="E3289" s="354">
        <v>2</v>
      </c>
      <c r="F3289" s="354">
        <v>1</v>
      </c>
      <c r="G3289" s="354">
        <v>2</v>
      </c>
      <c r="H3289" s="354">
        <v>0</v>
      </c>
      <c r="I3289" s="354">
        <v>1</v>
      </c>
      <c r="J3289" s="354">
        <v>1</v>
      </c>
      <c r="K3289" s="354">
        <v>0</v>
      </c>
      <c r="L3289" s="354">
        <v>0</v>
      </c>
      <c r="M3289" s="355">
        <v>6</v>
      </c>
      <c r="N3289" s="355">
        <v>3</v>
      </c>
    </row>
    <row r="3290" spans="1:14" hidden="1" x14ac:dyDescent="0.25">
      <c r="A3290" s="354">
        <v>1</v>
      </c>
      <c r="B3290" s="354">
        <v>0</v>
      </c>
      <c r="C3290" s="354">
        <v>1</v>
      </c>
      <c r="D3290" s="354">
        <v>1</v>
      </c>
      <c r="E3290" s="354">
        <v>1</v>
      </c>
      <c r="F3290" s="354">
        <v>1</v>
      </c>
      <c r="G3290" s="354">
        <v>0</v>
      </c>
      <c r="H3290" s="354">
        <v>0</v>
      </c>
      <c r="I3290" s="354">
        <v>1</v>
      </c>
      <c r="J3290" s="354">
        <v>1</v>
      </c>
      <c r="K3290" s="354">
        <v>0</v>
      </c>
      <c r="L3290" s="354">
        <v>0</v>
      </c>
      <c r="M3290" s="355">
        <v>4</v>
      </c>
      <c r="N3290" s="355">
        <v>3</v>
      </c>
    </row>
    <row r="3291" spans="1:14" hidden="1" x14ac:dyDescent="0.25">
      <c r="A3291" s="354">
        <v>3</v>
      </c>
      <c r="B3291" s="354">
        <v>3</v>
      </c>
      <c r="C3291" s="354">
        <v>2</v>
      </c>
      <c r="D3291" s="354">
        <v>2</v>
      </c>
      <c r="E3291" s="354">
        <v>1</v>
      </c>
      <c r="F3291" s="354">
        <v>0</v>
      </c>
      <c r="G3291" s="354">
        <v>0</v>
      </c>
      <c r="H3291" s="354">
        <v>0</v>
      </c>
      <c r="I3291" s="354">
        <v>1</v>
      </c>
      <c r="J3291" s="354">
        <v>1</v>
      </c>
      <c r="K3291" s="354">
        <v>2</v>
      </c>
      <c r="L3291" s="354">
        <v>3</v>
      </c>
      <c r="M3291" s="355">
        <v>9</v>
      </c>
      <c r="N3291" s="355">
        <v>9</v>
      </c>
    </row>
    <row r="3292" spans="1:14" hidden="1" x14ac:dyDescent="0.25">
      <c r="A3292" s="354">
        <v>1</v>
      </c>
      <c r="B3292" s="354">
        <v>0</v>
      </c>
      <c r="C3292" s="354">
        <v>1</v>
      </c>
      <c r="D3292" s="354">
        <v>1</v>
      </c>
      <c r="E3292" s="354">
        <v>1</v>
      </c>
      <c r="F3292" s="354">
        <v>1</v>
      </c>
      <c r="G3292" s="354">
        <v>0</v>
      </c>
      <c r="H3292" s="354">
        <v>0</v>
      </c>
      <c r="I3292" s="354">
        <v>1</v>
      </c>
      <c r="J3292" s="354">
        <v>1</v>
      </c>
      <c r="K3292" s="354">
        <v>0</v>
      </c>
      <c r="L3292" s="354">
        <v>0</v>
      </c>
      <c r="M3292" s="355">
        <v>4</v>
      </c>
      <c r="N3292" s="355">
        <v>3</v>
      </c>
    </row>
    <row r="3293" spans="1:14" hidden="1" x14ac:dyDescent="0.25">
      <c r="A3293" s="354">
        <v>1</v>
      </c>
      <c r="B3293" s="354">
        <v>0</v>
      </c>
      <c r="C3293" s="354">
        <v>1</v>
      </c>
      <c r="D3293" s="354">
        <v>1</v>
      </c>
      <c r="E3293" s="354">
        <v>1</v>
      </c>
      <c r="F3293" s="354">
        <v>0</v>
      </c>
      <c r="G3293" s="354">
        <v>0</v>
      </c>
      <c r="H3293" s="354">
        <v>0</v>
      </c>
      <c r="I3293" s="354">
        <v>1</v>
      </c>
      <c r="J3293" s="354">
        <v>1</v>
      </c>
      <c r="K3293" s="354">
        <v>0</v>
      </c>
      <c r="L3293" s="354">
        <v>0</v>
      </c>
      <c r="M3293" s="355">
        <v>4</v>
      </c>
      <c r="N3293" s="355">
        <v>2</v>
      </c>
    </row>
    <row r="3294" spans="1:14" hidden="1" x14ac:dyDescent="0.25">
      <c r="A3294" s="354">
        <v>0</v>
      </c>
      <c r="B3294" s="354">
        <v>0</v>
      </c>
      <c r="C3294" s="354">
        <v>0</v>
      </c>
      <c r="D3294" s="354">
        <v>1</v>
      </c>
      <c r="E3294" s="354">
        <v>0</v>
      </c>
      <c r="F3294" s="354">
        <v>0</v>
      </c>
      <c r="G3294" s="354">
        <v>0</v>
      </c>
      <c r="H3294" s="354">
        <v>0</v>
      </c>
      <c r="I3294" s="354">
        <v>1</v>
      </c>
      <c r="J3294" s="354">
        <v>1</v>
      </c>
      <c r="K3294" s="354">
        <v>0</v>
      </c>
      <c r="L3294" s="354">
        <v>0</v>
      </c>
      <c r="M3294" s="355">
        <v>1</v>
      </c>
      <c r="N3294" s="355">
        <v>2</v>
      </c>
    </row>
    <row r="3295" spans="1:14" hidden="1" x14ac:dyDescent="0.25">
      <c r="A3295" s="354">
        <v>2</v>
      </c>
      <c r="B3295" s="354">
        <v>0</v>
      </c>
      <c r="C3295" s="354">
        <v>1</v>
      </c>
      <c r="D3295" s="354">
        <v>0</v>
      </c>
      <c r="E3295" s="354">
        <v>2</v>
      </c>
      <c r="F3295" s="354">
        <v>1</v>
      </c>
      <c r="G3295" s="354">
        <v>1</v>
      </c>
      <c r="H3295" s="354">
        <v>1</v>
      </c>
      <c r="I3295" s="354">
        <v>1</v>
      </c>
      <c r="J3295" s="354">
        <v>1</v>
      </c>
      <c r="K3295" s="354">
        <v>0</v>
      </c>
      <c r="L3295" s="354">
        <v>0</v>
      </c>
      <c r="M3295" s="355">
        <v>7</v>
      </c>
      <c r="N3295" s="355">
        <v>3</v>
      </c>
    </row>
    <row r="3296" spans="1:14" hidden="1" x14ac:dyDescent="0.25">
      <c r="A3296" s="354">
        <v>0</v>
      </c>
      <c r="B3296" s="354">
        <v>0</v>
      </c>
      <c r="C3296" s="354">
        <v>2</v>
      </c>
      <c r="D3296" s="354">
        <v>1</v>
      </c>
      <c r="E3296" s="354">
        <v>3</v>
      </c>
      <c r="F3296" s="354">
        <v>1</v>
      </c>
      <c r="G3296" s="354">
        <v>0</v>
      </c>
      <c r="H3296" s="354">
        <v>0</v>
      </c>
      <c r="I3296" s="354">
        <v>1</v>
      </c>
      <c r="J3296" s="354">
        <v>1</v>
      </c>
      <c r="K3296" s="354">
        <v>0</v>
      </c>
      <c r="L3296" s="354">
        <v>0</v>
      </c>
      <c r="M3296" s="355">
        <v>6</v>
      </c>
      <c r="N3296" s="355">
        <v>3</v>
      </c>
    </row>
    <row r="3297" spans="1:14" hidden="1" x14ac:dyDescent="0.25">
      <c r="A3297" s="354">
        <v>1</v>
      </c>
      <c r="B3297" s="354">
        <v>1</v>
      </c>
      <c r="C3297" s="354">
        <v>0</v>
      </c>
      <c r="D3297" s="354">
        <v>5</v>
      </c>
      <c r="E3297" s="354">
        <v>0</v>
      </c>
      <c r="F3297" s="354">
        <v>0</v>
      </c>
      <c r="G3297" s="354">
        <v>0</v>
      </c>
      <c r="H3297" s="354">
        <v>0</v>
      </c>
      <c r="I3297" s="354">
        <v>1</v>
      </c>
      <c r="J3297" s="354">
        <v>2</v>
      </c>
      <c r="K3297" s="354">
        <v>0</v>
      </c>
      <c r="L3297" s="354">
        <v>0</v>
      </c>
      <c r="M3297" s="355">
        <v>2</v>
      </c>
      <c r="N3297" s="355">
        <v>8</v>
      </c>
    </row>
    <row r="3298" spans="1:14" hidden="1" x14ac:dyDescent="0.25">
      <c r="A3298" s="354">
        <v>0</v>
      </c>
      <c r="B3298" s="354">
        <v>1</v>
      </c>
      <c r="C3298" s="354">
        <v>0</v>
      </c>
      <c r="D3298" s="354">
        <v>0</v>
      </c>
      <c r="E3298" s="354">
        <v>1</v>
      </c>
      <c r="F3298" s="354">
        <v>0</v>
      </c>
      <c r="G3298" s="354">
        <v>1</v>
      </c>
      <c r="H3298" s="354">
        <v>0</v>
      </c>
      <c r="I3298" s="354">
        <v>1</v>
      </c>
      <c r="J3298" s="354">
        <v>1</v>
      </c>
      <c r="K3298" s="354">
        <v>0</v>
      </c>
      <c r="L3298" s="354">
        <v>0</v>
      </c>
      <c r="M3298" s="355">
        <v>3</v>
      </c>
      <c r="N3298" s="355">
        <v>2</v>
      </c>
    </row>
    <row r="3299" spans="1:14" hidden="1" x14ac:dyDescent="0.25">
      <c r="A3299" s="354">
        <v>0</v>
      </c>
      <c r="B3299" s="354">
        <v>0</v>
      </c>
      <c r="C3299" s="354">
        <v>1</v>
      </c>
      <c r="D3299" s="354">
        <v>0</v>
      </c>
      <c r="E3299" s="354">
        <v>2</v>
      </c>
      <c r="F3299" s="354">
        <v>0</v>
      </c>
      <c r="G3299" s="354">
        <v>0</v>
      </c>
      <c r="H3299" s="354">
        <v>0</v>
      </c>
      <c r="I3299" s="354">
        <v>0</v>
      </c>
      <c r="J3299" s="354">
        <v>1</v>
      </c>
      <c r="K3299" s="354">
        <v>0</v>
      </c>
      <c r="L3299" s="354">
        <v>0</v>
      </c>
      <c r="M3299" s="355">
        <v>3</v>
      </c>
      <c r="N3299" s="355">
        <v>1</v>
      </c>
    </row>
    <row r="3300" spans="1:14" hidden="1" x14ac:dyDescent="0.25">
      <c r="A3300" s="354">
        <v>0</v>
      </c>
      <c r="B3300" s="354">
        <v>0</v>
      </c>
      <c r="C3300" s="354">
        <v>2</v>
      </c>
      <c r="D3300" s="354">
        <v>0</v>
      </c>
      <c r="E3300" s="354">
        <v>3</v>
      </c>
      <c r="F3300" s="354">
        <v>2</v>
      </c>
      <c r="G3300" s="354">
        <v>1</v>
      </c>
      <c r="H3300" s="354">
        <v>2</v>
      </c>
      <c r="I3300" s="354">
        <v>3</v>
      </c>
      <c r="J3300" s="354">
        <v>3</v>
      </c>
      <c r="K3300" s="354">
        <v>0</v>
      </c>
      <c r="L3300" s="354">
        <v>0</v>
      </c>
      <c r="M3300" s="355">
        <v>9</v>
      </c>
      <c r="N3300" s="355">
        <v>7</v>
      </c>
    </row>
    <row r="3301" spans="1:14" hidden="1" x14ac:dyDescent="0.25">
      <c r="A3301" s="354">
        <v>1</v>
      </c>
      <c r="B3301" s="354">
        <v>0</v>
      </c>
      <c r="C3301" s="354">
        <v>2</v>
      </c>
      <c r="D3301" s="354">
        <v>0</v>
      </c>
      <c r="E3301" s="354">
        <v>2</v>
      </c>
      <c r="F3301" s="354">
        <v>1</v>
      </c>
      <c r="G3301" s="354">
        <v>2</v>
      </c>
      <c r="H3301" s="354">
        <v>2</v>
      </c>
      <c r="I3301" s="354">
        <v>3</v>
      </c>
      <c r="J3301" s="354">
        <v>2</v>
      </c>
      <c r="K3301" s="354">
        <v>0</v>
      </c>
      <c r="L3301" s="354">
        <v>0</v>
      </c>
      <c r="M3301" s="355">
        <v>10</v>
      </c>
      <c r="N3301" s="355">
        <v>5</v>
      </c>
    </row>
    <row r="3302" spans="1:14" hidden="1" x14ac:dyDescent="0.25">
      <c r="A3302" s="354">
        <v>1</v>
      </c>
      <c r="B3302" s="354">
        <v>1</v>
      </c>
      <c r="C3302" s="354">
        <v>2</v>
      </c>
      <c r="D3302" s="354">
        <v>2</v>
      </c>
      <c r="E3302" s="354">
        <v>1</v>
      </c>
      <c r="F3302" s="354">
        <v>1</v>
      </c>
      <c r="G3302" s="354">
        <v>0</v>
      </c>
      <c r="H3302" s="354">
        <v>1</v>
      </c>
      <c r="I3302" s="354">
        <v>1</v>
      </c>
      <c r="J3302" s="354">
        <v>3</v>
      </c>
      <c r="K3302" s="354">
        <v>0</v>
      </c>
      <c r="L3302" s="354">
        <v>0</v>
      </c>
      <c r="M3302" s="355">
        <v>5</v>
      </c>
      <c r="N3302" s="355">
        <v>8</v>
      </c>
    </row>
    <row r="3303" spans="1:14" hidden="1" x14ac:dyDescent="0.25">
      <c r="A3303" s="354">
        <v>1</v>
      </c>
      <c r="B3303" s="354">
        <v>0</v>
      </c>
      <c r="C3303" s="354">
        <v>1</v>
      </c>
      <c r="D3303" s="354">
        <v>1</v>
      </c>
      <c r="E3303" s="354">
        <v>0</v>
      </c>
      <c r="F3303" s="354">
        <v>0</v>
      </c>
      <c r="G3303" s="354">
        <v>0</v>
      </c>
      <c r="H3303" s="354">
        <v>0</v>
      </c>
      <c r="I3303" s="354">
        <v>1</v>
      </c>
      <c r="J3303" s="354">
        <v>1</v>
      </c>
      <c r="K3303" s="354">
        <v>0</v>
      </c>
      <c r="L3303" s="354">
        <v>0</v>
      </c>
      <c r="M3303" s="355">
        <v>3</v>
      </c>
      <c r="N3303" s="355">
        <v>2</v>
      </c>
    </row>
    <row r="3304" spans="1:14" hidden="1" x14ac:dyDescent="0.25">
      <c r="A3304" s="354">
        <v>0</v>
      </c>
      <c r="B3304" s="354">
        <v>1</v>
      </c>
      <c r="C3304" s="354">
        <v>0</v>
      </c>
      <c r="D3304" s="354">
        <v>1</v>
      </c>
      <c r="E3304" s="354">
        <v>0</v>
      </c>
      <c r="F3304" s="354">
        <v>1</v>
      </c>
      <c r="G3304" s="354">
        <v>0</v>
      </c>
      <c r="H3304" s="354">
        <v>0</v>
      </c>
      <c r="I3304" s="354">
        <v>1</v>
      </c>
      <c r="J3304" s="354">
        <v>1</v>
      </c>
      <c r="K3304" s="354">
        <v>0</v>
      </c>
      <c r="L3304" s="354">
        <v>0</v>
      </c>
      <c r="M3304" s="355">
        <v>1</v>
      </c>
      <c r="N3304" s="355">
        <v>4</v>
      </c>
    </row>
    <row r="3305" spans="1:14" hidden="1" x14ac:dyDescent="0.25">
      <c r="A3305" s="354">
        <v>1</v>
      </c>
      <c r="B3305" s="354">
        <v>0</v>
      </c>
      <c r="C3305" s="354">
        <v>1</v>
      </c>
      <c r="D3305" s="354">
        <v>1</v>
      </c>
      <c r="E3305" s="354">
        <v>0</v>
      </c>
      <c r="F3305" s="354">
        <v>1</v>
      </c>
      <c r="G3305" s="354">
        <v>1</v>
      </c>
      <c r="H3305" s="354">
        <v>0</v>
      </c>
      <c r="I3305" s="354">
        <v>0</v>
      </c>
      <c r="J3305" s="354">
        <v>1</v>
      </c>
      <c r="K3305" s="354">
        <v>0</v>
      </c>
      <c r="L3305" s="354">
        <v>0</v>
      </c>
      <c r="M3305" s="355">
        <v>3</v>
      </c>
      <c r="N3305" s="355">
        <v>3</v>
      </c>
    </row>
    <row r="3306" spans="1:14" hidden="1" x14ac:dyDescent="0.25">
      <c r="A3306" s="354">
        <v>0</v>
      </c>
      <c r="B3306" s="354">
        <v>0</v>
      </c>
      <c r="C3306" s="354">
        <v>0</v>
      </c>
      <c r="D3306" s="354">
        <v>0</v>
      </c>
      <c r="E3306" s="354">
        <v>0</v>
      </c>
      <c r="F3306" s="354">
        <v>2</v>
      </c>
      <c r="G3306" s="354">
        <v>0</v>
      </c>
      <c r="H3306" s="354">
        <v>0</v>
      </c>
      <c r="I3306" s="354">
        <v>2</v>
      </c>
      <c r="J3306" s="354">
        <v>1</v>
      </c>
      <c r="K3306" s="354">
        <v>1</v>
      </c>
      <c r="L3306" s="354">
        <v>0</v>
      </c>
      <c r="M3306" s="355">
        <v>3</v>
      </c>
      <c r="N3306" s="355">
        <v>3</v>
      </c>
    </row>
    <row r="3307" spans="1:14" hidden="1" x14ac:dyDescent="0.25">
      <c r="A3307" s="354">
        <v>0</v>
      </c>
      <c r="B3307" s="354">
        <v>0</v>
      </c>
      <c r="C3307" s="354">
        <v>0</v>
      </c>
      <c r="D3307" s="354">
        <v>1</v>
      </c>
      <c r="E3307" s="354">
        <v>2</v>
      </c>
      <c r="F3307" s="354">
        <v>3</v>
      </c>
      <c r="G3307" s="354">
        <v>2</v>
      </c>
      <c r="H3307" s="354">
        <v>1</v>
      </c>
      <c r="I3307" s="354">
        <v>1</v>
      </c>
      <c r="J3307" s="354">
        <v>1</v>
      </c>
      <c r="K3307" s="354">
        <v>0</v>
      </c>
      <c r="L3307" s="354">
        <v>0</v>
      </c>
      <c r="M3307" s="355">
        <v>5</v>
      </c>
      <c r="N3307" s="355">
        <v>6</v>
      </c>
    </row>
    <row r="3308" spans="1:14" hidden="1" x14ac:dyDescent="0.25">
      <c r="A3308" s="354">
        <v>0</v>
      </c>
      <c r="B3308" s="354">
        <v>0</v>
      </c>
      <c r="C3308" s="354">
        <v>2</v>
      </c>
      <c r="D3308" s="354">
        <v>0</v>
      </c>
      <c r="E3308" s="354">
        <v>0</v>
      </c>
      <c r="F3308" s="354">
        <v>0</v>
      </c>
      <c r="G3308" s="354">
        <v>0</v>
      </c>
      <c r="H3308" s="354">
        <v>2</v>
      </c>
      <c r="I3308" s="354">
        <v>1</v>
      </c>
      <c r="J3308" s="354">
        <v>2</v>
      </c>
      <c r="K3308" s="354">
        <v>0</v>
      </c>
      <c r="L3308" s="354">
        <v>0</v>
      </c>
      <c r="M3308" s="355">
        <v>3</v>
      </c>
      <c r="N3308" s="355">
        <v>4</v>
      </c>
    </row>
    <row r="3309" spans="1:14" hidden="1" x14ac:dyDescent="0.25">
      <c r="A3309" s="354">
        <v>6</v>
      </c>
      <c r="B3309" s="354">
        <v>0</v>
      </c>
      <c r="C3309" s="354">
        <v>3</v>
      </c>
      <c r="D3309" s="354">
        <v>0</v>
      </c>
      <c r="E3309" s="354">
        <v>3</v>
      </c>
      <c r="F3309" s="354">
        <v>4</v>
      </c>
      <c r="G3309" s="354">
        <v>2</v>
      </c>
      <c r="H3309" s="354">
        <v>2</v>
      </c>
      <c r="I3309" s="354">
        <v>0</v>
      </c>
      <c r="J3309" s="354">
        <v>1</v>
      </c>
      <c r="K3309" s="354">
        <v>0</v>
      </c>
      <c r="L3309" s="354">
        <v>1</v>
      </c>
      <c r="M3309" s="355">
        <v>14</v>
      </c>
      <c r="N3309" s="355">
        <v>8</v>
      </c>
    </row>
    <row r="3310" spans="1:14" hidden="1" x14ac:dyDescent="0.25">
      <c r="A3310" s="354">
        <v>0</v>
      </c>
      <c r="B3310" s="354">
        <v>0</v>
      </c>
      <c r="C3310" s="354">
        <v>2</v>
      </c>
      <c r="D3310" s="354">
        <v>0</v>
      </c>
      <c r="E3310" s="354">
        <v>0</v>
      </c>
      <c r="F3310" s="354">
        <v>1</v>
      </c>
      <c r="G3310" s="354">
        <v>1</v>
      </c>
      <c r="H3310" s="354">
        <v>0</v>
      </c>
      <c r="I3310" s="354">
        <v>1</v>
      </c>
      <c r="J3310" s="354">
        <v>1</v>
      </c>
      <c r="K3310" s="354">
        <v>0</v>
      </c>
      <c r="L3310" s="354">
        <v>0</v>
      </c>
      <c r="M3310" s="355">
        <v>4</v>
      </c>
      <c r="N3310" s="355">
        <v>2</v>
      </c>
    </row>
    <row r="3311" spans="1:14" hidden="1" x14ac:dyDescent="0.25">
      <c r="A3311" s="354">
        <v>0</v>
      </c>
      <c r="B3311" s="354">
        <v>0</v>
      </c>
      <c r="C3311" s="354">
        <v>5</v>
      </c>
      <c r="D3311" s="354">
        <v>2</v>
      </c>
      <c r="E3311" s="354">
        <v>5</v>
      </c>
      <c r="F3311" s="354">
        <v>4</v>
      </c>
      <c r="G3311" s="354">
        <v>2</v>
      </c>
      <c r="H3311" s="354">
        <v>0</v>
      </c>
      <c r="I3311" s="354">
        <v>1</v>
      </c>
      <c r="J3311" s="354">
        <v>4</v>
      </c>
      <c r="K3311" s="354">
        <v>0</v>
      </c>
      <c r="L3311" s="354">
        <v>0</v>
      </c>
      <c r="M3311" s="355">
        <v>13</v>
      </c>
      <c r="N3311" s="355">
        <v>10</v>
      </c>
    </row>
    <row r="3312" spans="1:14" hidden="1" x14ac:dyDescent="0.25">
      <c r="A3312" s="354">
        <v>0</v>
      </c>
      <c r="B3312" s="354">
        <v>0</v>
      </c>
      <c r="C3312" s="354">
        <v>2</v>
      </c>
      <c r="D3312" s="354">
        <v>0</v>
      </c>
      <c r="E3312" s="354">
        <v>0</v>
      </c>
      <c r="F3312" s="354">
        <v>0</v>
      </c>
      <c r="G3312" s="354">
        <v>2</v>
      </c>
      <c r="H3312" s="354">
        <v>1</v>
      </c>
      <c r="I3312" s="354">
        <v>1</v>
      </c>
      <c r="J3312" s="354">
        <v>1</v>
      </c>
      <c r="K3312" s="354">
        <v>0</v>
      </c>
      <c r="L3312" s="354">
        <v>0</v>
      </c>
      <c r="M3312" s="355">
        <v>5</v>
      </c>
      <c r="N3312" s="355">
        <v>2</v>
      </c>
    </row>
    <row r="3313" spans="1:14" hidden="1" x14ac:dyDescent="0.25">
      <c r="A3313" s="354">
        <v>0</v>
      </c>
      <c r="B3313" s="354">
        <v>0</v>
      </c>
      <c r="C3313" s="354">
        <v>2</v>
      </c>
      <c r="D3313" s="354">
        <v>0</v>
      </c>
      <c r="E3313" s="354">
        <v>2</v>
      </c>
      <c r="F3313" s="354">
        <v>2</v>
      </c>
      <c r="G3313" s="354">
        <v>1</v>
      </c>
      <c r="H3313" s="354">
        <v>0</v>
      </c>
      <c r="I3313" s="354">
        <v>2</v>
      </c>
      <c r="J3313" s="354">
        <v>1</v>
      </c>
      <c r="K3313" s="354">
        <v>0</v>
      </c>
      <c r="L3313" s="354">
        <v>0</v>
      </c>
      <c r="M3313" s="355">
        <v>7</v>
      </c>
      <c r="N3313" s="355">
        <v>3</v>
      </c>
    </row>
    <row r="3314" spans="1:14" hidden="1" x14ac:dyDescent="0.25">
      <c r="A3314" s="354">
        <v>0</v>
      </c>
      <c r="B3314" s="354">
        <v>0</v>
      </c>
      <c r="C3314" s="354">
        <v>1</v>
      </c>
      <c r="D3314" s="354">
        <v>0</v>
      </c>
      <c r="E3314" s="354">
        <v>1</v>
      </c>
      <c r="F3314" s="354">
        <v>0</v>
      </c>
      <c r="G3314" s="354">
        <v>1</v>
      </c>
      <c r="H3314" s="354">
        <v>1</v>
      </c>
      <c r="I3314" s="354">
        <v>2</v>
      </c>
      <c r="J3314" s="354">
        <v>1</v>
      </c>
      <c r="K3314" s="354">
        <v>0</v>
      </c>
      <c r="L3314" s="354">
        <v>0</v>
      </c>
      <c r="M3314" s="355">
        <v>5</v>
      </c>
      <c r="N3314" s="355">
        <v>2</v>
      </c>
    </row>
    <row r="3315" spans="1:14" hidden="1" x14ac:dyDescent="0.25">
      <c r="A3315" s="354">
        <v>0</v>
      </c>
      <c r="B3315" s="354">
        <v>0</v>
      </c>
      <c r="C3315" s="354">
        <v>0</v>
      </c>
      <c r="D3315" s="354">
        <v>4</v>
      </c>
      <c r="E3315" s="354">
        <v>0</v>
      </c>
      <c r="F3315" s="354">
        <v>0</v>
      </c>
      <c r="G3315" s="354">
        <v>5</v>
      </c>
      <c r="H3315" s="354">
        <v>0</v>
      </c>
      <c r="I3315" s="354">
        <v>1</v>
      </c>
      <c r="J3315" s="354">
        <v>3</v>
      </c>
      <c r="K3315" s="354">
        <v>0</v>
      </c>
      <c r="L3315" s="354">
        <v>0</v>
      </c>
      <c r="M3315" s="355">
        <v>6</v>
      </c>
      <c r="N3315" s="355">
        <v>7</v>
      </c>
    </row>
    <row r="3316" spans="1:14" hidden="1" x14ac:dyDescent="0.25">
      <c r="A3316" s="354">
        <v>0</v>
      </c>
      <c r="B3316" s="354">
        <v>0</v>
      </c>
      <c r="C3316" s="354">
        <v>1</v>
      </c>
      <c r="D3316" s="354">
        <v>0</v>
      </c>
      <c r="E3316" s="354">
        <v>1</v>
      </c>
      <c r="F3316" s="354">
        <v>1</v>
      </c>
      <c r="G3316" s="354">
        <v>0</v>
      </c>
      <c r="H3316" s="354">
        <v>0</v>
      </c>
      <c r="I3316" s="354">
        <v>1</v>
      </c>
      <c r="J3316" s="354">
        <v>1</v>
      </c>
      <c r="K3316" s="354">
        <v>0</v>
      </c>
      <c r="L3316" s="354">
        <v>1</v>
      </c>
      <c r="M3316" s="355">
        <v>3</v>
      </c>
      <c r="N3316" s="355">
        <v>3</v>
      </c>
    </row>
    <row r="3317" spans="1:14" hidden="1" x14ac:dyDescent="0.25">
      <c r="A3317" s="354">
        <v>0</v>
      </c>
      <c r="B3317" s="354">
        <v>0</v>
      </c>
      <c r="C3317" s="354">
        <v>1</v>
      </c>
      <c r="D3317" s="354">
        <v>1</v>
      </c>
      <c r="E3317" s="354">
        <v>1</v>
      </c>
      <c r="F3317" s="354">
        <v>0</v>
      </c>
      <c r="G3317" s="354">
        <v>0</v>
      </c>
      <c r="H3317" s="354">
        <v>0</v>
      </c>
      <c r="I3317" s="354">
        <v>1</v>
      </c>
      <c r="J3317" s="354">
        <v>1</v>
      </c>
      <c r="K3317" s="354">
        <v>0</v>
      </c>
      <c r="L3317" s="354">
        <v>0</v>
      </c>
      <c r="M3317" s="355">
        <v>3</v>
      </c>
      <c r="N3317" s="355">
        <v>2</v>
      </c>
    </row>
    <row r="3318" spans="1:14" hidden="1" x14ac:dyDescent="0.25">
      <c r="A3318" s="354">
        <v>0</v>
      </c>
      <c r="B3318" s="354">
        <v>0</v>
      </c>
      <c r="C3318" s="354">
        <v>0</v>
      </c>
      <c r="D3318" s="354">
        <v>2</v>
      </c>
      <c r="E3318" s="354">
        <v>2</v>
      </c>
      <c r="F3318" s="354">
        <v>0</v>
      </c>
      <c r="G3318" s="354">
        <v>0</v>
      </c>
      <c r="H3318" s="354">
        <v>0</v>
      </c>
      <c r="I3318" s="354">
        <v>0</v>
      </c>
      <c r="J3318" s="354">
        <v>1</v>
      </c>
      <c r="K3318" s="354">
        <v>0</v>
      </c>
      <c r="L3318" s="354">
        <v>0</v>
      </c>
      <c r="M3318" s="355">
        <v>2</v>
      </c>
      <c r="N3318" s="355">
        <v>3</v>
      </c>
    </row>
    <row r="3319" spans="1:14" hidden="1" x14ac:dyDescent="0.25">
      <c r="A3319" s="354">
        <v>0</v>
      </c>
      <c r="B3319" s="354">
        <v>0</v>
      </c>
      <c r="C3319" s="354">
        <v>5</v>
      </c>
      <c r="D3319" s="354">
        <v>0</v>
      </c>
      <c r="E3319" s="354">
        <v>2</v>
      </c>
      <c r="F3319" s="354">
        <v>0</v>
      </c>
      <c r="G3319" s="354">
        <v>0</v>
      </c>
      <c r="H3319" s="354">
        <v>1</v>
      </c>
      <c r="I3319" s="354">
        <v>0</v>
      </c>
      <c r="J3319" s="354">
        <v>1</v>
      </c>
      <c r="K3319" s="354">
        <v>0</v>
      </c>
      <c r="L3319" s="354">
        <v>0</v>
      </c>
      <c r="M3319" s="355">
        <v>7</v>
      </c>
      <c r="N3319" s="355">
        <v>2</v>
      </c>
    </row>
    <row r="3320" spans="1:14" hidden="1" x14ac:dyDescent="0.25">
      <c r="A3320" s="354">
        <v>0</v>
      </c>
      <c r="B3320" s="354">
        <v>1</v>
      </c>
      <c r="C3320" s="354">
        <v>0</v>
      </c>
      <c r="D3320" s="354">
        <v>0</v>
      </c>
      <c r="E3320" s="354">
        <v>1</v>
      </c>
      <c r="F3320" s="354">
        <v>1</v>
      </c>
      <c r="G3320" s="354">
        <v>0</v>
      </c>
      <c r="H3320" s="354">
        <v>1</v>
      </c>
      <c r="I3320" s="354">
        <v>1</v>
      </c>
      <c r="J3320" s="354">
        <v>2</v>
      </c>
      <c r="K3320" s="354">
        <v>0</v>
      </c>
      <c r="L3320" s="354">
        <v>0</v>
      </c>
      <c r="M3320" s="355">
        <v>2</v>
      </c>
      <c r="N3320" s="355">
        <v>5</v>
      </c>
    </row>
    <row r="3321" spans="1:14" hidden="1" x14ac:dyDescent="0.25">
      <c r="A3321" s="354">
        <v>0</v>
      </c>
      <c r="B3321" s="354">
        <v>0</v>
      </c>
      <c r="C3321" s="354">
        <v>0</v>
      </c>
      <c r="D3321" s="354">
        <v>1</v>
      </c>
      <c r="E3321" s="354">
        <v>2</v>
      </c>
      <c r="F3321" s="354">
        <v>1</v>
      </c>
      <c r="G3321" s="354">
        <v>0</v>
      </c>
      <c r="H3321" s="354">
        <v>0</v>
      </c>
      <c r="I3321" s="354">
        <v>1</v>
      </c>
      <c r="J3321" s="354">
        <v>1</v>
      </c>
      <c r="K3321" s="354">
        <v>0</v>
      </c>
      <c r="L3321" s="354">
        <v>0</v>
      </c>
      <c r="M3321" s="355">
        <v>3</v>
      </c>
      <c r="N3321" s="355">
        <v>3</v>
      </c>
    </row>
    <row r="3322" spans="1:14" hidden="1" x14ac:dyDescent="0.25">
      <c r="A3322" s="354">
        <v>0</v>
      </c>
      <c r="B3322" s="354">
        <v>0</v>
      </c>
      <c r="C3322" s="354">
        <v>0</v>
      </c>
      <c r="D3322" s="354">
        <v>0</v>
      </c>
      <c r="E3322" s="354">
        <v>2</v>
      </c>
      <c r="F3322" s="354">
        <v>1</v>
      </c>
      <c r="G3322" s="354">
        <v>1</v>
      </c>
      <c r="H3322" s="354">
        <v>1</v>
      </c>
      <c r="I3322" s="354">
        <v>1</v>
      </c>
      <c r="J3322" s="354">
        <v>0</v>
      </c>
      <c r="K3322" s="354">
        <v>0</v>
      </c>
      <c r="L3322" s="354">
        <v>0</v>
      </c>
      <c r="M3322" s="355">
        <v>4</v>
      </c>
      <c r="N3322" s="355">
        <v>2</v>
      </c>
    </row>
    <row r="3323" spans="1:14" hidden="1" x14ac:dyDescent="0.25">
      <c r="A3323" s="354">
        <v>0</v>
      </c>
      <c r="B3323" s="354">
        <v>0</v>
      </c>
      <c r="C3323" s="354">
        <v>0</v>
      </c>
      <c r="D3323" s="354">
        <v>0</v>
      </c>
      <c r="E3323" s="354">
        <v>0</v>
      </c>
      <c r="F3323" s="354">
        <v>0</v>
      </c>
      <c r="G3323" s="354">
        <v>2</v>
      </c>
      <c r="H3323" s="354">
        <v>0</v>
      </c>
      <c r="I3323" s="354">
        <v>1</v>
      </c>
      <c r="J3323" s="354">
        <v>0</v>
      </c>
      <c r="K3323" s="354">
        <v>0</v>
      </c>
      <c r="L3323" s="354">
        <v>0</v>
      </c>
      <c r="M3323" s="355">
        <v>3</v>
      </c>
      <c r="N3323" s="355">
        <v>0</v>
      </c>
    </row>
    <row r="3324" spans="1:14" hidden="1" x14ac:dyDescent="0.25">
      <c r="A3324" s="354">
        <v>0</v>
      </c>
      <c r="B3324" s="354">
        <v>0</v>
      </c>
      <c r="C3324" s="354">
        <v>0</v>
      </c>
      <c r="D3324" s="354">
        <v>0</v>
      </c>
      <c r="E3324" s="354">
        <v>1</v>
      </c>
      <c r="F3324" s="354">
        <v>2</v>
      </c>
      <c r="G3324" s="354">
        <v>1</v>
      </c>
      <c r="H3324" s="354">
        <v>0</v>
      </c>
      <c r="I3324" s="354">
        <v>1</v>
      </c>
      <c r="J3324" s="354">
        <v>1</v>
      </c>
      <c r="K3324" s="354">
        <v>0</v>
      </c>
      <c r="L3324" s="354">
        <v>0</v>
      </c>
      <c r="M3324" s="355">
        <v>3</v>
      </c>
      <c r="N3324" s="355">
        <v>3</v>
      </c>
    </row>
    <row r="3325" spans="1:14" hidden="1" x14ac:dyDescent="0.25">
      <c r="A3325" s="354">
        <v>0</v>
      </c>
      <c r="B3325" s="354">
        <v>0</v>
      </c>
      <c r="C3325" s="354">
        <v>0</v>
      </c>
      <c r="D3325" s="354">
        <v>1</v>
      </c>
      <c r="E3325" s="354">
        <v>1</v>
      </c>
      <c r="F3325" s="354">
        <v>1</v>
      </c>
      <c r="G3325" s="354">
        <v>1</v>
      </c>
      <c r="H3325" s="354">
        <v>0</v>
      </c>
      <c r="I3325" s="354">
        <v>1</v>
      </c>
      <c r="J3325" s="354">
        <v>1</v>
      </c>
      <c r="K3325" s="354">
        <v>0</v>
      </c>
      <c r="L3325" s="354">
        <v>0</v>
      </c>
      <c r="M3325" s="355">
        <v>3</v>
      </c>
      <c r="N3325" s="355">
        <v>3</v>
      </c>
    </row>
    <row r="3326" spans="1:14" hidden="1" x14ac:dyDescent="0.25">
      <c r="A3326" s="354">
        <v>0</v>
      </c>
      <c r="B3326" s="354">
        <v>0</v>
      </c>
      <c r="C3326" s="354">
        <v>0</v>
      </c>
      <c r="D3326" s="354">
        <v>0</v>
      </c>
      <c r="E3326" s="354">
        <v>3</v>
      </c>
      <c r="F3326" s="354">
        <v>2</v>
      </c>
      <c r="G3326" s="354">
        <v>0</v>
      </c>
      <c r="H3326" s="354">
        <v>0</v>
      </c>
      <c r="I3326" s="354">
        <v>1</v>
      </c>
      <c r="J3326" s="354">
        <v>1</v>
      </c>
      <c r="K3326" s="354">
        <v>0</v>
      </c>
      <c r="L3326" s="354">
        <v>0</v>
      </c>
      <c r="M3326" s="355">
        <v>4</v>
      </c>
      <c r="N3326" s="355">
        <v>3</v>
      </c>
    </row>
    <row r="3327" spans="1:14" hidden="1" x14ac:dyDescent="0.25">
      <c r="A3327" s="354">
        <v>0</v>
      </c>
      <c r="B3327" s="354">
        <v>0</v>
      </c>
      <c r="C3327" s="354">
        <v>0</v>
      </c>
      <c r="D3327" s="354">
        <v>0</v>
      </c>
      <c r="E3327" s="354">
        <v>0</v>
      </c>
      <c r="F3327" s="354">
        <v>0</v>
      </c>
      <c r="G3327" s="354">
        <v>0</v>
      </c>
      <c r="H3327" s="354">
        <v>0</v>
      </c>
      <c r="I3327" s="354">
        <v>1</v>
      </c>
      <c r="J3327" s="354">
        <v>1</v>
      </c>
      <c r="K3327" s="354">
        <v>0</v>
      </c>
      <c r="L3327" s="354">
        <v>0</v>
      </c>
      <c r="M3327" s="355">
        <v>1</v>
      </c>
      <c r="N3327" s="355">
        <v>1</v>
      </c>
    </row>
    <row r="3328" spans="1:14" hidden="1" x14ac:dyDescent="0.25">
      <c r="A3328" s="354">
        <v>0</v>
      </c>
      <c r="B3328" s="354">
        <v>0</v>
      </c>
      <c r="C3328" s="354">
        <v>0</v>
      </c>
      <c r="D3328" s="354">
        <v>1</v>
      </c>
      <c r="E3328" s="354">
        <v>2</v>
      </c>
      <c r="F3328" s="354">
        <v>1</v>
      </c>
      <c r="G3328" s="354">
        <v>0</v>
      </c>
      <c r="H3328" s="354">
        <v>0</v>
      </c>
      <c r="I3328" s="354">
        <v>0</v>
      </c>
      <c r="J3328" s="354">
        <v>1</v>
      </c>
      <c r="K3328" s="354">
        <v>0</v>
      </c>
      <c r="L3328" s="354">
        <v>0</v>
      </c>
      <c r="M3328" s="355">
        <v>2</v>
      </c>
      <c r="N3328" s="355">
        <v>3</v>
      </c>
    </row>
    <row r="3329" spans="1:14" hidden="1" x14ac:dyDescent="0.25">
      <c r="A3329" s="354">
        <v>0</v>
      </c>
      <c r="B3329" s="354">
        <v>0</v>
      </c>
      <c r="C3329" s="354">
        <v>0</v>
      </c>
      <c r="D3329" s="354">
        <v>1</v>
      </c>
      <c r="E3329" s="354">
        <v>3</v>
      </c>
      <c r="F3329" s="354">
        <v>2</v>
      </c>
      <c r="G3329" s="354">
        <v>0</v>
      </c>
      <c r="H3329" s="354">
        <v>0</v>
      </c>
      <c r="I3329" s="354">
        <v>2</v>
      </c>
      <c r="J3329" s="354">
        <v>1</v>
      </c>
      <c r="K3329" s="354">
        <v>0</v>
      </c>
      <c r="L3329" s="354">
        <v>0</v>
      </c>
      <c r="M3329" s="355">
        <v>5</v>
      </c>
      <c r="N3329" s="355">
        <v>4</v>
      </c>
    </row>
    <row r="3330" spans="1:14" hidden="1" x14ac:dyDescent="0.25">
      <c r="A3330" s="354">
        <v>0</v>
      </c>
      <c r="B3330" s="354">
        <v>0</v>
      </c>
      <c r="C3330" s="354">
        <v>1</v>
      </c>
      <c r="D3330" s="354">
        <v>0</v>
      </c>
      <c r="E3330" s="354">
        <v>3</v>
      </c>
      <c r="F3330" s="354">
        <v>1</v>
      </c>
      <c r="G3330" s="354">
        <v>0</v>
      </c>
      <c r="H3330" s="354">
        <v>0</v>
      </c>
      <c r="I3330" s="354">
        <v>1</v>
      </c>
      <c r="J3330" s="354">
        <v>0</v>
      </c>
      <c r="K3330" s="354">
        <v>0</v>
      </c>
      <c r="L3330" s="354">
        <v>0</v>
      </c>
      <c r="M3330" s="355">
        <v>5</v>
      </c>
      <c r="N3330" s="355">
        <v>1</v>
      </c>
    </row>
    <row r="3331" spans="1:14" hidden="1" x14ac:dyDescent="0.25">
      <c r="A3331" s="354">
        <v>0</v>
      </c>
      <c r="B3331" s="354">
        <v>0</v>
      </c>
      <c r="C3331" s="354">
        <v>0</v>
      </c>
      <c r="D3331" s="354">
        <v>0</v>
      </c>
      <c r="E3331" s="354">
        <v>0</v>
      </c>
      <c r="F3331" s="354">
        <v>2</v>
      </c>
      <c r="G3331" s="354">
        <v>2</v>
      </c>
      <c r="H3331" s="354">
        <v>0</v>
      </c>
      <c r="I3331" s="354">
        <v>1</v>
      </c>
      <c r="J3331" s="354">
        <v>1</v>
      </c>
      <c r="K3331" s="354">
        <v>0</v>
      </c>
      <c r="L3331" s="354">
        <v>0</v>
      </c>
      <c r="M3331" s="355">
        <v>3</v>
      </c>
      <c r="N3331" s="355">
        <v>3</v>
      </c>
    </row>
    <row r="3332" spans="1:14" hidden="1" x14ac:dyDescent="0.25">
      <c r="A3332" s="354">
        <v>0</v>
      </c>
      <c r="B3332" s="354">
        <v>0</v>
      </c>
      <c r="C3332" s="354">
        <v>0</v>
      </c>
      <c r="D3332" s="354">
        <v>1</v>
      </c>
      <c r="E3332" s="354">
        <v>2</v>
      </c>
      <c r="F3332" s="354">
        <v>1</v>
      </c>
      <c r="G3332" s="354">
        <v>1</v>
      </c>
      <c r="H3332" s="354">
        <v>1</v>
      </c>
      <c r="I3332" s="354">
        <v>1</v>
      </c>
      <c r="J3332" s="354">
        <v>1</v>
      </c>
      <c r="K3332" s="354">
        <v>0</v>
      </c>
      <c r="L3332" s="354">
        <v>0</v>
      </c>
      <c r="M3332" s="355">
        <v>4</v>
      </c>
      <c r="N3332" s="355">
        <v>4</v>
      </c>
    </row>
    <row r="3333" spans="1:14" hidden="1" x14ac:dyDescent="0.25">
      <c r="A3333" s="354">
        <v>0</v>
      </c>
      <c r="B3333" s="354">
        <v>0</v>
      </c>
      <c r="C3333" s="354">
        <v>1</v>
      </c>
      <c r="D3333" s="354">
        <v>1</v>
      </c>
      <c r="E3333" s="354">
        <v>2</v>
      </c>
      <c r="F3333" s="354">
        <v>1</v>
      </c>
      <c r="G3333" s="354">
        <v>1</v>
      </c>
      <c r="H3333" s="354">
        <v>0</v>
      </c>
      <c r="I3333" s="354">
        <v>1</v>
      </c>
      <c r="J3333" s="354">
        <v>1</v>
      </c>
      <c r="K3333" s="354">
        <v>0</v>
      </c>
      <c r="L3333" s="354">
        <v>0</v>
      </c>
      <c r="M3333" s="355">
        <v>5</v>
      </c>
      <c r="N3333" s="355">
        <v>3</v>
      </c>
    </row>
    <row r="3334" spans="1:14" hidden="1" x14ac:dyDescent="0.25">
      <c r="A3334" s="354">
        <v>0</v>
      </c>
      <c r="B3334" s="354">
        <v>0</v>
      </c>
      <c r="C3334" s="354">
        <v>0</v>
      </c>
      <c r="D3334" s="354">
        <v>0</v>
      </c>
      <c r="E3334" s="354">
        <v>3</v>
      </c>
      <c r="F3334" s="354">
        <v>1</v>
      </c>
      <c r="G3334" s="354">
        <v>2</v>
      </c>
      <c r="H3334" s="354">
        <v>0</v>
      </c>
      <c r="I3334" s="354">
        <v>1</v>
      </c>
      <c r="J3334" s="354">
        <v>1</v>
      </c>
      <c r="K3334" s="354">
        <v>0</v>
      </c>
      <c r="L3334" s="354">
        <v>0</v>
      </c>
      <c r="M3334" s="355">
        <v>6</v>
      </c>
      <c r="N3334" s="355">
        <v>2</v>
      </c>
    </row>
    <row r="3335" spans="1:14" hidden="1" x14ac:dyDescent="0.25">
      <c r="A3335" s="354">
        <v>0</v>
      </c>
      <c r="B3335" s="354">
        <v>0</v>
      </c>
      <c r="C3335" s="354">
        <v>0</v>
      </c>
      <c r="D3335" s="354">
        <v>0</v>
      </c>
      <c r="E3335" s="354">
        <v>2</v>
      </c>
      <c r="F3335" s="354">
        <v>1</v>
      </c>
      <c r="G3335" s="354">
        <v>3</v>
      </c>
      <c r="H3335" s="354">
        <v>0</v>
      </c>
      <c r="I3335" s="354">
        <v>0</v>
      </c>
      <c r="J3335" s="354">
        <v>1</v>
      </c>
      <c r="K3335" s="354">
        <v>0</v>
      </c>
      <c r="L3335" s="354">
        <v>0</v>
      </c>
      <c r="M3335" s="355">
        <v>5</v>
      </c>
      <c r="N3335" s="355">
        <v>2</v>
      </c>
    </row>
    <row r="3336" spans="1:14" hidden="1" x14ac:dyDescent="0.25">
      <c r="A3336" s="354">
        <v>0</v>
      </c>
      <c r="B3336" s="354">
        <v>0</v>
      </c>
      <c r="C3336" s="354">
        <v>1</v>
      </c>
      <c r="D3336" s="354">
        <v>0</v>
      </c>
      <c r="E3336" s="354">
        <v>1</v>
      </c>
      <c r="F3336" s="354">
        <v>2</v>
      </c>
      <c r="G3336" s="354">
        <v>1</v>
      </c>
      <c r="H3336" s="354">
        <v>0</v>
      </c>
      <c r="I3336" s="354">
        <v>1</v>
      </c>
      <c r="J3336" s="354">
        <v>1</v>
      </c>
      <c r="K3336" s="354">
        <v>0</v>
      </c>
      <c r="L3336" s="354">
        <v>1</v>
      </c>
      <c r="M3336" s="355">
        <v>4</v>
      </c>
      <c r="N3336" s="355">
        <v>4</v>
      </c>
    </row>
    <row r="3337" spans="1:14" hidden="1" x14ac:dyDescent="0.25">
      <c r="A3337" s="354">
        <v>0</v>
      </c>
      <c r="B3337" s="354">
        <v>0</v>
      </c>
      <c r="C3337" s="354">
        <v>0</v>
      </c>
      <c r="D3337" s="354">
        <v>0</v>
      </c>
      <c r="E3337" s="354">
        <v>0</v>
      </c>
      <c r="F3337" s="354">
        <v>0</v>
      </c>
      <c r="G3337" s="354">
        <v>0</v>
      </c>
      <c r="H3337" s="354">
        <v>0</v>
      </c>
      <c r="I3337" s="354">
        <v>2</v>
      </c>
      <c r="J3337" s="354">
        <v>0</v>
      </c>
      <c r="K3337" s="354">
        <v>0</v>
      </c>
      <c r="L3337" s="354">
        <v>0</v>
      </c>
      <c r="M3337" s="355">
        <v>2</v>
      </c>
      <c r="N3337" s="355">
        <v>0</v>
      </c>
    </row>
    <row r="3338" spans="1:14" hidden="1" x14ac:dyDescent="0.25">
      <c r="A3338" s="354">
        <v>0</v>
      </c>
      <c r="B3338" s="354">
        <v>0</v>
      </c>
      <c r="C3338" s="354">
        <v>0</v>
      </c>
      <c r="D3338" s="354">
        <v>2</v>
      </c>
      <c r="E3338" s="354">
        <v>1</v>
      </c>
      <c r="F3338" s="354">
        <v>1</v>
      </c>
      <c r="G3338" s="354">
        <v>0</v>
      </c>
      <c r="H3338" s="354">
        <v>0</v>
      </c>
      <c r="I3338" s="354">
        <v>1</v>
      </c>
      <c r="J3338" s="354">
        <v>1</v>
      </c>
      <c r="K3338" s="354">
        <v>0</v>
      </c>
      <c r="L3338" s="354">
        <v>0</v>
      </c>
      <c r="M3338" s="355">
        <v>2</v>
      </c>
      <c r="N3338" s="355">
        <v>4</v>
      </c>
    </row>
    <row r="3339" spans="1:14" hidden="1" x14ac:dyDescent="0.25">
      <c r="A3339" s="354">
        <v>0</v>
      </c>
      <c r="B3339" s="354">
        <v>0</v>
      </c>
      <c r="C3339" s="354">
        <v>0</v>
      </c>
      <c r="D3339" s="354">
        <v>2</v>
      </c>
      <c r="E3339" s="354">
        <v>3</v>
      </c>
      <c r="F3339" s="354">
        <v>1</v>
      </c>
      <c r="G3339" s="354">
        <v>0</v>
      </c>
      <c r="H3339" s="354">
        <v>1</v>
      </c>
      <c r="I3339" s="354">
        <v>1</v>
      </c>
      <c r="J3339" s="354">
        <v>1</v>
      </c>
      <c r="K3339" s="354">
        <v>0</v>
      </c>
      <c r="L3339" s="354">
        <v>0</v>
      </c>
      <c r="M3339" s="355">
        <v>4</v>
      </c>
      <c r="N3339" s="355">
        <v>5</v>
      </c>
    </row>
    <row r="3340" spans="1:14" hidden="1" x14ac:dyDescent="0.25">
      <c r="A3340" s="354">
        <v>0</v>
      </c>
      <c r="B3340" s="354">
        <v>0</v>
      </c>
      <c r="C3340" s="354">
        <v>0</v>
      </c>
      <c r="D3340" s="354">
        <v>0</v>
      </c>
      <c r="E3340" s="354">
        <v>3</v>
      </c>
      <c r="F3340" s="354">
        <v>1</v>
      </c>
      <c r="G3340" s="354">
        <v>2</v>
      </c>
      <c r="H3340" s="354">
        <v>0</v>
      </c>
      <c r="I3340" s="354">
        <v>1</v>
      </c>
      <c r="J3340" s="354">
        <v>1</v>
      </c>
      <c r="K3340" s="354">
        <v>0</v>
      </c>
      <c r="L3340" s="354">
        <v>0</v>
      </c>
      <c r="M3340" s="355">
        <v>6</v>
      </c>
      <c r="N3340" s="355">
        <v>2</v>
      </c>
    </row>
    <row r="3341" spans="1:14" hidden="1" x14ac:dyDescent="0.25">
      <c r="A3341" s="354">
        <v>1</v>
      </c>
      <c r="B3341" s="354">
        <v>0</v>
      </c>
      <c r="C3341" s="354">
        <v>1</v>
      </c>
      <c r="D3341" s="354">
        <v>0</v>
      </c>
      <c r="E3341" s="354">
        <v>0</v>
      </c>
      <c r="F3341" s="354">
        <v>1</v>
      </c>
      <c r="G3341" s="354">
        <v>1</v>
      </c>
      <c r="H3341" s="354">
        <v>1</v>
      </c>
      <c r="I3341" s="354">
        <v>1</v>
      </c>
      <c r="J3341" s="354">
        <v>1</v>
      </c>
      <c r="K3341" s="354">
        <v>0</v>
      </c>
      <c r="L3341" s="354">
        <v>0</v>
      </c>
      <c r="M3341" s="355">
        <v>4</v>
      </c>
      <c r="N3341" s="355">
        <v>3</v>
      </c>
    </row>
    <row r="3342" spans="1:14" hidden="1" x14ac:dyDescent="0.25">
      <c r="A3342" s="354">
        <v>6</v>
      </c>
      <c r="B3342" s="354">
        <v>0</v>
      </c>
      <c r="C3342" s="354">
        <v>4</v>
      </c>
      <c r="D3342" s="354">
        <v>0</v>
      </c>
      <c r="E3342" s="354">
        <v>3</v>
      </c>
      <c r="F3342" s="354">
        <v>4</v>
      </c>
      <c r="G3342" s="354">
        <v>6</v>
      </c>
      <c r="H3342" s="354">
        <v>2</v>
      </c>
      <c r="I3342" s="354">
        <v>4</v>
      </c>
      <c r="J3342" s="354">
        <v>4</v>
      </c>
      <c r="K3342" s="354">
        <v>0</v>
      </c>
      <c r="L3342" s="354">
        <v>0</v>
      </c>
      <c r="M3342" s="355">
        <v>23</v>
      </c>
      <c r="N3342" s="355">
        <v>10</v>
      </c>
    </row>
    <row r="3343" spans="1:14" hidden="1" x14ac:dyDescent="0.25">
      <c r="A3343" s="354">
        <v>0</v>
      </c>
      <c r="B3343" s="354">
        <v>0</v>
      </c>
      <c r="C3343" s="354">
        <v>3</v>
      </c>
      <c r="D3343" s="354">
        <v>0</v>
      </c>
      <c r="E3343" s="354">
        <v>1</v>
      </c>
      <c r="F3343" s="354">
        <v>0</v>
      </c>
      <c r="G3343" s="354">
        <v>0</v>
      </c>
      <c r="H3343" s="354">
        <v>0</v>
      </c>
      <c r="I3343" s="354">
        <v>1</v>
      </c>
      <c r="J3343" s="354">
        <v>2</v>
      </c>
      <c r="K3343" s="354">
        <v>0</v>
      </c>
      <c r="L3343" s="354">
        <v>0</v>
      </c>
      <c r="M3343" s="355">
        <v>5</v>
      </c>
      <c r="N3343" s="355">
        <v>2</v>
      </c>
    </row>
    <row r="3344" spans="1:14" hidden="1" x14ac:dyDescent="0.25">
      <c r="A3344" s="354">
        <v>0</v>
      </c>
      <c r="B3344" s="354">
        <v>0</v>
      </c>
      <c r="C3344" s="354">
        <v>1</v>
      </c>
      <c r="D3344" s="354">
        <v>0</v>
      </c>
      <c r="E3344" s="354">
        <v>2</v>
      </c>
      <c r="F3344" s="354">
        <v>1</v>
      </c>
      <c r="G3344" s="354">
        <v>1</v>
      </c>
      <c r="H3344" s="354">
        <v>1</v>
      </c>
      <c r="I3344" s="354">
        <v>1</v>
      </c>
      <c r="J3344" s="354">
        <v>1</v>
      </c>
      <c r="K3344" s="354">
        <v>0</v>
      </c>
      <c r="L3344" s="354">
        <v>0</v>
      </c>
      <c r="M3344" s="355">
        <v>5</v>
      </c>
      <c r="N3344" s="355">
        <v>3</v>
      </c>
    </row>
    <row r="3345" spans="1:14" hidden="1" x14ac:dyDescent="0.25">
      <c r="A3345" s="354">
        <v>2</v>
      </c>
      <c r="B3345" s="354">
        <v>0</v>
      </c>
      <c r="C3345" s="354">
        <v>3</v>
      </c>
      <c r="D3345" s="354">
        <v>0</v>
      </c>
      <c r="E3345" s="354">
        <v>2</v>
      </c>
      <c r="F3345" s="354">
        <v>0</v>
      </c>
      <c r="G3345" s="354">
        <v>3</v>
      </c>
      <c r="H3345" s="354">
        <v>4</v>
      </c>
      <c r="I3345" s="354">
        <v>3</v>
      </c>
      <c r="J3345" s="354">
        <v>2</v>
      </c>
      <c r="K3345" s="354">
        <v>0</v>
      </c>
      <c r="L3345" s="354">
        <v>0</v>
      </c>
      <c r="M3345" s="355">
        <v>13</v>
      </c>
      <c r="N3345" s="355">
        <v>6</v>
      </c>
    </row>
    <row r="3346" spans="1:14" hidden="1" x14ac:dyDescent="0.25">
      <c r="A3346" s="354">
        <v>0</v>
      </c>
      <c r="B3346" s="354">
        <v>0</v>
      </c>
      <c r="C3346" s="354">
        <v>1</v>
      </c>
      <c r="D3346" s="354">
        <v>1</v>
      </c>
      <c r="E3346" s="354">
        <v>0</v>
      </c>
      <c r="F3346" s="354">
        <v>1</v>
      </c>
      <c r="G3346" s="354">
        <v>0</v>
      </c>
      <c r="H3346" s="354">
        <v>0</v>
      </c>
      <c r="I3346" s="354">
        <v>1</v>
      </c>
      <c r="J3346" s="354">
        <v>1</v>
      </c>
      <c r="K3346" s="354">
        <v>0</v>
      </c>
      <c r="L3346" s="354">
        <v>0</v>
      </c>
      <c r="M3346" s="355">
        <v>2</v>
      </c>
      <c r="N3346" s="355">
        <v>3</v>
      </c>
    </row>
    <row r="3347" spans="1:14" hidden="1" x14ac:dyDescent="0.25">
      <c r="A3347" s="354">
        <v>0</v>
      </c>
      <c r="B3347" s="354">
        <v>0</v>
      </c>
      <c r="C3347" s="354">
        <v>1</v>
      </c>
      <c r="D3347" s="354">
        <v>0</v>
      </c>
      <c r="E3347" s="354">
        <v>2</v>
      </c>
      <c r="F3347" s="354">
        <v>0</v>
      </c>
      <c r="G3347" s="354">
        <v>0</v>
      </c>
      <c r="H3347" s="354">
        <v>0</v>
      </c>
      <c r="I3347" s="354">
        <v>2</v>
      </c>
      <c r="J3347" s="354">
        <v>1</v>
      </c>
      <c r="K3347" s="354">
        <v>0</v>
      </c>
      <c r="L3347" s="354">
        <v>0</v>
      </c>
      <c r="M3347" s="355">
        <v>5</v>
      </c>
      <c r="N3347" s="355">
        <v>1</v>
      </c>
    </row>
    <row r="3348" spans="1:14" hidden="1" x14ac:dyDescent="0.25">
      <c r="A3348" s="354">
        <v>0</v>
      </c>
      <c r="B3348" s="354">
        <v>0</v>
      </c>
      <c r="C3348" s="354">
        <v>0</v>
      </c>
      <c r="D3348" s="354">
        <v>0</v>
      </c>
      <c r="E3348" s="354">
        <v>0</v>
      </c>
      <c r="F3348" s="354">
        <v>0</v>
      </c>
      <c r="G3348" s="354">
        <v>0</v>
      </c>
      <c r="H3348" s="354">
        <v>0</v>
      </c>
      <c r="I3348" s="354">
        <v>2</v>
      </c>
      <c r="J3348" s="354">
        <v>1</v>
      </c>
      <c r="K3348" s="354">
        <v>0</v>
      </c>
      <c r="L3348" s="354">
        <v>0</v>
      </c>
      <c r="M3348" s="355">
        <v>2</v>
      </c>
      <c r="N3348" s="355">
        <v>1</v>
      </c>
    </row>
    <row r="3349" spans="1:14" hidden="1" x14ac:dyDescent="0.25">
      <c r="A3349" s="354">
        <v>0</v>
      </c>
      <c r="B3349" s="354">
        <v>1</v>
      </c>
      <c r="C3349" s="354">
        <v>0</v>
      </c>
      <c r="D3349" s="354">
        <v>1</v>
      </c>
      <c r="E3349" s="354">
        <v>0</v>
      </c>
      <c r="F3349" s="354">
        <v>1</v>
      </c>
      <c r="G3349" s="354">
        <v>1</v>
      </c>
      <c r="H3349" s="354">
        <v>0</v>
      </c>
      <c r="I3349" s="354">
        <v>1</v>
      </c>
      <c r="J3349" s="354">
        <v>1</v>
      </c>
      <c r="K3349" s="354">
        <v>0</v>
      </c>
      <c r="L3349" s="354">
        <v>0</v>
      </c>
      <c r="M3349" s="355">
        <v>2</v>
      </c>
      <c r="N3349" s="355">
        <v>4</v>
      </c>
    </row>
    <row r="3350" spans="1:14" hidden="1" x14ac:dyDescent="0.25">
      <c r="A3350" s="354">
        <v>0</v>
      </c>
      <c r="B3350" s="354">
        <v>1</v>
      </c>
      <c r="C3350" s="354">
        <v>0</v>
      </c>
      <c r="D3350" s="354">
        <v>2</v>
      </c>
      <c r="E3350" s="354">
        <v>0</v>
      </c>
      <c r="F3350" s="354">
        <v>0</v>
      </c>
      <c r="G3350" s="354">
        <v>0</v>
      </c>
      <c r="H3350" s="354">
        <v>2</v>
      </c>
      <c r="I3350" s="354">
        <v>3</v>
      </c>
      <c r="J3350" s="354">
        <v>2</v>
      </c>
      <c r="K3350" s="354">
        <v>0</v>
      </c>
      <c r="L3350" s="354">
        <v>0</v>
      </c>
      <c r="M3350" s="355">
        <v>3</v>
      </c>
      <c r="N3350" s="355">
        <v>7</v>
      </c>
    </row>
    <row r="3351" spans="1:14" hidden="1" x14ac:dyDescent="0.25">
      <c r="A3351" s="354">
        <v>1</v>
      </c>
      <c r="B3351" s="354">
        <v>0</v>
      </c>
      <c r="C3351" s="354">
        <v>1</v>
      </c>
      <c r="D3351" s="354">
        <v>0</v>
      </c>
      <c r="E3351" s="354">
        <v>0</v>
      </c>
      <c r="F3351" s="354">
        <v>0</v>
      </c>
      <c r="G3351" s="354">
        <v>0</v>
      </c>
      <c r="H3351" s="354">
        <v>0</v>
      </c>
      <c r="I3351" s="354">
        <v>1</v>
      </c>
      <c r="J3351" s="354">
        <v>1</v>
      </c>
      <c r="K3351" s="354">
        <v>0</v>
      </c>
      <c r="L3351" s="354">
        <v>0</v>
      </c>
      <c r="M3351" s="355">
        <v>3</v>
      </c>
      <c r="N3351" s="355">
        <v>1</v>
      </c>
    </row>
    <row r="3352" spans="1:14" hidden="1" x14ac:dyDescent="0.25">
      <c r="A3352" s="354">
        <v>0</v>
      </c>
      <c r="B3352" s="354">
        <v>0</v>
      </c>
      <c r="C3352" s="354">
        <v>2</v>
      </c>
      <c r="D3352" s="354">
        <v>1</v>
      </c>
      <c r="E3352" s="354">
        <v>0</v>
      </c>
      <c r="F3352" s="354">
        <v>1</v>
      </c>
      <c r="G3352" s="354">
        <v>0</v>
      </c>
      <c r="H3352" s="354">
        <v>0</v>
      </c>
      <c r="I3352" s="354">
        <v>2</v>
      </c>
      <c r="J3352" s="354">
        <v>1</v>
      </c>
      <c r="K3352" s="354">
        <v>0</v>
      </c>
      <c r="L3352" s="354">
        <v>0</v>
      </c>
      <c r="M3352" s="355">
        <v>4</v>
      </c>
      <c r="N3352" s="355">
        <v>3</v>
      </c>
    </row>
    <row r="3353" spans="1:14" hidden="1" x14ac:dyDescent="0.25">
      <c r="A3353" s="354">
        <v>1</v>
      </c>
      <c r="B3353" s="354">
        <v>1</v>
      </c>
      <c r="C3353" s="354">
        <v>0</v>
      </c>
      <c r="D3353" s="354">
        <v>0</v>
      </c>
      <c r="E3353" s="354">
        <v>0</v>
      </c>
      <c r="F3353" s="354">
        <v>1</v>
      </c>
      <c r="G3353" s="354">
        <v>0</v>
      </c>
      <c r="H3353" s="354">
        <v>0</v>
      </c>
      <c r="I3353" s="354">
        <v>1</v>
      </c>
      <c r="J3353" s="354">
        <v>1</v>
      </c>
      <c r="K3353" s="354">
        <v>0</v>
      </c>
      <c r="L3353" s="354">
        <v>0</v>
      </c>
      <c r="M3353" s="355">
        <v>2</v>
      </c>
      <c r="N3353" s="355">
        <v>3</v>
      </c>
    </row>
    <row r="3354" spans="1:14" hidden="1" x14ac:dyDescent="0.25">
      <c r="A3354" s="354">
        <v>0</v>
      </c>
      <c r="B3354" s="354">
        <v>0</v>
      </c>
      <c r="C3354" s="354">
        <v>0</v>
      </c>
      <c r="D3354" s="354">
        <v>2</v>
      </c>
      <c r="E3354" s="354">
        <v>0</v>
      </c>
      <c r="F3354" s="354">
        <v>0</v>
      </c>
      <c r="G3354" s="354">
        <v>1</v>
      </c>
      <c r="H3354" s="354">
        <v>0</v>
      </c>
      <c r="I3354" s="354">
        <v>1</v>
      </c>
      <c r="J3354" s="354">
        <v>1</v>
      </c>
      <c r="K3354" s="354">
        <v>0</v>
      </c>
      <c r="L3354" s="354">
        <v>0</v>
      </c>
      <c r="M3354" s="355">
        <v>2</v>
      </c>
      <c r="N3354" s="355">
        <v>3</v>
      </c>
    </row>
    <row r="3355" spans="1:14" hidden="1" x14ac:dyDescent="0.25">
      <c r="A3355" s="354">
        <v>2</v>
      </c>
      <c r="B3355" s="354">
        <v>0</v>
      </c>
      <c r="C3355" s="354">
        <v>1</v>
      </c>
      <c r="D3355" s="354">
        <v>0</v>
      </c>
      <c r="E3355" s="354">
        <v>0</v>
      </c>
      <c r="F3355" s="354">
        <v>1</v>
      </c>
      <c r="G3355" s="354">
        <v>1</v>
      </c>
      <c r="H3355" s="354">
        <v>0</v>
      </c>
      <c r="I3355" s="354">
        <v>1</v>
      </c>
      <c r="J3355" s="354">
        <v>1</v>
      </c>
      <c r="K3355" s="354">
        <v>0</v>
      </c>
      <c r="L3355" s="354">
        <v>0</v>
      </c>
      <c r="M3355" s="355">
        <v>5</v>
      </c>
      <c r="N3355" s="355">
        <v>2</v>
      </c>
    </row>
    <row r="3356" spans="1:14" hidden="1" x14ac:dyDescent="0.25">
      <c r="A3356" s="354">
        <v>1</v>
      </c>
      <c r="B3356" s="354">
        <v>0</v>
      </c>
      <c r="C3356" s="354">
        <v>0</v>
      </c>
      <c r="D3356" s="354">
        <v>1</v>
      </c>
      <c r="E3356" s="354">
        <v>0</v>
      </c>
      <c r="F3356" s="354">
        <v>0</v>
      </c>
      <c r="G3356" s="354">
        <v>0</v>
      </c>
      <c r="H3356" s="354">
        <v>2</v>
      </c>
      <c r="I3356" s="354">
        <v>2</v>
      </c>
      <c r="J3356" s="354">
        <v>1</v>
      </c>
      <c r="K3356" s="354">
        <v>0</v>
      </c>
      <c r="L3356" s="354">
        <v>0</v>
      </c>
      <c r="M3356" s="355">
        <v>3</v>
      </c>
      <c r="N3356" s="355">
        <v>4</v>
      </c>
    </row>
    <row r="3357" spans="1:14" hidden="1" x14ac:dyDescent="0.25">
      <c r="A3357" s="354">
        <v>1</v>
      </c>
      <c r="B3357" s="354">
        <v>0</v>
      </c>
      <c r="C3357" s="354">
        <v>0</v>
      </c>
      <c r="D3357" s="354">
        <v>2</v>
      </c>
      <c r="E3357" s="354">
        <v>1</v>
      </c>
      <c r="F3357" s="354">
        <v>1</v>
      </c>
      <c r="G3357" s="354">
        <v>0</v>
      </c>
      <c r="H3357" s="354">
        <v>0</v>
      </c>
      <c r="I3357" s="354">
        <v>1</v>
      </c>
      <c r="J3357" s="354">
        <v>1</v>
      </c>
      <c r="K3357" s="354">
        <v>0</v>
      </c>
      <c r="L3357" s="354">
        <v>0</v>
      </c>
      <c r="M3357" s="355">
        <v>3</v>
      </c>
      <c r="N3357" s="355">
        <v>4</v>
      </c>
    </row>
    <row r="3358" spans="1:14" hidden="1" x14ac:dyDescent="0.25">
      <c r="A3358" s="354">
        <v>0</v>
      </c>
      <c r="B3358" s="354">
        <v>0</v>
      </c>
      <c r="C3358" s="354">
        <v>0</v>
      </c>
      <c r="D3358" s="354">
        <v>0</v>
      </c>
      <c r="E3358" s="354">
        <v>1</v>
      </c>
      <c r="F3358" s="354">
        <v>1</v>
      </c>
      <c r="G3358" s="354">
        <v>1</v>
      </c>
      <c r="H3358" s="354">
        <v>1</v>
      </c>
      <c r="I3358" s="354">
        <v>1</v>
      </c>
      <c r="J3358" s="354">
        <v>1</v>
      </c>
      <c r="K3358" s="354">
        <v>1</v>
      </c>
      <c r="L3358" s="354">
        <v>0</v>
      </c>
      <c r="M3358" s="355">
        <v>4</v>
      </c>
      <c r="N3358" s="355">
        <v>3</v>
      </c>
    </row>
    <row r="3359" spans="1:14" hidden="1" x14ac:dyDescent="0.25">
      <c r="A3359" s="354">
        <v>0</v>
      </c>
      <c r="B3359" s="354">
        <v>0</v>
      </c>
      <c r="C3359" s="354">
        <v>1</v>
      </c>
      <c r="D3359" s="354">
        <v>1</v>
      </c>
      <c r="E3359" s="354">
        <v>2</v>
      </c>
      <c r="F3359" s="354">
        <v>1</v>
      </c>
      <c r="G3359" s="354">
        <v>2</v>
      </c>
      <c r="H3359" s="354">
        <v>1</v>
      </c>
      <c r="I3359" s="354">
        <v>2</v>
      </c>
      <c r="J3359" s="354">
        <v>1</v>
      </c>
      <c r="K3359" s="354">
        <v>0</v>
      </c>
      <c r="L3359" s="354">
        <v>0</v>
      </c>
      <c r="M3359" s="355">
        <v>7</v>
      </c>
      <c r="N3359" s="355">
        <v>4</v>
      </c>
    </row>
    <row r="3360" spans="1:14" hidden="1" x14ac:dyDescent="0.25">
      <c r="A3360" s="354">
        <v>0</v>
      </c>
      <c r="B3360" s="354">
        <v>0</v>
      </c>
      <c r="C3360" s="354">
        <v>0</v>
      </c>
      <c r="D3360" s="354">
        <v>2</v>
      </c>
      <c r="E3360" s="354">
        <v>1</v>
      </c>
      <c r="F3360" s="354">
        <v>0</v>
      </c>
      <c r="G3360" s="354">
        <v>1</v>
      </c>
      <c r="H3360" s="354">
        <v>1</v>
      </c>
      <c r="I3360" s="354">
        <v>1</v>
      </c>
      <c r="J3360" s="354">
        <v>1</v>
      </c>
      <c r="K3360" s="354">
        <v>0</v>
      </c>
      <c r="L3360" s="354">
        <v>0</v>
      </c>
      <c r="M3360" s="355">
        <v>3</v>
      </c>
      <c r="N3360" s="355">
        <v>4</v>
      </c>
    </row>
    <row r="3361" spans="1:14" hidden="1" x14ac:dyDescent="0.25">
      <c r="A3361" s="354">
        <v>0</v>
      </c>
      <c r="B3361" s="354">
        <v>0</v>
      </c>
      <c r="C3361" s="354">
        <v>0</v>
      </c>
      <c r="D3361" s="354">
        <v>1</v>
      </c>
      <c r="E3361" s="354">
        <v>1</v>
      </c>
      <c r="F3361" s="354">
        <v>1</v>
      </c>
      <c r="G3361" s="354">
        <v>2</v>
      </c>
      <c r="H3361" s="354">
        <v>1</v>
      </c>
      <c r="I3361" s="354">
        <v>1</v>
      </c>
      <c r="J3361" s="354">
        <v>1</v>
      </c>
      <c r="K3361" s="354">
        <v>0</v>
      </c>
      <c r="L3361" s="354">
        <v>0</v>
      </c>
      <c r="M3361" s="355">
        <v>4</v>
      </c>
      <c r="N3361" s="355">
        <v>4</v>
      </c>
    </row>
    <row r="3362" spans="1:14" hidden="1" x14ac:dyDescent="0.25">
      <c r="A3362" s="354">
        <v>0</v>
      </c>
      <c r="B3362" s="354">
        <v>1</v>
      </c>
      <c r="C3362" s="354">
        <v>1</v>
      </c>
      <c r="D3362" s="354">
        <v>1</v>
      </c>
      <c r="E3362" s="354">
        <v>2</v>
      </c>
      <c r="F3362" s="354">
        <v>1</v>
      </c>
      <c r="G3362" s="354">
        <v>1</v>
      </c>
      <c r="H3362" s="354">
        <v>0</v>
      </c>
      <c r="I3362" s="354">
        <v>1</v>
      </c>
      <c r="J3362" s="354">
        <v>1</v>
      </c>
      <c r="K3362" s="354">
        <v>0</v>
      </c>
      <c r="L3362" s="354">
        <v>0</v>
      </c>
      <c r="M3362" s="355">
        <v>5</v>
      </c>
      <c r="N3362" s="355">
        <v>4</v>
      </c>
    </row>
    <row r="3363" spans="1:14" hidden="1" x14ac:dyDescent="0.25">
      <c r="A3363" s="354">
        <v>1</v>
      </c>
      <c r="B3363" s="354">
        <v>0</v>
      </c>
      <c r="C3363" s="354">
        <v>1</v>
      </c>
      <c r="D3363" s="354">
        <v>1</v>
      </c>
      <c r="E3363" s="354">
        <v>1</v>
      </c>
      <c r="F3363" s="354">
        <v>0</v>
      </c>
      <c r="G3363" s="354">
        <v>0</v>
      </c>
      <c r="H3363" s="354">
        <v>0</v>
      </c>
      <c r="I3363" s="354">
        <v>1</v>
      </c>
      <c r="J3363" s="354">
        <v>1</v>
      </c>
      <c r="K3363" s="354">
        <v>0</v>
      </c>
      <c r="L3363" s="354">
        <v>0</v>
      </c>
      <c r="M3363" s="355">
        <v>4</v>
      </c>
      <c r="N3363" s="355">
        <v>2</v>
      </c>
    </row>
    <row r="3364" spans="1:14" hidden="1" x14ac:dyDescent="0.25">
      <c r="A3364" s="354">
        <v>0</v>
      </c>
      <c r="B3364" s="354">
        <v>0</v>
      </c>
      <c r="C3364" s="354">
        <v>0</v>
      </c>
      <c r="D3364" s="354">
        <v>1</v>
      </c>
      <c r="E3364" s="354">
        <v>1</v>
      </c>
      <c r="F3364" s="354">
        <v>0</v>
      </c>
      <c r="G3364" s="354">
        <v>2</v>
      </c>
      <c r="H3364" s="354">
        <v>1</v>
      </c>
      <c r="I3364" s="354">
        <v>1</v>
      </c>
      <c r="J3364" s="354">
        <v>1</v>
      </c>
      <c r="K3364" s="354">
        <v>0</v>
      </c>
      <c r="L3364" s="354">
        <v>0</v>
      </c>
      <c r="M3364" s="355">
        <v>4</v>
      </c>
      <c r="N3364" s="355">
        <v>3</v>
      </c>
    </row>
    <row r="3365" spans="1:14" hidden="1" x14ac:dyDescent="0.25">
      <c r="A3365" s="354">
        <v>0</v>
      </c>
      <c r="B3365" s="354">
        <v>1</v>
      </c>
      <c r="C3365" s="354">
        <v>1</v>
      </c>
      <c r="D3365" s="354">
        <v>0</v>
      </c>
      <c r="E3365" s="354">
        <v>1</v>
      </c>
      <c r="F3365" s="354">
        <v>2</v>
      </c>
      <c r="G3365" s="354">
        <v>0</v>
      </c>
      <c r="H3365" s="354">
        <v>1</v>
      </c>
      <c r="I3365" s="354">
        <v>1</v>
      </c>
      <c r="J3365" s="354">
        <v>1</v>
      </c>
      <c r="K3365" s="354">
        <v>0</v>
      </c>
      <c r="L3365" s="354">
        <v>0</v>
      </c>
      <c r="M3365" s="355">
        <v>3</v>
      </c>
      <c r="N3365" s="355">
        <v>5</v>
      </c>
    </row>
    <row r="3366" spans="1:14" hidden="1" x14ac:dyDescent="0.25">
      <c r="A3366" s="354">
        <v>0</v>
      </c>
      <c r="B3366" s="354">
        <v>0</v>
      </c>
      <c r="C3366" s="354">
        <v>0</v>
      </c>
      <c r="D3366" s="354">
        <v>0</v>
      </c>
      <c r="E3366" s="354">
        <v>0</v>
      </c>
      <c r="F3366" s="354">
        <v>0</v>
      </c>
      <c r="G3366" s="354">
        <v>0</v>
      </c>
      <c r="H3366" s="354">
        <v>1</v>
      </c>
      <c r="I3366" s="354"/>
      <c r="J3366" s="354">
        <v>1</v>
      </c>
      <c r="K3366" s="354">
        <v>0</v>
      </c>
      <c r="L3366" s="354">
        <v>1</v>
      </c>
      <c r="M3366" s="355">
        <v>0</v>
      </c>
      <c r="N3366" s="355">
        <v>3</v>
      </c>
    </row>
    <row r="3367" spans="1:14" hidden="1" x14ac:dyDescent="0.25">
      <c r="A3367" s="354">
        <v>0</v>
      </c>
      <c r="B3367" s="354">
        <v>0</v>
      </c>
      <c r="C3367" s="354">
        <v>0</v>
      </c>
      <c r="D3367" s="354">
        <v>0</v>
      </c>
      <c r="E3367" s="354">
        <v>1</v>
      </c>
      <c r="F3367" s="354">
        <v>0</v>
      </c>
      <c r="G3367" s="354">
        <v>1</v>
      </c>
      <c r="H3367" s="354">
        <v>2</v>
      </c>
      <c r="I3367" s="354">
        <v>1</v>
      </c>
      <c r="J3367" s="354">
        <v>1</v>
      </c>
      <c r="K3367" s="354">
        <v>0</v>
      </c>
      <c r="L3367" s="354">
        <v>0</v>
      </c>
      <c r="M3367" s="355">
        <v>3</v>
      </c>
      <c r="N3367" s="355">
        <v>3</v>
      </c>
    </row>
    <row r="3368" spans="1:14" hidden="1" x14ac:dyDescent="0.25">
      <c r="A3368" s="354">
        <v>0</v>
      </c>
      <c r="B3368" s="354">
        <v>0</v>
      </c>
      <c r="C3368" s="354">
        <v>0</v>
      </c>
      <c r="D3368" s="354">
        <v>0</v>
      </c>
      <c r="E3368" s="354">
        <v>0</v>
      </c>
      <c r="F3368" s="354">
        <v>1</v>
      </c>
      <c r="G3368" s="354">
        <v>3</v>
      </c>
      <c r="H3368" s="354">
        <v>2</v>
      </c>
      <c r="I3368" s="354">
        <v>3</v>
      </c>
      <c r="J3368" s="354">
        <v>1</v>
      </c>
      <c r="K3368" s="354">
        <v>0</v>
      </c>
      <c r="L3368" s="354">
        <v>0</v>
      </c>
      <c r="M3368" s="355">
        <v>6</v>
      </c>
      <c r="N3368" s="355">
        <v>4</v>
      </c>
    </row>
    <row r="3369" spans="1:14" hidden="1" x14ac:dyDescent="0.25">
      <c r="A3369" s="354">
        <v>0</v>
      </c>
      <c r="B3369" s="354">
        <v>0</v>
      </c>
      <c r="C3369" s="354">
        <v>0</v>
      </c>
      <c r="D3369" s="354">
        <v>0</v>
      </c>
      <c r="E3369" s="354">
        <v>1</v>
      </c>
      <c r="F3369" s="354">
        <v>2</v>
      </c>
      <c r="G3369" s="354">
        <v>2</v>
      </c>
      <c r="H3369" s="354">
        <v>0</v>
      </c>
      <c r="I3369" s="354">
        <v>1</v>
      </c>
      <c r="J3369" s="354">
        <v>1</v>
      </c>
      <c r="K3369" s="354">
        <v>0</v>
      </c>
      <c r="L3369" s="354">
        <v>0</v>
      </c>
      <c r="M3369" s="355">
        <v>4</v>
      </c>
      <c r="N3369" s="355">
        <v>3</v>
      </c>
    </row>
    <row r="3370" spans="1:14" hidden="1" x14ac:dyDescent="0.25">
      <c r="A3370" s="354">
        <v>0</v>
      </c>
      <c r="B3370" s="354">
        <v>0</v>
      </c>
      <c r="C3370" s="354">
        <v>0</v>
      </c>
      <c r="D3370" s="354">
        <v>0</v>
      </c>
      <c r="E3370" s="354">
        <v>2</v>
      </c>
      <c r="F3370" s="354">
        <v>1</v>
      </c>
      <c r="G3370" s="354">
        <v>0</v>
      </c>
      <c r="H3370" s="354">
        <v>2</v>
      </c>
      <c r="I3370" s="354">
        <v>3</v>
      </c>
      <c r="J3370" s="354">
        <v>1</v>
      </c>
      <c r="K3370" s="354">
        <v>0</v>
      </c>
      <c r="L3370" s="354">
        <v>0</v>
      </c>
      <c r="M3370" s="355">
        <v>5</v>
      </c>
      <c r="N3370" s="355">
        <v>4</v>
      </c>
    </row>
    <row r="3371" spans="1:14" hidden="1" x14ac:dyDescent="0.25">
      <c r="A3371" s="354">
        <v>0</v>
      </c>
      <c r="B3371" s="354">
        <v>0</v>
      </c>
      <c r="C3371" s="354">
        <v>1</v>
      </c>
      <c r="D3371" s="354">
        <v>0</v>
      </c>
      <c r="E3371" s="354">
        <v>2</v>
      </c>
      <c r="F3371" s="354">
        <v>1</v>
      </c>
      <c r="G3371" s="354">
        <v>0</v>
      </c>
      <c r="H3371" s="354">
        <v>1</v>
      </c>
      <c r="I3371" s="354">
        <v>3</v>
      </c>
      <c r="J3371" s="354">
        <v>1</v>
      </c>
      <c r="K3371" s="354">
        <v>0</v>
      </c>
      <c r="L3371" s="354">
        <v>0</v>
      </c>
      <c r="M3371" s="355">
        <v>6</v>
      </c>
      <c r="N3371" s="355">
        <v>3</v>
      </c>
    </row>
    <row r="3372" spans="1:14" hidden="1" x14ac:dyDescent="0.25">
      <c r="A3372" s="354">
        <v>0</v>
      </c>
      <c r="B3372" s="354">
        <v>0</v>
      </c>
      <c r="C3372" s="354">
        <v>0</v>
      </c>
      <c r="D3372" s="354">
        <v>2</v>
      </c>
      <c r="E3372" s="354">
        <v>1</v>
      </c>
      <c r="F3372" s="354">
        <v>0</v>
      </c>
      <c r="G3372" s="354">
        <v>2</v>
      </c>
      <c r="H3372" s="354">
        <v>1</v>
      </c>
      <c r="I3372" s="354">
        <v>2</v>
      </c>
      <c r="J3372" s="354">
        <v>1</v>
      </c>
      <c r="K3372" s="354">
        <v>0</v>
      </c>
      <c r="L3372" s="354">
        <v>0</v>
      </c>
      <c r="M3372" s="355">
        <v>5</v>
      </c>
      <c r="N3372" s="355">
        <v>4</v>
      </c>
    </row>
    <row r="3373" spans="1:14" hidden="1" x14ac:dyDescent="0.25">
      <c r="A3373" s="354">
        <v>0</v>
      </c>
      <c r="B3373" s="354">
        <v>0</v>
      </c>
      <c r="C3373" s="354">
        <v>0</v>
      </c>
      <c r="D3373" s="354">
        <v>1</v>
      </c>
      <c r="E3373" s="354">
        <v>1</v>
      </c>
      <c r="F3373" s="354">
        <v>1</v>
      </c>
      <c r="G3373" s="354">
        <v>2</v>
      </c>
      <c r="H3373" s="354">
        <v>1</v>
      </c>
      <c r="I3373" s="354">
        <v>3</v>
      </c>
      <c r="J3373" s="354">
        <v>0</v>
      </c>
      <c r="K3373" s="354">
        <v>0</v>
      </c>
      <c r="L3373" s="354">
        <v>0</v>
      </c>
      <c r="M3373" s="355">
        <v>6</v>
      </c>
      <c r="N3373" s="355">
        <v>3</v>
      </c>
    </row>
    <row r="3374" spans="1:14" hidden="1" x14ac:dyDescent="0.25">
      <c r="A3374" s="354">
        <v>0</v>
      </c>
      <c r="B3374" s="354">
        <v>0</v>
      </c>
      <c r="C3374" s="354">
        <v>1</v>
      </c>
      <c r="D3374" s="354">
        <v>0</v>
      </c>
      <c r="E3374" s="354">
        <v>1</v>
      </c>
      <c r="F3374" s="354">
        <v>1</v>
      </c>
      <c r="G3374" s="354">
        <v>0</v>
      </c>
      <c r="H3374" s="354">
        <v>2</v>
      </c>
      <c r="I3374" s="354">
        <v>1</v>
      </c>
      <c r="J3374" s="354">
        <v>1</v>
      </c>
      <c r="K3374" s="354">
        <v>0</v>
      </c>
      <c r="L3374" s="354">
        <v>0</v>
      </c>
      <c r="M3374" s="355">
        <v>3</v>
      </c>
      <c r="N3374" s="355">
        <v>4</v>
      </c>
    </row>
    <row r="3375" spans="1:14" hidden="1" x14ac:dyDescent="0.25">
      <c r="A3375" s="354">
        <v>0</v>
      </c>
      <c r="B3375" s="354">
        <v>0</v>
      </c>
      <c r="C3375" s="354">
        <v>1</v>
      </c>
      <c r="D3375" s="354">
        <v>1</v>
      </c>
      <c r="E3375" s="354">
        <v>0</v>
      </c>
      <c r="F3375" s="354">
        <v>3</v>
      </c>
      <c r="G3375" s="354">
        <v>0</v>
      </c>
      <c r="H3375" s="354">
        <v>0</v>
      </c>
      <c r="I3375" s="354">
        <v>1</v>
      </c>
      <c r="J3375" s="354">
        <v>1</v>
      </c>
      <c r="K3375" s="354">
        <v>0</v>
      </c>
      <c r="L3375" s="354">
        <v>0</v>
      </c>
      <c r="M3375" s="355">
        <v>2</v>
      </c>
      <c r="N3375" s="355">
        <v>5</v>
      </c>
    </row>
    <row r="3376" spans="1:14" hidden="1" x14ac:dyDescent="0.25">
      <c r="A3376" s="354">
        <v>0</v>
      </c>
      <c r="B3376" s="354">
        <v>1</v>
      </c>
      <c r="C3376" s="354">
        <v>1</v>
      </c>
      <c r="D3376" s="354">
        <v>0</v>
      </c>
      <c r="E3376" s="354">
        <v>1</v>
      </c>
      <c r="F3376" s="354">
        <v>1</v>
      </c>
      <c r="G3376" s="354">
        <v>0</v>
      </c>
      <c r="H3376" s="354">
        <v>0</v>
      </c>
      <c r="I3376" s="354">
        <v>1</v>
      </c>
      <c r="J3376" s="354">
        <v>1</v>
      </c>
      <c r="K3376" s="354">
        <v>0</v>
      </c>
      <c r="L3376" s="354">
        <v>0</v>
      </c>
      <c r="M3376" s="355">
        <v>3</v>
      </c>
      <c r="N3376" s="355">
        <v>3</v>
      </c>
    </row>
    <row r="3377" spans="1:14" hidden="1" x14ac:dyDescent="0.25">
      <c r="A3377" s="354">
        <v>5</v>
      </c>
      <c r="B3377" s="354">
        <v>0</v>
      </c>
      <c r="C3377" s="354">
        <v>5</v>
      </c>
      <c r="D3377" s="354">
        <v>0</v>
      </c>
      <c r="E3377" s="354">
        <v>2</v>
      </c>
      <c r="F3377" s="354">
        <v>4</v>
      </c>
      <c r="G3377" s="354">
        <v>1</v>
      </c>
      <c r="H3377" s="354">
        <v>2</v>
      </c>
      <c r="I3377" s="354">
        <v>1</v>
      </c>
      <c r="J3377" s="354">
        <v>1</v>
      </c>
      <c r="K3377" s="354">
        <v>0</v>
      </c>
      <c r="L3377" s="354">
        <v>0</v>
      </c>
      <c r="M3377" s="355">
        <v>14</v>
      </c>
      <c r="N3377" s="355">
        <v>7</v>
      </c>
    </row>
    <row r="3378" spans="1:14" hidden="1" x14ac:dyDescent="0.25">
      <c r="A3378" s="354">
        <v>2</v>
      </c>
      <c r="B3378" s="354">
        <v>0</v>
      </c>
      <c r="C3378" s="354">
        <v>3</v>
      </c>
      <c r="D3378" s="354">
        <v>0</v>
      </c>
      <c r="E3378" s="354">
        <v>2</v>
      </c>
      <c r="F3378" s="354">
        <v>0</v>
      </c>
      <c r="G3378" s="354">
        <v>1</v>
      </c>
      <c r="H3378" s="354">
        <v>1</v>
      </c>
      <c r="I3378" s="354">
        <v>1</v>
      </c>
      <c r="J3378" s="354">
        <v>0</v>
      </c>
      <c r="K3378" s="354">
        <v>0</v>
      </c>
      <c r="L3378" s="354">
        <v>0</v>
      </c>
      <c r="M3378" s="355">
        <v>9</v>
      </c>
      <c r="N3378" s="355">
        <v>1</v>
      </c>
    </row>
    <row r="3379" spans="1:14" hidden="1" x14ac:dyDescent="0.25">
      <c r="A3379" s="354">
        <v>0</v>
      </c>
      <c r="B3379" s="354">
        <v>0</v>
      </c>
      <c r="C3379" s="354">
        <v>1</v>
      </c>
      <c r="D3379" s="354">
        <v>0</v>
      </c>
      <c r="E3379" s="354">
        <v>1</v>
      </c>
      <c r="F3379" s="354">
        <v>1</v>
      </c>
      <c r="G3379" s="354">
        <v>0</v>
      </c>
      <c r="H3379" s="354">
        <v>1</v>
      </c>
      <c r="I3379" s="354">
        <v>1</v>
      </c>
      <c r="J3379" s="354">
        <v>1</v>
      </c>
      <c r="K3379" s="354">
        <v>0</v>
      </c>
      <c r="L3379" s="354">
        <v>0</v>
      </c>
      <c r="M3379" s="355">
        <v>3</v>
      </c>
      <c r="N3379" s="355">
        <v>3</v>
      </c>
    </row>
    <row r="3380" spans="1:14" hidden="1" x14ac:dyDescent="0.25">
      <c r="A3380" s="354">
        <v>0</v>
      </c>
      <c r="B3380" s="354">
        <v>0</v>
      </c>
      <c r="C3380" s="354">
        <v>1</v>
      </c>
      <c r="D3380" s="354">
        <v>1</v>
      </c>
      <c r="E3380" s="354">
        <v>2</v>
      </c>
      <c r="F3380" s="354">
        <v>1</v>
      </c>
      <c r="G3380" s="354">
        <v>1</v>
      </c>
      <c r="H3380" s="354">
        <v>2</v>
      </c>
      <c r="I3380" s="354">
        <v>1</v>
      </c>
      <c r="J3380" s="354">
        <v>1</v>
      </c>
      <c r="K3380" s="354">
        <v>0</v>
      </c>
      <c r="L3380" s="354">
        <v>0</v>
      </c>
      <c r="M3380" s="355">
        <v>5</v>
      </c>
      <c r="N3380" s="355">
        <v>5</v>
      </c>
    </row>
    <row r="3381" spans="1:14" hidden="1" x14ac:dyDescent="0.25">
      <c r="A3381" s="354">
        <v>0</v>
      </c>
      <c r="B3381" s="354">
        <v>0</v>
      </c>
      <c r="C3381" s="354">
        <v>1</v>
      </c>
      <c r="D3381" s="354">
        <v>0</v>
      </c>
      <c r="E3381" s="354">
        <v>1</v>
      </c>
      <c r="F3381" s="354">
        <v>1</v>
      </c>
      <c r="G3381" s="354">
        <v>1</v>
      </c>
      <c r="H3381" s="354">
        <v>0</v>
      </c>
      <c r="I3381" s="354">
        <v>2</v>
      </c>
      <c r="J3381" s="354">
        <v>1</v>
      </c>
      <c r="K3381" s="354">
        <v>0</v>
      </c>
      <c r="L3381" s="354">
        <v>0</v>
      </c>
      <c r="M3381" s="355">
        <v>5</v>
      </c>
      <c r="N3381" s="355">
        <v>2</v>
      </c>
    </row>
    <row r="3382" spans="1:14" hidden="1" x14ac:dyDescent="0.25">
      <c r="A3382" s="354">
        <v>0</v>
      </c>
      <c r="B3382" s="354">
        <v>0</v>
      </c>
      <c r="C3382" s="354">
        <v>1</v>
      </c>
      <c r="D3382" s="354">
        <v>1</v>
      </c>
      <c r="E3382" s="354">
        <v>0</v>
      </c>
      <c r="F3382" s="354">
        <v>1</v>
      </c>
      <c r="G3382" s="354">
        <v>2</v>
      </c>
      <c r="H3382" s="354">
        <v>1</v>
      </c>
      <c r="I3382" s="354">
        <v>1</v>
      </c>
      <c r="J3382" s="354">
        <v>1</v>
      </c>
      <c r="K3382" s="354">
        <v>0</v>
      </c>
      <c r="L3382" s="354">
        <v>0</v>
      </c>
      <c r="M3382" s="355">
        <v>4</v>
      </c>
      <c r="N3382" s="355">
        <v>4</v>
      </c>
    </row>
    <row r="3383" spans="1:14" hidden="1" x14ac:dyDescent="0.25">
      <c r="A3383" s="354">
        <v>0</v>
      </c>
      <c r="B3383" s="354">
        <v>1</v>
      </c>
      <c r="C3383" s="354">
        <v>1</v>
      </c>
      <c r="D3383" s="354">
        <v>0</v>
      </c>
      <c r="E3383" s="354">
        <v>2</v>
      </c>
      <c r="F3383" s="354">
        <v>2</v>
      </c>
      <c r="G3383" s="354">
        <v>3</v>
      </c>
      <c r="H3383" s="354">
        <v>1</v>
      </c>
      <c r="I3383" s="354">
        <v>0</v>
      </c>
      <c r="J3383" s="354">
        <v>1</v>
      </c>
      <c r="K3383" s="354">
        <v>0</v>
      </c>
      <c r="L3383" s="354">
        <v>0</v>
      </c>
      <c r="M3383" s="355">
        <v>6</v>
      </c>
      <c r="N3383" s="355">
        <v>5</v>
      </c>
    </row>
    <row r="3384" spans="1:14" hidden="1" x14ac:dyDescent="0.25">
      <c r="A3384" s="354">
        <v>1</v>
      </c>
      <c r="B3384" s="354">
        <v>0</v>
      </c>
      <c r="C3384" s="354">
        <v>1</v>
      </c>
      <c r="D3384" s="354">
        <v>1</v>
      </c>
      <c r="E3384" s="354">
        <v>1</v>
      </c>
      <c r="F3384" s="354">
        <v>3</v>
      </c>
      <c r="G3384" s="354">
        <v>1</v>
      </c>
      <c r="H3384" s="354">
        <v>0</v>
      </c>
      <c r="I3384" s="354">
        <v>0</v>
      </c>
      <c r="J3384" s="354">
        <v>1</v>
      </c>
      <c r="K3384" s="354">
        <v>0</v>
      </c>
      <c r="L3384" s="354">
        <v>0</v>
      </c>
      <c r="M3384" s="355">
        <v>4</v>
      </c>
      <c r="N3384" s="355">
        <v>5</v>
      </c>
    </row>
    <row r="3385" spans="1:14" hidden="1" x14ac:dyDescent="0.25">
      <c r="A3385" s="354">
        <v>0</v>
      </c>
      <c r="B3385" s="354">
        <v>1</v>
      </c>
      <c r="C3385" s="354">
        <v>3</v>
      </c>
      <c r="D3385" s="354">
        <v>0</v>
      </c>
      <c r="E3385" s="354">
        <v>0</v>
      </c>
      <c r="F3385" s="354">
        <v>0</v>
      </c>
      <c r="G3385" s="354">
        <v>0</v>
      </c>
      <c r="H3385" s="354">
        <v>0</v>
      </c>
      <c r="I3385" s="354">
        <v>1</v>
      </c>
      <c r="J3385" s="354">
        <v>1</v>
      </c>
      <c r="K3385" s="354">
        <v>0</v>
      </c>
      <c r="L3385" s="354">
        <v>0</v>
      </c>
      <c r="M3385" s="355">
        <v>4</v>
      </c>
      <c r="N3385" s="355">
        <v>2</v>
      </c>
    </row>
    <row r="3386" spans="1:14" hidden="1" x14ac:dyDescent="0.25">
      <c r="A3386" s="354">
        <v>1</v>
      </c>
      <c r="B3386" s="354">
        <v>0</v>
      </c>
      <c r="C3386" s="354">
        <v>0</v>
      </c>
      <c r="D3386" s="354">
        <v>1</v>
      </c>
      <c r="E3386" s="354">
        <v>0</v>
      </c>
      <c r="F3386" s="354">
        <v>0</v>
      </c>
      <c r="G3386" s="354">
        <v>0</v>
      </c>
      <c r="H3386" s="354">
        <v>0</v>
      </c>
      <c r="I3386" s="354">
        <v>1</v>
      </c>
      <c r="J3386" s="354">
        <v>1</v>
      </c>
      <c r="K3386" s="354">
        <v>0</v>
      </c>
      <c r="L3386" s="354">
        <v>0</v>
      </c>
      <c r="M3386" s="355">
        <v>2</v>
      </c>
      <c r="N3386" s="355">
        <v>2</v>
      </c>
    </row>
    <row r="3387" spans="1:14" hidden="1" x14ac:dyDescent="0.25">
      <c r="A3387" s="354">
        <v>0</v>
      </c>
      <c r="B3387" s="354">
        <v>1</v>
      </c>
      <c r="C3387" s="354">
        <v>1</v>
      </c>
      <c r="D3387" s="354">
        <v>1</v>
      </c>
      <c r="E3387" s="354">
        <v>0</v>
      </c>
      <c r="F3387" s="354">
        <v>0</v>
      </c>
      <c r="G3387" s="354">
        <v>0</v>
      </c>
      <c r="H3387" s="354">
        <v>0</v>
      </c>
      <c r="I3387" s="354">
        <v>1</v>
      </c>
      <c r="J3387" s="354">
        <v>1</v>
      </c>
      <c r="K3387" s="354">
        <v>0</v>
      </c>
      <c r="L3387" s="354">
        <v>0</v>
      </c>
      <c r="M3387" s="355">
        <v>2</v>
      </c>
      <c r="N3387" s="355">
        <v>3</v>
      </c>
    </row>
    <row r="3388" spans="1:14" hidden="1" x14ac:dyDescent="0.25">
      <c r="A3388" s="354">
        <v>0</v>
      </c>
      <c r="B3388" s="354">
        <v>0</v>
      </c>
      <c r="C3388" s="354">
        <v>3</v>
      </c>
      <c r="D3388" s="354">
        <v>0</v>
      </c>
      <c r="E3388" s="354">
        <v>1</v>
      </c>
      <c r="F3388" s="354">
        <v>2</v>
      </c>
      <c r="G3388" s="354">
        <v>2</v>
      </c>
      <c r="H3388" s="354">
        <v>2</v>
      </c>
      <c r="I3388" s="354">
        <v>1</v>
      </c>
      <c r="J3388" s="354">
        <v>0</v>
      </c>
      <c r="K3388" s="354">
        <v>0</v>
      </c>
      <c r="L3388" s="354">
        <v>0</v>
      </c>
      <c r="M3388" s="355">
        <v>7</v>
      </c>
      <c r="N3388" s="355">
        <v>4</v>
      </c>
    </row>
    <row r="3389" spans="1:14" hidden="1" x14ac:dyDescent="0.25">
      <c r="A3389" s="354">
        <v>0</v>
      </c>
      <c r="B3389" s="354">
        <v>0</v>
      </c>
      <c r="C3389" s="354">
        <v>2</v>
      </c>
      <c r="D3389" s="354">
        <v>0</v>
      </c>
      <c r="E3389" s="354">
        <v>0</v>
      </c>
      <c r="F3389" s="354">
        <v>1</v>
      </c>
      <c r="G3389" s="354">
        <v>0</v>
      </c>
      <c r="H3389" s="354">
        <v>0</v>
      </c>
      <c r="I3389" s="354">
        <v>1</v>
      </c>
      <c r="J3389" s="354">
        <v>1</v>
      </c>
      <c r="K3389" s="354">
        <v>0</v>
      </c>
      <c r="L3389" s="354">
        <v>0</v>
      </c>
      <c r="M3389" s="355">
        <v>3</v>
      </c>
      <c r="N3389" s="355">
        <v>2</v>
      </c>
    </row>
    <row r="3390" spans="1:14" hidden="1" x14ac:dyDescent="0.25">
      <c r="A3390" s="354">
        <v>0</v>
      </c>
      <c r="B3390" s="354">
        <v>0</v>
      </c>
      <c r="C3390" s="354">
        <v>1</v>
      </c>
      <c r="D3390" s="354">
        <v>1</v>
      </c>
      <c r="E3390" s="354">
        <v>0</v>
      </c>
      <c r="F3390" s="354">
        <v>2</v>
      </c>
      <c r="G3390" s="354">
        <v>0</v>
      </c>
      <c r="H3390" s="354">
        <v>1</v>
      </c>
      <c r="I3390" s="354">
        <v>1</v>
      </c>
      <c r="J3390" s="354">
        <v>1</v>
      </c>
      <c r="K3390" s="354">
        <v>0</v>
      </c>
      <c r="L3390" s="354">
        <v>0</v>
      </c>
      <c r="M3390" s="355">
        <v>2</v>
      </c>
      <c r="N3390" s="355">
        <v>5</v>
      </c>
    </row>
    <row r="3391" spans="1:14" hidden="1" x14ac:dyDescent="0.25">
      <c r="A3391" s="354">
        <v>0</v>
      </c>
      <c r="B3391" s="354">
        <v>1</v>
      </c>
      <c r="C3391" s="354">
        <v>1</v>
      </c>
      <c r="D3391" s="354">
        <v>0</v>
      </c>
      <c r="E3391" s="354">
        <v>2</v>
      </c>
      <c r="F3391" s="354">
        <v>0</v>
      </c>
      <c r="G3391" s="354">
        <v>0</v>
      </c>
      <c r="H3391" s="354">
        <v>0</v>
      </c>
      <c r="I3391" s="354">
        <v>1</v>
      </c>
      <c r="J3391" s="354">
        <v>1</v>
      </c>
      <c r="K3391" s="354">
        <v>0</v>
      </c>
      <c r="L3391" s="354">
        <v>0</v>
      </c>
      <c r="M3391" s="355">
        <v>4</v>
      </c>
      <c r="N3391" s="355">
        <v>2</v>
      </c>
    </row>
    <row r="3392" spans="1:14" hidden="1" x14ac:dyDescent="0.25">
      <c r="A3392" s="354">
        <v>0</v>
      </c>
      <c r="B3392" s="354">
        <v>0</v>
      </c>
      <c r="C3392" s="354">
        <v>1</v>
      </c>
      <c r="D3392" s="354">
        <v>1</v>
      </c>
      <c r="E3392" s="354">
        <v>0</v>
      </c>
      <c r="F3392" s="354">
        <v>2</v>
      </c>
      <c r="G3392" s="354">
        <v>0</v>
      </c>
      <c r="H3392" s="354">
        <v>0</v>
      </c>
      <c r="I3392" s="354">
        <v>1</v>
      </c>
      <c r="J3392" s="354">
        <v>1</v>
      </c>
      <c r="K3392" s="354">
        <v>0</v>
      </c>
      <c r="L3392" s="354">
        <v>0</v>
      </c>
      <c r="M3392" s="355">
        <v>2</v>
      </c>
      <c r="N3392" s="355">
        <v>4</v>
      </c>
    </row>
    <row r="3393" spans="1:14" hidden="1" x14ac:dyDescent="0.25">
      <c r="A3393" s="354">
        <v>0</v>
      </c>
      <c r="B3393" s="354">
        <v>0</v>
      </c>
      <c r="C3393" s="354">
        <v>0</v>
      </c>
      <c r="D3393" s="354">
        <v>2</v>
      </c>
      <c r="E3393" s="354">
        <v>1</v>
      </c>
      <c r="F3393" s="354">
        <v>0</v>
      </c>
      <c r="G3393" s="354">
        <v>1</v>
      </c>
      <c r="H3393" s="354">
        <v>1</v>
      </c>
      <c r="I3393" s="354">
        <v>0</v>
      </c>
      <c r="J3393" s="354">
        <v>1</v>
      </c>
      <c r="K3393" s="354">
        <v>0</v>
      </c>
      <c r="L3393" s="354">
        <v>0</v>
      </c>
      <c r="M3393" s="355">
        <v>2</v>
      </c>
      <c r="N3393" s="355">
        <v>4</v>
      </c>
    </row>
    <row r="3394" spans="1:14" hidden="1" x14ac:dyDescent="0.25">
      <c r="A3394" s="354">
        <v>0</v>
      </c>
      <c r="B3394" s="354">
        <v>1</v>
      </c>
      <c r="C3394" s="354">
        <v>1</v>
      </c>
      <c r="D3394" s="354">
        <v>0</v>
      </c>
      <c r="E3394" s="354">
        <v>1</v>
      </c>
      <c r="F3394" s="354">
        <v>1</v>
      </c>
      <c r="G3394" s="354">
        <v>0</v>
      </c>
      <c r="H3394" s="354">
        <v>0</v>
      </c>
      <c r="I3394" s="354">
        <v>1</v>
      </c>
      <c r="J3394" s="354">
        <v>1</v>
      </c>
      <c r="K3394" s="354">
        <v>0</v>
      </c>
      <c r="L3394" s="354">
        <v>0</v>
      </c>
      <c r="M3394" s="355">
        <v>3</v>
      </c>
      <c r="N3394" s="355">
        <v>3</v>
      </c>
    </row>
    <row r="3395" spans="1:14" hidden="1" x14ac:dyDescent="0.25">
      <c r="A3395" s="354">
        <v>0</v>
      </c>
      <c r="B3395" s="354">
        <v>1</v>
      </c>
      <c r="C3395" s="354">
        <v>1</v>
      </c>
      <c r="D3395" s="354">
        <v>1</v>
      </c>
      <c r="E3395" s="354">
        <v>0</v>
      </c>
      <c r="F3395" s="354">
        <v>1</v>
      </c>
      <c r="G3395" s="354">
        <v>0</v>
      </c>
      <c r="H3395" s="354">
        <v>0</v>
      </c>
      <c r="I3395" s="354">
        <v>1</v>
      </c>
      <c r="J3395" s="354">
        <v>1</v>
      </c>
      <c r="K3395" s="354">
        <v>0</v>
      </c>
      <c r="L3395" s="354">
        <v>0</v>
      </c>
      <c r="M3395" s="355">
        <v>2</v>
      </c>
      <c r="N3395" s="355">
        <v>4</v>
      </c>
    </row>
    <row r="3396" spans="1:14" hidden="1" x14ac:dyDescent="0.25">
      <c r="A3396" s="354">
        <v>0</v>
      </c>
      <c r="B3396" s="354">
        <v>0</v>
      </c>
      <c r="C3396" s="354">
        <v>1</v>
      </c>
      <c r="D3396" s="354">
        <v>1</v>
      </c>
      <c r="E3396" s="354">
        <v>0</v>
      </c>
      <c r="F3396" s="354">
        <v>2</v>
      </c>
      <c r="G3396" s="354">
        <v>0</v>
      </c>
      <c r="H3396" s="354">
        <v>0</v>
      </c>
      <c r="I3396" s="354">
        <v>1</v>
      </c>
      <c r="J3396" s="354">
        <v>1</v>
      </c>
      <c r="K3396" s="354">
        <v>0</v>
      </c>
      <c r="L3396" s="354">
        <v>0</v>
      </c>
      <c r="M3396" s="355">
        <v>2</v>
      </c>
      <c r="N3396" s="355">
        <v>4</v>
      </c>
    </row>
    <row r="3397" spans="1:14" hidden="1" x14ac:dyDescent="0.25">
      <c r="A3397" s="354">
        <v>2</v>
      </c>
      <c r="B3397" s="354">
        <v>0</v>
      </c>
      <c r="C3397" s="354">
        <v>1</v>
      </c>
      <c r="D3397" s="354">
        <v>1</v>
      </c>
      <c r="E3397" s="354">
        <v>2</v>
      </c>
      <c r="F3397" s="354">
        <v>2</v>
      </c>
      <c r="G3397" s="354">
        <v>0</v>
      </c>
      <c r="H3397" s="354">
        <v>0</v>
      </c>
      <c r="I3397" s="354">
        <v>0</v>
      </c>
      <c r="J3397" s="354">
        <v>2</v>
      </c>
      <c r="K3397" s="354">
        <v>1</v>
      </c>
      <c r="L3397" s="354">
        <v>0</v>
      </c>
      <c r="M3397" s="355">
        <v>6</v>
      </c>
      <c r="N3397" s="355">
        <v>5</v>
      </c>
    </row>
    <row r="3398" spans="1:14" hidden="1" x14ac:dyDescent="0.25">
      <c r="A3398" s="354">
        <v>0</v>
      </c>
      <c r="B3398" s="354">
        <v>1</v>
      </c>
      <c r="C3398" s="354">
        <v>1</v>
      </c>
      <c r="D3398" s="354">
        <v>1</v>
      </c>
      <c r="E3398" s="354">
        <v>0</v>
      </c>
      <c r="F3398" s="354">
        <v>1</v>
      </c>
      <c r="G3398" s="354">
        <v>0</v>
      </c>
      <c r="H3398" s="354">
        <v>0</v>
      </c>
      <c r="I3398" s="354"/>
      <c r="J3398" s="354">
        <v>1</v>
      </c>
      <c r="K3398" s="354">
        <v>0</v>
      </c>
      <c r="L3398" s="354">
        <v>0</v>
      </c>
      <c r="M3398" s="355">
        <v>1</v>
      </c>
      <c r="N3398" s="355">
        <v>4</v>
      </c>
    </row>
    <row r="3399" spans="1:14" hidden="1" x14ac:dyDescent="0.25">
      <c r="A3399" s="354">
        <v>0</v>
      </c>
      <c r="B3399" s="354">
        <v>0</v>
      </c>
      <c r="C3399" s="354">
        <v>0</v>
      </c>
      <c r="D3399" s="354">
        <v>0</v>
      </c>
      <c r="E3399" s="354">
        <v>1</v>
      </c>
      <c r="F3399" s="354">
        <v>0</v>
      </c>
      <c r="G3399" s="354">
        <v>0</v>
      </c>
      <c r="H3399" s="354">
        <v>0</v>
      </c>
      <c r="I3399" s="354">
        <v>0</v>
      </c>
      <c r="J3399" s="354">
        <v>1</v>
      </c>
      <c r="K3399" s="354">
        <v>0</v>
      </c>
      <c r="L3399" s="354">
        <v>0</v>
      </c>
      <c r="M3399" s="355">
        <v>1</v>
      </c>
      <c r="N3399" s="355">
        <v>1</v>
      </c>
    </row>
    <row r="3400" spans="1:14" hidden="1" x14ac:dyDescent="0.25">
      <c r="A3400" s="354">
        <v>0</v>
      </c>
      <c r="B3400" s="354">
        <v>0</v>
      </c>
      <c r="C3400" s="354">
        <v>1</v>
      </c>
      <c r="D3400" s="354">
        <v>0</v>
      </c>
      <c r="E3400" s="354">
        <v>3</v>
      </c>
      <c r="F3400" s="354">
        <v>0</v>
      </c>
      <c r="G3400" s="354">
        <v>0</v>
      </c>
      <c r="H3400" s="354">
        <v>1</v>
      </c>
      <c r="I3400" s="354">
        <v>1</v>
      </c>
      <c r="J3400" s="354">
        <v>1</v>
      </c>
      <c r="K3400" s="354">
        <v>0</v>
      </c>
      <c r="L3400" s="354">
        <v>0</v>
      </c>
      <c r="M3400" s="355">
        <v>5</v>
      </c>
      <c r="N3400" s="355">
        <v>2</v>
      </c>
    </row>
    <row r="3401" spans="1:14" hidden="1" x14ac:dyDescent="0.25">
      <c r="A3401" s="354">
        <v>0</v>
      </c>
      <c r="B3401" s="354">
        <v>0</v>
      </c>
      <c r="C3401" s="354">
        <v>0</v>
      </c>
      <c r="D3401" s="354">
        <v>0</v>
      </c>
      <c r="E3401" s="354">
        <v>3</v>
      </c>
      <c r="F3401" s="354">
        <v>1</v>
      </c>
      <c r="G3401" s="354">
        <v>0</v>
      </c>
      <c r="H3401" s="354">
        <v>0</v>
      </c>
      <c r="I3401" s="354">
        <v>0</v>
      </c>
      <c r="J3401" s="354">
        <v>2</v>
      </c>
      <c r="K3401" s="354">
        <v>0</v>
      </c>
      <c r="L3401" s="354">
        <v>0</v>
      </c>
      <c r="M3401" s="355">
        <v>3</v>
      </c>
      <c r="N3401" s="355">
        <v>3</v>
      </c>
    </row>
    <row r="3402" spans="1:14" hidden="1" x14ac:dyDescent="0.25">
      <c r="A3402" s="354">
        <v>0</v>
      </c>
      <c r="B3402" s="354">
        <v>0</v>
      </c>
      <c r="C3402" s="354">
        <v>2</v>
      </c>
      <c r="D3402" s="354">
        <v>0</v>
      </c>
      <c r="E3402" s="354">
        <v>1</v>
      </c>
      <c r="F3402" s="354">
        <v>2</v>
      </c>
      <c r="G3402" s="354">
        <v>0</v>
      </c>
      <c r="H3402" s="354">
        <v>1</v>
      </c>
      <c r="I3402" s="354">
        <v>1</v>
      </c>
      <c r="J3402" s="354">
        <v>0</v>
      </c>
      <c r="K3402" s="354">
        <v>0</v>
      </c>
      <c r="L3402" s="354">
        <v>0</v>
      </c>
      <c r="M3402" s="355">
        <v>4</v>
      </c>
      <c r="N3402" s="355">
        <v>3</v>
      </c>
    </row>
    <row r="3403" spans="1:14" hidden="1" x14ac:dyDescent="0.25">
      <c r="A3403" s="354">
        <v>0</v>
      </c>
      <c r="B3403" s="354">
        <v>1</v>
      </c>
      <c r="C3403" s="354">
        <v>0</v>
      </c>
      <c r="D3403" s="354">
        <v>2</v>
      </c>
      <c r="E3403" s="354">
        <v>0</v>
      </c>
      <c r="F3403" s="354">
        <v>0</v>
      </c>
      <c r="G3403" s="354">
        <v>0</v>
      </c>
      <c r="H3403" s="354">
        <v>0</v>
      </c>
      <c r="I3403" s="354">
        <v>1</v>
      </c>
      <c r="J3403" s="354">
        <v>1</v>
      </c>
      <c r="K3403" s="354">
        <v>0</v>
      </c>
      <c r="L3403" s="354">
        <v>0</v>
      </c>
      <c r="M3403" s="355">
        <v>1</v>
      </c>
      <c r="N3403" s="355">
        <v>4</v>
      </c>
    </row>
    <row r="3404" spans="1:14" hidden="1" x14ac:dyDescent="0.25">
      <c r="A3404" s="354">
        <v>0</v>
      </c>
      <c r="B3404" s="354">
        <v>0</v>
      </c>
      <c r="C3404" s="354">
        <v>0</v>
      </c>
      <c r="D3404" s="354">
        <v>2</v>
      </c>
      <c r="E3404" s="354">
        <v>1</v>
      </c>
      <c r="F3404" s="354">
        <v>1</v>
      </c>
      <c r="G3404" s="354">
        <v>1</v>
      </c>
      <c r="H3404" s="354">
        <v>1</v>
      </c>
      <c r="I3404" s="354">
        <v>1</v>
      </c>
      <c r="J3404" s="354">
        <v>1</v>
      </c>
      <c r="K3404" s="354">
        <v>0</v>
      </c>
      <c r="L3404" s="354">
        <v>0</v>
      </c>
      <c r="M3404" s="355">
        <v>3</v>
      </c>
      <c r="N3404" s="355">
        <v>5</v>
      </c>
    </row>
    <row r="3405" spans="1:14" hidden="1" x14ac:dyDescent="0.25">
      <c r="A3405" s="354">
        <v>0</v>
      </c>
      <c r="B3405" s="354">
        <v>0</v>
      </c>
      <c r="C3405" s="354">
        <v>1</v>
      </c>
      <c r="D3405" s="354">
        <v>0</v>
      </c>
      <c r="E3405" s="354">
        <v>2</v>
      </c>
      <c r="F3405" s="354">
        <v>1</v>
      </c>
      <c r="G3405" s="354">
        <v>1</v>
      </c>
      <c r="H3405" s="354">
        <v>0</v>
      </c>
      <c r="I3405" s="354">
        <v>0</v>
      </c>
      <c r="J3405" s="354">
        <v>1</v>
      </c>
      <c r="K3405" s="354">
        <v>0</v>
      </c>
      <c r="L3405" s="354">
        <v>0</v>
      </c>
      <c r="M3405" s="355">
        <v>4</v>
      </c>
      <c r="N3405" s="355">
        <v>2</v>
      </c>
    </row>
    <row r="3406" spans="1:14" hidden="1" x14ac:dyDescent="0.25">
      <c r="A3406" s="354">
        <v>0</v>
      </c>
      <c r="B3406" s="354">
        <v>0</v>
      </c>
      <c r="C3406" s="354">
        <v>1</v>
      </c>
      <c r="D3406" s="354">
        <v>0</v>
      </c>
      <c r="E3406" s="354">
        <v>1</v>
      </c>
      <c r="F3406" s="354">
        <v>0</v>
      </c>
      <c r="G3406" s="354">
        <v>0</v>
      </c>
      <c r="H3406" s="354">
        <v>0</v>
      </c>
      <c r="I3406" s="354">
        <v>0</v>
      </c>
      <c r="J3406" s="354">
        <v>1</v>
      </c>
      <c r="K3406" s="354">
        <v>0</v>
      </c>
      <c r="L3406" s="354">
        <v>0</v>
      </c>
      <c r="M3406" s="355">
        <v>2</v>
      </c>
      <c r="N3406" s="355">
        <v>1</v>
      </c>
    </row>
    <row r="3407" spans="1:14" hidden="1" x14ac:dyDescent="0.25">
      <c r="A3407" s="354">
        <v>0</v>
      </c>
      <c r="B3407" s="354">
        <v>0</v>
      </c>
      <c r="C3407" s="354">
        <v>0</v>
      </c>
      <c r="D3407" s="354">
        <v>2</v>
      </c>
      <c r="E3407" s="354">
        <v>0</v>
      </c>
      <c r="F3407" s="354">
        <v>2</v>
      </c>
      <c r="G3407" s="354">
        <v>0</v>
      </c>
      <c r="H3407" s="354">
        <v>1</v>
      </c>
      <c r="I3407" s="354">
        <v>0</v>
      </c>
      <c r="J3407" s="354">
        <v>1</v>
      </c>
      <c r="K3407" s="354">
        <v>0</v>
      </c>
      <c r="L3407" s="354">
        <v>0</v>
      </c>
      <c r="M3407" s="355">
        <v>0</v>
      </c>
      <c r="N3407" s="355">
        <v>6</v>
      </c>
    </row>
    <row r="3408" spans="1:14" hidden="1" x14ac:dyDescent="0.25">
      <c r="A3408" s="354">
        <v>0</v>
      </c>
      <c r="B3408" s="354">
        <v>1</v>
      </c>
      <c r="C3408" s="354">
        <v>1</v>
      </c>
      <c r="D3408" s="354">
        <v>0</v>
      </c>
      <c r="E3408" s="354">
        <v>1</v>
      </c>
      <c r="F3408" s="354">
        <v>2</v>
      </c>
      <c r="G3408" s="354">
        <v>0</v>
      </c>
      <c r="H3408" s="354">
        <v>0</v>
      </c>
      <c r="I3408" s="354">
        <v>1</v>
      </c>
      <c r="J3408" s="354">
        <v>1</v>
      </c>
      <c r="K3408" s="354">
        <v>0</v>
      </c>
      <c r="L3408" s="354">
        <v>0</v>
      </c>
      <c r="M3408" s="355">
        <v>3</v>
      </c>
      <c r="N3408" s="355">
        <v>4</v>
      </c>
    </row>
    <row r="3409" spans="1:14" hidden="1" x14ac:dyDescent="0.25">
      <c r="A3409" s="354">
        <v>0</v>
      </c>
      <c r="B3409" s="354">
        <v>0</v>
      </c>
      <c r="C3409" s="354">
        <v>2</v>
      </c>
      <c r="D3409" s="354">
        <v>1</v>
      </c>
      <c r="E3409" s="354">
        <v>3</v>
      </c>
      <c r="F3409" s="354">
        <v>0</v>
      </c>
      <c r="G3409" s="354">
        <v>1</v>
      </c>
      <c r="H3409" s="354">
        <v>0</v>
      </c>
      <c r="I3409" s="354">
        <v>1</v>
      </c>
      <c r="J3409" s="354">
        <v>1</v>
      </c>
      <c r="K3409" s="354">
        <v>0</v>
      </c>
      <c r="L3409" s="354">
        <v>0</v>
      </c>
      <c r="M3409" s="355">
        <v>7</v>
      </c>
      <c r="N3409" s="355">
        <v>2</v>
      </c>
    </row>
    <row r="3410" spans="1:14" hidden="1" x14ac:dyDescent="0.25">
      <c r="A3410" s="354">
        <v>2</v>
      </c>
      <c r="B3410" s="354">
        <v>0</v>
      </c>
      <c r="C3410" s="354">
        <v>2</v>
      </c>
      <c r="D3410" s="354">
        <v>0</v>
      </c>
      <c r="E3410" s="354">
        <v>1</v>
      </c>
      <c r="F3410" s="354">
        <v>0</v>
      </c>
      <c r="G3410" s="354">
        <v>1</v>
      </c>
      <c r="H3410" s="354">
        <v>0</v>
      </c>
      <c r="I3410" s="354">
        <v>1</v>
      </c>
      <c r="J3410" s="354">
        <v>1</v>
      </c>
      <c r="K3410" s="354">
        <v>0</v>
      </c>
      <c r="L3410" s="354">
        <v>0</v>
      </c>
      <c r="M3410" s="355">
        <v>7</v>
      </c>
      <c r="N3410" s="355">
        <v>1</v>
      </c>
    </row>
    <row r="3411" spans="1:14" hidden="1" x14ac:dyDescent="0.25">
      <c r="A3411" s="354">
        <v>0</v>
      </c>
      <c r="B3411" s="354">
        <v>0</v>
      </c>
      <c r="C3411" s="354">
        <v>3</v>
      </c>
      <c r="D3411" s="354">
        <v>0</v>
      </c>
      <c r="E3411" s="354">
        <v>0</v>
      </c>
      <c r="F3411" s="354">
        <v>1</v>
      </c>
      <c r="G3411" s="354">
        <v>0</v>
      </c>
      <c r="H3411" s="354">
        <v>2</v>
      </c>
      <c r="I3411" s="354">
        <v>1</v>
      </c>
      <c r="J3411" s="354">
        <v>1</v>
      </c>
      <c r="K3411" s="354">
        <v>0</v>
      </c>
      <c r="L3411" s="354">
        <v>0</v>
      </c>
      <c r="M3411" s="355">
        <v>4</v>
      </c>
      <c r="N3411" s="355">
        <v>4</v>
      </c>
    </row>
    <row r="3412" spans="1:14" hidden="1" x14ac:dyDescent="0.25">
      <c r="A3412" s="354">
        <v>0</v>
      </c>
      <c r="B3412" s="354">
        <v>1</v>
      </c>
      <c r="C3412" s="354">
        <v>0</v>
      </c>
      <c r="D3412" s="354">
        <v>1</v>
      </c>
      <c r="E3412" s="354">
        <v>1</v>
      </c>
      <c r="F3412" s="354">
        <v>0</v>
      </c>
      <c r="G3412" s="354">
        <v>0</v>
      </c>
      <c r="H3412" s="354">
        <v>1</v>
      </c>
      <c r="I3412" s="354">
        <v>2</v>
      </c>
      <c r="J3412" s="354">
        <v>2</v>
      </c>
      <c r="K3412" s="354">
        <v>0</v>
      </c>
      <c r="L3412" s="354">
        <v>0</v>
      </c>
      <c r="M3412" s="355">
        <v>3</v>
      </c>
      <c r="N3412" s="355">
        <v>5</v>
      </c>
    </row>
    <row r="3413" spans="1:14" hidden="1" x14ac:dyDescent="0.25">
      <c r="A3413" s="354">
        <v>1</v>
      </c>
      <c r="B3413" s="354">
        <v>0</v>
      </c>
      <c r="C3413" s="354">
        <v>2</v>
      </c>
      <c r="D3413" s="354">
        <v>0</v>
      </c>
      <c r="E3413" s="354">
        <v>2</v>
      </c>
      <c r="F3413" s="354">
        <v>1</v>
      </c>
      <c r="G3413" s="354">
        <v>0</v>
      </c>
      <c r="H3413" s="354">
        <v>0</v>
      </c>
      <c r="I3413" s="354">
        <v>1</v>
      </c>
      <c r="J3413" s="354">
        <v>1</v>
      </c>
      <c r="K3413" s="354">
        <v>0</v>
      </c>
      <c r="L3413" s="354">
        <v>0</v>
      </c>
      <c r="M3413" s="355">
        <v>6</v>
      </c>
      <c r="N3413" s="355">
        <v>2</v>
      </c>
    </row>
    <row r="3414" spans="1:14" hidden="1" x14ac:dyDescent="0.25">
      <c r="A3414" s="354">
        <v>1</v>
      </c>
      <c r="B3414" s="354">
        <v>0</v>
      </c>
      <c r="C3414" s="354">
        <v>3</v>
      </c>
      <c r="D3414" s="354">
        <v>0</v>
      </c>
      <c r="E3414" s="354">
        <v>5</v>
      </c>
      <c r="F3414" s="354">
        <v>1</v>
      </c>
      <c r="G3414" s="354">
        <v>3</v>
      </c>
      <c r="H3414" s="354">
        <v>3</v>
      </c>
      <c r="I3414" s="354">
        <v>1</v>
      </c>
      <c r="J3414" s="354">
        <v>1</v>
      </c>
      <c r="K3414" s="354">
        <v>0</v>
      </c>
      <c r="L3414" s="354">
        <v>0</v>
      </c>
      <c r="M3414" s="355">
        <v>13</v>
      </c>
      <c r="N3414" s="355">
        <v>5</v>
      </c>
    </row>
    <row r="3415" spans="1:14" hidden="1" x14ac:dyDescent="0.25">
      <c r="A3415" s="354">
        <v>0</v>
      </c>
      <c r="B3415" s="354">
        <v>0</v>
      </c>
      <c r="C3415" s="354">
        <v>0</v>
      </c>
      <c r="D3415" s="354">
        <v>0</v>
      </c>
      <c r="E3415" s="354">
        <v>1</v>
      </c>
      <c r="F3415" s="354">
        <v>0</v>
      </c>
      <c r="G3415" s="354">
        <v>3</v>
      </c>
      <c r="H3415" s="354">
        <v>0</v>
      </c>
      <c r="I3415" s="354">
        <v>1</v>
      </c>
      <c r="J3415" s="354">
        <v>2</v>
      </c>
      <c r="K3415" s="354">
        <v>0</v>
      </c>
      <c r="L3415" s="354">
        <v>0</v>
      </c>
      <c r="M3415" s="355">
        <v>5</v>
      </c>
      <c r="N3415" s="355">
        <v>2</v>
      </c>
    </row>
    <row r="3416" spans="1:14" hidden="1" x14ac:dyDescent="0.25">
      <c r="A3416" s="354">
        <v>0</v>
      </c>
      <c r="B3416" s="354">
        <v>0</v>
      </c>
      <c r="C3416" s="354">
        <v>1</v>
      </c>
      <c r="D3416" s="354">
        <v>0</v>
      </c>
      <c r="E3416" s="354">
        <v>1</v>
      </c>
      <c r="F3416" s="354">
        <v>2</v>
      </c>
      <c r="G3416" s="354">
        <v>2</v>
      </c>
      <c r="H3416" s="354">
        <v>0</v>
      </c>
      <c r="I3416" s="354">
        <v>1</v>
      </c>
      <c r="J3416" s="354">
        <v>1</v>
      </c>
      <c r="K3416" s="354">
        <v>0</v>
      </c>
      <c r="L3416" s="354">
        <v>0</v>
      </c>
      <c r="M3416" s="355">
        <v>5</v>
      </c>
      <c r="N3416" s="355">
        <v>3</v>
      </c>
    </row>
    <row r="3417" spans="1:14" hidden="1" x14ac:dyDescent="0.25">
      <c r="A3417" s="354">
        <v>2</v>
      </c>
      <c r="B3417" s="354">
        <v>2</v>
      </c>
      <c r="C3417" s="354">
        <v>0</v>
      </c>
      <c r="D3417" s="354">
        <v>0</v>
      </c>
      <c r="E3417" s="354">
        <v>2</v>
      </c>
      <c r="F3417" s="354">
        <v>1</v>
      </c>
      <c r="G3417" s="354">
        <v>0</v>
      </c>
      <c r="H3417" s="354">
        <v>3</v>
      </c>
      <c r="I3417" s="354">
        <v>0</v>
      </c>
      <c r="J3417" s="354">
        <v>1</v>
      </c>
      <c r="K3417" s="354">
        <v>2</v>
      </c>
      <c r="L3417" s="354">
        <v>0</v>
      </c>
      <c r="M3417" s="355">
        <v>6</v>
      </c>
      <c r="N3417" s="355">
        <v>7</v>
      </c>
    </row>
    <row r="3418" spans="1:14" hidden="1" x14ac:dyDescent="0.25">
      <c r="A3418" s="354">
        <v>0</v>
      </c>
      <c r="B3418" s="354">
        <v>0</v>
      </c>
      <c r="C3418" s="354">
        <v>2</v>
      </c>
      <c r="D3418" s="354">
        <v>1</v>
      </c>
      <c r="E3418" s="354">
        <v>1</v>
      </c>
      <c r="F3418" s="354">
        <v>1</v>
      </c>
      <c r="G3418" s="354">
        <v>1</v>
      </c>
      <c r="H3418" s="354">
        <v>0</v>
      </c>
      <c r="I3418" s="354">
        <v>1</v>
      </c>
      <c r="J3418" s="354">
        <v>1</v>
      </c>
      <c r="K3418" s="354">
        <v>0</v>
      </c>
      <c r="L3418" s="354">
        <v>0</v>
      </c>
      <c r="M3418" s="355">
        <v>5</v>
      </c>
      <c r="N3418" s="355">
        <v>3</v>
      </c>
    </row>
    <row r="3419" spans="1:14" hidden="1" x14ac:dyDescent="0.25">
      <c r="A3419" s="354">
        <v>0</v>
      </c>
      <c r="B3419" s="354">
        <v>0</v>
      </c>
      <c r="C3419" s="354">
        <v>2</v>
      </c>
      <c r="D3419" s="354">
        <v>1</v>
      </c>
      <c r="E3419" s="354">
        <v>1</v>
      </c>
      <c r="F3419" s="354">
        <v>2</v>
      </c>
      <c r="G3419" s="354">
        <v>1</v>
      </c>
      <c r="H3419" s="354">
        <v>0</v>
      </c>
      <c r="I3419" s="354">
        <v>1</v>
      </c>
      <c r="J3419" s="354">
        <v>0</v>
      </c>
      <c r="K3419" s="354">
        <v>0</v>
      </c>
      <c r="L3419" s="354">
        <v>0</v>
      </c>
      <c r="M3419" s="355">
        <v>5</v>
      </c>
      <c r="N3419" s="355">
        <v>3</v>
      </c>
    </row>
    <row r="3420" spans="1:14" hidden="1" x14ac:dyDescent="0.25">
      <c r="A3420" s="354">
        <v>0</v>
      </c>
      <c r="B3420" s="354">
        <v>0</v>
      </c>
      <c r="C3420" s="354">
        <v>2</v>
      </c>
      <c r="D3420" s="354">
        <v>2</v>
      </c>
      <c r="E3420" s="354">
        <v>0</v>
      </c>
      <c r="F3420" s="354">
        <v>0</v>
      </c>
      <c r="G3420" s="354">
        <v>0</v>
      </c>
      <c r="H3420" s="354">
        <v>1</v>
      </c>
      <c r="I3420" s="354">
        <v>1</v>
      </c>
      <c r="J3420" s="354">
        <v>0</v>
      </c>
      <c r="K3420" s="354">
        <v>1</v>
      </c>
      <c r="L3420" s="354">
        <v>0</v>
      </c>
      <c r="M3420" s="355">
        <v>4</v>
      </c>
      <c r="N3420" s="355">
        <v>3</v>
      </c>
    </row>
    <row r="3421" spans="1:14" hidden="1" x14ac:dyDescent="0.25">
      <c r="A3421" s="354">
        <v>0</v>
      </c>
      <c r="B3421" s="354">
        <v>0</v>
      </c>
      <c r="C3421" s="354">
        <v>2</v>
      </c>
      <c r="D3421" s="354">
        <v>1</v>
      </c>
      <c r="E3421" s="354">
        <v>0</v>
      </c>
      <c r="F3421" s="354">
        <v>2</v>
      </c>
      <c r="G3421" s="354">
        <v>1</v>
      </c>
      <c r="H3421" s="354">
        <v>0</v>
      </c>
      <c r="I3421" s="354"/>
      <c r="J3421" s="354">
        <v>1</v>
      </c>
      <c r="K3421" s="354">
        <v>0</v>
      </c>
      <c r="L3421" s="354">
        <v>0</v>
      </c>
      <c r="M3421" s="355">
        <v>3</v>
      </c>
      <c r="N3421" s="355">
        <v>4</v>
      </c>
    </row>
    <row r="3422" spans="1:14" hidden="1" x14ac:dyDescent="0.25">
      <c r="A3422" s="354">
        <v>0</v>
      </c>
      <c r="B3422" s="354">
        <v>2</v>
      </c>
      <c r="C3422" s="354">
        <v>2</v>
      </c>
      <c r="D3422" s="354">
        <v>0</v>
      </c>
      <c r="E3422" s="354">
        <v>1</v>
      </c>
      <c r="F3422" s="354">
        <v>1</v>
      </c>
      <c r="G3422" s="354">
        <v>1</v>
      </c>
      <c r="H3422" s="354">
        <v>0</v>
      </c>
      <c r="I3422" s="354">
        <v>1</v>
      </c>
      <c r="J3422" s="354">
        <v>1</v>
      </c>
      <c r="K3422" s="354">
        <v>0</v>
      </c>
      <c r="L3422" s="354">
        <v>1</v>
      </c>
      <c r="M3422" s="355">
        <v>5</v>
      </c>
      <c r="N3422" s="355">
        <v>5</v>
      </c>
    </row>
    <row r="3423" spans="1:14" hidden="1" x14ac:dyDescent="0.25">
      <c r="A3423" s="354">
        <v>2</v>
      </c>
      <c r="B3423" s="354">
        <v>0</v>
      </c>
      <c r="C3423" s="354">
        <v>0</v>
      </c>
      <c r="D3423" s="354">
        <v>1</v>
      </c>
      <c r="E3423" s="354">
        <v>1</v>
      </c>
      <c r="F3423" s="354">
        <v>2</v>
      </c>
      <c r="G3423" s="354">
        <v>0</v>
      </c>
      <c r="H3423" s="354">
        <v>0</v>
      </c>
      <c r="I3423" s="354">
        <v>1</v>
      </c>
      <c r="J3423" s="354">
        <v>1</v>
      </c>
      <c r="K3423" s="354">
        <v>0</v>
      </c>
      <c r="L3423" s="354">
        <v>0</v>
      </c>
      <c r="M3423" s="355">
        <v>4</v>
      </c>
      <c r="N3423" s="355">
        <v>4</v>
      </c>
    </row>
    <row r="3424" spans="1:14" hidden="1" x14ac:dyDescent="0.25">
      <c r="A3424" s="354">
        <v>2</v>
      </c>
      <c r="B3424" s="354">
        <v>1</v>
      </c>
      <c r="C3424" s="354">
        <v>2</v>
      </c>
      <c r="D3424" s="354">
        <v>3</v>
      </c>
      <c r="E3424" s="354">
        <v>0</v>
      </c>
      <c r="F3424" s="354">
        <v>0</v>
      </c>
      <c r="G3424" s="354">
        <v>0</v>
      </c>
      <c r="H3424" s="354">
        <v>0</v>
      </c>
      <c r="I3424" s="354">
        <v>1</v>
      </c>
      <c r="J3424" s="354">
        <v>2</v>
      </c>
      <c r="K3424" s="354">
        <v>0</v>
      </c>
      <c r="L3424" s="354">
        <v>0</v>
      </c>
      <c r="M3424" s="355">
        <v>5</v>
      </c>
      <c r="N3424" s="355">
        <v>6</v>
      </c>
    </row>
    <row r="3425" spans="1:14" hidden="1" x14ac:dyDescent="0.25">
      <c r="A3425" s="354">
        <v>2</v>
      </c>
      <c r="B3425" s="354">
        <v>0</v>
      </c>
      <c r="C3425" s="354">
        <v>1</v>
      </c>
      <c r="D3425" s="354">
        <v>2</v>
      </c>
      <c r="E3425" s="354">
        <v>0</v>
      </c>
      <c r="F3425" s="354">
        <v>0</v>
      </c>
      <c r="G3425" s="354">
        <v>0</v>
      </c>
      <c r="H3425" s="354">
        <v>1</v>
      </c>
      <c r="I3425" s="354">
        <v>0</v>
      </c>
      <c r="J3425" s="354">
        <v>1</v>
      </c>
      <c r="K3425" s="354">
        <v>0</v>
      </c>
      <c r="L3425" s="354">
        <v>0</v>
      </c>
      <c r="M3425" s="355">
        <v>3</v>
      </c>
      <c r="N3425" s="355">
        <v>4</v>
      </c>
    </row>
    <row r="3426" spans="1:14" hidden="1" x14ac:dyDescent="0.25">
      <c r="A3426" s="354">
        <v>2</v>
      </c>
      <c r="B3426" s="354">
        <v>0</v>
      </c>
      <c r="C3426" s="354">
        <v>2</v>
      </c>
      <c r="D3426" s="354">
        <v>1</v>
      </c>
      <c r="E3426" s="354">
        <v>1</v>
      </c>
      <c r="F3426" s="354">
        <v>0</v>
      </c>
      <c r="G3426" s="354">
        <v>1</v>
      </c>
      <c r="H3426" s="354">
        <v>0</v>
      </c>
      <c r="I3426" s="354">
        <v>0</v>
      </c>
      <c r="J3426" s="354">
        <v>1</v>
      </c>
      <c r="K3426" s="354">
        <v>0</v>
      </c>
      <c r="L3426" s="354">
        <v>0</v>
      </c>
      <c r="M3426" s="355">
        <v>6</v>
      </c>
      <c r="N3426" s="355">
        <v>2</v>
      </c>
    </row>
    <row r="3427" spans="1:14" hidden="1" x14ac:dyDescent="0.25">
      <c r="A3427" s="354">
        <v>0</v>
      </c>
      <c r="B3427" s="354">
        <v>0</v>
      </c>
      <c r="C3427" s="354">
        <v>2</v>
      </c>
      <c r="D3427" s="354">
        <v>1</v>
      </c>
      <c r="E3427" s="354">
        <v>1</v>
      </c>
      <c r="F3427" s="354">
        <v>0</v>
      </c>
      <c r="G3427" s="354">
        <v>1</v>
      </c>
      <c r="H3427" s="354">
        <v>0</v>
      </c>
      <c r="I3427" s="354">
        <v>1</v>
      </c>
      <c r="J3427" s="354">
        <v>1</v>
      </c>
      <c r="K3427" s="354">
        <v>0</v>
      </c>
      <c r="L3427" s="354">
        <v>0</v>
      </c>
      <c r="M3427" s="355">
        <v>5</v>
      </c>
      <c r="N3427" s="355">
        <v>2</v>
      </c>
    </row>
    <row r="3428" spans="1:14" hidden="1" x14ac:dyDescent="0.25">
      <c r="A3428" s="354">
        <v>0</v>
      </c>
      <c r="B3428" s="354">
        <v>2</v>
      </c>
      <c r="C3428" s="354">
        <v>2</v>
      </c>
      <c r="D3428" s="354">
        <v>0</v>
      </c>
      <c r="E3428" s="354">
        <v>1</v>
      </c>
      <c r="F3428" s="354">
        <v>0</v>
      </c>
      <c r="G3428" s="354">
        <v>0</v>
      </c>
      <c r="H3428" s="354">
        <v>1</v>
      </c>
      <c r="I3428" s="354">
        <v>0</v>
      </c>
      <c r="J3428" s="354">
        <v>1</v>
      </c>
      <c r="K3428" s="354">
        <v>0</v>
      </c>
      <c r="L3428" s="354">
        <v>0</v>
      </c>
      <c r="M3428" s="355">
        <v>3</v>
      </c>
      <c r="N3428" s="355">
        <v>4</v>
      </c>
    </row>
    <row r="3429" spans="1:14" hidden="1" x14ac:dyDescent="0.25">
      <c r="A3429" s="354">
        <v>0</v>
      </c>
      <c r="B3429" s="354">
        <v>2</v>
      </c>
      <c r="C3429" s="354">
        <v>0</v>
      </c>
      <c r="D3429" s="354">
        <v>2</v>
      </c>
      <c r="E3429" s="354">
        <v>1</v>
      </c>
      <c r="F3429" s="354">
        <v>2</v>
      </c>
      <c r="G3429" s="354">
        <v>2</v>
      </c>
      <c r="H3429" s="354">
        <v>0</v>
      </c>
      <c r="I3429" s="354">
        <v>1</v>
      </c>
      <c r="J3429" s="354">
        <v>1</v>
      </c>
      <c r="K3429" s="354">
        <v>0</v>
      </c>
      <c r="L3429" s="354">
        <v>0</v>
      </c>
      <c r="M3429" s="355">
        <v>4</v>
      </c>
      <c r="N3429" s="355">
        <v>7</v>
      </c>
    </row>
    <row r="3430" spans="1:14" hidden="1" x14ac:dyDescent="0.25">
      <c r="A3430" s="354">
        <v>2</v>
      </c>
      <c r="B3430" s="354">
        <v>0</v>
      </c>
      <c r="C3430" s="354">
        <v>1</v>
      </c>
      <c r="D3430" s="354">
        <v>2</v>
      </c>
      <c r="E3430" s="354">
        <v>2</v>
      </c>
      <c r="F3430" s="354">
        <v>1</v>
      </c>
      <c r="G3430" s="354">
        <v>2</v>
      </c>
      <c r="H3430" s="354">
        <v>1</v>
      </c>
      <c r="I3430" s="354">
        <v>0</v>
      </c>
      <c r="J3430" s="354">
        <v>1</v>
      </c>
      <c r="K3430" s="354">
        <v>0</v>
      </c>
      <c r="L3430" s="354">
        <v>0</v>
      </c>
      <c r="M3430" s="355">
        <v>7</v>
      </c>
      <c r="N3430" s="355">
        <v>5</v>
      </c>
    </row>
    <row r="3431" spans="1:14" hidden="1" x14ac:dyDescent="0.25">
      <c r="A3431" s="354">
        <v>0</v>
      </c>
      <c r="B3431" s="354">
        <v>0</v>
      </c>
      <c r="C3431" s="354">
        <v>1</v>
      </c>
      <c r="D3431" s="354">
        <v>2</v>
      </c>
      <c r="E3431" s="354">
        <v>1</v>
      </c>
      <c r="F3431" s="354">
        <v>1</v>
      </c>
      <c r="G3431" s="354">
        <v>0</v>
      </c>
      <c r="H3431" s="354">
        <v>0</v>
      </c>
      <c r="I3431" s="354">
        <v>0</v>
      </c>
      <c r="J3431" s="354">
        <v>1</v>
      </c>
      <c r="K3431" s="354">
        <v>0</v>
      </c>
      <c r="L3431" s="354">
        <v>0</v>
      </c>
      <c r="M3431" s="355">
        <v>2</v>
      </c>
      <c r="N3431" s="355">
        <v>4</v>
      </c>
    </row>
    <row r="3432" spans="1:14" hidden="1" x14ac:dyDescent="0.25">
      <c r="A3432" s="354">
        <v>1</v>
      </c>
      <c r="B3432" s="354">
        <v>2</v>
      </c>
      <c r="C3432" s="354">
        <v>0</v>
      </c>
      <c r="D3432" s="354">
        <v>0</v>
      </c>
      <c r="E3432" s="354">
        <v>1</v>
      </c>
      <c r="F3432" s="354">
        <v>0</v>
      </c>
      <c r="G3432" s="354">
        <v>0</v>
      </c>
      <c r="H3432" s="354">
        <v>0</v>
      </c>
      <c r="I3432" s="354">
        <v>1</v>
      </c>
      <c r="J3432" s="354">
        <v>1</v>
      </c>
      <c r="K3432" s="354">
        <v>0</v>
      </c>
      <c r="L3432" s="354">
        <v>0</v>
      </c>
      <c r="M3432" s="355">
        <v>3</v>
      </c>
      <c r="N3432" s="355">
        <v>3</v>
      </c>
    </row>
    <row r="3433" spans="1:14" hidden="1" x14ac:dyDescent="0.25">
      <c r="A3433" s="354">
        <v>1</v>
      </c>
      <c r="B3433" s="354">
        <v>0</v>
      </c>
      <c r="C3433" s="354">
        <v>2</v>
      </c>
      <c r="D3433" s="354">
        <v>2</v>
      </c>
      <c r="E3433" s="354">
        <v>1</v>
      </c>
      <c r="F3433" s="354">
        <v>0</v>
      </c>
      <c r="G3433" s="354">
        <v>0</v>
      </c>
      <c r="H3433" s="354">
        <v>0</v>
      </c>
      <c r="I3433" s="354">
        <v>0</v>
      </c>
      <c r="J3433" s="354">
        <v>1</v>
      </c>
      <c r="K3433" s="354">
        <v>0</v>
      </c>
      <c r="L3433" s="354">
        <v>0</v>
      </c>
      <c r="M3433" s="355">
        <v>4</v>
      </c>
      <c r="N3433" s="355">
        <v>3</v>
      </c>
    </row>
    <row r="3434" spans="1:14" hidden="1" x14ac:dyDescent="0.25">
      <c r="A3434" s="354">
        <v>2</v>
      </c>
      <c r="B3434" s="354">
        <v>1</v>
      </c>
      <c r="C3434" s="354">
        <v>0</v>
      </c>
      <c r="D3434" s="354">
        <v>0</v>
      </c>
      <c r="E3434" s="354">
        <v>1</v>
      </c>
      <c r="F3434" s="354">
        <v>2</v>
      </c>
      <c r="G3434" s="354">
        <v>0</v>
      </c>
      <c r="H3434" s="354">
        <v>1</v>
      </c>
      <c r="I3434" s="354">
        <v>1</v>
      </c>
      <c r="J3434" s="354">
        <v>0</v>
      </c>
      <c r="K3434" s="354">
        <v>0</v>
      </c>
      <c r="L3434" s="354">
        <v>0</v>
      </c>
      <c r="M3434" s="355">
        <v>4</v>
      </c>
      <c r="N3434" s="355">
        <v>4</v>
      </c>
    </row>
    <row r="3435" spans="1:14" hidden="1" x14ac:dyDescent="0.25">
      <c r="A3435" s="354">
        <v>2</v>
      </c>
      <c r="B3435" s="354">
        <v>1</v>
      </c>
      <c r="C3435" s="354">
        <v>1</v>
      </c>
      <c r="D3435" s="354">
        <v>1</v>
      </c>
      <c r="E3435" s="354">
        <v>2</v>
      </c>
      <c r="F3435" s="354">
        <v>0</v>
      </c>
      <c r="G3435" s="354">
        <v>3</v>
      </c>
      <c r="H3435" s="354">
        <v>2</v>
      </c>
      <c r="I3435" s="354">
        <v>1</v>
      </c>
      <c r="J3435" s="354">
        <v>0</v>
      </c>
      <c r="K3435" s="354">
        <v>0</v>
      </c>
      <c r="L3435" s="354">
        <v>0</v>
      </c>
      <c r="M3435" s="355">
        <v>9</v>
      </c>
      <c r="N3435" s="355">
        <v>4</v>
      </c>
    </row>
    <row r="3436" spans="1:14" hidden="1" x14ac:dyDescent="0.25">
      <c r="A3436" s="354">
        <v>1</v>
      </c>
      <c r="B3436" s="354">
        <v>0</v>
      </c>
      <c r="C3436" s="354">
        <v>2</v>
      </c>
      <c r="D3436" s="354">
        <v>0</v>
      </c>
      <c r="E3436" s="354">
        <v>3</v>
      </c>
      <c r="F3436" s="354">
        <v>0</v>
      </c>
      <c r="G3436" s="354">
        <v>1</v>
      </c>
      <c r="H3436" s="354">
        <v>0</v>
      </c>
      <c r="I3436" s="354">
        <v>1</v>
      </c>
      <c r="J3436" s="354">
        <v>2</v>
      </c>
      <c r="K3436" s="354">
        <v>0</v>
      </c>
      <c r="L3436" s="354">
        <v>0</v>
      </c>
      <c r="M3436" s="355">
        <v>8</v>
      </c>
      <c r="N3436" s="355">
        <v>2</v>
      </c>
    </row>
    <row r="3437" spans="1:14" hidden="1" x14ac:dyDescent="0.25">
      <c r="A3437" s="354">
        <v>2</v>
      </c>
      <c r="B3437" s="354">
        <v>2</v>
      </c>
      <c r="C3437" s="354">
        <v>0</v>
      </c>
      <c r="D3437" s="354">
        <v>1</v>
      </c>
      <c r="E3437" s="354">
        <v>1</v>
      </c>
      <c r="F3437" s="354">
        <v>2</v>
      </c>
      <c r="G3437" s="354">
        <v>1</v>
      </c>
      <c r="H3437" s="354">
        <v>2</v>
      </c>
      <c r="I3437" s="354">
        <v>0</v>
      </c>
      <c r="J3437" s="354">
        <v>2</v>
      </c>
      <c r="K3437" s="354">
        <v>0</v>
      </c>
      <c r="L3437" s="354">
        <v>0</v>
      </c>
      <c r="M3437" s="355">
        <v>4</v>
      </c>
      <c r="N3437" s="355">
        <v>9</v>
      </c>
    </row>
    <row r="3438" spans="1:14" hidden="1" x14ac:dyDescent="0.25">
      <c r="A3438" s="354">
        <v>2</v>
      </c>
      <c r="B3438" s="354">
        <v>1</v>
      </c>
      <c r="C3438" s="354">
        <v>2</v>
      </c>
      <c r="D3438" s="354">
        <v>0</v>
      </c>
      <c r="E3438" s="354">
        <v>0</v>
      </c>
      <c r="F3438" s="354">
        <v>1</v>
      </c>
      <c r="G3438" s="354">
        <v>2</v>
      </c>
      <c r="H3438" s="354">
        <v>0</v>
      </c>
      <c r="I3438" s="354">
        <v>1</v>
      </c>
      <c r="J3438" s="354">
        <v>1</v>
      </c>
      <c r="K3438" s="354">
        <v>0</v>
      </c>
      <c r="L3438" s="354">
        <v>0</v>
      </c>
      <c r="M3438" s="355">
        <v>7</v>
      </c>
      <c r="N3438" s="355">
        <v>3</v>
      </c>
    </row>
    <row r="3439" spans="1:14" hidden="1" x14ac:dyDescent="0.25">
      <c r="A3439" s="354">
        <v>1</v>
      </c>
      <c r="B3439" s="354">
        <v>1</v>
      </c>
      <c r="C3439" s="354">
        <v>0</v>
      </c>
      <c r="D3439" s="354">
        <v>2</v>
      </c>
      <c r="E3439" s="354">
        <v>2</v>
      </c>
      <c r="F3439" s="354">
        <v>3</v>
      </c>
      <c r="G3439" s="354">
        <v>1</v>
      </c>
      <c r="H3439" s="354">
        <v>3</v>
      </c>
      <c r="I3439" s="354">
        <v>1</v>
      </c>
      <c r="J3439" s="354">
        <v>1</v>
      </c>
      <c r="K3439" s="354">
        <v>0</v>
      </c>
      <c r="L3439" s="354">
        <v>0</v>
      </c>
      <c r="M3439" s="355">
        <v>5</v>
      </c>
      <c r="N3439" s="355">
        <v>10</v>
      </c>
    </row>
    <row r="3440" spans="1:14" hidden="1" x14ac:dyDescent="0.25">
      <c r="A3440" s="354">
        <v>2</v>
      </c>
      <c r="B3440" s="354">
        <v>1</v>
      </c>
      <c r="C3440" s="354">
        <v>2</v>
      </c>
      <c r="D3440" s="354">
        <v>1</v>
      </c>
      <c r="E3440" s="354">
        <v>3</v>
      </c>
      <c r="F3440" s="354">
        <v>2</v>
      </c>
      <c r="G3440" s="354">
        <v>3</v>
      </c>
      <c r="H3440" s="354">
        <v>2</v>
      </c>
      <c r="I3440" s="354">
        <v>1</v>
      </c>
      <c r="J3440" s="354">
        <v>2</v>
      </c>
      <c r="K3440" s="354">
        <v>0</v>
      </c>
      <c r="L3440" s="354">
        <v>0</v>
      </c>
      <c r="M3440" s="355">
        <v>11</v>
      </c>
      <c r="N3440" s="355">
        <v>8</v>
      </c>
    </row>
    <row r="3441" spans="1:14" hidden="1" x14ac:dyDescent="0.25">
      <c r="A3441" s="354">
        <v>2</v>
      </c>
      <c r="B3441" s="354">
        <v>1</v>
      </c>
      <c r="C3441" s="354">
        <v>3</v>
      </c>
      <c r="D3441" s="354">
        <v>2</v>
      </c>
      <c r="E3441" s="354">
        <v>1</v>
      </c>
      <c r="F3441" s="354">
        <v>2</v>
      </c>
      <c r="G3441" s="354">
        <v>0</v>
      </c>
      <c r="H3441" s="354">
        <v>0</v>
      </c>
      <c r="I3441" s="354">
        <v>1</v>
      </c>
      <c r="J3441" s="354">
        <v>1</v>
      </c>
      <c r="K3441" s="354">
        <v>0</v>
      </c>
      <c r="L3441" s="354">
        <v>0</v>
      </c>
      <c r="M3441" s="355">
        <v>7</v>
      </c>
      <c r="N3441" s="355">
        <v>6</v>
      </c>
    </row>
    <row r="3442" spans="1:14" hidden="1" x14ac:dyDescent="0.25">
      <c r="A3442" s="354">
        <v>2</v>
      </c>
      <c r="B3442" s="354">
        <v>0</v>
      </c>
      <c r="C3442" s="354">
        <v>2</v>
      </c>
      <c r="D3442" s="354">
        <v>1</v>
      </c>
      <c r="E3442" s="354">
        <v>1</v>
      </c>
      <c r="F3442" s="354">
        <v>0</v>
      </c>
      <c r="G3442" s="354">
        <v>2</v>
      </c>
      <c r="H3442" s="354">
        <v>0</v>
      </c>
      <c r="I3442" s="354">
        <v>1</v>
      </c>
      <c r="J3442" s="354">
        <v>1</v>
      </c>
      <c r="K3442" s="354">
        <v>0</v>
      </c>
      <c r="L3442" s="354">
        <v>0</v>
      </c>
      <c r="M3442" s="355">
        <v>8</v>
      </c>
      <c r="N3442" s="355">
        <v>2</v>
      </c>
    </row>
    <row r="3443" spans="1:14" hidden="1" x14ac:dyDescent="0.25">
      <c r="A3443" s="354">
        <v>2</v>
      </c>
      <c r="B3443" s="354">
        <v>0</v>
      </c>
      <c r="C3443" s="354">
        <v>2</v>
      </c>
      <c r="D3443" s="354">
        <v>1</v>
      </c>
      <c r="E3443" s="354">
        <v>0</v>
      </c>
      <c r="F3443" s="354">
        <v>1</v>
      </c>
      <c r="G3443" s="354">
        <v>1</v>
      </c>
      <c r="H3443" s="354">
        <v>0</v>
      </c>
      <c r="I3443" s="354">
        <v>1</v>
      </c>
      <c r="J3443" s="354">
        <v>1</v>
      </c>
      <c r="K3443" s="354">
        <v>0</v>
      </c>
      <c r="L3443" s="354">
        <v>0</v>
      </c>
      <c r="M3443" s="355">
        <v>6</v>
      </c>
      <c r="N3443" s="355">
        <v>3</v>
      </c>
    </row>
    <row r="3444" spans="1:14" hidden="1" x14ac:dyDescent="0.25">
      <c r="A3444" s="354">
        <v>2</v>
      </c>
      <c r="B3444" s="354">
        <v>2</v>
      </c>
      <c r="C3444" s="354">
        <v>6</v>
      </c>
      <c r="D3444" s="354">
        <v>3</v>
      </c>
      <c r="E3444" s="354">
        <v>2</v>
      </c>
      <c r="F3444" s="354">
        <v>0</v>
      </c>
      <c r="G3444" s="354">
        <v>0</v>
      </c>
      <c r="H3444" s="354">
        <v>0</v>
      </c>
      <c r="I3444" s="354">
        <v>0</v>
      </c>
      <c r="J3444" s="354">
        <v>1</v>
      </c>
      <c r="K3444" s="354">
        <v>0</v>
      </c>
      <c r="L3444" s="354">
        <v>0</v>
      </c>
      <c r="M3444" s="355">
        <v>10</v>
      </c>
      <c r="N3444" s="355">
        <v>6</v>
      </c>
    </row>
    <row r="3445" spans="1:14" hidden="1" x14ac:dyDescent="0.25">
      <c r="A3445" s="354">
        <v>1</v>
      </c>
      <c r="B3445" s="354">
        <v>1</v>
      </c>
      <c r="C3445" s="354">
        <v>2</v>
      </c>
      <c r="D3445" s="354">
        <v>2</v>
      </c>
      <c r="E3445" s="354">
        <v>3</v>
      </c>
      <c r="F3445" s="354">
        <v>2</v>
      </c>
      <c r="G3445" s="354">
        <v>0</v>
      </c>
      <c r="H3445" s="354">
        <v>2</v>
      </c>
      <c r="I3445" s="354">
        <v>2</v>
      </c>
      <c r="J3445" s="354">
        <v>1</v>
      </c>
      <c r="K3445" s="354">
        <v>0</v>
      </c>
      <c r="L3445" s="354">
        <v>0</v>
      </c>
      <c r="M3445" s="355">
        <v>8</v>
      </c>
      <c r="N3445" s="355">
        <v>8</v>
      </c>
    </row>
    <row r="3446" spans="1:14" hidden="1" x14ac:dyDescent="0.25">
      <c r="A3446" s="354">
        <v>1</v>
      </c>
      <c r="B3446" s="354">
        <v>2</v>
      </c>
      <c r="C3446" s="354">
        <v>2</v>
      </c>
      <c r="D3446" s="354">
        <v>1</v>
      </c>
      <c r="E3446" s="354">
        <v>1</v>
      </c>
      <c r="F3446" s="354">
        <v>0</v>
      </c>
      <c r="G3446" s="354">
        <v>2</v>
      </c>
      <c r="H3446" s="354">
        <v>1</v>
      </c>
      <c r="I3446" s="354">
        <v>1</v>
      </c>
      <c r="J3446" s="354">
        <v>1</v>
      </c>
      <c r="K3446" s="354">
        <v>0</v>
      </c>
      <c r="L3446" s="354">
        <v>0</v>
      </c>
      <c r="M3446" s="355">
        <v>7</v>
      </c>
      <c r="N3446" s="355">
        <v>5</v>
      </c>
    </row>
    <row r="3447" spans="1:14" hidden="1" x14ac:dyDescent="0.25">
      <c r="A3447" s="354">
        <v>1</v>
      </c>
      <c r="B3447" s="354">
        <v>1</v>
      </c>
      <c r="C3447" s="354">
        <v>1</v>
      </c>
      <c r="D3447" s="354">
        <v>1</v>
      </c>
      <c r="E3447" s="354">
        <v>1</v>
      </c>
      <c r="F3447" s="354">
        <v>2</v>
      </c>
      <c r="G3447" s="354">
        <v>2</v>
      </c>
      <c r="H3447" s="354">
        <v>0</v>
      </c>
      <c r="I3447" s="354">
        <v>0</v>
      </c>
      <c r="J3447" s="354">
        <v>1</v>
      </c>
      <c r="K3447" s="354">
        <v>0</v>
      </c>
      <c r="L3447" s="354">
        <v>0</v>
      </c>
      <c r="M3447" s="355">
        <v>5</v>
      </c>
      <c r="N3447" s="355">
        <v>5</v>
      </c>
    </row>
    <row r="3448" spans="1:14" hidden="1" x14ac:dyDescent="0.25">
      <c r="A3448" s="354">
        <v>1</v>
      </c>
      <c r="B3448" s="354">
        <v>1</v>
      </c>
      <c r="C3448" s="354">
        <v>2</v>
      </c>
      <c r="D3448" s="354">
        <v>1</v>
      </c>
      <c r="E3448" s="354">
        <v>1</v>
      </c>
      <c r="F3448" s="354">
        <v>1</v>
      </c>
      <c r="G3448" s="354">
        <v>1</v>
      </c>
      <c r="H3448" s="354">
        <v>1</v>
      </c>
      <c r="I3448" s="354">
        <v>1</v>
      </c>
      <c r="J3448" s="354">
        <v>1</v>
      </c>
      <c r="K3448" s="354">
        <v>0</v>
      </c>
      <c r="L3448" s="354">
        <v>0</v>
      </c>
      <c r="M3448" s="355">
        <v>6</v>
      </c>
      <c r="N3448" s="355">
        <v>5</v>
      </c>
    </row>
    <row r="3449" spans="1:14" hidden="1" x14ac:dyDescent="0.25">
      <c r="A3449" s="354">
        <v>2</v>
      </c>
      <c r="B3449" s="354">
        <v>1</v>
      </c>
      <c r="C3449" s="354">
        <v>1</v>
      </c>
      <c r="D3449" s="354">
        <v>1</v>
      </c>
      <c r="E3449" s="354">
        <v>1</v>
      </c>
      <c r="F3449" s="354">
        <v>1</v>
      </c>
      <c r="G3449" s="354">
        <v>1</v>
      </c>
      <c r="H3449" s="354">
        <v>1</v>
      </c>
      <c r="I3449" s="354">
        <v>1</v>
      </c>
      <c r="J3449" s="354">
        <v>1</v>
      </c>
      <c r="K3449" s="354">
        <v>0</v>
      </c>
      <c r="L3449" s="354">
        <v>0</v>
      </c>
      <c r="M3449" s="355">
        <v>6</v>
      </c>
      <c r="N3449" s="355">
        <v>5</v>
      </c>
    </row>
    <row r="3450" spans="1:14" hidden="1" x14ac:dyDescent="0.25">
      <c r="A3450" s="354">
        <v>1</v>
      </c>
      <c r="B3450" s="354">
        <v>0</v>
      </c>
      <c r="C3450" s="354">
        <v>2</v>
      </c>
      <c r="D3450" s="354">
        <v>2</v>
      </c>
      <c r="E3450" s="354">
        <v>1</v>
      </c>
      <c r="F3450" s="354">
        <v>0</v>
      </c>
      <c r="G3450" s="354">
        <v>1</v>
      </c>
      <c r="H3450" s="354">
        <v>3</v>
      </c>
      <c r="I3450" s="354">
        <v>2</v>
      </c>
      <c r="J3450" s="354">
        <v>1</v>
      </c>
      <c r="K3450" s="354">
        <v>1</v>
      </c>
      <c r="L3450" s="354">
        <v>0</v>
      </c>
      <c r="M3450" s="355">
        <v>8</v>
      </c>
      <c r="N3450" s="355">
        <v>6</v>
      </c>
    </row>
    <row r="3451" spans="1:14" hidden="1" x14ac:dyDescent="0.25">
      <c r="A3451" s="354">
        <v>1</v>
      </c>
      <c r="B3451" s="354">
        <v>1</v>
      </c>
      <c r="C3451" s="354">
        <v>1</v>
      </c>
      <c r="D3451" s="354">
        <v>1</v>
      </c>
      <c r="E3451" s="354">
        <v>2</v>
      </c>
      <c r="F3451" s="354">
        <v>2</v>
      </c>
      <c r="G3451" s="354">
        <v>1</v>
      </c>
      <c r="H3451" s="354">
        <v>0</v>
      </c>
      <c r="I3451" s="354">
        <v>1</v>
      </c>
      <c r="J3451" s="354">
        <v>1</v>
      </c>
      <c r="K3451" s="354">
        <v>0</v>
      </c>
      <c r="L3451" s="354">
        <v>0</v>
      </c>
      <c r="M3451" s="355">
        <v>6</v>
      </c>
      <c r="N3451" s="355">
        <v>5</v>
      </c>
    </row>
    <row r="3452" spans="1:14" hidden="1" x14ac:dyDescent="0.25">
      <c r="A3452" s="354">
        <v>1</v>
      </c>
      <c r="B3452" s="354">
        <v>2</v>
      </c>
      <c r="C3452" s="354">
        <v>1</v>
      </c>
      <c r="D3452" s="354">
        <v>2</v>
      </c>
      <c r="E3452" s="354">
        <v>1</v>
      </c>
      <c r="F3452" s="354">
        <v>3</v>
      </c>
      <c r="G3452" s="354">
        <v>1</v>
      </c>
      <c r="H3452" s="354">
        <v>2</v>
      </c>
      <c r="I3452" s="354">
        <v>1</v>
      </c>
      <c r="J3452" s="354">
        <v>1</v>
      </c>
      <c r="K3452" s="354">
        <v>1</v>
      </c>
      <c r="L3452" s="354">
        <v>0</v>
      </c>
      <c r="M3452" s="355">
        <v>6</v>
      </c>
      <c r="N3452" s="355">
        <v>10</v>
      </c>
    </row>
    <row r="3453" spans="1:14" hidden="1" x14ac:dyDescent="0.25">
      <c r="A3453" s="354">
        <v>1</v>
      </c>
      <c r="B3453" s="354">
        <v>1</v>
      </c>
      <c r="C3453" s="354">
        <v>1</v>
      </c>
      <c r="D3453" s="354">
        <v>1</v>
      </c>
      <c r="E3453" s="354">
        <v>2</v>
      </c>
      <c r="F3453" s="354">
        <v>2</v>
      </c>
      <c r="G3453" s="354">
        <v>2</v>
      </c>
      <c r="H3453" s="354">
        <v>1</v>
      </c>
      <c r="I3453" s="354">
        <v>1</v>
      </c>
      <c r="J3453" s="354">
        <v>1</v>
      </c>
      <c r="K3453" s="354">
        <v>0</v>
      </c>
      <c r="L3453" s="354">
        <v>0</v>
      </c>
      <c r="M3453" s="355">
        <v>7</v>
      </c>
      <c r="N3453" s="355">
        <v>6</v>
      </c>
    </row>
    <row r="3454" spans="1:14" hidden="1" x14ac:dyDescent="0.25">
      <c r="A3454" s="354">
        <v>1</v>
      </c>
      <c r="B3454" s="354">
        <v>1</v>
      </c>
      <c r="C3454" s="354">
        <v>1</v>
      </c>
      <c r="D3454" s="354">
        <v>1</v>
      </c>
      <c r="E3454" s="354">
        <v>2</v>
      </c>
      <c r="F3454" s="354">
        <v>1</v>
      </c>
      <c r="G3454" s="354">
        <v>1</v>
      </c>
      <c r="H3454" s="354">
        <v>1</v>
      </c>
      <c r="I3454" s="354">
        <v>1</v>
      </c>
      <c r="J3454" s="354">
        <v>1</v>
      </c>
      <c r="K3454" s="354">
        <v>0</v>
      </c>
      <c r="L3454" s="354">
        <v>0</v>
      </c>
      <c r="M3454" s="355">
        <v>6</v>
      </c>
      <c r="N3454" s="355">
        <v>5</v>
      </c>
    </row>
    <row r="3455" spans="1:14" hidden="1" x14ac:dyDescent="0.25">
      <c r="A3455" s="354">
        <v>1</v>
      </c>
      <c r="B3455" s="354">
        <v>0</v>
      </c>
      <c r="C3455" s="354">
        <v>2</v>
      </c>
      <c r="D3455" s="354">
        <v>1</v>
      </c>
      <c r="E3455" s="354">
        <v>1</v>
      </c>
      <c r="F3455" s="354">
        <v>0</v>
      </c>
      <c r="G3455" s="354">
        <v>0</v>
      </c>
      <c r="H3455" s="354">
        <v>0</v>
      </c>
      <c r="I3455" s="354">
        <v>1</v>
      </c>
      <c r="J3455" s="354">
        <v>1</v>
      </c>
      <c r="K3455" s="354">
        <v>0</v>
      </c>
      <c r="L3455" s="354">
        <v>0</v>
      </c>
      <c r="M3455" s="355">
        <v>5</v>
      </c>
      <c r="N3455" s="355">
        <v>2</v>
      </c>
    </row>
    <row r="3456" spans="1:14" hidden="1" x14ac:dyDescent="0.25">
      <c r="A3456" s="354">
        <v>0</v>
      </c>
      <c r="B3456" s="354">
        <v>0</v>
      </c>
      <c r="C3456" s="354">
        <v>0</v>
      </c>
      <c r="D3456" s="354">
        <v>0</v>
      </c>
      <c r="E3456" s="354">
        <v>2</v>
      </c>
      <c r="F3456" s="354">
        <v>0</v>
      </c>
      <c r="G3456" s="354">
        <v>2</v>
      </c>
      <c r="H3456" s="354">
        <v>0</v>
      </c>
      <c r="I3456" s="354">
        <v>1</v>
      </c>
      <c r="J3456" s="354">
        <v>1</v>
      </c>
      <c r="K3456" s="354">
        <v>0</v>
      </c>
      <c r="L3456" s="354">
        <v>0</v>
      </c>
      <c r="M3456" s="355">
        <v>5</v>
      </c>
      <c r="N3456" s="355">
        <v>1</v>
      </c>
    </row>
    <row r="3457" spans="1:14" hidden="1" x14ac:dyDescent="0.25">
      <c r="A3457" s="354">
        <v>0</v>
      </c>
      <c r="B3457" s="354">
        <v>2</v>
      </c>
      <c r="C3457" s="354">
        <v>0</v>
      </c>
      <c r="D3457" s="354">
        <v>2</v>
      </c>
      <c r="E3457" s="354">
        <v>1</v>
      </c>
      <c r="F3457" s="354">
        <v>0</v>
      </c>
      <c r="G3457" s="354">
        <v>2</v>
      </c>
      <c r="H3457" s="354">
        <v>0</v>
      </c>
      <c r="I3457" s="354">
        <v>1</v>
      </c>
      <c r="J3457" s="354">
        <v>2</v>
      </c>
      <c r="K3457" s="354">
        <v>0</v>
      </c>
      <c r="L3457" s="354">
        <v>0</v>
      </c>
      <c r="M3457" s="355">
        <v>4</v>
      </c>
      <c r="N3457" s="355">
        <v>6</v>
      </c>
    </row>
    <row r="3458" spans="1:14" hidden="1" x14ac:dyDescent="0.25">
      <c r="A3458" s="354">
        <v>0</v>
      </c>
      <c r="B3458" s="354">
        <v>0</v>
      </c>
      <c r="C3458" s="354">
        <v>2</v>
      </c>
      <c r="D3458" s="354">
        <v>0</v>
      </c>
      <c r="E3458" s="354">
        <v>1</v>
      </c>
      <c r="F3458" s="354">
        <v>3</v>
      </c>
      <c r="G3458" s="354">
        <v>1</v>
      </c>
      <c r="H3458" s="354">
        <v>1</v>
      </c>
      <c r="I3458" s="354">
        <v>2</v>
      </c>
      <c r="J3458" s="354">
        <v>2</v>
      </c>
      <c r="K3458" s="354">
        <v>0</v>
      </c>
      <c r="L3458" s="354">
        <v>0</v>
      </c>
      <c r="M3458" s="355">
        <v>6</v>
      </c>
      <c r="N3458" s="355">
        <v>6</v>
      </c>
    </row>
    <row r="3459" spans="1:14" hidden="1" x14ac:dyDescent="0.25">
      <c r="A3459" s="354">
        <v>1</v>
      </c>
      <c r="B3459" s="354">
        <v>0</v>
      </c>
      <c r="C3459" s="354">
        <v>1</v>
      </c>
      <c r="D3459" s="354">
        <v>1</v>
      </c>
      <c r="E3459" s="354">
        <v>1</v>
      </c>
      <c r="F3459" s="354">
        <v>1</v>
      </c>
      <c r="G3459" s="354">
        <v>1</v>
      </c>
      <c r="H3459" s="354">
        <v>1</v>
      </c>
      <c r="I3459" s="354">
        <v>1</v>
      </c>
      <c r="J3459" s="354">
        <v>0</v>
      </c>
      <c r="K3459" s="354">
        <v>0</v>
      </c>
      <c r="L3459" s="354">
        <v>0</v>
      </c>
      <c r="M3459" s="355">
        <v>5</v>
      </c>
      <c r="N3459" s="355">
        <v>3</v>
      </c>
    </row>
    <row r="3460" spans="1:14" hidden="1" x14ac:dyDescent="0.25">
      <c r="A3460" s="354">
        <v>2</v>
      </c>
      <c r="B3460" s="354">
        <v>0</v>
      </c>
      <c r="C3460" s="354">
        <v>0</v>
      </c>
      <c r="D3460" s="354">
        <v>2</v>
      </c>
      <c r="E3460" s="354">
        <v>1</v>
      </c>
      <c r="F3460" s="354">
        <v>0</v>
      </c>
      <c r="G3460" s="354">
        <v>0</v>
      </c>
      <c r="H3460" s="354">
        <v>0</v>
      </c>
      <c r="I3460" s="354">
        <v>0</v>
      </c>
      <c r="J3460" s="354">
        <v>0</v>
      </c>
      <c r="K3460" s="354">
        <v>0</v>
      </c>
      <c r="L3460" s="354">
        <v>0</v>
      </c>
      <c r="M3460" s="355">
        <v>3</v>
      </c>
      <c r="N3460" s="355">
        <v>2</v>
      </c>
    </row>
    <row r="3461" spans="1:14" hidden="1" x14ac:dyDescent="0.25">
      <c r="A3461" s="354">
        <v>0</v>
      </c>
      <c r="B3461" s="354">
        <v>0</v>
      </c>
      <c r="C3461" s="354">
        <v>0</v>
      </c>
      <c r="D3461" s="354">
        <v>1</v>
      </c>
      <c r="E3461" s="354">
        <v>0</v>
      </c>
      <c r="F3461" s="354">
        <v>2</v>
      </c>
      <c r="G3461" s="354">
        <v>1</v>
      </c>
      <c r="H3461" s="354">
        <v>1</v>
      </c>
      <c r="I3461" s="354">
        <v>2</v>
      </c>
      <c r="J3461" s="354">
        <v>2</v>
      </c>
      <c r="K3461" s="354">
        <v>0</v>
      </c>
      <c r="L3461" s="354">
        <v>0</v>
      </c>
      <c r="M3461" s="355">
        <v>3</v>
      </c>
      <c r="N3461" s="355">
        <v>6</v>
      </c>
    </row>
    <row r="3462" spans="1:14" hidden="1" x14ac:dyDescent="0.25">
      <c r="A3462" s="354">
        <v>0</v>
      </c>
      <c r="B3462" s="354">
        <v>0</v>
      </c>
      <c r="C3462" s="354">
        <v>2</v>
      </c>
      <c r="D3462" s="354">
        <v>0</v>
      </c>
      <c r="E3462" s="354">
        <v>2</v>
      </c>
      <c r="F3462" s="354">
        <v>0</v>
      </c>
      <c r="G3462" s="354">
        <v>1</v>
      </c>
      <c r="H3462" s="354">
        <v>0</v>
      </c>
      <c r="I3462" s="354">
        <v>1</v>
      </c>
      <c r="J3462" s="354">
        <v>1</v>
      </c>
      <c r="K3462" s="354">
        <v>0</v>
      </c>
      <c r="L3462" s="354">
        <v>0</v>
      </c>
      <c r="M3462" s="355">
        <v>6</v>
      </c>
      <c r="N3462" s="355">
        <v>1</v>
      </c>
    </row>
    <row r="3463" spans="1:14" hidden="1" x14ac:dyDescent="0.25">
      <c r="A3463" s="354">
        <v>0</v>
      </c>
      <c r="B3463" s="354">
        <v>1</v>
      </c>
      <c r="C3463" s="354">
        <v>0</v>
      </c>
      <c r="D3463" s="354">
        <v>1</v>
      </c>
      <c r="E3463" s="354">
        <v>1</v>
      </c>
      <c r="F3463" s="354">
        <v>2</v>
      </c>
      <c r="G3463" s="354">
        <v>0</v>
      </c>
      <c r="H3463" s="354">
        <v>0</v>
      </c>
      <c r="I3463" s="354">
        <v>1</v>
      </c>
      <c r="J3463" s="354">
        <v>1</v>
      </c>
      <c r="K3463" s="354">
        <v>0</v>
      </c>
      <c r="L3463" s="354">
        <v>0</v>
      </c>
      <c r="M3463" s="355">
        <v>2</v>
      </c>
      <c r="N3463" s="355">
        <v>5</v>
      </c>
    </row>
    <row r="3464" spans="1:14" hidden="1" x14ac:dyDescent="0.25">
      <c r="A3464" s="354">
        <v>0</v>
      </c>
      <c r="B3464" s="354">
        <v>0</v>
      </c>
      <c r="C3464" s="354">
        <v>1</v>
      </c>
      <c r="D3464" s="354">
        <v>0</v>
      </c>
      <c r="E3464" s="354">
        <v>1</v>
      </c>
      <c r="F3464" s="354">
        <v>1</v>
      </c>
      <c r="G3464" s="354">
        <v>2</v>
      </c>
      <c r="H3464" s="354">
        <v>1</v>
      </c>
      <c r="I3464" s="354">
        <v>1</v>
      </c>
      <c r="J3464" s="354">
        <v>3</v>
      </c>
      <c r="K3464" s="354">
        <v>0</v>
      </c>
      <c r="L3464" s="354">
        <v>0</v>
      </c>
      <c r="M3464" s="355">
        <v>5</v>
      </c>
      <c r="N3464" s="355">
        <v>5</v>
      </c>
    </row>
    <row r="3465" spans="1:14" hidden="1" x14ac:dyDescent="0.25">
      <c r="A3465" s="354">
        <v>0</v>
      </c>
      <c r="B3465" s="354">
        <v>0</v>
      </c>
      <c r="C3465" s="354">
        <v>1</v>
      </c>
      <c r="D3465" s="354">
        <v>0</v>
      </c>
      <c r="E3465" s="354">
        <v>2</v>
      </c>
      <c r="F3465" s="354">
        <v>0</v>
      </c>
      <c r="G3465" s="354">
        <v>2</v>
      </c>
      <c r="H3465" s="354">
        <v>1</v>
      </c>
      <c r="I3465" s="354">
        <v>1</v>
      </c>
      <c r="J3465" s="354">
        <v>2</v>
      </c>
      <c r="K3465" s="354">
        <v>0</v>
      </c>
      <c r="L3465" s="354">
        <v>0</v>
      </c>
      <c r="M3465" s="355">
        <v>6</v>
      </c>
      <c r="N3465" s="355">
        <v>3</v>
      </c>
    </row>
    <row r="3466" spans="1:14" hidden="1" x14ac:dyDescent="0.25">
      <c r="A3466" s="354">
        <v>0</v>
      </c>
      <c r="B3466" s="354">
        <v>0</v>
      </c>
      <c r="C3466" s="354">
        <v>0</v>
      </c>
      <c r="D3466" s="354"/>
      <c r="E3466" s="354">
        <v>1</v>
      </c>
      <c r="F3466" s="354">
        <v>2</v>
      </c>
      <c r="G3466" s="354">
        <v>1</v>
      </c>
      <c r="H3466" s="354">
        <v>1</v>
      </c>
      <c r="I3466" s="354">
        <v>2</v>
      </c>
      <c r="J3466" s="354">
        <v>2</v>
      </c>
      <c r="K3466" s="354">
        <v>0</v>
      </c>
      <c r="L3466" s="354">
        <v>0</v>
      </c>
      <c r="M3466" s="355">
        <v>4</v>
      </c>
      <c r="N3466" s="355">
        <v>5</v>
      </c>
    </row>
    <row r="3467" spans="1:14" hidden="1" x14ac:dyDescent="0.25">
      <c r="A3467" s="354">
        <v>0</v>
      </c>
      <c r="B3467" s="354">
        <v>0</v>
      </c>
      <c r="C3467" s="354">
        <v>1</v>
      </c>
      <c r="D3467" s="354">
        <v>0</v>
      </c>
      <c r="E3467" s="354">
        <v>1</v>
      </c>
      <c r="F3467" s="354">
        <v>0</v>
      </c>
      <c r="G3467" s="354">
        <v>2</v>
      </c>
      <c r="H3467" s="354">
        <v>0</v>
      </c>
      <c r="I3467" s="354">
        <v>1</v>
      </c>
      <c r="J3467" s="354">
        <v>2</v>
      </c>
      <c r="K3467" s="354">
        <v>0</v>
      </c>
      <c r="L3467" s="354">
        <v>0</v>
      </c>
      <c r="M3467" s="355">
        <v>5</v>
      </c>
      <c r="N3467" s="355">
        <v>2</v>
      </c>
    </row>
    <row r="3468" spans="1:14" hidden="1" x14ac:dyDescent="0.25">
      <c r="A3468" s="354">
        <v>1</v>
      </c>
      <c r="B3468" s="354">
        <v>0</v>
      </c>
      <c r="C3468" s="354">
        <v>2</v>
      </c>
      <c r="D3468" s="354">
        <v>0</v>
      </c>
      <c r="E3468" s="354">
        <v>0</v>
      </c>
      <c r="F3468" s="354">
        <v>0</v>
      </c>
      <c r="G3468" s="354">
        <v>0</v>
      </c>
      <c r="H3468" s="354">
        <v>0</v>
      </c>
      <c r="I3468" s="354">
        <v>1</v>
      </c>
      <c r="J3468" s="354">
        <v>1</v>
      </c>
      <c r="K3468" s="354">
        <v>0</v>
      </c>
      <c r="L3468" s="354">
        <v>0</v>
      </c>
      <c r="M3468" s="355">
        <v>4</v>
      </c>
      <c r="N3468" s="355">
        <v>1</v>
      </c>
    </row>
    <row r="3469" spans="1:14" hidden="1" x14ac:dyDescent="0.25">
      <c r="A3469" s="354">
        <v>0</v>
      </c>
      <c r="B3469" s="354">
        <v>0</v>
      </c>
      <c r="C3469" s="354">
        <v>1</v>
      </c>
      <c r="D3469" s="354">
        <v>0</v>
      </c>
      <c r="E3469" s="354">
        <v>1</v>
      </c>
      <c r="F3469" s="354">
        <v>1</v>
      </c>
      <c r="G3469" s="354">
        <v>1</v>
      </c>
      <c r="H3469" s="354">
        <v>1</v>
      </c>
      <c r="I3469" s="354">
        <v>1</v>
      </c>
      <c r="J3469" s="354">
        <v>2</v>
      </c>
      <c r="K3469" s="354">
        <v>0</v>
      </c>
      <c r="L3469" s="354">
        <v>0</v>
      </c>
      <c r="M3469" s="355">
        <v>4</v>
      </c>
      <c r="N3469" s="355">
        <v>4</v>
      </c>
    </row>
    <row r="3470" spans="1:14" hidden="1" x14ac:dyDescent="0.25">
      <c r="A3470" s="354">
        <v>0</v>
      </c>
      <c r="B3470" s="354">
        <v>0</v>
      </c>
      <c r="C3470" s="354">
        <v>1</v>
      </c>
      <c r="D3470" s="354">
        <v>0</v>
      </c>
      <c r="E3470" s="354">
        <v>1</v>
      </c>
      <c r="F3470" s="354">
        <v>2</v>
      </c>
      <c r="G3470" s="354">
        <v>1</v>
      </c>
      <c r="H3470" s="354">
        <v>2</v>
      </c>
      <c r="I3470" s="354">
        <v>1</v>
      </c>
      <c r="J3470" s="354">
        <v>1</v>
      </c>
      <c r="K3470" s="354">
        <v>0</v>
      </c>
      <c r="L3470" s="354">
        <v>0</v>
      </c>
      <c r="M3470" s="355">
        <v>4</v>
      </c>
      <c r="N3470" s="355">
        <v>5</v>
      </c>
    </row>
    <row r="3471" spans="1:14" hidden="1" x14ac:dyDescent="0.25">
      <c r="A3471" s="354">
        <v>0</v>
      </c>
      <c r="B3471" s="354">
        <v>0</v>
      </c>
      <c r="C3471" s="354">
        <v>0</v>
      </c>
      <c r="D3471" s="354">
        <v>2</v>
      </c>
      <c r="E3471" s="354">
        <v>0</v>
      </c>
      <c r="F3471" s="354">
        <v>2</v>
      </c>
      <c r="G3471" s="354">
        <v>0</v>
      </c>
      <c r="H3471" s="354">
        <v>2</v>
      </c>
      <c r="I3471" s="354">
        <v>1</v>
      </c>
      <c r="J3471" s="354">
        <v>2</v>
      </c>
      <c r="K3471" s="354">
        <v>0</v>
      </c>
      <c r="L3471" s="354">
        <v>0</v>
      </c>
      <c r="M3471" s="355">
        <v>1</v>
      </c>
      <c r="N3471" s="355">
        <v>8</v>
      </c>
    </row>
    <row r="3472" spans="1:14" hidden="1" x14ac:dyDescent="0.25">
      <c r="A3472" s="354">
        <v>0</v>
      </c>
      <c r="B3472" s="354">
        <v>0</v>
      </c>
      <c r="C3472" s="354">
        <v>0</v>
      </c>
      <c r="D3472" s="354">
        <v>2</v>
      </c>
      <c r="E3472" s="354">
        <v>0</v>
      </c>
      <c r="F3472" s="354">
        <v>2</v>
      </c>
      <c r="G3472" s="354">
        <v>2</v>
      </c>
      <c r="H3472" s="354">
        <v>1</v>
      </c>
      <c r="I3472" s="354">
        <v>2</v>
      </c>
      <c r="J3472" s="354">
        <v>1</v>
      </c>
      <c r="K3472" s="354">
        <v>0</v>
      </c>
      <c r="L3472" s="354">
        <v>0</v>
      </c>
      <c r="M3472" s="355">
        <v>4</v>
      </c>
      <c r="N3472" s="355">
        <v>6</v>
      </c>
    </row>
    <row r="3473" spans="1:14" hidden="1" x14ac:dyDescent="0.25">
      <c r="A3473" s="354">
        <v>0</v>
      </c>
      <c r="B3473" s="354">
        <v>0</v>
      </c>
      <c r="C3473" s="354">
        <v>1</v>
      </c>
      <c r="D3473" s="354">
        <v>0</v>
      </c>
      <c r="E3473" s="354">
        <v>1</v>
      </c>
      <c r="F3473" s="354">
        <v>0</v>
      </c>
      <c r="G3473" s="354">
        <v>1</v>
      </c>
      <c r="H3473" s="354">
        <v>0</v>
      </c>
      <c r="I3473" s="354">
        <v>1</v>
      </c>
      <c r="J3473" s="354">
        <v>1</v>
      </c>
      <c r="K3473" s="354">
        <v>0</v>
      </c>
      <c r="L3473" s="354">
        <v>0</v>
      </c>
      <c r="M3473" s="355">
        <v>4</v>
      </c>
      <c r="N3473" s="355">
        <v>1</v>
      </c>
    </row>
    <row r="3474" spans="1:14" hidden="1" x14ac:dyDescent="0.25">
      <c r="A3474" s="354">
        <v>1</v>
      </c>
      <c r="B3474" s="354">
        <v>0</v>
      </c>
      <c r="C3474" s="354">
        <v>2</v>
      </c>
      <c r="D3474" s="354">
        <v>0</v>
      </c>
      <c r="E3474" s="354">
        <v>1</v>
      </c>
      <c r="F3474" s="354">
        <v>0</v>
      </c>
      <c r="G3474" s="354">
        <v>0</v>
      </c>
      <c r="H3474" s="354">
        <v>0</v>
      </c>
      <c r="I3474" s="354">
        <v>0</v>
      </c>
      <c r="J3474" s="354">
        <v>1</v>
      </c>
      <c r="K3474" s="354">
        <v>0</v>
      </c>
      <c r="L3474" s="354">
        <v>0</v>
      </c>
      <c r="M3474" s="355">
        <v>4</v>
      </c>
      <c r="N3474" s="355">
        <v>1</v>
      </c>
    </row>
    <row r="3475" spans="1:14" hidden="1" x14ac:dyDescent="0.25">
      <c r="A3475" s="354">
        <v>0</v>
      </c>
      <c r="B3475" s="354">
        <v>1</v>
      </c>
      <c r="C3475" s="354">
        <v>0</v>
      </c>
      <c r="D3475" s="354">
        <v>2</v>
      </c>
      <c r="E3475" s="354">
        <v>0</v>
      </c>
      <c r="F3475" s="354">
        <v>3</v>
      </c>
      <c r="G3475" s="354">
        <v>0</v>
      </c>
      <c r="H3475" s="354">
        <v>0</v>
      </c>
      <c r="I3475" s="354">
        <v>1</v>
      </c>
      <c r="J3475" s="354">
        <v>1</v>
      </c>
      <c r="K3475" s="354">
        <v>0</v>
      </c>
      <c r="L3475" s="354">
        <v>0</v>
      </c>
      <c r="M3475" s="355">
        <v>1</v>
      </c>
      <c r="N3475" s="355">
        <v>7</v>
      </c>
    </row>
    <row r="3476" spans="1:14" hidden="1" x14ac:dyDescent="0.25">
      <c r="A3476" s="354">
        <v>1</v>
      </c>
      <c r="B3476" s="354">
        <v>0</v>
      </c>
      <c r="C3476" s="354">
        <v>0</v>
      </c>
      <c r="D3476" s="354">
        <v>2</v>
      </c>
      <c r="E3476" s="354">
        <v>0</v>
      </c>
      <c r="F3476" s="354">
        <v>1</v>
      </c>
      <c r="G3476" s="354">
        <v>0</v>
      </c>
      <c r="H3476" s="354">
        <v>0</v>
      </c>
      <c r="I3476" s="354">
        <v>1</v>
      </c>
      <c r="J3476" s="354">
        <v>1</v>
      </c>
      <c r="K3476" s="354">
        <v>0</v>
      </c>
      <c r="L3476" s="354">
        <v>0</v>
      </c>
      <c r="M3476" s="355">
        <v>2</v>
      </c>
      <c r="N3476" s="355">
        <v>4</v>
      </c>
    </row>
    <row r="3477" spans="1:14" hidden="1" x14ac:dyDescent="0.25">
      <c r="A3477" s="354">
        <v>0</v>
      </c>
      <c r="B3477" s="354">
        <v>1</v>
      </c>
      <c r="C3477" s="354">
        <v>1</v>
      </c>
      <c r="D3477" s="354">
        <v>0</v>
      </c>
      <c r="E3477" s="354">
        <v>1</v>
      </c>
      <c r="F3477" s="354">
        <v>1</v>
      </c>
      <c r="G3477" s="354">
        <v>1</v>
      </c>
      <c r="H3477" s="354">
        <v>0</v>
      </c>
      <c r="I3477" s="354">
        <v>1</v>
      </c>
      <c r="J3477" s="354">
        <v>1</v>
      </c>
      <c r="K3477" s="354">
        <v>0</v>
      </c>
      <c r="L3477" s="354">
        <v>0</v>
      </c>
      <c r="M3477" s="355">
        <v>4</v>
      </c>
      <c r="N3477" s="355">
        <v>3</v>
      </c>
    </row>
    <row r="3478" spans="1:14" hidden="1" x14ac:dyDescent="0.25">
      <c r="A3478" s="354">
        <v>1</v>
      </c>
      <c r="B3478" s="354">
        <v>0</v>
      </c>
      <c r="C3478" s="354">
        <v>2</v>
      </c>
      <c r="D3478" s="354">
        <v>0</v>
      </c>
      <c r="E3478" s="354">
        <v>0</v>
      </c>
      <c r="F3478" s="354">
        <v>2</v>
      </c>
      <c r="G3478" s="354">
        <v>0</v>
      </c>
      <c r="H3478" s="354">
        <v>1</v>
      </c>
      <c r="I3478" s="354">
        <v>0</v>
      </c>
      <c r="J3478" s="354">
        <v>1</v>
      </c>
      <c r="K3478" s="354">
        <v>0</v>
      </c>
      <c r="L3478" s="354">
        <v>0</v>
      </c>
      <c r="M3478" s="355">
        <v>3</v>
      </c>
      <c r="N3478" s="355">
        <v>4</v>
      </c>
    </row>
    <row r="3479" spans="1:14" hidden="1" x14ac:dyDescent="0.25">
      <c r="A3479" s="354">
        <v>0</v>
      </c>
      <c r="B3479" s="354">
        <v>0</v>
      </c>
      <c r="C3479" s="354">
        <v>1</v>
      </c>
      <c r="D3479" s="354">
        <v>2</v>
      </c>
      <c r="E3479" s="354">
        <v>1</v>
      </c>
      <c r="F3479" s="354">
        <v>1</v>
      </c>
      <c r="G3479" s="354">
        <v>1</v>
      </c>
      <c r="H3479" s="354">
        <v>0</v>
      </c>
      <c r="I3479" s="354">
        <v>0</v>
      </c>
      <c r="J3479" s="354">
        <v>1</v>
      </c>
      <c r="K3479" s="354">
        <v>0</v>
      </c>
      <c r="L3479" s="354">
        <v>0</v>
      </c>
      <c r="M3479" s="355">
        <v>3</v>
      </c>
      <c r="N3479" s="355">
        <v>4</v>
      </c>
    </row>
    <row r="3480" spans="1:14" hidden="1" x14ac:dyDescent="0.25">
      <c r="A3480" s="354">
        <v>1</v>
      </c>
      <c r="B3480" s="354">
        <v>0</v>
      </c>
      <c r="C3480" s="354">
        <v>1</v>
      </c>
      <c r="D3480" s="354">
        <v>0</v>
      </c>
      <c r="E3480" s="354">
        <v>2</v>
      </c>
      <c r="F3480" s="354">
        <v>0</v>
      </c>
      <c r="G3480" s="354">
        <v>1</v>
      </c>
      <c r="H3480" s="354">
        <v>1</v>
      </c>
      <c r="I3480" s="354">
        <v>1</v>
      </c>
      <c r="J3480" s="354">
        <v>1</v>
      </c>
      <c r="K3480" s="354">
        <v>0</v>
      </c>
      <c r="L3480" s="354">
        <v>0</v>
      </c>
      <c r="M3480" s="355">
        <v>6</v>
      </c>
      <c r="N3480" s="355">
        <v>2</v>
      </c>
    </row>
    <row r="3481" spans="1:14" hidden="1" x14ac:dyDescent="0.25">
      <c r="A3481" s="354">
        <v>0</v>
      </c>
      <c r="B3481" s="354">
        <v>1</v>
      </c>
      <c r="C3481" s="354">
        <v>1</v>
      </c>
      <c r="D3481" s="354">
        <v>1</v>
      </c>
      <c r="E3481" s="354">
        <v>0</v>
      </c>
      <c r="F3481" s="354">
        <v>2</v>
      </c>
      <c r="G3481" s="354">
        <v>2</v>
      </c>
      <c r="H3481" s="354">
        <v>2</v>
      </c>
      <c r="I3481" s="354">
        <v>1</v>
      </c>
      <c r="J3481" s="354">
        <v>1</v>
      </c>
      <c r="K3481" s="354">
        <v>0</v>
      </c>
      <c r="L3481" s="354">
        <v>0</v>
      </c>
      <c r="M3481" s="355">
        <v>4</v>
      </c>
      <c r="N3481" s="355">
        <v>7</v>
      </c>
    </row>
    <row r="3482" spans="1:14" hidden="1" x14ac:dyDescent="0.25">
      <c r="A3482" s="354">
        <v>1</v>
      </c>
      <c r="B3482" s="354">
        <v>0</v>
      </c>
      <c r="C3482" s="354">
        <v>1</v>
      </c>
      <c r="D3482" s="354">
        <v>2</v>
      </c>
      <c r="E3482" s="354">
        <v>1</v>
      </c>
      <c r="F3482" s="354">
        <v>1</v>
      </c>
      <c r="G3482" s="354">
        <v>1</v>
      </c>
      <c r="H3482" s="354">
        <v>1</v>
      </c>
      <c r="I3482" s="354">
        <v>1</v>
      </c>
      <c r="J3482" s="354">
        <v>2</v>
      </c>
      <c r="K3482" s="354">
        <v>1</v>
      </c>
      <c r="L3482" s="354">
        <v>1</v>
      </c>
      <c r="M3482" s="355">
        <v>6</v>
      </c>
      <c r="N3482" s="355">
        <v>7</v>
      </c>
    </row>
    <row r="3483" spans="1:14" hidden="1" x14ac:dyDescent="0.25">
      <c r="A3483" s="354">
        <v>1</v>
      </c>
      <c r="B3483" s="354">
        <v>0</v>
      </c>
      <c r="C3483" s="354">
        <v>0</v>
      </c>
      <c r="D3483" s="354">
        <v>2</v>
      </c>
      <c r="E3483" s="354">
        <v>0</v>
      </c>
      <c r="F3483" s="354">
        <v>1</v>
      </c>
      <c r="G3483" s="354">
        <v>0</v>
      </c>
      <c r="H3483" s="354">
        <v>0</v>
      </c>
      <c r="I3483" s="354">
        <v>0</v>
      </c>
      <c r="J3483" s="354">
        <v>2</v>
      </c>
      <c r="K3483" s="354">
        <v>0</v>
      </c>
      <c r="L3483" s="354">
        <v>0</v>
      </c>
      <c r="M3483" s="355">
        <v>1</v>
      </c>
      <c r="N3483" s="355">
        <v>5</v>
      </c>
    </row>
    <row r="3484" spans="1:14" hidden="1" x14ac:dyDescent="0.25">
      <c r="A3484" s="354">
        <v>0</v>
      </c>
      <c r="B3484" s="354">
        <v>0</v>
      </c>
      <c r="C3484" s="354">
        <v>2</v>
      </c>
      <c r="D3484" s="354">
        <v>0</v>
      </c>
      <c r="E3484" s="354">
        <v>0</v>
      </c>
      <c r="F3484" s="354">
        <v>1</v>
      </c>
      <c r="G3484" s="354">
        <v>0</v>
      </c>
      <c r="H3484" s="354">
        <v>0</v>
      </c>
      <c r="I3484" s="354">
        <v>1</v>
      </c>
      <c r="J3484" s="354">
        <v>1</v>
      </c>
      <c r="K3484" s="354">
        <v>0</v>
      </c>
      <c r="L3484" s="354">
        <v>0</v>
      </c>
      <c r="M3484" s="355">
        <v>3</v>
      </c>
      <c r="N3484" s="355">
        <v>2</v>
      </c>
    </row>
    <row r="3485" spans="1:14" hidden="1" x14ac:dyDescent="0.25">
      <c r="A3485" s="354">
        <v>0</v>
      </c>
      <c r="B3485" s="354">
        <v>0</v>
      </c>
      <c r="C3485" s="354">
        <v>1</v>
      </c>
      <c r="D3485" s="354">
        <v>1</v>
      </c>
      <c r="E3485" s="354">
        <v>1</v>
      </c>
      <c r="F3485" s="354">
        <v>0</v>
      </c>
      <c r="G3485" s="354">
        <v>0</v>
      </c>
      <c r="H3485" s="354">
        <v>0</v>
      </c>
      <c r="I3485" s="354">
        <v>1</v>
      </c>
      <c r="J3485" s="354">
        <v>1</v>
      </c>
      <c r="K3485" s="354">
        <v>0</v>
      </c>
      <c r="L3485" s="354">
        <v>0</v>
      </c>
      <c r="M3485" s="355">
        <v>3</v>
      </c>
      <c r="N3485" s="355">
        <v>2</v>
      </c>
    </row>
    <row r="3486" spans="1:14" hidden="1" x14ac:dyDescent="0.25">
      <c r="A3486" s="354">
        <v>0</v>
      </c>
      <c r="B3486" s="354">
        <v>0</v>
      </c>
      <c r="C3486" s="354">
        <v>1</v>
      </c>
      <c r="D3486" s="354">
        <v>1</v>
      </c>
      <c r="E3486" s="354">
        <v>1</v>
      </c>
      <c r="F3486" s="354">
        <v>1</v>
      </c>
      <c r="G3486" s="354">
        <v>0</v>
      </c>
      <c r="H3486" s="354">
        <v>0</v>
      </c>
      <c r="I3486" s="354">
        <v>1</v>
      </c>
      <c r="J3486" s="354">
        <v>1</v>
      </c>
      <c r="K3486" s="354">
        <v>0</v>
      </c>
      <c r="L3486" s="354">
        <v>0</v>
      </c>
      <c r="M3486" s="355">
        <v>3</v>
      </c>
      <c r="N3486" s="355">
        <v>3</v>
      </c>
    </row>
    <row r="3487" spans="1:14" hidden="1" x14ac:dyDescent="0.25">
      <c r="A3487" s="354">
        <v>0</v>
      </c>
      <c r="B3487" s="354">
        <v>0</v>
      </c>
      <c r="C3487" s="354">
        <v>0</v>
      </c>
      <c r="D3487" s="354">
        <v>2</v>
      </c>
      <c r="E3487" s="354">
        <v>0</v>
      </c>
      <c r="F3487" s="354">
        <v>2</v>
      </c>
      <c r="G3487" s="354">
        <v>0</v>
      </c>
      <c r="H3487" s="354">
        <v>0</v>
      </c>
      <c r="I3487" s="354">
        <v>1</v>
      </c>
      <c r="J3487" s="354">
        <v>1</v>
      </c>
      <c r="K3487" s="354">
        <v>0</v>
      </c>
      <c r="L3487" s="354">
        <v>0</v>
      </c>
      <c r="M3487" s="355">
        <v>1</v>
      </c>
      <c r="N3487" s="355">
        <v>5</v>
      </c>
    </row>
    <row r="3488" spans="1:14" hidden="1" x14ac:dyDescent="0.25">
      <c r="A3488" s="354">
        <v>0</v>
      </c>
      <c r="B3488" s="354">
        <v>0</v>
      </c>
      <c r="C3488" s="354">
        <v>1</v>
      </c>
      <c r="D3488" s="354">
        <v>0</v>
      </c>
      <c r="E3488" s="354">
        <v>0</v>
      </c>
      <c r="F3488" s="354">
        <v>2</v>
      </c>
      <c r="G3488" s="354">
        <v>1</v>
      </c>
      <c r="H3488" s="354">
        <v>1</v>
      </c>
      <c r="I3488" s="354">
        <v>0</v>
      </c>
      <c r="J3488" s="354">
        <v>1</v>
      </c>
      <c r="K3488" s="354">
        <v>0</v>
      </c>
      <c r="L3488" s="354">
        <v>0</v>
      </c>
      <c r="M3488" s="355">
        <v>2</v>
      </c>
      <c r="N3488" s="355">
        <v>4</v>
      </c>
    </row>
    <row r="3489" spans="1:14" hidden="1" x14ac:dyDescent="0.25">
      <c r="A3489" s="354">
        <v>0</v>
      </c>
      <c r="B3489" s="354">
        <v>0</v>
      </c>
      <c r="C3489" s="354">
        <v>0</v>
      </c>
      <c r="D3489" s="354">
        <v>0</v>
      </c>
      <c r="E3489" s="354">
        <v>1</v>
      </c>
      <c r="F3489" s="354">
        <v>0</v>
      </c>
      <c r="G3489" s="354">
        <v>0</v>
      </c>
      <c r="H3489" s="354">
        <v>1</v>
      </c>
      <c r="I3489" s="354">
        <v>1</v>
      </c>
      <c r="J3489" s="354">
        <v>1</v>
      </c>
      <c r="K3489" s="354">
        <v>0</v>
      </c>
      <c r="L3489" s="354">
        <v>0</v>
      </c>
      <c r="M3489" s="355">
        <v>2</v>
      </c>
      <c r="N3489" s="355">
        <v>2</v>
      </c>
    </row>
    <row r="3490" spans="1:14" hidden="1" x14ac:dyDescent="0.25">
      <c r="A3490" s="354">
        <v>0</v>
      </c>
      <c r="B3490" s="354">
        <v>0</v>
      </c>
      <c r="C3490" s="354">
        <v>5</v>
      </c>
      <c r="D3490" s="354">
        <v>0</v>
      </c>
      <c r="E3490" s="354">
        <v>7</v>
      </c>
      <c r="F3490" s="354">
        <v>0</v>
      </c>
      <c r="G3490" s="354">
        <v>3</v>
      </c>
      <c r="H3490" s="354">
        <v>0</v>
      </c>
      <c r="I3490" s="354">
        <v>1</v>
      </c>
      <c r="J3490" s="354">
        <v>1</v>
      </c>
      <c r="K3490" s="354">
        <v>0</v>
      </c>
      <c r="L3490" s="354">
        <v>0</v>
      </c>
      <c r="M3490" s="355">
        <v>16</v>
      </c>
      <c r="N3490" s="355">
        <v>1</v>
      </c>
    </row>
    <row r="3491" spans="1:14" hidden="1" x14ac:dyDescent="0.25">
      <c r="A3491" s="354">
        <v>0</v>
      </c>
      <c r="B3491" s="354">
        <v>0</v>
      </c>
      <c r="C3491" s="354">
        <v>0</v>
      </c>
      <c r="D3491" s="354">
        <v>0</v>
      </c>
      <c r="E3491" s="354">
        <v>0</v>
      </c>
      <c r="F3491" s="354">
        <v>0</v>
      </c>
      <c r="G3491" s="354">
        <v>2</v>
      </c>
      <c r="H3491" s="354">
        <v>0</v>
      </c>
      <c r="I3491" s="354">
        <v>0</v>
      </c>
      <c r="J3491" s="354">
        <v>1</v>
      </c>
      <c r="K3491" s="354">
        <v>0</v>
      </c>
      <c r="L3491" s="354">
        <v>0</v>
      </c>
      <c r="M3491" s="355">
        <v>2</v>
      </c>
      <c r="N3491" s="355">
        <v>1</v>
      </c>
    </row>
    <row r="3492" spans="1:14" hidden="1" x14ac:dyDescent="0.25">
      <c r="A3492" s="354"/>
      <c r="B3492" s="354">
        <v>0</v>
      </c>
      <c r="C3492" s="354">
        <v>0</v>
      </c>
      <c r="D3492" s="354">
        <v>1</v>
      </c>
      <c r="E3492" s="354">
        <v>3</v>
      </c>
      <c r="F3492" s="354">
        <v>1</v>
      </c>
      <c r="G3492" s="354">
        <v>0</v>
      </c>
      <c r="H3492" s="354">
        <v>0</v>
      </c>
      <c r="I3492" s="354">
        <v>0</v>
      </c>
      <c r="J3492" s="354">
        <v>1</v>
      </c>
      <c r="K3492" s="354">
        <v>0</v>
      </c>
      <c r="L3492" s="354">
        <v>0</v>
      </c>
      <c r="M3492" s="355">
        <v>3</v>
      </c>
      <c r="N3492" s="355">
        <v>3</v>
      </c>
    </row>
    <row r="3493" spans="1:14" hidden="1" x14ac:dyDescent="0.25">
      <c r="A3493" s="354">
        <v>0</v>
      </c>
      <c r="B3493" s="354">
        <v>1</v>
      </c>
      <c r="C3493" s="354"/>
      <c r="D3493" s="354">
        <v>1</v>
      </c>
      <c r="E3493" s="354">
        <v>2</v>
      </c>
      <c r="F3493" s="354">
        <v>2</v>
      </c>
      <c r="G3493" s="354">
        <v>1</v>
      </c>
      <c r="H3493" s="354">
        <v>2</v>
      </c>
      <c r="I3493" s="354">
        <v>3</v>
      </c>
      <c r="J3493" s="354">
        <v>1</v>
      </c>
      <c r="K3493" s="354">
        <v>0</v>
      </c>
      <c r="L3493" s="354">
        <v>0</v>
      </c>
      <c r="M3493" s="355">
        <v>6</v>
      </c>
      <c r="N3493" s="355">
        <v>7</v>
      </c>
    </row>
    <row r="3494" spans="1:14" hidden="1" x14ac:dyDescent="0.25">
      <c r="A3494" s="354">
        <v>1</v>
      </c>
      <c r="B3494" s="354">
        <v>0</v>
      </c>
      <c r="C3494" s="354">
        <v>1</v>
      </c>
      <c r="D3494" s="354">
        <v>1</v>
      </c>
      <c r="E3494" s="354">
        <v>3</v>
      </c>
      <c r="F3494" s="354">
        <v>2</v>
      </c>
      <c r="G3494" s="354">
        <v>0</v>
      </c>
      <c r="H3494" s="354">
        <v>2</v>
      </c>
      <c r="I3494" s="354">
        <v>1</v>
      </c>
      <c r="J3494" s="354">
        <v>2</v>
      </c>
      <c r="K3494" s="354">
        <v>0</v>
      </c>
      <c r="L3494" s="354">
        <v>0</v>
      </c>
      <c r="M3494" s="355">
        <v>6</v>
      </c>
      <c r="N3494" s="355">
        <v>7</v>
      </c>
    </row>
    <row r="3495" spans="1:14" hidden="1" x14ac:dyDescent="0.25">
      <c r="A3495" s="354">
        <v>0</v>
      </c>
      <c r="B3495" s="354"/>
      <c r="C3495" s="354">
        <v>0</v>
      </c>
      <c r="D3495" s="354">
        <v>0</v>
      </c>
      <c r="E3495" s="354">
        <v>1</v>
      </c>
      <c r="F3495" s="354">
        <v>1</v>
      </c>
      <c r="G3495" s="354">
        <v>1</v>
      </c>
      <c r="H3495" s="354">
        <v>1</v>
      </c>
      <c r="I3495" s="354">
        <v>1</v>
      </c>
      <c r="J3495" s="354">
        <v>1</v>
      </c>
      <c r="K3495" s="354">
        <v>0</v>
      </c>
      <c r="L3495" s="354">
        <v>0</v>
      </c>
      <c r="M3495" s="355">
        <v>3</v>
      </c>
      <c r="N3495" s="355">
        <v>3</v>
      </c>
    </row>
    <row r="3496" spans="1:14" hidden="1" x14ac:dyDescent="0.25">
      <c r="A3496" s="354">
        <v>1</v>
      </c>
      <c r="B3496" s="354">
        <v>0</v>
      </c>
      <c r="C3496" s="354">
        <v>1</v>
      </c>
      <c r="D3496" s="354">
        <v>0</v>
      </c>
      <c r="E3496" s="354">
        <v>1</v>
      </c>
      <c r="F3496" s="354">
        <v>0</v>
      </c>
      <c r="G3496" s="354">
        <v>0</v>
      </c>
      <c r="H3496" s="354">
        <v>0</v>
      </c>
      <c r="I3496" s="354">
        <v>1</v>
      </c>
      <c r="J3496" s="354">
        <v>1</v>
      </c>
      <c r="K3496" s="354">
        <v>0</v>
      </c>
      <c r="L3496" s="354">
        <v>0</v>
      </c>
      <c r="M3496" s="355">
        <v>4</v>
      </c>
      <c r="N3496" s="355">
        <v>1</v>
      </c>
    </row>
    <row r="3497" spans="1:14" hidden="1" x14ac:dyDescent="0.25">
      <c r="A3497" s="354">
        <v>0</v>
      </c>
      <c r="B3497" s="354">
        <v>0</v>
      </c>
      <c r="C3497" s="354">
        <v>0</v>
      </c>
      <c r="D3497" s="354">
        <v>1</v>
      </c>
      <c r="E3497" s="354">
        <v>2</v>
      </c>
      <c r="F3497" s="354">
        <v>0</v>
      </c>
      <c r="G3497" s="354">
        <v>0</v>
      </c>
      <c r="H3497" s="354">
        <v>0</v>
      </c>
      <c r="I3497" s="354">
        <v>0</v>
      </c>
      <c r="J3497" s="354">
        <v>1</v>
      </c>
      <c r="K3497" s="354">
        <v>0</v>
      </c>
      <c r="L3497" s="354">
        <v>0</v>
      </c>
      <c r="M3497" s="355">
        <v>2</v>
      </c>
      <c r="N3497" s="355">
        <v>2</v>
      </c>
    </row>
    <row r="3498" spans="1:14" hidden="1" x14ac:dyDescent="0.25">
      <c r="A3498" s="354">
        <v>0</v>
      </c>
      <c r="B3498" s="354">
        <v>0</v>
      </c>
      <c r="C3498" s="354">
        <v>2</v>
      </c>
      <c r="D3498" s="354">
        <v>0</v>
      </c>
      <c r="E3498" s="354">
        <v>1</v>
      </c>
      <c r="F3498" s="354">
        <v>0</v>
      </c>
      <c r="G3498" s="354">
        <v>0</v>
      </c>
      <c r="H3498" s="354">
        <v>0</v>
      </c>
      <c r="I3498" s="354">
        <v>1</v>
      </c>
      <c r="J3498" s="354">
        <v>1</v>
      </c>
      <c r="K3498" s="354">
        <v>0</v>
      </c>
      <c r="L3498" s="354">
        <v>0</v>
      </c>
      <c r="M3498" s="355">
        <v>4</v>
      </c>
      <c r="N3498" s="355">
        <v>1</v>
      </c>
    </row>
    <row r="3499" spans="1:14" hidden="1" x14ac:dyDescent="0.25">
      <c r="A3499" s="354">
        <v>0</v>
      </c>
      <c r="B3499" s="354">
        <v>0</v>
      </c>
      <c r="C3499" s="354">
        <v>0</v>
      </c>
      <c r="D3499" s="354">
        <v>1</v>
      </c>
      <c r="E3499" s="354">
        <v>2</v>
      </c>
      <c r="F3499" s="354">
        <v>0</v>
      </c>
      <c r="G3499" s="354">
        <v>0</v>
      </c>
      <c r="H3499" s="354">
        <v>3</v>
      </c>
      <c r="I3499" s="354">
        <v>0</v>
      </c>
      <c r="J3499" s="354">
        <v>1</v>
      </c>
      <c r="K3499" s="354">
        <v>0</v>
      </c>
      <c r="L3499" s="354">
        <v>0</v>
      </c>
      <c r="M3499" s="355">
        <v>2</v>
      </c>
      <c r="N3499" s="355">
        <v>5</v>
      </c>
    </row>
    <row r="3500" spans="1:14" hidden="1" x14ac:dyDescent="0.25">
      <c r="A3500" s="354">
        <v>0</v>
      </c>
      <c r="B3500" s="354">
        <v>0</v>
      </c>
      <c r="C3500" s="354">
        <v>0</v>
      </c>
      <c r="D3500" s="354">
        <v>0</v>
      </c>
      <c r="E3500" s="354">
        <v>0</v>
      </c>
      <c r="F3500" s="354">
        <v>2</v>
      </c>
      <c r="G3500" s="354">
        <v>2</v>
      </c>
      <c r="H3500" s="354">
        <v>0</v>
      </c>
      <c r="I3500" s="354">
        <v>2</v>
      </c>
      <c r="J3500" s="354">
        <v>1</v>
      </c>
      <c r="K3500" s="354">
        <v>1</v>
      </c>
      <c r="L3500" s="354">
        <v>0</v>
      </c>
      <c r="M3500" s="355">
        <v>5</v>
      </c>
      <c r="N3500" s="355">
        <v>3</v>
      </c>
    </row>
    <row r="3501" spans="1:14" hidden="1" x14ac:dyDescent="0.25">
      <c r="A3501" s="354">
        <v>0</v>
      </c>
      <c r="B3501" s="354">
        <v>0</v>
      </c>
      <c r="C3501" s="354">
        <v>0</v>
      </c>
      <c r="D3501" s="354">
        <v>0</v>
      </c>
      <c r="E3501" s="354">
        <v>1</v>
      </c>
      <c r="F3501" s="354">
        <v>2</v>
      </c>
      <c r="G3501" s="354">
        <v>2</v>
      </c>
      <c r="H3501" s="354">
        <v>0</v>
      </c>
      <c r="I3501" s="354">
        <v>0</v>
      </c>
      <c r="J3501" s="354">
        <v>1</v>
      </c>
      <c r="K3501" s="354">
        <v>0</v>
      </c>
      <c r="L3501" s="354">
        <v>0</v>
      </c>
      <c r="M3501" s="355">
        <v>3</v>
      </c>
      <c r="N3501" s="355">
        <v>3</v>
      </c>
    </row>
    <row r="3502" spans="1:14" hidden="1" x14ac:dyDescent="0.25">
      <c r="A3502" s="354">
        <v>0</v>
      </c>
      <c r="B3502" s="354">
        <v>0</v>
      </c>
      <c r="C3502" s="354">
        <v>1</v>
      </c>
      <c r="D3502" s="354">
        <v>0</v>
      </c>
      <c r="E3502" s="354">
        <v>1</v>
      </c>
      <c r="F3502" s="354">
        <v>0</v>
      </c>
      <c r="G3502" s="354">
        <v>1</v>
      </c>
      <c r="H3502" s="354">
        <v>0</v>
      </c>
      <c r="I3502" s="354">
        <v>1</v>
      </c>
      <c r="J3502" s="354">
        <v>2</v>
      </c>
      <c r="K3502" s="354">
        <v>0</v>
      </c>
      <c r="L3502" s="354">
        <v>0</v>
      </c>
      <c r="M3502" s="355">
        <v>4</v>
      </c>
      <c r="N3502" s="355">
        <v>2</v>
      </c>
    </row>
    <row r="3503" spans="1:14" hidden="1" x14ac:dyDescent="0.25">
      <c r="A3503" s="354">
        <v>0</v>
      </c>
      <c r="B3503" s="354">
        <v>0</v>
      </c>
      <c r="C3503" s="354">
        <v>1</v>
      </c>
      <c r="D3503" s="354">
        <v>2</v>
      </c>
      <c r="E3503" s="354">
        <v>5</v>
      </c>
      <c r="F3503" s="354">
        <v>1</v>
      </c>
      <c r="G3503" s="354">
        <v>0</v>
      </c>
      <c r="H3503" s="354">
        <v>0</v>
      </c>
      <c r="I3503" s="354">
        <v>1</v>
      </c>
      <c r="J3503" s="354">
        <v>2</v>
      </c>
      <c r="K3503" s="354">
        <v>0</v>
      </c>
      <c r="L3503" s="354">
        <v>0</v>
      </c>
      <c r="M3503" s="355">
        <v>7</v>
      </c>
      <c r="N3503" s="355">
        <v>5</v>
      </c>
    </row>
    <row r="3504" spans="1:14" hidden="1" x14ac:dyDescent="0.25">
      <c r="A3504" s="354">
        <v>0</v>
      </c>
      <c r="B3504" s="354">
        <v>0</v>
      </c>
      <c r="C3504" s="354">
        <v>0</v>
      </c>
      <c r="D3504" s="354">
        <v>3</v>
      </c>
      <c r="E3504" s="354">
        <v>3</v>
      </c>
      <c r="F3504" s="354">
        <v>0</v>
      </c>
      <c r="G3504" s="354">
        <v>0</v>
      </c>
      <c r="H3504" s="354">
        <v>0</v>
      </c>
      <c r="I3504" s="354">
        <v>1</v>
      </c>
      <c r="J3504" s="354">
        <v>2</v>
      </c>
      <c r="K3504" s="354">
        <v>0</v>
      </c>
      <c r="L3504" s="354">
        <v>0</v>
      </c>
      <c r="M3504" s="355">
        <v>4</v>
      </c>
      <c r="N3504" s="355">
        <v>5</v>
      </c>
    </row>
    <row r="3505" spans="1:14" hidden="1" x14ac:dyDescent="0.25">
      <c r="A3505" s="354">
        <v>1</v>
      </c>
      <c r="B3505" s="354">
        <v>0</v>
      </c>
      <c r="C3505" s="354">
        <v>1</v>
      </c>
      <c r="D3505" s="354">
        <v>0</v>
      </c>
      <c r="E3505" s="354">
        <v>2</v>
      </c>
      <c r="F3505" s="354">
        <v>2</v>
      </c>
      <c r="G3505" s="354">
        <v>1</v>
      </c>
      <c r="H3505" s="354">
        <v>1</v>
      </c>
      <c r="I3505" s="354">
        <v>1</v>
      </c>
      <c r="J3505" s="354">
        <v>1</v>
      </c>
      <c r="K3505" s="354">
        <v>0</v>
      </c>
      <c r="L3505" s="354">
        <v>0</v>
      </c>
      <c r="M3505" s="355">
        <v>6</v>
      </c>
      <c r="N3505" s="355">
        <v>4</v>
      </c>
    </row>
    <row r="3506" spans="1:14" hidden="1" x14ac:dyDescent="0.25">
      <c r="A3506" s="354">
        <v>0</v>
      </c>
      <c r="B3506" s="354">
        <v>0</v>
      </c>
      <c r="C3506" s="354">
        <v>1</v>
      </c>
      <c r="D3506" s="354">
        <v>1</v>
      </c>
      <c r="E3506" s="354">
        <v>1</v>
      </c>
      <c r="F3506" s="354">
        <v>1</v>
      </c>
      <c r="G3506" s="354">
        <v>0</v>
      </c>
      <c r="H3506" s="354">
        <v>1</v>
      </c>
      <c r="I3506" s="354">
        <v>1</v>
      </c>
      <c r="J3506" s="354">
        <v>1</v>
      </c>
      <c r="K3506" s="354">
        <v>0</v>
      </c>
      <c r="L3506" s="354">
        <v>0</v>
      </c>
      <c r="M3506" s="355">
        <v>3</v>
      </c>
      <c r="N3506" s="355">
        <v>4</v>
      </c>
    </row>
    <row r="3507" spans="1:14" hidden="1" x14ac:dyDescent="0.25">
      <c r="A3507" s="354">
        <v>1</v>
      </c>
      <c r="B3507" s="354">
        <v>0</v>
      </c>
      <c r="C3507" s="354">
        <v>0</v>
      </c>
      <c r="D3507" s="354">
        <v>1</v>
      </c>
      <c r="E3507" s="354">
        <v>0</v>
      </c>
      <c r="F3507" s="354">
        <v>1</v>
      </c>
      <c r="G3507" s="354">
        <v>1</v>
      </c>
      <c r="H3507" s="354">
        <v>0</v>
      </c>
      <c r="I3507" s="354">
        <v>1</v>
      </c>
      <c r="J3507" s="354">
        <v>1</v>
      </c>
      <c r="K3507" s="354">
        <v>0</v>
      </c>
      <c r="L3507" s="354">
        <v>0</v>
      </c>
      <c r="M3507" s="355">
        <v>3</v>
      </c>
      <c r="N3507" s="355">
        <v>3</v>
      </c>
    </row>
    <row r="3508" spans="1:14" hidden="1" x14ac:dyDescent="0.25">
      <c r="A3508" s="354">
        <v>0</v>
      </c>
      <c r="B3508" s="354">
        <v>0</v>
      </c>
      <c r="C3508" s="354">
        <v>2</v>
      </c>
      <c r="D3508" s="354">
        <v>1</v>
      </c>
      <c r="E3508" s="354">
        <v>0</v>
      </c>
      <c r="F3508" s="354">
        <v>0</v>
      </c>
      <c r="G3508" s="354">
        <v>0</v>
      </c>
      <c r="H3508" s="354">
        <v>0</v>
      </c>
      <c r="I3508" s="354">
        <v>1</v>
      </c>
      <c r="J3508" s="354">
        <v>1</v>
      </c>
      <c r="K3508" s="354">
        <v>0</v>
      </c>
      <c r="L3508" s="354">
        <v>0</v>
      </c>
      <c r="M3508" s="355">
        <v>3</v>
      </c>
      <c r="N3508" s="355">
        <v>2</v>
      </c>
    </row>
    <row r="3509" spans="1:14" hidden="1" x14ac:dyDescent="0.25">
      <c r="A3509" s="354">
        <v>0</v>
      </c>
      <c r="B3509" s="354">
        <v>0</v>
      </c>
      <c r="C3509" s="354">
        <v>1</v>
      </c>
      <c r="D3509" s="354">
        <v>0</v>
      </c>
      <c r="E3509" s="354">
        <v>1</v>
      </c>
      <c r="F3509" s="354">
        <v>1</v>
      </c>
      <c r="G3509" s="354">
        <v>1</v>
      </c>
      <c r="H3509" s="354"/>
      <c r="I3509" s="354">
        <v>2</v>
      </c>
      <c r="J3509" s="354">
        <v>2</v>
      </c>
      <c r="K3509" s="354">
        <v>1</v>
      </c>
      <c r="L3509" s="354"/>
      <c r="M3509" s="355">
        <v>6</v>
      </c>
      <c r="N3509" s="355">
        <v>3</v>
      </c>
    </row>
    <row r="3510" spans="1:14" hidden="1" x14ac:dyDescent="0.25">
      <c r="A3510" s="354">
        <v>0</v>
      </c>
      <c r="B3510" s="354">
        <v>0</v>
      </c>
      <c r="C3510" s="354">
        <v>0</v>
      </c>
      <c r="D3510" s="354">
        <v>1</v>
      </c>
      <c r="E3510" s="354">
        <v>1</v>
      </c>
      <c r="F3510" s="354">
        <v>2</v>
      </c>
      <c r="G3510" s="354">
        <v>0</v>
      </c>
      <c r="H3510" s="354">
        <v>2</v>
      </c>
      <c r="I3510" s="354">
        <v>3</v>
      </c>
      <c r="J3510" s="354">
        <v>1</v>
      </c>
      <c r="K3510" s="354">
        <v>0</v>
      </c>
      <c r="L3510" s="354">
        <v>0</v>
      </c>
      <c r="M3510" s="355">
        <v>4</v>
      </c>
      <c r="N3510" s="355">
        <v>6</v>
      </c>
    </row>
    <row r="3511" spans="1:14" hidden="1" x14ac:dyDescent="0.25">
      <c r="A3511" s="354">
        <v>0</v>
      </c>
      <c r="B3511" s="354">
        <v>0</v>
      </c>
      <c r="C3511" s="354">
        <v>0</v>
      </c>
      <c r="D3511" s="354">
        <v>1</v>
      </c>
      <c r="E3511" s="354">
        <v>1</v>
      </c>
      <c r="F3511" s="354">
        <v>2</v>
      </c>
      <c r="G3511" s="354">
        <v>0</v>
      </c>
      <c r="H3511" s="354">
        <v>0</v>
      </c>
      <c r="I3511" s="354">
        <v>1</v>
      </c>
      <c r="J3511" s="354">
        <v>1</v>
      </c>
      <c r="K3511" s="354">
        <v>0</v>
      </c>
      <c r="L3511" s="354">
        <v>0</v>
      </c>
      <c r="M3511" s="355">
        <v>2</v>
      </c>
      <c r="N3511" s="355">
        <v>4</v>
      </c>
    </row>
    <row r="3512" spans="1:14" hidden="1" x14ac:dyDescent="0.25">
      <c r="A3512" s="354">
        <v>0</v>
      </c>
      <c r="B3512" s="354">
        <v>1</v>
      </c>
      <c r="C3512" s="354">
        <v>0</v>
      </c>
      <c r="D3512" s="354">
        <v>1</v>
      </c>
      <c r="E3512" s="354">
        <v>2</v>
      </c>
      <c r="F3512" s="354">
        <v>0</v>
      </c>
      <c r="G3512" s="354">
        <v>0</v>
      </c>
      <c r="H3512" s="354">
        <v>0</v>
      </c>
      <c r="I3512" s="354">
        <v>0</v>
      </c>
      <c r="J3512" s="354">
        <v>1</v>
      </c>
      <c r="K3512" s="354">
        <v>0</v>
      </c>
      <c r="L3512" s="354">
        <v>0</v>
      </c>
      <c r="M3512" s="355">
        <v>2</v>
      </c>
      <c r="N3512" s="355">
        <v>3</v>
      </c>
    </row>
    <row r="3513" spans="1:14" hidden="1" x14ac:dyDescent="0.25">
      <c r="A3513" s="354">
        <v>1</v>
      </c>
      <c r="B3513" s="354">
        <v>0</v>
      </c>
      <c r="C3513" s="354">
        <v>1</v>
      </c>
      <c r="D3513" s="354">
        <v>0</v>
      </c>
      <c r="E3513" s="354">
        <v>2</v>
      </c>
      <c r="F3513" s="354">
        <v>0</v>
      </c>
      <c r="G3513" s="354">
        <v>0</v>
      </c>
      <c r="H3513" s="354">
        <v>0</v>
      </c>
      <c r="I3513" s="354">
        <v>1</v>
      </c>
      <c r="J3513" s="354">
        <v>1</v>
      </c>
      <c r="K3513" s="354">
        <v>0</v>
      </c>
      <c r="L3513" s="354">
        <v>0</v>
      </c>
      <c r="M3513" s="355">
        <v>5</v>
      </c>
      <c r="N3513" s="355">
        <v>1</v>
      </c>
    </row>
    <row r="3514" spans="1:14" hidden="1" x14ac:dyDescent="0.25">
      <c r="A3514" s="354">
        <v>1</v>
      </c>
      <c r="B3514" s="354">
        <v>0</v>
      </c>
      <c r="C3514" s="354">
        <v>0</v>
      </c>
      <c r="D3514" s="354">
        <v>1</v>
      </c>
      <c r="E3514" s="354">
        <v>2</v>
      </c>
      <c r="F3514" s="354">
        <v>0</v>
      </c>
      <c r="G3514" s="354">
        <v>1</v>
      </c>
      <c r="H3514" s="354">
        <v>0</v>
      </c>
      <c r="I3514" s="354">
        <v>1</v>
      </c>
      <c r="J3514" s="354">
        <v>1</v>
      </c>
      <c r="K3514" s="354">
        <v>0</v>
      </c>
      <c r="L3514" s="354">
        <v>0</v>
      </c>
      <c r="M3514" s="355">
        <v>5</v>
      </c>
      <c r="N3514" s="355">
        <v>2</v>
      </c>
    </row>
    <row r="3515" spans="1:14" hidden="1" x14ac:dyDescent="0.25">
      <c r="A3515" s="354">
        <v>1</v>
      </c>
      <c r="B3515" s="354">
        <v>0</v>
      </c>
      <c r="C3515" s="354">
        <v>0</v>
      </c>
      <c r="D3515" s="354">
        <v>0</v>
      </c>
      <c r="E3515" s="354">
        <v>1</v>
      </c>
      <c r="F3515" s="354">
        <v>2</v>
      </c>
      <c r="G3515" s="354">
        <v>1</v>
      </c>
      <c r="H3515" s="354">
        <v>1</v>
      </c>
      <c r="I3515" s="354">
        <v>1</v>
      </c>
      <c r="J3515" s="354">
        <v>1</v>
      </c>
      <c r="K3515" s="354">
        <v>0</v>
      </c>
      <c r="L3515" s="354">
        <v>0</v>
      </c>
      <c r="M3515" s="355">
        <v>4</v>
      </c>
      <c r="N3515" s="355">
        <v>4</v>
      </c>
    </row>
    <row r="3516" spans="1:14" hidden="1" x14ac:dyDescent="0.25">
      <c r="A3516" s="354">
        <v>0</v>
      </c>
      <c r="B3516" s="354">
        <v>0</v>
      </c>
      <c r="C3516" s="354">
        <v>1</v>
      </c>
      <c r="D3516" s="354">
        <v>0</v>
      </c>
      <c r="E3516" s="354">
        <v>1</v>
      </c>
      <c r="F3516" s="354">
        <v>2</v>
      </c>
      <c r="G3516" s="354">
        <v>2</v>
      </c>
      <c r="H3516" s="354">
        <v>3</v>
      </c>
      <c r="I3516" s="354">
        <v>1</v>
      </c>
      <c r="J3516" s="354">
        <v>1</v>
      </c>
      <c r="K3516" s="354">
        <v>0</v>
      </c>
      <c r="L3516" s="354">
        <v>0</v>
      </c>
      <c r="M3516" s="355">
        <v>5</v>
      </c>
      <c r="N3516" s="355">
        <v>6</v>
      </c>
    </row>
    <row r="3517" spans="1:14" hidden="1" x14ac:dyDescent="0.25">
      <c r="A3517" s="354">
        <v>0</v>
      </c>
      <c r="B3517" s="354">
        <v>0</v>
      </c>
      <c r="C3517" s="354">
        <v>0</v>
      </c>
      <c r="D3517" s="354">
        <v>0</v>
      </c>
      <c r="E3517" s="354">
        <v>2</v>
      </c>
      <c r="F3517" s="354">
        <v>1</v>
      </c>
      <c r="G3517" s="354">
        <v>0</v>
      </c>
      <c r="H3517" s="354">
        <v>2</v>
      </c>
      <c r="I3517" s="354">
        <v>0</v>
      </c>
      <c r="J3517" s="354">
        <v>1</v>
      </c>
      <c r="K3517" s="354">
        <v>0</v>
      </c>
      <c r="L3517" s="354">
        <v>0</v>
      </c>
      <c r="M3517" s="355">
        <v>2</v>
      </c>
      <c r="N3517" s="355">
        <v>4</v>
      </c>
    </row>
    <row r="3518" spans="1:14" hidden="1" x14ac:dyDescent="0.25">
      <c r="A3518" s="354">
        <v>0</v>
      </c>
      <c r="B3518" s="354">
        <v>0</v>
      </c>
      <c r="C3518" s="354">
        <v>0</v>
      </c>
      <c r="D3518" s="354">
        <v>5</v>
      </c>
      <c r="E3518" s="354">
        <v>2</v>
      </c>
      <c r="F3518" s="354">
        <v>0</v>
      </c>
      <c r="G3518" s="354">
        <v>2</v>
      </c>
      <c r="H3518" s="354">
        <v>0</v>
      </c>
      <c r="I3518" s="354">
        <v>1</v>
      </c>
      <c r="J3518" s="354">
        <v>2</v>
      </c>
      <c r="K3518" s="354">
        <v>0</v>
      </c>
      <c r="L3518" s="354">
        <v>0</v>
      </c>
      <c r="M3518" s="355">
        <v>5</v>
      </c>
      <c r="N3518" s="355">
        <v>7</v>
      </c>
    </row>
    <row r="3519" spans="1:14" hidden="1" x14ac:dyDescent="0.25">
      <c r="A3519" s="354">
        <v>0</v>
      </c>
      <c r="B3519" s="354">
        <v>0</v>
      </c>
      <c r="C3519" s="354">
        <v>0</v>
      </c>
      <c r="D3519" s="354">
        <v>0</v>
      </c>
      <c r="E3519" s="354">
        <v>0</v>
      </c>
      <c r="F3519" s="354">
        <v>0</v>
      </c>
      <c r="G3519" s="354">
        <v>0</v>
      </c>
      <c r="H3519" s="354">
        <v>0</v>
      </c>
      <c r="I3519" s="354">
        <v>1</v>
      </c>
      <c r="J3519" s="354">
        <v>2</v>
      </c>
      <c r="K3519" s="354">
        <v>0</v>
      </c>
      <c r="L3519" s="354">
        <v>1</v>
      </c>
      <c r="M3519" s="355">
        <v>1</v>
      </c>
      <c r="N3519" s="355">
        <v>3</v>
      </c>
    </row>
    <row r="3520" spans="1:14" hidden="1" x14ac:dyDescent="0.25">
      <c r="A3520" s="354">
        <v>0</v>
      </c>
      <c r="B3520" s="354">
        <v>0</v>
      </c>
      <c r="C3520" s="354">
        <v>0</v>
      </c>
      <c r="D3520" s="354">
        <v>1</v>
      </c>
      <c r="E3520" s="354">
        <v>0</v>
      </c>
      <c r="F3520" s="354">
        <v>2</v>
      </c>
      <c r="G3520" s="354">
        <v>2</v>
      </c>
      <c r="H3520" s="354">
        <v>0</v>
      </c>
      <c r="I3520" s="354">
        <v>1</v>
      </c>
      <c r="J3520" s="354">
        <v>1</v>
      </c>
      <c r="K3520" s="354">
        <v>0</v>
      </c>
      <c r="L3520" s="354">
        <v>0</v>
      </c>
      <c r="M3520" s="355">
        <v>3</v>
      </c>
      <c r="N3520" s="355">
        <v>4</v>
      </c>
    </row>
    <row r="3521" spans="1:14" hidden="1" x14ac:dyDescent="0.25">
      <c r="A3521" s="354">
        <v>0</v>
      </c>
      <c r="B3521" s="354">
        <v>0</v>
      </c>
      <c r="C3521" s="354">
        <v>0</v>
      </c>
      <c r="D3521" s="354">
        <v>0</v>
      </c>
      <c r="E3521" s="354">
        <v>0</v>
      </c>
      <c r="F3521" s="354">
        <v>2</v>
      </c>
      <c r="G3521" s="354">
        <v>0</v>
      </c>
      <c r="H3521" s="354">
        <v>0</v>
      </c>
      <c r="I3521" s="354">
        <v>0</v>
      </c>
      <c r="J3521" s="354">
        <v>1</v>
      </c>
      <c r="K3521" s="354">
        <v>0</v>
      </c>
      <c r="L3521" s="354">
        <v>0</v>
      </c>
      <c r="M3521" s="355">
        <v>0</v>
      </c>
      <c r="N3521" s="355">
        <v>3</v>
      </c>
    </row>
    <row r="3522" spans="1:14" hidden="1" x14ac:dyDescent="0.25">
      <c r="A3522" s="354">
        <v>0</v>
      </c>
      <c r="B3522" s="354">
        <v>0</v>
      </c>
      <c r="C3522" s="354">
        <v>0</v>
      </c>
      <c r="D3522" s="354">
        <v>1</v>
      </c>
      <c r="E3522" s="354">
        <v>1</v>
      </c>
      <c r="F3522" s="354">
        <v>0</v>
      </c>
      <c r="G3522" s="354">
        <v>0</v>
      </c>
      <c r="H3522" s="354">
        <v>1</v>
      </c>
      <c r="I3522" s="354">
        <v>1</v>
      </c>
      <c r="J3522" s="354">
        <v>1</v>
      </c>
      <c r="K3522" s="354">
        <v>0</v>
      </c>
      <c r="L3522" s="354">
        <v>0</v>
      </c>
      <c r="M3522" s="355">
        <v>2</v>
      </c>
      <c r="N3522" s="355">
        <v>3</v>
      </c>
    </row>
    <row r="3523" spans="1:14" hidden="1" x14ac:dyDescent="0.25">
      <c r="A3523" s="354">
        <v>0</v>
      </c>
      <c r="B3523" s="354">
        <v>0</v>
      </c>
      <c r="C3523" s="354">
        <v>0</v>
      </c>
      <c r="D3523" s="354">
        <v>0</v>
      </c>
      <c r="E3523" s="354">
        <v>2</v>
      </c>
      <c r="F3523" s="354">
        <v>0</v>
      </c>
      <c r="G3523" s="354">
        <v>0</v>
      </c>
      <c r="H3523" s="354">
        <v>0</v>
      </c>
      <c r="I3523" s="354">
        <v>2</v>
      </c>
      <c r="J3523" s="354">
        <v>1</v>
      </c>
      <c r="K3523" s="354">
        <v>0</v>
      </c>
      <c r="L3523" s="354">
        <v>0</v>
      </c>
      <c r="M3523" s="355">
        <v>4</v>
      </c>
      <c r="N3523" s="355">
        <v>1</v>
      </c>
    </row>
    <row r="3524" spans="1:14" hidden="1" x14ac:dyDescent="0.25">
      <c r="A3524" s="354">
        <v>1</v>
      </c>
      <c r="B3524" s="354">
        <v>0</v>
      </c>
      <c r="C3524" s="354">
        <v>0</v>
      </c>
      <c r="D3524" s="354">
        <v>1</v>
      </c>
      <c r="E3524" s="354">
        <v>2</v>
      </c>
      <c r="F3524" s="354">
        <v>0</v>
      </c>
      <c r="G3524" s="354">
        <v>0</v>
      </c>
      <c r="H3524" s="354">
        <v>0</v>
      </c>
      <c r="I3524" s="354">
        <v>0</v>
      </c>
      <c r="J3524" s="354">
        <v>1</v>
      </c>
      <c r="K3524" s="354">
        <v>0</v>
      </c>
      <c r="L3524" s="354">
        <v>0</v>
      </c>
      <c r="M3524" s="355">
        <v>3</v>
      </c>
      <c r="N3524" s="355">
        <v>2</v>
      </c>
    </row>
    <row r="3525" spans="1:14" hidden="1" x14ac:dyDescent="0.25">
      <c r="A3525" s="354">
        <v>0</v>
      </c>
      <c r="B3525" s="354">
        <v>0</v>
      </c>
      <c r="C3525" s="354">
        <v>1</v>
      </c>
      <c r="D3525" s="354">
        <v>0</v>
      </c>
      <c r="E3525" s="354">
        <v>0</v>
      </c>
      <c r="F3525" s="354">
        <v>0</v>
      </c>
      <c r="G3525" s="354">
        <v>2</v>
      </c>
      <c r="H3525" s="354">
        <v>2</v>
      </c>
      <c r="I3525" s="354">
        <v>3</v>
      </c>
      <c r="J3525" s="354">
        <v>3</v>
      </c>
      <c r="K3525" s="354">
        <v>0</v>
      </c>
      <c r="L3525" s="354">
        <v>0</v>
      </c>
      <c r="M3525" s="355">
        <v>6</v>
      </c>
      <c r="N3525" s="355">
        <v>5</v>
      </c>
    </row>
    <row r="3526" spans="1:14" hidden="1" x14ac:dyDescent="0.25">
      <c r="A3526" s="354">
        <v>3</v>
      </c>
      <c r="B3526" s="354">
        <v>1</v>
      </c>
      <c r="C3526" s="354">
        <v>2</v>
      </c>
      <c r="D3526" s="354">
        <v>0</v>
      </c>
      <c r="E3526" s="354">
        <v>2</v>
      </c>
      <c r="F3526" s="354">
        <v>1</v>
      </c>
      <c r="G3526" s="354">
        <v>4</v>
      </c>
      <c r="H3526" s="354">
        <v>2</v>
      </c>
      <c r="I3526" s="354">
        <v>2</v>
      </c>
      <c r="J3526" s="354">
        <v>3</v>
      </c>
      <c r="K3526" s="354">
        <v>0</v>
      </c>
      <c r="L3526" s="354">
        <v>0</v>
      </c>
      <c r="M3526" s="355">
        <v>13</v>
      </c>
      <c r="N3526" s="355">
        <v>7</v>
      </c>
    </row>
    <row r="3527" spans="1:14" hidden="1" x14ac:dyDescent="0.25">
      <c r="A3527" s="354">
        <v>0</v>
      </c>
      <c r="B3527" s="354">
        <v>0</v>
      </c>
      <c r="C3527" s="354">
        <v>0</v>
      </c>
      <c r="D3527" s="354">
        <v>0</v>
      </c>
      <c r="E3527" s="354">
        <v>1</v>
      </c>
      <c r="F3527" s="354">
        <v>0</v>
      </c>
      <c r="G3527" s="354">
        <v>2</v>
      </c>
      <c r="H3527" s="354">
        <v>1</v>
      </c>
      <c r="I3527" s="354">
        <v>1</v>
      </c>
      <c r="J3527" s="354">
        <v>2</v>
      </c>
      <c r="K3527" s="354">
        <v>1</v>
      </c>
      <c r="L3527" s="354">
        <v>0</v>
      </c>
      <c r="M3527" s="355">
        <v>5</v>
      </c>
      <c r="N3527" s="355">
        <v>3</v>
      </c>
    </row>
    <row r="3528" spans="1:14" hidden="1" x14ac:dyDescent="0.25">
      <c r="A3528" s="354">
        <v>0</v>
      </c>
      <c r="B3528" s="354">
        <v>0</v>
      </c>
      <c r="C3528" s="354">
        <v>1</v>
      </c>
      <c r="D3528" s="354">
        <v>0</v>
      </c>
      <c r="E3528" s="354">
        <v>1</v>
      </c>
      <c r="F3528" s="354">
        <v>1</v>
      </c>
      <c r="G3528" s="354">
        <v>0</v>
      </c>
      <c r="H3528" s="354">
        <v>0</v>
      </c>
      <c r="I3528" s="354">
        <v>1</v>
      </c>
      <c r="J3528" s="354">
        <v>1</v>
      </c>
      <c r="K3528" s="354"/>
      <c r="L3528" s="354">
        <v>0</v>
      </c>
      <c r="M3528" s="355">
        <v>3</v>
      </c>
      <c r="N3528" s="355">
        <v>2</v>
      </c>
    </row>
    <row r="3529" spans="1:14" hidden="1" x14ac:dyDescent="0.25">
      <c r="A3529" s="354">
        <v>0</v>
      </c>
      <c r="B3529" s="354">
        <v>0</v>
      </c>
      <c r="C3529" s="354">
        <v>0</v>
      </c>
      <c r="D3529" s="354">
        <v>0</v>
      </c>
      <c r="E3529" s="354">
        <v>0</v>
      </c>
      <c r="F3529" s="354">
        <v>0</v>
      </c>
      <c r="G3529" s="354"/>
      <c r="H3529" s="354">
        <v>0</v>
      </c>
      <c r="I3529" s="354">
        <v>0</v>
      </c>
      <c r="J3529" s="354">
        <v>0</v>
      </c>
      <c r="K3529" s="354">
        <v>0</v>
      </c>
      <c r="L3529" s="354">
        <v>1</v>
      </c>
      <c r="M3529" s="355">
        <v>0</v>
      </c>
      <c r="N3529" s="355">
        <v>1</v>
      </c>
    </row>
    <row r="3530" spans="1:14" hidden="1" x14ac:dyDescent="0.25">
      <c r="A3530" s="354">
        <v>1</v>
      </c>
      <c r="B3530" s="354">
        <v>0</v>
      </c>
      <c r="C3530" s="354">
        <v>1</v>
      </c>
      <c r="D3530" s="354">
        <v>0</v>
      </c>
      <c r="E3530" s="354">
        <v>0</v>
      </c>
      <c r="F3530" s="354">
        <v>1</v>
      </c>
      <c r="G3530" s="354">
        <v>1</v>
      </c>
      <c r="H3530" s="354">
        <v>0</v>
      </c>
      <c r="I3530" s="354">
        <v>1</v>
      </c>
      <c r="J3530" s="354">
        <v>2</v>
      </c>
      <c r="K3530" s="354">
        <v>0</v>
      </c>
      <c r="L3530" s="354">
        <v>0</v>
      </c>
      <c r="M3530" s="355">
        <v>4</v>
      </c>
      <c r="N3530" s="355">
        <v>3</v>
      </c>
    </row>
    <row r="3531" spans="1:14" hidden="1" x14ac:dyDescent="0.25">
      <c r="A3531" s="354">
        <v>1</v>
      </c>
      <c r="B3531" s="354">
        <v>0</v>
      </c>
      <c r="C3531" s="354">
        <v>1</v>
      </c>
      <c r="D3531" s="354">
        <v>0</v>
      </c>
      <c r="E3531" s="354"/>
      <c r="F3531" s="354">
        <v>2</v>
      </c>
      <c r="G3531" s="354">
        <v>0</v>
      </c>
      <c r="H3531" s="354">
        <v>0</v>
      </c>
      <c r="I3531" s="354">
        <v>1</v>
      </c>
      <c r="J3531" s="354">
        <v>1</v>
      </c>
      <c r="K3531" s="354">
        <v>0</v>
      </c>
      <c r="L3531" s="354">
        <v>0</v>
      </c>
      <c r="M3531" s="355">
        <v>3</v>
      </c>
      <c r="N3531" s="355">
        <v>3</v>
      </c>
    </row>
    <row r="3532" spans="1:14" hidden="1" x14ac:dyDescent="0.25">
      <c r="A3532" s="354">
        <v>0</v>
      </c>
      <c r="B3532" s="354">
        <v>2</v>
      </c>
      <c r="C3532" s="354">
        <v>1</v>
      </c>
      <c r="D3532" s="354">
        <v>0</v>
      </c>
      <c r="E3532" s="354">
        <v>1</v>
      </c>
      <c r="F3532" s="354">
        <v>1</v>
      </c>
      <c r="G3532" s="354">
        <v>0</v>
      </c>
      <c r="H3532" s="354">
        <v>0</v>
      </c>
      <c r="I3532" s="354">
        <v>1</v>
      </c>
      <c r="J3532" s="354">
        <v>2</v>
      </c>
      <c r="K3532" s="354">
        <v>0</v>
      </c>
      <c r="L3532" s="354">
        <v>0</v>
      </c>
      <c r="M3532" s="355">
        <v>3</v>
      </c>
      <c r="N3532" s="355">
        <v>5</v>
      </c>
    </row>
    <row r="3533" spans="1:14" hidden="1" x14ac:dyDescent="0.25">
      <c r="A3533" s="354">
        <v>0</v>
      </c>
      <c r="B3533" s="354">
        <v>0</v>
      </c>
      <c r="C3533" s="354">
        <v>2</v>
      </c>
      <c r="D3533" s="354">
        <v>3</v>
      </c>
      <c r="E3533" s="354">
        <v>2</v>
      </c>
      <c r="F3533" s="354">
        <v>0</v>
      </c>
      <c r="G3533" s="354">
        <v>1</v>
      </c>
      <c r="H3533" s="354">
        <v>1</v>
      </c>
      <c r="I3533" s="354">
        <v>1</v>
      </c>
      <c r="J3533" s="354">
        <v>1</v>
      </c>
      <c r="K3533" s="354">
        <v>0</v>
      </c>
      <c r="L3533" s="354">
        <v>0</v>
      </c>
      <c r="M3533" s="355">
        <v>6</v>
      </c>
      <c r="N3533" s="355">
        <v>5</v>
      </c>
    </row>
    <row r="3534" spans="1:14" hidden="1" x14ac:dyDescent="0.25">
      <c r="A3534" s="354">
        <v>0</v>
      </c>
      <c r="B3534" s="354">
        <v>0</v>
      </c>
      <c r="C3534" s="354">
        <v>0</v>
      </c>
      <c r="D3534" s="354">
        <v>0</v>
      </c>
      <c r="E3534" s="354">
        <v>0</v>
      </c>
      <c r="F3534" s="354">
        <v>0</v>
      </c>
      <c r="G3534" s="354">
        <v>0</v>
      </c>
      <c r="H3534" s="354">
        <v>0</v>
      </c>
      <c r="I3534" s="354">
        <v>0</v>
      </c>
      <c r="J3534" s="354">
        <v>1</v>
      </c>
      <c r="K3534" s="354">
        <v>2</v>
      </c>
      <c r="L3534" s="354">
        <v>0</v>
      </c>
      <c r="M3534" s="355">
        <v>2</v>
      </c>
      <c r="N3534" s="355">
        <v>1</v>
      </c>
    </row>
    <row r="3535" spans="1:14" hidden="1" x14ac:dyDescent="0.25">
      <c r="A3535" s="354">
        <v>0</v>
      </c>
      <c r="B3535" s="354">
        <v>0</v>
      </c>
      <c r="C3535" s="354">
        <v>1</v>
      </c>
      <c r="D3535" s="354">
        <v>3</v>
      </c>
      <c r="E3535" s="354">
        <v>0</v>
      </c>
      <c r="F3535" s="354">
        <v>1</v>
      </c>
      <c r="G3535" s="354">
        <v>2</v>
      </c>
      <c r="H3535" s="354">
        <v>0</v>
      </c>
      <c r="I3535" s="354">
        <v>0</v>
      </c>
      <c r="J3535" s="354">
        <v>1</v>
      </c>
      <c r="K3535" s="354">
        <v>0</v>
      </c>
      <c r="L3535" s="354">
        <v>0</v>
      </c>
      <c r="M3535" s="355">
        <v>3</v>
      </c>
      <c r="N3535" s="355">
        <v>5</v>
      </c>
    </row>
    <row r="3536" spans="1:14" hidden="1" x14ac:dyDescent="0.25">
      <c r="A3536" s="354">
        <v>0</v>
      </c>
      <c r="B3536" s="354">
        <v>0</v>
      </c>
      <c r="C3536" s="354">
        <v>0</v>
      </c>
      <c r="D3536" s="354">
        <v>1</v>
      </c>
      <c r="E3536" s="354">
        <v>2</v>
      </c>
      <c r="F3536" s="354">
        <v>0</v>
      </c>
      <c r="G3536" s="354">
        <v>0</v>
      </c>
      <c r="H3536" s="354">
        <v>1</v>
      </c>
      <c r="I3536" s="354">
        <v>1</v>
      </c>
      <c r="J3536" s="354">
        <v>2</v>
      </c>
      <c r="K3536" s="354">
        <v>0</v>
      </c>
      <c r="L3536" s="354">
        <v>0</v>
      </c>
      <c r="M3536" s="355">
        <v>3</v>
      </c>
      <c r="N3536" s="355">
        <v>4</v>
      </c>
    </row>
    <row r="3537" spans="1:14" hidden="1" x14ac:dyDescent="0.25">
      <c r="A3537" s="354">
        <v>0</v>
      </c>
      <c r="B3537" s="354">
        <v>0</v>
      </c>
      <c r="C3537" s="354">
        <v>0</v>
      </c>
      <c r="D3537" s="354">
        <v>0</v>
      </c>
      <c r="E3537" s="354">
        <v>1</v>
      </c>
      <c r="F3537" s="354">
        <v>2</v>
      </c>
      <c r="G3537" s="354">
        <v>0</v>
      </c>
      <c r="H3537" s="354">
        <v>1</v>
      </c>
      <c r="I3537" s="354">
        <v>1</v>
      </c>
      <c r="J3537" s="354">
        <v>1</v>
      </c>
      <c r="K3537" s="354">
        <v>0</v>
      </c>
      <c r="L3537" s="354">
        <v>0</v>
      </c>
      <c r="M3537" s="355">
        <v>2</v>
      </c>
      <c r="N3537" s="355">
        <v>4</v>
      </c>
    </row>
    <row r="3538" spans="1:14" hidden="1" x14ac:dyDescent="0.25">
      <c r="A3538" s="354">
        <v>0</v>
      </c>
      <c r="B3538" s="354">
        <v>0</v>
      </c>
      <c r="C3538" s="354">
        <v>1</v>
      </c>
      <c r="D3538" s="354">
        <v>0</v>
      </c>
      <c r="E3538" s="354">
        <v>1</v>
      </c>
      <c r="F3538" s="354">
        <v>1</v>
      </c>
      <c r="G3538" s="354">
        <v>0</v>
      </c>
      <c r="H3538" s="354">
        <v>1</v>
      </c>
      <c r="I3538" s="354">
        <v>1</v>
      </c>
      <c r="J3538" s="354">
        <v>2</v>
      </c>
      <c r="K3538" s="354">
        <v>0</v>
      </c>
      <c r="L3538" s="354">
        <v>0</v>
      </c>
      <c r="M3538" s="355">
        <v>3</v>
      </c>
      <c r="N3538" s="355">
        <v>4</v>
      </c>
    </row>
    <row r="3539" spans="1:14" hidden="1" x14ac:dyDescent="0.25">
      <c r="A3539" s="354">
        <v>0</v>
      </c>
      <c r="B3539" s="354">
        <v>0</v>
      </c>
      <c r="C3539" s="354">
        <v>0</v>
      </c>
      <c r="D3539" s="354">
        <v>0</v>
      </c>
      <c r="E3539" s="354">
        <v>0</v>
      </c>
      <c r="F3539" s="354">
        <v>0</v>
      </c>
      <c r="G3539" s="354">
        <v>0</v>
      </c>
      <c r="H3539" s="354">
        <v>0</v>
      </c>
      <c r="I3539" s="354">
        <v>1</v>
      </c>
      <c r="J3539" s="354">
        <v>1</v>
      </c>
      <c r="K3539" s="354">
        <v>2</v>
      </c>
      <c r="L3539" s="354">
        <v>1</v>
      </c>
      <c r="M3539" s="355">
        <v>3</v>
      </c>
      <c r="N3539" s="355">
        <v>2</v>
      </c>
    </row>
    <row r="3540" spans="1:14" hidden="1" x14ac:dyDescent="0.25">
      <c r="A3540" s="354">
        <v>1</v>
      </c>
      <c r="B3540" s="354">
        <v>1</v>
      </c>
      <c r="C3540" s="354">
        <v>0</v>
      </c>
      <c r="D3540" s="354">
        <v>2</v>
      </c>
      <c r="E3540" s="354">
        <v>1</v>
      </c>
      <c r="F3540" s="354">
        <v>1</v>
      </c>
      <c r="G3540" s="354">
        <v>2</v>
      </c>
      <c r="H3540" s="354">
        <v>0</v>
      </c>
      <c r="I3540" s="354">
        <v>1</v>
      </c>
      <c r="J3540" s="354">
        <v>2</v>
      </c>
      <c r="K3540" s="354">
        <v>0</v>
      </c>
      <c r="L3540" s="354">
        <v>0</v>
      </c>
      <c r="M3540" s="355">
        <v>5</v>
      </c>
      <c r="N3540" s="355">
        <v>6</v>
      </c>
    </row>
    <row r="3541" spans="1:14" hidden="1" x14ac:dyDescent="0.25">
      <c r="A3541" s="354">
        <v>1</v>
      </c>
      <c r="B3541" s="354">
        <v>2</v>
      </c>
      <c r="C3541" s="354">
        <v>0</v>
      </c>
      <c r="D3541" s="354">
        <v>1</v>
      </c>
      <c r="E3541" s="354">
        <v>0</v>
      </c>
      <c r="F3541" s="354">
        <v>1</v>
      </c>
      <c r="G3541" s="354">
        <v>0</v>
      </c>
      <c r="H3541" s="354">
        <v>0</v>
      </c>
      <c r="I3541" s="354">
        <v>2</v>
      </c>
      <c r="J3541" s="354">
        <v>1</v>
      </c>
      <c r="K3541" s="354">
        <v>1</v>
      </c>
      <c r="L3541" s="354">
        <v>2</v>
      </c>
      <c r="M3541" s="355">
        <v>4</v>
      </c>
      <c r="N3541" s="355">
        <v>7</v>
      </c>
    </row>
    <row r="3542" spans="1:14" hidden="1" x14ac:dyDescent="0.25">
      <c r="A3542" s="354">
        <v>0</v>
      </c>
      <c r="B3542" s="354">
        <v>0</v>
      </c>
      <c r="C3542" s="354">
        <v>0</v>
      </c>
      <c r="D3542" s="354">
        <v>0</v>
      </c>
      <c r="E3542" s="354">
        <v>1</v>
      </c>
      <c r="F3542" s="354">
        <v>1</v>
      </c>
      <c r="G3542" s="354">
        <v>0</v>
      </c>
      <c r="H3542" s="354">
        <v>1</v>
      </c>
      <c r="I3542" s="354">
        <v>1</v>
      </c>
      <c r="J3542" s="354">
        <v>1</v>
      </c>
      <c r="K3542" s="354">
        <v>0</v>
      </c>
      <c r="L3542" s="354">
        <v>0</v>
      </c>
      <c r="M3542" s="355">
        <v>2</v>
      </c>
      <c r="N3542" s="355">
        <v>3</v>
      </c>
    </row>
    <row r="3543" spans="1:14" hidden="1" x14ac:dyDescent="0.25">
      <c r="A3543" s="354">
        <v>0</v>
      </c>
      <c r="B3543" s="354">
        <v>0</v>
      </c>
      <c r="C3543" s="354">
        <v>1</v>
      </c>
      <c r="D3543" s="354">
        <v>0</v>
      </c>
      <c r="E3543" s="354">
        <v>2</v>
      </c>
      <c r="F3543" s="354">
        <v>1</v>
      </c>
      <c r="G3543" s="354">
        <v>0</v>
      </c>
      <c r="H3543" s="354">
        <v>1</v>
      </c>
      <c r="I3543" s="354">
        <v>1</v>
      </c>
      <c r="J3543" s="354">
        <v>2</v>
      </c>
      <c r="K3543" s="354">
        <v>0</v>
      </c>
      <c r="L3543" s="354">
        <v>0</v>
      </c>
      <c r="M3543" s="355">
        <v>4</v>
      </c>
      <c r="N3543" s="355">
        <v>4</v>
      </c>
    </row>
    <row r="3544" spans="1:14" hidden="1" x14ac:dyDescent="0.25">
      <c r="A3544" s="354">
        <v>1</v>
      </c>
      <c r="B3544" s="354">
        <v>0</v>
      </c>
      <c r="C3544" s="354">
        <v>0</v>
      </c>
      <c r="D3544" s="354">
        <v>1</v>
      </c>
      <c r="E3544" s="354">
        <v>0</v>
      </c>
      <c r="F3544" s="354">
        <v>0</v>
      </c>
      <c r="G3544" s="354">
        <v>0</v>
      </c>
      <c r="H3544" s="354">
        <v>0</v>
      </c>
      <c r="I3544" s="354">
        <v>1</v>
      </c>
      <c r="J3544" s="354">
        <v>1</v>
      </c>
      <c r="K3544" s="354">
        <v>0</v>
      </c>
      <c r="L3544" s="354">
        <v>0</v>
      </c>
      <c r="M3544" s="355">
        <v>2</v>
      </c>
      <c r="N3544" s="355">
        <v>2</v>
      </c>
    </row>
    <row r="3545" spans="1:14" hidden="1" x14ac:dyDescent="0.25">
      <c r="A3545" s="354">
        <v>1</v>
      </c>
      <c r="B3545" s="354">
        <v>0</v>
      </c>
      <c r="C3545" s="354">
        <v>0</v>
      </c>
      <c r="D3545" s="354">
        <v>1</v>
      </c>
      <c r="E3545" s="354">
        <v>1</v>
      </c>
      <c r="F3545" s="354">
        <v>1</v>
      </c>
      <c r="G3545" s="354">
        <v>0</v>
      </c>
      <c r="H3545" s="354">
        <v>0</v>
      </c>
      <c r="I3545" s="354">
        <v>1</v>
      </c>
      <c r="J3545" s="354">
        <v>1</v>
      </c>
      <c r="K3545" s="354">
        <v>0</v>
      </c>
      <c r="L3545" s="354">
        <v>0</v>
      </c>
      <c r="M3545" s="355">
        <v>3</v>
      </c>
      <c r="N3545" s="355">
        <v>3</v>
      </c>
    </row>
    <row r="3546" spans="1:14" hidden="1" x14ac:dyDescent="0.25">
      <c r="A3546" s="354">
        <v>0</v>
      </c>
      <c r="B3546" s="354">
        <v>1</v>
      </c>
      <c r="C3546" s="354">
        <v>2</v>
      </c>
      <c r="D3546" s="354">
        <v>0</v>
      </c>
      <c r="E3546" s="354">
        <v>1</v>
      </c>
      <c r="F3546" s="354">
        <v>2</v>
      </c>
      <c r="G3546" s="354">
        <v>0</v>
      </c>
      <c r="H3546" s="354">
        <v>0</v>
      </c>
      <c r="I3546" s="354">
        <v>1</v>
      </c>
      <c r="J3546" s="354">
        <v>2</v>
      </c>
      <c r="K3546" s="354">
        <v>0</v>
      </c>
      <c r="L3546" s="354">
        <v>0</v>
      </c>
      <c r="M3546" s="355">
        <v>4</v>
      </c>
      <c r="N3546" s="355">
        <v>5</v>
      </c>
    </row>
    <row r="3547" spans="1:14" hidden="1" x14ac:dyDescent="0.25">
      <c r="A3547" s="354">
        <v>1</v>
      </c>
      <c r="B3547" s="354">
        <v>0</v>
      </c>
      <c r="C3547" s="354">
        <v>0</v>
      </c>
      <c r="D3547" s="354">
        <v>1</v>
      </c>
      <c r="E3547" s="354">
        <v>1</v>
      </c>
      <c r="F3547" s="354">
        <v>1</v>
      </c>
      <c r="G3547" s="354">
        <v>0</v>
      </c>
      <c r="H3547" s="354">
        <v>0</v>
      </c>
      <c r="I3547" s="354">
        <v>1</v>
      </c>
      <c r="J3547" s="354">
        <v>1</v>
      </c>
      <c r="K3547" s="354">
        <v>0</v>
      </c>
      <c r="L3547" s="354">
        <v>0</v>
      </c>
      <c r="M3547" s="355">
        <v>3</v>
      </c>
      <c r="N3547" s="355">
        <v>3</v>
      </c>
    </row>
    <row r="3548" spans="1:14" hidden="1" x14ac:dyDescent="0.25">
      <c r="A3548" s="354">
        <v>0</v>
      </c>
      <c r="B3548" s="354">
        <v>0</v>
      </c>
      <c r="C3548" s="354">
        <v>2</v>
      </c>
      <c r="D3548" s="354">
        <v>1</v>
      </c>
      <c r="E3548" s="354">
        <v>1</v>
      </c>
      <c r="F3548" s="354">
        <v>1</v>
      </c>
      <c r="G3548" s="354">
        <v>0</v>
      </c>
      <c r="H3548" s="354">
        <v>1</v>
      </c>
      <c r="I3548" s="354">
        <v>1</v>
      </c>
      <c r="J3548" s="354">
        <v>2</v>
      </c>
      <c r="K3548" s="354">
        <v>0</v>
      </c>
      <c r="L3548" s="354">
        <v>0</v>
      </c>
      <c r="M3548" s="355">
        <v>4</v>
      </c>
      <c r="N3548" s="355">
        <v>5</v>
      </c>
    </row>
    <row r="3549" spans="1:14" hidden="1" x14ac:dyDescent="0.25">
      <c r="A3549" s="354">
        <v>0</v>
      </c>
      <c r="B3549" s="354">
        <v>1</v>
      </c>
      <c r="C3549" s="354">
        <v>0</v>
      </c>
      <c r="D3549" s="354">
        <v>1</v>
      </c>
      <c r="E3549" s="354">
        <v>0</v>
      </c>
      <c r="F3549" s="354">
        <v>0</v>
      </c>
      <c r="G3549" s="354">
        <v>0</v>
      </c>
      <c r="H3549" s="354">
        <v>0</v>
      </c>
      <c r="I3549" s="354">
        <v>1</v>
      </c>
      <c r="J3549" s="354">
        <v>1</v>
      </c>
      <c r="K3549" s="354">
        <v>0</v>
      </c>
      <c r="L3549" s="354">
        <v>0</v>
      </c>
      <c r="M3549" s="355">
        <v>1</v>
      </c>
      <c r="N3549" s="355">
        <v>3</v>
      </c>
    </row>
    <row r="3550" spans="1:14" hidden="1" x14ac:dyDescent="0.25">
      <c r="A3550" s="354">
        <v>0</v>
      </c>
      <c r="B3550" s="354">
        <v>0</v>
      </c>
      <c r="C3550" s="354">
        <v>1</v>
      </c>
      <c r="D3550" s="354">
        <v>1</v>
      </c>
      <c r="E3550" s="354">
        <v>1</v>
      </c>
      <c r="F3550" s="354">
        <v>1</v>
      </c>
      <c r="G3550" s="354">
        <v>0</v>
      </c>
      <c r="H3550" s="354">
        <v>1</v>
      </c>
      <c r="I3550" s="354">
        <v>3</v>
      </c>
      <c r="J3550" s="354">
        <v>3</v>
      </c>
      <c r="K3550" s="354">
        <v>0</v>
      </c>
      <c r="L3550" s="354">
        <v>0</v>
      </c>
      <c r="M3550" s="355">
        <v>5</v>
      </c>
      <c r="N3550" s="355">
        <v>6</v>
      </c>
    </row>
    <row r="3551" spans="1:14" hidden="1" x14ac:dyDescent="0.25">
      <c r="A3551" s="354">
        <v>1</v>
      </c>
      <c r="B3551" s="354">
        <v>0</v>
      </c>
      <c r="C3551" s="354">
        <v>0</v>
      </c>
      <c r="D3551" s="354">
        <v>1</v>
      </c>
      <c r="E3551" s="354">
        <v>3</v>
      </c>
      <c r="F3551" s="354">
        <v>3</v>
      </c>
      <c r="G3551" s="354">
        <v>0</v>
      </c>
      <c r="H3551" s="354">
        <v>1</v>
      </c>
      <c r="I3551" s="354">
        <v>1</v>
      </c>
      <c r="J3551" s="354">
        <v>2</v>
      </c>
      <c r="K3551" s="354">
        <v>0</v>
      </c>
      <c r="L3551" s="354">
        <v>0</v>
      </c>
      <c r="M3551" s="355">
        <v>5</v>
      </c>
      <c r="N3551" s="355">
        <v>7</v>
      </c>
    </row>
    <row r="3552" spans="1:14" hidden="1" x14ac:dyDescent="0.25">
      <c r="A3552" s="354">
        <v>0</v>
      </c>
      <c r="B3552" s="354">
        <v>0</v>
      </c>
      <c r="C3552" s="354">
        <v>1</v>
      </c>
      <c r="D3552" s="354">
        <v>1</v>
      </c>
      <c r="E3552" s="354">
        <v>1</v>
      </c>
      <c r="F3552" s="354">
        <v>0</v>
      </c>
      <c r="G3552" s="354">
        <v>0</v>
      </c>
      <c r="H3552" s="354">
        <v>0</v>
      </c>
      <c r="I3552" s="354">
        <v>1</v>
      </c>
      <c r="J3552" s="354">
        <v>1</v>
      </c>
      <c r="K3552" s="354">
        <v>0</v>
      </c>
      <c r="L3552" s="354">
        <v>0</v>
      </c>
      <c r="M3552" s="355">
        <v>3</v>
      </c>
      <c r="N3552" s="355">
        <v>2</v>
      </c>
    </row>
    <row r="3553" spans="1:14" hidden="1" x14ac:dyDescent="0.25">
      <c r="A3553" s="354">
        <v>2</v>
      </c>
      <c r="B3553" s="354">
        <v>3</v>
      </c>
      <c r="C3553" s="354">
        <v>0</v>
      </c>
      <c r="D3553" s="354">
        <v>2</v>
      </c>
      <c r="E3553" s="354">
        <v>3</v>
      </c>
      <c r="F3553" s="354">
        <v>0</v>
      </c>
      <c r="G3553" s="354">
        <v>2</v>
      </c>
      <c r="H3553" s="354">
        <v>3</v>
      </c>
      <c r="I3553" s="354">
        <v>1</v>
      </c>
      <c r="J3553" s="354">
        <v>3</v>
      </c>
      <c r="K3553" s="354">
        <v>0</v>
      </c>
      <c r="L3553" s="354">
        <v>0</v>
      </c>
      <c r="M3553" s="355">
        <v>8</v>
      </c>
      <c r="N3553" s="355">
        <v>11</v>
      </c>
    </row>
    <row r="3554" spans="1:14" hidden="1" x14ac:dyDescent="0.25">
      <c r="A3554" s="354">
        <v>0</v>
      </c>
      <c r="B3554" s="354">
        <v>0</v>
      </c>
      <c r="C3554" s="354">
        <v>2</v>
      </c>
      <c r="D3554" s="354">
        <v>1</v>
      </c>
      <c r="E3554" s="354">
        <v>0</v>
      </c>
      <c r="F3554" s="354">
        <v>0</v>
      </c>
      <c r="G3554" s="354">
        <v>2</v>
      </c>
      <c r="H3554" s="354">
        <v>1</v>
      </c>
      <c r="I3554" s="354">
        <v>2</v>
      </c>
      <c r="J3554" s="354">
        <v>2</v>
      </c>
      <c r="K3554" s="354">
        <v>0</v>
      </c>
      <c r="L3554" s="354">
        <v>0</v>
      </c>
      <c r="M3554" s="355">
        <v>6</v>
      </c>
      <c r="N3554" s="355">
        <v>4</v>
      </c>
    </row>
    <row r="3555" spans="1:14" hidden="1" x14ac:dyDescent="0.25">
      <c r="A3555" s="354">
        <v>0</v>
      </c>
      <c r="B3555" s="354">
        <v>0</v>
      </c>
      <c r="C3555" s="354">
        <v>0</v>
      </c>
      <c r="D3555" s="354">
        <v>0</v>
      </c>
      <c r="E3555" s="354">
        <v>0</v>
      </c>
      <c r="F3555" s="354">
        <v>0</v>
      </c>
      <c r="G3555" s="354">
        <v>0</v>
      </c>
      <c r="H3555" s="354">
        <v>0</v>
      </c>
      <c r="I3555" s="354">
        <v>1</v>
      </c>
      <c r="J3555" s="354">
        <v>2</v>
      </c>
      <c r="K3555" s="354">
        <v>0</v>
      </c>
      <c r="L3555" s="354">
        <v>1</v>
      </c>
      <c r="M3555" s="355">
        <v>1</v>
      </c>
      <c r="N3555" s="355">
        <v>3</v>
      </c>
    </row>
    <row r="3556" spans="1:14" hidden="1" x14ac:dyDescent="0.25">
      <c r="A3556" s="354">
        <v>0</v>
      </c>
      <c r="B3556" s="354">
        <v>1</v>
      </c>
      <c r="C3556" s="354">
        <v>0</v>
      </c>
      <c r="D3556" s="354">
        <v>2</v>
      </c>
      <c r="E3556" s="354">
        <v>2</v>
      </c>
      <c r="F3556" s="354">
        <v>1</v>
      </c>
      <c r="G3556" s="354">
        <v>1</v>
      </c>
      <c r="H3556" s="354">
        <v>0</v>
      </c>
      <c r="I3556" s="354">
        <v>2</v>
      </c>
      <c r="J3556" s="354">
        <v>2</v>
      </c>
      <c r="K3556" s="354">
        <v>1</v>
      </c>
      <c r="L3556" s="354">
        <v>0</v>
      </c>
      <c r="M3556" s="355">
        <v>6</v>
      </c>
      <c r="N3556" s="355">
        <v>6</v>
      </c>
    </row>
    <row r="3557" spans="1:14" hidden="1" x14ac:dyDescent="0.25">
      <c r="A3557" s="354">
        <v>0</v>
      </c>
      <c r="B3557" s="354">
        <v>0</v>
      </c>
      <c r="C3557" s="354">
        <v>0</v>
      </c>
      <c r="D3557" s="354">
        <v>0</v>
      </c>
      <c r="E3557" s="354">
        <v>0</v>
      </c>
      <c r="F3557" s="354">
        <v>0</v>
      </c>
      <c r="G3557" s="354">
        <v>0</v>
      </c>
      <c r="H3557" s="354">
        <v>0</v>
      </c>
      <c r="I3557" s="354">
        <v>0</v>
      </c>
      <c r="J3557" s="354">
        <v>1</v>
      </c>
      <c r="K3557" s="354">
        <v>1</v>
      </c>
      <c r="L3557" s="354">
        <v>1</v>
      </c>
      <c r="M3557" s="355">
        <v>1</v>
      </c>
      <c r="N3557" s="355">
        <v>2</v>
      </c>
    </row>
    <row r="3558" spans="1:14" hidden="1" x14ac:dyDescent="0.25">
      <c r="A3558" s="354">
        <v>1</v>
      </c>
      <c r="B3558" s="354">
        <v>0</v>
      </c>
      <c r="C3558" s="354">
        <v>0</v>
      </c>
      <c r="D3558" s="354">
        <v>2</v>
      </c>
      <c r="E3558" s="354">
        <v>0</v>
      </c>
      <c r="F3558" s="354">
        <v>1</v>
      </c>
      <c r="G3558" s="354">
        <v>0</v>
      </c>
      <c r="H3558" s="354">
        <v>0</v>
      </c>
      <c r="I3558" s="354">
        <v>0</v>
      </c>
      <c r="J3558" s="354">
        <v>1</v>
      </c>
      <c r="K3558" s="354">
        <v>0</v>
      </c>
      <c r="L3558" s="354">
        <v>0</v>
      </c>
      <c r="M3558" s="355">
        <v>1</v>
      </c>
      <c r="N3558" s="355">
        <v>4</v>
      </c>
    </row>
    <row r="3559" spans="1:14" hidden="1" x14ac:dyDescent="0.25">
      <c r="A3559" s="354">
        <v>1</v>
      </c>
      <c r="B3559" s="354">
        <v>0</v>
      </c>
      <c r="C3559" s="354">
        <v>0</v>
      </c>
      <c r="D3559" s="354">
        <v>1</v>
      </c>
      <c r="E3559" s="354">
        <v>0</v>
      </c>
      <c r="F3559" s="354">
        <v>0</v>
      </c>
      <c r="G3559" s="354">
        <v>0</v>
      </c>
      <c r="H3559" s="354">
        <v>0</v>
      </c>
      <c r="I3559" s="354">
        <v>1</v>
      </c>
      <c r="J3559" s="354">
        <v>1</v>
      </c>
      <c r="K3559" s="354">
        <v>0</v>
      </c>
      <c r="L3559" s="354">
        <v>0</v>
      </c>
      <c r="M3559" s="355">
        <v>2</v>
      </c>
      <c r="N3559" s="355">
        <v>2</v>
      </c>
    </row>
    <row r="3560" spans="1:14" hidden="1" x14ac:dyDescent="0.25">
      <c r="A3560" s="354">
        <v>0</v>
      </c>
      <c r="B3560" s="354">
        <v>0</v>
      </c>
      <c r="C3560" s="354">
        <v>0</v>
      </c>
      <c r="D3560" s="354">
        <v>0</v>
      </c>
      <c r="E3560" s="354">
        <v>0</v>
      </c>
      <c r="F3560" s="354">
        <v>0</v>
      </c>
      <c r="G3560" s="354">
        <v>0</v>
      </c>
      <c r="H3560" s="354">
        <v>0</v>
      </c>
      <c r="I3560" s="354">
        <v>0</v>
      </c>
      <c r="J3560" s="354">
        <v>2</v>
      </c>
      <c r="K3560" s="354">
        <v>1</v>
      </c>
      <c r="L3560" s="354">
        <v>1</v>
      </c>
      <c r="M3560" s="355">
        <v>1</v>
      </c>
      <c r="N3560" s="355">
        <v>3</v>
      </c>
    </row>
    <row r="3561" spans="1:14" hidden="1" x14ac:dyDescent="0.25">
      <c r="A3561" s="354">
        <v>0</v>
      </c>
      <c r="B3561" s="354">
        <v>0</v>
      </c>
      <c r="C3561" s="354">
        <v>0</v>
      </c>
      <c r="D3561" s="354">
        <v>1</v>
      </c>
      <c r="E3561" s="354">
        <v>2</v>
      </c>
      <c r="F3561" s="354">
        <v>1</v>
      </c>
      <c r="G3561" s="354">
        <v>1</v>
      </c>
      <c r="H3561" s="354">
        <v>1</v>
      </c>
      <c r="I3561" s="354">
        <v>1</v>
      </c>
      <c r="J3561" s="354">
        <v>3</v>
      </c>
      <c r="K3561" s="354">
        <v>0</v>
      </c>
      <c r="L3561" s="354">
        <v>0</v>
      </c>
      <c r="M3561" s="355">
        <v>4</v>
      </c>
      <c r="N3561" s="355">
        <v>6</v>
      </c>
    </row>
    <row r="3562" spans="1:14" hidden="1" x14ac:dyDescent="0.25">
      <c r="A3562" s="354">
        <v>0</v>
      </c>
      <c r="B3562" s="354">
        <v>1</v>
      </c>
      <c r="C3562" s="354">
        <v>0</v>
      </c>
      <c r="D3562" s="354">
        <v>0</v>
      </c>
      <c r="E3562" s="354">
        <v>1</v>
      </c>
      <c r="F3562" s="354">
        <v>0</v>
      </c>
      <c r="G3562" s="354">
        <v>1</v>
      </c>
      <c r="H3562" s="354">
        <v>2</v>
      </c>
      <c r="I3562" s="354">
        <v>1</v>
      </c>
      <c r="J3562" s="354">
        <v>1</v>
      </c>
      <c r="K3562" s="354">
        <v>0</v>
      </c>
      <c r="L3562" s="354">
        <v>0</v>
      </c>
      <c r="M3562" s="355">
        <v>3</v>
      </c>
      <c r="N3562" s="355">
        <v>4</v>
      </c>
    </row>
    <row r="3563" spans="1:14" hidden="1" x14ac:dyDescent="0.25">
      <c r="A3563" s="354">
        <v>0</v>
      </c>
      <c r="B3563" s="354">
        <v>1</v>
      </c>
      <c r="C3563" s="354">
        <v>0</v>
      </c>
      <c r="D3563" s="354">
        <v>1</v>
      </c>
      <c r="E3563" s="354">
        <v>2</v>
      </c>
      <c r="F3563" s="354">
        <v>2</v>
      </c>
      <c r="G3563" s="354">
        <v>1</v>
      </c>
      <c r="H3563" s="354">
        <v>2</v>
      </c>
      <c r="I3563" s="354">
        <v>1</v>
      </c>
      <c r="J3563" s="354">
        <v>2</v>
      </c>
      <c r="K3563" s="354">
        <v>0</v>
      </c>
      <c r="L3563" s="354">
        <v>0</v>
      </c>
      <c r="M3563" s="355">
        <v>4</v>
      </c>
      <c r="N3563" s="355">
        <v>8</v>
      </c>
    </row>
    <row r="3564" spans="1:14" hidden="1" x14ac:dyDescent="0.25">
      <c r="A3564" s="354">
        <v>0</v>
      </c>
      <c r="B3564" s="354">
        <v>1</v>
      </c>
      <c r="C3564" s="354">
        <v>1</v>
      </c>
      <c r="D3564" s="354">
        <v>4</v>
      </c>
      <c r="E3564" s="354">
        <v>2</v>
      </c>
      <c r="F3564" s="354">
        <v>2</v>
      </c>
      <c r="G3564" s="354">
        <v>1</v>
      </c>
      <c r="H3564" s="354">
        <v>0</v>
      </c>
      <c r="I3564" s="354">
        <v>1</v>
      </c>
      <c r="J3564" s="354">
        <v>3</v>
      </c>
      <c r="K3564" s="354">
        <v>0</v>
      </c>
      <c r="L3564" s="354">
        <v>0</v>
      </c>
      <c r="M3564" s="355">
        <v>5</v>
      </c>
      <c r="N3564" s="355">
        <v>10</v>
      </c>
    </row>
    <row r="3565" spans="1:14" hidden="1" x14ac:dyDescent="0.25">
      <c r="A3565" s="354">
        <v>0</v>
      </c>
      <c r="B3565" s="354">
        <v>0</v>
      </c>
      <c r="C3565" s="354">
        <v>0</v>
      </c>
      <c r="D3565" s="354">
        <v>0</v>
      </c>
      <c r="E3565" s="354">
        <v>0</v>
      </c>
      <c r="F3565" s="354">
        <v>0</v>
      </c>
      <c r="G3565" s="354">
        <v>0</v>
      </c>
      <c r="H3565" s="354">
        <v>0</v>
      </c>
      <c r="I3565" s="354">
        <v>0</v>
      </c>
      <c r="J3565" s="354">
        <v>0</v>
      </c>
      <c r="K3565" s="354">
        <v>0</v>
      </c>
      <c r="L3565" s="354">
        <v>1</v>
      </c>
      <c r="M3565" s="355">
        <v>0</v>
      </c>
      <c r="N3565" s="355">
        <v>1</v>
      </c>
    </row>
    <row r="3566" spans="1:14" hidden="1" x14ac:dyDescent="0.25">
      <c r="A3566" s="354">
        <v>0</v>
      </c>
      <c r="B3566" s="354">
        <v>0</v>
      </c>
      <c r="C3566" s="354">
        <v>2</v>
      </c>
      <c r="D3566" s="354">
        <v>2</v>
      </c>
      <c r="E3566" s="354">
        <v>2</v>
      </c>
      <c r="F3566" s="354">
        <v>1</v>
      </c>
      <c r="G3566" s="354">
        <v>3</v>
      </c>
      <c r="H3566" s="354">
        <v>1</v>
      </c>
      <c r="I3566" s="354">
        <v>2</v>
      </c>
      <c r="J3566" s="354">
        <v>3</v>
      </c>
      <c r="K3566" s="354">
        <v>0</v>
      </c>
      <c r="L3566" s="354">
        <v>0</v>
      </c>
      <c r="M3566" s="355">
        <v>9</v>
      </c>
      <c r="N3566" s="355">
        <v>7</v>
      </c>
    </row>
    <row r="3567" spans="1:14" hidden="1" x14ac:dyDescent="0.25">
      <c r="A3567" s="354">
        <v>0</v>
      </c>
      <c r="B3567" s="354">
        <v>0</v>
      </c>
      <c r="C3567" s="354">
        <v>0</v>
      </c>
      <c r="D3567" s="354">
        <v>0</v>
      </c>
      <c r="E3567" s="354">
        <v>1</v>
      </c>
      <c r="F3567" s="354">
        <v>2</v>
      </c>
      <c r="G3567" s="354">
        <v>2</v>
      </c>
      <c r="H3567" s="354">
        <v>0</v>
      </c>
      <c r="I3567" s="354">
        <v>0</v>
      </c>
      <c r="J3567" s="354">
        <v>1</v>
      </c>
      <c r="K3567" s="354">
        <v>0</v>
      </c>
      <c r="L3567" s="354">
        <v>0</v>
      </c>
      <c r="M3567" s="355">
        <v>3</v>
      </c>
      <c r="N3567" s="355">
        <v>3</v>
      </c>
    </row>
    <row r="3568" spans="1:14" hidden="1" x14ac:dyDescent="0.25">
      <c r="A3568" s="354">
        <v>0</v>
      </c>
      <c r="B3568" s="354">
        <v>0</v>
      </c>
      <c r="C3568" s="354">
        <v>0</v>
      </c>
      <c r="D3568" s="354"/>
      <c r="E3568" s="354">
        <v>0</v>
      </c>
      <c r="F3568" s="354">
        <v>2</v>
      </c>
      <c r="G3568" s="354">
        <v>1</v>
      </c>
      <c r="H3568" s="354">
        <v>1</v>
      </c>
      <c r="I3568" s="354">
        <v>1</v>
      </c>
      <c r="J3568" s="354">
        <v>1</v>
      </c>
      <c r="K3568" s="354">
        <v>0</v>
      </c>
      <c r="L3568" s="354">
        <v>0</v>
      </c>
      <c r="M3568" s="355">
        <v>2</v>
      </c>
      <c r="N3568" s="355">
        <v>4</v>
      </c>
    </row>
    <row r="3569" spans="1:14" hidden="1" x14ac:dyDescent="0.25">
      <c r="A3569" s="354">
        <v>0</v>
      </c>
      <c r="B3569" s="354">
        <v>1</v>
      </c>
      <c r="C3569" s="354">
        <v>2</v>
      </c>
      <c r="D3569" s="354">
        <v>0</v>
      </c>
      <c r="E3569" s="354">
        <v>1</v>
      </c>
      <c r="F3569" s="354">
        <v>1</v>
      </c>
      <c r="G3569" s="354">
        <v>0</v>
      </c>
      <c r="H3569" s="354">
        <v>0</v>
      </c>
      <c r="I3569" s="354">
        <v>0</v>
      </c>
      <c r="J3569" s="354">
        <v>1</v>
      </c>
      <c r="K3569" s="354">
        <v>0</v>
      </c>
      <c r="L3569" s="354">
        <v>0</v>
      </c>
      <c r="M3569" s="355">
        <v>3</v>
      </c>
      <c r="N3569" s="355">
        <v>3</v>
      </c>
    </row>
    <row r="3570" spans="1:14" hidden="1" x14ac:dyDescent="0.25">
      <c r="A3570" s="354">
        <v>2</v>
      </c>
      <c r="B3570" s="354">
        <v>3</v>
      </c>
      <c r="C3570" s="354">
        <v>0</v>
      </c>
      <c r="D3570" s="354">
        <v>2</v>
      </c>
      <c r="E3570" s="354">
        <v>3</v>
      </c>
      <c r="F3570" s="354">
        <v>3</v>
      </c>
      <c r="G3570" s="354">
        <v>4</v>
      </c>
      <c r="H3570" s="354">
        <v>2</v>
      </c>
      <c r="I3570" s="354">
        <v>3</v>
      </c>
      <c r="J3570" s="354">
        <v>3</v>
      </c>
      <c r="K3570" s="354">
        <v>1</v>
      </c>
      <c r="L3570" s="354">
        <v>4</v>
      </c>
      <c r="M3570" s="355">
        <v>13</v>
      </c>
      <c r="N3570" s="355">
        <v>17</v>
      </c>
    </row>
    <row r="3571" spans="1:14" hidden="1" x14ac:dyDescent="0.25">
      <c r="A3571" s="354">
        <v>0</v>
      </c>
      <c r="B3571" s="354">
        <v>1</v>
      </c>
      <c r="C3571" s="354">
        <v>1</v>
      </c>
      <c r="D3571" s="354">
        <v>2</v>
      </c>
      <c r="E3571" s="354">
        <v>2</v>
      </c>
      <c r="F3571" s="354">
        <v>1</v>
      </c>
      <c r="G3571" s="354">
        <v>2</v>
      </c>
      <c r="H3571" s="354">
        <v>0</v>
      </c>
      <c r="I3571" s="354">
        <v>0</v>
      </c>
      <c r="J3571" s="354">
        <v>1</v>
      </c>
      <c r="K3571" s="354">
        <v>0</v>
      </c>
      <c r="L3571" s="354">
        <v>0</v>
      </c>
      <c r="M3571" s="355">
        <v>5</v>
      </c>
      <c r="N3571" s="355">
        <v>5</v>
      </c>
    </row>
    <row r="3572" spans="1:14" hidden="1" x14ac:dyDescent="0.25">
      <c r="A3572" s="354">
        <v>1</v>
      </c>
      <c r="B3572" s="354">
        <v>0</v>
      </c>
      <c r="C3572" s="354">
        <v>3</v>
      </c>
      <c r="D3572" s="354">
        <v>0</v>
      </c>
      <c r="E3572" s="354">
        <v>1</v>
      </c>
      <c r="F3572" s="354">
        <v>2</v>
      </c>
      <c r="G3572" s="354">
        <v>2</v>
      </c>
      <c r="H3572" s="354">
        <v>3</v>
      </c>
      <c r="I3572" s="354">
        <v>1</v>
      </c>
      <c r="J3572" s="354">
        <v>1</v>
      </c>
      <c r="K3572" s="354">
        <v>0</v>
      </c>
      <c r="L3572" s="354">
        <v>0</v>
      </c>
      <c r="M3572" s="355">
        <v>8</v>
      </c>
      <c r="N3572" s="355">
        <v>6</v>
      </c>
    </row>
    <row r="3573" spans="1:14" hidden="1" x14ac:dyDescent="0.25">
      <c r="A3573" s="354">
        <v>0</v>
      </c>
      <c r="B3573" s="354">
        <v>1</v>
      </c>
      <c r="C3573" s="354">
        <v>0</v>
      </c>
      <c r="D3573" s="354">
        <v>1</v>
      </c>
      <c r="E3573" s="354">
        <v>1</v>
      </c>
      <c r="F3573" s="354">
        <v>3</v>
      </c>
      <c r="G3573" s="354">
        <v>2</v>
      </c>
      <c r="H3573" s="354">
        <v>0</v>
      </c>
      <c r="I3573" s="354">
        <v>1</v>
      </c>
      <c r="J3573" s="354">
        <v>1</v>
      </c>
      <c r="K3573" s="354">
        <v>0</v>
      </c>
      <c r="L3573" s="354">
        <v>0</v>
      </c>
      <c r="M3573" s="355">
        <v>4</v>
      </c>
      <c r="N3573" s="355">
        <v>6</v>
      </c>
    </row>
    <row r="3574" spans="1:14" hidden="1" x14ac:dyDescent="0.25">
      <c r="A3574" s="354">
        <v>1</v>
      </c>
      <c r="B3574" s="354">
        <v>0</v>
      </c>
      <c r="C3574" s="354">
        <v>1</v>
      </c>
      <c r="D3574" s="354">
        <v>1</v>
      </c>
      <c r="E3574" s="354">
        <v>2</v>
      </c>
      <c r="F3574" s="354">
        <v>1</v>
      </c>
      <c r="G3574" s="354">
        <v>0</v>
      </c>
      <c r="H3574" s="354">
        <v>1</v>
      </c>
      <c r="I3574" s="354">
        <v>1</v>
      </c>
      <c r="J3574" s="354">
        <v>1</v>
      </c>
      <c r="K3574" s="354">
        <v>0</v>
      </c>
      <c r="L3574" s="354">
        <v>0</v>
      </c>
      <c r="M3574" s="355">
        <v>5</v>
      </c>
      <c r="N3574" s="355">
        <v>4</v>
      </c>
    </row>
    <row r="3575" spans="1:14" hidden="1" x14ac:dyDescent="0.25">
      <c r="A3575" s="354">
        <v>1</v>
      </c>
      <c r="B3575" s="354">
        <v>0</v>
      </c>
      <c r="C3575" s="354">
        <v>1</v>
      </c>
      <c r="D3575" s="354">
        <v>1</v>
      </c>
      <c r="E3575" s="354">
        <v>2</v>
      </c>
      <c r="F3575" s="354">
        <v>1</v>
      </c>
      <c r="G3575" s="354">
        <v>0</v>
      </c>
      <c r="H3575" s="354">
        <v>1</v>
      </c>
      <c r="I3575" s="354">
        <v>1</v>
      </c>
      <c r="J3575" s="354">
        <v>1</v>
      </c>
      <c r="K3575" s="354">
        <v>0</v>
      </c>
      <c r="L3575" s="354">
        <v>0</v>
      </c>
      <c r="M3575" s="355">
        <v>5</v>
      </c>
      <c r="N3575" s="355">
        <v>4</v>
      </c>
    </row>
    <row r="3576" spans="1:14" hidden="1" x14ac:dyDescent="0.25">
      <c r="A3576" s="354">
        <v>0</v>
      </c>
      <c r="B3576" s="354">
        <v>0</v>
      </c>
      <c r="C3576" s="354">
        <v>0</v>
      </c>
      <c r="D3576" s="354">
        <v>1</v>
      </c>
      <c r="E3576" s="354">
        <v>2</v>
      </c>
      <c r="F3576" s="354">
        <v>0</v>
      </c>
      <c r="G3576" s="354">
        <v>0</v>
      </c>
      <c r="H3576" s="354">
        <v>0</v>
      </c>
      <c r="I3576" s="354">
        <v>1</v>
      </c>
      <c r="J3576" s="354">
        <v>1</v>
      </c>
      <c r="K3576" s="354">
        <v>0</v>
      </c>
      <c r="L3576" s="354">
        <v>0</v>
      </c>
      <c r="M3576" s="355">
        <v>3</v>
      </c>
      <c r="N3576" s="355">
        <v>2</v>
      </c>
    </row>
    <row r="3577" spans="1:14" hidden="1" x14ac:dyDescent="0.25">
      <c r="A3577" s="354">
        <v>0</v>
      </c>
      <c r="B3577" s="354">
        <v>0</v>
      </c>
      <c r="C3577" s="354">
        <v>0</v>
      </c>
      <c r="D3577" s="354">
        <v>0</v>
      </c>
      <c r="E3577" s="354">
        <v>0</v>
      </c>
      <c r="F3577" s="354">
        <v>0</v>
      </c>
      <c r="G3577" s="354">
        <v>0</v>
      </c>
      <c r="H3577" s="354">
        <v>0</v>
      </c>
      <c r="I3577" s="354">
        <v>1</v>
      </c>
      <c r="J3577" s="354">
        <v>1</v>
      </c>
      <c r="K3577" s="354">
        <v>2</v>
      </c>
      <c r="L3577" s="354">
        <v>0</v>
      </c>
      <c r="M3577" s="355">
        <v>3</v>
      </c>
      <c r="N3577" s="355">
        <v>1</v>
      </c>
    </row>
    <row r="3578" spans="1:14" hidden="1" x14ac:dyDescent="0.25">
      <c r="A3578" s="354">
        <v>0</v>
      </c>
      <c r="B3578" s="354">
        <v>0</v>
      </c>
      <c r="C3578" s="354">
        <v>1</v>
      </c>
      <c r="D3578" s="354">
        <v>0</v>
      </c>
      <c r="E3578" s="354">
        <v>1</v>
      </c>
      <c r="F3578" s="354">
        <v>0</v>
      </c>
      <c r="G3578" s="354">
        <v>1</v>
      </c>
      <c r="H3578" s="354">
        <v>2</v>
      </c>
      <c r="I3578" s="354">
        <v>1</v>
      </c>
      <c r="J3578" s="354">
        <v>2</v>
      </c>
      <c r="K3578" s="354">
        <v>0</v>
      </c>
      <c r="L3578" s="354">
        <v>1</v>
      </c>
      <c r="M3578" s="355">
        <v>4</v>
      </c>
      <c r="N3578" s="355">
        <v>5</v>
      </c>
    </row>
    <row r="3579" spans="1:14" hidden="1" x14ac:dyDescent="0.25">
      <c r="A3579" s="354">
        <v>2</v>
      </c>
      <c r="B3579" s="354">
        <v>1</v>
      </c>
      <c r="C3579" s="354">
        <v>1</v>
      </c>
      <c r="D3579" s="354">
        <v>1</v>
      </c>
      <c r="E3579" s="354">
        <v>0</v>
      </c>
      <c r="F3579" s="354">
        <v>0</v>
      </c>
      <c r="G3579" s="354">
        <v>1</v>
      </c>
      <c r="H3579" s="354">
        <v>0</v>
      </c>
      <c r="I3579" s="354">
        <v>1</v>
      </c>
      <c r="J3579" s="354">
        <v>1</v>
      </c>
      <c r="K3579" s="354">
        <v>0</v>
      </c>
      <c r="L3579" s="354">
        <v>0</v>
      </c>
      <c r="M3579" s="355">
        <v>5</v>
      </c>
      <c r="N3579" s="355">
        <v>3</v>
      </c>
    </row>
    <row r="3580" spans="1:14" hidden="1" x14ac:dyDescent="0.25">
      <c r="A3580" s="354">
        <v>1</v>
      </c>
      <c r="B3580" s="354">
        <v>0</v>
      </c>
      <c r="C3580" s="354">
        <v>0</v>
      </c>
      <c r="D3580" s="354">
        <v>1</v>
      </c>
      <c r="E3580" s="354">
        <v>0</v>
      </c>
      <c r="F3580" s="354">
        <v>0</v>
      </c>
      <c r="G3580" s="354">
        <v>2</v>
      </c>
      <c r="H3580" s="354">
        <v>1</v>
      </c>
      <c r="I3580" s="354">
        <v>1</v>
      </c>
      <c r="J3580" s="354">
        <v>1</v>
      </c>
      <c r="K3580" s="354">
        <v>0</v>
      </c>
      <c r="L3580" s="354">
        <v>0</v>
      </c>
      <c r="M3580" s="355">
        <v>4</v>
      </c>
      <c r="N3580" s="355">
        <v>3</v>
      </c>
    </row>
    <row r="3581" spans="1:14" hidden="1" x14ac:dyDescent="0.25">
      <c r="A3581" s="354">
        <v>0</v>
      </c>
      <c r="B3581" s="354">
        <v>1</v>
      </c>
      <c r="C3581" s="354">
        <v>1</v>
      </c>
      <c r="D3581" s="354">
        <v>0</v>
      </c>
      <c r="E3581" s="354">
        <v>1</v>
      </c>
      <c r="F3581" s="354">
        <v>1</v>
      </c>
      <c r="G3581" s="354">
        <v>0</v>
      </c>
      <c r="H3581" s="354">
        <v>1</v>
      </c>
      <c r="I3581" s="354">
        <v>1</v>
      </c>
      <c r="J3581" s="354">
        <v>1</v>
      </c>
      <c r="K3581" s="354">
        <v>0</v>
      </c>
      <c r="L3581" s="354">
        <v>0</v>
      </c>
      <c r="M3581" s="355">
        <v>3</v>
      </c>
      <c r="N3581" s="355">
        <v>4</v>
      </c>
    </row>
    <row r="3582" spans="1:14" hidden="1" x14ac:dyDescent="0.25">
      <c r="A3582" s="354">
        <v>0</v>
      </c>
      <c r="B3582" s="354">
        <v>1</v>
      </c>
      <c r="C3582" s="354">
        <v>1</v>
      </c>
      <c r="D3582" s="354">
        <v>0</v>
      </c>
      <c r="E3582" s="354">
        <v>1</v>
      </c>
      <c r="F3582" s="354">
        <v>0</v>
      </c>
      <c r="G3582" s="354">
        <v>1</v>
      </c>
      <c r="H3582" s="354">
        <v>0</v>
      </c>
      <c r="I3582" s="354">
        <v>1</v>
      </c>
      <c r="J3582" s="354">
        <v>1</v>
      </c>
      <c r="K3582" s="354">
        <v>0</v>
      </c>
      <c r="L3582" s="354">
        <v>0</v>
      </c>
      <c r="M3582" s="355">
        <v>4</v>
      </c>
      <c r="N3582" s="355">
        <v>2</v>
      </c>
    </row>
    <row r="3583" spans="1:14" hidden="1" x14ac:dyDescent="0.25">
      <c r="A3583" s="354">
        <v>0</v>
      </c>
      <c r="B3583" s="354">
        <v>1</v>
      </c>
      <c r="C3583" s="354">
        <v>1</v>
      </c>
      <c r="D3583" s="354">
        <v>1</v>
      </c>
      <c r="E3583" s="354">
        <v>0</v>
      </c>
      <c r="F3583" s="354">
        <v>0</v>
      </c>
      <c r="G3583" s="354">
        <v>1</v>
      </c>
      <c r="H3583" s="354">
        <v>0</v>
      </c>
      <c r="I3583" s="354">
        <v>1</v>
      </c>
      <c r="J3583" s="354">
        <v>1</v>
      </c>
      <c r="K3583" s="354">
        <v>0</v>
      </c>
      <c r="L3583" s="354">
        <v>0</v>
      </c>
      <c r="M3583" s="355">
        <v>3</v>
      </c>
      <c r="N3583" s="355">
        <v>3</v>
      </c>
    </row>
    <row r="3584" spans="1:14" hidden="1" x14ac:dyDescent="0.25">
      <c r="A3584" s="354">
        <v>0</v>
      </c>
      <c r="B3584" s="354">
        <v>1</v>
      </c>
      <c r="C3584" s="354">
        <v>1</v>
      </c>
      <c r="D3584" s="354">
        <v>1</v>
      </c>
      <c r="E3584" s="354">
        <v>0</v>
      </c>
      <c r="F3584" s="354">
        <v>0</v>
      </c>
      <c r="G3584" s="354">
        <v>1</v>
      </c>
      <c r="H3584" s="354">
        <v>1</v>
      </c>
      <c r="I3584" s="354">
        <v>1</v>
      </c>
      <c r="J3584" s="354">
        <v>1</v>
      </c>
      <c r="K3584" s="354">
        <v>0</v>
      </c>
      <c r="L3584" s="354">
        <v>0</v>
      </c>
      <c r="M3584" s="355">
        <v>3</v>
      </c>
      <c r="N3584" s="355">
        <v>4</v>
      </c>
    </row>
    <row r="3585" spans="1:14" hidden="1" x14ac:dyDescent="0.25">
      <c r="A3585" s="354">
        <v>1</v>
      </c>
      <c r="B3585" s="354">
        <v>1</v>
      </c>
      <c r="C3585" s="354">
        <v>1</v>
      </c>
      <c r="D3585" s="354">
        <v>0</v>
      </c>
      <c r="E3585" s="354">
        <v>1</v>
      </c>
      <c r="F3585" s="354">
        <v>0</v>
      </c>
      <c r="G3585" s="354">
        <v>1</v>
      </c>
      <c r="H3585" s="354">
        <v>0</v>
      </c>
      <c r="I3585" s="354">
        <v>1</v>
      </c>
      <c r="J3585" s="354">
        <v>1</v>
      </c>
      <c r="K3585" s="354">
        <v>0</v>
      </c>
      <c r="L3585" s="354">
        <v>0</v>
      </c>
      <c r="M3585" s="355">
        <v>5</v>
      </c>
      <c r="N3585" s="355">
        <v>2</v>
      </c>
    </row>
    <row r="3586" spans="1:14" hidden="1" x14ac:dyDescent="0.25">
      <c r="A3586" s="354">
        <v>0</v>
      </c>
      <c r="B3586" s="354">
        <v>1</v>
      </c>
      <c r="C3586" s="354">
        <v>0</v>
      </c>
      <c r="D3586" s="354">
        <v>1</v>
      </c>
      <c r="E3586" s="354">
        <v>0</v>
      </c>
      <c r="F3586" s="354">
        <v>1</v>
      </c>
      <c r="G3586" s="354">
        <v>0</v>
      </c>
      <c r="H3586" s="354">
        <v>0</v>
      </c>
      <c r="I3586" s="354">
        <v>3</v>
      </c>
      <c r="J3586" s="354">
        <v>2</v>
      </c>
      <c r="K3586" s="354">
        <v>0</v>
      </c>
      <c r="L3586" s="354">
        <v>1</v>
      </c>
      <c r="M3586" s="355">
        <v>3</v>
      </c>
      <c r="N3586" s="355">
        <v>6</v>
      </c>
    </row>
    <row r="3587" spans="1:14" hidden="1" x14ac:dyDescent="0.25">
      <c r="A3587" s="354">
        <v>0</v>
      </c>
      <c r="B3587" s="354">
        <v>0</v>
      </c>
      <c r="C3587" s="354">
        <v>0</v>
      </c>
      <c r="D3587" s="354">
        <v>0</v>
      </c>
      <c r="E3587" s="354">
        <v>0</v>
      </c>
      <c r="F3587" s="354">
        <v>0</v>
      </c>
      <c r="G3587" s="354">
        <v>0</v>
      </c>
      <c r="H3587" s="354">
        <v>0</v>
      </c>
      <c r="I3587" s="354">
        <v>0</v>
      </c>
      <c r="J3587" s="354">
        <v>1</v>
      </c>
      <c r="K3587" s="354">
        <v>1</v>
      </c>
      <c r="L3587" s="354">
        <v>0</v>
      </c>
      <c r="M3587" s="355">
        <v>1</v>
      </c>
      <c r="N3587" s="355">
        <v>1</v>
      </c>
    </row>
    <row r="3588" spans="1:14" hidden="1" x14ac:dyDescent="0.25">
      <c r="A3588" s="354">
        <v>0</v>
      </c>
      <c r="B3588" s="354">
        <v>0</v>
      </c>
      <c r="C3588" s="354">
        <v>0</v>
      </c>
      <c r="D3588" s="354">
        <v>0</v>
      </c>
      <c r="E3588" s="354">
        <v>0</v>
      </c>
      <c r="F3588" s="354">
        <v>0</v>
      </c>
      <c r="G3588" s="354">
        <v>1</v>
      </c>
      <c r="H3588" s="354">
        <v>0</v>
      </c>
      <c r="I3588" s="354">
        <v>0</v>
      </c>
      <c r="J3588" s="354">
        <v>2</v>
      </c>
      <c r="K3588" s="354">
        <v>1</v>
      </c>
      <c r="L3588" s="354">
        <v>0</v>
      </c>
      <c r="M3588" s="355">
        <v>2</v>
      </c>
      <c r="N3588" s="355">
        <v>2</v>
      </c>
    </row>
    <row r="3589" spans="1:14" hidden="1" x14ac:dyDescent="0.25">
      <c r="A3589" s="354">
        <v>0</v>
      </c>
      <c r="B3589" s="354">
        <v>0</v>
      </c>
      <c r="C3589" s="354">
        <v>1</v>
      </c>
      <c r="D3589" s="354">
        <v>0</v>
      </c>
      <c r="E3589" s="354">
        <v>1</v>
      </c>
      <c r="F3589" s="354">
        <v>2</v>
      </c>
      <c r="G3589" s="354">
        <v>0</v>
      </c>
      <c r="H3589" s="354">
        <v>1</v>
      </c>
      <c r="I3589" s="354">
        <v>1</v>
      </c>
      <c r="J3589" s="354">
        <v>1</v>
      </c>
      <c r="K3589" s="354">
        <v>1</v>
      </c>
      <c r="L3589" s="354">
        <v>2</v>
      </c>
      <c r="M3589" s="355">
        <v>4</v>
      </c>
      <c r="N3589" s="355">
        <v>6</v>
      </c>
    </row>
    <row r="3590" spans="1:14" hidden="1" x14ac:dyDescent="0.25">
      <c r="A3590" s="354">
        <v>0</v>
      </c>
      <c r="B3590" s="354">
        <v>0</v>
      </c>
      <c r="C3590" s="354">
        <v>0</v>
      </c>
      <c r="D3590" s="354">
        <v>0</v>
      </c>
      <c r="E3590" s="354">
        <v>0</v>
      </c>
      <c r="F3590" s="354">
        <v>0</v>
      </c>
      <c r="G3590" s="354">
        <v>0</v>
      </c>
      <c r="H3590" s="354">
        <v>0</v>
      </c>
      <c r="I3590" s="354">
        <v>0</v>
      </c>
      <c r="J3590" s="354">
        <v>1</v>
      </c>
      <c r="K3590" s="354">
        <v>1</v>
      </c>
      <c r="L3590" s="354">
        <v>1</v>
      </c>
      <c r="M3590" s="355">
        <v>1</v>
      </c>
      <c r="N3590" s="355">
        <v>2</v>
      </c>
    </row>
    <row r="3591" spans="1:14" hidden="1" x14ac:dyDescent="0.25">
      <c r="A3591" s="354">
        <v>0</v>
      </c>
      <c r="B3591" s="354">
        <v>0</v>
      </c>
      <c r="C3591" s="354">
        <v>0</v>
      </c>
      <c r="D3591" s="354">
        <v>0</v>
      </c>
      <c r="E3591" s="354">
        <v>0</v>
      </c>
      <c r="F3591" s="354">
        <v>0</v>
      </c>
      <c r="G3591" s="354">
        <v>0</v>
      </c>
      <c r="H3591" s="354">
        <v>0</v>
      </c>
      <c r="I3591" s="354">
        <v>0</v>
      </c>
      <c r="J3591" s="354">
        <v>0</v>
      </c>
      <c r="K3591" s="354">
        <v>1</v>
      </c>
      <c r="L3591" s="354">
        <v>2</v>
      </c>
      <c r="M3591" s="355">
        <v>1</v>
      </c>
      <c r="N3591" s="355">
        <v>2</v>
      </c>
    </row>
    <row r="3592" spans="1:14" hidden="1" x14ac:dyDescent="0.25">
      <c r="A3592" s="354">
        <v>0</v>
      </c>
      <c r="B3592" s="354">
        <v>0</v>
      </c>
      <c r="C3592" s="354">
        <v>0</v>
      </c>
      <c r="D3592" s="354">
        <v>1</v>
      </c>
      <c r="E3592" s="354">
        <v>0</v>
      </c>
      <c r="F3592" s="354">
        <v>0</v>
      </c>
      <c r="G3592" s="354">
        <v>0</v>
      </c>
      <c r="H3592" s="354">
        <v>1</v>
      </c>
      <c r="I3592" s="354">
        <v>1</v>
      </c>
      <c r="J3592" s="354">
        <v>1</v>
      </c>
      <c r="K3592" s="354">
        <v>1</v>
      </c>
      <c r="L3592" s="354">
        <v>2</v>
      </c>
      <c r="M3592" s="355">
        <v>2</v>
      </c>
      <c r="N3592" s="355">
        <v>5</v>
      </c>
    </row>
    <row r="3593" spans="1:14" hidden="1" x14ac:dyDescent="0.25">
      <c r="A3593" s="354">
        <v>0</v>
      </c>
      <c r="B3593" s="354">
        <v>0</v>
      </c>
      <c r="C3593" s="354">
        <v>0</v>
      </c>
      <c r="D3593" s="354">
        <v>0</v>
      </c>
      <c r="E3593" s="354">
        <v>1</v>
      </c>
      <c r="F3593" s="354">
        <v>0</v>
      </c>
      <c r="G3593" s="354">
        <v>1</v>
      </c>
      <c r="H3593" s="354">
        <v>0</v>
      </c>
      <c r="I3593" s="354">
        <v>1</v>
      </c>
      <c r="J3593" s="354">
        <v>1</v>
      </c>
      <c r="K3593" s="354">
        <v>1</v>
      </c>
      <c r="L3593" s="354">
        <v>1</v>
      </c>
      <c r="M3593" s="355">
        <v>4</v>
      </c>
      <c r="N3593" s="355">
        <v>2</v>
      </c>
    </row>
    <row r="3594" spans="1:14" hidden="1" x14ac:dyDescent="0.25">
      <c r="A3594" s="354">
        <v>0</v>
      </c>
      <c r="B3594" s="354">
        <v>0</v>
      </c>
      <c r="C3594" s="354">
        <v>0</v>
      </c>
      <c r="D3594" s="354">
        <v>0</v>
      </c>
      <c r="E3594" s="354">
        <v>0</v>
      </c>
      <c r="F3594" s="354">
        <v>0</v>
      </c>
      <c r="G3594" s="354">
        <v>0</v>
      </c>
      <c r="H3594" s="354">
        <v>0</v>
      </c>
      <c r="I3594" s="354">
        <v>0</v>
      </c>
      <c r="J3594" s="354">
        <v>0</v>
      </c>
      <c r="K3594" s="354">
        <v>0</v>
      </c>
      <c r="L3594" s="354">
        <v>1</v>
      </c>
      <c r="M3594" s="355">
        <v>0</v>
      </c>
      <c r="N3594" s="355">
        <v>1</v>
      </c>
    </row>
    <row r="3595" spans="1:14" hidden="1" x14ac:dyDescent="0.25">
      <c r="A3595" s="354">
        <v>0</v>
      </c>
      <c r="B3595" s="354">
        <v>0</v>
      </c>
      <c r="C3595" s="354">
        <v>0</v>
      </c>
      <c r="D3595" s="354">
        <v>0</v>
      </c>
      <c r="E3595" s="354">
        <v>0</v>
      </c>
      <c r="F3595" s="354">
        <v>0</v>
      </c>
      <c r="G3595" s="354">
        <v>0</v>
      </c>
      <c r="H3595" s="354">
        <v>0</v>
      </c>
      <c r="I3595" s="354">
        <v>1</v>
      </c>
      <c r="J3595" s="354">
        <v>1</v>
      </c>
      <c r="K3595" s="354">
        <v>1</v>
      </c>
      <c r="L3595" s="354">
        <v>1</v>
      </c>
      <c r="M3595" s="355">
        <v>2</v>
      </c>
      <c r="N3595" s="355">
        <v>2</v>
      </c>
    </row>
    <row r="3596" spans="1:14" hidden="1" x14ac:dyDescent="0.25">
      <c r="A3596" s="354">
        <v>0</v>
      </c>
      <c r="B3596" s="354">
        <v>0</v>
      </c>
      <c r="C3596" s="354">
        <v>0</v>
      </c>
      <c r="D3596" s="354">
        <v>0</v>
      </c>
      <c r="E3596" s="354">
        <v>0</v>
      </c>
      <c r="F3596" s="354">
        <v>0</v>
      </c>
      <c r="G3596" s="354">
        <v>0</v>
      </c>
      <c r="H3596" s="354">
        <v>0</v>
      </c>
      <c r="I3596" s="354">
        <v>2</v>
      </c>
      <c r="J3596" s="354">
        <v>3</v>
      </c>
      <c r="K3596" s="354">
        <v>0</v>
      </c>
      <c r="L3596" s="354">
        <v>0</v>
      </c>
      <c r="M3596" s="355">
        <v>2</v>
      </c>
      <c r="N3596" s="355">
        <v>3</v>
      </c>
    </row>
    <row r="3597" spans="1:14" hidden="1" x14ac:dyDescent="0.25">
      <c r="A3597" s="354">
        <v>0</v>
      </c>
      <c r="B3597" s="354">
        <v>0</v>
      </c>
      <c r="C3597" s="354">
        <v>1</v>
      </c>
      <c r="D3597" s="354">
        <v>1</v>
      </c>
      <c r="E3597" s="354">
        <v>0</v>
      </c>
      <c r="F3597" s="354">
        <v>0</v>
      </c>
      <c r="G3597" s="354">
        <v>1</v>
      </c>
      <c r="H3597" s="354">
        <v>2</v>
      </c>
      <c r="I3597" s="354">
        <v>1</v>
      </c>
      <c r="J3597" s="354">
        <v>1</v>
      </c>
      <c r="K3597" s="354">
        <v>0</v>
      </c>
      <c r="L3597" s="354">
        <v>0</v>
      </c>
      <c r="M3597" s="355">
        <v>3</v>
      </c>
      <c r="N3597" s="355">
        <v>4</v>
      </c>
    </row>
    <row r="3598" spans="1:14" hidden="1" x14ac:dyDescent="0.25">
      <c r="A3598" s="354">
        <v>0</v>
      </c>
      <c r="B3598" s="354">
        <v>0</v>
      </c>
      <c r="C3598" s="354">
        <v>0</v>
      </c>
      <c r="D3598" s="354">
        <v>0</v>
      </c>
      <c r="E3598" s="354">
        <v>0</v>
      </c>
      <c r="F3598" s="354">
        <v>0</v>
      </c>
      <c r="G3598" s="354">
        <v>1</v>
      </c>
      <c r="H3598" s="354">
        <v>2</v>
      </c>
      <c r="I3598" s="354">
        <v>1</v>
      </c>
      <c r="J3598" s="354">
        <v>2</v>
      </c>
      <c r="K3598" s="354">
        <v>0</v>
      </c>
      <c r="L3598" s="354">
        <v>0</v>
      </c>
      <c r="M3598" s="355">
        <v>2</v>
      </c>
      <c r="N3598" s="355">
        <v>4</v>
      </c>
    </row>
    <row r="3599" spans="1:14" hidden="1" x14ac:dyDescent="0.25">
      <c r="A3599" s="354">
        <v>0</v>
      </c>
      <c r="B3599" s="354">
        <v>0</v>
      </c>
      <c r="C3599" s="354">
        <v>1</v>
      </c>
      <c r="D3599" s="354">
        <v>1</v>
      </c>
      <c r="E3599" s="354">
        <v>0</v>
      </c>
      <c r="F3599" s="354">
        <v>0</v>
      </c>
      <c r="G3599" s="354">
        <v>1</v>
      </c>
      <c r="H3599" s="354">
        <v>0</v>
      </c>
      <c r="I3599" s="354">
        <v>1</v>
      </c>
      <c r="J3599" s="354">
        <v>1</v>
      </c>
      <c r="K3599" s="354">
        <v>0</v>
      </c>
      <c r="L3599" s="354">
        <v>0</v>
      </c>
      <c r="M3599" s="355">
        <v>3</v>
      </c>
      <c r="N3599" s="355">
        <v>2</v>
      </c>
    </row>
    <row r="3600" spans="1:14" hidden="1" x14ac:dyDescent="0.25">
      <c r="A3600" s="354">
        <v>1</v>
      </c>
      <c r="B3600" s="354">
        <v>0</v>
      </c>
      <c r="C3600" s="354">
        <v>0</v>
      </c>
      <c r="D3600" s="354">
        <v>2</v>
      </c>
      <c r="E3600" s="354">
        <v>0</v>
      </c>
      <c r="F3600" s="354">
        <v>0</v>
      </c>
      <c r="G3600" s="354">
        <v>1</v>
      </c>
      <c r="H3600" s="354">
        <v>0</v>
      </c>
      <c r="I3600" s="354">
        <v>1</v>
      </c>
      <c r="J3600" s="354">
        <v>1</v>
      </c>
      <c r="K3600" s="354">
        <v>0</v>
      </c>
      <c r="L3600" s="354">
        <v>0</v>
      </c>
      <c r="M3600" s="355">
        <v>3</v>
      </c>
      <c r="N3600" s="355">
        <v>3</v>
      </c>
    </row>
    <row r="3601" spans="1:14" hidden="1" x14ac:dyDescent="0.25">
      <c r="A3601" s="354">
        <v>0</v>
      </c>
      <c r="B3601" s="354">
        <v>0</v>
      </c>
      <c r="C3601" s="354">
        <v>0</v>
      </c>
      <c r="D3601" s="354">
        <v>0</v>
      </c>
      <c r="E3601" s="354">
        <v>2</v>
      </c>
      <c r="F3601" s="354">
        <v>1</v>
      </c>
      <c r="G3601" s="354">
        <v>0</v>
      </c>
      <c r="H3601" s="354">
        <v>1</v>
      </c>
      <c r="I3601" s="354">
        <v>1</v>
      </c>
      <c r="J3601" s="354">
        <v>1</v>
      </c>
      <c r="K3601" s="354">
        <v>0</v>
      </c>
      <c r="L3601" s="354">
        <v>0</v>
      </c>
      <c r="M3601" s="355">
        <v>3</v>
      </c>
      <c r="N3601" s="355">
        <v>3</v>
      </c>
    </row>
    <row r="3602" spans="1:14" hidden="1" x14ac:dyDescent="0.25">
      <c r="A3602" s="354">
        <v>0</v>
      </c>
      <c r="B3602" s="354">
        <v>0</v>
      </c>
      <c r="C3602" s="354">
        <v>1</v>
      </c>
      <c r="D3602" s="354">
        <v>0</v>
      </c>
      <c r="E3602" s="354">
        <v>2</v>
      </c>
      <c r="F3602" s="354">
        <v>0</v>
      </c>
      <c r="G3602" s="354">
        <v>1</v>
      </c>
      <c r="H3602" s="354">
        <v>0</v>
      </c>
      <c r="I3602" s="354">
        <v>1</v>
      </c>
      <c r="J3602" s="354">
        <v>1</v>
      </c>
      <c r="K3602" s="354">
        <v>0</v>
      </c>
      <c r="L3602" s="354">
        <v>0</v>
      </c>
      <c r="M3602" s="355">
        <v>5</v>
      </c>
      <c r="N3602" s="355">
        <v>1</v>
      </c>
    </row>
    <row r="3603" spans="1:14" hidden="1" x14ac:dyDescent="0.25">
      <c r="A3603" s="354">
        <v>0</v>
      </c>
      <c r="B3603" s="354">
        <v>0</v>
      </c>
      <c r="C3603" s="354">
        <v>1</v>
      </c>
      <c r="D3603" s="354">
        <v>0</v>
      </c>
      <c r="E3603" s="354">
        <v>1</v>
      </c>
      <c r="F3603" s="354">
        <v>2</v>
      </c>
      <c r="G3603" s="354">
        <v>0</v>
      </c>
      <c r="H3603" s="354">
        <v>1</v>
      </c>
      <c r="I3603" s="354">
        <v>1</v>
      </c>
      <c r="J3603" s="354">
        <v>1</v>
      </c>
      <c r="K3603" s="354">
        <v>0</v>
      </c>
      <c r="L3603" s="354">
        <v>0</v>
      </c>
      <c r="M3603" s="355">
        <v>3</v>
      </c>
      <c r="N3603" s="355">
        <v>4</v>
      </c>
    </row>
    <row r="3604" spans="1:14" hidden="1" x14ac:dyDescent="0.25">
      <c r="A3604" s="354">
        <v>0</v>
      </c>
      <c r="B3604" s="354">
        <v>0</v>
      </c>
      <c r="C3604" s="354">
        <v>1</v>
      </c>
      <c r="D3604" s="354">
        <v>1</v>
      </c>
      <c r="E3604" s="354">
        <v>1</v>
      </c>
      <c r="F3604" s="354">
        <v>1</v>
      </c>
      <c r="G3604" s="354">
        <v>0</v>
      </c>
      <c r="H3604" s="354">
        <v>1</v>
      </c>
      <c r="I3604" s="354">
        <v>1</v>
      </c>
      <c r="J3604" s="354">
        <v>1</v>
      </c>
      <c r="K3604" s="354">
        <v>0</v>
      </c>
      <c r="L3604" s="354">
        <v>0</v>
      </c>
      <c r="M3604" s="355">
        <v>3</v>
      </c>
      <c r="N3604" s="355">
        <v>4</v>
      </c>
    </row>
    <row r="3605" spans="1:14" hidden="1" x14ac:dyDescent="0.25">
      <c r="A3605" s="354">
        <v>0</v>
      </c>
      <c r="B3605" s="354">
        <v>1</v>
      </c>
      <c r="C3605" s="354">
        <v>0</v>
      </c>
      <c r="D3605" s="354">
        <v>1</v>
      </c>
      <c r="E3605" s="354">
        <v>1</v>
      </c>
      <c r="F3605" s="354">
        <v>1</v>
      </c>
      <c r="G3605" s="354">
        <v>1</v>
      </c>
      <c r="H3605" s="354">
        <v>2</v>
      </c>
      <c r="I3605" s="354">
        <v>1</v>
      </c>
      <c r="J3605" s="354">
        <v>1</v>
      </c>
      <c r="K3605" s="354">
        <v>0</v>
      </c>
      <c r="L3605" s="354">
        <v>0</v>
      </c>
      <c r="M3605" s="355">
        <v>3</v>
      </c>
      <c r="N3605" s="355">
        <v>6</v>
      </c>
    </row>
    <row r="3606" spans="1:14" hidden="1" x14ac:dyDescent="0.25">
      <c r="A3606" s="354">
        <v>0</v>
      </c>
      <c r="B3606" s="354">
        <v>1</v>
      </c>
      <c r="C3606" s="354">
        <v>1</v>
      </c>
      <c r="D3606" s="354">
        <v>1</v>
      </c>
      <c r="E3606" s="354">
        <v>0</v>
      </c>
      <c r="F3606" s="354">
        <v>1</v>
      </c>
      <c r="G3606" s="354">
        <v>0</v>
      </c>
      <c r="H3606" s="354">
        <v>1</v>
      </c>
      <c r="I3606" s="354">
        <v>1</v>
      </c>
      <c r="J3606" s="354">
        <v>1</v>
      </c>
      <c r="K3606" s="354">
        <v>0</v>
      </c>
      <c r="L3606" s="354">
        <v>0</v>
      </c>
      <c r="M3606" s="355">
        <v>2</v>
      </c>
      <c r="N3606" s="355">
        <v>5</v>
      </c>
    </row>
    <row r="3607" spans="1:14" hidden="1" x14ac:dyDescent="0.25">
      <c r="A3607" s="354">
        <v>0</v>
      </c>
      <c r="B3607" s="354">
        <v>1</v>
      </c>
      <c r="C3607" s="354">
        <v>1</v>
      </c>
      <c r="D3607" s="354">
        <v>1</v>
      </c>
      <c r="E3607" s="354">
        <v>2</v>
      </c>
      <c r="F3607" s="354">
        <v>1</v>
      </c>
      <c r="G3607" s="354">
        <v>1</v>
      </c>
      <c r="H3607" s="354">
        <v>0</v>
      </c>
      <c r="I3607" s="354">
        <v>1</v>
      </c>
      <c r="J3607" s="354">
        <v>1</v>
      </c>
      <c r="K3607" s="354">
        <v>0</v>
      </c>
      <c r="L3607" s="354">
        <v>0</v>
      </c>
      <c r="M3607" s="355">
        <v>5</v>
      </c>
      <c r="N3607" s="355">
        <v>4</v>
      </c>
    </row>
    <row r="3608" spans="1:14" hidden="1" x14ac:dyDescent="0.25">
      <c r="A3608" s="354">
        <v>0</v>
      </c>
      <c r="B3608" s="354">
        <v>1</v>
      </c>
      <c r="C3608" s="354">
        <v>1</v>
      </c>
      <c r="D3608" s="354">
        <v>1</v>
      </c>
      <c r="E3608" s="354">
        <v>1</v>
      </c>
      <c r="F3608" s="354">
        <v>0</v>
      </c>
      <c r="G3608" s="354">
        <v>1</v>
      </c>
      <c r="H3608" s="354">
        <v>0</v>
      </c>
      <c r="I3608" s="354">
        <v>1</v>
      </c>
      <c r="J3608" s="354">
        <v>1</v>
      </c>
      <c r="K3608" s="354">
        <v>0</v>
      </c>
      <c r="L3608" s="354">
        <v>0</v>
      </c>
      <c r="M3608" s="355">
        <v>4</v>
      </c>
      <c r="N3608" s="355">
        <v>3</v>
      </c>
    </row>
    <row r="3609" spans="1:14" hidden="1" x14ac:dyDescent="0.25">
      <c r="A3609" s="354">
        <v>0</v>
      </c>
      <c r="B3609" s="354">
        <v>1</v>
      </c>
      <c r="C3609" s="354">
        <v>1</v>
      </c>
      <c r="D3609" s="354">
        <v>0</v>
      </c>
      <c r="E3609" s="354">
        <v>0</v>
      </c>
      <c r="F3609" s="354">
        <v>1</v>
      </c>
      <c r="G3609" s="354">
        <v>1</v>
      </c>
      <c r="H3609" s="354">
        <v>0</v>
      </c>
      <c r="I3609" s="354">
        <v>1</v>
      </c>
      <c r="J3609" s="354">
        <v>1</v>
      </c>
      <c r="K3609" s="354">
        <v>0</v>
      </c>
      <c r="L3609" s="354">
        <v>0</v>
      </c>
      <c r="M3609" s="355">
        <v>3</v>
      </c>
      <c r="N3609" s="355">
        <v>3</v>
      </c>
    </row>
    <row r="3610" spans="1:14" hidden="1" x14ac:dyDescent="0.25">
      <c r="A3610" s="354">
        <v>1</v>
      </c>
      <c r="B3610" s="354">
        <v>0</v>
      </c>
      <c r="C3610" s="354">
        <v>1</v>
      </c>
      <c r="D3610" s="354">
        <v>1</v>
      </c>
      <c r="E3610" s="354">
        <v>2</v>
      </c>
      <c r="F3610" s="354">
        <v>2</v>
      </c>
      <c r="G3610" s="354">
        <v>1</v>
      </c>
      <c r="H3610" s="354">
        <v>2</v>
      </c>
      <c r="I3610" s="354">
        <v>2</v>
      </c>
      <c r="J3610" s="354">
        <v>3</v>
      </c>
      <c r="K3610" s="354">
        <v>0</v>
      </c>
      <c r="L3610" s="354">
        <v>0</v>
      </c>
      <c r="M3610" s="355">
        <v>7</v>
      </c>
      <c r="N3610" s="355">
        <v>8</v>
      </c>
    </row>
    <row r="3611" spans="1:14" hidden="1" x14ac:dyDescent="0.25">
      <c r="A3611" s="354">
        <v>0</v>
      </c>
      <c r="B3611" s="354">
        <v>0</v>
      </c>
      <c r="C3611" s="354">
        <v>2</v>
      </c>
      <c r="D3611" s="354">
        <v>0</v>
      </c>
      <c r="E3611" s="354">
        <v>3</v>
      </c>
      <c r="F3611" s="354">
        <v>0</v>
      </c>
      <c r="G3611" s="354">
        <v>0</v>
      </c>
      <c r="H3611" s="354">
        <v>0</v>
      </c>
      <c r="I3611" s="354">
        <v>1</v>
      </c>
      <c r="J3611" s="354">
        <v>1</v>
      </c>
      <c r="K3611" s="354">
        <v>0</v>
      </c>
      <c r="L3611" s="354">
        <v>0</v>
      </c>
      <c r="M3611" s="355">
        <v>6</v>
      </c>
      <c r="N3611" s="355">
        <v>1</v>
      </c>
    </row>
    <row r="3612" spans="1:14" hidden="1" x14ac:dyDescent="0.25">
      <c r="A3612" s="354">
        <v>1</v>
      </c>
      <c r="B3612" s="354">
        <v>0</v>
      </c>
      <c r="C3612" s="354">
        <v>1</v>
      </c>
      <c r="D3612" s="354">
        <v>0</v>
      </c>
      <c r="E3612" s="354">
        <v>2</v>
      </c>
      <c r="F3612" s="354">
        <v>1</v>
      </c>
      <c r="G3612" s="354">
        <v>2</v>
      </c>
      <c r="H3612" s="354">
        <v>0</v>
      </c>
      <c r="I3612" s="354">
        <v>1</v>
      </c>
      <c r="J3612" s="354">
        <v>2</v>
      </c>
      <c r="K3612" s="354">
        <v>0</v>
      </c>
      <c r="L3612" s="354">
        <v>0</v>
      </c>
      <c r="M3612" s="355">
        <v>7</v>
      </c>
      <c r="N3612" s="355">
        <v>3</v>
      </c>
    </row>
    <row r="3613" spans="1:14" hidden="1" x14ac:dyDescent="0.25">
      <c r="A3613" s="354">
        <v>1</v>
      </c>
      <c r="B3613" s="354">
        <v>0</v>
      </c>
      <c r="C3613" s="354">
        <v>2</v>
      </c>
      <c r="D3613" s="354">
        <v>0</v>
      </c>
      <c r="E3613" s="354"/>
      <c r="F3613" s="354">
        <v>2</v>
      </c>
      <c r="G3613" s="354">
        <v>0</v>
      </c>
      <c r="H3613" s="354">
        <v>0</v>
      </c>
      <c r="I3613" s="354">
        <v>1</v>
      </c>
      <c r="J3613" s="354">
        <v>2</v>
      </c>
      <c r="K3613" s="354">
        <v>0</v>
      </c>
      <c r="L3613" s="354">
        <v>0</v>
      </c>
      <c r="M3613" s="355">
        <v>4</v>
      </c>
      <c r="N3613" s="355">
        <v>4</v>
      </c>
    </row>
    <row r="3614" spans="1:14" hidden="1" x14ac:dyDescent="0.25">
      <c r="A3614" s="354">
        <v>0</v>
      </c>
      <c r="B3614" s="354">
        <v>1</v>
      </c>
      <c r="C3614" s="354">
        <v>1</v>
      </c>
      <c r="D3614" s="354">
        <v>1</v>
      </c>
      <c r="E3614" s="354">
        <v>1</v>
      </c>
      <c r="F3614" s="354">
        <v>0</v>
      </c>
      <c r="G3614" s="354"/>
      <c r="H3614" s="354">
        <v>0</v>
      </c>
      <c r="I3614" s="354">
        <v>1</v>
      </c>
      <c r="J3614" s="354">
        <v>1</v>
      </c>
      <c r="K3614" s="354">
        <v>0</v>
      </c>
      <c r="L3614" s="354">
        <v>0</v>
      </c>
      <c r="M3614" s="355">
        <v>3</v>
      </c>
      <c r="N3614" s="355">
        <v>3</v>
      </c>
    </row>
    <row r="3615" spans="1:14" hidden="1" x14ac:dyDescent="0.25">
      <c r="A3615" s="354">
        <v>0</v>
      </c>
      <c r="B3615" s="354">
        <v>1</v>
      </c>
      <c r="C3615" s="354">
        <v>0</v>
      </c>
      <c r="D3615" s="354">
        <v>1</v>
      </c>
      <c r="E3615" s="354">
        <v>2</v>
      </c>
      <c r="F3615" s="354">
        <v>1</v>
      </c>
      <c r="G3615" s="354">
        <v>1</v>
      </c>
      <c r="H3615" s="354">
        <v>0</v>
      </c>
      <c r="I3615" s="354">
        <v>1</v>
      </c>
      <c r="J3615" s="354">
        <v>2</v>
      </c>
      <c r="K3615" s="354">
        <v>0</v>
      </c>
      <c r="L3615" s="354">
        <v>0</v>
      </c>
      <c r="M3615" s="355">
        <v>4</v>
      </c>
      <c r="N3615" s="355">
        <v>5</v>
      </c>
    </row>
    <row r="3616" spans="1:14" hidden="1" x14ac:dyDescent="0.25">
      <c r="A3616" s="354">
        <v>1</v>
      </c>
      <c r="B3616" s="354">
        <v>1</v>
      </c>
      <c r="C3616" s="354">
        <v>1</v>
      </c>
      <c r="D3616" s="354">
        <v>0</v>
      </c>
      <c r="E3616" s="354">
        <v>2</v>
      </c>
      <c r="F3616" s="354">
        <v>1</v>
      </c>
      <c r="G3616" s="354">
        <v>2</v>
      </c>
      <c r="H3616" s="354">
        <v>1</v>
      </c>
      <c r="I3616" s="354">
        <v>1</v>
      </c>
      <c r="J3616" s="354">
        <v>2</v>
      </c>
      <c r="K3616" s="354">
        <v>0</v>
      </c>
      <c r="L3616" s="354">
        <v>0</v>
      </c>
      <c r="M3616" s="355">
        <v>7</v>
      </c>
      <c r="N3616" s="355">
        <v>5</v>
      </c>
    </row>
    <row r="3617" spans="1:14" hidden="1" x14ac:dyDescent="0.25">
      <c r="A3617" s="354">
        <v>2</v>
      </c>
      <c r="B3617" s="354">
        <v>0</v>
      </c>
      <c r="C3617" s="354">
        <v>3</v>
      </c>
      <c r="D3617" s="354">
        <v>0</v>
      </c>
      <c r="E3617" s="354">
        <v>2</v>
      </c>
      <c r="F3617" s="354">
        <v>2</v>
      </c>
      <c r="G3617" s="354">
        <v>2</v>
      </c>
      <c r="H3617" s="354">
        <v>0</v>
      </c>
      <c r="I3617" s="354">
        <v>1</v>
      </c>
      <c r="J3617" s="354">
        <v>3</v>
      </c>
      <c r="K3617" s="354">
        <v>0</v>
      </c>
      <c r="L3617" s="354">
        <v>0</v>
      </c>
      <c r="M3617" s="355">
        <v>10</v>
      </c>
      <c r="N3617" s="355">
        <v>5</v>
      </c>
    </row>
    <row r="3618" spans="1:14" hidden="1" x14ac:dyDescent="0.25">
      <c r="A3618" s="354">
        <v>0</v>
      </c>
      <c r="B3618" s="354">
        <v>2</v>
      </c>
      <c r="C3618" s="354">
        <v>0</v>
      </c>
      <c r="D3618" s="354">
        <v>2</v>
      </c>
      <c r="E3618" s="354">
        <v>3</v>
      </c>
      <c r="F3618" s="354">
        <v>3</v>
      </c>
      <c r="G3618" s="354">
        <v>0</v>
      </c>
      <c r="H3618" s="354">
        <v>0</v>
      </c>
      <c r="I3618" s="354">
        <v>1</v>
      </c>
      <c r="J3618" s="354">
        <v>2</v>
      </c>
      <c r="K3618" s="354">
        <v>0</v>
      </c>
      <c r="L3618" s="354">
        <v>0</v>
      </c>
      <c r="M3618" s="355">
        <v>4</v>
      </c>
      <c r="N3618" s="355">
        <v>9</v>
      </c>
    </row>
    <row r="3619" spans="1:14" hidden="1" x14ac:dyDescent="0.25">
      <c r="A3619" s="354">
        <v>0</v>
      </c>
      <c r="B3619" s="354">
        <v>2</v>
      </c>
      <c r="C3619" s="354">
        <v>0</v>
      </c>
      <c r="D3619" s="354">
        <v>3</v>
      </c>
      <c r="E3619" s="354">
        <v>3</v>
      </c>
      <c r="F3619" s="354">
        <v>3</v>
      </c>
      <c r="G3619" s="354">
        <v>1</v>
      </c>
      <c r="H3619" s="354">
        <v>2</v>
      </c>
      <c r="I3619" s="354">
        <v>1</v>
      </c>
      <c r="J3619" s="354">
        <v>2</v>
      </c>
      <c r="K3619" s="354">
        <v>0</v>
      </c>
      <c r="L3619" s="354">
        <v>0</v>
      </c>
      <c r="M3619" s="355">
        <v>5</v>
      </c>
      <c r="N3619" s="355">
        <v>12</v>
      </c>
    </row>
    <row r="3620" spans="1:14" hidden="1" x14ac:dyDescent="0.25">
      <c r="A3620" s="354">
        <v>1</v>
      </c>
      <c r="B3620" s="354">
        <v>0</v>
      </c>
      <c r="C3620" s="354">
        <v>0</v>
      </c>
      <c r="D3620" s="354">
        <v>2</v>
      </c>
      <c r="E3620" s="354">
        <v>3</v>
      </c>
      <c r="F3620" s="354">
        <v>2</v>
      </c>
      <c r="G3620" s="354">
        <v>1</v>
      </c>
      <c r="H3620" s="354">
        <v>1</v>
      </c>
      <c r="I3620" s="354">
        <v>1</v>
      </c>
      <c r="J3620" s="354">
        <v>1</v>
      </c>
      <c r="K3620" s="354">
        <v>0</v>
      </c>
      <c r="L3620" s="354">
        <v>0</v>
      </c>
      <c r="M3620" s="355">
        <v>6</v>
      </c>
      <c r="N3620" s="355">
        <v>6</v>
      </c>
    </row>
    <row r="3621" spans="1:14" hidden="1" x14ac:dyDescent="0.25">
      <c r="A3621" s="354">
        <v>0</v>
      </c>
      <c r="B3621" s="354">
        <v>1</v>
      </c>
      <c r="C3621" s="354">
        <v>2</v>
      </c>
      <c r="D3621" s="354">
        <v>0</v>
      </c>
      <c r="E3621" s="354">
        <v>3</v>
      </c>
      <c r="F3621" s="354">
        <v>2</v>
      </c>
      <c r="G3621" s="354">
        <v>0</v>
      </c>
      <c r="H3621" s="354">
        <v>2</v>
      </c>
      <c r="I3621" s="354">
        <v>0</v>
      </c>
      <c r="J3621" s="354">
        <v>2</v>
      </c>
      <c r="K3621" s="354">
        <v>0</v>
      </c>
      <c r="L3621" s="354">
        <v>0</v>
      </c>
      <c r="M3621" s="355">
        <v>5</v>
      </c>
      <c r="N3621" s="355">
        <v>7</v>
      </c>
    </row>
    <row r="3622" spans="1:14" hidden="1" x14ac:dyDescent="0.25">
      <c r="A3622" s="354">
        <v>0</v>
      </c>
      <c r="B3622" s="354">
        <v>1</v>
      </c>
      <c r="C3622" s="354">
        <v>2</v>
      </c>
      <c r="D3622" s="354">
        <v>0</v>
      </c>
      <c r="E3622" s="354">
        <v>4</v>
      </c>
      <c r="F3622" s="354">
        <v>3</v>
      </c>
      <c r="G3622" s="354">
        <v>1</v>
      </c>
      <c r="H3622" s="354">
        <v>1</v>
      </c>
      <c r="I3622" s="354">
        <v>1</v>
      </c>
      <c r="J3622" s="354">
        <v>1</v>
      </c>
      <c r="K3622" s="354">
        <v>0</v>
      </c>
      <c r="L3622" s="354">
        <v>0</v>
      </c>
      <c r="M3622" s="355">
        <v>8</v>
      </c>
      <c r="N3622" s="355">
        <v>6</v>
      </c>
    </row>
    <row r="3623" spans="1:14" hidden="1" x14ac:dyDescent="0.25">
      <c r="A3623" s="354">
        <v>1</v>
      </c>
      <c r="B3623" s="354">
        <v>0</v>
      </c>
      <c r="C3623" s="354">
        <v>0</v>
      </c>
      <c r="D3623" s="354">
        <v>2</v>
      </c>
      <c r="E3623" s="354">
        <v>1</v>
      </c>
      <c r="F3623" s="354">
        <v>1</v>
      </c>
      <c r="G3623" s="354">
        <v>0</v>
      </c>
      <c r="H3623" s="354">
        <v>0</v>
      </c>
      <c r="I3623" s="354">
        <v>1</v>
      </c>
      <c r="J3623" s="354">
        <v>1</v>
      </c>
      <c r="K3623" s="354">
        <v>0</v>
      </c>
      <c r="L3623" s="354">
        <v>0</v>
      </c>
      <c r="M3623" s="355">
        <v>3</v>
      </c>
      <c r="N3623" s="355">
        <v>4</v>
      </c>
    </row>
    <row r="3624" spans="1:14" hidden="1" x14ac:dyDescent="0.25">
      <c r="A3624" s="354">
        <v>2</v>
      </c>
      <c r="B3624" s="354">
        <v>0</v>
      </c>
      <c r="C3624" s="354">
        <v>4</v>
      </c>
      <c r="D3624" s="354">
        <v>0</v>
      </c>
      <c r="E3624" s="354">
        <v>1</v>
      </c>
      <c r="F3624" s="354">
        <v>4</v>
      </c>
      <c r="G3624" s="354">
        <v>0</v>
      </c>
      <c r="H3624" s="354">
        <v>3</v>
      </c>
      <c r="I3624" s="354">
        <v>1</v>
      </c>
      <c r="J3624" s="354">
        <v>3</v>
      </c>
      <c r="K3624" s="354">
        <v>0</v>
      </c>
      <c r="L3624" s="354">
        <v>0</v>
      </c>
      <c r="M3624" s="355">
        <v>8</v>
      </c>
      <c r="N3624" s="355">
        <v>10</v>
      </c>
    </row>
    <row r="3625" spans="1:14" hidden="1" x14ac:dyDescent="0.25">
      <c r="A3625" s="354">
        <v>2</v>
      </c>
      <c r="B3625" s="354">
        <v>2</v>
      </c>
      <c r="C3625" s="354">
        <v>0</v>
      </c>
      <c r="D3625" s="354">
        <v>0</v>
      </c>
      <c r="E3625" s="354">
        <v>6</v>
      </c>
      <c r="F3625" s="354">
        <v>4</v>
      </c>
      <c r="G3625" s="354">
        <v>1</v>
      </c>
      <c r="H3625" s="354">
        <v>0</v>
      </c>
      <c r="I3625" s="354">
        <v>1</v>
      </c>
      <c r="J3625" s="354">
        <v>4</v>
      </c>
      <c r="K3625" s="354">
        <v>0</v>
      </c>
      <c r="L3625" s="354">
        <v>0</v>
      </c>
      <c r="M3625" s="355">
        <v>10</v>
      </c>
      <c r="N3625" s="355">
        <v>10</v>
      </c>
    </row>
    <row r="3626" spans="1:14" hidden="1" x14ac:dyDescent="0.25">
      <c r="A3626" s="354">
        <v>0</v>
      </c>
      <c r="B3626" s="354">
        <v>1</v>
      </c>
      <c r="C3626" s="354">
        <v>3</v>
      </c>
      <c r="D3626" s="354">
        <v>0</v>
      </c>
      <c r="E3626" s="354">
        <v>0</v>
      </c>
      <c r="F3626" s="354">
        <v>0</v>
      </c>
      <c r="G3626" s="354">
        <v>0</v>
      </c>
      <c r="H3626" s="354">
        <v>0</v>
      </c>
      <c r="I3626" s="354">
        <v>1</v>
      </c>
      <c r="J3626" s="354">
        <v>1</v>
      </c>
      <c r="K3626" s="354">
        <v>0</v>
      </c>
      <c r="L3626" s="354">
        <v>0</v>
      </c>
      <c r="M3626" s="355">
        <v>4</v>
      </c>
      <c r="N3626" s="355">
        <v>2</v>
      </c>
    </row>
    <row r="3627" spans="1:14" hidden="1" x14ac:dyDescent="0.25">
      <c r="A3627" s="354">
        <v>0</v>
      </c>
      <c r="B3627" s="354">
        <v>1</v>
      </c>
      <c r="C3627" s="354">
        <v>0</v>
      </c>
      <c r="D3627" s="354">
        <v>1</v>
      </c>
      <c r="E3627" s="354">
        <v>0</v>
      </c>
      <c r="F3627" s="354">
        <v>0</v>
      </c>
      <c r="G3627" s="354">
        <v>5</v>
      </c>
      <c r="H3627" s="354">
        <v>6</v>
      </c>
      <c r="I3627" s="354">
        <v>1</v>
      </c>
      <c r="J3627" s="354">
        <v>4</v>
      </c>
      <c r="K3627" s="354">
        <v>0</v>
      </c>
      <c r="L3627" s="354">
        <v>0</v>
      </c>
      <c r="M3627" s="355">
        <v>6</v>
      </c>
      <c r="N3627" s="355">
        <v>12</v>
      </c>
    </row>
    <row r="3628" spans="1:14" hidden="1" x14ac:dyDescent="0.25">
      <c r="A3628" s="354">
        <v>1</v>
      </c>
      <c r="B3628" s="354">
        <v>1</v>
      </c>
      <c r="C3628" s="354">
        <v>1</v>
      </c>
      <c r="D3628" s="354">
        <v>0</v>
      </c>
      <c r="E3628" s="354">
        <v>0</v>
      </c>
      <c r="F3628" s="354">
        <v>0</v>
      </c>
      <c r="G3628" s="354">
        <v>0</v>
      </c>
      <c r="H3628" s="354">
        <v>0</v>
      </c>
      <c r="I3628" s="354">
        <v>1</v>
      </c>
      <c r="J3628" s="354">
        <v>2</v>
      </c>
      <c r="K3628" s="354">
        <v>0</v>
      </c>
      <c r="L3628" s="354">
        <v>0</v>
      </c>
      <c r="M3628" s="355">
        <v>3</v>
      </c>
      <c r="N3628" s="355">
        <v>3</v>
      </c>
    </row>
    <row r="3629" spans="1:14" hidden="1" x14ac:dyDescent="0.25">
      <c r="A3629" s="354">
        <v>0</v>
      </c>
      <c r="B3629" s="354">
        <v>0</v>
      </c>
      <c r="C3629" s="354">
        <v>1</v>
      </c>
      <c r="D3629" s="354">
        <v>2</v>
      </c>
      <c r="E3629" s="354">
        <v>1</v>
      </c>
      <c r="F3629" s="354">
        <v>0</v>
      </c>
      <c r="G3629" s="354">
        <v>0</v>
      </c>
      <c r="H3629" s="354">
        <v>0</v>
      </c>
      <c r="I3629" s="354">
        <v>1</v>
      </c>
      <c r="J3629" s="354">
        <v>1</v>
      </c>
      <c r="K3629" s="354">
        <v>1</v>
      </c>
      <c r="L3629" s="354">
        <v>0</v>
      </c>
      <c r="M3629" s="355">
        <v>4</v>
      </c>
      <c r="N3629" s="355">
        <v>3</v>
      </c>
    </row>
    <row r="3630" spans="1:14" hidden="1" x14ac:dyDescent="0.25">
      <c r="A3630" s="354">
        <v>0</v>
      </c>
      <c r="B3630" s="354">
        <v>1</v>
      </c>
      <c r="C3630" s="354">
        <v>3</v>
      </c>
      <c r="D3630" s="354">
        <v>0</v>
      </c>
      <c r="E3630" s="354">
        <v>1</v>
      </c>
      <c r="F3630" s="354">
        <v>4</v>
      </c>
      <c r="G3630" s="354">
        <v>0</v>
      </c>
      <c r="H3630" s="354">
        <v>0</v>
      </c>
      <c r="I3630" s="354">
        <v>1</v>
      </c>
      <c r="J3630" s="354">
        <v>1</v>
      </c>
      <c r="K3630" s="354">
        <v>0</v>
      </c>
      <c r="L3630" s="354">
        <v>0</v>
      </c>
      <c r="M3630" s="355">
        <v>5</v>
      </c>
      <c r="N3630" s="355">
        <v>6</v>
      </c>
    </row>
    <row r="3631" spans="1:14" hidden="1" x14ac:dyDescent="0.25">
      <c r="A3631" s="354">
        <v>0</v>
      </c>
      <c r="B3631" s="354">
        <v>0</v>
      </c>
      <c r="C3631" s="354">
        <v>0</v>
      </c>
      <c r="D3631" s="354">
        <v>0</v>
      </c>
      <c r="E3631" s="354">
        <v>0</v>
      </c>
      <c r="F3631" s="354">
        <v>0</v>
      </c>
      <c r="G3631" s="354">
        <v>1</v>
      </c>
      <c r="H3631" s="354">
        <v>1</v>
      </c>
      <c r="I3631" s="354">
        <v>7</v>
      </c>
      <c r="J3631" s="354">
        <v>4</v>
      </c>
      <c r="K3631" s="354">
        <v>1</v>
      </c>
      <c r="L3631" s="354">
        <v>0</v>
      </c>
      <c r="M3631" s="355">
        <v>9</v>
      </c>
      <c r="N3631" s="355">
        <v>5</v>
      </c>
    </row>
    <row r="3632" spans="1:14" hidden="1" x14ac:dyDescent="0.25">
      <c r="A3632" s="354">
        <v>2</v>
      </c>
      <c r="B3632" s="354">
        <v>0</v>
      </c>
      <c r="C3632" s="354">
        <v>0</v>
      </c>
      <c r="D3632" s="354">
        <v>3</v>
      </c>
      <c r="E3632" s="354">
        <v>2</v>
      </c>
      <c r="F3632" s="354">
        <v>0</v>
      </c>
      <c r="G3632" s="354">
        <v>0</v>
      </c>
      <c r="H3632" s="354">
        <v>0</v>
      </c>
      <c r="I3632" s="354">
        <v>1</v>
      </c>
      <c r="J3632" s="354">
        <v>1</v>
      </c>
      <c r="K3632" s="354">
        <v>0</v>
      </c>
      <c r="L3632" s="354">
        <v>0</v>
      </c>
      <c r="M3632" s="355">
        <v>5</v>
      </c>
      <c r="N3632" s="355">
        <v>4</v>
      </c>
    </row>
    <row r="3633" spans="1:14" hidden="1" x14ac:dyDescent="0.25">
      <c r="A3633" s="354">
        <v>1</v>
      </c>
      <c r="B3633" s="354">
        <v>0</v>
      </c>
      <c r="C3633" s="354">
        <v>1</v>
      </c>
      <c r="D3633" s="354">
        <v>1</v>
      </c>
      <c r="E3633" s="354">
        <v>1</v>
      </c>
      <c r="F3633" s="354">
        <v>1</v>
      </c>
      <c r="G3633" s="354">
        <v>0</v>
      </c>
      <c r="H3633" s="354">
        <v>1</v>
      </c>
      <c r="I3633" s="354">
        <v>3</v>
      </c>
      <c r="J3633" s="354">
        <v>2</v>
      </c>
      <c r="K3633" s="354">
        <v>1</v>
      </c>
      <c r="L3633" s="354">
        <v>0</v>
      </c>
      <c r="M3633" s="355">
        <v>7</v>
      </c>
      <c r="N3633" s="355">
        <v>5</v>
      </c>
    </row>
    <row r="3634" spans="1:14" hidden="1" x14ac:dyDescent="0.25">
      <c r="A3634" s="354">
        <v>0</v>
      </c>
      <c r="B3634" s="354">
        <v>0</v>
      </c>
      <c r="C3634" s="354">
        <v>1</v>
      </c>
      <c r="D3634" s="354">
        <v>2</v>
      </c>
      <c r="E3634" s="354">
        <v>5</v>
      </c>
      <c r="F3634" s="354">
        <v>4</v>
      </c>
      <c r="G3634" s="354">
        <v>1</v>
      </c>
      <c r="H3634" s="354">
        <v>1</v>
      </c>
      <c r="I3634" s="354">
        <v>1</v>
      </c>
      <c r="J3634" s="354">
        <v>1</v>
      </c>
      <c r="K3634" s="354">
        <v>0</v>
      </c>
      <c r="L3634" s="354">
        <v>0</v>
      </c>
      <c r="M3634" s="355">
        <v>8</v>
      </c>
      <c r="N3634" s="355">
        <v>8</v>
      </c>
    </row>
    <row r="3635" spans="1:14" hidden="1" x14ac:dyDescent="0.25">
      <c r="A3635" s="354">
        <v>1</v>
      </c>
      <c r="B3635" s="354">
        <v>0</v>
      </c>
      <c r="C3635" s="354">
        <v>1</v>
      </c>
      <c r="D3635" s="354">
        <v>1</v>
      </c>
      <c r="E3635" s="354">
        <v>1</v>
      </c>
      <c r="F3635" s="354">
        <v>0</v>
      </c>
      <c r="G3635" s="354">
        <v>1</v>
      </c>
      <c r="H3635" s="354">
        <v>1</v>
      </c>
      <c r="I3635" s="354">
        <v>1</v>
      </c>
      <c r="J3635" s="354">
        <v>2</v>
      </c>
      <c r="K3635" s="354">
        <v>0</v>
      </c>
      <c r="L3635" s="354">
        <v>0</v>
      </c>
      <c r="M3635" s="355">
        <v>5</v>
      </c>
      <c r="N3635" s="355">
        <v>4</v>
      </c>
    </row>
    <row r="3636" spans="1:14" hidden="1" x14ac:dyDescent="0.25">
      <c r="A3636" s="354">
        <v>0</v>
      </c>
      <c r="B3636" s="354">
        <v>0</v>
      </c>
      <c r="C3636" s="354">
        <v>1</v>
      </c>
      <c r="D3636" s="354">
        <v>1</v>
      </c>
      <c r="E3636" s="354">
        <v>1</v>
      </c>
      <c r="F3636" s="354">
        <v>2</v>
      </c>
      <c r="G3636" s="354">
        <v>0</v>
      </c>
      <c r="H3636" s="354">
        <v>0</v>
      </c>
      <c r="I3636" s="354">
        <v>1</v>
      </c>
      <c r="J3636" s="354">
        <v>3</v>
      </c>
      <c r="K3636" s="354">
        <v>0</v>
      </c>
      <c r="L3636" s="354">
        <v>0</v>
      </c>
      <c r="M3636" s="355">
        <v>3</v>
      </c>
      <c r="N3636" s="355">
        <v>6</v>
      </c>
    </row>
    <row r="3637" spans="1:14" hidden="1" x14ac:dyDescent="0.25">
      <c r="A3637" s="354">
        <v>1</v>
      </c>
      <c r="B3637" s="354">
        <v>0</v>
      </c>
      <c r="C3637" s="354">
        <v>0</v>
      </c>
      <c r="D3637" s="354">
        <v>1</v>
      </c>
      <c r="E3637" s="354">
        <v>2</v>
      </c>
      <c r="F3637" s="354">
        <v>0</v>
      </c>
      <c r="G3637" s="354">
        <v>1</v>
      </c>
      <c r="H3637" s="354">
        <v>0</v>
      </c>
      <c r="I3637" s="354">
        <v>1</v>
      </c>
      <c r="J3637" s="354">
        <v>1</v>
      </c>
      <c r="K3637" s="354">
        <v>0</v>
      </c>
      <c r="L3637" s="354">
        <v>0</v>
      </c>
      <c r="M3637" s="355">
        <v>5</v>
      </c>
      <c r="N3637" s="355">
        <v>2</v>
      </c>
    </row>
    <row r="3638" spans="1:14" hidden="1" x14ac:dyDescent="0.25">
      <c r="A3638" s="354">
        <v>0</v>
      </c>
      <c r="B3638" s="354">
        <v>0</v>
      </c>
      <c r="C3638" s="354">
        <v>0</v>
      </c>
      <c r="D3638" s="354">
        <v>2</v>
      </c>
      <c r="E3638" s="354">
        <v>1</v>
      </c>
      <c r="F3638" s="354">
        <v>1</v>
      </c>
      <c r="G3638" s="354">
        <v>0</v>
      </c>
      <c r="H3638" s="354">
        <v>3</v>
      </c>
      <c r="I3638" s="354">
        <v>4</v>
      </c>
      <c r="J3638" s="354">
        <v>2</v>
      </c>
      <c r="K3638" s="354">
        <v>0</v>
      </c>
      <c r="L3638" s="354">
        <v>0</v>
      </c>
      <c r="M3638" s="355">
        <v>5</v>
      </c>
      <c r="N3638" s="355">
        <v>8</v>
      </c>
    </row>
    <row r="3639" spans="1:14" hidden="1" x14ac:dyDescent="0.25">
      <c r="A3639" s="354">
        <v>1</v>
      </c>
      <c r="B3639" s="354">
        <v>0</v>
      </c>
      <c r="C3639" s="354">
        <v>1</v>
      </c>
      <c r="D3639" s="354">
        <v>1</v>
      </c>
      <c r="E3639" s="354">
        <v>2</v>
      </c>
      <c r="F3639" s="354">
        <v>2</v>
      </c>
      <c r="G3639" s="354">
        <v>2</v>
      </c>
      <c r="H3639" s="354">
        <v>2</v>
      </c>
      <c r="I3639" s="354">
        <v>1</v>
      </c>
      <c r="J3639" s="354">
        <v>1</v>
      </c>
      <c r="K3639" s="354">
        <v>0</v>
      </c>
      <c r="L3639" s="354">
        <v>0</v>
      </c>
      <c r="M3639" s="355">
        <v>7</v>
      </c>
      <c r="N3639" s="355">
        <v>6</v>
      </c>
    </row>
    <row r="3640" spans="1:14" hidden="1" x14ac:dyDescent="0.25">
      <c r="A3640" s="354">
        <v>1</v>
      </c>
      <c r="B3640" s="354">
        <v>1</v>
      </c>
      <c r="C3640" s="354">
        <v>2</v>
      </c>
      <c r="D3640" s="354">
        <v>2</v>
      </c>
      <c r="E3640" s="354">
        <v>1</v>
      </c>
      <c r="F3640" s="354">
        <v>0</v>
      </c>
      <c r="G3640" s="354">
        <v>1</v>
      </c>
      <c r="H3640" s="354">
        <v>0</v>
      </c>
      <c r="I3640" s="354">
        <v>1</v>
      </c>
      <c r="J3640" s="354">
        <v>2</v>
      </c>
      <c r="K3640" s="354">
        <v>0</v>
      </c>
      <c r="L3640" s="354">
        <v>0</v>
      </c>
      <c r="M3640" s="355">
        <v>6</v>
      </c>
      <c r="N3640" s="355">
        <v>5</v>
      </c>
    </row>
    <row r="3641" spans="1:14" hidden="1" x14ac:dyDescent="0.25">
      <c r="A3641" s="354">
        <v>2</v>
      </c>
      <c r="B3641" s="354">
        <v>0</v>
      </c>
      <c r="C3641" s="354">
        <v>2</v>
      </c>
      <c r="D3641" s="354">
        <v>0</v>
      </c>
      <c r="E3641" s="354">
        <v>1</v>
      </c>
      <c r="F3641" s="354">
        <v>2</v>
      </c>
      <c r="G3641" s="354">
        <v>0</v>
      </c>
      <c r="H3641" s="354">
        <v>0</v>
      </c>
      <c r="I3641" s="354">
        <v>1</v>
      </c>
      <c r="J3641" s="354">
        <v>1</v>
      </c>
      <c r="K3641" s="354">
        <v>0</v>
      </c>
      <c r="L3641" s="354">
        <v>0</v>
      </c>
      <c r="M3641" s="355">
        <v>6</v>
      </c>
      <c r="N3641" s="355">
        <v>3</v>
      </c>
    </row>
    <row r="3642" spans="1:14" hidden="1" x14ac:dyDescent="0.25">
      <c r="A3642" s="354">
        <v>0</v>
      </c>
      <c r="B3642" s="354">
        <v>0</v>
      </c>
      <c r="C3642" s="354">
        <v>0</v>
      </c>
      <c r="D3642" s="354">
        <v>0</v>
      </c>
      <c r="E3642" s="354">
        <v>0</v>
      </c>
      <c r="F3642" s="354">
        <v>1</v>
      </c>
      <c r="G3642" s="354">
        <v>1</v>
      </c>
      <c r="H3642" s="354">
        <v>0</v>
      </c>
      <c r="I3642" s="354">
        <v>1</v>
      </c>
      <c r="J3642" s="354">
        <v>2</v>
      </c>
      <c r="K3642" s="354">
        <v>0</v>
      </c>
      <c r="L3642" s="354">
        <v>0</v>
      </c>
      <c r="M3642" s="355">
        <v>2</v>
      </c>
      <c r="N3642" s="355">
        <v>3</v>
      </c>
    </row>
    <row r="3643" spans="1:14" hidden="1" x14ac:dyDescent="0.25">
      <c r="A3643" s="354">
        <v>1</v>
      </c>
      <c r="B3643" s="354">
        <v>2</v>
      </c>
      <c r="C3643" s="354">
        <v>3</v>
      </c>
      <c r="D3643" s="354">
        <v>3</v>
      </c>
      <c r="E3643" s="354">
        <v>1</v>
      </c>
      <c r="F3643" s="354">
        <v>3</v>
      </c>
      <c r="G3643" s="354">
        <v>4</v>
      </c>
      <c r="H3643" s="354">
        <v>5</v>
      </c>
      <c r="I3643" s="354">
        <v>3</v>
      </c>
      <c r="J3643" s="354">
        <v>1</v>
      </c>
      <c r="K3643" s="354">
        <v>0</v>
      </c>
      <c r="L3643" s="354">
        <v>0</v>
      </c>
      <c r="M3643" s="355">
        <v>12</v>
      </c>
      <c r="N3643" s="355">
        <v>14</v>
      </c>
    </row>
    <row r="3644" spans="1:14" hidden="1" x14ac:dyDescent="0.25">
      <c r="A3644" s="354">
        <v>0</v>
      </c>
      <c r="B3644" s="354">
        <v>0</v>
      </c>
      <c r="C3644" s="354">
        <v>0</v>
      </c>
      <c r="D3644" s="354">
        <v>0</v>
      </c>
      <c r="E3644" s="354">
        <v>0</v>
      </c>
      <c r="F3644" s="354">
        <v>0</v>
      </c>
      <c r="G3644" s="354">
        <v>1</v>
      </c>
      <c r="H3644" s="354">
        <v>1</v>
      </c>
      <c r="I3644" s="354">
        <v>0</v>
      </c>
      <c r="J3644" s="354">
        <v>1</v>
      </c>
      <c r="K3644" s="354">
        <v>0</v>
      </c>
      <c r="L3644" s="354">
        <v>0</v>
      </c>
      <c r="M3644" s="355">
        <v>1</v>
      </c>
      <c r="N3644" s="355">
        <v>2</v>
      </c>
    </row>
    <row r="3645" spans="1:14" hidden="1" x14ac:dyDescent="0.25">
      <c r="A3645" s="354">
        <v>2</v>
      </c>
      <c r="B3645" s="354">
        <v>0</v>
      </c>
      <c r="C3645" s="354">
        <v>1</v>
      </c>
      <c r="D3645" s="354">
        <v>1</v>
      </c>
      <c r="E3645" s="354">
        <v>1</v>
      </c>
      <c r="F3645" s="354">
        <v>1</v>
      </c>
      <c r="G3645" s="354">
        <v>2</v>
      </c>
      <c r="H3645" s="354">
        <v>1</v>
      </c>
      <c r="I3645" s="354">
        <v>2</v>
      </c>
      <c r="J3645" s="354">
        <v>2</v>
      </c>
      <c r="K3645" s="354">
        <v>0</v>
      </c>
      <c r="L3645" s="354">
        <v>0</v>
      </c>
      <c r="M3645" s="355">
        <v>8</v>
      </c>
      <c r="N3645" s="355">
        <v>5</v>
      </c>
    </row>
    <row r="3646" spans="1:14" hidden="1" x14ac:dyDescent="0.25">
      <c r="A3646" s="354">
        <v>0</v>
      </c>
      <c r="B3646" s="354">
        <v>1</v>
      </c>
      <c r="C3646" s="354">
        <v>2</v>
      </c>
      <c r="D3646" s="354">
        <v>0</v>
      </c>
      <c r="E3646" s="354">
        <v>1</v>
      </c>
      <c r="F3646" s="354">
        <v>2</v>
      </c>
      <c r="G3646" s="354">
        <v>0</v>
      </c>
      <c r="H3646" s="354">
        <v>1</v>
      </c>
      <c r="I3646" s="354">
        <v>1</v>
      </c>
      <c r="J3646" s="354">
        <v>1</v>
      </c>
      <c r="K3646" s="354">
        <v>0</v>
      </c>
      <c r="L3646" s="354">
        <v>0</v>
      </c>
      <c r="M3646" s="355">
        <v>4</v>
      </c>
      <c r="N3646" s="355">
        <v>5</v>
      </c>
    </row>
    <row r="3647" spans="1:14" hidden="1" x14ac:dyDescent="0.25">
      <c r="A3647" s="354">
        <v>0</v>
      </c>
      <c r="B3647" s="354">
        <v>0</v>
      </c>
      <c r="C3647" s="354">
        <v>1</v>
      </c>
      <c r="D3647" s="354">
        <v>0</v>
      </c>
      <c r="E3647" s="354">
        <v>1</v>
      </c>
      <c r="F3647" s="354">
        <v>1</v>
      </c>
      <c r="G3647" s="354">
        <v>0</v>
      </c>
      <c r="H3647" s="354">
        <v>1</v>
      </c>
      <c r="I3647" s="354">
        <v>1</v>
      </c>
      <c r="J3647" s="354">
        <v>1</v>
      </c>
      <c r="K3647" s="354">
        <v>0</v>
      </c>
      <c r="L3647" s="354">
        <v>0</v>
      </c>
      <c r="M3647" s="355">
        <v>3</v>
      </c>
      <c r="N3647" s="355">
        <v>3</v>
      </c>
    </row>
    <row r="3648" spans="1:14" hidden="1" x14ac:dyDescent="0.25">
      <c r="A3648" s="354">
        <v>1</v>
      </c>
      <c r="B3648" s="354">
        <v>0</v>
      </c>
      <c r="C3648" s="354">
        <v>0</v>
      </c>
      <c r="D3648" s="354">
        <v>0</v>
      </c>
      <c r="E3648" s="354">
        <v>0</v>
      </c>
      <c r="F3648" s="354">
        <v>0</v>
      </c>
      <c r="G3648" s="354">
        <v>0</v>
      </c>
      <c r="H3648" s="354">
        <v>0</v>
      </c>
      <c r="I3648" s="354">
        <v>0</v>
      </c>
      <c r="J3648" s="354">
        <v>1</v>
      </c>
      <c r="K3648" s="354">
        <v>0</v>
      </c>
      <c r="L3648" s="354">
        <v>0</v>
      </c>
      <c r="M3648" s="355">
        <v>1</v>
      </c>
      <c r="N3648" s="355">
        <v>1</v>
      </c>
    </row>
    <row r="3649" spans="1:14" hidden="1" x14ac:dyDescent="0.25">
      <c r="A3649" s="354">
        <v>1</v>
      </c>
      <c r="B3649" s="354">
        <v>0</v>
      </c>
      <c r="C3649" s="354">
        <v>1</v>
      </c>
      <c r="D3649" s="354">
        <v>1</v>
      </c>
      <c r="E3649" s="354">
        <v>0</v>
      </c>
      <c r="F3649" s="354">
        <v>1</v>
      </c>
      <c r="G3649" s="354">
        <v>0</v>
      </c>
      <c r="H3649" s="354">
        <v>0</v>
      </c>
      <c r="I3649" s="354">
        <v>0</v>
      </c>
      <c r="J3649" s="354">
        <v>1</v>
      </c>
      <c r="K3649" s="354">
        <v>0</v>
      </c>
      <c r="L3649" s="354">
        <v>0</v>
      </c>
      <c r="M3649" s="355">
        <v>2</v>
      </c>
      <c r="N3649" s="355">
        <v>3</v>
      </c>
    </row>
    <row r="3650" spans="1:14" hidden="1" x14ac:dyDescent="0.25">
      <c r="A3650" s="354">
        <v>0</v>
      </c>
      <c r="B3650" s="354">
        <v>0</v>
      </c>
      <c r="C3650" s="354">
        <v>1</v>
      </c>
      <c r="D3650" s="354">
        <v>0</v>
      </c>
      <c r="E3650" s="354">
        <v>0</v>
      </c>
      <c r="F3650" s="354">
        <v>2</v>
      </c>
      <c r="G3650" s="354">
        <v>1</v>
      </c>
      <c r="H3650" s="354">
        <v>2</v>
      </c>
      <c r="I3650" s="354">
        <v>1</v>
      </c>
      <c r="J3650" s="354">
        <v>1</v>
      </c>
      <c r="K3650" s="354">
        <v>0</v>
      </c>
      <c r="L3650" s="354">
        <v>0</v>
      </c>
      <c r="M3650" s="355">
        <v>3</v>
      </c>
      <c r="N3650" s="355">
        <v>5</v>
      </c>
    </row>
    <row r="3651" spans="1:14" hidden="1" x14ac:dyDescent="0.25">
      <c r="A3651" s="354">
        <v>0</v>
      </c>
      <c r="B3651" s="354">
        <v>1</v>
      </c>
      <c r="C3651" s="354">
        <v>1</v>
      </c>
      <c r="D3651" s="354">
        <v>0</v>
      </c>
      <c r="E3651" s="354">
        <v>2</v>
      </c>
      <c r="F3651" s="354">
        <v>1</v>
      </c>
      <c r="G3651" s="354">
        <v>1</v>
      </c>
      <c r="H3651" s="354">
        <v>2</v>
      </c>
      <c r="I3651" s="354">
        <v>1</v>
      </c>
      <c r="J3651" s="354">
        <v>2</v>
      </c>
      <c r="K3651" s="354">
        <v>0</v>
      </c>
      <c r="L3651" s="354">
        <v>0</v>
      </c>
      <c r="M3651" s="355">
        <v>5</v>
      </c>
      <c r="N3651" s="355">
        <v>6</v>
      </c>
    </row>
    <row r="3652" spans="1:14" hidden="1" x14ac:dyDescent="0.25">
      <c r="A3652" s="354">
        <v>0</v>
      </c>
      <c r="B3652" s="354">
        <v>0</v>
      </c>
      <c r="C3652" s="354">
        <v>0</v>
      </c>
      <c r="D3652" s="354">
        <v>0</v>
      </c>
      <c r="E3652" s="354">
        <v>2</v>
      </c>
      <c r="F3652" s="354">
        <v>1</v>
      </c>
      <c r="G3652" s="354">
        <v>1</v>
      </c>
      <c r="H3652" s="354">
        <v>1</v>
      </c>
      <c r="I3652" s="354">
        <v>2</v>
      </c>
      <c r="J3652" s="354">
        <v>0</v>
      </c>
      <c r="K3652" s="354">
        <v>0</v>
      </c>
      <c r="L3652" s="354">
        <v>0</v>
      </c>
      <c r="M3652" s="355">
        <v>5</v>
      </c>
      <c r="N3652" s="355">
        <v>2</v>
      </c>
    </row>
    <row r="3653" spans="1:14" hidden="1" x14ac:dyDescent="0.25">
      <c r="A3653" s="354">
        <v>0</v>
      </c>
      <c r="B3653" s="354">
        <v>0</v>
      </c>
      <c r="C3653" s="354">
        <v>0</v>
      </c>
      <c r="D3653" s="354">
        <v>0</v>
      </c>
      <c r="E3653" s="354">
        <v>2</v>
      </c>
      <c r="F3653" s="354">
        <v>1</v>
      </c>
      <c r="G3653" s="354">
        <v>1</v>
      </c>
      <c r="H3653" s="354">
        <v>1</v>
      </c>
      <c r="I3653" s="354">
        <v>2</v>
      </c>
      <c r="J3653" s="354">
        <v>1</v>
      </c>
      <c r="K3653" s="354">
        <v>0</v>
      </c>
      <c r="L3653" s="354">
        <v>0</v>
      </c>
      <c r="M3653" s="355">
        <v>5</v>
      </c>
      <c r="N3653" s="355">
        <v>3</v>
      </c>
    </row>
    <row r="3654" spans="1:14" hidden="1" x14ac:dyDescent="0.25">
      <c r="A3654" s="354">
        <v>0</v>
      </c>
      <c r="B3654" s="354">
        <v>0</v>
      </c>
      <c r="C3654" s="354">
        <v>0</v>
      </c>
      <c r="D3654" s="354">
        <v>0</v>
      </c>
      <c r="E3654" s="354">
        <v>0</v>
      </c>
      <c r="F3654" s="354">
        <v>2</v>
      </c>
      <c r="G3654" s="354">
        <v>2</v>
      </c>
      <c r="H3654" s="354">
        <v>1</v>
      </c>
      <c r="I3654" s="354">
        <v>3</v>
      </c>
      <c r="J3654" s="354">
        <v>1</v>
      </c>
      <c r="K3654" s="354">
        <v>0</v>
      </c>
      <c r="L3654" s="354">
        <v>0</v>
      </c>
      <c r="M3654" s="355">
        <v>5</v>
      </c>
      <c r="N3654" s="355">
        <v>4</v>
      </c>
    </row>
    <row r="3655" spans="1:14" hidden="1" x14ac:dyDescent="0.25">
      <c r="A3655" s="354">
        <v>0</v>
      </c>
      <c r="B3655" s="354">
        <v>0</v>
      </c>
      <c r="C3655" s="354">
        <v>0</v>
      </c>
      <c r="D3655" s="354">
        <v>0</v>
      </c>
      <c r="E3655" s="354">
        <v>1</v>
      </c>
      <c r="F3655" s="354">
        <v>2</v>
      </c>
      <c r="G3655" s="354">
        <v>2</v>
      </c>
      <c r="H3655" s="354">
        <v>0</v>
      </c>
      <c r="I3655" s="354">
        <v>3</v>
      </c>
      <c r="J3655" s="354">
        <v>1</v>
      </c>
      <c r="K3655" s="354">
        <v>0</v>
      </c>
      <c r="L3655" s="354">
        <v>0</v>
      </c>
      <c r="M3655" s="355">
        <v>6</v>
      </c>
      <c r="N3655" s="355">
        <v>3</v>
      </c>
    </row>
    <row r="3656" spans="1:14" hidden="1" x14ac:dyDescent="0.25">
      <c r="A3656" s="354">
        <v>0</v>
      </c>
      <c r="B3656" s="354">
        <v>0</v>
      </c>
      <c r="C3656" s="354">
        <v>0</v>
      </c>
      <c r="D3656" s="354">
        <v>0</v>
      </c>
      <c r="E3656" s="354">
        <v>1</v>
      </c>
      <c r="F3656" s="354">
        <v>0</v>
      </c>
      <c r="G3656" s="354">
        <v>2</v>
      </c>
      <c r="H3656" s="354">
        <v>2</v>
      </c>
      <c r="I3656" s="354">
        <v>3</v>
      </c>
      <c r="J3656" s="354">
        <v>1</v>
      </c>
      <c r="K3656" s="354">
        <v>0</v>
      </c>
      <c r="L3656" s="354">
        <v>0</v>
      </c>
      <c r="M3656" s="355">
        <v>6</v>
      </c>
      <c r="N3656" s="355">
        <v>3</v>
      </c>
    </row>
    <row r="3657" spans="1:14" hidden="1" x14ac:dyDescent="0.25">
      <c r="A3657" s="354">
        <v>0</v>
      </c>
      <c r="B3657" s="354">
        <v>0</v>
      </c>
      <c r="C3657" s="354">
        <v>0</v>
      </c>
      <c r="D3657" s="354">
        <v>1</v>
      </c>
      <c r="E3657" s="354">
        <v>1</v>
      </c>
      <c r="F3657" s="354">
        <v>1</v>
      </c>
      <c r="G3657" s="354">
        <v>2</v>
      </c>
      <c r="H3657" s="354">
        <v>1</v>
      </c>
      <c r="I3657" s="354">
        <v>1</v>
      </c>
      <c r="J3657" s="354">
        <v>1</v>
      </c>
      <c r="K3657" s="354">
        <v>0</v>
      </c>
      <c r="L3657" s="354">
        <v>0</v>
      </c>
      <c r="M3657" s="355">
        <v>4</v>
      </c>
      <c r="N3657" s="355">
        <v>4</v>
      </c>
    </row>
    <row r="3658" spans="1:14" hidden="1" x14ac:dyDescent="0.25">
      <c r="A3658" s="354">
        <v>0</v>
      </c>
      <c r="B3658" s="354">
        <v>0</v>
      </c>
      <c r="C3658" s="354">
        <v>0</v>
      </c>
      <c r="D3658" s="354">
        <v>0</v>
      </c>
      <c r="E3658" s="354">
        <v>1</v>
      </c>
      <c r="F3658" s="354">
        <v>0</v>
      </c>
      <c r="G3658" s="354">
        <v>1</v>
      </c>
      <c r="H3658" s="354">
        <v>1</v>
      </c>
      <c r="I3658" s="354">
        <v>3</v>
      </c>
      <c r="J3658" s="354">
        <v>2</v>
      </c>
      <c r="K3658" s="354">
        <v>0</v>
      </c>
      <c r="L3658" s="354">
        <v>0</v>
      </c>
      <c r="M3658" s="355">
        <v>5</v>
      </c>
      <c r="N3658" s="355">
        <v>3</v>
      </c>
    </row>
    <row r="3659" spans="1:14" hidden="1" x14ac:dyDescent="0.25">
      <c r="A3659" s="354">
        <v>0</v>
      </c>
      <c r="B3659" s="354">
        <v>0</v>
      </c>
      <c r="C3659" s="354">
        <v>0</v>
      </c>
      <c r="D3659" s="354">
        <v>0</v>
      </c>
      <c r="E3659" s="354">
        <v>0</v>
      </c>
      <c r="F3659" s="354">
        <v>2</v>
      </c>
      <c r="G3659" s="354">
        <v>1</v>
      </c>
      <c r="H3659" s="354">
        <v>0</v>
      </c>
      <c r="I3659" s="354">
        <v>3</v>
      </c>
      <c r="J3659" s="354">
        <v>2</v>
      </c>
      <c r="K3659" s="354">
        <v>0</v>
      </c>
      <c r="L3659" s="354">
        <v>0</v>
      </c>
      <c r="M3659" s="355">
        <v>4</v>
      </c>
      <c r="N3659" s="355">
        <v>4</v>
      </c>
    </row>
    <row r="3660" spans="1:14" hidden="1" x14ac:dyDescent="0.25">
      <c r="A3660" s="354">
        <v>0</v>
      </c>
      <c r="B3660" s="354">
        <v>0</v>
      </c>
      <c r="C3660" s="354">
        <v>0</v>
      </c>
      <c r="D3660" s="354">
        <v>0</v>
      </c>
      <c r="E3660" s="354">
        <v>0</v>
      </c>
      <c r="F3660" s="354">
        <v>1</v>
      </c>
      <c r="G3660" s="354">
        <v>1</v>
      </c>
      <c r="H3660" s="354">
        <v>1</v>
      </c>
      <c r="I3660" s="354">
        <v>2</v>
      </c>
      <c r="J3660" s="354">
        <v>1</v>
      </c>
      <c r="K3660" s="354">
        <v>0</v>
      </c>
      <c r="L3660" s="354">
        <v>0</v>
      </c>
      <c r="M3660" s="355">
        <v>3</v>
      </c>
      <c r="N3660" s="355">
        <v>3</v>
      </c>
    </row>
    <row r="3661" spans="1:14" hidden="1" x14ac:dyDescent="0.25">
      <c r="A3661" s="354">
        <v>0</v>
      </c>
      <c r="B3661" s="354">
        <v>0</v>
      </c>
      <c r="C3661" s="354">
        <v>0</v>
      </c>
      <c r="D3661" s="354">
        <v>0</v>
      </c>
      <c r="E3661" s="354">
        <v>1</v>
      </c>
      <c r="F3661" s="354">
        <v>1</v>
      </c>
      <c r="G3661" s="354">
        <v>2</v>
      </c>
      <c r="H3661" s="354">
        <v>1</v>
      </c>
      <c r="I3661" s="354">
        <v>3</v>
      </c>
      <c r="J3661" s="354">
        <v>2</v>
      </c>
      <c r="K3661" s="354">
        <v>1</v>
      </c>
      <c r="L3661" s="354">
        <v>0</v>
      </c>
      <c r="M3661" s="355">
        <v>7</v>
      </c>
      <c r="N3661" s="355">
        <v>4</v>
      </c>
    </row>
    <row r="3662" spans="1:14" hidden="1" x14ac:dyDescent="0.25">
      <c r="A3662" s="354">
        <v>0</v>
      </c>
      <c r="B3662" s="354">
        <v>0</v>
      </c>
      <c r="C3662" s="354">
        <v>0</v>
      </c>
      <c r="D3662" s="354">
        <v>0</v>
      </c>
      <c r="E3662" s="354">
        <v>1</v>
      </c>
      <c r="F3662" s="354">
        <v>1</v>
      </c>
      <c r="G3662" s="354">
        <v>1</v>
      </c>
      <c r="H3662" s="354">
        <v>1</v>
      </c>
      <c r="I3662" s="354">
        <v>2</v>
      </c>
      <c r="J3662" s="354">
        <v>1</v>
      </c>
      <c r="K3662" s="354">
        <v>0</v>
      </c>
      <c r="L3662" s="354">
        <v>0</v>
      </c>
      <c r="M3662" s="355">
        <v>4</v>
      </c>
      <c r="N3662" s="355">
        <v>3</v>
      </c>
    </row>
    <row r="3663" spans="1:14" hidden="1" x14ac:dyDescent="0.25">
      <c r="A3663" s="354">
        <v>0</v>
      </c>
      <c r="B3663" s="354">
        <v>0</v>
      </c>
      <c r="C3663" s="354">
        <v>0</v>
      </c>
      <c r="D3663" s="354">
        <v>0</v>
      </c>
      <c r="E3663" s="354">
        <v>0</v>
      </c>
      <c r="F3663" s="354">
        <v>1</v>
      </c>
      <c r="G3663" s="354">
        <v>2</v>
      </c>
      <c r="H3663" s="354">
        <v>0</v>
      </c>
      <c r="I3663" s="354">
        <v>3</v>
      </c>
      <c r="J3663" s="354">
        <v>2</v>
      </c>
      <c r="K3663" s="354">
        <v>0</v>
      </c>
      <c r="L3663" s="354">
        <v>0</v>
      </c>
      <c r="M3663" s="355">
        <v>5</v>
      </c>
      <c r="N3663" s="355">
        <v>3</v>
      </c>
    </row>
    <row r="3664" spans="1:14" hidden="1" x14ac:dyDescent="0.25">
      <c r="A3664" s="354">
        <v>0</v>
      </c>
      <c r="B3664" s="354">
        <v>0</v>
      </c>
      <c r="C3664" s="354">
        <v>0</v>
      </c>
      <c r="D3664" s="354">
        <v>0</v>
      </c>
      <c r="E3664" s="354">
        <v>1</v>
      </c>
      <c r="F3664" s="354">
        <v>0</v>
      </c>
      <c r="G3664" s="354">
        <v>1</v>
      </c>
      <c r="H3664" s="354">
        <v>1</v>
      </c>
      <c r="I3664" s="354">
        <v>2</v>
      </c>
      <c r="J3664" s="354">
        <v>2</v>
      </c>
      <c r="K3664" s="354">
        <v>0</v>
      </c>
      <c r="L3664" s="354">
        <v>0</v>
      </c>
      <c r="M3664" s="355">
        <v>4</v>
      </c>
      <c r="N3664" s="355">
        <v>3</v>
      </c>
    </row>
    <row r="3665" spans="1:14" hidden="1" x14ac:dyDescent="0.25">
      <c r="A3665" s="354">
        <v>0</v>
      </c>
      <c r="B3665" s="354">
        <v>0</v>
      </c>
      <c r="C3665" s="354">
        <v>0</v>
      </c>
      <c r="D3665" s="354">
        <v>0</v>
      </c>
      <c r="E3665" s="354">
        <v>1</v>
      </c>
      <c r="F3665" s="354">
        <v>1</v>
      </c>
      <c r="G3665" s="354">
        <v>1</v>
      </c>
      <c r="H3665" s="354">
        <v>1</v>
      </c>
      <c r="I3665" s="354">
        <v>3</v>
      </c>
      <c r="J3665" s="354">
        <v>1</v>
      </c>
      <c r="K3665" s="354">
        <v>0</v>
      </c>
      <c r="L3665" s="354">
        <v>0</v>
      </c>
      <c r="M3665" s="355">
        <v>5</v>
      </c>
      <c r="N3665" s="355">
        <v>3</v>
      </c>
    </row>
    <row r="3666" spans="1:14" hidden="1" x14ac:dyDescent="0.25">
      <c r="A3666" s="354">
        <v>0</v>
      </c>
      <c r="B3666" s="354">
        <v>0</v>
      </c>
      <c r="C3666" s="354">
        <v>0</v>
      </c>
      <c r="D3666" s="354">
        <v>0</v>
      </c>
      <c r="E3666" s="354">
        <v>1</v>
      </c>
      <c r="F3666" s="354">
        <v>1</v>
      </c>
      <c r="G3666" s="354">
        <v>1</v>
      </c>
      <c r="H3666" s="354">
        <v>0</v>
      </c>
      <c r="I3666" s="354">
        <v>3</v>
      </c>
      <c r="J3666" s="354">
        <v>2</v>
      </c>
      <c r="K3666" s="354">
        <v>0</v>
      </c>
      <c r="L3666" s="354">
        <v>0</v>
      </c>
      <c r="M3666" s="355">
        <v>5</v>
      </c>
      <c r="N3666" s="355">
        <v>3</v>
      </c>
    </row>
    <row r="3667" spans="1:14" hidden="1" x14ac:dyDescent="0.25">
      <c r="A3667" s="354">
        <v>0</v>
      </c>
      <c r="B3667" s="354">
        <v>0</v>
      </c>
      <c r="C3667" s="354">
        <v>0</v>
      </c>
      <c r="D3667" s="354">
        <v>0</v>
      </c>
      <c r="E3667" s="354">
        <v>0</v>
      </c>
      <c r="F3667" s="354">
        <v>1</v>
      </c>
      <c r="G3667" s="354">
        <v>2</v>
      </c>
      <c r="H3667" s="354">
        <v>0</v>
      </c>
      <c r="I3667" s="354">
        <v>3</v>
      </c>
      <c r="J3667" s="354">
        <v>2</v>
      </c>
      <c r="K3667" s="354">
        <v>0</v>
      </c>
      <c r="L3667" s="354">
        <v>0</v>
      </c>
      <c r="M3667" s="355">
        <v>5</v>
      </c>
      <c r="N3667" s="355">
        <v>3</v>
      </c>
    </row>
    <row r="3668" spans="1:14" hidden="1" x14ac:dyDescent="0.25">
      <c r="A3668" s="354">
        <v>0</v>
      </c>
      <c r="B3668" s="354">
        <v>0</v>
      </c>
      <c r="C3668" s="354">
        <v>0</v>
      </c>
      <c r="D3668" s="354">
        <v>0</v>
      </c>
      <c r="E3668" s="354">
        <v>2</v>
      </c>
      <c r="F3668" s="354">
        <v>0</v>
      </c>
      <c r="G3668" s="354">
        <v>1</v>
      </c>
      <c r="H3668" s="354">
        <v>1</v>
      </c>
      <c r="I3668" s="354">
        <v>2</v>
      </c>
      <c r="J3668" s="354">
        <v>1</v>
      </c>
      <c r="K3668" s="354">
        <v>0</v>
      </c>
      <c r="L3668" s="354">
        <v>0</v>
      </c>
      <c r="M3668" s="355">
        <v>5</v>
      </c>
      <c r="N3668" s="355">
        <v>2</v>
      </c>
    </row>
    <row r="3669" spans="1:14" hidden="1" x14ac:dyDescent="0.25">
      <c r="A3669" s="354">
        <v>1</v>
      </c>
      <c r="B3669" s="354">
        <v>0</v>
      </c>
      <c r="C3669" s="354">
        <v>1</v>
      </c>
      <c r="D3669" s="354">
        <v>1</v>
      </c>
      <c r="E3669" s="354">
        <v>0</v>
      </c>
      <c r="F3669" s="354">
        <v>0</v>
      </c>
      <c r="G3669" s="354">
        <v>0</v>
      </c>
      <c r="H3669" s="354">
        <v>0</v>
      </c>
      <c r="I3669" s="354">
        <v>1</v>
      </c>
      <c r="J3669" s="354">
        <v>1</v>
      </c>
      <c r="K3669" s="354">
        <v>0</v>
      </c>
      <c r="L3669" s="354">
        <v>0</v>
      </c>
      <c r="M3669" s="355">
        <v>3</v>
      </c>
      <c r="N3669" s="355">
        <v>2</v>
      </c>
    </row>
    <row r="3670" spans="1:14" hidden="1" x14ac:dyDescent="0.25">
      <c r="A3670" s="354">
        <v>2</v>
      </c>
      <c r="B3670" s="354">
        <v>1</v>
      </c>
      <c r="C3670" s="354">
        <v>1</v>
      </c>
      <c r="D3670" s="354">
        <v>0</v>
      </c>
      <c r="E3670" s="354">
        <v>1</v>
      </c>
      <c r="F3670" s="354">
        <v>2</v>
      </c>
      <c r="G3670" s="354">
        <v>0</v>
      </c>
      <c r="H3670" s="354">
        <v>0</v>
      </c>
      <c r="I3670" s="354">
        <v>1</v>
      </c>
      <c r="J3670" s="354">
        <v>2</v>
      </c>
      <c r="K3670" s="354">
        <v>0</v>
      </c>
      <c r="L3670" s="354">
        <v>0</v>
      </c>
      <c r="M3670" s="355">
        <v>5</v>
      </c>
      <c r="N3670" s="355">
        <v>5</v>
      </c>
    </row>
    <row r="3671" spans="1:14" hidden="1" x14ac:dyDescent="0.25">
      <c r="A3671" s="354">
        <v>1</v>
      </c>
      <c r="B3671" s="354">
        <v>0</v>
      </c>
      <c r="C3671" s="354">
        <v>0</v>
      </c>
      <c r="D3671" s="354">
        <v>0</v>
      </c>
      <c r="E3671" s="354">
        <v>0</v>
      </c>
      <c r="F3671" s="354">
        <v>0</v>
      </c>
      <c r="G3671" s="354">
        <v>0</v>
      </c>
      <c r="H3671" s="354">
        <v>0</v>
      </c>
      <c r="I3671" s="354">
        <v>1</v>
      </c>
      <c r="J3671" s="354">
        <v>1</v>
      </c>
      <c r="K3671" s="354">
        <v>0</v>
      </c>
      <c r="L3671" s="354">
        <v>0</v>
      </c>
      <c r="M3671" s="355">
        <v>2</v>
      </c>
      <c r="N3671" s="355">
        <v>1</v>
      </c>
    </row>
    <row r="3672" spans="1:14" hidden="1" x14ac:dyDescent="0.25">
      <c r="A3672" s="354">
        <v>1</v>
      </c>
      <c r="B3672" s="354">
        <v>0</v>
      </c>
      <c r="C3672" s="354">
        <v>0</v>
      </c>
      <c r="D3672" s="354">
        <v>1</v>
      </c>
      <c r="E3672" s="354">
        <v>1</v>
      </c>
      <c r="F3672" s="354">
        <v>1</v>
      </c>
      <c r="G3672" s="354">
        <v>0</v>
      </c>
      <c r="H3672" s="354">
        <v>1</v>
      </c>
      <c r="I3672" s="354">
        <v>1</v>
      </c>
      <c r="J3672" s="354">
        <v>1</v>
      </c>
      <c r="K3672" s="354">
        <v>0</v>
      </c>
      <c r="L3672" s="354">
        <v>1</v>
      </c>
      <c r="M3672" s="355">
        <v>3</v>
      </c>
      <c r="N3672" s="355">
        <v>5</v>
      </c>
    </row>
    <row r="3673" spans="1:14" hidden="1" x14ac:dyDescent="0.25">
      <c r="A3673" s="354">
        <v>1</v>
      </c>
      <c r="B3673" s="354">
        <v>0</v>
      </c>
      <c r="C3673" s="354">
        <v>0</v>
      </c>
      <c r="D3673" s="354">
        <v>1</v>
      </c>
      <c r="E3673" s="354">
        <v>2</v>
      </c>
      <c r="F3673" s="354">
        <v>3</v>
      </c>
      <c r="G3673" s="354">
        <v>1</v>
      </c>
      <c r="H3673" s="354">
        <v>0</v>
      </c>
      <c r="I3673" s="354">
        <v>1</v>
      </c>
      <c r="J3673" s="354">
        <v>2</v>
      </c>
      <c r="K3673" s="354">
        <v>0</v>
      </c>
      <c r="L3673" s="354">
        <v>0</v>
      </c>
      <c r="M3673" s="355">
        <v>5</v>
      </c>
      <c r="N3673" s="355">
        <v>6</v>
      </c>
    </row>
    <row r="3674" spans="1:14" hidden="1" x14ac:dyDescent="0.25">
      <c r="A3674" s="354">
        <v>0</v>
      </c>
      <c r="B3674" s="354">
        <v>2</v>
      </c>
      <c r="C3674" s="354">
        <v>0</v>
      </c>
      <c r="D3674" s="354">
        <v>1</v>
      </c>
      <c r="E3674" s="354">
        <v>1</v>
      </c>
      <c r="F3674" s="354">
        <v>0</v>
      </c>
      <c r="G3674" s="354">
        <v>0</v>
      </c>
      <c r="H3674" s="354">
        <v>2</v>
      </c>
      <c r="I3674" s="354">
        <v>1</v>
      </c>
      <c r="J3674" s="354">
        <v>2</v>
      </c>
      <c r="K3674" s="354">
        <v>1</v>
      </c>
      <c r="L3674" s="354">
        <v>0</v>
      </c>
      <c r="M3674" s="355">
        <v>3</v>
      </c>
      <c r="N3674" s="355">
        <v>7</v>
      </c>
    </row>
    <row r="3675" spans="1:14" hidden="1" x14ac:dyDescent="0.25">
      <c r="A3675" s="354">
        <v>0</v>
      </c>
      <c r="B3675" s="354">
        <v>0</v>
      </c>
      <c r="C3675" s="354">
        <v>0</v>
      </c>
      <c r="D3675" s="354">
        <v>0</v>
      </c>
      <c r="E3675" s="354">
        <v>0</v>
      </c>
      <c r="F3675" s="354">
        <v>1</v>
      </c>
      <c r="G3675" s="354">
        <v>0</v>
      </c>
      <c r="H3675" s="354">
        <v>0</v>
      </c>
      <c r="I3675" s="354">
        <v>0</v>
      </c>
      <c r="J3675" s="354">
        <v>1</v>
      </c>
      <c r="K3675" s="354">
        <v>0</v>
      </c>
      <c r="L3675" s="354">
        <v>0</v>
      </c>
      <c r="M3675" s="355">
        <v>0</v>
      </c>
      <c r="N3675" s="355">
        <v>2</v>
      </c>
    </row>
    <row r="3676" spans="1:14" hidden="1" x14ac:dyDescent="0.25">
      <c r="A3676" s="354">
        <v>1</v>
      </c>
      <c r="B3676" s="354">
        <v>0</v>
      </c>
      <c r="C3676" s="354">
        <v>0</v>
      </c>
      <c r="D3676" s="354">
        <v>0</v>
      </c>
      <c r="E3676" s="354">
        <v>1</v>
      </c>
      <c r="F3676" s="354">
        <v>1</v>
      </c>
      <c r="G3676" s="354">
        <v>0</v>
      </c>
      <c r="H3676" s="354">
        <v>0</v>
      </c>
      <c r="I3676" s="354">
        <v>2</v>
      </c>
      <c r="J3676" s="354">
        <v>1</v>
      </c>
      <c r="K3676" s="354">
        <v>0</v>
      </c>
      <c r="L3676" s="354">
        <v>0</v>
      </c>
      <c r="M3676" s="355">
        <v>4</v>
      </c>
      <c r="N3676" s="355">
        <v>2</v>
      </c>
    </row>
    <row r="3677" spans="1:14" hidden="1" x14ac:dyDescent="0.25">
      <c r="A3677" s="354">
        <v>0</v>
      </c>
      <c r="B3677" s="354">
        <v>0</v>
      </c>
      <c r="C3677" s="354">
        <v>0</v>
      </c>
      <c r="D3677" s="354">
        <v>0</v>
      </c>
      <c r="E3677" s="354">
        <v>1</v>
      </c>
      <c r="F3677" s="354">
        <v>1</v>
      </c>
      <c r="G3677" s="354">
        <v>0</v>
      </c>
      <c r="H3677" s="354">
        <v>1</v>
      </c>
      <c r="I3677" s="354">
        <v>1</v>
      </c>
      <c r="J3677" s="354">
        <v>1</v>
      </c>
      <c r="K3677" s="354">
        <v>0</v>
      </c>
      <c r="L3677" s="354">
        <v>0</v>
      </c>
      <c r="M3677" s="355">
        <v>2</v>
      </c>
      <c r="N3677" s="355">
        <v>3</v>
      </c>
    </row>
    <row r="3678" spans="1:14" hidden="1" x14ac:dyDescent="0.25">
      <c r="A3678" s="354">
        <v>0</v>
      </c>
      <c r="B3678" s="354">
        <v>1</v>
      </c>
      <c r="C3678" s="354">
        <v>0</v>
      </c>
      <c r="D3678" s="354">
        <v>2</v>
      </c>
      <c r="E3678" s="354">
        <v>1</v>
      </c>
      <c r="F3678" s="354">
        <v>0</v>
      </c>
      <c r="G3678" s="354">
        <v>1</v>
      </c>
      <c r="H3678" s="354">
        <v>0</v>
      </c>
      <c r="I3678" s="354">
        <v>1</v>
      </c>
      <c r="J3678" s="354">
        <v>1</v>
      </c>
      <c r="K3678" s="354">
        <v>1</v>
      </c>
      <c r="L3678" s="354">
        <v>0</v>
      </c>
      <c r="M3678" s="355">
        <v>4</v>
      </c>
      <c r="N3678" s="355">
        <v>4</v>
      </c>
    </row>
    <row r="3679" spans="1:14" hidden="1" x14ac:dyDescent="0.25">
      <c r="A3679" s="354">
        <v>0</v>
      </c>
      <c r="B3679" s="354">
        <v>0</v>
      </c>
      <c r="C3679" s="354">
        <v>0</v>
      </c>
      <c r="D3679" s="354">
        <v>1</v>
      </c>
      <c r="E3679" s="354">
        <v>0</v>
      </c>
      <c r="F3679" s="354">
        <v>1</v>
      </c>
      <c r="G3679" s="354">
        <v>1</v>
      </c>
      <c r="H3679" s="354">
        <v>0</v>
      </c>
      <c r="I3679" s="354">
        <v>1</v>
      </c>
      <c r="J3679" s="354">
        <v>1</v>
      </c>
      <c r="K3679" s="354">
        <v>1</v>
      </c>
      <c r="L3679" s="354">
        <v>0</v>
      </c>
      <c r="M3679" s="355">
        <v>3</v>
      </c>
      <c r="N3679" s="355">
        <v>3</v>
      </c>
    </row>
    <row r="3680" spans="1:14" hidden="1" x14ac:dyDescent="0.25">
      <c r="A3680" s="354">
        <v>0</v>
      </c>
      <c r="B3680" s="354">
        <v>0</v>
      </c>
      <c r="C3680" s="354">
        <v>0</v>
      </c>
      <c r="D3680" s="354">
        <v>0</v>
      </c>
      <c r="E3680" s="354">
        <v>0</v>
      </c>
      <c r="F3680" s="354">
        <v>0</v>
      </c>
      <c r="G3680" s="354">
        <v>0</v>
      </c>
      <c r="H3680" s="354">
        <v>0</v>
      </c>
      <c r="I3680" s="354">
        <v>0</v>
      </c>
      <c r="J3680" s="354">
        <v>1</v>
      </c>
      <c r="K3680" s="354">
        <v>1</v>
      </c>
      <c r="L3680" s="354">
        <v>2</v>
      </c>
      <c r="M3680" s="355">
        <v>1</v>
      </c>
      <c r="N3680" s="355">
        <v>3</v>
      </c>
    </row>
    <row r="3681" spans="1:14" hidden="1" x14ac:dyDescent="0.25">
      <c r="A3681" s="354">
        <v>0</v>
      </c>
      <c r="B3681" s="354">
        <v>0</v>
      </c>
      <c r="C3681" s="354">
        <v>1</v>
      </c>
      <c r="D3681" s="354">
        <v>0</v>
      </c>
      <c r="E3681" s="354">
        <v>0</v>
      </c>
      <c r="F3681" s="354">
        <v>1</v>
      </c>
      <c r="G3681" s="354">
        <v>2</v>
      </c>
      <c r="H3681" s="354">
        <v>0</v>
      </c>
      <c r="I3681" s="354">
        <v>0</v>
      </c>
      <c r="J3681" s="354">
        <v>1</v>
      </c>
      <c r="K3681" s="354">
        <v>2</v>
      </c>
      <c r="L3681" s="354">
        <v>1</v>
      </c>
      <c r="M3681" s="355">
        <v>5</v>
      </c>
      <c r="N3681" s="355">
        <v>3</v>
      </c>
    </row>
    <row r="3682" spans="1:14" hidden="1" x14ac:dyDescent="0.25">
      <c r="A3682" s="354">
        <v>0</v>
      </c>
      <c r="B3682" s="354">
        <v>0</v>
      </c>
      <c r="C3682" s="354">
        <v>0</v>
      </c>
      <c r="D3682" s="354">
        <v>0</v>
      </c>
      <c r="E3682" s="354">
        <v>1</v>
      </c>
      <c r="F3682" s="354">
        <v>0</v>
      </c>
      <c r="G3682" s="354">
        <v>1</v>
      </c>
      <c r="H3682" s="354">
        <v>0</v>
      </c>
      <c r="I3682" s="354">
        <v>1</v>
      </c>
      <c r="J3682" s="354">
        <v>2</v>
      </c>
      <c r="K3682" s="354">
        <v>0</v>
      </c>
      <c r="L3682" s="354">
        <v>0</v>
      </c>
      <c r="M3682" s="355">
        <v>3</v>
      </c>
      <c r="N3682" s="355">
        <v>2</v>
      </c>
    </row>
    <row r="3683" spans="1:14" hidden="1" x14ac:dyDescent="0.25">
      <c r="A3683" s="354">
        <v>0</v>
      </c>
      <c r="B3683" s="354">
        <v>0</v>
      </c>
      <c r="C3683" s="354">
        <v>0</v>
      </c>
      <c r="D3683" s="354">
        <v>0</v>
      </c>
      <c r="E3683" s="354">
        <v>0</v>
      </c>
      <c r="F3683" s="354">
        <v>0</v>
      </c>
      <c r="G3683" s="354">
        <v>0</v>
      </c>
      <c r="H3683" s="354">
        <v>0</v>
      </c>
      <c r="I3683" s="354">
        <v>0</v>
      </c>
      <c r="J3683" s="354">
        <v>0</v>
      </c>
      <c r="K3683" s="354">
        <v>1</v>
      </c>
      <c r="L3683" s="354">
        <v>2</v>
      </c>
      <c r="M3683" s="355">
        <v>1</v>
      </c>
      <c r="N3683" s="355">
        <v>2</v>
      </c>
    </row>
    <row r="3684" spans="1:14" hidden="1" x14ac:dyDescent="0.25">
      <c r="A3684" s="354">
        <v>1</v>
      </c>
      <c r="B3684" s="354">
        <v>0</v>
      </c>
      <c r="C3684" s="354">
        <v>0</v>
      </c>
      <c r="D3684" s="354">
        <v>1</v>
      </c>
      <c r="E3684" s="354">
        <v>1</v>
      </c>
      <c r="F3684" s="354">
        <v>2</v>
      </c>
      <c r="G3684" s="354">
        <v>0</v>
      </c>
      <c r="H3684" s="354">
        <v>0</v>
      </c>
      <c r="I3684" s="354">
        <v>1</v>
      </c>
      <c r="J3684" s="354">
        <v>2</v>
      </c>
      <c r="K3684" s="354">
        <v>0</v>
      </c>
      <c r="L3684" s="354">
        <v>0</v>
      </c>
      <c r="M3684" s="355">
        <v>3</v>
      </c>
      <c r="N3684" s="355">
        <v>5</v>
      </c>
    </row>
    <row r="3685" spans="1:14" hidden="1" x14ac:dyDescent="0.25">
      <c r="A3685" s="354">
        <v>0</v>
      </c>
      <c r="B3685" s="354">
        <v>1</v>
      </c>
      <c r="C3685" s="354">
        <v>1</v>
      </c>
      <c r="D3685" s="354">
        <v>1</v>
      </c>
      <c r="E3685" s="354">
        <v>2</v>
      </c>
      <c r="F3685" s="354">
        <v>1</v>
      </c>
      <c r="G3685" s="354">
        <v>2</v>
      </c>
      <c r="H3685" s="354">
        <v>0</v>
      </c>
      <c r="I3685" s="354">
        <v>1</v>
      </c>
      <c r="J3685" s="354">
        <v>2</v>
      </c>
      <c r="K3685" s="354">
        <v>0</v>
      </c>
      <c r="L3685" s="354">
        <v>0</v>
      </c>
      <c r="M3685" s="355">
        <v>6</v>
      </c>
      <c r="N3685" s="355">
        <v>5</v>
      </c>
    </row>
    <row r="3686" spans="1:14" hidden="1" x14ac:dyDescent="0.25">
      <c r="A3686" s="354">
        <v>1</v>
      </c>
      <c r="B3686" s="354">
        <v>0</v>
      </c>
      <c r="C3686" s="354">
        <v>1</v>
      </c>
      <c r="D3686" s="354">
        <v>1</v>
      </c>
      <c r="E3686" s="354">
        <v>0</v>
      </c>
      <c r="F3686" s="354">
        <v>2</v>
      </c>
      <c r="G3686" s="354">
        <v>0</v>
      </c>
      <c r="H3686" s="354">
        <v>2</v>
      </c>
      <c r="I3686" s="354">
        <v>1</v>
      </c>
      <c r="J3686" s="354">
        <v>2</v>
      </c>
      <c r="K3686" s="354">
        <v>0</v>
      </c>
      <c r="L3686" s="354">
        <v>0</v>
      </c>
      <c r="M3686" s="355">
        <v>3</v>
      </c>
      <c r="N3686" s="355">
        <v>7</v>
      </c>
    </row>
    <row r="3687" spans="1:14" hidden="1" x14ac:dyDescent="0.25">
      <c r="A3687" s="354">
        <v>0</v>
      </c>
      <c r="B3687" s="354">
        <v>1</v>
      </c>
      <c r="C3687" s="354">
        <v>0</v>
      </c>
      <c r="D3687" s="354">
        <v>1</v>
      </c>
      <c r="E3687" s="354">
        <v>0</v>
      </c>
      <c r="F3687" s="354">
        <v>0</v>
      </c>
      <c r="G3687" s="354">
        <v>0</v>
      </c>
      <c r="H3687" s="354">
        <v>0</v>
      </c>
      <c r="I3687" s="354">
        <v>1</v>
      </c>
      <c r="J3687" s="354">
        <v>1</v>
      </c>
      <c r="K3687" s="354">
        <v>0</v>
      </c>
      <c r="L3687" s="354">
        <v>0</v>
      </c>
      <c r="M3687" s="355">
        <v>1</v>
      </c>
      <c r="N3687" s="355">
        <v>3</v>
      </c>
    </row>
    <row r="3688" spans="1:14" hidden="1" x14ac:dyDescent="0.25">
      <c r="A3688" s="354">
        <v>0</v>
      </c>
      <c r="B3688" s="354">
        <v>0</v>
      </c>
      <c r="C3688" s="354">
        <v>0</v>
      </c>
      <c r="D3688" s="354">
        <v>0</v>
      </c>
      <c r="E3688" s="354">
        <v>0</v>
      </c>
      <c r="F3688" s="354">
        <v>0</v>
      </c>
      <c r="G3688" s="354">
        <v>0</v>
      </c>
      <c r="H3688" s="354">
        <v>0</v>
      </c>
      <c r="I3688" s="354">
        <v>1</v>
      </c>
      <c r="J3688" s="354">
        <v>2</v>
      </c>
      <c r="K3688" s="354">
        <v>0</v>
      </c>
      <c r="L3688" s="354">
        <v>1</v>
      </c>
      <c r="M3688" s="355">
        <v>1</v>
      </c>
      <c r="N3688" s="355">
        <v>3</v>
      </c>
    </row>
    <row r="3689" spans="1:14" hidden="1" x14ac:dyDescent="0.25">
      <c r="A3689" s="354">
        <v>0</v>
      </c>
      <c r="B3689" s="354">
        <v>0</v>
      </c>
      <c r="C3689" s="354">
        <v>0</v>
      </c>
      <c r="D3689" s="354">
        <v>0</v>
      </c>
      <c r="E3689" s="354">
        <v>0</v>
      </c>
      <c r="F3689" s="354">
        <v>1</v>
      </c>
      <c r="G3689" s="354">
        <v>0</v>
      </c>
      <c r="H3689" s="354">
        <v>2</v>
      </c>
      <c r="I3689" s="354">
        <v>1</v>
      </c>
      <c r="J3689" s="354">
        <v>2</v>
      </c>
      <c r="K3689" s="354">
        <v>0</v>
      </c>
      <c r="L3689" s="354">
        <v>0</v>
      </c>
      <c r="M3689" s="355">
        <v>1</v>
      </c>
      <c r="N3689" s="355">
        <v>5</v>
      </c>
    </row>
    <row r="3690" spans="1:14" hidden="1" x14ac:dyDescent="0.25">
      <c r="A3690" s="354">
        <v>0</v>
      </c>
      <c r="B3690" s="354">
        <v>0</v>
      </c>
      <c r="C3690" s="354">
        <v>0</v>
      </c>
      <c r="D3690" s="354">
        <v>0</v>
      </c>
      <c r="E3690" s="354">
        <v>0</v>
      </c>
      <c r="F3690" s="354">
        <v>0</v>
      </c>
      <c r="G3690" s="354">
        <v>0</v>
      </c>
      <c r="H3690" s="354">
        <v>1</v>
      </c>
      <c r="I3690" s="354">
        <v>1</v>
      </c>
      <c r="J3690" s="354">
        <v>2</v>
      </c>
      <c r="K3690" s="354">
        <v>0</v>
      </c>
      <c r="L3690" s="354">
        <v>0</v>
      </c>
      <c r="M3690" s="355">
        <v>1</v>
      </c>
      <c r="N3690" s="355">
        <v>3</v>
      </c>
    </row>
    <row r="3691" spans="1:14" hidden="1" x14ac:dyDescent="0.25">
      <c r="A3691" s="354">
        <v>1</v>
      </c>
      <c r="B3691" s="354">
        <v>0</v>
      </c>
      <c r="C3691" s="354">
        <v>0</v>
      </c>
      <c r="D3691" s="354">
        <v>1</v>
      </c>
      <c r="E3691" s="354">
        <v>2</v>
      </c>
      <c r="F3691" s="354">
        <v>1</v>
      </c>
      <c r="G3691" s="354">
        <v>0</v>
      </c>
      <c r="H3691" s="354">
        <v>0</v>
      </c>
      <c r="I3691" s="354">
        <v>1</v>
      </c>
      <c r="J3691" s="354">
        <v>1</v>
      </c>
      <c r="K3691" s="354">
        <v>0</v>
      </c>
      <c r="L3691" s="354">
        <v>0</v>
      </c>
      <c r="M3691" s="355">
        <v>4</v>
      </c>
      <c r="N3691" s="355">
        <v>3</v>
      </c>
    </row>
    <row r="3692" spans="1:14" hidden="1" x14ac:dyDescent="0.25">
      <c r="A3692" s="354">
        <v>0</v>
      </c>
      <c r="B3692" s="354">
        <v>1</v>
      </c>
      <c r="C3692" s="354">
        <v>1</v>
      </c>
      <c r="D3692" s="354">
        <v>2</v>
      </c>
      <c r="E3692" s="354">
        <v>2</v>
      </c>
      <c r="F3692" s="354">
        <v>3</v>
      </c>
      <c r="G3692" s="354">
        <v>0</v>
      </c>
      <c r="H3692" s="354">
        <v>1</v>
      </c>
      <c r="I3692" s="354">
        <v>1</v>
      </c>
      <c r="J3692" s="354">
        <v>2</v>
      </c>
      <c r="K3692" s="354">
        <v>0</v>
      </c>
      <c r="L3692" s="354">
        <v>0</v>
      </c>
      <c r="M3692" s="355">
        <v>4</v>
      </c>
      <c r="N3692" s="355">
        <v>9</v>
      </c>
    </row>
    <row r="3693" spans="1:14" hidden="1" x14ac:dyDescent="0.25">
      <c r="A3693" s="354">
        <v>0</v>
      </c>
      <c r="B3693" s="354">
        <v>0</v>
      </c>
      <c r="C3693" s="354">
        <v>0</v>
      </c>
      <c r="D3693" s="354">
        <v>0</v>
      </c>
      <c r="E3693" s="354">
        <v>0</v>
      </c>
      <c r="F3693" s="354">
        <v>0</v>
      </c>
      <c r="G3693" s="354">
        <v>0</v>
      </c>
      <c r="H3693" s="354">
        <v>0</v>
      </c>
      <c r="I3693" s="354">
        <v>0</v>
      </c>
      <c r="J3693" s="354">
        <v>0</v>
      </c>
      <c r="K3693" s="354">
        <v>1</v>
      </c>
      <c r="L3693" s="354">
        <v>1</v>
      </c>
      <c r="M3693" s="355">
        <v>1</v>
      </c>
      <c r="N3693" s="355">
        <v>1</v>
      </c>
    </row>
    <row r="3694" spans="1:14" hidden="1" x14ac:dyDescent="0.25">
      <c r="A3694" s="354">
        <v>1</v>
      </c>
      <c r="B3694" s="354">
        <v>1</v>
      </c>
      <c r="C3694" s="354">
        <v>1</v>
      </c>
      <c r="D3694" s="354">
        <v>1</v>
      </c>
      <c r="E3694" s="354">
        <v>1</v>
      </c>
      <c r="F3694" s="354">
        <v>1</v>
      </c>
      <c r="G3694" s="354">
        <v>1</v>
      </c>
      <c r="H3694" s="354">
        <v>1</v>
      </c>
      <c r="I3694" s="354">
        <v>1</v>
      </c>
      <c r="J3694" s="354">
        <v>1</v>
      </c>
      <c r="K3694" s="354">
        <v>0</v>
      </c>
      <c r="L3694" s="354">
        <v>0</v>
      </c>
      <c r="M3694" s="355">
        <v>5</v>
      </c>
      <c r="N3694" s="355">
        <v>5</v>
      </c>
    </row>
    <row r="3695" spans="1:14" hidden="1" x14ac:dyDescent="0.25">
      <c r="A3695" s="354">
        <v>0</v>
      </c>
      <c r="B3695" s="354">
        <v>0</v>
      </c>
      <c r="C3695" s="354">
        <v>0</v>
      </c>
      <c r="D3695" s="354">
        <v>0</v>
      </c>
      <c r="E3695" s="354">
        <v>0</v>
      </c>
      <c r="F3695" s="354">
        <v>0</v>
      </c>
      <c r="G3695" s="354">
        <v>0</v>
      </c>
      <c r="H3695" s="354">
        <v>1</v>
      </c>
      <c r="I3695" s="354">
        <v>2</v>
      </c>
      <c r="J3695" s="354">
        <v>1</v>
      </c>
      <c r="K3695" s="354">
        <v>1</v>
      </c>
      <c r="L3695" s="354">
        <v>0</v>
      </c>
      <c r="M3695" s="355">
        <v>3</v>
      </c>
      <c r="N3695" s="355">
        <v>2</v>
      </c>
    </row>
    <row r="3696" spans="1:14" hidden="1" x14ac:dyDescent="0.25">
      <c r="A3696" s="354">
        <v>1</v>
      </c>
      <c r="B3696" s="354">
        <v>0</v>
      </c>
      <c r="C3696" s="354">
        <v>1</v>
      </c>
      <c r="D3696" s="354">
        <v>1</v>
      </c>
      <c r="E3696" s="354">
        <v>1</v>
      </c>
      <c r="F3696" s="354">
        <v>0</v>
      </c>
      <c r="G3696" s="354">
        <v>0</v>
      </c>
      <c r="H3696" s="354">
        <v>0</v>
      </c>
      <c r="I3696" s="354">
        <v>0</v>
      </c>
      <c r="J3696" s="354">
        <v>1</v>
      </c>
      <c r="K3696" s="354">
        <v>1</v>
      </c>
      <c r="L3696" s="354">
        <v>0</v>
      </c>
      <c r="M3696" s="355">
        <v>4</v>
      </c>
      <c r="N3696" s="355">
        <v>2</v>
      </c>
    </row>
    <row r="3697" spans="1:14" hidden="1" x14ac:dyDescent="0.25">
      <c r="A3697" s="354">
        <v>0</v>
      </c>
      <c r="B3697" s="354">
        <v>0</v>
      </c>
      <c r="C3697" s="354">
        <v>0</v>
      </c>
      <c r="D3697" s="354">
        <v>0</v>
      </c>
      <c r="E3697" s="354">
        <v>0</v>
      </c>
      <c r="F3697" s="354">
        <v>1</v>
      </c>
      <c r="G3697" s="354">
        <v>2</v>
      </c>
      <c r="H3697" s="354">
        <v>0</v>
      </c>
      <c r="I3697" s="354">
        <v>1</v>
      </c>
      <c r="J3697" s="354">
        <v>2</v>
      </c>
      <c r="K3697" s="354">
        <v>0</v>
      </c>
      <c r="L3697" s="354">
        <v>0</v>
      </c>
      <c r="M3697" s="355">
        <v>3</v>
      </c>
      <c r="N3697" s="355">
        <v>3</v>
      </c>
    </row>
    <row r="3698" spans="1:14" hidden="1" x14ac:dyDescent="0.25">
      <c r="A3698" s="354">
        <v>0</v>
      </c>
      <c r="B3698" s="354">
        <v>0</v>
      </c>
      <c r="C3698" s="354">
        <v>0</v>
      </c>
      <c r="D3698" s="354">
        <v>1</v>
      </c>
      <c r="E3698" s="354">
        <v>0</v>
      </c>
      <c r="F3698" s="354">
        <v>0</v>
      </c>
      <c r="G3698" s="354"/>
      <c r="H3698" s="354">
        <v>0</v>
      </c>
      <c r="I3698" s="354">
        <v>1</v>
      </c>
      <c r="J3698" s="354">
        <v>1</v>
      </c>
      <c r="K3698" s="354">
        <v>1</v>
      </c>
      <c r="L3698" s="354">
        <v>0</v>
      </c>
      <c r="M3698" s="355">
        <v>2</v>
      </c>
      <c r="N3698" s="355">
        <v>2</v>
      </c>
    </row>
    <row r="3699" spans="1:14" hidden="1" x14ac:dyDescent="0.25">
      <c r="A3699" s="354">
        <v>0</v>
      </c>
      <c r="B3699" s="354">
        <v>0</v>
      </c>
      <c r="C3699" s="354">
        <v>1</v>
      </c>
      <c r="D3699" s="354">
        <v>0</v>
      </c>
      <c r="E3699" s="354">
        <v>2</v>
      </c>
      <c r="F3699" s="354">
        <v>0</v>
      </c>
      <c r="G3699" s="354">
        <v>0</v>
      </c>
      <c r="H3699" s="354">
        <v>1</v>
      </c>
      <c r="I3699" s="354">
        <v>1</v>
      </c>
      <c r="J3699" s="354">
        <v>1</v>
      </c>
      <c r="K3699" s="354">
        <v>1</v>
      </c>
      <c r="L3699" s="354">
        <v>1</v>
      </c>
      <c r="M3699" s="355">
        <v>5</v>
      </c>
      <c r="N3699" s="355">
        <v>3</v>
      </c>
    </row>
    <row r="3700" spans="1:14" hidden="1" x14ac:dyDescent="0.25">
      <c r="A3700" s="354">
        <v>1</v>
      </c>
      <c r="B3700" s="354">
        <v>0</v>
      </c>
      <c r="C3700" s="354">
        <v>1</v>
      </c>
      <c r="D3700" s="354">
        <v>0</v>
      </c>
      <c r="E3700" s="354">
        <v>1</v>
      </c>
      <c r="F3700" s="354">
        <v>0</v>
      </c>
      <c r="G3700" s="354">
        <v>0</v>
      </c>
      <c r="H3700" s="354">
        <v>0</v>
      </c>
      <c r="I3700" s="354">
        <v>1</v>
      </c>
      <c r="J3700" s="354">
        <v>1</v>
      </c>
      <c r="K3700" s="354">
        <v>0</v>
      </c>
      <c r="L3700" s="354">
        <v>0</v>
      </c>
      <c r="M3700" s="355">
        <v>4</v>
      </c>
      <c r="N3700" s="355">
        <v>1</v>
      </c>
    </row>
    <row r="3701" spans="1:14" hidden="1" x14ac:dyDescent="0.25">
      <c r="A3701" s="354">
        <v>0</v>
      </c>
      <c r="B3701" s="354">
        <v>0</v>
      </c>
      <c r="C3701" s="354">
        <v>1</v>
      </c>
      <c r="D3701" s="354">
        <v>1</v>
      </c>
      <c r="E3701" s="354">
        <v>0</v>
      </c>
      <c r="F3701" s="354">
        <v>1</v>
      </c>
      <c r="G3701" s="354">
        <v>0</v>
      </c>
      <c r="H3701" s="354">
        <v>2</v>
      </c>
      <c r="I3701" s="354">
        <v>1</v>
      </c>
      <c r="J3701" s="354">
        <v>1</v>
      </c>
      <c r="K3701" s="354">
        <v>0</v>
      </c>
      <c r="L3701" s="354">
        <v>0</v>
      </c>
      <c r="M3701" s="355">
        <v>2</v>
      </c>
      <c r="N3701" s="355">
        <v>5</v>
      </c>
    </row>
    <row r="3702" spans="1:14" hidden="1" x14ac:dyDescent="0.25">
      <c r="A3702" s="354">
        <v>1</v>
      </c>
      <c r="B3702" s="354">
        <v>0</v>
      </c>
      <c r="C3702" s="354">
        <v>0</v>
      </c>
      <c r="D3702" s="354">
        <v>1</v>
      </c>
      <c r="E3702" s="354">
        <v>0</v>
      </c>
      <c r="F3702" s="354">
        <v>1</v>
      </c>
      <c r="G3702" s="354">
        <v>0</v>
      </c>
      <c r="H3702" s="354">
        <v>0</v>
      </c>
      <c r="I3702" s="354">
        <v>0</v>
      </c>
      <c r="J3702" s="354">
        <v>1</v>
      </c>
      <c r="K3702" s="354">
        <v>0</v>
      </c>
      <c r="L3702" s="354">
        <v>0</v>
      </c>
      <c r="M3702" s="355">
        <v>1</v>
      </c>
      <c r="N3702" s="355">
        <v>3</v>
      </c>
    </row>
    <row r="3703" spans="1:14" hidden="1" x14ac:dyDescent="0.25">
      <c r="A3703" s="354">
        <v>0</v>
      </c>
      <c r="B3703" s="354">
        <v>0</v>
      </c>
      <c r="C3703" s="354">
        <v>1</v>
      </c>
      <c r="D3703" s="354">
        <v>0</v>
      </c>
      <c r="E3703" s="354">
        <v>2</v>
      </c>
      <c r="F3703" s="354">
        <v>2</v>
      </c>
      <c r="G3703" s="354">
        <v>1</v>
      </c>
      <c r="H3703" s="354">
        <v>0</v>
      </c>
      <c r="I3703" s="354">
        <v>1</v>
      </c>
      <c r="J3703" s="354">
        <v>2</v>
      </c>
      <c r="K3703" s="354">
        <v>0</v>
      </c>
      <c r="L3703" s="354">
        <v>0</v>
      </c>
      <c r="M3703" s="355">
        <v>5</v>
      </c>
      <c r="N3703" s="355">
        <v>4</v>
      </c>
    </row>
    <row r="3704" spans="1:14" hidden="1" x14ac:dyDescent="0.25">
      <c r="A3704" s="354">
        <v>0</v>
      </c>
      <c r="B3704" s="354">
        <v>0</v>
      </c>
      <c r="C3704" s="354">
        <v>0</v>
      </c>
      <c r="D3704" s="354">
        <v>0</v>
      </c>
      <c r="E3704" s="354">
        <v>0</v>
      </c>
      <c r="F3704" s="354">
        <v>0</v>
      </c>
      <c r="G3704" s="354">
        <v>0</v>
      </c>
      <c r="H3704" s="354">
        <v>0</v>
      </c>
      <c r="I3704" s="354">
        <v>1</v>
      </c>
      <c r="J3704" s="354">
        <v>1</v>
      </c>
      <c r="K3704" s="354">
        <v>0</v>
      </c>
      <c r="L3704" s="354">
        <v>0</v>
      </c>
      <c r="M3704" s="355">
        <v>1</v>
      </c>
      <c r="N3704" s="355">
        <v>1</v>
      </c>
    </row>
    <row r="3705" spans="1:14" hidden="1" x14ac:dyDescent="0.25">
      <c r="A3705" s="354">
        <v>0</v>
      </c>
      <c r="B3705" s="354">
        <v>0</v>
      </c>
      <c r="C3705" s="354">
        <v>0</v>
      </c>
      <c r="D3705" s="354">
        <v>0</v>
      </c>
      <c r="E3705" s="354">
        <v>0</v>
      </c>
      <c r="F3705" s="354">
        <v>0</v>
      </c>
      <c r="G3705" s="354">
        <v>0</v>
      </c>
      <c r="H3705" s="354">
        <v>0</v>
      </c>
      <c r="I3705" s="354">
        <v>0</v>
      </c>
      <c r="J3705" s="354">
        <v>0</v>
      </c>
      <c r="K3705" s="354">
        <v>1</v>
      </c>
      <c r="L3705" s="354">
        <v>1</v>
      </c>
      <c r="M3705" s="355">
        <v>1</v>
      </c>
      <c r="N3705" s="355">
        <v>1</v>
      </c>
    </row>
    <row r="3706" spans="1:14" hidden="1" x14ac:dyDescent="0.25">
      <c r="A3706" s="354">
        <v>0</v>
      </c>
      <c r="B3706" s="354">
        <v>0</v>
      </c>
      <c r="C3706" s="354">
        <v>0</v>
      </c>
      <c r="D3706" s="354">
        <v>0</v>
      </c>
      <c r="E3706" s="354">
        <v>3</v>
      </c>
      <c r="F3706" s="354">
        <v>1</v>
      </c>
      <c r="G3706" s="354">
        <v>0</v>
      </c>
      <c r="H3706" s="354">
        <v>0</v>
      </c>
      <c r="I3706" s="354">
        <v>1</v>
      </c>
      <c r="J3706" s="354">
        <v>1</v>
      </c>
      <c r="K3706" s="354">
        <v>0</v>
      </c>
      <c r="L3706" s="354">
        <v>0</v>
      </c>
      <c r="M3706" s="355">
        <v>4</v>
      </c>
      <c r="N3706" s="355">
        <v>2</v>
      </c>
    </row>
    <row r="3707" spans="1:14" hidden="1" x14ac:dyDescent="0.25">
      <c r="A3707" s="354">
        <v>0</v>
      </c>
      <c r="B3707" s="354">
        <v>0</v>
      </c>
      <c r="C3707" s="354">
        <v>0</v>
      </c>
      <c r="D3707" s="354">
        <v>1</v>
      </c>
      <c r="E3707" s="354">
        <v>2</v>
      </c>
      <c r="F3707" s="354">
        <v>0</v>
      </c>
      <c r="G3707" s="354">
        <v>0</v>
      </c>
      <c r="H3707" s="354">
        <v>0</v>
      </c>
      <c r="I3707" s="354">
        <v>1</v>
      </c>
      <c r="J3707" s="354">
        <v>1</v>
      </c>
      <c r="K3707" s="354">
        <v>0</v>
      </c>
      <c r="L3707" s="354">
        <v>0</v>
      </c>
      <c r="M3707" s="355">
        <v>3</v>
      </c>
      <c r="N3707" s="355">
        <v>2</v>
      </c>
    </row>
    <row r="3708" spans="1:14" hidden="1" x14ac:dyDescent="0.25">
      <c r="A3708" s="354">
        <v>1</v>
      </c>
      <c r="B3708" s="354">
        <v>0</v>
      </c>
      <c r="C3708" s="354">
        <v>0</v>
      </c>
      <c r="D3708" s="354">
        <v>0</v>
      </c>
      <c r="E3708" s="354">
        <v>1</v>
      </c>
      <c r="F3708" s="354">
        <v>0</v>
      </c>
      <c r="G3708" s="354">
        <v>0</v>
      </c>
      <c r="H3708" s="354">
        <v>0</v>
      </c>
      <c r="I3708" s="354">
        <v>1</v>
      </c>
      <c r="J3708" s="354">
        <v>1</v>
      </c>
      <c r="K3708" s="354">
        <v>0</v>
      </c>
      <c r="L3708" s="354">
        <v>0</v>
      </c>
      <c r="M3708" s="355">
        <v>3</v>
      </c>
      <c r="N3708" s="355">
        <v>1</v>
      </c>
    </row>
    <row r="3709" spans="1:14" hidden="1" x14ac:dyDescent="0.25">
      <c r="A3709" s="354">
        <v>0</v>
      </c>
      <c r="B3709" s="354">
        <v>0</v>
      </c>
      <c r="C3709" s="354">
        <v>2</v>
      </c>
      <c r="D3709" s="354">
        <v>0</v>
      </c>
      <c r="E3709" s="354">
        <v>3</v>
      </c>
      <c r="F3709" s="354">
        <v>1</v>
      </c>
      <c r="G3709" s="354">
        <v>1</v>
      </c>
      <c r="H3709" s="354">
        <v>0</v>
      </c>
      <c r="I3709" s="354">
        <v>1</v>
      </c>
      <c r="J3709" s="354">
        <v>1</v>
      </c>
      <c r="K3709" s="354">
        <v>0</v>
      </c>
      <c r="L3709" s="354">
        <v>0</v>
      </c>
      <c r="M3709" s="355">
        <v>7</v>
      </c>
      <c r="N3709" s="355">
        <v>2</v>
      </c>
    </row>
    <row r="3710" spans="1:14" hidden="1" x14ac:dyDescent="0.25">
      <c r="A3710" s="354">
        <v>0</v>
      </c>
      <c r="B3710" s="354">
        <v>0</v>
      </c>
      <c r="C3710" s="354">
        <v>1</v>
      </c>
      <c r="D3710" s="354">
        <v>0</v>
      </c>
      <c r="E3710" s="354">
        <v>2</v>
      </c>
      <c r="F3710" s="354">
        <v>1</v>
      </c>
      <c r="G3710" s="354">
        <v>1</v>
      </c>
      <c r="H3710" s="354">
        <v>0</v>
      </c>
      <c r="I3710" s="354">
        <v>1</v>
      </c>
      <c r="J3710" s="354">
        <v>1</v>
      </c>
      <c r="K3710" s="354">
        <v>0</v>
      </c>
      <c r="L3710" s="354">
        <v>0</v>
      </c>
      <c r="M3710" s="355">
        <v>5</v>
      </c>
      <c r="N3710" s="355">
        <v>2</v>
      </c>
    </row>
    <row r="3711" spans="1:14" hidden="1" x14ac:dyDescent="0.25">
      <c r="A3711" s="354">
        <v>0</v>
      </c>
      <c r="B3711" s="354">
        <v>0</v>
      </c>
      <c r="C3711" s="354">
        <v>0</v>
      </c>
      <c r="D3711" s="354">
        <v>0</v>
      </c>
      <c r="E3711" s="354">
        <v>1</v>
      </c>
      <c r="F3711" s="354">
        <v>2</v>
      </c>
      <c r="G3711" s="354">
        <v>1</v>
      </c>
      <c r="H3711" s="354">
        <v>0</v>
      </c>
      <c r="I3711" s="354">
        <v>1</v>
      </c>
      <c r="J3711" s="354">
        <v>1</v>
      </c>
      <c r="K3711" s="354">
        <v>0</v>
      </c>
      <c r="L3711" s="354">
        <v>0</v>
      </c>
      <c r="M3711" s="355">
        <v>3</v>
      </c>
      <c r="N3711" s="355">
        <v>3</v>
      </c>
    </row>
    <row r="3712" spans="1:14" hidden="1" x14ac:dyDescent="0.25">
      <c r="A3712" s="354">
        <v>0</v>
      </c>
      <c r="B3712" s="354">
        <v>0</v>
      </c>
      <c r="C3712" s="354">
        <v>0</v>
      </c>
      <c r="D3712" s="354">
        <v>0</v>
      </c>
      <c r="E3712" s="354">
        <v>3</v>
      </c>
      <c r="F3712" s="354">
        <v>2</v>
      </c>
      <c r="G3712" s="354">
        <v>0</v>
      </c>
      <c r="H3712" s="354">
        <v>0</v>
      </c>
      <c r="I3712" s="354">
        <v>1</v>
      </c>
      <c r="J3712" s="354">
        <v>1</v>
      </c>
      <c r="K3712" s="354">
        <v>0</v>
      </c>
      <c r="L3712" s="354">
        <v>0</v>
      </c>
      <c r="M3712" s="355">
        <v>4</v>
      </c>
      <c r="N3712" s="355">
        <v>3</v>
      </c>
    </row>
    <row r="3713" spans="1:14" hidden="1" x14ac:dyDescent="0.25">
      <c r="A3713" s="354">
        <v>0</v>
      </c>
      <c r="B3713" s="354">
        <v>0</v>
      </c>
      <c r="C3713" s="354">
        <v>1</v>
      </c>
      <c r="D3713" s="354">
        <v>0</v>
      </c>
      <c r="E3713" s="354">
        <v>2</v>
      </c>
      <c r="F3713" s="354">
        <v>2</v>
      </c>
      <c r="G3713" s="354">
        <v>0</v>
      </c>
      <c r="H3713" s="354">
        <v>0</v>
      </c>
      <c r="I3713" s="354">
        <v>1</v>
      </c>
      <c r="J3713" s="354">
        <v>1</v>
      </c>
      <c r="K3713" s="354">
        <v>0</v>
      </c>
      <c r="L3713" s="354">
        <v>0</v>
      </c>
      <c r="M3713" s="355">
        <v>4</v>
      </c>
      <c r="N3713" s="355">
        <v>3</v>
      </c>
    </row>
    <row r="3714" spans="1:14" hidden="1" x14ac:dyDescent="0.25">
      <c r="A3714" s="354">
        <v>0</v>
      </c>
      <c r="B3714" s="354">
        <v>0</v>
      </c>
      <c r="C3714" s="354">
        <v>1</v>
      </c>
      <c r="D3714" s="354">
        <v>0</v>
      </c>
      <c r="E3714" s="354">
        <v>2</v>
      </c>
      <c r="F3714" s="354">
        <v>1</v>
      </c>
      <c r="G3714" s="354">
        <v>1</v>
      </c>
      <c r="H3714" s="354">
        <v>0</v>
      </c>
      <c r="I3714" s="354">
        <v>1</v>
      </c>
      <c r="J3714" s="354">
        <v>1</v>
      </c>
      <c r="K3714" s="354">
        <v>0</v>
      </c>
      <c r="L3714" s="354">
        <v>0</v>
      </c>
      <c r="M3714" s="355">
        <v>5</v>
      </c>
      <c r="N3714" s="355">
        <v>2</v>
      </c>
    </row>
    <row r="3715" spans="1:14" hidden="1" x14ac:dyDescent="0.25">
      <c r="A3715" s="354">
        <v>0</v>
      </c>
      <c r="B3715" s="354">
        <v>0</v>
      </c>
      <c r="C3715" s="354">
        <v>0</v>
      </c>
      <c r="D3715" s="354">
        <v>0</v>
      </c>
      <c r="E3715" s="354">
        <v>3</v>
      </c>
      <c r="F3715" s="354">
        <v>0</v>
      </c>
      <c r="G3715" s="354">
        <v>2</v>
      </c>
      <c r="H3715" s="354">
        <v>0</v>
      </c>
      <c r="I3715" s="354">
        <v>1</v>
      </c>
      <c r="J3715" s="354">
        <v>1</v>
      </c>
      <c r="K3715" s="354">
        <v>0</v>
      </c>
      <c r="L3715" s="354">
        <v>0</v>
      </c>
      <c r="M3715" s="355">
        <v>6</v>
      </c>
      <c r="N3715" s="355">
        <v>1</v>
      </c>
    </row>
    <row r="3716" spans="1:14" hidden="1" x14ac:dyDescent="0.25">
      <c r="A3716" s="354">
        <v>0</v>
      </c>
      <c r="B3716" s="354">
        <v>0</v>
      </c>
      <c r="C3716" s="354">
        <v>0</v>
      </c>
      <c r="D3716" s="354">
        <v>1</v>
      </c>
      <c r="E3716" s="354">
        <v>2</v>
      </c>
      <c r="F3716" s="354">
        <v>1</v>
      </c>
      <c r="G3716" s="354">
        <v>0</v>
      </c>
      <c r="H3716" s="354">
        <v>0</v>
      </c>
      <c r="I3716" s="354">
        <v>0</v>
      </c>
      <c r="J3716" s="354">
        <v>0</v>
      </c>
      <c r="K3716" s="354">
        <v>0</v>
      </c>
      <c r="L3716" s="354">
        <v>0</v>
      </c>
      <c r="M3716" s="355">
        <v>2</v>
      </c>
      <c r="N3716" s="355">
        <v>2</v>
      </c>
    </row>
    <row r="3717" spans="1:14" hidden="1" x14ac:dyDescent="0.25">
      <c r="A3717" s="354">
        <v>0</v>
      </c>
      <c r="B3717" s="354">
        <v>0</v>
      </c>
      <c r="C3717" s="354">
        <v>0</v>
      </c>
      <c r="D3717" s="354">
        <v>2</v>
      </c>
      <c r="E3717" s="354">
        <v>3</v>
      </c>
      <c r="F3717" s="354">
        <v>0</v>
      </c>
      <c r="G3717" s="354">
        <v>1</v>
      </c>
      <c r="H3717" s="354">
        <v>0</v>
      </c>
      <c r="I3717" s="354">
        <v>1</v>
      </c>
      <c r="J3717" s="354">
        <v>1</v>
      </c>
      <c r="K3717" s="354">
        <v>0</v>
      </c>
      <c r="L3717" s="354">
        <v>0</v>
      </c>
      <c r="M3717" s="355">
        <v>5</v>
      </c>
      <c r="N3717" s="355">
        <v>3</v>
      </c>
    </row>
    <row r="3718" spans="1:14" hidden="1" x14ac:dyDescent="0.25">
      <c r="A3718" s="354">
        <v>0</v>
      </c>
      <c r="B3718" s="354">
        <v>0</v>
      </c>
      <c r="C3718" s="354">
        <v>1</v>
      </c>
      <c r="D3718" s="354">
        <v>1</v>
      </c>
      <c r="E3718" s="354">
        <v>2</v>
      </c>
      <c r="F3718" s="354">
        <v>1</v>
      </c>
      <c r="G3718" s="354">
        <v>1</v>
      </c>
      <c r="H3718" s="354">
        <v>0</v>
      </c>
      <c r="I3718" s="354">
        <v>1</v>
      </c>
      <c r="J3718" s="354">
        <v>1</v>
      </c>
      <c r="K3718" s="354">
        <v>0</v>
      </c>
      <c r="L3718" s="354">
        <v>0</v>
      </c>
      <c r="M3718" s="355">
        <v>5</v>
      </c>
      <c r="N3718" s="355">
        <v>3</v>
      </c>
    </row>
    <row r="3719" spans="1:14" hidden="1" x14ac:dyDescent="0.25">
      <c r="A3719" s="354">
        <v>0</v>
      </c>
      <c r="B3719" s="354">
        <v>0</v>
      </c>
      <c r="C3719" s="354">
        <v>1</v>
      </c>
      <c r="D3719" s="354">
        <v>1</v>
      </c>
      <c r="E3719" s="354">
        <v>2</v>
      </c>
      <c r="F3719" s="354">
        <v>1</v>
      </c>
      <c r="G3719" s="354">
        <v>1</v>
      </c>
      <c r="H3719" s="354">
        <v>1</v>
      </c>
      <c r="I3719" s="354">
        <v>1</v>
      </c>
      <c r="J3719" s="354">
        <v>1</v>
      </c>
      <c r="K3719" s="354">
        <v>0</v>
      </c>
      <c r="L3719" s="354">
        <v>0</v>
      </c>
      <c r="M3719" s="355">
        <v>5</v>
      </c>
      <c r="N3719" s="355">
        <v>4</v>
      </c>
    </row>
    <row r="3720" spans="1:14" hidden="1" x14ac:dyDescent="0.25">
      <c r="A3720" s="354">
        <v>0</v>
      </c>
      <c r="B3720" s="354">
        <v>0</v>
      </c>
      <c r="C3720" s="354">
        <v>0</v>
      </c>
      <c r="D3720" s="354">
        <v>0</v>
      </c>
      <c r="E3720" s="354">
        <v>3</v>
      </c>
      <c r="F3720" s="354">
        <v>1</v>
      </c>
      <c r="G3720" s="354">
        <v>1</v>
      </c>
      <c r="H3720" s="354">
        <v>0</v>
      </c>
      <c r="I3720" s="354">
        <v>1</v>
      </c>
      <c r="J3720" s="354">
        <v>1</v>
      </c>
      <c r="K3720" s="354">
        <v>0</v>
      </c>
      <c r="L3720" s="354">
        <v>0</v>
      </c>
      <c r="M3720" s="355">
        <v>5</v>
      </c>
      <c r="N3720" s="355">
        <v>2</v>
      </c>
    </row>
    <row r="3721" spans="1:14" hidden="1" x14ac:dyDescent="0.25">
      <c r="A3721" s="354">
        <v>0</v>
      </c>
      <c r="B3721" s="354">
        <v>0</v>
      </c>
      <c r="C3721" s="354">
        <v>1</v>
      </c>
      <c r="D3721" s="354">
        <v>0</v>
      </c>
      <c r="E3721" s="354">
        <v>2</v>
      </c>
      <c r="F3721" s="354">
        <v>1</v>
      </c>
      <c r="G3721" s="354">
        <v>0</v>
      </c>
      <c r="H3721" s="354">
        <v>0</v>
      </c>
      <c r="I3721" s="354">
        <v>1</v>
      </c>
      <c r="J3721" s="354">
        <v>1</v>
      </c>
      <c r="K3721" s="354">
        <v>0</v>
      </c>
      <c r="L3721" s="354">
        <v>0</v>
      </c>
      <c r="M3721" s="355">
        <v>4</v>
      </c>
      <c r="N3721" s="355">
        <v>2</v>
      </c>
    </row>
    <row r="3722" spans="1:14" hidden="1" x14ac:dyDescent="0.25">
      <c r="A3722" s="354">
        <v>0</v>
      </c>
      <c r="B3722" s="354">
        <v>0</v>
      </c>
      <c r="C3722" s="354">
        <v>0</v>
      </c>
      <c r="D3722" s="354">
        <v>0</v>
      </c>
      <c r="E3722" s="354">
        <v>2</v>
      </c>
      <c r="F3722" s="354">
        <v>2</v>
      </c>
      <c r="G3722" s="354">
        <v>1</v>
      </c>
      <c r="H3722" s="354">
        <v>0</v>
      </c>
      <c r="I3722" s="354">
        <v>1</v>
      </c>
      <c r="J3722" s="354">
        <v>1</v>
      </c>
      <c r="K3722" s="354">
        <v>0</v>
      </c>
      <c r="L3722" s="354">
        <v>0</v>
      </c>
      <c r="M3722" s="355">
        <v>4</v>
      </c>
      <c r="N3722" s="355">
        <v>3</v>
      </c>
    </row>
    <row r="3723" spans="1:14" hidden="1" x14ac:dyDescent="0.25">
      <c r="A3723" s="354">
        <v>0</v>
      </c>
      <c r="B3723" s="354">
        <v>0</v>
      </c>
      <c r="C3723" s="354">
        <v>0</v>
      </c>
      <c r="D3723" s="354">
        <v>1</v>
      </c>
      <c r="E3723" s="354">
        <v>3</v>
      </c>
      <c r="F3723" s="354">
        <v>0</v>
      </c>
      <c r="G3723" s="354">
        <v>0</v>
      </c>
      <c r="H3723" s="354">
        <v>1</v>
      </c>
      <c r="I3723" s="354">
        <v>1</v>
      </c>
      <c r="J3723" s="354">
        <v>1</v>
      </c>
      <c r="K3723" s="354">
        <v>0</v>
      </c>
      <c r="L3723" s="354">
        <v>0</v>
      </c>
      <c r="M3723" s="355">
        <v>4</v>
      </c>
      <c r="N3723" s="355">
        <v>3</v>
      </c>
    </row>
    <row r="3724" spans="1:14" hidden="1" x14ac:dyDescent="0.25">
      <c r="A3724" s="354">
        <v>0</v>
      </c>
      <c r="B3724" s="354">
        <v>0</v>
      </c>
      <c r="C3724" s="354">
        <v>0</v>
      </c>
      <c r="D3724" s="354">
        <v>0</v>
      </c>
      <c r="E3724" s="354">
        <v>2</v>
      </c>
      <c r="F3724" s="354">
        <v>2</v>
      </c>
      <c r="G3724" s="354">
        <v>1</v>
      </c>
      <c r="H3724" s="354">
        <v>0</v>
      </c>
      <c r="I3724" s="354">
        <v>0</v>
      </c>
      <c r="J3724" s="354">
        <v>0</v>
      </c>
      <c r="K3724" s="354">
        <v>0</v>
      </c>
      <c r="L3724" s="354">
        <v>0</v>
      </c>
      <c r="M3724" s="355">
        <v>3</v>
      </c>
      <c r="N3724" s="355">
        <v>2</v>
      </c>
    </row>
    <row r="3725" spans="1:14" hidden="1" x14ac:dyDescent="0.25">
      <c r="A3725" s="354">
        <v>0</v>
      </c>
      <c r="B3725" s="354">
        <v>1</v>
      </c>
      <c r="C3725" s="354">
        <v>1</v>
      </c>
      <c r="D3725" s="354">
        <v>0</v>
      </c>
      <c r="E3725" s="354">
        <v>0</v>
      </c>
      <c r="F3725" s="354">
        <v>0</v>
      </c>
      <c r="G3725" s="354">
        <v>0</v>
      </c>
      <c r="H3725" s="354">
        <v>0</v>
      </c>
      <c r="I3725" s="354">
        <v>1</v>
      </c>
      <c r="J3725" s="354">
        <v>1</v>
      </c>
      <c r="K3725" s="354">
        <v>0</v>
      </c>
      <c r="L3725" s="354">
        <v>0</v>
      </c>
      <c r="M3725" s="355">
        <v>2</v>
      </c>
      <c r="N3725" s="355">
        <v>2</v>
      </c>
    </row>
    <row r="3726" spans="1:14" hidden="1" x14ac:dyDescent="0.25">
      <c r="A3726" s="354">
        <v>0</v>
      </c>
      <c r="B3726" s="354">
        <v>0</v>
      </c>
      <c r="C3726" s="354">
        <v>1</v>
      </c>
      <c r="D3726" s="354">
        <v>0</v>
      </c>
      <c r="E3726" s="354">
        <v>3</v>
      </c>
      <c r="F3726" s="354">
        <v>2</v>
      </c>
      <c r="G3726" s="354">
        <v>2</v>
      </c>
      <c r="H3726" s="354">
        <v>1</v>
      </c>
      <c r="I3726" s="354">
        <v>1</v>
      </c>
      <c r="J3726" s="354">
        <v>2</v>
      </c>
      <c r="K3726" s="354">
        <v>0</v>
      </c>
      <c r="L3726" s="354">
        <v>0</v>
      </c>
      <c r="M3726" s="355">
        <v>7</v>
      </c>
      <c r="N3726" s="355">
        <v>5</v>
      </c>
    </row>
    <row r="3727" spans="1:14" hidden="1" x14ac:dyDescent="0.25">
      <c r="A3727" s="354">
        <v>0</v>
      </c>
      <c r="B3727" s="354">
        <v>0</v>
      </c>
      <c r="C3727" s="354">
        <v>1</v>
      </c>
      <c r="D3727" s="354">
        <v>0</v>
      </c>
      <c r="E3727" s="354">
        <v>2</v>
      </c>
      <c r="F3727" s="354">
        <v>1</v>
      </c>
      <c r="G3727" s="354">
        <v>1</v>
      </c>
      <c r="H3727" s="354">
        <v>1</v>
      </c>
      <c r="I3727" s="354">
        <v>1</v>
      </c>
      <c r="J3727" s="354">
        <v>1</v>
      </c>
      <c r="K3727" s="354">
        <v>0</v>
      </c>
      <c r="L3727" s="354">
        <v>0</v>
      </c>
      <c r="M3727" s="355">
        <v>5</v>
      </c>
      <c r="N3727" s="355">
        <v>3</v>
      </c>
    </row>
    <row r="3728" spans="1:14" hidden="1" x14ac:dyDescent="0.25">
      <c r="A3728" s="354">
        <v>0</v>
      </c>
      <c r="B3728" s="354">
        <v>0</v>
      </c>
      <c r="C3728" s="354">
        <v>1</v>
      </c>
      <c r="D3728" s="354">
        <v>0</v>
      </c>
      <c r="E3728" s="354">
        <v>1</v>
      </c>
      <c r="F3728" s="354">
        <v>0</v>
      </c>
      <c r="G3728" s="354">
        <v>0</v>
      </c>
      <c r="H3728" s="354">
        <v>0</v>
      </c>
      <c r="I3728" s="354">
        <v>1</v>
      </c>
      <c r="J3728" s="354">
        <v>1</v>
      </c>
      <c r="K3728" s="354">
        <v>0</v>
      </c>
      <c r="L3728" s="354">
        <v>0</v>
      </c>
      <c r="M3728" s="355">
        <v>3</v>
      </c>
      <c r="N3728" s="355">
        <v>1</v>
      </c>
    </row>
    <row r="3729" spans="1:14" hidden="1" x14ac:dyDescent="0.25">
      <c r="A3729" s="354">
        <v>0</v>
      </c>
      <c r="B3729" s="354">
        <v>0</v>
      </c>
      <c r="C3729" s="354">
        <v>0</v>
      </c>
      <c r="D3729" s="354">
        <v>0</v>
      </c>
      <c r="E3729" s="354">
        <v>2</v>
      </c>
      <c r="F3729" s="354">
        <v>1</v>
      </c>
      <c r="G3729" s="354">
        <v>1</v>
      </c>
      <c r="H3729" s="354">
        <v>1</v>
      </c>
      <c r="I3729" s="354">
        <v>1</v>
      </c>
      <c r="J3729" s="354">
        <v>1</v>
      </c>
      <c r="K3729" s="354">
        <v>0</v>
      </c>
      <c r="L3729" s="354">
        <v>0</v>
      </c>
      <c r="M3729" s="355">
        <v>4</v>
      </c>
      <c r="N3729" s="355">
        <v>3</v>
      </c>
    </row>
    <row r="3730" spans="1:14" hidden="1" x14ac:dyDescent="0.25">
      <c r="A3730" s="354">
        <v>0</v>
      </c>
      <c r="B3730" s="354">
        <v>0</v>
      </c>
      <c r="C3730" s="354">
        <v>0</v>
      </c>
      <c r="D3730" s="354">
        <v>0</v>
      </c>
      <c r="E3730" s="354">
        <v>0</v>
      </c>
      <c r="F3730" s="354">
        <v>2</v>
      </c>
      <c r="G3730" s="354">
        <v>0</v>
      </c>
      <c r="H3730" s="354">
        <v>0</v>
      </c>
      <c r="I3730" s="354">
        <v>2</v>
      </c>
      <c r="J3730" s="354">
        <v>1</v>
      </c>
      <c r="K3730" s="354">
        <v>0</v>
      </c>
      <c r="L3730" s="354">
        <v>0</v>
      </c>
      <c r="M3730" s="355">
        <v>2</v>
      </c>
      <c r="N3730" s="355">
        <v>3</v>
      </c>
    </row>
    <row r="3731" spans="1:14" hidden="1" x14ac:dyDescent="0.25">
      <c r="A3731" s="354">
        <v>0</v>
      </c>
      <c r="B3731" s="354">
        <v>0</v>
      </c>
      <c r="C3731" s="354">
        <v>1</v>
      </c>
      <c r="D3731" s="354">
        <v>1</v>
      </c>
      <c r="E3731" s="354">
        <v>2</v>
      </c>
      <c r="F3731" s="354">
        <v>0</v>
      </c>
      <c r="G3731" s="354">
        <v>0</v>
      </c>
      <c r="H3731" s="354">
        <v>0</v>
      </c>
      <c r="I3731" s="354">
        <v>1</v>
      </c>
      <c r="J3731" s="354">
        <v>1</v>
      </c>
      <c r="K3731" s="354">
        <v>0</v>
      </c>
      <c r="L3731" s="354">
        <v>0</v>
      </c>
      <c r="M3731" s="355">
        <v>4</v>
      </c>
      <c r="N3731" s="355">
        <v>2</v>
      </c>
    </row>
    <row r="3732" spans="1:14" hidden="1" x14ac:dyDescent="0.25">
      <c r="A3732" s="354">
        <v>0</v>
      </c>
      <c r="B3732" s="354">
        <v>0</v>
      </c>
      <c r="C3732" s="354">
        <v>1</v>
      </c>
      <c r="D3732" s="354">
        <v>1</v>
      </c>
      <c r="E3732" s="354">
        <v>2</v>
      </c>
      <c r="F3732" s="354">
        <v>1</v>
      </c>
      <c r="G3732" s="354">
        <v>0</v>
      </c>
      <c r="H3732" s="354">
        <v>0</v>
      </c>
      <c r="I3732" s="354">
        <v>0</v>
      </c>
      <c r="J3732" s="354">
        <v>1</v>
      </c>
      <c r="K3732" s="354">
        <v>0</v>
      </c>
      <c r="L3732" s="354">
        <v>0</v>
      </c>
      <c r="M3732" s="355">
        <v>3</v>
      </c>
      <c r="N3732" s="355">
        <v>3</v>
      </c>
    </row>
    <row r="3733" spans="1:14" hidden="1" x14ac:dyDescent="0.25">
      <c r="A3733" s="354">
        <v>0</v>
      </c>
      <c r="B3733" s="354">
        <v>0</v>
      </c>
      <c r="C3733" s="354">
        <v>1</v>
      </c>
      <c r="D3733" s="354">
        <v>0</v>
      </c>
      <c r="E3733" s="354">
        <v>3</v>
      </c>
      <c r="F3733" s="354">
        <v>0</v>
      </c>
      <c r="G3733" s="354">
        <v>1</v>
      </c>
      <c r="H3733" s="354">
        <v>0</v>
      </c>
      <c r="I3733" s="354">
        <v>0</v>
      </c>
      <c r="J3733" s="354">
        <v>1</v>
      </c>
      <c r="K3733" s="354">
        <v>0</v>
      </c>
      <c r="L3733" s="354">
        <v>0</v>
      </c>
      <c r="M3733" s="355">
        <v>5</v>
      </c>
      <c r="N3733" s="355">
        <v>1</v>
      </c>
    </row>
    <row r="3734" spans="1:14" hidden="1" x14ac:dyDescent="0.25">
      <c r="A3734" s="354">
        <v>0</v>
      </c>
      <c r="B3734" s="354">
        <v>0</v>
      </c>
      <c r="C3734" s="354">
        <v>0</v>
      </c>
      <c r="D3734" s="354">
        <v>0</v>
      </c>
      <c r="E3734" s="354">
        <v>2</v>
      </c>
      <c r="F3734" s="354">
        <v>1</v>
      </c>
      <c r="G3734" s="354">
        <v>1</v>
      </c>
      <c r="H3734" s="354">
        <v>0</v>
      </c>
      <c r="I3734" s="354">
        <v>1</v>
      </c>
      <c r="J3734" s="354">
        <v>1</v>
      </c>
      <c r="K3734" s="354">
        <v>0</v>
      </c>
      <c r="L3734" s="354">
        <v>0</v>
      </c>
      <c r="M3734" s="355">
        <v>4</v>
      </c>
      <c r="N3734" s="355">
        <v>2</v>
      </c>
    </row>
    <row r="3735" spans="1:14" hidden="1" x14ac:dyDescent="0.25">
      <c r="A3735" s="354">
        <v>0</v>
      </c>
      <c r="B3735" s="354">
        <v>0</v>
      </c>
      <c r="C3735" s="354">
        <v>1</v>
      </c>
      <c r="D3735" s="354">
        <v>2</v>
      </c>
      <c r="E3735" s="354">
        <v>1</v>
      </c>
      <c r="F3735" s="354">
        <v>0</v>
      </c>
      <c r="G3735" s="354">
        <v>0</v>
      </c>
      <c r="H3735" s="354">
        <v>0</v>
      </c>
      <c r="I3735" s="354">
        <v>1</v>
      </c>
      <c r="J3735" s="354">
        <v>0</v>
      </c>
      <c r="K3735" s="354">
        <v>0</v>
      </c>
      <c r="L3735" s="354">
        <v>0</v>
      </c>
      <c r="M3735" s="355">
        <v>3</v>
      </c>
      <c r="N3735" s="355">
        <v>2</v>
      </c>
    </row>
    <row r="3736" spans="1:14" hidden="1" x14ac:dyDescent="0.25">
      <c r="A3736" s="354">
        <v>0</v>
      </c>
      <c r="B3736" s="354">
        <v>0</v>
      </c>
      <c r="C3736" s="354">
        <v>1</v>
      </c>
      <c r="D3736" s="354">
        <v>0</v>
      </c>
      <c r="E3736" s="354">
        <v>2</v>
      </c>
      <c r="F3736" s="354">
        <v>3</v>
      </c>
      <c r="G3736" s="354">
        <v>0</v>
      </c>
      <c r="H3736" s="354">
        <v>0</v>
      </c>
      <c r="I3736" s="354">
        <v>1</v>
      </c>
      <c r="J3736" s="354">
        <v>1</v>
      </c>
      <c r="K3736" s="354">
        <v>0</v>
      </c>
      <c r="L3736" s="354">
        <v>0</v>
      </c>
      <c r="M3736" s="355">
        <v>4</v>
      </c>
      <c r="N3736" s="355">
        <v>4</v>
      </c>
    </row>
    <row r="3737" spans="1:14" hidden="1" x14ac:dyDescent="0.25">
      <c r="A3737" s="354">
        <v>0</v>
      </c>
      <c r="B3737" s="354">
        <v>0</v>
      </c>
      <c r="C3737" s="354">
        <v>1</v>
      </c>
      <c r="D3737" s="354">
        <v>0</v>
      </c>
      <c r="E3737" s="354">
        <v>2</v>
      </c>
      <c r="F3737" s="354">
        <v>2</v>
      </c>
      <c r="G3737" s="354">
        <v>0</v>
      </c>
      <c r="H3737" s="354">
        <v>0</v>
      </c>
      <c r="I3737" s="354">
        <v>0</v>
      </c>
      <c r="J3737" s="354">
        <v>1</v>
      </c>
      <c r="K3737" s="354">
        <v>0</v>
      </c>
      <c r="L3737" s="354">
        <v>0</v>
      </c>
      <c r="M3737" s="355">
        <v>3</v>
      </c>
      <c r="N3737" s="355">
        <v>3</v>
      </c>
    </row>
    <row r="3738" spans="1:14" hidden="1" x14ac:dyDescent="0.25">
      <c r="A3738" s="354">
        <v>0</v>
      </c>
      <c r="B3738" s="354">
        <v>0</v>
      </c>
      <c r="C3738" s="354">
        <v>1</v>
      </c>
      <c r="D3738" s="354">
        <v>0</v>
      </c>
      <c r="E3738" s="354">
        <v>3</v>
      </c>
      <c r="F3738" s="354">
        <v>1</v>
      </c>
      <c r="G3738" s="354">
        <v>1</v>
      </c>
      <c r="H3738" s="354">
        <v>0</v>
      </c>
      <c r="I3738" s="354">
        <v>1</v>
      </c>
      <c r="J3738" s="354">
        <v>1</v>
      </c>
      <c r="K3738" s="354">
        <v>0</v>
      </c>
      <c r="L3738" s="354">
        <v>0</v>
      </c>
      <c r="M3738" s="355">
        <v>6</v>
      </c>
      <c r="N3738" s="355">
        <v>2</v>
      </c>
    </row>
    <row r="3739" spans="1:14" hidden="1" x14ac:dyDescent="0.25">
      <c r="A3739" s="354">
        <v>0</v>
      </c>
      <c r="B3739" s="354">
        <v>0</v>
      </c>
      <c r="C3739" s="354">
        <v>1</v>
      </c>
      <c r="D3739" s="354">
        <v>0</v>
      </c>
      <c r="E3739" s="354">
        <v>2</v>
      </c>
      <c r="F3739" s="354">
        <v>1</v>
      </c>
      <c r="G3739" s="354">
        <v>0</v>
      </c>
      <c r="H3739" s="354">
        <v>0</v>
      </c>
      <c r="I3739" s="354">
        <v>0</v>
      </c>
      <c r="J3739" s="354">
        <v>1</v>
      </c>
      <c r="K3739" s="354">
        <v>0</v>
      </c>
      <c r="L3739" s="354">
        <v>0</v>
      </c>
      <c r="M3739" s="355">
        <v>3</v>
      </c>
      <c r="N3739" s="355">
        <v>2</v>
      </c>
    </row>
    <row r="3740" spans="1:14" hidden="1" x14ac:dyDescent="0.25">
      <c r="A3740" s="354">
        <v>0</v>
      </c>
      <c r="B3740" s="354">
        <v>0</v>
      </c>
      <c r="C3740" s="354">
        <v>0</v>
      </c>
      <c r="D3740" s="354">
        <v>0</v>
      </c>
      <c r="E3740" s="354">
        <v>3</v>
      </c>
      <c r="F3740" s="354">
        <v>0</v>
      </c>
      <c r="G3740" s="354">
        <v>0</v>
      </c>
      <c r="H3740" s="354">
        <v>0</v>
      </c>
      <c r="I3740" s="354">
        <v>0</v>
      </c>
      <c r="J3740" s="354">
        <v>1</v>
      </c>
      <c r="K3740" s="354">
        <v>0</v>
      </c>
      <c r="L3740" s="354">
        <v>0</v>
      </c>
      <c r="M3740" s="355">
        <v>3</v>
      </c>
      <c r="N3740" s="355">
        <v>1</v>
      </c>
    </row>
    <row r="3741" spans="1:14" hidden="1" x14ac:dyDescent="0.25">
      <c r="A3741" s="354">
        <v>0</v>
      </c>
      <c r="B3741" s="354">
        <v>0</v>
      </c>
      <c r="C3741" s="354">
        <v>0</v>
      </c>
      <c r="D3741" s="354">
        <v>0</v>
      </c>
      <c r="E3741" s="354">
        <v>2</v>
      </c>
      <c r="F3741" s="354">
        <v>1</v>
      </c>
      <c r="G3741" s="354">
        <v>0</v>
      </c>
      <c r="H3741" s="354">
        <v>0</v>
      </c>
      <c r="I3741" s="354">
        <v>1</v>
      </c>
      <c r="J3741" s="354">
        <v>1</v>
      </c>
      <c r="K3741" s="354">
        <v>0</v>
      </c>
      <c r="L3741" s="354">
        <v>0</v>
      </c>
      <c r="M3741" s="355">
        <v>3</v>
      </c>
      <c r="N3741" s="355">
        <v>2</v>
      </c>
    </row>
    <row r="3742" spans="1:14" hidden="1" x14ac:dyDescent="0.25">
      <c r="A3742" s="354">
        <v>0</v>
      </c>
      <c r="B3742" s="354">
        <v>0</v>
      </c>
      <c r="C3742" s="354">
        <v>1</v>
      </c>
      <c r="D3742" s="354">
        <v>0</v>
      </c>
      <c r="E3742" s="354">
        <v>2</v>
      </c>
      <c r="F3742" s="354">
        <v>1</v>
      </c>
      <c r="G3742" s="354">
        <v>0</v>
      </c>
      <c r="H3742" s="354">
        <v>0</v>
      </c>
      <c r="I3742" s="354">
        <v>1</v>
      </c>
      <c r="J3742" s="354">
        <v>1</v>
      </c>
      <c r="K3742" s="354">
        <v>0</v>
      </c>
      <c r="L3742" s="354">
        <v>0</v>
      </c>
      <c r="M3742" s="355">
        <v>4</v>
      </c>
      <c r="N3742" s="355">
        <v>2</v>
      </c>
    </row>
    <row r="3743" spans="1:14" hidden="1" x14ac:dyDescent="0.25">
      <c r="A3743" s="354">
        <v>0</v>
      </c>
      <c r="B3743" s="354">
        <v>0</v>
      </c>
      <c r="C3743" s="354">
        <v>1</v>
      </c>
      <c r="D3743" s="354">
        <v>0</v>
      </c>
      <c r="E3743" s="354">
        <v>2</v>
      </c>
      <c r="F3743" s="354">
        <v>1</v>
      </c>
      <c r="G3743" s="354">
        <v>1</v>
      </c>
      <c r="H3743" s="354">
        <v>0</v>
      </c>
      <c r="I3743" s="354">
        <v>0</v>
      </c>
      <c r="J3743" s="354">
        <v>1</v>
      </c>
      <c r="K3743" s="354">
        <v>0</v>
      </c>
      <c r="L3743" s="354">
        <v>0</v>
      </c>
      <c r="M3743" s="355">
        <v>4</v>
      </c>
      <c r="N3743" s="355">
        <v>2</v>
      </c>
    </row>
    <row r="3744" spans="1:14" hidden="1" x14ac:dyDescent="0.25">
      <c r="A3744" s="354">
        <v>1</v>
      </c>
      <c r="B3744" s="354">
        <v>0</v>
      </c>
      <c r="C3744" s="354">
        <v>1</v>
      </c>
      <c r="D3744" s="354">
        <v>0</v>
      </c>
      <c r="E3744" s="354">
        <v>0</v>
      </c>
      <c r="F3744" s="354">
        <v>0</v>
      </c>
      <c r="G3744" s="354">
        <v>0</v>
      </c>
      <c r="H3744" s="354">
        <v>0</v>
      </c>
      <c r="I3744" s="354">
        <v>1</v>
      </c>
      <c r="J3744" s="354">
        <v>1</v>
      </c>
      <c r="K3744" s="354">
        <v>0</v>
      </c>
      <c r="L3744" s="354">
        <v>0</v>
      </c>
      <c r="M3744" s="355">
        <v>3</v>
      </c>
      <c r="N3744" s="355">
        <v>1</v>
      </c>
    </row>
    <row r="3745" spans="1:14" hidden="1" x14ac:dyDescent="0.25">
      <c r="A3745" s="354">
        <v>0</v>
      </c>
      <c r="B3745" s="354">
        <v>0</v>
      </c>
      <c r="C3745" s="354">
        <v>1</v>
      </c>
      <c r="D3745" s="354">
        <v>0</v>
      </c>
      <c r="E3745" s="354">
        <v>2</v>
      </c>
      <c r="F3745" s="354">
        <v>1</v>
      </c>
      <c r="G3745" s="354">
        <v>1</v>
      </c>
      <c r="H3745" s="354">
        <v>2</v>
      </c>
      <c r="I3745" s="354">
        <v>1</v>
      </c>
      <c r="J3745" s="354">
        <v>1</v>
      </c>
      <c r="K3745" s="354">
        <v>0</v>
      </c>
      <c r="L3745" s="354">
        <v>0</v>
      </c>
      <c r="M3745" s="355">
        <v>5</v>
      </c>
      <c r="N3745" s="355">
        <v>4</v>
      </c>
    </row>
    <row r="3746" spans="1:14" hidden="1" x14ac:dyDescent="0.25">
      <c r="A3746" s="354">
        <v>0</v>
      </c>
      <c r="B3746" s="354">
        <v>0</v>
      </c>
      <c r="C3746" s="354">
        <v>0</v>
      </c>
      <c r="D3746" s="354">
        <v>0</v>
      </c>
      <c r="E3746" s="354">
        <v>2</v>
      </c>
      <c r="F3746" s="354">
        <v>2</v>
      </c>
      <c r="G3746" s="354">
        <v>0</v>
      </c>
      <c r="H3746" s="354">
        <v>0</v>
      </c>
      <c r="I3746" s="354">
        <v>0</v>
      </c>
      <c r="J3746" s="354">
        <v>1</v>
      </c>
      <c r="K3746" s="354">
        <v>0</v>
      </c>
      <c r="L3746" s="354">
        <v>0</v>
      </c>
      <c r="M3746" s="355">
        <v>2</v>
      </c>
      <c r="N3746" s="355">
        <v>3</v>
      </c>
    </row>
    <row r="3747" spans="1:14" hidden="1" x14ac:dyDescent="0.25">
      <c r="A3747" s="354">
        <v>0</v>
      </c>
      <c r="B3747" s="354">
        <v>1</v>
      </c>
      <c r="C3747" s="354">
        <v>0</v>
      </c>
      <c r="D3747" s="354">
        <v>1</v>
      </c>
      <c r="E3747" s="354">
        <v>0</v>
      </c>
      <c r="F3747" s="354">
        <v>2</v>
      </c>
      <c r="G3747" s="354">
        <v>1</v>
      </c>
      <c r="H3747" s="354">
        <v>0</v>
      </c>
      <c r="I3747" s="354">
        <v>1</v>
      </c>
      <c r="J3747" s="354">
        <v>1</v>
      </c>
      <c r="K3747" s="354">
        <v>0</v>
      </c>
      <c r="L3747" s="354">
        <v>0</v>
      </c>
      <c r="M3747" s="355">
        <v>2</v>
      </c>
      <c r="N3747" s="355">
        <v>5</v>
      </c>
    </row>
    <row r="3748" spans="1:14" hidden="1" x14ac:dyDescent="0.25">
      <c r="A3748" s="354">
        <v>0</v>
      </c>
      <c r="B3748" s="354">
        <v>0</v>
      </c>
      <c r="C3748" s="354">
        <v>1</v>
      </c>
      <c r="D3748" s="354">
        <v>1</v>
      </c>
      <c r="E3748" s="354">
        <v>0</v>
      </c>
      <c r="F3748" s="354">
        <v>1</v>
      </c>
      <c r="G3748" s="354">
        <v>1</v>
      </c>
      <c r="H3748" s="354">
        <v>2</v>
      </c>
      <c r="I3748" s="354">
        <v>1</v>
      </c>
      <c r="J3748" s="354">
        <v>1</v>
      </c>
      <c r="K3748" s="354">
        <v>0</v>
      </c>
      <c r="L3748" s="354">
        <v>0</v>
      </c>
      <c r="M3748" s="355">
        <v>3</v>
      </c>
      <c r="N3748" s="355">
        <v>5</v>
      </c>
    </row>
    <row r="3749" spans="1:14" hidden="1" x14ac:dyDescent="0.25">
      <c r="A3749" s="354">
        <v>0</v>
      </c>
      <c r="B3749" s="354">
        <v>0</v>
      </c>
      <c r="C3749" s="354">
        <v>1</v>
      </c>
      <c r="D3749" s="354">
        <v>0</v>
      </c>
      <c r="E3749" s="354">
        <v>1</v>
      </c>
      <c r="F3749" s="354">
        <v>2</v>
      </c>
      <c r="G3749" s="354">
        <v>1</v>
      </c>
      <c r="H3749" s="354">
        <v>1</v>
      </c>
      <c r="I3749" s="354">
        <v>1</v>
      </c>
      <c r="J3749" s="354">
        <v>1</v>
      </c>
      <c r="K3749" s="354">
        <v>0</v>
      </c>
      <c r="L3749" s="354">
        <v>0</v>
      </c>
      <c r="M3749" s="355">
        <v>4</v>
      </c>
      <c r="N3749" s="355">
        <v>4</v>
      </c>
    </row>
    <row r="3750" spans="1:14" hidden="1" x14ac:dyDescent="0.25">
      <c r="A3750" s="354">
        <v>1</v>
      </c>
      <c r="B3750" s="354">
        <v>0</v>
      </c>
      <c r="C3750" s="354">
        <v>1</v>
      </c>
      <c r="D3750" s="354">
        <v>0</v>
      </c>
      <c r="E3750" s="354">
        <v>1</v>
      </c>
      <c r="F3750" s="354">
        <v>1</v>
      </c>
      <c r="G3750" s="354">
        <v>0</v>
      </c>
      <c r="H3750" s="354">
        <v>1</v>
      </c>
      <c r="I3750" s="354">
        <v>1</v>
      </c>
      <c r="J3750" s="354">
        <v>1</v>
      </c>
      <c r="K3750" s="354">
        <v>0</v>
      </c>
      <c r="L3750" s="354">
        <v>0</v>
      </c>
      <c r="M3750" s="355">
        <v>4</v>
      </c>
      <c r="N3750" s="355">
        <v>3</v>
      </c>
    </row>
    <row r="3751" spans="1:14" hidden="1" x14ac:dyDescent="0.25">
      <c r="A3751" s="354">
        <v>0</v>
      </c>
      <c r="B3751" s="354">
        <v>1</v>
      </c>
      <c r="C3751" s="354">
        <v>1</v>
      </c>
      <c r="D3751" s="354">
        <v>0</v>
      </c>
      <c r="E3751" s="354">
        <v>1</v>
      </c>
      <c r="F3751" s="354">
        <v>2</v>
      </c>
      <c r="G3751" s="354">
        <v>0</v>
      </c>
      <c r="H3751" s="354">
        <v>1</v>
      </c>
      <c r="I3751" s="354">
        <v>1</v>
      </c>
      <c r="J3751" s="354">
        <v>1</v>
      </c>
      <c r="K3751" s="354">
        <v>0</v>
      </c>
      <c r="L3751" s="354">
        <v>0</v>
      </c>
      <c r="M3751" s="355">
        <v>3</v>
      </c>
      <c r="N3751" s="355">
        <v>5</v>
      </c>
    </row>
    <row r="3752" spans="1:14" hidden="1" x14ac:dyDescent="0.25">
      <c r="A3752" s="354">
        <v>0</v>
      </c>
      <c r="B3752" s="354">
        <v>0</v>
      </c>
      <c r="C3752" s="354">
        <v>1</v>
      </c>
      <c r="D3752" s="354">
        <v>0</v>
      </c>
      <c r="E3752" s="354">
        <v>1</v>
      </c>
      <c r="F3752" s="354">
        <v>1</v>
      </c>
      <c r="G3752" s="354">
        <v>0</v>
      </c>
      <c r="H3752" s="354">
        <v>2</v>
      </c>
      <c r="I3752" s="354">
        <v>1</v>
      </c>
      <c r="J3752" s="354">
        <v>1</v>
      </c>
      <c r="K3752" s="354">
        <v>0</v>
      </c>
      <c r="L3752" s="354">
        <v>0</v>
      </c>
      <c r="M3752" s="355">
        <v>3</v>
      </c>
      <c r="N3752" s="355">
        <v>4</v>
      </c>
    </row>
    <row r="3753" spans="1:14" hidden="1" x14ac:dyDescent="0.25">
      <c r="A3753" s="354">
        <v>0</v>
      </c>
      <c r="B3753" s="354">
        <v>1</v>
      </c>
      <c r="C3753" s="354">
        <v>1</v>
      </c>
      <c r="D3753" s="354">
        <v>0</v>
      </c>
      <c r="E3753" s="354">
        <v>1</v>
      </c>
      <c r="F3753" s="354">
        <v>1</v>
      </c>
      <c r="G3753" s="354">
        <v>0</v>
      </c>
      <c r="H3753" s="354">
        <v>0</v>
      </c>
      <c r="I3753" s="354">
        <v>1</v>
      </c>
      <c r="J3753" s="354">
        <v>1</v>
      </c>
      <c r="K3753" s="354">
        <v>0</v>
      </c>
      <c r="L3753" s="354">
        <v>0</v>
      </c>
      <c r="M3753" s="355">
        <v>3</v>
      </c>
      <c r="N3753" s="355">
        <v>3</v>
      </c>
    </row>
    <row r="3754" spans="1:14" hidden="1" x14ac:dyDescent="0.25">
      <c r="A3754" s="354">
        <v>0</v>
      </c>
      <c r="B3754" s="354">
        <v>0</v>
      </c>
      <c r="C3754" s="354">
        <v>1</v>
      </c>
      <c r="D3754" s="354">
        <v>0</v>
      </c>
      <c r="E3754" s="354">
        <v>1</v>
      </c>
      <c r="F3754" s="354">
        <v>2</v>
      </c>
      <c r="G3754" s="354">
        <v>1</v>
      </c>
      <c r="H3754" s="354">
        <v>1</v>
      </c>
      <c r="I3754" s="354">
        <v>1</v>
      </c>
      <c r="J3754" s="354">
        <v>1</v>
      </c>
      <c r="K3754" s="354">
        <v>0</v>
      </c>
      <c r="L3754" s="354">
        <v>0</v>
      </c>
      <c r="M3754" s="355">
        <v>4</v>
      </c>
      <c r="N3754" s="355">
        <v>4</v>
      </c>
    </row>
    <row r="3755" spans="1:14" hidden="1" x14ac:dyDescent="0.25">
      <c r="A3755" s="354">
        <v>1</v>
      </c>
      <c r="B3755" s="354">
        <v>0</v>
      </c>
      <c r="C3755" s="354">
        <v>1</v>
      </c>
      <c r="D3755" s="354">
        <v>0</v>
      </c>
      <c r="E3755" s="354">
        <v>1</v>
      </c>
      <c r="F3755" s="354">
        <v>0</v>
      </c>
      <c r="G3755" s="354">
        <v>1</v>
      </c>
      <c r="H3755" s="354">
        <v>0</v>
      </c>
      <c r="I3755" s="354">
        <v>1</v>
      </c>
      <c r="J3755" s="354">
        <v>1</v>
      </c>
      <c r="K3755" s="354">
        <v>0</v>
      </c>
      <c r="L3755" s="354">
        <v>0</v>
      </c>
      <c r="M3755" s="355">
        <v>5</v>
      </c>
      <c r="N3755" s="355">
        <v>1</v>
      </c>
    </row>
    <row r="3756" spans="1:14" hidden="1" x14ac:dyDescent="0.25">
      <c r="A3756" s="354">
        <v>0</v>
      </c>
      <c r="B3756" s="354">
        <v>1</v>
      </c>
      <c r="C3756" s="354">
        <v>0</v>
      </c>
      <c r="D3756" s="354">
        <v>1</v>
      </c>
      <c r="E3756" s="354">
        <v>1</v>
      </c>
      <c r="F3756" s="354">
        <v>1</v>
      </c>
      <c r="G3756" s="354">
        <v>0</v>
      </c>
      <c r="H3756" s="354">
        <v>1</v>
      </c>
      <c r="I3756" s="354">
        <v>1</v>
      </c>
      <c r="J3756" s="354">
        <v>1</v>
      </c>
      <c r="K3756" s="354">
        <v>0</v>
      </c>
      <c r="L3756" s="354">
        <v>0</v>
      </c>
      <c r="M3756" s="355">
        <v>2</v>
      </c>
      <c r="N3756" s="355">
        <v>5</v>
      </c>
    </row>
    <row r="3757" spans="1:14" hidden="1" x14ac:dyDescent="0.25">
      <c r="A3757" s="354">
        <v>0</v>
      </c>
      <c r="B3757" s="354">
        <v>1</v>
      </c>
      <c r="C3757" s="354">
        <v>1</v>
      </c>
      <c r="D3757" s="354">
        <v>0</v>
      </c>
      <c r="E3757" s="354">
        <v>1</v>
      </c>
      <c r="F3757" s="354">
        <v>1</v>
      </c>
      <c r="G3757" s="354">
        <v>1</v>
      </c>
      <c r="H3757" s="354">
        <v>0</v>
      </c>
      <c r="I3757" s="354">
        <v>1</v>
      </c>
      <c r="J3757" s="354">
        <v>1</v>
      </c>
      <c r="K3757" s="354">
        <v>0</v>
      </c>
      <c r="L3757" s="354">
        <v>0</v>
      </c>
      <c r="M3757" s="355">
        <v>4</v>
      </c>
      <c r="N3757" s="355">
        <v>3</v>
      </c>
    </row>
    <row r="3758" spans="1:14" hidden="1" x14ac:dyDescent="0.25">
      <c r="A3758" s="354">
        <v>0</v>
      </c>
      <c r="B3758" s="354">
        <v>1</v>
      </c>
      <c r="C3758" s="354">
        <v>0</v>
      </c>
      <c r="D3758" s="354">
        <v>0</v>
      </c>
      <c r="E3758" s="354">
        <v>0</v>
      </c>
      <c r="F3758" s="354">
        <v>0</v>
      </c>
      <c r="G3758" s="354">
        <v>0</v>
      </c>
      <c r="H3758" s="354">
        <v>0</v>
      </c>
      <c r="I3758" s="354">
        <v>1</v>
      </c>
      <c r="J3758" s="354">
        <v>1</v>
      </c>
      <c r="K3758" s="354">
        <v>0</v>
      </c>
      <c r="L3758" s="354">
        <v>0</v>
      </c>
      <c r="M3758" s="355">
        <v>1</v>
      </c>
      <c r="N3758" s="355">
        <v>2</v>
      </c>
    </row>
    <row r="3759" spans="1:14" hidden="1" x14ac:dyDescent="0.25">
      <c r="A3759" s="354">
        <v>0</v>
      </c>
      <c r="B3759" s="354">
        <v>0</v>
      </c>
      <c r="C3759" s="354">
        <v>1</v>
      </c>
      <c r="D3759" s="354">
        <v>0</v>
      </c>
      <c r="E3759" s="354">
        <v>0</v>
      </c>
      <c r="F3759" s="354">
        <v>1</v>
      </c>
      <c r="G3759" s="354">
        <v>0</v>
      </c>
      <c r="H3759" s="354">
        <v>1</v>
      </c>
      <c r="I3759" s="354">
        <v>1</v>
      </c>
      <c r="J3759" s="354">
        <v>1</v>
      </c>
      <c r="K3759" s="354">
        <v>1</v>
      </c>
      <c r="L3759" s="354">
        <v>0</v>
      </c>
      <c r="M3759" s="355">
        <v>3</v>
      </c>
      <c r="N3759" s="355">
        <v>3</v>
      </c>
    </row>
    <row r="3760" spans="1:14" hidden="1" x14ac:dyDescent="0.25">
      <c r="A3760" s="354">
        <v>0</v>
      </c>
      <c r="B3760" s="354">
        <v>0</v>
      </c>
      <c r="C3760" s="354">
        <v>0</v>
      </c>
      <c r="D3760" s="354">
        <v>0</v>
      </c>
      <c r="E3760" s="354">
        <v>0</v>
      </c>
      <c r="F3760" s="354">
        <v>0</v>
      </c>
      <c r="G3760" s="354">
        <v>0</v>
      </c>
      <c r="H3760" s="354">
        <v>0</v>
      </c>
      <c r="I3760" s="354">
        <v>1</v>
      </c>
      <c r="J3760" s="354">
        <v>1</v>
      </c>
      <c r="K3760" s="354">
        <v>1</v>
      </c>
      <c r="L3760" s="354">
        <v>1</v>
      </c>
      <c r="M3760" s="355">
        <v>2</v>
      </c>
      <c r="N3760" s="355">
        <v>2</v>
      </c>
    </row>
    <row r="3761" spans="1:14" hidden="1" x14ac:dyDescent="0.25">
      <c r="A3761" s="354">
        <v>0</v>
      </c>
      <c r="B3761" s="354">
        <v>0</v>
      </c>
      <c r="C3761" s="354">
        <v>0</v>
      </c>
      <c r="D3761" s="354">
        <v>0</v>
      </c>
      <c r="E3761" s="354">
        <v>0</v>
      </c>
      <c r="F3761" s="354">
        <v>1</v>
      </c>
      <c r="G3761" s="354">
        <v>0</v>
      </c>
      <c r="H3761" s="354">
        <v>0</v>
      </c>
      <c r="I3761" s="354">
        <v>1</v>
      </c>
      <c r="J3761" s="354">
        <v>1</v>
      </c>
      <c r="K3761" s="354">
        <v>1</v>
      </c>
      <c r="L3761" s="354">
        <v>0</v>
      </c>
      <c r="M3761" s="355">
        <v>2</v>
      </c>
      <c r="N3761" s="355">
        <v>2</v>
      </c>
    </row>
    <row r="3762" spans="1:14" hidden="1" x14ac:dyDescent="0.25">
      <c r="A3762" s="354">
        <v>0</v>
      </c>
      <c r="B3762" s="354">
        <v>0</v>
      </c>
      <c r="C3762" s="354">
        <v>0</v>
      </c>
      <c r="D3762" s="354">
        <v>1</v>
      </c>
      <c r="E3762" s="354">
        <v>0</v>
      </c>
      <c r="F3762" s="354">
        <v>1</v>
      </c>
      <c r="G3762" s="354">
        <v>0</v>
      </c>
      <c r="H3762" s="354">
        <v>0</v>
      </c>
      <c r="I3762" s="354">
        <v>1</v>
      </c>
      <c r="J3762" s="354">
        <v>0</v>
      </c>
      <c r="K3762" s="354">
        <v>1</v>
      </c>
      <c r="L3762" s="354">
        <v>1</v>
      </c>
      <c r="M3762" s="355">
        <v>2</v>
      </c>
      <c r="N3762" s="355">
        <v>3</v>
      </c>
    </row>
    <row r="3763" spans="1:14" hidden="1" x14ac:dyDescent="0.25">
      <c r="A3763" s="354">
        <v>0</v>
      </c>
      <c r="B3763" s="354">
        <v>0</v>
      </c>
      <c r="C3763" s="354">
        <v>0</v>
      </c>
      <c r="D3763" s="354">
        <v>0</v>
      </c>
      <c r="E3763" s="354">
        <v>1</v>
      </c>
      <c r="F3763" s="354"/>
      <c r="G3763" s="354">
        <v>2</v>
      </c>
      <c r="H3763" s="354"/>
      <c r="I3763" s="354">
        <v>3</v>
      </c>
      <c r="J3763" s="354">
        <v>4</v>
      </c>
      <c r="K3763" s="354">
        <v>0</v>
      </c>
      <c r="L3763" s="354">
        <v>0</v>
      </c>
      <c r="M3763" s="355">
        <v>6</v>
      </c>
      <c r="N3763" s="355">
        <v>4</v>
      </c>
    </row>
    <row r="3764" spans="1:14" hidden="1" x14ac:dyDescent="0.25">
      <c r="A3764" s="354">
        <v>0</v>
      </c>
      <c r="B3764" s="354">
        <v>0</v>
      </c>
      <c r="C3764" s="354">
        <v>1</v>
      </c>
      <c r="D3764" s="354">
        <v>1</v>
      </c>
      <c r="E3764" s="354">
        <v>3</v>
      </c>
      <c r="F3764" s="354">
        <v>1</v>
      </c>
      <c r="G3764" s="354">
        <v>0</v>
      </c>
      <c r="H3764" s="354">
        <v>3</v>
      </c>
      <c r="I3764" s="354">
        <v>3</v>
      </c>
      <c r="J3764" s="354">
        <v>2</v>
      </c>
      <c r="K3764" s="354">
        <v>0</v>
      </c>
      <c r="L3764" s="354">
        <v>0</v>
      </c>
      <c r="M3764" s="355">
        <v>7</v>
      </c>
      <c r="N3764" s="355">
        <v>7</v>
      </c>
    </row>
    <row r="3765" spans="1:14" hidden="1" x14ac:dyDescent="0.25">
      <c r="A3765" s="354">
        <v>0</v>
      </c>
      <c r="B3765" s="354">
        <v>0</v>
      </c>
      <c r="C3765" s="354">
        <v>0</v>
      </c>
      <c r="D3765" s="354">
        <v>1</v>
      </c>
      <c r="E3765" s="354">
        <v>2</v>
      </c>
      <c r="F3765" s="354">
        <v>2</v>
      </c>
      <c r="G3765" s="354">
        <v>2</v>
      </c>
      <c r="H3765" s="354">
        <v>3</v>
      </c>
      <c r="I3765" s="354">
        <v>3</v>
      </c>
      <c r="J3765" s="354">
        <v>3</v>
      </c>
      <c r="K3765" s="354">
        <v>0</v>
      </c>
      <c r="L3765" s="354">
        <v>0</v>
      </c>
      <c r="M3765" s="355">
        <v>7</v>
      </c>
      <c r="N3765" s="355">
        <v>9</v>
      </c>
    </row>
    <row r="3766" spans="1:14" hidden="1" x14ac:dyDescent="0.25">
      <c r="A3766" s="354">
        <v>0</v>
      </c>
      <c r="B3766" s="354">
        <v>0</v>
      </c>
      <c r="C3766" s="354">
        <v>1</v>
      </c>
      <c r="D3766" s="354">
        <v>2</v>
      </c>
      <c r="E3766" s="354">
        <v>3</v>
      </c>
      <c r="F3766" s="354">
        <v>2</v>
      </c>
      <c r="G3766" s="354">
        <v>2</v>
      </c>
      <c r="H3766" s="354">
        <v>4</v>
      </c>
      <c r="I3766" s="354">
        <v>1</v>
      </c>
      <c r="J3766" s="354">
        <v>2</v>
      </c>
      <c r="K3766" s="354">
        <v>0</v>
      </c>
      <c r="L3766" s="354">
        <v>0</v>
      </c>
      <c r="M3766" s="355">
        <v>7</v>
      </c>
      <c r="N3766" s="355">
        <v>10</v>
      </c>
    </row>
    <row r="3767" spans="1:14" hidden="1" x14ac:dyDescent="0.25">
      <c r="A3767" s="354">
        <v>0</v>
      </c>
      <c r="B3767" s="354">
        <v>0</v>
      </c>
      <c r="C3767" s="354">
        <v>1</v>
      </c>
      <c r="D3767" s="354">
        <v>1</v>
      </c>
      <c r="E3767" s="354">
        <v>3</v>
      </c>
      <c r="F3767" s="354">
        <v>2</v>
      </c>
      <c r="G3767" s="354">
        <v>1</v>
      </c>
      <c r="H3767" s="354">
        <v>0</v>
      </c>
      <c r="I3767" s="354">
        <v>4</v>
      </c>
      <c r="J3767" s="354">
        <v>2</v>
      </c>
      <c r="K3767" s="354">
        <v>0</v>
      </c>
      <c r="L3767" s="354">
        <v>0</v>
      </c>
      <c r="M3767" s="355">
        <v>9</v>
      </c>
      <c r="N3767" s="355">
        <v>5</v>
      </c>
    </row>
    <row r="3768" spans="1:14" hidden="1" x14ac:dyDescent="0.25">
      <c r="A3768" s="354">
        <v>1</v>
      </c>
      <c r="B3768" s="354">
        <v>1</v>
      </c>
      <c r="C3768" s="354">
        <v>1</v>
      </c>
      <c r="D3768" s="354">
        <v>0</v>
      </c>
      <c r="E3768" s="354">
        <v>0</v>
      </c>
      <c r="F3768" s="354">
        <v>0</v>
      </c>
      <c r="G3768" s="354">
        <v>0</v>
      </c>
      <c r="H3768" s="354">
        <v>0</v>
      </c>
      <c r="I3768" s="354">
        <v>0</v>
      </c>
      <c r="J3768" s="354">
        <v>0</v>
      </c>
      <c r="K3768" s="354">
        <v>0</v>
      </c>
      <c r="L3768" s="354">
        <v>0</v>
      </c>
      <c r="M3768" s="355">
        <v>2</v>
      </c>
      <c r="N3768" s="355">
        <v>1</v>
      </c>
    </row>
    <row r="3769" spans="1:14" hidden="1" x14ac:dyDescent="0.25">
      <c r="A3769" s="354">
        <v>1</v>
      </c>
      <c r="B3769" s="354">
        <v>0</v>
      </c>
      <c r="C3769" s="354">
        <v>1</v>
      </c>
      <c r="D3769" s="354">
        <v>0</v>
      </c>
      <c r="E3769" s="354">
        <v>1</v>
      </c>
      <c r="F3769" s="354">
        <v>2</v>
      </c>
      <c r="G3769" s="354">
        <v>1</v>
      </c>
      <c r="H3769" s="354">
        <v>2</v>
      </c>
      <c r="I3769" s="354">
        <v>2</v>
      </c>
      <c r="J3769" s="354">
        <v>3</v>
      </c>
      <c r="K3769" s="354">
        <v>0</v>
      </c>
      <c r="L3769" s="354">
        <v>0</v>
      </c>
      <c r="M3769" s="355">
        <v>6</v>
      </c>
      <c r="N3769" s="355">
        <v>7</v>
      </c>
    </row>
    <row r="3770" spans="1:14" hidden="1" x14ac:dyDescent="0.25">
      <c r="A3770" s="354">
        <v>0</v>
      </c>
      <c r="B3770" s="354">
        <v>0</v>
      </c>
      <c r="C3770" s="354">
        <v>0</v>
      </c>
      <c r="D3770" s="354">
        <v>0</v>
      </c>
      <c r="E3770" s="354">
        <v>0</v>
      </c>
      <c r="F3770" s="354">
        <v>0</v>
      </c>
      <c r="G3770" s="354">
        <v>0</v>
      </c>
      <c r="H3770" s="354">
        <v>0</v>
      </c>
      <c r="I3770" s="354">
        <v>0</v>
      </c>
      <c r="J3770" s="354">
        <v>0</v>
      </c>
      <c r="K3770" s="354">
        <v>1</v>
      </c>
      <c r="L3770" s="354">
        <v>1</v>
      </c>
      <c r="M3770" s="355">
        <v>1</v>
      </c>
      <c r="N3770" s="355">
        <v>1</v>
      </c>
    </row>
    <row r="3771" spans="1:14" hidden="1" x14ac:dyDescent="0.25">
      <c r="A3771" s="354">
        <v>0</v>
      </c>
      <c r="B3771" s="354">
        <v>0</v>
      </c>
      <c r="C3771" s="354">
        <v>1</v>
      </c>
      <c r="D3771" s="354">
        <v>0</v>
      </c>
      <c r="E3771" s="354">
        <v>1</v>
      </c>
      <c r="F3771" s="354">
        <v>2</v>
      </c>
      <c r="G3771" s="354">
        <v>0</v>
      </c>
      <c r="H3771" s="354">
        <v>0</v>
      </c>
      <c r="I3771" s="354">
        <v>1</v>
      </c>
      <c r="J3771" s="354">
        <v>1</v>
      </c>
      <c r="K3771" s="354">
        <v>0</v>
      </c>
      <c r="L3771" s="354">
        <v>0</v>
      </c>
      <c r="M3771" s="355">
        <v>3</v>
      </c>
      <c r="N3771" s="355">
        <v>3</v>
      </c>
    </row>
    <row r="3772" spans="1:14" hidden="1" x14ac:dyDescent="0.25">
      <c r="A3772" s="354">
        <v>0</v>
      </c>
      <c r="B3772" s="354">
        <v>0</v>
      </c>
      <c r="C3772" s="354">
        <v>1</v>
      </c>
      <c r="D3772" s="354">
        <v>0</v>
      </c>
      <c r="E3772" s="354">
        <v>3</v>
      </c>
      <c r="F3772" s="354">
        <v>1</v>
      </c>
      <c r="G3772" s="354">
        <v>0</v>
      </c>
      <c r="H3772" s="354">
        <v>1</v>
      </c>
      <c r="I3772" s="354">
        <v>1</v>
      </c>
      <c r="J3772" s="354">
        <v>1</v>
      </c>
      <c r="K3772" s="354">
        <v>0</v>
      </c>
      <c r="L3772" s="354">
        <v>0</v>
      </c>
      <c r="M3772" s="355">
        <v>5</v>
      </c>
      <c r="N3772" s="355">
        <v>3</v>
      </c>
    </row>
    <row r="3773" spans="1:14" hidden="1" x14ac:dyDescent="0.25">
      <c r="A3773" s="354">
        <v>0</v>
      </c>
      <c r="B3773" s="354">
        <v>0</v>
      </c>
      <c r="C3773" s="354">
        <v>1</v>
      </c>
      <c r="D3773" s="354">
        <v>0</v>
      </c>
      <c r="E3773" s="354">
        <v>2</v>
      </c>
      <c r="F3773" s="354">
        <v>1</v>
      </c>
      <c r="G3773" s="354">
        <v>1</v>
      </c>
      <c r="H3773" s="354">
        <v>0</v>
      </c>
      <c r="I3773" s="354">
        <v>1</v>
      </c>
      <c r="J3773" s="354">
        <v>1</v>
      </c>
      <c r="K3773" s="354">
        <v>0</v>
      </c>
      <c r="L3773" s="354">
        <v>0</v>
      </c>
      <c r="M3773" s="355">
        <v>5</v>
      </c>
      <c r="N3773" s="355">
        <v>2</v>
      </c>
    </row>
    <row r="3774" spans="1:14" hidden="1" x14ac:dyDescent="0.25">
      <c r="A3774" s="354">
        <v>0</v>
      </c>
      <c r="B3774" s="354">
        <v>0</v>
      </c>
      <c r="C3774" s="354">
        <v>1</v>
      </c>
      <c r="D3774" s="354">
        <v>0</v>
      </c>
      <c r="E3774" s="354">
        <v>2</v>
      </c>
      <c r="F3774" s="354">
        <v>1</v>
      </c>
      <c r="G3774" s="354">
        <v>1</v>
      </c>
      <c r="H3774" s="354">
        <v>0</v>
      </c>
      <c r="I3774" s="354">
        <v>1</v>
      </c>
      <c r="J3774" s="354">
        <v>1</v>
      </c>
      <c r="K3774" s="354">
        <v>0</v>
      </c>
      <c r="L3774" s="354">
        <v>0</v>
      </c>
      <c r="M3774" s="355">
        <v>5</v>
      </c>
      <c r="N3774" s="355">
        <v>2</v>
      </c>
    </row>
    <row r="3775" spans="1:14" hidden="1" x14ac:dyDescent="0.25">
      <c r="A3775" s="354">
        <v>0</v>
      </c>
      <c r="B3775" s="354">
        <v>0</v>
      </c>
      <c r="C3775" s="354">
        <v>0</v>
      </c>
      <c r="D3775" s="354">
        <v>1</v>
      </c>
      <c r="E3775" s="354">
        <v>3</v>
      </c>
      <c r="F3775" s="354">
        <v>2</v>
      </c>
      <c r="G3775" s="354">
        <v>0</v>
      </c>
      <c r="H3775" s="354">
        <v>0</v>
      </c>
      <c r="I3775" s="354">
        <v>1</v>
      </c>
      <c r="J3775" s="354">
        <v>1</v>
      </c>
      <c r="K3775" s="354">
        <v>0</v>
      </c>
      <c r="L3775" s="354">
        <v>0</v>
      </c>
      <c r="M3775" s="355">
        <v>4</v>
      </c>
      <c r="N3775" s="355">
        <v>4</v>
      </c>
    </row>
    <row r="3776" spans="1:14" hidden="1" x14ac:dyDescent="0.25">
      <c r="A3776" s="354">
        <v>0</v>
      </c>
      <c r="B3776" s="354">
        <v>0</v>
      </c>
      <c r="C3776" s="354">
        <v>1</v>
      </c>
      <c r="D3776" s="354">
        <v>0</v>
      </c>
      <c r="E3776" s="354">
        <v>2</v>
      </c>
      <c r="F3776" s="354">
        <v>1</v>
      </c>
      <c r="G3776" s="354">
        <v>2</v>
      </c>
      <c r="H3776" s="354">
        <v>0</v>
      </c>
      <c r="I3776" s="354">
        <v>1</v>
      </c>
      <c r="J3776" s="354">
        <v>1</v>
      </c>
      <c r="K3776" s="354">
        <v>0</v>
      </c>
      <c r="L3776" s="354">
        <v>0</v>
      </c>
      <c r="M3776" s="355">
        <v>6</v>
      </c>
      <c r="N3776" s="355">
        <v>2</v>
      </c>
    </row>
    <row r="3777" spans="1:14" hidden="1" x14ac:dyDescent="0.25">
      <c r="A3777" s="354">
        <v>0</v>
      </c>
      <c r="B3777" s="354">
        <v>0</v>
      </c>
      <c r="C3777" s="354">
        <v>0</v>
      </c>
      <c r="D3777" s="354">
        <v>1</v>
      </c>
      <c r="E3777" s="354">
        <v>2</v>
      </c>
      <c r="F3777" s="354">
        <v>1</v>
      </c>
      <c r="G3777" s="354">
        <v>1</v>
      </c>
      <c r="H3777" s="354">
        <v>1</v>
      </c>
      <c r="I3777" s="354">
        <v>1</v>
      </c>
      <c r="J3777" s="354">
        <v>1</v>
      </c>
      <c r="K3777" s="354">
        <v>0</v>
      </c>
      <c r="L3777" s="354">
        <v>0</v>
      </c>
      <c r="M3777" s="355">
        <v>4</v>
      </c>
      <c r="N3777" s="355">
        <v>4</v>
      </c>
    </row>
    <row r="3778" spans="1:14" hidden="1" x14ac:dyDescent="0.25">
      <c r="A3778" s="354">
        <v>0</v>
      </c>
      <c r="B3778" s="354">
        <v>0</v>
      </c>
      <c r="C3778" s="354">
        <v>0</v>
      </c>
      <c r="D3778" s="354">
        <v>0</v>
      </c>
      <c r="E3778" s="354">
        <v>2</v>
      </c>
      <c r="F3778" s="354">
        <v>2</v>
      </c>
      <c r="G3778" s="354">
        <v>1</v>
      </c>
      <c r="H3778" s="354">
        <v>0</v>
      </c>
      <c r="I3778" s="354">
        <v>1</v>
      </c>
      <c r="J3778" s="354">
        <v>1</v>
      </c>
      <c r="K3778" s="354">
        <v>0</v>
      </c>
      <c r="L3778" s="354">
        <v>0</v>
      </c>
      <c r="M3778" s="355">
        <v>4</v>
      </c>
      <c r="N3778" s="355">
        <v>3</v>
      </c>
    </row>
    <row r="3779" spans="1:14" hidden="1" x14ac:dyDescent="0.25">
      <c r="A3779" s="354">
        <v>0</v>
      </c>
      <c r="B3779" s="354">
        <v>0</v>
      </c>
      <c r="C3779" s="354">
        <v>1</v>
      </c>
      <c r="D3779" s="354">
        <v>0</v>
      </c>
      <c r="E3779" s="354">
        <v>2</v>
      </c>
      <c r="F3779" s="354">
        <v>1</v>
      </c>
      <c r="G3779" s="354">
        <v>1</v>
      </c>
      <c r="H3779" s="354">
        <v>0</v>
      </c>
      <c r="I3779" s="354">
        <v>1</v>
      </c>
      <c r="J3779" s="354">
        <v>1</v>
      </c>
      <c r="K3779" s="354">
        <v>0</v>
      </c>
      <c r="L3779" s="354">
        <v>0</v>
      </c>
      <c r="M3779" s="355">
        <v>5</v>
      </c>
      <c r="N3779" s="355">
        <v>2</v>
      </c>
    </row>
    <row r="3780" spans="1:14" hidden="1" x14ac:dyDescent="0.25">
      <c r="A3780" s="354">
        <v>0</v>
      </c>
      <c r="B3780" s="354">
        <v>0</v>
      </c>
      <c r="C3780" s="354">
        <v>0</v>
      </c>
      <c r="D3780" s="354">
        <v>0</v>
      </c>
      <c r="E3780" s="354">
        <v>1</v>
      </c>
      <c r="F3780" s="354">
        <v>2</v>
      </c>
      <c r="G3780" s="354">
        <v>0</v>
      </c>
      <c r="H3780" s="354">
        <v>0</v>
      </c>
      <c r="I3780" s="354">
        <v>3</v>
      </c>
      <c r="J3780" s="354">
        <v>2</v>
      </c>
      <c r="K3780" s="354">
        <v>0</v>
      </c>
      <c r="L3780" s="354">
        <v>0</v>
      </c>
      <c r="M3780" s="355">
        <v>4</v>
      </c>
      <c r="N3780" s="355">
        <v>4</v>
      </c>
    </row>
    <row r="3781" spans="1:14" hidden="1" x14ac:dyDescent="0.25">
      <c r="A3781" s="354">
        <v>0</v>
      </c>
      <c r="B3781" s="354">
        <v>0</v>
      </c>
      <c r="C3781" s="354">
        <v>2</v>
      </c>
      <c r="D3781" s="354">
        <v>1</v>
      </c>
      <c r="E3781" s="354">
        <v>1</v>
      </c>
      <c r="F3781" s="354">
        <v>0</v>
      </c>
      <c r="G3781" s="354">
        <v>0</v>
      </c>
      <c r="H3781" s="354">
        <v>1</v>
      </c>
      <c r="I3781" s="354">
        <v>1</v>
      </c>
      <c r="J3781" s="354">
        <v>1</v>
      </c>
      <c r="K3781" s="354">
        <v>0</v>
      </c>
      <c r="L3781" s="354">
        <v>0</v>
      </c>
      <c r="M3781" s="355">
        <v>4</v>
      </c>
      <c r="N3781" s="355">
        <v>3</v>
      </c>
    </row>
    <row r="3782" spans="1:14" hidden="1" x14ac:dyDescent="0.25">
      <c r="A3782" s="354">
        <v>0</v>
      </c>
      <c r="B3782" s="354">
        <v>0</v>
      </c>
      <c r="C3782" s="354">
        <v>1</v>
      </c>
      <c r="D3782" s="354">
        <v>1</v>
      </c>
      <c r="E3782" s="354">
        <v>0</v>
      </c>
      <c r="F3782" s="354">
        <v>1</v>
      </c>
      <c r="G3782" s="354">
        <v>0</v>
      </c>
      <c r="H3782" s="354">
        <v>0</v>
      </c>
      <c r="I3782" s="354">
        <v>1</v>
      </c>
      <c r="J3782" s="354">
        <v>1</v>
      </c>
      <c r="K3782" s="354">
        <v>0</v>
      </c>
      <c r="L3782" s="354">
        <v>0</v>
      </c>
      <c r="M3782" s="355">
        <v>2</v>
      </c>
      <c r="N3782" s="355">
        <v>3</v>
      </c>
    </row>
    <row r="3783" spans="1:14" hidden="1" x14ac:dyDescent="0.25">
      <c r="A3783" s="354">
        <v>0</v>
      </c>
      <c r="B3783" s="354">
        <v>0</v>
      </c>
      <c r="C3783" s="354">
        <v>1</v>
      </c>
      <c r="D3783" s="354">
        <v>0</v>
      </c>
      <c r="E3783" s="354">
        <v>1</v>
      </c>
      <c r="F3783" s="354">
        <v>0</v>
      </c>
      <c r="G3783" s="354">
        <v>0</v>
      </c>
      <c r="H3783" s="354">
        <v>0</v>
      </c>
      <c r="I3783" s="354">
        <v>1</v>
      </c>
      <c r="J3783" s="354">
        <v>1</v>
      </c>
      <c r="K3783" s="354">
        <v>0</v>
      </c>
      <c r="L3783" s="354">
        <v>0</v>
      </c>
      <c r="M3783" s="355">
        <v>3</v>
      </c>
      <c r="N3783" s="355">
        <v>1</v>
      </c>
    </row>
    <row r="3784" spans="1:14" hidden="1" x14ac:dyDescent="0.25">
      <c r="A3784" s="354">
        <v>0</v>
      </c>
      <c r="B3784" s="354">
        <v>0</v>
      </c>
      <c r="C3784" s="354">
        <v>0</v>
      </c>
      <c r="D3784" s="354">
        <v>0</v>
      </c>
      <c r="E3784" s="354">
        <v>0</v>
      </c>
      <c r="F3784" s="354">
        <v>0</v>
      </c>
      <c r="G3784" s="354">
        <v>0</v>
      </c>
      <c r="H3784" s="354">
        <v>0</v>
      </c>
      <c r="I3784" s="354">
        <v>3</v>
      </c>
      <c r="J3784" s="354">
        <v>2</v>
      </c>
      <c r="K3784" s="354">
        <v>0</v>
      </c>
      <c r="L3784" s="354">
        <v>0</v>
      </c>
      <c r="M3784" s="355">
        <v>3</v>
      </c>
      <c r="N3784" s="355">
        <v>2</v>
      </c>
    </row>
    <row r="3785" spans="1:14" hidden="1" x14ac:dyDescent="0.25">
      <c r="A3785" s="354">
        <v>0</v>
      </c>
      <c r="B3785" s="354">
        <v>0</v>
      </c>
      <c r="C3785" s="354">
        <v>1</v>
      </c>
      <c r="D3785" s="354">
        <v>1</v>
      </c>
      <c r="E3785" s="354">
        <v>1</v>
      </c>
      <c r="F3785" s="354">
        <v>0</v>
      </c>
      <c r="G3785" s="354">
        <v>1</v>
      </c>
      <c r="H3785" s="354">
        <v>0</v>
      </c>
      <c r="I3785" s="354">
        <v>1</v>
      </c>
      <c r="J3785" s="354">
        <v>1</v>
      </c>
      <c r="K3785" s="354">
        <v>0</v>
      </c>
      <c r="L3785" s="354">
        <v>0</v>
      </c>
      <c r="M3785" s="355">
        <v>4</v>
      </c>
      <c r="N3785" s="355">
        <v>2</v>
      </c>
    </row>
    <row r="3786" spans="1:14" hidden="1" x14ac:dyDescent="0.25">
      <c r="A3786" s="354">
        <v>0</v>
      </c>
      <c r="B3786" s="354">
        <v>1</v>
      </c>
      <c r="C3786" s="354">
        <v>0</v>
      </c>
      <c r="D3786" s="354">
        <v>0</v>
      </c>
      <c r="E3786" s="354">
        <v>2</v>
      </c>
      <c r="F3786" s="354">
        <v>1</v>
      </c>
      <c r="G3786" s="354">
        <v>1</v>
      </c>
      <c r="H3786" s="354">
        <v>0</v>
      </c>
      <c r="I3786" s="354">
        <v>1</v>
      </c>
      <c r="J3786" s="354">
        <v>1</v>
      </c>
      <c r="K3786" s="354">
        <v>0</v>
      </c>
      <c r="L3786" s="354">
        <v>0</v>
      </c>
      <c r="M3786" s="355">
        <v>4</v>
      </c>
      <c r="N3786" s="355">
        <v>3</v>
      </c>
    </row>
    <row r="3787" spans="1:14" hidden="1" x14ac:dyDescent="0.25">
      <c r="A3787" s="354">
        <v>0</v>
      </c>
      <c r="B3787" s="354">
        <v>0</v>
      </c>
      <c r="C3787" s="354">
        <v>0</v>
      </c>
      <c r="D3787" s="354">
        <v>0</v>
      </c>
      <c r="E3787" s="354">
        <v>2</v>
      </c>
      <c r="F3787" s="354">
        <v>1</v>
      </c>
      <c r="G3787" s="354">
        <v>0</v>
      </c>
      <c r="H3787" s="354">
        <v>0</v>
      </c>
      <c r="I3787" s="354">
        <v>3</v>
      </c>
      <c r="J3787" s="354">
        <v>2</v>
      </c>
      <c r="K3787" s="354">
        <v>0</v>
      </c>
      <c r="L3787" s="354">
        <v>0</v>
      </c>
      <c r="M3787" s="355">
        <v>5</v>
      </c>
      <c r="N3787" s="355">
        <v>3</v>
      </c>
    </row>
    <row r="3788" spans="1:14" hidden="1" x14ac:dyDescent="0.25">
      <c r="A3788" s="354">
        <v>1</v>
      </c>
      <c r="B3788" s="354">
        <v>0</v>
      </c>
      <c r="C3788" s="354">
        <v>1</v>
      </c>
      <c r="D3788" s="354">
        <v>1</v>
      </c>
      <c r="E3788" s="354">
        <v>0</v>
      </c>
      <c r="F3788" s="354">
        <v>0</v>
      </c>
      <c r="G3788" s="354">
        <v>1</v>
      </c>
      <c r="H3788" s="354">
        <v>1</v>
      </c>
      <c r="I3788" s="354">
        <v>1</v>
      </c>
      <c r="J3788" s="354">
        <v>1</v>
      </c>
      <c r="K3788" s="354">
        <v>0</v>
      </c>
      <c r="L3788" s="354">
        <v>0</v>
      </c>
      <c r="M3788" s="355">
        <v>4</v>
      </c>
      <c r="N3788" s="355">
        <v>3</v>
      </c>
    </row>
    <row r="3789" spans="1:14" hidden="1" x14ac:dyDescent="0.25">
      <c r="A3789" s="354">
        <v>1</v>
      </c>
      <c r="B3789" s="354">
        <v>0</v>
      </c>
      <c r="C3789" s="354">
        <v>1</v>
      </c>
      <c r="D3789" s="354">
        <v>0</v>
      </c>
      <c r="E3789" s="354">
        <v>0</v>
      </c>
      <c r="F3789" s="354">
        <v>1</v>
      </c>
      <c r="G3789" s="354">
        <v>0</v>
      </c>
      <c r="H3789" s="354">
        <v>1</v>
      </c>
      <c r="I3789" s="354">
        <v>1</v>
      </c>
      <c r="J3789" s="354">
        <v>1</v>
      </c>
      <c r="K3789" s="354">
        <v>0</v>
      </c>
      <c r="L3789" s="354">
        <v>0</v>
      </c>
      <c r="M3789" s="355">
        <v>3</v>
      </c>
      <c r="N3789" s="355">
        <v>3</v>
      </c>
    </row>
    <row r="3790" spans="1:14" hidden="1" x14ac:dyDescent="0.25">
      <c r="A3790" s="354">
        <v>0</v>
      </c>
      <c r="B3790" s="354">
        <v>0</v>
      </c>
      <c r="C3790" s="354">
        <v>1</v>
      </c>
      <c r="D3790" s="354">
        <v>0</v>
      </c>
      <c r="E3790" s="354">
        <v>1</v>
      </c>
      <c r="F3790" s="354">
        <v>1</v>
      </c>
      <c r="G3790" s="354">
        <v>0</v>
      </c>
      <c r="H3790" s="354">
        <v>2</v>
      </c>
      <c r="I3790" s="354">
        <v>1</v>
      </c>
      <c r="J3790" s="354">
        <v>1</v>
      </c>
      <c r="K3790" s="354">
        <v>0</v>
      </c>
      <c r="L3790" s="354">
        <v>0</v>
      </c>
      <c r="M3790" s="355">
        <v>3</v>
      </c>
      <c r="N3790" s="355">
        <v>4</v>
      </c>
    </row>
    <row r="3791" spans="1:14" hidden="1" x14ac:dyDescent="0.25">
      <c r="A3791" s="354">
        <v>0</v>
      </c>
      <c r="B3791" s="354">
        <v>1</v>
      </c>
      <c r="C3791" s="354">
        <v>1</v>
      </c>
      <c r="D3791" s="354">
        <v>0</v>
      </c>
      <c r="E3791" s="354">
        <v>2</v>
      </c>
      <c r="F3791" s="354">
        <v>1</v>
      </c>
      <c r="G3791" s="354">
        <v>0</v>
      </c>
      <c r="H3791" s="354">
        <v>1</v>
      </c>
      <c r="I3791" s="354">
        <v>1</v>
      </c>
      <c r="J3791" s="354">
        <v>1</v>
      </c>
      <c r="K3791" s="354">
        <v>0</v>
      </c>
      <c r="L3791" s="354">
        <v>0</v>
      </c>
      <c r="M3791" s="355">
        <v>4</v>
      </c>
      <c r="N3791" s="355">
        <v>4</v>
      </c>
    </row>
    <row r="3792" spans="1:14" hidden="1" x14ac:dyDescent="0.25">
      <c r="A3792" s="354">
        <v>0</v>
      </c>
      <c r="B3792" s="354">
        <v>0</v>
      </c>
      <c r="C3792" s="354">
        <v>1</v>
      </c>
      <c r="D3792" s="354">
        <v>1</v>
      </c>
      <c r="E3792" s="354">
        <v>2</v>
      </c>
      <c r="F3792" s="354">
        <v>0</v>
      </c>
      <c r="G3792" s="354">
        <v>1</v>
      </c>
      <c r="H3792" s="354">
        <v>2</v>
      </c>
      <c r="I3792" s="354">
        <v>1</v>
      </c>
      <c r="J3792" s="354">
        <v>1</v>
      </c>
      <c r="K3792" s="354">
        <v>0</v>
      </c>
      <c r="L3792" s="354">
        <v>0</v>
      </c>
      <c r="M3792" s="355">
        <v>5</v>
      </c>
      <c r="N3792" s="355">
        <v>4</v>
      </c>
    </row>
    <row r="3793" spans="1:14" hidden="1" x14ac:dyDescent="0.25">
      <c r="A3793" s="354">
        <v>1</v>
      </c>
      <c r="B3793" s="354">
        <v>0</v>
      </c>
      <c r="C3793" s="354">
        <v>0</v>
      </c>
      <c r="D3793" s="354">
        <v>1</v>
      </c>
      <c r="E3793" s="354">
        <v>0</v>
      </c>
      <c r="F3793" s="354">
        <v>1</v>
      </c>
      <c r="G3793" s="354">
        <v>2</v>
      </c>
      <c r="H3793" s="354">
        <v>1</v>
      </c>
      <c r="I3793" s="354">
        <v>1</v>
      </c>
      <c r="J3793" s="354">
        <v>1</v>
      </c>
      <c r="K3793" s="354">
        <v>0</v>
      </c>
      <c r="L3793" s="354">
        <v>0</v>
      </c>
      <c r="M3793" s="355">
        <v>4</v>
      </c>
      <c r="N3793" s="355">
        <v>4</v>
      </c>
    </row>
    <row r="3794" spans="1:14" hidden="1" x14ac:dyDescent="0.25">
      <c r="A3794" s="354">
        <v>1</v>
      </c>
      <c r="B3794" s="354">
        <v>0</v>
      </c>
      <c r="C3794" s="354">
        <v>1</v>
      </c>
      <c r="D3794" s="354">
        <v>1</v>
      </c>
      <c r="E3794" s="354">
        <v>0</v>
      </c>
      <c r="F3794" s="354">
        <v>2</v>
      </c>
      <c r="G3794" s="354">
        <v>1</v>
      </c>
      <c r="H3794" s="354">
        <v>1</v>
      </c>
      <c r="I3794" s="354">
        <v>2</v>
      </c>
      <c r="J3794" s="354">
        <v>2</v>
      </c>
      <c r="K3794" s="354">
        <v>0</v>
      </c>
      <c r="L3794" s="354">
        <v>0</v>
      </c>
      <c r="M3794" s="355">
        <v>5</v>
      </c>
      <c r="N3794" s="355">
        <v>6</v>
      </c>
    </row>
    <row r="3795" spans="1:14" hidden="1" x14ac:dyDescent="0.25">
      <c r="A3795" s="354">
        <v>0</v>
      </c>
      <c r="B3795" s="354">
        <v>1</v>
      </c>
      <c r="C3795" s="354">
        <v>0</v>
      </c>
      <c r="D3795" s="354">
        <v>1</v>
      </c>
      <c r="E3795" s="354">
        <v>1</v>
      </c>
      <c r="F3795" s="354">
        <v>1</v>
      </c>
      <c r="G3795" s="354">
        <v>2</v>
      </c>
      <c r="H3795" s="354">
        <v>1</v>
      </c>
      <c r="I3795" s="354">
        <v>1</v>
      </c>
      <c r="J3795" s="354">
        <v>1</v>
      </c>
      <c r="K3795" s="354">
        <v>0</v>
      </c>
      <c r="L3795" s="354">
        <v>0</v>
      </c>
      <c r="M3795" s="355">
        <v>4</v>
      </c>
      <c r="N3795" s="355">
        <v>5</v>
      </c>
    </row>
    <row r="3796" spans="1:14" hidden="1" x14ac:dyDescent="0.25">
      <c r="A3796" s="354">
        <v>1</v>
      </c>
      <c r="B3796" s="354">
        <v>0</v>
      </c>
      <c r="C3796" s="354">
        <v>1</v>
      </c>
      <c r="D3796" s="354">
        <v>1</v>
      </c>
      <c r="E3796" s="354">
        <v>1</v>
      </c>
      <c r="F3796" s="354">
        <v>1</v>
      </c>
      <c r="G3796" s="354">
        <v>2</v>
      </c>
      <c r="H3796" s="354">
        <v>1</v>
      </c>
      <c r="I3796" s="354">
        <v>1</v>
      </c>
      <c r="J3796" s="354">
        <v>1</v>
      </c>
      <c r="K3796" s="354">
        <v>0</v>
      </c>
      <c r="L3796" s="354">
        <v>0</v>
      </c>
      <c r="M3796" s="355">
        <v>6</v>
      </c>
      <c r="N3796" s="355">
        <v>4</v>
      </c>
    </row>
    <row r="3797" spans="1:14" hidden="1" x14ac:dyDescent="0.25">
      <c r="A3797" s="354">
        <v>0</v>
      </c>
      <c r="B3797" s="354">
        <v>1</v>
      </c>
      <c r="C3797" s="354">
        <v>0</v>
      </c>
      <c r="D3797" s="354">
        <v>2</v>
      </c>
      <c r="E3797" s="354">
        <v>1</v>
      </c>
      <c r="F3797" s="354">
        <v>2</v>
      </c>
      <c r="G3797" s="354">
        <v>0</v>
      </c>
      <c r="H3797" s="354">
        <v>1</v>
      </c>
      <c r="I3797" s="354">
        <v>1</v>
      </c>
      <c r="J3797" s="354">
        <v>1</v>
      </c>
      <c r="K3797" s="354">
        <v>0</v>
      </c>
      <c r="L3797" s="354">
        <v>0</v>
      </c>
      <c r="M3797" s="355">
        <v>2</v>
      </c>
      <c r="N3797" s="355">
        <v>7</v>
      </c>
    </row>
    <row r="3798" spans="1:14" hidden="1" x14ac:dyDescent="0.25">
      <c r="A3798" s="354">
        <v>0</v>
      </c>
      <c r="B3798" s="354">
        <v>0</v>
      </c>
      <c r="C3798" s="354">
        <v>1</v>
      </c>
      <c r="D3798" s="354">
        <v>0</v>
      </c>
      <c r="E3798" s="354">
        <v>2</v>
      </c>
      <c r="F3798" s="354">
        <v>1</v>
      </c>
      <c r="G3798" s="354">
        <v>2</v>
      </c>
      <c r="H3798" s="354">
        <v>1</v>
      </c>
      <c r="I3798" s="354">
        <v>2</v>
      </c>
      <c r="J3798" s="354">
        <v>1</v>
      </c>
      <c r="K3798" s="354">
        <v>0</v>
      </c>
      <c r="L3798" s="354">
        <v>0</v>
      </c>
      <c r="M3798" s="355">
        <v>7</v>
      </c>
      <c r="N3798" s="355">
        <v>3</v>
      </c>
    </row>
    <row r="3799" spans="1:14" hidden="1" x14ac:dyDescent="0.25">
      <c r="A3799" s="354">
        <v>0</v>
      </c>
      <c r="B3799" s="354">
        <v>1</v>
      </c>
      <c r="C3799" s="354">
        <v>0</v>
      </c>
      <c r="D3799" s="354">
        <v>2</v>
      </c>
      <c r="E3799" s="354">
        <v>1</v>
      </c>
      <c r="F3799" s="354">
        <v>1</v>
      </c>
      <c r="G3799" s="354">
        <v>0</v>
      </c>
      <c r="H3799" s="354">
        <v>0</v>
      </c>
      <c r="I3799" s="354">
        <v>1</v>
      </c>
      <c r="J3799" s="354">
        <v>1</v>
      </c>
      <c r="K3799" s="354">
        <v>0</v>
      </c>
      <c r="L3799" s="354">
        <v>0</v>
      </c>
      <c r="M3799" s="355">
        <v>2</v>
      </c>
      <c r="N3799" s="355">
        <v>5</v>
      </c>
    </row>
    <row r="3800" spans="1:14" hidden="1" x14ac:dyDescent="0.25">
      <c r="A3800" s="354">
        <v>0</v>
      </c>
      <c r="B3800" s="354">
        <v>1</v>
      </c>
      <c r="C3800" s="354">
        <v>0</v>
      </c>
      <c r="D3800" s="354">
        <v>1</v>
      </c>
      <c r="E3800" s="354">
        <v>2</v>
      </c>
      <c r="F3800" s="354">
        <v>1</v>
      </c>
      <c r="G3800" s="354">
        <v>0</v>
      </c>
      <c r="H3800" s="354">
        <v>2</v>
      </c>
      <c r="I3800" s="354">
        <v>1</v>
      </c>
      <c r="J3800" s="354">
        <v>1</v>
      </c>
      <c r="K3800" s="354">
        <v>0</v>
      </c>
      <c r="L3800" s="354">
        <v>0</v>
      </c>
      <c r="M3800" s="355">
        <v>3</v>
      </c>
      <c r="N3800" s="355">
        <v>6</v>
      </c>
    </row>
    <row r="3801" spans="1:14" hidden="1" x14ac:dyDescent="0.25">
      <c r="A3801" s="354">
        <v>0</v>
      </c>
      <c r="B3801" s="354">
        <v>0</v>
      </c>
      <c r="C3801" s="354">
        <v>0</v>
      </c>
      <c r="D3801" s="354">
        <v>0</v>
      </c>
      <c r="E3801" s="354">
        <v>2</v>
      </c>
      <c r="F3801" s="354">
        <v>3</v>
      </c>
      <c r="G3801" s="354">
        <v>1</v>
      </c>
      <c r="H3801" s="354">
        <v>0</v>
      </c>
      <c r="I3801" s="354">
        <v>1</v>
      </c>
      <c r="J3801" s="354">
        <v>1</v>
      </c>
      <c r="K3801" s="354">
        <v>0</v>
      </c>
      <c r="L3801" s="354">
        <v>0</v>
      </c>
      <c r="M3801" s="355">
        <v>4</v>
      </c>
      <c r="N3801" s="355">
        <v>4</v>
      </c>
    </row>
    <row r="3802" spans="1:14" hidden="1" x14ac:dyDescent="0.25">
      <c r="A3802" s="356">
        <v>0</v>
      </c>
      <c r="B3802" s="356">
        <v>0</v>
      </c>
      <c r="C3802" s="356">
        <v>0</v>
      </c>
      <c r="D3802" s="356">
        <v>1</v>
      </c>
      <c r="E3802" s="356">
        <v>3</v>
      </c>
      <c r="F3802" s="356">
        <v>1</v>
      </c>
      <c r="G3802" s="356">
        <v>0</v>
      </c>
      <c r="H3802" s="356">
        <v>0</v>
      </c>
      <c r="I3802" s="356">
        <v>0</v>
      </c>
      <c r="J3802" s="356">
        <v>1</v>
      </c>
      <c r="K3802" s="356">
        <v>0</v>
      </c>
      <c r="L3802" s="356">
        <v>0</v>
      </c>
      <c r="M3802" s="356">
        <v>3</v>
      </c>
      <c r="N3802" s="356">
        <v>3</v>
      </c>
    </row>
    <row r="3803" spans="1:14" hidden="1" x14ac:dyDescent="0.25">
      <c r="A3803" s="356">
        <v>0</v>
      </c>
      <c r="B3803" s="356">
        <v>0</v>
      </c>
      <c r="C3803" s="356">
        <v>1</v>
      </c>
      <c r="D3803" s="356">
        <v>0</v>
      </c>
      <c r="E3803" s="356">
        <v>2</v>
      </c>
      <c r="F3803" s="356">
        <v>0</v>
      </c>
      <c r="G3803" s="356">
        <v>0</v>
      </c>
      <c r="H3803" s="356">
        <v>0</v>
      </c>
      <c r="I3803" s="356">
        <v>0</v>
      </c>
      <c r="J3803" s="356">
        <v>1</v>
      </c>
      <c r="K3803" s="356">
        <v>0</v>
      </c>
      <c r="L3803" s="356">
        <v>0</v>
      </c>
      <c r="M3803" s="356">
        <v>3</v>
      </c>
      <c r="N3803" s="356">
        <v>1</v>
      </c>
    </row>
    <row r="3804" spans="1:14" hidden="1" x14ac:dyDescent="0.25">
      <c r="A3804" s="356">
        <v>0</v>
      </c>
      <c r="B3804" s="356">
        <v>0</v>
      </c>
      <c r="C3804" s="356">
        <v>0</v>
      </c>
      <c r="D3804" s="356">
        <v>0</v>
      </c>
      <c r="E3804" s="356">
        <v>0</v>
      </c>
      <c r="F3804" s="356">
        <v>3</v>
      </c>
      <c r="G3804" s="356">
        <v>0</v>
      </c>
      <c r="H3804" s="356">
        <v>0</v>
      </c>
      <c r="I3804" s="356">
        <v>1</v>
      </c>
      <c r="J3804" s="356">
        <v>1</v>
      </c>
      <c r="K3804" s="356">
        <v>0</v>
      </c>
      <c r="L3804" s="356">
        <v>0</v>
      </c>
      <c r="M3804" s="356">
        <v>1</v>
      </c>
      <c r="N3804" s="356">
        <v>4</v>
      </c>
    </row>
    <row r="3805" spans="1:14" hidden="1" x14ac:dyDescent="0.25">
      <c r="A3805" s="356">
        <v>0</v>
      </c>
      <c r="B3805" s="356">
        <v>0</v>
      </c>
      <c r="C3805" s="356">
        <v>1</v>
      </c>
      <c r="D3805" s="356">
        <v>1</v>
      </c>
      <c r="E3805" s="356">
        <v>1</v>
      </c>
      <c r="F3805" s="356">
        <v>0</v>
      </c>
      <c r="G3805" s="356">
        <v>0</v>
      </c>
      <c r="H3805" s="356">
        <v>0</v>
      </c>
      <c r="I3805" s="356">
        <v>1</v>
      </c>
      <c r="J3805" s="356">
        <v>1</v>
      </c>
      <c r="K3805" s="356">
        <v>0</v>
      </c>
      <c r="L3805" s="356">
        <v>0</v>
      </c>
      <c r="M3805" s="356">
        <v>3</v>
      </c>
      <c r="N3805" s="356">
        <v>2</v>
      </c>
    </row>
    <row r="3806" spans="1:14" hidden="1" x14ac:dyDescent="0.25">
      <c r="A3806" s="356">
        <v>0</v>
      </c>
      <c r="B3806" s="356">
        <v>0</v>
      </c>
      <c r="C3806" s="356">
        <v>1</v>
      </c>
      <c r="D3806" s="356">
        <v>0</v>
      </c>
      <c r="E3806" s="356">
        <v>1</v>
      </c>
      <c r="F3806" s="356">
        <v>1</v>
      </c>
      <c r="G3806" s="356">
        <v>1</v>
      </c>
      <c r="H3806" s="356">
        <v>0</v>
      </c>
      <c r="I3806" s="356">
        <v>1</v>
      </c>
      <c r="J3806" s="356">
        <v>1</v>
      </c>
      <c r="K3806" s="356">
        <v>1</v>
      </c>
      <c r="L3806" s="356">
        <v>0</v>
      </c>
      <c r="M3806" s="356">
        <v>5</v>
      </c>
      <c r="N3806" s="356">
        <v>2</v>
      </c>
    </row>
    <row r="3807" spans="1:14" hidden="1" x14ac:dyDescent="0.25">
      <c r="A3807" s="356">
        <v>0</v>
      </c>
      <c r="B3807" s="356">
        <v>0</v>
      </c>
      <c r="C3807" s="356">
        <v>0</v>
      </c>
      <c r="D3807" s="356">
        <v>1</v>
      </c>
      <c r="E3807" s="356">
        <v>2</v>
      </c>
      <c r="F3807" s="356">
        <v>1</v>
      </c>
      <c r="G3807" s="356">
        <v>0</v>
      </c>
      <c r="H3807" s="356">
        <v>0</v>
      </c>
      <c r="I3807" s="356">
        <v>1</v>
      </c>
      <c r="J3807" s="356">
        <v>1</v>
      </c>
      <c r="K3807" s="356">
        <v>0</v>
      </c>
      <c r="L3807" s="356">
        <v>0</v>
      </c>
      <c r="M3807" s="356">
        <v>3</v>
      </c>
      <c r="N3807" s="356">
        <v>3</v>
      </c>
    </row>
    <row r="3808" spans="1:14" hidden="1" x14ac:dyDescent="0.25">
      <c r="A3808" s="356">
        <v>0</v>
      </c>
      <c r="B3808" s="356">
        <v>0</v>
      </c>
      <c r="C3808" s="356">
        <v>0</v>
      </c>
      <c r="D3808" s="356">
        <v>0</v>
      </c>
      <c r="E3808" s="356">
        <v>1</v>
      </c>
      <c r="F3808" s="356">
        <v>2</v>
      </c>
      <c r="G3808" s="356">
        <v>0</v>
      </c>
      <c r="H3808" s="356">
        <v>0</v>
      </c>
      <c r="I3808" s="356">
        <v>1</v>
      </c>
      <c r="J3808" s="356">
        <v>1</v>
      </c>
      <c r="K3808" s="356">
        <v>0</v>
      </c>
      <c r="L3808" s="356">
        <v>0</v>
      </c>
      <c r="M3808" s="356">
        <v>2</v>
      </c>
      <c r="N3808" s="356">
        <v>3</v>
      </c>
    </row>
    <row r="3809" spans="1:14" hidden="1" x14ac:dyDescent="0.25">
      <c r="A3809" s="356">
        <v>0</v>
      </c>
      <c r="B3809" s="356">
        <v>0</v>
      </c>
      <c r="C3809" s="356">
        <v>0</v>
      </c>
      <c r="D3809" s="356">
        <v>0</v>
      </c>
      <c r="E3809" s="356">
        <v>3</v>
      </c>
      <c r="F3809" s="356">
        <v>0</v>
      </c>
      <c r="G3809" s="356">
        <v>2</v>
      </c>
      <c r="H3809" s="356">
        <v>1</v>
      </c>
      <c r="I3809" s="356">
        <v>1</v>
      </c>
      <c r="J3809" s="356">
        <v>1</v>
      </c>
      <c r="K3809" s="356">
        <v>0</v>
      </c>
      <c r="L3809" s="356">
        <v>0</v>
      </c>
      <c r="M3809" s="356">
        <v>6</v>
      </c>
      <c r="N3809" s="356">
        <v>2</v>
      </c>
    </row>
    <row r="3810" spans="1:14" hidden="1" x14ac:dyDescent="0.25">
      <c r="A3810" s="356">
        <v>0</v>
      </c>
      <c r="B3810" s="356">
        <v>0</v>
      </c>
      <c r="C3810" s="356">
        <v>1</v>
      </c>
      <c r="D3810" s="356">
        <v>0</v>
      </c>
      <c r="E3810" s="356">
        <v>2</v>
      </c>
      <c r="F3810" s="356">
        <v>1</v>
      </c>
      <c r="G3810" s="356">
        <v>3</v>
      </c>
      <c r="H3810" s="356">
        <v>0</v>
      </c>
      <c r="I3810" s="356">
        <v>1</v>
      </c>
      <c r="J3810" s="356">
        <v>1</v>
      </c>
      <c r="K3810" s="356">
        <v>0</v>
      </c>
      <c r="L3810" s="356">
        <v>0</v>
      </c>
      <c r="M3810" s="356">
        <v>7</v>
      </c>
      <c r="N3810" s="356">
        <v>2</v>
      </c>
    </row>
    <row r="3811" spans="1:14" hidden="1" x14ac:dyDescent="0.25">
      <c r="A3811" s="356">
        <v>0</v>
      </c>
      <c r="B3811" s="356">
        <v>0</v>
      </c>
      <c r="C3811" s="356">
        <v>0</v>
      </c>
      <c r="D3811" s="356">
        <v>0</v>
      </c>
      <c r="E3811" s="356">
        <v>2</v>
      </c>
      <c r="F3811" s="356">
        <v>2</v>
      </c>
      <c r="G3811" s="356">
        <v>1</v>
      </c>
      <c r="H3811" s="356">
        <v>1</v>
      </c>
      <c r="I3811" s="356">
        <v>1</v>
      </c>
      <c r="J3811" s="356">
        <v>1</v>
      </c>
      <c r="K3811" s="356">
        <v>0</v>
      </c>
      <c r="L3811" s="356">
        <v>0</v>
      </c>
      <c r="M3811" s="356">
        <v>4</v>
      </c>
      <c r="N3811" s="356">
        <v>4</v>
      </c>
    </row>
    <row r="3812" spans="1:14" hidden="1" x14ac:dyDescent="0.25">
      <c r="A3812" s="356">
        <v>1</v>
      </c>
      <c r="B3812" s="356">
        <v>0</v>
      </c>
      <c r="C3812" s="356">
        <v>2</v>
      </c>
      <c r="D3812" s="356">
        <v>0</v>
      </c>
      <c r="E3812" s="356">
        <v>0</v>
      </c>
      <c r="F3812" s="356">
        <v>0</v>
      </c>
      <c r="G3812" s="356">
        <v>4</v>
      </c>
      <c r="H3812" s="356">
        <v>2</v>
      </c>
      <c r="I3812" s="356">
        <v>0</v>
      </c>
      <c r="J3812" s="356">
        <v>2</v>
      </c>
      <c r="K3812" s="356">
        <v>1</v>
      </c>
      <c r="L3812" s="356">
        <v>0</v>
      </c>
      <c r="M3812" s="356">
        <v>8</v>
      </c>
      <c r="N3812" s="356">
        <v>4</v>
      </c>
    </row>
    <row r="3813" spans="1:14" hidden="1" x14ac:dyDescent="0.25">
      <c r="A3813" s="356">
        <v>0</v>
      </c>
      <c r="B3813" s="356">
        <v>0</v>
      </c>
      <c r="C3813" s="356">
        <v>1</v>
      </c>
      <c r="D3813" s="356">
        <v>1</v>
      </c>
      <c r="E3813" s="356">
        <v>0</v>
      </c>
      <c r="F3813" s="356">
        <v>1</v>
      </c>
      <c r="G3813" s="356">
        <v>1</v>
      </c>
      <c r="H3813" s="356">
        <v>1</v>
      </c>
      <c r="I3813" s="356">
        <v>0</v>
      </c>
      <c r="J3813" s="356">
        <v>0</v>
      </c>
      <c r="K3813" s="356">
        <v>0</v>
      </c>
      <c r="L3813" s="356">
        <v>0</v>
      </c>
      <c r="M3813" s="356">
        <v>2</v>
      </c>
      <c r="N3813" s="356">
        <v>3</v>
      </c>
    </row>
    <row r="3814" spans="1:14" hidden="1" x14ac:dyDescent="0.25">
      <c r="A3814" s="356">
        <v>0</v>
      </c>
      <c r="B3814" s="356">
        <v>1</v>
      </c>
      <c r="C3814" s="356">
        <v>1</v>
      </c>
      <c r="D3814" s="356">
        <v>1</v>
      </c>
      <c r="E3814" s="356">
        <v>0</v>
      </c>
      <c r="F3814" s="356">
        <v>1</v>
      </c>
      <c r="G3814" s="356">
        <v>1</v>
      </c>
      <c r="H3814" s="356">
        <v>1</v>
      </c>
      <c r="I3814" s="356">
        <v>1</v>
      </c>
      <c r="J3814" s="356">
        <v>1</v>
      </c>
      <c r="K3814" s="356">
        <v>0</v>
      </c>
      <c r="L3814" s="356">
        <v>0</v>
      </c>
      <c r="M3814" s="356">
        <v>3</v>
      </c>
      <c r="N3814" s="356">
        <v>5</v>
      </c>
    </row>
    <row r="3815" spans="1:14" hidden="1" x14ac:dyDescent="0.25">
      <c r="A3815" s="356">
        <v>0</v>
      </c>
      <c r="B3815" s="356">
        <v>0</v>
      </c>
      <c r="C3815" s="356">
        <v>1</v>
      </c>
      <c r="D3815" s="356">
        <v>1</v>
      </c>
      <c r="E3815" s="356">
        <v>1</v>
      </c>
      <c r="F3815" s="356">
        <v>1</v>
      </c>
      <c r="G3815" s="356">
        <v>0</v>
      </c>
      <c r="H3815" s="356">
        <v>1</v>
      </c>
      <c r="I3815" s="356">
        <v>1</v>
      </c>
      <c r="J3815" s="356">
        <v>1</v>
      </c>
      <c r="K3815" s="356">
        <v>0</v>
      </c>
      <c r="L3815" s="356">
        <v>0</v>
      </c>
      <c r="M3815" s="356">
        <v>3</v>
      </c>
      <c r="N3815" s="356">
        <v>4</v>
      </c>
    </row>
    <row r="3816" spans="1:14" hidden="1" x14ac:dyDescent="0.25">
      <c r="A3816" s="356">
        <v>0</v>
      </c>
      <c r="B3816" s="356">
        <v>0</v>
      </c>
      <c r="C3816" s="356">
        <v>1</v>
      </c>
      <c r="D3816" s="356">
        <v>1</v>
      </c>
      <c r="E3816" s="356">
        <v>0</v>
      </c>
      <c r="F3816" s="356">
        <v>1</v>
      </c>
      <c r="G3816" s="356">
        <v>1</v>
      </c>
      <c r="H3816" s="356">
        <v>2</v>
      </c>
      <c r="I3816" s="356">
        <v>1</v>
      </c>
      <c r="J3816" s="356">
        <v>1</v>
      </c>
      <c r="K3816" s="356">
        <v>0</v>
      </c>
      <c r="L3816" s="356">
        <v>0</v>
      </c>
      <c r="M3816" s="356">
        <v>3</v>
      </c>
      <c r="N3816" s="356">
        <v>5</v>
      </c>
    </row>
    <row r="3817" spans="1:14" hidden="1" x14ac:dyDescent="0.25">
      <c r="A3817" s="356">
        <v>0</v>
      </c>
      <c r="B3817" s="356">
        <v>1</v>
      </c>
      <c r="C3817" s="356">
        <v>1</v>
      </c>
      <c r="D3817" s="356">
        <v>1</v>
      </c>
      <c r="E3817" s="356">
        <v>0</v>
      </c>
      <c r="F3817" s="356">
        <v>1</v>
      </c>
      <c r="G3817" s="356">
        <v>1</v>
      </c>
      <c r="H3817" s="356">
        <v>1</v>
      </c>
      <c r="I3817" s="356">
        <v>1</v>
      </c>
      <c r="J3817" s="356">
        <v>1</v>
      </c>
      <c r="K3817" s="356">
        <v>0</v>
      </c>
      <c r="L3817" s="356">
        <v>0</v>
      </c>
      <c r="M3817" s="356">
        <v>3</v>
      </c>
      <c r="N3817" s="356">
        <v>5</v>
      </c>
    </row>
    <row r="3818" spans="1:14" hidden="1" x14ac:dyDescent="0.25">
      <c r="A3818" s="356">
        <v>0</v>
      </c>
      <c r="B3818" s="356">
        <v>1</v>
      </c>
      <c r="C3818" s="356">
        <v>1</v>
      </c>
      <c r="D3818" s="356">
        <v>1</v>
      </c>
      <c r="E3818" s="356">
        <v>1</v>
      </c>
      <c r="F3818" s="356">
        <v>1</v>
      </c>
      <c r="G3818" s="356">
        <v>0</v>
      </c>
      <c r="H3818" s="356">
        <v>1</v>
      </c>
      <c r="I3818" s="356">
        <v>1</v>
      </c>
      <c r="J3818" s="356">
        <v>1</v>
      </c>
      <c r="K3818" s="356">
        <v>0</v>
      </c>
      <c r="L3818" s="356">
        <v>0</v>
      </c>
      <c r="M3818" s="356">
        <v>3</v>
      </c>
      <c r="N3818" s="356">
        <v>5</v>
      </c>
    </row>
    <row r="3819" spans="1:14" hidden="1" x14ac:dyDescent="0.25">
      <c r="A3819" s="356">
        <v>1</v>
      </c>
      <c r="B3819" s="356">
        <v>0</v>
      </c>
      <c r="C3819" s="356">
        <v>1</v>
      </c>
      <c r="D3819" s="356">
        <v>1</v>
      </c>
      <c r="E3819" s="356">
        <v>0</v>
      </c>
      <c r="F3819" s="356">
        <v>1</v>
      </c>
      <c r="G3819" s="356">
        <v>1</v>
      </c>
      <c r="H3819" s="356">
        <v>1</v>
      </c>
      <c r="I3819" s="356">
        <v>1</v>
      </c>
      <c r="J3819" s="356">
        <v>1</v>
      </c>
      <c r="K3819" s="356">
        <v>0</v>
      </c>
      <c r="L3819" s="356">
        <v>0</v>
      </c>
      <c r="M3819" s="356">
        <v>4</v>
      </c>
      <c r="N3819" s="356">
        <v>4</v>
      </c>
    </row>
    <row r="3820" spans="1:14" hidden="1" x14ac:dyDescent="0.25">
      <c r="A3820" s="356">
        <v>0</v>
      </c>
      <c r="B3820" s="356">
        <v>1</v>
      </c>
      <c r="C3820" s="356">
        <v>0</v>
      </c>
      <c r="D3820" s="356">
        <v>1</v>
      </c>
      <c r="E3820" s="356">
        <v>1</v>
      </c>
      <c r="F3820" s="356">
        <v>1</v>
      </c>
      <c r="G3820" s="356">
        <v>1</v>
      </c>
      <c r="H3820" s="356">
        <v>0</v>
      </c>
      <c r="I3820" s="356">
        <v>1</v>
      </c>
      <c r="J3820" s="356">
        <v>1</v>
      </c>
      <c r="K3820" s="356">
        <v>1</v>
      </c>
      <c r="L3820" s="356">
        <v>0</v>
      </c>
      <c r="M3820" s="356">
        <v>4</v>
      </c>
      <c r="N3820" s="356">
        <v>4</v>
      </c>
    </row>
    <row r="3821" spans="1:14" hidden="1" x14ac:dyDescent="0.25">
      <c r="A3821" s="356">
        <v>1</v>
      </c>
      <c r="B3821" s="356">
        <v>0</v>
      </c>
      <c r="C3821" s="356">
        <v>1</v>
      </c>
      <c r="D3821" s="356">
        <v>1</v>
      </c>
      <c r="E3821" s="356">
        <v>0</v>
      </c>
      <c r="F3821" s="356">
        <v>1</v>
      </c>
      <c r="G3821" s="356">
        <v>0</v>
      </c>
      <c r="H3821" s="356">
        <v>0</v>
      </c>
      <c r="I3821" s="356">
        <v>1</v>
      </c>
      <c r="J3821" s="356">
        <v>1</v>
      </c>
      <c r="K3821" s="356">
        <v>0</v>
      </c>
      <c r="L3821" s="356">
        <v>1</v>
      </c>
      <c r="M3821" s="356">
        <v>3</v>
      </c>
      <c r="N3821" s="356">
        <v>4</v>
      </c>
    </row>
    <row r="3822" spans="1:14" hidden="1" x14ac:dyDescent="0.25">
      <c r="A3822" s="356">
        <v>1</v>
      </c>
      <c r="B3822" s="356">
        <v>0</v>
      </c>
      <c r="C3822" s="356">
        <v>0</v>
      </c>
      <c r="D3822" s="356">
        <v>1</v>
      </c>
      <c r="E3822" s="356">
        <v>0</v>
      </c>
      <c r="F3822" s="356">
        <v>1</v>
      </c>
      <c r="G3822" s="356">
        <v>1</v>
      </c>
      <c r="H3822" s="356">
        <v>2</v>
      </c>
      <c r="I3822" s="356">
        <v>1</v>
      </c>
      <c r="J3822" s="356">
        <v>2</v>
      </c>
      <c r="K3822" s="356">
        <v>0</v>
      </c>
      <c r="L3822" s="356">
        <v>0</v>
      </c>
      <c r="M3822" s="356">
        <v>3</v>
      </c>
      <c r="N3822" s="356">
        <v>6</v>
      </c>
    </row>
    <row r="3823" spans="1:14" hidden="1" x14ac:dyDescent="0.25">
      <c r="A3823" s="356">
        <v>0</v>
      </c>
      <c r="B3823" s="356">
        <v>0</v>
      </c>
      <c r="C3823" s="356">
        <v>1</v>
      </c>
      <c r="D3823" s="356">
        <v>0</v>
      </c>
      <c r="E3823" s="356">
        <v>0</v>
      </c>
      <c r="F3823" s="356">
        <v>1</v>
      </c>
      <c r="G3823" s="356">
        <v>1</v>
      </c>
      <c r="H3823" s="356">
        <v>0</v>
      </c>
      <c r="I3823" s="356">
        <v>1</v>
      </c>
      <c r="J3823" s="356">
        <v>1</v>
      </c>
      <c r="K3823" s="356">
        <v>0</v>
      </c>
      <c r="L3823" s="356">
        <v>0</v>
      </c>
      <c r="M3823" s="356">
        <v>3</v>
      </c>
      <c r="N3823" s="356">
        <v>2</v>
      </c>
    </row>
    <row r="3824" spans="1:14" hidden="1" x14ac:dyDescent="0.25">
      <c r="A3824" s="356">
        <v>0</v>
      </c>
      <c r="B3824" s="356">
        <v>1</v>
      </c>
      <c r="C3824" s="356">
        <v>0</v>
      </c>
      <c r="D3824" s="356">
        <v>1</v>
      </c>
      <c r="E3824" s="356">
        <v>1</v>
      </c>
      <c r="F3824" s="356">
        <v>1</v>
      </c>
      <c r="G3824" s="356">
        <v>0</v>
      </c>
      <c r="H3824" s="356">
        <v>0</v>
      </c>
      <c r="I3824" s="356">
        <v>1</v>
      </c>
      <c r="J3824" s="356">
        <v>1</v>
      </c>
      <c r="K3824" s="356">
        <v>0</v>
      </c>
      <c r="L3824" s="356">
        <v>0</v>
      </c>
      <c r="M3824" s="356">
        <v>2</v>
      </c>
      <c r="N3824" s="356">
        <v>4</v>
      </c>
    </row>
    <row r="3825" spans="1:14" hidden="1" x14ac:dyDescent="0.25">
      <c r="A3825" s="356">
        <v>0</v>
      </c>
      <c r="B3825" s="356">
        <v>0</v>
      </c>
      <c r="C3825" s="356">
        <v>0</v>
      </c>
      <c r="D3825" s="356">
        <v>1</v>
      </c>
      <c r="E3825" s="356">
        <v>0</v>
      </c>
      <c r="F3825" s="356">
        <v>2</v>
      </c>
      <c r="G3825" s="356">
        <v>0</v>
      </c>
      <c r="H3825" s="356">
        <v>0</v>
      </c>
      <c r="I3825" s="356">
        <v>1</v>
      </c>
      <c r="J3825" s="356">
        <v>1</v>
      </c>
      <c r="K3825" s="356">
        <v>1</v>
      </c>
      <c r="L3825" s="356">
        <v>0</v>
      </c>
      <c r="M3825" s="356">
        <v>2</v>
      </c>
      <c r="N3825" s="356">
        <v>4</v>
      </c>
    </row>
    <row r="3826" spans="1:14" hidden="1" x14ac:dyDescent="0.25">
      <c r="A3826" s="356">
        <v>0</v>
      </c>
      <c r="B3826" s="356">
        <v>0</v>
      </c>
      <c r="C3826" s="356">
        <v>0</v>
      </c>
      <c r="D3826" s="356">
        <v>0</v>
      </c>
      <c r="E3826" s="356">
        <v>0</v>
      </c>
      <c r="F3826" s="356">
        <v>0</v>
      </c>
      <c r="G3826" s="356">
        <v>0</v>
      </c>
      <c r="H3826" s="356">
        <v>0</v>
      </c>
      <c r="I3826" s="356">
        <v>0</v>
      </c>
      <c r="J3826" s="356">
        <v>0</v>
      </c>
      <c r="K3826" s="356">
        <v>1</v>
      </c>
      <c r="L3826" s="356">
        <v>2</v>
      </c>
      <c r="M3826" s="356">
        <v>1</v>
      </c>
      <c r="N3826" s="356">
        <v>2</v>
      </c>
    </row>
    <row r="3827" spans="1:14" hidden="1" x14ac:dyDescent="0.25">
      <c r="A3827" s="356">
        <v>1</v>
      </c>
      <c r="B3827" s="356">
        <v>0</v>
      </c>
      <c r="C3827" s="356">
        <v>0</v>
      </c>
      <c r="D3827" s="356">
        <v>1</v>
      </c>
      <c r="E3827" s="356">
        <v>1</v>
      </c>
      <c r="F3827" s="356">
        <v>0</v>
      </c>
      <c r="G3827" s="356">
        <v>0</v>
      </c>
      <c r="H3827" s="356">
        <v>0</v>
      </c>
      <c r="I3827" s="356">
        <v>1</v>
      </c>
      <c r="J3827" s="356">
        <v>1</v>
      </c>
      <c r="K3827" s="356">
        <v>0</v>
      </c>
      <c r="L3827" s="356">
        <v>0</v>
      </c>
      <c r="M3827" s="356">
        <v>3</v>
      </c>
      <c r="N3827" s="356">
        <v>2</v>
      </c>
    </row>
    <row r="3828" spans="1:14" hidden="1" x14ac:dyDescent="0.25">
      <c r="A3828" s="356">
        <v>1</v>
      </c>
      <c r="B3828" s="356">
        <v>0</v>
      </c>
      <c r="C3828" s="356">
        <v>1</v>
      </c>
      <c r="D3828" s="356">
        <v>0</v>
      </c>
      <c r="E3828" s="356">
        <v>0</v>
      </c>
      <c r="F3828" s="356">
        <v>2</v>
      </c>
      <c r="G3828" s="356">
        <v>0</v>
      </c>
      <c r="H3828" s="356">
        <v>0</v>
      </c>
      <c r="I3828" s="356">
        <v>1</v>
      </c>
      <c r="J3828" s="356">
        <v>1</v>
      </c>
      <c r="K3828" s="356">
        <v>0</v>
      </c>
      <c r="L3828" s="356">
        <v>0</v>
      </c>
      <c r="M3828" s="356">
        <v>3</v>
      </c>
      <c r="N3828" s="356">
        <v>3</v>
      </c>
    </row>
    <row r="3829" spans="1:14" hidden="1" x14ac:dyDescent="0.25">
      <c r="A3829" s="356">
        <v>1</v>
      </c>
      <c r="B3829" s="356">
        <v>0</v>
      </c>
      <c r="C3829" s="356">
        <v>0</v>
      </c>
      <c r="D3829" s="356">
        <v>1</v>
      </c>
      <c r="E3829" s="356">
        <v>0</v>
      </c>
      <c r="F3829" s="356">
        <v>0</v>
      </c>
      <c r="G3829" s="356">
        <v>0</v>
      </c>
      <c r="H3829" s="356">
        <v>0</v>
      </c>
      <c r="I3829" s="356">
        <v>1</v>
      </c>
      <c r="J3829" s="356">
        <v>1</v>
      </c>
      <c r="K3829" s="356">
        <v>0</v>
      </c>
      <c r="L3829" s="356">
        <v>0</v>
      </c>
      <c r="M3829" s="356">
        <v>2</v>
      </c>
      <c r="N3829" s="356">
        <v>2</v>
      </c>
    </row>
    <row r="3830" spans="1:14" hidden="1" x14ac:dyDescent="0.25">
      <c r="A3830" s="356">
        <v>1</v>
      </c>
      <c r="B3830" s="356">
        <v>0</v>
      </c>
      <c r="C3830" s="356">
        <v>0</v>
      </c>
      <c r="D3830" s="356">
        <v>1</v>
      </c>
      <c r="E3830" s="356">
        <v>0</v>
      </c>
      <c r="F3830" s="356">
        <v>0</v>
      </c>
      <c r="G3830" s="356">
        <v>0</v>
      </c>
      <c r="H3830" s="356">
        <v>0</v>
      </c>
      <c r="I3830" s="356">
        <v>1</v>
      </c>
      <c r="J3830" s="356">
        <v>1</v>
      </c>
      <c r="K3830" s="356">
        <v>0</v>
      </c>
      <c r="L3830" s="356">
        <v>0</v>
      </c>
      <c r="M3830" s="356">
        <v>2</v>
      </c>
      <c r="N3830" s="356">
        <v>2</v>
      </c>
    </row>
    <row r="3831" spans="1:14" hidden="1" x14ac:dyDescent="0.25">
      <c r="A3831" s="356">
        <v>0</v>
      </c>
      <c r="B3831" s="356">
        <v>0</v>
      </c>
      <c r="C3831" s="356">
        <v>0</v>
      </c>
      <c r="D3831" s="356">
        <v>0</v>
      </c>
      <c r="E3831" s="356">
        <v>0</v>
      </c>
      <c r="F3831" s="356">
        <v>1</v>
      </c>
      <c r="G3831" s="356">
        <v>0</v>
      </c>
      <c r="H3831" s="356">
        <v>0</v>
      </c>
      <c r="I3831" s="356">
        <v>1</v>
      </c>
      <c r="J3831" s="356">
        <v>1</v>
      </c>
      <c r="K3831" s="356">
        <v>0</v>
      </c>
      <c r="L3831" s="356">
        <v>0</v>
      </c>
      <c r="M3831" s="356">
        <v>1</v>
      </c>
      <c r="N3831" s="356">
        <v>2</v>
      </c>
    </row>
    <row r="3832" spans="1:14" hidden="1" x14ac:dyDescent="0.25">
      <c r="A3832" s="356">
        <v>0</v>
      </c>
      <c r="B3832" s="356">
        <v>0</v>
      </c>
      <c r="C3832" s="356">
        <v>0</v>
      </c>
      <c r="D3832" s="356">
        <v>0</v>
      </c>
      <c r="E3832" s="356">
        <v>1</v>
      </c>
      <c r="F3832" s="356">
        <v>0</v>
      </c>
      <c r="G3832" s="356">
        <v>1</v>
      </c>
      <c r="H3832" s="356">
        <v>0</v>
      </c>
      <c r="I3832" s="356">
        <v>1</v>
      </c>
      <c r="J3832" s="356">
        <v>1</v>
      </c>
      <c r="K3832" s="356">
        <v>1</v>
      </c>
      <c r="L3832" s="356">
        <v>0</v>
      </c>
      <c r="M3832" s="356">
        <v>4</v>
      </c>
      <c r="N3832" s="356">
        <v>1</v>
      </c>
    </row>
    <row r="3833" spans="1:14" hidden="1" x14ac:dyDescent="0.25">
      <c r="A3833" s="356">
        <v>0</v>
      </c>
      <c r="B3833" s="356">
        <v>0</v>
      </c>
      <c r="C3833" s="356">
        <v>1</v>
      </c>
      <c r="D3833" s="356">
        <v>0</v>
      </c>
      <c r="E3833" s="356">
        <v>0</v>
      </c>
      <c r="F3833" s="356">
        <v>0</v>
      </c>
      <c r="G3833" s="356">
        <v>0</v>
      </c>
      <c r="H3833" s="356">
        <v>0</v>
      </c>
      <c r="I3833" s="356">
        <v>1</v>
      </c>
      <c r="J3833" s="356">
        <v>1</v>
      </c>
      <c r="K3833" s="356">
        <v>0</v>
      </c>
      <c r="L3833" s="356">
        <v>0</v>
      </c>
      <c r="M3833" s="356">
        <v>2</v>
      </c>
      <c r="N3833" s="356">
        <v>1</v>
      </c>
    </row>
    <row r="3834" spans="1:14" hidden="1" x14ac:dyDescent="0.25">
      <c r="A3834" s="356">
        <v>0</v>
      </c>
      <c r="B3834" s="356">
        <v>1</v>
      </c>
      <c r="C3834" s="356">
        <v>0</v>
      </c>
      <c r="D3834" s="356">
        <v>1</v>
      </c>
      <c r="E3834" s="356">
        <v>1</v>
      </c>
      <c r="F3834" s="356">
        <v>1</v>
      </c>
      <c r="G3834" s="356">
        <v>0</v>
      </c>
      <c r="H3834" s="356">
        <v>0</v>
      </c>
      <c r="I3834" s="356">
        <v>1</v>
      </c>
      <c r="J3834" s="356">
        <v>1</v>
      </c>
      <c r="K3834" s="356">
        <v>0</v>
      </c>
      <c r="L3834" s="356">
        <v>0</v>
      </c>
      <c r="M3834" s="356">
        <v>2</v>
      </c>
      <c r="N3834" s="356">
        <v>4</v>
      </c>
    </row>
    <row r="3835" spans="1:14" hidden="1" x14ac:dyDescent="0.25">
      <c r="A3835" s="356">
        <v>1</v>
      </c>
      <c r="B3835" s="356">
        <v>0</v>
      </c>
      <c r="C3835" s="356">
        <v>0</v>
      </c>
      <c r="D3835" s="356">
        <v>1</v>
      </c>
      <c r="E3835" s="356">
        <v>1</v>
      </c>
      <c r="F3835" s="356">
        <v>0</v>
      </c>
      <c r="G3835" s="356">
        <v>1</v>
      </c>
      <c r="H3835" s="356">
        <v>0</v>
      </c>
      <c r="I3835" s="356">
        <v>1</v>
      </c>
      <c r="J3835" s="356">
        <v>1</v>
      </c>
      <c r="K3835" s="356">
        <v>0</v>
      </c>
      <c r="L3835" s="356">
        <v>0</v>
      </c>
      <c r="M3835" s="356">
        <v>4</v>
      </c>
      <c r="N3835" s="356">
        <v>2</v>
      </c>
    </row>
    <row r="3836" spans="1:14" hidden="1" x14ac:dyDescent="0.25">
      <c r="A3836" s="356">
        <v>0</v>
      </c>
      <c r="B3836" s="356">
        <v>0</v>
      </c>
      <c r="C3836" s="356">
        <v>1</v>
      </c>
      <c r="D3836" s="356">
        <v>0</v>
      </c>
      <c r="E3836" s="356">
        <v>0</v>
      </c>
      <c r="F3836" s="356">
        <v>1</v>
      </c>
      <c r="G3836" s="356">
        <v>1</v>
      </c>
      <c r="H3836" s="356">
        <v>0</v>
      </c>
      <c r="I3836" s="356">
        <v>1</v>
      </c>
      <c r="J3836" s="356">
        <v>1</v>
      </c>
      <c r="K3836" s="356">
        <v>0</v>
      </c>
      <c r="L3836" s="356">
        <v>0</v>
      </c>
      <c r="M3836" s="356">
        <v>3</v>
      </c>
      <c r="N3836" s="356">
        <v>2</v>
      </c>
    </row>
    <row r="3837" spans="1:14" hidden="1" x14ac:dyDescent="0.25">
      <c r="A3837" s="356">
        <v>1</v>
      </c>
      <c r="B3837" s="356">
        <v>0</v>
      </c>
      <c r="C3837" s="356">
        <v>0</v>
      </c>
      <c r="D3837" s="356">
        <v>1</v>
      </c>
      <c r="E3837" s="356">
        <v>0</v>
      </c>
      <c r="F3837" s="356">
        <v>1</v>
      </c>
      <c r="G3837" s="356">
        <v>1</v>
      </c>
      <c r="H3837" s="356">
        <v>0</v>
      </c>
      <c r="I3837" s="356">
        <v>1</v>
      </c>
      <c r="J3837" s="356">
        <v>1</v>
      </c>
      <c r="K3837" s="356">
        <v>0</v>
      </c>
      <c r="L3837" s="356">
        <v>0</v>
      </c>
      <c r="M3837" s="356">
        <v>3</v>
      </c>
      <c r="N3837" s="356">
        <v>3</v>
      </c>
    </row>
    <row r="3838" spans="1:14" hidden="1" x14ac:dyDescent="0.25">
      <c r="A3838" s="356">
        <v>1</v>
      </c>
      <c r="B3838" s="356">
        <v>0</v>
      </c>
      <c r="C3838" s="356">
        <v>1</v>
      </c>
      <c r="D3838" s="356">
        <v>0</v>
      </c>
      <c r="E3838" s="356">
        <v>1</v>
      </c>
      <c r="F3838" s="356">
        <v>1</v>
      </c>
      <c r="G3838" s="356">
        <v>0</v>
      </c>
      <c r="H3838" s="356">
        <v>0</v>
      </c>
      <c r="I3838" s="356">
        <v>1</v>
      </c>
      <c r="J3838" s="356">
        <v>1</v>
      </c>
      <c r="K3838" s="356">
        <v>0</v>
      </c>
      <c r="L3838" s="356">
        <v>0</v>
      </c>
      <c r="M3838" s="356">
        <v>4</v>
      </c>
      <c r="N3838" s="356">
        <v>2</v>
      </c>
    </row>
    <row r="3839" spans="1:14" hidden="1" x14ac:dyDescent="0.25">
      <c r="A3839" s="356">
        <v>0</v>
      </c>
      <c r="B3839" s="356">
        <v>0</v>
      </c>
      <c r="C3839" s="356">
        <v>0</v>
      </c>
      <c r="D3839" s="356">
        <v>1</v>
      </c>
      <c r="E3839" s="356">
        <v>2</v>
      </c>
      <c r="F3839" s="356">
        <v>3</v>
      </c>
      <c r="G3839" s="356">
        <v>1</v>
      </c>
      <c r="H3839" s="356">
        <v>1</v>
      </c>
      <c r="I3839" s="356">
        <v>1</v>
      </c>
      <c r="J3839" s="356">
        <v>1</v>
      </c>
      <c r="K3839" s="356">
        <v>0</v>
      </c>
      <c r="L3839" s="356">
        <v>0</v>
      </c>
      <c r="M3839" s="356">
        <v>4</v>
      </c>
      <c r="N3839" s="356">
        <v>6</v>
      </c>
    </row>
    <row r="3840" spans="1:14" hidden="1" x14ac:dyDescent="0.25">
      <c r="A3840" s="356">
        <v>0</v>
      </c>
      <c r="B3840" s="356">
        <v>0</v>
      </c>
      <c r="C3840" s="356">
        <v>1</v>
      </c>
      <c r="D3840" s="356">
        <v>1</v>
      </c>
      <c r="E3840" s="356">
        <v>2</v>
      </c>
      <c r="F3840" s="356">
        <v>0</v>
      </c>
      <c r="G3840" s="356">
        <v>1</v>
      </c>
      <c r="H3840" s="356">
        <v>1</v>
      </c>
      <c r="I3840" s="356">
        <v>1</v>
      </c>
      <c r="J3840" s="356">
        <v>1</v>
      </c>
      <c r="K3840" s="356">
        <v>0</v>
      </c>
      <c r="L3840" s="356">
        <v>0</v>
      </c>
      <c r="M3840" s="356">
        <v>5</v>
      </c>
      <c r="N3840" s="356">
        <v>3</v>
      </c>
    </row>
    <row r="3841" spans="1:14" hidden="1" x14ac:dyDescent="0.25">
      <c r="A3841" s="356">
        <v>0</v>
      </c>
      <c r="B3841" s="356">
        <v>1</v>
      </c>
      <c r="C3841" s="356">
        <v>0</v>
      </c>
      <c r="D3841" s="356">
        <v>1</v>
      </c>
      <c r="E3841" s="356">
        <v>1</v>
      </c>
      <c r="F3841" s="356">
        <v>1</v>
      </c>
      <c r="G3841" s="356">
        <v>1</v>
      </c>
      <c r="H3841" s="356">
        <v>0</v>
      </c>
      <c r="I3841" s="356">
        <v>1</v>
      </c>
      <c r="J3841" s="356">
        <v>1</v>
      </c>
      <c r="K3841" s="356">
        <v>0</v>
      </c>
      <c r="L3841" s="356">
        <v>0</v>
      </c>
      <c r="M3841" s="356">
        <v>3</v>
      </c>
      <c r="N3841" s="356">
        <v>4</v>
      </c>
    </row>
    <row r="3842" spans="1:14" hidden="1" x14ac:dyDescent="0.25">
      <c r="A3842" s="356">
        <v>0</v>
      </c>
      <c r="B3842" s="356">
        <v>1</v>
      </c>
      <c r="C3842" s="356">
        <v>0</v>
      </c>
      <c r="D3842" s="356">
        <v>1</v>
      </c>
      <c r="E3842" s="356">
        <v>1</v>
      </c>
      <c r="F3842" s="356">
        <v>0</v>
      </c>
      <c r="G3842" s="356">
        <v>1</v>
      </c>
      <c r="H3842" s="356">
        <v>0</v>
      </c>
      <c r="I3842" s="356">
        <v>1</v>
      </c>
      <c r="J3842" s="356">
        <v>1</v>
      </c>
      <c r="K3842" s="356">
        <v>0</v>
      </c>
      <c r="L3842" s="356">
        <v>0</v>
      </c>
      <c r="M3842" s="356">
        <v>3</v>
      </c>
      <c r="N3842" s="356">
        <v>3</v>
      </c>
    </row>
    <row r="3843" spans="1:14" hidden="1" x14ac:dyDescent="0.25">
      <c r="A3843" s="356">
        <v>0</v>
      </c>
      <c r="B3843" s="356">
        <v>0</v>
      </c>
      <c r="C3843" s="356">
        <v>1</v>
      </c>
      <c r="D3843" s="356">
        <v>1</v>
      </c>
      <c r="E3843" s="356">
        <v>0</v>
      </c>
      <c r="F3843" s="356">
        <v>1</v>
      </c>
      <c r="G3843" s="356">
        <v>1</v>
      </c>
      <c r="H3843" s="356">
        <v>0</v>
      </c>
      <c r="I3843" s="356">
        <v>1</v>
      </c>
      <c r="J3843" s="356">
        <v>1</v>
      </c>
      <c r="K3843" s="356">
        <v>0</v>
      </c>
      <c r="L3843" s="356">
        <v>0</v>
      </c>
      <c r="M3843" s="356">
        <v>3</v>
      </c>
      <c r="N3843" s="356">
        <v>3</v>
      </c>
    </row>
    <row r="3844" spans="1:14" hidden="1" x14ac:dyDescent="0.25">
      <c r="A3844" s="356">
        <v>0</v>
      </c>
      <c r="B3844" s="356">
        <v>0</v>
      </c>
      <c r="C3844" s="356">
        <v>1</v>
      </c>
      <c r="D3844" s="356">
        <v>1</v>
      </c>
      <c r="E3844" s="356">
        <v>0</v>
      </c>
      <c r="F3844" s="356">
        <v>1</v>
      </c>
      <c r="G3844" s="356">
        <v>1</v>
      </c>
      <c r="H3844" s="356">
        <v>0</v>
      </c>
      <c r="I3844" s="356">
        <v>1</v>
      </c>
      <c r="J3844" s="356">
        <v>1</v>
      </c>
      <c r="K3844" s="356">
        <v>0</v>
      </c>
      <c r="L3844" s="356">
        <v>0</v>
      </c>
      <c r="M3844" s="356">
        <v>3</v>
      </c>
      <c r="N3844" s="356">
        <v>3</v>
      </c>
    </row>
    <row r="3845" spans="1:14" hidden="1" x14ac:dyDescent="0.25">
      <c r="A3845" s="356">
        <v>0</v>
      </c>
      <c r="B3845" s="356">
        <v>0</v>
      </c>
      <c r="C3845" s="356">
        <v>2</v>
      </c>
      <c r="D3845" s="356">
        <v>0</v>
      </c>
      <c r="E3845" s="356">
        <v>1</v>
      </c>
      <c r="F3845" s="356">
        <v>1</v>
      </c>
      <c r="G3845" s="356">
        <v>1</v>
      </c>
      <c r="H3845" s="356">
        <v>0</v>
      </c>
      <c r="I3845" s="356">
        <v>1</v>
      </c>
      <c r="J3845" s="356">
        <v>2</v>
      </c>
      <c r="K3845" s="356">
        <v>0</v>
      </c>
      <c r="L3845" s="356">
        <v>0</v>
      </c>
      <c r="M3845" s="356">
        <v>5</v>
      </c>
      <c r="N3845" s="356">
        <v>3</v>
      </c>
    </row>
    <row r="3846" spans="1:14" hidden="1" x14ac:dyDescent="0.25">
      <c r="A3846" s="356">
        <v>1</v>
      </c>
      <c r="B3846" s="356">
        <v>0</v>
      </c>
      <c r="C3846" s="356">
        <v>0</v>
      </c>
      <c r="D3846" s="356">
        <v>2</v>
      </c>
      <c r="E3846" s="356">
        <v>1</v>
      </c>
      <c r="F3846" s="356">
        <v>0</v>
      </c>
      <c r="G3846" s="356">
        <v>0</v>
      </c>
      <c r="H3846" s="356">
        <v>1</v>
      </c>
      <c r="I3846" s="356">
        <v>0</v>
      </c>
      <c r="J3846" s="356">
        <v>2</v>
      </c>
      <c r="K3846" s="356">
        <v>0</v>
      </c>
      <c r="L3846" s="356">
        <v>0</v>
      </c>
      <c r="M3846" s="356">
        <v>2</v>
      </c>
      <c r="N3846" s="356">
        <v>5</v>
      </c>
    </row>
    <row r="3847" spans="1:14" hidden="1" x14ac:dyDescent="0.25">
      <c r="A3847" s="356">
        <v>0</v>
      </c>
      <c r="B3847" s="356">
        <v>0</v>
      </c>
      <c r="C3847" s="356">
        <v>2</v>
      </c>
      <c r="D3847" s="356">
        <v>0</v>
      </c>
      <c r="E3847" s="356">
        <v>1</v>
      </c>
      <c r="F3847" s="356">
        <v>1</v>
      </c>
      <c r="G3847" s="356">
        <v>1</v>
      </c>
      <c r="H3847" s="356">
        <v>0</v>
      </c>
      <c r="I3847" s="356">
        <v>1</v>
      </c>
      <c r="J3847" s="356">
        <v>2</v>
      </c>
      <c r="K3847" s="356">
        <v>0</v>
      </c>
      <c r="L3847" s="356">
        <v>0</v>
      </c>
      <c r="M3847" s="356">
        <v>5</v>
      </c>
      <c r="N3847" s="356">
        <v>3</v>
      </c>
    </row>
    <row r="3848" spans="1:14" hidden="1" x14ac:dyDescent="0.25">
      <c r="A3848" s="356">
        <v>0</v>
      </c>
      <c r="B3848" s="356">
        <v>1</v>
      </c>
      <c r="C3848" s="356">
        <v>0</v>
      </c>
      <c r="D3848" s="356">
        <v>0</v>
      </c>
      <c r="E3848" s="356">
        <v>1</v>
      </c>
      <c r="F3848" s="356">
        <v>0</v>
      </c>
      <c r="G3848" s="356">
        <v>3</v>
      </c>
      <c r="H3848" s="356">
        <v>0</v>
      </c>
      <c r="I3848" s="356">
        <v>1</v>
      </c>
      <c r="J3848" s="356">
        <v>2</v>
      </c>
      <c r="K3848" s="356">
        <v>0</v>
      </c>
      <c r="L3848" s="356">
        <v>0</v>
      </c>
      <c r="M3848" s="356">
        <v>5</v>
      </c>
      <c r="N3848" s="356">
        <v>3</v>
      </c>
    </row>
    <row r="3849" spans="1:14" hidden="1" x14ac:dyDescent="0.25">
      <c r="A3849" s="356">
        <v>1</v>
      </c>
      <c r="B3849" s="356">
        <v>0</v>
      </c>
      <c r="C3849" s="356">
        <v>0</v>
      </c>
      <c r="D3849" s="356">
        <v>1</v>
      </c>
      <c r="E3849" s="356">
        <v>2</v>
      </c>
      <c r="F3849" s="356">
        <v>0</v>
      </c>
      <c r="G3849" s="356">
        <v>0</v>
      </c>
      <c r="H3849" s="356">
        <v>2</v>
      </c>
      <c r="I3849" s="356">
        <v>1</v>
      </c>
      <c r="J3849" s="356">
        <v>2</v>
      </c>
      <c r="K3849" s="356">
        <v>0</v>
      </c>
      <c r="L3849" s="356">
        <v>0</v>
      </c>
      <c r="M3849" s="356">
        <v>4</v>
      </c>
      <c r="N3849" s="356">
        <v>5</v>
      </c>
    </row>
    <row r="3850" spans="1:14" hidden="1" x14ac:dyDescent="0.25">
      <c r="A3850" s="356">
        <v>1</v>
      </c>
      <c r="B3850" s="356">
        <v>0</v>
      </c>
      <c r="C3850" s="356">
        <v>0</v>
      </c>
      <c r="D3850" s="356">
        <v>0</v>
      </c>
      <c r="E3850" s="356">
        <v>0</v>
      </c>
      <c r="F3850" s="356">
        <v>0</v>
      </c>
      <c r="G3850" s="356">
        <v>0</v>
      </c>
      <c r="H3850" s="356">
        <v>0</v>
      </c>
      <c r="I3850" s="356">
        <v>1</v>
      </c>
      <c r="J3850" s="356">
        <v>1</v>
      </c>
      <c r="K3850" s="356">
        <v>0</v>
      </c>
      <c r="L3850" s="356">
        <v>0</v>
      </c>
      <c r="M3850" s="356">
        <v>2</v>
      </c>
      <c r="N3850" s="356">
        <v>1</v>
      </c>
    </row>
    <row r="3851" spans="1:14" hidden="1" x14ac:dyDescent="0.25">
      <c r="A3851" s="356">
        <v>0</v>
      </c>
      <c r="B3851" s="356">
        <v>1</v>
      </c>
      <c r="C3851" s="356">
        <v>0</v>
      </c>
      <c r="D3851" s="356">
        <v>0</v>
      </c>
      <c r="E3851" s="356">
        <v>0</v>
      </c>
      <c r="F3851" s="356">
        <v>0</v>
      </c>
      <c r="G3851" s="356">
        <v>0</v>
      </c>
      <c r="H3851" s="356">
        <v>0</v>
      </c>
      <c r="I3851" s="356">
        <v>1</v>
      </c>
      <c r="J3851" s="356">
        <v>2</v>
      </c>
      <c r="K3851" s="356">
        <v>0</v>
      </c>
      <c r="L3851" s="356">
        <v>0</v>
      </c>
      <c r="M3851" s="356">
        <v>1</v>
      </c>
      <c r="N3851" s="356">
        <v>3</v>
      </c>
    </row>
    <row r="3852" spans="1:14" hidden="1" x14ac:dyDescent="0.25">
      <c r="A3852" s="356">
        <v>0</v>
      </c>
      <c r="B3852" s="356">
        <v>1</v>
      </c>
      <c r="C3852" s="356">
        <v>0</v>
      </c>
      <c r="D3852" s="356">
        <v>0</v>
      </c>
      <c r="E3852" s="356">
        <v>1</v>
      </c>
      <c r="F3852" s="356">
        <v>0</v>
      </c>
      <c r="G3852" s="356">
        <v>0</v>
      </c>
      <c r="H3852" s="356">
        <v>0</v>
      </c>
      <c r="I3852" s="356">
        <v>0</v>
      </c>
      <c r="J3852" s="356">
        <v>1</v>
      </c>
      <c r="K3852" s="356">
        <v>0</v>
      </c>
      <c r="L3852" s="356">
        <v>0</v>
      </c>
      <c r="M3852" s="356">
        <v>1</v>
      </c>
      <c r="N3852" s="356">
        <v>2</v>
      </c>
    </row>
    <row r="3853" spans="1:14" hidden="1" x14ac:dyDescent="0.25">
      <c r="A3853" s="356">
        <v>1</v>
      </c>
      <c r="B3853" s="356">
        <v>0</v>
      </c>
      <c r="C3853" s="356">
        <v>0</v>
      </c>
      <c r="D3853" s="356">
        <v>0</v>
      </c>
      <c r="E3853" s="356">
        <v>0</v>
      </c>
      <c r="F3853" s="356">
        <v>0</v>
      </c>
      <c r="G3853" s="356">
        <v>0</v>
      </c>
      <c r="H3853" s="356">
        <v>0</v>
      </c>
      <c r="I3853" s="356">
        <v>1</v>
      </c>
      <c r="J3853" s="356">
        <v>1</v>
      </c>
      <c r="K3853" s="356">
        <v>0</v>
      </c>
      <c r="L3853" s="356">
        <v>0</v>
      </c>
      <c r="M3853" s="356">
        <v>2</v>
      </c>
      <c r="N3853" s="356">
        <v>1</v>
      </c>
    </row>
    <row r="3854" spans="1:14" hidden="1" x14ac:dyDescent="0.25">
      <c r="A3854" s="356">
        <v>0</v>
      </c>
      <c r="B3854" s="356">
        <v>1</v>
      </c>
      <c r="C3854" s="356">
        <v>0</v>
      </c>
      <c r="D3854" s="356">
        <v>0</v>
      </c>
      <c r="E3854" s="356">
        <v>2</v>
      </c>
      <c r="F3854" s="356">
        <v>0</v>
      </c>
      <c r="G3854" s="356">
        <v>1</v>
      </c>
      <c r="H3854" s="356">
        <v>0</v>
      </c>
      <c r="I3854" s="356">
        <v>1</v>
      </c>
      <c r="J3854" s="356">
        <v>1</v>
      </c>
      <c r="K3854" s="356">
        <v>0</v>
      </c>
      <c r="L3854" s="356">
        <v>0</v>
      </c>
      <c r="M3854" s="356">
        <v>4</v>
      </c>
      <c r="N3854" s="356">
        <v>2</v>
      </c>
    </row>
    <row r="3855" spans="1:14" hidden="1" x14ac:dyDescent="0.25">
      <c r="A3855" s="356">
        <v>0</v>
      </c>
      <c r="B3855" s="356">
        <v>0</v>
      </c>
      <c r="C3855" s="356">
        <v>0</v>
      </c>
      <c r="D3855" s="356">
        <v>0</v>
      </c>
      <c r="E3855" s="356">
        <v>0</v>
      </c>
      <c r="F3855" s="356">
        <v>0</v>
      </c>
      <c r="G3855" s="356">
        <v>3</v>
      </c>
      <c r="H3855" s="356">
        <v>2</v>
      </c>
      <c r="I3855" s="356">
        <v>2</v>
      </c>
      <c r="J3855" s="356">
        <v>1</v>
      </c>
      <c r="K3855" s="356">
        <v>0</v>
      </c>
      <c r="L3855" s="356">
        <v>0</v>
      </c>
      <c r="M3855" s="356">
        <v>5</v>
      </c>
      <c r="N3855" s="356">
        <v>3</v>
      </c>
    </row>
    <row r="3856" spans="1:14" hidden="1" x14ac:dyDescent="0.25">
      <c r="A3856" s="356">
        <v>0</v>
      </c>
      <c r="B3856" s="356">
        <v>0</v>
      </c>
      <c r="C3856" s="356">
        <v>0</v>
      </c>
      <c r="D3856" s="356">
        <v>0</v>
      </c>
      <c r="E3856" s="356">
        <v>2</v>
      </c>
      <c r="F3856" s="356">
        <v>1</v>
      </c>
      <c r="G3856" s="356">
        <v>1</v>
      </c>
      <c r="H3856" s="356">
        <v>1</v>
      </c>
      <c r="I3856" s="356">
        <v>3</v>
      </c>
      <c r="J3856" s="356">
        <v>2</v>
      </c>
      <c r="K3856" s="356">
        <v>0</v>
      </c>
      <c r="L3856" s="356">
        <v>0</v>
      </c>
      <c r="M3856" s="356">
        <v>6</v>
      </c>
      <c r="N3856" s="356">
        <v>4</v>
      </c>
    </row>
    <row r="3857" spans="1:14" hidden="1" x14ac:dyDescent="0.25">
      <c r="A3857" s="356">
        <v>0</v>
      </c>
      <c r="B3857" s="356">
        <v>0</v>
      </c>
      <c r="C3857" s="356">
        <v>0</v>
      </c>
      <c r="D3857" s="356">
        <v>0</v>
      </c>
      <c r="E3857" s="356">
        <v>0</v>
      </c>
      <c r="F3857" s="356">
        <v>0</v>
      </c>
      <c r="G3857" s="356">
        <v>1</v>
      </c>
      <c r="H3857" s="356">
        <v>0</v>
      </c>
      <c r="I3857" s="356">
        <v>3</v>
      </c>
      <c r="J3857" s="356">
        <v>2</v>
      </c>
      <c r="K3857" s="356">
        <v>1</v>
      </c>
      <c r="L3857" s="356">
        <v>1</v>
      </c>
      <c r="M3857" s="356">
        <v>5</v>
      </c>
      <c r="N3857" s="356">
        <v>3</v>
      </c>
    </row>
    <row r="3858" spans="1:14" hidden="1" x14ac:dyDescent="0.25">
      <c r="A3858" s="356">
        <v>0</v>
      </c>
      <c r="B3858" s="356">
        <v>0</v>
      </c>
      <c r="C3858" s="356">
        <v>1</v>
      </c>
      <c r="D3858" s="356">
        <v>2</v>
      </c>
      <c r="E3858" s="356">
        <v>1</v>
      </c>
      <c r="F3858" s="356">
        <v>1</v>
      </c>
      <c r="G3858" s="356">
        <v>0</v>
      </c>
      <c r="H3858" s="356">
        <v>0</v>
      </c>
      <c r="I3858" s="356">
        <v>1</v>
      </c>
      <c r="J3858" s="356">
        <v>1</v>
      </c>
      <c r="K3858" s="356">
        <v>0</v>
      </c>
      <c r="L3858" s="356">
        <v>0</v>
      </c>
      <c r="M3858" s="356">
        <v>3</v>
      </c>
      <c r="N3858" s="356">
        <v>4</v>
      </c>
    </row>
    <row r="3859" spans="1:14" hidden="1" x14ac:dyDescent="0.25">
      <c r="A3859" s="356">
        <v>0</v>
      </c>
      <c r="B3859" s="356">
        <v>0</v>
      </c>
      <c r="C3859" s="356">
        <v>0</v>
      </c>
      <c r="D3859" s="356">
        <v>0</v>
      </c>
      <c r="E3859" s="356">
        <v>0</v>
      </c>
      <c r="F3859" s="356">
        <v>0</v>
      </c>
      <c r="G3859" s="356">
        <v>1</v>
      </c>
      <c r="H3859" s="356">
        <v>0</v>
      </c>
      <c r="I3859" s="356">
        <v>3</v>
      </c>
      <c r="J3859" s="356">
        <v>3</v>
      </c>
      <c r="K3859" s="356">
        <v>1</v>
      </c>
      <c r="L3859" s="356">
        <v>0</v>
      </c>
      <c r="M3859" s="356">
        <v>5</v>
      </c>
      <c r="N3859" s="356">
        <v>3</v>
      </c>
    </row>
    <row r="3860" spans="1:14" hidden="1" x14ac:dyDescent="0.25">
      <c r="A3860" s="356">
        <v>0</v>
      </c>
      <c r="B3860" s="356">
        <v>0</v>
      </c>
      <c r="C3860" s="356">
        <v>0</v>
      </c>
      <c r="D3860" s="356">
        <v>1</v>
      </c>
      <c r="E3860" s="356">
        <v>2</v>
      </c>
      <c r="F3860" s="356">
        <v>0</v>
      </c>
      <c r="G3860" s="356">
        <v>1</v>
      </c>
      <c r="H3860" s="356">
        <v>0</v>
      </c>
      <c r="I3860" s="356">
        <v>1</v>
      </c>
      <c r="J3860" s="356">
        <v>1</v>
      </c>
      <c r="K3860" s="356">
        <v>0</v>
      </c>
      <c r="L3860" s="356">
        <v>0</v>
      </c>
      <c r="M3860" s="356">
        <v>4</v>
      </c>
      <c r="N3860" s="356">
        <v>2</v>
      </c>
    </row>
    <row r="3861" spans="1:14" hidden="1" x14ac:dyDescent="0.25">
      <c r="A3861" s="356">
        <v>0</v>
      </c>
      <c r="B3861" s="356">
        <v>0</v>
      </c>
      <c r="C3861" s="356">
        <v>0</v>
      </c>
      <c r="D3861" s="356">
        <v>0</v>
      </c>
      <c r="E3861" s="356">
        <v>0</v>
      </c>
      <c r="F3861" s="356">
        <v>0</v>
      </c>
      <c r="G3861" s="356">
        <v>0</v>
      </c>
      <c r="H3861" s="356">
        <v>2</v>
      </c>
      <c r="I3861" s="356">
        <v>2</v>
      </c>
      <c r="J3861" s="356">
        <v>1</v>
      </c>
      <c r="K3861" s="356">
        <v>0</v>
      </c>
      <c r="L3861" s="356">
        <v>0</v>
      </c>
      <c r="M3861" s="356">
        <v>2</v>
      </c>
      <c r="N3861" s="356">
        <v>3</v>
      </c>
    </row>
    <row r="3862" spans="1:14" hidden="1" x14ac:dyDescent="0.25">
      <c r="A3862" s="356">
        <v>0</v>
      </c>
      <c r="B3862" s="356">
        <v>0</v>
      </c>
      <c r="C3862" s="356">
        <v>0</v>
      </c>
      <c r="D3862" s="356">
        <v>0</v>
      </c>
      <c r="E3862" s="356">
        <v>0</v>
      </c>
      <c r="F3862" s="356">
        <v>0</v>
      </c>
      <c r="G3862" s="356">
        <v>1</v>
      </c>
      <c r="H3862" s="356">
        <v>1</v>
      </c>
      <c r="I3862" s="356">
        <v>2</v>
      </c>
      <c r="J3862" s="356">
        <v>1</v>
      </c>
      <c r="K3862" s="356">
        <v>1</v>
      </c>
      <c r="L3862" s="356">
        <v>0</v>
      </c>
      <c r="M3862" s="356">
        <v>4</v>
      </c>
      <c r="N3862" s="356">
        <v>2</v>
      </c>
    </row>
    <row r="3863" spans="1:14" hidden="1" x14ac:dyDescent="0.25">
      <c r="A3863" s="356">
        <v>0</v>
      </c>
      <c r="B3863" s="356">
        <v>0</v>
      </c>
      <c r="C3863" s="356">
        <v>0</v>
      </c>
      <c r="D3863" s="356">
        <v>0</v>
      </c>
      <c r="E3863" s="356">
        <v>0</v>
      </c>
      <c r="F3863" s="356">
        <v>0</v>
      </c>
      <c r="G3863" s="356">
        <v>0</v>
      </c>
      <c r="H3863" s="356">
        <v>1</v>
      </c>
      <c r="I3863" s="356">
        <v>3</v>
      </c>
      <c r="J3863" s="356">
        <v>2</v>
      </c>
      <c r="K3863" s="356">
        <v>1</v>
      </c>
      <c r="L3863" s="356">
        <v>0</v>
      </c>
      <c r="M3863" s="356">
        <v>4</v>
      </c>
      <c r="N3863" s="356">
        <v>3</v>
      </c>
    </row>
    <row r="3864" spans="1:14" hidden="1" x14ac:dyDescent="0.25">
      <c r="A3864" s="356">
        <v>0</v>
      </c>
      <c r="B3864" s="356">
        <v>0</v>
      </c>
      <c r="C3864" s="356">
        <v>0</v>
      </c>
      <c r="D3864" s="356">
        <v>1</v>
      </c>
      <c r="E3864" s="356">
        <v>2</v>
      </c>
      <c r="F3864" s="356">
        <v>1</v>
      </c>
      <c r="G3864" s="356">
        <v>0</v>
      </c>
      <c r="H3864" s="356">
        <v>0</v>
      </c>
      <c r="I3864" s="356">
        <v>1</v>
      </c>
      <c r="J3864" s="356">
        <v>1</v>
      </c>
      <c r="K3864" s="356">
        <v>0</v>
      </c>
      <c r="L3864" s="356">
        <v>0</v>
      </c>
      <c r="M3864" s="356">
        <v>3</v>
      </c>
      <c r="N3864" s="356">
        <v>3</v>
      </c>
    </row>
    <row r="3865" spans="1:14" hidden="1" x14ac:dyDescent="0.25">
      <c r="A3865" s="356">
        <v>0</v>
      </c>
      <c r="B3865" s="356">
        <v>0</v>
      </c>
      <c r="C3865" s="356">
        <v>0</v>
      </c>
      <c r="D3865" s="356">
        <v>0</v>
      </c>
      <c r="E3865" s="356">
        <v>0</v>
      </c>
      <c r="F3865" s="356">
        <v>0</v>
      </c>
      <c r="G3865" s="356">
        <v>0</v>
      </c>
      <c r="H3865" s="356">
        <v>1</v>
      </c>
      <c r="I3865" s="356">
        <v>3</v>
      </c>
      <c r="J3865" s="356">
        <v>2</v>
      </c>
      <c r="K3865" s="356">
        <v>1</v>
      </c>
      <c r="L3865" s="356">
        <v>0</v>
      </c>
      <c r="M3865" s="356">
        <v>4</v>
      </c>
      <c r="N3865" s="356">
        <v>3</v>
      </c>
    </row>
    <row r="3866" spans="1:14" hidden="1" x14ac:dyDescent="0.25">
      <c r="A3866" s="356">
        <v>0</v>
      </c>
      <c r="B3866" s="356">
        <v>0</v>
      </c>
      <c r="C3866" s="356">
        <v>1</v>
      </c>
      <c r="D3866" s="356">
        <v>0</v>
      </c>
      <c r="E3866" s="356">
        <v>2</v>
      </c>
      <c r="F3866" s="356">
        <v>2</v>
      </c>
      <c r="G3866" s="356">
        <v>0</v>
      </c>
      <c r="H3866" s="356">
        <v>0</v>
      </c>
      <c r="I3866" s="356">
        <v>1</v>
      </c>
      <c r="J3866" s="356">
        <v>1</v>
      </c>
      <c r="K3866" s="356">
        <v>0</v>
      </c>
      <c r="L3866" s="356">
        <v>0</v>
      </c>
      <c r="M3866" s="356">
        <v>4</v>
      </c>
      <c r="N3866" s="356">
        <v>3</v>
      </c>
    </row>
    <row r="3867" spans="1:14" hidden="1" x14ac:dyDescent="0.25">
      <c r="A3867" s="356">
        <v>0</v>
      </c>
      <c r="B3867" s="356">
        <v>0</v>
      </c>
      <c r="C3867" s="356">
        <v>0</v>
      </c>
      <c r="D3867" s="356">
        <v>0</v>
      </c>
      <c r="E3867" s="356">
        <v>0</v>
      </c>
      <c r="F3867" s="356">
        <v>0</v>
      </c>
      <c r="G3867" s="356">
        <v>1</v>
      </c>
      <c r="H3867" s="356">
        <v>2</v>
      </c>
      <c r="I3867" s="356">
        <v>2</v>
      </c>
      <c r="J3867" s="356">
        <v>1</v>
      </c>
      <c r="K3867" s="356">
        <v>0</v>
      </c>
      <c r="L3867" s="356">
        <v>0</v>
      </c>
      <c r="M3867" s="356">
        <v>3</v>
      </c>
      <c r="N3867" s="356">
        <v>3</v>
      </c>
    </row>
    <row r="3868" spans="1:14" hidden="1" x14ac:dyDescent="0.25">
      <c r="A3868" s="356">
        <v>0</v>
      </c>
      <c r="B3868" s="356">
        <v>0</v>
      </c>
      <c r="C3868" s="356">
        <v>0</v>
      </c>
      <c r="D3868" s="356">
        <v>0</v>
      </c>
      <c r="E3868" s="356">
        <v>0</v>
      </c>
      <c r="F3868" s="356">
        <v>0</v>
      </c>
      <c r="G3868" s="356">
        <v>0</v>
      </c>
      <c r="H3868" s="356">
        <v>0</v>
      </c>
      <c r="I3868" s="356">
        <v>5</v>
      </c>
      <c r="J3868" s="356">
        <v>1</v>
      </c>
      <c r="K3868" s="356">
        <v>1</v>
      </c>
      <c r="L3868" s="356">
        <v>0</v>
      </c>
      <c r="M3868" s="356">
        <v>6</v>
      </c>
      <c r="N3868" s="356">
        <v>1</v>
      </c>
    </row>
    <row r="3869" spans="1:14" hidden="1" x14ac:dyDescent="0.25">
      <c r="A3869" s="356">
        <v>1</v>
      </c>
      <c r="B3869" s="356">
        <v>0</v>
      </c>
      <c r="C3869" s="356">
        <v>0</v>
      </c>
      <c r="D3869" s="356">
        <v>1</v>
      </c>
      <c r="E3869" s="356">
        <v>0</v>
      </c>
      <c r="F3869" s="356">
        <v>1</v>
      </c>
      <c r="G3869" s="356">
        <v>2</v>
      </c>
      <c r="H3869" s="356">
        <v>0</v>
      </c>
      <c r="I3869" s="356">
        <v>2</v>
      </c>
      <c r="J3869" s="356">
        <v>2</v>
      </c>
      <c r="K3869" s="356">
        <v>0</v>
      </c>
      <c r="L3869" s="356">
        <v>0</v>
      </c>
      <c r="M3869" s="356">
        <v>5</v>
      </c>
      <c r="N3869" s="356">
        <v>4</v>
      </c>
    </row>
    <row r="3870" spans="1:14" hidden="1" x14ac:dyDescent="0.25">
      <c r="A3870" s="356">
        <v>0</v>
      </c>
      <c r="B3870" s="356">
        <v>1</v>
      </c>
      <c r="C3870" s="356">
        <v>2</v>
      </c>
      <c r="D3870" s="356">
        <v>0</v>
      </c>
      <c r="E3870" s="356">
        <v>0</v>
      </c>
      <c r="F3870" s="356">
        <v>1</v>
      </c>
      <c r="G3870" s="356">
        <v>2</v>
      </c>
      <c r="H3870" s="356">
        <v>1</v>
      </c>
      <c r="I3870" s="356">
        <v>1</v>
      </c>
      <c r="J3870" s="356">
        <v>1</v>
      </c>
      <c r="K3870" s="356">
        <v>0</v>
      </c>
      <c r="L3870" s="356">
        <v>1</v>
      </c>
      <c r="M3870" s="356">
        <v>5</v>
      </c>
      <c r="N3870" s="356">
        <v>5</v>
      </c>
    </row>
    <row r="3871" spans="1:14" hidden="1" x14ac:dyDescent="0.25">
      <c r="A3871" s="356">
        <v>0</v>
      </c>
      <c r="B3871" s="356">
        <v>0</v>
      </c>
      <c r="C3871" s="356">
        <v>1</v>
      </c>
      <c r="D3871" s="356">
        <v>0</v>
      </c>
      <c r="E3871" s="356">
        <v>2</v>
      </c>
      <c r="F3871" s="356">
        <v>1</v>
      </c>
      <c r="G3871" s="356">
        <v>1</v>
      </c>
      <c r="H3871" s="356">
        <v>0</v>
      </c>
      <c r="I3871" s="356">
        <v>1</v>
      </c>
      <c r="J3871" s="356">
        <v>3</v>
      </c>
      <c r="K3871" s="356">
        <v>0</v>
      </c>
      <c r="L3871" s="356">
        <v>0</v>
      </c>
      <c r="M3871" s="356">
        <v>5</v>
      </c>
      <c r="N3871" s="356">
        <v>4</v>
      </c>
    </row>
    <row r="3872" spans="1:14" hidden="1" x14ac:dyDescent="0.25">
      <c r="A3872" s="356">
        <v>0</v>
      </c>
      <c r="B3872" s="356">
        <v>0</v>
      </c>
      <c r="C3872" s="356">
        <v>0</v>
      </c>
      <c r="D3872" s="356">
        <v>1</v>
      </c>
      <c r="E3872" s="356">
        <v>2</v>
      </c>
      <c r="F3872" s="356">
        <v>1</v>
      </c>
      <c r="G3872" s="356">
        <v>0</v>
      </c>
      <c r="H3872" s="356">
        <v>0</v>
      </c>
      <c r="I3872" s="356">
        <v>1</v>
      </c>
      <c r="J3872" s="356">
        <v>2</v>
      </c>
      <c r="K3872" s="356">
        <v>0</v>
      </c>
      <c r="L3872" s="356">
        <v>0</v>
      </c>
      <c r="M3872" s="356">
        <v>3</v>
      </c>
      <c r="N3872" s="356">
        <v>4</v>
      </c>
    </row>
    <row r="3873" spans="1:14" hidden="1" x14ac:dyDescent="0.25">
      <c r="A3873" s="356">
        <v>0</v>
      </c>
      <c r="B3873" s="356">
        <v>0</v>
      </c>
      <c r="C3873" s="356">
        <v>0</v>
      </c>
      <c r="D3873" s="356"/>
      <c r="E3873" s="356"/>
      <c r="F3873" s="356">
        <v>0</v>
      </c>
      <c r="G3873" s="356">
        <v>0</v>
      </c>
      <c r="H3873" s="356">
        <v>2</v>
      </c>
      <c r="I3873" s="356">
        <v>0</v>
      </c>
      <c r="J3873" s="356">
        <v>1</v>
      </c>
      <c r="K3873" s="356">
        <v>0</v>
      </c>
      <c r="L3873" s="356">
        <v>0</v>
      </c>
      <c r="M3873" s="356">
        <v>0</v>
      </c>
      <c r="N3873" s="356">
        <v>3</v>
      </c>
    </row>
    <row r="3874" spans="1:14" hidden="1" x14ac:dyDescent="0.25">
      <c r="A3874" s="356">
        <v>0</v>
      </c>
      <c r="B3874" s="356">
        <v>1</v>
      </c>
      <c r="C3874" s="356">
        <v>0</v>
      </c>
      <c r="D3874" s="356">
        <v>0</v>
      </c>
      <c r="E3874" s="356">
        <v>2</v>
      </c>
      <c r="F3874" s="356">
        <v>1</v>
      </c>
      <c r="G3874" s="356">
        <v>0</v>
      </c>
      <c r="H3874" s="356">
        <v>2</v>
      </c>
      <c r="I3874" s="356">
        <v>1</v>
      </c>
      <c r="J3874" s="356">
        <v>2</v>
      </c>
      <c r="K3874" s="356">
        <v>0</v>
      </c>
      <c r="L3874" s="356">
        <v>0</v>
      </c>
      <c r="M3874" s="356">
        <v>3</v>
      </c>
      <c r="N3874" s="356">
        <v>6</v>
      </c>
    </row>
    <row r="3875" spans="1:14" hidden="1" x14ac:dyDescent="0.25">
      <c r="A3875" s="356">
        <v>1</v>
      </c>
      <c r="B3875" s="356">
        <v>0</v>
      </c>
      <c r="C3875" s="356">
        <v>0</v>
      </c>
      <c r="D3875" s="356">
        <v>1</v>
      </c>
      <c r="E3875" s="356">
        <v>0</v>
      </c>
      <c r="F3875" s="356">
        <v>0</v>
      </c>
      <c r="G3875" s="356">
        <v>1</v>
      </c>
      <c r="H3875" s="356">
        <v>1</v>
      </c>
      <c r="I3875" s="356">
        <v>1</v>
      </c>
      <c r="J3875" s="356">
        <v>3</v>
      </c>
      <c r="K3875" s="356">
        <v>0</v>
      </c>
      <c r="L3875" s="356">
        <v>0</v>
      </c>
      <c r="M3875" s="356">
        <v>3</v>
      </c>
      <c r="N3875" s="356">
        <v>5</v>
      </c>
    </row>
    <row r="3876" spans="1:14" hidden="1" x14ac:dyDescent="0.25">
      <c r="A3876" s="356">
        <v>1</v>
      </c>
      <c r="B3876" s="356">
        <v>0</v>
      </c>
      <c r="C3876" s="356">
        <v>1</v>
      </c>
      <c r="D3876" s="356">
        <v>0</v>
      </c>
      <c r="E3876" s="356">
        <v>2</v>
      </c>
      <c r="F3876" s="356">
        <v>1</v>
      </c>
      <c r="G3876" s="356">
        <v>1</v>
      </c>
      <c r="H3876" s="356">
        <v>0</v>
      </c>
      <c r="I3876" s="356">
        <v>1</v>
      </c>
      <c r="J3876" s="356">
        <v>2</v>
      </c>
      <c r="K3876" s="356">
        <v>0</v>
      </c>
      <c r="L3876" s="356">
        <v>0</v>
      </c>
      <c r="M3876" s="356">
        <v>6</v>
      </c>
      <c r="N3876" s="356">
        <v>3</v>
      </c>
    </row>
    <row r="3877" spans="1:14" hidden="1" x14ac:dyDescent="0.25">
      <c r="A3877" s="356">
        <v>0</v>
      </c>
      <c r="B3877" s="356">
        <v>0</v>
      </c>
      <c r="C3877" s="356">
        <v>1</v>
      </c>
      <c r="D3877" s="356">
        <v>0</v>
      </c>
      <c r="E3877" s="356">
        <v>1</v>
      </c>
      <c r="F3877" s="356">
        <v>0</v>
      </c>
      <c r="G3877" s="356">
        <v>2</v>
      </c>
      <c r="H3877" s="356">
        <v>1</v>
      </c>
      <c r="I3877" s="356">
        <v>2</v>
      </c>
      <c r="J3877" s="356">
        <v>2</v>
      </c>
      <c r="K3877" s="356">
        <v>0</v>
      </c>
      <c r="L3877" s="356">
        <v>1</v>
      </c>
      <c r="M3877" s="356">
        <v>6</v>
      </c>
      <c r="N3877" s="356">
        <v>4</v>
      </c>
    </row>
    <row r="3878" spans="1:14" hidden="1" x14ac:dyDescent="0.25">
      <c r="A3878" s="356">
        <v>0</v>
      </c>
      <c r="B3878" s="356">
        <v>0</v>
      </c>
      <c r="C3878" s="356">
        <v>1</v>
      </c>
      <c r="D3878" s="356">
        <v>0</v>
      </c>
      <c r="E3878" s="356">
        <v>0</v>
      </c>
      <c r="F3878" s="356">
        <v>2</v>
      </c>
      <c r="G3878" s="356">
        <v>1</v>
      </c>
      <c r="H3878" s="356">
        <v>0</v>
      </c>
      <c r="I3878" s="356">
        <v>1</v>
      </c>
      <c r="J3878" s="356">
        <v>2</v>
      </c>
      <c r="K3878" s="356">
        <v>0</v>
      </c>
      <c r="L3878" s="356">
        <v>1</v>
      </c>
      <c r="M3878" s="356">
        <v>3</v>
      </c>
      <c r="N3878" s="356">
        <v>5</v>
      </c>
    </row>
    <row r="3879" spans="1:14" hidden="1" x14ac:dyDescent="0.25">
      <c r="A3879" s="356">
        <v>0</v>
      </c>
      <c r="B3879" s="356">
        <v>0</v>
      </c>
      <c r="C3879" s="356">
        <v>1</v>
      </c>
      <c r="D3879" s="356">
        <v>0</v>
      </c>
      <c r="E3879" s="356">
        <v>0</v>
      </c>
      <c r="F3879" s="356">
        <v>1</v>
      </c>
      <c r="G3879" s="356">
        <v>1</v>
      </c>
      <c r="H3879" s="356">
        <v>0</v>
      </c>
      <c r="I3879" s="356">
        <v>1</v>
      </c>
      <c r="J3879" s="356">
        <v>1</v>
      </c>
      <c r="K3879" s="356">
        <v>0</v>
      </c>
      <c r="L3879" s="356">
        <v>0</v>
      </c>
      <c r="M3879" s="356">
        <v>3</v>
      </c>
      <c r="N3879" s="356">
        <v>2</v>
      </c>
    </row>
    <row r="3880" spans="1:14" hidden="1" x14ac:dyDescent="0.25">
      <c r="A3880" s="356">
        <v>1</v>
      </c>
      <c r="B3880" s="356">
        <v>0</v>
      </c>
      <c r="C3880" s="356">
        <v>0</v>
      </c>
      <c r="D3880" s="356">
        <v>1</v>
      </c>
      <c r="E3880" s="356">
        <v>1</v>
      </c>
      <c r="F3880" s="356">
        <v>0</v>
      </c>
      <c r="G3880" s="356">
        <v>2</v>
      </c>
      <c r="H3880" s="356">
        <v>1</v>
      </c>
      <c r="I3880" s="356">
        <v>1</v>
      </c>
      <c r="J3880" s="356">
        <v>1</v>
      </c>
      <c r="K3880" s="356">
        <v>0</v>
      </c>
      <c r="L3880" s="356">
        <v>0</v>
      </c>
      <c r="M3880" s="356">
        <v>5</v>
      </c>
      <c r="N3880" s="356">
        <v>3</v>
      </c>
    </row>
    <row r="3881" spans="1:14" hidden="1" x14ac:dyDescent="0.25">
      <c r="A3881" s="356">
        <v>0</v>
      </c>
      <c r="B3881" s="356">
        <v>0</v>
      </c>
      <c r="C3881" s="356">
        <v>0</v>
      </c>
      <c r="D3881" s="356">
        <v>0</v>
      </c>
      <c r="E3881" s="356">
        <v>0</v>
      </c>
      <c r="F3881" s="356">
        <v>0</v>
      </c>
      <c r="G3881" s="356">
        <v>1</v>
      </c>
      <c r="H3881" s="356">
        <v>1</v>
      </c>
      <c r="I3881" s="356">
        <v>2</v>
      </c>
      <c r="J3881" s="356">
        <v>3</v>
      </c>
      <c r="K3881" s="356">
        <v>0</v>
      </c>
      <c r="L3881" s="356">
        <v>0</v>
      </c>
      <c r="M3881" s="356">
        <v>3</v>
      </c>
      <c r="N3881" s="356">
        <v>4</v>
      </c>
    </row>
    <row r="3882" spans="1:14" hidden="1" x14ac:dyDescent="0.25">
      <c r="A3882" s="356">
        <v>1</v>
      </c>
      <c r="B3882" s="356">
        <v>0</v>
      </c>
      <c r="C3882" s="356">
        <v>1</v>
      </c>
      <c r="D3882" s="356">
        <v>0</v>
      </c>
      <c r="E3882" s="356">
        <v>1</v>
      </c>
      <c r="F3882" s="356">
        <v>2</v>
      </c>
      <c r="G3882" s="356">
        <v>0</v>
      </c>
      <c r="H3882" s="356">
        <v>1</v>
      </c>
      <c r="I3882" s="356">
        <v>1</v>
      </c>
      <c r="J3882" s="356">
        <v>2</v>
      </c>
      <c r="K3882" s="356">
        <v>1</v>
      </c>
      <c r="L3882" s="356">
        <v>0</v>
      </c>
      <c r="M3882" s="356">
        <v>5</v>
      </c>
      <c r="N3882" s="356">
        <v>5</v>
      </c>
    </row>
    <row r="3883" spans="1:14" hidden="1" x14ac:dyDescent="0.25">
      <c r="A3883" s="356">
        <v>0</v>
      </c>
      <c r="B3883" s="356">
        <v>0</v>
      </c>
      <c r="C3883" s="356">
        <v>0</v>
      </c>
      <c r="D3883" s="356">
        <v>0</v>
      </c>
      <c r="E3883" s="356">
        <v>0</v>
      </c>
      <c r="F3883" s="356">
        <v>0</v>
      </c>
      <c r="G3883" s="356">
        <v>1</v>
      </c>
      <c r="H3883" s="356">
        <v>0</v>
      </c>
      <c r="I3883" s="356">
        <v>2</v>
      </c>
      <c r="J3883" s="356">
        <v>3</v>
      </c>
      <c r="K3883" s="356">
        <v>0</v>
      </c>
      <c r="L3883" s="356">
        <v>0</v>
      </c>
      <c r="M3883" s="356">
        <v>3</v>
      </c>
      <c r="N3883" s="356">
        <v>3</v>
      </c>
    </row>
    <row r="3884" spans="1:14" hidden="1" x14ac:dyDescent="0.25">
      <c r="A3884" s="356">
        <v>1</v>
      </c>
      <c r="B3884" s="356">
        <v>0</v>
      </c>
      <c r="C3884" s="356">
        <v>1</v>
      </c>
      <c r="D3884" s="356">
        <v>1</v>
      </c>
      <c r="E3884" s="356">
        <v>0</v>
      </c>
      <c r="F3884" s="356">
        <v>1</v>
      </c>
      <c r="G3884" s="356">
        <v>1</v>
      </c>
      <c r="H3884" s="356">
        <v>1</v>
      </c>
      <c r="I3884" s="356">
        <v>2</v>
      </c>
      <c r="J3884" s="356">
        <v>1</v>
      </c>
      <c r="K3884" s="356">
        <v>0</v>
      </c>
      <c r="L3884" s="356">
        <v>0</v>
      </c>
      <c r="M3884" s="356">
        <v>5</v>
      </c>
      <c r="N3884" s="356">
        <v>4</v>
      </c>
    </row>
    <row r="3885" spans="1:14" hidden="1" x14ac:dyDescent="0.25">
      <c r="A3885" s="356">
        <v>0</v>
      </c>
      <c r="B3885" s="356">
        <v>1</v>
      </c>
      <c r="C3885" s="356">
        <v>0</v>
      </c>
      <c r="D3885" s="356">
        <v>1</v>
      </c>
      <c r="E3885" s="356">
        <v>1</v>
      </c>
      <c r="F3885" s="356">
        <v>0</v>
      </c>
      <c r="G3885" s="356">
        <v>0</v>
      </c>
      <c r="H3885" s="356">
        <v>0</v>
      </c>
      <c r="I3885" s="356">
        <v>1</v>
      </c>
      <c r="J3885" s="356">
        <v>1</v>
      </c>
      <c r="K3885" s="356">
        <v>0</v>
      </c>
      <c r="L3885" s="356">
        <v>0</v>
      </c>
      <c r="M3885" s="356">
        <v>2</v>
      </c>
      <c r="N3885" s="356">
        <v>3</v>
      </c>
    </row>
    <row r="3886" spans="1:14" hidden="1" x14ac:dyDescent="0.25">
      <c r="A3886" s="356">
        <v>0</v>
      </c>
      <c r="B3886" s="356">
        <v>0</v>
      </c>
      <c r="C3886" s="356">
        <v>0</v>
      </c>
      <c r="D3886" s="356">
        <v>0</v>
      </c>
      <c r="E3886" s="356">
        <v>0</v>
      </c>
      <c r="F3886" s="356">
        <v>0</v>
      </c>
      <c r="G3886" s="356">
        <v>0</v>
      </c>
      <c r="H3886" s="356">
        <v>0</v>
      </c>
      <c r="I3886" s="356">
        <v>0</v>
      </c>
      <c r="J3886" s="356">
        <v>1</v>
      </c>
      <c r="K3886" s="356">
        <v>0</v>
      </c>
      <c r="L3886" s="356">
        <v>1</v>
      </c>
      <c r="M3886" s="356">
        <v>0</v>
      </c>
      <c r="N3886" s="356">
        <v>2</v>
      </c>
    </row>
    <row r="3887" spans="1:14" hidden="1" x14ac:dyDescent="0.25">
      <c r="A3887" s="356">
        <v>0</v>
      </c>
      <c r="B3887" s="356">
        <v>0</v>
      </c>
      <c r="C3887" s="356">
        <v>1</v>
      </c>
      <c r="D3887" s="356">
        <v>0</v>
      </c>
      <c r="E3887" s="356">
        <v>0</v>
      </c>
      <c r="F3887" s="356">
        <v>1</v>
      </c>
      <c r="G3887" s="356">
        <v>0</v>
      </c>
      <c r="H3887" s="356">
        <v>0</v>
      </c>
      <c r="I3887" s="356">
        <v>1</v>
      </c>
      <c r="J3887" s="356">
        <v>1</v>
      </c>
      <c r="K3887" s="356">
        <v>0</v>
      </c>
      <c r="L3887" s="356">
        <v>0</v>
      </c>
      <c r="M3887" s="356">
        <v>2</v>
      </c>
      <c r="N3887" s="356">
        <v>2</v>
      </c>
    </row>
    <row r="3888" spans="1:14" hidden="1" x14ac:dyDescent="0.25">
      <c r="A3888" s="356">
        <v>0</v>
      </c>
      <c r="B3888" s="356">
        <v>0</v>
      </c>
      <c r="C3888" s="356">
        <v>1</v>
      </c>
      <c r="D3888" s="356">
        <v>0</v>
      </c>
      <c r="E3888" s="356">
        <v>2</v>
      </c>
      <c r="F3888" s="356">
        <v>0</v>
      </c>
      <c r="G3888" s="356">
        <v>1</v>
      </c>
      <c r="H3888" s="356">
        <v>0</v>
      </c>
      <c r="I3888" s="356">
        <v>1</v>
      </c>
      <c r="J3888" s="356">
        <v>2</v>
      </c>
      <c r="K3888" s="356">
        <v>0</v>
      </c>
      <c r="L3888" s="356">
        <v>0</v>
      </c>
      <c r="M3888" s="356">
        <v>5</v>
      </c>
      <c r="N3888" s="356">
        <v>2</v>
      </c>
    </row>
    <row r="3889" spans="1:14" hidden="1" x14ac:dyDescent="0.25">
      <c r="A3889" s="356">
        <v>0</v>
      </c>
      <c r="B3889" s="356">
        <v>0</v>
      </c>
      <c r="C3889" s="356">
        <v>1</v>
      </c>
      <c r="D3889" s="356">
        <v>0</v>
      </c>
      <c r="E3889" s="356">
        <v>1</v>
      </c>
      <c r="F3889" s="356">
        <v>2</v>
      </c>
      <c r="G3889" s="356">
        <v>0</v>
      </c>
      <c r="H3889" s="356">
        <v>0</v>
      </c>
      <c r="I3889" s="356">
        <v>1</v>
      </c>
      <c r="J3889" s="356">
        <v>1</v>
      </c>
      <c r="K3889" s="356">
        <v>0</v>
      </c>
      <c r="L3889" s="356">
        <v>1</v>
      </c>
      <c r="M3889" s="356">
        <v>3</v>
      </c>
      <c r="N3889" s="356">
        <v>4</v>
      </c>
    </row>
    <row r="3890" spans="1:14" hidden="1" x14ac:dyDescent="0.25">
      <c r="A3890" s="356">
        <v>0</v>
      </c>
      <c r="B3890" s="356">
        <v>1</v>
      </c>
      <c r="C3890" s="356">
        <v>0</v>
      </c>
      <c r="D3890" s="356">
        <v>0</v>
      </c>
      <c r="E3890" s="356">
        <v>0</v>
      </c>
      <c r="F3890" s="356">
        <v>1</v>
      </c>
      <c r="G3890" s="356">
        <v>0</v>
      </c>
      <c r="H3890" s="356">
        <v>2</v>
      </c>
      <c r="I3890" s="356">
        <v>1</v>
      </c>
      <c r="J3890" s="356">
        <v>1</v>
      </c>
      <c r="K3890" s="356">
        <v>0</v>
      </c>
      <c r="L3890" s="356">
        <v>1</v>
      </c>
      <c r="M3890" s="356">
        <v>1</v>
      </c>
      <c r="N3890" s="356">
        <v>6</v>
      </c>
    </row>
    <row r="3891" spans="1:14" hidden="1" x14ac:dyDescent="0.25">
      <c r="A3891" s="356">
        <v>0</v>
      </c>
      <c r="B3891" s="356">
        <v>0</v>
      </c>
      <c r="C3891" s="356">
        <v>0</v>
      </c>
      <c r="D3891" s="356">
        <v>0</v>
      </c>
      <c r="E3891" s="356">
        <v>1</v>
      </c>
      <c r="F3891" s="356">
        <v>0</v>
      </c>
      <c r="G3891" s="356">
        <v>1</v>
      </c>
      <c r="H3891" s="356">
        <v>0</v>
      </c>
      <c r="I3891" s="356">
        <v>2</v>
      </c>
      <c r="J3891" s="356">
        <v>1</v>
      </c>
      <c r="K3891" s="356">
        <v>0</v>
      </c>
      <c r="L3891" s="356">
        <v>1</v>
      </c>
      <c r="M3891" s="356">
        <v>4</v>
      </c>
      <c r="N3891" s="356">
        <v>2</v>
      </c>
    </row>
    <row r="3892" spans="1:14" hidden="1" x14ac:dyDescent="0.25">
      <c r="A3892" s="356">
        <v>0</v>
      </c>
      <c r="B3892" s="356">
        <v>1</v>
      </c>
      <c r="C3892" s="356">
        <v>0</v>
      </c>
      <c r="D3892" s="356">
        <v>2</v>
      </c>
      <c r="E3892" s="356">
        <v>0</v>
      </c>
      <c r="F3892" s="356">
        <v>1</v>
      </c>
      <c r="G3892" s="356">
        <v>1</v>
      </c>
      <c r="H3892" s="356">
        <v>0</v>
      </c>
      <c r="I3892" s="356">
        <v>1</v>
      </c>
      <c r="J3892" s="356">
        <v>1</v>
      </c>
      <c r="K3892" s="356">
        <v>0</v>
      </c>
      <c r="L3892" s="356">
        <v>0</v>
      </c>
      <c r="M3892" s="356">
        <v>2</v>
      </c>
      <c r="N3892" s="356">
        <v>5</v>
      </c>
    </row>
    <row r="3893" spans="1:14" hidden="1" x14ac:dyDescent="0.25">
      <c r="A3893" s="356">
        <v>0</v>
      </c>
      <c r="B3893" s="356">
        <v>0</v>
      </c>
      <c r="C3893" s="356">
        <v>2</v>
      </c>
      <c r="D3893" s="356">
        <v>0</v>
      </c>
      <c r="E3893" s="356">
        <v>2</v>
      </c>
      <c r="F3893" s="356">
        <v>2</v>
      </c>
      <c r="G3893" s="356">
        <v>1</v>
      </c>
      <c r="H3893" s="356">
        <v>1</v>
      </c>
      <c r="I3893" s="356">
        <v>0</v>
      </c>
      <c r="J3893" s="356">
        <v>1</v>
      </c>
      <c r="K3893" s="356">
        <v>1</v>
      </c>
      <c r="L3893" s="356">
        <v>0</v>
      </c>
      <c r="M3893" s="356">
        <v>6</v>
      </c>
      <c r="N3893" s="356">
        <v>4</v>
      </c>
    </row>
    <row r="3894" spans="1:14" hidden="1" x14ac:dyDescent="0.25">
      <c r="A3894" s="356">
        <v>0</v>
      </c>
      <c r="B3894" s="356">
        <v>0</v>
      </c>
      <c r="C3894" s="356">
        <v>1</v>
      </c>
      <c r="D3894" s="356">
        <v>0</v>
      </c>
      <c r="E3894" s="356">
        <v>1</v>
      </c>
      <c r="F3894" s="356">
        <v>0</v>
      </c>
      <c r="G3894" s="356">
        <v>2</v>
      </c>
      <c r="H3894" s="356">
        <v>0</v>
      </c>
      <c r="I3894" s="356">
        <v>0</v>
      </c>
      <c r="J3894" s="356">
        <v>1</v>
      </c>
      <c r="K3894" s="356">
        <v>0</v>
      </c>
      <c r="L3894" s="356">
        <v>0</v>
      </c>
      <c r="M3894" s="356">
        <v>4</v>
      </c>
      <c r="N3894" s="356">
        <v>1</v>
      </c>
    </row>
    <row r="3895" spans="1:14" hidden="1" x14ac:dyDescent="0.25">
      <c r="A3895" s="356">
        <v>0</v>
      </c>
      <c r="B3895" s="356">
        <v>0</v>
      </c>
      <c r="C3895" s="356">
        <v>1</v>
      </c>
      <c r="D3895" s="356">
        <v>0</v>
      </c>
      <c r="E3895" s="356">
        <v>0</v>
      </c>
      <c r="F3895" s="356">
        <v>0</v>
      </c>
      <c r="G3895" s="356">
        <v>2</v>
      </c>
      <c r="H3895" s="356">
        <v>0</v>
      </c>
      <c r="I3895" s="356">
        <v>1</v>
      </c>
      <c r="J3895" s="356">
        <v>2</v>
      </c>
      <c r="K3895" s="356">
        <v>1</v>
      </c>
      <c r="L3895" s="356">
        <v>0</v>
      </c>
      <c r="M3895" s="356">
        <v>5</v>
      </c>
      <c r="N3895" s="356">
        <v>2</v>
      </c>
    </row>
    <row r="3896" spans="1:14" hidden="1" x14ac:dyDescent="0.25">
      <c r="A3896" s="356">
        <v>0</v>
      </c>
      <c r="B3896" s="356">
        <v>0</v>
      </c>
      <c r="C3896" s="356">
        <v>1</v>
      </c>
      <c r="D3896" s="356">
        <v>0</v>
      </c>
      <c r="E3896" s="356">
        <v>1</v>
      </c>
      <c r="F3896" s="356">
        <v>1</v>
      </c>
      <c r="G3896" s="356">
        <v>0</v>
      </c>
      <c r="H3896" s="356">
        <v>0</v>
      </c>
      <c r="I3896" s="356">
        <v>1</v>
      </c>
      <c r="J3896" s="356">
        <v>1</v>
      </c>
      <c r="K3896" s="356">
        <v>0</v>
      </c>
      <c r="L3896" s="356">
        <v>0</v>
      </c>
      <c r="M3896" s="356">
        <v>3</v>
      </c>
      <c r="N3896" s="356">
        <v>2</v>
      </c>
    </row>
    <row r="3897" spans="1:14" hidden="1" x14ac:dyDescent="0.25">
      <c r="A3897" s="356">
        <v>0</v>
      </c>
      <c r="B3897" s="356">
        <v>0</v>
      </c>
      <c r="C3897" s="356">
        <v>1</v>
      </c>
      <c r="D3897" s="356">
        <v>0</v>
      </c>
      <c r="E3897" s="356">
        <v>1</v>
      </c>
      <c r="F3897" s="356">
        <v>2</v>
      </c>
      <c r="G3897" s="356">
        <v>2</v>
      </c>
      <c r="H3897" s="356">
        <v>0</v>
      </c>
      <c r="I3897" s="356">
        <v>1</v>
      </c>
      <c r="J3897" s="356">
        <v>1</v>
      </c>
      <c r="K3897" s="356">
        <v>0</v>
      </c>
      <c r="L3897" s="356">
        <v>0</v>
      </c>
      <c r="M3897" s="356">
        <v>5</v>
      </c>
      <c r="N3897" s="356">
        <v>3</v>
      </c>
    </row>
    <row r="3898" spans="1:14" hidden="1" x14ac:dyDescent="0.25">
      <c r="A3898" s="356">
        <v>0</v>
      </c>
      <c r="B3898" s="356">
        <v>0</v>
      </c>
      <c r="C3898" s="356">
        <v>0</v>
      </c>
      <c r="D3898" s="356">
        <v>0</v>
      </c>
      <c r="E3898" s="356">
        <v>0</v>
      </c>
      <c r="F3898" s="356">
        <v>2</v>
      </c>
      <c r="G3898" s="356">
        <v>1</v>
      </c>
      <c r="H3898" s="356">
        <v>0</v>
      </c>
      <c r="I3898" s="356">
        <v>3</v>
      </c>
      <c r="J3898" s="356">
        <v>2</v>
      </c>
      <c r="K3898" s="356">
        <v>0</v>
      </c>
      <c r="L3898" s="356">
        <v>1</v>
      </c>
      <c r="M3898" s="356">
        <v>4</v>
      </c>
      <c r="N3898" s="356">
        <v>5</v>
      </c>
    </row>
    <row r="3899" spans="1:14" hidden="1" x14ac:dyDescent="0.25">
      <c r="A3899" s="356">
        <v>0</v>
      </c>
      <c r="B3899" s="356">
        <v>0</v>
      </c>
      <c r="C3899" s="356">
        <v>1</v>
      </c>
      <c r="D3899" s="356">
        <v>0</v>
      </c>
      <c r="E3899" s="356">
        <v>2</v>
      </c>
      <c r="F3899" s="356">
        <v>1</v>
      </c>
      <c r="G3899" s="356">
        <v>1</v>
      </c>
      <c r="H3899" s="356">
        <v>2</v>
      </c>
      <c r="I3899" s="356">
        <v>1</v>
      </c>
      <c r="J3899" s="356">
        <v>1</v>
      </c>
      <c r="K3899" s="356">
        <v>0</v>
      </c>
      <c r="L3899" s="356">
        <v>0</v>
      </c>
      <c r="M3899" s="356">
        <v>5</v>
      </c>
      <c r="N3899" s="356">
        <v>4</v>
      </c>
    </row>
    <row r="3900" spans="1:14" hidden="1" x14ac:dyDescent="0.25">
      <c r="A3900" s="356">
        <v>0</v>
      </c>
      <c r="B3900" s="356">
        <v>0</v>
      </c>
      <c r="C3900" s="356">
        <v>0</v>
      </c>
      <c r="D3900" s="356">
        <v>0</v>
      </c>
      <c r="E3900" s="356">
        <v>3</v>
      </c>
      <c r="F3900" s="356">
        <v>1</v>
      </c>
      <c r="G3900" s="356">
        <v>2</v>
      </c>
      <c r="H3900" s="356">
        <v>2</v>
      </c>
      <c r="I3900" s="356">
        <v>2</v>
      </c>
      <c r="J3900" s="356">
        <v>2</v>
      </c>
      <c r="K3900" s="356">
        <v>1</v>
      </c>
      <c r="L3900" s="356">
        <v>0</v>
      </c>
      <c r="M3900" s="356">
        <v>8</v>
      </c>
      <c r="N3900" s="356">
        <v>5</v>
      </c>
    </row>
    <row r="3901" spans="1:14" hidden="1" x14ac:dyDescent="0.25">
      <c r="A3901" s="356">
        <v>0</v>
      </c>
      <c r="B3901" s="356">
        <v>0</v>
      </c>
      <c r="C3901" s="356">
        <v>0</v>
      </c>
      <c r="D3901" s="356">
        <v>1</v>
      </c>
      <c r="E3901" s="356">
        <v>2</v>
      </c>
      <c r="F3901" s="356">
        <v>0</v>
      </c>
      <c r="G3901" s="356">
        <v>0</v>
      </c>
      <c r="H3901" s="356">
        <v>2</v>
      </c>
      <c r="I3901" s="356">
        <v>1</v>
      </c>
      <c r="J3901" s="356">
        <v>1</v>
      </c>
      <c r="K3901" s="356">
        <v>0</v>
      </c>
      <c r="L3901" s="356">
        <v>0</v>
      </c>
      <c r="M3901" s="356">
        <v>3</v>
      </c>
      <c r="N3901" s="356">
        <v>4</v>
      </c>
    </row>
    <row r="3902" spans="1:14" hidden="1" x14ac:dyDescent="0.25">
      <c r="A3902" s="356">
        <v>0</v>
      </c>
      <c r="B3902" s="356">
        <v>0</v>
      </c>
      <c r="C3902" s="356">
        <v>1</v>
      </c>
      <c r="D3902" s="356">
        <v>0</v>
      </c>
      <c r="E3902" s="356">
        <v>1</v>
      </c>
      <c r="F3902" s="356">
        <v>2</v>
      </c>
      <c r="G3902" s="356">
        <v>2</v>
      </c>
      <c r="H3902" s="356">
        <v>0</v>
      </c>
      <c r="I3902" s="356">
        <v>2</v>
      </c>
      <c r="J3902" s="356">
        <v>1</v>
      </c>
      <c r="K3902" s="356">
        <v>0</v>
      </c>
      <c r="L3902" s="356">
        <v>0</v>
      </c>
      <c r="M3902" s="356">
        <v>6</v>
      </c>
      <c r="N3902" s="356">
        <v>3</v>
      </c>
    </row>
    <row r="3903" spans="1:14" hidden="1" x14ac:dyDescent="0.25">
      <c r="A3903" s="356">
        <v>0</v>
      </c>
      <c r="B3903" s="356">
        <v>0</v>
      </c>
      <c r="C3903" s="356">
        <v>0</v>
      </c>
      <c r="D3903" s="356">
        <v>1</v>
      </c>
      <c r="E3903" s="356">
        <v>1</v>
      </c>
      <c r="F3903" s="356">
        <v>2</v>
      </c>
      <c r="G3903" s="356">
        <v>2</v>
      </c>
      <c r="H3903" s="356">
        <v>1</v>
      </c>
      <c r="I3903" s="356">
        <v>0</v>
      </c>
      <c r="J3903" s="356">
        <v>2</v>
      </c>
      <c r="K3903" s="356">
        <v>0</v>
      </c>
      <c r="L3903" s="356">
        <v>0</v>
      </c>
      <c r="M3903" s="356">
        <v>3</v>
      </c>
      <c r="N3903" s="356">
        <v>6</v>
      </c>
    </row>
    <row r="3904" spans="1:14" hidden="1" x14ac:dyDescent="0.25">
      <c r="A3904" s="356">
        <v>1</v>
      </c>
      <c r="B3904" s="356">
        <v>0</v>
      </c>
      <c r="C3904" s="356">
        <v>1</v>
      </c>
      <c r="D3904" s="356">
        <v>0</v>
      </c>
      <c r="E3904" s="356">
        <v>0</v>
      </c>
      <c r="F3904" s="356">
        <v>1</v>
      </c>
      <c r="G3904" s="356">
        <v>0</v>
      </c>
      <c r="H3904" s="356">
        <v>0</v>
      </c>
      <c r="I3904" s="356">
        <v>1</v>
      </c>
      <c r="J3904" s="356">
        <v>2</v>
      </c>
      <c r="K3904" s="356">
        <v>0</v>
      </c>
      <c r="L3904" s="356">
        <v>1</v>
      </c>
      <c r="M3904" s="356">
        <v>3</v>
      </c>
      <c r="N3904" s="356">
        <v>4</v>
      </c>
    </row>
    <row r="3905" spans="1:14" hidden="1" x14ac:dyDescent="0.25">
      <c r="A3905" s="356">
        <v>0</v>
      </c>
      <c r="B3905" s="356">
        <v>1</v>
      </c>
      <c r="C3905" s="356">
        <v>0</v>
      </c>
      <c r="D3905" s="356">
        <v>0</v>
      </c>
      <c r="E3905" s="356">
        <v>2</v>
      </c>
      <c r="F3905" s="356">
        <v>1</v>
      </c>
      <c r="G3905" s="356">
        <v>0</v>
      </c>
      <c r="H3905" s="356">
        <v>0</v>
      </c>
      <c r="I3905" s="356">
        <v>1</v>
      </c>
      <c r="J3905" s="356">
        <v>1</v>
      </c>
      <c r="K3905" s="356">
        <v>1</v>
      </c>
      <c r="L3905" s="356">
        <v>0</v>
      </c>
      <c r="M3905" s="356">
        <v>4</v>
      </c>
      <c r="N3905" s="356">
        <v>3</v>
      </c>
    </row>
    <row r="3906" spans="1:14" hidden="1" x14ac:dyDescent="0.25">
      <c r="A3906" s="356">
        <v>0</v>
      </c>
      <c r="B3906" s="356">
        <v>0</v>
      </c>
      <c r="C3906" s="356">
        <v>0</v>
      </c>
      <c r="D3906" s="356">
        <v>1</v>
      </c>
      <c r="E3906" s="356">
        <v>2</v>
      </c>
      <c r="F3906" s="356">
        <v>1</v>
      </c>
      <c r="G3906" s="356">
        <v>1</v>
      </c>
      <c r="H3906" s="356">
        <v>2</v>
      </c>
      <c r="I3906" s="356">
        <v>2</v>
      </c>
      <c r="J3906" s="356">
        <v>1</v>
      </c>
      <c r="K3906" s="356">
        <v>0</v>
      </c>
      <c r="L3906" s="356">
        <v>1</v>
      </c>
      <c r="M3906" s="356">
        <v>5</v>
      </c>
      <c r="N3906" s="356">
        <v>6</v>
      </c>
    </row>
    <row r="3907" spans="1:14" hidden="1" x14ac:dyDescent="0.25">
      <c r="A3907" s="356">
        <v>0</v>
      </c>
      <c r="B3907" s="356">
        <v>0</v>
      </c>
      <c r="C3907" s="356">
        <v>0</v>
      </c>
      <c r="D3907" s="356">
        <v>0</v>
      </c>
      <c r="E3907" s="356">
        <v>0</v>
      </c>
      <c r="F3907" s="356">
        <v>1</v>
      </c>
      <c r="G3907" s="356">
        <v>0</v>
      </c>
      <c r="H3907" s="356">
        <v>0</v>
      </c>
      <c r="I3907" s="356">
        <v>2</v>
      </c>
      <c r="J3907" s="356">
        <v>0</v>
      </c>
      <c r="K3907" s="356">
        <v>1</v>
      </c>
      <c r="L3907" s="356">
        <v>2</v>
      </c>
      <c r="M3907" s="356">
        <v>3</v>
      </c>
      <c r="N3907" s="356">
        <v>3</v>
      </c>
    </row>
    <row r="3908" spans="1:14" hidden="1" x14ac:dyDescent="0.25">
      <c r="A3908" s="356">
        <v>0</v>
      </c>
      <c r="B3908" s="356">
        <v>0</v>
      </c>
      <c r="C3908" s="356">
        <v>0</v>
      </c>
      <c r="D3908" s="356">
        <v>0</v>
      </c>
      <c r="E3908" s="356">
        <v>2</v>
      </c>
      <c r="F3908" s="356">
        <v>0</v>
      </c>
      <c r="G3908" s="356">
        <v>0</v>
      </c>
      <c r="H3908" s="356">
        <v>0</v>
      </c>
      <c r="I3908" s="356">
        <v>1</v>
      </c>
      <c r="J3908" s="356">
        <v>1</v>
      </c>
      <c r="K3908" s="356">
        <v>0</v>
      </c>
      <c r="L3908" s="356">
        <v>0</v>
      </c>
      <c r="M3908" s="356">
        <v>3</v>
      </c>
      <c r="N3908" s="356">
        <v>1</v>
      </c>
    </row>
    <row r="3909" spans="1:14" hidden="1" x14ac:dyDescent="0.25">
      <c r="A3909" s="356">
        <v>1</v>
      </c>
      <c r="B3909" s="356">
        <v>0</v>
      </c>
      <c r="C3909" s="356">
        <v>2</v>
      </c>
      <c r="D3909" s="356">
        <v>1</v>
      </c>
      <c r="E3909" s="356">
        <v>0</v>
      </c>
      <c r="F3909" s="356">
        <v>1</v>
      </c>
      <c r="G3909" s="356">
        <v>1</v>
      </c>
      <c r="H3909" s="356">
        <v>0</v>
      </c>
      <c r="I3909" s="356">
        <v>1</v>
      </c>
      <c r="J3909" s="356">
        <v>1</v>
      </c>
      <c r="K3909" s="356">
        <v>0</v>
      </c>
      <c r="L3909" s="356">
        <v>0</v>
      </c>
      <c r="M3909" s="356">
        <v>5</v>
      </c>
      <c r="N3909" s="356">
        <v>3</v>
      </c>
    </row>
    <row r="3910" spans="1:14" hidden="1" x14ac:dyDescent="0.25">
      <c r="A3910" s="356">
        <v>0</v>
      </c>
      <c r="B3910" s="356">
        <v>0</v>
      </c>
      <c r="C3910" s="356">
        <v>1</v>
      </c>
      <c r="D3910" s="356">
        <v>1</v>
      </c>
      <c r="E3910" s="356">
        <v>1</v>
      </c>
      <c r="F3910" s="356">
        <v>0</v>
      </c>
      <c r="G3910" s="356">
        <v>0</v>
      </c>
      <c r="H3910" s="356">
        <v>1</v>
      </c>
      <c r="I3910" s="356">
        <v>1</v>
      </c>
      <c r="J3910" s="356">
        <v>1</v>
      </c>
      <c r="K3910" s="356">
        <v>0</v>
      </c>
      <c r="L3910" s="356">
        <v>0</v>
      </c>
      <c r="M3910" s="356">
        <v>3</v>
      </c>
      <c r="N3910" s="356">
        <v>3</v>
      </c>
    </row>
    <row r="3911" spans="1:14" hidden="1" x14ac:dyDescent="0.25">
      <c r="A3911" s="356">
        <v>0</v>
      </c>
      <c r="B3911" s="356">
        <v>0</v>
      </c>
      <c r="C3911" s="356">
        <v>0</v>
      </c>
      <c r="D3911" s="356">
        <v>0</v>
      </c>
      <c r="E3911" s="356">
        <v>3</v>
      </c>
      <c r="F3911" s="356">
        <v>2</v>
      </c>
      <c r="G3911" s="356">
        <v>1</v>
      </c>
      <c r="H3911" s="356">
        <v>1</v>
      </c>
      <c r="I3911" s="356">
        <v>2</v>
      </c>
      <c r="J3911" s="356">
        <v>1</v>
      </c>
      <c r="K3911" s="356">
        <v>0</v>
      </c>
      <c r="L3911" s="356">
        <v>0</v>
      </c>
      <c r="M3911" s="356">
        <v>6</v>
      </c>
      <c r="N3911" s="356">
        <v>4</v>
      </c>
    </row>
    <row r="3912" spans="1:14" hidden="1" x14ac:dyDescent="0.25">
      <c r="A3912" s="356">
        <v>0</v>
      </c>
      <c r="B3912" s="356">
        <v>0</v>
      </c>
      <c r="C3912" s="356">
        <v>0</v>
      </c>
      <c r="D3912" s="356">
        <v>0</v>
      </c>
      <c r="E3912" s="356">
        <v>0</v>
      </c>
      <c r="F3912" s="356">
        <v>1</v>
      </c>
      <c r="G3912" s="356">
        <v>1</v>
      </c>
      <c r="H3912" s="356">
        <v>0</v>
      </c>
      <c r="I3912" s="356">
        <v>2</v>
      </c>
      <c r="J3912" s="356">
        <v>2</v>
      </c>
      <c r="K3912" s="356">
        <v>0</v>
      </c>
      <c r="L3912" s="356">
        <v>0</v>
      </c>
      <c r="M3912" s="356">
        <v>3</v>
      </c>
      <c r="N3912" s="356">
        <v>3</v>
      </c>
    </row>
    <row r="3913" spans="1:14" hidden="1" x14ac:dyDescent="0.25">
      <c r="A3913" s="356">
        <v>0</v>
      </c>
      <c r="B3913" s="356">
        <v>0</v>
      </c>
      <c r="C3913" s="356">
        <v>2</v>
      </c>
      <c r="D3913" s="356">
        <v>0</v>
      </c>
      <c r="E3913" s="356">
        <v>2</v>
      </c>
      <c r="F3913" s="356">
        <v>1</v>
      </c>
      <c r="G3913" s="356">
        <v>0</v>
      </c>
      <c r="H3913" s="356">
        <v>0</v>
      </c>
      <c r="I3913" s="356">
        <v>0</v>
      </c>
      <c r="J3913" s="356">
        <v>1</v>
      </c>
      <c r="K3913" s="356">
        <v>0</v>
      </c>
      <c r="L3913" s="356">
        <v>0</v>
      </c>
      <c r="M3913" s="356">
        <v>4</v>
      </c>
      <c r="N3913" s="356">
        <v>2</v>
      </c>
    </row>
    <row r="3914" spans="1:14" hidden="1" x14ac:dyDescent="0.25">
      <c r="A3914" s="356">
        <v>0</v>
      </c>
      <c r="B3914" s="356">
        <v>0</v>
      </c>
      <c r="C3914" s="356">
        <v>0</v>
      </c>
      <c r="D3914" s="356">
        <v>0</v>
      </c>
      <c r="E3914" s="356">
        <v>1</v>
      </c>
      <c r="F3914" s="356">
        <v>2</v>
      </c>
      <c r="G3914" s="356">
        <v>1</v>
      </c>
      <c r="H3914" s="356">
        <v>1</v>
      </c>
      <c r="I3914" s="356">
        <v>1</v>
      </c>
      <c r="J3914" s="356">
        <v>1</v>
      </c>
      <c r="K3914" s="356">
        <v>0</v>
      </c>
      <c r="L3914" s="356">
        <v>0</v>
      </c>
      <c r="M3914" s="356">
        <v>3</v>
      </c>
      <c r="N3914" s="356">
        <v>4</v>
      </c>
    </row>
    <row r="3915" spans="1:14" hidden="1" x14ac:dyDescent="0.25">
      <c r="A3915" s="356">
        <v>0</v>
      </c>
      <c r="B3915" s="356">
        <v>0</v>
      </c>
      <c r="C3915" s="356">
        <v>1</v>
      </c>
      <c r="D3915" s="356">
        <v>0</v>
      </c>
      <c r="E3915" s="356">
        <v>1</v>
      </c>
      <c r="F3915" s="356">
        <v>1</v>
      </c>
      <c r="G3915" s="356">
        <v>0</v>
      </c>
      <c r="H3915" s="356">
        <v>0</v>
      </c>
      <c r="I3915" s="356">
        <v>1</v>
      </c>
      <c r="J3915" s="356">
        <v>1</v>
      </c>
      <c r="K3915" s="356">
        <v>0</v>
      </c>
      <c r="L3915" s="356">
        <v>0</v>
      </c>
      <c r="M3915" s="356">
        <v>3</v>
      </c>
      <c r="N3915" s="356">
        <v>2</v>
      </c>
    </row>
    <row r="3916" spans="1:14" hidden="1" x14ac:dyDescent="0.25">
      <c r="A3916" s="356">
        <v>1</v>
      </c>
      <c r="B3916" s="356">
        <v>0</v>
      </c>
      <c r="C3916" s="356">
        <v>0</v>
      </c>
      <c r="D3916" s="356">
        <v>1</v>
      </c>
      <c r="E3916" s="356">
        <v>1</v>
      </c>
      <c r="F3916" s="356">
        <v>0</v>
      </c>
      <c r="G3916" s="356">
        <v>0</v>
      </c>
      <c r="H3916" s="356">
        <v>0</v>
      </c>
      <c r="I3916" s="356">
        <v>1</v>
      </c>
      <c r="J3916" s="356">
        <v>1</v>
      </c>
      <c r="K3916" s="356">
        <v>0</v>
      </c>
      <c r="L3916" s="356">
        <v>0</v>
      </c>
      <c r="M3916" s="356">
        <v>3</v>
      </c>
      <c r="N3916" s="356">
        <v>2</v>
      </c>
    </row>
    <row r="3917" spans="1:14" hidden="1" x14ac:dyDescent="0.25">
      <c r="A3917" s="356">
        <v>1</v>
      </c>
      <c r="B3917" s="356">
        <v>1</v>
      </c>
      <c r="C3917" s="356">
        <v>0</v>
      </c>
      <c r="D3917" s="356">
        <v>1</v>
      </c>
      <c r="E3917" s="356">
        <v>0</v>
      </c>
      <c r="F3917" s="356">
        <v>0</v>
      </c>
      <c r="G3917" s="356">
        <v>1</v>
      </c>
      <c r="H3917" s="356">
        <v>0</v>
      </c>
      <c r="I3917" s="356">
        <v>2</v>
      </c>
      <c r="J3917" s="356">
        <v>1</v>
      </c>
      <c r="K3917" s="356">
        <v>0</v>
      </c>
      <c r="L3917" s="356">
        <v>0</v>
      </c>
      <c r="M3917" s="356">
        <v>4</v>
      </c>
      <c r="N3917" s="356">
        <v>3</v>
      </c>
    </row>
    <row r="3918" spans="1:14" hidden="1" x14ac:dyDescent="0.25">
      <c r="A3918" s="356">
        <v>1</v>
      </c>
      <c r="B3918" s="356">
        <v>0</v>
      </c>
      <c r="C3918" s="356">
        <v>1</v>
      </c>
      <c r="D3918" s="356">
        <v>0</v>
      </c>
      <c r="E3918" s="356">
        <v>0</v>
      </c>
      <c r="F3918" s="356">
        <v>0</v>
      </c>
      <c r="G3918" s="356">
        <v>2</v>
      </c>
      <c r="H3918" s="356">
        <v>1</v>
      </c>
      <c r="I3918" s="356">
        <v>1</v>
      </c>
      <c r="J3918" s="356">
        <v>1</v>
      </c>
      <c r="K3918" s="356">
        <v>0</v>
      </c>
      <c r="L3918" s="356">
        <v>0</v>
      </c>
      <c r="M3918" s="356">
        <v>5</v>
      </c>
      <c r="N3918" s="356">
        <v>2</v>
      </c>
    </row>
    <row r="3919" spans="1:14" hidden="1" x14ac:dyDescent="0.25">
      <c r="A3919" s="356">
        <v>0</v>
      </c>
      <c r="B3919" s="356">
        <v>0</v>
      </c>
      <c r="C3919" s="356">
        <v>2</v>
      </c>
      <c r="D3919" s="356">
        <v>1</v>
      </c>
      <c r="E3919" s="356">
        <v>1</v>
      </c>
      <c r="F3919" s="356">
        <v>0</v>
      </c>
      <c r="G3919" s="356">
        <v>0</v>
      </c>
      <c r="H3919" s="356">
        <v>0</v>
      </c>
      <c r="I3919" s="356">
        <v>1</v>
      </c>
      <c r="J3919" s="356">
        <v>1</v>
      </c>
      <c r="K3919" s="356">
        <v>0</v>
      </c>
      <c r="L3919" s="356">
        <v>0</v>
      </c>
      <c r="M3919" s="356">
        <v>4</v>
      </c>
      <c r="N3919" s="356">
        <v>2</v>
      </c>
    </row>
    <row r="3920" spans="1:14" hidden="1" x14ac:dyDescent="0.25">
      <c r="A3920" s="356">
        <v>1</v>
      </c>
      <c r="B3920" s="356">
        <v>0</v>
      </c>
      <c r="C3920" s="356">
        <v>0</v>
      </c>
      <c r="D3920" s="356">
        <v>0</v>
      </c>
      <c r="E3920" s="356">
        <v>2</v>
      </c>
      <c r="F3920" s="356">
        <v>3</v>
      </c>
      <c r="G3920" s="356">
        <v>2</v>
      </c>
      <c r="H3920" s="356">
        <v>0</v>
      </c>
      <c r="I3920" s="356">
        <v>1</v>
      </c>
      <c r="J3920" s="356">
        <v>1</v>
      </c>
      <c r="K3920" s="356">
        <v>0</v>
      </c>
      <c r="L3920" s="356">
        <v>0</v>
      </c>
      <c r="M3920" s="356">
        <v>6</v>
      </c>
      <c r="N3920" s="356">
        <v>4</v>
      </c>
    </row>
    <row r="3921" spans="1:14" hidden="1" x14ac:dyDescent="0.25">
      <c r="A3921" s="356">
        <v>0</v>
      </c>
      <c r="B3921" s="356">
        <v>0</v>
      </c>
      <c r="C3921" s="356">
        <v>0</v>
      </c>
      <c r="D3921" s="356">
        <v>0</v>
      </c>
      <c r="E3921" s="356">
        <v>1</v>
      </c>
      <c r="F3921" s="356">
        <v>2</v>
      </c>
      <c r="G3921" s="356">
        <v>0</v>
      </c>
      <c r="H3921" s="356">
        <v>0</v>
      </c>
      <c r="I3921" s="356">
        <v>2</v>
      </c>
      <c r="J3921" s="356">
        <v>2</v>
      </c>
      <c r="K3921" s="356">
        <v>0</v>
      </c>
      <c r="L3921" s="356">
        <v>0</v>
      </c>
      <c r="M3921" s="356">
        <v>3</v>
      </c>
      <c r="N3921" s="356">
        <v>4</v>
      </c>
    </row>
    <row r="3922" spans="1:14" hidden="1" x14ac:dyDescent="0.25">
      <c r="A3922" s="356">
        <v>0</v>
      </c>
      <c r="B3922" s="356">
        <v>0</v>
      </c>
      <c r="C3922" s="356">
        <v>0</v>
      </c>
      <c r="D3922" s="356">
        <v>0</v>
      </c>
      <c r="E3922" s="356">
        <v>0</v>
      </c>
      <c r="F3922" s="356">
        <v>0</v>
      </c>
      <c r="G3922" s="356">
        <v>2</v>
      </c>
      <c r="H3922" s="356">
        <v>0</v>
      </c>
      <c r="I3922" s="356">
        <v>1</v>
      </c>
      <c r="J3922" s="356">
        <v>1</v>
      </c>
      <c r="K3922" s="356">
        <v>0</v>
      </c>
      <c r="L3922" s="356">
        <v>0</v>
      </c>
      <c r="M3922" s="356">
        <v>3</v>
      </c>
      <c r="N3922" s="356">
        <v>1</v>
      </c>
    </row>
    <row r="3923" spans="1:14" hidden="1" x14ac:dyDescent="0.25">
      <c r="A3923" s="356">
        <v>0</v>
      </c>
      <c r="B3923" s="356">
        <v>1</v>
      </c>
      <c r="C3923" s="356">
        <v>0</v>
      </c>
      <c r="D3923" s="356">
        <v>0</v>
      </c>
      <c r="E3923" s="356">
        <v>1</v>
      </c>
      <c r="F3923" s="356">
        <v>0</v>
      </c>
      <c r="G3923" s="356">
        <v>0</v>
      </c>
      <c r="H3923" s="356">
        <v>0</v>
      </c>
      <c r="I3923" s="356">
        <v>1</v>
      </c>
      <c r="J3923" s="356">
        <v>1</v>
      </c>
      <c r="K3923" s="356">
        <v>0</v>
      </c>
      <c r="L3923" s="356">
        <v>0</v>
      </c>
      <c r="M3923" s="356">
        <v>2</v>
      </c>
      <c r="N3923" s="356">
        <v>2</v>
      </c>
    </row>
    <row r="3924" spans="1:14" hidden="1" x14ac:dyDescent="0.25">
      <c r="A3924" s="356">
        <v>0</v>
      </c>
      <c r="B3924" s="356">
        <v>0</v>
      </c>
      <c r="C3924" s="356">
        <v>0</v>
      </c>
      <c r="D3924" s="356">
        <v>0</v>
      </c>
      <c r="E3924" s="356">
        <v>2</v>
      </c>
      <c r="F3924" s="356">
        <v>5</v>
      </c>
      <c r="G3924" s="356">
        <v>3</v>
      </c>
      <c r="H3924" s="356">
        <v>2</v>
      </c>
      <c r="I3924" s="356">
        <v>2</v>
      </c>
      <c r="J3924" s="356">
        <v>3</v>
      </c>
      <c r="K3924" s="356">
        <v>0</v>
      </c>
      <c r="L3924" s="356">
        <v>0</v>
      </c>
      <c r="M3924" s="356">
        <v>7</v>
      </c>
      <c r="N3924" s="356">
        <v>10</v>
      </c>
    </row>
    <row r="3925" spans="1:14" hidden="1" x14ac:dyDescent="0.25">
      <c r="A3925" s="356">
        <v>1</v>
      </c>
      <c r="B3925" s="356">
        <v>0</v>
      </c>
      <c r="C3925" s="356">
        <v>0</v>
      </c>
      <c r="D3925" s="356">
        <v>3</v>
      </c>
      <c r="E3925" s="356">
        <v>1</v>
      </c>
      <c r="F3925" s="356">
        <v>0</v>
      </c>
      <c r="G3925" s="356">
        <v>0</v>
      </c>
      <c r="H3925" s="356">
        <v>0</v>
      </c>
      <c r="I3925" s="356">
        <v>1</v>
      </c>
      <c r="J3925" s="356">
        <v>1</v>
      </c>
      <c r="K3925" s="356">
        <v>0</v>
      </c>
      <c r="L3925" s="356">
        <v>0</v>
      </c>
      <c r="M3925" s="356">
        <v>3</v>
      </c>
      <c r="N3925" s="356">
        <v>4</v>
      </c>
    </row>
    <row r="3926" spans="1:14" hidden="1" x14ac:dyDescent="0.25">
      <c r="A3926" s="356">
        <v>0</v>
      </c>
      <c r="B3926" s="356">
        <v>0</v>
      </c>
      <c r="C3926" s="356">
        <v>0</v>
      </c>
      <c r="D3926" s="356">
        <v>0</v>
      </c>
      <c r="E3926" s="356">
        <v>0</v>
      </c>
      <c r="F3926" s="356">
        <v>0</v>
      </c>
      <c r="G3926" s="356">
        <v>2</v>
      </c>
      <c r="H3926" s="356">
        <v>3</v>
      </c>
      <c r="I3926" s="356">
        <v>3</v>
      </c>
      <c r="J3926" s="356">
        <v>2</v>
      </c>
      <c r="K3926" s="356">
        <v>1</v>
      </c>
      <c r="L3926" s="356">
        <v>0</v>
      </c>
      <c r="M3926" s="356">
        <v>6</v>
      </c>
      <c r="N3926" s="356">
        <v>5</v>
      </c>
    </row>
    <row r="3927" spans="1:14" hidden="1" x14ac:dyDescent="0.25">
      <c r="A3927" s="356">
        <v>0</v>
      </c>
      <c r="B3927" s="356">
        <v>0</v>
      </c>
      <c r="C3927" s="356">
        <v>0</v>
      </c>
      <c r="D3927" s="356">
        <v>0</v>
      </c>
      <c r="E3927" s="356">
        <v>0</v>
      </c>
      <c r="F3927" s="356">
        <v>0</v>
      </c>
      <c r="G3927" s="356">
        <v>1</v>
      </c>
      <c r="H3927" s="356">
        <v>0</v>
      </c>
      <c r="I3927" s="356">
        <v>2</v>
      </c>
      <c r="J3927" s="356">
        <v>1</v>
      </c>
      <c r="K3927" s="356">
        <v>0</v>
      </c>
      <c r="L3927" s="356">
        <v>0</v>
      </c>
      <c r="M3927" s="356">
        <v>3</v>
      </c>
      <c r="N3927" s="356">
        <v>1</v>
      </c>
    </row>
    <row r="3928" spans="1:14" hidden="1" x14ac:dyDescent="0.25">
      <c r="A3928" s="356">
        <v>0</v>
      </c>
      <c r="B3928" s="356">
        <v>0</v>
      </c>
      <c r="C3928" s="356">
        <v>1</v>
      </c>
      <c r="D3928" s="356">
        <v>0</v>
      </c>
      <c r="E3928" s="356">
        <v>2</v>
      </c>
      <c r="F3928" s="356">
        <v>0</v>
      </c>
      <c r="G3928" s="356">
        <v>0</v>
      </c>
      <c r="H3928" s="356">
        <v>0</v>
      </c>
      <c r="I3928" s="356">
        <v>1</v>
      </c>
      <c r="J3928" s="356">
        <v>1</v>
      </c>
      <c r="K3928" s="356">
        <v>0</v>
      </c>
      <c r="L3928" s="356">
        <v>0</v>
      </c>
      <c r="M3928" s="356">
        <v>4</v>
      </c>
      <c r="N3928" s="356">
        <v>1</v>
      </c>
    </row>
    <row r="3929" spans="1:14" hidden="1" x14ac:dyDescent="0.25">
      <c r="A3929" s="356">
        <v>0</v>
      </c>
      <c r="B3929" s="356">
        <v>0</v>
      </c>
      <c r="C3929" s="356">
        <v>2</v>
      </c>
      <c r="D3929" s="356">
        <v>1</v>
      </c>
      <c r="E3929" s="356">
        <v>2</v>
      </c>
      <c r="F3929" s="356">
        <v>0</v>
      </c>
      <c r="G3929" s="356">
        <v>0</v>
      </c>
      <c r="H3929" s="356">
        <v>0</v>
      </c>
      <c r="I3929" s="356">
        <v>1</v>
      </c>
      <c r="J3929" s="356">
        <v>1</v>
      </c>
      <c r="K3929" s="356">
        <v>0</v>
      </c>
      <c r="L3929" s="356">
        <v>0</v>
      </c>
      <c r="M3929" s="356">
        <v>5</v>
      </c>
      <c r="N3929" s="356">
        <v>2</v>
      </c>
    </row>
    <row r="3930" spans="1:14" hidden="1" x14ac:dyDescent="0.25">
      <c r="A3930" s="356">
        <v>0</v>
      </c>
      <c r="B3930" s="356">
        <v>0</v>
      </c>
      <c r="C3930" s="356">
        <v>1</v>
      </c>
      <c r="D3930" s="356">
        <v>0</v>
      </c>
      <c r="E3930" s="356">
        <v>2</v>
      </c>
      <c r="F3930" s="356">
        <v>1</v>
      </c>
      <c r="G3930" s="356">
        <v>1</v>
      </c>
      <c r="H3930" s="356">
        <v>1</v>
      </c>
      <c r="I3930" s="356">
        <v>0</v>
      </c>
      <c r="J3930" s="356">
        <v>1</v>
      </c>
      <c r="K3930" s="356">
        <v>0</v>
      </c>
      <c r="L3930" s="356">
        <v>0</v>
      </c>
      <c r="M3930" s="356">
        <v>4</v>
      </c>
      <c r="N3930" s="356">
        <v>3</v>
      </c>
    </row>
    <row r="3931" spans="1:14" hidden="1" x14ac:dyDescent="0.25">
      <c r="A3931" s="356">
        <v>0</v>
      </c>
      <c r="B3931" s="356">
        <v>0</v>
      </c>
      <c r="C3931" s="356">
        <v>1</v>
      </c>
      <c r="D3931" s="356">
        <v>0</v>
      </c>
      <c r="E3931" s="356">
        <v>2</v>
      </c>
      <c r="F3931" s="356">
        <v>0</v>
      </c>
      <c r="G3931" s="356">
        <v>2</v>
      </c>
      <c r="H3931" s="356">
        <v>0</v>
      </c>
      <c r="I3931" s="356">
        <v>1</v>
      </c>
      <c r="J3931" s="356">
        <v>1</v>
      </c>
      <c r="K3931" s="356">
        <v>0</v>
      </c>
      <c r="L3931" s="356">
        <v>0</v>
      </c>
      <c r="M3931" s="356">
        <v>6</v>
      </c>
      <c r="N3931" s="356">
        <v>1</v>
      </c>
    </row>
    <row r="3932" spans="1:14" hidden="1" x14ac:dyDescent="0.25">
      <c r="A3932" s="356">
        <v>0</v>
      </c>
      <c r="B3932" s="356">
        <v>0</v>
      </c>
      <c r="C3932" s="356">
        <v>1</v>
      </c>
      <c r="D3932" s="356">
        <v>0</v>
      </c>
      <c r="E3932" s="356">
        <v>3</v>
      </c>
      <c r="F3932" s="356">
        <v>1</v>
      </c>
      <c r="G3932" s="356">
        <v>1</v>
      </c>
      <c r="H3932" s="356">
        <v>0</v>
      </c>
      <c r="I3932" s="356">
        <v>1</v>
      </c>
      <c r="J3932" s="356">
        <v>1</v>
      </c>
      <c r="K3932" s="356">
        <v>0</v>
      </c>
      <c r="L3932" s="356">
        <v>0</v>
      </c>
      <c r="M3932" s="356">
        <v>6</v>
      </c>
      <c r="N3932" s="356">
        <v>2</v>
      </c>
    </row>
    <row r="3933" spans="1:14" hidden="1" x14ac:dyDescent="0.25">
      <c r="A3933" s="356">
        <v>0</v>
      </c>
      <c r="B3933" s="356">
        <v>0</v>
      </c>
      <c r="C3933" s="356">
        <v>1</v>
      </c>
      <c r="D3933" s="356">
        <v>0</v>
      </c>
      <c r="E3933" s="356">
        <v>2</v>
      </c>
      <c r="F3933" s="356">
        <v>1</v>
      </c>
      <c r="G3933" s="356">
        <v>1</v>
      </c>
      <c r="H3933" s="356">
        <v>0</v>
      </c>
      <c r="I3933" s="356">
        <v>1</v>
      </c>
      <c r="J3933" s="356">
        <v>1</v>
      </c>
      <c r="K3933" s="356">
        <v>0</v>
      </c>
      <c r="L3933" s="356">
        <v>0</v>
      </c>
      <c r="M3933" s="356">
        <v>5</v>
      </c>
      <c r="N3933" s="356">
        <v>2</v>
      </c>
    </row>
    <row r="3934" spans="1:14" hidden="1" x14ac:dyDescent="0.25">
      <c r="A3934" s="356">
        <v>0</v>
      </c>
      <c r="B3934" s="356">
        <v>0</v>
      </c>
      <c r="C3934" s="356">
        <v>0</v>
      </c>
      <c r="D3934" s="356">
        <v>0</v>
      </c>
      <c r="E3934" s="356">
        <v>3</v>
      </c>
      <c r="F3934" s="356">
        <v>2</v>
      </c>
      <c r="G3934" s="356">
        <v>0</v>
      </c>
      <c r="H3934" s="356">
        <v>0</v>
      </c>
      <c r="I3934" s="356">
        <v>1</v>
      </c>
      <c r="J3934" s="356">
        <v>1</v>
      </c>
      <c r="K3934" s="356">
        <v>0</v>
      </c>
      <c r="L3934" s="356">
        <v>0</v>
      </c>
      <c r="M3934" s="356">
        <v>4</v>
      </c>
      <c r="N3934" s="356">
        <v>3</v>
      </c>
    </row>
    <row r="3935" spans="1:14" hidden="1" x14ac:dyDescent="0.25">
      <c r="A3935" s="356">
        <v>0</v>
      </c>
      <c r="B3935" s="356">
        <v>0</v>
      </c>
      <c r="C3935" s="356">
        <v>1</v>
      </c>
      <c r="D3935" s="356">
        <v>0</v>
      </c>
      <c r="E3935" s="356">
        <v>2</v>
      </c>
      <c r="F3935" s="356">
        <v>1</v>
      </c>
      <c r="G3935" s="356">
        <v>1</v>
      </c>
      <c r="H3935" s="356">
        <v>0</v>
      </c>
      <c r="I3935" s="356">
        <v>1</v>
      </c>
      <c r="J3935" s="356">
        <v>1</v>
      </c>
      <c r="K3935" s="356">
        <v>0</v>
      </c>
      <c r="L3935" s="356">
        <v>0</v>
      </c>
      <c r="M3935" s="356">
        <v>5</v>
      </c>
      <c r="N3935" s="356">
        <v>2</v>
      </c>
    </row>
    <row r="3936" spans="1:14" hidden="1" x14ac:dyDescent="0.25">
      <c r="A3936" s="356">
        <v>0</v>
      </c>
      <c r="B3936" s="356">
        <v>0</v>
      </c>
      <c r="C3936" s="356">
        <v>0</v>
      </c>
      <c r="D3936" s="356">
        <v>0</v>
      </c>
      <c r="E3936" s="356">
        <v>1</v>
      </c>
      <c r="F3936" s="356">
        <v>2</v>
      </c>
      <c r="G3936" s="356">
        <v>1</v>
      </c>
      <c r="H3936" s="356">
        <v>0</v>
      </c>
      <c r="I3936" s="356">
        <v>1</v>
      </c>
      <c r="J3936" s="356">
        <v>1</v>
      </c>
      <c r="K3936" s="356">
        <v>0</v>
      </c>
      <c r="L3936" s="356">
        <v>0</v>
      </c>
      <c r="M3936" s="356">
        <v>3</v>
      </c>
      <c r="N3936" s="356">
        <v>3</v>
      </c>
    </row>
    <row r="3937" spans="1:14" hidden="1" x14ac:dyDescent="0.25">
      <c r="A3937" s="356">
        <v>0</v>
      </c>
      <c r="B3937" s="356">
        <v>0</v>
      </c>
      <c r="C3937" s="356">
        <v>0</v>
      </c>
      <c r="D3937" s="356">
        <v>0</v>
      </c>
      <c r="E3937" s="356">
        <v>2</v>
      </c>
      <c r="F3937" s="356">
        <v>1</v>
      </c>
      <c r="G3937" s="356">
        <v>1</v>
      </c>
      <c r="H3937" s="356">
        <v>0</v>
      </c>
      <c r="I3937" s="356">
        <v>1</v>
      </c>
      <c r="J3937" s="356">
        <v>1</v>
      </c>
      <c r="K3937" s="356">
        <v>0</v>
      </c>
      <c r="L3937" s="356">
        <v>0</v>
      </c>
      <c r="M3937" s="356">
        <v>4</v>
      </c>
      <c r="N3937" s="356">
        <v>2</v>
      </c>
    </row>
    <row r="3938" spans="1:14" hidden="1" x14ac:dyDescent="0.25">
      <c r="A3938" s="356">
        <v>1</v>
      </c>
      <c r="B3938" s="356">
        <v>0</v>
      </c>
      <c r="C3938" s="356">
        <v>0</v>
      </c>
      <c r="D3938" s="356">
        <v>1</v>
      </c>
      <c r="E3938" s="356">
        <v>2</v>
      </c>
      <c r="F3938" s="356">
        <v>1</v>
      </c>
      <c r="G3938" s="356">
        <v>1</v>
      </c>
      <c r="H3938" s="356">
        <v>0</v>
      </c>
      <c r="I3938" s="356">
        <v>1</v>
      </c>
      <c r="J3938" s="356">
        <v>2</v>
      </c>
      <c r="K3938" s="356">
        <v>0</v>
      </c>
      <c r="L3938" s="356">
        <v>0</v>
      </c>
      <c r="M3938" s="356">
        <v>5</v>
      </c>
      <c r="N3938" s="356">
        <v>4</v>
      </c>
    </row>
    <row r="3939" spans="1:14" hidden="1" x14ac:dyDescent="0.25">
      <c r="A3939" s="356">
        <v>0</v>
      </c>
      <c r="B3939" s="356">
        <v>1</v>
      </c>
      <c r="C3939" s="356">
        <v>0</v>
      </c>
      <c r="D3939" s="356">
        <v>1</v>
      </c>
      <c r="E3939" s="356">
        <v>1</v>
      </c>
      <c r="F3939" s="356">
        <v>1</v>
      </c>
      <c r="G3939" s="356">
        <v>1</v>
      </c>
      <c r="H3939" s="356">
        <v>2</v>
      </c>
      <c r="I3939" s="356">
        <v>1</v>
      </c>
      <c r="J3939" s="356">
        <v>1</v>
      </c>
      <c r="K3939" s="356">
        <v>0</v>
      </c>
      <c r="L3939" s="356">
        <v>0</v>
      </c>
      <c r="M3939" s="356">
        <v>3</v>
      </c>
      <c r="N3939" s="356">
        <v>6</v>
      </c>
    </row>
    <row r="3940" spans="1:14" hidden="1" x14ac:dyDescent="0.25">
      <c r="A3940" s="356">
        <v>0</v>
      </c>
      <c r="B3940" s="356">
        <v>0</v>
      </c>
      <c r="C3940" s="356">
        <v>0</v>
      </c>
      <c r="D3940" s="356">
        <v>0</v>
      </c>
      <c r="E3940" s="356">
        <v>2</v>
      </c>
      <c r="F3940" s="356">
        <v>1</v>
      </c>
      <c r="G3940" s="356">
        <v>1</v>
      </c>
      <c r="H3940" s="356">
        <v>0</v>
      </c>
      <c r="I3940" s="356">
        <v>0</v>
      </c>
      <c r="J3940" s="356">
        <v>0</v>
      </c>
      <c r="K3940" s="356">
        <v>0</v>
      </c>
      <c r="L3940" s="356">
        <v>0</v>
      </c>
      <c r="M3940" s="356">
        <v>3</v>
      </c>
      <c r="N3940" s="356">
        <v>1</v>
      </c>
    </row>
    <row r="3941" spans="1:14" hidden="1" x14ac:dyDescent="0.25">
      <c r="A3941" s="356">
        <v>0</v>
      </c>
      <c r="B3941" s="356">
        <v>0</v>
      </c>
      <c r="C3941" s="356">
        <v>1</v>
      </c>
      <c r="D3941" s="356">
        <v>0</v>
      </c>
      <c r="E3941" s="356">
        <v>1</v>
      </c>
      <c r="F3941" s="356">
        <v>1</v>
      </c>
      <c r="G3941" s="356">
        <v>1</v>
      </c>
      <c r="H3941" s="356">
        <v>0</v>
      </c>
      <c r="I3941" s="356">
        <v>1</v>
      </c>
      <c r="J3941" s="356">
        <v>1</v>
      </c>
      <c r="K3941" s="356">
        <v>0</v>
      </c>
      <c r="L3941" s="356">
        <v>0</v>
      </c>
      <c r="M3941" s="356">
        <v>4</v>
      </c>
      <c r="N3941" s="356">
        <v>2</v>
      </c>
    </row>
    <row r="3942" spans="1:14" hidden="1" x14ac:dyDescent="0.25">
      <c r="A3942" s="356">
        <v>0</v>
      </c>
      <c r="B3942" s="356">
        <v>0</v>
      </c>
      <c r="C3942" s="356">
        <v>1</v>
      </c>
      <c r="D3942" s="356">
        <v>0</v>
      </c>
      <c r="E3942" s="356">
        <v>2</v>
      </c>
      <c r="F3942" s="356">
        <v>1</v>
      </c>
      <c r="G3942" s="356">
        <v>1</v>
      </c>
      <c r="H3942" s="356">
        <v>0</v>
      </c>
      <c r="I3942" s="356">
        <v>1</v>
      </c>
      <c r="J3942" s="356">
        <v>1</v>
      </c>
      <c r="K3942" s="356">
        <v>0</v>
      </c>
      <c r="L3942" s="356">
        <v>0</v>
      </c>
      <c r="M3942" s="356">
        <v>5</v>
      </c>
      <c r="N3942" s="356">
        <v>2</v>
      </c>
    </row>
    <row r="3943" spans="1:14" hidden="1" x14ac:dyDescent="0.25">
      <c r="A3943" s="356">
        <v>0</v>
      </c>
      <c r="B3943" s="356">
        <v>0</v>
      </c>
      <c r="C3943" s="356">
        <v>0</v>
      </c>
      <c r="D3943" s="356">
        <v>0</v>
      </c>
      <c r="E3943" s="356">
        <v>0</v>
      </c>
      <c r="F3943" s="356">
        <v>0</v>
      </c>
      <c r="G3943" s="356">
        <v>0</v>
      </c>
      <c r="H3943" s="356">
        <v>0</v>
      </c>
      <c r="I3943" s="356">
        <v>1</v>
      </c>
      <c r="J3943" s="356">
        <v>1</v>
      </c>
      <c r="K3943" s="356">
        <v>0</v>
      </c>
      <c r="L3943" s="356">
        <v>0</v>
      </c>
      <c r="M3943" s="356">
        <v>1</v>
      </c>
      <c r="N3943" s="356">
        <v>1</v>
      </c>
    </row>
    <row r="3944" spans="1:14" hidden="1" x14ac:dyDescent="0.25">
      <c r="A3944" s="356">
        <v>0</v>
      </c>
      <c r="B3944" s="356">
        <v>0</v>
      </c>
      <c r="C3944" s="356">
        <v>0</v>
      </c>
      <c r="D3944" s="356">
        <v>0</v>
      </c>
      <c r="E3944" s="356">
        <v>2</v>
      </c>
      <c r="F3944" s="356">
        <v>2</v>
      </c>
      <c r="G3944" s="356">
        <v>1</v>
      </c>
      <c r="H3944" s="356">
        <v>0</v>
      </c>
      <c r="I3944" s="356">
        <v>1</v>
      </c>
      <c r="J3944" s="356">
        <v>1</v>
      </c>
      <c r="K3944" s="356">
        <v>0</v>
      </c>
      <c r="L3944" s="356">
        <v>0</v>
      </c>
      <c r="M3944" s="356">
        <v>4</v>
      </c>
      <c r="N3944" s="356">
        <v>3</v>
      </c>
    </row>
    <row r="3945" spans="1:14" hidden="1" x14ac:dyDescent="0.25">
      <c r="A3945" s="356">
        <v>0</v>
      </c>
      <c r="B3945" s="356">
        <v>0</v>
      </c>
      <c r="C3945" s="356">
        <v>0</v>
      </c>
      <c r="D3945" s="356">
        <v>1</v>
      </c>
      <c r="E3945" s="356">
        <v>2</v>
      </c>
      <c r="F3945" s="356">
        <v>1</v>
      </c>
      <c r="G3945" s="356">
        <v>2</v>
      </c>
      <c r="H3945" s="356">
        <v>0</v>
      </c>
      <c r="I3945" s="356">
        <v>1</v>
      </c>
      <c r="J3945" s="356">
        <v>1</v>
      </c>
      <c r="K3945" s="356">
        <v>0</v>
      </c>
      <c r="L3945" s="356">
        <v>0</v>
      </c>
      <c r="M3945" s="356">
        <v>5</v>
      </c>
      <c r="N3945" s="356">
        <v>3</v>
      </c>
    </row>
    <row r="3946" spans="1:14" hidden="1" x14ac:dyDescent="0.25">
      <c r="A3946" s="356">
        <v>0</v>
      </c>
      <c r="B3946" s="356">
        <v>0</v>
      </c>
      <c r="C3946" s="356">
        <v>1</v>
      </c>
      <c r="D3946" s="356">
        <v>0</v>
      </c>
      <c r="E3946" s="356">
        <v>1</v>
      </c>
      <c r="F3946" s="356">
        <v>0</v>
      </c>
      <c r="G3946" s="356">
        <v>1</v>
      </c>
      <c r="H3946" s="356">
        <v>0</v>
      </c>
      <c r="I3946" s="356">
        <v>1</v>
      </c>
      <c r="J3946" s="356">
        <v>1</v>
      </c>
      <c r="K3946" s="356">
        <v>0</v>
      </c>
      <c r="L3946" s="356">
        <v>0</v>
      </c>
      <c r="M3946" s="356">
        <v>4</v>
      </c>
      <c r="N3946" s="356">
        <v>1</v>
      </c>
    </row>
    <row r="3947" spans="1:14" hidden="1" x14ac:dyDescent="0.25">
      <c r="A3947" s="356">
        <v>1</v>
      </c>
      <c r="B3947" s="356">
        <v>0</v>
      </c>
      <c r="C3947" s="356">
        <v>1</v>
      </c>
      <c r="D3947" s="356">
        <v>1</v>
      </c>
      <c r="E3947" s="356">
        <v>0</v>
      </c>
      <c r="F3947" s="356">
        <v>2</v>
      </c>
      <c r="G3947" s="356">
        <v>0</v>
      </c>
      <c r="H3947" s="356">
        <v>0</v>
      </c>
      <c r="I3947" s="356">
        <v>1</v>
      </c>
      <c r="J3947" s="356">
        <v>1</v>
      </c>
      <c r="K3947" s="356">
        <v>0</v>
      </c>
      <c r="L3947" s="356">
        <v>0</v>
      </c>
      <c r="M3947" s="356">
        <v>3</v>
      </c>
      <c r="N3947" s="356">
        <v>4</v>
      </c>
    </row>
    <row r="3948" spans="1:14" hidden="1" x14ac:dyDescent="0.25">
      <c r="A3948" s="356">
        <v>0</v>
      </c>
      <c r="B3948" s="356">
        <v>0</v>
      </c>
      <c r="C3948" s="356">
        <v>1</v>
      </c>
      <c r="D3948" s="356">
        <v>1</v>
      </c>
      <c r="E3948" s="356">
        <v>0</v>
      </c>
      <c r="F3948" s="356">
        <v>1</v>
      </c>
      <c r="G3948" s="356">
        <v>0</v>
      </c>
      <c r="H3948" s="356">
        <v>0</v>
      </c>
      <c r="I3948" s="356">
        <v>0</v>
      </c>
      <c r="J3948" s="356">
        <v>1</v>
      </c>
      <c r="K3948" s="356">
        <v>0</v>
      </c>
      <c r="L3948" s="356">
        <v>0</v>
      </c>
      <c r="M3948" s="356">
        <v>1</v>
      </c>
      <c r="N3948" s="356">
        <v>3</v>
      </c>
    </row>
    <row r="3949" spans="1:14" hidden="1" x14ac:dyDescent="0.25">
      <c r="A3949" s="356">
        <v>1</v>
      </c>
      <c r="B3949" s="356">
        <v>0</v>
      </c>
      <c r="C3949" s="356">
        <v>1</v>
      </c>
      <c r="D3949" s="356">
        <v>0</v>
      </c>
      <c r="E3949" s="356">
        <v>0</v>
      </c>
      <c r="F3949" s="356">
        <v>0</v>
      </c>
      <c r="G3949" s="356">
        <v>0</v>
      </c>
      <c r="H3949" s="356">
        <v>0</v>
      </c>
      <c r="I3949" s="356">
        <v>0</v>
      </c>
      <c r="J3949" s="356">
        <v>1</v>
      </c>
      <c r="K3949" s="356">
        <v>0</v>
      </c>
      <c r="L3949" s="356">
        <v>0</v>
      </c>
      <c r="M3949" s="356">
        <v>2</v>
      </c>
      <c r="N3949" s="356">
        <v>1</v>
      </c>
    </row>
    <row r="3950" spans="1:14" hidden="1" x14ac:dyDescent="0.25">
      <c r="A3950" s="356">
        <v>0</v>
      </c>
      <c r="B3950" s="356">
        <v>0</v>
      </c>
      <c r="C3950" s="356">
        <v>2</v>
      </c>
      <c r="D3950" s="356">
        <v>1</v>
      </c>
      <c r="E3950" s="356">
        <v>1</v>
      </c>
      <c r="F3950" s="356">
        <v>0</v>
      </c>
      <c r="G3950" s="356">
        <v>1</v>
      </c>
      <c r="H3950" s="356">
        <v>0</v>
      </c>
      <c r="I3950" s="356">
        <v>0</v>
      </c>
      <c r="J3950" s="356">
        <v>1</v>
      </c>
      <c r="K3950" s="356">
        <v>0</v>
      </c>
      <c r="L3950" s="356">
        <v>0</v>
      </c>
      <c r="M3950" s="356">
        <v>4</v>
      </c>
      <c r="N3950" s="356">
        <v>2</v>
      </c>
    </row>
    <row r="3951" spans="1:14" hidden="1" x14ac:dyDescent="0.25">
      <c r="A3951" s="356">
        <v>1</v>
      </c>
      <c r="B3951" s="356">
        <v>1</v>
      </c>
      <c r="C3951" s="356">
        <v>0</v>
      </c>
      <c r="D3951" s="356">
        <v>0</v>
      </c>
      <c r="E3951" s="356">
        <v>1</v>
      </c>
      <c r="F3951" s="356">
        <v>1</v>
      </c>
      <c r="G3951" s="356">
        <v>0</v>
      </c>
      <c r="H3951" s="356">
        <v>0</v>
      </c>
      <c r="I3951" s="356">
        <v>1</v>
      </c>
      <c r="J3951" s="356">
        <v>1</v>
      </c>
      <c r="K3951" s="356">
        <v>0</v>
      </c>
      <c r="L3951" s="356">
        <v>0</v>
      </c>
      <c r="M3951" s="356">
        <v>3</v>
      </c>
      <c r="N3951" s="356">
        <v>3</v>
      </c>
    </row>
    <row r="3952" spans="1:14" hidden="1" x14ac:dyDescent="0.25">
      <c r="A3952" s="356">
        <v>0</v>
      </c>
      <c r="B3952" s="356">
        <v>2</v>
      </c>
      <c r="C3952" s="356">
        <v>0</v>
      </c>
      <c r="D3952" s="356">
        <v>1</v>
      </c>
      <c r="E3952" s="356">
        <v>1</v>
      </c>
      <c r="F3952" s="356">
        <v>2</v>
      </c>
      <c r="G3952" s="356">
        <v>0</v>
      </c>
      <c r="H3952" s="356">
        <v>0</v>
      </c>
      <c r="I3952" s="356">
        <v>1</v>
      </c>
      <c r="J3952" s="356">
        <v>1</v>
      </c>
      <c r="K3952" s="356">
        <v>0</v>
      </c>
      <c r="L3952" s="356">
        <v>0</v>
      </c>
      <c r="M3952" s="356">
        <v>2</v>
      </c>
      <c r="N3952" s="356">
        <v>6</v>
      </c>
    </row>
    <row r="3953" spans="1:14" hidden="1" x14ac:dyDescent="0.25">
      <c r="A3953" s="356">
        <v>0</v>
      </c>
      <c r="B3953" s="356">
        <v>0</v>
      </c>
      <c r="C3953" s="356">
        <v>0</v>
      </c>
      <c r="D3953" s="356">
        <v>0</v>
      </c>
      <c r="E3953" s="356">
        <v>0</v>
      </c>
      <c r="F3953" s="356">
        <v>0</v>
      </c>
      <c r="G3953" s="356">
        <v>0</v>
      </c>
      <c r="H3953" s="356">
        <v>0</v>
      </c>
      <c r="I3953" s="356">
        <v>0</v>
      </c>
      <c r="J3953" s="356">
        <v>1</v>
      </c>
      <c r="K3953" s="356">
        <v>0</v>
      </c>
      <c r="L3953" s="356">
        <v>0</v>
      </c>
      <c r="M3953" s="356">
        <v>0</v>
      </c>
      <c r="N3953" s="356">
        <v>1</v>
      </c>
    </row>
    <row r="3954" spans="1:14" hidden="1" x14ac:dyDescent="0.25">
      <c r="A3954" s="356">
        <v>0</v>
      </c>
      <c r="B3954" s="356">
        <v>0</v>
      </c>
      <c r="C3954" s="356">
        <v>0</v>
      </c>
      <c r="D3954" s="356">
        <v>1</v>
      </c>
      <c r="E3954" s="356">
        <v>2</v>
      </c>
      <c r="F3954" s="356">
        <v>2</v>
      </c>
      <c r="G3954" s="356">
        <v>1</v>
      </c>
      <c r="H3954" s="356">
        <v>0</v>
      </c>
      <c r="I3954" s="356">
        <v>0</v>
      </c>
      <c r="J3954" s="356">
        <v>1</v>
      </c>
      <c r="K3954" s="356">
        <v>0</v>
      </c>
      <c r="L3954" s="356">
        <v>0</v>
      </c>
      <c r="M3954" s="356">
        <v>3</v>
      </c>
      <c r="N3954" s="356">
        <v>4</v>
      </c>
    </row>
    <row r="3955" spans="1:14" hidden="1" x14ac:dyDescent="0.25">
      <c r="A3955" s="356">
        <v>0</v>
      </c>
      <c r="B3955" s="356">
        <v>1</v>
      </c>
      <c r="C3955" s="356">
        <v>0</v>
      </c>
      <c r="D3955" s="356">
        <v>1</v>
      </c>
      <c r="E3955" s="356">
        <v>1</v>
      </c>
      <c r="F3955" s="356">
        <v>0</v>
      </c>
      <c r="G3955" s="356">
        <v>0</v>
      </c>
      <c r="H3955" s="356">
        <v>0</v>
      </c>
      <c r="I3955" s="356">
        <v>1</v>
      </c>
      <c r="J3955" s="356">
        <v>1</v>
      </c>
      <c r="K3955" s="356">
        <v>0</v>
      </c>
      <c r="L3955" s="356">
        <v>0</v>
      </c>
      <c r="M3955" s="356">
        <v>2</v>
      </c>
      <c r="N3955" s="356">
        <v>3</v>
      </c>
    </row>
    <row r="3956" spans="1:14" hidden="1" x14ac:dyDescent="0.25">
      <c r="A3956" s="356">
        <v>1</v>
      </c>
      <c r="B3956" s="356">
        <v>0</v>
      </c>
      <c r="C3956" s="356">
        <v>0</v>
      </c>
      <c r="D3956" s="356">
        <v>1</v>
      </c>
      <c r="E3956" s="356">
        <v>2</v>
      </c>
      <c r="F3956" s="356">
        <v>0</v>
      </c>
      <c r="G3956" s="356">
        <v>0</v>
      </c>
      <c r="H3956" s="356">
        <v>1</v>
      </c>
      <c r="I3956" s="356">
        <v>1</v>
      </c>
      <c r="J3956" s="356">
        <v>2</v>
      </c>
      <c r="K3956" s="356">
        <v>0</v>
      </c>
      <c r="L3956" s="356">
        <v>0</v>
      </c>
      <c r="M3956" s="356">
        <v>4</v>
      </c>
      <c r="N3956" s="356">
        <v>4</v>
      </c>
    </row>
    <row r="3957" spans="1:14" hidden="1" x14ac:dyDescent="0.25">
      <c r="A3957" s="356">
        <v>0</v>
      </c>
      <c r="B3957" s="356">
        <v>0</v>
      </c>
      <c r="C3957" s="356">
        <v>1</v>
      </c>
      <c r="D3957" s="356">
        <v>1</v>
      </c>
      <c r="E3957" s="356">
        <v>2</v>
      </c>
      <c r="F3957" s="356">
        <v>1</v>
      </c>
      <c r="G3957" s="356">
        <v>0</v>
      </c>
      <c r="H3957" s="356">
        <v>1</v>
      </c>
      <c r="I3957" s="356">
        <v>2</v>
      </c>
      <c r="J3957" s="356">
        <v>2</v>
      </c>
      <c r="K3957" s="356">
        <v>0</v>
      </c>
      <c r="L3957" s="356">
        <v>0</v>
      </c>
      <c r="M3957" s="356">
        <v>5</v>
      </c>
      <c r="N3957" s="356">
        <v>5</v>
      </c>
    </row>
    <row r="3958" spans="1:14" hidden="1" x14ac:dyDescent="0.25">
      <c r="A3958" s="356">
        <v>0</v>
      </c>
      <c r="B3958" s="356">
        <v>1</v>
      </c>
      <c r="C3958" s="356">
        <v>0</v>
      </c>
      <c r="D3958" s="356">
        <v>1</v>
      </c>
      <c r="E3958" s="356">
        <v>0</v>
      </c>
      <c r="F3958" s="356">
        <v>0</v>
      </c>
      <c r="G3958" s="356">
        <v>0</v>
      </c>
      <c r="H3958" s="356">
        <v>0</v>
      </c>
      <c r="I3958" s="356">
        <v>1</v>
      </c>
      <c r="J3958" s="356">
        <v>1</v>
      </c>
      <c r="K3958" s="356">
        <v>0</v>
      </c>
      <c r="L3958" s="356">
        <v>0</v>
      </c>
      <c r="M3958" s="356">
        <v>1</v>
      </c>
      <c r="N3958" s="356">
        <v>3</v>
      </c>
    </row>
    <row r="3959" spans="1:14" hidden="1" x14ac:dyDescent="0.25">
      <c r="A3959" s="356">
        <v>0</v>
      </c>
      <c r="B3959" s="356">
        <v>0</v>
      </c>
      <c r="C3959" s="356">
        <v>1</v>
      </c>
      <c r="D3959" s="356">
        <v>1</v>
      </c>
      <c r="E3959" s="356">
        <v>1</v>
      </c>
      <c r="F3959" s="356">
        <v>0</v>
      </c>
      <c r="G3959" s="356">
        <v>0</v>
      </c>
      <c r="H3959" s="356">
        <v>1</v>
      </c>
      <c r="I3959" s="356">
        <v>1</v>
      </c>
      <c r="J3959" s="356">
        <v>1</v>
      </c>
      <c r="K3959" s="356">
        <v>0</v>
      </c>
      <c r="L3959" s="356">
        <v>0</v>
      </c>
      <c r="M3959" s="356">
        <v>3</v>
      </c>
      <c r="N3959" s="356">
        <v>3</v>
      </c>
    </row>
    <row r="3960" spans="1:14" hidden="1" x14ac:dyDescent="0.25">
      <c r="A3960" s="356">
        <v>1</v>
      </c>
      <c r="B3960" s="356">
        <v>1</v>
      </c>
      <c r="C3960" s="356">
        <v>1</v>
      </c>
      <c r="D3960" s="356">
        <v>0</v>
      </c>
      <c r="E3960" s="356">
        <v>1</v>
      </c>
      <c r="F3960" s="356">
        <v>1</v>
      </c>
      <c r="G3960" s="356">
        <v>0</v>
      </c>
      <c r="H3960" s="356">
        <v>2</v>
      </c>
      <c r="I3960" s="356">
        <v>2</v>
      </c>
      <c r="J3960" s="356">
        <v>2</v>
      </c>
      <c r="K3960" s="356">
        <v>1</v>
      </c>
      <c r="L3960" s="356">
        <v>1</v>
      </c>
      <c r="M3960" s="356">
        <v>6</v>
      </c>
      <c r="N3960" s="356">
        <v>7</v>
      </c>
    </row>
    <row r="3961" spans="1:14" hidden="1" x14ac:dyDescent="0.25">
      <c r="A3961" s="356">
        <v>2</v>
      </c>
      <c r="B3961" s="356">
        <v>0</v>
      </c>
      <c r="C3961" s="356">
        <v>0</v>
      </c>
      <c r="D3961" s="356">
        <v>1</v>
      </c>
      <c r="E3961" s="356">
        <v>1</v>
      </c>
      <c r="F3961" s="356">
        <v>1</v>
      </c>
      <c r="G3961" s="356">
        <v>2</v>
      </c>
      <c r="H3961" s="356">
        <v>1</v>
      </c>
      <c r="I3961" s="356">
        <v>2</v>
      </c>
      <c r="J3961" s="356">
        <v>1</v>
      </c>
      <c r="K3961" s="356">
        <v>1</v>
      </c>
      <c r="L3961" s="356">
        <v>1</v>
      </c>
      <c r="M3961" s="356">
        <v>8</v>
      </c>
      <c r="N3961" s="356">
        <v>5</v>
      </c>
    </row>
    <row r="3962" spans="1:14" hidden="1" x14ac:dyDescent="0.25">
      <c r="A3962" s="356">
        <v>0</v>
      </c>
      <c r="B3962" s="356">
        <v>0</v>
      </c>
      <c r="C3962" s="356">
        <v>1</v>
      </c>
      <c r="D3962" s="356">
        <v>1</v>
      </c>
      <c r="E3962" s="356">
        <v>1</v>
      </c>
      <c r="F3962" s="356">
        <v>0</v>
      </c>
      <c r="G3962" s="356">
        <v>1</v>
      </c>
      <c r="H3962" s="356">
        <v>1</v>
      </c>
      <c r="I3962" s="356">
        <v>1</v>
      </c>
      <c r="J3962" s="356">
        <v>1</v>
      </c>
      <c r="K3962" s="356">
        <v>0</v>
      </c>
      <c r="L3962" s="356">
        <v>0</v>
      </c>
      <c r="M3962" s="356">
        <v>4</v>
      </c>
      <c r="N3962" s="356">
        <v>3</v>
      </c>
    </row>
    <row r="3963" spans="1:14" hidden="1" x14ac:dyDescent="0.25">
      <c r="A3963" s="356">
        <v>0</v>
      </c>
      <c r="B3963" s="356">
        <v>0</v>
      </c>
      <c r="C3963" s="356">
        <v>0</v>
      </c>
      <c r="D3963" s="356">
        <v>0</v>
      </c>
      <c r="E3963" s="356">
        <v>2</v>
      </c>
      <c r="F3963" s="356">
        <v>1</v>
      </c>
      <c r="G3963" s="356">
        <v>1</v>
      </c>
      <c r="H3963" s="356">
        <v>1</v>
      </c>
      <c r="I3963" s="356">
        <v>1</v>
      </c>
      <c r="J3963" s="356">
        <v>1</v>
      </c>
      <c r="K3963" s="356">
        <v>0</v>
      </c>
      <c r="L3963" s="356">
        <v>0</v>
      </c>
      <c r="M3963" s="356">
        <v>4</v>
      </c>
      <c r="N3963" s="356">
        <v>3</v>
      </c>
    </row>
    <row r="3964" spans="1:14" hidden="1" x14ac:dyDescent="0.25">
      <c r="A3964" s="356">
        <v>0</v>
      </c>
      <c r="B3964" s="356">
        <v>0</v>
      </c>
      <c r="C3964" s="356">
        <v>0</v>
      </c>
      <c r="D3964" s="356">
        <v>0</v>
      </c>
      <c r="E3964" s="356">
        <v>1</v>
      </c>
      <c r="F3964" s="356">
        <v>0</v>
      </c>
      <c r="G3964" s="356">
        <v>2</v>
      </c>
      <c r="H3964" s="356">
        <v>1</v>
      </c>
      <c r="I3964" s="356">
        <v>1</v>
      </c>
      <c r="J3964" s="356">
        <v>1</v>
      </c>
      <c r="K3964" s="356">
        <v>0</v>
      </c>
      <c r="L3964" s="356">
        <v>0</v>
      </c>
      <c r="M3964" s="356">
        <v>4</v>
      </c>
      <c r="N3964" s="356">
        <v>2</v>
      </c>
    </row>
    <row r="3965" spans="1:14" hidden="1" x14ac:dyDescent="0.25">
      <c r="A3965" s="356">
        <v>0</v>
      </c>
      <c r="B3965" s="356">
        <v>0</v>
      </c>
      <c r="C3965" s="356">
        <v>0</v>
      </c>
      <c r="D3965" s="356">
        <v>0</v>
      </c>
      <c r="E3965" s="356">
        <v>1</v>
      </c>
      <c r="F3965" s="356">
        <v>0</v>
      </c>
      <c r="G3965" s="356">
        <v>2</v>
      </c>
      <c r="H3965" s="356">
        <v>1</v>
      </c>
      <c r="I3965" s="356">
        <v>1</v>
      </c>
      <c r="J3965" s="356">
        <v>1</v>
      </c>
      <c r="K3965" s="356">
        <v>0</v>
      </c>
      <c r="L3965" s="356">
        <v>0</v>
      </c>
      <c r="M3965" s="356">
        <v>4</v>
      </c>
      <c r="N3965" s="356">
        <v>2</v>
      </c>
    </row>
    <row r="3966" spans="1:14" hidden="1" x14ac:dyDescent="0.25">
      <c r="A3966" s="356">
        <v>0</v>
      </c>
      <c r="B3966" s="356">
        <v>0</v>
      </c>
      <c r="C3966" s="356">
        <v>0</v>
      </c>
      <c r="D3966" s="356">
        <v>0</v>
      </c>
      <c r="E3966" s="356">
        <v>1</v>
      </c>
      <c r="F3966" s="356">
        <v>1</v>
      </c>
      <c r="G3966" s="356">
        <v>1</v>
      </c>
      <c r="H3966" s="356">
        <v>1</v>
      </c>
      <c r="I3966" s="356">
        <v>1</v>
      </c>
      <c r="J3966" s="356">
        <v>2</v>
      </c>
      <c r="K3966" s="356">
        <v>1</v>
      </c>
      <c r="L3966" s="356">
        <v>0</v>
      </c>
      <c r="M3966" s="356">
        <v>4</v>
      </c>
      <c r="N3966" s="356">
        <v>4</v>
      </c>
    </row>
    <row r="3967" spans="1:14" hidden="1" x14ac:dyDescent="0.25">
      <c r="A3967" s="356">
        <v>0</v>
      </c>
      <c r="B3967" s="356">
        <v>0</v>
      </c>
      <c r="C3967" s="356">
        <v>0</v>
      </c>
      <c r="D3967" s="356">
        <v>0</v>
      </c>
      <c r="E3967" s="356">
        <v>1</v>
      </c>
      <c r="F3967" s="356">
        <v>2</v>
      </c>
      <c r="G3967" s="356">
        <v>1</v>
      </c>
      <c r="H3967" s="356">
        <v>1</v>
      </c>
      <c r="I3967" s="356">
        <v>2</v>
      </c>
      <c r="J3967" s="356">
        <v>1</v>
      </c>
      <c r="K3967" s="356">
        <v>0</v>
      </c>
      <c r="L3967" s="356">
        <v>0</v>
      </c>
      <c r="M3967" s="356">
        <v>4</v>
      </c>
      <c r="N3967" s="356">
        <v>4</v>
      </c>
    </row>
    <row r="3968" spans="1:14" hidden="1" x14ac:dyDescent="0.25">
      <c r="A3968" s="356">
        <v>0</v>
      </c>
      <c r="B3968" s="356">
        <v>0</v>
      </c>
      <c r="C3968" s="356">
        <v>1</v>
      </c>
      <c r="D3968" s="356">
        <v>1</v>
      </c>
      <c r="E3968" s="356">
        <v>0</v>
      </c>
      <c r="F3968" s="356">
        <v>0</v>
      </c>
      <c r="G3968" s="356">
        <v>0</v>
      </c>
      <c r="H3968" s="356">
        <v>0</v>
      </c>
      <c r="I3968" s="356">
        <v>0</v>
      </c>
      <c r="J3968" s="356">
        <v>1</v>
      </c>
      <c r="K3968" s="356">
        <v>0</v>
      </c>
      <c r="L3968" s="356">
        <v>0</v>
      </c>
      <c r="M3968" s="356">
        <v>1</v>
      </c>
      <c r="N3968" s="356">
        <v>2</v>
      </c>
    </row>
    <row r="3969" spans="1:14" hidden="1" x14ac:dyDescent="0.25">
      <c r="A3969" s="356">
        <v>0</v>
      </c>
      <c r="B3969" s="356">
        <v>0</v>
      </c>
      <c r="C3969" s="356">
        <v>0</v>
      </c>
      <c r="D3969" s="356">
        <v>0</v>
      </c>
      <c r="E3969" s="356">
        <v>0</v>
      </c>
      <c r="F3969" s="356">
        <v>0</v>
      </c>
      <c r="G3969" s="356">
        <v>1</v>
      </c>
      <c r="H3969" s="356">
        <v>0</v>
      </c>
      <c r="I3969" s="356">
        <v>3</v>
      </c>
      <c r="J3969" s="356">
        <v>2</v>
      </c>
      <c r="K3969" s="356">
        <v>1</v>
      </c>
      <c r="L3969" s="356">
        <v>0</v>
      </c>
      <c r="M3969" s="356">
        <v>5</v>
      </c>
      <c r="N3969" s="356">
        <v>2</v>
      </c>
    </row>
    <row r="3970" spans="1:14" hidden="1" x14ac:dyDescent="0.25">
      <c r="A3970" s="356">
        <v>0</v>
      </c>
      <c r="B3970" s="356">
        <v>0</v>
      </c>
      <c r="C3970" s="356">
        <v>0</v>
      </c>
      <c r="D3970" s="356">
        <v>0</v>
      </c>
      <c r="E3970" s="356">
        <v>1</v>
      </c>
      <c r="F3970" s="356">
        <v>1</v>
      </c>
      <c r="G3970" s="356">
        <v>0</v>
      </c>
      <c r="H3970" s="356">
        <v>1</v>
      </c>
      <c r="I3970" s="356">
        <v>3</v>
      </c>
      <c r="J3970" s="356">
        <v>2</v>
      </c>
      <c r="K3970" s="356">
        <v>0</v>
      </c>
      <c r="L3970" s="356">
        <v>0</v>
      </c>
      <c r="M3970" s="356">
        <v>4</v>
      </c>
      <c r="N3970" s="356">
        <v>4</v>
      </c>
    </row>
    <row r="3971" spans="1:14" hidden="1" x14ac:dyDescent="0.25">
      <c r="A3971" s="356">
        <v>0</v>
      </c>
      <c r="B3971" s="356">
        <v>0</v>
      </c>
      <c r="C3971" s="356">
        <v>0</v>
      </c>
      <c r="D3971" s="356">
        <v>0</v>
      </c>
      <c r="E3971" s="356">
        <v>1</v>
      </c>
      <c r="F3971" s="356">
        <v>0</v>
      </c>
      <c r="G3971" s="356">
        <v>2</v>
      </c>
      <c r="H3971" s="356">
        <v>1</v>
      </c>
      <c r="I3971" s="356">
        <v>2</v>
      </c>
      <c r="J3971" s="356">
        <v>1</v>
      </c>
      <c r="K3971" s="356">
        <v>0</v>
      </c>
      <c r="L3971" s="356">
        <v>0</v>
      </c>
      <c r="M3971" s="356">
        <v>5</v>
      </c>
      <c r="N3971" s="356">
        <v>2</v>
      </c>
    </row>
    <row r="3972" spans="1:14" hidden="1" x14ac:dyDescent="0.25">
      <c r="A3972" s="356">
        <v>0</v>
      </c>
      <c r="B3972" s="356">
        <v>1</v>
      </c>
      <c r="C3972" s="356">
        <v>0</v>
      </c>
      <c r="D3972" s="356">
        <v>1</v>
      </c>
      <c r="E3972" s="356">
        <v>1</v>
      </c>
      <c r="F3972" s="356">
        <v>2</v>
      </c>
      <c r="G3972" s="356">
        <v>4</v>
      </c>
      <c r="H3972" s="356">
        <v>0</v>
      </c>
      <c r="I3972" s="356">
        <v>1</v>
      </c>
      <c r="J3972" s="356">
        <v>1</v>
      </c>
      <c r="K3972" s="356">
        <v>0</v>
      </c>
      <c r="L3972" s="356">
        <v>0</v>
      </c>
      <c r="M3972" s="356">
        <v>6</v>
      </c>
      <c r="N3972" s="356">
        <v>5</v>
      </c>
    </row>
    <row r="3973" spans="1:14" hidden="1" x14ac:dyDescent="0.25">
      <c r="A3973" s="356">
        <v>1</v>
      </c>
      <c r="B3973" s="356">
        <v>1</v>
      </c>
      <c r="C3973" s="356">
        <v>1</v>
      </c>
      <c r="D3973" s="356">
        <v>1</v>
      </c>
      <c r="E3973" s="356">
        <v>0</v>
      </c>
      <c r="F3973" s="356">
        <v>1</v>
      </c>
      <c r="G3973" s="356">
        <v>0</v>
      </c>
      <c r="H3973" s="356">
        <v>0</v>
      </c>
      <c r="I3973" s="356">
        <v>1</v>
      </c>
      <c r="J3973" s="356">
        <v>1</v>
      </c>
      <c r="K3973" s="356">
        <v>0</v>
      </c>
      <c r="L3973" s="356">
        <v>0</v>
      </c>
      <c r="M3973" s="356">
        <v>3</v>
      </c>
      <c r="N3973" s="356">
        <v>4</v>
      </c>
    </row>
    <row r="3974" spans="1:14" hidden="1" x14ac:dyDescent="0.25">
      <c r="A3974" s="356">
        <v>1</v>
      </c>
      <c r="B3974" s="356">
        <v>0</v>
      </c>
      <c r="C3974" s="356">
        <v>1</v>
      </c>
      <c r="D3974" s="356">
        <v>0</v>
      </c>
      <c r="E3974" s="356">
        <v>1</v>
      </c>
      <c r="F3974" s="356">
        <v>1</v>
      </c>
      <c r="G3974" s="356">
        <v>0</v>
      </c>
      <c r="H3974" s="356">
        <v>1</v>
      </c>
      <c r="I3974" s="356">
        <v>1</v>
      </c>
      <c r="J3974" s="356">
        <v>1</v>
      </c>
      <c r="K3974" s="356">
        <v>0</v>
      </c>
      <c r="L3974" s="356">
        <v>0</v>
      </c>
      <c r="M3974" s="356">
        <v>4</v>
      </c>
      <c r="N3974" s="356">
        <v>3</v>
      </c>
    </row>
    <row r="3975" spans="1:14" hidden="1" x14ac:dyDescent="0.25">
      <c r="A3975" s="356">
        <v>0</v>
      </c>
      <c r="B3975" s="356">
        <v>1</v>
      </c>
      <c r="C3975" s="356">
        <v>0</v>
      </c>
      <c r="D3975" s="356">
        <v>2</v>
      </c>
      <c r="E3975" s="356">
        <v>1</v>
      </c>
      <c r="F3975" s="356">
        <v>1</v>
      </c>
      <c r="G3975" s="356">
        <v>0</v>
      </c>
      <c r="H3975" s="356">
        <v>0</v>
      </c>
      <c r="I3975" s="356">
        <v>0</v>
      </c>
      <c r="J3975" s="356">
        <v>1</v>
      </c>
      <c r="K3975" s="356">
        <v>0</v>
      </c>
      <c r="L3975" s="356">
        <v>0</v>
      </c>
      <c r="M3975" s="356">
        <v>1</v>
      </c>
      <c r="N3975" s="356">
        <v>5</v>
      </c>
    </row>
    <row r="3976" spans="1:14" hidden="1" x14ac:dyDescent="0.25">
      <c r="A3976" s="356">
        <v>0</v>
      </c>
      <c r="B3976" s="356">
        <v>0</v>
      </c>
      <c r="C3976" s="356">
        <v>1</v>
      </c>
      <c r="D3976" s="356">
        <v>0</v>
      </c>
      <c r="E3976" s="356">
        <v>1</v>
      </c>
      <c r="F3976" s="356">
        <v>2</v>
      </c>
      <c r="G3976" s="356">
        <v>1</v>
      </c>
      <c r="H3976" s="356">
        <v>0</v>
      </c>
      <c r="I3976" s="356">
        <v>0</v>
      </c>
      <c r="J3976" s="356">
        <v>1</v>
      </c>
      <c r="K3976" s="356">
        <v>0</v>
      </c>
      <c r="L3976" s="356">
        <v>0</v>
      </c>
      <c r="M3976" s="356">
        <v>3</v>
      </c>
      <c r="N3976" s="356">
        <v>3</v>
      </c>
    </row>
    <row r="3977" spans="1:14" hidden="1" x14ac:dyDescent="0.25">
      <c r="A3977" s="356">
        <v>1</v>
      </c>
      <c r="B3977" s="356">
        <v>0</v>
      </c>
      <c r="C3977" s="356">
        <v>1</v>
      </c>
      <c r="D3977" s="356">
        <v>0</v>
      </c>
      <c r="E3977" s="356">
        <v>1</v>
      </c>
      <c r="F3977" s="356">
        <v>0</v>
      </c>
      <c r="G3977" s="356">
        <v>1</v>
      </c>
      <c r="H3977" s="356">
        <v>0</v>
      </c>
      <c r="I3977" s="356">
        <v>0</v>
      </c>
      <c r="J3977" s="356">
        <v>1</v>
      </c>
      <c r="K3977" s="356">
        <v>0</v>
      </c>
      <c r="L3977" s="356">
        <v>0</v>
      </c>
      <c r="M3977" s="356">
        <v>4</v>
      </c>
      <c r="N3977" s="356">
        <v>1</v>
      </c>
    </row>
    <row r="3978" spans="1:14" hidden="1" x14ac:dyDescent="0.25">
      <c r="A3978" s="356">
        <v>0</v>
      </c>
      <c r="B3978" s="356">
        <v>0</v>
      </c>
      <c r="C3978" s="356">
        <v>1</v>
      </c>
      <c r="D3978" s="356">
        <v>0</v>
      </c>
      <c r="E3978" s="356">
        <v>2</v>
      </c>
      <c r="F3978" s="356">
        <v>1</v>
      </c>
      <c r="G3978" s="356">
        <v>0</v>
      </c>
      <c r="H3978" s="356">
        <v>1</v>
      </c>
      <c r="I3978" s="356">
        <v>0</v>
      </c>
      <c r="J3978" s="356">
        <v>1</v>
      </c>
      <c r="K3978" s="356">
        <v>0</v>
      </c>
      <c r="L3978" s="356">
        <v>0</v>
      </c>
      <c r="M3978" s="356">
        <v>3</v>
      </c>
      <c r="N3978" s="356">
        <v>3</v>
      </c>
    </row>
    <row r="3979" spans="1:14" hidden="1" x14ac:dyDescent="0.25">
      <c r="A3979" s="356">
        <v>1</v>
      </c>
      <c r="B3979" s="356">
        <v>0</v>
      </c>
      <c r="C3979" s="356">
        <v>1</v>
      </c>
      <c r="D3979" s="356">
        <v>0</v>
      </c>
      <c r="E3979" s="356">
        <v>1</v>
      </c>
      <c r="F3979" s="356">
        <v>0</v>
      </c>
      <c r="G3979" s="356">
        <v>0</v>
      </c>
      <c r="H3979" s="356">
        <v>0</v>
      </c>
      <c r="I3979" s="356">
        <v>0</v>
      </c>
      <c r="J3979" s="356">
        <v>1</v>
      </c>
      <c r="K3979" s="356">
        <v>0</v>
      </c>
      <c r="L3979" s="356">
        <v>0</v>
      </c>
      <c r="M3979" s="356">
        <v>3</v>
      </c>
      <c r="N3979" s="356">
        <v>1</v>
      </c>
    </row>
    <row r="3980" spans="1:14" hidden="1" x14ac:dyDescent="0.25">
      <c r="A3980" s="356">
        <v>1</v>
      </c>
      <c r="B3980" s="356">
        <v>0</v>
      </c>
      <c r="C3980" s="356">
        <v>1</v>
      </c>
      <c r="D3980" s="356">
        <v>0</v>
      </c>
      <c r="E3980" s="356">
        <v>2</v>
      </c>
      <c r="F3980" s="356">
        <v>0</v>
      </c>
      <c r="G3980" s="356">
        <v>0</v>
      </c>
      <c r="H3980" s="356">
        <v>0</v>
      </c>
      <c r="I3980" s="356">
        <v>0</v>
      </c>
      <c r="J3980" s="356">
        <v>1</v>
      </c>
      <c r="K3980" s="356">
        <v>0</v>
      </c>
      <c r="L3980" s="356">
        <v>0</v>
      </c>
      <c r="M3980" s="356">
        <v>4</v>
      </c>
      <c r="N3980" s="356">
        <v>1</v>
      </c>
    </row>
    <row r="3981" spans="1:14" hidden="1" x14ac:dyDescent="0.25">
      <c r="A3981" s="356">
        <v>1</v>
      </c>
      <c r="B3981" s="356">
        <v>0</v>
      </c>
      <c r="C3981" s="356">
        <v>1</v>
      </c>
      <c r="D3981" s="356">
        <v>0</v>
      </c>
      <c r="E3981" s="356">
        <v>2</v>
      </c>
      <c r="F3981" s="356">
        <v>1</v>
      </c>
      <c r="G3981" s="356">
        <v>0</v>
      </c>
      <c r="H3981" s="356">
        <v>0</v>
      </c>
      <c r="I3981" s="356">
        <v>0</v>
      </c>
      <c r="J3981" s="356">
        <v>1</v>
      </c>
      <c r="K3981" s="356">
        <v>0</v>
      </c>
      <c r="L3981" s="356">
        <v>0</v>
      </c>
      <c r="M3981" s="356">
        <v>4</v>
      </c>
      <c r="N3981" s="356">
        <v>2</v>
      </c>
    </row>
    <row r="3982" spans="1:14" hidden="1" x14ac:dyDescent="0.25">
      <c r="A3982" s="356">
        <v>0</v>
      </c>
      <c r="B3982" s="356">
        <v>0</v>
      </c>
      <c r="C3982" s="356">
        <v>1</v>
      </c>
      <c r="D3982" s="356">
        <v>1</v>
      </c>
      <c r="E3982" s="356">
        <v>0</v>
      </c>
      <c r="F3982" s="356">
        <v>2</v>
      </c>
      <c r="G3982" s="356">
        <v>1</v>
      </c>
      <c r="H3982" s="356">
        <v>0</v>
      </c>
      <c r="I3982" s="356">
        <v>0</v>
      </c>
      <c r="J3982" s="356">
        <v>1</v>
      </c>
      <c r="K3982" s="356">
        <v>0</v>
      </c>
      <c r="L3982" s="356">
        <v>0</v>
      </c>
      <c r="M3982" s="356">
        <v>2</v>
      </c>
      <c r="N3982" s="356">
        <v>4</v>
      </c>
    </row>
    <row r="3983" spans="1:14" hidden="1" x14ac:dyDescent="0.25">
      <c r="A3983" s="356">
        <v>0</v>
      </c>
      <c r="B3983" s="356">
        <v>2</v>
      </c>
      <c r="C3983" s="356">
        <v>0</v>
      </c>
      <c r="D3983" s="356">
        <v>1</v>
      </c>
      <c r="E3983" s="356">
        <v>1</v>
      </c>
      <c r="F3983" s="356">
        <v>0</v>
      </c>
      <c r="G3983" s="356">
        <v>1</v>
      </c>
      <c r="H3983" s="356">
        <v>1</v>
      </c>
      <c r="I3983" s="356">
        <v>0</v>
      </c>
      <c r="J3983" s="356">
        <v>1</v>
      </c>
      <c r="K3983" s="356">
        <v>0</v>
      </c>
      <c r="L3983" s="356">
        <v>0</v>
      </c>
      <c r="M3983" s="356">
        <v>2</v>
      </c>
      <c r="N3983" s="356">
        <v>5</v>
      </c>
    </row>
    <row r="3984" spans="1:14" hidden="1" x14ac:dyDescent="0.25">
      <c r="A3984" s="356">
        <v>0</v>
      </c>
      <c r="B3984" s="356">
        <v>0</v>
      </c>
      <c r="C3984" s="356">
        <v>2</v>
      </c>
      <c r="D3984" s="356">
        <v>0</v>
      </c>
      <c r="E3984" s="356">
        <v>2</v>
      </c>
      <c r="F3984" s="356">
        <v>0</v>
      </c>
      <c r="G3984" s="356">
        <v>2</v>
      </c>
      <c r="H3984" s="356">
        <v>1</v>
      </c>
      <c r="I3984" s="356">
        <v>1</v>
      </c>
      <c r="J3984" s="356">
        <v>1</v>
      </c>
      <c r="K3984" s="356">
        <v>0</v>
      </c>
      <c r="L3984" s="356">
        <v>0</v>
      </c>
      <c r="M3984" s="356">
        <v>7</v>
      </c>
      <c r="N3984" s="356">
        <v>2</v>
      </c>
    </row>
    <row r="3985" spans="1:14" hidden="1" x14ac:dyDescent="0.25">
      <c r="A3985" s="356">
        <v>0</v>
      </c>
      <c r="B3985" s="356">
        <v>0</v>
      </c>
      <c r="C3985" s="356">
        <v>1</v>
      </c>
      <c r="D3985" s="356">
        <v>1</v>
      </c>
      <c r="E3985" s="356">
        <v>1</v>
      </c>
      <c r="F3985" s="356">
        <v>1</v>
      </c>
      <c r="G3985" s="356">
        <v>1</v>
      </c>
      <c r="H3985" s="356">
        <v>0</v>
      </c>
      <c r="I3985" s="356">
        <v>0</v>
      </c>
      <c r="J3985" s="356">
        <v>1</v>
      </c>
      <c r="K3985" s="356">
        <v>0</v>
      </c>
      <c r="L3985" s="356">
        <v>0</v>
      </c>
      <c r="M3985" s="356">
        <v>3</v>
      </c>
      <c r="N3985" s="356">
        <v>3</v>
      </c>
    </row>
    <row r="3986" spans="1:14" hidden="1" x14ac:dyDescent="0.25">
      <c r="A3986" s="356">
        <v>0</v>
      </c>
      <c r="B3986" s="356">
        <v>0</v>
      </c>
      <c r="C3986" s="356">
        <v>1</v>
      </c>
      <c r="D3986" s="356">
        <v>0</v>
      </c>
      <c r="E3986" s="356">
        <v>1</v>
      </c>
      <c r="F3986" s="356">
        <v>0</v>
      </c>
      <c r="G3986" s="356">
        <v>1</v>
      </c>
      <c r="H3986" s="356">
        <v>2</v>
      </c>
      <c r="I3986" s="356">
        <v>0</v>
      </c>
      <c r="J3986" s="356">
        <v>1</v>
      </c>
      <c r="K3986" s="356">
        <v>0</v>
      </c>
      <c r="L3986" s="356">
        <v>0</v>
      </c>
      <c r="M3986" s="356">
        <v>3</v>
      </c>
      <c r="N3986" s="356">
        <v>3</v>
      </c>
    </row>
    <row r="3987" spans="1:14" hidden="1" x14ac:dyDescent="0.25">
      <c r="A3987" s="356">
        <v>0</v>
      </c>
      <c r="B3987" s="356">
        <v>0</v>
      </c>
      <c r="C3987" s="356">
        <v>1</v>
      </c>
      <c r="D3987" s="356">
        <v>1</v>
      </c>
      <c r="E3987" s="356">
        <v>1</v>
      </c>
      <c r="F3987" s="356">
        <v>1</v>
      </c>
      <c r="G3987" s="356">
        <v>0</v>
      </c>
      <c r="H3987" s="356">
        <v>0</v>
      </c>
      <c r="I3987" s="356">
        <v>0</v>
      </c>
      <c r="J3987" s="356">
        <v>1</v>
      </c>
      <c r="K3987" s="356">
        <v>0</v>
      </c>
      <c r="L3987" s="356">
        <v>0</v>
      </c>
      <c r="M3987" s="356">
        <v>2</v>
      </c>
      <c r="N3987" s="356">
        <v>3</v>
      </c>
    </row>
    <row r="3988" spans="1:14" hidden="1" x14ac:dyDescent="0.25">
      <c r="A3988" s="356">
        <v>0</v>
      </c>
      <c r="B3988" s="356">
        <v>1</v>
      </c>
      <c r="C3988" s="356">
        <v>0</v>
      </c>
      <c r="D3988" s="356">
        <v>1</v>
      </c>
      <c r="E3988" s="356">
        <v>1</v>
      </c>
      <c r="F3988" s="356">
        <v>2</v>
      </c>
      <c r="G3988" s="356">
        <v>1</v>
      </c>
      <c r="H3988" s="356">
        <v>1</v>
      </c>
      <c r="I3988" s="356">
        <v>1</v>
      </c>
      <c r="J3988" s="356">
        <v>1</v>
      </c>
      <c r="K3988" s="356">
        <v>0</v>
      </c>
      <c r="L3988" s="356">
        <v>0</v>
      </c>
      <c r="M3988" s="356">
        <v>3</v>
      </c>
      <c r="N3988" s="356">
        <v>6</v>
      </c>
    </row>
    <row r="3989" spans="1:14" hidden="1" x14ac:dyDescent="0.25">
      <c r="A3989" s="356">
        <v>0</v>
      </c>
      <c r="B3989" s="356">
        <v>1</v>
      </c>
      <c r="C3989" s="356">
        <v>0</v>
      </c>
      <c r="D3989" s="356">
        <v>1</v>
      </c>
      <c r="E3989" s="356">
        <v>1</v>
      </c>
      <c r="F3989" s="356">
        <v>0</v>
      </c>
      <c r="G3989" s="356">
        <v>1</v>
      </c>
      <c r="H3989" s="356">
        <v>0</v>
      </c>
      <c r="I3989" s="356">
        <v>1</v>
      </c>
      <c r="J3989" s="356">
        <v>1</v>
      </c>
      <c r="K3989" s="356">
        <v>0</v>
      </c>
      <c r="L3989" s="356">
        <v>0</v>
      </c>
      <c r="M3989" s="356">
        <v>3</v>
      </c>
      <c r="N3989" s="356">
        <v>3</v>
      </c>
    </row>
    <row r="3990" spans="1:14" hidden="1" x14ac:dyDescent="0.25">
      <c r="A3990" s="356">
        <v>0</v>
      </c>
      <c r="B3990" s="356">
        <v>1</v>
      </c>
      <c r="C3990" s="356">
        <v>0</v>
      </c>
      <c r="D3990" s="356">
        <v>1</v>
      </c>
      <c r="E3990" s="356">
        <v>0</v>
      </c>
      <c r="F3990" s="356">
        <v>1</v>
      </c>
      <c r="G3990" s="356">
        <v>1</v>
      </c>
      <c r="H3990" s="356">
        <v>0</v>
      </c>
      <c r="I3990" s="356">
        <v>0</v>
      </c>
      <c r="J3990" s="356">
        <v>1</v>
      </c>
      <c r="K3990" s="356">
        <v>0</v>
      </c>
      <c r="L3990" s="356">
        <v>0</v>
      </c>
      <c r="M3990" s="356">
        <v>1</v>
      </c>
      <c r="N3990" s="356">
        <v>4</v>
      </c>
    </row>
    <row r="3991" spans="1:14" hidden="1" x14ac:dyDescent="0.25">
      <c r="A3991" s="356">
        <v>0</v>
      </c>
      <c r="B3991" s="356">
        <v>0</v>
      </c>
      <c r="C3991" s="356">
        <v>1</v>
      </c>
      <c r="D3991" s="356">
        <v>0</v>
      </c>
      <c r="E3991" s="356">
        <v>2</v>
      </c>
      <c r="F3991" s="356">
        <v>0</v>
      </c>
      <c r="G3991" s="356">
        <v>1</v>
      </c>
      <c r="H3991" s="356">
        <v>1</v>
      </c>
      <c r="I3991" s="356">
        <v>0</v>
      </c>
      <c r="J3991" s="356">
        <v>1</v>
      </c>
      <c r="K3991" s="356">
        <v>0</v>
      </c>
      <c r="L3991" s="356">
        <v>0</v>
      </c>
      <c r="M3991" s="356">
        <v>4</v>
      </c>
      <c r="N3991" s="356">
        <v>2</v>
      </c>
    </row>
    <row r="3992" spans="1:14" hidden="1" x14ac:dyDescent="0.25">
      <c r="A3992" s="356">
        <v>0</v>
      </c>
      <c r="B3992" s="356">
        <v>1</v>
      </c>
      <c r="C3992" s="356">
        <v>1</v>
      </c>
      <c r="D3992" s="356">
        <v>0</v>
      </c>
      <c r="E3992" s="356">
        <v>1</v>
      </c>
      <c r="F3992" s="356">
        <v>0</v>
      </c>
      <c r="G3992" s="356">
        <v>2</v>
      </c>
      <c r="H3992" s="356">
        <v>1</v>
      </c>
      <c r="I3992" s="356">
        <v>1</v>
      </c>
      <c r="J3992" s="356">
        <v>2</v>
      </c>
      <c r="K3992" s="356">
        <v>1</v>
      </c>
      <c r="L3992" s="356">
        <v>1</v>
      </c>
      <c r="M3992" s="356">
        <v>6</v>
      </c>
      <c r="N3992" s="356">
        <v>5</v>
      </c>
    </row>
    <row r="3993" spans="1:14" hidden="1" x14ac:dyDescent="0.25">
      <c r="A3993" s="356">
        <v>1</v>
      </c>
      <c r="B3993" s="356">
        <v>0</v>
      </c>
      <c r="C3993" s="356">
        <v>1</v>
      </c>
      <c r="D3993" s="356">
        <v>0</v>
      </c>
      <c r="E3993" s="356">
        <v>2</v>
      </c>
      <c r="F3993" s="356">
        <v>0</v>
      </c>
      <c r="G3993" s="356">
        <v>1</v>
      </c>
      <c r="H3993" s="356">
        <v>1</v>
      </c>
      <c r="I3993" s="356">
        <v>1</v>
      </c>
      <c r="J3993" s="356">
        <v>2</v>
      </c>
      <c r="K3993" s="356">
        <v>1</v>
      </c>
      <c r="L3993" s="356">
        <v>0</v>
      </c>
      <c r="M3993" s="356">
        <v>7</v>
      </c>
      <c r="N3993" s="356">
        <v>3</v>
      </c>
    </row>
    <row r="3994" spans="1:14" hidden="1" x14ac:dyDescent="0.25">
      <c r="A3994" s="356">
        <v>0</v>
      </c>
      <c r="B3994" s="356">
        <v>0</v>
      </c>
      <c r="C3994" s="356">
        <v>5</v>
      </c>
      <c r="D3994" s="356">
        <v>1</v>
      </c>
      <c r="E3994" s="356">
        <v>2</v>
      </c>
      <c r="F3994" s="356">
        <v>2</v>
      </c>
      <c r="G3994" s="356">
        <v>1</v>
      </c>
      <c r="H3994" s="356">
        <v>0</v>
      </c>
      <c r="I3994" s="356">
        <v>0</v>
      </c>
      <c r="J3994" s="356">
        <v>2</v>
      </c>
      <c r="K3994" s="356">
        <v>1</v>
      </c>
      <c r="L3994" s="356">
        <v>0</v>
      </c>
      <c r="M3994" s="356">
        <v>9</v>
      </c>
      <c r="N3994" s="356">
        <v>5</v>
      </c>
    </row>
    <row r="3995" spans="1:14" hidden="1" x14ac:dyDescent="0.25">
      <c r="A3995" s="356">
        <v>0</v>
      </c>
      <c r="B3995" s="356">
        <v>0</v>
      </c>
      <c r="C3995" s="356">
        <v>1</v>
      </c>
      <c r="D3995" s="356">
        <v>1</v>
      </c>
      <c r="E3995" s="356">
        <v>0</v>
      </c>
      <c r="F3995" s="356">
        <v>2</v>
      </c>
      <c r="G3995" s="356">
        <v>1</v>
      </c>
      <c r="H3995" s="356">
        <v>0</v>
      </c>
      <c r="I3995" s="356">
        <v>0</v>
      </c>
      <c r="J3995" s="356">
        <v>1</v>
      </c>
      <c r="K3995" s="356">
        <v>0</v>
      </c>
      <c r="L3995" s="356">
        <v>0</v>
      </c>
      <c r="M3995" s="356">
        <v>2</v>
      </c>
      <c r="N3995" s="356">
        <v>4</v>
      </c>
    </row>
    <row r="3996" spans="1:14" hidden="1" x14ac:dyDescent="0.25">
      <c r="A3996" s="356">
        <v>0</v>
      </c>
      <c r="B3996" s="356">
        <v>0</v>
      </c>
      <c r="C3996" s="356">
        <v>1</v>
      </c>
      <c r="D3996" s="356">
        <v>0</v>
      </c>
      <c r="E3996" s="356">
        <v>2</v>
      </c>
      <c r="F3996" s="356">
        <v>2</v>
      </c>
      <c r="G3996" s="356">
        <v>1</v>
      </c>
      <c r="H3996" s="356">
        <v>0</v>
      </c>
      <c r="I3996" s="356">
        <v>0</v>
      </c>
      <c r="J3996" s="356">
        <v>1</v>
      </c>
      <c r="K3996" s="356">
        <v>0</v>
      </c>
      <c r="L3996" s="356">
        <v>0</v>
      </c>
      <c r="M3996" s="356">
        <v>4</v>
      </c>
      <c r="N3996" s="356">
        <v>3</v>
      </c>
    </row>
    <row r="3997" spans="1:14" hidden="1" x14ac:dyDescent="0.25">
      <c r="A3997" s="356">
        <v>0</v>
      </c>
      <c r="B3997" s="356">
        <v>0</v>
      </c>
      <c r="C3997" s="356">
        <v>0</v>
      </c>
      <c r="D3997" s="356">
        <v>0</v>
      </c>
      <c r="E3997" s="356">
        <v>1</v>
      </c>
      <c r="F3997" s="356">
        <v>2</v>
      </c>
      <c r="G3997" s="356">
        <v>1</v>
      </c>
      <c r="H3997" s="356">
        <v>1</v>
      </c>
      <c r="I3997" s="356">
        <v>2</v>
      </c>
      <c r="J3997" s="356">
        <v>1</v>
      </c>
      <c r="K3997" s="356">
        <v>0</v>
      </c>
      <c r="L3997" s="356">
        <v>0</v>
      </c>
      <c r="M3997" s="356">
        <v>4</v>
      </c>
      <c r="N3997" s="356">
        <v>4</v>
      </c>
    </row>
    <row r="3998" spans="1:14" hidden="1" x14ac:dyDescent="0.25">
      <c r="A3998" s="356">
        <v>0</v>
      </c>
      <c r="B3998" s="356">
        <v>0</v>
      </c>
      <c r="C3998" s="356">
        <v>0</v>
      </c>
      <c r="D3998" s="356">
        <v>0</v>
      </c>
      <c r="E3998" s="356">
        <v>1</v>
      </c>
      <c r="F3998" s="356">
        <v>1</v>
      </c>
      <c r="G3998" s="356">
        <v>1</v>
      </c>
      <c r="H3998" s="356">
        <v>0</v>
      </c>
      <c r="I3998" s="356">
        <v>0</v>
      </c>
      <c r="J3998" s="356">
        <v>1</v>
      </c>
      <c r="K3998" s="356">
        <v>0</v>
      </c>
      <c r="L3998" s="356">
        <v>0</v>
      </c>
      <c r="M3998" s="356">
        <v>2</v>
      </c>
      <c r="N3998" s="356">
        <v>2</v>
      </c>
    </row>
    <row r="3999" spans="1:14" hidden="1" x14ac:dyDescent="0.25">
      <c r="A3999" s="356">
        <v>0</v>
      </c>
      <c r="B3999" s="356">
        <v>0</v>
      </c>
      <c r="C3999" s="356">
        <v>0</v>
      </c>
      <c r="D3999" s="356">
        <v>1</v>
      </c>
      <c r="E3999" s="356">
        <v>3</v>
      </c>
      <c r="F3999" s="356">
        <v>1</v>
      </c>
      <c r="G3999" s="356">
        <v>1</v>
      </c>
      <c r="H3999" s="356">
        <v>0</v>
      </c>
      <c r="I3999" s="356">
        <v>1</v>
      </c>
      <c r="J3999" s="356">
        <v>1</v>
      </c>
      <c r="K3999" s="356">
        <v>0</v>
      </c>
      <c r="L3999" s="356">
        <v>0</v>
      </c>
      <c r="M3999" s="356">
        <v>5</v>
      </c>
      <c r="N3999" s="356">
        <v>3</v>
      </c>
    </row>
    <row r="4000" spans="1:14" hidden="1" x14ac:dyDescent="0.25">
      <c r="A4000" s="356">
        <v>0</v>
      </c>
      <c r="B4000" s="356">
        <v>0</v>
      </c>
      <c r="C4000" s="356">
        <v>0</v>
      </c>
      <c r="D4000" s="356">
        <v>1</v>
      </c>
      <c r="E4000" s="356">
        <v>2</v>
      </c>
      <c r="F4000" s="356">
        <v>1</v>
      </c>
      <c r="G4000" s="356">
        <v>1</v>
      </c>
      <c r="H4000" s="356">
        <v>1</v>
      </c>
      <c r="I4000" s="356">
        <v>1</v>
      </c>
      <c r="J4000" s="356">
        <v>1</v>
      </c>
      <c r="K4000" s="356">
        <v>0</v>
      </c>
      <c r="L4000" s="356">
        <v>0</v>
      </c>
      <c r="M4000" s="356">
        <v>4</v>
      </c>
      <c r="N4000" s="356">
        <v>4</v>
      </c>
    </row>
    <row r="4001" spans="1:14" hidden="1" x14ac:dyDescent="0.25">
      <c r="A4001" s="356">
        <v>0</v>
      </c>
      <c r="B4001" s="356">
        <v>0</v>
      </c>
      <c r="C4001" s="356">
        <v>1</v>
      </c>
      <c r="D4001" s="356">
        <v>0</v>
      </c>
      <c r="E4001" s="356">
        <v>1</v>
      </c>
      <c r="F4001" s="356">
        <v>1</v>
      </c>
      <c r="G4001" s="356">
        <v>1</v>
      </c>
      <c r="H4001" s="356">
        <v>1</v>
      </c>
      <c r="I4001" s="356">
        <v>1</v>
      </c>
      <c r="J4001" s="356">
        <v>1</v>
      </c>
      <c r="K4001" s="356">
        <v>0</v>
      </c>
      <c r="L4001" s="356">
        <v>0</v>
      </c>
      <c r="M4001" s="356">
        <v>4</v>
      </c>
      <c r="N4001" s="356">
        <v>3</v>
      </c>
    </row>
    <row r="4002" spans="1:14" hidden="1" x14ac:dyDescent="0.25">
      <c r="A4002" s="356">
        <v>0</v>
      </c>
      <c r="B4002" s="356">
        <v>0</v>
      </c>
      <c r="C4002" s="356">
        <v>1</v>
      </c>
      <c r="D4002" s="356">
        <v>2</v>
      </c>
      <c r="E4002" s="356">
        <v>1</v>
      </c>
      <c r="F4002" s="356">
        <v>1</v>
      </c>
      <c r="G4002" s="356">
        <v>0</v>
      </c>
      <c r="H4002" s="356">
        <v>1</v>
      </c>
      <c r="I4002" s="356">
        <v>0</v>
      </c>
      <c r="J4002" s="356">
        <v>1</v>
      </c>
      <c r="K4002" s="356">
        <v>0</v>
      </c>
      <c r="L4002" s="356">
        <v>0</v>
      </c>
      <c r="M4002" s="356">
        <v>2</v>
      </c>
      <c r="N4002" s="356">
        <v>5</v>
      </c>
    </row>
    <row r="4003" spans="1:14" hidden="1" x14ac:dyDescent="0.25">
      <c r="A4003" s="356">
        <v>0</v>
      </c>
      <c r="B4003" s="356">
        <v>0</v>
      </c>
      <c r="C4003" s="356">
        <v>1</v>
      </c>
      <c r="D4003" s="356">
        <v>0</v>
      </c>
      <c r="E4003" s="356">
        <v>1</v>
      </c>
      <c r="F4003" s="356">
        <v>2</v>
      </c>
      <c r="G4003" s="356">
        <v>3</v>
      </c>
      <c r="H4003" s="356">
        <v>0</v>
      </c>
      <c r="I4003" s="356">
        <v>1</v>
      </c>
      <c r="J4003" s="356">
        <v>1</v>
      </c>
      <c r="K4003" s="356">
        <v>0</v>
      </c>
      <c r="L4003" s="356">
        <v>0</v>
      </c>
      <c r="M4003" s="356">
        <v>6</v>
      </c>
      <c r="N4003" s="356">
        <v>3</v>
      </c>
    </row>
    <row r="4004" spans="1:14" hidden="1" x14ac:dyDescent="0.25">
      <c r="A4004" s="356">
        <v>0</v>
      </c>
      <c r="B4004" s="356">
        <v>0</v>
      </c>
      <c r="C4004" s="356">
        <v>0</v>
      </c>
      <c r="D4004" s="356">
        <v>1</v>
      </c>
      <c r="E4004" s="356">
        <v>0</v>
      </c>
      <c r="F4004" s="356">
        <v>1</v>
      </c>
      <c r="G4004" s="356">
        <v>0</v>
      </c>
      <c r="H4004" s="356">
        <v>0</v>
      </c>
      <c r="I4004" s="356">
        <v>1</v>
      </c>
      <c r="J4004" s="356">
        <v>1</v>
      </c>
      <c r="K4004" s="356">
        <v>0</v>
      </c>
      <c r="L4004" s="356">
        <v>0</v>
      </c>
      <c r="M4004" s="356">
        <v>1</v>
      </c>
      <c r="N4004" s="356">
        <v>3</v>
      </c>
    </row>
    <row r="4005" spans="1:14" hidden="1" x14ac:dyDescent="0.25">
      <c r="A4005" s="356">
        <v>0</v>
      </c>
      <c r="B4005" s="356">
        <v>0</v>
      </c>
      <c r="C4005" s="356">
        <v>0</v>
      </c>
      <c r="D4005" s="356">
        <v>0</v>
      </c>
      <c r="E4005" s="356">
        <v>0</v>
      </c>
      <c r="F4005" s="356">
        <v>0</v>
      </c>
      <c r="G4005" s="356">
        <v>0</v>
      </c>
      <c r="H4005" s="356">
        <v>0</v>
      </c>
      <c r="I4005" s="356">
        <v>1</v>
      </c>
      <c r="J4005" s="356">
        <v>0</v>
      </c>
      <c r="K4005" s="356">
        <v>0</v>
      </c>
      <c r="L4005" s="356">
        <v>0</v>
      </c>
      <c r="M4005" s="356">
        <v>1</v>
      </c>
      <c r="N4005" s="356">
        <v>0</v>
      </c>
    </row>
    <row r="4006" spans="1:14" hidden="1" x14ac:dyDescent="0.25">
      <c r="A4006" s="356">
        <v>0</v>
      </c>
      <c r="B4006" s="356">
        <v>0</v>
      </c>
      <c r="C4006" s="356">
        <v>1</v>
      </c>
      <c r="D4006" s="356">
        <v>0</v>
      </c>
      <c r="E4006" s="356">
        <v>2</v>
      </c>
      <c r="F4006" s="356">
        <v>1</v>
      </c>
      <c r="G4006" s="356">
        <v>0</v>
      </c>
      <c r="H4006" s="356">
        <v>0</v>
      </c>
      <c r="I4006" s="356">
        <v>0</v>
      </c>
      <c r="J4006" s="356">
        <v>1</v>
      </c>
      <c r="K4006" s="356">
        <v>0</v>
      </c>
      <c r="L4006" s="356">
        <v>0</v>
      </c>
      <c r="M4006" s="356">
        <v>3</v>
      </c>
      <c r="N4006" s="356">
        <v>2</v>
      </c>
    </row>
    <row r="4007" spans="1:14" hidden="1" x14ac:dyDescent="0.25">
      <c r="A4007" s="356">
        <v>0</v>
      </c>
      <c r="B4007" s="356">
        <v>1</v>
      </c>
      <c r="C4007" s="356">
        <v>0</v>
      </c>
      <c r="D4007" s="356">
        <v>2</v>
      </c>
      <c r="E4007" s="356">
        <v>2</v>
      </c>
      <c r="F4007" s="356">
        <v>1</v>
      </c>
      <c r="G4007" s="356">
        <v>0</v>
      </c>
      <c r="H4007" s="356">
        <v>1</v>
      </c>
      <c r="I4007" s="356">
        <v>0</v>
      </c>
      <c r="J4007" s="356">
        <v>1</v>
      </c>
      <c r="K4007" s="356">
        <v>0</v>
      </c>
      <c r="L4007" s="356">
        <v>0</v>
      </c>
      <c r="M4007" s="356">
        <v>2</v>
      </c>
      <c r="N4007" s="356">
        <v>6</v>
      </c>
    </row>
    <row r="4008" spans="1:14" hidden="1" x14ac:dyDescent="0.25">
      <c r="A4008" s="356">
        <v>0</v>
      </c>
      <c r="B4008" s="356">
        <v>0</v>
      </c>
      <c r="C4008" s="356">
        <v>0</v>
      </c>
      <c r="D4008" s="356">
        <v>0</v>
      </c>
      <c r="E4008" s="356">
        <v>0</v>
      </c>
      <c r="F4008" s="356">
        <v>0</v>
      </c>
      <c r="G4008" s="356">
        <v>0</v>
      </c>
      <c r="H4008" s="356">
        <v>0</v>
      </c>
      <c r="I4008" s="356">
        <v>1</v>
      </c>
      <c r="J4008" s="356">
        <v>1</v>
      </c>
      <c r="K4008" s="356">
        <v>0</v>
      </c>
      <c r="L4008" s="356">
        <v>0</v>
      </c>
      <c r="M4008" s="356">
        <v>1</v>
      </c>
      <c r="N4008" s="356">
        <v>1</v>
      </c>
    </row>
    <row r="4009" spans="1:14" hidden="1" x14ac:dyDescent="0.25">
      <c r="A4009" s="356">
        <v>0</v>
      </c>
      <c r="B4009" s="356">
        <v>0</v>
      </c>
      <c r="C4009" s="356">
        <v>0</v>
      </c>
      <c r="D4009" s="356">
        <v>1</v>
      </c>
      <c r="E4009" s="356">
        <v>2</v>
      </c>
      <c r="F4009" s="356">
        <v>2</v>
      </c>
      <c r="G4009" s="356">
        <v>1</v>
      </c>
      <c r="H4009" s="356">
        <v>0</v>
      </c>
      <c r="I4009" s="356">
        <v>1</v>
      </c>
      <c r="J4009" s="356">
        <v>1</v>
      </c>
      <c r="K4009" s="356">
        <v>0</v>
      </c>
      <c r="L4009" s="356">
        <v>0</v>
      </c>
      <c r="M4009" s="356">
        <v>4</v>
      </c>
      <c r="N4009" s="356">
        <v>4</v>
      </c>
    </row>
    <row r="4010" spans="1:14" hidden="1" x14ac:dyDescent="0.25">
      <c r="A4010" s="356">
        <v>0</v>
      </c>
      <c r="B4010" s="356">
        <v>0</v>
      </c>
      <c r="C4010" s="356">
        <v>0</v>
      </c>
      <c r="D4010" s="356">
        <v>0</v>
      </c>
      <c r="E4010" s="356">
        <v>1</v>
      </c>
      <c r="F4010" s="356">
        <v>0</v>
      </c>
      <c r="G4010" s="356">
        <v>0</v>
      </c>
      <c r="H4010" s="356">
        <v>0</v>
      </c>
      <c r="I4010" s="356">
        <v>1</v>
      </c>
      <c r="J4010" s="356">
        <v>1</v>
      </c>
      <c r="K4010" s="356">
        <v>0</v>
      </c>
      <c r="L4010" s="356">
        <v>0</v>
      </c>
      <c r="M4010" s="356">
        <v>2</v>
      </c>
      <c r="N4010" s="356">
        <v>1</v>
      </c>
    </row>
    <row r="4011" spans="1:14" hidden="1" x14ac:dyDescent="0.25">
      <c r="A4011" s="356">
        <v>0</v>
      </c>
      <c r="B4011" s="356">
        <v>0</v>
      </c>
      <c r="C4011" s="356">
        <v>1</v>
      </c>
      <c r="D4011" s="356">
        <v>0</v>
      </c>
      <c r="E4011" s="356">
        <v>3</v>
      </c>
      <c r="F4011" s="356">
        <v>1</v>
      </c>
      <c r="G4011" s="356">
        <v>1</v>
      </c>
      <c r="H4011" s="356">
        <v>0</v>
      </c>
      <c r="I4011" s="356">
        <v>1</v>
      </c>
      <c r="J4011" s="356">
        <v>1</v>
      </c>
      <c r="K4011" s="356">
        <v>0</v>
      </c>
      <c r="L4011" s="356">
        <v>0</v>
      </c>
      <c r="M4011" s="356">
        <v>6</v>
      </c>
      <c r="N4011" s="356">
        <v>2</v>
      </c>
    </row>
    <row r="4012" spans="1:14" hidden="1" x14ac:dyDescent="0.25">
      <c r="A4012" s="356">
        <v>0</v>
      </c>
      <c r="B4012" s="356">
        <v>1</v>
      </c>
      <c r="C4012" s="356">
        <v>2</v>
      </c>
      <c r="D4012" s="356">
        <v>0</v>
      </c>
      <c r="E4012" s="356">
        <v>1</v>
      </c>
      <c r="F4012" s="356">
        <v>2</v>
      </c>
      <c r="G4012" s="356">
        <v>0</v>
      </c>
      <c r="H4012" s="356">
        <v>3</v>
      </c>
      <c r="I4012" s="356">
        <v>0</v>
      </c>
      <c r="J4012" s="356">
        <v>1</v>
      </c>
      <c r="K4012" s="356">
        <v>1</v>
      </c>
      <c r="L4012" s="356">
        <v>0</v>
      </c>
      <c r="M4012" s="356">
        <v>4</v>
      </c>
      <c r="N4012" s="356">
        <v>7</v>
      </c>
    </row>
    <row r="4013" spans="1:14" hidden="1" x14ac:dyDescent="0.25">
      <c r="A4013" s="356">
        <v>1</v>
      </c>
      <c r="B4013" s="356">
        <v>1</v>
      </c>
      <c r="C4013" s="356">
        <v>3</v>
      </c>
      <c r="D4013" s="356">
        <v>1</v>
      </c>
      <c r="E4013" s="356">
        <v>4</v>
      </c>
      <c r="F4013" s="356">
        <v>3</v>
      </c>
      <c r="G4013" s="356">
        <v>2</v>
      </c>
      <c r="H4013" s="356">
        <v>3</v>
      </c>
      <c r="I4013" s="356">
        <v>2</v>
      </c>
      <c r="J4013" s="356">
        <v>3</v>
      </c>
      <c r="K4013" s="356">
        <v>1</v>
      </c>
      <c r="L4013" s="356">
        <v>0</v>
      </c>
      <c r="M4013" s="356">
        <v>13</v>
      </c>
      <c r="N4013" s="356">
        <v>11</v>
      </c>
    </row>
    <row r="4014" spans="1:14" hidden="1" x14ac:dyDescent="0.25">
      <c r="A4014" s="356">
        <v>0</v>
      </c>
      <c r="B4014" s="356">
        <v>0</v>
      </c>
      <c r="C4014" s="356">
        <v>2</v>
      </c>
      <c r="D4014" s="356">
        <v>2</v>
      </c>
      <c r="E4014" s="356">
        <v>1</v>
      </c>
      <c r="F4014" s="356">
        <v>2</v>
      </c>
      <c r="G4014" s="356">
        <v>0</v>
      </c>
      <c r="H4014" s="356">
        <v>0</v>
      </c>
      <c r="I4014" s="356">
        <v>1</v>
      </c>
      <c r="J4014" s="356">
        <v>1</v>
      </c>
      <c r="K4014" s="356">
        <v>0</v>
      </c>
      <c r="L4014" s="356">
        <v>0</v>
      </c>
      <c r="M4014" s="356">
        <v>4</v>
      </c>
      <c r="N4014" s="356">
        <v>5</v>
      </c>
    </row>
    <row r="4015" spans="1:14" hidden="1" x14ac:dyDescent="0.25">
      <c r="A4015" s="356">
        <v>1</v>
      </c>
      <c r="B4015" s="356">
        <v>0</v>
      </c>
      <c r="C4015" s="356">
        <v>1</v>
      </c>
      <c r="D4015" s="356">
        <v>1</v>
      </c>
      <c r="E4015" s="356">
        <v>0</v>
      </c>
      <c r="F4015" s="356">
        <v>0</v>
      </c>
      <c r="G4015" s="356">
        <v>0</v>
      </c>
      <c r="H4015" s="356">
        <v>0</v>
      </c>
      <c r="I4015" s="356">
        <v>0</v>
      </c>
      <c r="J4015" s="356">
        <v>1</v>
      </c>
      <c r="K4015" s="356">
        <v>0</v>
      </c>
      <c r="L4015" s="356">
        <v>0</v>
      </c>
      <c r="M4015" s="356">
        <v>2</v>
      </c>
      <c r="N4015" s="356">
        <v>2</v>
      </c>
    </row>
    <row r="4016" spans="1:14" hidden="1" x14ac:dyDescent="0.25">
      <c r="A4016" s="356">
        <v>0</v>
      </c>
      <c r="B4016" s="356">
        <v>0</v>
      </c>
      <c r="C4016" s="356">
        <v>0</v>
      </c>
      <c r="D4016" s="356">
        <v>0</v>
      </c>
      <c r="E4016" s="356">
        <v>4</v>
      </c>
      <c r="F4016" s="356">
        <v>2</v>
      </c>
      <c r="G4016" s="356">
        <v>1</v>
      </c>
      <c r="H4016" s="356">
        <v>1</v>
      </c>
      <c r="I4016" s="356">
        <v>2</v>
      </c>
      <c r="J4016" s="356">
        <v>2</v>
      </c>
      <c r="K4016" s="356">
        <v>1</v>
      </c>
      <c r="L4016" s="356">
        <v>0</v>
      </c>
      <c r="M4016" s="356">
        <v>8</v>
      </c>
      <c r="N4016" s="356">
        <v>5</v>
      </c>
    </row>
    <row r="4017" spans="1:14" hidden="1" x14ac:dyDescent="0.25">
      <c r="A4017" s="356">
        <v>1</v>
      </c>
      <c r="B4017" s="356">
        <v>0</v>
      </c>
      <c r="C4017" s="356">
        <v>0</v>
      </c>
      <c r="D4017" s="356">
        <v>0</v>
      </c>
      <c r="E4017" s="356">
        <v>0</v>
      </c>
      <c r="F4017" s="356">
        <v>0</v>
      </c>
      <c r="G4017" s="356">
        <v>0</v>
      </c>
      <c r="H4017" s="356">
        <v>0</v>
      </c>
      <c r="I4017" s="356">
        <v>1</v>
      </c>
      <c r="J4017" s="356">
        <v>1</v>
      </c>
      <c r="K4017" s="356">
        <v>0</v>
      </c>
      <c r="L4017" s="356">
        <v>0</v>
      </c>
      <c r="M4017" s="356">
        <v>2</v>
      </c>
      <c r="N4017" s="356">
        <v>1</v>
      </c>
    </row>
    <row r="4018" spans="1:14" hidden="1" x14ac:dyDescent="0.25">
      <c r="A4018" s="356">
        <v>0</v>
      </c>
      <c r="B4018" s="356">
        <v>0</v>
      </c>
      <c r="C4018" s="356">
        <v>0</v>
      </c>
      <c r="D4018" s="356">
        <v>0</v>
      </c>
      <c r="E4018" s="356">
        <v>2</v>
      </c>
      <c r="F4018" s="356">
        <v>0</v>
      </c>
      <c r="G4018" s="356">
        <v>0</v>
      </c>
      <c r="H4018" s="356">
        <v>1</v>
      </c>
      <c r="I4018" s="356">
        <v>1</v>
      </c>
      <c r="J4018" s="356">
        <v>2</v>
      </c>
      <c r="K4018" s="356">
        <v>1</v>
      </c>
      <c r="L4018" s="356">
        <v>0</v>
      </c>
      <c r="M4018" s="356">
        <v>4</v>
      </c>
      <c r="N4018" s="356">
        <v>3</v>
      </c>
    </row>
    <row r="4019" spans="1:14" hidden="1" x14ac:dyDescent="0.25">
      <c r="A4019" s="356">
        <v>0</v>
      </c>
      <c r="B4019" s="356">
        <v>1</v>
      </c>
      <c r="C4019" s="356">
        <v>0</v>
      </c>
      <c r="D4019" s="356">
        <v>2</v>
      </c>
      <c r="E4019" s="356">
        <v>1</v>
      </c>
      <c r="F4019" s="356">
        <v>1</v>
      </c>
      <c r="G4019" s="356">
        <v>1</v>
      </c>
      <c r="H4019" s="356">
        <v>1</v>
      </c>
      <c r="I4019" s="356">
        <v>1</v>
      </c>
      <c r="J4019" s="356">
        <v>1</v>
      </c>
      <c r="K4019" s="356">
        <v>0</v>
      </c>
      <c r="L4019" s="356">
        <v>0</v>
      </c>
      <c r="M4019" s="356">
        <v>3</v>
      </c>
      <c r="N4019" s="356">
        <v>6</v>
      </c>
    </row>
    <row r="4020" spans="1:14" hidden="1" x14ac:dyDescent="0.25">
      <c r="A4020" s="356">
        <v>1</v>
      </c>
      <c r="B4020" s="356">
        <v>0</v>
      </c>
      <c r="C4020" s="356">
        <v>1</v>
      </c>
      <c r="D4020" s="356">
        <v>1</v>
      </c>
      <c r="E4020" s="356">
        <v>1</v>
      </c>
      <c r="F4020" s="356">
        <v>0</v>
      </c>
      <c r="G4020" s="356">
        <v>1</v>
      </c>
      <c r="H4020" s="356">
        <v>0</v>
      </c>
      <c r="I4020" s="356">
        <v>1</v>
      </c>
      <c r="J4020" s="356">
        <v>1</v>
      </c>
      <c r="K4020" s="356">
        <v>0</v>
      </c>
      <c r="L4020" s="356">
        <v>0</v>
      </c>
      <c r="M4020" s="356">
        <v>5</v>
      </c>
      <c r="N4020" s="356">
        <v>2</v>
      </c>
    </row>
    <row r="4021" spans="1:14" hidden="1" x14ac:dyDescent="0.25">
      <c r="A4021" s="356">
        <v>0</v>
      </c>
      <c r="B4021" s="356">
        <v>0</v>
      </c>
      <c r="C4021" s="356">
        <v>1</v>
      </c>
      <c r="D4021" s="356">
        <v>3</v>
      </c>
      <c r="E4021" s="356">
        <v>1</v>
      </c>
      <c r="F4021" s="356">
        <v>4</v>
      </c>
      <c r="G4021" s="356">
        <v>0</v>
      </c>
      <c r="H4021" s="356">
        <v>1</v>
      </c>
      <c r="I4021" s="356">
        <v>0</v>
      </c>
      <c r="J4021" s="356">
        <v>0</v>
      </c>
      <c r="K4021" s="356">
        <v>0</v>
      </c>
      <c r="L4021" s="356">
        <v>1</v>
      </c>
      <c r="M4021" s="356">
        <v>2</v>
      </c>
      <c r="N4021" s="356">
        <v>9</v>
      </c>
    </row>
    <row r="4022" spans="1:14" hidden="1" x14ac:dyDescent="0.25">
      <c r="A4022" s="356">
        <v>0</v>
      </c>
      <c r="B4022" s="356">
        <v>0</v>
      </c>
      <c r="C4022" s="356">
        <v>1</v>
      </c>
      <c r="D4022" s="356">
        <v>3</v>
      </c>
      <c r="E4022" s="356">
        <v>1</v>
      </c>
      <c r="F4022" s="356">
        <v>4</v>
      </c>
      <c r="G4022" s="356">
        <v>0</v>
      </c>
      <c r="H4022" s="356">
        <v>1</v>
      </c>
      <c r="I4022" s="356">
        <v>0</v>
      </c>
      <c r="J4022" s="356">
        <v>0</v>
      </c>
      <c r="K4022" s="356">
        <v>0</v>
      </c>
      <c r="L4022" s="356">
        <v>1</v>
      </c>
      <c r="M4022" s="356">
        <v>2</v>
      </c>
      <c r="N4022" s="356">
        <v>9</v>
      </c>
    </row>
    <row r="4023" spans="1:14" hidden="1" x14ac:dyDescent="0.25">
      <c r="A4023" s="356">
        <v>2</v>
      </c>
      <c r="B4023" s="356">
        <v>1</v>
      </c>
      <c r="C4023" s="356">
        <v>2</v>
      </c>
      <c r="D4023" s="356">
        <v>2</v>
      </c>
      <c r="E4023" s="356">
        <v>1</v>
      </c>
      <c r="F4023" s="356">
        <v>3</v>
      </c>
      <c r="G4023" s="356">
        <v>1</v>
      </c>
      <c r="H4023" s="356">
        <v>0</v>
      </c>
      <c r="I4023" s="356">
        <v>1</v>
      </c>
      <c r="J4023" s="356">
        <v>1</v>
      </c>
      <c r="K4023" s="356">
        <v>0</v>
      </c>
      <c r="L4023" s="356">
        <v>0</v>
      </c>
      <c r="M4023" s="356">
        <v>7</v>
      </c>
      <c r="N4023" s="356">
        <v>7</v>
      </c>
    </row>
    <row r="4024" spans="1:14" hidden="1" x14ac:dyDescent="0.25">
      <c r="A4024" s="356">
        <v>0</v>
      </c>
      <c r="B4024" s="356">
        <v>0</v>
      </c>
      <c r="C4024" s="356">
        <v>1</v>
      </c>
      <c r="D4024" s="356">
        <v>1</v>
      </c>
      <c r="E4024" s="356"/>
      <c r="F4024" s="356">
        <v>0</v>
      </c>
      <c r="G4024" s="356">
        <v>0</v>
      </c>
      <c r="H4024" s="356">
        <v>0</v>
      </c>
      <c r="I4024" s="356">
        <v>1</v>
      </c>
      <c r="J4024" s="356">
        <v>1</v>
      </c>
      <c r="K4024" s="356">
        <v>0</v>
      </c>
      <c r="L4024" s="356">
        <v>0</v>
      </c>
      <c r="M4024" s="356">
        <v>2</v>
      </c>
      <c r="N4024" s="356">
        <v>2</v>
      </c>
    </row>
    <row r="4025" spans="1:14" hidden="1" x14ac:dyDescent="0.25">
      <c r="A4025" s="356">
        <v>0</v>
      </c>
      <c r="B4025" s="356">
        <v>0</v>
      </c>
      <c r="C4025" s="356">
        <v>2</v>
      </c>
      <c r="D4025" s="356">
        <v>0</v>
      </c>
      <c r="E4025" s="356">
        <v>0</v>
      </c>
      <c r="F4025" s="356">
        <v>2</v>
      </c>
      <c r="G4025" s="356">
        <v>0</v>
      </c>
      <c r="H4025" s="356">
        <v>2</v>
      </c>
      <c r="I4025" s="356">
        <v>0</v>
      </c>
      <c r="J4025" s="356">
        <v>1</v>
      </c>
      <c r="K4025" s="356">
        <v>0</v>
      </c>
      <c r="L4025" s="356">
        <v>0</v>
      </c>
      <c r="M4025" s="356">
        <v>2</v>
      </c>
      <c r="N4025" s="356">
        <v>5</v>
      </c>
    </row>
    <row r="4026" spans="1:14" hidden="1" x14ac:dyDescent="0.25">
      <c r="A4026" s="356">
        <v>0</v>
      </c>
      <c r="B4026" s="356">
        <v>0</v>
      </c>
      <c r="C4026" s="356">
        <v>0</v>
      </c>
      <c r="D4026" s="356">
        <v>0</v>
      </c>
      <c r="E4026" s="356">
        <v>0</v>
      </c>
      <c r="F4026" s="356">
        <v>0</v>
      </c>
      <c r="G4026" s="356">
        <v>0</v>
      </c>
      <c r="H4026" s="356">
        <v>0</v>
      </c>
      <c r="I4026" s="356">
        <v>0</v>
      </c>
      <c r="J4026" s="356">
        <v>1</v>
      </c>
      <c r="K4026" s="356">
        <v>0</v>
      </c>
      <c r="L4026" s="356">
        <v>0</v>
      </c>
      <c r="M4026" s="356">
        <v>0</v>
      </c>
      <c r="N4026" s="356">
        <v>1</v>
      </c>
    </row>
    <row r="4027" spans="1:14" hidden="1" x14ac:dyDescent="0.25">
      <c r="A4027" s="356">
        <v>2</v>
      </c>
      <c r="B4027" s="356">
        <v>1</v>
      </c>
      <c r="C4027" s="356">
        <v>2</v>
      </c>
      <c r="D4027" s="356">
        <v>2</v>
      </c>
      <c r="E4027" s="356">
        <v>2</v>
      </c>
      <c r="F4027" s="356">
        <v>2</v>
      </c>
      <c r="G4027" s="356">
        <v>0</v>
      </c>
      <c r="H4027" s="356">
        <v>2</v>
      </c>
      <c r="I4027" s="356">
        <v>1</v>
      </c>
      <c r="J4027" s="356">
        <v>1</v>
      </c>
      <c r="K4027" s="356">
        <v>0</v>
      </c>
      <c r="L4027" s="356">
        <v>0</v>
      </c>
      <c r="M4027" s="356">
        <v>7</v>
      </c>
      <c r="N4027" s="356">
        <v>8</v>
      </c>
    </row>
    <row r="4028" spans="1:14" hidden="1" x14ac:dyDescent="0.25">
      <c r="A4028" s="356">
        <v>0</v>
      </c>
      <c r="B4028" s="356">
        <v>1</v>
      </c>
      <c r="C4028" s="356">
        <v>0</v>
      </c>
      <c r="D4028" s="356">
        <v>1</v>
      </c>
      <c r="E4028" s="356">
        <v>0</v>
      </c>
      <c r="F4028" s="356">
        <v>1</v>
      </c>
      <c r="G4028" s="356">
        <v>1</v>
      </c>
      <c r="H4028" s="356">
        <v>1</v>
      </c>
      <c r="I4028" s="356">
        <v>1</v>
      </c>
      <c r="J4028" s="356">
        <v>1</v>
      </c>
      <c r="K4028" s="356">
        <v>0</v>
      </c>
      <c r="L4028" s="356">
        <v>0</v>
      </c>
      <c r="M4028" s="356">
        <v>2</v>
      </c>
      <c r="N4028" s="356">
        <v>5</v>
      </c>
    </row>
    <row r="4029" spans="1:14" hidden="1" x14ac:dyDescent="0.25">
      <c r="A4029" s="356">
        <v>2</v>
      </c>
      <c r="B4029" s="356">
        <v>2</v>
      </c>
      <c r="C4029" s="356">
        <v>2</v>
      </c>
      <c r="D4029" s="356">
        <v>3</v>
      </c>
      <c r="E4029" s="356">
        <v>2</v>
      </c>
      <c r="F4029" s="356">
        <v>2</v>
      </c>
      <c r="G4029" s="356">
        <v>0</v>
      </c>
      <c r="H4029" s="356">
        <v>4</v>
      </c>
      <c r="I4029" s="356">
        <v>1</v>
      </c>
      <c r="J4029" s="356">
        <v>1</v>
      </c>
      <c r="K4029" s="356">
        <v>1</v>
      </c>
      <c r="L4029" s="356">
        <v>1</v>
      </c>
      <c r="M4029" s="356">
        <v>8</v>
      </c>
      <c r="N4029" s="356">
        <v>13</v>
      </c>
    </row>
    <row r="4030" spans="1:14" hidden="1" x14ac:dyDescent="0.25">
      <c r="A4030" s="356">
        <v>0</v>
      </c>
      <c r="B4030" s="356">
        <v>0</v>
      </c>
      <c r="C4030" s="356">
        <v>1</v>
      </c>
      <c r="D4030" s="356">
        <v>0</v>
      </c>
      <c r="E4030" s="356">
        <v>1</v>
      </c>
      <c r="F4030" s="356">
        <v>1</v>
      </c>
      <c r="G4030" s="356">
        <v>0</v>
      </c>
      <c r="H4030" s="356">
        <v>1</v>
      </c>
      <c r="I4030" s="356">
        <v>1</v>
      </c>
      <c r="J4030" s="356">
        <v>1</v>
      </c>
      <c r="K4030" s="356">
        <v>0</v>
      </c>
      <c r="L4030" s="356">
        <v>0</v>
      </c>
      <c r="M4030" s="356">
        <v>3</v>
      </c>
      <c r="N4030" s="356">
        <v>3</v>
      </c>
    </row>
    <row r="4031" spans="1:14" hidden="1" x14ac:dyDescent="0.25">
      <c r="A4031" s="356">
        <v>0</v>
      </c>
      <c r="B4031" s="356">
        <v>0</v>
      </c>
      <c r="C4031" s="356">
        <v>0</v>
      </c>
      <c r="D4031" s="356">
        <v>0</v>
      </c>
      <c r="E4031" s="356">
        <v>2</v>
      </c>
      <c r="F4031" s="356">
        <v>1</v>
      </c>
      <c r="G4031" s="356">
        <v>1</v>
      </c>
      <c r="H4031" s="356">
        <v>2</v>
      </c>
      <c r="I4031" s="356">
        <v>1</v>
      </c>
      <c r="J4031" s="356">
        <v>2</v>
      </c>
      <c r="K4031" s="356">
        <v>0</v>
      </c>
      <c r="L4031" s="356">
        <v>0</v>
      </c>
      <c r="M4031" s="356">
        <v>4</v>
      </c>
      <c r="N4031" s="356">
        <v>5</v>
      </c>
    </row>
    <row r="4032" spans="1:14" hidden="1" x14ac:dyDescent="0.25">
      <c r="A4032" s="356">
        <v>1</v>
      </c>
      <c r="B4032" s="356">
        <v>0</v>
      </c>
      <c r="C4032" s="356">
        <v>1</v>
      </c>
      <c r="D4032" s="356">
        <v>2</v>
      </c>
      <c r="E4032" s="356">
        <v>0</v>
      </c>
      <c r="F4032" s="356">
        <v>2</v>
      </c>
      <c r="G4032" s="356">
        <v>0</v>
      </c>
      <c r="H4032" s="356">
        <v>0</v>
      </c>
      <c r="I4032" s="356">
        <v>1</v>
      </c>
      <c r="J4032" s="356">
        <v>1</v>
      </c>
      <c r="K4032" s="356">
        <v>0</v>
      </c>
      <c r="L4032" s="356">
        <v>0</v>
      </c>
      <c r="M4032" s="356">
        <v>3</v>
      </c>
      <c r="N4032" s="356">
        <v>5</v>
      </c>
    </row>
    <row r="4033" spans="1:14" hidden="1" x14ac:dyDescent="0.25">
      <c r="A4033" s="356">
        <v>1</v>
      </c>
      <c r="B4033" s="356">
        <v>0</v>
      </c>
      <c r="C4033" s="356">
        <v>1</v>
      </c>
      <c r="D4033" s="356">
        <v>2</v>
      </c>
      <c r="E4033" s="356">
        <v>0</v>
      </c>
      <c r="F4033" s="356">
        <v>3</v>
      </c>
      <c r="G4033" s="356">
        <v>0</v>
      </c>
      <c r="H4033" s="356">
        <v>0</v>
      </c>
      <c r="I4033" s="356">
        <v>1</v>
      </c>
      <c r="J4033" s="356"/>
      <c r="K4033" s="356">
        <v>1</v>
      </c>
      <c r="L4033" s="356">
        <v>1</v>
      </c>
      <c r="M4033" s="356">
        <v>4</v>
      </c>
      <c r="N4033" s="356">
        <v>6</v>
      </c>
    </row>
    <row r="4034" spans="1:14" hidden="1" x14ac:dyDescent="0.25">
      <c r="A4034" s="356">
        <v>0</v>
      </c>
      <c r="B4034" s="356">
        <v>1</v>
      </c>
      <c r="C4034" s="356">
        <v>1</v>
      </c>
      <c r="D4034" s="356">
        <v>0</v>
      </c>
      <c r="E4034" s="356">
        <v>0</v>
      </c>
      <c r="F4034" s="356">
        <v>0</v>
      </c>
      <c r="G4034" s="356">
        <v>0</v>
      </c>
      <c r="H4034" s="356">
        <v>0</v>
      </c>
      <c r="I4034" s="356">
        <v>1</v>
      </c>
      <c r="J4034" s="356">
        <v>1</v>
      </c>
      <c r="K4034" s="356">
        <v>0</v>
      </c>
      <c r="L4034" s="356">
        <v>0</v>
      </c>
      <c r="M4034" s="356">
        <v>2</v>
      </c>
      <c r="N4034" s="356">
        <v>2</v>
      </c>
    </row>
    <row r="4035" spans="1:14" hidden="1" x14ac:dyDescent="0.25">
      <c r="A4035" s="356">
        <v>1</v>
      </c>
      <c r="B4035" s="356"/>
      <c r="C4035" s="356">
        <v>0</v>
      </c>
      <c r="D4035" s="356">
        <v>1</v>
      </c>
      <c r="E4035" s="356">
        <v>1</v>
      </c>
      <c r="F4035" s="356">
        <v>1</v>
      </c>
      <c r="G4035" s="356">
        <v>2</v>
      </c>
      <c r="H4035" s="356">
        <v>0</v>
      </c>
      <c r="I4035" s="356">
        <v>1</v>
      </c>
      <c r="J4035" s="356">
        <v>2</v>
      </c>
      <c r="K4035" s="356">
        <v>0</v>
      </c>
      <c r="L4035" s="356">
        <v>0</v>
      </c>
      <c r="M4035" s="356">
        <v>5</v>
      </c>
      <c r="N4035" s="356">
        <v>4</v>
      </c>
    </row>
    <row r="4036" spans="1:14" hidden="1" x14ac:dyDescent="0.25">
      <c r="A4036" s="356">
        <v>2</v>
      </c>
      <c r="B4036" s="356">
        <v>3</v>
      </c>
      <c r="C4036" s="356">
        <v>1</v>
      </c>
      <c r="D4036" s="356">
        <v>1</v>
      </c>
      <c r="E4036" s="356">
        <v>1</v>
      </c>
      <c r="F4036" s="356">
        <v>2</v>
      </c>
      <c r="G4036" s="356">
        <v>2</v>
      </c>
      <c r="H4036" s="356">
        <v>0</v>
      </c>
      <c r="I4036" s="356">
        <v>2</v>
      </c>
      <c r="J4036" s="356">
        <v>1</v>
      </c>
      <c r="K4036" s="356">
        <v>0</v>
      </c>
      <c r="L4036" s="356">
        <v>0</v>
      </c>
      <c r="M4036" s="356">
        <v>8</v>
      </c>
      <c r="N4036" s="356">
        <v>7</v>
      </c>
    </row>
    <row r="4037" spans="1:14" hidden="1" x14ac:dyDescent="0.25">
      <c r="A4037" s="356">
        <v>1</v>
      </c>
      <c r="B4037" s="356">
        <v>2</v>
      </c>
      <c r="C4037" s="356">
        <v>2</v>
      </c>
      <c r="D4037" s="356">
        <v>2</v>
      </c>
      <c r="E4037" s="356">
        <v>1</v>
      </c>
      <c r="F4037" s="356">
        <v>2</v>
      </c>
      <c r="G4037" s="356">
        <v>1</v>
      </c>
      <c r="H4037" s="356">
        <v>1</v>
      </c>
      <c r="I4037" s="356">
        <v>1</v>
      </c>
      <c r="J4037" s="356">
        <v>2</v>
      </c>
      <c r="K4037" s="356">
        <v>0</v>
      </c>
      <c r="L4037" s="356">
        <v>0</v>
      </c>
      <c r="M4037" s="356">
        <v>6</v>
      </c>
      <c r="N4037" s="356">
        <v>9</v>
      </c>
    </row>
    <row r="4038" spans="1:14" hidden="1" x14ac:dyDescent="0.25">
      <c r="A4038" s="356">
        <v>1</v>
      </c>
      <c r="B4038" s="356">
        <v>0</v>
      </c>
      <c r="C4038" s="356">
        <v>2</v>
      </c>
      <c r="D4038" s="356">
        <v>2</v>
      </c>
      <c r="E4038" s="356">
        <v>2</v>
      </c>
      <c r="F4038" s="356">
        <v>0</v>
      </c>
      <c r="G4038" s="356">
        <v>0</v>
      </c>
      <c r="H4038" s="356">
        <v>0</v>
      </c>
      <c r="I4038" s="356">
        <v>1</v>
      </c>
      <c r="J4038" s="356">
        <v>1</v>
      </c>
      <c r="K4038" s="356">
        <v>0</v>
      </c>
      <c r="L4038" s="356">
        <v>0</v>
      </c>
      <c r="M4038" s="356">
        <v>6</v>
      </c>
      <c r="N4038" s="356">
        <v>3</v>
      </c>
    </row>
    <row r="4039" spans="1:14" hidden="1" x14ac:dyDescent="0.25">
      <c r="A4039" s="356">
        <v>0</v>
      </c>
      <c r="B4039" s="356">
        <v>1</v>
      </c>
      <c r="C4039" s="356">
        <v>1</v>
      </c>
      <c r="D4039" s="356">
        <v>0</v>
      </c>
      <c r="E4039" s="356">
        <v>0</v>
      </c>
      <c r="F4039" s="356">
        <v>1</v>
      </c>
      <c r="G4039" s="356">
        <v>1</v>
      </c>
      <c r="H4039" s="356">
        <v>0</v>
      </c>
      <c r="I4039" s="356">
        <v>0</v>
      </c>
      <c r="J4039" s="356">
        <v>1</v>
      </c>
      <c r="K4039" s="356">
        <v>1</v>
      </c>
      <c r="L4039" s="356">
        <v>0</v>
      </c>
      <c r="M4039" s="356">
        <v>3</v>
      </c>
      <c r="N4039" s="356">
        <v>3</v>
      </c>
    </row>
    <row r="4040" spans="1:14" hidden="1" x14ac:dyDescent="0.25">
      <c r="A4040" s="356">
        <v>1</v>
      </c>
      <c r="B4040" s="356">
        <v>0</v>
      </c>
      <c r="C4040" s="356">
        <v>0</v>
      </c>
      <c r="D4040" s="356">
        <v>1</v>
      </c>
      <c r="E4040" s="356">
        <v>1</v>
      </c>
      <c r="F4040" s="356">
        <v>0</v>
      </c>
      <c r="G4040" s="356">
        <v>1</v>
      </c>
      <c r="H4040" s="356">
        <v>0</v>
      </c>
      <c r="I4040" s="356">
        <v>2</v>
      </c>
      <c r="J4040" s="356">
        <v>1</v>
      </c>
      <c r="K4040" s="356">
        <v>0</v>
      </c>
      <c r="L4040" s="356">
        <v>0</v>
      </c>
      <c r="M4040" s="356">
        <v>5</v>
      </c>
      <c r="N4040" s="356">
        <v>2</v>
      </c>
    </row>
    <row r="4041" spans="1:14" hidden="1" x14ac:dyDescent="0.25">
      <c r="A4041" s="356">
        <v>1</v>
      </c>
      <c r="B4041" s="356">
        <v>0</v>
      </c>
      <c r="C4041" s="356">
        <v>1</v>
      </c>
      <c r="D4041" s="356">
        <v>1</v>
      </c>
      <c r="E4041" s="356">
        <v>0</v>
      </c>
      <c r="F4041" s="356">
        <v>0</v>
      </c>
      <c r="G4041" s="356">
        <v>0</v>
      </c>
      <c r="H4041" s="356">
        <v>0</v>
      </c>
      <c r="I4041" s="356">
        <v>1</v>
      </c>
      <c r="J4041" s="356">
        <v>1</v>
      </c>
      <c r="K4041" s="356">
        <v>0</v>
      </c>
      <c r="L4041" s="356">
        <v>0</v>
      </c>
      <c r="M4041" s="356">
        <v>3</v>
      </c>
      <c r="N4041" s="356">
        <v>2</v>
      </c>
    </row>
    <row r="4042" spans="1:14" hidden="1" x14ac:dyDescent="0.25">
      <c r="A4042" s="356">
        <v>0</v>
      </c>
      <c r="B4042" s="356">
        <v>0</v>
      </c>
      <c r="C4042" s="356">
        <v>1</v>
      </c>
      <c r="D4042" s="356">
        <v>2</v>
      </c>
      <c r="E4042" s="356">
        <v>0</v>
      </c>
      <c r="F4042" s="356">
        <v>2</v>
      </c>
      <c r="G4042" s="356">
        <v>0</v>
      </c>
      <c r="H4042" s="356">
        <v>0</v>
      </c>
      <c r="I4042" s="356">
        <v>1</v>
      </c>
      <c r="J4042" s="356">
        <v>1</v>
      </c>
      <c r="K4042" s="356">
        <v>0</v>
      </c>
      <c r="L4042" s="356">
        <v>0</v>
      </c>
      <c r="M4042" s="356">
        <v>2</v>
      </c>
      <c r="N4042" s="356">
        <v>5</v>
      </c>
    </row>
    <row r="4043" spans="1:14" hidden="1" x14ac:dyDescent="0.25">
      <c r="A4043" s="356">
        <v>1</v>
      </c>
      <c r="B4043" s="356">
        <v>1</v>
      </c>
      <c r="C4043" s="356">
        <v>1</v>
      </c>
      <c r="D4043" s="356">
        <v>0</v>
      </c>
      <c r="E4043" s="356">
        <v>0</v>
      </c>
      <c r="F4043" s="356">
        <v>1</v>
      </c>
      <c r="G4043" s="356">
        <v>0</v>
      </c>
      <c r="H4043" s="356">
        <v>0</v>
      </c>
      <c r="I4043" s="356">
        <v>0</v>
      </c>
      <c r="J4043" s="356">
        <v>1</v>
      </c>
      <c r="K4043" s="356">
        <v>1</v>
      </c>
      <c r="L4043" s="356">
        <v>0</v>
      </c>
      <c r="M4043" s="356">
        <v>3</v>
      </c>
      <c r="N4043" s="356">
        <v>3</v>
      </c>
    </row>
    <row r="4044" spans="1:14" hidden="1" x14ac:dyDescent="0.25">
      <c r="A4044" s="356">
        <v>1</v>
      </c>
      <c r="B4044" s="356">
        <v>0</v>
      </c>
      <c r="C4044" s="356">
        <v>1</v>
      </c>
      <c r="D4044" s="356">
        <v>2</v>
      </c>
      <c r="E4044" s="356">
        <v>0</v>
      </c>
      <c r="F4044" s="356">
        <v>2</v>
      </c>
      <c r="G4044" s="356">
        <v>0</v>
      </c>
      <c r="H4044" s="356">
        <v>0</v>
      </c>
      <c r="I4044" s="356">
        <v>1</v>
      </c>
      <c r="J4044" s="356">
        <v>3</v>
      </c>
      <c r="K4044" s="356">
        <v>0</v>
      </c>
      <c r="L4044" s="356">
        <v>0</v>
      </c>
      <c r="M4044" s="356">
        <v>3</v>
      </c>
      <c r="N4044" s="356">
        <v>7</v>
      </c>
    </row>
    <row r="4045" spans="1:14" hidden="1" x14ac:dyDescent="0.25">
      <c r="A4045" s="356">
        <v>0</v>
      </c>
      <c r="B4045" s="356">
        <v>1</v>
      </c>
      <c r="C4045" s="356">
        <v>2</v>
      </c>
      <c r="D4045" s="356">
        <v>2</v>
      </c>
      <c r="E4045" s="356">
        <v>2</v>
      </c>
      <c r="F4045" s="356">
        <v>3</v>
      </c>
      <c r="G4045" s="356">
        <v>1</v>
      </c>
      <c r="H4045" s="356">
        <v>3</v>
      </c>
      <c r="I4045" s="356">
        <v>1</v>
      </c>
      <c r="J4045" s="356">
        <v>1</v>
      </c>
      <c r="K4045" s="356">
        <v>0</v>
      </c>
      <c r="L4045" s="356">
        <v>0</v>
      </c>
      <c r="M4045" s="356">
        <v>6</v>
      </c>
      <c r="N4045" s="356">
        <v>10</v>
      </c>
    </row>
    <row r="4046" spans="1:14" hidden="1" x14ac:dyDescent="0.25">
      <c r="A4046" s="356">
        <v>1</v>
      </c>
      <c r="B4046" s="356">
        <v>0</v>
      </c>
      <c r="C4046" s="356">
        <v>1</v>
      </c>
      <c r="D4046" s="356">
        <v>1</v>
      </c>
      <c r="E4046" s="356">
        <v>0</v>
      </c>
      <c r="F4046" s="356">
        <v>1</v>
      </c>
      <c r="G4046" s="356">
        <v>0</v>
      </c>
      <c r="H4046" s="356">
        <v>1</v>
      </c>
      <c r="I4046" s="356">
        <v>2</v>
      </c>
      <c r="J4046" s="356">
        <v>3</v>
      </c>
      <c r="K4046" s="356">
        <v>0</v>
      </c>
      <c r="L4046" s="356">
        <v>0</v>
      </c>
      <c r="M4046" s="356">
        <v>4</v>
      </c>
      <c r="N4046" s="356">
        <v>6</v>
      </c>
    </row>
    <row r="4047" spans="1:14" hidden="1" x14ac:dyDescent="0.25">
      <c r="A4047" s="356">
        <v>1</v>
      </c>
      <c r="B4047" s="356">
        <v>0</v>
      </c>
      <c r="C4047" s="356">
        <v>1</v>
      </c>
      <c r="D4047" s="356">
        <v>1</v>
      </c>
      <c r="E4047" s="356">
        <v>0</v>
      </c>
      <c r="F4047" s="356">
        <v>0</v>
      </c>
      <c r="G4047" s="356">
        <v>0</v>
      </c>
      <c r="H4047" s="356">
        <v>0</v>
      </c>
      <c r="I4047" s="356">
        <v>1</v>
      </c>
      <c r="J4047" s="356">
        <v>1</v>
      </c>
      <c r="K4047" s="356">
        <v>0</v>
      </c>
      <c r="L4047" s="356">
        <v>0</v>
      </c>
      <c r="M4047" s="356">
        <v>3</v>
      </c>
      <c r="N4047" s="356">
        <v>2</v>
      </c>
    </row>
    <row r="4048" spans="1:14" hidden="1" x14ac:dyDescent="0.25">
      <c r="A4048" s="356">
        <v>0</v>
      </c>
      <c r="B4048" s="356">
        <v>0</v>
      </c>
      <c r="C4048" s="356">
        <v>1</v>
      </c>
      <c r="D4048" s="356">
        <v>1</v>
      </c>
      <c r="E4048" s="356">
        <v>2</v>
      </c>
      <c r="F4048" s="356">
        <v>1</v>
      </c>
      <c r="G4048" s="356">
        <v>0</v>
      </c>
      <c r="H4048" s="356">
        <v>1</v>
      </c>
      <c r="I4048" s="356">
        <v>2</v>
      </c>
      <c r="J4048" s="356">
        <v>1</v>
      </c>
      <c r="K4048" s="356">
        <v>0</v>
      </c>
      <c r="L4048" s="356">
        <v>0</v>
      </c>
      <c r="M4048" s="356">
        <v>5</v>
      </c>
      <c r="N4048" s="356">
        <v>4</v>
      </c>
    </row>
    <row r="4049" spans="1:14" hidden="1" x14ac:dyDescent="0.25">
      <c r="A4049" s="356">
        <v>1</v>
      </c>
      <c r="B4049" s="356">
        <v>1</v>
      </c>
      <c r="C4049" s="356">
        <v>2</v>
      </c>
      <c r="D4049" s="356">
        <v>0</v>
      </c>
      <c r="E4049" s="356">
        <v>0</v>
      </c>
      <c r="F4049" s="356">
        <v>0</v>
      </c>
      <c r="G4049" s="356">
        <v>1</v>
      </c>
      <c r="H4049" s="356">
        <v>1</v>
      </c>
      <c r="I4049" s="356">
        <v>1</v>
      </c>
      <c r="J4049" s="356">
        <v>1</v>
      </c>
      <c r="K4049" s="356">
        <v>0</v>
      </c>
      <c r="L4049" s="356">
        <v>0</v>
      </c>
      <c r="M4049" s="356">
        <v>5</v>
      </c>
      <c r="N4049" s="356">
        <v>3</v>
      </c>
    </row>
    <row r="4050" spans="1:14" hidden="1" x14ac:dyDescent="0.25">
      <c r="A4050" s="356">
        <v>1</v>
      </c>
      <c r="B4050" s="356">
        <v>0</v>
      </c>
      <c r="C4050" s="356">
        <v>0</v>
      </c>
      <c r="D4050" s="356">
        <v>1</v>
      </c>
      <c r="E4050" s="356">
        <v>0</v>
      </c>
      <c r="F4050" s="356">
        <v>0</v>
      </c>
      <c r="G4050" s="356">
        <v>0</v>
      </c>
      <c r="H4050" s="356">
        <v>0</v>
      </c>
      <c r="I4050" s="356">
        <v>1</v>
      </c>
      <c r="J4050" s="356">
        <v>1</v>
      </c>
      <c r="K4050" s="356">
        <v>0</v>
      </c>
      <c r="L4050" s="356">
        <v>0</v>
      </c>
      <c r="M4050" s="356">
        <v>2</v>
      </c>
      <c r="N4050" s="356">
        <v>2</v>
      </c>
    </row>
    <row r="4051" spans="1:14" hidden="1" x14ac:dyDescent="0.25">
      <c r="A4051" s="356">
        <v>1</v>
      </c>
      <c r="B4051" s="356">
        <v>0</v>
      </c>
      <c r="C4051" s="356">
        <v>1</v>
      </c>
      <c r="D4051" s="356">
        <v>2</v>
      </c>
      <c r="E4051" s="356">
        <v>0</v>
      </c>
      <c r="F4051" s="356">
        <v>2</v>
      </c>
      <c r="G4051" s="356">
        <v>0</v>
      </c>
      <c r="H4051" s="356">
        <v>0</v>
      </c>
      <c r="I4051" s="356">
        <v>1</v>
      </c>
      <c r="J4051" s="356">
        <v>3</v>
      </c>
      <c r="K4051" s="356">
        <v>0</v>
      </c>
      <c r="L4051" s="356">
        <v>0</v>
      </c>
      <c r="M4051" s="356">
        <v>3</v>
      </c>
      <c r="N4051" s="356">
        <v>7</v>
      </c>
    </row>
    <row r="4052" spans="1:14" hidden="1" x14ac:dyDescent="0.25">
      <c r="A4052" s="356">
        <v>1</v>
      </c>
      <c r="B4052" s="356">
        <v>0</v>
      </c>
      <c r="C4052" s="356">
        <v>1</v>
      </c>
      <c r="D4052" s="356">
        <v>1</v>
      </c>
      <c r="E4052" s="356">
        <v>0</v>
      </c>
      <c r="F4052" s="356">
        <v>1</v>
      </c>
      <c r="G4052" s="356">
        <v>0</v>
      </c>
      <c r="H4052" s="356">
        <v>0</v>
      </c>
      <c r="I4052" s="356">
        <v>1</v>
      </c>
      <c r="J4052" s="356">
        <v>1</v>
      </c>
      <c r="K4052" s="356">
        <v>0</v>
      </c>
      <c r="L4052" s="356">
        <v>0</v>
      </c>
      <c r="M4052" s="356">
        <v>3</v>
      </c>
      <c r="N4052" s="356">
        <v>3</v>
      </c>
    </row>
    <row r="4053" spans="1:14" hidden="1" x14ac:dyDescent="0.25">
      <c r="A4053" s="356">
        <v>1</v>
      </c>
      <c r="B4053" s="356">
        <v>1</v>
      </c>
      <c r="C4053" s="356">
        <v>0</v>
      </c>
      <c r="D4053" s="356">
        <v>1</v>
      </c>
      <c r="E4053" s="356">
        <v>0</v>
      </c>
      <c r="F4053" s="356">
        <v>0</v>
      </c>
      <c r="G4053" s="356">
        <v>0</v>
      </c>
      <c r="H4053" s="356">
        <v>0</v>
      </c>
      <c r="I4053" s="356">
        <v>1</v>
      </c>
      <c r="J4053" s="356">
        <v>1</v>
      </c>
      <c r="K4053" s="356">
        <v>0</v>
      </c>
      <c r="L4053" s="356">
        <v>0</v>
      </c>
      <c r="M4053" s="356">
        <v>2</v>
      </c>
      <c r="N4053" s="356">
        <v>3</v>
      </c>
    </row>
    <row r="4054" spans="1:14" hidden="1" x14ac:dyDescent="0.25">
      <c r="A4054" s="356">
        <v>1</v>
      </c>
      <c r="B4054" s="356">
        <v>0</v>
      </c>
      <c r="C4054" s="356">
        <v>1</v>
      </c>
      <c r="D4054" s="356">
        <v>0</v>
      </c>
      <c r="E4054" s="356">
        <v>1</v>
      </c>
      <c r="F4054" s="356">
        <v>1</v>
      </c>
      <c r="G4054" s="356">
        <v>1</v>
      </c>
      <c r="H4054" s="356">
        <v>0</v>
      </c>
      <c r="I4054" s="356">
        <v>0</v>
      </c>
      <c r="J4054" s="356">
        <v>1</v>
      </c>
      <c r="K4054" s="356">
        <v>0</v>
      </c>
      <c r="L4054" s="356">
        <v>0</v>
      </c>
      <c r="M4054" s="356">
        <v>4</v>
      </c>
      <c r="N4054" s="356">
        <v>2</v>
      </c>
    </row>
    <row r="4055" spans="1:14" hidden="1" x14ac:dyDescent="0.25">
      <c r="A4055" s="356">
        <v>1</v>
      </c>
      <c r="B4055" s="356">
        <v>0</v>
      </c>
      <c r="C4055" s="356">
        <v>1</v>
      </c>
      <c r="D4055" s="356">
        <v>1</v>
      </c>
      <c r="E4055" s="356">
        <v>0</v>
      </c>
      <c r="F4055" s="356">
        <v>0</v>
      </c>
      <c r="G4055" s="356">
        <v>0</v>
      </c>
      <c r="H4055" s="356">
        <v>0</v>
      </c>
      <c r="I4055" s="356">
        <v>1</v>
      </c>
      <c r="J4055" s="356">
        <v>1</v>
      </c>
      <c r="K4055" s="356">
        <v>0</v>
      </c>
      <c r="L4055" s="356">
        <v>0</v>
      </c>
      <c r="M4055" s="356">
        <v>3</v>
      </c>
      <c r="N4055" s="356">
        <v>2</v>
      </c>
    </row>
    <row r="4056" spans="1:14" hidden="1" x14ac:dyDescent="0.25">
      <c r="A4056" s="356">
        <v>1</v>
      </c>
      <c r="B4056" s="356">
        <v>0</v>
      </c>
      <c r="C4056" s="356">
        <v>0</v>
      </c>
      <c r="D4056" s="356">
        <v>3</v>
      </c>
      <c r="E4056" s="356">
        <v>1</v>
      </c>
      <c r="F4056" s="356">
        <v>0</v>
      </c>
      <c r="G4056" s="356">
        <v>1</v>
      </c>
      <c r="H4056" s="356">
        <v>2</v>
      </c>
      <c r="I4056" s="356">
        <v>1</v>
      </c>
      <c r="J4056" s="356">
        <v>1</v>
      </c>
      <c r="K4056" s="356">
        <v>0</v>
      </c>
      <c r="L4056" s="356">
        <v>0</v>
      </c>
      <c r="M4056" s="356">
        <v>4</v>
      </c>
      <c r="N4056" s="356">
        <v>6</v>
      </c>
    </row>
    <row r="4057" spans="1:14" hidden="1" x14ac:dyDescent="0.25">
      <c r="A4057" s="356">
        <v>0</v>
      </c>
      <c r="B4057" s="356">
        <v>1</v>
      </c>
      <c r="C4057" s="356">
        <v>0</v>
      </c>
      <c r="D4057" s="356">
        <v>1</v>
      </c>
      <c r="E4057" s="356">
        <v>1</v>
      </c>
      <c r="F4057" s="356">
        <v>0</v>
      </c>
      <c r="G4057" s="356">
        <v>0</v>
      </c>
      <c r="H4057" s="356">
        <v>0</v>
      </c>
      <c r="I4057" s="356">
        <v>1</v>
      </c>
      <c r="J4057" s="356">
        <v>1</v>
      </c>
      <c r="K4057" s="356">
        <v>0</v>
      </c>
      <c r="L4057" s="356">
        <v>0</v>
      </c>
      <c r="M4057" s="356">
        <v>2</v>
      </c>
      <c r="N4057" s="356">
        <v>3</v>
      </c>
    </row>
    <row r="4058" spans="1:14" hidden="1" x14ac:dyDescent="0.25">
      <c r="A4058" s="356">
        <v>1</v>
      </c>
      <c r="B4058" s="356">
        <v>0</v>
      </c>
      <c r="C4058" s="356">
        <v>2</v>
      </c>
      <c r="D4058" s="356">
        <v>1</v>
      </c>
      <c r="E4058" s="356">
        <v>0</v>
      </c>
      <c r="F4058" s="356">
        <v>1</v>
      </c>
      <c r="G4058" s="356">
        <v>2</v>
      </c>
      <c r="H4058" s="356">
        <v>1</v>
      </c>
      <c r="I4058" s="356">
        <v>1</v>
      </c>
      <c r="J4058" s="356">
        <v>1</v>
      </c>
      <c r="K4058" s="356">
        <v>0</v>
      </c>
      <c r="L4058" s="356">
        <v>0</v>
      </c>
      <c r="M4058" s="356">
        <v>6</v>
      </c>
      <c r="N4058" s="356">
        <v>4</v>
      </c>
    </row>
    <row r="4059" spans="1:14" hidden="1" x14ac:dyDescent="0.25">
      <c r="A4059" s="357">
        <v>0</v>
      </c>
      <c r="B4059" s="357">
        <v>1</v>
      </c>
      <c r="C4059" s="357">
        <v>1</v>
      </c>
      <c r="D4059" s="357">
        <v>1</v>
      </c>
      <c r="E4059" s="357">
        <v>1</v>
      </c>
      <c r="F4059" s="357">
        <v>0</v>
      </c>
      <c r="G4059" s="357">
        <v>2</v>
      </c>
      <c r="H4059" s="357">
        <v>1</v>
      </c>
      <c r="I4059" s="357">
        <v>1</v>
      </c>
      <c r="J4059" s="357">
        <v>2</v>
      </c>
      <c r="K4059" s="357">
        <v>0</v>
      </c>
      <c r="L4059" s="357">
        <v>0</v>
      </c>
      <c r="M4059" s="357">
        <v>5</v>
      </c>
      <c r="N4059" s="357">
        <v>5</v>
      </c>
    </row>
    <row r="4060" spans="1:14" hidden="1" x14ac:dyDescent="0.25">
      <c r="A4060" s="357">
        <v>1</v>
      </c>
      <c r="B4060" s="357">
        <v>0</v>
      </c>
      <c r="C4060" s="357">
        <v>1</v>
      </c>
      <c r="D4060" s="357">
        <v>0</v>
      </c>
      <c r="E4060" s="357">
        <v>2</v>
      </c>
      <c r="F4060" s="357">
        <v>0</v>
      </c>
      <c r="G4060" s="357">
        <v>1</v>
      </c>
      <c r="H4060" s="357">
        <v>1</v>
      </c>
      <c r="I4060" s="357">
        <v>1</v>
      </c>
      <c r="J4060" s="357">
        <v>1</v>
      </c>
      <c r="K4060" s="357">
        <v>0</v>
      </c>
      <c r="L4060" s="357">
        <v>0</v>
      </c>
      <c r="M4060" s="357">
        <v>6</v>
      </c>
      <c r="N4060" s="357">
        <v>2</v>
      </c>
    </row>
    <row r="4061" spans="1:14" hidden="1" x14ac:dyDescent="0.25">
      <c r="A4061" s="357">
        <v>1</v>
      </c>
      <c r="B4061" s="357">
        <v>1</v>
      </c>
      <c r="C4061" s="357">
        <v>0</v>
      </c>
      <c r="D4061" s="357">
        <v>1</v>
      </c>
      <c r="E4061" s="357">
        <v>0</v>
      </c>
      <c r="F4061" s="357">
        <v>0</v>
      </c>
      <c r="G4061" s="357">
        <v>0</v>
      </c>
      <c r="H4061" s="357">
        <v>0</v>
      </c>
      <c r="I4061" s="357">
        <v>1</v>
      </c>
      <c r="J4061" s="357">
        <v>1</v>
      </c>
      <c r="K4061" s="357">
        <v>0</v>
      </c>
      <c r="L4061" s="357">
        <v>0</v>
      </c>
      <c r="M4061" s="357">
        <v>2</v>
      </c>
      <c r="N4061" s="357">
        <v>3</v>
      </c>
    </row>
    <row r="4062" spans="1:14" hidden="1" x14ac:dyDescent="0.25">
      <c r="A4062" s="357">
        <v>1</v>
      </c>
      <c r="B4062" s="357">
        <v>0</v>
      </c>
      <c r="C4062" s="357">
        <v>0</v>
      </c>
      <c r="D4062" s="357">
        <v>1</v>
      </c>
      <c r="E4062" s="357">
        <v>2</v>
      </c>
      <c r="F4062" s="357">
        <v>0</v>
      </c>
      <c r="G4062" s="357">
        <v>0</v>
      </c>
      <c r="H4062" s="357">
        <v>0</v>
      </c>
      <c r="I4062" s="357">
        <v>1</v>
      </c>
      <c r="J4062" s="357">
        <v>1</v>
      </c>
      <c r="K4062" s="357">
        <v>0</v>
      </c>
      <c r="L4062" s="357">
        <v>0</v>
      </c>
      <c r="M4062" s="357">
        <v>4</v>
      </c>
      <c r="N4062" s="357">
        <v>2</v>
      </c>
    </row>
    <row r="4063" spans="1:14" hidden="1" x14ac:dyDescent="0.25">
      <c r="A4063" s="357">
        <v>0</v>
      </c>
      <c r="B4063" s="357">
        <v>0</v>
      </c>
      <c r="C4063" s="357">
        <v>1</v>
      </c>
      <c r="D4063" s="357">
        <v>2</v>
      </c>
      <c r="E4063" s="357">
        <v>1</v>
      </c>
      <c r="F4063" s="357">
        <v>1</v>
      </c>
      <c r="G4063" s="357">
        <v>0</v>
      </c>
      <c r="H4063" s="357">
        <v>0</v>
      </c>
      <c r="I4063" s="357">
        <v>0</v>
      </c>
      <c r="J4063" s="357">
        <v>1</v>
      </c>
      <c r="K4063" s="357">
        <v>1</v>
      </c>
      <c r="L4063" s="357"/>
      <c r="M4063" s="357">
        <v>3</v>
      </c>
      <c r="N4063" s="357">
        <v>4</v>
      </c>
    </row>
    <row r="4064" spans="1:14" hidden="1" x14ac:dyDescent="0.25">
      <c r="A4064" s="357">
        <v>1</v>
      </c>
      <c r="B4064" s="357">
        <v>0</v>
      </c>
      <c r="C4064" s="357">
        <v>1</v>
      </c>
      <c r="D4064" s="357">
        <v>2</v>
      </c>
      <c r="E4064" s="357">
        <v>0</v>
      </c>
      <c r="F4064" s="357">
        <v>0</v>
      </c>
      <c r="G4064" s="357">
        <v>0</v>
      </c>
      <c r="H4064" s="357">
        <v>0</v>
      </c>
      <c r="I4064" s="357">
        <v>1</v>
      </c>
      <c r="J4064" s="357">
        <v>1</v>
      </c>
      <c r="K4064" s="357">
        <v>0</v>
      </c>
      <c r="L4064" s="357">
        <v>0</v>
      </c>
      <c r="M4064" s="357">
        <v>3</v>
      </c>
      <c r="N4064" s="357">
        <v>3</v>
      </c>
    </row>
    <row r="4065" spans="1:14" hidden="1" x14ac:dyDescent="0.25">
      <c r="A4065" s="357">
        <v>1</v>
      </c>
      <c r="B4065" s="357">
        <v>0</v>
      </c>
      <c r="C4065" s="357">
        <v>2</v>
      </c>
      <c r="D4065" s="357">
        <v>2</v>
      </c>
      <c r="E4065" s="357">
        <v>0</v>
      </c>
      <c r="F4065" s="357">
        <v>0</v>
      </c>
      <c r="G4065" s="357">
        <v>0</v>
      </c>
      <c r="H4065" s="357">
        <v>0</v>
      </c>
      <c r="I4065" s="357">
        <v>1</v>
      </c>
      <c r="J4065" s="357">
        <v>1</v>
      </c>
      <c r="K4065" s="357">
        <v>0</v>
      </c>
      <c r="L4065" s="357">
        <v>0</v>
      </c>
      <c r="M4065" s="357">
        <v>4</v>
      </c>
      <c r="N4065" s="357">
        <v>3</v>
      </c>
    </row>
    <row r="4066" spans="1:14" hidden="1" x14ac:dyDescent="0.25">
      <c r="A4066" s="357">
        <v>1</v>
      </c>
      <c r="B4066" s="357"/>
      <c r="C4066" s="357">
        <v>2</v>
      </c>
      <c r="D4066" s="357">
        <v>1</v>
      </c>
      <c r="E4066" s="357">
        <v>2</v>
      </c>
      <c r="F4066" s="357">
        <v>1</v>
      </c>
      <c r="G4066" s="357">
        <v>1</v>
      </c>
      <c r="H4066" s="357">
        <v>1</v>
      </c>
      <c r="I4066" s="357">
        <v>0</v>
      </c>
      <c r="J4066" s="357">
        <v>1</v>
      </c>
      <c r="K4066" s="357">
        <v>0</v>
      </c>
      <c r="L4066" s="357">
        <v>0</v>
      </c>
      <c r="M4066" s="357">
        <v>6</v>
      </c>
      <c r="N4066" s="357">
        <v>4</v>
      </c>
    </row>
    <row r="4067" spans="1:14" hidden="1" x14ac:dyDescent="0.25">
      <c r="A4067" s="357">
        <v>2</v>
      </c>
      <c r="B4067" s="357">
        <v>2</v>
      </c>
      <c r="C4067" s="357">
        <v>3</v>
      </c>
      <c r="D4067" s="357">
        <v>3</v>
      </c>
      <c r="E4067" s="357">
        <v>3</v>
      </c>
      <c r="F4067" s="357">
        <v>2</v>
      </c>
      <c r="G4067" s="357">
        <v>1</v>
      </c>
      <c r="H4067" s="357">
        <v>1</v>
      </c>
      <c r="I4067" s="357">
        <v>1</v>
      </c>
      <c r="J4067" s="357">
        <v>3</v>
      </c>
      <c r="K4067" s="357">
        <v>1</v>
      </c>
      <c r="L4067" s="357">
        <v>1</v>
      </c>
      <c r="M4067" s="357">
        <v>11</v>
      </c>
      <c r="N4067" s="357">
        <v>12</v>
      </c>
    </row>
    <row r="4068" spans="1:14" hidden="1" x14ac:dyDescent="0.25">
      <c r="A4068" s="357">
        <v>2</v>
      </c>
      <c r="B4068" s="357">
        <v>2</v>
      </c>
      <c r="C4068" s="357">
        <v>1</v>
      </c>
      <c r="D4068" s="357">
        <v>4</v>
      </c>
      <c r="E4068" s="357">
        <v>1</v>
      </c>
      <c r="F4068" s="357"/>
      <c r="G4068" s="357">
        <v>0</v>
      </c>
      <c r="H4068" s="357">
        <v>0</v>
      </c>
      <c r="I4068" s="357">
        <v>1</v>
      </c>
      <c r="J4068" s="357">
        <v>2</v>
      </c>
      <c r="K4068" s="357">
        <v>0</v>
      </c>
      <c r="L4068" s="357">
        <v>1</v>
      </c>
      <c r="M4068" s="357">
        <v>5</v>
      </c>
      <c r="N4068" s="357">
        <v>9</v>
      </c>
    </row>
    <row r="4069" spans="1:14" hidden="1" x14ac:dyDescent="0.25">
      <c r="A4069" s="357">
        <v>1</v>
      </c>
      <c r="B4069" s="357">
        <v>0</v>
      </c>
      <c r="C4069" s="357">
        <v>1</v>
      </c>
      <c r="D4069" s="357">
        <v>0</v>
      </c>
      <c r="E4069" s="357">
        <v>1</v>
      </c>
      <c r="F4069" s="357">
        <v>2</v>
      </c>
      <c r="G4069" s="357">
        <v>1</v>
      </c>
      <c r="H4069" s="357">
        <v>0</v>
      </c>
      <c r="I4069" s="357">
        <v>1</v>
      </c>
      <c r="J4069" s="357">
        <v>1</v>
      </c>
      <c r="K4069" s="357">
        <v>1</v>
      </c>
      <c r="L4069" s="357"/>
      <c r="M4069" s="357">
        <v>6</v>
      </c>
      <c r="N4069" s="357">
        <v>3</v>
      </c>
    </row>
    <row r="4070" spans="1:14" hidden="1" x14ac:dyDescent="0.25">
      <c r="A4070" s="357">
        <v>1</v>
      </c>
      <c r="B4070" s="357">
        <v>0</v>
      </c>
      <c r="C4070" s="357">
        <v>1</v>
      </c>
      <c r="D4070" s="357">
        <v>2</v>
      </c>
      <c r="E4070" s="357">
        <v>1</v>
      </c>
      <c r="F4070" s="357">
        <v>1</v>
      </c>
      <c r="G4070" s="357">
        <v>0</v>
      </c>
      <c r="H4070" s="357">
        <v>2</v>
      </c>
      <c r="I4070" s="357">
        <v>1</v>
      </c>
      <c r="J4070" s="357">
        <v>1</v>
      </c>
      <c r="K4070" s="357">
        <v>0</v>
      </c>
      <c r="L4070" s="357">
        <v>0</v>
      </c>
      <c r="M4070" s="357">
        <v>4</v>
      </c>
      <c r="N4070" s="357">
        <v>6</v>
      </c>
    </row>
    <row r="4071" spans="1:14" hidden="1" x14ac:dyDescent="0.25">
      <c r="A4071" s="357">
        <v>1</v>
      </c>
      <c r="B4071" s="357">
        <v>0</v>
      </c>
      <c r="C4071" s="357">
        <v>2</v>
      </c>
      <c r="D4071" s="357">
        <v>0</v>
      </c>
      <c r="E4071" s="357">
        <v>2</v>
      </c>
      <c r="F4071" s="357">
        <v>1</v>
      </c>
      <c r="G4071" s="357">
        <v>1</v>
      </c>
      <c r="H4071" s="357">
        <v>0</v>
      </c>
      <c r="I4071" s="357">
        <v>0</v>
      </c>
      <c r="J4071" s="357">
        <v>2</v>
      </c>
      <c r="K4071" s="357">
        <v>0</v>
      </c>
      <c r="L4071" s="357">
        <v>0</v>
      </c>
      <c r="M4071" s="357">
        <v>6</v>
      </c>
      <c r="N4071" s="357">
        <v>3</v>
      </c>
    </row>
    <row r="4072" spans="1:14" hidden="1" x14ac:dyDescent="0.25">
      <c r="A4072" s="357">
        <v>1</v>
      </c>
      <c r="B4072" s="357">
        <v>0</v>
      </c>
      <c r="C4072" s="357">
        <v>2</v>
      </c>
      <c r="D4072" s="357">
        <v>2</v>
      </c>
      <c r="E4072" s="357">
        <v>1</v>
      </c>
      <c r="F4072" s="357">
        <v>0</v>
      </c>
      <c r="G4072" s="357">
        <v>0</v>
      </c>
      <c r="H4072" s="357">
        <v>0</v>
      </c>
      <c r="I4072" s="357">
        <v>0</v>
      </c>
      <c r="J4072" s="357">
        <v>3</v>
      </c>
      <c r="K4072" s="357">
        <v>0</v>
      </c>
      <c r="L4072" s="357">
        <v>0</v>
      </c>
      <c r="M4072" s="357">
        <v>4</v>
      </c>
      <c r="N4072" s="357">
        <v>5</v>
      </c>
    </row>
    <row r="4073" spans="1:14" hidden="1" x14ac:dyDescent="0.25">
      <c r="A4073" s="357">
        <v>1</v>
      </c>
      <c r="B4073" s="357">
        <v>0</v>
      </c>
      <c r="C4073" s="357">
        <v>0</v>
      </c>
      <c r="D4073" s="357">
        <v>2</v>
      </c>
      <c r="E4073" s="357">
        <v>0</v>
      </c>
      <c r="F4073" s="357">
        <v>0</v>
      </c>
      <c r="G4073" s="357">
        <v>0</v>
      </c>
      <c r="H4073" s="357">
        <v>0</v>
      </c>
      <c r="I4073" s="357">
        <v>1</v>
      </c>
      <c r="J4073" s="357">
        <v>1</v>
      </c>
      <c r="K4073" s="357">
        <v>0</v>
      </c>
      <c r="L4073" s="357">
        <v>0</v>
      </c>
      <c r="M4073" s="357">
        <v>2</v>
      </c>
      <c r="N4073" s="357">
        <v>3</v>
      </c>
    </row>
    <row r="4074" spans="1:14" hidden="1" x14ac:dyDescent="0.25">
      <c r="A4074" s="357">
        <v>1</v>
      </c>
      <c r="B4074" s="357">
        <v>0</v>
      </c>
      <c r="C4074" s="357">
        <v>2</v>
      </c>
      <c r="D4074" s="357">
        <v>1</v>
      </c>
      <c r="E4074" s="357">
        <v>0</v>
      </c>
      <c r="F4074" s="357">
        <v>0</v>
      </c>
      <c r="G4074" s="357">
        <v>0</v>
      </c>
      <c r="H4074" s="357">
        <v>0</v>
      </c>
      <c r="I4074" s="357">
        <v>1</v>
      </c>
      <c r="J4074" s="357">
        <v>1</v>
      </c>
      <c r="K4074" s="357">
        <v>0</v>
      </c>
      <c r="L4074" s="357">
        <v>0</v>
      </c>
      <c r="M4074" s="357">
        <v>4</v>
      </c>
      <c r="N4074" s="357">
        <v>2</v>
      </c>
    </row>
    <row r="4075" spans="1:14" hidden="1" x14ac:dyDescent="0.25">
      <c r="A4075" s="357">
        <v>1</v>
      </c>
      <c r="B4075" s="357">
        <v>1</v>
      </c>
      <c r="C4075" s="357">
        <v>2</v>
      </c>
      <c r="D4075" s="357">
        <v>1</v>
      </c>
      <c r="E4075" s="357">
        <v>0</v>
      </c>
      <c r="F4075" s="357">
        <v>1</v>
      </c>
      <c r="G4075" s="357">
        <v>1</v>
      </c>
      <c r="H4075" s="357">
        <v>0</v>
      </c>
      <c r="I4075" s="357">
        <v>1</v>
      </c>
      <c r="J4075" s="357">
        <v>2</v>
      </c>
      <c r="K4075" s="357">
        <v>0</v>
      </c>
      <c r="L4075" s="357">
        <v>0</v>
      </c>
      <c r="M4075" s="357">
        <v>5</v>
      </c>
      <c r="N4075" s="357">
        <v>5</v>
      </c>
    </row>
    <row r="4076" spans="1:14" hidden="1" x14ac:dyDescent="0.25">
      <c r="A4076" s="357">
        <v>0</v>
      </c>
      <c r="B4076" s="357">
        <v>1</v>
      </c>
      <c r="C4076" s="357">
        <v>1</v>
      </c>
      <c r="D4076" s="357">
        <v>1</v>
      </c>
      <c r="E4076" s="357">
        <v>0</v>
      </c>
      <c r="F4076" s="357">
        <v>0</v>
      </c>
      <c r="G4076" s="357">
        <v>0</v>
      </c>
      <c r="H4076" s="357">
        <v>0</v>
      </c>
      <c r="I4076" s="357">
        <v>1</v>
      </c>
      <c r="J4076" s="357">
        <v>1</v>
      </c>
      <c r="K4076" s="357">
        <v>0</v>
      </c>
      <c r="L4076" s="357">
        <v>0</v>
      </c>
      <c r="M4076" s="357">
        <v>2</v>
      </c>
      <c r="N4076" s="357">
        <v>3</v>
      </c>
    </row>
    <row r="4077" spans="1:14" hidden="1" x14ac:dyDescent="0.25">
      <c r="A4077" s="357">
        <v>1</v>
      </c>
      <c r="B4077" s="357">
        <v>0</v>
      </c>
      <c r="C4077" s="357">
        <v>1</v>
      </c>
      <c r="D4077" s="357">
        <v>2</v>
      </c>
      <c r="E4077" s="357">
        <v>1</v>
      </c>
      <c r="F4077" s="357">
        <v>1</v>
      </c>
      <c r="G4077" s="357">
        <v>1</v>
      </c>
      <c r="H4077" s="357">
        <v>1</v>
      </c>
      <c r="I4077" s="357">
        <v>1</v>
      </c>
      <c r="J4077" s="357">
        <v>1</v>
      </c>
      <c r="K4077" s="357">
        <v>0</v>
      </c>
      <c r="L4077" s="357">
        <v>0</v>
      </c>
      <c r="M4077" s="357">
        <v>5</v>
      </c>
      <c r="N4077" s="357">
        <v>5</v>
      </c>
    </row>
    <row r="4078" spans="1:14" hidden="1" x14ac:dyDescent="0.25">
      <c r="A4078" s="357">
        <v>0</v>
      </c>
      <c r="B4078" s="357">
        <v>2</v>
      </c>
      <c r="C4078" s="357">
        <v>2</v>
      </c>
      <c r="D4078" s="357">
        <v>1</v>
      </c>
      <c r="E4078" s="357">
        <v>1</v>
      </c>
      <c r="F4078" s="357">
        <v>0</v>
      </c>
      <c r="G4078" s="357">
        <v>0</v>
      </c>
      <c r="H4078" s="357">
        <v>0</v>
      </c>
      <c r="I4078" s="357">
        <v>1</v>
      </c>
      <c r="J4078" s="357">
        <v>2</v>
      </c>
      <c r="K4078" s="357">
        <v>0</v>
      </c>
      <c r="L4078" s="357">
        <v>0</v>
      </c>
      <c r="M4078" s="357">
        <v>4</v>
      </c>
      <c r="N4078" s="357">
        <v>5</v>
      </c>
    </row>
    <row r="4079" spans="1:14" hidden="1" x14ac:dyDescent="0.25">
      <c r="A4079" s="357">
        <v>1</v>
      </c>
      <c r="B4079" s="357">
        <v>0</v>
      </c>
      <c r="C4079" s="357">
        <v>1</v>
      </c>
      <c r="D4079" s="357">
        <v>2</v>
      </c>
      <c r="E4079" s="357">
        <v>0</v>
      </c>
      <c r="F4079" s="357">
        <v>0</v>
      </c>
      <c r="G4079" s="357">
        <v>0</v>
      </c>
      <c r="H4079" s="357">
        <v>0</v>
      </c>
      <c r="I4079" s="357">
        <v>1</v>
      </c>
      <c r="J4079" s="357">
        <v>1</v>
      </c>
      <c r="K4079" s="357">
        <v>0</v>
      </c>
      <c r="L4079" s="357">
        <v>0</v>
      </c>
      <c r="M4079" s="357">
        <v>3</v>
      </c>
      <c r="N4079" s="357">
        <v>3</v>
      </c>
    </row>
    <row r="4080" spans="1:14" hidden="1" x14ac:dyDescent="0.25">
      <c r="A4080" s="357">
        <v>1</v>
      </c>
      <c r="B4080" s="357">
        <v>0</v>
      </c>
      <c r="C4080" s="357">
        <v>2</v>
      </c>
      <c r="D4080" s="357">
        <v>0</v>
      </c>
      <c r="E4080" s="357">
        <v>0</v>
      </c>
      <c r="F4080" s="357">
        <v>0</v>
      </c>
      <c r="G4080" s="357">
        <v>0</v>
      </c>
      <c r="H4080" s="357">
        <v>0</v>
      </c>
      <c r="I4080" s="357">
        <v>1</v>
      </c>
      <c r="J4080" s="357">
        <v>1</v>
      </c>
      <c r="K4080" s="357">
        <v>0</v>
      </c>
      <c r="L4080" s="357">
        <v>0</v>
      </c>
      <c r="M4080" s="357">
        <v>4</v>
      </c>
      <c r="N4080" s="357">
        <v>1</v>
      </c>
    </row>
    <row r="4081" spans="1:14" hidden="1" x14ac:dyDescent="0.25">
      <c r="A4081" s="357">
        <v>0</v>
      </c>
      <c r="B4081" s="357">
        <v>1</v>
      </c>
      <c r="C4081" s="357">
        <v>0</v>
      </c>
      <c r="D4081" s="357">
        <v>1</v>
      </c>
      <c r="E4081" s="357">
        <v>2</v>
      </c>
      <c r="F4081" s="357">
        <v>1</v>
      </c>
      <c r="G4081" s="357">
        <v>1</v>
      </c>
      <c r="H4081" s="357">
        <v>2</v>
      </c>
      <c r="I4081" s="357">
        <v>1</v>
      </c>
      <c r="J4081" s="357">
        <v>1</v>
      </c>
      <c r="K4081" s="357">
        <v>1</v>
      </c>
      <c r="L4081" s="357">
        <v>0</v>
      </c>
      <c r="M4081" s="357">
        <v>5</v>
      </c>
      <c r="N4081" s="357">
        <v>6</v>
      </c>
    </row>
    <row r="4082" spans="1:14" hidden="1" x14ac:dyDescent="0.25">
      <c r="A4082" s="357">
        <v>1</v>
      </c>
      <c r="B4082" s="357">
        <v>0</v>
      </c>
      <c r="C4082" s="357">
        <v>2</v>
      </c>
      <c r="D4082" s="357">
        <v>2</v>
      </c>
      <c r="E4082" s="357">
        <v>2</v>
      </c>
      <c r="F4082" s="357">
        <v>2</v>
      </c>
      <c r="G4082" s="357">
        <v>0</v>
      </c>
      <c r="H4082" s="357">
        <v>0</v>
      </c>
      <c r="I4082" s="357">
        <v>1</v>
      </c>
      <c r="J4082" s="357">
        <v>1</v>
      </c>
      <c r="K4082" s="357">
        <v>0</v>
      </c>
      <c r="L4082" s="357">
        <v>0</v>
      </c>
      <c r="M4082" s="357">
        <v>6</v>
      </c>
      <c r="N4082" s="357">
        <v>5</v>
      </c>
    </row>
    <row r="4083" spans="1:14" hidden="1" x14ac:dyDescent="0.25">
      <c r="A4083" s="357">
        <v>0</v>
      </c>
      <c r="B4083" s="357">
        <v>1</v>
      </c>
      <c r="C4083" s="357">
        <v>1</v>
      </c>
      <c r="D4083" s="357">
        <v>0</v>
      </c>
      <c r="E4083" s="357">
        <v>2</v>
      </c>
      <c r="F4083" s="357">
        <v>1</v>
      </c>
      <c r="G4083" s="357">
        <v>1</v>
      </c>
      <c r="H4083" s="357">
        <v>2</v>
      </c>
      <c r="I4083" s="357">
        <v>1</v>
      </c>
      <c r="J4083" s="357">
        <v>1</v>
      </c>
      <c r="K4083" s="357">
        <v>1</v>
      </c>
      <c r="L4083" s="357">
        <v>1</v>
      </c>
      <c r="M4083" s="357">
        <v>6</v>
      </c>
      <c r="N4083" s="357">
        <v>6</v>
      </c>
    </row>
    <row r="4084" spans="1:14" hidden="1" x14ac:dyDescent="0.25">
      <c r="A4084" s="357">
        <v>1</v>
      </c>
      <c r="B4084" s="357">
        <v>0</v>
      </c>
      <c r="C4084" s="357">
        <v>1</v>
      </c>
      <c r="D4084" s="357">
        <v>0</v>
      </c>
      <c r="E4084" s="357">
        <v>0</v>
      </c>
      <c r="F4084" s="357">
        <v>0</v>
      </c>
      <c r="G4084" s="357">
        <v>0</v>
      </c>
      <c r="H4084" s="357">
        <v>0</v>
      </c>
      <c r="I4084" s="357">
        <v>1</v>
      </c>
      <c r="J4084" s="357">
        <v>1</v>
      </c>
      <c r="K4084" s="357">
        <v>0</v>
      </c>
      <c r="L4084" s="357">
        <v>0</v>
      </c>
      <c r="M4084" s="357">
        <v>3</v>
      </c>
      <c r="N4084" s="357">
        <v>1</v>
      </c>
    </row>
    <row r="4085" spans="1:14" hidden="1" x14ac:dyDescent="0.25">
      <c r="A4085" s="357">
        <v>2</v>
      </c>
      <c r="B4085" s="357">
        <v>0</v>
      </c>
      <c r="C4085" s="357">
        <v>0</v>
      </c>
      <c r="D4085" s="357">
        <v>2</v>
      </c>
      <c r="E4085" s="357">
        <v>1</v>
      </c>
      <c r="F4085" s="357">
        <v>1</v>
      </c>
      <c r="G4085" s="357">
        <v>0</v>
      </c>
      <c r="H4085" s="357">
        <v>0</v>
      </c>
      <c r="I4085" s="357">
        <v>1</v>
      </c>
      <c r="J4085" s="357">
        <v>1</v>
      </c>
      <c r="K4085" s="357">
        <v>0</v>
      </c>
      <c r="L4085" s="357">
        <v>0</v>
      </c>
      <c r="M4085" s="357">
        <v>4</v>
      </c>
      <c r="N4085" s="357">
        <v>4</v>
      </c>
    </row>
    <row r="4086" spans="1:14" hidden="1" x14ac:dyDescent="0.25">
      <c r="A4086" s="357">
        <v>1</v>
      </c>
      <c r="B4086" s="357">
        <v>0</v>
      </c>
      <c r="C4086" s="357">
        <v>1</v>
      </c>
      <c r="D4086" s="357">
        <v>1</v>
      </c>
      <c r="E4086" s="357">
        <v>2</v>
      </c>
      <c r="F4086" s="357">
        <v>0</v>
      </c>
      <c r="G4086" s="357">
        <v>1</v>
      </c>
      <c r="H4086" s="357">
        <v>1</v>
      </c>
      <c r="I4086" s="357">
        <v>2</v>
      </c>
      <c r="J4086" s="357">
        <v>1</v>
      </c>
      <c r="K4086" s="357">
        <v>1</v>
      </c>
      <c r="L4086" s="357">
        <v>1</v>
      </c>
      <c r="M4086" s="357">
        <v>8</v>
      </c>
      <c r="N4086" s="357">
        <v>4</v>
      </c>
    </row>
    <row r="4087" spans="1:14" hidden="1" x14ac:dyDescent="0.25">
      <c r="A4087" s="357">
        <v>2</v>
      </c>
      <c r="B4087" s="357">
        <v>2</v>
      </c>
      <c r="C4087" s="357">
        <v>1</v>
      </c>
      <c r="D4087" s="357">
        <v>2</v>
      </c>
      <c r="E4087" s="357">
        <v>3</v>
      </c>
      <c r="F4087" s="357">
        <v>0</v>
      </c>
      <c r="G4087" s="357">
        <v>2</v>
      </c>
      <c r="H4087" s="357">
        <v>0</v>
      </c>
      <c r="I4087" s="357">
        <v>1</v>
      </c>
      <c r="J4087" s="357">
        <v>3</v>
      </c>
      <c r="K4087" s="357">
        <v>0</v>
      </c>
      <c r="L4087" s="357">
        <v>0</v>
      </c>
      <c r="M4087" s="357">
        <v>9</v>
      </c>
      <c r="N4087" s="357">
        <v>7</v>
      </c>
    </row>
    <row r="4088" spans="1:14" hidden="1" x14ac:dyDescent="0.25">
      <c r="A4088" s="357">
        <v>0</v>
      </c>
      <c r="B4088" s="357">
        <v>1</v>
      </c>
      <c r="C4088" s="357">
        <v>1</v>
      </c>
      <c r="D4088" s="357">
        <v>1</v>
      </c>
      <c r="E4088" s="357">
        <v>1</v>
      </c>
      <c r="F4088" s="357">
        <v>1</v>
      </c>
      <c r="G4088" s="357">
        <v>1</v>
      </c>
      <c r="H4088" s="357">
        <v>2</v>
      </c>
      <c r="I4088" s="357">
        <v>1</v>
      </c>
      <c r="J4088" s="357">
        <v>2</v>
      </c>
      <c r="K4088" s="357">
        <v>1</v>
      </c>
      <c r="L4088" s="357">
        <v>1</v>
      </c>
      <c r="M4088" s="357">
        <v>5</v>
      </c>
      <c r="N4088" s="357">
        <v>8</v>
      </c>
    </row>
    <row r="4089" spans="1:14" hidden="1" x14ac:dyDescent="0.25">
      <c r="A4089" s="357">
        <v>0</v>
      </c>
      <c r="B4089" s="357">
        <v>1</v>
      </c>
      <c r="C4089" s="357">
        <v>1</v>
      </c>
      <c r="D4089" s="357">
        <v>1</v>
      </c>
      <c r="E4089" s="357">
        <v>2</v>
      </c>
      <c r="F4089" s="357">
        <v>1</v>
      </c>
      <c r="G4089" s="357">
        <v>1</v>
      </c>
      <c r="H4089" s="357">
        <v>1</v>
      </c>
      <c r="I4089" s="357">
        <v>1</v>
      </c>
      <c r="J4089" s="357">
        <v>2</v>
      </c>
      <c r="K4089" s="357">
        <v>1</v>
      </c>
      <c r="L4089" s="357">
        <v>1</v>
      </c>
      <c r="M4089" s="357">
        <v>6</v>
      </c>
      <c r="N4089" s="357">
        <v>7</v>
      </c>
    </row>
    <row r="4090" spans="1:14" hidden="1" x14ac:dyDescent="0.25">
      <c r="A4090" s="357">
        <v>0</v>
      </c>
      <c r="B4090" s="357">
        <v>2</v>
      </c>
      <c r="C4090" s="357">
        <v>3</v>
      </c>
      <c r="D4090" s="357">
        <v>1</v>
      </c>
      <c r="E4090" s="357">
        <v>2</v>
      </c>
      <c r="F4090" s="357">
        <v>4</v>
      </c>
      <c r="G4090" s="357">
        <v>0</v>
      </c>
      <c r="H4090" s="357">
        <v>0</v>
      </c>
      <c r="I4090" s="357">
        <v>1</v>
      </c>
      <c r="J4090" s="357">
        <v>1</v>
      </c>
      <c r="K4090" s="357">
        <v>0</v>
      </c>
      <c r="L4090" s="357">
        <v>0</v>
      </c>
      <c r="M4090" s="357">
        <v>6</v>
      </c>
      <c r="N4090" s="357">
        <v>8</v>
      </c>
    </row>
    <row r="4091" spans="1:14" hidden="1" x14ac:dyDescent="0.25">
      <c r="A4091" s="357">
        <v>0</v>
      </c>
      <c r="B4091" s="357">
        <v>1</v>
      </c>
      <c r="C4091" s="357">
        <v>1</v>
      </c>
      <c r="D4091" s="357">
        <v>0</v>
      </c>
      <c r="E4091" s="357">
        <v>2</v>
      </c>
      <c r="F4091" s="357">
        <v>1</v>
      </c>
      <c r="G4091" s="357">
        <v>1</v>
      </c>
      <c r="H4091" s="357">
        <v>1</v>
      </c>
      <c r="I4091" s="357">
        <v>2</v>
      </c>
      <c r="J4091" s="357">
        <v>1</v>
      </c>
      <c r="K4091" s="357">
        <v>1</v>
      </c>
      <c r="L4091" s="357">
        <v>1</v>
      </c>
      <c r="M4091" s="357">
        <v>7</v>
      </c>
      <c r="N4091" s="357">
        <v>5</v>
      </c>
    </row>
    <row r="4092" spans="1:14" hidden="1" x14ac:dyDescent="0.25">
      <c r="A4092" s="357">
        <v>1</v>
      </c>
      <c r="B4092" s="357">
        <v>0</v>
      </c>
      <c r="C4092" s="357">
        <v>1</v>
      </c>
      <c r="D4092" s="357">
        <v>1</v>
      </c>
      <c r="E4092" s="357">
        <v>1</v>
      </c>
      <c r="F4092" s="357">
        <v>0</v>
      </c>
      <c r="G4092" s="357">
        <v>0</v>
      </c>
      <c r="H4092" s="357">
        <v>0</v>
      </c>
      <c r="I4092" s="357">
        <v>1</v>
      </c>
      <c r="J4092" s="357">
        <v>1</v>
      </c>
      <c r="K4092" s="357">
        <v>0</v>
      </c>
      <c r="L4092" s="357">
        <v>1</v>
      </c>
      <c r="M4092" s="357">
        <v>4</v>
      </c>
      <c r="N4092" s="357">
        <v>3</v>
      </c>
    </row>
    <row r="4093" spans="1:14" hidden="1" x14ac:dyDescent="0.25">
      <c r="A4093" s="357">
        <v>1</v>
      </c>
      <c r="B4093" s="357">
        <v>0</v>
      </c>
      <c r="C4093" s="357">
        <v>1</v>
      </c>
      <c r="D4093" s="357">
        <v>1</v>
      </c>
      <c r="E4093" s="357">
        <v>1</v>
      </c>
      <c r="F4093" s="357">
        <v>0</v>
      </c>
      <c r="G4093" s="357">
        <v>1</v>
      </c>
      <c r="H4093" s="357">
        <v>1</v>
      </c>
      <c r="I4093" s="357">
        <v>0</v>
      </c>
      <c r="J4093" s="357">
        <v>0</v>
      </c>
      <c r="K4093" s="357">
        <v>0</v>
      </c>
      <c r="L4093" s="357">
        <v>0</v>
      </c>
      <c r="M4093" s="357">
        <v>4</v>
      </c>
      <c r="N4093" s="357">
        <v>2</v>
      </c>
    </row>
    <row r="4094" spans="1:14" hidden="1" x14ac:dyDescent="0.25">
      <c r="A4094" s="357">
        <v>1</v>
      </c>
      <c r="B4094" s="357">
        <v>2</v>
      </c>
      <c r="C4094" s="357">
        <v>2</v>
      </c>
      <c r="D4094" s="357">
        <v>2</v>
      </c>
      <c r="E4094" s="357">
        <v>0</v>
      </c>
      <c r="F4094" s="357">
        <v>2</v>
      </c>
      <c r="G4094" s="357">
        <v>1</v>
      </c>
      <c r="H4094" s="357">
        <v>0</v>
      </c>
      <c r="I4094" s="357">
        <v>1</v>
      </c>
      <c r="J4094" s="357">
        <v>1</v>
      </c>
      <c r="K4094" s="357">
        <v>0</v>
      </c>
      <c r="L4094" s="357">
        <v>0</v>
      </c>
      <c r="M4094" s="357">
        <v>5</v>
      </c>
      <c r="N4094" s="357">
        <v>7</v>
      </c>
    </row>
    <row r="4095" spans="1:14" hidden="1" x14ac:dyDescent="0.25">
      <c r="A4095" s="357">
        <v>0</v>
      </c>
      <c r="B4095" s="357">
        <v>1</v>
      </c>
      <c r="C4095" s="357">
        <v>2</v>
      </c>
      <c r="D4095" s="357">
        <v>2</v>
      </c>
      <c r="E4095" s="357">
        <v>1</v>
      </c>
      <c r="F4095" s="357">
        <v>1</v>
      </c>
      <c r="G4095" s="357">
        <v>0</v>
      </c>
      <c r="H4095" s="357">
        <v>0</v>
      </c>
      <c r="I4095" s="357">
        <v>0</v>
      </c>
      <c r="J4095" s="357">
        <v>1</v>
      </c>
      <c r="K4095" s="357">
        <v>0</v>
      </c>
      <c r="L4095" s="357">
        <v>0</v>
      </c>
      <c r="M4095" s="357">
        <v>3</v>
      </c>
      <c r="N4095" s="357">
        <v>5</v>
      </c>
    </row>
    <row r="4096" spans="1:14" hidden="1" x14ac:dyDescent="0.25">
      <c r="A4096" s="357">
        <v>0</v>
      </c>
      <c r="B4096" s="357">
        <v>2</v>
      </c>
      <c r="C4096" s="357">
        <v>1</v>
      </c>
      <c r="D4096" s="357">
        <v>0</v>
      </c>
      <c r="E4096" s="357">
        <v>1</v>
      </c>
      <c r="F4096" s="357">
        <v>1</v>
      </c>
      <c r="G4096" s="357">
        <v>0</v>
      </c>
      <c r="H4096" s="357">
        <v>1</v>
      </c>
      <c r="I4096" s="357">
        <v>0</v>
      </c>
      <c r="J4096" s="357">
        <v>1</v>
      </c>
      <c r="K4096" s="357">
        <v>0</v>
      </c>
      <c r="L4096" s="357">
        <v>0</v>
      </c>
      <c r="M4096" s="357">
        <v>2</v>
      </c>
      <c r="N4096" s="357">
        <v>5</v>
      </c>
    </row>
    <row r="4097" spans="1:14" hidden="1" x14ac:dyDescent="0.25">
      <c r="A4097" s="357">
        <v>1</v>
      </c>
      <c r="B4097" s="357">
        <v>0</v>
      </c>
      <c r="C4097" s="357">
        <v>0</v>
      </c>
      <c r="D4097" s="357">
        <v>0</v>
      </c>
      <c r="E4097" s="357">
        <v>0</v>
      </c>
      <c r="F4097" s="357">
        <v>0</v>
      </c>
      <c r="G4097" s="357">
        <v>0</v>
      </c>
      <c r="H4097" s="357">
        <v>0</v>
      </c>
      <c r="I4097" s="357">
        <v>1</v>
      </c>
      <c r="J4097" s="357">
        <v>1</v>
      </c>
      <c r="K4097" s="357">
        <v>0</v>
      </c>
      <c r="L4097" s="357">
        <v>0</v>
      </c>
      <c r="M4097" s="357">
        <v>2</v>
      </c>
      <c r="N4097" s="357">
        <v>1</v>
      </c>
    </row>
    <row r="4098" spans="1:14" hidden="1" x14ac:dyDescent="0.25">
      <c r="A4098" s="357">
        <v>0</v>
      </c>
      <c r="B4098" s="357">
        <v>1</v>
      </c>
      <c r="C4098" s="357">
        <v>1</v>
      </c>
      <c r="D4098" s="357">
        <v>0</v>
      </c>
      <c r="E4098" s="357">
        <v>0</v>
      </c>
      <c r="F4098" s="357">
        <v>0</v>
      </c>
      <c r="G4098" s="357">
        <v>0</v>
      </c>
      <c r="H4098" s="357">
        <v>0</v>
      </c>
      <c r="I4098" s="357">
        <v>1</v>
      </c>
      <c r="J4098" s="357">
        <v>1</v>
      </c>
      <c r="K4098" s="357">
        <v>0</v>
      </c>
      <c r="L4098" s="357">
        <v>0</v>
      </c>
      <c r="M4098" s="357">
        <v>2</v>
      </c>
      <c r="N4098" s="357">
        <v>2</v>
      </c>
    </row>
    <row r="4099" spans="1:14" hidden="1" x14ac:dyDescent="0.25">
      <c r="A4099" s="357">
        <v>1</v>
      </c>
      <c r="B4099" s="357">
        <v>0</v>
      </c>
      <c r="C4099" s="357">
        <v>0</v>
      </c>
      <c r="D4099" s="357">
        <v>1</v>
      </c>
      <c r="E4099" s="357">
        <v>1</v>
      </c>
      <c r="F4099" s="357">
        <v>0</v>
      </c>
      <c r="G4099" s="357">
        <v>0</v>
      </c>
      <c r="H4099" s="357">
        <v>0</v>
      </c>
      <c r="I4099" s="357">
        <v>1</v>
      </c>
      <c r="J4099" s="357">
        <v>1</v>
      </c>
      <c r="K4099" s="357">
        <v>0</v>
      </c>
      <c r="L4099" s="357">
        <v>0</v>
      </c>
      <c r="M4099" s="357">
        <v>3</v>
      </c>
      <c r="N4099" s="357">
        <v>2</v>
      </c>
    </row>
    <row r="4100" spans="1:14" hidden="1" x14ac:dyDescent="0.25">
      <c r="A4100" s="357">
        <v>0</v>
      </c>
      <c r="B4100" s="357">
        <v>0</v>
      </c>
      <c r="C4100" s="357">
        <v>1</v>
      </c>
      <c r="D4100" s="357">
        <v>0</v>
      </c>
      <c r="E4100" s="357">
        <v>1</v>
      </c>
      <c r="F4100" s="357">
        <v>0</v>
      </c>
      <c r="G4100" s="357">
        <v>0</v>
      </c>
      <c r="H4100" s="357">
        <v>0</v>
      </c>
      <c r="I4100" s="357">
        <v>1</v>
      </c>
      <c r="J4100" s="357">
        <v>1</v>
      </c>
      <c r="K4100" s="357">
        <v>0</v>
      </c>
      <c r="L4100" s="357">
        <v>0</v>
      </c>
      <c r="M4100" s="357">
        <v>3</v>
      </c>
      <c r="N4100" s="357">
        <v>1</v>
      </c>
    </row>
    <row r="4101" spans="1:14" hidden="1" x14ac:dyDescent="0.25">
      <c r="A4101" s="357">
        <v>1</v>
      </c>
      <c r="B4101" s="357">
        <v>0</v>
      </c>
      <c r="C4101" s="357">
        <v>0</v>
      </c>
      <c r="D4101" s="357">
        <v>1</v>
      </c>
      <c r="E4101" s="357">
        <v>2</v>
      </c>
      <c r="F4101" s="357">
        <v>0</v>
      </c>
      <c r="G4101" s="357">
        <v>0</v>
      </c>
      <c r="H4101" s="357">
        <v>0</v>
      </c>
      <c r="I4101" s="357">
        <v>1</v>
      </c>
      <c r="J4101" s="357">
        <v>1</v>
      </c>
      <c r="K4101" s="357">
        <v>0</v>
      </c>
      <c r="L4101" s="357">
        <v>0</v>
      </c>
      <c r="M4101" s="357">
        <v>4</v>
      </c>
      <c r="N4101" s="357">
        <v>2</v>
      </c>
    </row>
    <row r="4102" spans="1:14" hidden="1" x14ac:dyDescent="0.25">
      <c r="A4102" s="357">
        <v>0</v>
      </c>
      <c r="B4102" s="357">
        <v>0</v>
      </c>
      <c r="C4102" s="357">
        <v>0</v>
      </c>
      <c r="D4102" s="357">
        <v>0</v>
      </c>
      <c r="E4102" s="357">
        <v>0</v>
      </c>
      <c r="F4102" s="357">
        <v>0</v>
      </c>
      <c r="G4102" s="357">
        <v>0</v>
      </c>
      <c r="H4102" s="357">
        <v>0</v>
      </c>
      <c r="I4102" s="357">
        <v>1</v>
      </c>
      <c r="J4102" s="357">
        <v>1</v>
      </c>
      <c r="K4102" s="357">
        <v>0</v>
      </c>
      <c r="L4102" s="357">
        <v>0</v>
      </c>
      <c r="M4102" s="357">
        <v>1</v>
      </c>
      <c r="N4102" s="357">
        <v>1</v>
      </c>
    </row>
    <row r="4103" spans="1:14" hidden="1" x14ac:dyDescent="0.25">
      <c r="A4103" s="357">
        <v>0</v>
      </c>
      <c r="B4103" s="357">
        <v>0</v>
      </c>
      <c r="C4103" s="357">
        <v>1</v>
      </c>
      <c r="D4103" s="357">
        <v>2</v>
      </c>
      <c r="E4103" s="357">
        <v>1</v>
      </c>
      <c r="F4103" s="357">
        <v>1</v>
      </c>
      <c r="G4103" s="357">
        <v>0</v>
      </c>
      <c r="H4103" s="357">
        <v>0</v>
      </c>
      <c r="I4103" s="357">
        <v>1</v>
      </c>
      <c r="J4103" s="357">
        <v>1</v>
      </c>
      <c r="K4103" s="357">
        <v>0</v>
      </c>
      <c r="L4103" s="357">
        <v>0</v>
      </c>
      <c r="M4103" s="357">
        <v>3</v>
      </c>
      <c r="N4103" s="357">
        <v>4</v>
      </c>
    </row>
    <row r="4104" spans="1:14" hidden="1" x14ac:dyDescent="0.25">
      <c r="A4104" s="357">
        <v>1</v>
      </c>
      <c r="B4104" s="357">
        <v>0</v>
      </c>
      <c r="C4104" s="357">
        <v>1</v>
      </c>
      <c r="D4104" s="357">
        <v>1</v>
      </c>
      <c r="E4104" s="357">
        <v>0</v>
      </c>
      <c r="F4104" s="357">
        <v>1</v>
      </c>
      <c r="G4104" s="357">
        <v>0</v>
      </c>
      <c r="H4104" s="357">
        <v>0</v>
      </c>
      <c r="I4104" s="357">
        <v>1</v>
      </c>
      <c r="J4104" s="357">
        <v>1</v>
      </c>
      <c r="K4104" s="357">
        <v>0</v>
      </c>
      <c r="L4104" s="357">
        <v>0</v>
      </c>
      <c r="M4104" s="357">
        <v>3</v>
      </c>
      <c r="N4104" s="357">
        <v>3</v>
      </c>
    </row>
    <row r="4105" spans="1:14" hidden="1" x14ac:dyDescent="0.25">
      <c r="A4105" s="357">
        <v>1</v>
      </c>
      <c r="B4105" s="357">
        <v>0</v>
      </c>
      <c r="C4105" s="357">
        <v>1</v>
      </c>
      <c r="D4105" s="357">
        <v>1</v>
      </c>
      <c r="E4105" s="357">
        <v>1</v>
      </c>
      <c r="F4105" s="357">
        <v>2</v>
      </c>
      <c r="G4105" s="357">
        <v>1</v>
      </c>
      <c r="H4105" s="357">
        <v>0</v>
      </c>
      <c r="I4105" s="357">
        <v>1</v>
      </c>
      <c r="J4105" s="357">
        <v>1</v>
      </c>
      <c r="K4105" s="357">
        <v>0</v>
      </c>
      <c r="L4105" s="357">
        <v>0</v>
      </c>
      <c r="M4105" s="357">
        <v>5</v>
      </c>
      <c r="N4105" s="357">
        <v>4</v>
      </c>
    </row>
    <row r="4106" spans="1:14" hidden="1" x14ac:dyDescent="0.25">
      <c r="A4106" s="357">
        <v>1</v>
      </c>
      <c r="B4106" s="357">
        <v>0</v>
      </c>
      <c r="C4106" s="357">
        <v>1</v>
      </c>
      <c r="D4106" s="357">
        <v>2</v>
      </c>
      <c r="E4106" s="357">
        <v>1</v>
      </c>
      <c r="F4106" s="357">
        <v>1</v>
      </c>
      <c r="G4106" s="357">
        <v>1</v>
      </c>
      <c r="H4106" s="357">
        <v>0</v>
      </c>
      <c r="I4106" s="357">
        <v>1</v>
      </c>
      <c r="J4106" s="357">
        <v>2</v>
      </c>
      <c r="K4106" s="357">
        <v>0</v>
      </c>
      <c r="L4106" s="357">
        <v>0</v>
      </c>
      <c r="M4106" s="357">
        <v>5</v>
      </c>
      <c r="N4106" s="357">
        <v>5</v>
      </c>
    </row>
    <row r="4107" spans="1:14" hidden="1" x14ac:dyDescent="0.25">
      <c r="A4107" s="357">
        <v>0</v>
      </c>
      <c r="B4107" s="357">
        <v>1</v>
      </c>
      <c r="C4107" s="357">
        <v>2</v>
      </c>
      <c r="D4107" s="357">
        <v>0</v>
      </c>
      <c r="E4107" s="357">
        <v>1</v>
      </c>
      <c r="F4107" s="357">
        <v>1</v>
      </c>
      <c r="G4107" s="357">
        <v>0</v>
      </c>
      <c r="H4107" s="357">
        <v>0</v>
      </c>
      <c r="I4107" s="357">
        <v>1</v>
      </c>
      <c r="J4107" s="357">
        <v>1</v>
      </c>
      <c r="K4107" s="357">
        <v>0</v>
      </c>
      <c r="L4107" s="357">
        <v>0</v>
      </c>
      <c r="M4107" s="357">
        <v>4</v>
      </c>
      <c r="N4107" s="357">
        <v>3</v>
      </c>
    </row>
    <row r="4108" spans="1:14" hidden="1" x14ac:dyDescent="0.25">
      <c r="A4108" s="357">
        <v>0</v>
      </c>
      <c r="B4108" s="357">
        <v>1</v>
      </c>
      <c r="C4108" s="357">
        <v>0</v>
      </c>
      <c r="D4108" s="357">
        <v>0</v>
      </c>
      <c r="E4108" s="357">
        <v>0</v>
      </c>
      <c r="F4108" s="357">
        <v>0</v>
      </c>
      <c r="G4108" s="357">
        <v>0</v>
      </c>
      <c r="H4108" s="357">
        <v>0</v>
      </c>
      <c r="I4108" s="357">
        <v>1</v>
      </c>
      <c r="J4108" s="357">
        <v>1</v>
      </c>
      <c r="K4108" s="357">
        <v>0</v>
      </c>
      <c r="L4108" s="357">
        <v>0</v>
      </c>
      <c r="M4108" s="357">
        <v>1</v>
      </c>
      <c r="N4108" s="357">
        <v>2</v>
      </c>
    </row>
    <row r="4109" spans="1:14" hidden="1" x14ac:dyDescent="0.25">
      <c r="A4109" s="357">
        <v>1</v>
      </c>
      <c r="B4109" s="357">
        <v>0</v>
      </c>
      <c r="C4109" s="357">
        <v>1</v>
      </c>
      <c r="D4109" s="357">
        <v>0</v>
      </c>
      <c r="E4109" s="357">
        <v>1</v>
      </c>
      <c r="F4109" s="357">
        <v>1</v>
      </c>
      <c r="G4109" s="357">
        <v>1</v>
      </c>
      <c r="H4109" s="357">
        <v>0</v>
      </c>
      <c r="I4109" s="357">
        <v>1</v>
      </c>
      <c r="J4109" s="357">
        <v>1</v>
      </c>
      <c r="K4109" s="357">
        <v>0</v>
      </c>
      <c r="L4109" s="357">
        <v>0</v>
      </c>
      <c r="M4109" s="357">
        <v>5</v>
      </c>
      <c r="N4109" s="357">
        <v>2</v>
      </c>
    </row>
    <row r="4110" spans="1:14" hidden="1" x14ac:dyDescent="0.25">
      <c r="A4110" s="357">
        <v>0</v>
      </c>
      <c r="B4110" s="357">
        <v>0</v>
      </c>
      <c r="C4110" s="357">
        <v>1</v>
      </c>
      <c r="D4110" s="357">
        <v>1</v>
      </c>
      <c r="E4110" s="357">
        <v>1</v>
      </c>
      <c r="F4110" s="357">
        <v>1</v>
      </c>
      <c r="G4110" s="357">
        <v>0</v>
      </c>
      <c r="H4110" s="357">
        <v>0</v>
      </c>
      <c r="I4110" s="357">
        <v>1</v>
      </c>
      <c r="J4110" s="357">
        <v>1</v>
      </c>
      <c r="K4110" s="357">
        <v>0</v>
      </c>
      <c r="L4110" s="357">
        <v>0</v>
      </c>
      <c r="M4110" s="357">
        <v>3</v>
      </c>
      <c r="N4110" s="357">
        <v>3</v>
      </c>
    </row>
    <row r="4111" spans="1:14" hidden="1" x14ac:dyDescent="0.25">
      <c r="A4111" s="357">
        <v>1</v>
      </c>
      <c r="B4111" s="357">
        <v>0</v>
      </c>
      <c r="C4111" s="357">
        <v>1</v>
      </c>
      <c r="D4111" s="357">
        <v>1</v>
      </c>
      <c r="E4111" s="357">
        <v>1</v>
      </c>
      <c r="F4111" s="357">
        <v>1</v>
      </c>
      <c r="G4111" s="357">
        <v>1</v>
      </c>
      <c r="H4111" s="357">
        <v>0</v>
      </c>
      <c r="I4111" s="357">
        <v>1</v>
      </c>
      <c r="J4111" s="357">
        <v>1</v>
      </c>
      <c r="K4111" s="357">
        <v>0</v>
      </c>
      <c r="L4111" s="357">
        <v>0</v>
      </c>
      <c r="M4111" s="357">
        <v>5</v>
      </c>
      <c r="N4111" s="357">
        <v>3</v>
      </c>
    </row>
    <row r="4112" spans="1:14" hidden="1" x14ac:dyDescent="0.25">
      <c r="A4112" s="357">
        <v>1</v>
      </c>
      <c r="B4112" s="357">
        <v>0</v>
      </c>
      <c r="C4112" s="357">
        <v>2</v>
      </c>
      <c r="D4112" s="357">
        <v>0</v>
      </c>
      <c r="E4112" s="357">
        <v>1</v>
      </c>
      <c r="F4112" s="357">
        <v>0</v>
      </c>
      <c r="G4112" s="357">
        <v>0</v>
      </c>
      <c r="H4112" s="357">
        <v>0</v>
      </c>
      <c r="I4112" s="357">
        <v>1</v>
      </c>
      <c r="J4112" s="357">
        <v>1</v>
      </c>
      <c r="K4112" s="357">
        <v>0</v>
      </c>
      <c r="L4112" s="357">
        <v>0</v>
      </c>
      <c r="M4112" s="357">
        <v>5</v>
      </c>
      <c r="N4112" s="357">
        <v>1</v>
      </c>
    </row>
    <row r="4113" spans="1:14" hidden="1" x14ac:dyDescent="0.25">
      <c r="A4113" s="357">
        <v>1</v>
      </c>
      <c r="B4113" s="357">
        <v>0</v>
      </c>
      <c r="C4113" s="357">
        <v>0</v>
      </c>
      <c r="D4113" s="357">
        <v>1</v>
      </c>
      <c r="E4113" s="357">
        <v>1</v>
      </c>
      <c r="F4113" s="357">
        <v>1</v>
      </c>
      <c r="G4113" s="357">
        <v>0</v>
      </c>
      <c r="H4113" s="357">
        <v>0</v>
      </c>
      <c r="I4113" s="357">
        <v>1</v>
      </c>
      <c r="J4113" s="357">
        <v>1</v>
      </c>
      <c r="K4113" s="357">
        <v>0</v>
      </c>
      <c r="L4113" s="357">
        <v>0</v>
      </c>
      <c r="M4113" s="357">
        <v>3</v>
      </c>
      <c r="N4113" s="357">
        <v>3</v>
      </c>
    </row>
    <row r="4114" spans="1:14" hidden="1" x14ac:dyDescent="0.25">
      <c r="A4114" s="357">
        <v>0</v>
      </c>
      <c r="B4114" s="357">
        <v>0</v>
      </c>
      <c r="C4114" s="357">
        <v>0</v>
      </c>
      <c r="D4114" s="357">
        <v>1</v>
      </c>
      <c r="E4114" s="357">
        <v>2</v>
      </c>
      <c r="F4114" s="357">
        <v>1</v>
      </c>
      <c r="G4114" s="357">
        <v>1</v>
      </c>
      <c r="H4114" s="357">
        <v>1</v>
      </c>
      <c r="I4114" s="357">
        <v>0</v>
      </c>
      <c r="J4114" s="357">
        <v>1</v>
      </c>
      <c r="K4114" s="357">
        <v>0</v>
      </c>
      <c r="L4114" s="357">
        <v>0</v>
      </c>
      <c r="M4114" s="357">
        <v>3</v>
      </c>
      <c r="N4114" s="357">
        <v>4</v>
      </c>
    </row>
    <row r="4115" spans="1:14" hidden="1" x14ac:dyDescent="0.25">
      <c r="A4115" s="357">
        <v>0</v>
      </c>
      <c r="B4115" s="357">
        <v>1</v>
      </c>
      <c r="C4115" s="357">
        <v>1</v>
      </c>
      <c r="D4115" s="357">
        <v>0</v>
      </c>
      <c r="E4115" s="357">
        <v>0</v>
      </c>
      <c r="F4115" s="357">
        <v>0</v>
      </c>
      <c r="G4115" s="357">
        <v>0</v>
      </c>
      <c r="H4115" s="357">
        <v>0</v>
      </c>
      <c r="I4115" s="357">
        <v>1</v>
      </c>
      <c r="J4115" s="357">
        <v>1</v>
      </c>
      <c r="K4115" s="357">
        <v>0</v>
      </c>
      <c r="L4115" s="357">
        <v>0</v>
      </c>
      <c r="M4115" s="357">
        <v>2</v>
      </c>
      <c r="N4115" s="357">
        <v>2</v>
      </c>
    </row>
    <row r="4116" spans="1:14" hidden="1" x14ac:dyDescent="0.25">
      <c r="A4116" s="357">
        <v>1</v>
      </c>
      <c r="B4116" s="357">
        <v>0</v>
      </c>
      <c r="C4116" s="357">
        <v>0</v>
      </c>
      <c r="D4116" s="357">
        <v>1</v>
      </c>
      <c r="E4116" s="357">
        <v>1</v>
      </c>
      <c r="F4116" s="357">
        <v>1</v>
      </c>
      <c r="G4116" s="357">
        <v>0</v>
      </c>
      <c r="H4116" s="357">
        <v>0</v>
      </c>
      <c r="I4116" s="357">
        <v>1</v>
      </c>
      <c r="J4116" s="357">
        <v>2</v>
      </c>
      <c r="K4116" s="357">
        <v>0</v>
      </c>
      <c r="L4116" s="357">
        <v>0</v>
      </c>
      <c r="M4116" s="357">
        <v>3</v>
      </c>
      <c r="N4116" s="357">
        <v>4</v>
      </c>
    </row>
    <row r="4117" spans="1:14" hidden="1" x14ac:dyDescent="0.25">
      <c r="A4117" s="357">
        <v>1</v>
      </c>
      <c r="B4117" s="357">
        <v>0</v>
      </c>
      <c r="C4117" s="357">
        <v>0</v>
      </c>
      <c r="D4117" s="357">
        <v>1</v>
      </c>
      <c r="E4117" s="357">
        <v>2</v>
      </c>
      <c r="F4117" s="357">
        <v>0</v>
      </c>
      <c r="G4117" s="357">
        <v>1</v>
      </c>
      <c r="H4117" s="357">
        <v>1</v>
      </c>
      <c r="I4117" s="357">
        <v>2</v>
      </c>
      <c r="J4117" s="357">
        <v>2</v>
      </c>
      <c r="K4117" s="357">
        <v>0</v>
      </c>
      <c r="L4117" s="357">
        <v>0</v>
      </c>
      <c r="M4117" s="357">
        <v>6</v>
      </c>
      <c r="N4117" s="357">
        <v>4</v>
      </c>
    </row>
    <row r="4118" spans="1:14" hidden="1" x14ac:dyDescent="0.25">
      <c r="A4118" s="357">
        <v>0</v>
      </c>
      <c r="B4118" s="357">
        <v>1</v>
      </c>
      <c r="C4118" s="357">
        <v>1</v>
      </c>
      <c r="D4118" s="357">
        <v>0</v>
      </c>
      <c r="E4118" s="357">
        <v>1</v>
      </c>
      <c r="F4118" s="357">
        <v>1</v>
      </c>
      <c r="G4118" s="357">
        <v>0</v>
      </c>
      <c r="H4118" s="357">
        <v>1</v>
      </c>
      <c r="I4118" s="357">
        <v>2</v>
      </c>
      <c r="J4118" s="357">
        <v>3</v>
      </c>
      <c r="K4118" s="357">
        <v>0</v>
      </c>
      <c r="L4118" s="357">
        <v>0</v>
      </c>
      <c r="M4118" s="357">
        <v>4</v>
      </c>
      <c r="N4118" s="357">
        <v>6</v>
      </c>
    </row>
    <row r="4119" spans="1:14" hidden="1" x14ac:dyDescent="0.25">
      <c r="A4119" s="357">
        <v>0</v>
      </c>
      <c r="B4119" s="357">
        <v>0</v>
      </c>
      <c r="C4119" s="357">
        <v>0</v>
      </c>
      <c r="D4119" s="357">
        <v>0</v>
      </c>
      <c r="E4119" s="357">
        <v>1</v>
      </c>
      <c r="F4119" s="357">
        <v>1</v>
      </c>
      <c r="G4119" s="357">
        <v>0</v>
      </c>
      <c r="H4119" s="357">
        <v>1</v>
      </c>
      <c r="I4119" s="357">
        <v>1</v>
      </c>
      <c r="J4119" s="357">
        <v>1</v>
      </c>
      <c r="K4119" s="357">
        <v>0</v>
      </c>
      <c r="L4119" s="357">
        <v>0</v>
      </c>
      <c r="M4119" s="357">
        <v>2</v>
      </c>
      <c r="N4119" s="357">
        <v>3</v>
      </c>
    </row>
    <row r="4120" spans="1:14" hidden="1" x14ac:dyDescent="0.25">
      <c r="A4120" s="357">
        <v>0</v>
      </c>
      <c r="B4120" s="357">
        <v>0</v>
      </c>
      <c r="C4120" s="357">
        <v>1</v>
      </c>
      <c r="D4120" s="357">
        <v>0</v>
      </c>
      <c r="E4120" s="357">
        <v>0</v>
      </c>
      <c r="F4120" s="357">
        <v>1</v>
      </c>
      <c r="G4120" s="357">
        <v>1</v>
      </c>
      <c r="H4120" s="357">
        <v>1</v>
      </c>
      <c r="I4120" s="357">
        <v>1</v>
      </c>
      <c r="J4120" s="357">
        <v>1</v>
      </c>
      <c r="K4120" s="357">
        <v>0</v>
      </c>
      <c r="L4120" s="357">
        <v>0</v>
      </c>
      <c r="M4120" s="357">
        <v>3</v>
      </c>
      <c r="N4120" s="357">
        <v>3</v>
      </c>
    </row>
    <row r="4121" spans="1:14" hidden="1" x14ac:dyDescent="0.25">
      <c r="A4121" s="357">
        <v>0</v>
      </c>
      <c r="B4121" s="357">
        <v>0</v>
      </c>
      <c r="C4121" s="357">
        <v>0</v>
      </c>
      <c r="D4121" s="357">
        <v>0</v>
      </c>
      <c r="E4121" s="357">
        <v>2</v>
      </c>
      <c r="F4121" s="357">
        <v>3</v>
      </c>
      <c r="G4121" s="357">
        <v>2</v>
      </c>
      <c r="H4121" s="357">
        <v>3</v>
      </c>
      <c r="I4121" s="357">
        <v>1</v>
      </c>
      <c r="J4121" s="357">
        <v>1</v>
      </c>
      <c r="K4121" s="357">
        <v>0</v>
      </c>
      <c r="L4121" s="357">
        <v>1</v>
      </c>
      <c r="M4121" s="357">
        <v>5</v>
      </c>
      <c r="N4121" s="357">
        <v>8</v>
      </c>
    </row>
    <row r="4122" spans="1:14" hidden="1" x14ac:dyDescent="0.25">
      <c r="A4122" s="357">
        <v>1</v>
      </c>
      <c r="B4122" s="357">
        <v>0</v>
      </c>
      <c r="C4122" s="357">
        <v>1</v>
      </c>
      <c r="D4122" s="357">
        <v>0</v>
      </c>
      <c r="E4122" s="357">
        <v>1</v>
      </c>
      <c r="F4122" s="357">
        <v>1</v>
      </c>
      <c r="G4122" s="357">
        <v>0</v>
      </c>
      <c r="H4122" s="357">
        <v>1</v>
      </c>
      <c r="I4122" s="357">
        <v>1</v>
      </c>
      <c r="J4122" s="357">
        <v>1</v>
      </c>
      <c r="K4122" s="357">
        <v>0</v>
      </c>
      <c r="L4122" s="357">
        <v>1</v>
      </c>
      <c r="M4122" s="357">
        <v>4</v>
      </c>
      <c r="N4122" s="357">
        <v>4</v>
      </c>
    </row>
    <row r="4123" spans="1:14" hidden="1" x14ac:dyDescent="0.25">
      <c r="A4123" s="357">
        <v>1</v>
      </c>
      <c r="B4123" s="357">
        <v>1</v>
      </c>
      <c r="C4123" s="357">
        <v>1</v>
      </c>
      <c r="D4123" s="357">
        <v>1</v>
      </c>
      <c r="E4123" s="357">
        <v>1</v>
      </c>
      <c r="F4123" s="357">
        <v>0</v>
      </c>
      <c r="G4123" s="357">
        <v>0</v>
      </c>
      <c r="H4123" s="357">
        <v>0</v>
      </c>
      <c r="I4123" s="357">
        <v>1</v>
      </c>
      <c r="J4123" s="357">
        <v>1</v>
      </c>
      <c r="K4123" s="357">
        <v>1</v>
      </c>
      <c r="L4123" s="357">
        <v>1</v>
      </c>
      <c r="M4123" s="357">
        <v>5</v>
      </c>
      <c r="N4123" s="357">
        <v>4</v>
      </c>
    </row>
    <row r="4124" spans="1:14" hidden="1" x14ac:dyDescent="0.25">
      <c r="A4124" s="357">
        <v>0</v>
      </c>
      <c r="B4124" s="357">
        <v>0</v>
      </c>
      <c r="C4124" s="357">
        <v>1</v>
      </c>
      <c r="D4124" s="357">
        <v>2</v>
      </c>
      <c r="E4124" s="357">
        <v>1</v>
      </c>
      <c r="F4124" s="357">
        <v>1</v>
      </c>
      <c r="G4124" s="357">
        <v>1</v>
      </c>
      <c r="H4124" s="357">
        <v>0</v>
      </c>
      <c r="I4124" s="357">
        <v>1</v>
      </c>
      <c r="J4124" s="357">
        <v>1</v>
      </c>
      <c r="K4124" s="357">
        <v>1</v>
      </c>
      <c r="L4124" s="357">
        <v>1</v>
      </c>
      <c r="M4124" s="357">
        <v>5</v>
      </c>
      <c r="N4124" s="357">
        <v>5</v>
      </c>
    </row>
    <row r="4125" spans="1:14" hidden="1" x14ac:dyDescent="0.25">
      <c r="A4125" s="357">
        <v>0</v>
      </c>
      <c r="B4125" s="357">
        <v>0</v>
      </c>
      <c r="C4125" s="357">
        <v>1</v>
      </c>
      <c r="D4125" s="357">
        <v>1</v>
      </c>
      <c r="E4125" s="357">
        <v>1</v>
      </c>
      <c r="F4125" s="357">
        <v>1</v>
      </c>
      <c r="G4125" s="357">
        <v>1</v>
      </c>
      <c r="H4125" s="357">
        <v>1</v>
      </c>
      <c r="I4125" s="357">
        <v>1</v>
      </c>
      <c r="J4125" s="357">
        <v>0</v>
      </c>
      <c r="K4125" s="357">
        <v>0</v>
      </c>
      <c r="L4125" s="357">
        <v>1</v>
      </c>
      <c r="M4125" s="357">
        <v>4</v>
      </c>
      <c r="N4125" s="357">
        <v>4</v>
      </c>
    </row>
    <row r="4126" spans="1:14" hidden="1" x14ac:dyDescent="0.25">
      <c r="A4126" s="357">
        <v>1</v>
      </c>
      <c r="B4126" s="357">
        <v>1</v>
      </c>
      <c r="C4126" s="357">
        <v>1</v>
      </c>
      <c r="D4126" s="357">
        <v>0</v>
      </c>
      <c r="E4126" s="357">
        <v>1</v>
      </c>
      <c r="F4126" s="357">
        <v>1</v>
      </c>
      <c r="G4126" s="357">
        <v>0</v>
      </c>
      <c r="H4126" s="357">
        <v>1</v>
      </c>
      <c r="I4126" s="357">
        <v>1</v>
      </c>
      <c r="J4126" s="357">
        <v>1</v>
      </c>
      <c r="K4126" s="357">
        <v>1</v>
      </c>
      <c r="L4126" s="357">
        <v>1</v>
      </c>
      <c r="M4126" s="357">
        <v>5</v>
      </c>
      <c r="N4126" s="357">
        <v>5</v>
      </c>
    </row>
    <row r="4127" spans="1:14" hidden="1" x14ac:dyDescent="0.25">
      <c r="A4127" s="357">
        <v>1</v>
      </c>
      <c r="B4127" s="357">
        <v>1</v>
      </c>
      <c r="C4127" s="357">
        <v>0</v>
      </c>
      <c r="D4127" s="357">
        <v>1</v>
      </c>
      <c r="E4127" s="357">
        <v>0</v>
      </c>
      <c r="F4127" s="357">
        <v>1</v>
      </c>
      <c r="G4127" s="357">
        <v>0</v>
      </c>
      <c r="H4127" s="357">
        <v>1</v>
      </c>
      <c r="I4127" s="357">
        <v>1</v>
      </c>
      <c r="J4127" s="357">
        <v>1</v>
      </c>
      <c r="K4127" s="357">
        <v>0</v>
      </c>
      <c r="L4127" s="357">
        <v>1</v>
      </c>
      <c r="M4127" s="357">
        <v>2</v>
      </c>
      <c r="N4127" s="357">
        <v>6</v>
      </c>
    </row>
    <row r="4128" spans="1:14" hidden="1" x14ac:dyDescent="0.25">
      <c r="A4128" s="357">
        <v>0</v>
      </c>
      <c r="B4128" s="357">
        <v>1</v>
      </c>
      <c r="C4128" s="357">
        <v>1</v>
      </c>
      <c r="D4128" s="357">
        <v>1</v>
      </c>
      <c r="E4128" s="357">
        <v>1</v>
      </c>
      <c r="F4128" s="357">
        <v>0</v>
      </c>
      <c r="G4128" s="357">
        <v>1</v>
      </c>
      <c r="H4128" s="357">
        <v>0</v>
      </c>
      <c r="I4128" s="357">
        <v>1</v>
      </c>
      <c r="J4128" s="357">
        <v>1</v>
      </c>
      <c r="K4128" s="357">
        <v>1</v>
      </c>
      <c r="L4128" s="357">
        <v>0</v>
      </c>
      <c r="M4128" s="357">
        <v>5</v>
      </c>
      <c r="N4128" s="357">
        <v>3</v>
      </c>
    </row>
    <row r="4129" spans="1:14" hidden="1" x14ac:dyDescent="0.25">
      <c r="A4129" s="357">
        <v>1</v>
      </c>
      <c r="B4129" s="357">
        <v>0</v>
      </c>
      <c r="C4129" s="357">
        <v>1</v>
      </c>
      <c r="D4129" s="357">
        <v>0</v>
      </c>
      <c r="E4129" s="357">
        <v>1</v>
      </c>
      <c r="F4129" s="357">
        <v>1</v>
      </c>
      <c r="G4129" s="357">
        <v>1</v>
      </c>
      <c r="H4129" s="357">
        <v>1</v>
      </c>
      <c r="I4129" s="357">
        <v>2</v>
      </c>
      <c r="J4129" s="357">
        <v>1</v>
      </c>
      <c r="K4129" s="357">
        <v>0</v>
      </c>
      <c r="L4129" s="357">
        <v>0</v>
      </c>
      <c r="M4129" s="357">
        <v>6</v>
      </c>
      <c r="N4129" s="357">
        <v>3</v>
      </c>
    </row>
    <row r="4130" spans="1:14" hidden="1" x14ac:dyDescent="0.25">
      <c r="A4130" s="357">
        <v>0</v>
      </c>
      <c r="B4130" s="357">
        <v>0</v>
      </c>
      <c r="C4130" s="357">
        <v>0</v>
      </c>
      <c r="D4130" s="357">
        <v>2</v>
      </c>
      <c r="E4130" s="357">
        <v>1</v>
      </c>
      <c r="F4130" s="357">
        <v>1</v>
      </c>
      <c r="G4130" s="357">
        <v>1</v>
      </c>
      <c r="H4130" s="357">
        <v>1</v>
      </c>
      <c r="I4130" s="357">
        <v>1</v>
      </c>
      <c r="J4130" s="357">
        <v>1</v>
      </c>
      <c r="K4130" s="357">
        <v>1</v>
      </c>
      <c r="L4130" s="357">
        <v>1</v>
      </c>
      <c r="M4130" s="357">
        <v>4</v>
      </c>
      <c r="N4130" s="357">
        <v>6</v>
      </c>
    </row>
    <row r="4131" spans="1:14" hidden="1" x14ac:dyDescent="0.25">
      <c r="A4131" s="357">
        <v>1</v>
      </c>
      <c r="B4131" s="357">
        <v>1</v>
      </c>
      <c r="C4131" s="357">
        <v>2</v>
      </c>
      <c r="D4131" s="357">
        <v>1</v>
      </c>
      <c r="E4131" s="357">
        <v>1</v>
      </c>
      <c r="F4131" s="357">
        <v>1</v>
      </c>
      <c r="G4131" s="357">
        <v>1</v>
      </c>
      <c r="H4131" s="357">
        <v>0</v>
      </c>
      <c r="I4131" s="357">
        <v>1</v>
      </c>
      <c r="J4131" s="357">
        <v>1</v>
      </c>
      <c r="K4131" s="357">
        <v>0</v>
      </c>
      <c r="L4131" s="357">
        <v>0</v>
      </c>
      <c r="M4131" s="357">
        <v>6</v>
      </c>
      <c r="N4131" s="357">
        <v>4</v>
      </c>
    </row>
    <row r="4132" spans="1:14" hidden="1" x14ac:dyDescent="0.25">
      <c r="A4132" s="357">
        <v>1</v>
      </c>
      <c r="B4132" s="357">
        <v>0</v>
      </c>
      <c r="C4132" s="357">
        <v>1</v>
      </c>
      <c r="D4132" s="357">
        <v>1</v>
      </c>
      <c r="E4132" s="357">
        <v>0</v>
      </c>
      <c r="F4132" s="357">
        <v>0</v>
      </c>
      <c r="G4132" s="357">
        <v>0</v>
      </c>
      <c r="H4132" s="357">
        <v>0</v>
      </c>
      <c r="I4132" s="357">
        <v>1</v>
      </c>
      <c r="J4132" s="357">
        <v>1</v>
      </c>
      <c r="K4132" s="357">
        <v>0</v>
      </c>
      <c r="L4132" s="357">
        <v>0</v>
      </c>
      <c r="M4132" s="357">
        <v>3</v>
      </c>
      <c r="N4132" s="357">
        <v>2</v>
      </c>
    </row>
    <row r="4133" spans="1:14" hidden="1" x14ac:dyDescent="0.25">
      <c r="A4133" s="357">
        <v>1</v>
      </c>
      <c r="B4133" s="357">
        <v>1</v>
      </c>
      <c r="C4133" s="357">
        <v>1</v>
      </c>
      <c r="D4133" s="357">
        <v>0</v>
      </c>
      <c r="E4133" s="357">
        <v>1</v>
      </c>
      <c r="F4133" s="357">
        <v>0</v>
      </c>
      <c r="G4133" s="357">
        <v>0</v>
      </c>
      <c r="H4133" s="357">
        <v>0</v>
      </c>
      <c r="I4133" s="357">
        <v>1</v>
      </c>
      <c r="J4133" s="357">
        <v>1</v>
      </c>
      <c r="K4133" s="357">
        <v>1</v>
      </c>
      <c r="L4133" s="357">
        <v>1</v>
      </c>
      <c r="M4133" s="357">
        <v>5</v>
      </c>
      <c r="N4133" s="357">
        <v>3</v>
      </c>
    </row>
    <row r="4134" spans="1:14" hidden="1" x14ac:dyDescent="0.25">
      <c r="A4134" s="357">
        <v>1</v>
      </c>
      <c r="B4134" s="357">
        <v>0</v>
      </c>
      <c r="C4134" s="357">
        <v>0</v>
      </c>
      <c r="D4134" s="357">
        <v>1</v>
      </c>
      <c r="E4134" s="357">
        <v>1</v>
      </c>
      <c r="F4134" s="357">
        <v>1</v>
      </c>
      <c r="G4134" s="357">
        <v>0</v>
      </c>
      <c r="H4134" s="357">
        <v>0</v>
      </c>
      <c r="I4134" s="357">
        <v>1</v>
      </c>
      <c r="J4134" s="357">
        <v>1</v>
      </c>
      <c r="K4134" s="357">
        <v>0</v>
      </c>
      <c r="L4134" s="357">
        <v>0</v>
      </c>
      <c r="M4134" s="357">
        <v>3</v>
      </c>
      <c r="N4134" s="357">
        <v>3</v>
      </c>
    </row>
    <row r="4135" spans="1:14" hidden="1" x14ac:dyDescent="0.25">
      <c r="A4135" s="357">
        <v>1</v>
      </c>
      <c r="B4135" s="357">
        <v>1</v>
      </c>
      <c r="C4135" s="357">
        <v>1</v>
      </c>
      <c r="D4135" s="357">
        <v>1</v>
      </c>
      <c r="E4135" s="357">
        <v>0</v>
      </c>
      <c r="F4135" s="357">
        <v>1</v>
      </c>
      <c r="G4135" s="357">
        <v>0</v>
      </c>
      <c r="H4135" s="357">
        <v>1</v>
      </c>
      <c r="I4135" s="357">
        <v>1</v>
      </c>
      <c r="J4135" s="357">
        <v>1</v>
      </c>
      <c r="K4135" s="357">
        <v>1</v>
      </c>
      <c r="L4135" s="357">
        <v>0</v>
      </c>
      <c r="M4135" s="357">
        <v>4</v>
      </c>
      <c r="N4135" s="357">
        <v>5</v>
      </c>
    </row>
    <row r="4136" spans="1:14" hidden="1" x14ac:dyDescent="0.25">
      <c r="A4136" s="357">
        <v>1</v>
      </c>
      <c r="B4136" s="357">
        <v>1</v>
      </c>
      <c r="C4136" s="357">
        <v>1</v>
      </c>
      <c r="D4136" s="357">
        <v>1</v>
      </c>
      <c r="E4136" s="357">
        <v>1</v>
      </c>
      <c r="F4136" s="357">
        <v>0</v>
      </c>
      <c r="G4136" s="357">
        <v>1</v>
      </c>
      <c r="H4136" s="357">
        <v>0</v>
      </c>
      <c r="I4136" s="357">
        <v>1</v>
      </c>
      <c r="J4136" s="357">
        <v>1</v>
      </c>
      <c r="K4136" s="357">
        <v>0</v>
      </c>
      <c r="L4136" s="357">
        <v>1</v>
      </c>
      <c r="M4136" s="357">
        <v>5</v>
      </c>
      <c r="N4136" s="357">
        <v>4</v>
      </c>
    </row>
    <row r="4137" spans="1:14" hidden="1" x14ac:dyDescent="0.25">
      <c r="A4137" s="357">
        <v>0</v>
      </c>
      <c r="B4137" s="357">
        <v>1</v>
      </c>
      <c r="C4137" s="357">
        <v>0</v>
      </c>
      <c r="D4137" s="357">
        <v>3</v>
      </c>
      <c r="E4137" s="357">
        <v>1</v>
      </c>
      <c r="F4137" s="357">
        <v>3</v>
      </c>
      <c r="G4137" s="357">
        <v>1</v>
      </c>
      <c r="H4137" s="357">
        <v>0</v>
      </c>
      <c r="I4137" s="357">
        <v>2</v>
      </c>
      <c r="J4137" s="357">
        <v>2</v>
      </c>
      <c r="K4137" s="357">
        <v>2</v>
      </c>
      <c r="L4137" s="357">
        <v>0</v>
      </c>
      <c r="M4137" s="357">
        <v>6</v>
      </c>
      <c r="N4137" s="357">
        <v>9</v>
      </c>
    </row>
    <row r="4138" spans="1:14" hidden="1" x14ac:dyDescent="0.25">
      <c r="A4138" s="357">
        <v>0</v>
      </c>
      <c r="B4138" s="357">
        <v>1</v>
      </c>
      <c r="C4138" s="357">
        <v>2</v>
      </c>
      <c r="D4138" s="357">
        <v>1</v>
      </c>
      <c r="E4138" s="357">
        <v>3</v>
      </c>
      <c r="F4138" s="357">
        <v>3</v>
      </c>
      <c r="G4138" s="357">
        <v>1</v>
      </c>
      <c r="H4138" s="357">
        <v>0</v>
      </c>
      <c r="I4138" s="357">
        <v>2</v>
      </c>
      <c r="J4138" s="357">
        <v>3</v>
      </c>
      <c r="K4138" s="357">
        <v>0</v>
      </c>
      <c r="L4138" s="357">
        <v>0</v>
      </c>
      <c r="M4138" s="357">
        <v>8</v>
      </c>
      <c r="N4138" s="357">
        <v>8</v>
      </c>
    </row>
    <row r="4139" spans="1:14" hidden="1" x14ac:dyDescent="0.25">
      <c r="A4139" s="357">
        <v>1</v>
      </c>
      <c r="B4139" s="357">
        <v>0</v>
      </c>
      <c r="C4139" s="357">
        <v>0</v>
      </c>
      <c r="D4139" s="357">
        <v>1</v>
      </c>
      <c r="E4139" s="357">
        <v>1</v>
      </c>
      <c r="F4139" s="357">
        <v>1</v>
      </c>
      <c r="G4139" s="357">
        <v>2</v>
      </c>
      <c r="H4139" s="357">
        <v>1</v>
      </c>
      <c r="I4139" s="357">
        <v>1</v>
      </c>
      <c r="J4139" s="357">
        <v>2</v>
      </c>
      <c r="K4139" s="357">
        <v>1</v>
      </c>
      <c r="L4139" s="357">
        <v>0</v>
      </c>
      <c r="M4139" s="357">
        <v>6</v>
      </c>
      <c r="N4139" s="357">
        <v>5</v>
      </c>
    </row>
    <row r="4140" spans="1:14" hidden="1" x14ac:dyDescent="0.25">
      <c r="A4140" s="357">
        <v>1</v>
      </c>
      <c r="B4140" s="357">
        <v>0</v>
      </c>
      <c r="C4140" s="357">
        <v>1</v>
      </c>
      <c r="D4140" s="357">
        <v>2</v>
      </c>
      <c r="E4140" s="357">
        <v>1</v>
      </c>
      <c r="F4140" s="357">
        <v>0</v>
      </c>
      <c r="G4140" s="357">
        <v>1</v>
      </c>
      <c r="H4140" s="357">
        <v>1</v>
      </c>
      <c r="I4140" s="357">
        <v>3</v>
      </c>
      <c r="J4140" s="357">
        <v>4</v>
      </c>
      <c r="K4140" s="357">
        <v>1</v>
      </c>
      <c r="L4140" s="357">
        <v>0</v>
      </c>
      <c r="M4140" s="357">
        <v>8</v>
      </c>
      <c r="N4140" s="357">
        <v>7</v>
      </c>
    </row>
    <row r="4141" spans="1:14" hidden="1" x14ac:dyDescent="0.25">
      <c r="A4141" s="357">
        <v>1</v>
      </c>
      <c r="B4141" s="357">
        <v>0</v>
      </c>
      <c r="C4141" s="357">
        <v>0</v>
      </c>
      <c r="D4141" s="357">
        <v>1</v>
      </c>
      <c r="E4141" s="357">
        <v>1</v>
      </c>
      <c r="F4141" s="357">
        <v>0</v>
      </c>
      <c r="G4141" s="357">
        <v>0</v>
      </c>
      <c r="H4141" s="357">
        <v>1</v>
      </c>
      <c r="I4141" s="357">
        <v>1</v>
      </c>
      <c r="J4141" s="357">
        <v>0</v>
      </c>
      <c r="K4141" s="357">
        <v>0</v>
      </c>
      <c r="L4141" s="357">
        <v>1</v>
      </c>
      <c r="M4141" s="357">
        <v>3</v>
      </c>
      <c r="N4141" s="357">
        <v>3</v>
      </c>
    </row>
    <row r="4142" spans="1:14" hidden="1" x14ac:dyDescent="0.25">
      <c r="A4142" s="357">
        <v>1</v>
      </c>
      <c r="B4142" s="357">
        <v>0</v>
      </c>
      <c r="C4142" s="357">
        <v>1</v>
      </c>
      <c r="D4142" s="357">
        <v>1</v>
      </c>
      <c r="E4142" s="357">
        <v>2</v>
      </c>
      <c r="F4142" s="357">
        <v>1</v>
      </c>
      <c r="G4142" s="357">
        <v>0</v>
      </c>
      <c r="H4142" s="357">
        <v>1</v>
      </c>
      <c r="I4142" s="357">
        <v>2</v>
      </c>
      <c r="J4142" s="357">
        <v>3</v>
      </c>
      <c r="K4142" s="357">
        <v>1</v>
      </c>
      <c r="L4142" s="357">
        <v>1</v>
      </c>
      <c r="M4142" s="357">
        <v>7</v>
      </c>
      <c r="N4142" s="357">
        <v>7</v>
      </c>
    </row>
    <row r="4143" spans="1:14" hidden="1" x14ac:dyDescent="0.25">
      <c r="A4143" s="357">
        <v>0</v>
      </c>
      <c r="B4143" s="357">
        <v>0</v>
      </c>
      <c r="C4143" s="357">
        <v>1</v>
      </c>
      <c r="D4143" s="357">
        <v>1</v>
      </c>
      <c r="E4143" s="357">
        <v>2</v>
      </c>
      <c r="F4143" s="357">
        <v>1</v>
      </c>
      <c r="G4143" s="357">
        <v>0</v>
      </c>
      <c r="H4143" s="357">
        <v>2</v>
      </c>
      <c r="I4143" s="357">
        <v>2</v>
      </c>
      <c r="J4143" s="357">
        <v>1</v>
      </c>
      <c r="K4143" s="357">
        <v>0</v>
      </c>
      <c r="L4143" s="357">
        <v>0</v>
      </c>
      <c r="M4143" s="357">
        <v>5</v>
      </c>
      <c r="N4143" s="357">
        <v>5</v>
      </c>
    </row>
    <row r="4144" spans="1:14" hidden="1" x14ac:dyDescent="0.25">
      <c r="A4144" s="357">
        <v>1</v>
      </c>
      <c r="B4144" s="357">
        <v>0</v>
      </c>
      <c r="C4144" s="357">
        <v>2</v>
      </c>
      <c r="D4144" s="357">
        <v>1</v>
      </c>
      <c r="E4144" s="357">
        <v>0</v>
      </c>
      <c r="F4144" s="357">
        <v>1</v>
      </c>
      <c r="G4144" s="357">
        <v>0</v>
      </c>
      <c r="H4144" s="357">
        <v>1</v>
      </c>
      <c r="I4144" s="357">
        <v>2</v>
      </c>
      <c r="J4144" s="357">
        <v>2</v>
      </c>
      <c r="K4144" s="357">
        <v>2</v>
      </c>
      <c r="L4144" s="357">
        <v>0</v>
      </c>
      <c r="M4144" s="357">
        <v>7</v>
      </c>
      <c r="N4144" s="357">
        <v>5</v>
      </c>
    </row>
    <row r="4145" spans="1:14" hidden="1" x14ac:dyDescent="0.25">
      <c r="A4145" s="357">
        <v>1</v>
      </c>
      <c r="B4145" s="357">
        <v>0</v>
      </c>
      <c r="C4145" s="357">
        <v>1</v>
      </c>
      <c r="D4145" s="357">
        <v>0</v>
      </c>
      <c r="E4145" s="357">
        <v>1</v>
      </c>
      <c r="F4145" s="357">
        <v>0</v>
      </c>
      <c r="G4145" s="357">
        <v>1</v>
      </c>
      <c r="H4145" s="357">
        <v>1</v>
      </c>
      <c r="I4145" s="357">
        <v>2</v>
      </c>
      <c r="J4145" s="357">
        <v>2</v>
      </c>
      <c r="K4145" s="357">
        <v>1</v>
      </c>
      <c r="L4145" s="357">
        <v>0</v>
      </c>
      <c r="M4145" s="357">
        <v>7</v>
      </c>
      <c r="N4145" s="357">
        <v>3</v>
      </c>
    </row>
    <row r="4146" spans="1:14" hidden="1" x14ac:dyDescent="0.25">
      <c r="A4146" s="357">
        <v>0</v>
      </c>
      <c r="B4146" s="357">
        <v>1</v>
      </c>
      <c r="C4146" s="357">
        <v>1</v>
      </c>
      <c r="D4146" s="357">
        <v>0</v>
      </c>
      <c r="E4146" s="357">
        <v>2</v>
      </c>
      <c r="F4146" s="357">
        <v>1</v>
      </c>
      <c r="G4146" s="357">
        <v>0</v>
      </c>
      <c r="H4146" s="357">
        <v>1</v>
      </c>
      <c r="I4146" s="357">
        <v>1</v>
      </c>
      <c r="J4146" s="357">
        <v>1</v>
      </c>
      <c r="K4146" s="357">
        <v>0</v>
      </c>
      <c r="L4146" s="357">
        <v>0</v>
      </c>
      <c r="M4146" s="357">
        <v>4</v>
      </c>
      <c r="N4146" s="357">
        <v>4</v>
      </c>
    </row>
    <row r="4147" spans="1:14" hidden="1" x14ac:dyDescent="0.25">
      <c r="A4147" s="357">
        <v>1</v>
      </c>
      <c r="B4147" s="357">
        <v>1</v>
      </c>
      <c r="C4147" s="357">
        <v>1</v>
      </c>
      <c r="D4147" s="357">
        <v>1</v>
      </c>
      <c r="E4147" s="357">
        <v>0</v>
      </c>
      <c r="F4147" s="357">
        <v>0</v>
      </c>
      <c r="G4147" s="357">
        <v>0</v>
      </c>
      <c r="H4147" s="357">
        <v>0</v>
      </c>
      <c r="I4147" s="357">
        <v>1</v>
      </c>
      <c r="J4147" s="357">
        <v>1</v>
      </c>
      <c r="K4147" s="357">
        <v>0</v>
      </c>
      <c r="L4147" s="357">
        <v>0</v>
      </c>
      <c r="M4147" s="357">
        <v>3</v>
      </c>
      <c r="N4147" s="357">
        <v>3</v>
      </c>
    </row>
    <row r="4148" spans="1:14" hidden="1" x14ac:dyDescent="0.25">
      <c r="A4148" s="357">
        <v>0</v>
      </c>
      <c r="B4148" s="357">
        <v>1</v>
      </c>
      <c r="C4148" s="357">
        <v>2</v>
      </c>
      <c r="D4148" s="357">
        <v>1</v>
      </c>
      <c r="E4148" s="357">
        <v>1</v>
      </c>
      <c r="F4148" s="357">
        <v>2</v>
      </c>
      <c r="G4148" s="357">
        <v>1</v>
      </c>
      <c r="H4148" s="357">
        <v>0</v>
      </c>
      <c r="I4148" s="357">
        <v>2</v>
      </c>
      <c r="J4148" s="357">
        <v>2</v>
      </c>
      <c r="K4148" s="357">
        <v>0</v>
      </c>
      <c r="L4148" s="357">
        <v>0</v>
      </c>
      <c r="M4148" s="357">
        <v>6</v>
      </c>
      <c r="N4148" s="357">
        <v>6</v>
      </c>
    </row>
    <row r="4149" spans="1:14" hidden="1" x14ac:dyDescent="0.25">
      <c r="A4149" s="357">
        <v>2</v>
      </c>
      <c r="B4149" s="357">
        <v>0</v>
      </c>
      <c r="C4149" s="357">
        <v>1</v>
      </c>
      <c r="D4149" s="357">
        <v>1</v>
      </c>
      <c r="E4149" s="357">
        <v>1</v>
      </c>
      <c r="F4149" s="357">
        <v>1</v>
      </c>
      <c r="G4149" s="357">
        <v>0</v>
      </c>
      <c r="H4149" s="357">
        <v>1</v>
      </c>
      <c r="I4149" s="357">
        <v>2</v>
      </c>
      <c r="J4149" s="357">
        <v>1</v>
      </c>
      <c r="K4149" s="357">
        <v>0</v>
      </c>
      <c r="L4149" s="357">
        <v>0</v>
      </c>
      <c r="M4149" s="357">
        <v>6</v>
      </c>
      <c r="N4149" s="357">
        <v>4</v>
      </c>
    </row>
    <row r="4150" spans="1:14" hidden="1" x14ac:dyDescent="0.25">
      <c r="A4150" s="357">
        <v>0</v>
      </c>
      <c r="B4150" s="357">
        <v>0</v>
      </c>
      <c r="C4150" s="357">
        <v>1</v>
      </c>
      <c r="D4150" s="357">
        <v>0</v>
      </c>
      <c r="E4150" s="357">
        <v>3</v>
      </c>
      <c r="F4150" s="357">
        <v>2</v>
      </c>
      <c r="G4150" s="357">
        <v>2</v>
      </c>
      <c r="H4150" s="357">
        <v>2</v>
      </c>
      <c r="I4150" s="357">
        <v>2</v>
      </c>
      <c r="J4150" s="357">
        <v>2</v>
      </c>
      <c r="K4150" s="357">
        <v>0</v>
      </c>
      <c r="L4150" s="357">
        <v>0</v>
      </c>
      <c r="M4150" s="357">
        <v>8</v>
      </c>
      <c r="N4150" s="357">
        <v>6</v>
      </c>
    </row>
    <row r="4151" spans="1:14" hidden="1" x14ac:dyDescent="0.25">
      <c r="A4151" s="357">
        <v>0</v>
      </c>
      <c r="B4151" s="357">
        <v>1</v>
      </c>
      <c r="C4151" s="357">
        <v>2</v>
      </c>
      <c r="D4151" s="357">
        <v>2</v>
      </c>
      <c r="E4151" s="357">
        <v>1</v>
      </c>
      <c r="F4151" s="357">
        <v>2</v>
      </c>
      <c r="G4151" s="357">
        <v>2</v>
      </c>
      <c r="H4151" s="357">
        <v>0</v>
      </c>
      <c r="I4151" s="357"/>
      <c r="J4151" s="357">
        <v>1</v>
      </c>
      <c r="K4151" s="357">
        <v>0</v>
      </c>
      <c r="L4151" s="357">
        <v>0</v>
      </c>
      <c r="M4151" s="357">
        <v>5</v>
      </c>
      <c r="N4151" s="357">
        <v>6</v>
      </c>
    </row>
    <row r="4152" spans="1:14" hidden="1" x14ac:dyDescent="0.25">
      <c r="A4152" s="357">
        <v>1</v>
      </c>
      <c r="B4152" s="357">
        <v>0</v>
      </c>
      <c r="C4152" s="357">
        <v>0</v>
      </c>
      <c r="D4152" s="357">
        <v>1</v>
      </c>
      <c r="E4152" s="357">
        <v>0</v>
      </c>
      <c r="F4152" s="357">
        <v>0</v>
      </c>
      <c r="G4152" s="357">
        <v>0</v>
      </c>
      <c r="H4152" s="357">
        <v>0</v>
      </c>
      <c r="I4152" s="357">
        <v>1</v>
      </c>
      <c r="J4152" s="357">
        <v>1</v>
      </c>
      <c r="K4152" s="357">
        <v>0</v>
      </c>
      <c r="L4152" s="357">
        <v>0</v>
      </c>
      <c r="M4152" s="357">
        <v>2</v>
      </c>
      <c r="N4152" s="357">
        <v>2</v>
      </c>
    </row>
    <row r="4153" spans="1:14" hidden="1" x14ac:dyDescent="0.25">
      <c r="A4153" s="357">
        <v>0</v>
      </c>
      <c r="B4153" s="357">
        <v>1</v>
      </c>
      <c r="C4153" s="357">
        <v>2</v>
      </c>
      <c r="D4153" s="357">
        <v>1</v>
      </c>
      <c r="E4153" s="357">
        <v>2</v>
      </c>
      <c r="F4153" s="357">
        <v>3</v>
      </c>
      <c r="G4153" s="357">
        <v>2</v>
      </c>
      <c r="H4153" s="357">
        <v>2</v>
      </c>
      <c r="I4153" s="357">
        <v>1</v>
      </c>
      <c r="J4153" s="357">
        <v>2</v>
      </c>
      <c r="K4153" s="357">
        <v>0</v>
      </c>
      <c r="L4153" s="357">
        <v>0</v>
      </c>
      <c r="M4153" s="357">
        <v>7</v>
      </c>
      <c r="N4153" s="357">
        <v>9</v>
      </c>
    </row>
    <row r="4154" spans="1:14" hidden="1" x14ac:dyDescent="0.25">
      <c r="A4154" s="357">
        <v>0</v>
      </c>
      <c r="B4154" s="357">
        <v>1</v>
      </c>
      <c r="C4154" s="357">
        <v>2</v>
      </c>
      <c r="D4154" s="357">
        <v>1</v>
      </c>
      <c r="E4154" s="357">
        <v>2</v>
      </c>
      <c r="F4154" s="357">
        <v>2</v>
      </c>
      <c r="G4154" s="357">
        <v>0</v>
      </c>
      <c r="H4154" s="357">
        <v>0</v>
      </c>
      <c r="I4154" s="357">
        <v>1</v>
      </c>
      <c r="J4154" s="357">
        <v>1</v>
      </c>
      <c r="K4154" s="357">
        <v>0</v>
      </c>
      <c r="L4154" s="357">
        <v>0</v>
      </c>
      <c r="M4154" s="357">
        <v>5</v>
      </c>
      <c r="N4154" s="357">
        <v>5</v>
      </c>
    </row>
    <row r="4155" spans="1:14" hidden="1" x14ac:dyDescent="0.25">
      <c r="A4155" s="357">
        <v>1</v>
      </c>
      <c r="B4155" s="357">
        <v>0</v>
      </c>
      <c r="C4155" s="357">
        <v>1</v>
      </c>
      <c r="D4155" s="357">
        <v>1</v>
      </c>
      <c r="E4155" s="357"/>
      <c r="F4155" s="357">
        <v>1</v>
      </c>
      <c r="G4155" s="357">
        <v>0</v>
      </c>
      <c r="H4155" s="357">
        <v>0</v>
      </c>
      <c r="I4155" s="357">
        <v>1</v>
      </c>
      <c r="J4155" s="357">
        <v>1</v>
      </c>
      <c r="K4155" s="357">
        <v>0</v>
      </c>
      <c r="L4155" s="357">
        <v>0</v>
      </c>
      <c r="M4155" s="357">
        <v>3</v>
      </c>
      <c r="N4155" s="357">
        <v>3</v>
      </c>
    </row>
    <row r="4156" spans="1:14" hidden="1" x14ac:dyDescent="0.25">
      <c r="A4156" s="357">
        <v>0</v>
      </c>
      <c r="B4156" s="357">
        <v>0</v>
      </c>
      <c r="C4156" s="357">
        <v>1</v>
      </c>
      <c r="D4156" s="357">
        <v>1</v>
      </c>
      <c r="E4156" s="357">
        <v>0</v>
      </c>
      <c r="F4156" s="357">
        <v>2</v>
      </c>
      <c r="G4156" s="357">
        <v>3</v>
      </c>
      <c r="H4156" s="357">
        <v>1</v>
      </c>
      <c r="I4156" s="357">
        <v>1</v>
      </c>
      <c r="J4156" s="357">
        <v>1</v>
      </c>
      <c r="K4156" s="357">
        <v>0</v>
      </c>
      <c r="L4156" s="357">
        <v>0</v>
      </c>
      <c r="M4156" s="357">
        <v>5</v>
      </c>
      <c r="N4156" s="357">
        <v>5</v>
      </c>
    </row>
    <row r="4157" spans="1:14" hidden="1" x14ac:dyDescent="0.25">
      <c r="A4157" s="357">
        <v>1</v>
      </c>
      <c r="B4157" s="357">
        <v>0</v>
      </c>
      <c r="C4157" s="357">
        <v>2</v>
      </c>
      <c r="D4157" s="357">
        <v>1</v>
      </c>
      <c r="E4157" s="357">
        <v>1</v>
      </c>
      <c r="F4157" s="357">
        <v>0</v>
      </c>
      <c r="G4157" s="357">
        <v>0</v>
      </c>
      <c r="H4157" s="357">
        <v>0</v>
      </c>
      <c r="I4157" s="357">
        <v>1</v>
      </c>
      <c r="J4157" s="357">
        <v>1</v>
      </c>
      <c r="K4157" s="357">
        <v>0</v>
      </c>
      <c r="L4157" s="357">
        <v>0</v>
      </c>
      <c r="M4157" s="357">
        <v>5</v>
      </c>
      <c r="N4157" s="357">
        <v>2</v>
      </c>
    </row>
    <row r="4158" spans="1:14" hidden="1" x14ac:dyDescent="0.25">
      <c r="A4158" s="357">
        <v>0</v>
      </c>
      <c r="B4158" s="357">
        <v>1</v>
      </c>
      <c r="C4158" s="357">
        <v>1</v>
      </c>
      <c r="D4158" s="357">
        <v>0</v>
      </c>
      <c r="E4158" s="357">
        <v>1</v>
      </c>
      <c r="F4158" s="357">
        <v>1</v>
      </c>
      <c r="G4158" s="357">
        <v>0</v>
      </c>
      <c r="H4158" s="357">
        <v>0</v>
      </c>
      <c r="I4158" s="357">
        <v>1</v>
      </c>
      <c r="J4158" s="357">
        <v>1</v>
      </c>
      <c r="K4158" s="357">
        <v>0</v>
      </c>
      <c r="L4158" s="357">
        <v>0</v>
      </c>
      <c r="M4158" s="357">
        <v>3</v>
      </c>
      <c r="N4158" s="357">
        <v>3</v>
      </c>
    </row>
    <row r="4159" spans="1:14" hidden="1" x14ac:dyDescent="0.25">
      <c r="A4159" s="357">
        <v>0</v>
      </c>
      <c r="B4159" s="357">
        <v>2</v>
      </c>
      <c r="C4159" s="357">
        <v>2</v>
      </c>
      <c r="D4159" s="357">
        <v>0</v>
      </c>
      <c r="E4159" s="357">
        <v>2</v>
      </c>
      <c r="F4159" s="357">
        <v>0</v>
      </c>
      <c r="G4159" s="357">
        <v>0</v>
      </c>
      <c r="H4159" s="357">
        <v>0</v>
      </c>
      <c r="I4159" s="357">
        <v>1</v>
      </c>
      <c r="J4159" s="357">
        <v>1</v>
      </c>
      <c r="K4159" s="357">
        <v>0</v>
      </c>
      <c r="L4159" s="357">
        <v>0</v>
      </c>
      <c r="M4159" s="357">
        <v>5</v>
      </c>
      <c r="N4159" s="357">
        <v>3</v>
      </c>
    </row>
    <row r="4160" spans="1:14" hidden="1" x14ac:dyDescent="0.25">
      <c r="A4160" s="357">
        <v>0</v>
      </c>
      <c r="B4160" s="357">
        <v>0</v>
      </c>
      <c r="C4160" s="357">
        <v>0</v>
      </c>
      <c r="D4160" s="357">
        <v>1</v>
      </c>
      <c r="E4160" s="357">
        <v>3</v>
      </c>
      <c r="F4160" s="357">
        <v>2</v>
      </c>
      <c r="G4160" s="357">
        <v>3</v>
      </c>
      <c r="H4160" s="357">
        <v>0</v>
      </c>
      <c r="I4160" s="357">
        <v>3</v>
      </c>
      <c r="J4160" s="357">
        <v>3</v>
      </c>
      <c r="K4160" s="357">
        <v>1</v>
      </c>
      <c r="L4160" s="357">
        <v>0</v>
      </c>
      <c r="M4160" s="357">
        <v>10</v>
      </c>
      <c r="N4160" s="357">
        <v>6</v>
      </c>
    </row>
    <row r="4161" spans="1:14" hidden="1" x14ac:dyDescent="0.25">
      <c r="A4161" s="357">
        <v>0</v>
      </c>
      <c r="B4161" s="357">
        <v>0</v>
      </c>
      <c r="C4161" s="357">
        <v>0</v>
      </c>
      <c r="D4161" s="357">
        <v>0</v>
      </c>
      <c r="E4161" s="357">
        <v>2</v>
      </c>
      <c r="F4161" s="357">
        <v>1</v>
      </c>
      <c r="G4161" s="357">
        <v>0</v>
      </c>
      <c r="H4161" s="357">
        <v>1</v>
      </c>
      <c r="I4161" s="357">
        <v>2</v>
      </c>
      <c r="J4161" s="357">
        <v>1</v>
      </c>
      <c r="K4161" s="357">
        <v>0</v>
      </c>
      <c r="L4161" s="357">
        <v>0</v>
      </c>
      <c r="M4161" s="357">
        <v>4</v>
      </c>
      <c r="N4161" s="357">
        <v>3</v>
      </c>
    </row>
    <row r="4162" spans="1:14" hidden="1" x14ac:dyDescent="0.25">
      <c r="A4162" s="357">
        <v>0</v>
      </c>
      <c r="B4162" s="357">
        <v>0</v>
      </c>
      <c r="C4162" s="357">
        <v>1</v>
      </c>
      <c r="D4162" s="357">
        <v>1</v>
      </c>
      <c r="E4162" s="357">
        <v>4</v>
      </c>
      <c r="F4162" s="357">
        <v>2</v>
      </c>
      <c r="G4162" s="357">
        <v>1</v>
      </c>
      <c r="H4162" s="357">
        <v>1</v>
      </c>
      <c r="I4162" s="357">
        <v>1</v>
      </c>
      <c r="J4162" s="357">
        <v>1</v>
      </c>
      <c r="K4162" s="357">
        <v>0</v>
      </c>
      <c r="L4162" s="357">
        <v>0</v>
      </c>
      <c r="M4162" s="357">
        <v>7</v>
      </c>
      <c r="N4162" s="357">
        <v>5</v>
      </c>
    </row>
    <row r="4163" spans="1:14" hidden="1" x14ac:dyDescent="0.25">
      <c r="A4163" s="357">
        <v>1</v>
      </c>
      <c r="B4163" s="357">
        <v>0</v>
      </c>
      <c r="C4163" s="357">
        <v>0</v>
      </c>
      <c r="D4163" s="357">
        <v>1</v>
      </c>
      <c r="E4163" s="357">
        <v>0</v>
      </c>
      <c r="F4163" s="357">
        <v>0</v>
      </c>
      <c r="G4163" s="357">
        <v>0</v>
      </c>
      <c r="H4163" s="357">
        <v>0</v>
      </c>
      <c r="I4163" s="357">
        <v>1</v>
      </c>
      <c r="J4163" s="357">
        <v>2</v>
      </c>
      <c r="K4163" s="357">
        <v>0</v>
      </c>
      <c r="L4163" s="357">
        <v>0</v>
      </c>
      <c r="M4163" s="357">
        <v>2</v>
      </c>
      <c r="N4163" s="357">
        <v>3</v>
      </c>
    </row>
    <row r="4164" spans="1:14" hidden="1" x14ac:dyDescent="0.25">
      <c r="A4164" s="357">
        <v>1</v>
      </c>
      <c r="B4164" s="357">
        <v>1</v>
      </c>
      <c r="C4164" s="357">
        <v>1</v>
      </c>
      <c r="D4164" s="357">
        <v>1</v>
      </c>
      <c r="E4164" s="357">
        <v>0</v>
      </c>
      <c r="F4164" s="357">
        <v>0</v>
      </c>
      <c r="G4164" s="357">
        <v>1</v>
      </c>
      <c r="H4164" s="357">
        <v>0</v>
      </c>
      <c r="I4164" s="357">
        <v>1</v>
      </c>
      <c r="J4164" s="357">
        <v>1</v>
      </c>
      <c r="K4164" s="357">
        <v>0</v>
      </c>
      <c r="L4164" s="357">
        <v>0</v>
      </c>
      <c r="M4164" s="357">
        <v>4</v>
      </c>
      <c r="N4164" s="357">
        <v>3</v>
      </c>
    </row>
    <row r="4165" spans="1:14" hidden="1" x14ac:dyDescent="0.25">
      <c r="A4165" s="357">
        <v>0</v>
      </c>
      <c r="B4165" s="357">
        <v>1</v>
      </c>
      <c r="C4165" s="357">
        <v>1</v>
      </c>
      <c r="D4165" s="357">
        <v>0</v>
      </c>
      <c r="E4165" s="357">
        <v>1</v>
      </c>
      <c r="F4165" s="357">
        <v>0</v>
      </c>
      <c r="G4165" s="357">
        <v>1</v>
      </c>
      <c r="H4165" s="357">
        <v>0</v>
      </c>
      <c r="I4165" s="357">
        <v>1</v>
      </c>
      <c r="J4165" s="357">
        <v>1</v>
      </c>
      <c r="K4165" s="357">
        <v>0</v>
      </c>
      <c r="L4165" s="357">
        <v>0</v>
      </c>
      <c r="M4165" s="357">
        <v>4</v>
      </c>
      <c r="N4165" s="357">
        <v>2</v>
      </c>
    </row>
    <row r="4166" spans="1:14" hidden="1" x14ac:dyDescent="0.25">
      <c r="A4166" s="357">
        <v>1</v>
      </c>
      <c r="B4166" s="357">
        <v>0</v>
      </c>
      <c r="C4166" s="357">
        <v>1</v>
      </c>
      <c r="D4166" s="357">
        <v>1</v>
      </c>
      <c r="E4166" s="357">
        <v>1</v>
      </c>
      <c r="F4166" s="357">
        <v>0</v>
      </c>
      <c r="G4166" s="357">
        <v>0</v>
      </c>
      <c r="H4166" s="357">
        <v>1</v>
      </c>
      <c r="I4166" s="357">
        <v>1</v>
      </c>
      <c r="J4166" s="357">
        <v>1</v>
      </c>
      <c r="K4166" s="357">
        <v>0</v>
      </c>
      <c r="L4166" s="357">
        <v>1</v>
      </c>
      <c r="M4166" s="357">
        <v>4</v>
      </c>
      <c r="N4166" s="357">
        <v>4</v>
      </c>
    </row>
    <row r="4167" spans="1:14" hidden="1" x14ac:dyDescent="0.25">
      <c r="A4167" s="357">
        <v>1</v>
      </c>
      <c r="B4167" s="357">
        <v>0</v>
      </c>
      <c r="C4167" s="357">
        <v>1</v>
      </c>
      <c r="D4167" s="357">
        <v>1</v>
      </c>
      <c r="E4167" s="357">
        <v>0</v>
      </c>
      <c r="F4167" s="357">
        <v>1</v>
      </c>
      <c r="G4167" s="357">
        <v>2</v>
      </c>
      <c r="H4167" s="357">
        <v>0</v>
      </c>
      <c r="I4167" s="357">
        <v>2</v>
      </c>
      <c r="J4167" s="357">
        <v>1</v>
      </c>
      <c r="K4167" s="357">
        <v>0</v>
      </c>
      <c r="L4167" s="357">
        <v>0</v>
      </c>
      <c r="M4167" s="357">
        <v>6</v>
      </c>
      <c r="N4167" s="357">
        <v>3</v>
      </c>
    </row>
    <row r="4168" spans="1:14" hidden="1" x14ac:dyDescent="0.25">
      <c r="A4168" s="357">
        <v>0</v>
      </c>
      <c r="B4168" s="357">
        <v>0</v>
      </c>
      <c r="C4168" s="357">
        <v>2</v>
      </c>
      <c r="D4168" s="357">
        <v>0</v>
      </c>
      <c r="E4168" s="357">
        <v>2</v>
      </c>
      <c r="F4168" s="357">
        <v>1</v>
      </c>
      <c r="G4168" s="357">
        <v>1</v>
      </c>
      <c r="H4168" s="357">
        <v>0</v>
      </c>
      <c r="I4168" s="357">
        <v>2</v>
      </c>
      <c r="J4168" s="357">
        <v>2</v>
      </c>
      <c r="K4168" s="357">
        <v>1</v>
      </c>
      <c r="L4168" s="357">
        <v>0</v>
      </c>
      <c r="M4168" s="357">
        <v>8</v>
      </c>
      <c r="N4168" s="357">
        <v>3</v>
      </c>
    </row>
    <row r="4169" spans="1:14" hidden="1" x14ac:dyDescent="0.25">
      <c r="A4169" s="357">
        <v>1</v>
      </c>
      <c r="B4169" s="357">
        <v>0</v>
      </c>
      <c r="C4169" s="357">
        <v>2</v>
      </c>
      <c r="D4169" s="357">
        <v>0</v>
      </c>
      <c r="E4169" s="357">
        <v>0</v>
      </c>
      <c r="F4169" s="357">
        <v>1</v>
      </c>
      <c r="G4169" s="357">
        <v>1</v>
      </c>
      <c r="H4169" s="357">
        <v>1</v>
      </c>
      <c r="I4169" s="357">
        <v>2</v>
      </c>
      <c r="J4169" s="357">
        <v>2</v>
      </c>
      <c r="K4169" s="357">
        <v>0</v>
      </c>
      <c r="L4169" s="357">
        <v>0</v>
      </c>
      <c r="M4169" s="357">
        <v>6</v>
      </c>
      <c r="N4169" s="357">
        <v>4</v>
      </c>
    </row>
    <row r="4170" spans="1:14" hidden="1" x14ac:dyDescent="0.25">
      <c r="A4170" s="357">
        <v>1</v>
      </c>
      <c r="B4170" s="357">
        <v>0</v>
      </c>
      <c r="C4170" s="357">
        <v>1</v>
      </c>
      <c r="D4170" s="357">
        <v>0</v>
      </c>
      <c r="E4170" s="357">
        <v>2</v>
      </c>
      <c r="F4170" s="357">
        <v>1</v>
      </c>
      <c r="G4170" s="357">
        <v>2</v>
      </c>
      <c r="H4170" s="357">
        <v>0</v>
      </c>
      <c r="I4170" s="357">
        <v>2</v>
      </c>
      <c r="J4170" s="357">
        <v>2</v>
      </c>
      <c r="K4170" s="357">
        <v>0</v>
      </c>
      <c r="L4170" s="357">
        <v>1</v>
      </c>
      <c r="M4170" s="357">
        <v>8</v>
      </c>
      <c r="N4170" s="357">
        <v>4</v>
      </c>
    </row>
    <row r="4171" spans="1:14" hidden="1" x14ac:dyDescent="0.25">
      <c r="A4171" s="357">
        <v>0</v>
      </c>
      <c r="B4171" s="357">
        <v>1</v>
      </c>
      <c r="C4171" s="357">
        <v>0</v>
      </c>
      <c r="D4171" s="357">
        <v>1</v>
      </c>
      <c r="E4171" s="357">
        <v>2</v>
      </c>
      <c r="F4171" s="357">
        <v>0</v>
      </c>
      <c r="G4171" s="357">
        <v>1</v>
      </c>
      <c r="H4171" s="357">
        <v>0</v>
      </c>
      <c r="I4171" s="357">
        <v>1</v>
      </c>
      <c r="J4171" s="357">
        <v>2</v>
      </c>
      <c r="K4171" s="357">
        <v>0</v>
      </c>
      <c r="L4171" s="357">
        <v>0</v>
      </c>
      <c r="M4171" s="357">
        <v>4</v>
      </c>
      <c r="N4171" s="357">
        <v>4</v>
      </c>
    </row>
    <row r="4172" spans="1:14" hidden="1" x14ac:dyDescent="0.25">
      <c r="A4172" s="357">
        <v>0</v>
      </c>
      <c r="B4172" s="357">
        <v>0</v>
      </c>
      <c r="C4172" s="357">
        <v>1</v>
      </c>
      <c r="D4172" s="357">
        <v>0</v>
      </c>
      <c r="E4172" s="357">
        <v>1</v>
      </c>
      <c r="F4172" s="357">
        <v>1</v>
      </c>
      <c r="G4172" s="357">
        <v>0</v>
      </c>
      <c r="H4172" s="357">
        <v>1</v>
      </c>
      <c r="I4172" s="357">
        <v>1</v>
      </c>
      <c r="J4172" s="357">
        <v>2</v>
      </c>
      <c r="K4172" s="357">
        <v>0</v>
      </c>
      <c r="L4172" s="357">
        <v>0</v>
      </c>
      <c r="M4172" s="357">
        <v>3</v>
      </c>
      <c r="N4172" s="357">
        <v>4</v>
      </c>
    </row>
    <row r="4173" spans="1:14" hidden="1" x14ac:dyDescent="0.25">
      <c r="A4173" s="357">
        <v>0</v>
      </c>
      <c r="B4173" s="357">
        <v>1</v>
      </c>
      <c r="C4173" s="357">
        <v>0</v>
      </c>
      <c r="D4173" s="357">
        <v>1</v>
      </c>
      <c r="E4173" s="357">
        <v>0</v>
      </c>
      <c r="F4173" s="357">
        <v>1</v>
      </c>
      <c r="G4173" s="357">
        <v>0</v>
      </c>
      <c r="H4173" s="357">
        <v>1</v>
      </c>
      <c r="I4173" s="357">
        <v>1</v>
      </c>
      <c r="J4173" s="357">
        <v>1</v>
      </c>
      <c r="K4173" s="357">
        <v>0</v>
      </c>
      <c r="L4173" s="357">
        <v>0</v>
      </c>
      <c r="M4173" s="357">
        <v>1</v>
      </c>
      <c r="N4173" s="357">
        <v>5</v>
      </c>
    </row>
    <row r="4174" spans="1:14" hidden="1" x14ac:dyDescent="0.25">
      <c r="A4174" s="357">
        <v>0</v>
      </c>
      <c r="B4174" s="357">
        <v>1</v>
      </c>
      <c r="C4174" s="357">
        <v>0</v>
      </c>
      <c r="D4174" s="357">
        <v>0</v>
      </c>
      <c r="E4174" s="357">
        <v>1</v>
      </c>
      <c r="F4174" s="357">
        <v>1</v>
      </c>
      <c r="G4174" s="357">
        <v>1</v>
      </c>
      <c r="H4174" s="357">
        <v>1</v>
      </c>
      <c r="I4174" s="357">
        <v>1</v>
      </c>
      <c r="J4174" s="357">
        <v>1</v>
      </c>
      <c r="K4174" s="357">
        <v>0</v>
      </c>
      <c r="L4174" s="357">
        <v>0</v>
      </c>
      <c r="M4174" s="357">
        <v>3</v>
      </c>
      <c r="N4174" s="357">
        <v>4</v>
      </c>
    </row>
    <row r="4175" spans="1:14" hidden="1" x14ac:dyDescent="0.25">
      <c r="A4175" s="357">
        <v>1</v>
      </c>
      <c r="B4175" s="357">
        <v>1</v>
      </c>
      <c r="C4175" s="357">
        <v>1</v>
      </c>
      <c r="D4175" s="357">
        <v>0</v>
      </c>
      <c r="E4175" s="357">
        <v>1</v>
      </c>
      <c r="F4175" s="357">
        <v>0</v>
      </c>
      <c r="G4175" s="357">
        <v>1</v>
      </c>
      <c r="H4175" s="357">
        <v>0</v>
      </c>
      <c r="I4175" s="357">
        <v>1</v>
      </c>
      <c r="J4175" s="357">
        <v>1</v>
      </c>
      <c r="K4175" s="357">
        <v>0</v>
      </c>
      <c r="L4175" s="357">
        <v>0</v>
      </c>
      <c r="M4175" s="357">
        <v>5</v>
      </c>
      <c r="N4175" s="357">
        <v>2</v>
      </c>
    </row>
    <row r="4176" spans="1:14" hidden="1" x14ac:dyDescent="0.25">
      <c r="A4176" s="357">
        <v>1</v>
      </c>
      <c r="B4176" s="357">
        <v>1</v>
      </c>
      <c r="C4176" s="357">
        <v>1</v>
      </c>
      <c r="D4176" s="357">
        <v>1</v>
      </c>
      <c r="E4176" s="357">
        <v>1</v>
      </c>
      <c r="F4176" s="357">
        <v>0</v>
      </c>
      <c r="G4176" s="357">
        <v>1</v>
      </c>
      <c r="H4176" s="357">
        <v>0</v>
      </c>
      <c r="I4176" s="357">
        <v>1</v>
      </c>
      <c r="J4176" s="357">
        <v>1</v>
      </c>
      <c r="K4176" s="357">
        <v>0</v>
      </c>
      <c r="L4176" s="357">
        <v>0</v>
      </c>
      <c r="M4176" s="357">
        <v>5</v>
      </c>
      <c r="N4176" s="357">
        <v>3</v>
      </c>
    </row>
    <row r="4177" spans="1:14" hidden="1" x14ac:dyDescent="0.25">
      <c r="A4177" s="357">
        <v>1</v>
      </c>
      <c r="B4177" s="357">
        <v>1</v>
      </c>
      <c r="C4177" s="357">
        <v>2</v>
      </c>
      <c r="D4177" s="357">
        <v>0</v>
      </c>
      <c r="E4177" s="357">
        <v>0</v>
      </c>
      <c r="F4177" s="357">
        <v>1</v>
      </c>
      <c r="G4177" s="357">
        <v>1</v>
      </c>
      <c r="H4177" s="357">
        <v>0</v>
      </c>
      <c r="I4177" s="357">
        <v>1</v>
      </c>
      <c r="J4177" s="357">
        <v>1</v>
      </c>
      <c r="K4177" s="357">
        <v>1</v>
      </c>
      <c r="L4177" s="357">
        <v>0</v>
      </c>
      <c r="M4177" s="357">
        <v>6</v>
      </c>
      <c r="N4177" s="357">
        <v>3</v>
      </c>
    </row>
    <row r="4178" spans="1:14" hidden="1" x14ac:dyDescent="0.25">
      <c r="A4178" s="357">
        <v>1</v>
      </c>
      <c r="B4178" s="357">
        <v>0</v>
      </c>
      <c r="C4178" s="357">
        <v>0</v>
      </c>
      <c r="D4178" s="357">
        <v>1</v>
      </c>
      <c r="E4178" s="357">
        <v>1</v>
      </c>
      <c r="F4178" s="357">
        <v>0</v>
      </c>
      <c r="G4178" s="357">
        <v>0</v>
      </c>
      <c r="H4178" s="357">
        <v>0</v>
      </c>
      <c r="I4178" s="357">
        <v>1</v>
      </c>
      <c r="J4178" s="357">
        <v>1</v>
      </c>
      <c r="K4178" s="357">
        <v>0</v>
      </c>
      <c r="L4178" s="357">
        <v>0</v>
      </c>
      <c r="M4178" s="357">
        <v>3</v>
      </c>
      <c r="N4178" s="357">
        <v>2</v>
      </c>
    </row>
    <row r="4179" spans="1:14" hidden="1" x14ac:dyDescent="0.25">
      <c r="A4179" s="357">
        <v>0</v>
      </c>
      <c r="B4179" s="357">
        <v>0</v>
      </c>
      <c r="C4179" s="357">
        <v>1</v>
      </c>
      <c r="D4179" s="357">
        <v>0</v>
      </c>
      <c r="E4179" s="357">
        <v>2</v>
      </c>
      <c r="F4179" s="357">
        <v>0</v>
      </c>
      <c r="G4179" s="357">
        <v>1</v>
      </c>
      <c r="H4179" s="357">
        <v>1</v>
      </c>
      <c r="I4179" s="357">
        <v>1</v>
      </c>
      <c r="J4179" s="357">
        <v>1</v>
      </c>
      <c r="K4179" s="357">
        <v>1</v>
      </c>
      <c r="L4179" s="357">
        <v>0</v>
      </c>
      <c r="M4179" s="357">
        <v>6</v>
      </c>
      <c r="N4179" s="357">
        <v>2</v>
      </c>
    </row>
    <row r="4180" spans="1:14" hidden="1" x14ac:dyDescent="0.25">
      <c r="A4180" s="357">
        <v>1</v>
      </c>
      <c r="B4180" s="357">
        <v>0</v>
      </c>
      <c r="C4180" s="357">
        <v>0</v>
      </c>
      <c r="D4180" s="357">
        <v>1</v>
      </c>
      <c r="E4180" s="357">
        <v>0</v>
      </c>
      <c r="F4180" s="357">
        <v>1</v>
      </c>
      <c r="G4180" s="357">
        <v>0</v>
      </c>
      <c r="H4180" s="357">
        <v>1</v>
      </c>
      <c r="I4180" s="357">
        <v>1</v>
      </c>
      <c r="J4180" s="357">
        <v>1</v>
      </c>
      <c r="K4180" s="357">
        <v>0</v>
      </c>
      <c r="L4180" s="357">
        <v>0</v>
      </c>
      <c r="M4180" s="357">
        <v>2</v>
      </c>
      <c r="N4180" s="357">
        <v>4</v>
      </c>
    </row>
    <row r="4181" spans="1:14" hidden="1" x14ac:dyDescent="0.25">
      <c r="A4181" s="357">
        <v>0</v>
      </c>
      <c r="B4181" s="357">
        <v>0</v>
      </c>
      <c r="C4181" s="357">
        <v>1</v>
      </c>
      <c r="D4181" s="357">
        <v>0</v>
      </c>
      <c r="E4181" s="357">
        <v>1</v>
      </c>
      <c r="F4181" s="357">
        <v>1</v>
      </c>
      <c r="G4181" s="357">
        <v>0</v>
      </c>
      <c r="H4181" s="357">
        <v>2</v>
      </c>
      <c r="I4181" s="357">
        <v>1</v>
      </c>
      <c r="J4181" s="357">
        <v>1</v>
      </c>
      <c r="K4181" s="357">
        <v>0</v>
      </c>
      <c r="L4181" s="357">
        <v>0</v>
      </c>
      <c r="M4181" s="357">
        <v>3</v>
      </c>
      <c r="N4181" s="357">
        <v>4</v>
      </c>
    </row>
    <row r="4182" spans="1:14" hidden="1" x14ac:dyDescent="0.25">
      <c r="A4182" s="357">
        <v>0</v>
      </c>
      <c r="B4182" s="357">
        <v>0</v>
      </c>
      <c r="C4182" s="357">
        <v>1</v>
      </c>
      <c r="D4182" s="357">
        <v>1</v>
      </c>
      <c r="E4182" s="357">
        <v>0</v>
      </c>
      <c r="F4182" s="357">
        <v>1</v>
      </c>
      <c r="G4182" s="357">
        <v>0</v>
      </c>
      <c r="H4182" s="357">
        <v>0</v>
      </c>
      <c r="I4182" s="357">
        <v>1</v>
      </c>
      <c r="J4182" s="357">
        <v>1</v>
      </c>
      <c r="K4182" s="357">
        <v>0</v>
      </c>
      <c r="L4182" s="357">
        <v>0</v>
      </c>
      <c r="M4182" s="357">
        <v>2</v>
      </c>
      <c r="N4182" s="357">
        <v>3</v>
      </c>
    </row>
    <row r="4183" spans="1:14" hidden="1" x14ac:dyDescent="0.25">
      <c r="A4183" s="357">
        <v>0</v>
      </c>
      <c r="B4183" s="357">
        <v>0</v>
      </c>
      <c r="C4183" s="357">
        <v>1</v>
      </c>
      <c r="D4183" s="357">
        <v>0</v>
      </c>
      <c r="E4183" s="357">
        <v>1</v>
      </c>
      <c r="F4183" s="357">
        <v>0</v>
      </c>
      <c r="G4183" s="357">
        <v>1</v>
      </c>
      <c r="H4183" s="357">
        <v>0</v>
      </c>
      <c r="I4183" s="357">
        <v>1</v>
      </c>
      <c r="J4183" s="357">
        <v>1</v>
      </c>
      <c r="K4183" s="357">
        <v>0</v>
      </c>
      <c r="L4183" s="357">
        <v>0</v>
      </c>
      <c r="M4183" s="357">
        <v>4</v>
      </c>
      <c r="N4183" s="357">
        <v>1</v>
      </c>
    </row>
    <row r="4184" spans="1:14" hidden="1" x14ac:dyDescent="0.25">
      <c r="A4184" s="357">
        <v>0</v>
      </c>
      <c r="B4184" s="357">
        <v>1</v>
      </c>
      <c r="C4184" s="357">
        <v>0</v>
      </c>
      <c r="D4184" s="357">
        <v>1</v>
      </c>
      <c r="E4184" s="357">
        <v>0</v>
      </c>
      <c r="F4184" s="357">
        <v>1</v>
      </c>
      <c r="G4184" s="357">
        <v>0</v>
      </c>
      <c r="H4184" s="357">
        <v>1</v>
      </c>
      <c r="I4184" s="357">
        <v>1</v>
      </c>
      <c r="J4184" s="357">
        <v>1</v>
      </c>
      <c r="K4184" s="357">
        <v>0</v>
      </c>
      <c r="L4184" s="357">
        <v>0</v>
      </c>
      <c r="M4184" s="357">
        <v>1</v>
      </c>
      <c r="N4184" s="357">
        <v>5</v>
      </c>
    </row>
    <row r="4185" spans="1:14" hidden="1" x14ac:dyDescent="0.25">
      <c r="A4185" s="357">
        <v>0</v>
      </c>
      <c r="B4185" s="357">
        <v>0</v>
      </c>
      <c r="C4185" s="357">
        <v>1</v>
      </c>
      <c r="D4185" s="357">
        <v>0</v>
      </c>
      <c r="E4185" s="357">
        <v>1</v>
      </c>
      <c r="F4185" s="357">
        <v>0</v>
      </c>
      <c r="G4185" s="357">
        <v>0</v>
      </c>
      <c r="H4185" s="357">
        <v>2</v>
      </c>
      <c r="I4185" s="357">
        <v>1</v>
      </c>
      <c r="J4185" s="357">
        <v>2</v>
      </c>
      <c r="K4185" s="357">
        <v>0</v>
      </c>
      <c r="L4185" s="357">
        <v>0</v>
      </c>
      <c r="M4185" s="357">
        <v>3</v>
      </c>
      <c r="N4185" s="357">
        <v>4</v>
      </c>
    </row>
    <row r="4186" spans="1:14" hidden="1" x14ac:dyDescent="0.25">
      <c r="A4186" s="357">
        <v>0</v>
      </c>
      <c r="B4186" s="357">
        <v>0</v>
      </c>
      <c r="C4186" s="357">
        <v>1</v>
      </c>
      <c r="D4186" s="357">
        <v>0</v>
      </c>
      <c r="E4186" s="357">
        <v>0</v>
      </c>
      <c r="F4186" s="357">
        <v>1</v>
      </c>
      <c r="G4186" s="357">
        <v>0</v>
      </c>
      <c r="H4186" s="357">
        <v>1</v>
      </c>
      <c r="I4186" s="357">
        <v>1</v>
      </c>
      <c r="J4186" s="357">
        <v>1</v>
      </c>
      <c r="K4186" s="357">
        <v>0</v>
      </c>
      <c r="L4186" s="357">
        <v>0</v>
      </c>
      <c r="M4186" s="357">
        <v>2</v>
      </c>
      <c r="N4186" s="357">
        <v>3</v>
      </c>
    </row>
    <row r="4187" spans="1:14" hidden="1" x14ac:dyDescent="0.25">
      <c r="A4187" s="357">
        <v>1</v>
      </c>
      <c r="B4187" s="357">
        <v>0</v>
      </c>
      <c r="C4187" s="357">
        <v>0</v>
      </c>
      <c r="D4187" s="357">
        <v>1</v>
      </c>
      <c r="E4187" s="357">
        <v>1</v>
      </c>
      <c r="F4187" s="357">
        <v>0</v>
      </c>
      <c r="G4187" s="357">
        <v>1</v>
      </c>
      <c r="H4187" s="357">
        <v>0</v>
      </c>
      <c r="I4187" s="357">
        <v>1</v>
      </c>
      <c r="J4187" s="357">
        <v>1</v>
      </c>
      <c r="K4187" s="357">
        <v>0</v>
      </c>
      <c r="L4187" s="357">
        <v>1</v>
      </c>
      <c r="M4187" s="357">
        <v>4</v>
      </c>
      <c r="N4187" s="357">
        <v>3</v>
      </c>
    </row>
    <row r="4188" spans="1:14" hidden="1" x14ac:dyDescent="0.25">
      <c r="A4188" s="357">
        <v>2</v>
      </c>
      <c r="B4188" s="357">
        <v>1</v>
      </c>
      <c r="C4188" s="357">
        <v>0</v>
      </c>
      <c r="D4188" s="357">
        <v>2</v>
      </c>
      <c r="E4188" s="357">
        <v>1</v>
      </c>
      <c r="F4188" s="357">
        <v>0</v>
      </c>
      <c r="G4188" s="357">
        <v>0</v>
      </c>
      <c r="H4188" s="357">
        <v>0</v>
      </c>
      <c r="I4188" s="357">
        <v>1</v>
      </c>
      <c r="J4188" s="357">
        <v>1</v>
      </c>
      <c r="K4188" s="357">
        <v>0</v>
      </c>
      <c r="L4188" s="357">
        <v>0</v>
      </c>
      <c r="M4188" s="357">
        <v>4</v>
      </c>
      <c r="N4188" s="357">
        <v>4</v>
      </c>
    </row>
    <row r="4189" spans="1:14" hidden="1" x14ac:dyDescent="0.25">
      <c r="A4189" s="357">
        <v>1</v>
      </c>
      <c r="B4189" s="357">
        <v>2</v>
      </c>
      <c r="C4189" s="357">
        <v>2</v>
      </c>
      <c r="D4189" s="357">
        <v>2</v>
      </c>
      <c r="E4189" s="357">
        <v>1</v>
      </c>
      <c r="F4189" s="357">
        <v>1</v>
      </c>
      <c r="G4189" s="357">
        <v>0</v>
      </c>
      <c r="H4189" s="357">
        <v>0</v>
      </c>
      <c r="I4189" s="357">
        <v>1</v>
      </c>
      <c r="J4189" s="357">
        <v>1</v>
      </c>
      <c r="K4189" s="357">
        <v>0</v>
      </c>
      <c r="L4189" s="357">
        <v>0</v>
      </c>
      <c r="M4189" s="357">
        <v>5</v>
      </c>
      <c r="N4189" s="357">
        <v>6</v>
      </c>
    </row>
    <row r="4190" spans="1:14" hidden="1" x14ac:dyDescent="0.25">
      <c r="A4190" s="357">
        <v>0</v>
      </c>
      <c r="B4190" s="357">
        <v>1</v>
      </c>
      <c r="C4190" s="357">
        <v>0</v>
      </c>
      <c r="D4190" s="357">
        <v>1</v>
      </c>
      <c r="E4190" s="357">
        <v>1</v>
      </c>
      <c r="F4190" s="357">
        <v>1</v>
      </c>
      <c r="G4190" s="357">
        <v>0</v>
      </c>
      <c r="H4190" s="357">
        <v>2</v>
      </c>
      <c r="I4190" s="357">
        <v>2</v>
      </c>
      <c r="J4190" s="357">
        <v>1</v>
      </c>
      <c r="K4190" s="357">
        <v>0</v>
      </c>
      <c r="L4190" s="357">
        <v>0</v>
      </c>
      <c r="M4190" s="357">
        <v>3</v>
      </c>
      <c r="N4190" s="357">
        <v>6</v>
      </c>
    </row>
    <row r="4191" spans="1:14" hidden="1" x14ac:dyDescent="0.25">
      <c r="A4191" s="357">
        <v>1</v>
      </c>
      <c r="B4191" s="357">
        <v>0</v>
      </c>
      <c r="C4191" s="357">
        <v>1</v>
      </c>
      <c r="D4191" s="357">
        <v>0</v>
      </c>
      <c r="E4191" s="357">
        <v>1</v>
      </c>
      <c r="F4191" s="357">
        <v>1</v>
      </c>
      <c r="G4191" s="357">
        <v>0</v>
      </c>
      <c r="H4191" s="357">
        <v>1</v>
      </c>
      <c r="I4191" s="357">
        <v>2</v>
      </c>
      <c r="J4191" s="357">
        <v>1</v>
      </c>
      <c r="K4191" s="357">
        <v>0</v>
      </c>
      <c r="L4191" s="357">
        <v>1</v>
      </c>
      <c r="M4191" s="357">
        <v>5</v>
      </c>
      <c r="N4191" s="357">
        <v>4</v>
      </c>
    </row>
    <row r="4192" spans="1:14" hidden="1" x14ac:dyDescent="0.25">
      <c r="A4192" s="357">
        <v>1</v>
      </c>
      <c r="B4192" s="357">
        <v>1</v>
      </c>
      <c r="C4192" s="357">
        <v>0</v>
      </c>
      <c r="D4192" s="357">
        <v>1</v>
      </c>
      <c r="E4192" s="357">
        <v>0</v>
      </c>
      <c r="F4192" s="357">
        <v>1</v>
      </c>
      <c r="G4192" s="357">
        <v>0</v>
      </c>
      <c r="H4192" s="357">
        <v>1</v>
      </c>
      <c r="I4192" s="357">
        <v>1</v>
      </c>
      <c r="J4192" s="357">
        <v>1</v>
      </c>
      <c r="K4192" s="357">
        <v>1</v>
      </c>
      <c r="L4192" s="357">
        <v>0</v>
      </c>
      <c r="M4192" s="357">
        <v>3</v>
      </c>
      <c r="N4192" s="357">
        <v>5</v>
      </c>
    </row>
    <row r="4193" spans="1:14" hidden="1" x14ac:dyDescent="0.25">
      <c r="A4193" s="357">
        <v>1</v>
      </c>
      <c r="B4193" s="357">
        <v>0</v>
      </c>
      <c r="C4193" s="357">
        <v>0</v>
      </c>
      <c r="D4193" s="357">
        <v>1</v>
      </c>
      <c r="E4193" s="357">
        <v>1</v>
      </c>
      <c r="F4193" s="357">
        <v>2</v>
      </c>
      <c r="G4193" s="357">
        <v>0</v>
      </c>
      <c r="H4193" s="357">
        <v>0</v>
      </c>
      <c r="I4193" s="357">
        <v>1</v>
      </c>
      <c r="J4193" s="357">
        <v>1</v>
      </c>
      <c r="K4193" s="357">
        <v>0</v>
      </c>
      <c r="L4193" s="357">
        <v>0</v>
      </c>
      <c r="M4193" s="357">
        <v>3</v>
      </c>
      <c r="N4193" s="357">
        <v>4</v>
      </c>
    </row>
    <row r="4194" spans="1:14" hidden="1" x14ac:dyDescent="0.25">
      <c r="A4194" s="357">
        <v>0</v>
      </c>
      <c r="B4194" s="357">
        <v>0</v>
      </c>
      <c r="C4194" s="357">
        <v>0</v>
      </c>
      <c r="D4194" s="357">
        <v>0</v>
      </c>
      <c r="E4194" s="357">
        <v>0</v>
      </c>
      <c r="F4194" s="357">
        <v>0</v>
      </c>
      <c r="G4194" s="357">
        <v>2</v>
      </c>
      <c r="H4194" s="357">
        <v>0</v>
      </c>
      <c r="I4194" s="357">
        <v>1</v>
      </c>
      <c r="J4194" s="357">
        <v>1</v>
      </c>
      <c r="K4194" s="357">
        <v>1</v>
      </c>
      <c r="L4194" s="357">
        <v>0</v>
      </c>
      <c r="M4194" s="357">
        <v>4</v>
      </c>
      <c r="N4194" s="357">
        <v>1</v>
      </c>
    </row>
    <row r="4195" spans="1:14" hidden="1" x14ac:dyDescent="0.25">
      <c r="A4195" s="357">
        <v>1</v>
      </c>
      <c r="B4195" s="357"/>
      <c r="C4195" s="357">
        <v>1</v>
      </c>
      <c r="D4195" s="357">
        <v>0</v>
      </c>
      <c r="E4195" s="357">
        <v>2</v>
      </c>
      <c r="F4195" s="357">
        <v>1</v>
      </c>
      <c r="G4195" s="357">
        <v>0</v>
      </c>
      <c r="H4195" s="357">
        <v>0</v>
      </c>
      <c r="I4195" s="357">
        <v>1</v>
      </c>
      <c r="J4195" s="357">
        <v>1</v>
      </c>
      <c r="K4195" s="357">
        <v>0</v>
      </c>
      <c r="L4195" s="357">
        <v>0</v>
      </c>
      <c r="M4195" s="357">
        <v>5</v>
      </c>
      <c r="N4195" s="357">
        <v>2</v>
      </c>
    </row>
    <row r="4196" spans="1:14" hidden="1" x14ac:dyDescent="0.25">
      <c r="A4196" s="357">
        <v>0</v>
      </c>
      <c r="B4196" s="357">
        <v>0</v>
      </c>
      <c r="C4196" s="357">
        <v>0</v>
      </c>
      <c r="D4196" s="357">
        <v>0</v>
      </c>
      <c r="E4196" s="357">
        <v>1</v>
      </c>
      <c r="F4196" s="357">
        <v>1</v>
      </c>
      <c r="G4196" s="357">
        <v>1</v>
      </c>
      <c r="H4196" s="357">
        <v>0</v>
      </c>
      <c r="I4196" s="357">
        <v>1</v>
      </c>
      <c r="J4196" s="357">
        <v>1</v>
      </c>
      <c r="K4196" s="357">
        <v>0</v>
      </c>
      <c r="L4196" s="357">
        <v>0</v>
      </c>
      <c r="M4196" s="357">
        <v>3</v>
      </c>
      <c r="N4196" s="357">
        <v>2</v>
      </c>
    </row>
    <row r="4197" spans="1:14" hidden="1" x14ac:dyDescent="0.25">
      <c r="A4197" s="357">
        <v>0</v>
      </c>
      <c r="B4197" s="357">
        <v>1</v>
      </c>
      <c r="C4197" s="357">
        <v>1</v>
      </c>
      <c r="D4197" s="357">
        <v>0</v>
      </c>
      <c r="E4197" s="357">
        <v>1</v>
      </c>
      <c r="F4197" s="357">
        <v>1</v>
      </c>
      <c r="G4197" s="357">
        <v>0</v>
      </c>
      <c r="H4197" s="357">
        <v>0</v>
      </c>
      <c r="I4197" s="357">
        <v>1</v>
      </c>
      <c r="J4197" s="357">
        <v>1</v>
      </c>
      <c r="K4197" s="357">
        <v>0</v>
      </c>
      <c r="L4197" s="357">
        <v>0</v>
      </c>
      <c r="M4197" s="357">
        <v>3</v>
      </c>
      <c r="N4197" s="357">
        <v>3</v>
      </c>
    </row>
    <row r="4198" spans="1:14" hidden="1" x14ac:dyDescent="0.25">
      <c r="A4198" s="357">
        <v>1</v>
      </c>
      <c r="B4198" s="357">
        <v>0</v>
      </c>
      <c r="C4198" s="357">
        <v>0</v>
      </c>
      <c r="D4198" s="357">
        <v>1</v>
      </c>
      <c r="E4198" s="357">
        <v>0</v>
      </c>
      <c r="F4198" s="357">
        <v>0</v>
      </c>
      <c r="G4198" s="357">
        <v>0</v>
      </c>
      <c r="H4198" s="357">
        <v>0</v>
      </c>
      <c r="I4198" s="357">
        <v>1</v>
      </c>
      <c r="J4198" s="357">
        <v>1</v>
      </c>
      <c r="K4198" s="357">
        <v>0</v>
      </c>
      <c r="L4198" s="357">
        <v>0</v>
      </c>
      <c r="M4198" s="357">
        <v>2</v>
      </c>
      <c r="N4198" s="357">
        <v>2</v>
      </c>
    </row>
    <row r="4199" spans="1:14" hidden="1" x14ac:dyDescent="0.25">
      <c r="A4199" s="357">
        <v>0</v>
      </c>
      <c r="B4199" s="357">
        <v>1</v>
      </c>
      <c r="C4199" s="357">
        <v>1</v>
      </c>
      <c r="D4199" s="357">
        <v>0</v>
      </c>
      <c r="E4199" s="357">
        <v>0</v>
      </c>
      <c r="F4199" s="357">
        <v>1</v>
      </c>
      <c r="G4199" s="357">
        <v>0</v>
      </c>
      <c r="H4199" s="357">
        <v>1</v>
      </c>
      <c r="I4199" s="357">
        <v>1</v>
      </c>
      <c r="J4199" s="357">
        <v>1</v>
      </c>
      <c r="K4199" s="357">
        <v>0</v>
      </c>
      <c r="L4199" s="357">
        <v>0</v>
      </c>
      <c r="M4199" s="357">
        <v>2</v>
      </c>
      <c r="N4199" s="357">
        <v>4</v>
      </c>
    </row>
    <row r="4200" spans="1:14" hidden="1" x14ac:dyDescent="0.25">
      <c r="A4200" s="357">
        <v>0</v>
      </c>
      <c r="B4200" s="357">
        <v>0</v>
      </c>
      <c r="C4200" s="357">
        <v>1</v>
      </c>
      <c r="D4200" s="357">
        <v>0</v>
      </c>
      <c r="E4200" s="357">
        <v>0</v>
      </c>
      <c r="F4200" s="357">
        <v>1</v>
      </c>
      <c r="G4200" s="357">
        <v>1</v>
      </c>
      <c r="H4200" s="357">
        <v>1</v>
      </c>
      <c r="I4200" s="357">
        <v>1</v>
      </c>
      <c r="J4200" s="357">
        <v>1</v>
      </c>
      <c r="K4200" s="357">
        <v>0</v>
      </c>
      <c r="L4200" s="357">
        <v>0</v>
      </c>
      <c r="M4200" s="357">
        <v>3</v>
      </c>
      <c r="N4200" s="357">
        <v>3</v>
      </c>
    </row>
    <row r="4201" spans="1:14" hidden="1" x14ac:dyDescent="0.25">
      <c r="A4201" s="357">
        <v>1</v>
      </c>
      <c r="B4201" s="357">
        <v>0</v>
      </c>
      <c r="C4201" s="357">
        <v>1</v>
      </c>
      <c r="D4201" s="357">
        <v>1</v>
      </c>
      <c r="E4201" s="357">
        <v>2</v>
      </c>
      <c r="F4201" s="357">
        <v>1</v>
      </c>
      <c r="G4201" s="357">
        <v>1</v>
      </c>
      <c r="H4201" s="357">
        <v>0</v>
      </c>
      <c r="I4201" s="357">
        <v>1</v>
      </c>
      <c r="J4201" s="357">
        <v>1</v>
      </c>
      <c r="K4201" s="357">
        <v>1</v>
      </c>
      <c r="L4201" s="357">
        <v>1</v>
      </c>
      <c r="M4201" s="357">
        <v>7</v>
      </c>
      <c r="N4201" s="357">
        <v>4</v>
      </c>
    </row>
    <row r="4202" spans="1:14" hidden="1" x14ac:dyDescent="0.25">
      <c r="A4202" s="357">
        <v>1</v>
      </c>
      <c r="B4202" s="357">
        <v>0</v>
      </c>
      <c r="C4202" s="357">
        <v>1</v>
      </c>
      <c r="D4202" s="357">
        <v>0</v>
      </c>
      <c r="E4202" s="357">
        <v>1</v>
      </c>
      <c r="F4202" s="357">
        <v>2</v>
      </c>
      <c r="G4202" s="357">
        <v>1</v>
      </c>
      <c r="H4202" s="357">
        <v>0</v>
      </c>
      <c r="I4202" s="357">
        <v>1</v>
      </c>
      <c r="J4202" s="357">
        <v>1</v>
      </c>
      <c r="K4202" s="357">
        <v>0</v>
      </c>
      <c r="L4202" s="357">
        <v>1</v>
      </c>
      <c r="M4202" s="357">
        <v>5</v>
      </c>
      <c r="N4202" s="357">
        <v>4</v>
      </c>
    </row>
    <row r="4203" spans="1:14" hidden="1" x14ac:dyDescent="0.25">
      <c r="A4203" s="357">
        <v>1</v>
      </c>
      <c r="B4203" s="357">
        <v>0</v>
      </c>
      <c r="C4203" s="357">
        <v>1</v>
      </c>
      <c r="D4203" s="357">
        <v>1</v>
      </c>
      <c r="E4203" s="357">
        <v>2</v>
      </c>
      <c r="F4203" s="357">
        <v>1</v>
      </c>
      <c r="G4203" s="357">
        <v>1</v>
      </c>
      <c r="H4203" s="357">
        <v>1</v>
      </c>
      <c r="I4203" s="357">
        <v>1</v>
      </c>
      <c r="J4203" s="357">
        <v>1</v>
      </c>
      <c r="K4203" s="357">
        <v>1</v>
      </c>
      <c r="L4203" s="357">
        <v>1</v>
      </c>
      <c r="M4203" s="357">
        <v>7</v>
      </c>
      <c r="N4203" s="357">
        <v>5</v>
      </c>
    </row>
    <row r="4204" spans="1:14" hidden="1" x14ac:dyDescent="0.25">
      <c r="A4204" s="357">
        <v>1</v>
      </c>
      <c r="B4204" s="357">
        <v>0</v>
      </c>
      <c r="C4204" s="357">
        <v>1</v>
      </c>
      <c r="D4204" s="357">
        <v>1</v>
      </c>
      <c r="E4204" s="357">
        <v>0</v>
      </c>
      <c r="F4204" s="357">
        <v>1</v>
      </c>
      <c r="G4204" s="357">
        <v>1</v>
      </c>
      <c r="H4204" s="357">
        <v>1</v>
      </c>
      <c r="I4204" s="357">
        <v>1</v>
      </c>
      <c r="J4204" s="357">
        <v>1</v>
      </c>
      <c r="K4204" s="357">
        <v>1</v>
      </c>
      <c r="L4204" s="357">
        <v>0</v>
      </c>
      <c r="M4204" s="357">
        <v>5</v>
      </c>
      <c r="N4204" s="357">
        <v>4</v>
      </c>
    </row>
    <row r="4205" spans="1:14" hidden="1" x14ac:dyDescent="0.25">
      <c r="A4205" s="357">
        <v>1</v>
      </c>
      <c r="B4205" s="357">
        <v>0</v>
      </c>
      <c r="C4205" s="357">
        <v>1</v>
      </c>
      <c r="D4205" s="357">
        <v>1</v>
      </c>
      <c r="E4205" s="357">
        <v>0</v>
      </c>
      <c r="F4205" s="357">
        <v>1</v>
      </c>
      <c r="G4205" s="357">
        <v>1</v>
      </c>
      <c r="H4205" s="357">
        <v>1</v>
      </c>
      <c r="I4205" s="357">
        <v>1</v>
      </c>
      <c r="J4205" s="357">
        <v>1</v>
      </c>
      <c r="K4205" s="357">
        <v>1</v>
      </c>
      <c r="L4205" s="357">
        <v>0</v>
      </c>
      <c r="M4205" s="357">
        <v>5</v>
      </c>
      <c r="N4205" s="357">
        <v>4</v>
      </c>
    </row>
    <row r="4206" spans="1:14" hidden="1" x14ac:dyDescent="0.25">
      <c r="A4206" s="357">
        <v>1</v>
      </c>
      <c r="B4206" s="357">
        <v>0</v>
      </c>
      <c r="C4206" s="357">
        <v>1</v>
      </c>
      <c r="D4206" s="357">
        <v>2</v>
      </c>
      <c r="E4206" s="357">
        <v>1</v>
      </c>
      <c r="F4206" s="357">
        <v>1</v>
      </c>
      <c r="G4206" s="357">
        <v>1</v>
      </c>
      <c r="H4206" s="357">
        <v>1</v>
      </c>
      <c r="I4206" s="357">
        <v>1</v>
      </c>
      <c r="J4206" s="357">
        <v>1</v>
      </c>
      <c r="K4206" s="357">
        <v>1</v>
      </c>
      <c r="L4206" s="357">
        <v>0</v>
      </c>
      <c r="M4206" s="357">
        <v>6</v>
      </c>
      <c r="N4206" s="357">
        <v>5</v>
      </c>
    </row>
    <row r="4207" spans="1:14" hidden="1" x14ac:dyDescent="0.25">
      <c r="A4207" s="357">
        <v>0</v>
      </c>
      <c r="B4207" s="357">
        <v>0</v>
      </c>
      <c r="C4207" s="357">
        <v>0</v>
      </c>
      <c r="D4207" s="357">
        <v>0</v>
      </c>
      <c r="E4207" s="357">
        <v>2</v>
      </c>
      <c r="F4207" s="357">
        <v>1</v>
      </c>
      <c r="G4207" s="357">
        <v>1</v>
      </c>
      <c r="H4207" s="357">
        <v>4</v>
      </c>
      <c r="I4207" s="357">
        <v>1</v>
      </c>
      <c r="J4207" s="357">
        <v>1</v>
      </c>
      <c r="K4207" s="357">
        <v>0</v>
      </c>
      <c r="L4207" s="357">
        <v>0</v>
      </c>
      <c r="M4207" s="357">
        <v>4</v>
      </c>
      <c r="N4207" s="357">
        <v>6</v>
      </c>
    </row>
    <row r="4208" spans="1:14" hidden="1" x14ac:dyDescent="0.25">
      <c r="A4208" s="357">
        <v>2</v>
      </c>
      <c r="B4208" s="357">
        <v>0</v>
      </c>
      <c r="C4208" s="357">
        <v>0</v>
      </c>
      <c r="D4208" s="357">
        <v>1</v>
      </c>
      <c r="E4208" s="357">
        <v>2</v>
      </c>
      <c r="F4208" s="357">
        <v>1</v>
      </c>
      <c r="G4208" s="357">
        <v>1</v>
      </c>
      <c r="H4208" s="357">
        <v>1</v>
      </c>
      <c r="I4208" s="357">
        <v>1</v>
      </c>
      <c r="J4208" s="357">
        <v>2</v>
      </c>
      <c r="K4208" s="357">
        <v>0</v>
      </c>
      <c r="L4208" s="357">
        <v>0</v>
      </c>
      <c r="M4208" s="357">
        <v>6</v>
      </c>
      <c r="N4208" s="357">
        <v>5</v>
      </c>
    </row>
    <row r="4209" spans="1:14" hidden="1" x14ac:dyDescent="0.25">
      <c r="A4209" s="357">
        <v>1</v>
      </c>
      <c r="B4209" s="357">
        <v>0</v>
      </c>
      <c r="C4209" s="357">
        <v>1</v>
      </c>
      <c r="D4209" s="357">
        <v>1</v>
      </c>
      <c r="E4209" s="357">
        <v>0</v>
      </c>
      <c r="F4209" s="357">
        <v>1</v>
      </c>
      <c r="G4209" s="357">
        <v>0</v>
      </c>
      <c r="H4209" s="357">
        <v>0</v>
      </c>
      <c r="I4209" s="357">
        <v>1</v>
      </c>
      <c r="J4209" s="357">
        <v>1</v>
      </c>
      <c r="K4209" s="357">
        <v>0</v>
      </c>
      <c r="L4209" s="357">
        <v>0</v>
      </c>
      <c r="M4209" s="357">
        <v>3</v>
      </c>
      <c r="N4209" s="357">
        <v>3</v>
      </c>
    </row>
    <row r="4210" spans="1:14" hidden="1" x14ac:dyDescent="0.25">
      <c r="A4210" s="357">
        <v>1</v>
      </c>
      <c r="B4210" s="357">
        <v>0</v>
      </c>
      <c r="C4210" s="357">
        <v>0</v>
      </c>
      <c r="D4210" s="357">
        <v>1</v>
      </c>
      <c r="E4210" s="357">
        <v>2</v>
      </c>
      <c r="F4210" s="357">
        <v>0</v>
      </c>
      <c r="G4210" s="357">
        <v>1</v>
      </c>
      <c r="H4210" s="357">
        <v>0</v>
      </c>
      <c r="I4210" s="357">
        <v>1</v>
      </c>
      <c r="J4210" s="357">
        <v>1</v>
      </c>
      <c r="K4210" s="357">
        <v>0</v>
      </c>
      <c r="L4210" s="357">
        <v>0</v>
      </c>
      <c r="M4210" s="357">
        <v>5</v>
      </c>
      <c r="N4210" s="357">
        <v>2</v>
      </c>
    </row>
    <row r="4211" spans="1:14" hidden="1" x14ac:dyDescent="0.25">
      <c r="A4211" s="357">
        <v>0</v>
      </c>
      <c r="B4211" s="357">
        <v>0</v>
      </c>
      <c r="C4211" s="357">
        <v>0</v>
      </c>
      <c r="D4211" s="357">
        <v>0</v>
      </c>
      <c r="E4211" s="357">
        <v>0</v>
      </c>
      <c r="F4211" s="357">
        <v>0</v>
      </c>
      <c r="G4211" s="357">
        <v>0</v>
      </c>
      <c r="H4211" s="357"/>
      <c r="I4211" s="357">
        <v>5</v>
      </c>
      <c r="J4211" s="357">
        <v>1</v>
      </c>
      <c r="K4211" s="357">
        <v>0</v>
      </c>
      <c r="L4211" s="357">
        <v>1</v>
      </c>
      <c r="M4211" s="357">
        <v>5</v>
      </c>
      <c r="N4211" s="357">
        <v>2</v>
      </c>
    </row>
    <row r="4212" spans="1:14" hidden="1" x14ac:dyDescent="0.25">
      <c r="A4212" s="357">
        <v>2</v>
      </c>
      <c r="B4212" s="357">
        <v>0</v>
      </c>
      <c r="C4212" s="357">
        <v>2</v>
      </c>
      <c r="D4212" s="357">
        <v>2</v>
      </c>
      <c r="E4212" s="357">
        <v>2</v>
      </c>
      <c r="F4212" s="357">
        <v>2</v>
      </c>
      <c r="G4212" s="357">
        <v>0</v>
      </c>
      <c r="H4212" s="357">
        <v>0</v>
      </c>
      <c r="I4212" s="357">
        <v>1</v>
      </c>
      <c r="J4212" s="357">
        <v>2</v>
      </c>
      <c r="K4212" s="357">
        <v>0</v>
      </c>
      <c r="L4212" s="357">
        <v>0</v>
      </c>
      <c r="M4212" s="357">
        <v>7</v>
      </c>
      <c r="N4212" s="357">
        <v>6</v>
      </c>
    </row>
    <row r="4213" spans="1:14" hidden="1" x14ac:dyDescent="0.25">
      <c r="A4213" s="357">
        <v>1</v>
      </c>
      <c r="B4213" s="357">
        <v>0</v>
      </c>
      <c r="C4213" s="357">
        <v>0</v>
      </c>
      <c r="D4213" s="357">
        <v>1</v>
      </c>
      <c r="E4213" s="357">
        <v>0</v>
      </c>
      <c r="F4213" s="357">
        <v>0</v>
      </c>
      <c r="G4213" s="357">
        <v>0</v>
      </c>
      <c r="H4213" s="357">
        <v>0</v>
      </c>
      <c r="I4213" s="357">
        <v>1</v>
      </c>
      <c r="J4213" s="357">
        <v>1</v>
      </c>
      <c r="K4213" s="357">
        <v>0</v>
      </c>
      <c r="L4213" s="357">
        <v>0</v>
      </c>
      <c r="M4213" s="357">
        <v>2</v>
      </c>
      <c r="N4213" s="357">
        <v>2</v>
      </c>
    </row>
    <row r="4214" spans="1:14" hidden="1" x14ac:dyDescent="0.25">
      <c r="A4214" s="357">
        <v>1</v>
      </c>
      <c r="B4214" s="357">
        <v>0</v>
      </c>
      <c r="C4214" s="357">
        <v>0</v>
      </c>
      <c r="D4214" s="357">
        <v>1</v>
      </c>
      <c r="E4214" s="357">
        <v>1</v>
      </c>
      <c r="F4214" s="357">
        <v>0</v>
      </c>
      <c r="G4214" s="357">
        <v>0</v>
      </c>
      <c r="H4214" s="357">
        <v>0</v>
      </c>
      <c r="I4214" s="357">
        <v>1</v>
      </c>
      <c r="J4214" s="357">
        <v>1</v>
      </c>
      <c r="K4214" s="357">
        <v>0</v>
      </c>
      <c r="L4214" s="357">
        <v>0</v>
      </c>
      <c r="M4214" s="357">
        <v>3</v>
      </c>
      <c r="N4214" s="357">
        <v>2</v>
      </c>
    </row>
    <row r="4215" spans="1:14" hidden="1" x14ac:dyDescent="0.25">
      <c r="A4215" s="357">
        <v>1</v>
      </c>
      <c r="B4215" s="357">
        <v>0</v>
      </c>
      <c r="C4215" s="357">
        <v>1</v>
      </c>
      <c r="D4215" s="357">
        <v>0</v>
      </c>
      <c r="E4215" s="357">
        <v>0</v>
      </c>
      <c r="F4215" s="357">
        <v>2</v>
      </c>
      <c r="G4215" s="357">
        <v>0</v>
      </c>
      <c r="H4215" s="357">
        <v>0</v>
      </c>
      <c r="I4215" s="357">
        <v>1</v>
      </c>
      <c r="J4215" s="357">
        <v>1</v>
      </c>
      <c r="K4215" s="357">
        <v>0</v>
      </c>
      <c r="L4215" s="357">
        <v>0</v>
      </c>
      <c r="M4215" s="357">
        <v>3</v>
      </c>
      <c r="N4215" s="357">
        <v>3</v>
      </c>
    </row>
    <row r="4216" spans="1:14" hidden="1" x14ac:dyDescent="0.25">
      <c r="A4216" s="357">
        <v>1</v>
      </c>
      <c r="B4216" s="357">
        <v>0</v>
      </c>
      <c r="C4216" s="357">
        <v>2</v>
      </c>
      <c r="D4216" s="357">
        <v>1</v>
      </c>
      <c r="E4216" s="357">
        <v>2</v>
      </c>
      <c r="F4216" s="357">
        <v>0</v>
      </c>
      <c r="G4216" s="357">
        <v>0</v>
      </c>
      <c r="H4216" s="357">
        <v>0</v>
      </c>
      <c r="I4216" s="357">
        <v>1</v>
      </c>
      <c r="J4216" s="357">
        <v>1</v>
      </c>
      <c r="K4216" s="357">
        <v>0</v>
      </c>
      <c r="L4216" s="357">
        <v>0</v>
      </c>
      <c r="M4216" s="357">
        <v>6</v>
      </c>
      <c r="N4216" s="357">
        <v>2</v>
      </c>
    </row>
    <row r="4217" spans="1:14" hidden="1" x14ac:dyDescent="0.25">
      <c r="A4217" s="357">
        <v>1</v>
      </c>
      <c r="B4217" s="357">
        <v>0</v>
      </c>
      <c r="C4217" s="357">
        <v>2</v>
      </c>
      <c r="D4217" s="357">
        <v>2</v>
      </c>
      <c r="E4217" s="357">
        <v>1</v>
      </c>
      <c r="F4217" s="357">
        <v>1</v>
      </c>
      <c r="G4217" s="357">
        <v>0</v>
      </c>
      <c r="H4217" s="357">
        <v>0</v>
      </c>
      <c r="I4217" s="357">
        <v>1</v>
      </c>
      <c r="J4217" s="357">
        <v>1</v>
      </c>
      <c r="K4217" s="357">
        <v>0</v>
      </c>
      <c r="L4217" s="357">
        <v>0</v>
      </c>
      <c r="M4217" s="357">
        <v>5</v>
      </c>
      <c r="N4217" s="357">
        <v>4</v>
      </c>
    </row>
    <row r="4218" spans="1:14" hidden="1" x14ac:dyDescent="0.25">
      <c r="A4218" s="357">
        <v>0</v>
      </c>
      <c r="B4218" s="357">
        <v>1</v>
      </c>
      <c r="C4218" s="357">
        <v>0</v>
      </c>
      <c r="D4218" s="357">
        <v>1</v>
      </c>
      <c r="E4218" s="357">
        <v>2</v>
      </c>
      <c r="F4218" s="357">
        <v>0</v>
      </c>
      <c r="G4218" s="357">
        <v>0</v>
      </c>
      <c r="H4218" s="357">
        <v>0</v>
      </c>
      <c r="I4218" s="357">
        <v>1</v>
      </c>
      <c r="J4218" s="357">
        <v>1</v>
      </c>
      <c r="K4218" s="357">
        <v>0</v>
      </c>
      <c r="L4218" s="357">
        <v>0</v>
      </c>
      <c r="M4218" s="357">
        <v>3</v>
      </c>
      <c r="N4218" s="357">
        <v>3</v>
      </c>
    </row>
    <row r="4219" spans="1:14" hidden="1" x14ac:dyDescent="0.25">
      <c r="A4219" s="357">
        <v>1</v>
      </c>
      <c r="B4219" s="357">
        <v>0</v>
      </c>
      <c r="C4219" s="357">
        <v>0</v>
      </c>
      <c r="D4219" s="357">
        <v>1</v>
      </c>
      <c r="E4219" s="357">
        <v>0</v>
      </c>
      <c r="F4219" s="357">
        <v>2</v>
      </c>
      <c r="G4219" s="357">
        <v>0</v>
      </c>
      <c r="H4219" s="357">
        <v>0</v>
      </c>
      <c r="I4219" s="357">
        <v>1</v>
      </c>
      <c r="J4219" s="357">
        <v>1</v>
      </c>
      <c r="K4219" s="357">
        <v>0</v>
      </c>
      <c r="L4219" s="357">
        <v>0</v>
      </c>
      <c r="M4219" s="357">
        <v>2</v>
      </c>
      <c r="N4219" s="357">
        <v>4</v>
      </c>
    </row>
    <row r="4220" spans="1:14" hidden="1" x14ac:dyDescent="0.25">
      <c r="A4220" s="357">
        <v>2</v>
      </c>
      <c r="B4220" s="357">
        <v>0</v>
      </c>
      <c r="C4220" s="357">
        <v>0</v>
      </c>
      <c r="D4220" s="357">
        <v>0</v>
      </c>
      <c r="E4220" s="357">
        <v>1</v>
      </c>
      <c r="F4220" s="357">
        <v>1</v>
      </c>
      <c r="G4220" s="357">
        <v>0</v>
      </c>
      <c r="H4220" s="357">
        <v>2</v>
      </c>
      <c r="I4220" s="357">
        <v>1</v>
      </c>
      <c r="J4220" s="357">
        <v>1</v>
      </c>
      <c r="K4220" s="357">
        <v>0</v>
      </c>
      <c r="L4220" s="357">
        <v>0</v>
      </c>
      <c r="M4220" s="357">
        <v>4</v>
      </c>
      <c r="N4220" s="357">
        <v>4</v>
      </c>
    </row>
    <row r="4221" spans="1:14" hidden="1" x14ac:dyDescent="0.25">
      <c r="A4221" s="357">
        <v>0</v>
      </c>
      <c r="B4221" s="357">
        <v>0</v>
      </c>
      <c r="C4221" s="357">
        <v>0</v>
      </c>
      <c r="D4221" s="357">
        <v>0</v>
      </c>
      <c r="E4221" s="357">
        <v>0</v>
      </c>
      <c r="F4221" s="357">
        <v>0</v>
      </c>
      <c r="G4221" s="357">
        <v>1</v>
      </c>
      <c r="H4221" s="357">
        <v>1</v>
      </c>
      <c r="I4221" s="357">
        <v>0</v>
      </c>
      <c r="J4221" s="357">
        <v>0</v>
      </c>
      <c r="K4221" s="357">
        <v>1</v>
      </c>
      <c r="L4221" s="357">
        <v>1</v>
      </c>
      <c r="M4221" s="357">
        <v>2</v>
      </c>
      <c r="N4221" s="357">
        <v>2</v>
      </c>
    </row>
    <row r="4222" spans="1:14" hidden="1" x14ac:dyDescent="0.25">
      <c r="A4222" s="357">
        <v>0</v>
      </c>
      <c r="B4222" s="357">
        <v>0</v>
      </c>
      <c r="C4222" s="357">
        <v>0</v>
      </c>
      <c r="D4222" s="357">
        <v>0</v>
      </c>
      <c r="E4222" s="357">
        <v>0</v>
      </c>
      <c r="F4222" s="357">
        <v>0</v>
      </c>
      <c r="G4222" s="357">
        <v>1</v>
      </c>
      <c r="H4222" s="357">
        <v>0</v>
      </c>
      <c r="I4222" s="357">
        <v>0</v>
      </c>
      <c r="J4222" s="357">
        <v>1</v>
      </c>
      <c r="K4222" s="357">
        <v>1</v>
      </c>
      <c r="L4222" s="357">
        <v>0</v>
      </c>
      <c r="M4222" s="357">
        <v>2</v>
      </c>
      <c r="N4222" s="357">
        <v>1</v>
      </c>
    </row>
    <row r="4223" spans="1:14" hidden="1" x14ac:dyDescent="0.25">
      <c r="A4223" s="357">
        <v>1</v>
      </c>
      <c r="B4223" s="357">
        <v>0</v>
      </c>
      <c r="C4223" s="357">
        <v>0</v>
      </c>
      <c r="D4223" s="357">
        <v>1</v>
      </c>
      <c r="E4223" s="357">
        <v>2</v>
      </c>
      <c r="F4223" s="357">
        <v>0</v>
      </c>
      <c r="G4223" s="357">
        <v>0</v>
      </c>
      <c r="H4223" s="357">
        <v>0</v>
      </c>
      <c r="I4223" s="357">
        <v>1</v>
      </c>
      <c r="J4223" s="357">
        <v>1</v>
      </c>
      <c r="K4223" s="357">
        <v>0</v>
      </c>
      <c r="L4223" s="357">
        <v>0</v>
      </c>
      <c r="M4223" s="357">
        <v>4</v>
      </c>
      <c r="N4223" s="357">
        <v>2</v>
      </c>
    </row>
    <row r="4224" spans="1:14" hidden="1" x14ac:dyDescent="0.25">
      <c r="A4224" s="357">
        <v>1</v>
      </c>
      <c r="B4224" s="357">
        <v>0</v>
      </c>
      <c r="C4224" s="357">
        <v>0</v>
      </c>
      <c r="D4224" s="357">
        <v>0</v>
      </c>
      <c r="E4224" s="357">
        <v>0</v>
      </c>
      <c r="F4224" s="357">
        <v>0</v>
      </c>
      <c r="G4224" s="357">
        <v>0</v>
      </c>
      <c r="H4224" s="357">
        <v>0</v>
      </c>
      <c r="I4224" s="357">
        <v>1</v>
      </c>
      <c r="J4224" s="357">
        <v>1</v>
      </c>
      <c r="K4224" s="357">
        <v>0</v>
      </c>
      <c r="L4224" s="357">
        <v>0</v>
      </c>
      <c r="M4224" s="357">
        <v>2</v>
      </c>
      <c r="N4224" s="357">
        <v>1</v>
      </c>
    </row>
    <row r="4225" spans="1:14" hidden="1" x14ac:dyDescent="0.25">
      <c r="A4225" s="357">
        <v>2</v>
      </c>
      <c r="B4225" s="357">
        <v>0</v>
      </c>
      <c r="C4225" s="357">
        <v>0</v>
      </c>
      <c r="D4225" s="357">
        <v>1</v>
      </c>
      <c r="E4225" s="357">
        <v>0</v>
      </c>
      <c r="F4225" s="357">
        <v>0</v>
      </c>
      <c r="G4225" s="357"/>
      <c r="H4225" s="357">
        <v>0</v>
      </c>
      <c r="I4225" s="357">
        <v>0</v>
      </c>
      <c r="J4225" s="357">
        <v>1</v>
      </c>
      <c r="K4225" s="357">
        <v>1</v>
      </c>
      <c r="L4225" s="357">
        <v>0</v>
      </c>
      <c r="M4225" s="357">
        <v>3</v>
      </c>
      <c r="N4225" s="357">
        <v>2</v>
      </c>
    </row>
    <row r="4226" spans="1:14" hidden="1" x14ac:dyDescent="0.25">
      <c r="A4226" s="357">
        <v>0</v>
      </c>
      <c r="B4226" s="357">
        <v>0</v>
      </c>
      <c r="C4226" s="357">
        <v>1</v>
      </c>
      <c r="D4226" s="357">
        <v>0</v>
      </c>
      <c r="E4226" s="357">
        <v>0</v>
      </c>
      <c r="F4226" s="357">
        <v>1</v>
      </c>
      <c r="G4226" s="357">
        <v>0</v>
      </c>
      <c r="H4226" s="357">
        <v>0</v>
      </c>
      <c r="I4226" s="357">
        <v>0</v>
      </c>
      <c r="J4226" s="357">
        <v>0</v>
      </c>
      <c r="K4226" s="357">
        <v>0</v>
      </c>
      <c r="L4226" s="357">
        <v>1</v>
      </c>
      <c r="M4226" s="357">
        <v>1</v>
      </c>
      <c r="N4226" s="357">
        <v>2</v>
      </c>
    </row>
    <row r="4227" spans="1:14" hidden="1" x14ac:dyDescent="0.25">
      <c r="A4227" s="357">
        <v>1</v>
      </c>
      <c r="B4227" s="357">
        <v>0</v>
      </c>
      <c r="C4227" s="357">
        <v>2</v>
      </c>
      <c r="D4227" s="357">
        <v>2</v>
      </c>
      <c r="E4227" s="357">
        <v>1</v>
      </c>
      <c r="F4227" s="357">
        <v>0</v>
      </c>
      <c r="G4227" s="357">
        <v>0</v>
      </c>
      <c r="H4227" s="357">
        <v>0</v>
      </c>
      <c r="I4227" s="357">
        <v>1</v>
      </c>
      <c r="J4227" s="357">
        <v>1</v>
      </c>
      <c r="K4227" s="357">
        <v>0</v>
      </c>
      <c r="L4227" s="357">
        <v>0</v>
      </c>
      <c r="M4227" s="357">
        <v>5</v>
      </c>
      <c r="N4227" s="357">
        <v>3</v>
      </c>
    </row>
    <row r="4228" spans="1:14" hidden="1" x14ac:dyDescent="0.25">
      <c r="A4228" s="357">
        <v>1</v>
      </c>
      <c r="B4228" s="357">
        <v>0</v>
      </c>
      <c r="C4228" s="357">
        <v>1</v>
      </c>
      <c r="D4228" s="357">
        <v>1</v>
      </c>
      <c r="E4228" s="357">
        <v>1</v>
      </c>
      <c r="F4228" s="357">
        <v>1</v>
      </c>
      <c r="G4228" s="357">
        <v>1</v>
      </c>
      <c r="H4228" s="357">
        <v>1</v>
      </c>
      <c r="I4228" s="357">
        <v>1</v>
      </c>
      <c r="J4228" s="357">
        <v>1</v>
      </c>
      <c r="K4228" s="357">
        <v>0</v>
      </c>
      <c r="L4228" s="357">
        <v>0</v>
      </c>
      <c r="M4228" s="357">
        <v>5</v>
      </c>
      <c r="N4228" s="357">
        <v>4</v>
      </c>
    </row>
    <row r="4229" spans="1:14" hidden="1" x14ac:dyDescent="0.25">
      <c r="A4229" s="357">
        <v>1</v>
      </c>
      <c r="B4229" s="357">
        <v>0</v>
      </c>
      <c r="C4229" s="357">
        <v>1</v>
      </c>
      <c r="D4229" s="357">
        <v>1</v>
      </c>
      <c r="E4229" s="357">
        <v>1</v>
      </c>
      <c r="F4229" s="357">
        <v>0</v>
      </c>
      <c r="G4229" s="357">
        <v>1</v>
      </c>
      <c r="H4229" s="357">
        <v>0</v>
      </c>
      <c r="I4229" s="357">
        <v>1</v>
      </c>
      <c r="J4229" s="357">
        <v>1</v>
      </c>
      <c r="K4229" s="357">
        <v>0</v>
      </c>
      <c r="L4229" s="357">
        <v>0</v>
      </c>
      <c r="M4229" s="357">
        <v>5</v>
      </c>
      <c r="N4229" s="357">
        <v>2</v>
      </c>
    </row>
    <row r="4230" spans="1:14" hidden="1" x14ac:dyDescent="0.25">
      <c r="A4230" s="357">
        <v>1</v>
      </c>
      <c r="B4230" s="357">
        <v>0</v>
      </c>
      <c r="C4230" s="357">
        <v>0</v>
      </c>
      <c r="D4230" s="357">
        <v>1</v>
      </c>
      <c r="E4230" s="357">
        <v>2</v>
      </c>
      <c r="F4230" s="357">
        <v>0</v>
      </c>
      <c r="G4230" s="357">
        <v>0</v>
      </c>
      <c r="H4230" s="357">
        <v>0</v>
      </c>
      <c r="I4230" s="357">
        <v>1</v>
      </c>
      <c r="J4230" s="357">
        <v>1</v>
      </c>
      <c r="K4230" s="357">
        <v>0</v>
      </c>
      <c r="L4230" s="357">
        <v>0</v>
      </c>
      <c r="M4230" s="357">
        <v>4</v>
      </c>
      <c r="N4230" s="357">
        <v>2</v>
      </c>
    </row>
    <row r="4231" spans="1:14" hidden="1" x14ac:dyDescent="0.25">
      <c r="A4231" s="357">
        <v>1</v>
      </c>
      <c r="B4231" s="357">
        <v>0</v>
      </c>
      <c r="C4231" s="357">
        <v>1</v>
      </c>
      <c r="D4231" s="357">
        <v>0</v>
      </c>
      <c r="E4231" s="357">
        <v>1</v>
      </c>
      <c r="F4231" s="357">
        <v>0</v>
      </c>
      <c r="G4231" s="357">
        <v>1</v>
      </c>
      <c r="H4231" s="357">
        <v>2</v>
      </c>
      <c r="I4231" s="357">
        <v>2</v>
      </c>
      <c r="J4231" s="357">
        <v>1</v>
      </c>
      <c r="K4231" s="357">
        <v>0</v>
      </c>
      <c r="L4231" s="357">
        <v>0</v>
      </c>
      <c r="M4231" s="357">
        <v>6</v>
      </c>
      <c r="N4231" s="357">
        <v>3</v>
      </c>
    </row>
    <row r="4232" spans="1:14" hidden="1" x14ac:dyDescent="0.25">
      <c r="A4232" s="357">
        <v>1</v>
      </c>
      <c r="B4232" s="357">
        <v>0</v>
      </c>
      <c r="C4232" s="357">
        <v>0</v>
      </c>
      <c r="D4232" s="357">
        <v>1</v>
      </c>
      <c r="E4232" s="357">
        <v>1</v>
      </c>
      <c r="F4232" s="357">
        <v>0</v>
      </c>
      <c r="G4232" s="357">
        <v>0</v>
      </c>
      <c r="H4232" s="357">
        <v>0</v>
      </c>
      <c r="I4232" s="357">
        <v>1</v>
      </c>
      <c r="J4232" s="357">
        <v>1</v>
      </c>
      <c r="K4232" s="357">
        <v>0</v>
      </c>
      <c r="L4232" s="357">
        <v>0</v>
      </c>
      <c r="M4232" s="357">
        <v>3</v>
      </c>
      <c r="N4232" s="357">
        <v>2</v>
      </c>
    </row>
    <row r="4233" spans="1:14" hidden="1" x14ac:dyDescent="0.25">
      <c r="A4233" s="357">
        <v>1</v>
      </c>
      <c r="B4233" s="357">
        <v>0</v>
      </c>
      <c r="C4233" s="357">
        <v>2</v>
      </c>
      <c r="D4233" s="357">
        <v>1</v>
      </c>
      <c r="E4233" s="357">
        <v>0</v>
      </c>
      <c r="F4233" s="357">
        <v>1</v>
      </c>
      <c r="G4233" s="357">
        <v>1</v>
      </c>
      <c r="H4233" s="357">
        <v>2</v>
      </c>
      <c r="I4233" s="357">
        <v>1</v>
      </c>
      <c r="J4233" s="357">
        <v>2</v>
      </c>
      <c r="K4233" s="357">
        <v>0</v>
      </c>
      <c r="L4233" s="357">
        <v>0</v>
      </c>
      <c r="M4233" s="357">
        <v>5</v>
      </c>
      <c r="N4233" s="357">
        <v>6</v>
      </c>
    </row>
    <row r="4234" spans="1:14" hidden="1" x14ac:dyDescent="0.25">
      <c r="A4234" s="357">
        <v>0</v>
      </c>
      <c r="B4234" s="357">
        <v>0</v>
      </c>
      <c r="C4234" s="357">
        <v>1</v>
      </c>
      <c r="D4234" s="357">
        <v>1</v>
      </c>
      <c r="E4234" s="357">
        <v>2</v>
      </c>
      <c r="F4234" s="357">
        <v>0</v>
      </c>
      <c r="G4234" s="357">
        <v>0</v>
      </c>
      <c r="H4234" s="357">
        <v>0</v>
      </c>
      <c r="I4234" s="357">
        <v>1</v>
      </c>
      <c r="J4234" s="357">
        <v>1</v>
      </c>
      <c r="K4234" s="357">
        <v>0</v>
      </c>
      <c r="L4234" s="357">
        <v>0</v>
      </c>
      <c r="M4234" s="357">
        <v>4</v>
      </c>
      <c r="N4234" s="357">
        <v>2</v>
      </c>
    </row>
    <row r="4235" spans="1:14" hidden="1" x14ac:dyDescent="0.25">
      <c r="A4235" s="357">
        <v>0</v>
      </c>
      <c r="B4235" s="357">
        <v>1</v>
      </c>
      <c r="C4235" s="357">
        <v>0</v>
      </c>
      <c r="D4235" s="357">
        <v>1</v>
      </c>
      <c r="E4235" s="357">
        <v>1</v>
      </c>
      <c r="F4235" s="357">
        <v>0</v>
      </c>
      <c r="G4235" s="357">
        <v>0</v>
      </c>
      <c r="H4235" s="357">
        <v>0</v>
      </c>
      <c r="I4235" s="357">
        <v>1</v>
      </c>
      <c r="J4235" s="357">
        <v>1</v>
      </c>
      <c r="K4235" s="357">
        <v>0</v>
      </c>
      <c r="L4235" s="357">
        <v>0</v>
      </c>
      <c r="M4235" s="357">
        <v>2</v>
      </c>
      <c r="N4235" s="357">
        <v>3</v>
      </c>
    </row>
    <row r="4236" spans="1:14" hidden="1" x14ac:dyDescent="0.25">
      <c r="A4236" s="357">
        <v>0</v>
      </c>
      <c r="B4236" s="357">
        <v>1</v>
      </c>
      <c r="C4236" s="357">
        <v>1</v>
      </c>
      <c r="D4236" s="357">
        <v>1</v>
      </c>
      <c r="E4236" s="357">
        <v>0</v>
      </c>
      <c r="F4236" s="357">
        <v>1</v>
      </c>
      <c r="G4236" s="357">
        <v>0</v>
      </c>
      <c r="H4236" s="357">
        <v>1</v>
      </c>
      <c r="I4236" s="357">
        <v>1</v>
      </c>
      <c r="J4236" s="357">
        <v>1</v>
      </c>
      <c r="K4236" s="357">
        <v>0</v>
      </c>
      <c r="L4236" s="357">
        <v>0</v>
      </c>
      <c r="M4236" s="357">
        <v>2</v>
      </c>
      <c r="N4236" s="357">
        <v>5</v>
      </c>
    </row>
    <row r="4237" spans="1:14" hidden="1" x14ac:dyDescent="0.25">
      <c r="A4237" s="357">
        <v>0</v>
      </c>
      <c r="B4237" s="357">
        <v>1</v>
      </c>
      <c r="C4237" s="357">
        <v>0</v>
      </c>
      <c r="D4237" s="357">
        <v>1</v>
      </c>
      <c r="E4237" s="357">
        <v>0</v>
      </c>
      <c r="F4237" s="357">
        <v>1</v>
      </c>
      <c r="G4237" s="357">
        <v>1</v>
      </c>
      <c r="H4237" s="357">
        <v>1</v>
      </c>
      <c r="I4237" s="357">
        <v>1</v>
      </c>
      <c r="J4237" s="357">
        <v>1</v>
      </c>
      <c r="K4237" s="357">
        <v>0</v>
      </c>
      <c r="L4237" s="357">
        <v>0</v>
      </c>
      <c r="M4237" s="357">
        <v>2</v>
      </c>
      <c r="N4237" s="357">
        <v>5</v>
      </c>
    </row>
    <row r="4238" spans="1:14" hidden="1" x14ac:dyDescent="0.25">
      <c r="A4238" s="357">
        <v>0</v>
      </c>
      <c r="B4238" s="357">
        <v>1</v>
      </c>
      <c r="C4238" s="357">
        <v>1</v>
      </c>
      <c r="D4238" s="357">
        <v>1</v>
      </c>
      <c r="E4238" s="357">
        <v>1</v>
      </c>
      <c r="F4238" s="357">
        <v>1</v>
      </c>
      <c r="G4238" s="357">
        <v>1</v>
      </c>
      <c r="H4238" s="357">
        <v>1</v>
      </c>
      <c r="I4238" s="357">
        <v>1</v>
      </c>
      <c r="J4238" s="357">
        <v>1</v>
      </c>
      <c r="K4238" s="357">
        <v>0</v>
      </c>
      <c r="L4238" s="357">
        <v>0</v>
      </c>
      <c r="M4238" s="357">
        <v>4</v>
      </c>
      <c r="N4238" s="357">
        <v>5</v>
      </c>
    </row>
    <row r="4239" spans="1:14" hidden="1" x14ac:dyDescent="0.25">
      <c r="A4239" s="357">
        <v>0</v>
      </c>
      <c r="B4239" s="357">
        <v>1</v>
      </c>
      <c r="C4239" s="357">
        <v>1</v>
      </c>
      <c r="D4239" s="357">
        <v>1</v>
      </c>
      <c r="E4239" s="357">
        <v>1</v>
      </c>
      <c r="F4239" s="357">
        <v>1</v>
      </c>
      <c r="G4239" s="357">
        <v>1</v>
      </c>
      <c r="H4239" s="357">
        <v>1</v>
      </c>
      <c r="I4239" s="357">
        <v>1</v>
      </c>
      <c r="J4239" s="357">
        <v>1</v>
      </c>
      <c r="K4239" s="357">
        <v>0</v>
      </c>
      <c r="L4239" s="357">
        <v>0</v>
      </c>
      <c r="M4239" s="357">
        <v>4</v>
      </c>
      <c r="N4239" s="357">
        <v>5</v>
      </c>
    </row>
    <row r="4240" spans="1:14" hidden="1" x14ac:dyDescent="0.25">
      <c r="A4240" s="357">
        <v>0</v>
      </c>
      <c r="B4240" s="357">
        <v>1</v>
      </c>
      <c r="C4240" s="357">
        <v>1</v>
      </c>
      <c r="D4240" s="357">
        <v>1</v>
      </c>
      <c r="E4240" s="357">
        <v>1</v>
      </c>
      <c r="F4240" s="357">
        <v>1</v>
      </c>
      <c r="G4240" s="357">
        <v>0</v>
      </c>
      <c r="H4240" s="357">
        <v>0</v>
      </c>
      <c r="I4240" s="357">
        <v>1</v>
      </c>
      <c r="J4240" s="357">
        <v>1</v>
      </c>
      <c r="K4240" s="357">
        <v>0</v>
      </c>
      <c r="L4240" s="357">
        <v>0</v>
      </c>
      <c r="M4240" s="357">
        <v>3</v>
      </c>
      <c r="N4240" s="357">
        <v>4</v>
      </c>
    </row>
    <row r="4241" spans="1:14" hidden="1" x14ac:dyDescent="0.25">
      <c r="A4241" s="357">
        <v>0</v>
      </c>
      <c r="B4241" s="357">
        <v>1</v>
      </c>
      <c r="C4241" s="357">
        <v>1</v>
      </c>
      <c r="D4241" s="357">
        <v>1</v>
      </c>
      <c r="E4241" s="357">
        <v>1</v>
      </c>
      <c r="F4241" s="357">
        <v>1</v>
      </c>
      <c r="G4241" s="357">
        <v>1</v>
      </c>
      <c r="H4241" s="357">
        <v>1</v>
      </c>
      <c r="I4241" s="357">
        <v>1</v>
      </c>
      <c r="J4241" s="357">
        <v>1</v>
      </c>
      <c r="K4241" s="357">
        <v>0</v>
      </c>
      <c r="L4241" s="357">
        <v>1</v>
      </c>
      <c r="M4241" s="357">
        <v>4</v>
      </c>
      <c r="N4241" s="357">
        <v>6</v>
      </c>
    </row>
    <row r="4242" spans="1:14" hidden="1" x14ac:dyDescent="0.25">
      <c r="A4242" s="357">
        <v>1</v>
      </c>
      <c r="B4242" s="357">
        <v>1</v>
      </c>
      <c r="C4242" s="357">
        <v>1</v>
      </c>
      <c r="D4242" s="357">
        <v>1</v>
      </c>
      <c r="E4242" s="357">
        <v>1</v>
      </c>
      <c r="F4242" s="357">
        <v>1</v>
      </c>
      <c r="G4242" s="357">
        <v>0</v>
      </c>
      <c r="H4242" s="357">
        <v>0</v>
      </c>
      <c r="I4242" s="357">
        <v>1</v>
      </c>
      <c r="J4242" s="357">
        <v>1</v>
      </c>
      <c r="K4242" s="357">
        <v>0</v>
      </c>
      <c r="L4242" s="357">
        <v>0</v>
      </c>
      <c r="M4242" s="357">
        <v>4</v>
      </c>
      <c r="N4242" s="357">
        <v>4</v>
      </c>
    </row>
    <row r="4243" spans="1:14" hidden="1" x14ac:dyDescent="0.25">
      <c r="A4243" s="357">
        <v>0</v>
      </c>
      <c r="B4243" s="357">
        <v>1</v>
      </c>
      <c r="C4243" s="357">
        <v>1</v>
      </c>
      <c r="D4243" s="357">
        <v>1</v>
      </c>
      <c r="E4243" s="357">
        <v>1</v>
      </c>
      <c r="F4243" s="357">
        <v>1</v>
      </c>
      <c r="G4243" s="357">
        <v>1</v>
      </c>
      <c r="H4243" s="357">
        <v>1</v>
      </c>
      <c r="I4243" s="357">
        <v>1</v>
      </c>
      <c r="J4243" s="357">
        <v>1</v>
      </c>
      <c r="K4243" s="357">
        <v>0</v>
      </c>
      <c r="L4243" s="357">
        <v>0</v>
      </c>
      <c r="M4243" s="357">
        <v>4</v>
      </c>
      <c r="N4243" s="357">
        <v>5</v>
      </c>
    </row>
    <row r="4244" spans="1:14" hidden="1" x14ac:dyDescent="0.25">
      <c r="A4244" s="357">
        <v>0</v>
      </c>
      <c r="B4244" s="357">
        <v>1</v>
      </c>
      <c r="C4244" s="357">
        <v>1</v>
      </c>
      <c r="D4244" s="357">
        <v>1</v>
      </c>
      <c r="E4244" s="357">
        <v>1</v>
      </c>
      <c r="F4244" s="357">
        <v>1</v>
      </c>
      <c r="G4244" s="357">
        <v>1</v>
      </c>
      <c r="H4244" s="357">
        <v>0</v>
      </c>
      <c r="I4244" s="357">
        <v>1</v>
      </c>
      <c r="J4244" s="357">
        <v>1</v>
      </c>
      <c r="K4244" s="357">
        <v>0</v>
      </c>
      <c r="L4244" s="357">
        <v>0</v>
      </c>
      <c r="M4244" s="357">
        <v>4</v>
      </c>
      <c r="N4244" s="357">
        <v>4</v>
      </c>
    </row>
    <row r="4245" spans="1:14" hidden="1" x14ac:dyDescent="0.25">
      <c r="A4245" s="357">
        <v>1</v>
      </c>
      <c r="B4245" s="357">
        <v>1</v>
      </c>
      <c r="C4245" s="357">
        <v>0</v>
      </c>
      <c r="D4245" s="357">
        <v>1</v>
      </c>
      <c r="E4245" s="357">
        <v>1</v>
      </c>
      <c r="F4245" s="357">
        <v>1</v>
      </c>
      <c r="G4245" s="357">
        <v>0</v>
      </c>
      <c r="H4245" s="357">
        <v>1</v>
      </c>
      <c r="I4245" s="357">
        <v>1</v>
      </c>
      <c r="J4245" s="357">
        <v>1</v>
      </c>
      <c r="K4245" s="357">
        <v>0</v>
      </c>
      <c r="L4245" s="357">
        <v>0</v>
      </c>
      <c r="M4245" s="357">
        <v>3</v>
      </c>
      <c r="N4245" s="357">
        <v>5</v>
      </c>
    </row>
    <row r="4246" spans="1:14" hidden="1" x14ac:dyDescent="0.25">
      <c r="A4246" s="357">
        <v>0</v>
      </c>
      <c r="B4246" s="357">
        <v>0</v>
      </c>
      <c r="C4246" s="357">
        <v>0</v>
      </c>
      <c r="D4246" s="357">
        <v>2</v>
      </c>
      <c r="E4246" s="357">
        <v>2</v>
      </c>
      <c r="F4246" s="357">
        <v>0</v>
      </c>
      <c r="G4246" s="357">
        <v>2</v>
      </c>
      <c r="H4246" s="357">
        <v>1</v>
      </c>
      <c r="I4246" s="357">
        <v>2</v>
      </c>
      <c r="J4246" s="357">
        <v>2</v>
      </c>
      <c r="K4246" s="357">
        <v>0</v>
      </c>
      <c r="L4246" s="357">
        <v>0</v>
      </c>
      <c r="M4246" s="357">
        <v>6</v>
      </c>
      <c r="N4246" s="357">
        <v>5</v>
      </c>
    </row>
    <row r="4247" spans="1:14" hidden="1" x14ac:dyDescent="0.25">
      <c r="A4247" s="357">
        <v>1</v>
      </c>
      <c r="B4247" s="357">
        <v>0</v>
      </c>
      <c r="C4247" s="357">
        <v>2</v>
      </c>
      <c r="D4247" s="357">
        <v>0</v>
      </c>
      <c r="E4247" s="357">
        <v>0</v>
      </c>
      <c r="F4247" s="357">
        <v>2</v>
      </c>
      <c r="G4247" s="357">
        <v>1</v>
      </c>
      <c r="H4247" s="357">
        <v>1</v>
      </c>
      <c r="I4247" s="357">
        <v>2</v>
      </c>
      <c r="J4247" s="357">
        <v>1</v>
      </c>
      <c r="K4247" s="357">
        <v>0</v>
      </c>
      <c r="L4247" s="357">
        <v>0</v>
      </c>
      <c r="M4247" s="357">
        <v>6</v>
      </c>
      <c r="N4247" s="357">
        <v>4</v>
      </c>
    </row>
    <row r="4248" spans="1:14" hidden="1" x14ac:dyDescent="0.25">
      <c r="A4248" s="357">
        <v>0</v>
      </c>
      <c r="B4248" s="357">
        <v>0</v>
      </c>
      <c r="C4248" s="357">
        <v>2</v>
      </c>
      <c r="D4248" s="357">
        <v>0</v>
      </c>
      <c r="E4248" s="357">
        <v>3</v>
      </c>
      <c r="F4248" s="357">
        <v>0</v>
      </c>
      <c r="G4248" s="357">
        <v>0</v>
      </c>
      <c r="H4248" s="357">
        <v>2</v>
      </c>
      <c r="I4248" s="357">
        <v>1</v>
      </c>
      <c r="J4248" s="357">
        <v>1</v>
      </c>
      <c r="K4248" s="357">
        <v>0</v>
      </c>
      <c r="L4248" s="357">
        <v>0</v>
      </c>
      <c r="M4248" s="357">
        <v>6</v>
      </c>
      <c r="N4248" s="357">
        <v>3</v>
      </c>
    </row>
    <row r="4249" spans="1:14" hidden="1" x14ac:dyDescent="0.25">
      <c r="A4249" s="357">
        <v>1</v>
      </c>
      <c r="B4249" s="357">
        <v>0</v>
      </c>
      <c r="C4249" s="357">
        <v>1</v>
      </c>
      <c r="D4249" s="357">
        <v>0</v>
      </c>
      <c r="E4249" s="357">
        <v>1</v>
      </c>
      <c r="F4249" s="357">
        <v>1</v>
      </c>
      <c r="G4249" s="357">
        <v>0</v>
      </c>
      <c r="H4249" s="357">
        <v>0</v>
      </c>
      <c r="I4249" s="357">
        <v>1</v>
      </c>
      <c r="J4249" s="357">
        <v>1</v>
      </c>
      <c r="K4249" s="357">
        <v>0</v>
      </c>
      <c r="L4249" s="357">
        <v>0</v>
      </c>
      <c r="M4249" s="357">
        <v>4</v>
      </c>
      <c r="N4249" s="357">
        <v>2</v>
      </c>
    </row>
    <row r="4250" spans="1:14" hidden="1" x14ac:dyDescent="0.25">
      <c r="A4250" s="357">
        <v>1</v>
      </c>
      <c r="B4250" s="357">
        <v>0</v>
      </c>
      <c r="C4250" s="357">
        <v>1</v>
      </c>
      <c r="D4250" s="357">
        <v>0</v>
      </c>
      <c r="E4250" s="357">
        <v>3</v>
      </c>
      <c r="F4250" s="357">
        <v>0</v>
      </c>
      <c r="G4250" s="357">
        <v>1</v>
      </c>
      <c r="H4250" s="357">
        <v>0</v>
      </c>
      <c r="I4250" s="357">
        <v>1</v>
      </c>
      <c r="J4250" s="357">
        <v>1</v>
      </c>
      <c r="K4250" s="357">
        <v>0</v>
      </c>
      <c r="L4250" s="357">
        <v>0</v>
      </c>
      <c r="M4250" s="357">
        <v>7</v>
      </c>
      <c r="N4250" s="357">
        <v>1</v>
      </c>
    </row>
    <row r="4251" spans="1:14" hidden="1" x14ac:dyDescent="0.25">
      <c r="A4251" s="357">
        <v>1</v>
      </c>
      <c r="B4251" s="357">
        <v>0</v>
      </c>
      <c r="C4251" s="357">
        <v>2</v>
      </c>
      <c r="D4251" s="357">
        <v>0</v>
      </c>
      <c r="E4251" s="357">
        <v>0</v>
      </c>
      <c r="F4251" s="357">
        <v>2</v>
      </c>
      <c r="G4251" s="357">
        <v>0</v>
      </c>
      <c r="H4251" s="357">
        <v>0</v>
      </c>
      <c r="I4251" s="357">
        <v>1</v>
      </c>
      <c r="J4251" s="357">
        <v>1</v>
      </c>
      <c r="K4251" s="357">
        <v>0</v>
      </c>
      <c r="L4251" s="357">
        <v>0</v>
      </c>
      <c r="M4251" s="357">
        <v>4</v>
      </c>
      <c r="N4251" s="357">
        <v>3</v>
      </c>
    </row>
    <row r="4252" spans="1:14" hidden="1" x14ac:dyDescent="0.25">
      <c r="A4252" s="357">
        <v>0</v>
      </c>
      <c r="B4252" s="357">
        <v>0</v>
      </c>
      <c r="C4252" s="357">
        <v>0</v>
      </c>
      <c r="D4252" s="357">
        <v>0</v>
      </c>
      <c r="E4252" s="357">
        <v>2</v>
      </c>
      <c r="F4252" s="357">
        <v>0</v>
      </c>
      <c r="G4252" s="357">
        <v>1</v>
      </c>
      <c r="H4252" s="357">
        <v>1</v>
      </c>
      <c r="I4252" s="357">
        <v>2</v>
      </c>
      <c r="J4252" s="357">
        <v>4</v>
      </c>
      <c r="K4252" s="357">
        <v>0</v>
      </c>
      <c r="L4252" s="357">
        <v>0</v>
      </c>
      <c r="M4252" s="357">
        <v>5</v>
      </c>
      <c r="N4252" s="357">
        <v>5</v>
      </c>
    </row>
    <row r="4253" spans="1:14" hidden="1" x14ac:dyDescent="0.25">
      <c r="A4253" s="357">
        <v>0</v>
      </c>
      <c r="B4253" s="357">
        <v>0</v>
      </c>
      <c r="C4253" s="357">
        <v>0</v>
      </c>
      <c r="D4253" s="357">
        <v>0</v>
      </c>
      <c r="E4253" s="357">
        <v>0</v>
      </c>
      <c r="F4253" s="357">
        <v>0</v>
      </c>
      <c r="G4253" s="357">
        <v>0</v>
      </c>
      <c r="H4253" s="357">
        <v>0</v>
      </c>
      <c r="I4253" s="357">
        <v>6</v>
      </c>
      <c r="J4253" s="357">
        <v>5</v>
      </c>
      <c r="K4253" s="357">
        <v>0</v>
      </c>
      <c r="L4253" s="357">
        <v>1</v>
      </c>
      <c r="M4253" s="357">
        <v>6</v>
      </c>
      <c r="N4253" s="357">
        <v>6</v>
      </c>
    </row>
    <row r="4254" spans="1:14" hidden="1" x14ac:dyDescent="0.25">
      <c r="A4254" s="357">
        <v>1</v>
      </c>
      <c r="B4254" s="357">
        <v>1</v>
      </c>
      <c r="C4254" s="357">
        <v>0</v>
      </c>
      <c r="D4254" s="357">
        <v>2</v>
      </c>
      <c r="E4254" s="357">
        <v>0</v>
      </c>
      <c r="F4254" s="357">
        <v>1</v>
      </c>
      <c r="G4254" s="357">
        <v>1</v>
      </c>
      <c r="H4254" s="357">
        <v>0</v>
      </c>
      <c r="I4254" s="357">
        <v>1</v>
      </c>
      <c r="J4254" s="357">
        <v>1</v>
      </c>
      <c r="K4254" s="357">
        <v>0</v>
      </c>
      <c r="L4254" s="357">
        <v>0</v>
      </c>
      <c r="M4254" s="357">
        <v>3</v>
      </c>
      <c r="N4254" s="357">
        <v>5</v>
      </c>
    </row>
    <row r="4255" spans="1:14" hidden="1" x14ac:dyDescent="0.25">
      <c r="A4255" s="357">
        <v>0</v>
      </c>
      <c r="B4255" s="357">
        <v>0</v>
      </c>
      <c r="C4255" s="357">
        <v>0</v>
      </c>
      <c r="D4255" s="357">
        <v>0</v>
      </c>
      <c r="E4255" s="357">
        <v>0</v>
      </c>
      <c r="F4255" s="357">
        <v>1</v>
      </c>
      <c r="G4255" s="357">
        <v>2</v>
      </c>
      <c r="H4255" s="357">
        <v>1</v>
      </c>
      <c r="I4255" s="357">
        <v>3</v>
      </c>
      <c r="J4255" s="357">
        <v>2</v>
      </c>
      <c r="K4255" s="357">
        <v>1</v>
      </c>
      <c r="L4255" s="357">
        <v>0</v>
      </c>
      <c r="M4255" s="357">
        <v>6</v>
      </c>
      <c r="N4255" s="357">
        <v>4</v>
      </c>
    </row>
    <row r="4256" spans="1:14" hidden="1" x14ac:dyDescent="0.25">
      <c r="A4256" s="357">
        <v>1</v>
      </c>
      <c r="B4256" s="357">
        <v>0</v>
      </c>
      <c r="C4256" s="357">
        <v>1</v>
      </c>
      <c r="D4256" s="357">
        <v>0</v>
      </c>
      <c r="E4256" s="357">
        <v>1</v>
      </c>
      <c r="F4256" s="357">
        <v>0</v>
      </c>
      <c r="G4256" s="357">
        <v>0</v>
      </c>
      <c r="H4256" s="357">
        <v>1</v>
      </c>
      <c r="I4256" s="357">
        <v>2</v>
      </c>
      <c r="J4256" s="357">
        <v>2</v>
      </c>
      <c r="K4256" s="357">
        <v>0</v>
      </c>
      <c r="L4256" s="357">
        <v>0</v>
      </c>
      <c r="M4256" s="357">
        <v>5</v>
      </c>
      <c r="N4256" s="357">
        <v>3</v>
      </c>
    </row>
    <row r="4257" spans="1:14" hidden="1" x14ac:dyDescent="0.25">
      <c r="A4257" s="357">
        <v>1</v>
      </c>
      <c r="B4257" s="357">
        <v>0</v>
      </c>
      <c r="C4257" s="357">
        <v>0</v>
      </c>
      <c r="D4257" s="357">
        <v>1</v>
      </c>
      <c r="E4257" s="357">
        <v>1</v>
      </c>
      <c r="F4257" s="357">
        <v>0</v>
      </c>
      <c r="G4257" s="357">
        <v>0</v>
      </c>
      <c r="H4257" s="357">
        <v>0</v>
      </c>
      <c r="I4257" s="357">
        <v>1</v>
      </c>
      <c r="J4257" s="357">
        <v>2</v>
      </c>
      <c r="K4257" s="357">
        <v>0</v>
      </c>
      <c r="L4257" s="357">
        <v>0</v>
      </c>
      <c r="M4257" s="357">
        <v>3</v>
      </c>
      <c r="N4257" s="357">
        <v>3</v>
      </c>
    </row>
    <row r="4258" spans="1:14" hidden="1" x14ac:dyDescent="0.25">
      <c r="A4258" s="357">
        <v>0</v>
      </c>
      <c r="B4258" s="357">
        <v>1</v>
      </c>
      <c r="C4258" s="357">
        <v>0</v>
      </c>
      <c r="D4258" s="357">
        <v>1</v>
      </c>
      <c r="E4258" s="357">
        <v>0</v>
      </c>
      <c r="F4258" s="357">
        <v>0</v>
      </c>
      <c r="G4258" s="357">
        <v>0</v>
      </c>
      <c r="H4258" s="357">
        <v>0</v>
      </c>
      <c r="I4258" s="357">
        <v>1</v>
      </c>
      <c r="J4258" s="357">
        <v>1</v>
      </c>
      <c r="K4258" s="357">
        <v>0</v>
      </c>
      <c r="L4258" s="357">
        <v>0</v>
      </c>
      <c r="M4258" s="357">
        <v>1</v>
      </c>
      <c r="N4258" s="357">
        <v>3</v>
      </c>
    </row>
    <row r="4259" spans="1:14" hidden="1" x14ac:dyDescent="0.25">
      <c r="A4259" s="357">
        <v>1</v>
      </c>
      <c r="B4259" s="357">
        <v>0</v>
      </c>
      <c r="C4259" s="357">
        <v>1</v>
      </c>
      <c r="D4259" s="357">
        <v>1</v>
      </c>
      <c r="E4259" s="357">
        <v>1</v>
      </c>
      <c r="F4259" s="357">
        <v>1</v>
      </c>
      <c r="G4259" s="357">
        <v>0</v>
      </c>
      <c r="H4259" s="357">
        <v>0</v>
      </c>
      <c r="I4259" s="357">
        <v>1</v>
      </c>
      <c r="J4259" s="357">
        <v>1</v>
      </c>
      <c r="K4259" s="357">
        <v>0</v>
      </c>
      <c r="L4259" s="357">
        <v>0</v>
      </c>
      <c r="M4259" s="357">
        <v>4</v>
      </c>
      <c r="N4259" s="357">
        <v>3</v>
      </c>
    </row>
    <row r="4260" spans="1:14" hidden="1" x14ac:dyDescent="0.25">
      <c r="A4260" s="357">
        <v>0</v>
      </c>
      <c r="B4260" s="357">
        <v>0</v>
      </c>
      <c r="C4260" s="357">
        <v>2</v>
      </c>
      <c r="D4260" s="357">
        <v>0</v>
      </c>
      <c r="E4260" s="357">
        <v>1</v>
      </c>
      <c r="F4260" s="357">
        <v>2</v>
      </c>
      <c r="G4260" s="357">
        <v>1</v>
      </c>
      <c r="H4260" s="357">
        <v>1</v>
      </c>
      <c r="I4260" s="357">
        <v>2</v>
      </c>
      <c r="J4260" s="357">
        <v>3</v>
      </c>
      <c r="K4260" s="357">
        <v>0</v>
      </c>
      <c r="L4260" s="357">
        <v>0</v>
      </c>
      <c r="M4260" s="357">
        <v>6</v>
      </c>
      <c r="N4260" s="357">
        <v>6</v>
      </c>
    </row>
    <row r="4261" spans="1:14" hidden="1" x14ac:dyDescent="0.25">
      <c r="A4261" s="357">
        <v>1</v>
      </c>
      <c r="B4261" s="357">
        <v>1</v>
      </c>
      <c r="C4261" s="357">
        <v>1</v>
      </c>
      <c r="D4261" s="357">
        <v>1</v>
      </c>
      <c r="E4261" s="357">
        <v>0</v>
      </c>
      <c r="F4261" s="357">
        <v>0</v>
      </c>
      <c r="G4261" s="357">
        <v>0</v>
      </c>
      <c r="H4261" s="357">
        <v>0</v>
      </c>
      <c r="I4261" s="357">
        <v>1</v>
      </c>
      <c r="J4261" s="357">
        <v>1</v>
      </c>
      <c r="K4261" s="357">
        <v>0</v>
      </c>
      <c r="L4261" s="357">
        <v>0</v>
      </c>
      <c r="M4261" s="357">
        <v>3</v>
      </c>
      <c r="N4261" s="357">
        <v>3</v>
      </c>
    </row>
    <row r="4262" spans="1:14" hidden="1" x14ac:dyDescent="0.25">
      <c r="A4262" s="357">
        <v>0</v>
      </c>
      <c r="B4262" s="357">
        <v>0</v>
      </c>
      <c r="C4262" s="357">
        <v>0</v>
      </c>
      <c r="D4262" s="357">
        <v>0</v>
      </c>
      <c r="E4262" s="357">
        <v>2</v>
      </c>
      <c r="F4262" s="357">
        <v>1</v>
      </c>
      <c r="G4262" s="357">
        <v>2</v>
      </c>
      <c r="H4262" s="357">
        <v>3</v>
      </c>
      <c r="I4262" s="357">
        <v>2</v>
      </c>
      <c r="J4262" s="357">
        <v>2</v>
      </c>
      <c r="K4262" s="357">
        <v>0</v>
      </c>
      <c r="L4262" s="357">
        <v>0</v>
      </c>
      <c r="M4262" s="357">
        <v>6</v>
      </c>
      <c r="N4262" s="357">
        <v>6</v>
      </c>
    </row>
    <row r="4263" spans="1:14" hidden="1" x14ac:dyDescent="0.25">
      <c r="A4263" s="357">
        <v>1</v>
      </c>
      <c r="B4263" s="357">
        <v>0</v>
      </c>
      <c r="C4263" s="357">
        <v>0</v>
      </c>
      <c r="D4263" s="357">
        <v>1</v>
      </c>
      <c r="E4263" s="357">
        <v>1</v>
      </c>
      <c r="F4263" s="357">
        <v>0</v>
      </c>
      <c r="G4263" s="357">
        <v>1</v>
      </c>
      <c r="H4263" s="357">
        <v>0</v>
      </c>
      <c r="I4263" s="357">
        <v>1</v>
      </c>
      <c r="J4263" s="357">
        <v>2</v>
      </c>
      <c r="K4263" s="357">
        <v>0</v>
      </c>
      <c r="L4263" s="357">
        <v>0</v>
      </c>
      <c r="M4263" s="357">
        <v>4</v>
      </c>
      <c r="N4263" s="357">
        <v>3</v>
      </c>
    </row>
    <row r="4264" spans="1:14" hidden="1" x14ac:dyDescent="0.25">
      <c r="A4264" s="357">
        <v>0</v>
      </c>
      <c r="B4264" s="357">
        <v>1</v>
      </c>
      <c r="C4264" s="357">
        <v>0</v>
      </c>
      <c r="D4264" s="357">
        <v>2</v>
      </c>
      <c r="E4264" s="357">
        <v>0</v>
      </c>
      <c r="F4264" s="357">
        <v>1</v>
      </c>
      <c r="G4264" s="357">
        <v>0</v>
      </c>
      <c r="H4264" s="357">
        <v>1</v>
      </c>
      <c r="I4264" s="357">
        <v>1</v>
      </c>
      <c r="J4264" s="357">
        <v>1</v>
      </c>
      <c r="K4264" s="357">
        <v>0</v>
      </c>
      <c r="L4264" s="357">
        <v>0</v>
      </c>
      <c r="M4264" s="357">
        <v>1</v>
      </c>
      <c r="N4264" s="357">
        <v>6</v>
      </c>
    </row>
    <row r="4265" spans="1:14" hidden="1" x14ac:dyDescent="0.25">
      <c r="A4265" s="357">
        <v>0</v>
      </c>
      <c r="B4265" s="357">
        <v>2</v>
      </c>
      <c r="C4265" s="357">
        <v>0</v>
      </c>
      <c r="D4265" s="357">
        <v>2</v>
      </c>
      <c r="E4265" s="357">
        <v>0</v>
      </c>
      <c r="F4265" s="357">
        <v>1</v>
      </c>
      <c r="G4265" s="357">
        <v>0</v>
      </c>
      <c r="H4265" s="357">
        <v>0</v>
      </c>
      <c r="I4265" s="357">
        <v>0</v>
      </c>
      <c r="J4265" s="357">
        <v>0</v>
      </c>
      <c r="K4265" s="357">
        <v>0</v>
      </c>
      <c r="L4265" s="357">
        <v>0</v>
      </c>
      <c r="M4265" s="357">
        <v>0</v>
      </c>
      <c r="N4265" s="357">
        <v>5</v>
      </c>
    </row>
    <row r="4266" spans="1:14" hidden="1" x14ac:dyDescent="0.25">
      <c r="A4266" s="357">
        <v>1</v>
      </c>
      <c r="B4266" s="357">
        <v>1</v>
      </c>
      <c r="C4266" s="357">
        <v>0</v>
      </c>
      <c r="D4266" s="357">
        <v>0</v>
      </c>
      <c r="E4266" s="357">
        <v>0</v>
      </c>
      <c r="F4266" s="357">
        <v>0</v>
      </c>
      <c r="G4266" s="357">
        <v>0</v>
      </c>
      <c r="H4266" s="357">
        <v>0</v>
      </c>
      <c r="I4266" s="357">
        <v>0</v>
      </c>
      <c r="J4266" s="357">
        <v>1</v>
      </c>
      <c r="K4266" s="357">
        <v>0</v>
      </c>
      <c r="L4266" s="357">
        <v>0</v>
      </c>
      <c r="M4266" s="357">
        <v>1</v>
      </c>
      <c r="N4266" s="357">
        <v>2</v>
      </c>
    </row>
    <row r="4267" spans="1:14" hidden="1" x14ac:dyDescent="0.25">
      <c r="A4267" s="357">
        <v>0</v>
      </c>
      <c r="B4267" s="357">
        <v>0</v>
      </c>
      <c r="C4267" s="357">
        <v>2</v>
      </c>
      <c r="D4267" s="357">
        <v>0</v>
      </c>
      <c r="E4267" s="357">
        <v>2</v>
      </c>
      <c r="F4267" s="357">
        <v>0</v>
      </c>
      <c r="G4267" s="357">
        <v>2</v>
      </c>
      <c r="H4267" s="357">
        <v>0</v>
      </c>
      <c r="I4267" s="357">
        <v>1</v>
      </c>
      <c r="J4267" s="357">
        <v>1</v>
      </c>
      <c r="K4267" s="357">
        <v>0</v>
      </c>
      <c r="L4267" s="357">
        <v>0</v>
      </c>
      <c r="M4267" s="357">
        <v>7</v>
      </c>
      <c r="N4267" s="357">
        <v>1</v>
      </c>
    </row>
    <row r="4268" spans="1:14" hidden="1" x14ac:dyDescent="0.25">
      <c r="A4268" s="357">
        <v>0</v>
      </c>
      <c r="B4268" s="357">
        <v>0</v>
      </c>
      <c r="C4268" s="357">
        <v>0</v>
      </c>
      <c r="D4268" s="357">
        <v>2</v>
      </c>
      <c r="E4268" s="357">
        <v>0</v>
      </c>
      <c r="F4268" s="357">
        <v>2</v>
      </c>
      <c r="G4268" s="357">
        <v>2</v>
      </c>
      <c r="H4268" s="357">
        <v>0</v>
      </c>
      <c r="I4268" s="357">
        <v>1</v>
      </c>
      <c r="J4268" s="357">
        <v>1</v>
      </c>
      <c r="K4268" s="357">
        <v>0</v>
      </c>
      <c r="L4268" s="357">
        <v>0</v>
      </c>
      <c r="M4268" s="357">
        <v>3</v>
      </c>
      <c r="N4268" s="357">
        <v>5</v>
      </c>
    </row>
    <row r="4269" spans="1:14" hidden="1" x14ac:dyDescent="0.25">
      <c r="A4269" s="357">
        <v>1</v>
      </c>
      <c r="B4269" s="357">
        <v>0</v>
      </c>
      <c r="C4269" s="357">
        <v>1</v>
      </c>
      <c r="D4269" s="357">
        <v>0</v>
      </c>
      <c r="E4269" s="357">
        <v>1</v>
      </c>
      <c r="F4269" s="357">
        <v>0</v>
      </c>
      <c r="G4269" s="357">
        <v>0</v>
      </c>
      <c r="H4269" s="357">
        <v>0</v>
      </c>
      <c r="I4269" s="357">
        <v>0</v>
      </c>
      <c r="J4269" s="357">
        <v>1</v>
      </c>
      <c r="K4269" s="357">
        <v>0</v>
      </c>
      <c r="L4269" s="357">
        <v>0</v>
      </c>
      <c r="M4269" s="357">
        <v>3</v>
      </c>
      <c r="N4269" s="357">
        <v>1</v>
      </c>
    </row>
    <row r="4270" spans="1:14" hidden="1" x14ac:dyDescent="0.25">
      <c r="A4270" s="357">
        <v>0</v>
      </c>
      <c r="B4270" s="357">
        <v>0</v>
      </c>
      <c r="C4270" s="357">
        <v>2</v>
      </c>
      <c r="D4270" s="357">
        <v>0</v>
      </c>
      <c r="E4270" s="357">
        <v>2</v>
      </c>
      <c r="F4270" s="357">
        <v>0</v>
      </c>
      <c r="G4270" s="357">
        <v>1</v>
      </c>
      <c r="H4270" s="357">
        <v>0</v>
      </c>
      <c r="I4270" s="357">
        <v>0</v>
      </c>
      <c r="J4270" s="357">
        <v>1</v>
      </c>
      <c r="K4270" s="357">
        <v>0</v>
      </c>
      <c r="L4270" s="357">
        <v>0</v>
      </c>
      <c r="M4270" s="357">
        <v>5</v>
      </c>
      <c r="N4270" s="357">
        <v>1</v>
      </c>
    </row>
    <row r="4271" spans="1:14" hidden="1" x14ac:dyDescent="0.25">
      <c r="A4271" s="357">
        <v>1</v>
      </c>
      <c r="B4271" s="357">
        <v>0</v>
      </c>
      <c r="C4271" s="357">
        <v>1</v>
      </c>
      <c r="D4271" s="357">
        <v>1</v>
      </c>
      <c r="E4271" s="357">
        <v>1</v>
      </c>
      <c r="F4271" s="357">
        <v>0</v>
      </c>
      <c r="G4271" s="357">
        <v>1</v>
      </c>
      <c r="H4271" s="357">
        <v>0</v>
      </c>
      <c r="I4271" s="357">
        <v>1</v>
      </c>
      <c r="J4271" s="357">
        <v>1</v>
      </c>
      <c r="K4271" s="357">
        <v>0</v>
      </c>
      <c r="L4271" s="357">
        <v>0</v>
      </c>
      <c r="M4271" s="357">
        <v>5</v>
      </c>
      <c r="N4271" s="357">
        <v>2</v>
      </c>
    </row>
    <row r="4272" spans="1:14" hidden="1" x14ac:dyDescent="0.25">
      <c r="A4272" s="357">
        <v>0</v>
      </c>
      <c r="B4272" s="357">
        <v>0</v>
      </c>
      <c r="C4272" s="357">
        <v>1</v>
      </c>
      <c r="D4272" s="357">
        <v>1</v>
      </c>
      <c r="E4272" s="357">
        <v>0</v>
      </c>
      <c r="F4272" s="357">
        <v>0</v>
      </c>
      <c r="G4272" s="357">
        <v>1</v>
      </c>
      <c r="H4272" s="357">
        <v>1</v>
      </c>
      <c r="I4272" s="357">
        <v>1</v>
      </c>
      <c r="J4272" s="357">
        <v>2</v>
      </c>
      <c r="K4272" s="357">
        <v>0</v>
      </c>
      <c r="L4272" s="357">
        <v>0</v>
      </c>
      <c r="M4272" s="357">
        <v>3</v>
      </c>
      <c r="N4272" s="357">
        <v>4</v>
      </c>
    </row>
    <row r="4273" spans="1:14" hidden="1" x14ac:dyDescent="0.25">
      <c r="A4273" s="357">
        <v>0</v>
      </c>
      <c r="B4273" s="357">
        <v>0</v>
      </c>
      <c r="C4273" s="357">
        <v>0</v>
      </c>
      <c r="D4273" s="357">
        <v>0</v>
      </c>
      <c r="E4273" s="357">
        <v>2</v>
      </c>
      <c r="F4273" s="357">
        <v>1</v>
      </c>
      <c r="G4273" s="357">
        <v>2</v>
      </c>
      <c r="H4273" s="357">
        <v>2</v>
      </c>
      <c r="I4273" s="357">
        <v>1</v>
      </c>
      <c r="J4273" s="357">
        <v>1</v>
      </c>
      <c r="K4273" s="357">
        <v>1</v>
      </c>
      <c r="L4273" s="357">
        <v>0</v>
      </c>
      <c r="M4273" s="357">
        <v>6</v>
      </c>
      <c r="N4273" s="357">
        <v>4</v>
      </c>
    </row>
    <row r="4274" spans="1:14" hidden="1" x14ac:dyDescent="0.25">
      <c r="A4274" s="357">
        <v>0</v>
      </c>
      <c r="B4274" s="357">
        <v>0</v>
      </c>
      <c r="C4274" s="357">
        <v>0</v>
      </c>
      <c r="D4274" s="357">
        <v>0</v>
      </c>
      <c r="E4274" s="357">
        <v>3</v>
      </c>
      <c r="F4274" s="357">
        <v>2</v>
      </c>
      <c r="G4274" s="357">
        <v>2</v>
      </c>
      <c r="H4274" s="357">
        <v>1</v>
      </c>
      <c r="I4274" s="357">
        <v>2</v>
      </c>
      <c r="J4274" s="357">
        <v>4</v>
      </c>
      <c r="K4274" s="357">
        <v>0</v>
      </c>
      <c r="L4274" s="357">
        <v>0</v>
      </c>
      <c r="M4274" s="357">
        <v>7</v>
      </c>
      <c r="N4274" s="357">
        <v>7</v>
      </c>
    </row>
    <row r="4275" spans="1:14" hidden="1" x14ac:dyDescent="0.25">
      <c r="A4275" s="357">
        <v>0</v>
      </c>
      <c r="B4275" s="357">
        <v>0</v>
      </c>
      <c r="C4275" s="357">
        <v>1</v>
      </c>
      <c r="D4275" s="357">
        <v>1</v>
      </c>
      <c r="E4275" s="357">
        <v>2</v>
      </c>
      <c r="F4275" s="357">
        <v>1</v>
      </c>
      <c r="G4275" s="357">
        <v>0</v>
      </c>
      <c r="H4275" s="357">
        <v>0</v>
      </c>
      <c r="I4275" s="357">
        <v>1</v>
      </c>
      <c r="J4275" s="357">
        <v>2</v>
      </c>
      <c r="K4275" s="357">
        <v>0</v>
      </c>
      <c r="L4275" s="357">
        <v>0</v>
      </c>
      <c r="M4275" s="357">
        <v>4</v>
      </c>
      <c r="N4275" s="357">
        <v>4</v>
      </c>
    </row>
    <row r="4276" spans="1:14" hidden="1" x14ac:dyDescent="0.25">
      <c r="A4276" s="357">
        <v>0</v>
      </c>
      <c r="B4276" s="357">
        <v>0</v>
      </c>
      <c r="C4276" s="357">
        <v>0</v>
      </c>
      <c r="D4276" s="357">
        <v>1</v>
      </c>
      <c r="E4276" s="357">
        <v>3</v>
      </c>
      <c r="F4276" s="357">
        <v>2</v>
      </c>
      <c r="G4276" s="357">
        <v>1</v>
      </c>
      <c r="H4276" s="357">
        <v>2</v>
      </c>
      <c r="I4276" s="357">
        <v>2</v>
      </c>
      <c r="J4276" s="357">
        <v>3</v>
      </c>
      <c r="K4276" s="357">
        <v>0</v>
      </c>
      <c r="L4276" s="357">
        <v>0</v>
      </c>
      <c r="M4276" s="357">
        <v>6</v>
      </c>
      <c r="N4276" s="357">
        <v>8</v>
      </c>
    </row>
    <row r="4277" spans="1:14" hidden="1" x14ac:dyDescent="0.25">
      <c r="A4277" s="357">
        <v>1</v>
      </c>
      <c r="B4277" s="357">
        <v>0</v>
      </c>
      <c r="C4277" s="357">
        <v>1</v>
      </c>
      <c r="D4277" s="357">
        <v>0</v>
      </c>
      <c r="E4277" s="357">
        <v>0</v>
      </c>
      <c r="F4277" s="357">
        <v>2</v>
      </c>
      <c r="G4277" s="357">
        <v>0</v>
      </c>
      <c r="H4277" s="357">
        <v>0</v>
      </c>
      <c r="I4277" s="357">
        <v>1</v>
      </c>
      <c r="J4277" s="357">
        <v>1</v>
      </c>
      <c r="K4277" s="357">
        <v>0</v>
      </c>
      <c r="L4277" s="357">
        <v>0</v>
      </c>
      <c r="M4277" s="357">
        <v>3</v>
      </c>
      <c r="N4277" s="357">
        <v>3</v>
      </c>
    </row>
    <row r="4278" spans="1:14" hidden="1" x14ac:dyDescent="0.25">
      <c r="A4278" s="357">
        <v>0</v>
      </c>
      <c r="B4278" s="357">
        <v>0</v>
      </c>
      <c r="C4278" s="357">
        <v>1</v>
      </c>
      <c r="D4278" s="357">
        <v>0</v>
      </c>
      <c r="E4278" s="357">
        <v>2</v>
      </c>
      <c r="F4278" s="357">
        <v>1</v>
      </c>
      <c r="G4278" s="357">
        <v>1</v>
      </c>
      <c r="H4278" s="357">
        <v>1</v>
      </c>
      <c r="I4278" s="357">
        <v>3</v>
      </c>
      <c r="J4278" s="357">
        <v>2</v>
      </c>
      <c r="K4278" s="357">
        <v>1</v>
      </c>
      <c r="L4278" s="357">
        <v>0</v>
      </c>
      <c r="M4278" s="357">
        <v>8</v>
      </c>
      <c r="N4278" s="357">
        <v>4</v>
      </c>
    </row>
    <row r="4279" spans="1:14" hidden="1" x14ac:dyDescent="0.25">
      <c r="A4279" s="357">
        <v>0</v>
      </c>
      <c r="B4279" s="357">
        <v>0</v>
      </c>
      <c r="C4279" s="357">
        <v>1</v>
      </c>
      <c r="D4279" s="357">
        <v>1</v>
      </c>
      <c r="E4279" s="357">
        <v>2</v>
      </c>
      <c r="F4279" s="357">
        <v>1</v>
      </c>
      <c r="G4279" s="357">
        <v>0</v>
      </c>
      <c r="H4279" s="357">
        <v>1</v>
      </c>
      <c r="I4279" s="357">
        <v>2</v>
      </c>
      <c r="J4279" s="357">
        <v>2</v>
      </c>
      <c r="K4279" s="357">
        <v>0</v>
      </c>
      <c r="L4279" s="357">
        <v>0</v>
      </c>
      <c r="M4279" s="357">
        <v>5</v>
      </c>
      <c r="N4279" s="357">
        <v>5</v>
      </c>
    </row>
    <row r="4280" spans="1:14" hidden="1" x14ac:dyDescent="0.25">
      <c r="A4280" s="357">
        <v>0</v>
      </c>
      <c r="B4280" s="357">
        <v>0</v>
      </c>
      <c r="C4280" s="357">
        <v>0</v>
      </c>
      <c r="D4280" s="357">
        <v>1</v>
      </c>
      <c r="E4280" s="357">
        <v>0</v>
      </c>
      <c r="F4280" s="357">
        <v>2</v>
      </c>
      <c r="G4280" s="357">
        <v>1</v>
      </c>
      <c r="H4280" s="357">
        <v>1</v>
      </c>
      <c r="I4280" s="357">
        <v>2</v>
      </c>
      <c r="J4280" s="357">
        <v>2</v>
      </c>
      <c r="K4280" s="357">
        <v>0</v>
      </c>
      <c r="L4280" s="357">
        <v>0</v>
      </c>
      <c r="M4280" s="357">
        <v>3</v>
      </c>
      <c r="N4280" s="357">
        <v>6</v>
      </c>
    </row>
    <row r="4281" spans="1:14" hidden="1" x14ac:dyDescent="0.25">
      <c r="A4281" s="357">
        <v>1</v>
      </c>
      <c r="B4281" s="357">
        <v>0</v>
      </c>
      <c r="C4281" s="357">
        <v>1</v>
      </c>
      <c r="D4281" s="357">
        <v>1</v>
      </c>
      <c r="E4281" s="357">
        <v>1</v>
      </c>
      <c r="F4281" s="357">
        <v>0</v>
      </c>
      <c r="G4281" s="357">
        <v>0</v>
      </c>
      <c r="H4281" s="357">
        <v>0</v>
      </c>
      <c r="I4281" s="357">
        <v>1</v>
      </c>
      <c r="J4281" s="357">
        <v>1</v>
      </c>
      <c r="K4281" s="357">
        <v>0</v>
      </c>
      <c r="L4281" s="357">
        <v>0</v>
      </c>
      <c r="M4281" s="357">
        <v>4</v>
      </c>
      <c r="N4281" s="357">
        <v>2</v>
      </c>
    </row>
    <row r="4282" spans="1:14" hidden="1" x14ac:dyDescent="0.25">
      <c r="A4282" s="357">
        <v>1</v>
      </c>
      <c r="B4282" s="357">
        <v>0</v>
      </c>
      <c r="C4282" s="357">
        <v>1</v>
      </c>
      <c r="D4282" s="357">
        <v>1</v>
      </c>
      <c r="E4282" s="357">
        <v>1</v>
      </c>
      <c r="F4282" s="357">
        <v>1</v>
      </c>
      <c r="G4282" s="357">
        <v>0</v>
      </c>
      <c r="H4282" s="357">
        <v>0</v>
      </c>
      <c r="I4282" s="357">
        <v>1</v>
      </c>
      <c r="J4282" s="357">
        <v>1</v>
      </c>
      <c r="K4282" s="357">
        <v>0</v>
      </c>
      <c r="L4282" s="357">
        <v>0</v>
      </c>
      <c r="M4282" s="357">
        <v>4</v>
      </c>
      <c r="N4282" s="357">
        <v>3</v>
      </c>
    </row>
    <row r="4283" spans="1:14" hidden="1" x14ac:dyDescent="0.25">
      <c r="A4283" s="357">
        <v>1</v>
      </c>
      <c r="B4283" s="357">
        <v>1</v>
      </c>
      <c r="C4283" s="357">
        <v>1</v>
      </c>
      <c r="D4283" s="357">
        <v>1</v>
      </c>
      <c r="E4283" s="357">
        <v>2</v>
      </c>
      <c r="F4283" s="357">
        <v>0</v>
      </c>
      <c r="G4283" s="357">
        <v>0</v>
      </c>
      <c r="H4283" s="357">
        <v>0</v>
      </c>
      <c r="I4283" s="357">
        <v>1</v>
      </c>
      <c r="J4283" s="357">
        <v>1</v>
      </c>
      <c r="K4283" s="357">
        <v>0</v>
      </c>
      <c r="L4283" s="357">
        <v>0</v>
      </c>
      <c r="M4283" s="357">
        <v>5</v>
      </c>
      <c r="N4283" s="357">
        <v>3</v>
      </c>
    </row>
    <row r="4284" spans="1:14" hidden="1" x14ac:dyDescent="0.25">
      <c r="A4284" s="357">
        <v>1</v>
      </c>
      <c r="B4284" s="357">
        <v>0</v>
      </c>
      <c r="C4284" s="357">
        <v>2</v>
      </c>
      <c r="D4284" s="357">
        <v>1</v>
      </c>
      <c r="E4284" s="357">
        <v>2</v>
      </c>
      <c r="F4284" s="357">
        <v>1</v>
      </c>
      <c r="G4284" s="357">
        <v>0</v>
      </c>
      <c r="H4284" s="357">
        <v>0</v>
      </c>
      <c r="I4284" s="357">
        <v>1</v>
      </c>
      <c r="J4284" s="357">
        <v>1</v>
      </c>
      <c r="K4284" s="357">
        <v>0</v>
      </c>
      <c r="L4284" s="357">
        <v>0</v>
      </c>
      <c r="M4284" s="357">
        <v>6</v>
      </c>
      <c r="N4284" s="357">
        <v>3</v>
      </c>
    </row>
    <row r="4285" spans="1:14" hidden="1" x14ac:dyDescent="0.25">
      <c r="A4285" s="357">
        <v>0</v>
      </c>
      <c r="B4285" s="357">
        <v>0</v>
      </c>
      <c r="C4285" s="357">
        <v>0</v>
      </c>
      <c r="D4285" s="357">
        <v>1</v>
      </c>
      <c r="E4285" s="357">
        <v>2</v>
      </c>
      <c r="F4285" s="357">
        <v>1</v>
      </c>
      <c r="G4285" s="357">
        <v>1</v>
      </c>
      <c r="H4285" s="357">
        <v>0</v>
      </c>
      <c r="I4285" s="357">
        <v>1</v>
      </c>
      <c r="J4285" s="357">
        <v>1</v>
      </c>
      <c r="K4285" s="357">
        <v>0</v>
      </c>
      <c r="L4285" s="357">
        <v>0</v>
      </c>
      <c r="M4285" s="357">
        <v>4</v>
      </c>
      <c r="N4285" s="357">
        <v>3</v>
      </c>
    </row>
    <row r="4286" spans="1:14" hidden="1" x14ac:dyDescent="0.25">
      <c r="A4286" s="357">
        <v>0</v>
      </c>
      <c r="B4286" s="357">
        <v>0</v>
      </c>
      <c r="C4286" s="357">
        <v>0</v>
      </c>
      <c r="D4286" s="357">
        <v>0</v>
      </c>
      <c r="E4286" s="357">
        <v>2</v>
      </c>
      <c r="F4286" s="357">
        <v>2</v>
      </c>
      <c r="G4286" s="357">
        <v>1</v>
      </c>
      <c r="H4286" s="357">
        <v>2</v>
      </c>
      <c r="I4286" s="357">
        <v>1</v>
      </c>
      <c r="J4286" s="357">
        <v>1</v>
      </c>
      <c r="K4286" s="357">
        <v>0</v>
      </c>
      <c r="L4286" s="357">
        <v>0</v>
      </c>
      <c r="M4286" s="357">
        <v>4</v>
      </c>
      <c r="N4286" s="357">
        <v>5</v>
      </c>
    </row>
    <row r="4287" spans="1:14" hidden="1" x14ac:dyDescent="0.25">
      <c r="A4287" s="357">
        <v>0</v>
      </c>
      <c r="B4287" s="357">
        <v>0</v>
      </c>
      <c r="C4287" s="357">
        <v>1</v>
      </c>
      <c r="D4287" s="357">
        <v>0</v>
      </c>
      <c r="E4287" s="357">
        <v>2</v>
      </c>
      <c r="F4287" s="357">
        <v>0</v>
      </c>
      <c r="G4287" s="357">
        <v>0</v>
      </c>
      <c r="H4287" s="357">
        <v>0</v>
      </c>
      <c r="I4287" s="357">
        <v>0</v>
      </c>
      <c r="J4287" s="357">
        <v>0</v>
      </c>
      <c r="K4287" s="357">
        <v>0</v>
      </c>
      <c r="L4287" s="357">
        <v>0</v>
      </c>
      <c r="M4287" s="357">
        <v>3</v>
      </c>
      <c r="N4287" s="357">
        <v>0</v>
      </c>
    </row>
    <row r="4288" spans="1:14" hidden="1" x14ac:dyDescent="0.25">
      <c r="A4288" s="357">
        <v>0</v>
      </c>
      <c r="B4288" s="357">
        <v>0</v>
      </c>
      <c r="C4288" s="357">
        <v>0</v>
      </c>
      <c r="D4288" s="357">
        <v>1</v>
      </c>
      <c r="E4288" s="357">
        <v>2</v>
      </c>
      <c r="F4288" s="357">
        <v>1</v>
      </c>
      <c r="G4288" s="357">
        <v>1</v>
      </c>
      <c r="H4288" s="357">
        <v>0</v>
      </c>
      <c r="I4288" s="357">
        <v>0</v>
      </c>
      <c r="J4288" s="357">
        <v>1</v>
      </c>
      <c r="K4288" s="357">
        <v>0</v>
      </c>
      <c r="L4288" s="357">
        <v>0</v>
      </c>
      <c r="M4288" s="357">
        <v>3</v>
      </c>
      <c r="N4288" s="357">
        <v>3</v>
      </c>
    </row>
    <row r="4289" spans="1:14" hidden="1" x14ac:dyDescent="0.25">
      <c r="A4289" s="357">
        <v>0</v>
      </c>
      <c r="B4289" s="357">
        <v>0</v>
      </c>
      <c r="C4289" s="357">
        <v>0</v>
      </c>
      <c r="D4289" s="357">
        <v>0</v>
      </c>
      <c r="E4289" s="357">
        <v>0</v>
      </c>
      <c r="F4289" s="357">
        <v>2</v>
      </c>
      <c r="G4289" s="357">
        <v>1</v>
      </c>
      <c r="H4289" s="357">
        <v>0</v>
      </c>
      <c r="I4289" s="357">
        <v>1</v>
      </c>
      <c r="J4289" s="357">
        <v>1</v>
      </c>
      <c r="K4289" s="357">
        <v>0</v>
      </c>
      <c r="L4289" s="357">
        <v>0</v>
      </c>
      <c r="M4289" s="357">
        <v>2</v>
      </c>
      <c r="N4289" s="357">
        <v>3</v>
      </c>
    </row>
    <row r="4290" spans="1:14" hidden="1" x14ac:dyDescent="0.25">
      <c r="A4290" s="357">
        <v>0</v>
      </c>
      <c r="B4290" s="357">
        <v>0</v>
      </c>
      <c r="C4290" s="357">
        <v>0</v>
      </c>
      <c r="D4290" s="357">
        <v>0</v>
      </c>
      <c r="E4290" s="357">
        <v>1</v>
      </c>
      <c r="F4290" s="357">
        <v>1</v>
      </c>
      <c r="G4290" s="357">
        <v>2</v>
      </c>
      <c r="H4290" s="357">
        <v>1</v>
      </c>
      <c r="I4290" s="357">
        <v>1</v>
      </c>
      <c r="J4290" s="357">
        <v>1</v>
      </c>
      <c r="K4290" s="357">
        <v>0</v>
      </c>
      <c r="L4290" s="357">
        <v>0</v>
      </c>
      <c r="M4290" s="357">
        <v>4</v>
      </c>
      <c r="N4290" s="357">
        <v>3</v>
      </c>
    </row>
    <row r="4291" spans="1:14" hidden="1" x14ac:dyDescent="0.25">
      <c r="A4291" s="357">
        <v>0</v>
      </c>
      <c r="B4291" s="357">
        <v>0</v>
      </c>
      <c r="C4291" s="357">
        <v>0</v>
      </c>
      <c r="D4291" s="357">
        <v>0</v>
      </c>
      <c r="E4291" s="357">
        <v>2</v>
      </c>
      <c r="F4291" s="357">
        <v>2</v>
      </c>
      <c r="G4291" s="357">
        <v>1</v>
      </c>
      <c r="H4291" s="357">
        <v>0</v>
      </c>
      <c r="I4291" s="357">
        <v>1</v>
      </c>
      <c r="J4291" s="357">
        <v>1</v>
      </c>
      <c r="K4291" s="357">
        <v>0</v>
      </c>
      <c r="L4291" s="357">
        <v>0</v>
      </c>
      <c r="M4291" s="357">
        <v>4</v>
      </c>
      <c r="N4291" s="357">
        <v>3</v>
      </c>
    </row>
    <row r="4292" spans="1:14" hidden="1" x14ac:dyDescent="0.25">
      <c r="A4292" s="357">
        <v>0</v>
      </c>
      <c r="B4292" s="357">
        <v>0</v>
      </c>
      <c r="C4292" s="357">
        <v>1</v>
      </c>
      <c r="D4292" s="357">
        <v>0</v>
      </c>
      <c r="E4292" s="357">
        <v>3</v>
      </c>
      <c r="F4292" s="357">
        <v>1</v>
      </c>
      <c r="G4292" s="357">
        <v>1</v>
      </c>
      <c r="H4292" s="357">
        <v>0</v>
      </c>
      <c r="I4292" s="357">
        <v>2</v>
      </c>
      <c r="J4292" s="357">
        <v>1</v>
      </c>
      <c r="K4292" s="357">
        <v>0</v>
      </c>
      <c r="L4292" s="357">
        <v>0</v>
      </c>
      <c r="M4292" s="357">
        <v>7</v>
      </c>
      <c r="N4292" s="357">
        <v>2</v>
      </c>
    </row>
    <row r="4293" spans="1:14" hidden="1" x14ac:dyDescent="0.25">
      <c r="A4293" s="357">
        <v>0</v>
      </c>
      <c r="B4293" s="357">
        <v>0</v>
      </c>
      <c r="C4293" s="357">
        <v>0</v>
      </c>
      <c r="D4293" s="357">
        <v>0</v>
      </c>
      <c r="E4293" s="357">
        <v>3</v>
      </c>
      <c r="F4293" s="357">
        <v>1</v>
      </c>
      <c r="G4293" s="357">
        <v>0</v>
      </c>
      <c r="H4293" s="357">
        <v>2</v>
      </c>
      <c r="I4293" s="357">
        <v>1</v>
      </c>
      <c r="J4293" s="357">
        <v>1</v>
      </c>
      <c r="K4293" s="357">
        <v>0</v>
      </c>
      <c r="L4293" s="357">
        <v>0</v>
      </c>
      <c r="M4293" s="357">
        <v>4</v>
      </c>
      <c r="N4293" s="357">
        <v>4</v>
      </c>
    </row>
    <row r="4294" spans="1:14" hidden="1" x14ac:dyDescent="0.25">
      <c r="A4294" s="357">
        <v>1</v>
      </c>
      <c r="B4294" s="357">
        <v>1</v>
      </c>
      <c r="C4294" s="357">
        <v>1</v>
      </c>
      <c r="D4294" s="357">
        <v>1</v>
      </c>
      <c r="E4294" s="357">
        <v>1</v>
      </c>
      <c r="F4294" s="357">
        <v>1</v>
      </c>
      <c r="G4294" s="357">
        <v>1</v>
      </c>
      <c r="H4294" s="357">
        <v>1</v>
      </c>
      <c r="I4294" s="357">
        <v>1</v>
      </c>
      <c r="J4294" s="357">
        <v>1</v>
      </c>
      <c r="K4294" s="357"/>
      <c r="L4294" s="357">
        <v>1</v>
      </c>
      <c r="M4294" s="357">
        <v>5</v>
      </c>
      <c r="N4294" s="357">
        <v>6</v>
      </c>
    </row>
    <row r="4295" spans="1:14" hidden="1" x14ac:dyDescent="0.25">
      <c r="A4295" s="357">
        <v>0</v>
      </c>
      <c r="B4295" s="357">
        <v>0</v>
      </c>
      <c r="C4295" s="357">
        <v>0</v>
      </c>
      <c r="D4295" s="357">
        <v>0</v>
      </c>
      <c r="E4295" s="357">
        <v>1</v>
      </c>
      <c r="F4295" s="357">
        <v>0</v>
      </c>
      <c r="G4295" s="357">
        <v>2</v>
      </c>
      <c r="H4295" s="357">
        <v>1</v>
      </c>
      <c r="I4295" s="357">
        <v>0</v>
      </c>
      <c r="J4295" s="357">
        <v>1</v>
      </c>
      <c r="K4295" s="357">
        <v>0</v>
      </c>
      <c r="L4295" s="357">
        <v>0</v>
      </c>
      <c r="M4295" s="357">
        <v>3</v>
      </c>
      <c r="N4295" s="357">
        <v>2</v>
      </c>
    </row>
    <row r="4296" spans="1:14" hidden="1" x14ac:dyDescent="0.25">
      <c r="A4296" s="357">
        <v>0</v>
      </c>
      <c r="B4296" s="357">
        <v>0</v>
      </c>
      <c r="C4296" s="357">
        <v>1</v>
      </c>
      <c r="D4296" s="357">
        <v>0</v>
      </c>
      <c r="E4296" s="357">
        <v>2</v>
      </c>
      <c r="F4296" s="357">
        <v>1</v>
      </c>
      <c r="G4296" s="357">
        <v>1</v>
      </c>
      <c r="H4296" s="357">
        <v>0</v>
      </c>
      <c r="I4296" s="357">
        <v>1</v>
      </c>
      <c r="J4296" s="357">
        <v>1</v>
      </c>
      <c r="K4296" s="357">
        <v>0</v>
      </c>
      <c r="L4296" s="357">
        <v>0</v>
      </c>
      <c r="M4296" s="357">
        <v>5</v>
      </c>
      <c r="N4296" s="357">
        <v>2</v>
      </c>
    </row>
    <row r="4297" spans="1:14" hidden="1" x14ac:dyDescent="0.25">
      <c r="A4297" s="357">
        <v>0</v>
      </c>
      <c r="B4297" s="357">
        <v>0</v>
      </c>
      <c r="C4297" s="357">
        <v>1</v>
      </c>
      <c r="D4297" s="357">
        <v>0</v>
      </c>
      <c r="E4297" s="357">
        <v>2</v>
      </c>
      <c r="F4297" s="357">
        <v>1</v>
      </c>
      <c r="G4297" s="357">
        <v>1</v>
      </c>
      <c r="H4297" s="357">
        <v>1</v>
      </c>
      <c r="I4297" s="357">
        <v>1</v>
      </c>
      <c r="J4297" s="357">
        <v>1</v>
      </c>
      <c r="K4297" s="357">
        <v>0</v>
      </c>
      <c r="L4297" s="357">
        <v>0</v>
      </c>
      <c r="M4297" s="357">
        <v>5</v>
      </c>
      <c r="N4297" s="357">
        <v>3</v>
      </c>
    </row>
    <row r="4298" spans="1:14" hidden="1" x14ac:dyDescent="0.25">
      <c r="A4298" s="357">
        <v>0</v>
      </c>
      <c r="B4298" s="357">
        <v>0</v>
      </c>
      <c r="C4298" s="357">
        <v>0</v>
      </c>
      <c r="D4298" s="357">
        <v>1</v>
      </c>
      <c r="E4298" s="357">
        <v>2</v>
      </c>
      <c r="F4298" s="357">
        <v>1</v>
      </c>
      <c r="G4298" s="357">
        <v>1</v>
      </c>
      <c r="H4298" s="357">
        <v>0</v>
      </c>
      <c r="I4298" s="357">
        <v>1</v>
      </c>
      <c r="J4298" s="357">
        <v>1</v>
      </c>
      <c r="K4298" s="357">
        <v>0</v>
      </c>
      <c r="L4298" s="357">
        <v>0</v>
      </c>
      <c r="M4298" s="357">
        <v>4</v>
      </c>
      <c r="N4298" s="357">
        <v>3</v>
      </c>
    </row>
    <row r="4299" spans="1:14" hidden="1" x14ac:dyDescent="0.25">
      <c r="A4299" s="357">
        <v>0</v>
      </c>
      <c r="B4299" s="357">
        <v>0</v>
      </c>
      <c r="C4299" s="357">
        <v>1</v>
      </c>
      <c r="D4299" s="357">
        <v>0</v>
      </c>
      <c r="E4299" s="357">
        <v>2</v>
      </c>
      <c r="F4299" s="357">
        <v>0</v>
      </c>
      <c r="G4299" s="357">
        <v>0</v>
      </c>
      <c r="H4299" s="357">
        <v>0</v>
      </c>
      <c r="I4299" s="357">
        <v>1</v>
      </c>
      <c r="J4299" s="357">
        <v>1</v>
      </c>
      <c r="K4299" s="357">
        <v>0</v>
      </c>
      <c r="L4299" s="357">
        <v>0</v>
      </c>
      <c r="M4299" s="357">
        <v>4</v>
      </c>
      <c r="N4299" s="357">
        <v>1</v>
      </c>
    </row>
    <row r="4300" spans="1:14" hidden="1" x14ac:dyDescent="0.25">
      <c r="A4300" s="357">
        <v>0</v>
      </c>
      <c r="B4300" s="357">
        <v>0</v>
      </c>
      <c r="C4300" s="357">
        <v>1</v>
      </c>
      <c r="D4300" s="357">
        <v>0</v>
      </c>
      <c r="E4300" s="357">
        <v>2</v>
      </c>
      <c r="F4300" s="357">
        <v>2</v>
      </c>
      <c r="G4300" s="357">
        <v>0</v>
      </c>
      <c r="H4300" s="357">
        <v>0</v>
      </c>
      <c r="I4300" s="357">
        <v>1</v>
      </c>
      <c r="J4300" s="357">
        <v>1</v>
      </c>
      <c r="K4300" s="357">
        <v>0</v>
      </c>
      <c r="L4300" s="357">
        <v>0</v>
      </c>
      <c r="M4300" s="357">
        <v>4</v>
      </c>
      <c r="N4300" s="357">
        <v>3</v>
      </c>
    </row>
    <row r="4301" spans="1:14" hidden="1" x14ac:dyDescent="0.25">
      <c r="A4301" s="357">
        <v>0</v>
      </c>
      <c r="B4301" s="357">
        <v>0</v>
      </c>
      <c r="C4301" s="357">
        <v>0</v>
      </c>
      <c r="D4301" s="357">
        <v>0</v>
      </c>
      <c r="E4301" s="357">
        <v>2</v>
      </c>
      <c r="F4301" s="357">
        <v>2</v>
      </c>
      <c r="G4301" s="357">
        <v>0</v>
      </c>
      <c r="H4301" s="357">
        <v>1</v>
      </c>
      <c r="I4301" s="357">
        <v>1</v>
      </c>
      <c r="J4301" s="357">
        <v>1</v>
      </c>
      <c r="K4301" s="357">
        <v>0</v>
      </c>
      <c r="L4301" s="357">
        <v>0</v>
      </c>
      <c r="M4301" s="357">
        <v>3</v>
      </c>
      <c r="N4301" s="357">
        <v>4</v>
      </c>
    </row>
    <row r="4302" spans="1:14" hidden="1" x14ac:dyDescent="0.25">
      <c r="A4302" s="357">
        <v>0</v>
      </c>
      <c r="B4302" s="357">
        <v>0</v>
      </c>
      <c r="C4302" s="357">
        <v>0</v>
      </c>
      <c r="D4302" s="357">
        <v>0</v>
      </c>
      <c r="E4302" s="357">
        <v>0</v>
      </c>
      <c r="F4302" s="357">
        <v>0</v>
      </c>
      <c r="G4302" s="357">
        <v>3</v>
      </c>
      <c r="H4302" s="357">
        <v>2</v>
      </c>
      <c r="I4302" s="357">
        <v>2</v>
      </c>
      <c r="J4302" s="357">
        <v>1</v>
      </c>
      <c r="K4302" s="357">
        <v>0</v>
      </c>
      <c r="L4302" s="357">
        <v>0</v>
      </c>
      <c r="M4302" s="357">
        <v>5</v>
      </c>
      <c r="N4302" s="357">
        <v>3</v>
      </c>
    </row>
    <row r="4303" spans="1:14" hidden="1" x14ac:dyDescent="0.25">
      <c r="A4303" s="357">
        <v>0</v>
      </c>
      <c r="B4303" s="357">
        <v>0</v>
      </c>
      <c r="C4303" s="357">
        <v>1</v>
      </c>
      <c r="D4303" s="357">
        <v>1</v>
      </c>
      <c r="E4303" s="357">
        <v>2</v>
      </c>
      <c r="F4303" s="357">
        <v>2</v>
      </c>
      <c r="G4303" s="357">
        <v>1</v>
      </c>
      <c r="H4303" s="357">
        <v>0</v>
      </c>
      <c r="I4303" s="357">
        <v>0</v>
      </c>
      <c r="J4303" s="357">
        <v>1</v>
      </c>
      <c r="K4303" s="357">
        <v>0</v>
      </c>
      <c r="L4303" s="357">
        <v>0</v>
      </c>
      <c r="M4303" s="357">
        <v>4</v>
      </c>
      <c r="N4303" s="357">
        <v>4</v>
      </c>
    </row>
    <row r="4304" spans="1:14" hidden="1" x14ac:dyDescent="0.25">
      <c r="A4304" s="357">
        <v>0</v>
      </c>
      <c r="B4304" s="357">
        <v>0</v>
      </c>
      <c r="C4304" s="357">
        <v>2</v>
      </c>
      <c r="D4304" s="357">
        <v>1</v>
      </c>
      <c r="E4304" s="357">
        <v>2</v>
      </c>
      <c r="F4304" s="357">
        <v>0</v>
      </c>
      <c r="G4304" s="357">
        <v>0</v>
      </c>
      <c r="H4304" s="357">
        <v>0</v>
      </c>
      <c r="I4304" s="357">
        <v>0</v>
      </c>
      <c r="J4304" s="357">
        <v>1</v>
      </c>
      <c r="K4304" s="357">
        <v>0</v>
      </c>
      <c r="L4304" s="357">
        <v>0</v>
      </c>
      <c r="M4304" s="357">
        <v>4</v>
      </c>
      <c r="N4304" s="357">
        <v>2</v>
      </c>
    </row>
    <row r="4305" spans="1:14" hidden="1" x14ac:dyDescent="0.25">
      <c r="A4305" s="357">
        <v>0</v>
      </c>
      <c r="B4305" s="357">
        <v>0</v>
      </c>
      <c r="C4305" s="357">
        <v>1</v>
      </c>
      <c r="D4305" s="357">
        <v>0</v>
      </c>
      <c r="E4305" s="357">
        <v>2</v>
      </c>
      <c r="F4305" s="357">
        <v>1</v>
      </c>
      <c r="G4305" s="357">
        <v>0</v>
      </c>
      <c r="H4305" s="357">
        <v>1</v>
      </c>
      <c r="I4305" s="357">
        <v>1</v>
      </c>
      <c r="J4305" s="357">
        <v>1</v>
      </c>
      <c r="K4305" s="357">
        <v>0</v>
      </c>
      <c r="L4305" s="357">
        <v>0</v>
      </c>
      <c r="M4305" s="357">
        <v>4</v>
      </c>
      <c r="N4305" s="357">
        <v>3</v>
      </c>
    </row>
    <row r="4306" spans="1:14" hidden="1" x14ac:dyDescent="0.25">
      <c r="A4306" s="357">
        <v>3</v>
      </c>
      <c r="B4306" s="357">
        <v>1</v>
      </c>
      <c r="C4306" s="357">
        <v>1</v>
      </c>
      <c r="D4306" s="357">
        <v>0</v>
      </c>
      <c r="E4306" s="357">
        <v>0</v>
      </c>
      <c r="F4306" s="357">
        <v>1</v>
      </c>
      <c r="G4306" s="357">
        <v>0</v>
      </c>
      <c r="H4306" s="357">
        <v>0</v>
      </c>
      <c r="I4306" s="357">
        <v>1</v>
      </c>
      <c r="J4306" s="357">
        <v>1</v>
      </c>
      <c r="K4306" s="357">
        <v>0</v>
      </c>
      <c r="L4306" s="357">
        <v>0</v>
      </c>
      <c r="M4306" s="357">
        <v>5</v>
      </c>
      <c r="N4306" s="357">
        <v>3</v>
      </c>
    </row>
    <row r="4307" spans="1:14" hidden="1" x14ac:dyDescent="0.25">
      <c r="A4307" s="357">
        <v>0</v>
      </c>
      <c r="B4307" s="357">
        <v>0</v>
      </c>
      <c r="C4307" s="357">
        <v>3</v>
      </c>
      <c r="D4307" s="357">
        <v>1</v>
      </c>
      <c r="E4307" s="357">
        <v>1</v>
      </c>
      <c r="F4307" s="357">
        <v>0</v>
      </c>
      <c r="G4307" s="357">
        <v>0</v>
      </c>
      <c r="H4307" s="357">
        <v>0</v>
      </c>
      <c r="I4307" s="357">
        <v>1</v>
      </c>
      <c r="J4307" s="357">
        <v>1</v>
      </c>
      <c r="K4307" s="357">
        <v>0</v>
      </c>
      <c r="L4307" s="357">
        <v>0</v>
      </c>
      <c r="M4307" s="357">
        <v>5</v>
      </c>
      <c r="N4307" s="357">
        <v>2</v>
      </c>
    </row>
    <row r="4308" spans="1:14" hidden="1" x14ac:dyDescent="0.25">
      <c r="A4308" s="357">
        <v>0</v>
      </c>
      <c r="B4308" s="357">
        <v>0</v>
      </c>
      <c r="C4308" s="357">
        <v>0</v>
      </c>
      <c r="D4308" s="357">
        <v>0</v>
      </c>
      <c r="E4308" s="357">
        <v>1</v>
      </c>
      <c r="F4308" s="357">
        <v>0</v>
      </c>
      <c r="G4308" s="357">
        <v>2</v>
      </c>
      <c r="H4308" s="357">
        <v>0</v>
      </c>
      <c r="I4308" s="357">
        <v>1</v>
      </c>
      <c r="J4308" s="357">
        <v>1</v>
      </c>
      <c r="K4308" s="357">
        <v>1</v>
      </c>
      <c r="L4308" s="357">
        <v>0</v>
      </c>
      <c r="M4308" s="357">
        <v>5</v>
      </c>
      <c r="N4308" s="357">
        <v>1</v>
      </c>
    </row>
    <row r="4309" spans="1:14" hidden="1" x14ac:dyDescent="0.25">
      <c r="A4309" s="357">
        <v>1</v>
      </c>
      <c r="B4309" s="357">
        <v>0</v>
      </c>
      <c r="C4309" s="357">
        <v>0</v>
      </c>
      <c r="D4309" s="357">
        <v>1</v>
      </c>
      <c r="E4309" s="357">
        <v>0</v>
      </c>
      <c r="F4309" s="357">
        <v>0</v>
      </c>
      <c r="G4309" s="357">
        <v>0</v>
      </c>
      <c r="H4309" s="357">
        <v>0</v>
      </c>
      <c r="I4309" s="357">
        <v>2</v>
      </c>
      <c r="J4309" s="357">
        <v>1</v>
      </c>
      <c r="K4309" s="357">
        <v>0</v>
      </c>
      <c r="L4309" s="357">
        <v>0</v>
      </c>
      <c r="M4309" s="357">
        <v>3</v>
      </c>
      <c r="N4309" s="357">
        <v>2</v>
      </c>
    </row>
    <row r="4310" spans="1:14" hidden="1" x14ac:dyDescent="0.25">
      <c r="A4310" s="357">
        <v>0</v>
      </c>
      <c r="B4310" s="357">
        <v>0</v>
      </c>
      <c r="C4310" s="357">
        <v>1</v>
      </c>
      <c r="D4310" s="357">
        <v>1</v>
      </c>
      <c r="E4310" s="357">
        <v>1</v>
      </c>
      <c r="F4310" s="357">
        <v>1</v>
      </c>
      <c r="G4310" s="357">
        <v>2</v>
      </c>
      <c r="H4310" s="357">
        <v>0</v>
      </c>
      <c r="I4310" s="357">
        <v>2</v>
      </c>
      <c r="J4310" s="357">
        <v>2</v>
      </c>
      <c r="K4310" s="357">
        <v>0</v>
      </c>
      <c r="L4310" s="357">
        <v>1</v>
      </c>
      <c r="M4310" s="357">
        <v>6</v>
      </c>
      <c r="N4310" s="357">
        <v>5</v>
      </c>
    </row>
    <row r="4311" spans="1:14" hidden="1" x14ac:dyDescent="0.25">
      <c r="A4311" s="357">
        <v>1</v>
      </c>
      <c r="B4311" s="357">
        <v>0</v>
      </c>
      <c r="C4311" s="357">
        <v>1</v>
      </c>
      <c r="D4311" s="357">
        <v>0</v>
      </c>
      <c r="E4311" s="357">
        <v>2</v>
      </c>
      <c r="F4311" s="357">
        <v>0</v>
      </c>
      <c r="G4311" s="357">
        <v>0</v>
      </c>
      <c r="H4311" s="357">
        <v>0</v>
      </c>
      <c r="I4311" s="357">
        <v>2</v>
      </c>
      <c r="J4311" s="357">
        <v>2</v>
      </c>
      <c r="K4311" s="357">
        <v>0</v>
      </c>
      <c r="L4311" s="357">
        <v>0</v>
      </c>
      <c r="M4311" s="357">
        <v>6</v>
      </c>
      <c r="N4311" s="357">
        <v>2</v>
      </c>
    </row>
    <row r="4312" spans="1:14" hidden="1" x14ac:dyDescent="0.25">
      <c r="A4312" s="357">
        <v>1</v>
      </c>
      <c r="B4312" s="357">
        <v>0</v>
      </c>
      <c r="C4312" s="357">
        <v>2</v>
      </c>
      <c r="D4312" s="357">
        <v>0</v>
      </c>
      <c r="E4312" s="357">
        <v>0</v>
      </c>
      <c r="F4312" s="357">
        <v>1</v>
      </c>
      <c r="G4312" s="357">
        <v>0</v>
      </c>
      <c r="H4312" s="357">
        <v>2</v>
      </c>
      <c r="I4312" s="357">
        <v>2</v>
      </c>
      <c r="J4312" s="357">
        <v>3</v>
      </c>
      <c r="K4312" s="357">
        <v>0</v>
      </c>
      <c r="L4312" s="357">
        <v>0</v>
      </c>
      <c r="M4312" s="357">
        <v>5</v>
      </c>
      <c r="N4312" s="357">
        <v>6</v>
      </c>
    </row>
    <row r="4313" spans="1:14" hidden="1" x14ac:dyDescent="0.25">
      <c r="A4313" s="357">
        <v>0</v>
      </c>
      <c r="B4313" s="357">
        <v>1</v>
      </c>
      <c r="C4313" s="357">
        <v>0</v>
      </c>
      <c r="D4313" s="357">
        <v>1</v>
      </c>
      <c r="E4313" s="357">
        <v>1</v>
      </c>
      <c r="F4313" s="357">
        <v>0</v>
      </c>
      <c r="G4313" s="357">
        <v>2</v>
      </c>
      <c r="H4313" s="357">
        <v>0</v>
      </c>
      <c r="I4313" s="357">
        <v>3</v>
      </c>
      <c r="J4313" s="357">
        <v>2</v>
      </c>
      <c r="K4313" s="357">
        <v>0</v>
      </c>
      <c r="L4313" s="357">
        <v>1</v>
      </c>
      <c r="M4313" s="357">
        <v>6</v>
      </c>
      <c r="N4313" s="357">
        <v>5</v>
      </c>
    </row>
    <row r="4314" spans="1:14" hidden="1" x14ac:dyDescent="0.25">
      <c r="A4314" s="357">
        <v>1</v>
      </c>
      <c r="B4314" s="357">
        <v>0</v>
      </c>
      <c r="C4314" s="357">
        <v>1</v>
      </c>
      <c r="D4314" s="357">
        <v>0</v>
      </c>
      <c r="E4314" s="357">
        <v>0</v>
      </c>
      <c r="F4314" s="357">
        <v>0</v>
      </c>
      <c r="G4314" s="357">
        <v>0</v>
      </c>
      <c r="H4314" s="357">
        <v>0</v>
      </c>
      <c r="I4314" s="357">
        <v>1</v>
      </c>
      <c r="J4314" s="357">
        <v>1</v>
      </c>
      <c r="K4314" s="357">
        <v>0</v>
      </c>
      <c r="L4314" s="357">
        <v>0</v>
      </c>
      <c r="M4314" s="357">
        <v>3</v>
      </c>
      <c r="N4314" s="357">
        <v>1</v>
      </c>
    </row>
    <row r="4315" spans="1:14" hidden="1" x14ac:dyDescent="0.25">
      <c r="A4315" s="357">
        <v>1</v>
      </c>
      <c r="B4315" s="357">
        <v>0</v>
      </c>
      <c r="C4315" s="357">
        <v>0</v>
      </c>
      <c r="D4315" s="357">
        <v>1</v>
      </c>
      <c r="E4315" s="357">
        <v>1</v>
      </c>
      <c r="F4315" s="357">
        <v>2</v>
      </c>
      <c r="G4315" s="357">
        <v>1</v>
      </c>
      <c r="H4315" s="357">
        <v>2</v>
      </c>
      <c r="I4315" s="357">
        <v>2</v>
      </c>
      <c r="J4315" s="357">
        <v>3</v>
      </c>
      <c r="K4315" s="357">
        <v>1</v>
      </c>
      <c r="L4315" s="357">
        <v>0</v>
      </c>
      <c r="M4315" s="357">
        <v>6</v>
      </c>
      <c r="N4315" s="357">
        <v>8</v>
      </c>
    </row>
    <row r="4316" spans="1:14" hidden="1" x14ac:dyDescent="0.25">
      <c r="A4316" s="357">
        <v>0</v>
      </c>
      <c r="B4316" s="357">
        <v>0</v>
      </c>
      <c r="C4316" s="357">
        <v>1</v>
      </c>
      <c r="D4316" s="357">
        <v>0</v>
      </c>
      <c r="E4316" s="357">
        <v>1</v>
      </c>
      <c r="F4316" s="357">
        <v>1</v>
      </c>
      <c r="G4316" s="357">
        <v>1</v>
      </c>
      <c r="H4316" s="357">
        <v>2</v>
      </c>
      <c r="I4316" s="357">
        <v>2</v>
      </c>
      <c r="J4316" s="357">
        <v>2</v>
      </c>
      <c r="K4316" s="357">
        <v>0</v>
      </c>
      <c r="L4316" s="357">
        <v>0</v>
      </c>
      <c r="M4316" s="357">
        <v>5</v>
      </c>
      <c r="N4316" s="357">
        <v>5</v>
      </c>
    </row>
    <row r="4317" spans="1:14" hidden="1" x14ac:dyDescent="0.25">
      <c r="A4317" s="357">
        <v>1</v>
      </c>
      <c r="B4317" s="357">
        <v>0</v>
      </c>
      <c r="C4317" s="357">
        <v>1</v>
      </c>
      <c r="D4317" s="357">
        <v>0</v>
      </c>
      <c r="E4317" s="357">
        <v>2</v>
      </c>
      <c r="F4317" s="357">
        <v>0</v>
      </c>
      <c r="G4317" s="357">
        <v>1</v>
      </c>
      <c r="H4317" s="357">
        <v>2</v>
      </c>
      <c r="I4317" s="357">
        <v>2</v>
      </c>
      <c r="J4317" s="357">
        <v>2</v>
      </c>
      <c r="K4317" s="357">
        <v>0</v>
      </c>
      <c r="L4317" s="357">
        <v>0</v>
      </c>
      <c r="M4317" s="357">
        <v>7</v>
      </c>
      <c r="N4317" s="357">
        <v>4</v>
      </c>
    </row>
    <row r="4318" spans="1:14" hidden="1" x14ac:dyDescent="0.25">
      <c r="A4318" s="357">
        <v>1</v>
      </c>
      <c r="B4318" s="357">
        <v>0</v>
      </c>
      <c r="C4318" s="357">
        <v>1</v>
      </c>
      <c r="D4318" s="357">
        <v>0</v>
      </c>
      <c r="E4318" s="357">
        <v>0</v>
      </c>
      <c r="F4318" s="357">
        <v>0</v>
      </c>
      <c r="G4318" s="357">
        <v>0</v>
      </c>
      <c r="H4318" s="357">
        <v>0</v>
      </c>
      <c r="I4318" s="357">
        <v>2</v>
      </c>
      <c r="J4318" s="357">
        <v>2</v>
      </c>
      <c r="K4318" s="357">
        <v>0</v>
      </c>
      <c r="L4318" s="357">
        <v>0</v>
      </c>
      <c r="M4318" s="357">
        <v>4</v>
      </c>
      <c r="N4318" s="357">
        <v>2</v>
      </c>
    </row>
    <row r="4319" spans="1:14" hidden="1" x14ac:dyDescent="0.25">
      <c r="A4319" s="357">
        <v>1</v>
      </c>
      <c r="B4319" s="357">
        <v>0</v>
      </c>
      <c r="C4319" s="357">
        <v>0</v>
      </c>
      <c r="D4319" s="357">
        <v>0</v>
      </c>
      <c r="E4319" s="357">
        <v>0</v>
      </c>
      <c r="F4319" s="357">
        <v>0</v>
      </c>
      <c r="G4319" s="357">
        <v>0</v>
      </c>
      <c r="H4319" s="357">
        <v>0</v>
      </c>
      <c r="I4319" s="357">
        <v>1</v>
      </c>
      <c r="J4319" s="357">
        <v>1</v>
      </c>
      <c r="K4319" s="357">
        <v>0</v>
      </c>
      <c r="L4319" s="357">
        <v>0</v>
      </c>
      <c r="M4319" s="357">
        <v>2</v>
      </c>
      <c r="N4319" s="357">
        <v>1</v>
      </c>
    </row>
    <row r="4320" spans="1:14" hidden="1" x14ac:dyDescent="0.25">
      <c r="A4320" s="357">
        <v>0</v>
      </c>
      <c r="B4320" s="357">
        <v>1</v>
      </c>
      <c r="C4320" s="357">
        <v>0</v>
      </c>
      <c r="D4320" s="357">
        <v>1</v>
      </c>
      <c r="E4320" s="357">
        <v>1</v>
      </c>
      <c r="F4320" s="357">
        <v>0</v>
      </c>
      <c r="G4320" s="357">
        <v>0</v>
      </c>
      <c r="H4320" s="357">
        <v>0</v>
      </c>
      <c r="I4320" s="357">
        <v>2</v>
      </c>
      <c r="J4320" s="357">
        <v>2</v>
      </c>
      <c r="K4320" s="357">
        <v>1</v>
      </c>
      <c r="L4320" s="357">
        <v>0</v>
      </c>
      <c r="M4320" s="357">
        <v>4</v>
      </c>
      <c r="N4320" s="357">
        <v>4</v>
      </c>
    </row>
    <row r="4321" spans="1:14" hidden="1" x14ac:dyDescent="0.25">
      <c r="A4321" s="357">
        <v>0</v>
      </c>
      <c r="B4321" s="357">
        <v>0</v>
      </c>
      <c r="C4321" s="357">
        <v>1</v>
      </c>
      <c r="D4321" s="357">
        <v>0</v>
      </c>
      <c r="E4321" s="357">
        <v>2</v>
      </c>
      <c r="F4321" s="357">
        <v>2</v>
      </c>
      <c r="G4321" s="357">
        <v>1</v>
      </c>
      <c r="H4321" s="357">
        <v>1</v>
      </c>
      <c r="I4321" s="357">
        <v>1</v>
      </c>
      <c r="J4321" s="357">
        <v>2</v>
      </c>
      <c r="K4321" s="357">
        <v>0</v>
      </c>
      <c r="L4321" s="357">
        <v>0</v>
      </c>
      <c r="M4321" s="357">
        <v>5</v>
      </c>
      <c r="N4321" s="357">
        <v>5</v>
      </c>
    </row>
    <row r="4322" spans="1:14" hidden="1" x14ac:dyDescent="0.25">
      <c r="A4322" s="357">
        <v>1</v>
      </c>
      <c r="B4322" s="357">
        <v>1</v>
      </c>
      <c r="C4322" s="357">
        <v>1</v>
      </c>
      <c r="D4322" s="357">
        <v>0</v>
      </c>
      <c r="E4322" s="357">
        <v>2</v>
      </c>
      <c r="F4322" s="357">
        <v>1</v>
      </c>
      <c r="G4322" s="357">
        <v>1</v>
      </c>
      <c r="H4322" s="357">
        <v>1</v>
      </c>
      <c r="I4322" s="357">
        <v>1</v>
      </c>
      <c r="J4322" s="357">
        <v>1</v>
      </c>
      <c r="K4322" s="357">
        <v>0</v>
      </c>
      <c r="L4322" s="357">
        <v>0</v>
      </c>
      <c r="M4322" s="357">
        <v>6</v>
      </c>
      <c r="N4322" s="357">
        <v>4</v>
      </c>
    </row>
    <row r="4323" spans="1:14" hidden="1" x14ac:dyDescent="0.25">
      <c r="A4323" s="357">
        <v>0</v>
      </c>
      <c r="B4323" s="357">
        <v>0</v>
      </c>
      <c r="C4323" s="357">
        <v>0</v>
      </c>
      <c r="D4323" s="357">
        <v>1</v>
      </c>
      <c r="E4323" s="357">
        <v>0</v>
      </c>
      <c r="F4323" s="357">
        <v>0</v>
      </c>
      <c r="G4323" s="357">
        <v>2</v>
      </c>
      <c r="H4323" s="357">
        <v>0</v>
      </c>
      <c r="I4323" s="357">
        <v>1</v>
      </c>
      <c r="J4323" s="357">
        <v>2</v>
      </c>
      <c r="K4323" s="357">
        <v>1</v>
      </c>
      <c r="L4323" s="357">
        <v>0</v>
      </c>
      <c r="M4323" s="357">
        <v>4</v>
      </c>
      <c r="N4323" s="357">
        <v>3</v>
      </c>
    </row>
    <row r="4324" spans="1:14" hidden="1" x14ac:dyDescent="0.25">
      <c r="A4324" s="357">
        <v>0</v>
      </c>
      <c r="B4324" s="357">
        <v>1</v>
      </c>
      <c r="C4324" s="357">
        <v>0</v>
      </c>
      <c r="D4324" s="357">
        <v>0</v>
      </c>
      <c r="E4324" s="357">
        <v>0</v>
      </c>
      <c r="F4324" s="357">
        <v>0</v>
      </c>
      <c r="G4324" s="357">
        <v>0</v>
      </c>
      <c r="H4324" s="357">
        <v>1</v>
      </c>
      <c r="I4324" s="357">
        <v>1</v>
      </c>
      <c r="J4324" s="357">
        <v>1</v>
      </c>
      <c r="K4324" s="357">
        <v>0</v>
      </c>
      <c r="L4324" s="357">
        <v>0</v>
      </c>
      <c r="M4324" s="357">
        <v>1</v>
      </c>
      <c r="N4324" s="357">
        <v>3</v>
      </c>
    </row>
    <row r="4325" spans="1:14" hidden="1" x14ac:dyDescent="0.25">
      <c r="A4325" s="357">
        <v>0</v>
      </c>
      <c r="B4325" s="357">
        <v>0</v>
      </c>
      <c r="C4325" s="357">
        <v>0</v>
      </c>
      <c r="D4325" s="357">
        <v>0</v>
      </c>
      <c r="E4325" s="357">
        <v>0</v>
      </c>
      <c r="F4325" s="357">
        <v>0</v>
      </c>
      <c r="G4325" s="357">
        <v>1</v>
      </c>
      <c r="H4325" s="357">
        <v>0</v>
      </c>
      <c r="I4325" s="357">
        <v>1</v>
      </c>
      <c r="J4325" s="357">
        <v>1</v>
      </c>
      <c r="K4325" s="357">
        <v>1</v>
      </c>
      <c r="L4325" s="357">
        <v>1</v>
      </c>
      <c r="M4325" s="357">
        <v>3</v>
      </c>
      <c r="N4325" s="357">
        <v>2</v>
      </c>
    </row>
    <row r="4326" spans="1:14" hidden="1" x14ac:dyDescent="0.25">
      <c r="A4326" s="357">
        <v>0</v>
      </c>
      <c r="B4326" s="357">
        <v>1</v>
      </c>
      <c r="C4326" s="357">
        <v>0</v>
      </c>
      <c r="D4326" s="357">
        <v>0</v>
      </c>
      <c r="E4326" s="357">
        <v>1</v>
      </c>
      <c r="F4326" s="357">
        <v>0</v>
      </c>
      <c r="G4326" s="357">
        <v>0</v>
      </c>
      <c r="H4326" s="357">
        <v>0</v>
      </c>
      <c r="I4326" s="357">
        <v>1</v>
      </c>
      <c r="J4326" s="357">
        <v>1</v>
      </c>
      <c r="K4326" s="357">
        <v>0</v>
      </c>
      <c r="L4326" s="357">
        <v>1</v>
      </c>
      <c r="M4326" s="357">
        <v>2</v>
      </c>
      <c r="N4326" s="357">
        <v>3</v>
      </c>
    </row>
    <row r="4327" spans="1:14" hidden="1" x14ac:dyDescent="0.25">
      <c r="A4327" s="357">
        <v>0</v>
      </c>
      <c r="B4327" s="357">
        <v>1</v>
      </c>
      <c r="C4327" s="357">
        <v>0</v>
      </c>
      <c r="D4327" s="357">
        <v>1</v>
      </c>
      <c r="E4327" s="357">
        <v>0</v>
      </c>
      <c r="F4327" s="357">
        <v>0</v>
      </c>
      <c r="G4327" s="357">
        <v>1</v>
      </c>
      <c r="H4327" s="357">
        <v>0</v>
      </c>
      <c r="I4327" s="357">
        <v>1</v>
      </c>
      <c r="J4327" s="357">
        <v>2</v>
      </c>
      <c r="K4327" s="357">
        <v>0</v>
      </c>
      <c r="L4327" s="357">
        <v>0</v>
      </c>
      <c r="M4327" s="357">
        <v>2</v>
      </c>
      <c r="N4327" s="357">
        <v>4</v>
      </c>
    </row>
    <row r="4328" spans="1:14" hidden="1" x14ac:dyDescent="0.25">
      <c r="A4328" s="357">
        <v>0</v>
      </c>
      <c r="B4328" s="357">
        <v>0</v>
      </c>
      <c r="C4328" s="357">
        <v>0</v>
      </c>
      <c r="D4328" s="357">
        <v>0</v>
      </c>
      <c r="E4328" s="357">
        <v>0</v>
      </c>
      <c r="F4328" s="357">
        <v>0</v>
      </c>
      <c r="G4328" s="357">
        <v>0</v>
      </c>
      <c r="H4328" s="357">
        <v>0</v>
      </c>
      <c r="I4328" s="357">
        <v>0</v>
      </c>
      <c r="J4328" s="357">
        <v>0</v>
      </c>
      <c r="K4328" s="357">
        <v>1</v>
      </c>
      <c r="L4328" s="357">
        <v>1</v>
      </c>
      <c r="M4328" s="357">
        <v>1</v>
      </c>
      <c r="N4328" s="357">
        <v>1</v>
      </c>
    </row>
    <row r="4329" spans="1:14" hidden="1" x14ac:dyDescent="0.25">
      <c r="A4329" s="357">
        <v>1</v>
      </c>
      <c r="B4329" s="357">
        <v>0</v>
      </c>
      <c r="C4329" s="357">
        <v>0</v>
      </c>
      <c r="D4329" s="357">
        <v>2</v>
      </c>
      <c r="E4329" s="357">
        <v>2</v>
      </c>
      <c r="F4329" s="357">
        <v>3</v>
      </c>
      <c r="G4329" s="357">
        <v>0</v>
      </c>
      <c r="H4329" s="357">
        <v>0</v>
      </c>
      <c r="I4329" s="357">
        <v>1</v>
      </c>
      <c r="J4329" s="357">
        <v>2</v>
      </c>
      <c r="K4329" s="357">
        <v>0</v>
      </c>
      <c r="L4329" s="357">
        <v>0</v>
      </c>
      <c r="M4329" s="357">
        <v>4</v>
      </c>
      <c r="N4329" s="357">
        <v>7</v>
      </c>
    </row>
    <row r="4330" spans="1:14" hidden="1" x14ac:dyDescent="0.25">
      <c r="A4330" s="357">
        <v>1</v>
      </c>
      <c r="B4330" s="357">
        <v>1</v>
      </c>
      <c r="C4330" s="357">
        <v>0</v>
      </c>
      <c r="D4330" s="357">
        <v>0</v>
      </c>
      <c r="E4330" s="357">
        <v>0</v>
      </c>
      <c r="F4330" s="357">
        <v>0</v>
      </c>
      <c r="G4330" s="357">
        <v>0</v>
      </c>
      <c r="H4330" s="357">
        <v>0</v>
      </c>
      <c r="I4330" s="357">
        <v>1</v>
      </c>
      <c r="J4330" s="357">
        <v>1</v>
      </c>
      <c r="K4330" s="357">
        <v>0</v>
      </c>
      <c r="L4330" s="357">
        <v>0</v>
      </c>
      <c r="M4330" s="357">
        <v>2</v>
      </c>
      <c r="N4330" s="357">
        <v>2</v>
      </c>
    </row>
    <row r="4331" spans="1:14" hidden="1" x14ac:dyDescent="0.25">
      <c r="A4331" s="357">
        <v>1</v>
      </c>
      <c r="B4331" s="357">
        <v>0</v>
      </c>
      <c r="C4331" s="357">
        <v>1</v>
      </c>
      <c r="D4331" s="357">
        <v>1</v>
      </c>
      <c r="E4331" s="357">
        <v>3</v>
      </c>
      <c r="F4331" s="357">
        <v>1</v>
      </c>
      <c r="G4331" s="357">
        <v>1</v>
      </c>
      <c r="H4331" s="357">
        <v>0</v>
      </c>
      <c r="I4331" s="357">
        <v>2</v>
      </c>
      <c r="J4331" s="357">
        <v>2</v>
      </c>
      <c r="K4331" s="357">
        <v>0</v>
      </c>
      <c r="L4331" s="357">
        <v>0</v>
      </c>
      <c r="M4331" s="357">
        <v>8</v>
      </c>
      <c r="N4331" s="357">
        <v>4</v>
      </c>
    </row>
    <row r="4332" spans="1:14" hidden="1" x14ac:dyDescent="0.25">
      <c r="A4332" s="357">
        <v>2</v>
      </c>
      <c r="B4332" s="357">
        <v>1</v>
      </c>
      <c r="C4332" s="357">
        <v>4</v>
      </c>
      <c r="D4332" s="357">
        <v>2</v>
      </c>
      <c r="E4332" s="357">
        <v>3</v>
      </c>
      <c r="F4332" s="357">
        <v>0</v>
      </c>
      <c r="G4332" s="357">
        <v>0</v>
      </c>
      <c r="H4332" s="357">
        <v>0</v>
      </c>
      <c r="I4332" s="357">
        <v>1</v>
      </c>
      <c r="J4332" s="357">
        <v>3</v>
      </c>
      <c r="K4332" s="357">
        <v>0</v>
      </c>
      <c r="L4332" s="357">
        <v>0</v>
      </c>
      <c r="M4332" s="357">
        <v>10</v>
      </c>
      <c r="N4332" s="357">
        <v>6</v>
      </c>
    </row>
    <row r="4333" spans="1:14" hidden="1" x14ac:dyDescent="0.25">
      <c r="A4333" s="357">
        <v>1</v>
      </c>
      <c r="B4333" s="357">
        <v>1</v>
      </c>
      <c r="C4333" s="357">
        <v>0</v>
      </c>
      <c r="D4333" s="357">
        <v>1</v>
      </c>
      <c r="E4333" s="357">
        <v>0</v>
      </c>
      <c r="F4333" s="357">
        <v>0</v>
      </c>
      <c r="G4333" s="357">
        <v>0</v>
      </c>
      <c r="H4333" s="357">
        <v>0</v>
      </c>
      <c r="I4333" s="357">
        <v>1</v>
      </c>
      <c r="J4333" s="357">
        <v>1</v>
      </c>
      <c r="K4333" s="357">
        <v>0</v>
      </c>
      <c r="L4333" s="357">
        <v>0</v>
      </c>
      <c r="M4333" s="357">
        <v>2</v>
      </c>
      <c r="N4333" s="357">
        <v>3</v>
      </c>
    </row>
    <row r="4334" spans="1:14" hidden="1" x14ac:dyDescent="0.25">
      <c r="A4334" s="357">
        <v>0</v>
      </c>
      <c r="B4334" s="357">
        <v>0</v>
      </c>
      <c r="C4334" s="357">
        <v>2</v>
      </c>
      <c r="D4334" s="357">
        <v>0</v>
      </c>
      <c r="E4334" s="357">
        <v>2</v>
      </c>
      <c r="F4334" s="357">
        <v>1</v>
      </c>
      <c r="G4334" s="357">
        <v>0</v>
      </c>
      <c r="H4334" s="357">
        <v>0</v>
      </c>
      <c r="I4334" s="357">
        <v>0</v>
      </c>
      <c r="J4334" s="357">
        <v>1</v>
      </c>
      <c r="K4334" s="357">
        <v>0</v>
      </c>
      <c r="L4334" s="357">
        <v>0</v>
      </c>
      <c r="M4334" s="357">
        <v>4</v>
      </c>
      <c r="N4334" s="357">
        <v>2</v>
      </c>
    </row>
    <row r="4335" spans="1:14" hidden="1" x14ac:dyDescent="0.25">
      <c r="A4335" s="357">
        <v>0</v>
      </c>
      <c r="B4335" s="357">
        <v>0</v>
      </c>
      <c r="C4335" s="357">
        <v>0</v>
      </c>
      <c r="D4335" s="357">
        <v>1</v>
      </c>
      <c r="E4335" s="357">
        <v>2</v>
      </c>
      <c r="F4335" s="357">
        <v>1</v>
      </c>
      <c r="G4335" s="357">
        <v>0</v>
      </c>
      <c r="H4335" s="357">
        <v>0</v>
      </c>
      <c r="I4335" s="357">
        <v>0</v>
      </c>
      <c r="J4335" s="357">
        <v>1</v>
      </c>
      <c r="K4335" s="357">
        <v>0</v>
      </c>
      <c r="L4335" s="357">
        <v>0</v>
      </c>
      <c r="M4335" s="357">
        <v>2</v>
      </c>
      <c r="N4335" s="357">
        <v>3</v>
      </c>
    </row>
    <row r="4336" spans="1:14" hidden="1" x14ac:dyDescent="0.25">
      <c r="A4336" s="357">
        <v>0</v>
      </c>
      <c r="B4336" s="357">
        <v>0</v>
      </c>
      <c r="C4336" s="357">
        <v>1</v>
      </c>
      <c r="D4336" s="357">
        <v>1</v>
      </c>
      <c r="E4336" s="357">
        <v>3</v>
      </c>
      <c r="F4336" s="357">
        <v>1</v>
      </c>
      <c r="G4336" s="357">
        <v>0</v>
      </c>
      <c r="H4336" s="357">
        <v>0</v>
      </c>
      <c r="I4336" s="357">
        <v>1</v>
      </c>
      <c r="J4336" s="357">
        <v>1</v>
      </c>
      <c r="K4336" s="357">
        <v>0</v>
      </c>
      <c r="L4336" s="357">
        <v>0</v>
      </c>
      <c r="M4336" s="357">
        <v>5</v>
      </c>
      <c r="N4336" s="357">
        <v>3</v>
      </c>
    </row>
    <row r="4337" spans="1:14" hidden="1" x14ac:dyDescent="0.25">
      <c r="A4337" s="357">
        <v>0</v>
      </c>
      <c r="B4337" s="357">
        <v>0</v>
      </c>
      <c r="C4337" s="357">
        <v>1</v>
      </c>
      <c r="D4337" s="357">
        <v>1</v>
      </c>
      <c r="E4337" s="357">
        <v>0</v>
      </c>
      <c r="F4337" s="357">
        <v>0</v>
      </c>
      <c r="G4337" s="357">
        <v>0</v>
      </c>
      <c r="H4337" s="357">
        <v>0</v>
      </c>
      <c r="I4337" s="357">
        <v>1</v>
      </c>
      <c r="J4337" s="357">
        <v>1</v>
      </c>
      <c r="K4337" s="357">
        <v>0</v>
      </c>
      <c r="L4337" s="357">
        <v>0</v>
      </c>
      <c r="M4337" s="357">
        <v>2</v>
      </c>
      <c r="N4337" s="357">
        <v>2</v>
      </c>
    </row>
    <row r="4338" spans="1:14" hidden="1" x14ac:dyDescent="0.25">
      <c r="A4338" s="357">
        <v>0</v>
      </c>
      <c r="B4338" s="357">
        <v>0</v>
      </c>
      <c r="C4338" s="357">
        <v>1</v>
      </c>
      <c r="D4338" s="357">
        <v>1</v>
      </c>
      <c r="E4338" s="357">
        <v>0</v>
      </c>
      <c r="F4338" s="357">
        <v>0</v>
      </c>
      <c r="G4338" s="357">
        <v>1</v>
      </c>
      <c r="H4338" s="357">
        <v>0</v>
      </c>
      <c r="I4338" s="357">
        <v>1</v>
      </c>
      <c r="J4338" s="357">
        <v>1</v>
      </c>
      <c r="K4338" s="357">
        <v>0</v>
      </c>
      <c r="L4338" s="357">
        <v>0</v>
      </c>
      <c r="M4338" s="357">
        <v>3</v>
      </c>
      <c r="N4338" s="357">
        <v>2</v>
      </c>
    </row>
    <row r="4339" spans="1:14" hidden="1" x14ac:dyDescent="0.25">
      <c r="A4339" s="357">
        <v>0</v>
      </c>
      <c r="B4339" s="357">
        <v>2</v>
      </c>
      <c r="C4339" s="357">
        <v>2</v>
      </c>
      <c r="D4339" s="357">
        <v>0</v>
      </c>
      <c r="E4339" s="357">
        <v>0</v>
      </c>
      <c r="F4339" s="357">
        <v>2</v>
      </c>
      <c r="G4339" s="357">
        <v>0</v>
      </c>
      <c r="H4339" s="357">
        <v>0</v>
      </c>
      <c r="I4339" s="357">
        <v>1</v>
      </c>
      <c r="J4339" s="357">
        <v>1</v>
      </c>
      <c r="K4339" s="357">
        <v>1</v>
      </c>
      <c r="L4339" s="357">
        <v>1</v>
      </c>
      <c r="M4339" s="357">
        <v>4</v>
      </c>
      <c r="N4339" s="357">
        <v>6</v>
      </c>
    </row>
    <row r="4340" spans="1:14" hidden="1" x14ac:dyDescent="0.25">
      <c r="A4340" s="357">
        <v>0</v>
      </c>
      <c r="B4340" s="357">
        <v>0</v>
      </c>
      <c r="C4340" s="357">
        <v>0</v>
      </c>
      <c r="D4340" s="357">
        <v>0</v>
      </c>
      <c r="E4340" s="357">
        <v>0</v>
      </c>
      <c r="F4340" s="357">
        <v>0</v>
      </c>
      <c r="G4340" s="357">
        <v>0</v>
      </c>
      <c r="H4340" s="357">
        <v>0</v>
      </c>
      <c r="I4340" s="357">
        <v>1</v>
      </c>
      <c r="J4340" s="357">
        <v>1</v>
      </c>
      <c r="K4340" s="357">
        <v>0</v>
      </c>
      <c r="L4340" s="357">
        <v>0</v>
      </c>
      <c r="M4340" s="357">
        <v>1</v>
      </c>
      <c r="N4340" s="357">
        <v>1</v>
      </c>
    </row>
    <row r="4341" spans="1:14" hidden="1" x14ac:dyDescent="0.25">
      <c r="A4341" s="357">
        <v>0</v>
      </c>
      <c r="B4341" s="357">
        <v>0</v>
      </c>
      <c r="C4341" s="357">
        <v>0</v>
      </c>
      <c r="D4341" s="357">
        <v>0</v>
      </c>
      <c r="E4341" s="357">
        <v>0</v>
      </c>
      <c r="F4341" s="357">
        <v>0</v>
      </c>
      <c r="G4341" s="357">
        <v>0</v>
      </c>
      <c r="H4341" s="357">
        <v>0</v>
      </c>
      <c r="I4341" s="357">
        <v>1</v>
      </c>
      <c r="J4341" s="357">
        <v>1</v>
      </c>
      <c r="K4341" s="357">
        <v>0</v>
      </c>
      <c r="L4341" s="357">
        <v>0</v>
      </c>
      <c r="M4341" s="357">
        <v>1</v>
      </c>
      <c r="N4341" s="357">
        <v>1</v>
      </c>
    </row>
    <row r="4342" spans="1:14" hidden="1" x14ac:dyDescent="0.25">
      <c r="A4342" s="357">
        <v>1</v>
      </c>
      <c r="B4342" s="357">
        <v>0</v>
      </c>
      <c r="C4342" s="357">
        <v>0</v>
      </c>
      <c r="D4342" s="357">
        <v>2</v>
      </c>
      <c r="E4342" s="357">
        <v>0</v>
      </c>
      <c r="F4342" s="357">
        <v>1</v>
      </c>
      <c r="G4342" s="357">
        <v>0</v>
      </c>
      <c r="H4342" s="357">
        <v>0</v>
      </c>
      <c r="I4342" s="357">
        <v>1</v>
      </c>
      <c r="J4342" s="357">
        <v>1</v>
      </c>
      <c r="K4342" s="357">
        <v>0</v>
      </c>
      <c r="L4342" s="357">
        <v>0</v>
      </c>
      <c r="M4342" s="357">
        <v>2</v>
      </c>
      <c r="N4342" s="357">
        <v>4</v>
      </c>
    </row>
    <row r="4343" spans="1:14" hidden="1" x14ac:dyDescent="0.25">
      <c r="A4343" s="357">
        <v>1</v>
      </c>
      <c r="B4343" s="357">
        <v>0</v>
      </c>
      <c r="C4343" s="357">
        <v>0</v>
      </c>
      <c r="D4343" s="357">
        <v>0</v>
      </c>
      <c r="E4343" s="357">
        <v>1</v>
      </c>
      <c r="F4343" s="357">
        <v>1</v>
      </c>
      <c r="G4343" s="357">
        <v>0</v>
      </c>
      <c r="H4343" s="357">
        <v>0</v>
      </c>
      <c r="I4343" s="357">
        <v>1</v>
      </c>
      <c r="J4343" s="357">
        <v>1</v>
      </c>
      <c r="K4343" s="357">
        <v>0</v>
      </c>
      <c r="L4343" s="357">
        <v>0</v>
      </c>
      <c r="M4343" s="357">
        <v>3</v>
      </c>
      <c r="N4343" s="357">
        <v>2</v>
      </c>
    </row>
    <row r="4344" spans="1:14" hidden="1" x14ac:dyDescent="0.25">
      <c r="A4344" s="357">
        <v>0</v>
      </c>
      <c r="B4344" s="357">
        <v>0</v>
      </c>
      <c r="C4344" s="357">
        <v>0</v>
      </c>
      <c r="D4344" s="357">
        <v>0</v>
      </c>
      <c r="E4344" s="357">
        <v>0</v>
      </c>
      <c r="F4344" s="357">
        <v>1</v>
      </c>
      <c r="G4344" s="357">
        <v>0</v>
      </c>
      <c r="H4344" s="357">
        <v>0</v>
      </c>
      <c r="I4344" s="357">
        <v>1</v>
      </c>
      <c r="J4344" s="357">
        <v>1</v>
      </c>
      <c r="K4344" s="357">
        <v>0</v>
      </c>
      <c r="L4344" s="357">
        <v>0</v>
      </c>
      <c r="M4344" s="357">
        <v>1</v>
      </c>
      <c r="N4344" s="357">
        <v>2</v>
      </c>
    </row>
    <row r="4345" spans="1:14" hidden="1" x14ac:dyDescent="0.25">
      <c r="A4345" s="357">
        <v>0</v>
      </c>
      <c r="B4345" s="357">
        <v>0</v>
      </c>
      <c r="C4345" s="357">
        <v>0</v>
      </c>
      <c r="D4345" s="357">
        <v>0</v>
      </c>
      <c r="E4345" s="357">
        <v>1</v>
      </c>
      <c r="F4345" s="357">
        <v>0</v>
      </c>
      <c r="G4345" s="357">
        <v>0</v>
      </c>
      <c r="H4345" s="357">
        <v>0</v>
      </c>
      <c r="I4345" s="357">
        <v>1</v>
      </c>
      <c r="J4345" s="357">
        <v>1</v>
      </c>
      <c r="K4345" s="357">
        <v>0</v>
      </c>
      <c r="L4345" s="357">
        <v>0</v>
      </c>
      <c r="M4345" s="357">
        <v>2</v>
      </c>
      <c r="N4345" s="357">
        <v>1</v>
      </c>
    </row>
    <row r="4346" spans="1:14" hidden="1" x14ac:dyDescent="0.25">
      <c r="A4346" s="357">
        <v>1</v>
      </c>
      <c r="B4346" s="357">
        <v>0</v>
      </c>
      <c r="C4346" s="357">
        <v>0</v>
      </c>
      <c r="D4346" s="357">
        <v>1</v>
      </c>
      <c r="E4346" s="357">
        <v>0</v>
      </c>
      <c r="F4346" s="357">
        <v>0</v>
      </c>
      <c r="G4346" s="357">
        <v>0</v>
      </c>
      <c r="H4346" s="357">
        <v>0</v>
      </c>
      <c r="I4346" s="357">
        <v>1</v>
      </c>
      <c r="J4346" s="357">
        <v>2</v>
      </c>
      <c r="K4346" s="357">
        <v>0</v>
      </c>
      <c r="L4346" s="357">
        <v>0</v>
      </c>
      <c r="M4346" s="357">
        <v>2</v>
      </c>
      <c r="N4346" s="357">
        <v>3</v>
      </c>
    </row>
    <row r="4347" spans="1:14" hidden="1" x14ac:dyDescent="0.25">
      <c r="A4347" s="357">
        <v>1</v>
      </c>
      <c r="B4347" s="357">
        <v>0</v>
      </c>
      <c r="C4347" s="357">
        <v>0</v>
      </c>
      <c r="D4347" s="357">
        <v>1</v>
      </c>
      <c r="E4347" s="357">
        <v>1</v>
      </c>
      <c r="F4347" s="357">
        <v>1</v>
      </c>
      <c r="G4347" s="357">
        <v>2</v>
      </c>
      <c r="H4347" s="357">
        <v>0</v>
      </c>
      <c r="I4347" s="357">
        <v>1</v>
      </c>
      <c r="J4347" s="357">
        <v>2</v>
      </c>
      <c r="K4347" s="357">
        <v>0</v>
      </c>
      <c r="L4347" s="357">
        <v>0</v>
      </c>
      <c r="M4347" s="357">
        <v>5</v>
      </c>
      <c r="N4347" s="357">
        <v>4</v>
      </c>
    </row>
    <row r="4348" spans="1:14" hidden="1" x14ac:dyDescent="0.25">
      <c r="A4348" s="357">
        <v>2</v>
      </c>
      <c r="B4348" s="357">
        <v>1</v>
      </c>
      <c r="C4348" s="357">
        <v>1</v>
      </c>
      <c r="D4348" s="357">
        <v>2</v>
      </c>
      <c r="E4348" s="357">
        <v>3</v>
      </c>
      <c r="F4348" s="357">
        <v>1</v>
      </c>
      <c r="G4348" s="357">
        <v>2</v>
      </c>
      <c r="H4348" s="357">
        <v>1</v>
      </c>
      <c r="I4348" s="357">
        <v>1</v>
      </c>
      <c r="J4348" s="357">
        <v>2</v>
      </c>
      <c r="K4348" s="357">
        <v>0</v>
      </c>
      <c r="L4348" s="357">
        <v>0</v>
      </c>
      <c r="M4348" s="357">
        <v>9</v>
      </c>
      <c r="N4348" s="357">
        <v>7</v>
      </c>
    </row>
    <row r="4349" spans="1:14" hidden="1" x14ac:dyDescent="0.25">
      <c r="A4349" s="357">
        <v>1</v>
      </c>
      <c r="B4349" s="357">
        <v>0</v>
      </c>
      <c r="C4349" s="357">
        <v>0</v>
      </c>
      <c r="D4349" s="357">
        <v>2</v>
      </c>
      <c r="E4349" s="357">
        <v>2</v>
      </c>
      <c r="F4349" s="357">
        <v>2</v>
      </c>
      <c r="G4349" s="357">
        <v>2</v>
      </c>
      <c r="H4349" s="357">
        <v>1</v>
      </c>
      <c r="I4349" s="357">
        <v>2</v>
      </c>
      <c r="J4349" s="357">
        <v>3</v>
      </c>
      <c r="K4349" s="357">
        <v>0</v>
      </c>
      <c r="L4349" s="357">
        <v>0</v>
      </c>
      <c r="M4349" s="357">
        <v>7</v>
      </c>
      <c r="N4349" s="357">
        <v>8</v>
      </c>
    </row>
    <row r="4350" spans="1:14" hidden="1" x14ac:dyDescent="0.25">
      <c r="A4350" s="357">
        <v>0</v>
      </c>
      <c r="B4350" s="357">
        <v>2</v>
      </c>
      <c r="C4350" s="357">
        <v>1</v>
      </c>
      <c r="D4350" s="357">
        <v>3</v>
      </c>
      <c r="E4350" s="357">
        <v>2</v>
      </c>
      <c r="F4350" s="357">
        <v>5</v>
      </c>
      <c r="G4350" s="357">
        <v>0</v>
      </c>
      <c r="H4350" s="357">
        <v>1</v>
      </c>
      <c r="I4350" s="357">
        <v>1</v>
      </c>
      <c r="J4350" s="357">
        <v>3</v>
      </c>
      <c r="K4350" s="357">
        <v>0</v>
      </c>
      <c r="L4350" s="357">
        <v>0</v>
      </c>
      <c r="M4350" s="357">
        <v>4</v>
      </c>
      <c r="N4350" s="357">
        <v>14</v>
      </c>
    </row>
    <row r="4351" spans="1:14" hidden="1" x14ac:dyDescent="0.25">
      <c r="A4351" s="357">
        <v>2</v>
      </c>
      <c r="B4351" s="357">
        <v>0</v>
      </c>
      <c r="C4351" s="357">
        <v>2</v>
      </c>
      <c r="D4351" s="357">
        <v>0</v>
      </c>
      <c r="E4351" s="357">
        <v>1</v>
      </c>
      <c r="F4351" s="357">
        <v>0</v>
      </c>
      <c r="G4351" s="357">
        <v>0</v>
      </c>
      <c r="H4351" s="357">
        <v>0</v>
      </c>
      <c r="I4351" s="357">
        <v>1</v>
      </c>
      <c r="J4351" s="357">
        <v>2</v>
      </c>
      <c r="K4351" s="357">
        <v>0</v>
      </c>
      <c r="L4351" s="357">
        <v>0</v>
      </c>
      <c r="M4351" s="357">
        <v>6</v>
      </c>
      <c r="N4351" s="357">
        <v>2</v>
      </c>
    </row>
    <row r="4352" spans="1:14" hidden="1" x14ac:dyDescent="0.25">
      <c r="A4352" s="357">
        <v>0</v>
      </c>
      <c r="B4352" s="357">
        <v>1</v>
      </c>
      <c r="C4352" s="357">
        <v>1</v>
      </c>
      <c r="D4352" s="357">
        <v>1</v>
      </c>
      <c r="E4352" s="357">
        <v>1</v>
      </c>
      <c r="F4352" s="357">
        <v>1</v>
      </c>
      <c r="G4352" s="357">
        <v>0</v>
      </c>
      <c r="H4352" s="357">
        <v>0</v>
      </c>
      <c r="I4352" s="357">
        <v>1</v>
      </c>
      <c r="J4352" s="357">
        <v>1</v>
      </c>
      <c r="K4352" s="357">
        <v>0</v>
      </c>
      <c r="L4352" s="357">
        <v>0</v>
      </c>
      <c r="M4352" s="357">
        <v>3</v>
      </c>
      <c r="N4352" s="357">
        <v>4</v>
      </c>
    </row>
    <row r="4353" spans="1:14" hidden="1" x14ac:dyDescent="0.25">
      <c r="A4353" s="357">
        <v>0</v>
      </c>
      <c r="B4353" s="357">
        <v>1</v>
      </c>
      <c r="C4353" s="357">
        <v>1</v>
      </c>
      <c r="D4353" s="357">
        <v>0</v>
      </c>
      <c r="E4353" s="357">
        <v>2</v>
      </c>
      <c r="F4353" s="357">
        <v>0</v>
      </c>
      <c r="G4353" s="357">
        <v>0</v>
      </c>
      <c r="H4353" s="357">
        <v>2</v>
      </c>
      <c r="I4353" s="357">
        <v>1</v>
      </c>
      <c r="J4353" s="357">
        <v>1</v>
      </c>
      <c r="K4353" s="357">
        <v>0</v>
      </c>
      <c r="L4353" s="357">
        <v>0</v>
      </c>
      <c r="M4353" s="357">
        <v>4</v>
      </c>
      <c r="N4353" s="357">
        <v>4</v>
      </c>
    </row>
    <row r="4354" spans="1:14" hidden="1" x14ac:dyDescent="0.25">
      <c r="A4354" s="357">
        <v>1</v>
      </c>
      <c r="B4354" s="357">
        <v>0</v>
      </c>
      <c r="C4354" s="357">
        <v>0</v>
      </c>
      <c r="D4354" s="357">
        <v>2</v>
      </c>
      <c r="E4354" s="357">
        <v>3</v>
      </c>
      <c r="F4354" s="357">
        <v>1</v>
      </c>
      <c r="G4354" s="357">
        <v>1</v>
      </c>
      <c r="H4354" s="357">
        <v>1</v>
      </c>
      <c r="I4354" s="357">
        <v>1</v>
      </c>
      <c r="J4354" s="357">
        <v>2</v>
      </c>
      <c r="K4354" s="357">
        <v>0</v>
      </c>
      <c r="L4354" s="357">
        <v>0</v>
      </c>
      <c r="M4354" s="357">
        <v>6</v>
      </c>
      <c r="N4354" s="357">
        <v>6</v>
      </c>
    </row>
    <row r="4355" spans="1:14" hidden="1" x14ac:dyDescent="0.25">
      <c r="A4355" s="357">
        <v>0</v>
      </c>
      <c r="B4355" s="357">
        <v>1</v>
      </c>
      <c r="C4355" s="357">
        <v>1</v>
      </c>
      <c r="D4355" s="357">
        <v>1</v>
      </c>
      <c r="E4355" s="357">
        <v>1</v>
      </c>
      <c r="F4355" s="357">
        <v>0</v>
      </c>
      <c r="G4355" s="357">
        <v>0</v>
      </c>
      <c r="H4355" s="357">
        <v>0</v>
      </c>
      <c r="I4355" s="357">
        <v>1</v>
      </c>
      <c r="J4355" s="357">
        <v>1</v>
      </c>
      <c r="K4355" s="357">
        <v>0</v>
      </c>
      <c r="L4355" s="357">
        <v>0</v>
      </c>
      <c r="M4355" s="357">
        <v>3</v>
      </c>
      <c r="N4355" s="357">
        <v>3</v>
      </c>
    </row>
    <row r="4356" spans="1:14" hidden="1" x14ac:dyDescent="0.25">
      <c r="A4356" s="357">
        <v>0</v>
      </c>
      <c r="B4356" s="357">
        <v>1</v>
      </c>
      <c r="C4356" s="357">
        <v>1</v>
      </c>
      <c r="D4356" s="357">
        <v>3</v>
      </c>
      <c r="E4356" s="357">
        <v>1</v>
      </c>
      <c r="F4356" s="357">
        <v>1</v>
      </c>
      <c r="G4356" s="357">
        <v>0</v>
      </c>
      <c r="H4356" s="357">
        <v>0</v>
      </c>
      <c r="I4356" s="357">
        <v>1</v>
      </c>
      <c r="J4356" s="357">
        <v>1</v>
      </c>
      <c r="K4356" s="357">
        <v>0</v>
      </c>
      <c r="L4356" s="357">
        <v>0</v>
      </c>
      <c r="M4356" s="357">
        <v>3</v>
      </c>
      <c r="N4356" s="357">
        <v>6</v>
      </c>
    </row>
    <row r="4357" spans="1:14" hidden="1" x14ac:dyDescent="0.25">
      <c r="A4357" s="357">
        <v>2</v>
      </c>
      <c r="B4357" s="357">
        <v>0</v>
      </c>
      <c r="C4357" s="357">
        <v>3</v>
      </c>
      <c r="D4357" s="357">
        <v>1</v>
      </c>
      <c r="E4357" s="357">
        <v>4</v>
      </c>
      <c r="F4357" s="357">
        <v>3</v>
      </c>
      <c r="G4357" s="357">
        <v>0</v>
      </c>
      <c r="H4357" s="357">
        <v>1</v>
      </c>
      <c r="I4357" s="357">
        <v>1</v>
      </c>
      <c r="J4357" s="357">
        <v>2</v>
      </c>
      <c r="K4357" s="357">
        <v>0</v>
      </c>
      <c r="L4357" s="357">
        <v>0</v>
      </c>
      <c r="M4357" s="357">
        <v>10</v>
      </c>
      <c r="N4357" s="357">
        <v>7</v>
      </c>
    </row>
    <row r="4358" spans="1:14" hidden="1" x14ac:dyDescent="0.25">
      <c r="A4358" s="357">
        <v>0</v>
      </c>
      <c r="B4358" s="357">
        <v>3</v>
      </c>
      <c r="C4358" s="357">
        <v>1</v>
      </c>
      <c r="D4358" s="357">
        <v>2</v>
      </c>
      <c r="E4358" s="357">
        <v>2</v>
      </c>
      <c r="F4358" s="357">
        <v>0</v>
      </c>
      <c r="G4358" s="357">
        <v>1</v>
      </c>
      <c r="H4358" s="357">
        <v>0</v>
      </c>
      <c r="I4358" s="357">
        <v>1</v>
      </c>
      <c r="J4358" s="357">
        <v>1</v>
      </c>
      <c r="K4358" s="357">
        <v>0</v>
      </c>
      <c r="L4358" s="357">
        <v>1</v>
      </c>
      <c r="M4358" s="357">
        <v>5</v>
      </c>
      <c r="N4358" s="357">
        <v>7</v>
      </c>
    </row>
    <row r="4359" spans="1:14" hidden="1" x14ac:dyDescent="0.25">
      <c r="A4359" s="357">
        <v>0</v>
      </c>
      <c r="B4359" s="357">
        <v>2</v>
      </c>
      <c r="C4359" s="357">
        <v>2</v>
      </c>
      <c r="D4359" s="357">
        <v>0</v>
      </c>
      <c r="E4359" s="357">
        <v>0</v>
      </c>
      <c r="F4359" s="357">
        <v>0</v>
      </c>
      <c r="G4359" s="357">
        <v>0</v>
      </c>
      <c r="H4359" s="357">
        <v>0</v>
      </c>
      <c r="I4359" s="357">
        <v>1</v>
      </c>
      <c r="J4359" s="357">
        <v>1</v>
      </c>
      <c r="K4359" s="357">
        <v>0</v>
      </c>
      <c r="L4359" s="357">
        <v>0</v>
      </c>
      <c r="M4359" s="357">
        <v>3</v>
      </c>
      <c r="N4359" s="357">
        <v>3</v>
      </c>
    </row>
    <row r="4360" spans="1:14" hidden="1" x14ac:dyDescent="0.25">
      <c r="A4360" s="357">
        <v>2</v>
      </c>
      <c r="B4360" s="357">
        <v>0</v>
      </c>
      <c r="C4360" s="357">
        <v>2</v>
      </c>
      <c r="D4360" s="357">
        <v>1</v>
      </c>
      <c r="E4360" s="357">
        <v>0</v>
      </c>
      <c r="F4360" s="357">
        <v>2</v>
      </c>
      <c r="G4360" s="357">
        <v>0</v>
      </c>
      <c r="H4360" s="357">
        <v>0</v>
      </c>
      <c r="I4360" s="357">
        <v>1</v>
      </c>
      <c r="J4360" s="357">
        <v>2</v>
      </c>
      <c r="K4360" s="357">
        <v>0</v>
      </c>
      <c r="L4360" s="357">
        <v>1</v>
      </c>
      <c r="M4360" s="357">
        <v>5</v>
      </c>
      <c r="N4360" s="357">
        <v>6</v>
      </c>
    </row>
    <row r="4361" spans="1:14" hidden="1" x14ac:dyDescent="0.25">
      <c r="A4361" s="357">
        <v>1</v>
      </c>
      <c r="B4361" s="357">
        <v>1</v>
      </c>
      <c r="C4361" s="357">
        <v>0</v>
      </c>
      <c r="D4361" s="357">
        <v>1</v>
      </c>
      <c r="E4361" s="357">
        <v>1</v>
      </c>
      <c r="F4361" s="357">
        <v>0</v>
      </c>
      <c r="G4361" s="357">
        <v>2</v>
      </c>
      <c r="H4361" s="357">
        <v>0</v>
      </c>
      <c r="I4361" s="357">
        <v>2</v>
      </c>
      <c r="J4361" s="357">
        <v>2</v>
      </c>
      <c r="K4361" s="357">
        <v>0</v>
      </c>
      <c r="L4361" s="357">
        <v>0</v>
      </c>
      <c r="M4361" s="357">
        <v>6</v>
      </c>
      <c r="N4361" s="357">
        <v>4</v>
      </c>
    </row>
    <row r="4362" spans="1:14" hidden="1" x14ac:dyDescent="0.25">
      <c r="A4362" s="357">
        <v>1</v>
      </c>
      <c r="B4362" s="357">
        <v>2</v>
      </c>
      <c r="C4362" s="357">
        <v>0</v>
      </c>
      <c r="D4362" s="357">
        <v>0</v>
      </c>
      <c r="E4362" s="357">
        <v>2</v>
      </c>
      <c r="F4362" s="357">
        <v>0</v>
      </c>
      <c r="G4362" s="357">
        <v>1</v>
      </c>
      <c r="H4362" s="357">
        <v>2</v>
      </c>
      <c r="I4362" s="357">
        <v>1</v>
      </c>
      <c r="J4362" s="357">
        <v>1</v>
      </c>
      <c r="K4362" s="357">
        <v>0</v>
      </c>
      <c r="L4362" s="357">
        <v>1</v>
      </c>
      <c r="M4362" s="357">
        <v>5</v>
      </c>
      <c r="N4362" s="357">
        <v>6</v>
      </c>
    </row>
    <row r="4363" spans="1:14" hidden="1" x14ac:dyDescent="0.25">
      <c r="A4363" s="357">
        <v>1</v>
      </c>
      <c r="B4363" s="357">
        <v>1</v>
      </c>
      <c r="C4363" s="357">
        <v>2</v>
      </c>
      <c r="D4363" s="357">
        <v>1</v>
      </c>
      <c r="E4363" s="357">
        <v>2</v>
      </c>
      <c r="F4363" s="357">
        <v>0</v>
      </c>
      <c r="G4363" s="357">
        <v>2</v>
      </c>
      <c r="H4363" s="357">
        <v>2</v>
      </c>
      <c r="I4363" s="357">
        <v>0</v>
      </c>
      <c r="J4363" s="357">
        <v>0</v>
      </c>
      <c r="K4363" s="357">
        <v>1</v>
      </c>
      <c r="L4363" s="357">
        <v>0</v>
      </c>
      <c r="M4363" s="357">
        <v>8</v>
      </c>
      <c r="N4363" s="357">
        <v>4</v>
      </c>
    </row>
    <row r="4364" spans="1:14" hidden="1" x14ac:dyDescent="0.25">
      <c r="A4364" s="357">
        <v>2</v>
      </c>
      <c r="B4364" s="357">
        <v>2</v>
      </c>
      <c r="C4364" s="357">
        <v>2</v>
      </c>
      <c r="D4364" s="357">
        <v>0</v>
      </c>
      <c r="E4364" s="357">
        <v>4</v>
      </c>
      <c r="F4364" s="357">
        <v>3</v>
      </c>
      <c r="G4364" s="357">
        <v>1</v>
      </c>
      <c r="H4364" s="357">
        <v>0</v>
      </c>
      <c r="I4364" s="357">
        <v>1</v>
      </c>
      <c r="J4364" s="357">
        <v>3</v>
      </c>
      <c r="K4364" s="357">
        <v>0</v>
      </c>
      <c r="L4364" s="357">
        <v>0</v>
      </c>
      <c r="M4364" s="357">
        <v>10</v>
      </c>
      <c r="N4364" s="357">
        <v>8</v>
      </c>
    </row>
    <row r="4365" spans="1:14" hidden="1" x14ac:dyDescent="0.25">
      <c r="A4365" s="357">
        <v>2</v>
      </c>
      <c r="B4365" s="357">
        <v>2</v>
      </c>
      <c r="C4365" s="357">
        <v>3</v>
      </c>
      <c r="D4365" s="357">
        <v>2</v>
      </c>
      <c r="E4365" s="357">
        <v>3</v>
      </c>
      <c r="F4365" s="357">
        <v>2</v>
      </c>
      <c r="G4365" s="357">
        <v>1</v>
      </c>
      <c r="H4365" s="357">
        <v>0</v>
      </c>
      <c r="I4365" s="357">
        <v>1</v>
      </c>
      <c r="J4365" s="357">
        <v>4</v>
      </c>
      <c r="K4365" s="357">
        <v>0</v>
      </c>
      <c r="L4365" s="357">
        <v>0</v>
      </c>
      <c r="M4365" s="357">
        <v>10</v>
      </c>
      <c r="N4365" s="357">
        <v>10</v>
      </c>
    </row>
    <row r="4366" spans="1:14" hidden="1" x14ac:dyDescent="0.25">
      <c r="A4366" s="357">
        <v>2</v>
      </c>
      <c r="B4366" s="357">
        <v>0</v>
      </c>
      <c r="C4366" s="357">
        <v>3</v>
      </c>
      <c r="D4366" s="357">
        <v>2</v>
      </c>
      <c r="E4366" s="357">
        <v>3</v>
      </c>
      <c r="F4366" s="357">
        <v>2</v>
      </c>
      <c r="G4366" s="357">
        <v>4</v>
      </c>
      <c r="H4366" s="357">
        <v>0</v>
      </c>
      <c r="I4366" s="357">
        <v>1</v>
      </c>
      <c r="J4366" s="357">
        <v>2</v>
      </c>
      <c r="K4366" s="357">
        <v>0</v>
      </c>
      <c r="L4366" s="357">
        <v>0</v>
      </c>
      <c r="M4366" s="357">
        <v>13</v>
      </c>
      <c r="N4366" s="357">
        <v>6</v>
      </c>
    </row>
    <row r="4367" spans="1:14" hidden="1" x14ac:dyDescent="0.25">
      <c r="A4367" s="357">
        <v>0</v>
      </c>
      <c r="B4367" s="357">
        <v>0</v>
      </c>
      <c r="C4367" s="357">
        <v>1</v>
      </c>
      <c r="D4367" s="357">
        <v>1</v>
      </c>
      <c r="E4367" s="357">
        <v>2</v>
      </c>
      <c r="F4367" s="357">
        <v>2</v>
      </c>
      <c r="G4367" s="357">
        <v>0</v>
      </c>
      <c r="H4367" s="357">
        <v>0</v>
      </c>
      <c r="I4367" s="357">
        <v>0</v>
      </c>
      <c r="J4367" s="357">
        <v>0</v>
      </c>
      <c r="K4367" s="357">
        <v>1</v>
      </c>
      <c r="L4367" s="357">
        <v>1</v>
      </c>
      <c r="M4367" s="357">
        <v>4</v>
      </c>
      <c r="N4367" s="357">
        <v>4</v>
      </c>
    </row>
    <row r="4368" spans="1:14" hidden="1" x14ac:dyDescent="0.25">
      <c r="A4368" s="357">
        <v>1</v>
      </c>
      <c r="B4368" s="357">
        <v>1</v>
      </c>
      <c r="C4368" s="357">
        <v>0</v>
      </c>
      <c r="D4368" s="357">
        <v>1</v>
      </c>
      <c r="E4368" s="357">
        <v>2</v>
      </c>
      <c r="F4368" s="357">
        <v>2</v>
      </c>
      <c r="G4368" s="357">
        <v>1</v>
      </c>
      <c r="H4368" s="357">
        <v>1</v>
      </c>
      <c r="I4368" s="357">
        <v>1</v>
      </c>
      <c r="J4368" s="357">
        <v>1</v>
      </c>
      <c r="K4368" s="357">
        <v>0</v>
      </c>
      <c r="L4368" s="357">
        <v>0</v>
      </c>
      <c r="M4368" s="357">
        <v>5</v>
      </c>
      <c r="N4368" s="357">
        <v>6</v>
      </c>
    </row>
    <row r="4369" spans="1:14" hidden="1" x14ac:dyDescent="0.25">
      <c r="A4369" s="357">
        <v>1</v>
      </c>
      <c r="B4369" s="357">
        <v>0</v>
      </c>
      <c r="C4369" s="357">
        <v>0</v>
      </c>
      <c r="D4369" s="357">
        <v>1</v>
      </c>
      <c r="E4369" s="357">
        <v>0</v>
      </c>
      <c r="F4369" s="357">
        <v>1</v>
      </c>
      <c r="G4369" s="357">
        <v>1</v>
      </c>
      <c r="H4369" s="357">
        <v>0</v>
      </c>
      <c r="I4369" s="357">
        <v>1</v>
      </c>
      <c r="J4369" s="357">
        <v>1</v>
      </c>
      <c r="K4369" s="357">
        <v>0</v>
      </c>
      <c r="L4369" s="357">
        <v>0</v>
      </c>
      <c r="M4369" s="357">
        <v>3</v>
      </c>
      <c r="N4369" s="357">
        <v>3</v>
      </c>
    </row>
    <row r="4370" spans="1:14" hidden="1" x14ac:dyDescent="0.25">
      <c r="A4370" s="357">
        <v>1</v>
      </c>
      <c r="B4370" s="357">
        <v>0</v>
      </c>
      <c r="C4370" s="357">
        <v>2</v>
      </c>
      <c r="D4370" s="357">
        <v>0</v>
      </c>
      <c r="E4370" s="357">
        <v>4</v>
      </c>
      <c r="F4370" s="357">
        <v>0</v>
      </c>
      <c r="G4370" s="357">
        <v>2</v>
      </c>
      <c r="H4370" s="357">
        <v>0</v>
      </c>
      <c r="I4370" s="357">
        <v>1</v>
      </c>
      <c r="J4370" s="357">
        <v>2</v>
      </c>
      <c r="K4370" s="357">
        <v>0</v>
      </c>
      <c r="L4370" s="357">
        <v>0</v>
      </c>
      <c r="M4370" s="357">
        <v>10</v>
      </c>
      <c r="N4370" s="357">
        <v>2</v>
      </c>
    </row>
    <row r="4371" spans="1:14" hidden="1" x14ac:dyDescent="0.25">
      <c r="A4371" s="357">
        <v>1</v>
      </c>
      <c r="B4371" s="357">
        <v>1</v>
      </c>
      <c r="C4371" s="357">
        <v>1</v>
      </c>
      <c r="D4371" s="357">
        <v>1</v>
      </c>
      <c r="E4371" s="357">
        <v>2</v>
      </c>
      <c r="F4371" s="357">
        <v>1</v>
      </c>
      <c r="G4371" s="357">
        <v>1</v>
      </c>
      <c r="H4371" s="357">
        <v>0</v>
      </c>
      <c r="I4371" s="357">
        <v>1</v>
      </c>
      <c r="J4371" s="357">
        <v>1</v>
      </c>
      <c r="K4371" s="357">
        <v>0</v>
      </c>
      <c r="L4371" s="357">
        <v>0</v>
      </c>
      <c r="M4371" s="357">
        <v>6</v>
      </c>
      <c r="N4371" s="357">
        <v>4</v>
      </c>
    </row>
    <row r="4372" spans="1:14" hidden="1" x14ac:dyDescent="0.25">
      <c r="A4372" s="357">
        <v>0</v>
      </c>
      <c r="B4372" s="357">
        <v>1</v>
      </c>
      <c r="C4372" s="357">
        <v>1</v>
      </c>
      <c r="D4372" s="357">
        <v>0</v>
      </c>
      <c r="E4372" s="357">
        <v>1</v>
      </c>
      <c r="F4372" s="357">
        <v>0</v>
      </c>
      <c r="G4372" s="357">
        <v>0</v>
      </c>
      <c r="H4372" s="357">
        <v>0</v>
      </c>
      <c r="I4372" s="357">
        <v>1</v>
      </c>
      <c r="J4372" s="357">
        <v>2</v>
      </c>
      <c r="K4372" s="357">
        <v>0</v>
      </c>
      <c r="L4372" s="357">
        <v>0</v>
      </c>
      <c r="M4372" s="357">
        <v>3</v>
      </c>
      <c r="N4372" s="357">
        <v>3</v>
      </c>
    </row>
    <row r="4373" spans="1:14" hidden="1" x14ac:dyDescent="0.25">
      <c r="A4373" s="357">
        <v>0</v>
      </c>
      <c r="B4373" s="357">
        <v>0</v>
      </c>
      <c r="C4373" s="357">
        <v>0</v>
      </c>
      <c r="D4373" s="357">
        <v>0</v>
      </c>
      <c r="E4373" s="357">
        <v>1</v>
      </c>
      <c r="F4373" s="357">
        <v>1</v>
      </c>
      <c r="G4373" s="357">
        <v>0</v>
      </c>
      <c r="H4373" s="357">
        <v>0</v>
      </c>
      <c r="I4373" s="357">
        <v>0</v>
      </c>
      <c r="J4373" s="357">
        <v>0</v>
      </c>
      <c r="K4373" s="357">
        <v>0</v>
      </c>
      <c r="L4373" s="357">
        <v>1</v>
      </c>
      <c r="M4373" s="357">
        <v>1</v>
      </c>
      <c r="N4373" s="357">
        <v>2</v>
      </c>
    </row>
    <row r="4374" spans="1:14" hidden="1" x14ac:dyDescent="0.25">
      <c r="A4374" s="357">
        <v>1</v>
      </c>
      <c r="B4374" s="357">
        <v>0</v>
      </c>
      <c r="C4374" s="357">
        <v>1</v>
      </c>
      <c r="D4374" s="357">
        <v>0</v>
      </c>
      <c r="E4374" s="357">
        <v>1</v>
      </c>
      <c r="F4374" s="357">
        <v>0</v>
      </c>
      <c r="G4374" s="357">
        <v>0</v>
      </c>
      <c r="H4374" s="357">
        <v>0</v>
      </c>
      <c r="I4374" s="357">
        <v>0</v>
      </c>
      <c r="J4374" s="357">
        <v>0</v>
      </c>
      <c r="K4374" s="357">
        <v>0</v>
      </c>
      <c r="L4374" s="357">
        <v>1</v>
      </c>
      <c r="M4374" s="357">
        <v>3</v>
      </c>
      <c r="N4374" s="357">
        <v>1</v>
      </c>
    </row>
    <row r="4375" spans="1:14" hidden="1" x14ac:dyDescent="0.25">
      <c r="A4375" s="357">
        <v>0</v>
      </c>
      <c r="B4375" s="357">
        <v>0</v>
      </c>
      <c r="C4375" s="357">
        <v>0</v>
      </c>
      <c r="D4375" s="357">
        <v>0</v>
      </c>
      <c r="E4375" s="357">
        <v>1</v>
      </c>
      <c r="F4375" s="357">
        <v>1</v>
      </c>
      <c r="G4375" s="357">
        <v>0</v>
      </c>
      <c r="H4375" s="357">
        <v>0</v>
      </c>
      <c r="I4375" s="357">
        <v>0</v>
      </c>
      <c r="J4375" s="357">
        <v>0</v>
      </c>
      <c r="K4375" s="357">
        <v>1</v>
      </c>
      <c r="L4375" s="357">
        <v>1</v>
      </c>
      <c r="M4375" s="357">
        <v>2</v>
      </c>
      <c r="N4375" s="357">
        <v>2</v>
      </c>
    </row>
    <row r="4376" spans="1:14" hidden="1" x14ac:dyDescent="0.25">
      <c r="A4376" s="357">
        <v>0</v>
      </c>
      <c r="B4376" s="357">
        <v>0</v>
      </c>
      <c r="C4376" s="357">
        <v>1</v>
      </c>
      <c r="D4376" s="357">
        <v>0</v>
      </c>
      <c r="E4376" s="357">
        <v>0</v>
      </c>
      <c r="F4376" s="357">
        <v>1</v>
      </c>
      <c r="G4376" s="357">
        <v>0</v>
      </c>
      <c r="H4376" s="357">
        <v>0</v>
      </c>
      <c r="I4376" s="357">
        <v>1</v>
      </c>
      <c r="J4376" s="357">
        <v>1</v>
      </c>
      <c r="K4376" s="357">
        <v>0</v>
      </c>
      <c r="L4376" s="357">
        <v>0</v>
      </c>
      <c r="M4376" s="357">
        <v>2</v>
      </c>
      <c r="N4376" s="357">
        <v>2</v>
      </c>
    </row>
    <row r="4377" spans="1:14" hidden="1" x14ac:dyDescent="0.25">
      <c r="A4377" s="357">
        <v>1</v>
      </c>
      <c r="B4377" s="357">
        <v>0</v>
      </c>
      <c r="C4377" s="357">
        <v>0</v>
      </c>
      <c r="D4377" s="357">
        <v>1</v>
      </c>
      <c r="E4377" s="357">
        <v>1</v>
      </c>
      <c r="F4377" s="357">
        <v>1</v>
      </c>
      <c r="G4377" s="357">
        <v>0</v>
      </c>
      <c r="H4377" s="357">
        <v>0</v>
      </c>
      <c r="I4377" s="357">
        <v>0</v>
      </c>
      <c r="J4377" s="357">
        <v>1</v>
      </c>
      <c r="K4377" s="357">
        <v>0</v>
      </c>
      <c r="L4377" s="357">
        <v>0</v>
      </c>
      <c r="M4377" s="357">
        <v>2</v>
      </c>
      <c r="N4377" s="357">
        <v>3</v>
      </c>
    </row>
    <row r="4378" spans="1:14" hidden="1" x14ac:dyDescent="0.25">
      <c r="A4378" s="357">
        <v>1</v>
      </c>
      <c r="B4378" s="357">
        <v>0</v>
      </c>
      <c r="C4378" s="357">
        <v>1</v>
      </c>
      <c r="D4378" s="357">
        <v>1</v>
      </c>
      <c r="E4378" s="357">
        <v>3</v>
      </c>
      <c r="F4378" s="357">
        <v>0</v>
      </c>
      <c r="G4378" s="357">
        <v>0</v>
      </c>
      <c r="H4378" s="357">
        <v>0</v>
      </c>
      <c r="I4378" s="357">
        <v>1</v>
      </c>
      <c r="J4378" s="357">
        <v>1</v>
      </c>
      <c r="K4378" s="357">
        <v>0</v>
      </c>
      <c r="L4378" s="357">
        <v>0</v>
      </c>
      <c r="M4378" s="357">
        <v>6</v>
      </c>
      <c r="N4378" s="357">
        <v>2</v>
      </c>
    </row>
    <row r="4379" spans="1:14" hidden="1" x14ac:dyDescent="0.25">
      <c r="A4379" s="357">
        <v>1</v>
      </c>
      <c r="B4379" s="357">
        <v>0</v>
      </c>
      <c r="C4379" s="357">
        <v>0</v>
      </c>
      <c r="D4379" s="357">
        <v>0</v>
      </c>
      <c r="E4379" s="357">
        <v>0</v>
      </c>
      <c r="F4379" s="357">
        <v>0</v>
      </c>
      <c r="G4379" s="357">
        <v>0</v>
      </c>
      <c r="H4379" s="357">
        <v>0</v>
      </c>
      <c r="I4379" s="357">
        <v>1</v>
      </c>
      <c r="J4379" s="357">
        <v>1</v>
      </c>
      <c r="K4379" s="357">
        <v>0</v>
      </c>
      <c r="L4379" s="357">
        <v>0</v>
      </c>
      <c r="M4379" s="357">
        <v>2</v>
      </c>
      <c r="N4379" s="357">
        <v>1</v>
      </c>
    </row>
    <row r="4380" spans="1:14" hidden="1" x14ac:dyDescent="0.25"/>
  </sheetData>
  <mergeCells count="14">
    <mergeCell ref="M3:N3"/>
    <mergeCell ref="A39:B39"/>
    <mergeCell ref="C39:D39"/>
    <mergeCell ref="E39:F39"/>
    <mergeCell ref="G39:H39"/>
    <mergeCell ref="I39:J39"/>
    <mergeCell ref="K39:L39"/>
    <mergeCell ref="M39:N39"/>
    <mergeCell ref="A3:B3"/>
    <mergeCell ref="C3:D3"/>
    <mergeCell ref="E3:F3"/>
    <mergeCell ref="G3:H3"/>
    <mergeCell ref="I3:J3"/>
    <mergeCell ref="K3:L3"/>
  </mergeCells>
  <conditionalFormatting sqref="B14:C1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{8A2BC38D-92BF-4E57-8A46-CC99139A486B}</x14:id>
        </ext>
      </extLst>
    </cfRule>
  </conditionalFormatting>
  <conditionalFormatting sqref="G14:H1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{1CC61BFE-A20A-4214-94F0-30E6AD707EA7}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A2BC38D-92BF-4E57-8A46-CC99139A486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B14:C19</xm:sqref>
        </x14:conditionalFormatting>
        <x14:conditionalFormatting xmlns:xm="http://schemas.microsoft.com/office/excel/2006/main">
          <x14:cfRule type="dataBar" id="{1CC61BFE-A20A-4214-94F0-30E6AD707EA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G14:H19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AW173"/>
  <sheetViews>
    <sheetView topLeftCell="A125" zoomScale="90" zoomScaleNormal="90" workbookViewId="0">
      <selection activeCell="C66" sqref="C66"/>
    </sheetView>
  </sheetViews>
  <sheetFormatPr defaultColWidth="11.42578125" defaultRowHeight="15" x14ac:dyDescent="0.25"/>
  <cols>
    <col min="1" max="1" width="11.42578125" style="170"/>
    <col min="2" max="2" width="15.28515625" style="170" customWidth="1"/>
    <col min="3" max="3" width="26" style="170" customWidth="1"/>
    <col min="4" max="4" width="10.7109375" style="170" bestFit="1" customWidth="1"/>
    <col min="5" max="5" width="18.42578125" style="170" customWidth="1"/>
    <col min="6" max="6" width="17" style="170" customWidth="1"/>
    <col min="7" max="7" width="15.85546875" style="170" customWidth="1"/>
    <col min="8" max="8" width="11.28515625" style="170" customWidth="1"/>
    <col min="9" max="9" width="12.5703125" style="170" customWidth="1"/>
    <col min="10" max="10" width="11.42578125" style="170" customWidth="1"/>
    <col min="11" max="11" width="20.85546875" style="170" customWidth="1"/>
    <col min="12" max="12" width="22.140625" style="170" customWidth="1"/>
    <col min="13" max="14" width="11.85546875" style="170" customWidth="1"/>
    <col min="15" max="15" width="17" style="170" customWidth="1"/>
    <col min="16" max="16" width="15.85546875" style="170" customWidth="1"/>
    <col min="17" max="17" width="14.28515625" style="170" customWidth="1"/>
    <col min="18" max="19" width="12.5703125" style="170" customWidth="1"/>
    <col min="20" max="20" width="19.85546875" style="170" customWidth="1"/>
    <col min="21" max="21" width="22.140625" style="170" customWidth="1"/>
    <col min="22" max="22" width="12.5703125" style="170" customWidth="1"/>
    <col min="23" max="23" width="8.5703125" style="170" customWidth="1"/>
    <col min="24" max="24" width="25" style="170" bestFit="1" customWidth="1"/>
    <col min="25" max="25" width="14.5703125" style="170" customWidth="1"/>
    <col min="26" max="26" width="14.28515625" style="170" customWidth="1"/>
    <col min="27" max="28" width="11.42578125" style="170" customWidth="1"/>
    <col min="29" max="29" width="17.7109375" style="170" customWidth="1"/>
    <col min="30" max="30" width="19.7109375" style="170" customWidth="1"/>
    <col min="31" max="31" width="12.5703125" style="170" customWidth="1"/>
    <col min="32" max="16384" width="11.42578125" style="170"/>
  </cols>
  <sheetData>
    <row r="1" spans="2:36" ht="15.75" thickBot="1" x14ac:dyDescent="0.3"/>
    <row r="2" spans="2:36" x14ac:dyDescent="0.25">
      <c r="B2" s="171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3"/>
    </row>
    <row r="3" spans="2:36" x14ac:dyDescent="0.25">
      <c r="B3" s="174"/>
      <c r="C3" s="175" t="s">
        <v>1746</v>
      </c>
      <c r="D3" s="176"/>
      <c r="E3" s="176"/>
      <c r="F3" s="175" t="s">
        <v>1908</v>
      </c>
      <c r="G3" s="176"/>
      <c r="H3" s="176"/>
      <c r="I3" s="176"/>
      <c r="J3" s="176"/>
      <c r="K3" s="176"/>
      <c r="L3" s="176"/>
      <c r="M3" s="176"/>
      <c r="N3" s="176"/>
      <c r="O3" s="177" t="s">
        <v>1912</v>
      </c>
      <c r="P3" s="175"/>
      <c r="Q3" s="175"/>
      <c r="R3" s="175"/>
      <c r="S3" s="175"/>
      <c r="T3" s="176"/>
      <c r="U3" s="176"/>
      <c r="V3" s="176"/>
      <c r="W3" s="176"/>
      <c r="X3" s="177"/>
      <c r="Y3" s="176"/>
      <c r="Z3" s="176"/>
      <c r="AA3" s="176"/>
      <c r="AB3" s="176"/>
      <c r="AC3" s="176"/>
      <c r="AD3" s="176"/>
      <c r="AE3" s="176"/>
      <c r="AF3" s="178"/>
    </row>
    <row r="4" spans="2:36" x14ac:dyDescent="0.25">
      <c r="B4" s="174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8"/>
    </row>
    <row r="5" spans="2:36" x14ac:dyDescent="0.25">
      <c r="B5" s="174"/>
      <c r="C5" s="45" t="s">
        <v>1795</v>
      </c>
      <c r="D5" s="45" t="s">
        <v>1907</v>
      </c>
      <c r="E5" s="176"/>
      <c r="F5" s="59" t="s">
        <v>1795</v>
      </c>
      <c r="G5" s="59" t="s">
        <v>2025</v>
      </c>
      <c r="H5" s="59" t="s">
        <v>857</v>
      </c>
      <c r="I5" s="59" t="s">
        <v>1799</v>
      </c>
      <c r="J5" s="59" t="s">
        <v>1909</v>
      </c>
      <c r="K5" s="59" t="s">
        <v>1910</v>
      </c>
      <c r="L5" s="59" t="s">
        <v>715</v>
      </c>
      <c r="M5" s="176"/>
      <c r="N5" s="176"/>
      <c r="O5" s="59" t="s">
        <v>1795</v>
      </c>
      <c r="P5" s="59" t="s">
        <v>2025</v>
      </c>
      <c r="Q5" s="59" t="s">
        <v>857</v>
      </c>
      <c r="R5" s="59" t="s">
        <v>1799</v>
      </c>
      <c r="S5" s="59" t="s">
        <v>1909</v>
      </c>
      <c r="T5" s="59" t="s">
        <v>1910</v>
      </c>
      <c r="U5" s="59" t="s">
        <v>715</v>
      </c>
      <c r="V5" s="176"/>
      <c r="W5" s="176"/>
      <c r="X5" s="176"/>
      <c r="Y5" s="179"/>
      <c r="Z5" s="179"/>
      <c r="AA5" s="179"/>
      <c r="AB5" s="179"/>
      <c r="AC5" s="179"/>
      <c r="AD5" s="176"/>
      <c r="AE5" s="176"/>
      <c r="AF5" s="178"/>
    </row>
    <row r="6" spans="2:36" x14ac:dyDescent="0.25">
      <c r="B6" s="174"/>
      <c r="C6" s="72" t="s">
        <v>24</v>
      </c>
      <c r="D6" s="72">
        <f>COUNTIFS(Dashboard[evaluation_adm2_name],Tableau6366[[#This Row],[Départements]],Dashboard[nouveau],"*",Dashboard[idp_ind],"&gt;"&amp;0)</f>
        <v>37</v>
      </c>
      <c r="E6" s="176"/>
      <c r="F6" s="43" t="s">
        <v>24</v>
      </c>
      <c r="G6" s="61">
        <f>SUMIFS(Dashboard[idp_as_hh],Dashboard[evaluation_adm2_name],Tableau66[[#This Row],[Départements]])</f>
        <v>60</v>
      </c>
      <c r="H6" s="61">
        <f>SUMIFS(Dashboard[idp_loc_hh],Dashboard[evaluation_adm2_name],Tableau66[[#This Row],[Départements]])</f>
        <v>566</v>
      </c>
      <c r="I6" s="61">
        <f>SUMIFS(Dashboard[idp_cc_hh],Dashboard[evaluation_adm2_name],Tableau66[[#This Row],[Départements]])</f>
        <v>0</v>
      </c>
      <c r="J6" s="61">
        <f>SUMIFS(Dashboard[idp_al_hh],Dashboard[evaluation_adm2_name],Tableau66[[#This Row],[Départements]])</f>
        <v>0</v>
      </c>
      <c r="K6" s="61">
        <f>SUMIFS(Dashboard[idp_fa_hh],Dashboard[evaluation_adm2_name],Tableau66[[#This Row],[Départements]])</f>
        <v>309</v>
      </c>
      <c r="L6" s="61">
        <f t="shared" ref="L6:L11" si="0">SUM(G6:K6)</f>
        <v>935</v>
      </c>
      <c r="M6" s="176"/>
      <c r="N6" s="176"/>
      <c r="O6" s="43" t="s">
        <v>24</v>
      </c>
      <c r="P6" s="58">
        <f>Tableau66[[#This Row],[Sites spontanés]]/Tableau66[[#This Row],[Total]]</f>
        <v>6.4171122994652413E-2</v>
      </c>
      <c r="Q6" s="58">
        <f>Tableau66[[#This Row],[Location]]/Tableau66[[#This Row],[Total]]</f>
        <v>0.6053475935828877</v>
      </c>
      <c r="R6" s="58">
        <f>Tableau66[[#This Row],[Collectif]]/Tableau66[[#This Row],[Total]]</f>
        <v>0</v>
      </c>
      <c r="S6" s="58">
        <f>Tableau66[[#This Row],[Air Libre]]/Tableau66[[#This Row],[Total]]</f>
        <v>0</v>
      </c>
      <c r="T6" s="58">
        <f>Tableau66[[#This Row],[Familles d accueil]]/Tableau66[[#This Row],[Total]]</f>
        <v>0.33048128342245991</v>
      </c>
      <c r="U6" s="58">
        <f>SUM(P6:T6)</f>
        <v>1</v>
      </c>
      <c r="V6" s="176"/>
      <c r="W6" s="176"/>
      <c r="X6" s="182"/>
      <c r="Y6" s="182"/>
      <c r="Z6" s="182"/>
      <c r="AA6" s="182"/>
      <c r="AB6" s="182"/>
      <c r="AC6" s="182"/>
      <c r="AD6" s="182"/>
      <c r="AE6" s="176"/>
      <c r="AF6" s="178"/>
    </row>
    <row r="7" spans="2:36" x14ac:dyDescent="0.25">
      <c r="B7" s="174"/>
      <c r="C7" s="72" t="s">
        <v>85</v>
      </c>
      <c r="D7" s="72">
        <f>COUNTIFS(Dashboard[evaluation_adm2_name],Tableau6366[[#This Row],[Départements]],Dashboard[nouveau],"*",Dashboard[idp_ind],"&gt;"&amp;0)</f>
        <v>382</v>
      </c>
      <c r="E7" s="176"/>
      <c r="F7" s="43" t="s">
        <v>85</v>
      </c>
      <c r="G7" s="61">
        <f>SUMIFS(Dashboard[idp_as_hh],Dashboard[evaluation_adm2_name],Tableau66[[#This Row],[Départements]])</f>
        <v>4378</v>
      </c>
      <c r="H7" s="61">
        <f>SUMIFS(Dashboard[idp_loc_hh],Dashboard[evaluation_adm2_name],Tableau66[[#This Row],[Départements]])</f>
        <v>3397</v>
      </c>
      <c r="I7" s="61">
        <f>SUMIFS(Dashboard[idp_cc_hh],Dashboard[evaluation_adm2_name],Tableau66[[#This Row],[Départements]])</f>
        <v>0</v>
      </c>
      <c r="J7" s="61">
        <f>SUMIFS(Dashboard[idp_al_hh],Dashboard[evaluation_adm2_name],Tableau66[[#This Row],[Départements]])</f>
        <v>107</v>
      </c>
      <c r="K7" s="61">
        <f>SUMIFS(Dashboard[idp_fa_hh],Dashboard[evaluation_adm2_name],Tableau66[[#This Row],[Départements]])</f>
        <v>13027</v>
      </c>
      <c r="L7" s="61">
        <f t="shared" si="0"/>
        <v>20909</v>
      </c>
      <c r="M7" s="176"/>
      <c r="N7" s="176"/>
      <c r="O7" s="43" t="s">
        <v>85</v>
      </c>
      <c r="P7" s="58">
        <f>Tableau66[[#This Row],[Sites spontanés]]/Tableau66[[#This Row],[Total]]</f>
        <v>0.20938351905877853</v>
      </c>
      <c r="Q7" s="58">
        <f>Tableau66[[#This Row],[Location]]/Tableau66[[#This Row],[Total]]</f>
        <v>0.16246592376488594</v>
      </c>
      <c r="R7" s="58">
        <f>Tableau66[[#This Row],[Collectif]]/Tableau66[[#This Row],[Total]]</f>
        <v>0</v>
      </c>
      <c r="S7" s="58">
        <f>Tableau66[[#This Row],[Air Libre]]/Tableau66[[#This Row],[Total]]</f>
        <v>5.1174135539719737E-3</v>
      </c>
      <c r="T7" s="58">
        <f>Tableau66[[#This Row],[Familles d accueil]]/Tableau66[[#This Row],[Total]]</f>
        <v>0.62303314362236362</v>
      </c>
      <c r="U7" s="58">
        <f>SUM(P7:T7)</f>
        <v>1</v>
      </c>
      <c r="V7" s="176"/>
      <c r="W7" s="176"/>
      <c r="X7" s="176"/>
      <c r="Y7" s="183"/>
      <c r="Z7" s="183"/>
      <c r="AA7" s="183"/>
      <c r="AB7" s="183"/>
      <c r="AC7" s="183"/>
      <c r="AD7" s="181"/>
      <c r="AE7" s="176"/>
      <c r="AF7" s="178"/>
    </row>
    <row r="8" spans="2:36" x14ac:dyDescent="0.25">
      <c r="B8" s="174"/>
      <c r="C8" s="72" t="s">
        <v>184</v>
      </c>
      <c r="D8" s="72">
        <f>COUNTIFS(Dashboard[evaluation_adm2_name],Tableau6366[[#This Row],[Départements]],Dashboard[nouveau],"*",Dashboard[idp_ind],"&gt;"&amp;0)</f>
        <v>28</v>
      </c>
      <c r="E8" s="176"/>
      <c r="F8" s="43" t="s">
        <v>184</v>
      </c>
      <c r="G8" s="61">
        <f>SUMIFS(Dashboard[idp_as_hh],Dashboard[evaluation_adm2_name],Tableau66[[#This Row],[Départements]])</f>
        <v>754</v>
      </c>
      <c r="H8" s="61">
        <f>SUMIFS(Dashboard[idp_loc_hh],Dashboard[evaluation_adm2_name],Tableau66[[#This Row],[Départements]])</f>
        <v>87</v>
      </c>
      <c r="I8" s="61">
        <f>SUMIFS(Dashboard[idp_cc_hh],Dashboard[evaluation_adm2_name],Tableau66[[#This Row],[Départements]])</f>
        <v>184</v>
      </c>
      <c r="J8" s="61">
        <f>SUMIFS(Dashboard[idp_al_hh],Dashboard[evaluation_adm2_name],Tableau66[[#This Row],[Départements]])</f>
        <v>2</v>
      </c>
      <c r="K8" s="61">
        <f>SUMIFS(Dashboard[idp_fa_hh],Dashboard[evaluation_adm2_name],Tableau66[[#This Row],[Départements]])</f>
        <v>460</v>
      </c>
      <c r="L8" s="61">
        <f t="shared" si="0"/>
        <v>1487</v>
      </c>
      <c r="M8" s="176"/>
      <c r="N8" s="176"/>
      <c r="O8" s="43" t="s">
        <v>184</v>
      </c>
      <c r="P8" s="58">
        <f>Tableau66[[#This Row],[Sites spontanés]]/Tableau66[[#This Row],[Total]]</f>
        <v>0.50706119704102215</v>
      </c>
      <c r="Q8" s="58">
        <f>Tableau66[[#This Row],[Location]]/Tableau66[[#This Row],[Total]]</f>
        <v>5.8507061197041021E-2</v>
      </c>
      <c r="R8" s="58">
        <f>Tableau66[[#This Row],[Collectif]]/Tableau66[[#This Row],[Total]]</f>
        <v>0.12373907195696032</v>
      </c>
      <c r="S8" s="58">
        <f>Tableau66[[#This Row],[Air Libre]]/Tableau66[[#This Row],[Total]]</f>
        <v>1.3449899125756557E-3</v>
      </c>
      <c r="T8" s="58">
        <f>Tableau66[[#This Row],[Familles d accueil]]/Tableau66[[#This Row],[Total]]</f>
        <v>0.30934767989240081</v>
      </c>
      <c r="U8" s="58">
        <f t="shared" ref="U8:U11" si="1">SUM(P8:T8)</f>
        <v>1</v>
      </c>
      <c r="V8" s="176"/>
      <c r="W8" s="176"/>
      <c r="X8" s="176"/>
      <c r="Y8" s="183"/>
      <c r="Z8" s="183"/>
      <c r="AA8" s="183"/>
      <c r="AB8" s="183"/>
      <c r="AC8" s="183"/>
      <c r="AD8" s="181"/>
      <c r="AE8" s="176"/>
      <c r="AF8" s="178"/>
    </row>
    <row r="9" spans="2:36" x14ac:dyDescent="0.25">
      <c r="B9" s="174"/>
      <c r="C9" s="72" t="s">
        <v>218</v>
      </c>
      <c r="D9" s="72">
        <f>COUNTIFS(Dashboard[evaluation_adm2_name],Tableau6366[[#This Row],[Départements]],Dashboard[nouveau],"*",Dashboard[idp_ind],"&gt;"&amp;0)</f>
        <v>5</v>
      </c>
      <c r="E9" s="176"/>
      <c r="F9" s="43" t="s">
        <v>218</v>
      </c>
      <c r="G9" s="61">
        <f>SUMIFS(Dashboard[idp_as_hh],Dashboard[evaluation_adm2_name],Tableau66[[#This Row],[Départements]])</f>
        <v>0</v>
      </c>
      <c r="H9" s="61">
        <f>SUMIFS(Dashboard[idp_loc_hh],Dashboard[evaluation_adm2_name],Tableau66[[#This Row],[Départements]])</f>
        <v>5</v>
      </c>
      <c r="I9" s="61">
        <f>SUMIFS(Dashboard[idp_cc_hh],Dashboard[evaluation_adm2_name],Tableau66[[#This Row],[Départements]])</f>
        <v>0</v>
      </c>
      <c r="J9" s="61">
        <f>SUMIFS(Dashboard[idp_al_hh],Dashboard[evaluation_adm2_name],Tableau66[[#This Row],[Départements]])</f>
        <v>0</v>
      </c>
      <c r="K9" s="61">
        <f>SUMIFS(Dashboard[idp_fa_hh],Dashboard[evaluation_adm2_name],Tableau66[[#This Row],[Départements]])</f>
        <v>14</v>
      </c>
      <c r="L9" s="61">
        <f t="shared" si="0"/>
        <v>19</v>
      </c>
      <c r="M9" s="176"/>
      <c r="N9" s="176"/>
      <c r="O9" s="43" t="s">
        <v>218</v>
      </c>
      <c r="P9" s="58">
        <f>Tableau66[[#This Row],[Sites spontanés]]/Tableau66[[#This Row],[Total]]</f>
        <v>0</v>
      </c>
      <c r="Q9" s="58">
        <f>Tableau66[[#This Row],[Location]]/Tableau66[[#This Row],[Total]]</f>
        <v>0.26315789473684209</v>
      </c>
      <c r="R9" s="58">
        <f>Tableau66[[#This Row],[Collectif]]/Tableau66[[#This Row],[Total]]</f>
        <v>0</v>
      </c>
      <c r="S9" s="58">
        <f>Tableau66[[#This Row],[Air Libre]]/Tableau66[[#This Row],[Total]]</f>
        <v>0</v>
      </c>
      <c r="T9" s="58">
        <f>Tableau66[[#This Row],[Familles d accueil]]/Tableau66[[#This Row],[Total]]</f>
        <v>0.73684210526315785</v>
      </c>
      <c r="U9" s="58">
        <f t="shared" si="1"/>
        <v>1</v>
      </c>
      <c r="V9" s="176"/>
      <c r="W9" s="176"/>
      <c r="X9" s="176"/>
      <c r="Y9" s="183"/>
      <c r="Z9" s="183"/>
      <c r="AA9" s="183"/>
      <c r="AB9" s="183"/>
      <c r="AC9" s="183"/>
      <c r="AD9" s="181"/>
      <c r="AE9" s="176"/>
      <c r="AF9" s="178"/>
    </row>
    <row r="10" spans="2:36" x14ac:dyDescent="0.25">
      <c r="B10" s="174"/>
      <c r="C10" s="73" t="s">
        <v>48</v>
      </c>
      <c r="D10" s="74">
        <f>COUNTIFS(Dashboard[evaluation_adm2_name],Tableau6366[[#This Row],[Départements]],Dashboard[nouveau],"*",Dashboard[idp_ind],"&gt;"&amp;0)</f>
        <v>45</v>
      </c>
      <c r="E10" s="176"/>
      <c r="F10" s="43" t="s">
        <v>48</v>
      </c>
      <c r="G10" s="61">
        <f>SUMIFS(Dashboard[idp_as_hh],Dashboard[evaluation_adm2_name],Tableau66[[#This Row],[Départements]])</f>
        <v>5244</v>
      </c>
      <c r="H10" s="61">
        <f>SUMIFS(Dashboard[idp_loc_hh],Dashboard[evaluation_adm2_name],Tableau66[[#This Row],[Départements]])</f>
        <v>3168</v>
      </c>
      <c r="I10" s="61">
        <f>SUMIFS(Dashboard[idp_cc_hh],Dashboard[evaluation_adm2_name],Tableau66[[#This Row],[Départements]])</f>
        <v>15</v>
      </c>
      <c r="J10" s="61">
        <f>SUMIFS(Dashboard[idp_al_hh],Dashboard[evaluation_adm2_name],Tableau66[[#This Row],[Départements]])</f>
        <v>0</v>
      </c>
      <c r="K10" s="61">
        <f>SUMIFS(Dashboard[idp_fa_hh],Dashboard[evaluation_adm2_name],Tableau66[[#This Row],[Départements]])</f>
        <v>2085</v>
      </c>
      <c r="L10" s="61">
        <f t="shared" si="0"/>
        <v>10512</v>
      </c>
      <c r="M10" s="176"/>
      <c r="N10" s="176"/>
      <c r="O10" s="43" t="s">
        <v>48</v>
      </c>
      <c r="P10" s="58">
        <f>Tableau66[[#This Row],[Sites spontanés]]/Tableau66[[#This Row],[Total]]</f>
        <v>0.49885844748858449</v>
      </c>
      <c r="Q10" s="58">
        <f>Tableau66[[#This Row],[Location]]/Tableau66[[#This Row],[Total]]</f>
        <v>0.30136986301369861</v>
      </c>
      <c r="R10" s="58">
        <f>Tableau66[[#This Row],[Collectif]]/Tableau66[[#This Row],[Total]]</f>
        <v>1.4269406392694063E-3</v>
      </c>
      <c r="S10" s="58">
        <f>Tableau66[[#This Row],[Air Libre]]/Tableau66[[#This Row],[Total]]</f>
        <v>0</v>
      </c>
      <c r="T10" s="58">
        <f>Tableau66[[#This Row],[Familles d accueil]]/Tableau66[[#This Row],[Total]]</f>
        <v>0.19834474885844749</v>
      </c>
      <c r="U10" s="58">
        <f t="shared" si="1"/>
        <v>1</v>
      </c>
      <c r="V10" s="176"/>
      <c r="W10" s="176"/>
      <c r="X10" s="176"/>
      <c r="Y10" s="183"/>
      <c r="Z10" s="183"/>
      <c r="AA10" s="183"/>
      <c r="AB10" s="183"/>
      <c r="AC10" s="183"/>
      <c r="AD10" s="181"/>
      <c r="AE10" s="176"/>
      <c r="AF10" s="178"/>
    </row>
    <row r="11" spans="2:36" x14ac:dyDescent="0.25">
      <c r="B11" s="174"/>
      <c r="C11" s="73" t="s">
        <v>37</v>
      </c>
      <c r="D11" s="74">
        <f>COUNTIFS(Dashboard[evaluation_adm2_name],Tableau6366[[#This Row],[Départements]],Dashboard[nouveau],"*",Dashboard[idp_ind],"&gt;"&amp;0)</f>
        <v>101</v>
      </c>
      <c r="E11" s="176"/>
      <c r="F11" s="43" t="s">
        <v>37</v>
      </c>
      <c r="G11" s="61">
        <f>SUMIFS(Dashboard[idp_as_hh],Dashboard[evaluation_adm2_name],Tableau66[[#This Row],[Départements]])</f>
        <v>121</v>
      </c>
      <c r="H11" s="61">
        <f>SUMIFS(Dashboard[idp_loc_hh],Dashboard[evaluation_adm2_name],Tableau66[[#This Row],[Départements]])</f>
        <v>1094</v>
      </c>
      <c r="I11" s="61">
        <f>SUMIFS(Dashboard[idp_cc_hh],Dashboard[evaluation_adm2_name],Tableau66[[#This Row],[Départements]])</f>
        <v>533</v>
      </c>
      <c r="J11" s="61">
        <f>SUMIFS(Dashboard[idp_al_hh],Dashboard[evaluation_adm2_name],Tableau66[[#This Row],[Départements]])</f>
        <v>256</v>
      </c>
      <c r="K11" s="61">
        <f>SUMIFS(Dashboard[idp_fa_hh],Dashboard[evaluation_adm2_name],Tableau66[[#This Row],[Départements]])</f>
        <v>4641</v>
      </c>
      <c r="L11" s="61">
        <f t="shared" si="0"/>
        <v>6645</v>
      </c>
      <c r="M11" s="176"/>
      <c r="N11" s="176"/>
      <c r="O11" s="43" t="s">
        <v>37</v>
      </c>
      <c r="P11" s="58">
        <f>Tableau66[[#This Row],[Sites spontanés]]/Tableau66[[#This Row],[Total]]</f>
        <v>1.8209179834462002E-2</v>
      </c>
      <c r="Q11" s="58">
        <f>Tableau66[[#This Row],[Location]]/Tableau66[[#This Row],[Total]]</f>
        <v>0.16463506395786306</v>
      </c>
      <c r="R11" s="58">
        <f>Tableau66[[#This Row],[Collectif]]/Tableau66[[#This Row],[Total]]</f>
        <v>8.0210684725357417E-2</v>
      </c>
      <c r="S11" s="58">
        <f>Tableau66[[#This Row],[Air Libre]]/Tableau66[[#This Row],[Total]]</f>
        <v>3.8525206922498119E-2</v>
      </c>
      <c r="T11" s="58">
        <f>Tableau66[[#This Row],[Familles d accueil]]/Tableau66[[#This Row],[Total]]</f>
        <v>0.69841986455981941</v>
      </c>
      <c r="U11" s="58">
        <f t="shared" si="1"/>
        <v>1</v>
      </c>
      <c r="V11" s="176"/>
      <c r="W11" s="176"/>
      <c r="X11" s="176"/>
      <c r="Y11" s="183"/>
      <c r="Z11" s="183"/>
      <c r="AA11" s="183"/>
      <c r="AB11" s="183"/>
      <c r="AC11" s="183"/>
      <c r="AD11" s="181"/>
      <c r="AE11" s="176"/>
      <c r="AF11" s="184"/>
      <c r="AG11" s="185"/>
      <c r="AH11" s="185"/>
      <c r="AI11" s="185"/>
      <c r="AJ11" s="185"/>
    </row>
    <row r="12" spans="2:36" x14ac:dyDescent="0.25">
      <c r="B12" s="174"/>
      <c r="C12" s="45"/>
      <c r="D12" s="70">
        <f>SUM(D6:D11)</f>
        <v>598</v>
      </c>
      <c r="E12" s="176"/>
      <c r="F12" s="43"/>
      <c r="G12" s="61">
        <f>SUM(G6:G11)</f>
        <v>10557</v>
      </c>
      <c r="H12" s="61">
        <f>SUBTOTAL(109,Tableau66[Location])</f>
        <v>8317</v>
      </c>
      <c r="I12" s="61">
        <f>SUBTOTAL(109,Tableau66[Collectif])</f>
        <v>732</v>
      </c>
      <c r="J12" s="61">
        <f>SUBTOTAL(109,Tableau66[Air Libre])</f>
        <v>365</v>
      </c>
      <c r="K12" s="61">
        <f>SUBTOTAL(109,Tableau66[Familles d accueil])</f>
        <v>20536</v>
      </c>
      <c r="L12" s="61">
        <f>SUBTOTAL(109,Tableau66[Total])</f>
        <v>40507</v>
      </c>
      <c r="M12" s="176"/>
      <c r="N12" s="176"/>
      <c r="O12" s="176"/>
      <c r="P12" s="183"/>
      <c r="Q12" s="183"/>
      <c r="R12" s="183"/>
      <c r="S12" s="183"/>
      <c r="T12" s="183"/>
      <c r="U12" s="181"/>
      <c r="V12" s="176"/>
      <c r="W12" s="176"/>
      <c r="X12" s="176"/>
      <c r="Y12" s="183"/>
      <c r="Z12" s="183"/>
      <c r="AA12" s="183"/>
      <c r="AB12" s="183"/>
      <c r="AC12" s="183"/>
      <c r="AD12" s="181"/>
      <c r="AE12" s="176"/>
      <c r="AF12" s="178"/>
    </row>
    <row r="13" spans="2:36" x14ac:dyDescent="0.25">
      <c r="B13" s="174"/>
      <c r="C13" s="114"/>
      <c r="D13" s="187"/>
      <c r="E13" s="176"/>
      <c r="F13" s="176"/>
      <c r="G13" s="57">
        <f t="shared" ref="G13:L13" si="2">G12/$L12</f>
        <v>0.26062162095440294</v>
      </c>
      <c r="H13" s="57">
        <f t="shared" si="2"/>
        <v>0.20532253684548349</v>
      </c>
      <c r="I13" s="57">
        <f t="shared" si="2"/>
        <v>1.8070950699879032E-2</v>
      </c>
      <c r="J13" s="57">
        <f t="shared" si="2"/>
        <v>9.0107882588194629E-3</v>
      </c>
      <c r="K13" s="57">
        <f t="shared" si="2"/>
        <v>0.50697410324141512</v>
      </c>
      <c r="L13" s="57">
        <f t="shared" si="2"/>
        <v>1</v>
      </c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8"/>
    </row>
    <row r="14" spans="2:36" x14ac:dyDescent="0.25">
      <c r="B14" s="174"/>
      <c r="C14" s="114"/>
      <c r="D14" s="187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8"/>
    </row>
    <row r="15" spans="2:36" x14ac:dyDescent="0.25">
      <c r="B15" s="174"/>
      <c r="C15" s="114"/>
      <c r="D15" s="187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8"/>
    </row>
    <row r="16" spans="2:36" x14ac:dyDescent="0.25">
      <c r="B16" s="174"/>
      <c r="C16" s="114"/>
      <c r="D16" s="187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8"/>
    </row>
    <row r="17" spans="2:32" x14ac:dyDescent="0.25">
      <c r="B17" s="174"/>
      <c r="C17" s="114"/>
      <c r="D17" s="187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8"/>
    </row>
    <row r="18" spans="2:32" x14ac:dyDescent="0.25">
      <c r="B18" s="174"/>
      <c r="C18" s="114"/>
      <c r="D18" s="187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8"/>
    </row>
    <row r="19" spans="2:32" x14ac:dyDescent="0.25">
      <c r="B19" s="174"/>
      <c r="C19" s="114"/>
      <c r="D19" s="187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8"/>
    </row>
    <row r="20" spans="2:32" x14ac:dyDescent="0.25">
      <c r="B20" s="174"/>
      <c r="C20" s="114"/>
      <c r="D20" s="187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8"/>
    </row>
    <row r="21" spans="2:32" x14ac:dyDescent="0.25">
      <c r="B21" s="174"/>
      <c r="C21" s="114"/>
      <c r="D21" s="187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8"/>
    </row>
    <row r="22" spans="2:32" x14ac:dyDescent="0.25">
      <c r="B22" s="174"/>
      <c r="C22" s="188"/>
      <c r="D22" s="186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8"/>
    </row>
    <row r="23" spans="2:32" x14ac:dyDescent="0.25">
      <c r="B23" s="174"/>
      <c r="C23" s="176"/>
      <c r="D23" s="176"/>
      <c r="E23" s="176"/>
      <c r="F23" s="176"/>
      <c r="G23" s="180"/>
      <c r="H23" s="180"/>
      <c r="I23" s="180"/>
      <c r="J23" s="180"/>
      <c r="K23" s="180"/>
      <c r="L23" s="180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8"/>
    </row>
    <row r="24" spans="2:32" x14ac:dyDescent="0.25">
      <c r="B24" s="174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8"/>
    </row>
    <row r="25" spans="2:32" x14ac:dyDescent="0.25">
      <c r="B25" s="174"/>
      <c r="C25" s="189"/>
      <c r="D25" s="189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8"/>
    </row>
    <row r="26" spans="2:32" x14ac:dyDescent="0.25">
      <c r="B26" s="174"/>
      <c r="C26" s="189"/>
      <c r="D26" s="190"/>
      <c r="E26" s="176"/>
      <c r="F26" s="175" t="s">
        <v>1741</v>
      </c>
      <c r="G26" s="176"/>
      <c r="H26" s="176"/>
      <c r="I26" s="176"/>
      <c r="J26" s="176"/>
      <c r="K26" s="176"/>
      <c r="L26" s="176"/>
      <c r="M26" s="176"/>
      <c r="N26" s="176"/>
      <c r="O26" s="175" t="s">
        <v>1911</v>
      </c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8"/>
    </row>
    <row r="27" spans="2:32" x14ac:dyDescent="0.25">
      <c r="B27" s="174"/>
      <c r="C27" s="189"/>
      <c r="D27" s="190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8"/>
    </row>
    <row r="28" spans="2:32" x14ac:dyDescent="0.25">
      <c r="B28" s="174"/>
      <c r="C28" s="120"/>
      <c r="D28" s="120"/>
      <c r="E28" s="176"/>
      <c r="F28" s="59" t="s">
        <v>719</v>
      </c>
      <c r="G28" s="59" t="s">
        <v>2019</v>
      </c>
      <c r="H28" s="59" t="s">
        <v>756</v>
      </c>
      <c r="I28" s="59" t="s">
        <v>1743</v>
      </c>
      <c r="J28" s="59" t="s">
        <v>1744</v>
      </c>
      <c r="K28" s="59" t="s">
        <v>755</v>
      </c>
      <c r="L28" s="59" t="s">
        <v>715</v>
      </c>
      <c r="M28" s="176"/>
      <c r="N28" s="176"/>
      <c r="O28" s="59" t="s">
        <v>719</v>
      </c>
      <c r="P28" s="59" t="s">
        <v>2019</v>
      </c>
      <c r="Q28" s="59" t="s">
        <v>756</v>
      </c>
      <c r="R28" s="59" t="s">
        <v>1743</v>
      </c>
      <c r="S28" s="59" t="s">
        <v>1744</v>
      </c>
      <c r="T28" s="59" t="s">
        <v>755</v>
      </c>
      <c r="U28" s="59" t="s">
        <v>715</v>
      </c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8"/>
    </row>
    <row r="29" spans="2:32" x14ac:dyDescent="0.25">
      <c r="B29" s="174"/>
      <c r="C29" s="120"/>
      <c r="D29" s="120"/>
      <c r="E29" s="176"/>
      <c r="F29" s="43" t="s">
        <v>24</v>
      </c>
      <c r="G29" s="61">
        <f>SUMIFS(Dashboard[idp_as_hh],Dashboard[evaluation_adm2_name],Tableau67[[#This Row],[Departments]])</f>
        <v>60</v>
      </c>
      <c r="H29" s="61">
        <f>SUMIFS(Dashboard[idp_loc_hh],Dashboard[evaluation_adm2_name],Tableau67[[#This Row],[Departments]])</f>
        <v>566</v>
      </c>
      <c r="I29" s="61">
        <f>SUMIFS(Dashboard[idp_cc_hh],Dashboard[evaluation_adm2_name],Tableau67[[#This Row],[Departments]])</f>
        <v>0</v>
      </c>
      <c r="J29" s="61">
        <f>SUMIFS(Dashboard[idp_al_hh],Dashboard[evaluation_adm2_name],Tableau67[[#This Row],[Departments]])</f>
        <v>0</v>
      </c>
      <c r="K29" s="61">
        <f>SUMIFS(Dashboard[idp_fa_hh],Dashboard[evaluation_adm2_name],Tableau67[[#This Row],[Departments]])</f>
        <v>309</v>
      </c>
      <c r="L29" s="61">
        <f>SUM(Tableau67[[#This Row],[Spontaneous sites]:[Host Families]])</f>
        <v>935</v>
      </c>
      <c r="M29" s="176"/>
      <c r="N29" s="176"/>
      <c r="O29" s="43" t="s">
        <v>24</v>
      </c>
      <c r="P29" s="58">
        <f>Tableau67[[#This Row],[Spontaneous sites]]/Tableau67[[#This Row],[Total]]</f>
        <v>6.4171122994652413E-2</v>
      </c>
      <c r="Q29" s="58">
        <f>Tableau67[[#This Row],[Rental]]/Tableau67[[#This Row],[Total]]</f>
        <v>0.6053475935828877</v>
      </c>
      <c r="R29" s="58">
        <f>Tableau67[[#This Row],[Collective]]/Tableau67[[#This Row],[Total]]</f>
        <v>0</v>
      </c>
      <c r="S29" s="58">
        <f>Tableau67[[#This Row],[Open air]]/Tableau67[[#This Row],[Total]]</f>
        <v>0</v>
      </c>
      <c r="T29" s="58">
        <f>Tableau67[[#This Row],[Host Families]]/Tableau67[[#This Row],[Total]]</f>
        <v>0.33048128342245991</v>
      </c>
      <c r="U29" s="58">
        <f>SUM(Tableau6769[[#This Row],[Spontaneous sites]:[Host Families]])</f>
        <v>1</v>
      </c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8"/>
    </row>
    <row r="30" spans="2:32" x14ac:dyDescent="0.25">
      <c r="B30" s="174"/>
      <c r="C30" s="188"/>
      <c r="D30" s="186"/>
      <c r="E30" s="176"/>
      <c r="F30" s="43" t="s">
        <v>85</v>
      </c>
      <c r="G30" s="61">
        <f>SUMIFS(Dashboard[idp_as_hh],Dashboard[evaluation_adm2_name],Tableau67[[#This Row],[Departments]])</f>
        <v>4378</v>
      </c>
      <c r="H30" s="61">
        <f>SUMIFS(Dashboard[idp_loc_hh],Dashboard[evaluation_adm2_name],Tableau67[[#This Row],[Departments]])</f>
        <v>3397</v>
      </c>
      <c r="I30" s="61">
        <f>SUMIFS(Dashboard[idp_cc_hh],Dashboard[evaluation_adm2_name],Tableau67[[#This Row],[Departments]])</f>
        <v>0</v>
      </c>
      <c r="J30" s="61">
        <f>SUMIFS(Dashboard[idp_al_hh],Dashboard[evaluation_adm2_name],Tableau67[[#This Row],[Departments]])</f>
        <v>107</v>
      </c>
      <c r="K30" s="61">
        <f>SUMIFS(Dashboard[idp_fa_hh],Dashboard[evaluation_adm2_name],Tableau67[[#This Row],[Departments]])</f>
        <v>13027</v>
      </c>
      <c r="L30" s="61">
        <f>SUM(Tableau67[[#This Row],[Spontaneous sites]:[Host Families]])</f>
        <v>20909</v>
      </c>
      <c r="M30" s="176"/>
      <c r="N30" s="176"/>
      <c r="O30" s="43" t="s">
        <v>85</v>
      </c>
      <c r="P30" s="58">
        <f>Tableau67[[#This Row],[Spontaneous sites]]/Tableau67[[#This Row],[Total]]</f>
        <v>0.20938351905877853</v>
      </c>
      <c r="Q30" s="58">
        <f>Tableau67[[#This Row],[Rental]]/Tableau67[[#This Row],[Total]]</f>
        <v>0.16246592376488594</v>
      </c>
      <c r="R30" s="58">
        <f>Tableau67[[#This Row],[Collective]]/Tableau67[[#This Row],[Total]]</f>
        <v>0</v>
      </c>
      <c r="S30" s="58">
        <f>Tableau67[[#This Row],[Open air]]/Tableau67[[#This Row],[Total]]</f>
        <v>5.1174135539719737E-3</v>
      </c>
      <c r="T30" s="58">
        <f>Tableau67[[#This Row],[Host Families]]/Tableau67[[#This Row],[Total]]</f>
        <v>0.62303314362236362</v>
      </c>
      <c r="U30" s="58">
        <f>SUM(Tableau6769[[#This Row],[Spontaneous sites]:[Host Families]])</f>
        <v>1</v>
      </c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8"/>
    </row>
    <row r="31" spans="2:32" x14ac:dyDescent="0.25">
      <c r="B31" s="174"/>
      <c r="C31" s="188"/>
      <c r="D31" s="186"/>
      <c r="E31" s="176"/>
      <c r="F31" s="43" t="s">
        <v>184</v>
      </c>
      <c r="G31" s="61">
        <f>SUMIFS(Dashboard[idp_as_hh],Dashboard[evaluation_adm2_name],Tableau67[[#This Row],[Departments]])</f>
        <v>754</v>
      </c>
      <c r="H31" s="61">
        <f>SUMIFS(Dashboard[idp_loc_hh],Dashboard[evaluation_adm2_name],Tableau67[[#This Row],[Departments]])</f>
        <v>87</v>
      </c>
      <c r="I31" s="61">
        <f>SUMIFS(Dashboard[idp_cc_hh],Dashboard[evaluation_adm2_name],Tableau67[[#This Row],[Departments]])</f>
        <v>184</v>
      </c>
      <c r="J31" s="61">
        <f>SUMIFS(Dashboard[idp_al_hh],Dashboard[evaluation_adm2_name],Tableau67[[#This Row],[Departments]])</f>
        <v>2</v>
      </c>
      <c r="K31" s="61">
        <f>SUMIFS(Dashboard[idp_fa_hh],Dashboard[evaluation_adm2_name],Tableau67[[#This Row],[Departments]])</f>
        <v>460</v>
      </c>
      <c r="L31" s="61">
        <f>SUM(Tableau67[[#This Row],[Spontaneous sites]:[Host Families]])</f>
        <v>1487</v>
      </c>
      <c r="M31" s="176"/>
      <c r="N31" s="176"/>
      <c r="O31" s="43" t="s">
        <v>184</v>
      </c>
      <c r="P31" s="58">
        <f>Tableau67[[#This Row],[Spontaneous sites]]/Tableau67[[#This Row],[Total]]</f>
        <v>0.50706119704102215</v>
      </c>
      <c r="Q31" s="58">
        <f>Tableau67[[#This Row],[Rental]]/Tableau67[[#This Row],[Total]]</f>
        <v>5.8507061197041021E-2</v>
      </c>
      <c r="R31" s="58">
        <f>Tableau67[[#This Row],[Collective]]/Tableau67[[#This Row],[Total]]</f>
        <v>0.12373907195696032</v>
      </c>
      <c r="S31" s="58">
        <f>Tableau67[[#This Row],[Open air]]/Tableau67[[#This Row],[Total]]</f>
        <v>1.3449899125756557E-3</v>
      </c>
      <c r="T31" s="58">
        <f>Tableau67[[#This Row],[Host Families]]/Tableau67[[#This Row],[Total]]</f>
        <v>0.30934767989240081</v>
      </c>
      <c r="U31" s="58">
        <f>SUM(Tableau6769[[#This Row],[Spontaneous sites]:[Host Families]])</f>
        <v>1</v>
      </c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8"/>
    </row>
    <row r="32" spans="2:32" x14ac:dyDescent="0.25">
      <c r="B32" s="174"/>
      <c r="C32" s="188"/>
      <c r="D32" s="186"/>
      <c r="E32" s="176"/>
      <c r="F32" s="43" t="s">
        <v>218</v>
      </c>
      <c r="G32" s="61">
        <f>SUMIFS(Dashboard[idp_as_hh],Dashboard[evaluation_adm2_name],Tableau67[[#This Row],[Departments]])</f>
        <v>0</v>
      </c>
      <c r="H32" s="61">
        <f>SUMIFS(Dashboard[idp_loc_hh],Dashboard[evaluation_adm2_name],Tableau67[[#This Row],[Departments]])</f>
        <v>5</v>
      </c>
      <c r="I32" s="61">
        <f>SUMIFS(Dashboard[idp_cc_hh],Dashboard[evaluation_adm2_name],Tableau67[[#This Row],[Departments]])</f>
        <v>0</v>
      </c>
      <c r="J32" s="61">
        <f>SUMIFS(Dashboard[idp_al_hh],Dashboard[evaluation_adm2_name],Tableau67[[#This Row],[Departments]])</f>
        <v>0</v>
      </c>
      <c r="K32" s="61">
        <f>SUMIFS(Dashboard[idp_fa_hh],Dashboard[evaluation_adm2_name],Tableau67[[#This Row],[Departments]])</f>
        <v>14</v>
      </c>
      <c r="L32" s="61">
        <f>SUM(Tableau67[[#This Row],[Spontaneous sites]:[Host Families]])</f>
        <v>19</v>
      </c>
      <c r="M32" s="176"/>
      <c r="N32" s="176"/>
      <c r="O32" s="43" t="s">
        <v>218</v>
      </c>
      <c r="P32" s="58">
        <f>Tableau67[[#This Row],[Spontaneous sites]]/Tableau67[[#This Row],[Total]]</f>
        <v>0</v>
      </c>
      <c r="Q32" s="58">
        <f>Tableau67[[#This Row],[Rental]]/Tableau67[[#This Row],[Total]]</f>
        <v>0.26315789473684209</v>
      </c>
      <c r="R32" s="58">
        <f>Tableau67[[#This Row],[Collective]]/Tableau67[[#This Row],[Total]]</f>
        <v>0</v>
      </c>
      <c r="S32" s="58">
        <f>Tableau67[[#This Row],[Open air]]/Tableau67[[#This Row],[Total]]</f>
        <v>0</v>
      </c>
      <c r="T32" s="58">
        <f>Tableau67[[#This Row],[Host Families]]/Tableau67[[#This Row],[Total]]</f>
        <v>0.73684210526315785</v>
      </c>
      <c r="U32" s="58">
        <f>SUM(Tableau6769[[#This Row],[Spontaneous sites]:[Host Families]])</f>
        <v>1</v>
      </c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8"/>
    </row>
    <row r="33" spans="2:32" x14ac:dyDescent="0.25">
      <c r="B33" s="174"/>
      <c r="C33" s="188"/>
      <c r="D33" s="186"/>
      <c r="E33" s="176"/>
      <c r="F33" s="43" t="s">
        <v>48</v>
      </c>
      <c r="G33" s="61">
        <f>SUMIFS(Dashboard[idp_as_hh],Dashboard[evaluation_adm2_name],Tableau67[[#This Row],[Departments]])</f>
        <v>5244</v>
      </c>
      <c r="H33" s="61">
        <f>SUMIFS(Dashboard[idp_loc_hh],Dashboard[evaluation_adm2_name],Tableau67[[#This Row],[Departments]])</f>
        <v>3168</v>
      </c>
      <c r="I33" s="61">
        <f>SUMIFS(Dashboard[idp_cc_hh],Dashboard[evaluation_adm2_name],Tableau67[[#This Row],[Departments]])</f>
        <v>15</v>
      </c>
      <c r="J33" s="61">
        <f>SUMIFS(Dashboard[idp_al_hh],Dashboard[evaluation_adm2_name],Tableau67[[#This Row],[Departments]])</f>
        <v>0</v>
      </c>
      <c r="K33" s="61">
        <f>SUMIFS(Dashboard[idp_fa_hh],Dashboard[evaluation_adm2_name],Tableau67[[#This Row],[Departments]])</f>
        <v>2085</v>
      </c>
      <c r="L33" s="61">
        <f>SUM(Tableau67[[#This Row],[Spontaneous sites]:[Host Families]])</f>
        <v>10512</v>
      </c>
      <c r="M33" s="176"/>
      <c r="N33" s="176"/>
      <c r="O33" s="43" t="s">
        <v>48</v>
      </c>
      <c r="P33" s="58">
        <f>Tableau67[[#This Row],[Spontaneous sites]]/Tableau67[[#This Row],[Total]]</f>
        <v>0.49885844748858449</v>
      </c>
      <c r="Q33" s="58">
        <f>Tableau67[[#This Row],[Rental]]/Tableau67[[#This Row],[Total]]</f>
        <v>0.30136986301369861</v>
      </c>
      <c r="R33" s="58">
        <f>Tableau67[[#This Row],[Collective]]/Tableau67[[#This Row],[Total]]</f>
        <v>1.4269406392694063E-3</v>
      </c>
      <c r="S33" s="58">
        <f>Tableau67[[#This Row],[Open air]]/Tableau67[[#This Row],[Total]]</f>
        <v>0</v>
      </c>
      <c r="T33" s="58">
        <f>Tableau67[[#This Row],[Host Families]]/Tableau67[[#This Row],[Total]]</f>
        <v>0.19834474885844749</v>
      </c>
      <c r="U33" s="58">
        <f>SUM(Tableau6769[[#This Row],[Spontaneous sites]:[Host Families]])</f>
        <v>1</v>
      </c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8"/>
    </row>
    <row r="34" spans="2:32" x14ac:dyDescent="0.25">
      <c r="B34" s="174"/>
      <c r="C34" s="188"/>
      <c r="D34" s="186"/>
      <c r="E34" s="176"/>
      <c r="F34" s="43" t="s">
        <v>37</v>
      </c>
      <c r="G34" s="61">
        <f>SUMIFS(Dashboard[idp_as_hh],Dashboard[evaluation_adm2_name],Tableau67[[#This Row],[Departments]])</f>
        <v>121</v>
      </c>
      <c r="H34" s="61">
        <f>SUMIFS(Dashboard[idp_loc_hh],Dashboard[evaluation_adm2_name],Tableau67[[#This Row],[Departments]])</f>
        <v>1094</v>
      </c>
      <c r="I34" s="61">
        <f>SUMIFS(Dashboard[idp_cc_hh],Dashboard[evaluation_adm2_name],Tableau67[[#This Row],[Departments]])</f>
        <v>533</v>
      </c>
      <c r="J34" s="61">
        <f>SUMIFS(Dashboard[idp_al_hh],Dashboard[evaluation_adm2_name],Tableau67[[#This Row],[Departments]])</f>
        <v>256</v>
      </c>
      <c r="K34" s="61">
        <f>SUMIFS(Dashboard[idp_fa_hh],Dashboard[evaluation_adm2_name],Tableau67[[#This Row],[Departments]])</f>
        <v>4641</v>
      </c>
      <c r="L34" s="61">
        <f>SUM(Tableau67[[#This Row],[Spontaneous sites]:[Host Families]])</f>
        <v>6645</v>
      </c>
      <c r="M34" s="176"/>
      <c r="N34" s="176"/>
      <c r="O34" s="43" t="s">
        <v>37</v>
      </c>
      <c r="P34" s="58">
        <f>Tableau67[[#This Row],[Spontaneous sites]]/Tableau67[[#This Row],[Total]]</f>
        <v>1.8209179834462002E-2</v>
      </c>
      <c r="Q34" s="58">
        <f>Tableau67[[#This Row],[Rental]]/Tableau67[[#This Row],[Total]]</f>
        <v>0.16463506395786306</v>
      </c>
      <c r="R34" s="58">
        <f>Tableau67[[#This Row],[Collective]]/Tableau67[[#This Row],[Total]]</f>
        <v>8.0210684725357417E-2</v>
      </c>
      <c r="S34" s="58">
        <f>Tableau67[[#This Row],[Open air]]/Tableau67[[#This Row],[Total]]</f>
        <v>3.8525206922498119E-2</v>
      </c>
      <c r="T34" s="58">
        <f>Tableau67[[#This Row],[Host Families]]/Tableau67[[#This Row],[Total]]</f>
        <v>0.69841986455981941</v>
      </c>
      <c r="U34" s="58">
        <f>SUM(Tableau6769[[#This Row],[Spontaneous sites]:[Host Families]])</f>
        <v>1</v>
      </c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8"/>
    </row>
    <row r="35" spans="2:32" x14ac:dyDescent="0.25">
      <c r="B35" s="174"/>
      <c r="C35" s="188"/>
      <c r="D35" s="186"/>
      <c r="E35" s="176"/>
      <c r="F35" s="43"/>
      <c r="G35" s="61">
        <f>SUM(G29:G34)</f>
        <v>10557</v>
      </c>
      <c r="H35" s="61">
        <f>SUBTOTAL(109,Tableau67[Rental])</f>
        <v>8317</v>
      </c>
      <c r="I35" s="61">
        <f>SUBTOTAL(109,Tableau67[Collective])</f>
        <v>732</v>
      </c>
      <c r="J35" s="61">
        <f>SUBTOTAL(109,Tableau67[Open air])</f>
        <v>365</v>
      </c>
      <c r="K35" s="61">
        <f>SUBTOTAL(109,Tableau67[Host Families])</f>
        <v>20536</v>
      </c>
      <c r="L35" s="61">
        <f>SUBTOTAL(109,Tableau67[Total])</f>
        <v>40507</v>
      </c>
      <c r="M35" s="176"/>
      <c r="N35" s="176"/>
      <c r="O35" s="43"/>
      <c r="P35" s="71"/>
      <c r="Q35" s="71"/>
      <c r="R35" s="71"/>
      <c r="S35" s="71"/>
      <c r="T35" s="71"/>
      <c r="U35" s="71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8"/>
    </row>
    <row r="36" spans="2:32" x14ac:dyDescent="0.25">
      <c r="B36" s="174"/>
      <c r="C36" s="188"/>
      <c r="D36" s="186"/>
      <c r="E36" s="176"/>
      <c r="F36" s="176"/>
      <c r="G36" s="183"/>
      <c r="H36" s="183"/>
      <c r="I36" s="183"/>
      <c r="J36" s="183"/>
      <c r="K36" s="183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8"/>
    </row>
    <row r="37" spans="2:32" x14ac:dyDescent="0.25">
      <c r="B37" s="174"/>
      <c r="C37" s="188"/>
      <c r="D37" s="186"/>
      <c r="E37" s="176"/>
      <c r="F37" s="176"/>
      <c r="G37" s="183"/>
      <c r="H37" s="183"/>
      <c r="I37" s="183"/>
      <c r="J37" s="183"/>
      <c r="K37" s="183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8"/>
    </row>
    <row r="38" spans="2:32" x14ac:dyDescent="0.25">
      <c r="B38" s="174"/>
      <c r="C38" s="188"/>
      <c r="D38" s="186"/>
      <c r="E38" s="176"/>
      <c r="F38" s="176"/>
      <c r="G38" s="183"/>
      <c r="H38" s="183"/>
      <c r="I38" s="183"/>
      <c r="J38" s="183"/>
      <c r="K38" s="183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8"/>
    </row>
    <row r="39" spans="2:32" x14ac:dyDescent="0.25">
      <c r="B39" s="174"/>
      <c r="C39" s="188"/>
      <c r="D39" s="186"/>
      <c r="E39" s="176"/>
      <c r="F39" s="176"/>
      <c r="G39" s="183"/>
      <c r="H39" s="183"/>
      <c r="I39" s="183"/>
      <c r="J39" s="183"/>
      <c r="K39" s="183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8"/>
    </row>
    <row r="40" spans="2:32" x14ac:dyDescent="0.25">
      <c r="B40" s="174"/>
      <c r="C40" s="188"/>
      <c r="D40" s="186"/>
      <c r="E40" s="176"/>
      <c r="F40" s="176"/>
      <c r="G40" s="183"/>
      <c r="H40" s="183"/>
      <c r="I40" s="183"/>
      <c r="J40" s="183"/>
      <c r="K40" s="183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8"/>
    </row>
    <row r="41" spans="2:32" x14ac:dyDescent="0.25">
      <c r="B41" s="174"/>
      <c r="C41" s="188"/>
      <c r="D41" s="186"/>
      <c r="E41" s="176"/>
      <c r="F41" s="176"/>
      <c r="G41" s="183"/>
      <c r="H41" s="183"/>
      <c r="I41" s="183"/>
      <c r="J41" s="183"/>
      <c r="K41" s="183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8"/>
    </row>
    <row r="42" spans="2:32" x14ac:dyDescent="0.25">
      <c r="B42" s="174"/>
      <c r="C42" s="188"/>
      <c r="D42" s="186"/>
      <c r="E42" s="176"/>
      <c r="F42" s="176"/>
      <c r="G42" s="183"/>
      <c r="H42" s="183"/>
      <c r="I42" s="183"/>
      <c r="J42" s="183"/>
      <c r="K42" s="183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8"/>
    </row>
    <row r="43" spans="2:32" x14ac:dyDescent="0.25">
      <c r="B43" s="174"/>
      <c r="C43" s="188"/>
      <c r="D43" s="186"/>
      <c r="E43" s="176"/>
      <c r="F43" s="176"/>
      <c r="G43" s="183"/>
      <c r="H43" s="183"/>
      <c r="I43" s="183"/>
      <c r="J43" s="183"/>
      <c r="K43" s="183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8"/>
    </row>
    <row r="44" spans="2:32" ht="15.75" thickBot="1" x14ac:dyDescent="0.3">
      <c r="B44" s="191"/>
      <c r="C44" s="192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3"/>
    </row>
    <row r="45" spans="2:32" ht="15.75" thickBot="1" x14ac:dyDescent="0.3"/>
    <row r="46" spans="2:32" x14ac:dyDescent="0.25"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3"/>
    </row>
    <row r="47" spans="2:32" x14ac:dyDescent="0.25">
      <c r="B47" s="174"/>
      <c r="C47" s="175" t="s">
        <v>1748</v>
      </c>
      <c r="D47" s="176"/>
      <c r="E47" s="176"/>
      <c r="F47" s="175" t="s">
        <v>1913</v>
      </c>
      <c r="G47" s="176"/>
      <c r="H47" s="176"/>
      <c r="I47" s="176"/>
      <c r="J47" s="176"/>
      <c r="K47" s="176"/>
      <c r="L47" s="176"/>
      <c r="M47" s="176"/>
      <c r="N47" s="176"/>
      <c r="O47" s="175" t="s">
        <v>1914</v>
      </c>
      <c r="P47" s="175"/>
      <c r="Q47" s="175"/>
      <c r="R47" s="175"/>
      <c r="S47" s="175"/>
      <c r="T47" s="176"/>
      <c r="U47" s="176"/>
      <c r="V47" s="176"/>
      <c r="W47" s="176"/>
      <c r="X47" s="177"/>
      <c r="Y47" s="176"/>
      <c r="Z47" s="176"/>
      <c r="AA47" s="176"/>
      <c r="AB47" s="176"/>
      <c r="AC47" s="176"/>
      <c r="AD47" s="176"/>
      <c r="AE47" s="176"/>
      <c r="AF47" s="178"/>
    </row>
    <row r="48" spans="2:32" x14ac:dyDescent="0.25">
      <c r="B48" s="174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AF48" s="178"/>
    </row>
    <row r="49" spans="2:49" x14ac:dyDescent="0.25">
      <c r="B49" s="174"/>
      <c r="C49" s="45" t="s">
        <v>1795</v>
      </c>
      <c r="D49" s="45" t="s">
        <v>1907</v>
      </c>
      <c r="E49" s="176"/>
      <c r="F49" s="205" t="s">
        <v>1795</v>
      </c>
      <c r="G49" s="205" t="s">
        <v>1798</v>
      </c>
      <c r="H49" s="205" t="s">
        <v>857</v>
      </c>
      <c r="I49" s="59" t="s">
        <v>1799</v>
      </c>
      <c r="J49" s="59" t="s">
        <v>1909</v>
      </c>
      <c r="K49" s="59" t="s">
        <v>1910</v>
      </c>
      <c r="L49" s="59" t="s">
        <v>715</v>
      </c>
      <c r="M49" s="176"/>
      <c r="N49" s="176"/>
      <c r="O49" s="205" t="s">
        <v>1795</v>
      </c>
      <c r="P49" s="205" t="s">
        <v>1798</v>
      </c>
      <c r="Q49" s="205" t="s">
        <v>857</v>
      </c>
      <c r="R49" s="59" t="s">
        <v>1799</v>
      </c>
      <c r="S49" s="59" t="s">
        <v>1909</v>
      </c>
      <c r="T49" s="59" t="s">
        <v>1910</v>
      </c>
      <c r="U49" s="75" t="s">
        <v>715</v>
      </c>
      <c r="X49" s="182"/>
      <c r="Y49" s="182"/>
      <c r="Z49" s="182"/>
      <c r="AA49" s="182"/>
      <c r="AB49" s="182"/>
      <c r="AC49" s="182"/>
      <c r="AD49" s="182"/>
      <c r="AF49" s="178"/>
    </row>
    <row r="50" spans="2:49" x14ac:dyDescent="0.25">
      <c r="B50" s="174"/>
      <c r="C50" s="72" t="s">
        <v>24</v>
      </c>
      <c r="D50" s="72">
        <f>COUNTIFS(Dashboard[evaluation_adm2_name],Tableau6365[[#This Row],[Départements]],Dashboard[nouveau],"*", Dashboard[ref_ind], "&gt;"&amp;0)</f>
        <v>5</v>
      </c>
      <c r="E50" s="176"/>
      <c r="F50" s="205" t="s">
        <v>24</v>
      </c>
      <c r="G50" s="206">
        <f>SUMIFS(Dashboard[ref_as_hh],Dashboard[evaluation_adm2_name],Tableau70[[#This Row],[Départements]])</f>
        <v>24</v>
      </c>
      <c r="H50" s="206">
        <f>SUMIFS(Dashboard[ref_loc_hh],Dashboard[evaluation_adm2_name],Tableau70[[#This Row],[Départements]])</f>
        <v>0</v>
      </c>
      <c r="I50" s="61">
        <f>SUMIFS(Dashboard[ref_cc_hh],Dashboard[evaluation_adm2_name],Tableau70[[#This Row],[Départements]])</f>
        <v>0</v>
      </c>
      <c r="J50" s="61">
        <f>SUMIFS(Dashboard[ref_al_hh],Dashboard[evaluation_adm2_name],Tableau70[[#This Row],[Départements]])</f>
        <v>0</v>
      </c>
      <c r="K50" s="61">
        <f>SUMIFS(Dashboard[ref_fa_hh],Dashboard[evaluation_adm2_name],Tableau70[[#This Row],[Départements]])</f>
        <v>6</v>
      </c>
      <c r="L50" s="61">
        <f>SUM(Tableau70[[#This Row],[Spontané]:[Familles d accueil]])</f>
        <v>30</v>
      </c>
      <c r="M50" s="176"/>
      <c r="N50" s="176"/>
      <c r="O50" s="205" t="s">
        <v>24</v>
      </c>
      <c r="P50" s="207">
        <f>Tableau70[[#This Row],[Spontané]]/Tableau70[[#This Row],[Total]]</f>
        <v>0.8</v>
      </c>
      <c r="Q50" s="207">
        <f>Tableau70[[#This Row],[Location]]/Tableau70[[#This Row],[Total]]</f>
        <v>0</v>
      </c>
      <c r="R50" s="58">
        <f>Tableau70[[#This Row],[Collectif]]/Tableau70[[#This Row],[Total]]</f>
        <v>0</v>
      </c>
      <c r="S50" s="58">
        <f>Tableau70[[#This Row],[Air Libre]]/Tableau70[[#This Row],[Total]]</f>
        <v>0</v>
      </c>
      <c r="T50" s="58">
        <f>Tableau70[[#This Row],[Familles d accueil]]/Tableau70[[#This Row],[Total]]</f>
        <v>0.2</v>
      </c>
      <c r="U50" s="84">
        <f>SUM(Tableau71[[#This Row],[Spontané]:[Familles d accueil]])</f>
        <v>1</v>
      </c>
      <c r="X50" s="176"/>
      <c r="Y50" s="183"/>
      <c r="Z50" s="183"/>
      <c r="AA50" s="183"/>
      <c r="AB50" s="183"/>
      <c r="AC50" s="183"/>
      <c r="AD50" s="183"/>
      <c r="AF50" s="178"/>
    </row>
    <row r="51" spans="2:49" x14ac:dyDescent="0.25">
      <c r="B51" s="174"/>
      <c r="C51" s="72" t="s">
        <v>85</v>
      </c>
      <c r="D51" s="72">
        <f>COUNTIFS(Dashboard[evaluation_adm2_name],Tableau6365[[#This Row],[Départements]],Dashboard[nouveau],"*", Dashboard[ref_ind], "&gt;"&amp;0)</f>
        <v>148</v>
      </c>
      <c r="E51" s="176"/>
      <c r="F51" s="205" t="s">
        <v>85</v>
      </c>
      <c r="G51" s="206">
        <f>SUMIFS(Dashboard[ref_as_hh],Dashboard[evaluation_adm2_name],Tableau70[[#This Row],[Départements]])</f>
        <v>1822</v>
      </c>
      <c r="H51" s="206">
        <f>SUMIFS(Dashboard[ref_loc_hh],Dashboard[evaluation_adm2_name],Tableau70[[#This Row],[Départements]])</f>
        <v>110</v>
      </c>
      <c r="I51" s="61">
        <f>SUMIFS(Dashboard[ref_cc_hh],Dashboard[evaluation_adm2_name],Tableau70[[#This Row],[Départements]])</f>
        <v>0</v>
      </c>
      <c r="J51" s="61">
        <f>SUMIFS(Dashboard[ref_al_hh],Dashboard[evaluation_adm2_name],Tableau70[[#This Row],[Départements]])</f>
        <v>0</v>
      </c>
      <c r="K51" s="61">
        <f>SUMIFS(Dashboard[ref_fa_hh],Dashboard[evaluation_adm2_name],Tableau70[[#This Row],[Départements]])</f>
        <v>2214</v>
      </c>
      <c r="L51" s="61">
        <f>SUM(Tableau70[[#This Row],[Spontané]:[Familles d accueil]])</f>
        <v>4146</v>
      </c>
      <c r="M51" s="176"/>
      <c r="N51" s="176"/>
      <c r="O51" s="205" t="s">
        <v>85</v>
      </c>
      <c r="P51" s="207">
        <f>Tableau70[[#This Row],[Spontané]]/Tableau70[[#This Row],[Total]]</f>
        <v>0.43945972021225277</v>
      </c>
      <c r="Q51" s="207">
        <f>Tableau70[[#This Row],[Location]]/Tableau70[[#This Row],[Total]]</f>
        <v>2.653159671972986E-2</v>
      </c>
      <c r="R51" s="58">
        <f>Tableau70[[#This Row],[Collectif]]/Tableau70[[#This Row],[Total]]</f>
        <v>0</v>
      </c>
      <c r="S51" s="58">
        <f>Tableau70[[#This Row],[Air Libre]]/Tableau70[[#This Row],[Total]]</f>
        <v>0</v>
      </c>
      <c r="T51" s="58">
        <f>Tableau70[[#This Row],[Familles d accueil]]/Tableau70[[#This Row],[Total]]</f>
        <v>0.53400868306801741</v>
      </c>
      <c r="U51" s="84">
        <f>SUM(Tableau71[[#This Row],[Spontané]:[Familles d accueil]])</f>
        <v>1</v>
      </c>
      <c r="X51" s="176"/>
      <c r="Y51" s="183"/>
      <c r="Z51" s="183"/>
      <c r="AA51" s="183"/>
      <c r="AB51" s="183"/>
      <c r="AC51" s="183"/>
      <c r="AD51" s="183"/>
      <c r="AF51" s="178"/>
    </row>
    <row r="52" spans="2:49" x14ac:dyDescent="0.25">
      <c r="B52" s="174"/>
      <c r="C52" s="72" t="s">
        <v>184</v>
      </c>
      <c r="D52" s="72">
        <f>COUNTIFS(Dashboard[evaluation_adm2_name],Tableau6365[[#This Row],[Départements]],Dashboard[nouveau],"*", Dashboard[ref_ind], "&gt;"&amp;0)</f>
        <v>1</v>
      </c>
      <c r="E52" s="176"/>
      <c r="F52" s="205" t="s">
        <v>184</v>
      </c>
      <c r="G52" s="206">
        <f>SUMIFS(Dashboard[ref_as_hh],Dashboard[evaluation_adm2_name],Tableau70[[#This Row],[Départements]])</f>
        <v>0</v>
      </c>
      <c r="H52" s="206">
        <f>SUMIFS(Dashboard[ref_loc_hh],Dashboard[evaluation_adm2_name],Tableau70[[#This Row],[Départements]])</f>
        <v>15</v>
      </c>
      <c r="I52" s="61">
        <f>SUMIFS(Dashboard[ref_cc_hh],Dashboard[evaluation_adm2_name],Tableau70[[#This Row],[Départements]])</f>
        <v>0</v>
      </c>
      <c r="J52" s="61">
        <f>SUMIFS(Dashboard[ref_al_hh],Dashboard[evaluation_adm2_name],Tableau70[[#This Row],[Départements]])</f>
        <v>0</v>
      </c>
      <c r="K52" s="61">
        <f>SUMIFS(Dashboard[ref_fa_hh],Dashboard[evaluation_adm2_name],Tableau70[[#This Row],[Départements]])</f>
        <v>10</v>
      </c>
      <c r="L52" s="61">
        <f>SUM(Tableau70[[#This Row],[Spontané]:[Familles d accueil]])</f>
        <v>25</v>
      </c>
      <c r="M52" s="176"/>
      <c r="N52" s="176"/>
      <c r="O52" s="205" t="s">
        <v>184</v>
      </c>
      <c r="P52" s="207">
        <f>Tableau70[[#This Row],[Spontané]]/Tableau70[[#This Row],[Total]]</f>
        <v>0</v>
      </c>
      <c r="Q52" s="207">
        <f>Tableau70[[#This Row],[Location]]/Tableau70[[#This Row],[Total]]</f>
        <v>0.6</v>
      </c>
      <c r="R52" s="58">
        <f>Tableau70[[#This Row],[Collectif]]/Tableau70[[#This Row],[Total]]</f>
        <v>0</v>
      </c>
      <c r="S52" s="58">
        <f>Tableau70[[#This Row],[Air Libre]]/Tableau70[[#This Row],[Total]]</f>
        <v>0</v>
      </c>
      <c r="T52" s="58">
        <f>Tableau70[[#This Row],[Familles d accueil]]/Tableau70[[#This Row],[Total]]</f>
        <v>0.4</v>
      </c>
      <c r="U52" s="84">
        <f>SUM(Tableau71[[#This Row],[Spontané]:[Familles d accueil]])</f>
        <v>1</v>
      </c>
      <c r="X52" s="176"/>
      <c r="Y52" s="183"/>
      <c r="Z52" s="183"/>
      <c r="AA52" s="183"/>
      <c r="AB52" s="183"/>
      <c r="AC52" s="183"/>
      <c r="AD52" s="183"/>
      <c r="AF52" s="178"/>
    </row>
    <row r="53" spans="2:49" x14ac:dyDescent="0.25">
      <c r="B53" s="174"/>
      <c r="C53" s="72" t="s">
        <v>218</v>
      </c>
      <c r="D53" s="72">
        <f>COUNTIFS(Dashboard[evaluation_adm2_name],Tableau6365[[#This Row],[Départements]],Dashboard[nouveau],"*", Dashboard[ref_ind], "&gt;"&amp;0)</f>
        <v>2</v>
      </c>
      <c r="E53" s="176"/>
      <c r="F53" s="59" t="s">
        <v>218</v>
      </c>
      <c r="G53" s="61">
        <f>SUMIFS(Dashboard[ref_as_hh],Dashboard[evaluation_adm2_name],Tableau70[[#This Row],[Départements]])</f>
        <v>0</v>
      </c>
      <c r="H53" s="61">
        <f>SUMIFS(Dashboard[ref_loc_hh],Dashboard[evaluation_adm2_name],Tableau70[[#This Row],[Départements]])</f>
        <v>1</v>
      </c>
      <c r="I53" s="61">
        <f>SUMIFS(Dashboard[ref_cc_hh],Dashboard[evaluation_adm2_name],Tableau70[[#This Row],[Départements]])</f>
        <v>0</v>
      </c>
      <c r="J53" s="61">
        <f>SUMIFS(Dashboard[ref_al_hh],Dashboard[evaluation_adm2_name],Tableau70[[#This Row],[Départements]])</f>
        <v>0</v>
      </c>
      <c r="K53" s="61">
        <f>SUMIFS(Dashboard[ref_fa_hh],Dashboard[evaluation_adm2_name],Tableau70[[#This Row],[Départements]])</f>
        <v>2</v>
      </c>
      <c r="L53" s="61">
        <f>SUM(Tableau70[[#This Row],[Spontané]:[Familles d accueil]])</f>
        <v>3</v>
      </c>
      <c r="M53" s="176"/>
      <c r="N53" s="176"/>
      <c r="O53" s="59" t="s">
        <v>218</v>
      </c>
      <c r="P53" s="58">
        <f>Tableau70[[#This Row],[Spontané]]/Tableau70[[#This Row],[Total]]</f>
        <v>0</v>
      </c>
      <c r="Q53" s="58">
        <f>Tableau70[[#This Row],[Location]]/Tableau70[[#This Row],[Total]]</f>
        <v>0.33333333333333331</v>
      </c>
      <c r="R53" s="58">
        <f>Tableau70[[#This Row],[Collectif]]/Tableau70[[#This Row],[Total]]</f>
        <v>0</v>
      </c>
      <c r="S53" s="58">
        <f>Tableau70[[#This Row],[Air Libre]]/Tableau70[[#This Row],[Total]]</f>
        <v>0</v>
      </c>
      <c r="T53" s="58">
        <f>Tableau70[[#This Row],[Familles d accueil]]/Tableau70[[#This Row],[Total]]</f>
        <v>0.66666666666666663</v>
      </c>
      <c r="U53" s="84">
        <f>SUM(Tableau71[[#This Row],[Spontané]:[Familles d accueil]])</f>
        <v>1</v>
      </c>
      <c r="X53" s="176"/>
      <c r="Y53" s="183"/>
      <c r="Z53" s="183"/>
      <c r="AA53" s="183"/>
      <c r="AB53" s="183"/>
      <c r="AC53" s="183"/>
      <c r="AD53" s="183"/>
      <c r="AF53" s="178"/>
      <c r="AR53" s="194"/>
      <c r="AS53" s="194"/>
      <c r="AT53" s="194"/>
      <c r="AU53" s="194"/>
      <c r="AV53" s="194"/>
      <c r="AW53" s="194"/>
    </row>
    <row r="54" spans="2:49" x14ac:dyDescent="0.25">
      <c r="B54" s="174"/>
      <c r="C54" s="73" t="s">
        <v>48</v>
      </c>
      <c r="D54" s="74">
        <f>COUNTIFS(Dashboard[evaluation_adm2_name],Tableau6365[[#This Row],[Départements]],Dashboard[nouveau],"*", Dashboard[ref_ind], "&gt;"&amp;0)</f>
        <v>0</v>
      </c>
      <c r="E54" s="176"/>
      <c r="F54" s="59" t="s">
        <v>48</v>
      </c>
      <c r="G54" s="61">
        <f>SUMIFS(Dashboard[ref_as_hh],Dashboard[evaluation_adm2_name],Tableau70[[#This Row],[Départements]])</f>
        <v>0</v>
      </c>
      <c r="H54" s="61">
        <f>SUMIFS(Dashboard[ref_loc_hh],Dashboard[evaluation_adm2_name],Tableau70[[#This Row],[Départements]])</f>
        <v>0</v>
      </c>
      <c r="I54" s="61">
        <f>SUMIFS(Dashboard[ref_cc_hh],Dashboard[evaluation_adm2_name],Tableau70[[#This Row],[Départements]])</f>
        <v>0</v>
      </c>
      <c r="J54" s="61">
        <f>SUMIFS(Dashboard[ref_al_hh],Dashboard[evaluation_adm2_name],Tableau70[[#This Row],[Départements]])</f>
        <v>0</v>
      </c>
      <c r="K54" s="61">
        <f>SUMIFS(Dashboard[ref_fa_hh],Dashboard[evaluation_adm2_name],Tableau70[[#This Row],[Départements]])</f>
        <v>0</v>
      </c>
      <c r="L54" s="61">
        <f>SUM(Tableau70[[#This Row],[Spontané]:[Familles d accueil]])</f>
        <v>0</v>
      </c>
      <c r="M54" s="176"/>
      <c r="N54" s="176"/>
      <c r="O54" s="59" t="s">
        <v>48</v>
      </c>
      <c r="P54" s="58" t="e">
        <f>Tableau70[[#This Row],[Spontané]]/Tableau70[[#This Row],[Total]]</f>
        <v>#DIV/0!</v>
      </c>
      <c r="Q54" s="58" t="e">
        <f>Tableau70[[#This Row],[Location]]/Tableau70[[#This Row],[Total]]</f>
        <v>#DIV/0!</v>
      </c>
      <c r="R54" s="58" t="e">
        <f>Tableau70[[#This Row],[Collectif]]/Tableau70[[#This Row],[Total]]</f>
        <v>#DIV/0!</v>
      </c>
      <c r="S54" s="58" t="e">
        <f>Tableau70[[#This Row],[Air Libre]]/Tableau70[[#This Row],[Total]]</f>
        <v>#DIV/0!</v>
      </c>
      <c r="T54" s="58" t="e">
        <f>Tableau70[[#This Row],[Familles d accueil]]/Tableau70[[#This Row],[Total]]</f>
        <v>#DIV/0!</v>
      </c>
      <c r="U54" s="84" t="e">
        <f>SUM(Tableau71[[#This Row],[Spontané]:[Familles d accueil]])</f>
        <v>#DIV/0!</v>
      </c>
      <c r="X54" s="176"/>
      <c r="Y54" s="183"/>
      <c r="Z54" s="183"/>
      <c r="AA54" s="183"/>
      <c r="AB54" s="183"/>
      <c r="AC54" s="183"/>
      <c r="AD54" s="183"/>
      <c r="AF54" s="178"/>
      <c r="AR54" s="194"/>
      <c r="AS54" s="194"/>
      <c r="AT54" s="194"/>
      <c r="AU54" s="194"/>
      <c r="AV54" s="194"/>
    </row>
    <row r="55" spans="2:49" x14ac:dyDescent="0.25">
      <c r="B55" s="174"/>
      <c r="C55" s="73" t="s">
        <v>37</v>
      </c>
      <c r="D55" s="74">
        <f>COUNTIFS(Dashboard[evaluation_adm2_name],Tableau6365[[#This Row],[Départements]],Dashboard[nouveau],"*", Dashboard[ref_ind], "&gt;"&amp;0)</f>
        <v>31</v>
      </c>
      <c r="E55" s="176"/>
      <c r="F55" s="59" t="s">
        <v>37</v>
      </c>
      <c r="G55" s="61">
        <f>SUMIFS(Dashboard[ref_as_hh],Dashboard[evaluation_adm2_name],Tableau70[[#This Row],[Départements]])</f>
        <v>0</v>
      </c>
      <c r="H55" s="61">
        <f>SUMIFS(Dashboard[ref_loc_hh],Dashboard[evaluation_adm2_name],Tableau70[[#This Row],[Départements]])</f>
        <v>37</v>
      </c>
      <c r="I55" s="61">
        <f>SUMIFS(Dashboard[ref_cc_hh],Dashboard[evaluation_adm2_name],Tableau70[[#This Row],[Départements]])</f>
        <v>476</v>
      </c>
      <c r="J55" s="61">
        <f>SUMIFS(Dashboard[ref_al_hh],Dashboard[evaluation_adm2_name],Tableau70[[#This Row],[Départements]])</f>
        <v>0</v>
      </c>
      <c r="K55" s="61">
        <f>SUMIFS(Dashboard[ref_fa_hh],Dashboard[evaluation_adm2_name],Tableau70[[#This Row],[Départements]])</f>
        <v>409</v>
      </c>
      <c r="L55" s="61">
        <f>SUM(Tableau70[[#This Row],[Spontané]:[Familles d accueil]])</f>
        <v>922</v>
      </c>
      <c r="M55" s="176"/>
      <c r="N55" s="176"/>
      <c r="O55" s="59" t="s">
        <v>37</v>
      </c>
      <c r="P55" s="58">
        <f>Tableau70[[#This Row],[Spontané]]/Tableau70[[#This Row],[Total]]</f>
        <v>0</v>
      </c>
      <c r="Q55" s="58">
        <f>Tableau70[[#This Row],[Location]]/Tableau70[[#This Row],[Total]]</f>
        <v>4.0130151843817789E-2</v>
      </c>
      <c r="R55" s="58">
        <f>Tableau70[[#This Row],[Collectif]]/Tableau70[[#This Row],[Total]]</f>
        <v>0.51626898047722347</v>
      </c>
      <c r="S55" s="58">
        <f>Tableau70[[#This Row],[Air Libre]]/Tableau70[[#This Row],[Total]]</f>
        <v>0</v>
      </c>
      <c r="T55" s="58">
        <f>Tableau70[[#This Row],[Familles d accueil]]/Tableau70[[#This Row],[Total]]</f>
        <v>0.44360086767895879</v>
      </c>
      <c r="U55" s="84">
        <f>SUM(Tableau71[[#This Row],[Spontané]:[Familles d accueil]])</f>
        <v>1</v>
      </c>
      <c r="X55" s="176"/>
      <c r="Y55" s="183"/>
      <c r="Z55" s="183"/>
      <c r="AA55" s="183"/>
      <c r="AB55" s="183"/>
      <c r="AC55" s="183"/>
      <c r="AD55" s="183"/>
      <c r="AF55" s="178"/>
      <c r="AR55" s="194"/>
      <c r="AS55" s="194"/>
      <c r="AT55" s="194"/>
      <c r="AU55" s="194"/>
      <c r="AV55" s="194"/>
    </row>
    <row r="56" spans="2:49" x14ac:dyDescent="0.25">
      <c r="B56" s="174"/>
      <c r="C56" s="45"/>
      <c r="D56" s="70">
        <f>SUM(D50:D55)</f>
        <v>187</v>
      </c>
      <c r="E56" s="176"/>
      <c r="F56" s="59"/>
      <c r="G56" s="61">
        <f>SUBTOTAL(109,Tableau70[Spontané])</f>
        <v>1846</v>
      </c>
      <c r="H56" s="61">
        <f>SUBTOTAL(109,Tableau70[Location])</f>
        <v>163</v>
      </c>
      <c r="I56" s="61">
        <f>SUBTOTAL(109,Tableau70[Collectif])</f>
        <v>476</v>
      </c>
      <c r="J56" s="61">
        <f>SUBTOTAL(109,Tableau70[Air Libre])</f>
        <v>0</v>
      </c>
      <c r="K56" s="61">
        <f>SUBTOTAL(109,Tableau70[Familles d accueil])</f>
        <v>2641</v>
      </c>
      <c r="L56" s="61">
        <f>SUBTOTAL(109,Tableau70[Total])</f>
        <v>5126</v>
      </c>
      <c r="M56" s="176"/>
      <c r="N56" s="176"/>
      <c r="O56" s="176"/>
      <c r="P56" s="176"/>
      <c r="Q56" s="176"/>
      <c r="R56" s="176"/>
      <c r="S56" s="176"/>
      <c r="T56" s="176"/>
      <c r="U56" s="195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8"/>
      <c r="AR56" s="194"/>
      <c r="AS56" s="194"/>
      <c r="AT56" s="194"/>
      <c r="AU56" s="194"/>
      <c r="AV56" s="194"/>
    </row>
    <row r="57" spans="2:49" x14ac:dyDescent="0.25">
      <c r="B57" s="174"/>
      <c r="C57" s="114"/>
      <c r="D57" s="187"/>
      <c r="E57" s="176"/>
      <c r="G57" s="185"/>
      <c r="H57" s="185"/>
      <c r="I57" s="183"/>
      <c r="J57" s="183"/>
      <c r="K57" s="183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8"/>
      <c r="AR57" s="194"/>
      <c r="AS57" s="194"/>
      <c r="AT57" s="194"/>
      <c r="AU57" s="194"/>
      <c r="AV57" s="194"/>
    </row>
    <row r="58" spans="2:49" x14ac:dyDescent="0.25">
      <c r="B58" s="174"/>
      <c r="C58" s="114"/>
      <c r="D58" s="187"/>
      <c r="E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8"/>
      <c r="AR58" s="194"/>
      <c r="AS58" s="194"/>
      <c r="AT58" s="194"/>
      <c r="AU58" s="194"/>
      <c r="AV58" s="194"/>
    </row>
    <row r="59" spans="2:49" x14ac:dyDescent="0.25">
      <c r="B59" s="174"/>
      <c r="C59" s="114"/>
      <c r="D59" s="187"/>
      <c r="E59" s="176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8"/>
      <c r="AR59" s="194"/>
      <c r="AS59" s="194"/>
      <c r="AT59" s="194"/>
      <c r="AU59" s="194"/>
      <c r="AV59" s="194"/>
    </row>
    <row r="60" spans="2:49" x14ac:dyDescent="0.25">
      <c r="B60" s="174"/>
      <c r="C60" s="114"/>
      <c r="D60" s="187"/>
      <c r="E60" s="17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8"/>
      <c r="AR60" s="194"/>
      <c r="AS60" s="194"/>
      <c r="AT60" s="194"/>
      <c r="AU60" s="194"/>
      <c r="AV60" s="194"/>
    </row>
    <row r="61" spans="2:49" x14ac:dyDescent="0.25">
      <c r="B61" s="174"/>
      <c r="C61" s="114"/>
      <c r="D61" s="187"/>
      <c r="E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8"/>
      <c r="AR61" s="194"/>
      <c r="AS61" s="194"/>
      <c r="AT61" s="194"/>
      <c r="AU61" s="194"/>
      <c r="AV61" s="194"/>
    </row>
    <row r="62" spans="2:49" x14ac:dyDescent="0.25">
      <c r="B62" s="174"/>
      <c r="C62" s="114"/>
      <c r="D62" s="187"/>
      <c r="E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8"/>
      <c r="AR62" s="194"/>
      <c r="AS62" s="194"/>
      <c r="AT62" s="194"/>
      <c r="AU62" s="194"/>
      <c r="AV62" s="194"/>
    </row>
    <row r="63" spans="2:49" x14ac:dyDescent="0.25">
      <c r="B63" s="174"/>
      <c r="C63" s="114"/>
      <c r="D63" s="187"/>
      <c r="E63" s="17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8"/>
    </row>
    <row r="64" spans="2:49" x14ac:dyDescent="0.25">
      <c r="B64" s="174"/>
      <c r="C64" s="188"/>
      <c r="D64" s="186"/>
      <c r="E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8"/>
    </row>
    <row r="65" spans="2:48" x14ac:dyDescent="0.25">
      <c r="B65" s="174"/>
      <c r="C65" s="176"/>
      <c r="D65" s="176"/>
      <c r="E65" s="176"/>
      <c r="F65" s="175" t="s">
        <v>1749</v>
      </c>
      <c r="I65" s="176"/>
      <c r="J65" s="176"/>
      <c r="K65" s="176"/>
      <c r="L65" s="176"/>
      <c r="M65" s="176"/>
      <c r="N65" s="176"/>
      <c r="O65" s="175" t="s">
        <v>1750</v>
      </c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8"/>
    </row>
    <row r="66" spans="2:48" x14ac:dyDescent="0.25">
      <c r="B66" s="174"/>
      <c r="C66" s="176"/>
      <c r="D66" s="176"/>
      <c r="E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8"/>
      <c r="AR66" s="185"/>
      <c r="AS66" s="185"/>
      <c r="AT66" s="185"/>
      <c r="AU66" s="185"/>
      <c r="AV66" s="185"/>
    </row>
    <row r="67" spans="2:48" x14ac:dyDescent="0.25">
      <c r="B67" s="174"/>
      <c r="C67" s="189"/>
      <c r="D67" s="190"/>
      <c r="E67" s="176"/>
      <c r="F67" s="205" t="s">
        <v>719</v>
      </c>
      <c r="G67" s="205" t="s">
        <v>2019</v>
      </c>
      <c r="H67" s="205" t="s">
        <v>756</v>
      </c>
      <c r="I67" s="59" t="s">
        <v>1743</v>
      </c>
      <c r="J67" s="59" t="s">
        <v>1744</v>
      </c>
      <c r="K67" s="59" t="s">
        <v>755</v>
      </c>
      <c r="L67" s="59" t="s">
        <v>715</v>
      </c>
      <c r="M67" s="176"/>
      <c r="N67" s="176"/>
      <c r="O67" s="205" t="s">
        <v>719</v>
      </c>
      <c r="P67" s="205" t="s">
        <v>2019</v>
      </c>
      <c r="Q67" s="205" t="s">
        <v>756</v>
      </c>
      <c r="R67" s="59" t="s">
        <v>1743</v>
      </c>
      <c r="S67" s="59" t="s">
        <v>1744</v>
      </c>
      <c r="T67" s="59" t="s">
        <v>755</v>
      </c>
      <c r="U67" s="59" t="s">
        <v>715</v>
      </c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8"/>
      <c r="AR67" s="185"/>
      <c r="AS67" s="185"/>
      <c r="AT67" s="185"/>
      <c r="AU67" s="185"/>
      <c r="AV67" s="185"/>
    </row>
    <row r="68" spans="2:48" x14ac:dyDescent="0.25">
      <c r="B68" s="174"/>
      <c r="C68" s="189"/>
      <c r="D68" s="189"/>
      <c r="E68" s="176"/>
      <c r="F68" s="205" t="s">
        <v>24</v>
      </c>
      <c r="G68" s="206">
        <f>SUMIFS(Dashboard[ref_as_hh],Dashboard[evaluation_adm2_name],Tableau72[[#This Row],[Departments]])</f>
        <v>24</v>
      </c>
      <c r="H68" s="206">
        <f>SUMIFS(Dashboard[ref_loc_hh],Dashboard[evaluation_adm2_name],Tableau72[[#This Row],[Departments]])</f>
        <v>0</v>
      </c>
      <c r="I68" s="61">
        <f>SUMIFS(Dashboard[ref_cc_hh],Dashboard[evaluation_adm2_name],Tableau72[[#This Row],[Departments]])</f>
        <v>0</v>
      </c>
      <c r="J68" s="61">
        <f>SUMIFS(Dashboard[ref_al_hh],Dashboard[evaluation_adm2_name],Tableau72[[#This Row],[Departments]])</f>
        <v>0</v>
      </c>
      <c r="K68" s="61">
        <f>SUMIFS(Dashboard[ref_fa_hh],Dashboard[evaluation_adm2_name],Tableau72[[#This Row],[Departments]])</f>
        <v>6</v>
      </c>
      <c r="L68" s="61">
        <f>SUM(Tableau72[[#This Row],[Spontaneous sites]:[Host Families]])</f>
        <v>30</v>
      </c>
      <c r="M68" s="176"/>
      <c r="N68" s="176"/>
      <c r="O68" s="205" t="s">
        <v>24</v>
      </c>
      <c r="P68" s="207">
        <f>Tableau72[[#This Row],[Spontaneous sites]]/Tableau72[[#This Row],[Total]]</f>
        <v>0.8</v>
      </c>
      <c r="Q68" s="207">
        <f>Tableau72[[#This Row],[Rental]]/Tableau72[[#This Row],[Total]]</f>
        <v>0</v>
      </c>
      <c r="R68" s="58">
        <f>Tableau72[[#This Row],[Collective]]/Tableau72[[#This Row],[Total]]</f>
        <v>0</v>
      </c>
      <c r="S68" s="58">
        <f>Tableau72[[#This Row],[Open air]]/Tableau72[[#This Row],[Total]]</f>
        <v>0</v>
      </c>
      <c r="T68" s="58">
        <f>Tableau72[[#This Row],[Host Families]]/Tableau72[[#This Row],[Total]]</f>
        <v>0.2</v>
      </c>
      <c r="U68" s="58">
        <f>SUM(Tableau73[[#This Row],[Spontaneous sites]:[Host Families]])</f>
        <v>1</v>
      </c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8"/>
      <c r="AR68" s="185"/>
      <c r="AS68" s="185"/>
      <c r="AT68" s="185"/>
      <c r="AU68" s="185"/>
      <c r="AV68" s="185"/>
    </row>
    <row r="69" spans="2:48" x14ac:dyDescent="0.25">
      <c r="B69" s="174"/>
      <c r="C69" s="189"/>
      <c r="D69" s="190"/>
      <c r="E69" s="176"/>
      <c r="F69" s="205" t="s">
        <v>85</v>
      </c>
      <c r="G69" s="206">
        <f>SUMIFS(Dashboard[ref_as_hh],Dashboard[evaluation_adm2_name],Tableau72[[#This Row],[Departments]])</f>
        <v>1822</v>
      </c>
      <c r="H69" s="206">
        <f>SUMIFS(Dashboard[ref_loc_hh],Dashboard[evaluation_adm2_name],Tableau72[[#This Row],[Departments]])</f>
        <v>110</v>
      </c>
      <c r="I69" s="61">
        <f>SUMIFS(Dashboard[ref_cc_hh],Dashboard[evaluation_adm2_name],Tableau72[[#This Row],[Departments]])</f>
        <v>0</v>
      </c>
      <c r="J69" s="61">
        <f>SUMIFS(Dashboard[ref_al_hh],Dashboard[evaluation_adm2_name],Tableau72[[#This Row],[Departments]])</f>
        <v>0</v>
      </c>
      <c r="K69" s="61">
        <f>SUMIFS(Dashboard[ref_fa_hh],Dashboard[evaluation_adm2_name],Tableau72[[#This Row],[Departments]])</f>
        <v>2214</v>
      </c>
      <c r="L69" s="61">
        <f>SUM(Tableau72[[#This Row],[Spontaneous sites]:[Host Families]])</f>
        <v>4146</v>
      </c>
      <c r="M69" s="176"/>
      <c r="N69" s="176"/>
      <c r="O69" s="205" t="s">
        <v>85</v>
      </c>
      <c r="P69" s="207">
        <f>Tableau72[[#This Row],[Spontaneous sites]]/Tableau72[[#This Row],[Total]]</f>
        <v>0.43945972021225277</v>
      </c>
      <c r="Q69" s="207">
        <f>Tableau72[[#This Row],[Rental]]/Tableau72[[#This Row],[Total]]</f>
        <v>2.653159671972986E-2</v>
      </c>
      <c r="R69" s="58">
        <f>Tableau72[[#This Row],[Collective]]/Tableau72[[#This Row],[Total]]</f>
        <v>0</v>
      </c>
      <c r="S69" s="58">
        <f>Tableau72[[#This Row],[Open air]]/Tableau72[[#This Row],[Total]]</f>
        <v>0</v>
      </c>
      <c r="T69" s="58">
        <f>Tableau72[[#This Row],[Host Families]]/Tableau72[[#This Row],[Total]]</f>
        <v>0.53400868306801741</v>
      </c>
      <c r="U69" s="58">
        <f>SUM(Tableau73[[#This Row],[Spontaneous sites]:[Host Families]])</f>
        <v>1</v>
      </c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8"/>
      <c r="AR69" s="185"/>
      <c r="AS69" s="185"/>
      <c r="AT69" s="185"/>
      <c r="AU69" s="185"/>
      <c r="AV69" s="185"/>
    </row>
    <row r="70" spans="2:48" ht="15.75" thickBot="1" x14ac:dyDescent="0.3">
      <c r="B70" s="174"/>
      <c r="C70" s="176"/>
      <c r="D70" s="176"/>
      <c r="E70" s="176"/>
      <c r="F70" s="205" t="s">
        <v>184</v>
      </c>
      <c r="G70" s="206">
        <f>SUMIFS(Dashboard[ref_as_hh],Dashboard[evaluation_adm2_name],Tableau72[[#This Row],[Departments]])</f>
        <v>0</v>
      </c>
      <c r="H70" s="206">
        <f>SUMIFS(Dashboard[ref_loc_hh],Dashboard[evaluation_adm2_name],Tableau72[[#This Row],[Departments]])</f>
        <v>15</v>
      </c>
      <c r="I70" s="61">
        <f>SUMIFS(Dashboard[ref_cc_hh],Dashboard[evaluation_adm2_name],Tableau72[[#This Row],[Departments]])</f>
        <v>0</v>
      </c>
      <c r="J70" s="61">
        <f>SUMIFS(Dashboard[ref_al_hh],Dashboard[evaluation_adm2_name],Tableau72[[#This Row],[Departments]])</f>
        <v>0</v>
      </c>
      <c r="K70" s="61">
        <f>SUMIFS(Dashboard[ref_fa_hh],Dashboard[evaluation_adm2_name],Tableau72[[#This Row],[Departments]])</f>
        <v>10</v>
      </c>
      <c r="L70" s="61">
        <f>SUM(Tableau72[[#This Row],[Spontaneous sites]:[Host Families]])</f>
        <v>25</v>
      </c>
      <c r="M70" s="176"/>
      <c r="N70" s="176"/>
      <c r="O70" s="205" t="s">
        <v>184</v>
      </c>
      <c r="P70" s="207">
        <f>Tableau72[[#This Row],[Spontaneous sites]]/Tableau72[[#This Row],[Total]]</f>
        <v>0</v>
      </c>
      <c r="Q70" s="207">
        <f>Tableau72[[#This Row],[Rental]]/Tableau72[[#This Row],[Total]]</f>
        <v>0.6</v>
      </c>
      <c r="R70" s="58">
        <f>Tableau72[[#This Row],[Collective]]/Tableau72[[#This Row],[Total]]</f>
        <v>0</v>
      </c>
      <c r="S70" s="58">
        <f>Tableau72[[#This Row],[Open air]]/Tableau72[[#This Row],[Total]]</f>
        <v>0</v>
      </c>
      <c r="T70" s="58">
        <f>Tableau72[[#This Row],[Host Families]]/Tableau72[[#This Row],[Total]]</f>
        <v>0.4</v>
      </c>
      <c r="U70" s="58">
        <f>SUM(Tableau73[[#This Row],[Spontaneous sites]:[Host Families]])</f>
        <v>1</v>
      </c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8"/>
      <c r="AR70" s="185"/>
      <c r="AS70" s="185"/>
      <c r="AT70" s="185"/>
      <c r="AU70" s="185"/>
      <c r="AV70" s="185"/>
    </row>
    <row r="71" spans="2:48" x14ac:dyDescent="0.25">
      <c r="B71" s="174"/>
      <c r="C71" s="120"/>
      <c r="D71" s="120"/>
      <c r="E71" s="176"/>
      <c r="F71" s="59" t="s">
        <v>218</v>
      </c>
      <c r="G71" s="61">
        <f>SUMIFS(Dashboard[ref_as_hh],Dashboard[evaluation_adm2_name],Tableau72[[#This Row],[Departments]])</f>
        <v>0</v>
      </c>
      <c r="H71" s="61">
        <f>SUMIFS(Dashboard[ref_loc_hh],Dashboard[evaluation_adm2_name],Tableau72[[#This Row],[Departments]])</f>
        <v>1</v>
      </c>
      <c r="I71" s="61">
        <f>SUMIFS(Dashboard[ref_cc_hh],Dashboard[evaluation_adm2_name],Tableau72[[#This Row],[Departments]])</f>
        <v>0</v>
      </c>
      <c r="J71" s="61">
        <f>SUMIFS(Dashboard[ref_al_hh],Dashboard[evaluation_adm2_name],Tableau72[[#This Row],[Departments]])</f>
        <v>0</v>
      </c>
      <c r="K71" s="61">
        <f>SUMIFS(Dashboard[ref_fa_hh],Dashboard[evaluation_adm2_name],Tableau72[[#This Row],[Departments]])</f>
        <v>2</v>
      </c>
      <c r="L71" s="61">
        <f>SUM(Tableau72[[#This Row],[Spontaneous sites]:[Host Families]])</f>
        <v>3</v>
      </c>
      <c r="M71" s="176"/>
      <c r="N71" s="176"/>
      <c r="O71" s="59" t="s">
        <v>218</v>
      </c>
      <c r="P71" s="58">
        <f>Tableau72[[#This Row],[Spontaneous sites]]/Tableau72[[#This Row],[Total]]</f>
        <v>0</v>
      </c>
      <c r="Q71" s="58">
        <f>Tableau72[[#This Row],[Rental]]/Tableau72[[#This Row],[Total]]</f>
        <v>0.33333333333333331</v>
      </c>
      <c r="R71" s="58">
        <f>Tableau72[[#This Row],[Collective]]/Tableau72[[#This Row],[Total]]</f>
        <v>0</v>
      </c>
      <c r="S71" s="58">
        <f>Tableau72[[#This Row],[Open air]]/Tableau72[[#This Row],[Total]]</f>
        <v>0</v>
      </c>
      <c r="T71" s="58">
        <f>Tableau72[[#This Row],[Host Families]]/Tableau72[[#This Row],[Total]]</f>
        <v>0.66666666666666663</v>
      </c>
      <c r="U71" s="58">
        <f>SUM(Tableau73[[#This Row],[Spontaneous sites]:[Host Families]])</f>
        <v>1</v>
      </c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8"/>
      <c r="AR71" s="185"/>
      <c r="AS71" s="185"/>
      <c r="AT71" s="185"/>
      <c r="AU71" s="185"/>
      <c r="AV71" s="185"/>
    </row>
    <row r="72" spans="2:48" x14ac:dyDescent="0.25">
      <c r="B72" s="174"/>
      <c r="C72" s="114"/>
      <c r="D72" s="187"/>
      <c r="E72" s="176"/>
      <c r="F72" s="59" t="s">
        <v>48</v>
      </c>
      <c r="G72" s="61">
        <f>SUMIFS(Dashboard[ref_as_hh],Dashboard[evaluation_adm2_name],Tableau72[[#This Row],[Departments]])</f>
        <v>0</v>
      </c>
      <c r="H72" s="61">
        <f>SUMIFS(Dashboard[ref_loc_hh],Dashboard[evaluation_adm2_name],Tableau72[[#This Row],[Departments]])</f>
        <v>0</v>
      </c>
      <c r="I72" s="61">
        <f>SUMIFS(Dashboard[ref_cc_hh],Dashboard[evaluation_adm2_name],Tableau72[[#This Row],[Departments]])</f>
        <v>0</v>
      </c>
      <c r="J72" s="61">
        <f>SUMIFS(Dashboard[ref_al_hh],Dashboard[evaluation_adm2_name],Tableau72[[#This Row],[Departments]])</f>
        <v>0</v>
      </c>
      <c r="K72" s="61">
        <f>SUMIFS(Dashboard[ref_fa_hh],Dashboard[evaluation_adm2_name],Tableau72[[#This Row],[Departments]])</f>
        <v>0</v>
      </c>
      <c r="L72" s="61">
        <f>SUM(Tableau72[[#This Row],[Spontaneous sites]:[Host Families]])</f>
        <v>0</v>
      </c>
      <c r="M72" s="176"/>
      <c r="N72" s="176"/>
      <c r="O72" s="59" t="s">
        <v>48</v>
      </c>
      <c r="P72" s="58" t="e">
        <f>Tableau72[[#This Row],[Spontaneous sites]]/Tableau72[[#This Row],[Total]]</f>
        <v>#DIV/0!</v>
      </c>
      <c r="Q72" s="58" t="e">
        <f>Tableau72[[#This Row],[Rental]]/Tableau72[[#This Row],[Total]]</f>
        <v>#DIV/0!</v>
      </c>
      <c r="R72" s="58" t="e">
        <f>Tableau72[[#This Row],[Collective]]/Tableau72[[#This Row],[Total]]</f>
        <v>#DIV/0!</v>
      </c>
      <c r="S72" s="58" t="e">
        <f>Tableau72[[#This Row],[Open air]]/Tableau72[[#This Row],[Total]]</f>
        <v>#DIV/0!</v>
      </c>
      <c r="T72" s="58" t="e">
        <f>Tableau72[[#This Row],[Host Families]]/Tableau72[[#This Row],[Total]]</f>
        <v>#DIV/0!</v>
      </c>
      <c r="U72" s="58" t="e">
        <f>SUM(Tableau73[[#This Row],[Spontaneous sites]:[Host Families]])</f>
        <v>#DIV/0!</v>
      </c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8"/>
    </row>
    <row r="73" spans="2:48" x14ac:dyDescent="0.25">
      <c r="B73" s="174"/>
      <c r="C73" s="114"/>
      <c r="D73" s="187"/>
      <c r="E73" s="176"/>
      <c r="F73" s="59" t="s">
        <v>37</v>
      </c>
      <c r="G73" s="61">
        <f>SUMIFS(Dashboard[ref_as_hh],Dashboard[evaluation_adm2_name],Tableau72[[#This Row],[Departments]])</f>
        <v>0</v>
      </c>
      <c r="H73" s="61">
        <f>SUMIFS(Dashboard[ref_loc_hh],Dashboard[evaluation_adm2_name],Tableau72[[#This Row],[Departments]])</f>
        <v>37</v>
      </c>
      <c r="I73" s="61">
        <f>SUMIFS(Dashboard[ref_cc_hh],Dashboard[evaluation_adm2_name],Tableau72[[#This Row],[Departments]])</f>
        <v>476</v>
      </c>
      <c r="J73" s="61">
        <f>SUMIFS(Dashboard[ref_al_hh],Dashboard[evaluation_adm2_name],Tableau72[[#This Row],[Departments]])</f>
        <v>0</v>
      </c>
      <c r="K73" s="61">
        <f>SUMIFS(Dashboard[ref_fa_hh],Dashboard[evaluation_adm2_name],Tableau72[[#This Row],[Departments]])</f>
        <v>409</v>
      </c>
      <c r="L73" s="61">
        <f>SUM(Tableau72[[#This Row],[Spontaneous sites]:[Host Families]])</f>
        <v>922</v>
      </c>
      <c r="M73" s="176"/>
      <c r="N73" s="176"/>
      <c r="O73" s="59" t="s">
        <v>37</v>
      </c>
      <c r="P73" s="58">
        <f>Tableau72[[#This Row],[Spontaneous sites]]/Tableau72[[#This Row],[Total]]</f>
        <v>0</v>
      </c>
      <c r="Q73" s="58">
        <f>Tableau72[[#This Row],[Rental]]/Tableau72[[#This Row],[Total]]</f>
        <v>4.0130151843817789E-2</v>
      </c>
      <c r="R73" s="58">
        <f>Tableau72[[#This Row],[Collective]]/Tableau72[[#This Row],[Total]]</f>
        <v>0.51626898047722347</v>
      </c>
      <c r="S73" s="58">
        <f>Tableau72[[#This Row],[Open air]]/Tableau72[[#This Row],[Total]]</f>
        <v>0</v>
      </c>
      <c r="T73" s="58">
        <f>Tableau72[[#This Row],[Host Families]]/Tableau72[[#This Row],[Total]]</f>
        <v>0.44360086767895879</v>
      </c>
      <c r="U73" s="58">
        <f>SUM(Tableau73[[#This Row],[Spontaneous sites]:[Host Families]])</f>
        <v>1</v>
      </c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8"/>
    </row>
    <row r="74" spans="2:48" x14ac:dyDescent="0.25">
      <c r="B74" s="174"/>
      <c r="C74" s="114"/>
      <c r="D74" s="187"/>
      <c r="E74" s="176"/>
      <c r="F74" s="59"/>
      <c r="G74" s="61">
        <f>SUM(G68:G73)</f>
        <v>1846</v>
      </c>
      <c r="H74" s="61">
        <f>SUBTOTAL(109,Tableau72[Rental])</f>
        <v>163</v>
      </c>
      <c r="I74" s="61">
        <f>SUBTOTAL(109,Tableau72[Collective])</f>
        <v>476</v>
      </c>
      <c r="J74" s="61">
        <f>SUBTOTAL(109,Tableau72[Open air])</f>
        <v>0</v>
      </c>
      <c r="K74" s="61">
        <f>SUBTOTAL(109,Tableau72[Host Families])</f>
        <v>2641</v>
      </c>
      <c r="L74" s="61">
        <f>SUBTOTAL(109,Tableau72[Total])</f>
        <v>5126</v>
      </c>
      <c r="M74" s="176"/>
      <c r="N74" s="176"/>
      <c r="O74" s="59" t="s">
        <v>715</v>
      </c>
      <c r="P74" s="59"/>
      <c r="Q74" s="59"/>
      <c r="R74" s="59"/>
      <c r="S74" s="59"/>
      <c r="T74" s="59"/>
      <c r="U74" s="59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8"/>
    </row>
    <row r="75" spans="2:48" x14ac:dyDescent="0.25">
      <c r="B75" s="174"/>
      <c r="C75" s="114"/>
      <c r="D75" s="187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8"/>
    </row>
    <row r="76" spans="2:48" x14ac:dyDescent="0.25">
      <c r="B76" s="174"/>
      <c r="C76" s="114"/>
      <c r="D76" s="187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8"/>
    </row>
    <row r="77" spans="2:48" x14ac:dyDescent="0.25">
      <c r="B77" s="174"/>
      <c r="C77" s="114"/>
      <c r="D77" s="187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8"/>
    </row>
    <row r="78" spans="2:48" x14ac:dyDescent="0.25">
      <c r="B78" s="174"/>
      <c r="C78" s="114"/>
      <c r="D78" s="187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8"/>
    </row>
    <row r="79" spans="2:48" x14ac:dyDescent="0.25">
      <c r="B79" s="174"/>
      <c r="C79" s="114"/>
      <c r="D79" s="187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8"/>
    </row>
    <row r="80" spans="2:48" x14ac:dyDescent="0.25">
      <c r="B80" s="174"/>
      <c r="C80" s="114"/>
      <c r="D80" s="187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8"/>
    </row>
    <row r="81" spans="2:32" x14ac:dyDescent="0.25">
      <c r="B81" s="174"/>
      <c r="C81" s="114"/>
      <c r="D81" s="187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8"/>
    </row>
    <row r="82" spans="2:32" x14ac:dyDescent="0.25">
      <c r="B82" s="174"/>
      <c r="C82" s="114"/>
      <c r="D82" s="187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96"/>
      <c r="Q82" s="96"/>
      <c r="R82" s="196"/>
      <c r="S82" s="196"/>
      <c r="T82" s="196"/>
      <c r="U82" s="196"/>
      <c r="V82" s="196"/>
      <c r="W82" s="176"/>
      <c r="X82" s="176"/>
      <c r="Y82" s="176"/>
      <c r="Z82" s="176"/>
      <c r="AA82" s="176"/>
      <c r="AB82" s="176"/>
      <c r="AC82" s="176"/>
      <c r="AD82" s="176"/>
      <c r="AE82" s="176"/>
      <c r="AF82" s="178"/>
    </row>
    <row r="83" spans="2:32" x14ac:dyDescent="0.25">
      <c r="B83" s="174"/>
      <c r="C83" s="114"/>
      <c r="D83" s="187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96"/>
      <c r="Q83" s="96"/>
      <c r="R83" s="196"/>
      <c r="S83" s="196"/>
      <c r="T83" s="196"/>
      <c r="U83" s="196"/>
      <c r="V83" s="196"/>
      <c r="W83" s="176"/>
      <c r="X83" s="176"/>
      <c r="Y83" s="176"/>
      <c r="Z83" s="176"/>
      <c r="AA83" s="176"/>
      <c r="AB83" s="176"/>
      <c r="AC83" s="176"/>
      <c r="AD83" s="176"/>
      <c r="AE83" s="176"/>
      <c r="AF83" s="178"/>
    </row>
    <row r="84" spans="2:32" x14ac:dyDescent="0.25">
      <c r="B84" s="174"/>
      <c r="C84" s="114"/>
      <c r="D84" s="187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96"/>
      <c r="Q84" s="96"/>
      <c r="R84" s="196"/>
      <c r="S84" s="196"/>
      <c r="T84" s="196"/>
      <c r="U84" s="197"/>
      <c r="V84" s="196"/>
      <c r="W84" s="176"/>
      <c r="X84" s="176"/>
      <c r="Y84" s="176"/>
      <c r="Z84" s="176"/>
      <c r="AA84" s="176"/>
      <c r="AB84" s="176"/>
      <c r="AC84" s="176"/>
      <c r="AD84" s="176"/>
      <c r="AE84" s="176"/>
      <c r="AF84" s="178"/>
    </row>
    <row r="85" spans="2:32" x14ac:dyDescent="0.25">
      <c r="B85" s="174"/>
      <c r="C85" s="114"/>
      <c r="D85" s="187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96"/>
      <c r="Q85" s="96"/>
      <c r="R85" s="198"/>
      <c r="S85" s="198"/>
      <c r="T85" s="196"/>
      <c r="U85" s="196"/>
      <c r="V85" s="196"/>
      <c r="W85" s="176"/>
      <c r="X85" s="176"/>
      <c r="Y85" s="176"/>
      <c r="Z85" s="176"/>
      <c r="AA85" s="176"/>
      <c r="AB85" s="176"/>
      <c r="AC85" s="176"/>
      <c r="AD85" s="176"/>
      <c r="AE85" s="176"/>
      <c r="AF85" s="178"/>
    </row>
    <row r="86" spans="2:32" x14ac:dyDescent="0.25">
      <c r="B86" s="174"/>
      <c r="C86" s="114"/>
      <c r="D86" s="187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96"/>
      <c r="Q86" s="96"/>
      <c r="R86" s="196"/>
      <c r="S86" s="196"/>
      <c r="T86" s="196"/>
      <c r="U86" s="196"/>
      <c r="V86" s="196"/>
      <c r="W86" s="176"/>
      <c r="X86" s="176"/>
      <c r="Y86" s="176"/>
      <c r="Z86" s="176"/>
      <c r="AA86" s="176"/>
      <c r="AB86" s="176"/>
      <c r="AC86" s="176"/>
      <c r="AD86" s="176"/>
      <c r="AE86" s="176"/>
      <c r="AF86" s="178"/>
    </row>
    <row r="87" spans="2:32" x14ac:dyDescent="0.25">
      <c r="B87" s="174"/>
      <c r="C87" s="114"/>
      <c r="D87" s="187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8"/>
    </row>
    <row r="88" spans="2:32" x14ac:dyDescent="0.25">
      <c r="B88" s="174"/>
      <c r="C88" s="114"/>
      <c r="D88" s="187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8"/>
    </row>
    <row r="89" spans="2:32" x14ac:dyDescent="0.25">
      <c r="B89" s="174"/>
      <c r="C89" s="114"/>
      <c r="D89" s="187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8"/>
    </row>
    <row r="90" spans="2:32" x14ac:dyDescent="0.25">
      <c r="B90" s="174"/>
      <c r="C90" s="114"/>
      <c r="D90" s="187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8"/>
    </row>
    <row r="91" spans="2:32" x14ac:dyDescent="0.25">
      <c r="B91" s="174"/>
      <c r="C91" s="188"/>
      <c r="D91" s="18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8"/>
    </row>
    <row r="92" spans="2:32" ht="15.75" thickBot="1" x14ac:dyDescent="0.3">
      <c r="B92" s="191"/>
      <c r="C92" s="192"/>
      <c r="D92" s="192"/>
      <c r="E92" s="192"/>
      <c r="F92" s="192"/>
      <c r="G92" s="192"/>
      <c r="H92" s="192"/>
      <c r="I92" s="192"/>
      <c r="J92" s="192"/>
      <c r="K92" s="192"/>
      <c r="L92" s="192"/>
      <c r="M92" s="192"/>
      <c r="N92" s="192"/>
      <c r="O92" s="192"/>
      <c r="P92" s="192"/>
      <c r="Q92" s="192"/>
      <c r="R92" s="192"/>
      <c r="S92" s="192"/>
      <c r="T92" s="192"/>
      <c r="U92" s="192"/>
      <c r="V92" s="192"/>
      <c r="W92" s="192"/>
      <c r="X92" s="192"/>
      <c r="Y92" s="192"/>
      <c r="Z92" s="192"/>
      <c r="AA92" s="192"/>
      <c r="AB92" s="192"/>
      <c r="AC92" s="192"/>
      <c r="AD92" s="192"/>
      <c r="AE92" s="192"/>
      <c r="AF92" s="193"/>
    </row>
    <row r="93" spans="2:32" ht="15.75" thickBot="1" x14ac:dyDescent="0.3"/>
    <row r="94" spans="2:32" x14ac:dyDescent="0.25">
      <c r="B94" s="171"/>
      <c r="C94" s="172"/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3"/>
    </row>
    <row r="95" spans="2:32" x14ac:dyDescent="0.25">
      <c r="B95" s="174"/>
      <c r="C95" s="175" t="s">
        <v>1747</v>
      </c>
      <c r="D95" s="176"/>
      <c r="E95" s="176"/>
      <c r="F95" s="175" t="s">
        <v>1915</v>
      </c>
      <c r="G95" s="176"/>
      <c r="H95" s="176"/>
      <c r="I95" s="176"/>
      <c r="J95" s="176"/>
      <c r="K95" s="176"/>
      <c r="L95" s="176"/>
      <c r="M95" s="176"/>
      <c r="N95" s="176"/>
      <c r="O95" s="175" t="s">
        <v>1916</v>
      </c>
      <c r="P95" s="175"/>
      <c r="Q95" s="175"/>
      <c r="R95" s="175"/>
      <c r="S95" s="175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8"/>
    </row>
    <row r="96" spans="2:32" x14ac:dyDescent="0.25">
      <c r="B96" s="174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8"/>
    </row>
    <row r="97" spans="2:32" x14ac:dyDescent="0.25">
      <c r="B97" s="174"/>
      <c r="C97" s="45" t="s">
        <v>1795</v>
      </c>
      <c r="D97" s="45" t="s">
        <v>1907</v>
      </c>
      <c r="E97" s="176"/>
      <c r="F97" s="59" t="s">
        <v>1795</v>
      </c>
      <c r="G97" s="59" t="s">
        <v>1798</v>
      </c>
      <c r="H97" s="59" t="s">
        <v>857</v>
      </c>
      <c r="I97" s="59" t="s">
        <v>1799</v>
      </c>
      <c r="J97" s="59" t="s">
        <v>1796</v>
      </c>
      <c r="K97" s="59" t="s">
        <v>1800</v>
      </c>
      <c r="L97" s="59" t="s">
        <v>1745</v>
      </c>
      <c r="M97" s="59" t="s">
        <v>715</v>
      </c>
      <c r="N97" s="176"/>
      <c r="O97" s="59" t="s">
        <v>1781</v>
      </c>
      <c r="P97" s="59" t="s">
        <v>1798</v>
      </c>
      <c r="Q97" s="59" t="s">
        <v>857</v>
      </c>
      <c r="R97" s="59" t="s">
        <v>1799</v>
      </c>
      <c r="S97" s="59" t="s">
        <v>1796</v>
      </c>
      <c r="T97" s="59" t="s">
        <v>1800</v>
      </c>
      <c r="U97" s="59" t="s">
        <v>1745</v>
      </c>
      <c r="V97" s="59" t="s">
        <v>715</v>
      </c>
      <c r="W97" s="182"/>
      <c r="X97" s="176"/>
      <c r="Y97" s="182"/>
      <c r="Z97" s="182"/>
      <c r="AA97" s="182"/>
      <c r="AB97" s="182"/>
      <c r="AC97" s="182"/>
      <c r="AD97" s="182"/>
      <c r="AE97" s="182"/>
      <c r="AF97" s="199"/>
    </row>
    <row r="98" spans="2:32" x14ac:dyDescent="0.25">
      <c r="B98" s="174"/>
      <c r="C98" s="72" t="s">
        <v>24</v>
      </c>
      <c r="D98" s="72">
        <f>COUNTIFS(Dashboard[evaluation_adm2_name],Tableau63[[#This Row],[Départements]],Dashboard[nouveau],"*", Dashboard[ret_ind],"&gt;"&amp;0)</f>
        <v>7</v>
      </c>
      <c r="E98" s="176"/>
      <c r="F98" s="59" t="s">
        <v>24</v>
      </c>
      <c r="G98" s="61">
        <f>SUMIFS(Dashboard[ret_as_hh],Dashboard[evaluation_adm2_name],Tableau74[[#This Row],[Départements]])</f>
        <v>0</v>
      </c>
      <c r="H98" s="61">
        <f>SUMIFS(Dashboard[ret_loc_hh],Dashboard[evaluation_adm2_name],Tableau74[[#This Row],[Départements]])</f>
        <v>0</v>
      </c>
      <c r="I98" s="61">
        <f>SUMIFS(Dashboard[ret_cc_hh],Dashboard[evaluation_adm2_name],Tableau74[[#This Row],[Départements]])</f>
        <v>0</v>
      </c>
      <c r="J98" s="61">
        <f>SUMIFS(Dashboard[ret_al_hh],Dashboard[evaluation_adm2_name],Tableau74[[#This Row],[Départements]])</f>
        <v>0</v>
      </c>
      <c r="K98" s="61">
        <f>SUMIFS(Dashboard[ret_fa_hh],Dashboard[evaluation_adm2_name],Tableau74[[#This Row],[Départements]])</f>
        <v>25</v>
      </c>
      <c r="L98" s="61">
        <f>SUMIFS(Dashboard[ret_hi_hh],Dashboard[evaluation_adm2_name],Tableau74[[#This Row],[Départements]])</f>
        <v>3</v>
      </c>
      <c r="M98" s="61">
        <f t="shared" ref="M98:M103" si="3">SUM(G98:L98)</f>
        <v>28</v>
      </c>
      <c r="N98" s="176"/>
      <c r="O98" s="59" t="s">
        <v>24</v>
      </c>
      <c r="P98" s="58">
        <f>Tableau74[[#This Row],[Spontané]]/Tableau74[[#This Row],[Total]]</f>
        <v>0</v>
      </c>
      <c r="Q98" s="58">
        <f>Tableau74[[#This Row],[Location]]/Tableau74[[#This Row],[Total]]</f>
        <v>0</v>
      </c>
      <c r="R98" s="58">
        <f>Tableau74[[#This Row],[Collectif]]/Tableau74[[#This Row],[Total]]</f>
        <v>0</v>
      </c>
      <c r="S98" s="58">
        <f>Tableau74[[#This Row],[Plein-air]]/Tableau74[[#This Row],[Total]]</f>
        <v>0</v>
      </c>
      <c r="T98" s="58">
        <f>Tableau74[[#This Row],[Famille d''accueil]]/Tableau74[[#This Row],[Total]]</f>
        <v>0.8928571428571429</v>
      </c>
      <c r="U98" s="58">
        <f>Tableau74[[#This Row],[Domicile Personnel]]/Tableau74[[#This Row],[Total]]</f>
        <v>0.10714285714285714</v>
      </c>
      <c r="V98" s="88">
        <f>SUM(Tableau76[[#This Row],[Spontané]:[Domicile Personnel]])</f>
        <v>1</v>
      </c>
      <c r="W98" s="181"/>
      <c r="X98" s="176"/>
      <c r="Y98" s="176"/>
      <c r="Z98" s="183"/>
      <c r="AA98" s="183"/>
      <c r="AB98" s="183"/>
      <c r="AC98" s="183"/>
      <c r="AD98" s="183"/>
      <c r="AE98" s="183"/>
      <c r="AF98" s="201"/>
    </row>
    <row r="99" spans="2:32" x14ac:dyDescent="0.25">
      <c r="B99" s="174"/>
      <c r="C99" s="72" t="s">
        <v>85</v>
      </c>
      <c r="D99" s="72">
        <f>COUNTIFS(Dashboard[evaluation_adm2_name],Tableau63[[#This Row],[Départements]],Dashboard[nouveau],"*", Dashboard[ret_ind],"&gt;"&amp;0)</f>
        <v>68</v>
      </c>
      <c r="E99" s="176"/>
      <c r="F99" s="59" t="s">
        <v>85</v>
      </c>
      <c r="G99" s="61">
        <f>SUMIFS(Dashboard[ret_as_hh],Dashboard[evaluation_adm2_name],Tableau74[[#This Row],[Départements]])</f>
        <v>72</v>
      </c>
      <c r="H99" s="61">
        <f>SUMIFS(Dashboard[ret_loc_hh],Dashboard[evaluation_adm2_name],Tableau74[[#This Row],[Départements]])</f>
        <v>12</v>
      </c>
      <c r="I99" s="61">
        <f>SUMIFS(Dashboard[ret_cc_hh],Dashboard[evaluation_adm2_name],Tableau74[[#This Row],[Départements]])</f>
        <v>0</v>
      </c>
      <c r="J99" s="61">
        <f>SUMIFS(Dashboard[ret_al_hh],Dashboard[evaluation_adm2_name],Tableau74[[#This Row],[Départements]])</f>
        <v>8</v>
      </c>
      <c r="K99" s="61">
        <f>SUMIFS(Dashboard[ret_fa_hh],Dashboard[evaluation_adm2_name],Tableau74[[#This Row],[Départements]])</f>
        <v>181</v>
      </c>
      <c r="L99" s="61">
        <f>SUMIFS(Dashboard[ret_hi_hh],Dashboard[evaluation_adm2_name],Tableau74[[#This Row],[Départements]])</f>
        <v>3814</v>
      </c>
      <c r="M99" s="61">
        <f t="shared" si="3"/>
        <v>4087</v>
      </c>
      <c r="N99" s="176"/>
      <c r="O99" s="59" t="s">
        <v>85</v>
      </c>
      <c r="P99" s="58">
        <f>Tableau74[[#This Row],[Spontané]]/Tableau74[[#This Row],[Total]]</f>
        <v>1.7616833863469537E-2</v>
      </c>
      <c r="Q99" s="58">
        <f>Tableau74[[#This Row],[Location]]/Tableau74[[#This Row],[Total]]</f>
        <v>2.936138977244923E-3</v>
      </c>
      <c r="R99" s="58">
        <f>Tableau74[[#This Row],[Collectif]]/Tableau74[[#This Row],[Total]]</f>
        <v>0</v>
      </c>
      <c r="S99" s="58">
        <f>Tableau74[[#This Row],[Plein-air]]/Tableau74[[#This Row],[Total]]</f>
        <v>1.9574259848299485E-3</v>
      </c>
      <c r="T99" s="58">
        <f>Tableau74[[#This Row],[Famille d''accueil]]/Tableau74[[#This Row],[Total]]</f>
        <v>4.4286762906777591E-2</v>
      </c>
      <c r="U99" s="58">
        <f>Tableau74[[#This Row],[Domicile Personnel]]/Tableau74[[#This Row],[Total]]</f>
        <v>0.93320283826767803</v>
      </c>
      <c r="V99" s="88">
        <f>SUM(Tableau76[[#This Row],[Spontané]:[Domicile Personnel]])</f>
        <v>1</v>
      </c>
      <c r="W99" s="181"/>
      <c r="X99" s="176"/>
      <c r="Y99" s="176"/>
      <c r="Z99" s="183"/>
      <c r="AA99" s="183"/>
      <c r="AB99" s="183"/>
      <c r="AC99" s="183"/>
      <c r="AD99" s="183"/>
      <c r="AE99" s="183"/>
      <c r="AF99" s="201"/>
    </row>
    <row r="100" spans="2:32" x14ac:dyDescent="0.25">
      <c r="B100" s="174"/>
      <c r="C100" s="72" t="s">
        <v>184</v>
      </c>
      <c r="D100" s="72">
        <f>COUNTIFS(Dashboard[evaluation_adm2_name],Tableau63[[#This Row],[Départements]],Dashboard[nouveau],"*", Dashboard[ret_ind],"&gt;"&amp;0)</f>
        <v>24</v>
      </c>
      <c r="E100" s="176"/>
      <c r="F100" s="59" t="s">
        <v>184</v>
      </c>
      <c r="G100" s="61">
        <f>SUMIFS(Dashboard[ret_as_hh],Dashboard[evaluation_adm2_name],Tableau74[[#This Row],[Départements]])</f>
        <v>105</v>
      </c>
      <c r="H100" s="61">
        <f>SUMIFS(Dashboard[ret_loc_hh],Dashboard[evaluation_adm2_name],Tableau74[[#This Row],[Départements]])</f>
        <v>2</v>
      </c>
      <c r="I100" s="61">
        <f>SUMIFS(Dashboard[ret_cc_hh],Dashboard[evaluation_adm2_name],Tableau74[[#This Row],[Départements]])</f>
        <v>0</v>
      </c>
      <c r="J100" s="61">
        <f>SUMIFS(Dashboard[ret_al_hh],Dashboard[evaluation_adm2_name],Tableau74[[#This Row],[Départements]])</f>
        <v>0</v>
      </c>
      <c r="K100" s="61">
        <f>SUMIFS(Dashboard[ret_fa_hh],Dashboard[evaluation_adm2_name],Tableau74[[#This Row],[Départements]])</f>
        <v>179</v>
      </c>
      <c r="L100" s="61">
        <f>SUMIFS(Dashboard[ret_hi_hh],Dashboard[evaluation_adm2_name],Tableau74[[#This Row],[Départements]])</f>
        <v>778</v>
      </c>
      <c r="M100" s="61">
        <f t="shared" si="3"/>
        <v>1064</v>
      </c>
      <c r="N100" s="176"/>
      <c r="O100" s="59" t="s">
        <v>184</v>
      </c>
      <c r="P100" s="58">
        <f>Tableau74[[#This Row],[Spontané]]/Tableau74[[#This Row],[Total]]</f>
        <v>9.8684210526315791E-2</v>
      </c>
      <c r="Q100" s="58">
        <f>Tableau74[[#This Row],[Location]]/Tableau74[[#This Row],[Total]]</f>
        <v>1.8796992481203006E-3</v>
      </c>
      <c r="R100" s="58">
        <f>Tableau74[[#This Row],[Collectif]]/Tableau74[[#This Row],[Total]]</f>
        <v>0</v>
      </c>
      <c r="S100" s="58">
        <f>Tableau74[[#This Row],[Plein-air]]/Tableau74[[#This Row],[Total]]</f>
        <v>0</v>
      </c>
      <c r="T100" s="58">
        <f>Tableau74[[#This Row],[Famille d''accueil]]/Tableau74[[#This Row],[Total]]</f>
        <v>0.16823308270676693</v>
      </c>
      <c r="U100" s="58">
        <f>Tableau74[[#This Row],[Domicile Personnel]]/Tableau74[[#This Row],[Total]]</f>
        <v>0.73120300751879697</v>
      </c>
      <c r="V100" s="88">
        <f>SUM(Tableau76[[#This Row],[Spontané]:[Domicile Personnel]])</f>
        <v>1</v>
      </c>
      <c r="W100" s="181"/>
      <c r="X100" s="176"/>
      <c r="Y100" s="176"/>
      <c r="Z100" s="183"/>
      <c r="AA100" s="183"/>
      <c r="AB100" s="183"/>
      <c r="AC100" s="183"/>
      <c r="AD100" s="183"/>
      <c r="AE100" s="183"/>
      <c r="AF100" s="201"/>
    </row>
    <row r="101" spans="2:32" x14ac:dyDescent="0.25">
      <c r="B101" s="174"/>
      <c r="C101" s="72" t="s">
        <v>218</v>
      </c>
      <c r="D101" s="72">
        <f>COUNTIFS(Dashboard[evaluation_adm2_name],Tableau63[[#This Row],[Départements]],Dashboard[nouveau],"*", Dashboard[ret_ind],"&gt;"&amp;0)</f>
        <v>16</v>
      </c>
      <c r="E101" s="176"/>
      <c r="F101" s="59" t="s">
        <v>218</v>
      </c>
      <c r="G101" s="61">
        <f>SUMIFS(Dashboard[ret_as_hh],Dashboard[evaluation_adm2_name],Tableau74[[#This Row],[Départements]])</f>
        <v>0</v>
      </c>
      <c r="H101" s="61">
        <f>SUMIFS(Dashboard[ret_loc_hh],Dashboard[evaluation_adm2_name],Tableau74[[#This Row],[Départements]])</f>
        <v>1</v>
      </c>
      <c r="I101" s="61">
        <f>SUMIFS(Dashboard[ret_cc_hh],Dashboard[evaluation_adm2_name],Tableau74[[#This Row],[Départements]])</f>
        <v>0</v>
      </c>
      <c r="J101" s="61">
        <f>SUMIFS(Dashboard[ret_al_hh],Dashboard[evaluation_adm2_name],Tableau74[[#This Row],[Départements]])</f>
        <v>0</v>
      </c>
      <c r="K101" s="61">
        <f>SUMIFS(Dashboard[ret_fa_hh],Dashboard[evaluation_adm2_name],Tableau74[[#This Row],[Départements]])</f>
        <v>102</v>
      </c>
      <c r="L101" s="61">
        <f>SUMIFS(Dashboard[ret_hi_hh],Dashboard[evaluation_adm2_name],Tableau74[[#This Row],[Départements]])</f>
        <v>5</v>
      </c>
      <c r="M101" s="61">
        <f t="shared" si="3"/>
        <v>108</v>
      </c>
      <c r="N101" s="176"/>
      <c r="O101" s="59" t="s">
        <v>218</v>
      </c>
      <c r="P101" s="58">
        <f>Tableau74[[#This Row],[Spontané]]/Tableau74[[#This Row],[Total]]</f>
        <v>0</v>
      </c>
      <c r="Q101" s="58">
        <f>Tableau74[[#This Row],[Location]]/Tableau74[[#This Row],[Total]]</f>
        <v>9.2592592592592587E-3</v>
      </c>
      <c r="R101" s="58">
        <f>Tableau74[[#This Row],[Collectif]]/Tableau74[[#This Row],[Total]]</f>
        <v>0</v>
      </c>
      <c r="S101" s="58">
        <f>Tableau74[[#This Row],[Plein-air]]/Tableau74[[#This Row],[Total]]</f>
        <v>0</v>
      </c>
      <c r="T101" s="58">
        <f>Tableau74[[#This Row],[Famille d''accueil]]/Tableau74[[#This Row],[Total]]</f>
        <v>0.94444444444444442</v>
      </c>
      <c r="U101" s="58">
        <f>Tableau74[[#This Row],[Domicile Personnel]]/Tableau74[[#This Row],[Total]]</f>
        <v>4.6296296296296294E-2</v>
      </c>
      <c r="V101" s="88">
        <f>SUM(Tableau76[[#This Row],[Spontané]:[Domicile Personnel]])</f>
        <v>1</v>
      </c>
      <c r="W101" s="181"/>
      <c r="X101" s="176"/>
      <c r="Y101" s="176"/>
      <c r="Z101" s="183"/>
      <c r="AA101" s="183"/>
      <c r="AB101" s="183"/>
      <c r="AC101" s="183"/>
      <c r="AD101" s="183"/>
      <c r="AE101" s="183"/>
      <c r="AF101" s="201"/>
    </row>
    <row r="102" spans="2:32" x14ac:dyDescent="0.25">
      <c r="B102" s="174"/>
      <c r="C102" s="73" t="s">
        <v>48</v>
      </c>
      <c r="D102" s="74">
        <f>COUNTIFS(Dashboard[evaluation_adm2_name],Tableau63[[#This Row],[Départements]],Dashboard[nouveau],"*", Dashboard[ret_ind],"&gt;"&amp;0)</f>
        <v>13</v>
      </c>
      <c r="E102" s="176"/>
      <c r="F102" s="59" t="s">
        <v>48</v>
      </c>
      <c r="G102" s="61">
        <f>SUMIFS(Dashboard[ret_as_hh],Dashboard[evaluation_adm2_name],Tableau74[[#This Row],[Départements]])</f>
        <v>0</v>
      </c>
      <c r="H102" s="61">
        <f>SUMIFS(Dashboard[ret_loc_hh],Dashboard[evaluation_adm2_name],Tableau74[[#This Row],[Départements]])</f>
        <v>0</v>
      </c>
      <c r="I102" s="61">
        <f>SUMIFS(Dashboard[ret_cc_hh],Dashboard[evaluation_adm2_name],Tableau74[[#This Row],[Départements]])</f>
        <v>0</v>
      </c>
      <c r="J102" s="61">
        <f>SUMIFS(Dashboard[ret_al_hh],Dashboard[evaluation_adm2_name],Tableau74[[#This Row],[Départements]])</f>
        <v>0</v>
      </c>
      <c r="K102" s="61">
        <f>SUMIFS(Dashboard[ret_fa_hh],Dashboard[evaluation_adm2_name],Tableau74[[#This Row],[Départements]])</f>
        <v>895</v>
      </c>
      <c r="L102" s="61">
        <f>SUMIFS(Dashboard[ret_hi_hh],Dashboard[evaluation_adm2_name],Tableau74[[#This Row],[Départements]])</f>
        <v>1704</v>
      </c>
      <c r="M102" s="61">
        <f t="shared" si="3"/>
        <v>2599</v>
      </c>
      <c r="N102" s="176"/>
      <c r="O102" s="59" t="s">
        <v>48</v>
      </c>
      <c r="P102" s="58">
        <f>Tableau74[[#This Row],[Spontané]]/Tableau74[[#This Row],[Total]]</f>
        <v>0</v>
      </c>
      <c r="Q102" s="58">
        <f>Tableau74[[#This Row],[Location]]/Tableau74[[#This Row],[Total]]</f>
        <v>0</v>
      </c>
      <c r="R102" s="58">
        <f>Tableau74[[#This Row],[Collectif]]/Tableau74[[#This Row],[Total]]</f>
        <v>0</v>
      </c>
      <c r="S102" s="58">
        <f>Tableau74[[#This Row],[Plein-air]]/Tableau74[[#This Row],[Total]]</f>
        <v>0</v>
      </c>
      <c r="T102" s="58">
        <f>Tableau74[[#This Row],[Famille d''accueil]]/Tableau74[[#This Row],[Total]]</f>
        <v>0.3443632166217776</v>
      </c>
      <c r="U102" s="58">
        <f>Tableau74[[#This Row],[Domicile Personnel]]/Tableau74[[#This Row],[Total]]</f>
        <v>0.6556367833782224</v>
      </c>
      <c r="V102" s="88">
        <f>SUM(Tableau76[[#This Row],[Spontané]:[Domicile Personnel]])</f>
        <v>1</v>
      </c>
      <c r="W102" s="181"/>
      <c r="X102" s="176"/>
      <c r="Y102" s="176"/>
      <c r="Z102" s="183"/>
      <c r="AA102" s="183"/>
      <c r="AB102" s="183"/>
      <c r="AC102" s="183"/>
      <c r="AD102" s="183"/>
      <c r="AE102" s="183"/>
      <c r="AF102" s="201"/>
    </row>
    <row r="103" spans="2:32" x14ac:dyDescent="0.25">
      <c r="B103" s="174"/>
      <c r="C103" s="73" t="s">
        <v>37</v>
      </c>
      <c r="D103" s="74">
        <f>COUNTIFS(Dashboard[evaluation_adm2_name],Tableau63[[#This Row],[Départements]],Dashboard[nouveau],"*", Dashboard[ret_ind],"&gt;"&amp;0)</f>
        <v>105</v>
      </c>
      <c r="E103" s="176"/>
      <c r="F103" s="59" t="s">
        <v>37</v>
      </c>
      <c r="G103" s="61">
        <f>SUMIFS(Dashboard[ret_as_hh],Dashboard[evaluation_adm2_name],Tableau74[[#This Row],[Départements]])</f>
        <v>0</v>
      </c>
      <c r="H103" s="61">
        <f>SUMIFS(Dashboard[ret_loc_hh],Dashboard[evaluation_adm2_name],Tableau74[[#This Row],[Départements]])</f>
        <v>259</v>
      </c>
      <c r="I103" s="61">
        <f>SUMIFS(Dashboard[ret_cc_hh],Dashboard[evaluation_adm2_name],Tableau74[[#This Row],[Départements]])</f>
        <v>0</v>
      </c>
      <c r="J103" s="61">
        <f>SUMIFS(Dashboard[ret_al_hh],Dashboard[evaluation_adm2_name],Tableau74[[#This Row],[Départements]])</f>
        <v>0</v>
      </c>
      <c r="K103" s="61">
        <f>SUMIFS(Dashboard[ret_fa_hh],Dashboard[evaluation_adm2_name],Tableau74[[#This Row],[Départements]])</f>
        <v>911</v>
      </c>
      <c r="L103" s="61">
        <f>SUMIFS(Dashboard[ret_hi_hh],Dashboard[evaluation_adm2_name],Tableau74[[#This Row],[Départements]])</f>
        <v>1859</v>
      </c>
      <c r="M103" s="61">
        <f t="shared" si="3"/>
        <v>3029</v>
      </c>
      <c r="N103" s="176"/>
      <c r="O103" s="59" t="s">
        <v>37</v>
      </c>
      <c r="P103" s="58">
        <f>Tableau74[[#This Row],[Spontané]]/Tableau74[[#This Row],[Total]]</f>
        <v>0</v>
      </c>
      <c r="Q103" s="58">
        <f>Tableau74[[#This Row],[Location]]/Tableau74[[#This Row],[Total]]</f>
        <v>8.5506767910201384E-2</v>
      </c>
      <c r="R103" s="58">
        <f>Tableau74[[#This Row],[Collectif]]/Tableau74[[#This Row],[Total]]</f>
        <v>0</v>
      </c>
      <c r="S103" s="58">
        <f>Tableau74[[#This Row],[Plein-air]]/Tableau74[[#This Row],[Total]]</f>
        <v>0</v>
      </c>
      <c r="T103" s="58">
        <f>Tableau74[[#This Row],[Famille d''accueil]]/Tableau74[[#This Row],[Total]]</f>
        <v>0.30075932651039949</v>
      </c>
      <c r="U103" s="58">
        <f>Tableau74[[#This Row],[Domicile Personnel]]/Tableau74[[#This Row],[Total]]</f>
        <v>0.61373390557939911</v>
      </c>
      <c r="V103" s="88">
        <f>SUM(Tableau76[[#This Row],[Spontané]:[Domicile Personnel]])</f>
        <v>1</v>
      </c>
      <c r="W103" s="181"/>
      <c r="X103" s="176"/>
      <c r="Y103" s="176"/>
      <c r="Z103" s="183"/>
      <c r="AA103" s="183"/>
      <c r="AB103" s="183"/>
      <c r="AC103" s="183"/>
      <c r="AD103" s="183"/>
      <c r="AE103" s="183"/>
      <c r="AF103" s="201"/>
    </row>
    <row r="104" spans="2:32" x14ac:dyDescent="0.25">
      <c r="B104" s="174"/>
      <c r="C104" s="45"/>
      <c r="D104" s="70">
        <f>SUM(D98:D103)</f>
        <v>233</v>
      </c>
      <c r="E104" s="176"/>
      <c r="F104" s="59" t="s">
        <v>715</v>
      </c>
      <c r="G104" s="61">
        <f t="shared" ref="G104:L104" si="4">SUM(G98:G103)</f>
        <v>177</v>
      </c>
      <c r="H104" s="61">
        <f t="shared" si="4"/>
        <v>274</v>
      </c>
      <c r="I104" s="61">
        <f t="shared" si="4"/>
        <v>0</v>
      </c>
      <c r="J104" s="61">
        <f t="shared" si="4"/>
        <v>8</v>
      </c>
      <c r="K104" s="61">
        <f t="shared" si="4"/>
        <v>2293</v>
      </c>
      <c r="L104" s="61">
        <f t="shared" si="4"/>
        <v>8163</v>
      </c>
      <c r="M104" s="61">
        <f>SUM(Tableau74[Total])</f>
        <v>10915</v>
      </c>
      <c r="N104" s="176"/>
      <c r="O104" s="59" t="s">
        <v>715</v>
      </c>
      <c r="P104" s="71"/>
      <c r="Q104" s="71"/>
      <c r="R104" s="71"/>
      <c r="S104" s="71"/>
      <c r="T104" s="71"/>
      <c r="U104" s="71"/>
      <c r="V104" s="59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8"/>
    </row>
    <row r="105" spans="2:32" x14ac:dyDescent="0.25">
      <c r="B105" s="174"/>
      <c r="C105" s="114"/>
      <c r="D105" s="187"/>
      <c r="E105" s="176"/>
      <c r="F105" s="176"/>
      <c r="G105" s="183"/>
      <c r="H105" s="183"/>
      <c r="I105" s="183"/>
      <c r="J105" s="183"/>
      <c r="K105" s="183"/>
      <c r="L105" s="183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8"/>
    </row>
    <row r="106" spans="2:32" x14ac:dyDescent="0.25">
      <c r="B106" s="174"/>
      <c r="C106" s="114"/>
      <c r="D106" s="187"/>
      <c r="E106" s="176"/>
      <c r="F106" s="176"/>
      <c r="G106" s="183"/>
      <c r="H106" s="183"/>
      <c r="I106" s="183"/>
      <c r="J106" s="183"/>
      <c r="K106" s="183"/>
      <c r="L106" s="183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8"/>
    </row>
    <row r="107" spans="2:32" x14ac:dyDescent="0.25">
      <c r="B107" s="174"/>
      <c r="C107" s="114"/>
      <c r="D107" s="187"/>
      <c r="E107" s="176"/>
      <c r="F107" s="176"/>
      <c r="G107" s="183"/>
      <c r="H107" s="183"/>
      <c r="I107" s="183"/>
      <c r="J107" s="183"/>
      <c r="K107" s="183"/>
      <c r="L107" s="183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8"/>
    </row>
    <row r="108" spans="2:32" x14ac:dyDescent="0.25">
      <c r="B108" s="174"/>
      <c r="C108" s="114"/>
      <c r="D108" s="187"/>
      <c r="E108" s="176"/>
      <c r="F108" s="176"/>
      <c r="G108" s="183"/>
      <c r="H108" s="183"/>
      <c r="I108" s="183"/>
      <c r="J108" s="183"/>
      <c r="K108" s="183"/>
      <c r="L108" s="183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8"/>
    </row>
    <row r="109" spans="2:32" x14ac:dyDescent="0.25">
      <c r="B109" s="174"/>
      <c r="C109" s="114"/>
      <c r="D109" s="187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8"/>
    </row>
    <row r="110" spans="2:32" x14ac:dyDescent="0.25">
      <c r="B110" s="174"/>
      <c r="C110" s="114"/>
      <c r="D110" s="187"/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8"/>
    </row>
    <row r="111" spans="2:32" x14ac:dyDescent="0.25">
      <c r="B111" s="174"/>
      <c r="C111" s="188"/>
      <c r="D111" s="186"/>
      <c r="E111" s="176"/>
      <c r="F111" s="176"/>
      <c r="G111" s="176"/>
      <c r="H111" s="176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8"/>
    </row>
    <row r="112" spans="2:32" x14ac:dyDescent="0.25">
      <c r="B112" s="174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8"/>
    </row>
    <row r="113" spans="2:32" x14ac:dyDescent="0.25">
      <c r="B113" s="174"/>
      <c r="C113" s="176"/>
      <c r="D113" s="176"/>
      <c r="E113" s="176"/>
      <c r="F113" s="175" t="s">
        <v>1742</v>
      </c>
      <c r="G113" s="176"/>
      <c r="H113" s="176"/>
      <c r="I113" s="176"/>
      <c r="J113" s="176"/>
      <c r="K113" s="176"/>
      <c r="L113" s="176"/>
      <c r="M113" s="176"/>
      <c r="N113" s="176"/>
      <c r="O113" s="175" t="s">
        <v>1751</v>
      </c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8"/>
    </row>
    <row r="114" spans="2:32" x14ac:dyDescent="0.25">
      <c r="B114" s="174"/>
      <c r="C114" s="189"/>
      <c r="D114" s="190"/>
      <c r="E114" s="176"/>
      <c r="F114" s="176"/>
      <c r="G114" s="176"/>
      <c r="H114" s="176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8"/>
    </row>
    <row r="115" spans="2:32" x14ac:dyDescent="0.25">
      <c r="B115" s="174"/>
      <c r="C115" s="189"/>
      <c r="D115" s="190"/>
      <c r="E115" s="176"/>
      <c r="F115" s="59" t="s">
        <v>719</v>
      </c>
      <c r="G115" s="59" t="s">
        <v>2019</v>
      </c>
      <c r="H115" s="59" t="s">
        <v>756</v>
      </c>
      <c r="I115" s="59" t="s">
        <v>1743</v>
      </c>
      <c r="J115" s="59" t="s">
        <v>1744</v>
      </c>
      <c r="K115" s="59" t="s">
        <v>755</v>
      </c>
      <c r="L115" s="59" t="s">
        <v>854</v>
      </c>
      <c r="M115" s="59" t="s">
        <v>715</v>
      </c>
      <c r="N115" s="176"/>
      <c r="O115" s="59" t="s">
        <v>719</v>
      </c>
      <c r="P115" s="59" t="s">
        <v>2019</v>
      </c>
      <c r="Q115" s="59" t="s">
        <v>756</v>
      </c>
      <c r="R115" s="59" t="s">
        <v>1743</v>
      </c>
      <c r="S115" s="59" t="s">
        <v>1744</v>
      </c>
      <c r="T115" s="59" t="s">
        <v>755</v>
      </c>
      <c r="U115" s="59" t="s">
        <v>854</v>
      </c>
      <c r="V115" s="59" t="s">
        <v>715</v>
      </c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8"/>
    </row>
    <row r="116" spans="2:32" x14ac:dyDescent="0.25">
      <c r="B116" s="174"/>
      <c r="C116" s="189"/>
      <c r="D116" s="189"/>
      <c r="E116" s="176"/>
      <c r="F116" s="59" t="s">
        <v>24</v>
      </c>
      <c r="G116" s="61">
        <f>SUMIFS(Dashboard[ret_as_hh],Dashboard[evaluation_adm2_name],Tableau75[[#This Row],[Departments]])</f>
        <v>0</v>
      </c>
      <c r="H116" s="61">
        <f>SUMIFS(Dashboard[ret_loc_hh],Dashboard[evaluation_adm2_name],Tableau75[[#This Row],[Departments]])</f>
        <v>0</v>
      </c>
      <c r="I116" s="61">
        <f>SUMIFS(Dashboard[ret_cc_hh],Dashboard[evaluation_adm2_name],Tableau75[[#This Row],[Departments]])</f>
        <v>0</v>
      </c>
      <c r="J116" s="61">
        <f>SUMIFS(Dashboard[ret_al_hh],Dashboard[evaluation_adm2_name],Tableau75[[#This Row],[Departments]])</f>
        <v>0</v>
      </c>
      <c r="K116" s="61">
        <f>SUMIFS(Dashboard[ret_fa_hh],Dashboard[evaluation_adm2_name],Tableau75[[#This Row],[Departments]])</f>
        <v>25</v>
      </c>
      <c r="L116" s="61">
        <f>SUMIFS(Dashboard[ret_hi_hh],Dashboard[evaluation_adm2_name],Tableau75[[#This Row],[Departments]])</f>
        <v>3</v>
      </c>
      <c r="M116" s="61">
        <f>SUM(Tableau75[[#This Row],[Spontaneous sites]:[Back Home]])</f>
        <v>28</v>
      </c>
      <c r="N116" s="176"/>
      <c r="O116" s="59" t="s">
        <v>24</v>
      </c>
      <c r="P116" s="58">
        <f>Tableau75[[#This Row],[Spontaneous sites]]/Tableau75[[#This Row],[Total]]</f>
        <v>0</v>
      </c>
      <c r="Q116" s="58">
        <f>Tableau75[[#This Row],[Rental]]/Tableau75[[#This Row],[Total]]</f>
        <v>0</v>
      </c>
      <c r="R116" s="58">
        <f>Tableau75[[#This Row],[Collective]]/Tableau75[[#This Row],[Total]]</f>
        <v>0</v>
      </c>
      <c r="S116" s="58">
        <f>Tableau75[[#This Row],[Open air]]/Tableau75[[#This Row],[Total]]</f>
        <v>0</v>
      </c>
      <c r="T116" s="58">
        <f>Tableau75[[#This Row],[Host Families]]/Tableau75[[#This Row],[Total]]</f>
        <v>0.8928571428571429</v>
      </c>
      <c r="U116" s="58">
        <f>Tableau75[[#This Row],[Back Home]]/Tableau75[[#This Row],[Total]]</f>
        <v>0.10714285714285714</v>
      </c>
      <c r="V116" s="88">
        <f>SUM(Tableau77[[#This Row],[Spontaneous sites]:[Back Home]])</f>
        <v>1</v>
      </c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8"/>
    </row>
    <row r="117" spans="2:32" x14ac:dyDescent="0.25">
      <c r="B117" s="174"/>
      <c r="C117" s="176"/>
      <c r="D117" s="176"/>
      <c r="E117" s="176"/>
      <c r="F117" s="59" t="s">
        <v>85</v>
      </c>
      <c r="G117" s="61">
        <f>SUMIFS(Dashboard[ret_as_hh],Dashboard[evaluation_adm2_name],Tableau75[[#This Row],[Departments]])</f>
        <v>72</v>
      </c>
      <c r="H117" s="61">
        <f>SUMIFS(Dashboard[ret_loc_hh],Dashboard[evaluation_adm2_name],Tableau75[[#This Row],[Departments]])</f>
        <v>12</v>
      </c>
      <c r="I117" s="61">
        <f>SUMIFS(Dashboard[ret_cc_hh],Dashboard[evaluation_adm2_name],Tableau75[[#This Row],[Departments]])</f>
        <v>0</v>
      </c>
      <c r="J117" s="61">
        <f>SUMIFS(Dashboard[ret_al_hh],Dashboard[evaluation_adm2_name],Tableau75[[#This Row],[Departments]])</f>
        <v>8</v>
      </c>
      <c r="K117" s="61">
        <f>SUMIFS(Dashboard[ret_fa_hh],Dashboard[evaluation_adm2_name],Tableau75[[#This Row],[Departments]])</f>
        <v>181</v>
      </c>
      <c r="L117" s="61">
        <f>SUMIFS(Dashboard[ret_hi_hh],Dashboard[evaluation_adm2_name],Tableau75[[#This Row],[Departments]])</f>
        <v>3814</v>
      </c>
      <c r="M117" s="61">
        <f>SUM(Tableau75[[#This Row],[Spontaneous sites]:[Back Home]])</f>
        <v>4087</v>
      </c>
      <c r="N117" s="176"/>
      <c r="O117" s="59" t="s">
        <v>85</v>
      </c>
      <c r="P117" s="58">
        <f>Tableau75[[#This Row],[Spontaneous sites]]/Tableau75[[#This Row],[Total]]</f>
        <v>1.7616833863469537E-2</v>
      </c>
      <c r="Q117" s="58">
        <f>Tableau75[[#This Row],[Rental]]/Tableau75[[#This Row],[Total]]</f>
        <v>2.936138977244923E-3</v>
      </c>
      <c r="R117" s="58">
        <f>Tableau75[[#This Row],[Collective]]/Tableau75[[#This Row],[Total]]</f>
        <v>0</v>
      </c>
      <c r="S117" s="58">
        <f>Tableau75[[#This Row],[Open air]]/Tableau75[[#This Row],[Total]]</f>
        <v>1.9574259848299485E-3</v>
      </c>
      <c r="T117" s="58">
        <f>Tableau75[[#This Row],[Host Families]]/Tableau75[[#This Row],[Total]]</f>
        <v>4.4286762906777591E-2</v>
      </c>
      <c r="U117" s="58">
        <f>Tableau75[[#This Row],[Back Home]]/Tableau75[[#This Row],[Total]]</f>
        <v>0.93320283826767803</v>
      </c>
      <c r="V117" s="88">
        <f>SUM(Tableau77[[#This Row],[Spontaneous sites]:[Back Home]])</f>
        <v>1</v>
      </c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8"/>
    </row>
    <row r="118" spans="2:32" x14ac:dyDescent="0.25">
      <c r="B118" s="174"/>
      <c r="C118" s="120"/>
      <c r="D118" s="120"/>
      <c r="E118" s="176"/>
      <c r="F118" s="59" t="s">
        <v>184</v>
      </c>
      <c r="G118" s="61">
        <f>SUMIFS(Dashboard[ret_as_hh],Dashboard[evaluation_adm2_name],Tableau75[[#This Row],[Departments]])</f>
        <v>105</v>
      </c>
      <c r="H118" s="61">
        <f>SUMIFS(Dashboard[ret_loc_hh],Dashboard[evaluation_adm2_name],Tableau75[[#This Row],[Departments]])</f>
        <v>2</v>
      </c>
      <c r="I118" s="61">
        <f>SUMIFS(Dashboard[ret_cc_hh],Dashboard[evaluation_adm2_name],Tableau75[[#This Row],[Departments]])</f>
        <v>0</v>
      </c>
      <c r="J118" s="61">
        <f>SUMIFS(Dashboard[ret_al_hh],Dashboard[evaluation_adm2_name],Tableau75[[#This Row],[Departments]])</f>
        <v>0</v>
      </c>
      <c r="K118" s="61">
        <f>SUMIFS(Dashboard[ret_fa_hh],Dashboard[evaluation_adm2_name],Tableau75[[#This Row],[Departments]])</f>
        <v>179</v>
      </c>
      <c r="L118" s="61">
        <f>SUMIFS(Dashboard[ret_hi_hh],Dashboard[evaluation_adm2_name],Tableau75[[#This Row],[Departments]])</f>
        <v>778</v>
      </c>
      <c r="M118" s="61">
        <f>SUM(Tableau75[[#This Row],[Spontaneous sites]:[Back Home]])</f>
        <v>1064</v>
      </c>
      <c r="N118" s="176"/>
      <c r="O118" s="59" t="s">
        <v>184</v>
      </c>
      <c r="P118" s="58">
        <f>Tableau75[[#This Row],[Spontaneous sites]]/Tableau75[[#This Row],[Total]]</f>
        <v>9.8684210526315791E-2</v>
      </c>
      <c r="Q118" s="58">
        <f>Tableau75[[#This Row],[Rental]]/Tableau75[[#This Row],[Total]]</f>
        <v>1.8796992481203006E-3</v>
      </c>
      <c r="R118" s="58">
        <f>Tableau75[[#This Row],[Collective]]/Tableau75[[#This Row],[Total]]</f>
        <v>0</v>
      </c>
      <c r="S118" s="58">
        <f>Tableau75[[#This Row],[Open air]]/Tableau75[[#This Row],[Total]]</f>
        <v>0</v>
      </c>
      <c r="T118" s="58">
        <f>Tableau75[[#This Row],[Host Families]]/Tableau75[[#This Row],[Total]]</f>
        <v>0.16823308270676693</v>
      </c>
      <c r="U118" s="58">
        <f>Tableau75[[#This Row],[Back Home]]/Tableau75[[#This Row],[Total]]</f>
        <v>0.73120300751879697</v>
      </c>
      <c r="V118" s="88">
        <f>SUM(Tableau77[[#This Row],[Spontaneous sites]:[Back Home]])</f>
        <v>1</v>
      </c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8"/>
    </row>
    <row r="119" spans="2:32" x14ac:dyDescent="0.25">
      <c r="B119" s="174"/>
      <c r="C119" s="114"/>
      <c r="D119" s="187"/>
      <c r="E119" s="176"/>
      <c r="F119" s="59" t="s">
        <v>218</v>
      </c>
      <c r="G119" s="61">
        <f>SUMIFS(Dashboard[ret_as_hh],Dashboard[evaluation_adm2_name],Tableau75[[#This Row],[Departments]])</f>
        <v>0</v>
      </c>
      <c r="H119" s="61">
        <f>SUMIFS(Dashboard[ret_loc_hh],Dashboard[evaluation_adm2_name],Tableau75[[#This Row],[Departments]])</f>
        <v>1</v>
      </c>
      <c r="I119" s="61">
        <f>SUMIFS(Dashboard[ret_cc_hh],Dashboard[evaluation_adm2_name],Tableau75[[#This Row],[Departments]])</f>
        <v>0</v>
      </c>
      <c r="J119" s="61">
        <f>SUMIFS(Dashboard[ret_al_hh],Dashboard[evaluation_adm2_name],Tableau75[[#This Row],[Departments]])</f>
        <v>0</v>
      </c>
      <c r="K119" s="61">
        <f>SUMIFS(Dashboard[ret_fa_hh],Dashboard[evaluation_adm2_name],Tableau75[[#This Row],[Departments]])</f>
        <v>102</v>
      </c>
      <c r="L119" s="61">
        <f>SUMIFS(Dashboard[ret_hi_hh],Dashboard[evaluation_adm2_name],Tableau75[[#This Row],[Departments]])</f>
        <v>5</v>
      </c>
      <c r="M119" s="61">
        <f>SUM(Tableau75[[#This Row],[Spontaneous sites]:[Back Home]])</f>
        <v>108</v>
      </c>
      <c r="N119" s="176"/>
      <c r="O119" s="59" t="s">
        <v>218</v>
      </c>
      <c r="P119" s="58">
        <f>Tableau75[[#This Row],[Spontaneous sites]]/Tableau75[[#This Row],[Total]]</f>
        <v>0</v>
      </c>
      <c r="Q119" s="58">
        <f>Tableau75[[#This Row],[Rental]]/Tableau75[[#This Row],[Total]]</f>
        <v>9.2592592592592587E-3</v>
      </c>
      <c r="R119" s="58">
        <f>Tableau75[[#This Row],[Collective]]/Tableau75[[#This Row],[Total]]</f>
        <v>0</v>
      </c>
      <c r="S119" s="58">
        <f>Tableau75[[#This Row],[Open air]]/Tableau75[[#This Row],[Total]]</f>
        <v>0</v>
      </c>
      <c r="T119" s="58">
        <f>Tableau75[[#This Row],[Host Families]]/Tableau75[[#This Row],[Total]]</f>
        <v>0.94444444444444442</v>
      </c>
      <c r="U119" s="58">
        <f>Tableau75[[#This Row],[Back Home]]/Tableau75[[#This Row],[Total]]</f>
        <v>4.6296296296296294E-2</v>
      </c>
      <c r="V119" s="88">
        <f>SUM(Tableau77[[#This Row],[Spontaneous sites]:[Back Home]])</f>
        <v>1</v>
      </c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8"/>
    </row>
    <row r="120" spans="2:32" x14ac:dyDescent="0.25">
      <c r="B120" s="174"/>
      <c r="C120" s="114"/>
      <c r="D120" s="187"/>
      <c r="E120" s="176"/>
      <c r="F120" s="59" t="s">
        <v>48</v>
      </c>
      <c r="G120" s="61">
        <f>SUMIFS(Dashboard[ret_as_hh],Dashboard[evaluation_adm2_name],Tableau75[[#This Row],[Departments]])</f>
        <v>0</v>
      </c>
      <c r="H120" s="61">
        <f>SUMIFS(Dashboard[ret_loc_hh],Dashboard[evaluation_adm2_name],Tableau75[[#This Row],[Departments]])</f>
        <v>0</v>
      </c>
      <c r="I120" s="61">
        <f>SUMIFS(Dashboard[ret_cc_hh],Dashboard[evaluation_adm2_name],Tableau75[[#This Row],[Departments]])</f>
        <v>0</v>
      </c>
      <c r="J120" s="61">
        <f>SUMIFS(Dashboard[ret_al_hh],Dashboard[evaluation_adm2_name],Tableau75[[#This Row],[Departments]])</f>
        <v>0</v>
      </c>
      <c r="K120" s="61">
        <f>SUMIFS(Dashboard[ret_fa_hh],Dashboard[evaluation_adm2_name],Tableau75[[#This Row],[Departments]])</f>
        <v>895</v>
      </c>
      <c r="L120" s="61">
        <f>SUMIFS(Dashboard[ret_hi_hh],Dashboard[evaluation_adm2_name],Tableau75[[#This Row],[Departments]])</f>
        <v>1704</v>
      </c>
      <c r="M120" s="61">
        <f>SUM(Tableau75[[#This Row],[Spontaneous sites]:[Back Home]])</f>
        <v>2599</v>
      </c>
      <c r="N120" s="176"/>
      <c r="O120" s="59" t="s">
        <v>48</v>
      </c>
      <c r="P120" s="58">
        <f>Tableau75[[#This Row],[Spontaneous sites]]/Tableau75[[#This Row],[Total]]</f>
        <v>0</v>
      </c>
      <c r="Q120" s="58">
        <f>Tableau75[[#This Row],[Rental]]/Tableau75[[#This Row],[Total]]</f>
        <v>0</v>
      </c>
      <c r="R120" s="58">
        <f>Tableau75[[#This Row],[Collective]]/Tableau75[[#This Row],[Total]]</f>
        <v>0</v>
      </c>
      <c r="S120" s="58">
        <f>Tableau75[[#This Row],[Open air]]/Tableau75[[#This Row],[Total]]</f>
        <v>0</v>
      </c>
      <c r="T120" s="58">
        <f>Tableau75[[#This Row],[Host Families]]/Tableau75[[#This Row],[Total]]</f>
        <v>0.3443632166217776</v>
      </c>
      <c r="U120" s="58">
        <f>Tableau75[[#This Row],[Back Home]]/Tableau75[[#This Row],[Total]]</f>
        <v>0.6556367833782224</v>
      </c>
      <c r="V120" s="88">
        <f>SUM(Tableau77[[#This Row],[Spontaneous sites]:[Back Home]])</f>
        <v>1</v>
      </c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8"/>
    </row>
    <row r="121" spans="2:32" x14ac:dyDescent="0.25">
      <c r="B121" s="174"/>
      <c r="C121" s="114"/>
      <c r="D121" s="187"/>
      <c r="E121" s="176"/>
      <c r="F121" s="59" t="s">
        <v>37</v>
      </c>
      <c r="G121" s="61">
        <f>SUMIFS(Dashboard[ret_as_hh],Dashboard[evaluation_adm2_name],Tableau75[[#This Row],[Departments]])</f>
        <v>0</v>
      </c>
      <c r="H121" s="61">
        <f>SUMIFS(Dashboard[ret_loc_hh],Dashboard[evaluation_adm2_name],Tableau75[[#This Row],[Departments]])</f>
        <v>259</v>
      </c>
      <c r="I121" s="61">
        <f>SUMIFS(Dashboard[ret_cc_hh],Dashboard[evaluation_adm2_name],Tableau75[[#This Row],[Departments]])</f>
        <v>0</v>
      </c>
      <c r="J121" s="61">
        <f>SUMIFS(Dashboard[ret_al_hh],Dashboard[evaluation_adm2_name],Tableau75[[#This Row],[Departments]])</f>
        <v>0</v>
      </c>
      <c r="K121" s="61">
        <f>SUMIFS(Dashboard[ret_fa_hh],Dashboard[evaluation_adm2_name],Tableau75[[#This Row],[Departments]])</f>
        <v>911</v>
      </c>
      <c r="L121" s="61">
        <f>SUMIFS(Dashboard[ret_hi_hh],Dashboard[evaluation_adm2_name],Tableau75[[#This Row],[Departments]])</f>
        <v>1859</v>
      </c>
      <c r="M121" s="61">
        <f>SUM(Tableau75[[#This Row],[Spontaneous sites]:[Back Home]])</f>
        <v>3029</v>
      </c>
      <c r="N121" s="176"/>
      <c r="O121" s="59" t="s">
        <v>37</v>
      </c>
      <c r="P121" s="58">
        <f>Tableau75[[#This Row],[Spontaneous sites]]/Tableau75[[#This Row],[Total]]</f>
        <v>0</v>
      </c>
      <c r="Q121" s="58">
        <f>Tableau75[[#This Row],[Rental]]/Tableau75[[#This Row],[Total]]</f>
        <v>8.5506767910201384E-2</v>
      </c>
      <c r="R121" s="58">
        <f>Tableau75[[#This Row],[Collective]]/Tableau75[[#This Row],[Total]]</f>
        <v>0</v>
      </c>
      <c r="S121" s="58">
        <f>Tableau75[[#This Row],[Open air]]/Tableau75[[#This Row],[Total]]</f>
        <v>0</v>
      </c>
      <c r="T121" s="58">
        <f>Tableau75[[#This Row],[Host Families]]/Tableau75[[#This Row],[Total]]</f>
        <v>0.30075932651039949</v>
      </c>
      <c r="U121" s="58">
        <f>Tableau75[[#This Row],[Back Home]]/Tableau75[[#This Row],[Total]]</f>
        <v>0.61373390557939911</v>
      </c>
      <c r="V121" s="88">
        <f>SUM(Tableau77[[#This Row],[Spontaneous sites]:[Back Home]])</f>
        <v>1</v>
      </c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8"/>
    </row>
    <row r="122" spans="2:32" x14ac:dyDescent="0.25">
      <c r="B122" s="174"/>
      <c r="C122" s="114"/>
      <c r="D122" s="187"/>
      <c r="E122" s="176"/>
      <c r="F122" s="59" t="s">
        <v>715</v>
      </c>
      <c r="G122" s="61">
        <f t="shared" ref="G122:L122" si="5">SUM(G116:G121)</f>
        <v>177</v>
      </c>
      <c r="H122" s="61">
        <f t="shared" si="5"/>
        <v>274</v>
      </c>
      <c r="I122" s="61">
        <f t="shared" si="5"/>
        <v>0</v>
      </c>
      <c r="J122" s="61">
        <f t="shared" si="5"/>
        <v>8</v>
      </c>
      <c r="K122" s="61">
        <f t="shared" si="5"/>
        <v>2293</v>
      </c>
      <c r="L122" s="61">
        <f t="shared" si="5"/>
        <v>8163</v>
      </c>
      <c r="M122" s="61">
        <f>SUM(Tableau75[Total])</f>
        <v>10915</v>
      </c>
      <c r="N122" s="176"/>
      <c r="O122" s="59" t="s">
        <v>715</v>
      </c>
      <c r="P122" s="59"/>
      <c r="Q122" s="59"/>
      <c r="R122" s="59"/>
      <c r="S122" s="59"/>
      <c r="T122" s="59"/>
      <c r="U122" s="59"/>
      <c r="V122" s="59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8"/>
    </row>
    <row r="123" spans="2:32" x14ac:dyDescent="0.25">
      <c r="B123" s="174"/>
      <c r="C123" s="114"/>
      <c r="D123" s="187"/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8"/>
    </row>
    <row r="124" spans="2:32" x14ac:dyDescent="0.25">
      <c r="B124" s="174"/>
      <c r="C124" s="114"/>
      <c r="D124" s="187"/>
      <c r="E124" s="176"/>
      <c r="F124" s="176"/>
      <c r="G124" s="176"/>
      <c r="H124" s="176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8"/>
    </row>
    <row r="125" spans="2:32" x14ac:dyDescent="0.25">
      <c r="B125" s="174"/>
      <c r="C125" s="114"/>
      <c r="D125" s="187"/>
      <c r="E125" s="176"/>
      <c r="F125" s="176"/>
      <c r="G125" s="176"/>
      <c r="H125" s="176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202"/>
      <c r="T125" s="202"/>
      <c r="U125" s="202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8"/>
    </row>
    <row r="126" spans="2:32" x14ac:dyDescent="0.25">
      <c r="B126" s="174"/>
      <c r="C126" s="114"/>
      <c r="D126" s="187"/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202"/>
      <c r="T126" s="202"/>
      <c r="U126" s="202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8"/>
    </row>
    <row r="127" spans="2:32" x14ac:dyDescent="0.25">
      <c r="B127" s="174"/>
      <c r="C127" s="114"/>
      <c r="D127" s="187"/>
      <c r="E127" s="176"/>
      <c r="F127" s="176"/>
      <c r="G127" s="176"/>
      <c r="H127" s="176"/>
      <c r="I127" s="176"/>
      <c r="J127" s="176"/>
      <c r="K127" s="176"/>
      <c r="L127" s="176"/>
      <c r="M127" s="176"/>
      <c r="N127" s="176"/>
      <c r="O127" s="98"/>
      <c r="P127" s="98"/>
      <c r="Q127" s="98"/>
      <c r="R127" s="179"/>
      <c r="S127" s="202"/>
      <c r="T127" s="202"/>
      <c r="U127" s="202"/>
      <c r="V127" s="179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8"/>
    </row>
    <row r="128" spans="2:32" x14ac:dyDescent="0.25">
      <c r="B128" s="174"/>
      <c r="C128" s="114"/>
      <c r="D128" s="187"/>
      <c r="E128" s="176"/>
      <c r="F128" s="176"/>
      <c r="G128" s="176"/>
      <c r="H128" s="176"/>
      <c r="I128" s="176"/>
      <c r="J128" s="176"/>
      <c r="K128" s="176"/>
      <c r="L128" s="176"/>
      <c r="M128" s="176"/>
      <c r="N128" s="176"/>
      <c r="O128" s="98"/>
      <c r="P128" s="98"/>
      <c r="Q128" s="98"/>
      <c r="R128" s="179"/>
      <c r="S128" s="202"/>
      <c r="T128" s="202"/>
      <c r="U128" s="202"/>
      <c r="V128" s="179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8"/>
    </row>
    <row r="129" spans="2:32" x14ac:dyDescent="0.25">
      <c r="B129" s="174"/>
      <c r="C129" s="114"/>
      <c r="D129" s="187"/>
      <c r="E129" s="176"/>
      <c r="F129" s="176"/>
      <c r="G129" s="176"/>
      <c r="H129" s="176"/>
      <c r="I129" s="176"/>
      <c r="J129" s="176"/>
      <c r="K129" s="176"/>
      <c r="L129" s="176"/>
      <c r="M129" s="176"/>
      <c r="N129" s="176"/>
      <c r="O129" s="98"/>
      <c r="P129" s="98"/>
      <c r="Q129" s="98"/>
      <c r="R129" s="179"/>
      <c r="S129" s="202"/>
      <c r="T129" s="202"/>
      <c r="U129" s="202"/>
      <c r="V129" s="179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8"/>
    </row>
    <row r="130" spans="2:32" x14ac:dyDescent="0.25">
      <c r="B130" s="174"/>
      <c r="C130" s="114"/>
      <c r="D130" s="187"/>
      <c r="E130" s="176"/>
      <c r="F130" s="176"/>
      <c r="G130" s="176"/>
      <c r="H130" s="176"/>
      <c r="I130" s="176"/>
      <c r="J130" s="176"/>
      <c r="K130" s="176"/>
      <c r="L130" s="176"/>
      <c r="M130" s="176"/>
      <c r="N130" s="176"/>
      <c r="O130" s="98"/>
      <c r="P130" s="98"/>
      <c r="Q130" s="98"/>
      <c r="R130" s="179"/>
      <c r="S130" s="179"/>
      <c r="T130" s="179"/>
      <c r="U130" s="179"/>
      <c r="V130" s="179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8"/>
    </row>
    <row r="131" spans="2:32" x14ac:dyDescent="0.25">
      <c r="B131" s="174"/>
      <c r="C131" s="114"/>
      <c r="D131" s="187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98"/>
      <c r="P131" s="98"/>
      <c r="Q131" s="98"/>
      <c r="R131" s="179"/>
      <c r="S131" s="179"/>
      <c r="T131" s="179"/>
      <c r="U131" s="179"/>
      <c r="V131" s="179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8"/>
    </row>
    <row r="132" spans="2:32" x14ac:dyDescent="0.25">
      <c r="B132" s="174"/>
      <c r="C132" s="114"/>
      <c r="D132" s="187"/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8"/>
    </row>
    <row r="133" spans="2:32" x14ac:dyDescent="0.25">
      <c r="B133" s="174"/>
      <c r="C133" s="114"/>
      <c r="D133" s="187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8"/>
    </row>
    <row r="134" spans="2:32" x14ac:dyDescent="0.25">
      <c r="B134" s="174"/>
      <c r="C134" s="114"/>
      <c r="D134" s="187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8"/>
    </row>
    <row r="135" spans="2:32" x14ac:dyDescent="0.25">
      <c r="B135" s="174"/>
      <c r="C135" s="114"/>
      <c r="D135" s="187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8"/>
    </row>
    <row r="136" spans="2:32" x14ac:dyDescent="0.25">
      <c r="B136" s="174"/>
      <c r="C136" s="188"/>
      <c r="D136" s="186"/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8"/>
    </row>
    <row r="137" spans="2:32" ht="15.75" thickBot="1" x14ac:dyDescent="0.3">
      <c r="B137" s="191"/>
      <c r="C137" s="192"/>
      <c r="D137" s="192"/>
      <c r="E137" s="192"/>
      <c r="F137" s="192"/>
      <c r="G137" s="192"/>
      <c r="H137" s="192"/>
      <c r="I137" s="192"/>
      <c r="J137" s="192"/>
      <c r="K137" s="192"/>
      <c r="L137" s="192"/>
      <c r="M137" s="192"/>
      <c r="N137" s="192"/>
      <c r="O137" s="192"/>
      <c r="P137" s="192"/>
      <c r="Q137" s="192"/>
      <c r="R137" s="192"/>
      <c r="S137" s="192"/>
      <c r="T137" s="192"/>
      <c r="U137" s="192"/>
      <c r="V137" s="192"/>
      <c r="W137" s="192"/>
      <c r="X137" s="192"/>
      <c r="Y137" s="192"/>
      <c r="Z137" s="192"/>
      <c r="AA137" s="192"/>
      <c r="AB137" s="192"/>
      <c r="AC137" s="192"/>
      <c r="AD137" s="192"/>
      <c r="AE137" s="192"/>
      <c r="AF137" s="193"/>
    </row>
    <row r="140" spans="2:32" ht="15.75" thickBot="1" x14ac:dyDescent="0.3"/>
    <row r="141" spans="2:32" x14ac:dyDescent="0.25">
      <c r="B141" s="171"/>
      <c r="C141" s="172"/>
      <c r="D141" s="172"/>
      <c r="E141" s="172"/>
      <c r="F141" s="203" t="s">
        <v>1917</v>
      </c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3"/>
    </row>
    <row r="142" spans="2:32" x14ac:dyDescent="0.25">
      <c r="B142" s="174"/>
      <c r="C142" s="176"/>
      <c r="D142" s="176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8"/>
    </row>
    <row r="143" spans="2:32" x14ac:dyDescent="0.25">
      <c r="B143" s="174"/>
      <c r="C143" s="176"/>
      <c r="D143" s="176"/>
      <c r="E143" s="176"/>
      <c r="F143" s="56" t="s">
        <v>1795</v>
      </c>
      <c r="G143" s="56" t="s">
        <v>2018</v>
      </c>
      <c r="H143" s="56" t="s">
        <v>857</v>
      </c>
      <c r="I143" s="56" t="s">
        <v>1799</v>
      </c>
      <c r="J143" s="56" t="s">
        <v>1796</v>
      </c>
      <c r="K143" s="56" t="s">
        <v>1800</v>
      </c>
      <c r="L143" s="56" t="s">
        <v>1745</v>
      </c>
      <c r="M143" s="56" t="s">
        <v>715</v>
      </c>
      <c r="N143" s="182"/>
      <c r="O143" s="56" t="s">
        <v>1795</v>
      </c>
      <c r="P143" s="56" t="s">
        <v>1798</v>
      </c>
      <c r="Q143" s="56" t="s">
        <v>857</v>
      </c>
      <c r="R143" s="56" t="s">
        <v>1799</v>
      </c>
      <c r="S143" s="56" t="s">
        <v>1796</v>
      </c>
      <c r="T143" s="56" t="s">
        <v>1800</v>
      </c>
      <c r="U143" s="56" t="s">
        <v>1745</v>
      </c>
      <c r="V143" s="56" t="s">
        <v>715</v>
      </c>
      <c r="W143" s="176"/>
      <c r="X143" s="178"/>
    </row>
    <row r="144" spans="2:32" x14ac:dyDescent="0.25">
      <c r="B144" s="174"/>
      <c r="C144" s="176"/>
      <c r="D144" s="176"/>
      <c r="E144" s="176"/>
      <c r="F144" s="60" t="s">
        <v>24</v>
      </c>
      <c r="G144" s="6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84</v>
      </c>
      <c r="H144" s="6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566</v>
      </c>
      <c r="I144" s="6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0</v>
      </c>
      <c r="J144" s="6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0</v>
      </c>
      <c r="K144" s="6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340</v>
      </c>
      <c r="L144" s="61">
        <f>SUMIFS(Dashboard[ret_hi_hh],Dashboard[evaluation_adm2_name],Tableau53[[#This Row],[Départements]])</f>
        <v>3</v>
      </c>
      <c r="M144" s="61">
        <f>SUM(G144:L144)</f>
        <v>993</v>
      </c>
      <c r="N144" s="180"/>
      <c r="O144" s="60" t="s">
        <v>24</v>
      </c>
      <c r="P144" s="57">
        <f>Tableau53[[#This Row],[Site spontané]]/Tableau53[[#This Row],[Total]]</f>
        <v>8.4592145015105744E-2</v>
      </c>
      <c r="Q144" s="57">
        <f>Tableau53[[#This Row],[Location]]/Tableau53[[#This Row],[Total]]</f>
        <v>0.56998992950654581</v>
      </c>
      <c r="R144" s="57">
        <f>Tableau53[[#This Row],[Collectif]]/Tableau53[[#This Row],[Total]]</f>
        <v>0</v>
      </c>
      <c r="S144" s="57">
        <f>Tableau53[[#This Row],[Plein-air]]/Tableau53[[#This Row],[Total]]</f>
        <v>0</v>
      </c>
      <c r="T144" s="57">
        <f>Tableau53[[#This Row],[Famille d''accueil]]/Tableau53[[#This Row],[Total]]</f>
        <v>0.34239677744209468</v>
      </c>
      <c r="U144" s="57">
        <f>Tableau53[[#This Row],[Domicile Personnel]]/Tableau53[[#This Row],[Total]]</f>
        <v>3.0211480362537764E-3</v>
      </c>
      <c r="V144" s="57">
        <f>SUM(Tableau79[[#This Row],[Spontané]:[Domicile Personnel]])</f>
        <v>0.99999999999999989</v>
      </c>
      <c r="W144" s="176"/>
      <c r="X144" s="178"/>
    </row>
    <row r="145" spans="2:24" x14ac:dyDescent="0.25">
      <c r="B145" s="174"/>
      <c r="C145" s="176"/>
      <c r="D145" s="176"/>
      <c r="E145" s="176"/>
      <c r="F145" s="60" t="s">
        <v>85</v>
      </c>
      <c r="G145" s="6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6272</v>
      </c>
      <c r="H145" s="6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3519</v>
      </c>
      <c r="I145" s="6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0</v>
      </c>
      <c r="J145" s="6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115</v>
      </c>
      <c r="K145" s="6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15422</v>
      </c>
      <c r="L145" s="61">
        <f>SUMIFS(Dashboard[ret_hi_hh],Dashboard[evaluation_adm2_name],Tableau53[[#This Row],[Départements]])</f>
        <v>3814</v>
      </c>
      <c r="M145" s="61">
        <f t="shared" ref="M145:M149" si="6">SUM(G145:L145)</f>
        <v>29142</v>
      </c>
      <c r="N145" s="180"/>
      <c r="O145" s="60" t="s">
        <v>85</v>
      </c>
      <c r="P145" s="57">
        <f>Tableau53[[#This Row],[Site spontané]]/Tableau53[[#This Row],[Total]]</f>
        <v>0.21522201633381374</v>
      </c>
      <c r="Q145" s="57">
        <f>Tableau53[[#This Row],[Location]]/Tableau53[[#This Row],[Total]]</f>
        <v>0.12075355157504633</v>
      </c>
      <c r="R145" s="57">
        <f>Tableau53[[#This Row],[Collectif]]/Tableau53[[#This Row],[Total]]</f>
        <v>0</v>
      </c>
      <c r="S145" s="57">
        <f>Tableau53[[#This Row],[Plein-air]]/Tableau53[[#This Row],[Total]]</f>
        <v>3.9461944959165466E-3</v>
      </c>
      <c r="T145" s="57">
        <f>Tableau53[[#This Row],[Famille d''accueil]]/Tableau53[[#This Row],[Total]]</f>
        <v>0.52920183926978248</v>
      </c>
      <c r="U145" s="57">
        <f>Tableau53[[#This Row],[Domicile Personnel]]/Tableau53[[#This Row],[Total]]</f>
        <v>0.13087639832544096</v>
      </c>
      <c r="V145" s="57">
        <f>SUM(Tableau79[[#This Row],[Spontané]:[Domicile Personnel]])</f>
        <v>1</v>
      </c>
      <c r="W145" s="176"/>
      <c r="X145" s="178"/>
    </row>
    <row r="146" spans="2:24" x14ac:dyDescent="0.25">
      <c r="B146" s="174"/>
      <c r="C146" s="176"/>
      <c r="D146" s="176"/>
      <c r="E146" s="176"/>
      <c r="F146" s="60" t="s">
        <v>184</v>
      </c>
      <c r="G146" s="6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859</v>
      </c>
      <c r="H146" s="6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104</v>
      </c>
      <c r="I146" s="6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184</v>
      </c>
      <c r="J146" s="6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2</v>
      </c>
      <c r="K146" s="6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649</v>
      </c>
      <c r="L146" s="61">
        <f>SUMIFS(Dashboard[ret_hi_hh],Dashboard[evaluation_adm2_name],Tableau53[[#This Row],[Départements]])</f>
        <v>778</v>
      </c>
      <c r="M146" s="61">
        <f t="shared" si="6"/>
        <v>2576</v>
      </c>
      <c r="N146" s="180"/>
      <c r="O146" s="60" t="s">
        <v>184</v>
      </c>
      <c r="P146" s="57">
        <f>Tableau53[[#This Row],[Site spontané]]/Tableau53[[#This Row],[Total]]</f>
        <v>0.33346273291925466</v>
      </c>
      <c r="Q146" s="57">
        <f>Tableau53[[#This Row],[Location]]/Tableau53[[#This Row],[Total]]</f>
        <v>4.0372670807453416E-2</v>
      </c>
      <c r="R146" s="57">
        <f>Tableau53[[#This Row],[Collectif]]/Tableau53[[#This Row],[Total]]</f>
        <v>7.1428571428571425E-2</v>
      </c>
      <c r="S146" s="57">
        <f>Tableau53[[#This Row],[Plein-air]]/Tableau53[[#This Row],[Total]]</f>
        <v>7.7639751552795026E-4</v>
      </c>
      <c r="T146" s="57">
        <f>Tableau53[[#This Row],[Famille d''accueil]]/Tableau53[[#This Row],[Total]]</f>
        <v>0.2519409937888199</v>
      </c>
      <c r="U146" s="57">
        <f>Tableau53[[#This Row],[Domicile Personnel]]/Tableau53[[#This Row],[Total]]</f>
        <v>0.30201863354037267</v>
      </c>
      <c r="V146" s="57">
        <f>SUM(Tableau79[[#This Row],[Spontané]:[Domicile Personnel]])</f>
        <v>1</v>
      </c>
      <c r="W146" s="176"/>
      <c r="X146" s="178"/>
    </row>
    <row r="147" spans="2:24" x14ac:dyDescent="0.25">
      <c r="B147" s="174"/>
      <c r="C147" s="176"/>
      <c r="D147" s="176"/>
      <c r="E147" s="176"/>
      <c r="F147" s="60" t="s">
        <v>218</v>
      </c>
      <c r="G147" s="6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0</v>
      </c>
      <c r="H147" s="6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7</v>
      </c>
      <c r="I147" s="6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0</v>
      </c>
      <c r="J147" s="6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0</v>
      </c>
      <c r="K147" s="6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118</v>
      </c>
      <c r="L147" s="61">
        <f>SUMIFS(Dashboard[ret_hi_hh],Dashboard[evaluation_adm2_name],Tableau53[[#This Row],[Départements]])</f>
        <v>5</v>
      </c>
      <c r="M147" s="61">
        <f t="shared" si="6"/>
        <v>130</v>
      </c>
      <c r="N147" s="180"/>
      <c r="O147" s="60" t="s">
        <v>218</v>
      </c>
      <c r="P147" s="57">
        <f>Tableau53[[#This Row],[Site spontané]]/Tableau53[[#This Row],[Total]]</f>
        <v>0</v>
      </c>
      <c r="Q147" s="57">
        <f>Tableau53[[#This Row],[Location]]/Tableau53[[#This Row],[Total]]</f>
        <v>5.3846153846153849E-2</v>
      </c>
      <c r="R147" s="57">
        <f>Tableau53[[#This Row],[Collectif]]/Tableau53[[#This Row],[Total]]</f>
        <v>0</v>
      </c>
      <c r="S147" s="57">
        <f>Tableau53[[#This Row],[Plein-air]]/Tableau53[[#This Row],[Total]]</f>
        <v>0</v>
      </c>
      <c r="T147" s="57">
        <f>Tableau53[[#This Row],[Famille d''accueil]]/Tableau53[[#This Row],[Total]]</f>
        <v>0.90769230769230769</v>
      </c>
      <c r="U147" s="57">
        <f>Tableau53[[#This Row],[Domicile Personnel]]/Tableau53[[#This Row],[Total]]</f>
        <v>3.8461538461538464E-2</v>
      </c>
      <c r="V147" s="57">
        <f>SUM(Tableau79[[#This Row],[Spontané]:[Domicile Personnel]])</f>
        <v>1</v>
      </c>
      <c r="W147" s="176"/>
      <c r="X147" s="178"/>
    </row>
    <row r="148" spans="2:24" x14ac:dyDescent="0.25">
      <c r="B148" s="174"/>
      <c r="C148" s="176"/>
      <c r="D148" s="176"/>
      <c r="E148" s="176"/>
      <c r="F148" s="60" t="s">
        <v>48</v>
      </c>
      <c r="G148" s="6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5244</v>
      </c>
      <c r="H148" s="6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3168</v>
      </c>
      <c r="I148" s="6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15</v>
      </c>
      <c r="J148" s="6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0</v>
      </c>
      <c r="K148" s="6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2980</v>
      </c>
      <c r="L148" s="61">
        <f>SUMIFS(Dashboard[ret_hi_hh],Dashboard[evaluation_adm2_name],Tableau53[[#This Row],[Départements]])</f>
        <v>1704</v>
      </c>
      <c r="M148" s="61">
        <f t="shared" si="6"/>
        <v>13111</v>
      </c>
      <c r="N148" s="180"/>
      <c r="O148" s="60" t="s">
        <v>48</v>
      </c>
      <c r="P148" s="57">
        <f>Tableau53[[#This Row],[Site spontané]]/Tableau53[[#This Row],[Total]]</f>
        <v>0.39996949126687514</v>
      </c>
      <c r="Q148" s="57">
        <f>Tableau53[[#This Row],[Location]]/Tableau53[[#This Row],[Total]]</f>
        <v>0.24162916634886736</v>
      </c>
      <c r="R148" s="57">
        <f>Tableau53[[#This Row],[Collectif]]/Tableau53[[#This Row],[Total]]</f>
        <v>1.1440774921821371E-3</v>
      </c>
      <c r="S148" s="57">
        <f>Tableau53[[#This Row],[Plein-air]]/Tableau53[[#This Row],[Total]]</f>
        <v>0</v>
      </c>
      <c r="T148" s="57">
        <f>Tableau53[[#This Row],[Famille d''accueil]]/Tableau53[[#This Row],[Total]]</f>
        <v>0.22729006178018457</v>
      </c>
      <c r="U148" s="57">
        <f>Tableau53[[#This Row],[Domicile Personnel]]/Tableau53[[#This Row],[Total]]</f>
        <v>0.12996720311189078</v>
      </c>
      <c r="V148" s="57">
        <f>SUM(Tableau79[[#This Row],[Spontané]:[Domicile Personnel]])</f>
        <v>1</v>
      </c>
      <c r="W148" s="176"/>
      <c r="X148" s="178"/>
    </row>
    <row r="149" spans="2:24" x14ac:dyDescent="0.25">
      <c r="B149" s="174"/>
      <c r="C149" s="176"/>
      <c r="D149" s="176"/>
      <c r="E149" s="176"/>
      <c r="F149" s="60" t="s">
        <v>37</v>
      </c>
      <c r="G149" s="6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121</v>
      </c>
      <c r="H149" s="6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1390</v>
      </c>
      <c r="I149" s="6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1009</v>
      </c>
      <c r="J149" s="6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256</v>
      </c>
      <c r="K149" s="6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5961</v>
      </c>
      <c r="L149" s="61">
        <f>SUMIFS(Dashboard[ret_hi_hh],Dashboard[evaluation_adm2_name],Tableau53[[#This Row],[Départements]])</f>
        <v>1859</v>
      </c>
      <c r="M149" s="61">
        <f t="shared" si="6"/>
        <v>10596</v>
      </c>
      <c r="N149" s="180"/>
      <c r="O149" s="60" t="s">
        <v>37</v>
      </c>
      <c r="P149" s="57">
        <f>Tableau53[[#This Row],[Site spontané]]/Tableau53[[#This Row],[Total]]</f>
        <v>1.1419403548508872E-2</v>
      </c>
      <c r="Q149" s="57">
        <f>Tableau53[[#This Row],[Location]]/Tableau53[[#This Row],[Total]]</f>
        <v>0.13118157795394489</v>
      </c>
      <c r="R149" s="57">
        <f>Tableau53[[#This Row],[Collectif]]/Tableau53[[#This Row],[Total]]</f>
        <v>9.5224613061532654E-2</v>
      </c>
      <c r="S149" s="57">
        <f>Tableau53[[#This Row],[Plein-air]]/Tableau53[[#This Row],[Total]]</f>
        <v>2.4160060400151E-2</v>
      </c>
      <c r="T149" s="57">
        <f>Tableau53[[#This Row],[Famille d''accueil]]/Tableau53[[#This Row],[Total]]</f>
        <v>0.5625707814269536</v>
      </c>
      <c r="U149" s="57">
        <f>Tableau53[[#This Row],[Domicile Personnel]]/Tableau53[[#This Row],[Total]]</f>
        <v>0.17544356360890903</v>
      </c>
      <c r="V149" s="57">
        <f>SUM(Tableau79[[#This Row],[Spontané]:[Domicile Personnel]])</f>
        <v>1</v>
      </c>
      <c r="W149" s="176"/>
      <c r="X149" s="178"/>
    </row>
    <row r="150" spans="2:24" x14ac:dyDescent="0.25">
      <c r="B150" s="174"/>
      <c r="C150" s="176"/>
      <c r="D150" s="176"/>
      <c r="E150" s="176"/>
      <c r="F150" s="62"/>
      <c r="G150" s="77">
        <f>SUBTOTAL(109,Tableau53[Site spontané])</f>
        <v>12580</v>
      </c>
      <c r="H150" s="77">
        <f>SUBTOTAL(109,Tableau53[Location])</f>
        <v>8754</v>
      </c>
      <c r="I150" s="77">
        <f>SUBTOTAL(109,Tableau53[Collectif])</f>
        <v>1208</v>
      </c>
      <c r="J150" s="77">
        <f>SUBTOTAL(109,Tableau53[Plein-air])</f>
        <v>373</v>
      </c>
      <c r="K150" s="77">
        <f>SUBTOTAL(109,Tableau53[Famille d''accueil])</f>
        <v>25470</v>
      </c>
      <c r="L150" s="77">
        <f>SUBTOTAL(109,Tableau53[Domicile Personnel])</f>
        <v>8163</v>
      </c>
      <c r="M150" s="77">
        <f>SUBTOTAL(109,Tableau53[Total])</f>
        <v>56548</v>
      </c>
      <c r="N150" s="204"/>
      <c r="O150" s="176"/>
      <c r="P150" s="176"/>
      <c r="Q150" s="176"/>
      <c r="R150" s="176"/>
      <c r="S150" s="176"/>
      <c r="T150" s="176"/>
      <c r="U150" s="176"/>
      <c r="V150" s="176"/>
      <c r="W150" s="176"/>
      <c r="X150" s="178"/>
    </row>
    <row r="151" spans="2:24" x14ac:dyDescent="0.25">
      <c r="B151" s="174"/>
      <c r="C151" s="176"/>
      <c r="D151" s="176"/>
      <c r="E151" s="176"/>
      <c r="F151" s="176"/>
      <c r="G151" s="181">
        <f>Tableau53[[#Totals],[Site spontané]]/Tableau53[[#Totals],[Total]]</f>
        <v>0.22246586970361462</v>
      </c>
      <c r="H151" s="181">
        <f>Tableau53[[#Totals],[Location]]/Tableau53[[#Totals],[Total]]</f>
        <v>0.15480653604017824</v>
      </c>
      <c r="I151" s="181">
        <f>Tableau53[[#Totals],[Collectif]]/Tableau53[[#Totals],[Total]]</f>
        <v>2.1362382400792246E-2</v>
      </c>
      <c r="J151" s="181">
        <f>Tableau53[[#Totals],[Plein-air]]/Tableau53[[#Totals],[Total]]</f>
        <v>6.5961660889863475E-3</v>
      </c>
      <c r="K151" s="181">
        <f>Tableau53[[#Totals],[Famille d''accueil]]/Tableau53[[#Totals],[Total]]</f>
        <v>0.45041380773855838</v>
      </c>
      <c r="L151" s="181">
        <f>Tableau53[[#Totals],[Domicile Personnel]]/Tableau53[[#Totals],[Total]]</f>
        <v>0.14435523802787012</v>
      </c>
      <c r="M151" s="200">
        <f>SUM(G151:L151)</f>
        <v>0.99999999999999989</v>
      </c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8"/>
    </row>
    <row r="152" spans="2:24" x14ac:dyDescent="0.25">
      <c r="B152" s="174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8"/>
    </row>
    <row r="153" spans="2:24" x14ac:dyDescent="0.25">
      <c r="B153" s="174"/>
      <c r="C153" s="176"/>
      <c r="D153" s="176"/>
      <c r="E153" s="176"/>
      <c r="F153" s="176"/>
      <c r="G153" s="176"/>
      <c r="H153" s="176"/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8"/>
    </row>
    <row r="154" spans="2:24" x14ac:dyDescent="0.25">
      <c r="B154" s="174"/>
      <c r="C154" s="176"/>
      <c r="D154" s="176"/>
      <c r="E154" s="176"/>
      <c r="F154" s="176"/>
      <c r="G154" s="176"/>
      <c r="H154" s="176"/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8"/>
    </row>
    <row r="155" spans="2:24" x14ac:dyDescent="0.25">
      <c r="B155" s="174"/>
      <c r="C155" s="176"/>
      <c r="D155" s="176"/>
      <c r="E155" s="176"/>
      <c r="F155" s="176"/>
      <c r="G155" s="176"/>
      <c r="H155" s="17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8"/>
    </row>
    <row r="156" spans="2:24" x14ac:dyDescent="0.25">
      <c r="B156" s="174"/>
      <c r="C156" s="176"/>
      <c r="D156" s="176"/>
      <c r="E156" s="176"/>
      <c r="F156" s="175" t="s">
        <v>1918</v>
      </c>
      <c r="G156" s="176"/>
      <c r="H156" s="176"/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8"/>
    </row>
    <row r="157" spans="2:24" x14ac:dyDescent="0.25">
      <c r="B157" s="174"/>
      <c r="C157" s="176"/>
      <c r="D157" s="176"/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8"/>
    </row>
    <row r="158" spans="2:24" x14ac:dyDescent="0.25">
      <c r="B158" s="174"/>
      <c r="C158" s="176"/>
      <c r="D158" s="176"/>
      <c r="E158" s="176"/>
      <c r="F158" s="56" t="s">
        <v>719</v>
      </c>
      <c r="G158" s="56" t="s">
        <v>2019</v>
      </c>
      <c r="H158" s="56" t="s">
        <v>756</v>
      </c>
      <c r="I158" s="56" t="s">
        <v>1743</v>
      </c>
      <c r="J158" s="56" t="s">
        <v>1744</v>
      </c>
      <c r="K158" s="56" t="s">
        <v>755</v>
      </c>
      <c r="L158" s="56" t="s">
        <v>854</v>
      </c>
      <c r="M158" s="56" t="s">
        <v>715</v>
      </c>
      <c r="N158" s="176"/>
      <c r="O158" s="56" t="s">
        <v>719</v>
      </c>
      <c r="P158" s="56" t="s">
        <v>2019</v>
      </c>
      <c r="Q158" s="56" t="s">
        <v>756</v>
      </c>
      <c r="R158" s="56" t="s">
        <v>1743</v>
      </c>
      <c r="S158" s="56" t="s">
        <v>1744</v>
      </c>
      <c r="T158" s="56" t="s">
        <v>755</v>
      </c>
      <c r="U158" s="56" t="s">
        <v>854</v>
      </c>
      <c r="V158" s="56" t="s">
        <v>715</v>
      </c>
      <c r="W158" s="176"/>
      <c r="X158" s="178"/>
    </row>
    <row r="159" spans="2:24" x14ac:dyDescent="0.25">
      <c r="B159" s="174"/>
      <c r="C159" s="176"/>
      <c r="D159" s="176"/>
      <c r="E159" s="176"/>
      <c r="F159" s="59" t="s">
        <v>24</v>
      </c>
      <c r="G159" s="6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84</v>
      </c>
      <c r="H159" s="6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566</v>
      </c>
      <c r="I159" s="6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0</v>
      </c>
      <c r="J159" s="6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0</v>
      </c>
      <c r="K159" s="6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340</v>
      </c>
      <c r="L159" s="61">
        <f>SUMIFS(Dashboard[ret_hi_hh],Dashboard[evaluation_adm2_name],Tableau55[[#This Row],[Departments]])</f>
        <v>3</v>
      </c>
      <c r="M159" s="76">
        <f>SUM(G159:L159)</f>
        <v>993</v>
      </c>
      <c r="N159" s="176"/>
      <c r="O159" s="59" t="s">
        <v>24</v>
      </c>
      <c r="P159" s="63">
        <f>Tableau55[[#This Row],[Spontaneous sites]]/Tableau55[[#This Row],[Total]]</f>
        <v>8.4592145015105744E-2</v>
      </c>
      <c r="Q159" s="63">
        <f>Tableau55[[#This Row],[Rental]]/Tableau55[[#This Row],[Total]]</f>
        <v>0.56998992950654581</v>
      </c>
      <c r="R159" s="63">
        <f>Tableau55[[#This Row],[Collective]]/Tableau55[[#This Row],[Total]]</f>
        <v>0</v>
      </c>
      <c r="S159" s="63">
        <f>Tableau55[[#This Row],[Open air]]/Tableau55[[#This Row],[Total]]</f>
        <v>0</v>
      </c>
      <c r="T159" s="63">
        <f>Tableau55[[#This Row],[Host Families]]/Tableau55[[#This Row],[Total]]</f>
        <v>0.34239677744209468</v>
      </c>
      <c r="U159" s="63">
        <f>Tableau55[[#This Row],[Back Home]]/Tableau55[[#This Row],[Total]]</f>
        <v>3.0211480362537764E-3</v>
      </c>
      <c r="V159" s="63">
        <f>SUM(Tableau80[[#This Row],[Spontaneous sites]:[Back Home]])</f>
        <v>0.99999999999999989</v>
      </c>
      <c r="W159" s="176"/>
      <c r="X159" s="178"/>
    </row>
    <row r="160" spans="2:24" x14ac:dyDescent="0.25">
      <c r="B160" s="174"/>
      <c r="C160" s="176"/>
      <c r="D160" s="176"/>
      <c r="E160" s="176"/>
      <c r="F160" s="59" t="s">
        <v>85</v>
      </c>
      <c r="G160" s="6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6272</v>
      </c>
      <c r="H160" s="6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3519</v>
      </c>
      <c r="I160" s="6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0</v>
      </c>
      <c r="J160" s="6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115</v>
      </c>
      <c r="K160" s="6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15422</v>
      </c>
      <c r="L160" s="61">
        <f>SUMIFS(Dashboard[ret_hi_hh],Dashboard[evaluation_adm2_name],Tableau55[[#This Row],[Departments]])</f>
        <v>3814</v>
      </c>
      <c r="M160" s="76">
        <f t="shared" ref="M160:M164" si="7">SUM(G160:L160)</f>
        <v>29142</v>
      </c>
      <c r="N160" s="176"/>
      <c r="O160" s="59" t="s">
        <v>85</v>
      </c>
      <c r="P160" s="63">
        <f>Tableau55[[#This Row],[Spontaneous sites]]/Tableau55[[#This Row],[Total]]</f>
        <v>0.21522201633381374</v>
      </c>
      <c r="Q160" s="63">
        <f>Tableau55[[#This Row],[Rental]]/Tableau55[[#This Row],[Total]]</f>
        <v>0.12075355157504633</v>
      </c>
      <c r="R160" s="63">
        <f>Tableau55[[#This Row],[Collective]]/Tableau55[[#This Row],[Total]]</f>
        <v>0</v>
      </c>
      <c r="S160" s="63">
        <f>Tableau55[[#This Row],[Open air]]/Tableau55[[#This Row],[Total]]</f>
        <v>3.9461944959165466E-3</v>
      </c>
      <c r="T160" s="63">
        <f>Tableau55[[#This Row],[Host Families]]/Tableau55[[#This Row],[Total]]</f>
        <v>0.52920183926978248</v>
      </c>
      <c r="U160" s="63">
        <f>Tableau55[[#This Row],[Back Home]]/Tableau55[[#This Row],[Total]]</f>
        <v>0.13087639832544096</v>
      </c>
      <c r="V160" s="63">
        <f>SUM(Tableau80[[#This Row],[Spontaneous sites]:[Back Home]])</f>
        <v>1</v>
      </c>
      <c r="W160" s="176"/>
      <c r="X160" s="178"/>
    </row>
    <row r="161" spans="2:24" x14ac:dyDescent="0.25">
      <c r="B161" s="174"/>
      <c r="C161" s="176"/>
      <c r="D161" s="176"/>
      <c r="E161" s="176"/>
      <c r="F161" s="59" t="s">
        <v>184</v>
      </c>
      <c r="G161" s="6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859</v>
      </c>
      <c r="H161" s="6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104</v>
      </c>
      <c r="I161" s="6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184</v>
      </c>
      <c r="J161" s="6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2</v>
      </c>
      <c r="K161" s="6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649</v>
      </c>
      <c r="L161" s="61">
        <f>SUMIFS(Dashboard[ret_hi_hh],Dashboard[evaluation_adm2_name],Tableau55[[#This Row],[Departments]])</f>
        <v>778</v>
      </c>
      <c r="M161" s="76">
        <f t="shared" si="7"/>
        <v>2576</v>
      </c>
      <c r="N161" s="176"/>
      <c r="O161" s="59" t="s">
        <v>184</v>
      </c>
      <c r="P161" s="63">
        <f>Tableau55[[#This Row],[Spontaneous sites]]/Tableau55[[#This Row],[Total]]</f>
        <v>0.33346273291925466</v>
      </c>
      <c r="Q161" s="63">
        <f>Tableau55[[#This Row],[Rental]]/Tableau55[[#This Row],[Total]]</f>
        <v>4.0372670807453416E-2</v>
      </c>
      <c r="R161" s="63">
        <f>Tableau55[[#This Row],[Collective]]/Tableau55[[#This Row],[Total]]</f>
        <v>7.1428571428571425E-2</v>
      </c>
      <c r="S161" s="63">
        <f>Tableau55[[#This Row],[Open air]]/Tableau55[[#This Row],[Total]]</f>
        <v>7.7639751552795026E-4</v>
      </c>
      <c r="T161" s="63">
        <f>Tableau55[[#This Row],[Host Families]]/Tableau55[[#This Row],[Total]]</f>
        <v>0.2519409937888199</v>
      </c>
      <c r="U161" s="63">
        <f>Tableau55[[#This Row],[Back Home]]/Tableau55[[#This Row],[Total]]</f>
        <v>0.30201863354037267</v>
      </c>
      <c r="V161" s="63">
        <f>SUM(Tableau80[[#This Row],[Spontaneous sites]:[Back Home]])</f>
        <v>1</v>
      </c>
      <c r="W161" s="176"/>
      <c r="X161" s="178"/>
    </row>
    <row r="162" spans="2:24" x14ac:dyDescent="0.25">
      <c r="B162" s="174"/>
      <c r="C162" s="176"/>
      <c r="D162" s="176"/>
      <c r="E162" s="176"/>
      <c r="F162" s="59" t="s">
        <v>218</v>
      </c>
      <c r="G162" s="6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0</v>
      </c>
      <c r="H162" s="6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7</v>
      </c>
      <c r="I162" s="6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0</v>
      </c>
      <c r="J162" s="6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0</v>
      </c>
      <c r="K162" s="6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118</v>
      </c>
      <c r="L162" s="61">
        <f>SUMIFS(Dashboard[ret_hi_hh],Dashboard[evaluation_adm2_name],Tableau55[[#This Row],[Departments]])</f>
        <v>5</v>
      </c>
      <c r="M162" s="76">
        <f t="shared" si="7"/>
        <v>130</v>
      </c>
      <c r="N162" s="176"/>
      <c r="O162" s="59" t="s">
        <v>218</v>
      </c>
      <c r="P162" s="63">
        <f>Tableau55[[#This Row],[Spontaneous sites]]/Tableau55[[#This Row],[Total]]</f>
        <v>0</v>
      </c>
      <c r="Q162" s="63">
        <f>Tableau55[[#This Row],[Rental]]/Tableau55[[#This Row],[Total]]</f>
        <v>5.3846153846153849E-2</v>
      </c>
      <c r="R162" s="63">
        <f>Tableau55[[#This Row],[Collective]]/Tableau55[[#This Row],[Total]]</f>
        <v>0</v>
      </c>
      <c r="S162" s="63">
        <f>Tableau55[[#This Row],[Open air]]/Tableau55[[#This Row],[Total]]</f>
        <v>0</v>
      </c>
      <c r="T162" s="63">
        <f>Tableau55[[#This Row],[Host Families]]/Tableau55[[#This Row],[Total]]</f>
        <v>0.90769230769230769</v>
      </c>
      <c r="U162" s="63">
        <f>Tableau55[[#This Row],[Back Home]]/Tableau55[[#This Row],[Total]]</f>
        <v>3.8461538461538464E-2</v>
      </c>
      <c r="V162" s="63">
        <f>SUM(Tableau80[[#This Row],[Spontaneous sites]:[Back Home]])</f>
        <v>1</v>
      </c>
      <c r="W162" s="176"/>
      <c r="X162" s="178"/>
    </row>
    <row r="163" spans="2:24" x14ac:dyDescent="0.25">
      <c r="B163" s="174"/>
      <c r="C163" s="176"/>
      <c r="D163" s="176"/>
      <c r="E163" s="176"/>
      <c r="F163" s="59" t="s">
        <v>48</v>
      </c>
      <c r="G163" s="6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5244</v>
      </c>
      <c r="H163" s="6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3168</v>
      </c>
      <c r="I163" s="6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15</v>
      </c>
      <c r="J163" s="6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0</v>
      </c>
      <c r="K163" s="6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2980</v>
      </c>
      <c r="L163" s="61">
        <f>SUMIFS(Dashboard[ret_hi_hh],Dashboard[evaluation_adm2_name],Tableau55[[#This Row],[Departments]])</f>
        <v>1704</v>
      </c>
      <c r="M163" s="76">
        <f t="shared" si="7"/>
        <v>13111</v>
      </c>
      <c r="N163" s="176"/>
      <c r="O163" s="59" t="s">
        <v>48</v>
      </c>
      <c r="P163" s="63">
        <f>Tableau55[[#This Row],[Spontaneous sites]]/Tableau55[[#This Row],[Total]]</f>
        <v>0.39996949126687514</v>
      </c>
      <c r="Q163" s="63">
        <f>Tableau55[[#This Row],[Rental]]/Tableau55[[#This Row],[Total]]</f>
        <v>0.24162916634886736</v>
      </c>
      <c r="R163" s="63">
        <f>Tableau55[[#This Row],[Collective]]/Tableau55[[#This Row],[Total]]</f>
        <v>1.1440774921821371E-3</v>
      </c>
      <c r="S163" s="63">
        <f>Tableau55[[#This Row],[Open air]]/Tableau55[[#This Row],[Total]]</f>
        <v>0</v>
      </c>
      <c r="T163" s="63">
        <f>Tableau55[[#This Row],[Host Families]]/Tableau55[[#This Row],[Total]]</f>
        <v>0.22729006178018457</v>
      </c>
      <c r="U163" s="63">
        <f>Tableau55[[#This Row],[Back Home]]/Tableau55[[#This Row],[Total]]</f>
        <v>0.12996720311189078</v>
      </c>
      <c r="V163" s="63">
        <f>SUM(Tableau80[[#This Row],[Spontaneous sites]:[Back Home]])</f>
        <v>1</v>
      </c>
      <c r="W163" s="176"/>
      <c r="X163" s="178"/>
    </row>
    <row r="164" spans="2:24" x14ac:dyDescent="0.25">
      <c r="B164" s="174"/>
      <c r="C164" s="176"/>
      <c r="D164" s="176"/>
      <c r="E164" s="176"/>
      <c r="F164" s="59" t="s">
        <v>37</v>
      </c>
      <c r="G164" s="6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121</v>
      </c>
      <c r="H164" s="6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1390</v>
      </c>
      <c r="I164" s="6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1009</v>
      </c>
      <c r="J164" s="6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256</v>
      </c>
      <c r="K164" s="6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5961</v>
      </c>
      <c r="L164" s="61">
        <f>SUMIFS(Dashboard[ret_hi_hh],Dashboard[evaluation_adm2_name],Tableau55[[#This Row],[Departments]])</f>
        <v>1859</v>
      </c>
      <c r="M164" s="76">
        <f t="shared" si="7"/>
        <v>10596</v>
      </c>
      <c r="N164" s="176"/>
      <c r="O164" s="59" t="s">
        <v>37</v>
      </c>
      <c r="P164" s="63">
        <f>Tableau55[[#This Row],[Spontaneous sites]]/Tableau55[[#This Row],[Total]]</f>
        <v>1.1419403548508872E-2</v>
      </c>
      <c r="Q164" s="63">
        <f>Tableau55[[#This Row],[Rental]]/Tableau55[[#This Row],[Total]]</f>
        <v>0.13118157795394489</v>
      </c>
      <c r="R164" s="63">
        <f>Tableau55[[#This Row],[Collective]]/Tableau55[[#This Row],[Total]]</f>
        <v>9.5224613061532654E-2</v>
      </c>
      <c r="S164" s="63">
        <f>Tableau55[[#This Row],[Open air]]/Tableau55[[#This Row],[Total]]</f>
        <v>2.4160060400151E-2</v>
      </c>
      <c r="T164" s="63">
        <f>Tableau55[[#This Row],[Host Families]]/Tableau55[[#This Row],[Total]]</f>
        <v>0.5625707814269536</v>
      </c>
      <c r="U164" s="63">
        <f>Tableau55[[#This Row],[Back Home]]/Tableau55[[#This Row],[Total]]</f>
        <v>0.17544356360890903</v>
      </c>
      <c r="V164" s="63">
        <f>SUM(Tableau80[[#This Row],[Spontaneous sites]:[Back Home]])</f>
        <v>1</v>
      </c>
      <c r="W164" s="176"/>
      <c r="X164" s="178"/>
    </row>
    <row r="165" spans="2:24" x14ac:dyDescent="0.25">
      <c r="B165" s="174"/>
      <c r="C165" s="176"/>
      <c r="D165" s="176"/>
      <c r="E165" s="176"/>
      <c r="F165" s="43"/>
      <c r="G165" s="76">
        <f t="shared" ref="G165:L165" si="8">SUM(G159:G164)</f>
        <v>12580</v>
      </c>
      <c r="H165" s="76">
        <f t="shared" si="8"/>
        <v>8754</v>
      </c>
      <c r="I165" s="76">
        <f t="shared" si="8"/>
        <v>1208</v>
      </c>
      <c r="J165" s="76">
        <f t="shared" si="8"/>
        <v>373</v>
      </c>
      <c r="K165" s="76">
        <f t="shared" si="8"/>
        <v>25470</v>
      </c>
      <c r="L165" s="76">
        <f t="shared" si="8"/>
        <v>8163</v>
      </c>
      <c r="M165" s="76">
        <f>SUM(Tableau55[Total])</f>
        <v>56548</v>
      </c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8"/>
    </row>
    <row r="166" spans="2:24" x14ac:dyDescent="0.25">
      <c r="B166" s="174"/>
      <c r="C166" s="176"/>
      <c r="D166" s="176"/>
      <c r="E166" s="176"/>
      <c r="F166" s="176"/>
      <c r="G166" s="183">
        <f>Tableau55[[#Totals],[Spontaneous sites]]/Tableau55[[#Totals],[Total]]</f>
        <v>0.22246586970361462</v>
      </c>
      <c r="H166" s="183">
        <f>Tableau55[[#Totals],[Rental]]/Tableau55[[#Totals],[Total]]</f>
        <v>0.15480653604017824</v>
      </c>
      <c r="I166" s="183">
        <f>Tableau55[[#Totals],[Collective]]/Tableau55[[#Totals],[Total]]</f>
        <v>2.1362382400792246E-2</v>
      </c>
      <c r="J166" s="183">
        <f>Tableau55[[#Totals],[Open air]]/Tableau55[[#Totals],[Total]]</f>
        <v>6.5961660889863475E-3</v>
      </c>
      <c r="K166" s="183">
        <f>Tableau55[[#Totals],[Host Families]]/Tableau55[[#Totals],[Total]]</f>
        <v>0.45041380773855838</v>
      </c>
      <c r="L166" s="183">
        <f>Tableau55[[#Totals],[Back Home]]/Tableau55[[#Totals],[Total]]</f>
        <v>0.14435523802787012</v>
      </c>
      <c r="M166" s="183">
        <f>SUM(G166:L166)</f>
        <v>0.99999999999999989</v>
      </c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8"/>
    </row>
    <row r="167" spans="2:24" x14ac:dyDescent="0.25">
      <c r="B167" s="174"/>
      <c r="C167" s="176"/>
      <c r="D167" s="176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8"/>
    </row>
    <row r="168" spans="2:24" x14ac:dyDescent="0.25">
      <c r="B168" s="174"/>
      <c r="C168" s="176"/>
      <c r="D168" s="176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8"/>
    </row>
    <row r="169" spans="2:24" x14ac:dyDescent="0.25">
      <c r="B169" s="174"/>
      <c r="C169" s="176"/>
      <c r="D169" s="176"/>
      <c r="E169" s="176"/>
      <c r="F169" s="176"/>
      <c r="G169" s="176"/>
      <c r="H169" s="176"/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8"/>
    </row>
    <row r="170" spans="2:24" x14ac:dyDescent="0.25">
      <c r="B170" s="174"/>
      <c r="C170" s="176"/>
      <c r="D170" s="176"/>
      <c r="E170" s="176"/>
      <c r="F170" s="176"/>
      <c r="G170" s="176"/>
      <c r="H170" s="17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8"/>
    </row>
    <row r="171" spans="2:24" x14ac:dyDescent="0.25">
      <c r="B171" s="174"/>
      <c r="C171" s="176"/>
      <c r="D171" s="176"/>
      <c r="E171" s="176"/>
      <c r="F171" s="176"/>
      <c r="G171" s="176"/>
      <c r="H171" s="176"/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8"/>
    </row>
    <row r="172" spans="2:24" x14ac:dyDescent="0.25">
      <c r="B172" s="174"/>
      <c r="C172" s="176"/>
      <c r="D172" s="176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8"/>
    </row>
    <row r="173" spans="2:24" ht="15.75" thickBot="1" x14ac:dyDescent="0.3">
      <c r="B173" s="191"/>
      <c r="C173" s="192"/>
      <c r="D173" s="192"/>
      <c r="E173" s="192"/>
      <c r="F173" s="192"/>
      <c r="G173" s="192"/>
      <c r="H173" s="192"/>
      <c r="I173" s="192"/>
      <c r="J173" s="192"/>
      <c r="K173" s="192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92"/>
      <c r="X173" s="193"/>
    </row>
  </sheetData>
  <pageMargins left="0.7" right="0.7" top="0.75" bottom="0.75" header="0.3" footer="0.3"/>
  <pageSetup paperSize="9" orientation="portrait" r:id="rId1"/>
  <drawing r:id="rId2"/>
  <tableParts count="19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71"/>
  <sheetViews>
    <sheetView zoomScale="90" zoomScaleNormal="90" workbookViewId="0">
      <selection activeCell="J19" sqref="J19"/>
    </sheetView>
  </sheetViews>
  <sheetFormatPr defaultColWidth="11.42578125" defaultRowHeight="15" x14ac:dyDescent="0.25"/>
  <cols>
    <col min="1" max="2" width="11.42578125" style="96"/>
    <col min="3" max="3" width="13.85546875" style="96" bestFit="1" customWidth="1"/>
    <col min="4" max="4" width="17.28515625" style="96" customWidth="1"/>
    <col min="5" max="5" width="12.5703125" style="96" customWidth="1"/>
    <col min="6" max="6" width="7.140625" style="96" customWidth="1"/>
    <col min="7" max="7" width="5.85546875" style="96" customWidth="1"/>
    <col min="8" max="8" width="8.28515625" style="96" customWidth="1"/>
    <col min="9" max="9" width="20.42578125" style="96" customWidth="1"/>
    <col min="10" max="10" width="19.140625" style="96" customWidth="1"/>
    <col min="11" max="11" width="20" style="96" customWidth="1"/>
    <col min="12" max="12" width="11.42578125" style="96"/>
    <col min="13" max="13" width="13.140625" style="96" bestFit="1" customWidth="1"/>
    <col min="14" max="14" width="17.28515625" style="96" bestFit="1" customWidth="1"/>
    <col min="15" max="15" width="13.28515625" style="96" customWidth="1"/>
    <col min="16" max="16" width="21.140625" style="96" customWidth="1"/>
    <col min="17" max="17" width="6.28515625" style="96" customWidth="1"/>
    <col min="18" max="18" width="8.28515625" style="96" customWidth="1"/>
    <col min="19" max="16384" width="11.42578125" style="96"/>
  </cols>
  <sheetData>
    <row r="2" spans="2:20" x14ac:dyDescent="0.25">
      <c r="B2" s="373" t="s">
        <v>1931</v>
      </c>
      <c r="C2" s="374"/>
      <c r="D2" s="374"/>
      <c r="E2" s="374"/>
      <c r="F2" s="374"/>
      <c r="G2" s="374"/>
      <c r="H2" s="374"/>
      <c r="I2" s="374"/>
      <c r="J2" s="374"/>
      <c r="K2" s="109"/>
      <c r="L2" s="374" t="s">
        <v>1932</v>
      </c>
      <c r="M2" s="374"/>
      <c r="N2" s="374"/>
      <c r="O2" s="374"/>
      <c r="P2" s="374"/>
      <c r="Q2" s="374"/>
      <c r="R2" s="374"/>
      <c r="S2" s="374"/>
      <c r="T2" s="375"/>
    </row>
    <row r="3" spans="2:20" x14ac:dyDescent="0.25">
      <c r="B3" s="97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9"/>
    </row>
    <row r="4" spans="2:20" x14ac:dyDescent="0.25">
      <c r="B4" s="97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9"/>
    </row>
    <row r="5" spans="2:20" x14ac:dyDescent="0.25">
      <c r="B5" s="97"/>
      <c r="C5" s="98"/>
      <c r="D5" s="215" t="s">
        <v>1919</v>
      </c>
      <c r="E5" s="214" t="s">
        <v>2083</v>
      </c>
      <c r="F5" s="98"/>
      <c r="G5" s="98"/>
      <c r="H5" s="98"/>
      <c r="I5" s="98"/>
      <c r="J5" s="98"/>
      <c r="K5" s="98"/>
      <c r="L5" s="98"/>
      <c r="M5" s="98"/>
      <c r="N5" s="215" t="s">
        <v>760</v>
      </c>
      <c r="O5" s="214" t="s">
        <v>2083</v>
      </c>
      <c r="P5" s="98"/>
      <c r="Q5" s="98"/>
      <c r="R5" s="98"/>
      <c r="S5" s="98"/>
      <c r="T5" s="99"/>
    </row>
    <row r="6" spans="2:20" x14ac:dyDescent="0.25">
      <c r="B6" s="97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9"/>
    </row>
    <row r="7" spans="2:20" x14ac:dyDescent="0.25">
      <c r="B7" s="97"/>
      <c r="C7" s="98"/>
      <c r="D7" s="162" t="s">
        <v>1766</v>
      </c>
      <c r="E7" s="163" t="s">
        <v>1920</v>
      </c>
      <c r="F7" s="163"/>
      <c r="G7" s="163"/>
      <c r="H7" s="164"/>
      <c r="I7" s="98"/>
      <c r="J7" s="98"/>
      <c r="K7" s="98"/>
      <c r="L7" s="98"/>
      <c r="M7" s="98"/>
      <c r="N7" s="162" t="s">
        <v>714</v>
      </c>
      <c r="O7" s="163" t="s">
        <v>759</v>
      </c>
      <c r="P7" s="163"/>
      <c r="Q7" s="163"/>
      <c r="R7" s="164"/>
      <c r="S7" s="98"/>
      <c r="T7" s="99"/>
    </row>
    <row r="8" spans="2:20" x14ac:dyDescent="0.25">
      <c r="B8" s="97"/>
      <c r="C8" s="98"/>
      <c r="D8" s="91" t="s">
        <v>1795</v>
      </c>
      <c r="E8" s="9" t="s">
        <v>31</v>
      </c>
      <c r="F8" s="9" t="s">
        <v>1942</v>
      </c>
      <c r="G8" s="9" t="s">
        <v>637</v>
      </c>
      <c r="H8" s="90" t="s">
        <v>715</v>
      </c>
      <c r="I8" s="98"/>
      <c r="J8" s="98"/>
      <c r="K8" s="98"/>
      <c r="L8" s="98"/>
      <c r="M8" s="98"/>
      <c r="N8" s="91" t="s">
        <v>753</v>
      </c>
      <c r="O8" s="9" t="s">
        <v>1922</v>
      </c>
      <c r="P8" s="9" t="s">
        <v>1921</v>
      </c>
      <c r="Q8" s="9" t="s">
        <v>758</v>
      </c>
      <c r="R8" s="90" t="s">
        <v>715</v>
      </c>
      <c r="S8" s="98"/>
      <c r="T8" s="99"/>
    </row>
    <row r="9" spans="2:20" x14ac:dyDescent="0.25">
      <c r="B9" s="97"/>
      <c r="C9" s="98"/>
      <c r="D9" s="89" t="s">
        <v>24</v>
      </c>
      <c r="E9" s="33">
        <v>5601</v>
      </c>
      <c r="F9" s="33"/>
      <c r="G9" s="33">
        <v>311</v>
      </c>
      <c r="H9" s="92">
        <v>5912</v>
      </c>
      <c r="I9" s="98"/>
      <c r="J9" s="98"/>
      <c r="K9" s="98"/>
      <c r="L9" s="98"/>
      <c r="M9" s="98"/>
      <c r="N9" s="89" t="s">
        <v>24</v>
      </c>
      <c r="O9" s="33">
        <v>5601</v>
      </c>
      <c r="P9" s="33"/>
      <c r="Q9" s="33">
        <v>311</v>
      </c>
      <c r="R9" s="92">
        <v>5912</v>
      </c>
      <c r="S9" s="98"/>
      <c r="T9" s="99"/>
    </row>
    <row r="10" spans="2:20" x14ac:dyDescent="0.25">
      <c r="B10" s="97"/>
      <c r="C10" s="98"/>
      <c r="D10" s="166" t="s">
        <v>656</v>
      </c>
      <c r="E10" s="33"/>
      <c r="F10" s="33"/>
      <c r="G10" s="33">
        <v>311</v>
      </c>
      <c r="H10" s="92">
        <v>311</v>
      </c>
      <c r="I10" s="98"/>
      <c r="J10" s="98"/>
      <c r="K10" s="98"/>
      <c r="L10" s="98"/>
      <c r="M10" s="98"/>
      <c r="N10" s="166" t="s">
        <v>656</v>
      </c>
      <c r="O10" s="33"/>
      <c r="P10" s="33"/>
      <c r="Q10" s="33">
        <v>311</v>
      </c>
      <c r="R10" s="92">
        <v>311</v>
      </c>
      <c r="S10" s="98"/>
      <c r="T10" s="99"/>
    </row>
    <row r="11" spans="2:20" x14ac:dyDescent="0.25">
      <c r="B11" s="97"/>
      <c r="C11" s="98"/>
      <c r="D11" s="166" t="s">
        <v>26</v>
      </c>
      <c r="E11" s="33">
        <v>273</v>
      </c>
      <c r="F11" s="33"/>
      <c r="G11" s="33"/>
      <c r="H11" s="92">
        <v>273</v>
      </c>
      <c r="I11" s="98"/>
      <c r="J11" s="98"/>
      <c r="K11" s="98"/>
      <c r="L11" s="98"/>
      <c r="M11" s="98"/>
      <c r="N11" s="166" t="s">
        <v>26</v>
      </c>
      <c r="O11" s="33">
        <v>273</v>
      </c>
      <c r="P11" s="33"/>
      <c r="Q11" s="33"/>
      <c r="R11" s="92">
        <v>273</v>
      </c>
      <c r="S11" s="98"/>
      <c r="T11" s="99"/>
    </row>
    <row r="12" spans="2:20" x14ac:dyDescent="0.25">
      <c r="B12" s="97"/>
      <c r="C12" s="98"/>
      <c r="D12" s="166" t="s">
        <v>44</v>
      </c>
      <c r="E12" s="33">
        <v>741</v>
      </c>
      <c r="F12" s="33"/>
      <c r="G12" s="33"/>
      <c r="H12" s="92">
        <v>741</v>
      </c>
      <c r="I12" s="98"/>
      <c r="J12" s="98"/>
      <c r="K12" s="98"/>
      <c r="L12" s="98"/>
      <c r="M12" s="98"/>
      <c r="N12" s="166" t="s">
        <v>44</v>
      </c>
      <c r="O12" s="33">
        <v>741</v>
      </c>
      <c r="P12" s="33"/>
      <c r="Q12" s="33"/>
      <c r="R12" s="92">
        <v>741</v>
      </c>
      <c r="S12" s="98"/>
      <c r="T12" s="99"/>
    </row>
    <row r="13" spans="2:20" x14ac:dyDescent="0.25">
      <c r="B13" s="97"/>
      <c r="C13" s="98"/>
      <c r="D13" s="166" t="s">
        <v>50</v>
      </c>
      <c r="E13" s="33">
        <v>2239</v>
      </c>
      <c r="F13" s="33"/>
      <c r="G13" s="33"/>
      <c r="H13" s="92">
        <v>2239</v>
      </c>
      <c r="I13" s="98"/>
      <c r="J13" s="98"/>
      <c r="K13" s="98"/>
      <c r="L13" s="98"/>
      <c r="M13" s="98"/>
      <c r="N13" s="166" t="s">
        <v>50</v>
      </c>
      <c r="O13" s="33">
        <v>2239</v>
      </c>
      <c r="P13" s="33"/>
      <c r="Q13" s="33"/>
      <c r="R13" s="92">
        <v>2239</v>
      </c>
      <c r="S13" s="98"/>
      <c r="T13" s="99"/>
    </row>
    <row r="14" spans="2:20" x14ac:dyDescent="0.25">
      <c r="B14" s="97"/>
      <c r="C14" s="98"/>
      <c r="D14" s="166" t="s">
        <v>665</v>
      </c>
      <c r="E14" s="33">
        <v>36</v>
      </c>
      <c r="F14" s="33"/>
      <c r="G14" s="33"/>
      <c r="H14" s="92">
        <v>36</v>
      </c>
      <c r="I14" s="98"/>
      <c r="J14" s="98"/>
      <c r="K14" s="98"/>
      <c r="L14" s="98"/>
      <c r="M14" s="98"/>
      <c r="N14" s="166" t="s">
        <v>665</v>
      </c>
      <c r="O14" s="33">
        <v>36</v>
      </c>
      <c r="P14" s="33"/>
      <c r="Q14" s="33"/>
      <c r="R14" s="92">
        <v>36</v>
      </c>
      <c r="S14" s="98"/>
      <c r="T14" s="99"/>
    </row>
    <row r="15" spans="2:20" x14ac:dyDescent="0.25">
      <c r="B15" s="97"/>
      <c r="C15" s="98"/>
      <c r="D15" s="166" t="s">
        <v>56</v>
      </c>
      <c r="E15" s="33">
        <v>2312</v>
      </c>
      <c r="F15" s="33"/>
      <c r="G15" s="33"/>
      <c r="H15" s="92">
        <v>2312</v>
      </c>
      <c r="I15" s="98"/>
      <c r="J15" s="98"/>
      <c r="K15" s="98"/>
      <c r="L15" s="98"/>
      <c r="M15" s="98"/>
      <c r="N15" s="166" t="s">
        <v>56</v>
      </c>
      <c r="O15" s="33">
        <v>2312</v>
      </c>
      <c r="P15" s="33"/>
      <c r="Q15" s="33"/>
      <c r="R15" s="92">
        <v>2312</v>
      </c>
      <c r="S15" s="98"/>
      <c r="T15" s="99"/>
    </row>
    <row r="16" spans="2:20" x14ac:dyDescent="0.25">
      <c r="B16" s="97"/>
      <c r="C16" s="98"/>
      <c r="D16" s="89" t="s">
        <v>85</v>
      </c>
      <c r="E16" s="33">
        <v>167825</v>
      </c>
      <c r="F16" s="33">
        <v>11850</v>
      </c>
      <c r="G16" s="33">
        <v>83</v>
      </c>
      <c r="H16" s="92">
        <v>179758</v>
      </c>
      <c r="I16" s="98"/>
      <c r="J16" s="98"/>
      <c r="K16" s="98"/>
      <c r="L16" s="98"/>
      <c r="M16" s="98"/>
      <c r="N16" s="89" t="s">
        <v>85</v>
      </c>
      <c r="O16" s="33">
        <v>167825</v>
      </c>
      <c r="P16" s="33">
        <v>11850</v>
      </c>
      <c r="Q16" s="33">
        <v>83</v>
      </c>
      <c r="R16" s="92">
        <v>179758</v>
      </c>
      <c r="S16" s="98"/>
      <c r="T16" s="99"/>
    </row>
    <row r="17" spans="2:20" x14ac:dyDescent="0.25">
      <c r="B17" s="97"/>
      <c r="C17" s="98"/>
      <c r="D17" s="166" t="s">
        <v>88</v>
      </c>
      <c r="E17" s="33">
        <v>6531</v>
      </c>
      <c r="F17" s="33">
        <v>2126</v>
      </c>
      <c r="G17" s="33"/>
      <c r="H17" s="92">
        <v>8657</v>
      </c>
      <c r="I17" s="98"/>
      <c r="J17" s="98"/>
      <c r="K17" s="98"/>
      <c r="L17" s="98"/>
      <c r="M17" s="98"/>
      <c r="N17" s="166" t="s">
        <v>88</v>
      </c>
      <c r="O17" s="33">
        <v>6531</v>
      </c>
      <c r="P17" s="33">
        <v>2126</v>
      </c>
      <c r="Q17" s="33"/>
      <c r="R17" s="92">
        <v>8657</v>
      </c>
      <c r="S17" s="98"/>
      <c r="T17" s="99"/>
    </row>
    <row r="18" spans="2:20" x14ac:dyDescent="0.25">
      <c r="B18" s="97"/>
      <c r="C18" s="98"/>
      <c r="D18" s="166" t="s">
        <v>95</v>
      </c>
      <c r="E18" s="33">
        <v>4423</v>
      </c>
      <c r="F18" s="33">
        <v>507</v>
      </c>
      <c r="G18" s="33"/>
      <c r="H18" s="92">
        <v>4930</v>
      </c>
      <c r="I18" s="98"/>
      <c r="J18" s="98"/>
      <c r="K18" s="98"/>
      <c r="L18" s="98"/>
      <c r="M18" s="98"/>
      <c r="N18" s="166" t="s">
        <v>95</v>
      </c>
      <c r="O18" s="33">
        <v>4423</v>
      </c>
      <c r="P18" s="33">
        <v>507</v>
      </c>
      <c r="Q18" s="33"/>
      <c r="R18" s="92">
        <v>4930</v>
      </c>
      <c r="S18" s="98"/>
      <c r="T18" s="99"/>
    </row>
    <row r="19" spans="2:20" x14ac:dyDescent="0.25">
      <c r="B19" s="97"/>
      <c r="C19" s="98"/>
      <c r="D19" s="166" t="s">
        <v>92</v>
      </c>
      <c r="E19" s="33">
        <v>31687</v>
      </c>
      <c r="F19" s="33"/>
      <c r="G19" s="33"/>
      <c r="H19" s="92">
        <v>31687</v>
      </c>
      <c r="I19" s="98"/>
      <c r="J19" s="98"/>
      <c r="K19" s="98"/>
      <c r="L19" s="98"/>
      <c r="M19" s="98"/>
      <c r="N19" s="166" t="s">
        <v>92</v>
      </c>
      <c r="O19" s="33">
        <v>31687</v>
      </c>
      <c r="P19" s="33"/>
      <c r="Q19" s="33"/>
      <c r="R19" s="92">
        <v>31687</v>
      </c>
      <c r="S19" s="98"/>
      <c r="T19" s="99"/>
    </row>
    <row r="20" spans="2:20" x14ac:dyDescent="0.25">
      <c r="B20" s="97"/>
      <c r="C20" s="98"/>
      <c r="D20" s="166" t="s">
        <v>173</v>
      </c>
      <c r="E20" s="33">
        <v>2381</v>
      </c>
      <c r="F20" s="33"/>
      <c r="G20" s="33"/>
      <c r="H20" s="92">
        <v>2381</v>
      </c>
      <c r="I20" s="98"/>
      <c r="J20" s="98"/>
      <c r="K20" s="98"/>
      <c r="L20" s="98"/>
      <c r="M20" s="98"/>
      <c r="N20" s="166" t="s">
        <v>173</v>
      </c>
      <c r="O20" s="33">
        <v>2381</v>
      </c>
      <c r="P20" s="33"/>
      <c r="Q20" s="33"/>
      <c r="R20" s="92">
        <v>2381</v>
      </c>
      <c r="S20" s="98"/>
      <c r="T20" s="99"/>
    </row>
    <row r="21" spans="2:20" x14ac:dyDescent="0.25">
      <c r="B21" s="97"/>
      <c r="C21" s="98"/>
      <c r="D21" s="166" t="s">
        <v>110</v>
      </c>
      <c r="E21" s="33">
        <v>6303</v>
      </c>
      <c r="F21" s="33"/>
      <c r="G21" s="33"/>
      <c r="H21" s="92">
        <v>6303</v>
      </c>
      <c r="I21" s="98"/>
      <c r="J21" s="98"/>
      <c r="K21" s="98"/>
      <c r="L21" s="98"/>
      <c r="M21" s="98"/>
      <c r="N21" s="166" t="s">
        <v>110</v>
      </c>
      <c r="O21" s="33">
        <v>6303</v>
      </c>
      <c r="P21" s="33"/>
      <c r="Q21" s="33"/>
      <c r="R21" s="92">
        <v>6303</v>
      </c>
      <c r="S21" s="98"/>
      <c r="T21" s="99"/>
    </row>
    <row r="22" spans="2:20" x14ac:dyDescent="0.25">
      <c r="B22" s="97"/>
      <c r="C22" s="98"/>
      <c r="D22" s="166" t="s">
        <v>157</v>
      </c>
      <c r="E22" s="33">
        <v>19896</v>
      </c>
      <c r="F22" s="33">
        <v>40</v>
      </c>
      <c r="G22" s="33">
        <v>83</v>
      </c>
      <c r="H22" s="92">
        <v>20019</v>
      </c>
      <c r="I22" s="98"/>
      <c r="J22" s="98"/>
      <c r="K22" s="98"/>
      <c r="L22" s="98"/>
      <c r="M22" s="98"/>
      <c r="N22" s="166" t="s">
        <v>157</v>
      </c>
      <c r="O22" s="33">
        <v>19896</v>
      </c>
      <c r="P22" s="33">
        <v>40</v>
      </c>
      <c r="Q22" s="33">
        <v>83</v>
      </c>
      <c r="R22" s="92">
        <v>20019</v>
      </c>
      <c r="S22" s="98"/>
      <c r="T22" s="99"/>
    </row>
    <row r="23" spans="2:20" x14ac:dyDescent="0.25">
      <c r="B23" s="97"/>
      <c r="C23" s="98"/>
      <c r="D23" s="166" t="s">
        <v>151</v>
      </c>
      <c r="E23" s="33">
        <v>13656</v>
      </c>
      <c r="F23" s="33">
        <v>589</v>
      </c>
      <c r="G23" s="33"/>
      <c r="H23" s="92">
        <v>14245</v>
      </c>
      <c r="I23" s="98"/>
      <c r="J23" s="98"/>
      <c r="K23" s="98"/>
      <c r="L23" s="98"/>
      <c r="M23" s="98"/>
      <c r="N23" s="166" t="s">
        <v>151</v>
      </c>
      <c r="O23" s="33">
        <v>13656</v>
      </c>
      <c r="P23" s="33">
        <v>589</v>
      </c>
      <c r="Q23" s="33"/>
      <c r="R23" s="92">
        <v>14245</v>
      </c>
      <c r="S23" s="98"/>
      <c r="T23" s="99"/>
    </row>
    <row r="24" spans="2:20" x14ac:dyDescent="0.25">
      <c r="B24" s="97"/>
      <c r="C24" s="98"/>
      <c r="D24" s="166" t="s">
        <v>98</v>
      </c>
      <c r="E24" s="33">
        <v>73118</v>
      </c>
      <c r="F24" s="33"/>
      <c r="G24" s="33"/>
      <c r="H24" s="92">
        <v>73118</v>
      </c>
      <c r="I24" s="98"/>
      <c r="J24" s="98"/>
      <c r="K24" s="98"/>
      <c r="L24" s="98"/>
      <c r="M24" s="98"/>
      <c r="N24" s="166" t="s">
        <v>98</v>
      </c>
      <c r="O24" s="33">
        <v>73118</v>
      </c>
      <c r="P24" s="33"/>
      <c r="Q24" s="33"/>
      <c r="R24" s="92">
        <v>73118</v>
      </c>
      <c r="S24" s="98"/>
      <c r="T24" s="99"/>
    </row>
    <row r="25" spans="2:20" x14ac:dyDescent="0.25">
      <c r="B25" s="97"/>
      <c r="C25" s="98"/>
      <c r="D25" s="166" t="s">
        <v>175</v>
      </c>
      <c r="E25" s="33">
        <v>9830</v>
      </c>
      <c r="F25" s="33"/>
      <c r="G25" s="33"/>
      <c r="H25" s="92">
        <v>9830</v>
      </c>
      <c r="I25" s="98"/>
      <c r="J25" s="98"/>
      <c r="K25" s="98"/>
      <c r="L25" s="98"/>
      <c r="M25" s="98"/>
      <c r="N25" s="166" t="s">
        <v>175</v>
      </c>
      <c r="O25" s="33">
        <v>9830</v>
      </c>
      <c r="P25" s="33"/>
      <c r="Q25" s="33"/>
      <c r="R25" s="92">
        <v>9830</v>
      </c>
      <c r="S25" s="98"/>
      <c r="T25" s="99"/>
    </row>
    <row r="26" spans="2:20" x14ac:dyDescent="0.25">
      <c r="B26" s="97"/>
      <c r="C26" s="98"/>
      <c r="D26" s="166" t="s">
        <v>181</v>
      </c>
      <c r="E26" s="33"/>
      <c r="F26" s="33">
        <v>8588</v>
      </c>
      <c r="G26" s="33"/>
      <c r="H26" s="92">
        <v>8588</v>
      </c>
      <c r="I26" s="98"/>
      <c r="J26" s="98"/>
      <c r="K26" s="98"/>
      <c r="L26" s="98"/>
      <c r="M26" s="98"/>
      <c r="N26" s="166" t="s">
        <v>181</v>
      </c>
      <c r="O26" s="33"/>
      <c r="P26" s="33">
        <v>8588</v>
      </c>
      <c r="Q26" s="33"/>
      <c r="R26" s="92">
        <v>8588</v>
      </c>
      <c r="S26" s="98"/>
      <c r="T26" s="99"/>
    </row>
    <row r="27" spans="2:20" x14ac:dyDescent="0.25">
      <c r="B27" s="97"/>
      <c r="C27" s="98"/>
      <c r="D27" s="89" t="s">
        <v>184</v>
      </c>
      <c r="E27" s="33">
        <v>707</v>
      </c>
      <c r="F27" s="33">
        <v>16124</v>
      </c>
      <c r="G27" s="33">
        <v>31</v>
      </c>
      <c r="H27" s="92">
        <v>16862</v>
      </c>
      <c r="I27" s="98"/>
      <c r="J27" s="98"/>
      <c r="K27" s="98"/>
      <c r="L27" s="98"/>
      <c r="M27" s="98"/>
      <c r="N27" s="89" t="s">
        <v>184</v>
      </c>
      <c r="O27" s="33">
        <v>707</v>
      </c>
      <c r="P27" s="33">
        <v>16124</v>
      </c>
      <c r="Q27" s="33">
        <v>31</v>
      </c>
      <c r="R27" s="92">
        <v>16862</v>
      </c>
      <c r="S27" s="98"/>
      <c r="T27" s="99"/>
    </row>
    <row r="28" spans="2:20" x14ac:dyDescent="0.25">
      <c r="B28" s="97"/>
      <c r="C28" s="98"/>
      <c r="D28" s="166" t="s">
        <v>471</v>
      </c>
      <c r="E28" s="33">
        <v>129</v>
      </c>
      <c r="F28" s="33">
        <v>1523</v>
      </c>
      <c r="G28" s="33">
        <v>31</v>
      </c>
      <c r="H28" s="92">
        <v>1683</v>
      </c>
      <c r="I28" s="98"/>
      <c r="J28" s="98"/>
      <c r="K28" s="98"/>
      <c r="L28" s="98"/>
      <c r="M28" s="98"/>
      <c r="N28" s="166" t="s">
        <v>471</v>
      </c>
      <c r="O28" s="33">
        <v>129</v>
      </c>
      <c r="P28" s="33">
        <v>1523</v>
      </c>
      <c r="Q28" s="33">
        <v>31</v>
      </c>
      <c r="R28" s="92">
        <v>1683</v>
      </c>
      <c r="S28" s="98"/>
      <c r="T28" s="99"/>
    </row>
    <row r="29" spans="2:20" x14ac:dyDescent="0.25">
      <c r="B29" s="97"/>
      <c r="C29" s="98"/>
      <c r="D29" s="166" t="s">
        <v>196</v>
      </c>
      <c r="E29" s="33"/>
      <c r="F29" s="33">
        <v>2038</v>
      </c>
      <c r="G29" s="33"/>
      <c r="H29" s="92">
        <v>2038</v>
      </c>
      <c r="I29" s="98"/>
      <c r="J29" s="98"/>
      <c r="K29" s="98"/>
      <c r="L29" s="98"/>
      <c r="M29" s="98"/>
      <c r="N29" s="166" t="s">
        <v>196</v>
      </c>
      <c r="O29" s="33"/>
      <c r="P29" s="33">
        <v>2038</v>
      </c>
      <c r="Q29" s="33"/>
      <c r="R29" s="92">
        <v>2038</v>
      </c>
      <c r="S29" s="98"/>
      <c r="T29" s="99"/>
    </row>
    <row r="30" spans="2:20" x14ac:dyDescent="0.25">
      <c r="B30" s="97"/>
      <c r="C30" s="98"/>
      <c r="D30" s="166" t="s">
        <v>203</v>
      </c>
      <c r="E30" s="33"/>
      <c r="F30" s="33">
        <v>1133</v>
      </c>
      <c r="G30" s="33"/>
      <c r="H30" s="92">
        <v>1133</v>
      </c>
      <c r="I30" s="98"/>
      <c r="J30" s="98"/>
      <c r="K30" s="98"/>
      <c r="L30" s="98"/>
      <c r="M30" s="98"/>
      <c r="N30" s="166" t="s">
        <v>203</v>
      </c>
      <c r="O30" s="33"/>
      <c r="P30" s="33">
        <v>1133</v>
      </c>
      <c r="Q30" s="33"/>
      <c r="R30" s="92">
        <v>1133</v>
      </c>
      <c r="S30" s="98"/>
      <c r="T30" s="99"/>
    </row>
    <row r="31" spans="2:20" x14ac:dyDescent="0.25">
      <c r="B31" s="97"/>
      <c r="C31" s="98"/>
      <c r="D31" s="166" t="s">
        <v>206</v>
      </c>
      <c r="E31" s="33"/>
      <c r="F31" s="33">
        <v>4273</v>
      </c>
      <c r="G31" s="33"/>
      <c r="H31" s="92">
        <v>4273</v>
      </c>
      <c r="I31" s="98"/>
      <c r="J31" s="98"/>
      <c r="K31" s="98"/>
      <c r="L31" s="98"/>
      <c r="M31" s="98"/>
      <c r="N31" s="166" t="s">
        <v>206</v>
      </c>
      <c r="O31" s="33"/>
      <c r="P31" s="33">
        <v>4273</v>
      </c>
      <c r="Q31" s="33"/>
      <c r="R31" s="92">
        <v>4273</v>
      </c>
      <c r="S31" s="98"/>
      <c r="T31" s="99"/>
    </row>
    <row r="32" spans="2:20" x14ac:dyDescent="0.25">
      <c r="B32" s="97"/>
      <c r="C32" s="98"/>
      <c r="D32" s="166" t="s">
        <v>215</v>
      </c>
      <c r="E32" s="33">
        <v>578</v>
      </c>
      <c r="F32" s="33">
        <v>5047</v>
      </c>
      <c r="G32" s="33"/>
      <c r="H32" s="92">
        <v>5625</v>
      </c>
      <c r="I32" s="98"/>
      <c r="J32" s="98"/>
      <c r="K32" s="98"/>
      <c r="L32" s="98"/>
      <c r="M32" s="98"/>
      <c r="N32" s="166" t="s">
        <v>215</v>
      </c>
      <c r="O32" s="33">
        <v>578</v>
      </c>
      <c r="P32" s="33">
        <v>5047</v>
      </c>
      <c r="Q32" s="33"/>
      <c r="R32" s="92">
        <v>5625</v>
      </c>
      <c r="S32" s="98"/>
      <c r="T32" s="99"/>
    </row>
    <row r="33" spans="2:20" x14ac:dyDescent="0.25">
      <c r="B33" s="97"/>
      <c r="C33" s="98"/>
      <c r="D33" s="166" t="s">
        <v>213</v>
      </c>
      <c r="E33" s="33"/>
      <c r="F33" s="33">
        <v>2110</v>
      </c>
      <c r="G33" s="33"/>
      <c r="H33" s="92">
        <v>2110</v>
      </c>
      <c r="I33" s="98"/>
      <c r="J33" s="98"/>
      <c r="K33" s="98"/>
      <c r="L33" s="98"/>
      <c r="M33" s="98"/>
      <c r="N33" s="166" t="s">
        <v>213</v>
      </c>
      <c r="O33" s="33"/>
      <c r="P33" s="33">
        <v>2110</v>
      </c>
      <c r="Q33" s="33"/>
      <c r="R33" s="92">
        <v>2110</v>
      </c>
      <c r="S33" s="98"/>
      <c r="T33" s="99"/>
    </row>
    <row r="34" spans="2:20" x14ac:dyDescent="0.25">
      <c r="B34" s="97"/>
      <c r="C34" s="98"/>
      <c r="D34" s="89" t="s">
        <v>218</v>
      </c>
      <c r="E34" s="33">
        <v>721</v>
      </c>
      <c r="F34" s="33"/>
      <c r="G34" s="33">
        <v>95</v>
      </c>
      <c r="H34" s="92">
        <v>816</v>
      </c>
      <c r="I34" s="98"/>
      <c r="J34" s="98"/>
      <c r="K34" s="98"/>
      <c r="L34" s="98"/>
      <c r="M34" s="98"/>
      <c r="N34" s="89" t="s">
        <v>218</v>
      </c>
      <c r="O34" s="33">
        <v>721</v>
      </c>
      <c r="P34" s="33"/>
      <c r="Q34" s="33">
        <v>95</v>
      </c>
      <c r="R34" s="92">
        <v>816</v>
      </c>
      <c r="S34" s="98"/>
      <c r="T34" s="99"/>
    </row>
    <row r="35" spans="2:20" x14ac:dyDescent="0.25">
      <c r="B35" s="97"/>
      <c r="C35" s="98"/>
      <c r="D35" s="166" t="s">
        <v>676</v>
      </c>
      <c r="E35" s="33"/>
      <c r="F35" s="33"/>
      <c r="G35" s="33">
        <v>82</v>
      </c>
      <c r="H35" s="92">
        <v>82</v>
      </c>
      <c r="I35" s="98"/>
      <c r="J35" s="98"/>
      <c r="K35" s="98"/>
      <c r="L35" s="98"/>
      <c r="M35" s="98"/>
      <c r="N35" s="166" t="s">
        <v>676</v>
      </c>
      <c r="O35" s="33"/>
      <c r="P35" s="33"/>
      <c r="Q35" s="33">
        <v>82</v>
      </c>
      <c r="R35" s="92">
        <v>82</v>
      </c>
      <c r="S35" s="98"/>
      <c r="T35" s="99"/>
    </row>
    <row r="36" spans="2:20" x14ac:dyDescent="0.25">
      <c r="B36" s="97"/>
      <c r="C36" s="98"/>
      <c r="D36" s="166" t="s">
        <v>224</v>
      </c>
      <c r="E36" s="33">
        <v>187</v>
      </c>
      <c r="F36" s="33"/>
      <c r="G36" s="33">
        <v>5</v>
      </c>
      <c r="H36" s="92">
        <v>192</v>
      </c>
      <c r="I36" s="98"/>
      <c r="J36" s="98"/>
      <c r="K36" s="98"/>
      <c r="L36" s="98"/>
      <c r="M36" s="98"/>
      <c r="N36" s="166" t="s">
        <v>224</v>
      </c>
      <c r="O36" s="33">
        <v>187</v>
      </c>
      <c r="P36" s="33"/>
      <c r="Q36" s="33">
        <v>5</v>
      </c>
      <c r="R36" s="92">
        <v>192</v>
      </c>
      <c r="S36" s="98"/>
      <c r="T36" s="99"/>
    </row>
    <row r="37" spans="2:20" x14ac:dyDescent="0.25">
      <c r="B37" s="97"/>
      <c r="C37" s="98"/>
      <c r="D37" s="166" t="s">
        <v>220</v>
      </c>
      <c r="E37" s="33">
        <v>38</v>
      </c>
      <c r="F37" s="33"/>
      <c r="G37" s="33">
        <v>8</v>
      </c>
      <c r="H37" s="92">
        <v>46</v>
      </c>
      <c r="I37" s="98"/>
      <c r="J37" s="98"/>
      <c r="K37" s="98"/>
      <c r="L37" s="98"/>
      <c r="M37" s="98"/>
      <c r="N37" s="166" t="s">
        <v>220</v>
      </c>
      <c r="O37" s="33">
        <v>38</v>
      </c>
      <c r="P37" s="33"/>
      <c r="Q37" s="33">
        <v>8</v>
      </c>
      <c r="R37" s="92">
        <v>46</v>
      </c>
      <c r="S37" s="98"/>
      <c r="T37" s="99"/>
    </row>
    <row r="38" spans="2:20" x14ac:dyDescent="0.25">
      <c r="B38" s="97"/>
      <c r="C38" s="98"/>
      <c r="D38" s="166" t="s">
        <v>228</v>
      </c>
      <c r="E38" s="33">
        <v>429</v>
      </c>
      <c r="F38" s="33"/>
      <c r="G38" s="33"/>
      <c r="H38" s="92">
        <v>429</v>
      </c>
      <c r="I38" s="98"/>
      <c r="J38" s="98"/>
      <c r="K38" s="98"/>
      <c r="L38" s="98"/>
      <c r="M38" s="98"/>
      <c r="N38" s="166" t="s">
        <v>228</v>
      </c>
      <c r="O38" s="33">
        <v>429</v>
      </c>
      <c r="P38" s="33"/>
      <c r="Q38" s="33"/>
      <c r="R38" s="92">
        <v>429</v>
      </c>
      <c r="S38" s="98"/>
      <c r="T38" s="99"/>
    </row>
    <row r="39" spans="2:20" x14ac:dyDescent="0.25">
      <c r="B39" s="97"/>
      <c r="C39" s="98"/>
      <c r="D39" s="166" t="s">
        <v>497</v>
      </c>
      <c r="E39" s="33">
        <v>67</v>
      </c>
      <c r="F39" s="33"/>
      <c r="G39" s="33"/>
      <c r="H39" s="92">
        <v>67</v>
      </c>
      <c r="I39" s="98"/>
      <c r="J39" s="98"/>
      <c r="K39" s="98"/>
      <c r="L39" s="98"/>
      <c r="M39" s="98"/>
      <c r="N39" s="166" t="s">
        <v>497</v>
      </c>
      <c r="O39" s="33">
        <v>67</v>
      </c>
      <c r="P39" s="33"/>
      <c r="Q39" s="33"/>
      <c r="R39" s="92">
        <v>67</v>
      </c>
      <c r="S39" s="98"/>
      <c r="T39" s="99"/>
    </row>
    <row r="40" spans="2:20" x14ac:dyDescent="0.25">
      <c r="B40" s="97"/>
      <c r="C40" s="98"/>
      <c r="D40" s="89" t="s">
        <v>48</v>
      </c>
      <c r="E40" s="33">
        <v>74539</v>
      </c>
      <c r="F40" s="33">
        <v>2095</v>
      </c>
      <c r="G40" s="33"/>
      <c r="H40" s="92">
        <v>76634</v>
      </c>
      <c r="I40" s="98"/>
      <c r="J40" s="98"/>
      <c r="K40" s="98"/>
      <c r="L40" s="98"/>
      <c r="M40" s="98"/>
      <c r="N40" s="89" t="s">
        <v>48</v>
      </c>
      <c r="O40" s="33">
        <v>74539</v>
      </c>
      <c r="P40" s="33">
        <v>2095</v>
      </c>
      <c r="Q40" s="33"/>
      <c r="R40" s="92">
        <v>76634</v>
      </c>
      <c r="S40" s="98"/>
      <c r="T40" s="99"/>
    </row>
    <row r="41" spans="2:20" x14ac:dyDescent="0.25">
      <c r="B41" s="97"/>
      <c r="C41" s="98"/>
      <c r="D41" s="166" t="s">
        <v>232</v>
      </c>
      <c r="E41" s="33">
        <v>21554</v>
      </c>
      <c r="F41" s="33">
        <v>2095</v>
      </c>
      <c r="G41" s="33"/>
      <c r="H41" s="92">
        <v>23649</v>
      </c>
      <c r="I41" s="98"/>
      <c r="J41" s="98"/>
      <c r="K41" s="98"/>
      <c r="L41" s="98"/>
      <c r="M41" s="98"/>
      <c r="N41" s="166" t="s">
        <v>232</v>
      </c>
      <c r="O41" s="33">
        <v>21554</v>
      </c>
      <c r="P41" s="33">
        <v>2095</v>
      </c>
      <c r="Q41" s="33"/>
      <c r="R41" s="92">
        <v>23649</v>
      </c>
      <c r="S41" s="98"/>
      <c r="T41" s="99"/>
    </row>
    <row r="42" spans="2:20" x14ac:dyDescent="0.25">
      <c r="B42" s="97"/>
      <c r="C42" s="98"/>
      <c r="D42" s="166" t="s">
        <v>62</v>
      </c>
      <c r="E42" s="33">
        <v>51257</v>
      </c>
      <c r="F42" s="33"/>
      <c r="G42" s="33"/>
      <c r="H42" s="92">
        <v>51257</v>
      </c>
      <c r="I42" s="98"/>
      <c r="J42" s="98"/>
      <c r="K42" s="98"/>
      <c r="L42" s="98"/>
      <c r="M42" s="98"/>
      <c r="N42" s="166" t="s">
        <v>62</v>
      </c>
      <c r="O42" s="33">
        <v>51257</v>
      </c>
      <c r="P42" s="33"/>
      <c r="Q42" s="33"/>
      <c r="R42" s="92">
        <v>51257</v>
      </c>
      <c r="S42" s="98"/>
      <c r="T42" s="99"/>
    </row>
    <row r="43" spans="2:20" x14ac:dyDescent="0.25">
      <c r="B43" s="97"/>
      <c r="C43" s="98"/>
      <c r="D43" s="166" t="s">
        <v>527</v>
      </c>
      <c r="E43" s="33">
        <v>1728</v>
      </c>
      <c r="F43" s="33"/>
      <c r="G43" s="33"/>
      <c r="H43" s="92">
        <v>1728</v>
      </c>
      <c r="I43" s="98"/>
      <c r="J43" s="98"/>
      <c r="K43" s="98"/>
      <c r="L43" s="98"/>
      <c r="M43" s="98"/>
      <c r="N43" s="166" t="s">
        <v>527</v>
      </c>
      <c r="O43" s="33">
        <v>1728</v>
      </c>
      <c r="P43" s="33"/>
      <c r="Q43" s="33"/>
      <c r="R43" s="92">
        <v>1728</v>
      </c>
      <c r="S43" s="98"/>
      <c r="T43" s="99"/>
    </row>
    <row r="44" spans="2:20" x14ac:dyDescent="0.25">
      <c r="B44" s="97"/>
      <c r="C44" s="98"/>
      <c r="D44" s="89" t="s">
        <v>37</v>
      </c>
      <c r="E44" s="33">
        <v>62324</v>
      </c>
      <c r="F44" s="33">
        <v>75</v>
      </c>
      <c r="G44" s="33">
        <v>35</v>
      </c>
      <c r="H44" s="92">
        <v>62434</v>
      </c>
      <c r="I44" s="98"/>
      <c r="J44" s="98"/>
      <c r="K44" s="98"/>
      <c r="L44" s="98"/>
      <c r="M44" s="98"/>
      <c r="N44" s="89" t="s">
        <v>37</v>
      </c>
      <c r="O44" s="33">
        <v>62324</v>
      </c>
      <c r="P44" s="33">
        <v>75</v>
      </c>
      <c r="Q44" s="33">
        <v>35</v>
      </c>
      <c r="R44" s="92">
        <v>62434</v>
      </c>
      <c r="S44" s="98"/>
      <c r="T44" s="99"/>
    </row>
    <row r="45" spans="2:20" x14ac:dyDescent="0.25">
      <c r="B45" s="97"/>
      <c r="C45" s="98"/>
      <c r="D45" s="166" t="s">
        <v>236</v>
      </c>
      <c r="E45" s="33">
        <v>1857</v>
      </c>
      <c r="F45" s="33"/>
      <c r="G45" s="33"/>
      <c r="H45" s="92">
        <v>1857</v>
      </c>
      <c r="I45" s="98"/>
      <c r="J45" s="98"/>
      <c r="K45" s="98"/>
      <c r="L45" s="98"/>
      <c r="M45" s="98"/>
      <c r="N45" s="166" t="s">
        <v>236</v>
      </c>
      <c r="O45" s="33">
        <v>1857</v>
      </c>
      <c r="P45" s="33"/>
      <c r="Q45" s="33"/>
      <c r="R45" s="92">
        <v>1857</v>
      </c>
      <c r="S45" s="98"/>
      <c r="T45" s="99"/>
    </row>
    <row r="46" spans="2:20" x14ac:dyDescent="0.25">
      <c r="B46" s="97"/>
      <c r="C46" s="98"/>
      <c r="D46" s="166" t="s">
        <v>540</v>
      </c>
      <c r="E46" s="33">
        <v>657</v>
      </c>
      <c r="F46" s="33"/>
      <c r="G46" s="33"/>
      <c r="H46" s="92">
        <v>657</v>
      </c>
      <c r="I46" s="98"/>
      <c r="J46" s="98"/>
      <c r="K46" s="98"/>
      <c r="L46" s="98"/>
      <c r="M46" s="98"/>
      <c r="N46" s="166" t="s">
        <v>540</v>
      </c>
      <c r="O46" s="33">
        <v>657</v>
      </c>
      <c r="P46" s="33"/>
      <c r="Q46" s="33"/>
      <c r="R46" s="92">
        <v>657</v>
      </c>
      <c r="S46" s="98"/>
      <c r="T46" s="99"/>
    </row>
    <row r="47" spans="2:20" x14ac:dyDescent="0.25">
      <c r="B47" s="97"/>
      <c r="C47" s="98"/>
      <c r="D47" s="166" t="s">
        <v>547</v>
      </c>
      <c r="E47" s="33">
        <v>18526</v>
      </c>
      <c r="F47" s="33"/>
      <c r="G47" s="33"/>
      <c r="H47" s="92">
        <v>18526</v>
      </c>
      <c r="I47" s="98"/>
      <c r="J47" s="98"/>
      <c r="K47" s="98"/>
      <c r="L47" s="98"/>
      <c r="M47" s="98"/>
      <c r="N47" s="166" t="s">
        <v>547</v>
      </c>
      <c r="O47" s="33">
        <v>18526</v>
      </c>
      <c r="P47" s="33"/>
      <c r="Q47" s="33"/>
      <c r="R47" s="92">
        <v>18526</v>
      </c>
      <c r="S47" s="98"/>
      <c r="T47" s="99"/>
    </row>
    <row r="48" spans="2:20" x14ac:dyDescent="0.25">
      <c r="B48" s="97"/>
      <c r="C48" s="98"/>
      <c r="D48" s="166" t="s">
        <v>244</v>
      </c>
      <c r="E48" s="33">
        <v>2292</v>
      </c>
      <c r="F48" s="33"/>
      <c r="G48" s="33"/>
      <c r="H48" s="92">
        <v>2292</v>
      </c>
      <c r="I48" s="98"/>
      <c r="J48" s="98"/>
      <c r="K48" s="98"/>
      <c r="L48" s="98"/>
      <c r="M48" s="98"/>
      <c r="N48" s="166" t="s">
        <v>244</v>
      </c>
      <c r="O48" s="33">
        <v>2292</v>
      </c>
      <c r="P48" s="33"/>
      <c r="Q48" s="33"/>
      <c r="R48" s="92">
        <v>2292</v>
      </c>
      <c r="S48" s="98"/>
      <c r="T48" s="99"/>
    </row>
    <row r="49" spans="2:20" x14ac:dyDescent="0.25">
      <c r="B49" s="97"/>
      <c r="C49" s="98"/>
      <c r="D49" s="166" t="s">
        <v>247</v>
      </c>
      <c r="E49" s="33">
        <v>17437</v>
      </c>
      <c r="F49" s="33"/>
      <c r="G49" s="33"/>
      <c r="H49" s="92">
        <v>17437</v>
      </c>
      <c r="I49" s="98"/>
      <c r="J49" s="98"/>
      <c r="K49" s="98"/>
      <c r="L49" s="98"/>
      <c r="M49" s="98"/>
      <c r="N49" s="166" t="s">
        <v>247</v>
      </c>
      <c r="O49" s="33">
        <v>17437</v>
      </c>
      <c r="P49" s="33"/>
      <c r="Q49" s="33"/>
      <c r="R49" s="92">
        <v>17437</v>
      </c>
      <c r="S49" s="98"/>
      <c r="T49" s="99"/>
    </row>
    <row r="50" spans="2:20" x14ac:dyDescent="0.25">
      <c r="B50" s="97"/>
      <c r="C50" s="98"/>
      <c r="D50" s="166" t="s">
        <v>250</v>
      </c>
      <c r="E50" s="33">
        <v>20670</v>
      </c>
      <c r="F50" s="33">
        <v>75</v>
      </c>
      <c r="G50" s="33">
        <v>35</v>
      </c>
      <c r="H50" s="92">
        <v>20780</v>
      </c>
      <c r="I50" s="98"/>
      <c r="J50" s="98"/>
      <c r="K50" s="98"/>
      <c r="L50" s="98"/>
      <c r="M50" s="98"/>
      <c r="N50" s="166" t="s">
        <v>250</v>
      </c>
      <c r="O50" s="33">
        <v>20670</v>
      </c>
      <c r="P50" s="33">
        <v>75</v>
      </c>
      <c r="Q50" s="33">
        <v>35</v>
      </c>
      <c r="R50" s="92">
        <v>20780</v>
      </c>
      <c r="S50" s="98"/>
      <c r="T50" s="99"/>
    </row>
    <row r="51" spans="2:20" x14ac:dyDescent="0.25">
      <c r="B51" s="97"/>
      <c r="C51" s="98"/>
      <c r="D51" s="166" t="s">
        <v>608</v>
      </c>
      <c r="E51" s="33">
        <v>885</v>
      </c>
      <c r="F51" s="33"/>
      <c r="G51" s="33"/>
      <c r="H51" s="92">
        <v>885</v>
      </c>
      <c r="I51" s="98"/>
      <c r="J51" s="98"/>
      <c r="K51" s="98"/>
      <c r="L51" s="98"/>
      <c r="M51" s="98"/>
      <c r="N51" s="166" t="s">
        <v>608</v>
      </c>
      <c r="O51" s="33">
        <v>885</v>
      </c>
      <c r="P51" s="33"/>
      <c r="Q51" s="33"/>
      <c r="R51" s="92">
        <v>885</v>
      </c>
      <c r="S51" s="98"/>
      <c r="T51" s="99"/>
    </row>
    <row r="52" spans="2:20" x14ac:dyDescent="0.25">
      <c r="B52" s="97"/>
      <c r="C52" s="98"/>
      <c r="D52" s="213" t="s">
        <v>715</v>
      </c>
      <c r="E52" s="93">
        <v>311717</v>
      </c>
      <c r="F52" s="93">
        <v>30144</v>
      </c>
      <c r="G52" s="93">
        <v>555</v>
      </c>
      <c r="H52" s="94">
        <v>342416</v>
      </c>
      <c r="I52" s="98"/>
      <c r="J52" s="98"/>
      <c r="K52" s="98"/>
      <c r="L52" s="98"/>
      <c r="M52" s="98"/>
      <c r="N52" s="213" t="s">
        <v>715</v>
      </c>
      <c r="O52" s="93">
        <v>311717</v>
      </c>
      <c r="P52" s="93">
        <v>30144</v>
      </c>
      <c r="Q52" s="93">
        <v>555</v>
      </c>
      <c r="R52" s="94">
        <v>342416</v>
      </c>
      <c r="S52" s="98"/>
      <c r="T52" s="99"/>
    </row>
    <row r="53" spans="2:20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9"/>
    </row>
    <row r="54" spans="2:20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9"/>
    </row>
    <row r="55" spans="2:20" x14ac:dyDescent="0.25">
      <c r="B55" s="106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8"/>
    </row>
    <row r="60" spans="2:20" x14ac:dyDescent="0.25">
      <c r="B60" s="373" t="s">
        <v>1923</v>
      </c>
      <c r="C60" s="374"/>
      <c r="D60" s="374"/>
      <c r="E60" s="374"/>
      <c r="F60" s="374"/>
      <c r="G60" s="374"/>
      <c r="H60" s="374"/>
      <c r="I60" s="374"/>
      <c r="J60" s="374"/>
      <c r="K60" s="208"/>
      <c r="L60" s="374" t="s">
        <v>1929</v>
      </c>
      <c r="M60" s="374"/>
      <c r="N60" s="374"/>
      <c r="O60" s="374"/>
      <c r="P60" s="374"/>
      <c r="Q60" s="374"/>
      <c r="R60" s="374"/>
      <c r="S60" s="374"/>
      <c r="T60" s="375"/>
    </row>
    <row r="61" spans="2:20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9"/>
    </row>
    <row r="62" spans="2:20" x14ac:dyDescent="0.25">
      <c r="B62" s="97"/>
      <c r="C62" s="98"/>
      <c r="D62" s="209" t="s">
        <v>1923</v>
      </c>
      <c r="E62" s="98"/>
      <c r="F62" s="98"/>
      <c r="G62" s="98"/>
      <c r="H62" s="98"/>
      <c r="I62" s="98"/>
      <c r="J62" s="98"/>
      <c r="K62" s="98"/>
      <c r="L62" s="98"/>
      <c r="M62" s="98"/>
      <c r="N62" s="209" t="s">
        <v>1929</v>
      </c>
      <c r="O62" s="98"/>
      <c r="P62" s="98"/>
      <c r="Q62" s="98"/>
      <c r="R62" s="98"/>
      <c r="S62" s="98"/>
      <c r="T62" s="99"/>
    </row>
    <row r="63" spans="2:20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9"/>
    </row>
    <row r="64" spans="2:20" x14ac:dyDescent="0.25">
      <c r="B64" s="97"/>
      <c r="C64" s="98"/>
      <c r="D64" s="9" t="s">
        <v>1889</v>
      </c>
      <c r="E64" s="9" t="s">
        <v>31</v>
      </c>
      <c r="F64" s="9" t="s">
        <v>1942</v>
      </c>
      <c r="G64" s="9" t="s">
        <v>856</v>
      </c>
      <c r="H64" s="9" t="s">
        <v>715</v>
      </c>
      <c r="I64" s="98"/>
      <c r="J64" s="98"/>
      <c r="K64" s="98"/>
      <c r="L64" s="98"/>
      <c r="M64" s="98"/>
      <c r="N64" s="9" t="s">
        <v>717</v>
      </c>
      <c r="O64" s="9" t="s">
        <v>757</v>
      </c>
      <c r="P64" s="9" t="s">
        <v>1797</v>
      </c>
      <c r="Q64" s="9" t="s">
        <v>758</v>
      </c>
      <c r="R64" s="9" t="s">
        <v>715</v>
      </c>
      <c r="S64" s="98"/>
      <c r="T64" s="99"/>
    </row>
    <row r="65" spans="2:20" x14ac:dyDescent="0.25">
      <c r="B65" s="97"/>
      <c r="C65" s="115" t="str">
        <f>VLOOKUP(Tableau82[[#This Row],[Périodes]],periods[],2)</f>
        <v>Avant 2014</v>
      </c>
      <c r="D65" s="9" t="s">
        <v>1854</v>
      </c>
      <c r="E65" s="33">
        <f>SUMIFS(DisplacementPeriod[ind],DisplacementPeriod[periode],Tableau82[[#This Row],[Périodes]],DisplacementPeriod[raison],"Conflits EIAO")</f>
        <v>3568</v>
      </c>
      <c r="F65" s="33">
        <f>SUMIFS(DisplacementPeriod[ind],DisplacementPeriod[periode],Tableau82[[#This Row],[Périodes]],DisplacementPeriod[raison],"inondations et desastres naturels")</f>
        <v>13339</v>
      </c>
      <c r="G65" s="33">
        <f>SUMIFS(DisplacementPeriod[ind],DisplacementPeriod[periode],Tableau82[[#This Row],[Périodes]],DisplacementPeriod[raison],"autre")</f>
        <v>72</v>
      </c>
      <c r="H65" s="33">
        <f>SUM(Tableau82[[#This Row],[Conflits EIAO]:[Autre]])</f>
        <v>16979</v>
      </c>
      <c r="I65" s="98"/>
      <c r="J65" s="98"/>
      <c r="K65" s="98"/>
      <c r="L65" s="98"/>
      <c r="M65" s="115" t="str">
        <f>VLOOKUP(Tableau83[[#This Row],[Periods]],periods[],3)</f>
        <v>Before 2014</v>
      </c>
      <c r="N65" s="9" t="s">
        <v>1854</v>
      </c>
      <c r="O65" s="33">
        <f>SUMIFS(DisplacementPeriod[ind],DisplacementPeriod[periode],Tableau83[[#This Row],[Periods]],DisplacementPeriod[raison],"Conflits EIAO")</f>
        <v>3568</v>
      </c>
      <c r="P65" s="33">
        <f>SUMIFS(DisplacementPeriod[ind],DisplacementPeriod[periode],Tableau83[[#This Row],[Periods]],DisplacementPeriod[raison],"inondations et desastres naturels")</f>
        <v>13339</v>
      </c>
      <c r="Q65" s="33">
        <f>SUMIFS(DisplacementPeriod[ind],DisplacementPeriod[periode],Tableau83[[#This Row],[Periods]],DisplacementPeriod[raison],"autre")</f>
        <v>72</v>
      </c>
      <c r="R65" s="33">
        <f>SUM(Tableau83[[#This Row],[Conflicts_ISWA]:[Other]])</f>
        <v>16979</v>
      </c>
      <c r="S65" s="98"/>
      <c r="T65" s="99"/>
    </row>
    <row r="66" spans="2:20" x14ac:dyDescent="0.25">
      <c r="B66" s="97"/>
      <c r="C66" s="115" t="str">
        <f>VLOOKUP(Tableau82[[#This Row],[Périodes]],periods[],2)</f>
        <v>2014</v>
      </c>
      <c r="D66" s="9" t="s">
        <v>1855</v>
      </c>
      <c r="E66" s="33">
        <f>SUMIFS(DisplacementPeriod[ind],DisplacementPeriod[periode],Tableau82[[#This Row],[Périodes]],DisplacementPeriod[raison],"Conflits EIAO")</f>
        <v>50319</v>
      </c>
      <c r="F66" s="33">
        <f>SUMIFS(DisplacementPeriod[ind],DisplacementPeriod[periode],Tableau82[[#This Row],[Périodes]],DisplacementPeriod[raison],"inondations et desastres naturels")</f>
        <v>1884</v>
      </c>
      <c r="G66" s="33">
        <f>SUMIFS(DisplacementPeriod[ind],DisplacementPeriod[periode],Tableau82[[#This Row],[Périodes]],DisplacementPeriod[raison],"autre")</f>
        <v>349</v>
      </c>
      <c r="H66" s="33">
        <f>SUM(Tableau82[[#This Row],[Conflits EIAO]:[Autre]])</f>
        <v>52552</v>
      </c>
      <c r="I66" s="98"/>
      <c r="J66" s="98"/>
      <c r="K66" s="98"/>
      <c r="L66" s="98"/>
      <c r="M66" s="115" t="str">
        <f>VLOOKUP(Tableau83[[#This Row],[Periods]],periods[],3)</f>
        <v>2014</v>
      </c>
      <c r="N66" s="9" t="s">
        <v>1855</v>
      </c>
      <c r="O66" s="33">
        <f>SUMIFS(DisplacementPeriod[ind],DisplacementPeriod[periode],Tableau83[[#This Row],[Periods]],DisplacementPeriod[raison],"Conflits EIAO")</f>
        <v>50319</v>
      </c>
      <c r="P66" s="33">
        <f>SUMIFS(DisplacementPeriod[ind],DisplacementPeriod[periode],Tableau83[[#This Row],[Periods]],DisplacementPeriod[raison],"inondations et desastres naturels")</f>
        <v>1884</v>
      </c>
      <c r="Q66" s="33">
        <f>SUMIFS(DisplacementPeriod[ind],DisplacementPeriod[periode],Tableau83[[#This Row],[Periods]],DisplacementPeriod[raison],"autre")</f>
        <v>349</v>
      </c>
      <c r="R66" s="33">
        <f>SUM(Tableau83[[#This Row],[Conflicts_ISWA]:[Other]])</f>
        <v>52552</v>
      </c>
      <c r="S66" s="98"/>
      <c r="T66" s="99"/>
    </row>
    <row r="67" spans="2:20" x14ac:dyDescent="0.25">
      <c r="B67" s="97"/>
      <c r="C67" s="115" t="str">
        <f>VLOOKUP(Tableau82[[#This Row],[Périodes]],periods[],2)</f>
        <v>2015</v>
      </c>
      <c r="D67" s="9" t="s">
        <v>1856</v>
      </c>
      <c r="E67" s="33">
        <f>SUMIFS(DisplacementPeriod[ind],DisplacementPeriod[periode],Tableau82[[#This Row],[Périodes]],DisplacementPeriod[raison],"Conflits EIAO")</f>
        <v>85630</v>
      </c>
      <c r="F67" s="33">
        <f>SUMIFS(DisplacementPeriod[ind],DisplacementPeriod[periode],Tableau82[[#This Row],[Périodes]],DisplacementPeriod[raison],"inondations et desastres naturels")</f>
        <v>3053</v>
      </c>
      <c r="G67" s="33">
        <f>SUMIFS(DisplacementPeriod[ind],DisplacementPeriod[periode],Tableau82[[#This Row],[Périodes]],DisplacementPeriod[raison],"autre")</f>
        <v>31</v>
      </c>
      <c r="H67" s="33">
        <f>SUM(Tableau82[[#This Row],[Conflits EIAO]:[Autre]])</f>
        <v>88714</v>
      </c>
      <c r="I67" s="98"/>
      <c r="J67" s="98"/>
      <c r="K67" s="98"/>
      <c r="L67" s="98"/>
      <c r="M67" s="115" t="str">
        <f>VLOOKUP(Tableau83[[#This Row],[Periods]],periods[],3)</f>
        <v>2015</v>
      </c>
      <c r="N67" s="9" t="s">
        <v>1856</v>
      </c>
      <c r="O67" s="33">
        <f>SUMIFS(DisplacementPeriod[ind],DisplacementPeriod[periode],Tableau83[[#This Row],[Periods]],DisplacementPeriod[raison],"Conflits EIAO")</f>
        <v>85630</v>
      </c>
      <c r="P67" s="33">
        <f>SUMIFS(DisplacementPeriod[ind],DisplacementPeriod[periode],Tableau83[[#This Row],[Periods]],DisplacementPeriod[raison],"inondations et desastres naturels")</f>
        <v>3053</v>
      </c>
      <c r="Q67" s="33">
        <f>SUMIFS(DisplacementPeriod[ind],DisplacementPeriod[periode],Tableau83[[#This Row],[Periods]],DisplacementPeriod[raison],"autre")</f>
        <v>31</v>
      </c>
      <c r="R67" s="33">
        <f>SUM(Tableau83[[#This Row],[Conflicts_ISWA]:[Other]])</f>
        <v>88714</v>
      </c>
      <c r="S67" s="98"/>
      <c r="T67" s="99"/>
    </row>
    <row r="68" spans="2:20" x14ac:dyDescent="0.25">
      <c r="B68" s="97"/>
      <c r="C68" s="115" t="str">
        <f>VLOOKUP(Tableau82[[#This Row],[Périodes]],periods[],2)</f>
        <v>2016</v>
      </c>
      <c r="D68" s="9" t="s">
        <v>1857</v>
      </c>
      <c r="E68" s="33">
        <f>SUMIFS(DisplacementPeriod[ind],DisplacementPeriod[periode],Tableau82[[#This Row],[Périodes]],DisplacementPeriod[raison],"Conflits EIAO")</f>
        <v>99439</v>
      </c>
      <c r="F68" s="33">
        <f>SUMIFS(DisplacementPeriod[ind],DisplacementPeriod[periode],Tableau82[[#This Row],[Périodes]],DisplacementPeriod[raison],"inondations et desastres naturels")</f>
        <v>4870</v>
      </c>
      <c r="G68" s="33">
        <f>SUMIFS(DisplacementPeriod[ind],DisplacementPeriod[periode],Tableau82[[#This Row],[Périodes]],DisplacementPeriod[raison],"autre")</f>
        <v>10</v>
      </c>
      <c r="H68" s="33">
        <f>SUM(Tableau82[[#This Row],[Conflits EIAO]:[Autre]])</f>
        <v>104319</v>
      </c>
      <c r="I68" s="98"/>
      <c r="J68" s="98"/>
      <c r="K68" s="98"/>
      <c r="L68" s="98"/>
      <c r="M68" s="115" t="str">
        <f>VLOOKUP(Tableau83[[#This Row],[Periods]],periods[],3)</f>
        <v>2016</v>
      </c>
      <c r="N68" s="9" t="s">
        <v>1857</v>
      </c>
      <c r="O68" s="33">
        <f>SUMIFS(DisplacementPeriod[ind],DisplacementPeriod[periode],Tableau83[[#This Row],[Periods]],DisplacementPeriod[raison],"Conflits EIAO")</f>
        <v>99439</v>
      </c>
      <c r="P68" s="33">
        <f>SUMIFS(DisplacementPeriod[ind],DisplacementPeriod[periode],Tableau83[[#This Row],[Periods]],DisplacementPeriod[raison],"inondations et desastres naturels")</f>
        <v>4870</v>
      </c>
      <c r="Q68" s="33">
        <f>SUMIFS(DisplacementPeriod[ind],DisplacementPeriod[periode],Tableau83[[#This Row],[Periods]],DisplacementPeriod[raison],"autre")</f>
        <v>10</v>
      </c>
      <c r="R68" s="33">
        <f>SUM(Tableau83[[#This Row],[Conflicts_ISWA]:[Other]])</f>
        <v>104319</v>
      </c>
      <c r="S68" s="98"/>
      <c r="T68" s="99"/>
    </row>
    <row r="69" spans="2:20" x14ac:dyDescent="0.25">
      <c r="B69" s="97"/>
      <c r="C69" s="115" t="str">
        <f>VLOOKUP(Tableau82[[#This Row],[Périodes]],periods[],2)</f>
        <v>Janv-Oct 2017</v>
      </c>
      <c r="D69" s="9" t="s">
        <v>1858</v>
      </c>
      <c r="E69" s="33">
        <f>SUMIFS(DisplacementPeriod[ind],DisplacementPeriod[periode],Tableau82[[#This Row],[Périodes]],DisplacementPeriod[raison],"Conflits EIAO")</f>
        <v>63561</v>
      </c>
      <c r="F69" s="33">
        <f>SUMIFS(DisplacementPeriod[ind],DisplacementPeriod[periode],Tableau82[[#This Row],[Périodes]],DisplacementPeriod[raison],"inondations et desastres naturels")</f>
        <v>5830</v>
      </c>
      <c r="G69" s="33">
        <f>SUMIFS(DisplacementPeriod[ind],DisplacementPeriod[periode],Tableau82[[#This Row],[Périodes]],DisplacementPeriod[raison],"autre")</f>
        <v>93</v>
      </c>
      <c r="H69" s="33">
        <f>SUM(Tableau82[[#This Row],[Conflits EIAO]:[Autre]])</f>
        <v>69484</v>
      </c>
      <c r="I69" s="98"/>
      <c r="J69" s="98"/>
      <c r="K69" s="98"/>
      <c r="L69" s="98"/>
      <c r="M69" s="115" t="str">
        <f>VLOOKUP(Tableau83[[#This Row],[Periods]],periods[],3)</f>
        <v>Jan-Oct 2017</v>
      </c>
      <c r="N69" s="9" t="s">
        <v>1858</v>
      </c>
      <c r="O69" s="33">
        <f>SUMIFS(DisplacementPeriod[ind],DisplacementPeriod[periode],Tableau83[[#This Row],[Periods]],DisplacementPeriod[raison],"Conflits EIAO")</f>
        <v>63561</v>
      </c>
      <c r="P69" s="33">
        <f>SUMIFS(DisplacementPeriod[ind],DisplacementPeriod[periode],Tableau83[[#This Row],[Periods]],DisplacementPeriod[raison],"inondations et desastres naturels")</f>
        <v>5830</v>
      </c>
      <c r="Q69" s="33">
        <f>SUMIFS(DisplacementPeriod[ind],DisplacementPeriod[periode],Tableau83[[#This Row],[Periods]],DisplacementPeriod[raison],"autre")</f>
        <v>93</v>
      </c>
      <c r="R69" s="33">
        <f>SUM(Tableau83[[#This Row],[Conflicts_ISWA]:[Other]])</f>
        <v>69484</v>
      </c>
      <c r="S69" s="98"/>
      <c r="T69" s="99"/>
    </row>
    <row r="70" spans="2:20" x14ac:dyDescent="0.25">
      <c r="B70" s="97"/>
      <c r="C70" s="115" t="str">
        <f>VLOOKUP(Tableau82[[#This Row],[Périodes]],periods[],2)</f>
        <v>Oct-Dec 2017</v>
      </c>
      <c r="D70" s="9" t="s">
        <v>1859</v>
      </c>
      <c r="E70" s="33">
        <f>SUMIFS(DisplacementPeriod[ind],DisplacementPeriod[periode],Tableau82[[#This Row],[Périodes]],DisplacementPeriod[raison],"Conflits EIAO")</f>
        <v>9200</v>
      </c>
      <c r="F70" s="33">
        <f>SUMIFS(DisplacementPeriod[ind],DisplacementPeriod[periode],Tableau82[[#This Row],[Périodes]],DisplacementPeriod[raison],"inondations et desastres naturels")</f>
        <v>1168</v>
      </c>
      <c r="G70" s="33">
        <f>SUMIFS(DisplacementPeriod[ind],DisplacementPeriod[periode],Tableau82[[#This Row],[Périodes]],DisplacementPeriod[raison],"autre")</f>
        <v>0</v>
      </c>
      <c r="H70" s="33">
        <f>SUM(Tableau82[[#This Row],[Conflits EIAO]:[Autre]])</f>
        <v>10368</v>
      </c>
      <c r="I70" s="98"/>
      <c r="J70" s="98"/>
      <c r="K70" s="98"/>
      <c r="L70" s="98"/>
      <c r="M70" s="115" t="str">
        <f>VLOOKUP(Tableau83[[#This Row],[Periods]],periods[],3)</f>
        <v>Oct-Dec 2017</v>
      </c>
      <c r="N70" s="9" t="s">
        <v>1859</v>
      </c>
      <c r="O70" s="33">
        <f>SUMIFS(DisplacementPeriod[ind],DisplacementPeriod[periode],Tableau83[[#This Row],[Periods]],DisplacementPeriod[raison],"Conflits EIAO")</f>
        <v>9200</v>
      </c>
      <c r="P70" s="33">
        <f>SUMIFS(DisplacementPeriod[ind],DisplacementPeriod[periode],Tableau83[[#This Row],[Periods]],DisplacementPeriod[raison],"inondations et desastres naturels")</f>
        <v>1168</v>
      </c>
      <c r="Q70" s="33">
        <f>SUMIFS(DisplacementPeriod[ind],DisplacementPeriod[periode],Tableau83[[#This Row],[Periods]],DisplacementPeriod[raison],"autre")</f>
        <v>0</v>
      </c>
      <c r="R70" s="33">
        <f>SUM(Tableau83[[#This Row],[Conflicts_ISWA]:[Other]])</f>
        <v>10368</v>
      </c>
      <c r="S70" s="98"/>
      <c r="T70" s="99"/>
    </row>
    <row r="71" spans="2:20" x14ac:dyDescent="0.25">
      <c r="B71" s="97"/>
      <c r="C71" s="98"/>
      <c r="D71" s="9"/>
      <c r="E71" s="33">
        <f>SUM(E65:E70)</f>
        <v>311717</v>
      </c>
      <c r="F71" s="33">
        <f>SUM(F65:F70)</f>
        <v>30144</v>
      </c>
      <c r="G71" s="33">
        <f>SUM(G65:G70)</f>
        <v>555</v>
      </c>
      <c r="H71" s="33">
        <f>SUBTOTAL(109,Tableau82[Total])</f>
        <v>342416</v>
      </c>
      <c r="I71" s="98"/>
      <c r="J71" s="98"/>
      <c r="K71" s="98"/>
      <c r="L71" s="98"/>
      <c r="M71" s="98"/>
      <c r="N71" s="9"/>
      <c r="O71" s="33">
        <f>SUM(O65:O70)</f>
        <v>311717</v>
      </c>
      <c r="P71" s="33">
        <f>SUM(P65:P70)</f>
        <v>30144</v>
      </c>
      <c r="Q71" s="33">
        <f>SUM(Q65:Q70)</f>
        <v>555</v>
      </c>
      <c r="R71" s="33">
        <f>SUBTOTAL(109,Tableau83[Total])</f>
        <v>342416</v>
      </c>
      <c r="S71" s="98"/>
      <c r="T71" s="99"/>
    </row>
    <row r="72" spans="2:20" x14ac:dyDescent="0.25">
      <c r="B72" s="97"/>
      <c r="C72" s="98"/>
      <c r="D72" s="98"/>
      <c r="E72" s="149">
        <f>Tableau82[[#Totals],[Conflits EIAO]]/Tableau82[[#Totals],[Total]]</f>
        <v>0.9103458950516331</v>
      </c>
      <c r="F72" s="149">
        <f>Tableau82[[#Totals],[Climat]]/Tableau82[[#Totals],[Total]]</f>
        <v>8.8033269473389089E-2</v>
      </c>
      <c r="G72" s="149">
        <f>Tableau82[[#Totals],[Autre]]/Tableau82[[#Totals],[Total]]</f>
        <v>1.6208354749778049E-3</v>
      </c>
      <c r="H72" s="149">
        <f>SUM(E72:G72)</f>
        <v>1</v>
      </c>
      <c r="I72" s="98"/>
      <c r="J72" s="98"/>
      <c r="K72" s="98"/>
      <c r="L72" s="98"/>
      <c r="M72" s="98"/>
      <c r="N72" s="98"/>
      <c r="O72" s="210">
        <f>Tableau83[[#Totals],[Conflicts_ISWA]]/Tableau83[[#Totals],[Total]]</f>
        <v>0.9103458950516331</v>
      </c>
      <c r="P72" s="210">
        <f>Tableau83[[#Totals],[Climate]]/Tableau83[[#Totals],[Total]]</f>
        <v>8.8033269473389089E-2</v>
      </c>
      <c r="Q72" s="210">
        <f>Tableau83[[#Totals],[Other]]/Tableau83[[#Totals],[Total]]</f>
        <v>1.6208354749778049E-3</v>
      </c>
      <c r="R72" s="210">
        <f>SUM(O72:Q72)</f>
        <v>1</v>
      </c>
      <c r="S72" s="98"/>
      <c r="T72" s="99"/>
    </row>
    <row r="73" spans="2:20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9"/>
    </row>
    <row r="74" spans="2:20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9"/>
    </row>
    <row r="75" spans="2:20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9"/>
    </row>
    <row r="76" spans="2:20" x14ac:dyDescent="0.25">
      <c r="B76" s="97"/>
      <c r="C76" s="98"/>
      <c r="D76" s="209" t="s">
        <v>1925</v>
      </c>
      <c r="E76" s="98"/>
      <c r="F76" s="98"/>
      <c r="G76" s="98"/>
      <c r="H76" s="98"/>
      <c r="I76" s="98"/>
      <c r="J76" s="98"/>
      <c r="K76" s="98"/>
      <c r="L76" s="98"/>
      <c r="M76" s="98"/>
      <c r="N76" s="209" t="s">
        <v>1930</v>
      </c>
      <c r="O76" s="98"/>
      <c r="P76" s="98"/>
      <c r="Q76" s="98"/>
      <c r="R76" s="98"/>
      <c r="S76" s="98"/>
      <c r="T76" s="99"/>
    </row>
    <row r="77" spans="2:20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9"/>
    </row>
    <row r="78" spans="2:20" x14ac:dyDescent="0.25">
      <c r="B78" s="97"/>
      <c r="C78" s="98"/>
      <c r="D78" s="9" t="s">
        <v>1889</v>
      </c>
      <c r="E78" s="9" t="s">
        <v>1954</v>
      </c>
      <c r="F78" s="9" t="s">
        <v>1942</v>
      </c>
      <c r="G78" s="9" t="s">
        <v>856</v>
      </c>
      <c r="H78" s="9" t="s">
        <v>715</v>
      </c>
      <c r="I78" s="98"/>
      <c r="J78" s="98"/>
      <c r="K78" s="98"/>
      <c r="L78" s="98"/>
      <c r="M78" s="98"/>
      <c r="N78" s="9" t="s">
        <v>717</v>
      </c>
      <c r="O78" s="9" t="s">
        <v>2022</v>
      </c>
      <c r="P78" s="9" t="s">
        <v>2023</v>
      </c>
      <c r="Q78" s="9" t="s">
        <v>758</v>
      </c>
      <c r="R78" s="9" t="s">
        <v>715</v>
      </c>
      <c r="S78" s="98"/>
      <c r="T78" s="99"/>
    </row>
    <row r="79" spans="2:20" x14ac:dyDescent="0.25">
      <c r="B79" s="97"/>
      <c r="C79" s="115" t="str">
        <f>VLOOKUP(Tableau8286[[#This Row],[Périodes]],periods[],2)</f>
        <v>Avant 2014</v>
      </c>
      <c r="D79" s="9" t="s">
        <v>1854</v>
      </c>
      <c r="E79" s="38">
        <f t="shared" ref="E79:E84" si="0">E65/H65</f>
        <v>0.21014194004358325</v>
      </c>
      <c r="F79" s="38">
        <f t="shared" ref="F79:F84" si="1">F65/H65</f>
        <v>0.78561752753401259</v>
      </c>
      <c r="G79" s="38">
        <f t="shared" ref="G79:G84" si="2">G65/H65</f>
        <v>4.2405324224041464E-3</v>
      </c>
      <c r="H79" s="38">
        <f>SUM(Tableau8286[[#This Row],[Conflits]:[Autre]])</f>
        <v>1</v>
      </c>
      <c r="I79" s="98"/>
      <c r="J79" s="98"/>
      <c r="K79" s="98"/>
      <c r="L79" s="98"/>
      <c r="M79" s="115" t="str">
        <f>VLOOKUP(Tableau8387[[#This Row],[Periods]],periods[],3)</f>
        <v>Before 2014</v>
      </c>
      <c r="N79" s="9" t="s">
        <v>1854</v>
      </c>
      <c r="O79" s="38">
        <f t="shared" ref="O79:O84" si="3">O65/R65</f>
        <v>0.21014194004358325</v>
      </c>
      <c r="P79" s="38">
        <f t="shared" ref="P79:P84" si="4">P65/R65</f>
        <v>0.78561752753401259</v>
      </c>
      <c r="Q79" s="38">
        <f t="shared" ref="Q79:Q84" si="5">Q65/R65</f>
        <v>4.2405324224041464E-3</v>
      </c>
      <c r="R79" s="38">
        <f>SUM(Tableau8387[[#This Row],[Conflicts related]:[Other]])</f>
        <v>1</v>
      </c>
      <c r="S79" s="98"/>
      <c r="T79" s="99"/>
    </row>
    <row r="80" spans="2:20" x14ac:dyDescent="0.25">
      <c r="B80" s="97"/>
      <c r="C80" s="115" t="str">
        <f>VLOOKUP(Tableau8286[[#This Row],[Périodes]],periods[],2)</f>
        <v>2014</v>
      </c>
      <c r="D80" s="9" t="s">
        <v>1855</v>
      </c>
      <c r="E80" s="38">
        <f t="shared" si="0"/>
        <v>0.95750875323489115</v>
      </c>
      <c r="F80" s="38">
        <f t="shared" si="1"/>
        <v>3.585020551073223E-2</v>
      </c>
      <c r="G80" s="38">
        <f t="shared" si="2"/>
        <v>6.6410412543766173E-3</v>
      </c>
      <c r="H80" s="38">
        <f>SUM(Tableau8286[[#This Row],[Conflits]:[Autre]])</f>
        <v>1</v>
      </c>
      <c r="I80" s="98"/>
      <c r="J80" s="98"/>
      <c r="K80" s="98"/>
      <c r="L80" s="98"/>
      <c r="M80" s="115" t="str">
        <f>VLOOKUP(Tableau8387[[#This Row],[Periods]],periods[],3)</f>
        <v>2014</v>
      </c>
      <c r="N80" s="9" t="s">
        <v>1855</v>
      </c>
      <c r="O80" s="38">
        <f t="shared" si="3"/>
        <v>0.95750875323489115</v>
      </c>
      <c r="P80" s="38">
        <f t="shared" si="4"/>
        <v>3.585020551073223E-2</v>
      </c>
      <c r="Q80" s="38">
        <f t="shared" si="5"/>
        <v>6.6410412543766173E-3</v>
      </c>
      <c r="R80" s="38">
        <f>SUM(Tableau8387[[#This Row],[Conflicts related]:[Other]])</f>
        <v>1</v>
      </c>
      <c r="S80" s="98"/>
      <c r="T80" s="99"/>
    </row>
    <row r="81" spans="2:20" x14ac:dyDescent="0.25">
      <c r="B81" s="97"/>
      <c r="C81" s="115" t="str">
        <f>VLOOKUP(Tableau8286[[#This Row],[Périodes]],periods[],2)</f>
        <v>2015</v>
      </c>
      <c r="D81" s="9" t="s">
        <v>1856</v>
      </c>
      <c r="E81" s="38">
        <f t="shared" si="0"/>
        <v>0.96523660301643488</v>
      </c>
      <c r="F81" s="38">
        <f t="shared" si="1"/>
        <v>3.4413959465247876E-2</v>
      </c>
      <c r="G81" s="38">
        <f t="shared" si="2"/>
        <v>3.4943751831728928E-4</v>
      </c>
      <c r="H81" s="38">
        <f>SUM(Tableau8286[[#This Row],[Conflits]:[Autre]])</f>
        <v>1</v>
      </c>
      <c r="I81" s="98"/>
      <c r="J81" s="98"/>
      <c r="K81" s="98"/>
      <c r="L81" s="98"/>
      <c r="M81" s="115" t="str">
        <f>VLOOKUP(Tableau8387[[#This Row],[Periods]],periods[],3)</f>
        <v>2015</v>
      </c>
      <c r="N81" s="9" t="s">
        <v>1856</v>
      </c>
      <c r="O81" s="38">
        <f t="shared" si="3"/>
        <v>0.96523660301643488</v>
      </c>
      <c r="P81" s="38">
        <f t="shared" si="4"/>
        <v>3.4413959465247876E-2</v>
      </c>
      <c r="Q81" s="38">
        <f t="shared" si="5"/>
        <v>3.4943751831728928E-4</v>
      </c>
      <c r="R81" s="38">
        <f>SUM(Tableau8387[[#This Row],[Conflicts related]:[Other]])</f>
        <v>1</v>
      </c>
      <c r="S81" s="98"/>
      <c r="T81" s="99"/>
    </row>
    <row r="82" spans="2:20" x14ac:dyDescent="0.25">
      <c r="B82" s="97"/>
      <c r="C82" s="115" t="str">
        <f>VLOOKUP(Tableau8286[[#This Row],[Périodes]],periods[],2)</f>
        <v>2016</v>
      </c>
      <c r="D82" s="9" t="s">
        <v>1857</v>
      </c>
      <c r="E82" s="38">
        <f t="shared" si="0"/>
        <v>0.95322041047172612</v>
      </c>
      <c r="F82" s="38">
        <f t="shared" si="1"/>
        <v>4.6683729713666737E-2</v>
      </c>
      <c r="G82" s="38">
        <f t="shared" si="2"/>
        <v>9.5859814607118554E-5</v>
      </c>
      <c r="H82" s="38">
        <f>SUM(Tableau8286[[#This Row],[Conflits]:[Autre]])</f>
        <v>1</v>
      </c>
      <c r="I82" s="98"/>
      <c r="J82" s="98"/>
      <c r="K82" s="98"/>
      <c r="L82" s="98"/>
      <c r="M82" s="115" t="str">
        <f>VLOOKUP(Tableau8387[[#This Row],[Periods]],periods[],3)</f>
        <v>2016</v>
      </c>
      <c r="N82" s="9" t="s">
        <v>1857</v>
      </c>
      <c r="O82" s="38">
        <f t="shared" si="3"/>
        <v>0.95322041047172612</v>
      </c>
      <c r="P82" s="38">
        <f t="shared" si="4"/>
        <v>4.6683729713666737E-2</v>
      </c>
      <c r="Q82" s="38">
        <f t="shared" si="5"/>
        <v>9.5859814607118554E-5</v>
      </c>
      <c r="R82" s="38">
        <f>SUM(Tableau8387[[#This Row],[Conflicts related]:[Other]])</f>
        <v>1</v>
      </c>
      <c r="S82" s="98"/>
      <c r="T82" s="99"/>
    </row>
    <row r="83" spans="2:20" x14ac:dyDescent="0.25">
      <c r="B83" s="97"/>
      <c r="C83" s="115" t="str">
        <f>VLOOKUP(Tableau8286[[#This Row],[Périodes]],periods[],2)</f>
        <v>Janv-Oct 2017</v>
      </c>
      <c r="D83" s="9" t="s">
        <v>1858</v>
      </c>
      <c r="E83" s="38">
        <f t="shared" si="0"/>
        <v>0.91475735421104143</v>
      </c>
      <c r="F83" s="38">
        <f t="shared" si="1"/>
        <v>8.3904208163030333E-2</v>
      </c>
      <c r="G83" s="38">
        <f t="shared" si="2"/>
        <v>1.3384376259282713E-3</v>
      </c>
      <c r="H83" s="38">
        <f>SUM(Tableau8286[[#This Row],[Conflits]:[Autre]])</f>
        <v>1</v>
      </c>
      <c r="I83" s="98"/>
      <c r="J83" s="98"/>
      <c r="K83" s="98"/>
      <c r="L83" s="98"/>
      <c r="M83" s="115" t="str">
        <f>VLOOKUP(Tableau8387[[#This Row],[Periods]],periods[],3)</f>
        <v>Jan-Oct 2017</v>
      </c>
      <c r="N83" s="9" t="s">
        <v>1858</v>
      </c>
      <c r="O83" s="38">
        <f t="shared" si="3"/>
        <v>0.91475735421104143</v>
      </c>
      <c r="P83" s="38">
        <f t="shared" si="4"/>
        <v>8.3904208163030333E-2</v>
      </c>
      <c r="Q83" s="38">
        <f t="shared" si="5"/>
        <v>1.3384376259282713E-3</v>
      </c>
      <c r="R83" s="38">
        <f>SUM(Tableau8387[[#This Row],[Conflicts related]:[Other]])</f>
        <v>1</v>
      </c>
      <c r="S83" s="98"/>
      <c r="T83" s="99"/>
    </row>
    <row r="84" spans="2:20" x14ac:dyDescent="0.25">
      <c r="B84" s="97"/>
      <c r="C84" s="115" t="str">
        <f>VLOOKUP(Tableau8286[[#This Row],[Périodes]],periods[],2)</f>
        <v>Oct-Dec 2017</v>
      </c>
      <c r="D84" s="9" t="s">
        <v>1859</v>
      </c>
      <c r="E84" s="38">
        <f t="shared" si="0"/>
        <v>0.88734567901234573</v>
      </c>
      <c r="F84" s="38">
        <f t="shared" si="1"/>
        <v>0.11265432098765432</v>
      </c>
      <c r="G84" s="38">
        <f t="shared" si="2"/>
        <v>0</v>
      </c>
      <c r="H84" s="38">
        <f>SUM(Tableau8286[[#This Row],[Conflits]:[Autre]])</f>
        <v>1</v>
      </c>
      <c r="I84" s="98"/>
      <c r="J84" s="98"/>
      <c r="K84" s="98"/>
      <c r="L84" s="98"/>
      <c r="M84" s="115" t="str">
        <f>VLOOKUP(Tableau8387[[#This Row],[Periods]],periods[],3)</f>
        <v>Oct-Dec 2017</v>
      </c>
      <c r="N84" s="9" t="s">
        <v>1859</v>
      </c>
      <c r="O84" s="38">
        <f t="shared" si="3"/>
        <v>0.88734567901234573</v>
      </c>
      <c r="P84" s="38">
        <f t="shared" si="4"/>
        <v>0.11265432098765432</v>
      </c>
      <c r="Q84" s="38">
        <f t="shared" si="5"/>
        <v>0</v>
      </c>
      <c r="R84" s="38">
        <f>SUM(Tableau8387[[#This Row],[Conflicts related]:[Other]])</f>
        <v>1</v>
      </c>
      <c r="S84" s="98"/>
      <c r="T84" s="99"/>
    </row>
    <row r="85" spans="2:20" x14ac:dyDescent="0.25">
      <c r="B85" s="97"/>
      <c r="C85" s="98"/>
      <c r="D85" s="9"/>
      <c r="E85" s="212"/>
      <c r="F85" s="212"/>
      <c r="G85" s="212"/>
      <c r="H85" s="212"/>
      <c r="I85" s="98"/>
      <c r="J85" s="98"/>
      <c r="K85" s="98"/>
      <c r="L85" s="98"/>
      <c r="M85" s="98"/>
      <c r="N85" s="9"/>
      <c r="O85" s="212"/>
      <c r="P85" s="212"/>
      <c r="Q85" s="212"/>
      <c r="R85" s="212"/>
      <c r="S85" s="98"/>
      <c r="T85" s="99"/>
    </row>
    <row r="86" spans="2:20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9"/>
    </row>
    <row r="87" spans="2:20" x14ac:dyDescent="0.25">
      <c r="B87" s="106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8"/>
    </row>
    <row r="95" spans="2:20" x14ac:dyDescent="0.25">
      <c r="B95" s="132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10"/>
    </row>
    <row r="96" spans="2:20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9"/>
    </row>
    <row r="97" spans="2:20" x14ac:dyDescent="0.25">
      <c r="B97" s="97"/>
      <c r="C97" s="98"/>
      <c r="D97" s="209" t="s">
        <v>1924</v>
      </c>
      <c r="E97" s="98"/>
      <c r="F97" s="98"/>
      <c r="G97" s="98"/>
      <c r="H97" s="98"/>
      <c r="I97" s="98"/>
      <c r="J97" s="98"/>
      <c r="K97" s="98"/>
      <c r="L97" s="98"/>
      <c r="M97" s="98"/>
      <c r="N97" s="209" t="s">
        <v>1927</v>
      </c>
      <c r="O97" s="98"/>
      <c r="P97" s="98"/>
      <c r="Q97" s="98"/>
      <c r="R97" s="98"/>
      <c r="S97" s="98"/>
      <c r="T97" s="99"/>
    </row>
    <row r="98" spans="2:20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9"/>
    </row>
    <row r="99" spans="2:20" x14ac:dyDescent="0.25">
      <c r="B99" s="97"/>
      <c r="C99" s="98"/>
      <c r="D99" s="9" t="s">
        <v>1795</v>
      </c>
      <c r="E99" s="9" t="s">
        <v>1954</v>
      </c>
      <c r="F99" s="9" t="s">
        <v>1942</v>
      </c>
      <c r="G99" s="9" t="s">
        <v>856</v>
      </c>
      <c r="H99" s="9" t="s">
        <v>715</v>
      </c>
      <c r="I99" s="98"/>
      <c r="J99" s="98"/>
      <c r="K99" s="98"/>
      <c r="L99" s="98"/>
      <c r="M99" s="98"/>
      <c r="N99" s="9" t="s">
        <v>719</v>
      </c>
      <c r="O99" s="9" t="s">
        <v>1966</v>
      </c>
      <c r="P99" s="9" t="s">
        <v>1797</v>
      </c>
      <c r="Q99" s="9" t="s">
        <v>758</v>
      </c>
      <c r="R99" s="9" t="s">
        <v>715</v>
      </c>
      <c r="S99" s="98"/>
      <c r="T99" s="99"/>
    </row>
    <row r="100" spans="2:20" x14ac:dyDescent="0.25">
      <c r="B100" s="97"/>
      <c r="C100" s="98"/>
      <c r="D100" s="9" t="s">
        <v>24</v>
      </c>
      <c r="E100" s="33">
        <f>SUMIFS(DisplacementPeriod[ind],DisplacementPeriod[adm2_name],Tableau81[[#This Row],[Départements]],DisplacementPeriod[raison],"Conflits EIAO")</f>
        <v>5601</v>
      </c>
      <c r="F100" s="33">
        <f>SUMIFS(DisplacementPeriod[ind],DisplacementPeriod[adm2_name],Tableau81[[#This Row],[Départements]],DisplacementPeriod[raison],"inondations et desastres naturels")</f>
        <v>0</v>
      </c>
      <c r="G100" s="33">
        <f>SUMIFS(DisplacementPeriod[ind],DisplacementPeriod[adm2_name],Tableau81[[#This Row],[Départements]],DisplacementPeriod[raison],"autre")</f>
        <v>311</v>
      </c>
      <c r="H100" s="33">
        <f>SUM(Tableau81[[#This Row],[Conflits]:[Autre]])</f>
        <v>5912</v>
      </c>
      <c r="I100" s="98"/>
      <c r="J100" s="98"/>
      <c r="K100" s="98"/>
      <c r="L100" s="98"/>
      <c r="M100" s="98"/>
      <c r="N100" s="9" t="s">
        <v>24</v>
      </c>
      <c r="O100" s="33">
        <f>SUMIFS(DisplacementPeriod[ind],DisplacementPeriod[adm2_name],Tableau84[[#This Row],[Departments]],DisplacementPeriod[raison],"Conflits EIAO")</f>
        <v>5601</v>
      </c>
      <c r="P100" s="33">
        <f>SUMIFS(DisplacementPeriod[ind],DisplacementPeriod[adm2_name],Tableau84[[#This Row],[Departments]],DisplacementPeriod[raison],"inondations et desastres naturels")</f>
        <v>0</v>
      </c>
      <c r="Q100" s="33">
        <f>SUMIFS(DisplacementPeriod[ind],DisplacementPeriod[adm2_name],Tableau84[[#This Row],[Departments]],DisplacementPeriod[raison],"autre")</f>
        <v>311</v>
      </c>
      <c r="R100" s="33">
        <f>SUM(Tableau84[[#This Row],[Conflicts]:[Other]])</f>
        <v>5912</v>
      </c>
      <c r="S100" s="98"/>
      <c r="T100" s="99"/>
    </row>
    <row r="101" spans="2:20" x14ac:dyDescent="0.25">
      <c r="B101" s="97"/>
      <c r="C101" s="98"/>
      <c r="D101" s="9" t="s">
        <v>85</v>
      </c>
      <c r="E101" s="33">
        <f>SUMIFS(DisplacementPeriod[ind],DisplacementPeriod[adm2_name],Tableau81[[#This Row],[Départements]],DisplacementPeriod[raison],"Conflits EIAO")</f>
        <v>167825</v>
      </c>
      <c r="F101" s="33">
        <f>SUMIFS(DisplacementPeriod[ind],DisplacementPeriod[adm2_name],Tableau81[[#This Row],[Départements]],DisplacementPeriod[raison],"inondations et desastres naturels")</f>
        <v>11850</v>
      </c>
      <c r="G101" s="33">
        <f>SUMIFS(DisplacementPeriod[ind],DisplacementPeriod[adm2_name],Tableau81[[#This Row],[Départements]],DisplacementPeriod[raison],"autre")</f>
        <v>83</v>
      </c>
      <c r="H101" s="33">
        <f>SUM(Tableau81[[#This Row],[Conflits]:[Autre]])</f>
        <v>179758</v>
      </c>
      <c r="I101" s="98"/>
      <c r="J101" s="98"/>
      <c r="K101" s="98"/>
      <c r="L101" s="98"/>
      <c r="M101" s="98"/>
      <c r="N101" s="9" t="s">
        <v>85</v>
      </c>
      <c r="O101" s="33">
        <f>SUMIFS(DisplacementPeriod[ind],DisplacementPeriod[adm2_name],Tableau84[[#This Row],[Departments]],DisplacementPeriod[raison],"Conflits EIAO")</f>
        <v>167825</v>
      </c>
      <c r="P101" s="33">
        <f>SUMIFS(DisplacementPeriod[ind],DisplacementPeriod[adm2_name],Tableau84[[#This Row],[Departments]],DisplacementPeriod[raison],"inondations et desastres naturels")</f>
        <v>11850</v>
      </c>
      <c r="Q101" s="33">
        <f>SUMIFS(DisplacementPeriod[ind],DisplacementPeriod[adm2_name],Tableau84[[#This Row],[Departments]],DisplacementPeriod[raison],"autre")</f>
        <v>83</v>
      </c>
      <c r="R101" s="33">
        <f>SUM(Tableau84[[#This Row],[Conflicts]:[Other]])</f>
        <v>179758</v>
      </c>
      <c r="S101" s="98"/>
      <c r="T101" s="99"/>
    </row>
    <row r="102" spans="2:20" x14ac:dyDescent="0.25">
      <c r="B102" s="97"/>
      <c r="C102" s="98"/>
      <c r="D102" s="9" t="s">
        <v>184</v>
      </c>
      <c r="E102" s="33">
        <f>SUMIFS(DisplacementPeriod[ind],DisplacementPeriod[adm2_name],Tableau81[[#This Row],[Départements]],DisplacementPeriod[raison],"Conflits EIAO")</f>
        <v>707</v>
      </c>
      <c r="F102" s="33">
        <f>SUMIFS(DisplacementPeriod[ind],DisplacementPeriod[adm2_name],Tableau81[[#This Row],[Départements]],DisplacementPeriod[raison],"inondations et desastres naturels")</f>
        <v>16124</v>
      </c>
      <c r="G102" s="33">
        <f>SUMIFS(DisplacementPeriod[ind],DisplacementPeriod[adm2_name],Tableau81[[#This Row],[Départements]],DisplacementPeriod[raison],"autre")</f>
        <v>31</v>
      </c>
      <c r="H102" s="33">
        <f>SUM(Tableau81[[#This Row],[Conflits]:[Autre]])</f>
        <v>16862</v>
      </c>
      <c r="I102" s="98"/>
      <c r="J102" s="98"/>
      <c r="K102" s="98"/>
      <c r="L102" s="98"/>
      <c r="M102" s="98"/>
      <c r="N102" s="9" t="s">
        <v>184</v>
      </c>
      <c r="O102" s="33">
        <f>SUMIFS(DisplacementPeriod[ind],DisplacementPeriod[adm2_name],Tableau84[[#This Row],[Departments]],DisplacementPeriod[raison],"Conflits EIAO")</f>
        <v>707</v>
      </c>
      <c r="P102" s="33">
        <f>SUMIFS(DisplacementPeriod[ind],DisplacementPeriod[adm2_name],Tableau84[[#This Row],[Departments]],DisplacementPeriod[raison],"inondations et desastres naturels")</f>
        <v>16124</v>
      </c>
      <c r="Q102" s="33">
        <f>SUMIFS(DisplacementPeriod[ind],DisplacementPeriod[adm2_name],Tableau84[[#This Row],[Departments]],DisplacementPeriod[raison],"autre")</f>
        <v>31</v>
      </c>
      <c r="R102" s="33">
        <f>SUM(Tableau84[[#This Row],[Conflicts]:[Other]])</f>
        <v>16862</v>
      </c>
      <c r="S102" s="98"/>
      <c r="T102" s="99"/>
    </row>
    <row r="103" spans="2:20" x14ac:dyDescent="0.25">
      <c r="B103" s="97"/>
      <c r="C103" s="98"/>
      <c r="D103" s="9" t="s">
        <v>218</v>
      </c>
      <c r="E103" s="33">
        <f>SUMIFS(DisplacementPeriod[ind],DisplacementPeriod[adm2_name],Tableau81[[#This Row],[Départements]],DisplacementPeriod[raison],"Conflits EIAO")</f>
        <v>721</v>
      </c>
      <c r="F103" s="33">
        <f>SUMIFS(DisplacementPeriod[ind],DisplacementPeriod[adm2_name],Tableau81[[#This Row],[Départements]],DisplacementPeriod[raison],"inondations et desastres naturels")</f>
        <v>0</v>
      </c>
      <c r="G103" s="33">
        <f>SUMIFS(DisplacementPeriod[ind],DisplacementPeriod[adm2_name],Tableau81[[#This Row],[Départements]],DisplacementPeriod[raison],"autre")</f>
        <v>95</v>
      </c>
      <c r="H103" s="33">
        <f>SUM(Tableau81[[#This Row],[Conflits]:[Autre]])</f>
        <v>816</v>
      </c>
      <c r="I103" s="98"/>
      <c r="J103" s="98"/>
      <c r="K103" s="98"/>
      <c r="L103" s="98"/>
      <c r="M103" s="98"/>
      <c r="N103" s="9" t="s">
        <v>218</v>
      </c>
      <c r="O103" s="33">
        <f>SUMIFS(DisplacementPeriod[ind],DisplacementPeriod[adm2_name],Tableau84[[#This Row],[Departments]],DisplacementPeriod[raison],"Conflits EIAO")</f>
        <v>721</v>
      </c>
      <c r="P103" s="33">
        <f>SUMIFS(DisplacementPeriod[ind],DisplacementPeriod[adm2_name],Tableau84[[#This Row],[Departments]],DisplacementPeriod[raison],"inondations et desastres naturels")</f>
        <v>0</v>
      </c>
      <c r="Q103" s="33">
        <f>SUMIFS(DisplacementPeriod[ind],DisplacementPeriod[adm2_name],Tableau84[[#This Row],[Departments]],DisplacementPeriod[raison],"autre")</f>
        <v>95</v>
      </c>
      <c r="R103" s="33">
        <f>SUM(Tableau84[[#This Row],[Conflicts]:[Other]])</f>
        <v>816</v>
      </c>
      <c r="S103" s="98"/>
      <c r="T103" s="99"/>
    </row>
    <row r="104" spans="2:20" x14ac:dyDescent="0.25">
      <c r="B104" s="97"/>
      <c r="C104" s="98"/>
      <c r="D104" s="9" t="s">
        <v>48</v>
      </c>
      <c r="E104" s="33">
        <f>SUMIFS(DisplacementPeriod[ind],DisplacementPeriod[adm2_name],Tableau81[[#This Row],[Départements]],DisplacementPeriod[raison],"Conflits EIAO")</f>
        <v>74539</v>
      </c>
      <c r="F104" s="33">
        <f>SUMIFS(DisplacementPeriod[ind],DisplacementPeriod[adm2_name],Tableau81[[#This Row],[Départements]],DisplacementPeriod[raison],"inondations et desastres naturels")</f>
        <v>2095</v>
      </c>
      <c r="G104" s="33">
        <f>SUMIFS(DisplacementPeriod[ind],DisplacementPeriod[adm2_name],Tableau81[[#This Row],[Départements]],DisplacementPeriod[raison],"autre")</f>
        <v>0</v>
      </c>
      <c r="H104" s="33">
        <f>SUM(Tableau81[[#This Row],[Conflits]:[Autre]])</f>
        <v>76634</v>
      </c>
      <c r="I104" s="98"/>
      <c r="J104" s="98"/>
      <c r="K104" s="98"/>
      <c r="L104" s="98"/>
      <c r="M104" s="98"/>
      <c r="N104" s="9" t="s">
        <v>48</v>
      </c>
      <c r="O104" s="33">
        <f>SUMIFS(DisplacementPeriod[ind],DisplacementPeriod[adm2_name],Tableau84[[#This Row],[Departments]],DisplacementPeriod[raison],"Conflits EIAO")</f>
        <v>74539</v>
      </c>
      <c r="P104" s="33">
        <f>SUMIFS(DisplacementPeriod[ind],DisplacementPeriod[adm2_name],Tableau84[[#This Row],[Departments]],DisplacementPeriod[raison],"inondations et desastres naturels")</f>
        <v>2095</v>
      </c>
      <c r="Q104" s="33">
        <f>SUMIFS(DisplacementPeriod[ind],DisplacementPeriod[adm2_name],Tableau84[[#This Row],[Departments]],DisplacementPeriod[raison],"autre")</f>
        <v>0</v>
      </c>
      <c r="R104" s="33">
        <f>SUM(Tableau84[[#This Row],[Conflicts]:[Other]])</f>
        <v>76634</v>
      </c>
      <c r="S104" s="98"/>
      <c r="T104" s="99"/>
    </row>
    <row r="105" spans="2:20" x14ac:dyDescent="0.25">
      <c r="B105" s="97"/>
      <c r="C105" s="98"/>
      <c r="D105" s="9" t="s">
        <v>37</v>
      </c>
      <c r="E105" s="33">
        <f>SUMIFS(DisplacementPeriod[ind],DisplacementPeriod[adm2_name],Tableau81[[#This Row],[Départements]],DisplacementPeriod[raison],"Conflits EIAO")</f>
        <v>62324</v>
      </c>
      <c r="F105" s="33">
        <f>SUMIFS(DisplacementPeriod[ind],DisplacementPeriod[adm2_name],Tableau81[[#This Row],[Départements]],DisplacementPeriod[raison],"inondations et desastres naturels")</f>
        <v>75</v>
      </c>
      <c r="G105" s="33">
        <f>SUMIFS(DisplacementPeriod[ind],DisplacementPeriod[adm2_name],Tableau81[[#This Row],[Départements]],DisplacementPeriod[raison],"autre")</f>
        <v>35</v>
      </c>
      <c r="H105" s="33">
        <f>SUM(Tableau81[[#This Row],[Conflits]:[Autre]])</f>
        <v>62434</v>
      </c>
      <c r="I105" s="98"/>
      <c r="J105" s="98"/>
      <c r="K105" s="98"/>
      <c r="L105" s="98"/>
      <c r="M105" s="98"/>
      <c r="N105" s="9" t="s">
        <v>37</v>
      </c>
      <c r="O105" s="33">
        <f>SUMIFS(DisplacementPeriod[ind],DisplacementPeriod[adm2_name],Tableau84[[#This Row],[Departments]],DisplacementPeriod[raison],"Conflits EIAO")</f>
        <v>62324</v>
      </c>
      <c r="P105" s="33">
        <f>SUMIFS(DisplacementPeriod[ind],DisplacementPeriod[adm2_name],Tableau84[[#This Row],[Departments]],DisplacementPeriod[raison],"inondations et desastres naturels")</f>
        <v>75</v>
      </c>
      <c r="Q105" s="33">
        <f>SUMIFS(DisplacementPeriod[ind],DisplacementPeriod[adm2_name],Tableau84[[#This Row],[Departments]],DisplacementPeriod[raison],"autre")</f>
        <v>35</v>
      </c>
      <c r="R105" s="33">
        <f>SUM(Tableau84[[#This Row],[Conflicts]:[Other]])</f>
        <v>62434</v>
      </c>
      <c r="S105" s="98"/>
      <c r="T105" s="99"/>
    </row>
    <row r="106" spans="2:20" x14ac:dyDescent="0.25">
      <c r="B106" s="97"/>
      <c r="C106" s="98"/>
      <c r="D106" s="9"/>
      <c r="E106" s="33">
        <f>SUM(E100:E105)</f>
        <v>311717</v>
      </c>
      <c r="F106" s="33">
        <f>SUM(F100:F105)</f>
        <v>30144</v>
      </c>
      <c r="G106" s="33">
        <f>SUM(G100:G105)</f>
        <v>555</v>
      </c>
      <c r="H106" s="33">
        <f>SUBTOTAL(109,Tableau81[Total])</f>
        <v>342416</v>
      </c>
      <c r="I106" s="98"/>
      <c r="J106" s="98"/>
      <c r="K106" s="98"/>
      <c r="L106" s="98"/>
      <c r="M106" s="98"/>
      <c r="N106" s="9"/>
      <c r="O106" s="33">
        <f>SUM(O100:O105)</f>
        <v>311717</v>
      </c>
      <c r="P106" s="33">
        <f>SUM(P100:P105)</f>
        <v>30144</v>
      </c>
      <c r="Q106" s="33">
        <f>SUM(Q100:Q105)</f>
        <v>555</v>
      </c>
      <c r="R106" s="33">
        <f>SUBTOTAL(109,Tableau84[Total])</f>
        <v>342416</v>
      </c>
      <c r="S106" s="98"/>
      <c r="T106" s="99"/>
    </row>
    <row r="107" spans="2:20" x14ac:dyDescent="0.25">
      <c r="B107" s="97"/>
      <c r="C107" s="98"/>
      <c r="D107" s="98"/>
      <c r="E107" s="211">
        <f>Tableau81[[#Totals],[Conflits]]/Tableau81[[#Totals],[Total]]</f>
        <v>0.9103458950516331</v>
      </c>
      <c r="F107" s="211">
        <f>Tableau81[[#Totals],[Climat]]/Tableau81[[#Totals],[Total]]</f>
        <v>8.8033269473389089E-2</v>
      </c>
      <c r="G107" s="211">
        <f>Tableau81[[#Totals],[Autre]]/Tableau81[[#Totals],[Total]]</f>
        <v>1.6208354749778049E-3</v>
      </c>
      <c r="H107" s="211">
        <f>SUM(E107:G107)</f>
        <v>1</v>
      </c>
      <c r="I107" s="98"/>
      <c r="J107" s="98"/>
      <c r="K107" s="98"/>
      <c r="L107" s="98"/>
      <c r="M107" s="98"/>
      <c r="N107" s="98"/>
      <c r="O107" s="211">
        <f>Tableau84[[#Totals],[Conflicts]]/Tableau84[[#Totals],[Total]]</f>
        <v>0.9103458950516331</v>
      </c>
      <c r="P107" s="211">
        <f>Tableau84[[#Totals],[Climate]]/Tableau84[[#Totals],[Total]]</f>
        <v>8.8033269473389089E-2</v>
      </c>
      <c r="Q107" s="211">
        <f>Tableau84[[#Totals],[Other]]/Tableau84[[#Totals],[Total]]</f>
        <v>1.6208354749778049E-3</v>
      </c>
      <c r="R107" s="211">
        <f>SUM(O107:Q107)</f>
        <v>1</v>
      </c>
      <c r="S107" s="98"/>
      <c r="T107" s="99"/>
    </row>
    <row r="108" spans="2:20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9"/>
    </row>
    <row r="109" spans="2:20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9"/>
    </row>
    <row r="110" spans="2:20" x14ac:dyDescent="0.25">
      <c r="B110" s="97"/>
      <c r="C110" s="98"/>
      <c r="D110" s="209" t="s">
        <v>1926</v>
      </c>
      <c r="E110" s="98"/>
      <c r="F110" s="98"/>
      <c r="G110" s="98"/>
      <c r="H110" s="98"/>
      <c r="I110" s="98"/>
      <c r="J110" s="98"/>
      <c r="K110" s="98"/>
      <c r="L110" s="98"/>
      <c r="M110" s="98"/>
      <c r="N110" s="209" t="s">
        <v>1928</v>
      </c>
      <c r="O110" s="98"/>
      <c r="P110" s="98"/>
      <c r="Q110" s="98"/>
      <c r="R110" s="98"/>
      <c r="S110" s="98"/>
      <c r="T110" s="99"/>
    </row>
    <row r="111" spans="2:20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9"/>
    </row>
    <row r="112" spans="2:20" x14ac:dyDescent="0.25">
      <c r="B112" s="97"/>
      <c r="C112" s="98"/>
      <c r="D112" s="9" t="s">
        <v>1795</v>
      </c>
      <c r="E112" s="9" t="s">
        <v>1954</v>
      </c>
      <c r="F112" s="9" t="s">
        <v>1942</v>
      </c>
      <c r="G112" s="9" t="s">
        <v>856</v>
      </c>
      <c r="H112" s="9" t="s">
        <v>715</v>
      </c>
      <c r="I112" s="98"/>
      <c r="J112" s="98"/>
      <c r="K112" s="98"/>
      <c r="L112" s="98"/>
      <c r="M112" s="98"/>
      <c r="N112" s="9" t="s">
        <v>719</v>
      </c>
      <c r="O112" s="9" t="s">
        <v>1966</v>
      </c>
      <c r="P112" s="9" t="s">
        <v>1797</v>
      </c>
      <c r="Q112" s="9" t="s">
        <v>758</v>
      </c>
      <c r="R112" s="9" t="s">
        <v>715</v>
      </c>
      <c r="S112" s="98"/>
      <c r="T112" s="99"/>
    </row>
    <row r="113" spans="2:20" x14ac:dyDescent="0.25">
      <c r="B113" s="97"/>
      <c r="C113" s="98"/>
      <c r="D113" s="9" t="s">
        <v>24</v>
      </c>
      <c r="E113" s="38">
        <f t="shared" ref="E113:E118" si="6">E100/H100</f>
        <v>0.9473951285520974</v>
      </c>
      <c r="F113" s="38">
        <f t="shared" ref="F113:F118" si="7">F100/H100</f>
        <v>0</v>
      </c>
      <c r="G113" s="38">
        <f t="shared" ref="G113:G118" si="8">G100/H100</f>
        <v>5.2604871447902574E-2</v>
      </c>
      <c r="H113" s="38">
        <f>SUM(Tableau8188[[#This Row],[Conflits]:[Autre]])</f>
        <v>1</v>
      </c>
      <c r="I113" s="98"/>
      <c r="J113" s="98"/>
      <c r="K113" s="98"/>
      <c r="L113" s="98"/>
      <c r="M113" s="98"/>
      <c r="N113" s="9" t="s">
        <v>24</v>
      </c>
      <c r="O113" s="38">
        <f t="shared" ref="O113:O118" si="9">O100/R100</f>
        <v>0.9473951285520974</v>
      </c>
      <c r="P113" s="38">
        <f t="shared" ref="P113:P118" si="10">P100/R100</f>
        <v>0</v>
      </c>
      <c r="Q113" s="38">
        <f t="shared" ref="Q113:Q118" si="11">Q100/R100</f>
        <v>5.2604871447902574E-2</v>
      </c>
      <c r="R113" s="38">
        <f>SUM(Tableau8489[[#This Row],[Conflicts]:[Other]])</f>
        <v>1</v>
      </c>
      <c r="S113" s="98"/>
      <c r="T113" s="99"/>
    </row>
    <row r="114" spans="2:20" x14ac:dyDescent="0.25">
      <c r="B114" s="97"/>
      <c r="C114" s="98"/>
      <c r="D114" s="9" t="s">
        <v>85</v>
      </c>
      <c r="E114" s="38">
        <f t="shared" si="6"/>
        <v>0.93361630636744952</v>
      </c>
      <c r="F114" s="38">
        <f t="shared" si="7"/>
        <v>6.592196174857308E-2</v>
      </c>
      <c r="G114" s="38">
        <f t="shared" si="8"/>
        <v>4.6173188397734732E-4</v>
      </c>
      <c r="H114" s="38">
        <f>SUM(Tableau8188[[#This Row],[Conflits]:[Autre]])</f>
        <v>1</v>
      </c>
      <c r="I114" s="98"/>
      <c r="J114" s="98"/>
      <c r="K114" s="98"/>
      <c r="L114" s="98"/>
      <c r="M114" s="98"/>
      <c r="N114" s="9" t="s">
        <v>85</v>
      </c>
      <c r="O114" s="38">
        <f t="shared" si="9"/>
        <v>0.93361630636744952</v>
      </c>
      <c r="P114" s="38">
        <f t="shared" si="10"/>
        <v>6.592196174857308E-2</v>
      </c>
      <c r="Q114" s="38">
        <f t="shared" si="11"/>
        <v>4.6173188397734732E-4</v>
      </c>
      <c r="R114" s="38">
        <f>SUM(Tableau8489[[#This Row],[Conflicts]:[Other]])</f>
        <v>1</v>
      </c>
      <c r="S114" s="98"/>
      <c r="T114" s="99"/>
    </row>
    <row r="115" spans="2:20" x14ac:dyDescent="0.25">
      <c r="B115" s="97"/>
      <c r="C115" s="98"/>
      <c r="D115" s="9" t="s">
        <v>184</v>
      </c>
      <c r="E115" s="38">
        <f t="shared" si="6"/>
        <v>4.1928596844976872E-2</v>
      </c>
      <c r="F115" s="38">
        <f t="shared" si="7"/>
        <v>0.95623294982801565</v>
      </c>
      <c r="G115" s="38">
        <f t="shared" si="8"/>
        <v>1.8384533270074724E-3</v>
      </c>
      <c r="H115" s="38">
        <f>SUM(Tableau8188[[#This Row],[Conflits]:[Autre]])</f>
        <v>1</v>
      </c>
      <c r="I115" s="98"/>
      <c r="J115" s="98"/>
      <c r="K115" s="98"/>
      <c r="L115" s="98"/>
      <c r="M115" s="98"/>
      <c r="N115" s="9" t="s">
        <v>184</v>
      </c>
      <c r="O115" s="38">
        <f t="shared" si="9"/>
        <v>4.1928596844976872E-2</v>
      </c>
      <c r="P115" s="38">
        <f t="shared" si="10"/>
        <v>0.95623294982801565</v>
      </c>
      <c r="Q115" s="38">
        <f t="shared" si="11"/>
        <v>1.8384533270074724E-3</v>
      </c>
      <c r="R115" s="38">
        <f>SUM(Tableau8489[[#This Row],[Conflicts]:[Other]])</f>
        <v>1</v>
      </c>
      <c r="S115" s="98"/>
      <c r="T115" s="99"/>
    </row>
    <row r="116" spans="2:20" x14ac:dyDescent="0.25">
      <c r="B116" s="97"/>
      <c r="C116" s="98"/>
      <c r="D116" s="9" t="s">
        <v>218</v>
      </c>
      <c r="E116" s="38">
        <f t="shared" si="6"/>
        <v>0.88357843137254899</v>
      </c>
      <c r="F116" s="38">
        <f t="shared" si="7"/>
        <v>0</v>
      </c>
      <c r="G116" s="38">
        <f t="shared" si="8"/>
        <v>0.11642156862745098</v>
      </c>
      <c r="H116" s="38">
        <f>SUM(Tableau8188[[#This Row],[Conflits]:[Autre]])</f>
        <v>1</v>
      </c>
      <c r="I116" s="98"/>
      <c r="J116" s="98"/>
      <c r="K116" s="98"/>
      <c r="L116" s="98"/>
      <c r="M116" s="98"/>
      <c r="N116" s="9" t="s">
        <v>218</v>
      </c>
      <c r="O116" s="38">
        <f t="shared" si="9"/>
        <v>0.88357843137254899</v>
      </c>
      <c r="P116" s="38">
        <f t="shared" si="10"/>
        <v>0</v>
      </c>
      <c r="Q116" s="38">
        <f t="shared" si="11"/>
        <v>0.11642156862745098</v>
      </c>
      <c r="R116" s="38">
        <f>SUM(Tableau8489[[#This Row],[Conflicts]:[Other]])</f>
        <v>1</v>
      </c>
      <c r="S116" s="98"/>
      <c r="T116" s="99"/>
    </row>
    <row r="117" spans="2:20" x14ac:dyDescent="0.25">
      <c r="B117" s="97"/>
      <c r="C117" s="98"/>
      <c r="D117" s="9" t="s">
        <v>48</v>
      </c>
      <c r="E117" s="38">
        <f t="shared" si="6"/>
        <v>0.97266226479108486</v>
      </c>
      <c r="F117" s="38">
        <f t="shared" si="7"/>
        <v>2.7337735208915102E-2</v>
      </c>
      <c r="G117" s="38">
        <f t="shared" si="8"/>
        <v>0</v>
      </c>
      <c r="H117" s="38">
        <f>SUM(Tableau8188[[#This Row],[Conflits]:[Autre]])</f>
        <v>1</v>
      </c>
      <c r="I117" s="98"/>
      <c r="J117" s="98"/>
      <c r="K117" s="98"/>
      <c r="L117" s="98"/>
      <c r="M117" s="98"/>
      <c r="N117" s="9" t="s">
        <v>48</v>
      </c>
      <c r="O117" s="38">
        <f t="shared" si="9"/>
        <v>0.97266226479108486</v>
      </c>
      <c r="P117" s="38">
        <f t="shared" si="10"/>
        <v>2.7337735208915102E-2</v>
      </c>
      <c r="Q117" s="38">
        <f t="shared" si="11"/>
        <v>0</v>
      </c>
      <c r="R117" s="38">
        <f>SUM(Tableau8489[[#This Row],[Conflicts]:[Other]])</f>
        <v>1</v>
      </c>
      <c r="S117" s="98"/>
      <c r="T117" s="99"/>
    </row>
    <row r="118" spans="2:20" x14ac:dyDescent="0.25">
      <c r="B118" s="97"/>
      <c r="C118" s="98"/>
      <c r="D118" s="9" t="s">
        <v>37</v>
      </c>
      <c r="E118" s="38">
        <f t="shared" si="6"/>
        <v>0.99823813947528595</v>
      </c>
      <c r="F118" s="38">
        <f t="shared" si="7"/>
        <v>1.2012685395777942E-3</v>
      </c>
      <c r="G118" s="38">
        <f t="shared" si="8"/>
        <v>5.6059198513630395E-4</v>
      </c>
      <c r="H118" s="38">
        <f>SUM(Tableau8188[[#This Row],[Conflits]:[Autre]])</f>
        <v>1</v>
      </c>
      <c r="I118" s="98"/>
      <c r="J118" s="98"/>
      <c r="K118" s="98"/>
      <c r="L118" s="98"/>
      <c r="M118" s="98"/>
      <c r="N118" s="9" t="s">
        <v>37</v>
      </c>
      <c r="O118" s="38">
        <f t="shared" si="9"/>
        <v>0.99823813947528595</v>
      </c>
      <c r="P118" s="38">
        <f t="shared" si="10"/>
        <v>1.2012685395777942E-3</v>
      </c>
      <c r="Q118" s="38">
        <f t="shared" si="11"/>
        <v>5.6059198513630395E-4</v>
      </c>
      <c r="R118" s="38">
        <f>SUM(Tableau8489[[#This Row],[Conflicts]:[Other]])</f>
        <v>1</v>
      </c>
      <c r="S118" s="98"/>
      <c r="T118" s="99"/>
    </row>
    <row r="119" spans="2:20" x14ac:dyDescent="0.25">
      <c r="B119" s="97"/>
      <c r="C119" s="98"/>
      <c r="D119" s="9"/>
      <c r="E119" s="212"/>
      <c r="F119" s="212"/>
      <c r="G119" s="212"/>
      <c r="H119" s="212"/>
      <c r="I119" s="98"/>
      <c r="J119" s="98"/>
      <c r="K119" s="98"/>
      <c r="L119" s="98"/>
      <c r="M119" s="98"/>
      <c r="N119" s="9"/>
      <c r="O119" s="33"/>
      <c r="P119" s="33"/>
      <c r="Q119" s="33"/>
      <c r="R119" s="33"/>
      <c r="S119" s="98"/>
      <c r="T119" s="99"/>
    </row>
    <row r="120" spans="2:20" x14ac:dyDescent="0.25">
      <c r="B120" s="97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9"/>
    </row>
    <row r="121" spans="2:20" x14ac:dyDescent="0.25">
      <c r="B121" s="97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9"/>
    </row>
    <row r="122" spans="2:20" x14ac:dyDescent="0.25">
      <c r="B122" s="97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9"/>
    </row>
    <row r="123" spans="2:20" x14ac:dyDescent="0.25">
      <c r="B123" s="97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9"/>
    </row>
    <row r="124" spans="2:20" x14ac:dyDescent="0.25">
      <c r="B124" s="97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9"/>
    </row>
    <row r="125" spans="2:20" x14ac:dyDescent="0.25">
      <c r="B125" s="97"/>
      <c r="C125" s="98"/>
      <c r="D125" s="209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9"/>
    </row>
    <row r="126" spans="2:20" x14ac:dyDescent="0.25">
      <c r="B126" s="97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9"/>
    </row>
    <row r="127" spans="2:20" x14ac:dyDescent="0.25">
      <c r="B127" s="97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9"/>
    </row>
    <row r="128" spans="2:20" x14ac:dyDescent="0.25">
      <c r="B128" s="97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9"/>
    </row>
    <row r="129" spans="2:20" x14ac:dyDescent="0.25">
      <c r="B129" s="97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9"/>
    </row>
    <row r="130" spans="2:20" x14ac:dyDescent="0.25">
      <c r="B130" s="97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9"/>
    </row>
    <row r="131" spans="2:20" x14ac:dyDescent="0.25">
      <c r="B131" s="97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9"/>
    </row>
    <row r="132" spans="2:20" x14ac:dyDescent="0.25">
      <c r="B132" s="97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9"/>
    </row>
    <row r="133" spans="2:20" x14ac:dyDescent="0.25">
      <c r="B133" s="97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9"/>
    </row>
    <row r="134" spans="2:20" x14ac:dyDescent="0.25">
      <c r="B134" s="97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9"/>
    </row>
    <row r="135" spans="2:20" x14ac:dyDescent="0.25">
      <c r="B135" s="97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9"/>
    </row>
    <row r="136" spans="2:20" x14ac:dyDescent="0.25">
      <c r="B136" s="97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9"/>
    </row>
    <row r="137" spans="2:20" x14ac:dyDescent="0.25">
      <c r="B137" s="97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9"/>
    </row>
    <row r="138" spans="2:20" x14ac:dyDescent="0.25">
      <c r="B138" s="97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9"/>
    </row>
    <row r="139" spans="2:20" x14ac:dyDescent="0.25">
      <c r="B139" s="97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9"/>
    </row>
    <row r="140" spans="2:20" x14ac:dyDescent="0.25">
      <c r="B140" s="97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9"/>
    </row>
    <row r="141" spans="2:20" x14ac:dyDescent="0.25">
      <c r="B141" s="97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9"/>
    </row>
    <row r="142" spans="2:20" x14ac:dyDescent="0.25">
      <c r="B142" s="106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8"/>
    </row>
    <row r="147" spans="2:20" x14ac:dyDescent="0.25">
      <c r="B147" s="132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10"/>
    </row>
    <row r="148" spans="2:20" x14ac:dyDescent="0.25">
      <c r="B148" s="97"/>
      <c r="C148" s="98"/>
      <c r="D148" s="209" t="s">
        <v>1950</v>
      </c>
      <c r="E148" s="98"/>
      <c r="F148" s="98"/>
      <c r="G148" s="98"/>
      <c r="H148" s="98"/>
      <c r="I148" s="98"/>
      <c r="J148" s="98"/>
      <c r="K148" s="98"/>
      <c r="L148" s="98"/>
      <c r="M148" s="98"/>
      <c r="N148" s="209" t="s">
        <v>1952</v>
      </c>
      <c r="O148" s="98"/>
      <c r="P148" s="98"/>
      <c r="Q148" s="98"/>
      <c r="R148" s="98"/>
      <c r="S148" s="98"/>
      <c r="T148" s="99"/>
    </row>
    <row r="149" spans="2:20" x14ac:dyDescent="0.25">
      <c r="B149" s="97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9"/>
    </row>
    <row r="150" spans="2:20" x14ac:dyDescent="0.25">
      <c r="B150" s="97"/>
      <c r="C150" s="98"/>
      <c r="D150" s="9" t="s">
        <v>1795</v>
      </c>
      <c r="E150" s="9" t="s">
        <v>1954</v>
      </c>
      <c r="F150" s="9" t="s">
        <v>2024</v>
      </c>
      <c r="G150" s="9" t="s">
        <v>856</v>
      </c>
      <c r="H150" s="9" t="s">
        <v>715</v>
      </c>
      <c r="I150" s="98"/>
      <c r="J150" s="9" t="s">
        <v>1795</v>
      </c>
      <c r="K150" s="9" t="s">
        <v>1954</v>
      </c>
      <c r="L150" s="98"/>
      <c r="M150" s="98"/>
      <c r="N150" s="9" t="s">
        <v>719</v>
      </c>
      <c r="O150" s="9" t="s">
        <v>1966</v>
      </c>
      <c r="P150" s="9" t="s">
        <v>2023</v>
      </c>
      <c r="Q150" s="9" t="s">
        <v>758</v>
      </c>
      <c r="R150" s="9" t="s">
        <v>715</v>
      </c>
      <c r="S150" s="98"/>
      <c r="T150" s="99"/>
    </row>
    <row r="151" spans="2:20" x14ac:dyDescent="0.25">
      <c r="B151" s="97"/>
      <c r="C151" s="98"/>
      <c r="D151" s="9" t="s">
        <v>24</v>
      </c>
      <c r="E151" s="33">
        <f>SUMIFS(DisplacementPeriod[ind],DisplacementPeriod[adm2_name],Tableau39[[#This Row],[Départements]],DisplacementPeriod[raison],"Conflits EIAO",DisplacementPeriod[deplacement],"idp")</f>
        <v>5329</v>
      </c>
      <c r="F151" s="33">
        <f>SUMIFS(DisplacementPeriod[ind],DisplacementPeriod[adm2_name],Tableau39[[#This Row],[Départements]],DisplacementPeriod[raison],"inondations et desastres naturels",DisplacementPeriod[deplacement],"idp")</f>
        <v>0</v>
      </c>
      <c r="G151" s="33">
        <f>SUMIFS(DisplacementPeriod[ind],DisplacementPeriod[adm2_name],Tableau39[[#This Row],[Départements]],DisplacementPeriod[raison],"autre",DisplacementPeriod[deplacement],"idp")</f>
        <v>0</v>
      </c>
      <c r="H151" s="33">
        <f>SUM(Tableau39[[#This Row],[Conflits]:[Autre]])</f>
        <v>5329</v>
      </c>
      <c r="I151" s="98"/>
      <c r="J151" s="9" t="s">
        <v>218</v>
      </c>
      <c r="K151" s="9">
        <f>SUMIFS(DisplacementPeriod[ind],DisplacementPeriod[adm2_name],Table103[[#This Row],[Départements]],DisplacementPeriod[raison],"Conflits EIAO",DisplacementPeriod[deplacement],"idp")</f>
        <v>129</v>
      </c>
      <c r="L151" s="98"/>
      <c r="M151" s="98"/>
      <c r="N151" s="9" t="s">
        <v>24</v>
      </c>
      <c r="O151" s="33">
        <f>SUMIFS(DisplacementPeriod[ind],DisplacementPeriod[adm2_name],Tableau4[[#This Row],[Departments]],DisplacementPeriod[raison],"Conflits EIAO",DisplacementPeriod[deplacement],"idp")</f>
        <v>5329</v>
      </c>
      <c r="P151" s="33">
        <f>SUMIFS(DisplacementPeriod[ind],DisplacementPeriod[adm2_name],Tableau4[[#This Row],[Departments]],DisplacementPeriod[raison],"inondations et desastres naturels",DisplacementPeriod[deplacement],"idp")</f>
        <v>0</v>
      </c>
      <c r="Q151" s="33">
        <f>SUMIFS(DisplacementPeriod[ind],DisplacementPeriod[adm2_name],Tableau4[[#This Row],[Departments]],DisplacementPeriod[raison],"autre",DisplacementPeriod[deplacement],"idp")</f>
        <v>0</v>
      </c>
      <c r="R151" s="33">
        <f>SUM(Tableau4[[#This Row],[Conflicts]:[Other]])</f>
        <v>5329</v>
      </c>
      <c r="S151" s="98"/>
      <c r="T151" s="99"/>
    </row>
    <row r="152" spans="2:20" x14ac:dyDescent="0.25">
      <c r="B152" s="97"/>
      <c r="C152" s="98"/>
      <c r="D152" s="9" t="s">
        <v>85</v>
      </c>
      <c r="E152" s="33">
        <f>SUMIFS(DisplacementPeriod[ind],DisplacementPeriod[adm2_name],Tableau39[[#This Row],[Départements]],DisplacementPeriod[raison],"Conflits EIAO",DisplacementPeriod[deplacement],"idp")</f>
        <v>118207</v>
      </c>
      <c r="F152" s="33">
        <f>SUMIFS(DisplacementPeriod[ind],DisplacementPeriod[adm2_name],Tableau39[[#This Row],[Départements]],DisplacementPeriod[raison],"inondations et desastres naturels",DisplacementPeriod[deplacement],"idp")</f>
        <v>7434</v>
      </c>
      <c r="G152" s="33">
        <f>SUMIFS(DisplacementPeriod[ind],DisplacementPeriod[adm2_name],Tableau39[[#This Row],[Départements]],DisplacementPeriod[raison],"autre",DisplacementPeriod[deplacement],"idp")</f>
        <v>70</v>
      </c>
      <c r="H152" s="33">
        <f>SUM(Tableau39[[#This Row],[Conflits]:[Autre]])</f>
        <v>125711</v>
      </c>
      <c r="I152" s="98"/>
      <c r="J152" s="9" t="s">
        <v>184</v>
      </c>
      <c r="K152" s="9">
        <f>SUMIFS(DisplacementPeriod[ind],DisplacementPeriod[adm2_name],Table103[[#This Row],[Départements]],DisplacementPeriod[raison],"Conflits EIAO",DisplacementPeriod[deplacement],"idp")</f>
        <v>578</v>
      </c>
      <c r="L152" s="98"/>
      <c r="M152" s="98"/>
      <c r="N152" s="9" t="s">
        <v>85</v>
      </c>
      <c r="O152" s="33">
        <f>SUMIFS(DisplacementPeriod[ind],DisplacementPeriod[adm2_name],Tableau4[[#This Row],[Departments]],DisplacementPeriod[raison],"Conflits EIAO",DisplacementPeriod[deplacement],"idp")</f>
        <v>118207</v>
      </c>
      <c r="P152" s="33">
        <f>SUMIFS(DisplacementPeriod[ind],DisplacementPeriod[adm2_name],Tableau4[[#This Row],[Departments]],DisplacementPeriod[raison],"inondations et desastres naturels",DisplacementPeriod[deplacement],"idp")</f>
        <v>7434</v>
      </c>
      <c r="Q152" s="33">
        <f>SUMIFS(DisplacementPeriod[ind],DisplacementPeriod[adm2_name],Tableau4[[#This Row],[Departments]],DisplacementPeriod[raison],"autre",DisplacementPeriod[deplacement],"idp")</f>
        <v>70</v>
      </c>
      <c r="R152" s="33">
        <f>SUM(Tableau4[[#This Row],[Conflicts]:[Other]])</f>
        <v>125711</v>
      </c>
      <c r="S152" s="98"/>
      <c r="T152" s="99"/>
    </row>
    <row r="153" spans="2:20" x14ac:dyDescent="0.25">
      <c r="B153" s="97"/>
      <c r="C153" s="98"/>
      <c r="D153" s="9" t="s">
        <v>184</v>
      </c>
      <c r="E153" s="33">
        <f>SUMIFS(DisplacementPeriod[ind],DisplacementPeriod[adm2_name],Tableau39[[#This Row],[Départements]],DisplacementPeriod[raison],"Conflits EIAO",DisplacementPeriod[deplacement],"idp")</f>
        <v>578</v>
      </c>
      <c r="F153" s="33">
        <f>SUMIFS(DisplacementPeriod[ind],DisplacementPeriod[adm2_name],Tableau39[[#This Row],[Départements]],DisplacementPeriod[raison],"inondations et desastres naturels",DisplacementPeriod[deplacement],"idp")</f>
        <v>9736</v>
      </c>
      <c r="G153" s="33">
        <f>SUMIFS(DisplacementPeriod[ind],DisplacementPeriod[adm2_name],Tableau39[[#This Row],[Départements]],DisplacementPeriod[raison],"autre",DisplacementPeriod[deplacement],"idp")</f>
        <v>0</v>
      </c>
      <c r="H153" s="33">
        <f>SUM(Tableau39[[#This Row],[Conflits]:[Autre]])</f>
        <v>10314</v>
      </c>
      <c r="I153" s="98"/>
      <c r="J153" s="9" t="s">
        <v>24</v>
      </c>
      <c r="K153" s="9">
        <f>SUMIFS(DisplacementPeriod[ind],DisplacementPeriod[adm2_name],Table103[[#This Row],[Départements]],DisplacementPeriod[raison],"Conflits EIAO",DisplacementPeriod[deplacement],"idp")</f>
        <v>5329</v>
      </c>
      <c r="L153" s="98"/>
      <c r="M153" s="98"/>
      <c r="N153" s="9" t="s">
        <v>184</v>
      </c>
      <c r="O153" s="33">
        <f>SUMIFS(DisplacementPeriod[ind],DisplacementPeriod[adm2_name],Tableau4[[#This Row],[Departments]],DisplacementPeriod[raison],"Conflits EIAO",DisplacementPeriod[deplacement],"idp")</f>
        <v>578</v>
      </c>
      <c r="P153" s="33">
        <f>SUMIFS(DisplacementPeriod[ind],DisplacementPeriod[adm2_name],Tableau4[[#This Row],[Departments]],DisplacementPeriod[raison],"inondations et desastres naturels",DisplacementPeriod[deplacement],"idp")</f>
        <v>9736</v>
      </c>
      <c r="Q153" s="33">
        <f>SUMIFS(DisplacementPeriod[ind],DisplacementPeriod[adm2_name],Tableau4[[#This Row],[Departments]],DisplacementPeriod[raison],"autre",DisplacementPeriod[deplacement],"idp")</f>
        <v>0</v>
      </c>
      <c r="R153" s="33">
        <f>SUM(Tableau4[[#This Row],[Conflicts]:[Other]])</f>
        <v>10314</v>
      </c>
      <c r="S153" s="98"/>
      <c r="T153" s="99"/>
    </row>
    <row r="154" spans="2:20" x14ac:dyDescent="0.25">
      <c r="B154" s="97"/>
      <c r="C154" s="98"/>
      <c r="D154" s="9" t="s">
        <v>218</v>
      </c>
      <c r="E154" s="33">
        <f>SUMIFS(DisplacementPeriod[ind],DisplacementPeriod[adm2_name],Tableau39[[#This Row],[Départements]],DisplacementPeriod[raison],"Conflits EIAO",DisplacementPeriod[deplacement],"idp")</f>
        <v>129</v>
      </c>
      <c r="F154" s="33">
        <f>SUMIFS(DisplacementPeriod[ind],DisplacementPeriod[adm2_name],Tableau39[[#This Row],[Départements]],DisplacementPeriod[raison],"inondations et desastres naturels",DisplacementPeriod[deplacement],"idp")</f>
        <v>0</v>
      </c>
      <c r="G154" s="33">
        <f>SUMIFS(DisplacementPeriod[ind],DisplacementPeriod[adm2_name],Tableau39[[#This Row],[Départements]],DisplacementPeriod[raison],"autre",DisplacementPeriod[deplacement],"idp")</f>
        <v>0</v>
      </c>
      <c r="H154" s="33">
        <f>SUM(Tableau39[[#This Row],[Conflits]:[Autre]])</f>
        <v>129</v>
      </c>
      <c r="I154" s="98"/>
      <c r="J154" s="9" t="s">
        <v>37</v>
      </c>
      <c r="K154" s="9">
        <f>SUMIFS(DisplacementPeriod[ind],DisplacementPeriod[adm2_name],Table103[[#This Row],[Départements]],DisplacementPeriod[raison],"Conflits EIAO",DisplacementPeriod[deplacement],"idp")</f>
        <v>40041</v>
      </c>
      <c r="L154" s="98"/>
      <c r="M154" s="98"/>
      <c r="N154" s="9" t="s">
        <v>218</v>
      </c>
      <c r="O154" s="33">
        <f>SUMIFS(DisplacementPeriod[ind],DisplacementPeriod[adm2_name],Tableau4[[#This Row],[Departments]],DisplacementPeriod[raison],"Conflits EIAO",DisplacementPeriod[deplacement],"idp")</f>
        <v>129</v>
      </c>
      <c r="P154" s="33">
        <f>SUMIFS(DisplacementPeriod[ind],DisplacementPeriod[adm2_name],Tableau4[[#This Row],[Departments]],DisplacementPeriod[raison],"inondations et desastres naturels",DisplacementPeriod[deplacement],"idp")</f>
        <v>0</v>
      </c>
      <c r="Q154" s="33">
        <f>SUMIFS(DisplacementPeriod[ind],DisplacementPeriod[adm2_name],Tableau4[[#This Row],[Departments]],DisplacementPeriod[raison],"autre",DisplacementPeriod[deplacement],"idp")</f>
        <v>0</v>
      </c>
      <c r="R154" s="33">
        <f>SUM(Tableau4[[#This Row],[Conflicts]:[Other]])</f>
        <v>129</v>
      </c>
      <c r="S154" s="98"/>
      <c r="T154" s="99"/>
    </row>
    <row r="155" spans="2:20" x14ac:dyDescent="0.25">
      <c r="B155" s="97"/>
      <c r="C155" s="98"/>
      <c r="D155" s="9" t="s">
        <v>48</v>
      </c>
      <c r="E155" s="33">
        <f>SUMIFS(DisplacementPeriod[ind],DisplacementPeriod[adm2_name],Tableau39[[#This Row],[Départements]],DisplacementPeriod[raison],"Conflits EIAO",DisplacementPeriod[deplacement],"idp")</f>
        <v>57411</v>
      </c>
      <c r="F155" s="33">
        <f>SUMIFS(DisplacementPeriod[ind],DisplacementPeriod[adm2_name],Tableau39[[#This Row],[Départements]],DisplacementPeriod[raison],"inondations et desastres naturels",DisplacementPeriod[deplacement],"idp")</f>
        <v>2095</v>
      </c>
      <c r="G155" s="33">
        <f>SUMIFS(DisplacementPeriod[ind],DisplacementPeriod[adm2_name],Tableau39[[#This Row],[Départements]],DisplacementPeriod[raison],"autre",DisplacementPeriod[deplacement],"idp")</f>
        <v>0</v>
      </c>
      <c r="H155" s="33">
        <f>SUM(Tableau39[[#This Row],[Conflits]:[Autre]])</f>
        <v>59506</v>
      </c>
      <c r="I155" s="98"/>
      <c r="J155" s="9" t="s">
        <v>48</v>
      </c>
      <c r="K155" s="9">
        <f>SUMIFS(DisplacementPeriod[ind],DisplacementPeriod[adm2_name],Table103[[#This Row],[Départements]],DisplacementPeriod[raison],"Conflits EIAO",DisplacementPeriod[deplacement],"idp")</f>
        <v>57411</v>
      </c>
      <c r="L155" s="98"/>
      <c r="M155" s="98"/>
      <c r="N155" s="9" t="s">
        <v>48</v>
      </c>
      <c r="O155" s="33">
        <f>SUMIFS(DisplacementPeriod[ind],DisplacementPeriod[adm2_name],Tableau4[[#This Row],[Departments]],DisplacementPeriod[raison],"Conflits EIAO",DisplacementPeriod[deplacement],"idp")</f>
        <v>57411</v>
      </c>
      <c r="P155" s="33">
        <f>SUMIFS(DisplacementPeriod[ind],DisplacementPeriod[adm2_name],Tableau4[[#This Row],[Departments]],DisplacementPeriod[raison],"inondations et desastres naturels",DisplacementPeriod[deplacement],"idp")</f>
        <v>2095</v>
      </c>
      <c r="Q155" s="33">
        <f>SUMIFS(DisplacementPeriod[ind],DisplacementPeriod[adm2_name],Tableau4[[#This Row],[Departments]],DisplacementPeriod[raison],"autre",DisplacementPeriod[deplacement],"idp")</f>
        <v>0</v>
      </c>
      <c r="R155" s="33">
        <f>SUM(Tableau4[[#This Row],[Conflicts]:[Other]])</f>
        <v>59506</v>
      </c>
      <c r="S155" s="98"/>
      <c r="T155" s="99"/>
    </row>
    <row r="156" spans="2:20" x14ac:dyDescent="0.25">
      <c r="B156" s="97"/>
      <c r="C156" s="98"/>
      <c r="D156" s="9" t="s">
        <v>37</v>
      </c>
      <c r="E156" s="33">
        <f>SUMIFS(DisplacementPeriod[ind],DisplacementPeriod[adm2_name],Tableau39[[#This Row],[Départements]],DisplacementPeriod[raison],"Conflits EIAO",DisplacementPeriod[deplacement],"idp")</f>
        <v>40041</v>
      </c>
      <c r="F156" s="33">
        <f>SUMIFS(DisplacementPeriod[ind],DisplacementPeriod[adm2_name],Tableau39[[#This Row],[Départements]],DisplacementPeriod[raison],"inondations et desastres naturels",DisplacementPeriod[deplacement],"idp")</f>
        <v>0</v>
      </c>
      <c r="G156" s="33">
        <f>SUMIFS(DisplacementPeriod[ind],DisplacementPeriod[adm2_name],Tableau39[[#This Row],[Départements]],DisplacementPeriod[raison],"autre",DisplacementPeriod[deplacement],"idp")</f>
        <v>0</v>
      </c>
      <c r="H156" s="33">
        <f>SUM(Tableau39[[#This Row],[Conflits]:[Autre]])</f>
        <v>40041</v>
      </c>
      <c r="I156" s="98"/>
      <c r="J156" s="9" t="s">
        <v>85</v>
      </c>
      <c r="K156" s="9">
        <f>SUMIFS(DisplacementPeriod[ind],DisplacementPeriod[adm2_name],Table103[[#This Row],[Départements]],DisplacementPeriod[raison],"Conflits EIAO",DisplacementPeriod[deplacement],"idp")</f>
        <v>118207</v>
      </c>
      <c r="L156" s="98"/>
      <c r="M156" s="98"/>
      <c r="N156" s="9" t="s">
        <v>37</v>
      </c>
      <c r="O156" s="33">
        <f>SUMIFS(DisplacementPeriod[ind],DisplacementPeriod[adm2_name],Tableau4[[#This Row],[Departments]],DisplacementPeriod[raison],"Conflits EIAO",DisplacementPeriod[deplacement],"idp")</f>
        <v>40041</v>
      </c>
      <c r="P156" s="33">
        <f>SUMIFS(DisplacementPeriod[ind],DisplacementPeriod[adm2_name],Tableau4[[#This Row],[Departments]],DisplacementPeriod[raison],"inondations et desastres naturels",DisplacementPeriod[deplacement],"idp")</f>
        <v>0</v>
      </c>
      <c r="Q156" s="33">
        <f>SUMIFS(DisplacementPeriod[ind],DisplacementPeriod[adm2_name],Tableau4[[#This Row],[Departments]],DisplacementPeriod[raison],"autre",DisplacementPeriod[deplacement],"idp")</f>
        <v>0</v>
      </c>
      <c r="R156" s="33">
        <f>SUM(Tableau4[[#This Row],[Conflicts]:[Other]])</f>
        <v>40041</v>
      </c>
      <c r="S156" s="98"/>
      <c r="T156" s="99"/>
    </row>
    <row r="157" spans="2:20" x14ac:dyDescent="0.25">
      <c r="B157" s="97"/>
      <c r="C157" s="98"/>
      <c r="D157" s="9"/>
      <c r="E157" s="33">
        <f>SUM(E151:E156)</f>
        <v>221695</v>
      </c>
      <c r="F157" s="33">
        <f>SUM(F151:F156)</f>
        <v>19265</v>
      </c>
      <c r="G157" s="33">
        <f>SUM(G151:G156)</f>
        <v>70</v>
      </c>
      <c r="H157" s="33">
        <f>SUBTOTAL(109,Tableau39[Total])</f>
        <v>241030</v>
      </c>
      <c r="I157" s="98"/>
      <c r="J157" s="98"/>
      <c r="K157" s="98"/>
      <c r="L157" s="98"/>
      <c r="M157" s="98"/>
      <c r="N157" s="9"/>
      <c r="O157" s="33">
        <f>SUM(O151:O156)</f>
        <v>221695</v>
      </c>
      <c r="P157" s="33">
        <f>SUM(P151:P156)</f>
        <v>19265</v>
      </c>
      <c r="Q157" s="33">
        <f>SUM(Q151:Q156)</f>
        <v>70</v>
      </c>
      <c r="R157" s="33">
        <f>SUBTOTAL(109,Tableau4[Total])</f>
        <v>241030</v>
      </c>
      <c r="S157" s="98"/>
      <c r="T157" s="99"/>
    </row>
    <row r="158" spans="2:20" x14ac:dyDescent="0.25">
      <c r="B158" s="97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9"/>
    </row>
    <row r="159" spans="2:20" x14ac:dyDescent="0.25">
      <c r="B159" s="97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9"/>
    </row>
    <row r="160" spans="2:20" x14ac:dyDescent="0.25">
      <c r="B160" s="97"/>
      <c r="C160" s="98"/>
      <c r="D160" s="209" t="s">
        <v>1953</v>
      </c>
      <c r="E160" s="98"/>
      <c r="F160" s="98"/>
      <c r="G160" s="98"/>
      <c r="H160" s="98"/>
      <c r="I160" s="98"/>
      <c r="J160" s="98"/>
      <c r="K160" s="98"/>
      <c r="L160" s="98"/>
      <c r="M160" s="98"/>
      <c r="N160" s="209" t="s">
        <v>1951</v>
      </c>
      <c r="O160" s="98"/>
      <c r="P160" s="98"/>
      <c r="Q160" s="98"/>
      <c r="R160" s="98"/>
      <c r="S160" s="98"/>
      <c r="T160" s="99"/>
    </row>
    <row r="161" spans="2:20" x14ac:dyDescent="0.25">
      <c r="B161" s="97"/>
      <c r="C161" s="98"/>
      <c r="D161" s="98"/>
      <c r="E161" s="98"/>
      <c r="F161" s="98"/>
      <c r="G161" s="98"/>
      <c r="H161" s="98"/>
      <c r="I161" s="98"/>
      <c r="J161" s="9" t="s">
        <v>1795</v>
      </c>
      <c r="K161" s="9" t="s">
        <v>2024</v>
      </c>
      <c r="L161" s="98"/>
      <c r="M161" s="98"/>
      <c r="N161" s="98"/>
      <c r="O161" s="98"/>
      <c r="P161" s="98"/>
      <c r="Q161" s="98"/>
      <c r="R161" s="98"/>
      <c r="S161" s="98"/>
      <c r="T161" s="99"/>
    </row>
    <row r="162" spans="2:20" x14ac:dyDescent="0.25">
      <c r="B162" s="97"/>
      <c r="C162" s="98"/>
      <c r="D162" s="9" t="s">
        <v>1795</v>
      </c>
      <c r="E162" s="9" t="s">
        <v>1954</v>
      </c>
      <c r="F162" s="9" t="s">
        <v>1942</v>
      </c>
      <c r="G162" s="9" t="s">
        <v>856</v>
      </c>
      <c r="H162" s="9" t="s">
        <v>715</v>
      </c>
      <c r="I162" s="98"/>
      <c r="J162" s="9" t="s">
        <v>24</v>
      </c>
      <c r="K162" s="9">
        <v>0</v>
      </c>
      <c r="L162" s="98"/>
      <c r="M162" s="98"/>
      <c r="N162" s="9" t="s">
        <v>719</v>
      </c>
      <c r="O162" s="9" t="s">
        <v>1966</v>
      </c>
      <c r="P162" s="9" t="s">
        <v>2023</v>
      </c>
      <c r="Q162" s="9" t="s">
        <v>758</v>
      </c>
      <c r="R162" s="9" t="s">
        <v>715</v>
      </c>
      <c r="S162" s="98"/>
      <c r="T162" s="99"/>
    </row>
    <row r="163" spans="2:20" x14ac:dyDescent="0.25">
      <c r="B163" s="97"/>
      <c r="C163" s="98"/>
      <c r="D163" s="9" t="s">
        <v>24</v>
      </c>
      <c r="E163" s="44">
        <f t="shared" ref="E163:E168" si="12">E151/H151</f>
        <v>1</v>
      </c>
      <c r="F163" s="44">
        <f t="shared" ref="F163:F168" si="13">F151/H151</f>
        <v>0</v>
      </c>
      <c r="G163" s="44">
        <f t="shared" ref="G163:G168" si="14">G151/H151</f>
        <v>0</v>
      </c>
      <c r="H163" s="44">
        <f>SUM(Tableau41[[#This Row],[Conflits]:[Autre]])</f>
        <v>1</v>
      </c>
      <c r="I163" s="98"/>
      <c r="J163" s="9" t="s">
        <v>85</v>
      </c>
      <c r="K163" s="9">
        <v>6699</v>
      </c>
      <c r="L163" s="98"/>
      <c r="M163" s="98"/>
      <c r="N163" s="9" t="s">
        <v>24</v>
      </c>
      <c r="O163" s="44">
        <f t="shared" ref="O163:O168" si="15">O151/R151</f>
        <v>1</v>
      </c>
      <c r="P163" s="44">
        <f t="shared" ref="P163:P168" si="16">P151/R151</f>
        <v>0</v>
      </c>
      <c r="Q163" s="44">
        <f t="shared" ref="Q163:Q168" si="17">Q151/R151</f>
        <v>0</v>
      </c>
      <c r="R163" s="44">
        <f>SUM(Tableau40[[#This Row],[Conflicts]:[Other]])</f>
        <v>1</v>
      </c>
      <c r="S163" s="98"/>
      <c r="T163" s="99"/>
    </row>
    <row r="164" spans="2:20" x14ac:dyDescent="0.25">
      <c r="B164" s="97"/>
      <c r="C164" s="98"/>
      <c r="D164" s="9" t="s">
        <v>85</v>
      </c>
      <c r="E164" s="44">
        <f t="shared" si="12"/>
        <v>0.94030753076500861</v>
      </c>
      <c r="F164" s="44">
        <f t="shared" si="13"/>
        <v>5.9135636499590333E-2</v>
      </c>
      <c r="G164" s="44">
        <f t="shared" si="14"/>
        <v>5.5683273540103894E-4</v>
      </c>
      <c r="H164" s="44">
        <f>SUM(Tableau41[[#This Row],[Conflits]:[Autre]])</f>
        <v>1</v>
      </c>
      <c r="I164" s="98"/>
      <c r="J164" s="9" t="s">
        <v>184</v>
      </c>
      <c r="K164" s="9">
        <v>9719</v>
      </c>
      <c r="L164" s="98"/>
      <c r="M164" s="98"/>
      <c r="N164" s="9" t="s">
        <v>85</v>
      </c>
      <c r="O164" s="44">
        <f t="shared" si="15"/>
        <v>0.94030753076500861</v>
      </c>
      <c r="P164" s="44">
        <f t="shared" si="16"/>
        <v>5.9135636499590333E-2</v>
      </c>
      <c r="Q164" s="44">
        <f t="shared" si="17"/>
        <v>5.5683273540103894E-4</v>
      </c>
      <c r="R164" s="44">
        <f>SUM(Tableau40[[#This Row],[Conflicts]:[Other]])</f>
        <v>1</v>
      </c>
      <c r="S164" s="98"/>
      <c r="T164" s="99"/>
    </row>
    <row r="165" spans="2:20" x14ac:dyDescent="0.25">
      <c r="B165" s="97"/>
      <c r="C165" s="98"/>
      <c r="D165" s="9" t="s">
        <v>184</v>
      </c>
      <c r="E165" s="44">
        <f t="shared" si="12"/>
        <v>5.6040333527244524E-2</v>
      </c>
      <c r="F165" s="44">
        <f t="shared" si="13"/>
        <v>0.94395966647275553</v>
      </c>
      <c r="G165" s="44">
        <f t="shared" si="14"/>
        <v>0</v>
      </c>
      <c r="H165" s="44">
        <f>SUM(Tableau41[[#This Row],[Conflits]:[Autre]])</f>
        <v>1</v>
      </c>
      <c r="I165" s="98"/>
      <c r="J165" s="9" t="s">
        <v>218</v>
      </c>
      <c r="K165" s="9">
        <v>0</v>
      </c>
      <c r="L165" s="98"/>
      <c r="M165" s="98"/>
      <c r="N165" s="9" t="s">
        <v>184</v>
      </c>
      <c r="O165" s="44">
        <f t="shared" si="15"/>
        <v>5.6040333527244524E-2</v>
      </c>
      <c r="P165" s="44">
        <f t="shared" si="16"/>
        <v>0.94395966647275553</v>
      </c>
      <c r="Q165" s="44">
        <f t="shared" si="17"/>
        <v>0</v>
      </c>
      <c r="R165" s="44">
        <f>SUM(Tableau40[[#This Row],[Conflicts]:[Other]])</f>
        <v>1</v>
      </c>
      <c r="S165" s="98"/>
      <c r="T165" s="99"/>
    </row>
    <row r="166" spans="2:20" x14ac:dyDescent="0.25">
      <c r="B166" s="97"/>
      <c r="C166" s="98"/>
      <c r="D166" s="9" t="s">
        <v>218</v>
      </c>
      <c r="E166" s="44">
        <f t="shared" si="12"/>
        <v>1</v>
      </c>
      <c r="F166" s="44">
        <f t="shared" si="13"/>
        <v>0</v>
      </c>
      <c r="G166" s="44">
        <f t="shared" si="14"/>
        <v>0</v>
      </c>
      <c r="H166" s="44">
        <f>SUM(Tableau41[[#This Row],[Conflits]:[Autre]])</f>
        <v>1</v>
      </c>
      <c r="I166" s="98"/>
      <c r="J166" s="9" t="s">
        <v>48</v>
      </c>
      <c r="K166" s="9">
        <v>0</v>
      </c>
      <c r="L166" s="98"/>
      <c r="M166" s="98"/>
      <c r="N166" s="9" t="s">
        <v>218</v>
      </c>
      <c r="O166" s="44">
        <f t="shared" si="15"/>
        <v>1</v>
      </c>
      <c r="P166" s="44">
        <f t="shared" si="16"/>
        <v>0</v>
      </c>
      <c r="Q166" s="44">
        <f t="shared" si="17"/>
        <v>0</v>
      </c>
      <c r="R166" s="44">
        <f>SUM(Tableau40[[#This Row],[Conflicts]:[Other]])</f>
        <v>1</v>
      </c>
      <c r="S166" s="98"/>
      <c r="T166" s="99"/>
    </row>
    <row r="167" spans="2:20" x14ac:dyDescent="0.25">
      <c r="B167" s="97"/>
      <c r="C167" s="98"/>
      <c r="D167" s="9" t="s">
        <v>48</v>
      </c>
      <c r="E167" s="44">
        <f t="shared" si="12"/>
        <v>0.96479346620508855</v>
      </c>
      <c r="F167" s="44">
        <f t="shared" si="13"/>
        <v>3.520653379491144E-2</v>
      </c>
      <c r="G167" s="44">
        <f t="shared" si="14"/>
        <v>0</v>
      </c>
      <c r="H167" s="44">
        <f>SUM(Tableau41[[#This Row],[Conflits]:[Autre]])</f>
        <v>1</v>
      </c>
      <c r="I167" s="98"/>
      <c r="J167" s="9" t="s">
        <v>37</v>
      </c>
      <c r="K167" s="9">
        <v>4</v>
      </c>
      <c r="L167" s="98"/>
      <c r="M167" s="98"/>
      <c r="N167" s="9" t="s">
        <v>48</v>
      </c>
      <c r="O167" s="44">
        <f t="shared" si="15"/>
        <v>0.96479346620508855</v>
      </c>
      <c r="P167" s="44">
        <f t="shared" si="16"/>
        <v>3.520653379491144E-2</v>
      </c>
      <c r="Q167" s="44">
        <f t="shared" si="17"/>
        <v>0</v>
      </c>
      <c r="R167" s="44">
        <f>SUM(Tableau40[[#This Row],[Conflicts]:[Other]])</f>
        <v>1</v>
      </c>
      <c r="S167" s="98"/>
      <c r="T167" s="99"/>
    </row>
    <row r="168" spans="2:20" x14ac:dyDescent="0.25">
      <c r="B168" s="97"/>
      <c r="C168" s="98"/>
      <c r="D168" s="9" t="s">
        <v>37</v>
      </c>
      <c r="E168" s="44">
        <f t="shared" si="12"/>
        <v>1</v>
      </c>
      <c r="F168" s="44">
        <f t="shared" si="13"/>
        <v>0</v>
      </c>
      <c r="G168" s="44">
        <f t="shared" si="14"/>
        <v>0</v>
      </c>
      <c r="H168" s="44">
        <f>SUM(Tableau41[[#This Row],[Conflits]:[Autre]])</f>
        <v>1</v>
      </c>
      <c r="I168" s="98"/>
      <c r="J168" s="98"/>
      <c r="K168" s="98"/>
      <c r="L168" s="98"/>
      <c r="M168" s="98"/>
      <c r="N168" s="9" t="s">
        <v>37</v>
      </c>
      <c r="O168" s="44">
        <f t="shared" si="15"/>
        <v>1</v>
      </c>
      <c r="P168" s="44">
        <f t="shared" si="16"/>
        <v>0</v>
      </c>
      <c r="Q168" s="44">
        <f t="shared" si="17"/>
        <v>0</v>
      </c>
      <c r="R168" s="44">
        <f>SUM(Tableau40[[#This Row],[Conflicts]:[Other]])</f>
        <v>1</v>
      </c>
      <c r="S168" s="98"/>
      <c r="T168" s="99"/>
    </row>
    <row r="169" spans="2:20" x14ac:dyDescent="0.25">
      <c r="B169" s="97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9"/>
    </row>
    <row r="170" spans="2:20" x14ac:dyDescent="0.25">
      <c r="B170" s="97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9"/>
    </row>
    <row r="171" spans="2:20" x14ac:dyDescent="0.25">
      <c r="B171" s="97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9"/>
    </row>
    <row r="172" spans="2:20" x14ac:dyDescent="0.25">
      <c r="B172" s="97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9"/>
    </row>
    <row r="173" spans="2:20" x14ac:dyDescent="0.25">
      <c r="B173" s="97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9"/>
    </row>
    <row r="174" spans="2:20" x14ac:dyDescent="0.25">
      <c r="B174" s="97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9"/>
    </row>
    <row r="175" spans="2:20" x14ac:dyDescent="0.25">
      <c r="B175" s="97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9"/>
    </row>
    <row r="176" spans="2:20" x14ac:dyDescent="0.25">
      <c r="B176" s="97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9"/>
    </row>
    <row r="177" spans="2:20" x14ac:dyDescent="0.25">
      <c r="B177" s="97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9"/>
    </row>
    <row r="178" spans="2:20" x14ac:dyDescent="0.25">
      <c r="B178" s="97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9"/>
    </row>
    <row r="179" spans="2:20" x14ac:dyDescent="0.25">
      <c r="B179" s="97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9"/>
    </row>
    <row r="180" spans="2:20" x14ac:dyDescent="0.25">
      <c r="B180" s="97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9"/>
    </row>
    <row r="181" spans="2:20" x14ac:dyDescent="0.25">
      <c r="B181" s="97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9"/>
    </row>
    <row r="182" spans="2:20" x14ac:dyDescent="0.25">
      <c r="B182" s="97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9"/>
    </row>
    <row r="183" spans="2:20" x14ac:dyDescent="0.25">
      <c r="B183" s="97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9"/>
    </row>
    <row r="184" spans="2:20" x14ac:dyDescent="0.25">
      <c r="B184" s="97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9"/>
    </row>
    <row r="185" spans="2:20" x14ac:dyDescent="0.25">
      <c r="B185" s="97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9"/>
    </row>
    <row r="186" spans="2:20" x14ac:dyDescent="0.25">
      <c r="B186" s="106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8"/>
    </row>
    <row r="188" spans="2:20" x14ac:dyDescent="0.25">
      <c r="B188" s="132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10"/>
    </row>
    <row r="189" spans="2:20" x14ac:dyDescent="0.25">
      <c r="B189" s="97"/>
      <c r="C189" s="98"/>
      <c r="D189" s="209" t="s">
        <v>1955</v>
      </c>
      <c r="E189" s="98"/>
      <c r="F189" s="98"/>
      <c r="G189" s="98"/>
      <c r="H189" s="98"/>
      <c r="I189" s="98"/>
      <c r="J189" s="98"/>
      <c r="K189" s="98"/>
      <c r="L189" s="98"/>
      <c r="M189" s="98"/>
      <c r="N189" s="209" t="s">
        <v>1957</v>
      </c>
      <c r="O189" s="98"/>
      <c r="P189" s="98"/>
      <c r="Q189" s="98"/>
      <c r="R189" s="98"/>
      <c r="S189" s="98"/>
      <c r="T189" s="99"/>
    </row>
    <row r="190" spans="2:20" x14ac:dyDescent="0.25">
      <c r="B190" s="97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9"/>
    </row>
    <row r="191" spans="2:20" x14ac:dyDescent="0.25">
      <c r="B191" s="97"/>
      <c r="C191" s="98"/>
      <c r="D191" s="9" t="s">
        <v>1795</v>
      </c>
      <c r="E191" s="9" t="s">
        <v>1954</v>
      </c>
      <c r="F191" s="9" t="s">
        <v>1942</v>
      </c>
      <c r="G191" s="9" t="s">
        <v>856</v>
      </c>
      <c r="H191" s="9" t="s">
        <v>715</v>
      </c>
      <c r="I191" s="98"/>
      <c r="J191" s="98"/>
      <c r="K191" s="98"/>
      <c r="L191" s="98"/>
      <c r="M191" s="98"/>
      <c r="N191" s="9" t="s">
        <v>719</v>
      </c>
      <c r="O191" s="9" t="s">
        <v>757</v>
      </c>
      <c r="P191" s="9" t="s">
        <v>1797</v>
      </c>
      <c r="Q191" s="9" t="s">
        <v>758</v>
      </c>
      <c r="R191" s="9" t="s">
        <v>715</v>
      </c>
      <c r="S191" s="98"/>
      <c r="T191" s="99"/>
    </row>
    <row r="192" spans="2:20" x14ac:dyDescent="0.25">
      <c r="B192" s="97"/>
      <c r="C192" s="98"/>
      <c r="D192" s="9" t="s">
        <v>24</v>
      </c>
      <c r="E192" s="33">
        <f>SUMIFS(DisplacementPeriod[ind],DisplacementPeriod[adm2_name],Tableau3946[[#This Row],[Départements]],DisplacementPeriod[raison],"Conflits EIAO",DisplacementPeriod[deplacement],"refugies non enregistres")</f>
        <v>253</v>
      </c>
      <c r="F192" s="3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2" s="33">
        <f>SUMIFS(DisplacementPeriod[ind],DisplacementPeriod[adm2_name],Tableau3946[[#This Row],[Départements]],DisplacementPeriod[raison],"autre",DisplacementPeriod[deplacement],"refugies non enregistres")</f>
        <v>0</v>
      </c>
      <c r="H192" s="33">
        <f>SUM(Tableau3946[[#This Row],[Conflits]:[Autre]])</f>
        <v>253</v>
      </c>
      <c r="I192" s="98"/>
      <c r="J192" s="98"/>
      <c r="K192" s="98"/>
      <c r="L192" s="98"/>
      <c r="M192" s="98"/>
      <c r="N192" s="9" t="s">
        <v>24</v>
      </c>
      <c r="O192" s="33">
        <f>SUMIFS(DisplacementPeriod[ind],DisplacementPeriod[adm2_name],Tableau443[[#This Row],[Departments]],DisplacementPeriod[raison],"Conflits EIAO",DisplacementPeriod[deplacement],"refugies non enregistres")</f>
        <v>253</v>
      </c>
      <c r="P192" s="3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2" s="33">
        <f>SUMIFS(DisplacementPeriod[ind],DisplacementPeriod[adm2_name],Tableau443[[#This Row],[Departments]],DisplacementPeriod[raison],"autre",DisplacementPeriod[deplacement],"refugies non enregistres")</f>
        <v>0</v>
      </c>
      <c r="R192" s="33">
        <f>SUM(Tableau443[[#This Row],[Conflicts_ISWA]:[Other]])</f>
        <v>253</v>
      </c>
      <c r="S192" s="98"/>
      <c r="T192" s="99"/>
    </row>
    <row r="193" spans="2:20" x14ac:dyDescent="0.25">
      <c r="B193" s="97"/>
      <c r="C193" s="98"/>
      <c r="D193" s="9" t="s">
        <v>85</v>
      </c>
      <c r="E193" s="33">
        <f>SUMIFS(DisplacementPeriod[ind],DisplacementPeriod[adm2_name],Tableau3946[[#This Row],[Départements]],DisplacementPeriod[raison],"Conflits EIAO",DisplacementPeriod[deplacement],"refugies non enregistres")</f>
        <v>26067</v>
      </c>
      <c r="F193" s="3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3" s="33">
        <f>SUMIFS(DisplacementPeriod[ind],DisplacementPeriod[adm2_name],Tableau3946[[#This Row],[Départements]],DisplacementPeriod[raison],"autre",DisplacementPeriod[deplacement],"refugies non enregistres")</f>
        <v>0</v>
      </c>
      <c r="H193" s="33">
        <f>SUM(Tableau3946[[#This Row],[Conflits]:[Autre]])</f>
        <v>26067</v>
      </c>
      <c r="I193" s="98"/>
      <c r="J193" s="98"/>
      <c r="K193" s="98"/>
      <c r="L193" s="98"/>
      <c r="M193" s="98"/>
      <c r="N193" s="9" t="s">
        <v>85</v>
      </c>
      <c r="O193" s="33">
        <f>SUMIFS(DisplacementPeriod[ind],DisplacementPeriod[adm2_name],Tableau443[[#This Row],[Departments]],DisplacementPeriod[raison],"Conflits EIAO",DisplacementPeriod[deplacement],"refugies non enregistres")</f>
        <v>26067</v>
      </c>
      <c r="P193" s="3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3" s="33">
        <f>SUMIFS(DisplacementPeriod[ind],DisplacementPeriod[adm2_name],Tableau443[[#This Row],[Departments]],DisplacementPeriod[raison],"autre",DisplacementPeriod[deplacement],"refugies non enregistres")</f>
        <v>0</v>
      </c>
      <c r="R193" s="33">
        <f>SUM(Tableau443[[#This Row],[Conflicts_ISWA]:[Other]])</f>
        <v>26067</v>
      </c>
      <c r="S193" s="98"/>
      <c r="T193" s="99"/>
    </row>
    <row r="194" spans="2:20" x14ac:dyDescent="0.25">
      <c r="B194" s="97"/>
      <c r="C194" s="98"/>
      <c r="D194" s="9" t="s">
        <v>184</v>
      </c>
      <c r="E194" s="33">
        <f>SUMIFS(DisplacementPeriod[ind],DisplacementPeriod[adm2_name],Tableau3946[[#This Row],[Départements]],DisplacementPeriod[raison],"Conflits EIAO",DisplacementPeriod[deplacement],"refugies non enregistres")</f>
        <v>88</v>
      </c>
      <c r="F194" s="3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4" s="33">
        <f>SUMIFS(DisplacementPeriod[ind],DisplacementPeriod[adm2_name],Tableau3946[[#This Row],[Départements]],DisplacementPeriod[raison],"autre",DisplacementPeriod[deplacement],"refugies non enregistres")</f>
        <v>31</v>
      </c>
      <c r="H194" s="33">
        <f>SUM(Tableau3946[[#This Row],[Conflits]:[Autre]])</f>
        <v>119</v>
      </c>
      <c r="I194" s="98"/>
      <c r="J194" s="98"/>
      <c r="K194" s="98"/>
      <c r="L194" s="98"/>
      <c r="M194" s="98"/>
      <c r="N194" s="9" t="s">
        <v>184</v>
      </c>
      <c r="O194" s="33">
        <f>SUMIFS(DisplacementPeriod[ind],DisplacementPeriod[adm2_name],Tableau443[[#This Row],[Departments]],DisplacementPeriod[raison],"Conflits EIAO",DisplacementPeriod[deplacement],"refugies non enregistres")</f>
        <v>88</v>
      </c>
      <c r="P194" s="3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4" s="33">
        <f>SUMIFS(DisplacementPeriod[ind],DisplacementPeriod[adm2_name],Tableau443[[#This Row],[Departments]],DisplacementPeriod[raison],"autre",DisplacementPeriod[deplacement],"refugies non enregistres")</f>
        <v>31</v>
      </c>
      <c r="R194" s="33">
        <f>SUM(Tableau443[[#This Row],[Conflicts_ISWA]:[Other]])</f>
        <v>119</v>
      </c>
      <c r="S194" s="98"/>
      <c r="T194" s="99"/>
    </row>
    <row r="195" spans="2:20" x14ac:dyDescent="0.25">
      <c r="B195" s="97"/>
      <c r="C195" s="98"/>
      <c r="D195" s="9" t="s">
        <v>218</v>
      </c>
      <c r="E195" s="33">
        <f>SUMIFS(DisplacementPeriod[ind],DisplacementPeriod[adm2_name],Tableau3946[[#This Row],[Départements]],DisplacementPeriod[raison],"Conflits EIAO",DisplacementPeriod[deplacement],"refugies non enregistres")</f>
        <v>20</v>
      </c>
      <c r="F195" s="3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5" s="33">
        <f>SUMIFS(DisplacementPeriod[ind],DisplacementPeriod[adm2_name],Tableau3946[[#This Row],[Départements]],DisplacementPeriod[raison],"autre",DisplacementPeriod[deplacement],"refugies non enregistres")</f>
        <v>0</v>
      </c>
      <c r="H195" s="33">
        <f>SUM(Tableau3946[[#This Row],[Conflits]:[Autre]])</f>
        <v>20</v>
      </c>
      <c r="I195" s="98"/>
      <c r="J195" s="98"/>
      <c r="K195" s="98"/>
      <c r="L195" s="98"/>
      <c r="M195" s="98"/>
      <c r="N195" s="9" t="s">
        <v>218</v>
      </c>
      <c r="O195" s="33">
        <f>SUMIFS(DisplacementPeriod[ind],DisplacementPeriod[adm2_name],Tableau443[[#This Row],[Departments]],DisplacementPeriod[raison],"Conflits EIAO",DisplacementPeriod[deplacement],"refugies non enregistres")</f>
        <v>20</v>
      </c>
      <c r="P195" s="3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5" s="33">
        <f>SUMIFS(DisplacementPeriod[ind],DisplacementPeriod[adm2_name],Tableau443[[#This Row],[Departments]],DisplacementPeriod[raison],"autre",DisplacementPeriod[deplacement],"refugies non enregistres")</f>
        <v>0</v>
      </c>
      <c r="R195" s="33">
        <f>SUM(Tableau443[[#This Row],[Conflicts_ISWA]:[Other]])</f>
        <v>20</v>
      </c>
      <c r="S195" s="98"/>
      <c r="T195" s="99"/>
    </row>
    <row r="196" spans="2:20" x14ac:dyDescent="0.25">
      <c r="B196" s="97"/>
      <c r="C196" s="98"/>
      <c r="D196" s="9" t="s">
        <v>48</v>
      </c>
      <c r="E196" s="33">
        <f>SUMIFS(DisplacementPeriod[ind],DisplacementPeriod[adm2_name],Tableau3946[[#This Row],[Départements]],DisplacementPeriod[raison],"Conflits EIAO",DisplacementPeriod[deplacement],"refugies non enregistres")</f>
        <v>0</v>
      </c>
      <c r="F196" s="3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6" s="33">
        <f>SUMIFS(DisplacementPeriod[ind],DisplacementPeriod[adm2_name],Tableau3946[[#This Row],[Départements]],DisplacementPeriod[raison],"autre",DisplacementPeriod[deplacement],"refugies non enregistres")</f>
        <v>0</v>
      </c>
      <c r="H196" s="33">
        <f>SUM(Tableau3946[[#This Row],[Conflits]:[Autre]])</f>
        <v>0</v>
      </c>
      <c r="I196" s="98"/>
      <c r="J196" s="98"/>
      <c r="K196" s="98"/>
      <c r="L196" s="98"/>
      <c r="M196" s="98"/>
      <c r="N196" s="9" t="s">
        <v>48</v>
      </c>
      <c r="O196" s="33">
        <f>SUMIFS(DisplacementPeriod[ind],DisplacementPeriod[adm2_name],Tableau443[[#This Row],[Departments]],DisplacementPeriod[raison],"Conflits EIAO",DisplacementPeriod[deplacement],"refugies non enregistres")</f>
        <v>0</v>
      </c>
      <c r="P196" s="3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6" s="33">
        <f>SUMIFS(DisplacementPeriod[ind],DisplacementPeriod[adm2_name],Tableau443[[#This Row],[Departments]],DisplacementPeriod[raison],"autre",DisplacementPeriod[deplacement],"refugies non enregistres")</f>
        <v>0</v>
      </c>
      <c r="R196" s="33">
        <f>SUM(Tableau443[[#This Row],[Conflicts_ISWA]:[Other]])</f>
        <v>0</v>
      </c>
      <c r="S196" s="98"/>
      <c r="T196" s="99"/>
    </row>
    <row r="197" spans="2:20" x14ac:dyDescent="0.25">
      <c r="B197" s="97"/>
      <c r="C197" s="98"/>
      <c r="D197" s="9" t="s">
        <v>37</v>
      </c>
      <c r="E197" s="33">
        <f>SUMIFS(DisplacementPeriod[ind],DisplacementPeriod[adm2_name],Tableau3946[[#This Row],[Départements]],DisplacementPeriod[raison],"Conflits EIAO",DisplacementPeriod[deplacement],"refugies non enregistres")</f>
        <v>5197</v>
      </c>
      <c r="F197" s="3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7" s="33">
        <f>SUMIFS(DisplacementPeriod[ind],DisplacementPeriod[adm2_name],Tableau3946[[#This Row],[Départements]],DisplacementPeriod[raison],"autre",DisplacementPeriod[deplacement],"refugies non enregistres")</f>
        <v>0</v>
      </c>
      <c r="H197" s="33">
        <f>SUM(Tableau3946[[#This Row],[Conflits]:[Autre]])</f>
        <v>5197</v>
      </c>
      <c r="I197" s="98"/>
      <c r="J197" s="98"/>
      <c r="K197" s="98"/>
      <c r="L197" s="98"/>
      <c r="M197" s="98"/>
      <c r="N197" s="9" t="s">
        <v>37</v>
      </c>
      <c r="O197" s="33">
        <f>SUMIFS(DisplacementPeriod[ind],DisplacementPeriod[adm2_name],Tableau443[[#This Row],[Departments]],DisplacementPeriod[raison],"Conflits EIAO",DisplacementPeriod[deplacement],"refugies non enregistres")</f>
        <v>5197</v>
      </c>
      <c r="P197" s="3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7" s="33">
        <f>SUMIFS(DisplacementPeriod[ind],DisplacementPeriod[adm2_name],Tableau443[[#This Row],[Departments]],DisplacementPeriod[raison],"autre",DisplacementPeriod[deplacement],"refugies non enregistres")</f>
        <v>0</v>
      </c>
      <c r="R197" s="33">
        <f>SUM(Tableau443[[#This Row],[Conflicts_ISWA]:[Other]])</f>
        <v>5197</v>
      </c>
      <c r="S197" s="98"/>
      <c r="T197" s="99"/>
    </row>
    <row r="198" spans="2:20" x14ac:dyDescent="0.25">
      <c r="B198" s="97"/>
      <c r="C198" s="98"/>
      <c r="D198" s="9"/>
      <c r="E198" s="33">
        <f>SUM(E192:E197)</f>
        <v>31625</v>
      </c>
      <c r="F198" s="33">
        <f>SUM(F192:F197)</f>
        <v>0</v>
      </c>
      <c r="G198" s="33">
        <f>SUM(G192:G197)</f>
        <v>31</v>
      </c>
      <c r="H198" s="33">
        <f>SUBTOTAL(109,Tableau3946[Total])</f>
        <v>31656</v>
      </c>
      <c r="I198" s="98"/>
      <c r="J198" s="98"/>
      <c r="K198" s="98"/>
      <c r="L198" s="98"/>
      <c r="M198" s="98"/>
      <c r="N198" s="9"/>
      <c r="O198" s="33">
        <f>SUM(O192:O197)</f>
        <v>31625</v>
      </c>
      <c r="P198" s="33">
        <f>SUM(P192:P197)</f>
        <v>0</v>
      </c>
      <c r="Q198" s="33">
        <f>SUM(Q192:Q197)</f>
        <v>31</v>
      </c>
      <c r="R198" s="33">
        <f>SUBTOTAL(109,Tableau443[Total])</f>
        <v>31656</v>
      </c>
      <c r="S198" s="98"/>
      <c r="T198" s="99"/>
    </row>
    <row r="199" spans="2:20" x14ac:dyDescent="0.25">
      <c r="B199" s="97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9"/>
    </row>
    <row r="200" spans="2:20" x14ac:dyDescent="0.25">
      <c r="B200" s="97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9"/>
    </row>
    <row r="201" spans="2:20" x14ac:dyDescent="0.25">
      <c r="B201" s="97"/>
      <c r="C201" s="98"/>
      <c r="D201" s="209" t="s">
        <v>1956</v>
      </c>
      <c r="E201" s="98"/>
      <c r="F201" s="98"/>
      <c r="G201" s="98"/>
      <c r="H201" s="98"/>
      <c r="I201" s="98"/>
      <c r="J201" s="98"/>
      <c r="K201" s="98"/>
      <c r="L201" s="98"/>
      <c r="M201" s="98"/>
      <c r="N201" s="209" t="s">
        <v>1958</v>
      </c>
      <c r="O201" s="98"/>
      <c r="P201" s="98"/>
      <c r="Q201" s="98"/>
      <c r="R201" s="98"/>
      <c r="S201" s="98"/>
      <c r="T201" s="99"/>
    </row>
    <row r="202" spans="2:20" x14ac:dyDescent="0.25">
      <c r="B202" s="97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9"/>
    </row>
    <row r="203" spans="2:20" x14ac:dyDescent="0.25">
      <c r="B203" s="97"/>
      <c r="C203" s="98"/>
      <c r="D203" s="9" t="s">
        <v>1795</v>
      </c>
      <c r="E203" s="9" t="s">
        <v>1954</v>
      </c>
      <c r="F203" s="9" t="s">
        <v>1942</v>
      </c>
      <c r="G203" s="9" t="s">
        <v>856</v>
      </c>
      <c r="H203" s="9" t="s">
        <v>715</v>
      </c>
      <c r="I203" s="98"/>
      <c r="J203" s="98"/>
      <c r="K203" s="98"/>
      <c r="L203" s="98"/>
      <c r="M203" s="98"/>
      <c r="N203" s="9" t="s">
        <v>719</v>
      </c>
      <c r="O203" s="9" t="s">
        <v>757</v>
      </c>
      <c r="P203" s="9" t="s">
        <v>1797</v>
      </c>
      <c r="Q203" s="9" t="s">
        <v>758</v>
      </c>
      <c r="R203" s="9" t="s">
        <v>715</v>
      </c>
      <c r="S203" s="98"/>
      <c r="T203" s="99"/>
    </row>
    <row r="204" spans="2:20" x14ac:dyDescent="0.25">
      <c r="B204" s="97"/>
      <c r="C204" s="98"/>
      <c r="D204" s="9" t="s">
        <v>24</v>
      </c>
      <c r="E204" s="44">
        <f t="shared" ref="E204:E209" si="18">E192/H192</f>
        <v>1</v>
      </c>
      <c r="F204" s="44">
        <f t="shared" ref="F204:F209" si="19">F192/H192</f>
        <v>0</v>
      </c>
      <c r="G204" s="44">
        <f t="shared" ref="G204:G209" si="20">G192/H192</f>
        <v>0</v>
      </c>
      <c r="H204" s="44">
        <f>SUM(Tableau4155[[#This Row],[Conflits]:[Autre]])</f>
        <v>1</v>
      </c>
      <c r="I204" s="98"/>
      <c r="J204" s="98"/>
      <c r="K204" s="98"/>
      <c r="L204" s="98"/>
      <c r="M204" s="98"/>
      <c r="N204" s="9" t="s">
        <v>24</v>
      </c>
      <c r="O204" s="44">
        <f t="shared" ref="O204:O209" si="21">O192/R192</f>
        <v>1</v>
      </c>
      <c r="P204" s="44">
        <f t="shared" ref="P204:P209" si="22">P192/R192</f>
        <v>0</v>
      </c>
      <c r="Q204" s="44">
        <f t="shared" ref="Q204:Q209" si="23">Q192/R192</f>
        <v>0</v>
      </c>
      <c r="R204" s="44">
        <f>SUM(Tableau4048[[#This Row],[Conflicts_ISWA]:[Other]])</f>
        <v>1</v>
      </c>
      <c r="S204" s="98"/>
      <c r="T204" s="99"/>
    </row>
    <row r="205" spans="2:20" x14ac:dyDescent="0.25">
      <c r="B205" s="97"/>
      <c r="C205" s="98"/>
      <c r="D205" s="9" t="s">
        <v>85</v>
      </c>
      <c r="E205" s="44">
        <f t="shared" si="18"/>
        <v>1</v>
      </c>
      <c r="F205" s="44">
        <f t="shared" si="19"/>
        <v>0</v>
      </c>
      <c r="G205" s="44">
        <f t="shared" si="20"/>
        <v>0</v>
      </c>
      <c r="H205" s="44">
        <f>SUM(Tableau4155[[#This Row],[Conflits]:[Autre]])</f>
        <v>1</v>
      </c>
      <c r="I205" s="98"/>
      <c r="J205" s="98"/>
      <c r="K205" s="98"/>
      <c r="L205" s="98"/>
      <c r="M205" s="98"/>
      <c r="N205" s="9" t="s">
        <v>85</v>
      </c>
      <c r="O205" s="44">
        <f t="shared" si="21"/>
        <v>1</v>
      </c>
      <c r="P205" s="44">
        <f t="shared" si="22"/>
        <v>0</v>
      </c>
      <c r="Q205" s="44">
        <f t="shared" si="23"/>
        <v>0</v>
      </c>
      <c r="R205" s="44">
        <f>SUM(Tableau4048[[#This Row],[Conflicts_ISWA]:[Other]])</f>
        <v>1</v>
      </c>
      <c r="S205" s="98"/>
      <c r="T205" s="99"/>
    </row>
    <row r="206" spans="2:20" x14ac:dyDescent="0.25">
      <c r="B206" s="97"/>
      <c r="C206" s="98"/>
      <c r="D206" s="9" t="s">
        <v>184</v>
      </c>
      <c r="E206" s="44">
        <f t="shared" si="18"/>
        <v>0.73949579831932777</v>
      </c>
      <c r="F206" s="44">
        <f t="shared" si="19"/>
        <v>0</v>
      </c>
      <c r="G206" s="44">
        <f t="shared" si="20"/>
        <v>0.26050420168067229</v>
      </c>
      <c r="H206" s="44">
        <f>SUM(Tableau4155[[#This Row],[Conflits]:[Autre]])</f>
        <v>1</v>
      </c>
      <c r="I206" s="98"/>
      <c r="J206" s="98"/>
      <c r="K206" s="98"/>
      <c r="L206" s="98"/>
      <c r="M206" s="98"/>
      <c r="N206" s="9" t="s">
        <v>184</v>
      </c>
      <c r="O206" s="44">
        <f t="shared" si="21"/>
        <v>0.73949579831932777</v>
      </c>
      <c r="P206" s="44">
        <f t="shared" si="22"/>
        <v>0</v>
      </c>
      <c r="Q206" s="44">
        <f t="shared" si="23"/>
        <v>0.26050420168067229</v>
      </c>
      <c r="R206" s="44">
        <f>SUM(Tableau4048[[#This Row],[Conflicts_ISWA]:[Other]])</f>
        <v>1</v>
      </c>
      <c r="S206" s="98"/>
      <c r="T206" s="99"/>
    </row>
    <row r="207" spans="2:20" x14ac:dyDescent="0.25">
      <c r="B207" s="97"/>
      <c r="C207" s="98"/>
      <c r="D207" s="9" t="s">
        <v>218</v>
      </c>
      <c r="E207" s="44">
        <f t="shared" si="18"/>
        <v>1</v>
      </c>
      <c r="F207" s="44">
        <f t="shared" si="19"/>
        <v>0</v>
      </c>
      <c r="G207" s="44">
        <f t="shared" si="20"/>
        <v>0</v>
      </c>
      <c r="H207" s="44">
        <f>SUM(Tableau4155[[#This Row],[Conflits]:[Autre]])</f>
        <v>1</v>
      </c>
      <c r="I207" s="98"/>
      <c r="J207" s="98"/>
      <c r="K207" s="98"/>
      <c r="L207" s="98"/>
      <c r="M207" s="98"/>
      <c r="N207" s="9" t="s">
        <v>218</v>
      </c>
      <c r="O207" s="44">
        <f t="shared" si="21"/>
        <v>1</v>
      </c>
      <c r="P207" s="44">
        <f t="shared" si="22"/>
        <v>0</v>
      </c>
      <c r="Q207" s="44">
        <f t="shared" si="23"/>
        <v>0</v>
      </c>
      <c r="R207" s="44">
        <f>SUM(Tableau4048[[#This Row],[Conflicts_ISWA]:[Other]])</f>
        <v>1</v>
      </c>
      <c r="S207" s="98"/>
      <c r="T207" s="99"/>
    </row>
    <row r="208" spans="2:20" x14ac:dyDescent="0.25">
      <c r="B208" s="97"/>
      <c r="C208" s="98"/>
      <c r="D208" s="9" t="s">
        <v>48</v>
      </c>
      <c r="E208" s="44" t="e">
        <f t="shared" si="18"/>
        <v>#DIV/0!</v>
      </c>
      <c r="F208" s="44" t="e">
        <f t="shared" si="19"/>
        <v>#DIV/0!</v>
      </c>
      <c r="G208" s="44" t="e">
        <f t="shared" si="20"/>
        <v>#DIV/0!</v>
      </c>
      <c r="H208" s="44" t="e">
        <f>SUM(Tableau4155[[#This Row],[Conflits]:[Autre]])</f>
        <v>#DIV/0!</v>
      </c>
      <c r="I208" s="98"/>
      <c r="J208" s="98"/>
      <c r="K208" s="98"/>
      <c r="L208" s="98"/>
      <c r="M208" s="98"/>
      <c r="N208" s="9" t="s">
        <v>48</v>
      </c>
      <c r="O208" s="44" t="e">
        <f t="shared" si="21"/>
        <v>#DIV/0!</v>
      </c>
      <c r="P208" s="44" t="e">
        <f t="shared" si="22"/>
        <v>#DIV/0!</v>
      </c>
      <c r="Q208" s="44" t="e">
        <f t="shared" si="23"/>
        <v>#DIV/0!</v>
      </c>
      <c r="R208" s="44" t="e">
        <f>SUM(Tableau4048[[#This Row],[Conflicts_ISWA]:[Other]])</f>
        <v>#DIV/0!</v>
      </c>
      <c r="S208" s="98"/>
      <c r="T208" s="99"/>
    </row>
    <row r="209" spans="2:20" x14ac:dyDescent="0.25">
      <c r="B209" s="97"/>
      <c r="C209" s="98"/>
      <c r="D209" s="9" t="s">
        <v>37</v>
      </c>
      <c r="E209" s="44">
        <f t="shared" si="18"/>
        <v>1</v>
      </c>
      <c r="F209" s="44">
        <f t="shared" si="19"/>
        <v>0</v>
      </c>
      <c r="G209" s="44">
        <f t="shared" si="20"/>
        <v>0</v>
      </c>
      <c r="H209" s="44">
        <f>SUM(Tableau4155[[#This Row],[Conflits]:[Autre]])</f>
        <v>1</v>
      </c>
      <c r="I209" s="98"/>
      <c r="J209" s="98"/>
      <c r="K209" s="98"/>
      <c r="L209" s="98"/>
      <c r="M209" s="98"/>
      <c r="N209" s="9" t="s">
        <v>37</v>
      </c>
      <c r="O209" s="44">
        <f t="shared" si="21"/>
        <v>1</v>
      </c>
      <c r="P209" s="44">
        <f t="shared" si="22"/>
        <v>0</v>
      </c>
      <c r="Q209" s="44">
        <f t="shared" si="23"/>
        <v>0</v>
      </c>
      <c r="R209" s="44">
        <f>SUM(Tableau4048[[#This Row],[Conflicts_ISWA]:[Other]])</f>
        <v>1</v>
      </c>
      <c r="S209" s="98"/>
      <c r="T209" s="99"/>
    </row>
    <row r="210" spans="2:20" x14ac:dyDescent="0.25">
      <c r="B210" s="97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9"/>
    </row>
    <row r="211" spans="2:20" x14ac:dyDescent="0.25">
      <c r="B211" s="97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9"/>
    </row>
    <row r="212" spans="2:20" x14ac:dyDescent="0.25">
      <c r="B212" s="97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9"/>
    </row>
    <row r="213" spans="2:20" x14ac:dyDescent="0.25">
      <c r="B213" s="97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9"/>
    </row>
    <row r="214" spans="2:20" x14ac:dyDescent="0.25">
      <c r="B214" s="97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9"/>
    </row>
    <row r="215" spans="2:20" x14ac:dyDescent="0.25">
      <c r="B215" s="97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9"/>
    </row>
    <row r="216" spans="2:20" x14ac:dyDescent="0.25">
      <c r="B216" s="97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9"/>
    </row>
    <row r="217" spans="2:20" x14ac:dyDescent="0.25">
      <c r="B217" s="97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9"/>
    </row>
    <row r="218" spans="2:20" x14ac:dyDescent="0.25">
      <c r="B218" s="97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9"/>
    </row>
    <row r="219" spans="2:20" x14ac:dyDescent="0.25">
      <c r="B219" s="97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9"/>
    </row>
    <row r="220" spans="2:20" x14ac:dyDescent="0.25">
      <c r="B220" s="97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9"/>
    </row>
    <row r="221" spans="2:20" x14ac:dyDescent="0.25">
      <c r="B221" s="97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9"/>
    </row>
    <row r="222" spans="2:20" x14ac:dyDescent="0.25">
      <c r="B222" s="97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9"/>
    </row>
    <row r="223" spans="2:20" x14ac:dyDescent="0.25">
      <c r="B223" s="97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9"/>
    </row>
    <row r="224" spans="2:20" x14ac:dyDescent="0.25">
      <c r="B224" s="97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9"/>
    </row>
    <row r="225" spans="2:20" x14ac:dyDescent="0.25">
      <c r="B225" s="97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9"/>
    </row>
    <row r="226" spans="2:20" x14ac:dyDescent="0.25">
      <c r="B226" s="97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9"/>
    </row>
    <row r="227" spans="2:20" x14ac:dyDescent="0.25">
      <c r="B227" s="106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8"/>
    </row>
    <row r="231" spans="2:20" x14ac:dyDescent="0.25">
      <c r="B231" s="132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10"/>
    </row>
    <row r="232" spans="2:20" x14ac:dyDescent="0.25">
      <c r="B232" s="97"/>
      <c r="C232" s="98"/>
      <c r="D232" s="209" t="s">
        <v>1959</v>
      </c>
      <c r="E232" s="98"/>
      <c r="F232" s="98"/>
      <c r="G232" s="98"/>
      <c r="H232" s="98"/>
      <c r="I232" s="98"/>
      <c r="J232" s="98"/>
      <c r="K232" s="98"/>
      <c r="L232" s="98"/>
      <c r="M232" s="98"/>
      <c r="N232" s="209" t="s">
        <v>1961</v>
      </c>
      <c r="O232" s="98"/>
      <c r="P232" s="98"/>
      <c r="Q232" s="98"/>
      <c r="R232" s="98"/>
      <c r="S232" s="98"/>
      <c r="T232" s="99"/>
    </row>
    <row r="233" spans="2:20" x14ac:dyDescent="0.25">
      <c r="B233" s="97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9"/>
    </row>
    <row r="234" spans="2:20" x14ac:dyDescent="0.25">
      <c r="B234" s="97"/>
      <c r="C234" s="98"/>
      <c r="D234" s="9" t="s">
        <v>1795</v>
      </c>
      <c r="E234" s="9" t="s">
        <v>1954</v>
      </c>
      <c r="F234" s="9" t="s">
        <v>1942</v>
      </c>
      <c r="G234" s="9" t="s">
        <v>856</v>
      </c>
      <c r="H234" s="9" t="s">
        <v>715</v>
      </c>
      <c r="I234" s="98"/>
      <c r="J234" s="98"/>
      <c r="K234" s="98"/>
      <c r="L234" s="98"/>
      <c r="M234" s="98"/>
      <c r="N234" s="9" t="s">
        <v>719</v>
      </c>
      <c r="O234" s="9" t="s">
        <v>1966</v>
      </c>
      <c r="P234" s="9" t="s">
        <v>2023</v>
      </c>
      <c r="Q234" s="9" t="s">
        <v>758</v>
      </c>
      <c r="R234" s="9" t="s">
        <v>715</v>
      </c>
      <c r="S234" s="98"/>
      <c r="T234" s="99"/>
    </row>
    <row r="235" spans="2:20" x14ac:dyDescent="0.25">
      <c r="B235" s="97"/>
      <c r="C235" s="98"/>
      <c r="D235" s="9" t="s">
        <v>24</v>
      </c>
      <c r="E235" s="33">
        <f>SUMIFS(DisplacementPeriod[ind],DisplacementPeriod[adm2_name],Tableau3979[[#This Row],[Départements]],DisplacementPeriod[raison],"Conflits EIAO",DisplacementPeriod[deplacement],"retournes")</f>
        <v>19</v>
      </c>
      <c r="F235" s="33">
        <f>SUMIFS(DisplacementPeriod[ind],DisplacementPeriod[adm2_name],Tableau3979[[#This Row],[Départements]],DisplacementPeriod[raison],"inondations et desastres naturels",DisplacementPeriod[deplacement],"retournes")</f>
        <v>0</v>
      </c>
      <c r="G235" s="33">
        <f>SUMIFS(DisplacementPeriod[ind],DisplacementPeriod[adm2_name],Tableau3979[[#This Row],[Départements]],DisplacementPeriod[raison],"autre",DisplacementPeriod[deplacement],"retournes")</f>
        <v>311</v>
      </c>
      <c r="H235" s="33">
        <f>SUM(Tableau3979[[#This Row],[Conflits]:[Autre]])</f>
        <v>330</v>
      </c>
      <c r="I235" s="98"/>
      <c r="J235" s="98"/>
      <c r="K235" s="98"/>
      <c r="L235" s="98"/>
      <c r="M235" s="98"/>
      <c r="N235" s="9" t="s">
        <v>24</v>
      </c>
      <c r="O235" s="33">
        <f>SUMIFS(DisplacementPeriod[ind],DisplacementPeriod[adm2_name],Tableau462[[#This Row],[Departments]],DisplacementPeriod[raison],"Conflits EIAO",DisplacementPeriod[deplacement],"retournes")</f>
        <v>19</v>
      </c>
      <c r="P235" s="33">
        <f>SUMIFS(DisplacementPeriod[ind],DisplacementPeriod[adm2_name],Tableau462[[#This Row],[Departments]],DisplacementPeriod[raison],"inondations et desastres naturels",DisplacementPeriod[deplacement],"retournes")</f>
        <v>0</v>
      </c>
      <c r="Q235" s="33">
        <f>SUMIFS(DisplacementPeriod[ind],DisplacementPeriod[adm2_name],Tableau462[[#This Row],[Departments]],DisplacementPeriod[raison],"autre",DisplacementPeriod[deplacement],"retournes")</f>
        <v>311</v>
      </c>
      <c r="R235" s="33">
        <f>SUM(Tableau462[[#This Row],[Conflicts]:[Other]])</f>
        <v>330</v>
      </c>
      <c r="S235" s="98"/>
      <c r="T235" s="99"/>
    </row>
    <row r="236" spans="2:20" x14ac:dyDescent="0.25">
      <c r="B236" s="97"/>
      <c r="C236" s="98"/>
      <c r="D236" s="9" t="s">
        <v>85</v>
      </c>
      <c r="E236" s="33">
        <f>SUMIFS(DisplacementPeriod[ind],DisplacementPeriod[adm2_name],Tableau3979[[#This Row],[Départements]],DisplacementPeriod[raison],"Conflits EIAO",DisplacementPeriod[deplacement],"retournes")</f>
        <v>23551</v>
      </c>
      <c r="F236" s="33">
        <f>SUMIFS(DisplacementPeriod[ind],DisplacementPeriod[adm2_name],Tableau3979[[#This Row],[Départements]],DisplacementPeriod[raison],"inondations et desastres naturels",DisplacementPeriod[deplacement],"retournes")</f>
        <v>4416</v>
      </c>
      <c r="G236" s="33">
        <f>SUMIFS(DisplacementPeriod[ind],DisplacementPeriod[adm2_name],Tableau3979[[#This Row],[Départements]],DisplacementPeriod[raison],"autre",DisplacementPeriod[deplacement],"retournes")</f>
        <v>13</v>
      </c>
      <c r="H236" s="33">
        <f>SUM(Tableau3979[[#This Row],[Conflits]:[Autre]])</f>
        <v>27980</v>
      </c>
      <c r="I236" s="98"/>
      <c r="J236" s="98"/>
      <c r="K236" s="98"/>
      <c r="L236" s="98"/>
      <c r="M236" s="98"/>
      <c r="N236" s="9" t="s">
        <v>85</v>
      </c>
      <c r="O236" s="33">
        <f>SUMIFS(DisplacementPeriod[ind],DisplacementPeriod[adm2_name],Tableau462[[#This Row],[Departments]],DisplacementPeriod[raison],"Conflits EIAO",DisplacementPeriod[deplacement],"retournes")</f>
        <v>23551</v>
      </c>
      <c r="P236" s="33">
        <f>SUMIFS(DisplacementPeriod[ind],DisplacementPeriod[adm2_name],Tableau462[[#This Row],[Departments]],DisplacementPeriod[raison],"inondations et desastres naturels",DisplacementPeriod[deplacement],"retournes")</f>
        <v>4416</v>
      </c>
      <c r="Q236" s="33">
        <f>SUMIFS(DisplacementPeriod[ind],DisplacementPeriod[adm2_name],Tableau462[[#This Row],[Departments]],DisplacementPeriod[raison],"autre",DisplacementPeriod[deplacement],"retournes")</f>
        <v>13</v>
      </c>
      <c r="R236" s="33">
        <f>SUM(Tableau462[[#This Row],[Conflicts]:[Other]])</f>
        <v>27980</v>
      </c>
      <c r="S236" s="98"/>
      <c r="T236" s="99"/>
    </row>
    <row r="237" spans="2:20" x14ac:dyDescent="0.25">
      <c r="B237" s="97"/>
      <c r="C237" s="98"/>
      <c r="D237" s="9" t="s">
        <v>184</v>
      </c>
      <c r="E237" s="33">
        <f>SUMIFS(DisplacementPeriod[ind],DisplacementPeriod[adm2_name],Tableau3979[[#This Row],[Départements]],DisplacementPeriod[raison],"Conflits EIAO",DisplacementPeriod[deplacement],"retournes")</f>
        <v>41</v>
      </c>
      <c r="F237" s="33">
        <f>SUMIFS(DisplacementPeriod[ind],DisplacementPeriod[adm2_name],Tableau3979[[#This Row],[Départements]],DisplacementPeriod[raison],"inondations et desastres naturels",DisplacementPeriod[deplacement],"retournes")</f>
        <v>6388</v>
      </c>
      <c r="G237" s="33">
        <f>SUMIFS(DisplacementPeriod[ind],DisplacementPeriod[adm2_name],Tableau3979[[#This Row],[Départements]],DisplacementPeriod[raison],"autre",DisplacementPeriod[deplacement],"retournes")</f>
        <v>0</v>
      </c>
      <c r="H237" s="33">
        <f>SUM(Tableau3979[[#This Row],[Conflits]:[Autre]])</f>
        <v>6429</v>
      </c>
      <c r="I237" s="98"/>
      <c r="J237" s="98"/>
      <c r="K237" s="98"/>
      <c r="L237" s="98"/>
      <c r="M237" s="98"/>
      <c r="N237" s="9" t="s">
        <v>184</v>
      </c>
      <c r="O237" s="33">
        <f>SUMIFS(DisplacementPeriod[ind],DisplacementPeriod[adm2_name],Tableau462[[#This Row],[Departments]],DisplacementPeriod[raison],"Conflits EIAO",DisplacementPeriod[deplacement],"retournes")</f>
        <v>41</v>
      </c>
      <c r="P237" s="33">
        <f>SUMIFS(DisplacementPeriod[ind],DisplacementPeriod[adm2_name],Tableau462[[#This Row],[Departments]],DisplacementPeriod[raison],"inondations et desastres naturels",DisplacementPeriod[deplacement],"retournes")</f>
        <v>6388</v>
      </c>
      <c r="Q237" s="33">
        <f>SUMIFS(DisplacementPeriod[ind],DisplacementPeriod[adm2_name],Tableau462[[#This Row],[Departments]],DisplacementPeriod[raison],"autre",DisplacementPeriod[deplacement],"retournes")</f>
        <v>0</v>
      </c>
      <c r="R237" s="33">
        <f>SUM(Tableau462[[#This Row],[Conflicts]:[Other]])</f>
        <v>6429</v>
      </c>
      <c r="S237" s="98"/>
      <c r="T237" s="99"/>
    </row>
    <row r="238" spans="2:20" x14ac:dyDescent="0.25">
      <c r="B238" s="97"/>
      <c r="C238" s="98"/>
      <c r="D238" s="9" t="s">
        <v>218</v>
      </c>
      <c r="E238" s="33">
        <f>SUMIFS(DisplacementPeriod[ind],DisplacementPeriod[adm2_name],Tableau3979[[#This Row],[Départements]],DisplacementPeriod[raison],"Conflits EIAO",DisplacementPeriod[deplacement],"retournes")</f>
        <v>572</v>
      </c>
      <c r="F238" s="33">
        <f>SUMIFS(DisplacementPeriod[ind],DisplacementPeriod[adm2_name],Tableau3979[[#This Row],[Départements]],DisplacementPeriod[raison],"inondations et desastres naturels",DisplacementPeriod[deplacement],"retournes")</f>
        <v>0</v>
      </c>
      <c r="G238" s="33">
        <f>SUMIFS(DisplacementPeriod[ind],DisplacementPeriod[adm2_name],Tableau3979[[#This Row],[Départements]],DisplacementPeriod[raison],"autre",DisplacementPeriod[deplacement],"retournes")</f>
        <v>95</v>
      </c>
      <c r="H238" s="33">
        <f>SUM(Tableau3979[[#This Row],[Conflits]:[Autre]])</f>
        <v>667</v>
      </c>
      <c r="I238" s="98"/>
      <c r="J238" s="98"/>
      <c r="K238" s="98"/>
      <c r="L238" s="98"/>
      <c r="M238" s="98"/>
      <c r="N238" s="9" t="s">
        <v>218</v>
      </c>
      <c r="O238" s="33">
        <f>SUMIFS(DisplacementPeriod[ind],DisplacementPeriod[adm2_name],Tableau462[[#This Row],[Departments]],DisplacementPeriod[raison],"Conflits EIAO",DisplacementPeriod[deplacement],"retournes")</f>
        <v>572</v>
      </c>
      <c r="P238" s="33">
        <f>SUMIFS(DisplacementPeriod[ind],DisplacementPeriod[adm2_name],Tableau462[[#This Row],[Departments]],DisplacementPeriod[raison],"inondations et desastres naturels",DisplacementPeriod[deplacement],"retournes")</f>
        <v>0</v>
      </c>
      <c r="Q238" s="33">
        <f>SUMIFS(DisplacementPeriod[ind],DisplacementPeriod[adm2_name],Tableau462[[#This Row],[Departments]],DisplacementPeriod[raison],"autre",DisplacementPeriod[deplacement],"retournes")</f>
        <v>95</v>
      </c>
      <c r="R238" s="33">
        <f>SUM(Tableau462[[#This Row],[Conflicts]:[Other]])</f>
        <v>667</v>
      </c>
      <c r="S238" s="98"/>
      <c r="T238" s="99"/>
    </row>
    <row r="239" spans="2:20" x14ac:dyDescent="0.25">
      <c r="B239" s="97"/>
      <c r="C239" s="98"/>
      <c r="D239" s="9" t="s">
        <v>48</v>
      </c>
      <c r="E239" s="33">
        <f>SUMIFS(DisplacementPeriod[ind],DisplacementPeriod[adm2_name],Tableau3979[[#This Row],[Départements]],DisplacementPeriod[raison],"Conflits EIAO",DisplacementPeriod[deplacement],"retournes")</f>
        <v>17128</v>
      </c>
      <c r="F239" s="33">
        <f>SUMIFS(DisplacementPeriod[ind],DisplacementPeriod[adm2_name],Tableau3979[[#This Row],[Départements]],DisplacementPeriod[raison],"inondations et desastres naturels",DisplacementPeriod[deplacement],"retournes")</f>
        <v>0</v>
      </c>
      <c r="G239" s="33">
        <f>SUMIFS(DisplacementPeriod[ind],DisplacementPeriod[adm2_name],Tableau3979[[#This Row],[Départements]],DisplacementPeriod[raison],"autre",DisplacementPeriod[deplacement],"retournes")</f>
        <v>0</v>
      </c>
      <c r="H239" s="33">
        <f>SUM(Tableau3979[[#This Row],[Conflits]:[Autre]])</f>
        <v>17128</v>
      </c>
      <c r="I239" s="98"/>
      <c r="J239" s="98"/>
      <c r="K239" s="98"/>
      <c r="L239" s="98"/>
      <c r="M239" s="98"/>
      <c r="N239" s="9" t="s">
        <v>48</v>
      </c>
      <c r="O239" s="33">
        <f>SUMIFS(DisplacementPeriod[ind],DisplacementPeriod[adm2_name],Tableau462[[#This Row],[Departments]],DisplacementPeriod[raison],"Conflits EIAO",DisplacementPeriod[deplacement],"retournes")</f>
        <v>17128</v>
      </c>
      <c r="P239" s="33">
        <f>SUMIFS(DisplacementPeriod[ind],DisplacementPeriod[adm2_name],Tableau462[[#This Row],[Departments]],DisplacementPeriod[raison],"inondations et desastres naturels",DisplacementPeriod[deplacement],"retournes")</f>
        <v>0</v>
      </c>
      <c r="Q239" s="33">
        <f>SUMIFS(DisplacementPeriod[ind],DisplacementPeriod[adm2_name],Tableau462[[#This Row],[Departments]],DisplacementPeriod[raison],"autre",DisplacementPeriod[deplacement],"retournes")</f>
        <v>0</v>
      </c>
      <c r="R239" s="33">
        <f>SUM(Tableau462[[#This Row],[Conflicts]:[Other]])</f>
        <v>17128</v>
      </c>
      <c r="S239" s="98"/>
      <c r="T239" s="99"/>
    </row>
    <row r="240" spans="2:20" x14ac:dyDescent="0.25">
      <c r="B240" s="97"/>
      <c r="C240" s="98"/>
      <c r="D240" s="9" t="s">
        <v>37</v>
      </c>
      <c r="E240" s="33">
        <f>SUMIFS(DisplacementPeriod[ind],DisplacementPeriod[adm2_name],Tableau3979[[#This Row],[Départements]],DisplacementPeriod[raison],"Conflits EIAO",DisplacementPeriod[deplacement],"retournes")</f>
        <v>17086</v>
      </c>
      <c r="F240" s="33">
        <f>SUMIFS(DisplacementPeriod[ind],DisplacementPeriod[adm2_name],Tableau3979[[#This Row],[Départements]],DisplacementPeriod[raison],"inondations et desastres naturels",DisplacementPeriod[deplacement],"retournes")</f>
        <v>75</v>
      </c>
      <c r="G240" s="33">
        <f>SUMIFS(DisplacementPeriod[ind],DisplacementPeriod[adm2_name],Tableau3979[[#This Row],[Départements]],DisplacementPeriod[raison],"autre",DisplacementPeriod[deplacement],"retournes")</f>
        <v>35</v>
      </c>
      <c r="H240" s="33">
        <f>SUM(Tableau3979[[#This Row],[Conflits]:[Autre]])</f>
        <v>17196</v>
      </c>
      <c r="I240" s="98"/>
      <c r="J240" s="98"/>
      <c r="K240" s="98"/>
      <c r="L240" s="98"/>
      <c r="M240" s="98"/>
      <c r="N240" s="9" t="s">
        <v>37</v>
      </c>
      <c r="O240" s="33">
        <f>SUMIFS(DisplacementPeriod[ind],DisplacementPeriod[adm2_name],Tableau462[[#This Row],[Departments]],DisplacementPeriod[raison],"Conflits EIAO",DisplacementPeriod[deplacement],"retournes")</f>
        <v>17086</v>
      </c>
      <c r="P240" s="33">
        <f>SUMIFS(DisplacementPeriod[ind],DisplacementPeriod[adm2_name],Tableau462[[#This Row],[Departments]],DisplacementPeriod[raison],"inondations et desastres naturels",DisplacementPeriod[deplacement],"retournes")</f>
        <v>75</v>
      </c>
      <c r="Q240" s="33">
        <f>SUMIFS(DisplacementPeriod[ind],DisplacementPeriod[adm2_name],Tableau462[[#This Row],[Departments]],DisplacementPeriod[raison],"autre",DisplacementPeriod[deplacement],"retournes")</f>
        <v>35</v>
      </c>
      <c r="R240" s="33">
        <f>SUM(Tableau462[[#This Row],[Conflicts]:[Other]])</f>
        <v>17196</v>
      </c>
      <c r="S240" s="98"/>
      <c r="T240" s="99"/>
    </row>
    <row r="241" spans="2:20" x14ac:dyDescent="0.25">
      <c r="B241" s="97"/>
      <c r="C241" s="98"/>
      <c r="D241" s="9"/>
      <c r="E241" s="33">
        <f>SUM(E235:E240)</f>
        <v>58397</v>
      </c>
      <c r="F241" s="33">
        <f>SUM(F235:F240)</f>
        <v>10879</v>
      </c>
      <c r="G241" s="33">
        <f>SUM(G235:G240)</f>
        <v>454</v>
      </c>
      <c r="H241" s="33">
        <f>SUBTOTAL(109,Tableau3979[Total])</f>
        <v>69730</v>
      </c>
      <c r="I241" s="98"/>
      <c r="J241" s="98"/>
      <c r="K241" s="98"/>
      <c r="L241" s="98"/>
      <c r="M241" s="98"/>
      <c r="N241" s="9"/>
      <c r="O241" s="33">
        <f>SUM(O235:O240)</f>
        <v>58397</v>
      </c>
      <c r="P241" s="33">
        <f>SUM(P235:P240)</f>
        <v>10879</v>
      </c>
      <c r="Q241" s="33">
        <f>SUM(Q235:Q240)</f>
        <v>454</v>
      </c>
      <c r="R241" s="33">
        <f>SUBTOTAL(109,Tableau462[Total])</f>
        <v>69730</v>
      </c>
      <c r="S241" s="98"/>
      <c r="T241" s="99"/>
    </row>
    <row r="242" spans="2:20" x14ac:dyDescent="0.25">
      <c r="B242" s="97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9"/>
    </row>
    <row r="243" spans="2:20" x14ac:dyDescent="0.25">
      <c r="B243" s="97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9"/>
    </row>
    <row r="244" spans="2:20" x14ac:dyDescent="0.25">
      <c r="B244" s="97"/>
      <c r="C244" s="98"/>
      <c r="D244" s="209" t="s">
        <v>1960</v>
      </c>
      <c r="E244" s="98"/>
      <c r="F244" s="98"/>
      <c r="G244" s="98"/>
      <c r="H244" s="98"/>
      <c r="I244" s="98"/>
      <c r="J244" s="98"/>
      <c r="K244" s="98"/>
      <c r="L244" s="98"/>
      <c r="M244" s="98"/>
      <c r="N244" s="209" t="s">
        <v>1962</v>
      </c>
      <c r="O244" s="98"/>
      <c r="P244" s="98"/>
      <c r="Q244" s="98"/>
      <c r="R244" s="98"/>
      <c r="S244" s="98"/>
      <c r="T244" s="99"/>
    </row>
    <row r="245" spans="2:20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9"/>
    </row>
    <row r="246" spans="2:20" x14ac:dyDescent="0.25">
      <c r="B246" s="97"/>
      <c r="C246" s="98"/>
      <c r="D246" s="9" t="s">
        <v>1795</v>
      </c>
      <c r="E246" s="9" t="s">
        <v>1954</v>
      </c>
      <c r="F246" s="9" t="s">
        <v>1942</v>
      </c>
      <c r="G246" s="9" t="s">
        <v>856</v>
      </c>
      <c r="H246" s="9" t="s">
        <v>715</v>
      </c>
      <c r="I246" s="98"/>
      <c r="J246" s="98"/>
      <c r="K246" s="98"/>
      <c r="L246" s="98"/>
      <c r="M246" s="98"/>
      <c r="N246" s="9" t="s">
        <v>719</v>
      </c>
      <c r="O246" s="9" t="s">
        <v>1966</v>
      </c>
      <c r="P246" s="9" t="s">
        <v>2023</v>
      </c>
      <c r="Q246" s="9" t="s">
        <v>758</v>
      </c>
      <c r="R246" s="9" t="s">
        <v>715</v>
      </c>
      <c r="S246" s="98"/>
      <c r="T246" s="99"/>
    </row>
    <row r="247" spans="2:20" x14ac:dyDescent="0.25">
      <c r="B247" s="97"/>
      <c r="C247" s="98"/>
      <c r="D247" s="9" t="s">
        <v>24</v>
      </c>
      <c r="E247" s="44">
        <f t="shared" ref="E247:E252" si="24">E235/H235</f>
        <v>5.7575757575757579E-2</v>
      </c>
      <c r="F247" s="44">
        <f t="shared" ref="F247:F252" si="25">F235/H235</f>
        <v>0</v>
      </c>
      <c r="G247" s="44">
        <f t="shared" ref="G247:G252" si="26">G235/H235</f>
        <v>0.94242424242424239</v>
      </c>
      <c r="H247" s="44">
        <f>SUM(Tableau4192[[#This Row],[Conflits]:[Autre]])</f>
        <v>1</v>
      </c>
      <c r="I247" s="98"/>
      <c r="J247" s="98"/>
      <c r="K247" s="98"/>
      <c r="L247" s="98"/>
      <c r="M247" s="98"/>
      <c r="N247" s="9" t="s">
        <v>24</v>
      </c>
      <c r="O247" s="44">
        <f t="shared" ref="O247:O252" si="27">O235/R235</f>
        <v>5.7575757575757579E-2</v>
      </c>
      <c r="P247" s="44">
        <f t="shared" ref="P247:P252" si="28">P235/R235</f>
        <v>0</v>
      </c>
      <c r="Q247" s="44">
        <f t="shared" ref="Q247:Q252" si="29">Q235/R235</f>
        <v>0.94242424242424239</v>
      </c>
      <c r="R247" s="44">
        <f>SUM(Tableau4091[[#This Row],[Conflicts]:[Other]])</f>
        <v>1</v>
      </c>
      <c r="S247" s="98"/>
      <c r="T247" s="99"/>
    </row>
    <row r="248" spans="2:20" x14ac:dyDescent="0.25">
      <c r="B248" s="97"/>
      <c r="C248" s="98"/>
      <c r="D248" s="9" t="s">
        <v>85</v>
      </c>
      <c r="E248" s="44">
        <f t="shared" si="24"/>
        <v>0.84170836311651176</v>
      </c>
      <c r="F248" s="44">
        <f t="shared" si="25"/>
        <v>0.15782701929949963</v>
      </c>
      <c r="G248" s="44">
        <f t="shared" si="26"/>
        <v>4.6461758398856325E-4</v>
      </c>
      <c r="H248" s="44">
        <f>SUM(Tableau4192[[#This Row],[Conflits]:[Autre]])</f>
        <v>0.99999999999999989</v>
      </c>
      <c r="I248" s="98"/>
      <c r="J248" s="98"/>
      <c r="K248" s="98"/>
      <c r="L248" s="98"/>
      <c r="M248" s="98"/>
      <c r="N248" s="9" t="s">
        <v>85</v>
      </c>
      <c r="O248" s="44">
        <f t="shared" si="27"/>
        <v>0.84170836311651176</v>
      </c>
      <c r="P248" s="44">
        <f t="shared" si="28"/>
        <v>0.15782701929949963</v>
      </c>
      <c r="Q248" s="44">
        <f t="shared" si="29"/>
        <v>4.6461758398856325E-4</v>
      </c>
      <c r="R248" s="44">
        <f>SUM(Tableau4091[[#This Row],[Conflicts]:[Other]])</f>
        <v>0.99999999999999989</v>
      </c>
      <c r="S248" s="98"/>
      <c r="T248" s="99"/>
    </row>
    <row r="249" spans="2:20" x14ac:dyDescent="0.25">
      <c r="B249" s="97"/>
      <c r="C249" s="98"/>
      <c r="D249" s="9" t="s">
        <v>184</v>
      </c>
      <c r="E249" s="44">
        <f t="shared" si="24"/>
        <v>6.3773526209363824E-3</v>
      </c>
      <c r="F249" s="44">
        <f t="shared" si="25"/>
        <v>0.99362264737906358</v>
      </c>
      <c r="G249" s="44">
        <f t="shared" si="26"/>
        <v>0</v>
      </c>
      <c r="H249" s="44">
        <f>SUM(Tableau4192[[#This Row],[Conflits]:[Autre]])</f>
        <v>1</v>
      </c>
      <c r="I249" s="98"/>
      <c r="J249" s="98"/>
      <c r="K249" s="98"/>
      <c r="L249" s="98"/>
      <c r="M249" s="98"/>
      <c r="N249" s="9" t="s">
        <v>184</v>
      </c>
      <c r="O249" s="44">
        <f t="shared" si="27"/>
        <v>6.3773526209363824E-3</v>
      </c>
      <c r="P249" s="44">
        <f t="shared" si="28"/>
        <v>0.99362264737906358</v>
      </c>
      <c r="Q249" s="44">
        <f t="shared" si="29"/>
        <v>0</v>
      </c>
      <c r="R249" s="44">
        <f>SUM(Tableau4091[[#This Row],[Conflicts]:[Other]])</f>
        <v>1</v>
      </c>
      <c r="S249" s="98"/>
      <c r="T249" s="99"/>
    </row>
    <row r="250" spans="2:20" x14ac:dyDescent="0.25">
      <c r="B250" s="97"/>
      <c r="C250" s="98"/>
      <c r="D250" s="9" t="s">
        <v>218</v>
      </c>
      <c r="E250" s="44">
        <f t="shared" si="24"/>
        <v>0.85757121439280359</v>
      </c>
      <c r="F250" s="44">
        <f t="shared" si="25"/>
        <v>0</v>
      </c>
      <c r="G250" s="44">
        <f t="shared" si="26"/>
        <v>0.14242878560719641</v>
      </c>
      <c r="H250" s="44">
        <f>SUM(Tableau4192[[#This Row],[Conflits]:[Autre]])</f>
        <v>1</v>
      </c>
      <c r="I250" s="98"/>
      <c r="J250" s="98"/>
      <c r="K250" s="98"/>
      <c r="L250" s="98"/>
      <c r="M250" s="98"/>
      <c r="N250" s="9" t="s">
        <v>218</v>
      </c>
      <c r="O250" s="44">
        <f t="shared" si="27"/>
        <v>0.85757121439280359</v>
      </c>
      <c r="P250" s="44">
        <f t="shared" si="28"/>
        <v>0</v>
      </c>
      <c r="Q250" s="44">
        <f t="shared" si="29"/>
        <v>0.14242878560719641</v>
      </c>
      <c r="R250" s="44">
        <f>SUM(Tableau4091[[#This Row],[Conflicts]:[Other]])</f>
        <v>1</v>
      </c>
      <c r="S250" s="98"/>
      <c r="T250" s="99"/>
    </row>
    <row r="251" spans="2:20" x14ac:dyDescent="0.25">
      <c r="B251" s="97"/>
      <c r="C251" s="98"/>
      <c r="D251" s="9" t="s">
        <v>48</v>
      </c>
      <c r="E251" s="44">
        <f t="shared" si="24"/>
        <v>1</v>
      </c>
      <c r="F251" s="44">
        <f t="shared" si="25"/>
        <v>0</v>
      </c>
      <c r="G251" s="44">
        <f t="shared" si="26"/>
        <v>0</v>
      </c>
      <c r="H251" s="44">
        <f>SUM(Tableau4192[[#This Row],[Conflits]:[Autre]])</f>
        <v>1</v>
      </c>
      <c r="I251" s="98"/>
      <c r="J251" s="98"/>
      <c r="K251" s="98"/>
      <c r="L251" s="98"/>
      <c r="M251" s="98"/>
      <c r="N251" s="9" t="s">
        <v>48</v>
      </c>
      <c r="O251" s="44">
        <f t="shared" si="27"/>
        <v>1</v>
      </c>
      <c r="P251" s="44">
        <f t="shared" si="28"/>
        <v>0</v>
      </c>
      <c r="Q251" s="44">
        <f t="shared" si="29"/>
        <v>0</v>
      </c>
      <c r="R251" s="44">
        <f>SUM(Tableau4091[[#This Row],[Conflicts]:[Other]])</f>
        <v>1</v>
      </c>
      <c r="S251" s="98"/>
      <c r="T251" s="99"/>
    </row>
    <row r="252" spans="2:20" x14ac:dyDescent="0.25">
      <c r="B252" s="97"/>
      <c r="C252" s="98"/>
      <c r="D252" s="9" t="s">
        <v>37</v>
      </c>
      <c r="E252" s="44">
        <f t="shared" si="24"/>
        <v>0.99360316352640143</v>
      </c>
      <c r="F252" s="44">
        <f t="shared" si="25"/>
        <v>4.3614794138171669E-3</v>
      </c>
      <c r="G252" s="44">
        <f t="shared" si="26"/>
        <v>2.0353570597813446E-3</v>
      </c>
      <c r="H252" s="44">
        <f>SUM(Tableau4192[[#This Row],[Conflits]:[Autre]])</f>
        <v>0.99999999999999989</v>
      </c>
      <c r="I252" s="98"/>
      <c r="J252" s="98"/>
      <c r="K252" s="98"/>
      <c r="L252" s="98"/>
      <c r="M252" s="98"/>
      <c r="N252" s="9" t="s">
        <v>37</v>
      </c>
      <c r="O252" s="44">
        <f t="shared" si="27"/>
        <v>0.99360316352640143</v>
      </c>
      <c r="P252" s="44">
        <f t="shared" si="28"/>
        <v>4.3614794138171669E-3</v>
      </c>
      <c r="Q252" s="44">
        <f t="shared" si="29"/>
        <v>2.0353570597813446E-3</v>
      </c>
      <c r="R252" s="44">
        <f>SUM(Tableau4091[[#This Row],[Conflicts]:[Other]])</f>
        <v>0.99999999999999989</v>
      </c>
      <c r="S252" s="98"/>
      <c r="T252" s="99"/>
    </row>
    <row r="253" spans="2:20" x14ac:dyDescent="0.25">
      <c r="B253" s="97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9"/>
    </row>
    <row r="254" spans="2:20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9"/>
    </row>
    <row r="255" spans="2:20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9"/>
    </row>
    <row r="256" spans="2:20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9"/>
    </row>
    <row r="257" spans="2:20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9"/>
    </row>
    <row r="258" spans="2:20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9"/>
    </row>
    <row r="259" spans="2:20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9"/>
    </row>
    <row r="260" spans="2:20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9"/>
    </row>
    <row r="261" spans="2:20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9"/>
    </row>
    <row r="262" spans="2:20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9"/>
    </row>
    <row r="263" spans="2:20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9"/>
    </row>
    <row r="264" spans="2:20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9"/>
    </row>
    <row r="265" spans="2:20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9"/>
    </row>
    <row r="266" spans="2:20" x14ac:dyDescent="0.25">
      <c r="B266" s="97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9"/>
    </row>
    <row r="267" spans="2:20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9"/>
    </row>
    <row r="268" spans="2:20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9"/>
    </row>
    <row r="269" spans="2:20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9"/>
    </row>
    <row r="270" spans="2:20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9"/>
    </row>
    <row r="271" spans="2:20" x14ac:dyDescent="0.25">
      <c r="B271" s="106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8"/>
    </row>
  </sheetData>
  <mergeCells count="4">
    <mergeCell ref="B60:J60"/>
    <mergeCell ref="L60:T60"/>
    <mergeCell ref="L2:T2"/>
    <mergeCell ref="B2:J2"/>
  </mergeCells>
  <pageMargins left="0.7" right="0.7" top="0.75" bottom="0.75" header="0.3" footer="0.3"/>
  <pageSetup paperSize="9" orientation="portrait" r:id="rId3"/>
  <drawing r:id="rId4"/>
  <tableParts count="22"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K748"/>
  <sheetViews>
    <sheetView topLeftCell="B1" zoomScale="70" zoomScaleNormal="70" workbookViewId="0">
      <selection activeCell="I26" sqref="I26"/>
    </sheetView>
  </sheetViews>
  <sheetFormatPr defaultColWidth="11.42578125" defaultRowHeight="15" x14ac:dyDescent="0.25"/>
  <cols>
    <col min="1" max="1" width="6.42578125" style="96" bestFit="1" customWidth="1"/>
    <col min="2" max="2" width="18.7109375" style="96" bestFit="1" customWidth="1"/>
    <col min="3" max="3" width="18.140625" style="96" bestFit="1" customWidth="1"/>
    <col min="4" max="4" width="19.140625" style="96" bestFit="1" customWidth="1"/>
    <col min="5" max="5" width="18.5703125" style="96" bestFit="1" customWidth="1"/>
    <col min="6" max="6" width="19.140625" style="96" bestFit="1" customWidth="1"/>
    <col min="7" max="7" width="18.5703125" style="96" bestFit="1" customWidth="1"/>
    <col min="8" max="8" width="20.140625" style="96" bestFit="1" customWidth="1"/>
    <col min="9" max="9" width="27.85546875" style="96" customWidth="1"/>
    <col min="10" max="10" width="15.85546875" style="96" bestFit="1" customWidth="1"/>
    <col min="11" max="11" width="13.85546875" style="96" bestFit="1" customWidth="1"/>
    <col min="12" max="12" width="15" style="96" bestFit="1" customWidth="1"/>
    <col min="13" max="13" width="14.85546875" style="96" bestFit="1" customWidth="1"/>
    <col min="14" max="14" width="37.42578125" style="96" bestFit="1" customWidth="1"/>
    <col min="15" max="15" width="37.28515625" style="96" bestFit="1" customWidth="1"/>
    <col min="16" max="16" width="21.7109375" style="96" bestFit="1" customWidth="1"/>
    <col min="17" max="17" width="21.5703125" style="96" bestFit="1" customWidth="1"/>
    <col min="18" max="18" width="9.7109375" style="96" bestFit="1" customWidth="1"/>
    <col min="19" max="22" width="9.42578125" style="96" customWidth="1"/>
    <col min="23" max="23" width="14.28515625" style="96" customWidth="1"/>
    <col min="24" max="31" width="9.42578125" style="96" customWidth="1"/>
    <col min="32" max="37" width="10.42578125" style="96" customWidth="1"/>
    <col min="38" max="38" width="11.85546875" style="96" customWidth="1"/>
    <col min="39" max="39" width="15.140625" style="96" bestFit="1" customWidth="1"/>
    <col min="40" max="40" width="14" style="96" bestFit="1" customWidth="1"/>
    <col min="41" max="41" width="14.7109375" style="96" bestFit="1" customWidth="1"/>
    <col min="42" max="42" width="14" style="96" bestFit="1" customWidth="1"/>
    <col min="43" max="43" width="20.5703125" style="96" bestFit="1" customWidth="1"/>
    <col min="44" max="45" width="16.7109375" style="96" bestFit="1" customWidth="1"/>
    <col min="46" max="46" width="10" style="96" bestFit="1" customWidth="1"/>
    <col min="47" max="47" width="9.42578125" style="96" bestFit="1" customWidth="1"/>
    <col min="48" max="48" width="9.7109375" style="96" bestFit="1" customWidth="1"/>
    <col min="49" max="49" width="9.140625" style="96" bestFit="1" customWidth="1"/>
    <col min="50" max="50" width="9.7109375" style="96" bestFit="1" customWidth="1"/>
    <col min="51" max="51" width="9.140625" style="96" bestFit="1" customWidth="1"/>
    <col min="52" max="16384" width="11.42578125" style="96"/>
  </cols>
  <sheetData>
    <row r="1" spans="1:37" x14ac:dyDescent="0.25">
      <c r="A1" s="217" t="s">
        <v>712</v>
      </c>
      <c r="B1" s="217" t="s">
        <v>687</v>
      </c>
      <c r="C1" s="217" t="s">
        <v>1725</v>
      </c>
      <c r="D1" s="217" t="s">
        <v>688</v>
      </c>
      <c r="E1" s="217" t="s">
        <v>1726</v>
      </c>
      <c r="F1" s="217" t="s">
        <v>689</v>
      </c>
      <c r="G1" s="217" t="s">
        <v>1727</v>
      </c>
      <c r="H1" s="217" t="s">
        <v>1728</v>
      </c>
      <c r="I1" s="217" t="s">
        <v>690</v>
      </c>
      <c r="J1" s="217" t="s">
        <v>1729</v>
      </c>
      <c r="K1" s="217" t="s">
        <v>1730</v>
      </c>
      <c r="L1" s="217" t="s">
        <v>1731</v>
      </c>
      <c r="M1" s="217" t="s">
        <v>1732</v>
      </c>
      <c r="N1" s="217" t="s">
        <v>1733</v>
      </c>
      <c r="O1" s="217" t="s">
        <v>1734</v>
      </c>
      <c r="P1" s="217" t="s">
        <v>1735</v>
      </c>
      <c r="Q1" s="217" t="s">
        <v>1736</v>
      </c>
      <c r="R1" s="217" t="s">
        <v>1841</v>
      </c>
    </row>
    <row r="2" spans="1:37" x14ac:dyDescent="0.25">
      <c r="A2" s="217">
        <v>1</v>
      </c>
      <c r="B2" s="217" t="s">
        <v>22</v>
      </c>
      <c r="C2" s="217" t="s">
        <v>23</v>
      </c>
      <c r="D2" s="217" t="s">
        <v>24</v>
      </c>
      <c r="E2" s="217" t="s">
        <v>25</v>
      </c>
      <c r="F2" s="217" t="s">
        <v>656</v>
      </c>
      <c r="G2" s="217" t="s">
        <v>657</v>
      </c>
      <c r="H2" s="217" t="s">
        <v>1553</v>
      </c>
      <c r="I2" s="217" t="s">
        <v>658</v>
      </c>
      <c r="J2" s="217" t="s">
        <v>2198</v>
      </c>
      <c r="K2" s="217" t="s">
        <v>2199</v>
      </c>
      <c r="L2" s="217">
        <v>0</v>
      </c>
      <c r="M2" s="217">
        <v>0</v>
      </c>
      <c r="N2" s="217">
        <v>0</v>
      </c>
      <c r="O2" s="217">
        <v>0</v>
      </c>
      <c r="P2" s="217">
        <v>22</v>
      </c>
      <c r="Q2" s="217">
        <v>1</v>
      </c>
      <c r="R2" s="217" t="s">
        <v>1807</v>
      </c>
    </row>
    <row r="3" spans="1:37" x14ac:dyDescent="0.25">
      <c r="A3" s="217">
        <v>2</v>
      </c>
      <c r="B3" s="217" t="s">
        <v>22</v>
      </c>
      <c r="C3" s="217" t="s">
        <v>23</v>
      </c>
      <c r="D3" s="217" t="s">
        <v>24</v>
      </c>
      <c r="E3" s="217" t="s">
        <v>25</v>
      </c>
      <c r="F3" s="217" t="s">
        <v>656</v>
      </c>
      <c r="G3" s="217" t="s">
        <v>657</v>
      </c>
      <c r="H3" s="217" t="s">
        <v>1554</v>
      </c>
      <c r="I3" s="217" t="s">
        <v>661</v>
      </c>
      <c r="J3" s="217" t="s">
        <v>2200</v>
      </c>
      <c r="K3" s="217" t="s">
        <v>2201</v>
      </c>
      <c r="L3" s="217">
        <v>0</v>
      </c>
      <c r="M3" s="217">
        <v>0</v>
      </c>
      <c r="N3" s="217">
        <v>0</v>
      </c>
      <c r="O3" s="217">
        <v>0</v>
      </c>
      <c r="P3" s="217">
        <v>45</v>
      </c>
      <c r="Q3" s="217">
        <v>3</v>
      </c>
      <c r="R3" s="217" t="s">
        <v>1807</v>
      </c>
    </row>
    <row r="4" spans="1:37" x14ac:dyDescent="0.25">
      <c r="A4" s="217">
        <v>3</v>
      </c>
      <c r="B4" s="217" t="s">
        <v>22</v>
      </c>
      <c r="C4" s="217" t="s">
        <v>23</v>
      </c>
      <c r="D4" s="217" t="s">
        <v>24</v>
      </c>
      <c r="E4" s="217" t="s">
        <v>25</v>
      </c>
      <c r="F4" s="217" t="s">
        <v>656</v>
      </c>
      <c r="G4" s="217" t="s">
        <v>657</v>
      </c>
      <c r="H4" s="217" t="s">
        <v>1555</v>
      </c>
      <c r="I4" s="217" t="s">
        <v>662</v>
      </c>
      <c r="J4" s="217" t="s">
        <v>2202</v>
      </c>
      <c r="K4" s="217" t="s">
        <v>2203</v>
      </c>
      <c r="L4" s="217">
        <v>0</v>
      </c>
      <c r="M4" s="217">
        <v>0</v>
      </c>
      <c r="N4" s="217">
        <v>0</v>
      </c>
      <c r="O4" s="217">
        <v>0</v>
      </c>
      <c r="P4" s="217">
        <v>136</v>
      </c>
      <c r="Q4" s="217">
        <v>12</v>
      </c>
      <c r="R4" s="217" t="s">
        <v>1807</v>
      </c>
    </row>
    <row r="5" spans="1:37" x14ac:dyDescent="0.25">
      <c r="A5" s="217">
        <v>4</v>
      </c>
      <c r="B5" s="217" t="s">
        <v>22</v>
      </c>
      <c r="C5" s="217" t="s">
        <v>23</v>
      </c>
      <c r="D5" s="217" t="s">
        <v>24</v>
      </c>
      <c r="E5" s="217" t="s">
        <v>25</v>
      </c>
      <c r="F5" s="217" t="s">
        <v>656</v>
      </c>
      <c r="G5" s="217" t="s">
        <v>657</v>
      </c>
      <c r="H5" s="217" t="s">
        <v>1556</v>
      </c>
      <c r="I5" s="217" t="s">
        <v>663</v>
      </c>
      <c r="J5" s="217" t="s">
        <v>2204</v>
      </c>
      <c r="K5" s="217" t="s">
        <v>2205</v>
      </c>
      <c r="L5" s="217">
        <v>0</v>
      </c>
      <c r="M5" s="217">
        <v>0</v>
      </c>
      <c r="N5" s="217">
        <v>0</v>
      </c>
      <c r="O5" s="217">
        <v>0</v>
      </c>
      <c r="P5" s="217">
        <v>17</v>
      </c>
      <c r="Q5" s="217">
        <v>1</v>
      </c>
      <c r="R5" s="217" t="s">
        <v>1807</v>
      </c>
      <c r="AF5" s="216"/>
      <c r="AG5" s="216"/>
      <c r="AH5" s="216"/>
      <c r="AI5" s="216"/>
      <c r="AJ5" s="216"/>
      <c r="AK5" s="216"/>
    </row>
    <row r="6" spans="1:37" x14ac:dyDescent="0.25">
      <c r="A6" s="217">
        <v>5</v>
      </c>
      <c r="B6" s="217" t="s">
        <v>22</v>
      </c>
      <c r="C6" s="217" t="s">
        <v>23</v>
      </c>
      <c r="D6" s="217" t="s">
        <v>24</v>
      </c>
      <c r="E6" s="217" t="s">
        <v>25</v>
      </c>
      <c r="F6" s="217" t="s">
        <v>656</v>
      </c>
      <c r="G6" s="217" t="s">
        <v>657</v>
      </c>
      <c r="H6" s="217" t="s">
        <v>1557</v>
      </c>
      <c r="I6" s="217" t="s">
        <v>664</v>
      </c>
      <c r="J6" s="217" t="s">
        <v>2206</v>
      </c>
      <c r="K6" s="217" t="s">
        <v>2207</v>
      </c>
      <c r="L6" s="217">
        <v>0</v>
      </c>
      <c r="M6" s="217">
        <v>0</v>
      </c>
      <c r="N6" s="217">
        <v>0</v>
      </c>
      <c r="O6" s="217">
        <v>0</v>
      </c>
      <c r="P6" s="217">
        <v>91</v>
      </c>
      <c r="Q6" s="217">
        <v>6</v>
      </c>
      <c r="R6" s="217" t="s">
        <v>1807</v>
      </c>
    </row>
    <row r="7" spans="1:37" x14ac:dyDescent="0.25">
      <c r="A7" s="217">
        <v>6</v>
      </c>
      <c r="B7" s="217" t="s">
        <v>22</v>
      </c>
      <c r="C7" s="217" t="s">
        <v>23</v>
      </c>
      <c r="D7" s="217" t="s">
        <v>24</v>
      </c>
      <c r="E7" s="217" t="s">
        <v>25</v>
      </c>
      <c r="F7" s="217" t="s">
        <v>26</v>
      </c>
      <c r="G7" s="217" t="s">
        <v>27</v>
      </c>
      <c r="H7" s="217" t="s">
        <v>866</v>
      </c>
      <c r="I7" s="217" t="s">
        <v>28</v>
      </c>
      <c r="J7" s="217" t="s">
        <v>2208</v>
      </c>
      <c r="K7" s="217" t="s">
        <v>2209</v>
      </c>
      <c r="L7" s="217">
        <v>16</v>
      </c>
      <c r="M7" s="217">
        <v>3</v>
      </c>
      <c r="N7" s="217">
        <v>0</v>
      </c>
      <c r="O7" s="217">
        <v>0</v>
      </c>
      <c r="P7" s="217">
        <v>0</v>
      </c>
      <c r="Q7" s="217">
        <v>0</v>
      </c>
      <c r="R7" s="217" t="s">
        <v>1807</v>
      </c>
    </row>
    <row r="8" spans="1:37" x14ac:dyDescent="0.25">
      <c r="A8" s="217">
        <v>7</v>
      </c>
      <c r="B8" s="217" t="s">
        <v>22</v>
      </c>
      <c r="C8" s="217" t="s">
        <v>23</v>
      </c>
      <c r="D8" s="217" t="s">
        <v>24</v>
      </c>
      <c r="E8" s="217" t="s">
        <v>25</v>
      </c>
      <c r="F8" s="217" t="s">
        <v>26</v>
      </c>
      <c r="G8" s="217" t="s">
        <v>27</v>
      </c>
      <c r="H8" s="217" t="s">
        <v>867</v>
      </c>
      <c r="I8" s="217" t="s">
        <v>38</v>
      </c>
      <c r="J8" s="217" t="s">
        <v>2210</v>
      </c>
      <c r="K8" s="217" t="s">
        <v>2211</v>
      </c>
      <c r="L8" s="217">
        <v>10</v>
      </c>
      <c r="M8" s="217">
        <v>3</v>
      </c>
      <c r="N8" s="217">
        <v>0</v>
      </c>
      <c r="O8" s="217">
        <v>0</v>
      </c>
      <c r="P8" s="217">
        <v>0</v>
      </c>
      <c r="Q8" s="217">
        <v>0</v>
      </c>
      <c r="R8" s="217" t="s">
        <v>1807</v>
      </c>
    </row>
    <row r="9" spans="1:37" x14ac:dyDescent="0.25">
      <c r="A9" s="217">
        <v>8</v>
      </c>
      <c r="B9" s="217" t="s">
        <v>22</v>
      </c>
      <c r="C9" s="217" t="s">
        <v>23</v>
      </c>
      <c r="D9" s="217" t="s">
        <v>24</v>
      </c>
      <c r="E9" s="217" t="s">
        <v>25</v>
      </c>
      <c r="F9" s="217" t="s">
        <v>26</v>
      </c>
      <c r="G9" s="217" t="s">
        <v>27</v>
      </c>
      <c r="H9" s="217" t="s">
        <v>868</v>
      </c>
      <c r="I9" s="217" t="s">
        <v>39</v>
      </c>
      <c r="J9" s="217" t="s">
        <v>2212</v>
      </c>
      <c r="K9" s="217" t="s">
        <v>2213</v>
      </c>
      <c r="L9" s="217">
        <v>21</v>
      </c>
      <c r="M9" s="217">
        <v>3</v>
      </c>
      <c r="N9" s="217">
        <v>0</v>
      </c>
      <c r="O9" s="217">
        <v>0</v>
      </c>
      <c r="P9" s="217">
        <v>0</v>
      </c>
      <c r="Q9" s="217">
        <v>0</v>
      </c>
      <c r="R9" s="217" t="s">
        <v>1807</v>
      </c>
    </row>
    <row r="10" spans="1:37" x14ac:dyDescent="0.25">
      <c r="A10" s="217">
        <v>9</v>
      </c>
      <c r="B10" s="217" t="s">
        <v>22</v>
      </c>
      <c r="C10" s="217" t="s">
        <v>23</v>
      </c>
      <c r="D10" s="217" t="s">
        <v>24</v>
      </c>
      <c r="E10" s="217" t="s">
        <v>25</v>
      </c>
      <c r="F10" s="217" t="s">
        <v>26</v>
      </c>
      <c r="G10" s="217" t="s">
        <v>27</v>
      </c>
      <c r="H10" s="217" t="s">
        <v>869</v>
      </c>
      <c r="I10" s="217" t="s">
        <v>40</v>
      </c>
      <c r="J10" s="217" t="s">
        <v>2214</v>
      </c>
      <c r="K10" s="217" t="s">
        <v>2215</v>
      </c>
      <c r="L10" s="217">
        <v>8</v>
      </c>
      <c r="M10" s="217">
        <v>2</v>
      </c>
      <c r="N10" s="217">
        <v>0</v>
      </c>
      <c r="O10" s="217">
        <v>0</v>
      </c>
      <c r="P10" s="217">
        <v>0</v>
      </c>
      <c r="Q10" s="217">
        <v>0</v>
      </c>
      <c r="R10" s="217" t="s">
        <v>1807</v>
      </c>
    </row>
    <row r="11" spans="1:37" x14ac:dyDescent="0.25">
      <c r="A11" s="217">
        <v>10</v>
      </c>
      <c r="B11" s="217" t="s">
        <v>22</v>
      </c>
      <c r="C11" s="217" t="s">
        <v>23</v>
      </c>
      <c r="D11" s="217" t="s">
        <v>24</v>
      </c>
      <c r="E11" s="217" t="s">
        <v>25</v>
      </c>
      <c r="F11" s="217" t="s">
        <v>26</v>
      </c>
      <c r="G11" s="217" t="s">
        <v>27</v>
      </c>
      <c r="H11" s="217" t="s">
        <v>870</v>
      </c>
      <c r="I11" s="217" t="s">
        <v>41</v>
      </c>
      <c r="J11" s="217" t="s">
        <v>2216</v>
      </c>
      <c r="K11" s="217" t="s">
        <v>2217</v>
      </c>
      <c r="L11" s="217">
        <v>151</v>
      </c>
      <c r="M11" s="217">
        <v>27</v>
      </c>
      <c r="N11" s="217">
        <v>0</v>
      </c>
      <c r="O11" s="217">
        <v>0</v>
      </c>
      <c r="P11" s="217">
        <v>0</v>
      </c>
      <c r="Q11" s="217">
        <v>0</v>
      </c>
      <c r="R11" s="217" t="s">
        <v>1807</v>
      </c>
    </row>
    <row r="12" spans="1:37" x14ac:dyDescent="0.25">
      <c r="A12" s="217">
        <v>11</v>
      </c>
      <c r="B12" s="217" t="s">
        <v>22</v>
      </c>
      <c r="C12" s="217" t="s">
        <v>23</v>
      </c>
      <c r="D12" s="217" t="s">
        <v>24</v>
      </c>
      <c r="E12" s="217" t="s">
        <v>25</v>
      </c>
      <c r="F12" s="217" t="s">
        <v>26</v>
      </c>
      <c r="G12" s="217" t="s">
        <v>27</v>
      </c>
      <c r="H12" s="217" t="s">
        <v>871</v>
      </c>
      <c r="I12" s="217" t="s">
        <v>43</v>
      </c>
      <c r="J12" s="217" t="s">
        <v>2218</v>
      </c>
      <c r="K12" s="217" t="s">
        <v>2219</v>
      </c>
      <c r="L12" s="217">
        <v>67</v>
      </c>
      <c r="M12" s="217">
        <v>9</v>
      </c>
      <c r="N12" s="217">
        <v>0</v>
      </c>
      <c r="O12" s="217">
        <v>0</v>
      </c>
      <c r="P12" s="217">
        <v>0</v>
      </c>
      <c r="Q12" s="217">
        <v>0</v>
      </c>
      <c r="R12" s="217" t="s">
        <v>1807</v>
      </c>
    </row>
    <row r="13" spans="1:37" x14ac:dyDescent="0.25">
      <c r="A13" s="217">
        <v>12</v>
      </c>
      <c r="B13" s="217" t="s">
        <v>22</v>
      </c>
      <c r="C13" s="217" t="s">
        <v>23</v>
      </c>
      <c r="D13" s="217" t="s">
        <v>24</v>
      </c>
      <c r="E13" s="217" t="s">
        <v>25</v>
      </c>
      <c r="F13" s="217" t="s">
        <v>44</v>
      </c>
      <c r="G13" s="217" t="s">
        <v>45</v>
      </c>
      <c r="H13" s="217" t="s">
        <v>872</v>
      </c>
      <c r="I13" s="217" t="s">
        <v>46</v>
      </c>
      <c r="J13" s="217" t="s">
        <v>2220</v>
      </c>
      <c r="K13" s="217" t="s">
        <v>2221</v>
      </c>
      <c r="L13" s="217">
        <v>350</v>
      </c>
      <c r="M13" s="217">
        <v>50</v>
      </c>
      <c r="N13" s="217">
        <v>0</v>
      </c>
      <c r="O13" s="217">
        <v>0</v>
      </c>
      <c r="P13" s="217">
        <v>0</v>
      </c>
      <c r="Q13" s="217">
        <v>0</v>
      </c>
      <c r="R13" s="217" t="s">
        <v>1807</v>
      </c>
    </row>
    <row r="14" spans="1:37" x14ac:dyDescent="0.25">
      <c r="A14" s="217">
        <v>13</v>
      </c>
      <c r="B14" s="217" t="s">
        <v>22</v>
      </c>
      <c r="C14" s="217" t="s">
        <v>23</v>
      </c>
      <c r="D14" s="217" t="s">
        <v>24</v>
      </c>
      <c r="E14" s="217" t="s">
        <v>25</v>
      </c>
      <c r="F14" s="217" t="s">
        <v>44</v>
      </c>
      <c r="G14" s="217" t="s">
        <v>45</v>
      </c>
      <c r="H14" s="217" t="s">
        <v>873</v>
      </c>
      <c r="I14" s="217" t="s">
        <v>49</v>
      </c>
      <c r="J14" s="217" t="s">
        <v>2222</v>
      </c>
      <c r="K14" s="217" t="s">
        <v>2223</v>
      </c>
      <c r="L14" s="217">
        <v>391</v>
      </c>
      <c r="M14" s="217">
        <v>66</v>
      </c>
      <c r="N14" s="217">
        <v>0</v>
      </c>
      <c r="O14" s="217">
        <v>0</v>
      </c>
      <c r="P14" s="217">
        <v>0</v>
      </c>
      <c r="Q14" s="217">
        <v>0</v>
      </c>
      <c r="R14" s="217" t="s">
        <v>1807</v>
      </c>
    </row>
    <row r="15" spans="1:37" x14ac:dyDescent="0.25">
      <c r="A15" s="217">
        <v>14</v>
      </c>
      <c r="B15" s="217" t="s">
        <v>22</v>
      </c>
      <c r="C15" s="217" t="s">
        <v>23</v>
      </c>
      <c r="D15" s="217" t="s">
        <v>24</v>
      </c>
      <c r="E15" s="217" t="s">
        <v>25</v>
      </c>
      <c r="F15" s="217" t="s">
        <v>50</v>
      </c>
      <c r="G15" s="217" t="s">
        <v>51</v>
      </c>
      <c r="H15" s="217" t="s">
        <v>874</v>
      </c>
      <c r="I15" s="217" t="s">
        <v>52</v>
      </c>
      <c r="J15" s="217" t="s">
        <v>2224</v>
      </c>
      <c r="K15" s="217" t="s">
        <v>2225</v>
      </c>
      <c r="L15" s="217">
        <v>378</v>
      </c>
      <c r="M15" s="217">
        <v>71</v>
      </c>
      <c r="N15" s="217">
        <v>0</v>
      </c>
      <c r="O15" s="217">
        <v>0</v>
      </c>
      <c r="P15" s="217">
        <v>0</v>
      </c>
      <c r="Q15" s="217">
        <v>0</v>
      </c>
      <c r="R15" s="217" t="s">
        <v>1807</v>
      </c>
    </row>
    <row r="16" spans="1:37" x14ac:dyDescent="0.25">
      <c r="A16" s="217">
        <v>15</v>
      </c>
      <c r="B16" s="217" t="s">
        <v>22</v>
      </c>
      <c r="C16" s="217" t="s">
        <v>23</v>
      </c>
      <c r="D16" s="217" t="s">
        <v>24</v>
      </c>
      <c r="E16" s="217" t="s">
        <v>25</v>
      </c>
      <c r="F16" s="217" t="s">
        <v>50</v>
      </c>
      <c r="G16" s="217" t="s">
        <v>51</v>
      </c>
      <c r="H16" s="217" t="s">
        <v>875</v>
      </c>
      <c r="I16" s="217" t="s">
        <v>53</v>
      </c>
      <c r="J16" s="217" t="s">
        <v>2226</v>
      </c>
      <c r="K16" s="217" t="s">
        <v>2227</v>
      </c>
      <c r="L16" s="217">
        <v>672</v>
      </c>
      <c r="M16" s="217">
        <v>131</v>
      </c>
      <c r="N16" s="217">
        <v>0</v>
      </c>
      <c r="O16" s="217">
        <v>0</v>
      </c>
      <c r="P16" s="217">
        <v>0</v>
      </c>
      <c r="Q16" s="217">
        <v>0</v>
      </c>
      <c r="R16" s="217" t="s">
        <v>1807</v>
      </c>
    </row>
    <row r="17" spans="1:18" x14ac:dyDescent="0.25">
      <c r="A17" s="217">
        <v>16</v>
      </c>
      <c r="B17" s="217" t="s">
        <v>22</v>
      </c>
      <c r="C17" s="217" t="s">
        <v>23</v>
      </c>
      <c r="D17" s="217" t="s">
        <v>24</v>
      </c>
      <c r="E17" s="217" t="s">
        <v>25</v>
      </c>
      <c r="F17" s="217" t="s">
        <v>50</v>
      </c>
      <c r="G17" s="217" t="s">
        <v>51</v>
      </c>
      <c r="H17" s="217" t="s">
        <v>876</v>
      </c>
      <c r="I17" s="217" t="s">
        <v>54</v>
      </c>
      <c r="J17" s="217" t="s">
        <v>2228</v>
      </c>
      <c r="K17" s="217" t="s">
        <v>2229</v>
      </c>
      <c r="L17" s="217">
        <v>1110</v>
      </c>
      <c r="M17" s="217">
        <v>195</v>
      </c>
      <c r="N17" s="217">
        <v>0</v>
      </c>
      <c r="O17" s="217">
        <v>0</v>
      </c>
      <c r="P17" s="217">
        <v>0</v>
      </c>
      <c r="Q17" s="217">
        <v>0</v>
      </c>
      <c r="R17" s="217" t="s">
        <v>1807</v>
      </c>
    </row>
    <row r="18" spans="1:18" x14ac:dyDescent="0.25">
      <c r="A18" s="217">
        <v>17</v>
      </c>
      <c r="B18" s="217" t="s">
        <v>22</v>
      </c>
      <c r="C18" s="217" t="s">
        <v>23</v>
      </c>
      <c r="D18" s="217" t="s">
        <v>24</v>
      </c>
      <c r="E18" s="217" t="s">
        <v>25</v>
      </c>
      <c r="F18" s="217" t="s">
        <v>50</v>
      </c>
      <c r="G18" s="217" t="s">
        <v>51</v>
      </c>
      <c r="H18" s="217" t="s">
        <v>877</v>
      </c>
      <c r="I18" s="217" t="s">
        <v>55</v>
      </c>
      <c r="J18" s="217" t="s">
        <v>2230</v>
      </c>
      <c r="K18" s="217" t="s">
        <v>2231</v>
      </c>
      <c r="L18" s="217">
        <v>79</v>
      </c>
      <c r="M18" s="217">
        <v>8</v>
      </c>
      <c r="N18" s="217">
        <v>0</v>
      </c>
      <c r="O18" s="217">
        <v>0</v>
      </c>
      <c r="P18" s="217">
        <v>0</v>
      </c>
      <c r="Q18" s="217">
        <v>0</v>
      </c>
      <c r="R18" s="217" t="s">
        <v>1807</v>
      </c>
    </row>
    <row r="19" spans="1:18" x14ac:dyDescent="0.25">
      <c r="A19" s="217">
        <v>18</v>
      </c>
      <c r="B19" s="217" t="s">
        <v>22</v>
      </c>
      <c r="C19" s="217" t="s">
        <v>23</v>
      </c>
      <c r="D19" s="217" t="s">
        <v>24</v>
      </c>
      <c r="E19" s="217" t="s">
        <v>25</v>
      </c>
      <c r="F19" s="217" t="s">
        <v>665</v>
      </c>
      <c r="G19" s="217" t="s">
        <v>666</v>
      </c>
      <c r="H19" s="217" t="s">
        <v>878</v>
      </c>
      <c r="I19" s="217" t="s">
        <v>667</v>
      </c>
      <c r="J19" s="217" t="s">
        <v>2232</v>
      </c>
      <c r="K19" s="217" t="s">
        <v>2233</v>
      </c>
      <c r="L19" s="217">
        <v>36</v>
      </c>
      <c r="M19" s="217">
        <v>8</v>
      </c>
      <c r="N19" s="217">
        <v>0</v>
      </c>
      <c r="O19" s="217">
        <v>0</v>
      </c>
      <c r="P19" s="217">
        <v>0</v>
      </c>
      <c r="Q19" s="217">
        <v>0</v>
      </c>
      <c r="R19" s="217" t="s">
        <v>1807</v>
      </c>
    </row>
    <row r="20" spans="1:18" x14ac:dyDescent="0.25">
      <c r="A20" s="217">
        <v>19</v>
      </c>
      <c r="B20" s="217" t="s">
        <v>22</v>
      </c>
      <c r="C20" s="217" t="s">
        <v>23</v>
      </c>
      <c r="D20" s="217" t="s">
        <v>24</v>
      </c>
      <c r="E20" s="217" t="s">
        <v>25</v>
      </c>
      <c r="F20" s="217" t="s">
        <v>56</v>
      </c>
      <c r="G20" s="217" t="s">
        <v>57</v>
      </c>
      <c r="H20" s="217" t="s">
        <v>879</v>
      </c>
      <c r="I20" s="217" t="s">
        <v>58</v>
      </c>
      <c r="J20" s="217" t="s">
        <v>2234</v>
      </c>
      <c r="K20" s="217" t="s">
        <v>2235</v>
      </c>
      <c r="L20" s="217">
        <v>18</v>
      </c>
      <c r="M20" s="217">
        <v>3</v>
      </c>
      <c r="N20" s="217">
        <v>11</v>
      </c>
      <c r="O20" s="217">
        <v>2</v>
      </c>
      <c r="P20" s="217">
        <v>0</v>
      </c>
      <c r="Q20" s="217">
        <v>0</v>
      </c>
      <c r="R20" s="217" t="s">
        <v>1807</v>
      </c>
    </row>
    <row r="21" spans="1:18" x14ac:dyDescent="0.25">
      <c r="A21" s="217">
        <v>20</v>
      </c>
      <c r="B21" s="217" t="s">
        <v>22</v>
      </c>
      <c r="C21" s="217" t="s">
        <v>23</v>
      </c>
      <c r="D21" s="217" t="s">
        <v>24</v>
      </c>
      <c r="E21" s="217" t="s">
        <v>25</v>
      </c>
      <c r="F21" s="217" t="s">
        <v>56</v>
      </c>
      <c r="G21" s="217" t="s">
        <v>57</v>
      </c>
      <c r="H21" s="217" t="s">
        <v>880</v>
      </c>
      <c r="I21" s="217" t="s">
        <v>59</v>
      </c>
      <c r="J21" s="217" t="s">
        <v>2236</v>
      </c>
      <c r="K21" s="217" t="s">
        <v>2237</v>
      </c>
      <c r="L21" s="217">
        <v>19</v>
      </c>
      <c r="M21" s="217">
        <v>2</v>
      </c>
      <c r="N21" s="217">
        <v>0</v>
      </c>
      <c r="O21" s="217">
        <v>0</v>
      </c>
      <c r="P21" s="217">
        <v>4</v>
      </c>
      <c r="Q21" s="217">
        <v>1</v>
      </c>
      <c r="R21" s="217" t="s">
        <v>1807</v>
      </c>
    </row>
    <row r="22" spans="1:18" x14ac:dyDescent="0.25">
      <c r="A22" s="217">
        <v>21</v>
      </c>
      <c r="B22" s="217" t="s">
        <v>22</v>
      </c>
      <c r="C22" s="217" t="s">
        <v>23</v>
      </c>
      <c r="D22" s="217" t="s">
        <v>24</v>
      </c>
      <c r="E22" s="217" t="s">
        <v>25</v>
      </c>
      <c r="F22" s="217" t="s">
        <v>56</v>
      </c>
      <c r="G22" s="217" t="s">
        <v>57</v>
      </c>
      <c r="H22" s="217" t="s">
        <v>1497</v>
      </c>
      <c r="I22" s="217" t="s">
        <v>617</v>
      </c>
      <c r="J22" s="217" t="s">
        <v>2238</v>
      </c>
      <c r="K22" s="217" t="s">
        <v>2239</v>
      </c>
      <c r="L22" s="217">
        <v>0</v>
      </c>
      <c r="M22" s="217">
        <v>0</v>
      </c>
      <c r="N22" s="217">
        <v>220</v>
      </c>
      <c r="O22" s="217">
        <v>24</v>
      </c>
      <c r="P22" s="217">
        <v>0</v>
      </c>
      <c r="Q22" s="217">
        <v>0</v>
      </c>
      <c r="R22" s="217" t="s">
        <v>1807</v>
      </c>
    </row>
    <row r="23" spans="1:18" x14ac:dyDescent="0.25">
      <c r="A23" s="217">
        <v>22</v>
      </c>
      <c r="B23" s="217" t="s">
        <v>22</v>
      </c>
      <c r="C23" s="217" t="s">
        <v>23</v>
      </c>
      <c r="D23" s="217" t="s">
        <v>24</v>
      </c>
      <c r="E23" s="217" t="s">
        <v>25</v>
      </c>
      <c r="F23" s="217" t="s">
        <v>56</v>
      </c>
      <c r="G23" s="217" t="s">
        <v>57</v>
      </c>
      <c r="H23" s="217" t="s">
        <v>881</v>
      </c>
      <c r="I23" s="217" t="s">
        <v>60</v>
      </c>
      <c r="J23" s="217" t="s">
        <v>2240</v>
      </c>
      <c r="K23" s="217" t="s">
        <v>2241</v>
      </c>
      <c r="L23" s="217">
        <v>165</v>
      </c>
      <c r="M23" s="217">
        <v>19</v>
      </c>
      <c r="N23" s="217">
        <v>0</v>
      </c>
      <c r="O23" s="217">
        <v>0</v>
      </c>
      <c r="P23" s="217">
        <v>0</v>
      </c>
      <c r="Q23" s="217">
        <v>0</v>
      </c>
      <c r="R23" s="217" t="s">
        <v>1807</v>
      </c>
    </row>
    <row r="24" spans="1:18" x14ac:dyDescent="0.25">
      <c r="A24" s="217">
        <v>23</v>
      </c>
      <c r="B24" s="217" t="s">
        <v>22</v>
      </c>
      <c r="C24" s="217" t="s">
        <v>23</v>
      </c>
      <c r="D24" s="217" t="s">
        <v>24</v>
      </c>
      <c r="E24" s="217" t="s">
        <v>25</v>
      </c>
      <c r="F24" s="217" t="s">
        <v>56</v>
      </c>
      <c r="G24" s="217" t="s">
        <v>57</v>
      </c>
      <c r="H24" s="217" t="s">
        <v>882</v>
      </c>
      <c r="I24" s="217" t="s">
        <v>63</v>
      </c>
      <c r="J24" s="217" t="s">
        <v>2242</v>
      </c>
      <c r="K24" s="217" t="s">
        <v>2243</v>
      </c>
      <c r="L24" s="217">
        <v>742</v>
      </c>
      <c r="M24" s="217">
        <v>144</v>
      </c>
      <c r="N24" s="217">
        <v>0</v>
      </c>
      <c r="O24" s="217">
        <v>0</v>
      </c>
      <c r="P24" s="217">
        <v>0</v>
      </c>
      <c r="Q24" s="217">
        <v>0</v>
      </c>
      <c r="R24" s="217" t="s">
        <v>1807</v>
      </c>
    </row>
    <row r="25" spans="1:18" x14ac:dyDescent="0.25">
      <c r="A25" s="217">
        <v>24</v>
      </c>
      <c r="B25" s="217" t="s">
        <v>22</v>
      </c>
      <c r="C25" s="217" t="s">
        <v>23</v>
      </c>
      <c r="D25" s="217" t="s">
        <v>24</v>
      </c>
      <c r="E25" s="217" t="s">
        <v>25</v>
      </c>
      <c r="F25" s="217" t="s">
        <v>56</v>
      </c>
      <c r="G25" s="217" t="s">
        <v>57</v>
      </c>
      <c r="H25" s="217" t="s">
        <v>883</v>
      </c>
      <c r="I25" s="217" t="s">
        <v>64</v>
      </c>
      <c r="J25" s="217" t="s">
        <v>2244</v>
      </c>
      <c r="K25" s="217" t="s">
        <v>2245</v>
      </c>
      <c r="L25" s="217">
        <v>36</v>
      </c>
      <c r="M25" s="217">
        <v>7</v>
      </c>
      <c r="N25" s="217">
        <v>0</v>
      </c>
      <c r="O25" s="217">
        <v>0</v>
      </c>
      <c r="P25" s="217">
        <v>0</v>
      </c>
      <c r="Q25" s="217">
        <v>0</v>
      </c>
      <c r="R25" s="217" t="s">
        <v>1807</v>
      </c>
    </row>
    <row r="26" spans="1:18" x14ac:dyDescent="0.25">
      <c r="A26" s="217">
        <v>25</v>
      </c>
      <c r="B26" s="217" t="s">
        <v>22</v>
      </c>
      <c r="C26" s="217" t="s">
        <v>23</v>
      </c>
      <c r="D26" s="217" t="s">
        <v>24</v>
      </c>
      <c r="E26" s="217" t="s">
        <v>25</v>
      </c>
      <c r="F26" s="217" t="s">
        <v>56</v>
      </c>
      <c r="G26" s="217" t="s">
        <v>57</v>
      </c>
      <c r="H26" s="217" t="s">
        <v>884</v>
      </c>
      <c r="I26" s="217" t="s">
        <v>65</v>
      </c>
      <c r="J26" s="217" t="s">
        <v>2246</v>
      </c>
      <c r="K26" s="217" t="s">
        <v>2247</v>
      </c>
      <c r="L26" s="217">
        <v>37</v>
      </c>
      <c r="M26" s="217">
        <v>7</v>
      </c>
      <c r="N26" s="217">
        <v>0</v>
      </c>
      <c r="O26" s="217">
        <v>0</v>
      </c>
      <c r="P26" s="217">
        <v>0</v>
      </c>
      <c r="Q26" s="217">
        <v>0</v>
      </c>
      <c r="R26" s="217" t="s">
        <v>1807</v>
      </c>
    </row>
    <row r="27" spans="1:18" x14ac:dyDescent="0.25">
      <c r="A27" s="217">
        <v>26</v>
      </c>
      <c r="B27" s="217" t="s">
        <v>22</v>
      </c>
      <c r="C27" s="217" t="s">
        <v>23</v>
      </c>
      <c r="D27" s="217" t="s">
        <v>24</v>
      </c>
      <c r="E27" s="217" t="s">
        <v>25</v>
      </c>
      <c r="F27" s="217" t="s">
        <v>56</v>
      </c>
      <c r="G27" s="217" t="s">
        <v>57</v>
      </c>
      <c r="H27" s="217" t="s">
        <v>885</v>
      </c>
      <c r="I27" s="217" t="s">
        <v>66</v>
      </c>
      <c r="J27" s="217" t="s">
        <v>2248</v>
      </c>
      <c r="K27" s="217" t="s">
        <v>2249</v>
      </c>
      <c r="L27" s="217">
        <v>0</v>
      </c>
      <c r="M27" s="217">
        <v>0</v>
      </c>
      <c r="N27" s="217">
        <v>0</v>
      </c>
      <c r="O27" s="217">
        <v>0</v>
      </c>
      <c r="P27" s="217">
        <v>0</v>
      </c>
      <c r="Q27" s="217">
        <v>0</v>
      </c>
      <c r="R27" s="217" t="s">
        <v>1807</v>
      </c>
    </row>
    <row r="28" spans="1:18" x14ac:dyDescent="0.25">
      <c r="A28" s="217">
        <v>27</v>
      </c>
      <c r="B28" s="217" t="s">
        <v>22</v>
      </c>
      <c r="C28" s="217" t="s">
        <v>23</v>
      </c>
      <c r="D28" s="217" t="s">
        <v>24</v>
      </c>
      <c r="E28" s="217" t="s">
        <v>25</v>
      </c>
      <c r="F28" s="217" t="s">
        <v>56</v>
      </c>
      <c r="G28" s="217" t="s">
        <v>57</v>
      </c>
      <c r="H28" s="217" t="s">
        <v>886</v>
      </c>
      <c r="I28" s="217" t="s">
        <v>67</v>
      </c>
      <c r="J28" s="217" t="s">
        <v>2250</v>
      </c>
      <c r="K28" s="217" t="s">
        <v>2251</v>
      </c>
      <c r="L28" s="217">
        <v>27</v>
      </c>
      <c r="M28" s="217">
        <v>3</v>
      </c>
      <c r="N28" s="217">
        <v>0</v>
      </c>
      <c r="O28" s="217">
        <v>0</v>
      </c>
      <c r="P28" s="217">
        <v>0</v>
      </c>
      <c r="Q28" s="217">
        <v>0</v>
      </c>
      <c r="R28" s="217" t="s">
        <v>1807</v>
      </c>
    </row>
    <row r="29" spans="1:18" x14ac:dyDescent="0.25">
      <c r="A29" s="217">
        <v>28</v>
      </c>
      <c r="B29" s="217" t="s">
        <v>22</v>
      </c>
      <c r="C29" s="217" t="s">
        <v>23</v>
      </c>
      <c r="D29" s="217" t="s">
        <v>24</v>
      </c>
      <c r="E29" s="217" t="s">
        <v>25</v>
      </c>
      <c r="F29" s="217" t="s">
        <v>56</v>
      </c>
      <c r="G29" s="217" t="s">
        <v>57</v>
      </c>
      <c r="H29" s="217" t="s">
        <v>887</v>
      </c>
      <c r="I29" s="217" t="s">
        <v>69</v>
      </c>
      <c r="J29" s="217" t="s">
        <v>2252</v>
      </c>
      <c r="K29" s="217" t="s">
        <v>2253</v>
      </c>
      <c r="L29" s="217">
        <v>0</v>
      </c>
      <c r="M29" s="217">
        <v>0</v>
      </c>
      <c r="N29" s="217">
        <v>3</v>
      </c>
      <c r="O29" s="217">
        <v>1</v>
      </c>
      <c r="P29" s="217">
        <v>0</v>
      </c>
      <c r="Q29" s="217">
        <v>0</v>
      </c>
      <c r="R29" s="217" t="s">
        <v>1807</v>
      </c>
    </row>
    <row r="30" spans="1:18" x14ac:dyDescent="0.25">
      <c r="A30" s="217">
        <v>29</v>
      </c>
      <c r="B30" s="217" t="s">
        <v>22</v>
      </c>
      <c r="C30" s="217" t="s">
        <v>23</v>
      </c>
      <c r="D30" s="217" t="s">
        <v>24</v>
      </c>
      <c r="E30" s="217" t="s">
        <v>25</v>
      </c>
      <c r="F30" s="217" t="s">
        <v>56</v>
      </c>
      <c r="G30" s="217" t="s">
        <v>57</v>
      </c>
      <c r="H30" s="217" t="s">
        <v>888</v>
      </c>
      <c r="I30" s="217" t="s">
        <v>70</v>
      </c>
      <c r="J30" s="217" t="s">
        <v>2254</v>
      </c>
      <c r="K30" s="217" t="s">
        <v>2255</v>
      </c>
      <c r="L30" s="217">
        <v>16</v>
      </c>
      <c r="M30" s="217">
        <v>4</v>
      </c>
      <c r="N30" s="217">
        <v>0</v>
      </c>
      <c r="O30" s="217">
        <v>0</v>
      </c>
      <c r="P30" s="217">
        <v>0</v>
      </c>
      <c r="Q30" s="217">
        <v>0</v>
      </c>
      <c r="R30" s="217" t="s">
        <v>1807</v>
      </c>
    </row>
    <row r="31" spans="1:18" x14ac:dyDescent="0.25">
      <c r="A31" s="217">
        <v>30</v>
      </c>
      <c r="B31" s="217" t="s">
        <v>22</v>
      </c>
      <c r="C31" s="217" t="s">
        <v>23</v>
      </c>
      <c r="D31" s="217" t="s">
        <v>24</v>
      </c>
      <c r="E31" s="217" t="s">
        <v>25</v>
      </c>
      <c r="F31" s="217" t="s">
        <v>56</v>
      </c>
      <c r="G31" s="217" t="s">
        <v>57</v>
      </c>
      <c r="H31" s="217" t="s">
        <v>889</v>
      </c>
      <c r="I31" s="217" t="s">
        <v>71</v>
      </c>
      <c r="J31" s="217" t="s">
        <v>2256</v>
      </c>
      <c r="K31" s="217" t="s">
        <v>2257</v>
      </c>
      <c r="L31" s="217">
        <v>41</v>
      </c>
      <c r="M31" s="217">
        <v>5</v>
      </c>
      <c r="N31" s="217">
        <v>0</v>
      </c>
      <c r="O31" s="217">
        <v>0</v>
      </c>
      <c r="P31" s="217">
        <v>0</v>
      </c>
      <c r="Q31" s="217">
        <v>0</v>
      </c>
      <c r="R31" s="217" t="s">
        <v>1807</v>
      </c>
    </row>
    <row r="32" spans="1:18" x14ac:dyDescent="0.25">
      <c r="A32" s="217">
        <v>31</v>
      </c>
      <c r="B32" s="217" t="s">
        <v>22</v>
      </c>
      <c r="C32" s="217" t="s">
        <v>23</v>
      </c>
      <c r="D32" s="217" t="s">
        <v>24</v>
      </c>
      <c r="E32" s="217" t="s">
        <v>25</v>
      </c>
      <c r="F32" s="217" t="s">
        <v>56</v>
      </c>
      <c r="G32" s="217" t="s">
        <v>57</v>
      </c>
      <c r="H32" s="217" t="s">
        <v>890</v>
      </c>
      <c r="I32" s="217" t="s">
        <v>72</v>
      </c>
      <c r="J32" s="217" t="s">
        <v>2258</v>
      </c>
      <c r="K32" s="217" t="s">
        <v>2259</v>
      </c>
      <c r="L32" s="217">
        <v>59</v>
      </c>
      <c r="M32" s="217">
        <v>11</v>
      </c>
      <c r="N32" s="217">
        <v>0</v>
      </c>
      <c r="O32" s="217">
        <v>0</v>
      </c>
      <c r="P32" s="217">
        <v>0</v>
      </c>
      <c r="Q32" s="217">
        <v>0</v>
      </c>
      <c r="R32" s="217" t="s">
        <v>1807</v>
      </c>
    </row>
    <row r="33" spans="1:18" x14ac:dyDescent="0.25">
      <c r="A33" s="217">
        <v>32</v>
      </c>
      <c r="B33" s="217" t="s">
        <v>22</v>
      </c>
      <c r="C33" s="217" t="s">
        <v>23</v>
      </c>
      <c r="D33" s="217" t="s">
        <v>24</v>
      </c>
      <c r="E33" s="217" t="s">
        <v>25</v>
      </c>
      <c r="F33" s="217" t="s">
        <v>56</v>
      </c>
      <c r="G33" s="217" t="s">
        <v>57</v>
      </c>
      <c r="H33" s="217" t="s">
        <v>891</v>
      </c>
      <c r="I33" s="217" t="s">
        <v>73</v>
      </c>
      <c r="J33" s="217" t="s">
        <v>2260</v>
      </c>
      <c r="K33" s="217" t="s">
        <v>2261</v>
      </c>
      <c r="L33" s="217">
        <v>98</v>
      </c>
      <c r="M33" s="217">
        <v>27</v>
      </c>
      <c r="N33" s="217">
        <v>6</v>
      </c>
      <c r="O33" s="217">
        <v>1</v>
      </c>
      <c r="P33" s="217">
        <v>0</v>
      </c>
      <c r="Q33" s="217">
        <v>0</v>
      </c>
      <c r="R33" s="217" t="s">
        <v>1807</v>
      </c>
    </row>
    <row r="34" spans="1:18" x14ac:dyDescent="0.25">
      <c r="A34" s="217">
        <v>33</v>
      </c>
      <c r="B34" s="217" t="s">
        <v>22</v>
      </c>
      <c r="C34" s="217" t="s">
        <v>23</v>
      </c>
      <c r="D34" s="217" t="s">
        <v>24</v>
      </c>
      <c r="E34" s="217" t="s">
        <v>25</v>
      </c>
      <c r="F34" s="217" t="s">
        <v>56</v>
      </c>
      <c r="G34" s="217" t="s">
        <v>57</v>
      </c>
      <c r="H34" s="217" t="s">
        <v>892</v>
      </c>
      <c r="I34" s="217" t="s">
        <v>74</v>
      </c>
      <c r="J34" s="217" t="s">
        <v>2262</v>
      </c>
      <c r="K34" s="217" t="s">
        <v>2263</v>
      </c>
      <c r="L34" s="217">
        <v>90</v>
      </c>
      <c r="M34" s="217">
        <v>19</v>
      </c>
      <c r="N34" s="217">
        <v>0</v>
      </c>
      <c r="O34" s="217">
        <v>0</v>
      </c>
      <c r="P34" s="217">
        <v>0</v>
      </c>
      <c r="Q34" s="217">
        <v>0</v>
      </c>
      <c r="R34" s="217" t="s">
        <v>1807</v>
      </c>
    </row>
    <row r="35" spans="1:18" x14ac:dyDescent="0.25">
      <c r="A35" s="217">
        <v>34</v>
      </c>
      <c r="B35" s="217" t="s">
        <v>22</v>
      </c>
      <c r="C35" s="217" t="s">
        <v>23</v>
      </c>
      <c r="D35" s="217" t="s">
        <v>24</v>
      </c>
      <c r="E35" s="217" t="s">
        <v>25</v>
      </c>
      <c r="F35" s="217" t="s">
        <v>56</v>
      </c>
      <c r="G35" s="217" t="s">
        <v>57</v>
      </c>
      <c r="H35" s="217" t="s">
        <v>893</v>
      </c>
      <c r="I35" s="217" t="s">
        <v>75</v>
      </c>
      <c r="J35" s="217" t="s">
        <v>2264</v>
      </c>
      <c r="K35" s="217" t="s">
        <v>2265</v>
      </c>
      <c r="L35" s="217">
        <v>68</v>
      </c>
      <c r="M35" s="217">
        <v>13</v>
      </c>
      <c r="N35" s="217">
        <v>0</v>
      </c>
      <c r="O35" s="217">
        <v>0</v>
      </c>
      <c r="P35" s="217">
        <v>0</v>
      </c>
      <c r="Q35" s="217">
        <v>0</v>
      </c>
      <c r="R35" s="217" t="s">
        <v>1807</v>
      </c>
    </row>
    <row r="36" spans="1:18" x14ac:dyDescent="0.25">
      <c r="A36" s="217">
        <v>35</v>
      </c>
      <c r="B36" s="217" t="s">
        <v>22</v>
      </c>
      <c r="C36" s="217" t="s">
        <v>23</v>
      </c>
      <c r="D36" s="217" t="s">
        <v>24</v>
      </c>
      <c r="E36" s="217" t="s">
        <v>25</v>
      </c>
      <c r="F36" s="217" t="s">
        <v>56</v>
      </c>
      <c r="G36" s="217" t="s">
        <v>57</v>
      </c>
      <c r="H36" s="217" t="s">
        <v>894</v>
      </c>
      <c r="I36" s="217" t="s">
        <v>76</v>
      </c>
      <c r="J36" s="217" t="s">
        <v>2266</v>
      </c>
      <c r="K36" s="217" t="s">
        <v>2267</v>
      </c>
      <c r="L36" s="217">
        <v>228</v>
      </c>
      <c r="M36" s="217">
        <v>28</v>
      </c>
      <c r="N36" s="217">
        <v>0</v>
      </c>
      <c r="O36" s="217">
        <v>0</v>
      </c>
      <c r="P36" s="217">
        <v>0</v>
      </c>
      <c r="Q36" s="217">
        <v>0</v>
      </c>
      <c r="R36" s="217" t="s">
        <v>1807</v>
      </c>
    </row>
    <row r="37" spans="1:18" x14ac:dyDescent="0.25">
      <c r="A37" s="217">
        <v>36</v>
      </c>
      <c r="B37" s="217" t="s">
        <v>22</v>
      </c>
      <c r="C37" s="217" t="s">
        <v>23</v>
      </c>
      <c r="D37" s="217" t="s">
        <v>24</v>
      </c>
      <c r="E37" s="217" t="s">
        <v>25</v>
      </c>
      <c r="F37" s="217" t="s">
        <v>56</v>
      </c>
      <c r="G37" s="217" t="s">
        <v>57</v>
      </c>
      <c r="H37" s="217" t="s">
        <v>895</v>
      </c>
      <c r="I37" s="217" t="s">
        <v>77</v>
      </c>
      <c r="J37" s="217" t="s">
        <v>2268</v>
      </c>
      <c r="K37" s="217" t="s">
        <v>2269</v>
      </c>
      <c r="L37" s="217">
        <v>16</v>
      </c>
      <c r="M37" s="217">
        <v>4</v>
      </c>
      <c r="N37" s="217">
        <v>0</v>
      </c>
      <c r="O37" s="217">
        <v>0</v>
      </c>
      <c r="P37" s="217">
        <v>0</v>
      </c>
      <c r="Q37" s="217">
        <v>0</v>
      </c>
      <c r="R37" s="217" t="s">
        <v>1807</v>
      </c>
    </row>
    <row r="38" spans="1:18" x14ac:dyDescent="0.25">
      <c r="A38" s="217">
        <v>37</v>
      </c>
      <c r="B38" s="217" t="s">
        <v>22</v>
      </c>
      <c r="C38" s="217" t="s">
        <v>23</v>
      </c>
      <c r="D38" s="217" t="s">
        <v>24</v>
      </c>
      <c r="E38" s="217" t="s">
        <v>25</v>
      </c>
      <c r="F38" s="217" t="s">
        <v>56</v>
      </c>
      <c r="G38" s="217" t="s">
        <v>57</v>
      </c>
      <c r="H38" s="217" t="s">
        <v>896</v>
      </c>
      <c r="I38" s="217" t="s">
        <v>78</v>
      </c>
      <c r="J38" s="217" t="s">
        <v>2270</v>
      </c>
      <c r="K38" s="217" t="s">
        <v>2271</v>
      </c>
      <c r="L38" s="217">
        <v>6</v>
      </c>
      <c r="M38" s="217">
        <v>1</v>
      </c>
      <c r="N38" s="217">
        <v>0</v>
      </c>
      <c r="O38" s="217">
        <v>0</v>
      </c>
      <c r="P38" s="217">
        <v>0</v>
      </c>
      <c r="Q38" s="217">
        <v>0</v>
      </c>
      <c r="R38" s="217" t="s">
        <v>1807</v>
      </c>
    </row>
    <row r="39" spans="1:18" x14ac:dyDescent="0.25">
      <c r="A39" s="217">
        <v>38</v>
      </c>
      <c r="B39" s="217" t="s">
        <v>22</v>
      </c>
      <c r="C39" s="217" t="s">
        <v>23</v>
      </c>
      <c r="D39" s="217" t="s">
        <v>24</v>
      </c>
      <c r="E39" s="217" t="s">
        <v>25</v>
      </c>
      <c r="F39" s="217" t="s">
        <v>56</v>
      </c>
      <c r="G39" s="217" t="s">
        <v>57</v>
      </c>
      <c r="H39" s="217" t="s">
        <v>897</v>
      </c>
      <c r="I39" s="217" t="s">
        <v>79</v>
      </c>
      <c r="J39" s="217" t="s">
        <v>2272</v>
      </c>
      <c r="K39" s="217" t="s">
        <v>2273</v>
      </c>
      <c r="L39" s="217">
        <v>23</v>
      </c>
      <c r="M39" s="217">
        <v>5</v>
      </c>
      <c r="N39" s="217">
        <v>0</v>
      </c>
      <c r="O39" s="217">
        <v>0</v>
      </c>
      <c r="P39" s="217">
        <v>15</v>
      </c>
      <c r="Q39" s="217">
        <v>4</v>
      </c>
      <c r="R39" s="217" t="s">
        <v>1807</v>
      </c>
    </row>
    <row r="40" spans="1:18" x14ac:dyDescent="0.25">
      <c r="A40" s="217">
        <v>39</v>
      </c>
      <c r="B40" s="217" t="s">
        <v>22</v>
      </c>
      <c r="C40" s="217" t="s">
        <v>23</v>
      </c>
      <c r="D40" s="217" t="s">
        <v>24</v>
      </c>
      <c r="E40" s="217" t="s">
        <v>25</v>
      </c>
      <c r="F40" s="217" t="s">
        <v>56</v>
      </c>
      <c r="G40" s="217" t="s">
        <v>57</v>
      </c>
      <c r="H40" s="217" t="s">
        <v>898</v>
      </c>
      <c r="I40" s="217" t="s">
        <v>80</v>
      </c>
      <c r="J40" s="217" t="s">
        <v>2274</v>
      </c>
      <c r="K40" s="217" t="s">
        <v>2275</v>
      </c>
      <c r="L40" s="217">
        <v>44</v>
      </c>
      <c r="M40" s="217">
        <v>9</v>
      </c>
      <c r="N40" s="217">
        <v>0</v>
      </c>
      <c r="O40" s="217">
        <v>0</v>
      </c>
      <c r="P40" s="217">
        <v>0</v>
      </c>
      <c r="Q40" s="217">
        <v>0</v>
      </c>
      <c r="R40" s="217" t="s">
        <v>1807</v>
      </c>
    </row>
    <row r="41" spans="1:18" x14ac:dyDescent="0.25">
      <c r="A41" s="217">
        <v>40</v>
      </c>
      <c r="B41" s="217" t="s">
        <v>22</v>
      </c>
      <c r="C41" s="217" t="s">
        <v>23</v>
      </c>
      <c r="D41" s="217" t="s">
        <v>24</v>
      </c>
      <c r="E41" s="217" t="s">
        <v>25</v>
      </c>
      <c r="F41" s="217" t="s">
        <v>56</v>
      </c>
      <c r="G41" s="217" t="s">
        <v>57</v>
      </c>
      <c r="H41" s="217" t="s">
        <v>899</v>
      </c>
      <c r="I41" s="217" t="s">
        <v>81</v>
      </c>
      <c r="J41" s="217" t="s">
        <v>2276</v>
      </c>
      <c r="K41" s="217" t="s">
        <v>2277</v>
      </c>
      <c r="L41" s="217">
        <v>63</v>
      </c>
      <c r="M41" s="217">
        <v>9</v>
      </c>
      <c r="N41" s="217">
        <v>13</v>
      </c>
      <c r="O41" s="217">
        <v>2</v>
      </c>
      <c r="P41" s="217">
        <v>0</v>
      </c>
      <c r="Q41" s="217">
        <v>0</v>
      </c>
      <c r="R41" s="217" t="s">
        <v>1807</v>
      </c>
    </row>
    <row r="42" spans="1:18" x14ac:dyDescent="0.25">
      <c r="A42" s="217">
        <v>41</v>
      </c>
      <c r="B42" s="217" t="s">
        <v>22</v>
      </c>
      <c r="C42" s="217" t="s">
        <v>23</v>
      </c>
      <c r="D42" s="217" t="s">
        <v>24</v>
      </c>
      <c r="E42" s="217" t="s">
        <v>25</v>
      </c>
      <c r="F42" s="217" t="s">
        <v>56</v>
      </c>
      <c r="G42" s="217" t="s">
        <v>57</v>
      </c>
      <c r="H42" s="217" t="s">
        <v>900</v>
      </c>
      <c r="I42" s="217" t="s">
        <v>82</v>
      </c>
      <c r="J42" s="217" t="s">
        <v>2278</v>
      </c>
      <c r="K42" s="217" t="s">
        <v>2279</v>
      </c>
      <c r="L42" s="217">
        <v>25</v>
      </c>
      <c r="M42" s="217">
        <v>4</v>
      </c>
      <c r="N42" s="217">
        <v>0</v>
      </c>
      <c r="O42" s="217">
        <v>0</v>
      </c>
      <c r="P42" s="217">
        <v>0</v>
      </c>
      <c r="Q42" s="217">
        <v>0</v>
      </c>
      <c r="R42" s="217" t="s">
        <v>1807</v>
      </c>
    </row>
    <row r="43" spans="1:18" x14ac:dyDescent="0.25">
      <c r="A43" s="217">
        <v>42</v>
      </c>
      <c r="B43" s="217" t="s">
        <v>22</v>
      </c>
      <c r="C43" s="217" t="s">
        <v>23</v>
      </c>
      <c r="D43" s="217" t="s">
        <v>24</v>
      </c>
      <c r="E43" s="217" t="s">
        <v>25</v>
      </c>
      <c r="F43" s="217" t="s">
        <v>56</v>
      </c>
      <c r="G43" s="217" t="s">
        <v>57</v>
      </c>
      <c r="H43" s="217" t="s">
        <v>901</v>
      </c>
      <c r="I43" s="217" t="s">
        <v>83</v>
      </c>
      <c r="J43" s="217" t="s">
        <v>2280</v>
      </c>
      <c r="K43" s="217" t="s">
        <v>2281</v>
      </c>
      <c r="L43" s="217">
        <v>48</v>
      </c>
      <c r="M43" s="217">
        <v>7</v>
      </c>
      <c r="N43" s="217">
        <v>0</v>
      </c>
      <c r="O43" s="217">
        <v>0</v>
      </c>
      <c r="P43" s="217">
        <v>0</v>
      </c>
      <c r="Q43" s="217">
        <v>0</v>
      </c>
      <c r="R43" s="217" t="s">
        <v>1807</v>
      </c>
    </row>
    <row r="44" spans="1:18" x14ac:dyDescent="0.25">
      <c r="A44" s="217">
        <v>43</v>
      </c>
      <c r="B44" s="217" t="s">
        <v>22</v>
      </c>
      <c r="C44" s="217" t="s">
        <v>23</v>
      </c>
      <c r="D44" s="217" t="s">
        <v>24</v>
      </c>
      <c r="E44" s="217" t="s">
        <v>25</v>
      </c>
      <c r="F44" s="217" t="s">
        <v>56</v>
      </c>
      <c r="G44" s="217" t="s">
        <v>57</v>
      </c>
      <c r="H44" s="217" t="s">
        <v>902</v>
      </c>
      <c r="I44" s="217" t="s">
        <v>86</v>
      </c>
      <c r="J44" s="217" t="s">
        <v>2282</v>
      </c>
      <c r="K44" s="217" t="s">
        <v>2283</v>
      </c>
      <c r="L44" s="217">
        <v>136</v>
      </c>
      <c r="M44" s="217">
        <v>22</v>
      </c>
      <c r="N44" s="217">
        <v>0</v>
      </c>
      <c r="O44" s="217">
        <v>0</v>
      </c>
      <c r="P44" s="217">
        <v>0</v>
      </c>
      <c r="Q44" s="217">
        <v>0</v>
      </c>
      <c r="R44" s="217" t="s">
        <v>1807</v>
      </c>
    </row>
    <row r="45" spans="1:18" x14ac:dyDescent="0.25">
      <c r="A45" s="217">
        <v>44</v>
      </c>
      <c r="B45" s="217" t="s">
        <v>22</v>
      </c>
      <c r="C45" s="217" t="s">
        <v>23</v>
      </c>
      <c r="D45" s="217" t="s">
        <v>24</v>
      </c>
      <c r="E45" s="217" t="s">
        <v>25</v>
      </c>
      <c r="F45" s="217" t="s">
        <v>56</v>
      </c>
      <c r="G45" s="217" t="s">
        <v>57</v>
      </c>
      <c r="H45" s="217" t="s">
        <v>903</v>
      </c>
      <c r="I45" s="217" t="s">
        <v>140</v>
      </c>
      <c r="J45" s="217" t="s">
        <v>2284</v>
      </c>
      <c r="K45" s="217" t="s">
        <v>2285</v>
      </c>
      <c r="L45" s="217">
        <v>20</v>
      </c>
      <c r="M45" s="217">
        <v>3</v>
      </c>
      <c r="N45" s="217">
        <v>0</v>
      </c>
      <c r="O45" s="217">
        <v>0</v>
      </c>
      <c r="P45" s="217">
        <v>0</v>
      </c>
      <c r="Q45" s="217">
        <v>0</v>
      </c>
      <c r="R45" s="217" t="s">
        <v>1807</v>
      </c>
    </row>
    <row r="46" spans="1:18" x14ac:dyDescent="0.25">
      <c r="A46" s="217">
        <v>45</v>
      </c>
      <c r="B46" s="217" t="s">
        <v>22</v>
      </c>
      <c r="C46" s="217" t="s">
        <v>23</v>
      </c>
      <c r="D46" s="217" t="s">
        <v>24</v>
      </c>
      <c r="E46" s="217" t="s">
        <v>25</v>
      </c>
      <c r="F46" s="217" t="s">
        <v>56</v>
      </c>
      <c r="G46" s="217" t="s">
        <v>57</v>
      </c>
      <c r="H46" s="217" t="s">
        <v>904</v>
      </c>
      <c r="I46" s="217" t="s">
        <v>620</v>
      </c>
      <c r="J46" s="217" t="s">
        <v>2286</v>
      </c>
      <c r="K46" s="217" t="s">
        <v>2287</v>
      </c>
      <c r="L46" s="217">
        <v>0</v>
      </c>
      <c r="M46" s="217">
        <v>0</v>
      </c>
      <c r="N46" s="217">
        <v>0</v>
      </c>
      <c r="O46" s="217">
        <v>0</v>
      </c>
      <c r="P46" s="217">
        <v>0</v>
      </c>
      <c r="Q46" s="217">
        <v>0</v>
      </c>
      <c r="R46" s="217" t="s">
        <v>1807</v>
      </c>
    </row>
    <row r="47" spans="1:18" x14ac:dyDescent="0.25">
      <c r="A47" s="217">
        <v>46</v>
      </c>
      <c r="B47" s="217" t="s">
        <v>22</v>
      </c>
      <c r="C47" s="217" t="s">
        <v>23</v>
      </c>
      <c r="D47" s="217" t="s">
        <v>24</v>
      </c>
      <c r="E47" s="217" t="s">
        <v>25</v>
      </c>
      <c r="F47" s="217" t="s">
        <v>56</v>
      </c>
      <c r="G47" s="217" t="s">
        <v>57</v>
      </c>
      <c r="H47" s="217" t="s">
        <v>905</v>
      </c>
      <c r="I47" s="217" t="s">
        <v>87</v>
      </c>
      <c r="J47" s="217" t="s">
        <v>2288</v>
      </c>
      <c r="K47" s="217" t="s">
        <v>2289</v>
      </c>
      <c r="L47" s="217">
        <v>15</v>
      </c>
      <c r="M47" s="217">
        <v>3</v>
      </c>
      <c r="N47" s="217">
        <v>0</v>
      </c>
      <c r="O47" s="217">
        <v>0</v>
      </c>
      <c r="P47" s="217">
        <v>0</v>
      </c>
      <c r="Q47" s="217">
        <v>0</v>
      </c>
      <c r="R47" s="217" t="s">
        <v>1807</v>
      </c>
    </row>
    <row r="48" spans="1:18" x14ac:dyDescent="0.25">
      <c r="A48" s="217">
        <v>47</v>
      </c>
      <c r="B48" s="217" t="s">
        <v>22</v>
      </c>
      <c r="C48" s="217" t="s">
        <v>23</v>
      </c>
      <c r="D48" s="217" t="s">
        <v>85</v>
      </c>
      <c r="E48" s="217" t="s">
        <v>84</v>
      </c>
      <c r="F48" s="217" t="s">
        <v>88</v>
      </c>
      <c r="G48" s="217" t="s">
        <v>89</v>
      </c>
      <c r="H48" s="217" t="s">
        <v>906</v>
      </c>
      <c r="I48" s="217" t="s">
        <v>90</v>
      </c>
      <c r="J48" s="217" t="s">
        <v>2290</v>
      </c>
      <c r="K48" s="217" t="s">
        <v>2291</v>
      </c>
      <c r="L48" s="217">
        <v>88</v>
      </c>
      <c r="M48" s="217">
        <v>10</v>
      </c>
      <c r="N48" s="217">
        <v>0</v>
      </c>
      <c r="O48" s="217">
        <v>0</v>
      </c>
      <c r="P48" s="217">
        <v>0</v>
      </c>
      <c r="Q48" s="217">
        <v>0</v>
      </c>
      <c r="R48" s="217" t="s">
        <v>1807</v>
      </c>
    </row>
    <row r="49" spans="1:18" x14ac:dyDescent="0.25">
      <c r="A49" s="217">
        <v>48</v>
      </c>
      <c r="B49" s="217" t="s">
        <v>22</v>
      </c>
      <c r="C49" s="217" t="s">
        <v>23</v>
      </c>
      <c r="D49" s="217" t="s">
        <v>85</v>
      </c>
      <c r="E49" s="217" t="s">
        <v>84</v>
      </c>
      <c r="F49" s="217" t="s">
        <v>88</v>
      </c>
      <c r="G49" s="217" t="s">
        <v>89</v>
      </c>
      <c r="H49" s="217" t="s">
        <v>907</v>
      </c>
      <c r="I49" s="217" t="s">
        <v>93</v>
      </c>
      <c r="J49" s="217" t="s">
        <v>2292</v>
      </c>
      <c r="K49" s="217" t="s">
        <v>2293</v>
      </c>
      <c r="L49" s="217">
        <v>3828</v>
      </c>
      <c r="M49" s="217">
        <v>609</v>
      </c>
      <c r="N49" s="217">
        <v>481</v>
      </c>
      <c r="O49" s="217">
        <v>108</v>
      </c>
      <c r="P49" s="217">
        <v>337</v>
      </c>
      <c r="Q49" s="217">
        <v>67</v>
      </c>
      <c r="R49" s="217" t="s">
        <v>1807</v>
      </c>
    </row>
    <row r="50" spans="1:18" x14ac:dyDescent="0.25">
      <c r="A50" s="217">
        <v>49</v>
      </c>
      <c r="B50" s="217" t="s">
        <v>22</v>
      </c>
      <c r="C50" s="217" t="s">
        <v>23</v>
      </c>
      <c r="D50" s="217" t="s">
        <v>85</v>
      </c>
      <c r="E50" s="217" t="s">
        <v>84</v>
      </c>
      <c r="F50" s="217" t="s">
        <v>88</v>
      </c>
      <c r="G50" s="217" t="s">
        <v>89</v>
      </c>
      <c r="H50" s="217" t="s">
        <v>908</v>
      </c>
      <c r="I50" s="217" t="s">
        <v>96</v>
      </c>
      <c r="J50" s="217" t="s">
        <v>2294</v>
      </c>
      <c r="K50" s="217" t="s">
        <v>2295</v>
      </c>
      <c r="L50" s="217">
        <v>2191</v>
      </c>
      <c r="M50" s="217">
        <v>316</v>
      </c>
      <c r="N50" s="217">
        <v>0</v>
      </c>
      <c r="O50" s="217">
        <v>0</v>
      </c>
      <c r="P50" s="217">
        <v>0</v>
      </c>
      <c r="Q50" s="217">
        <v>0</v>
      </c>
      <c r="R50" s="217" t="s">
        <v>1807</v>
      </c>
    </row>
    <row r="51" spans="1:18" x14ac:dyDescent="0.25">
      <c r="A51" s="217">
        <v>50</v>
      </c>
      <c r="B51" s="217" t="s">
        <v>22</v>
      </c>
      <c r="C51" s="217" t="s">
        <v>23</v>
      </c>
      <c r="D51" s="217" t="s">
        <v>85</v>
      </c>
      <c r="E51" s="217" t="s">
        <v>84</v>
      </c>
      <c r="F51" s="217" t="s">
        <v>88</v>
      </c>
      <c r="G51" s="217" t="s">
        <v>89</v>
      </c>
      <c r="H51" s="217" t="s">
        <v>909</v>
      </c>
      <c r="I51" s="217" t="s">
        <v>101</v>
      </c>
      <c r="J51" s="217" t="s">
        <v>2296</v>
      </c>
      <c r="K51" s="217" t="s">
        <v>2297</v>
      </c>
      <c r="L51" s="217">
        <v>42</v>
      </c>
      <c r="M51" s="217">
        <v>7</v>
      </c>
      <c r="N51" s="217">
        <v>7</v>
      </c>
      <c r="O51" s="217">
        <v>1</v>
      </c>
      <c r="P51" s="217">
        <v>0</v>
      </c>
      <c r="Q51" s="217">
        <v>0</v>
      </c>
      <c r="R51" s="217" t="s">
        <v>1807</v>
      </c>
    </row>
    <row r="52" spans="1:18" x14ac:dyDescent="0.25">
      <c r="A52" s="217">
        <v>51</v>
      </c>
      <c r="B52" s="217" t="s">
        <v>22</v>
      </c>
      <c r="C52" s="217" t="s">
        <v>23</v>
      </c>
      <c r="D52" s="217" t="s">
        <v>85</v>
      </c>
      <c r="E52" s="217" t="s">
        <v>84</v>
      </c>
      <c r="F52" s="217" t="s">
        <v>88</v>
      </c>
      <c r="G52" s="217" t="s">
        <v>89</v>
      </c>
      <c r="H52" s="217" t="s">
        <v>910</v>
      </c>
      <c r="I52" s="217" t="s">
        <v>102</v>
      </c>
      <c r="J52" s="217" t="s">
        <v>2298</v>
      </c>
      <c r="K52" s="217" t="s">
        <v>2299</v>
      </c>
      <c r="L52" s="217">
        <v>68</v>
      </c>
      <c r="M52" s="217">
        <v>7</v>
      </c>
      <c r="N52" s="217">
        <v>4</v>
      </c>
      <c r="O52" s="217">
        <v>1</v>
      </c>
      <c r="P52" s="217">
        <v>0</v>
      </c>
      <c r="Q52" s="217">
        <v>0</v>
      </c>
      <c r="R52" s="217" t="s">
        <v>1807</v>
      </c>
    </row>
    <row r="53" spans="1:18" x14ac:dyDescent="0.25">
      <c r="A53" s="217">
        <v>52</v>
      </c>
      <c r="B53" s="217" t="s">
        <v>22</v>
      </c>
      <c r="C53" s="217" t="s">
        <v>23</v>
      </c>
      <c r="D53" s="217" t="s">
        <v>85</v>
      </c>
      <c r="E53" s="217" t="s">
        <v>84</v>
      </c>
      <c r="F53" s="217" t="s">
        <v>88</v>
      </c>
      <c r="G53" s="217" t="s">
        <v>89</v>
      </c>
      <c r="H53" s="217" t="s">
        <v>911</v>
      </c>
      <c r="I53" s="217" t="s">
        <v>103</v>
      </c>
      <c r="J53" s="217" t="s">
        <v>2300</v>
      </c>
      <c r="K53" s="217" t="s">
        <v>2301</v>
      </c>
      <c r="L53" s="217">
        <v>145</v>
      </c>
      <c r="M53" s="217">
        <v>18</v>
      </c>
      <c r="N53" s="217">
        <v>8</v>
      </c>
      <c r="O53" s="217">
        <v>2</v>
      </c>
      <c r="P53" s="217">
        <v>0</v>
      </c>
      <c r="Q53" s="217">
        <v>0</v>
      </c>
      <c r="R53" s="217" t="s">
        <v>1807</v>
      </c>
    </row>
    <row r="54" spans="1:18" x14ac:dyDescent="0.25">
      <c r="A54" s="217">
        <v>53</v>
      </c>
      <c r="B54" s="217" t="s">
        <v>22</v>
      </c>
      <c r="C54" s="217" t="s">
        <v>23</v>
      </c>
      <c r="D54" s="217" t="s">
        <v>85</v>
      </c>
      <c r="E54" s="217" t="s">
        <v>84</v>
      </c>
      <c r="F54" s="217" t="s">
        <v>88</v>
      </c>
      <c r="G54" s="217" t="s">
        <v>89</v>
      </c>
      <c r="H54" s="217" t="s">
        <v>912</v>
      </c>
      <c r="I54" s="217" t="s">
        <v>104</v>
      </c>
      <c r="J54" s="217" t="s">
        <v>2302</v>
      </c>
      <c r="K54" s="217" t="s">
        <v>2303</v>
      </c>
      <c r="L54" s="217">
        <v>74</v>
      </c>
      <c r="M54" s="217">
        <v>11</v>
      </c>
      <c r="N54" s="217">
        <v>10</v>
      </c>
      <c r="O54" s="217">
        <v>2</v>
      </c>
      <c r="P54" s="217">
        <v>0</v>
      </c>
      <c r="Q54" s="217">
        <v>0</v>
      </c>
      <c r="R54" s="217" t="s">
        <v>1807</v>
      </c>
    </row>
    <row r="55" spans="1:18" x14ac:dyDescent="0.25">
      <c r="A55" s="217">
        <v>54</v>
      </c>
      <c r="B55" s="217" t="s">
        <v>22</v>
      </c>
      <c r="C55" s="217" t="s">
        <v>23</v>
      </c>
      <c r="D55" s="217" t="s">
        <v>85</v>
      </c>
      <c r="E55" s="217" t="s">
        <v>84</v>
      </c>
      <c r="F55" s="217" t="s">
        <v>88</v>
      </c>
      <c r="G55" s="217" t="s">
        <v>89</v>
      </c>
      <c r="H55" s="217" t="s">
        <v>913</v>
      </c>
      <c r="I55" s="217" t="s">
        <v>105</v>
      </c>
      <c r="J55" s="217" t="s">
        <v>2304</v>
      </c>
      <c r="K55" s="217" t="s">
        <v>2305</v>
      </c>
      <c r="L55" s="217">
        <v>15</v>
      </c>
      <c r="M55" s="217">
        <v>4</v>
      </c>
      <c r="N55" s="217">
        <v>0</v>
      </c>
      <c r="O55" s="217">
        <v>0</v>
      </c>
      <c r="P55" s="217">
        <v>0</v>
      </c>
      <c r="Q55" s="217">
        <v>0</v>
      </c>
      <c r="R55" s="217" t="s">
        <v>1807</v>
      </c>
    </row>
    <row r="56" spans="1:18" x14ac:dyDescent="0.25">
      <c r="A56" s="217">
        <v>55</v>
      </c>
      <c r="B56" s="217" t="s">
        <v>22</v>
      </c>
      <c r="C56" s="217" t="s">
        <v>23</v>
      </c>
      <c r="D56" s="217" t="s">
        <v>85</v>
      </c>
      <c r="E56" s="217" t="s">
        <v>84</v>
      </c>
      <c r="F56" s="217" t="s">
        <v>88</v>
      </c>
      <c r="G56" s="217" t="s">
        <v>89</v>
      </c>
      <c r="H56" s="217" t="s">
        <v>914</v>
      </c>
      <c r="I56" s="217" t="s">
        <v>106</v>
      </c>
      <c r="J56" s="217" t="s">
        <v>2306</v>
      </c>
      <c r="K56" s="217" t="s">
        <v>2307</v>
      </c>
      <c r="L56" s="217">
        <v>331</v>
      </c>
      <c r="M56" s="217">
        <v>62</v>
      </c>
      <c r="N56" s="217">
        <v>193</v>
      </c>
      <c r="O56" s="217">
        <v>33</v>
      </c>
      <c r="P56" s="217">
        <v>22</v>
      </c>
      <c r="Q56" s="217">
        <v>4</v>
      </c>
      <c r="R56" s="217" t="s">
        <v>1807</v>
      </c>
    </row>
    <row r="57" spans="1:18" x14ac:dyDescent="0.25">
      <c r="A57" s="217">
        <v>56</v>
      </c>
      <c r="B57" s="217" t="s">
        <v>22</v>
      </c>
      <c r="C57" s="217" t="s">
        <v>23</v>
      </c>
      <c r="D57" s="217" t="s">
        <v>85</v>
      </c>
      <c r="E57" s="217" t="s">
        <v>84</v>
      </c>
      <c r="F57" s="217" t="s">
        <v>88</v>
      </c>
      <c r="G57" s="217" t="s">
        <v>89</v>
      </c>
      <c r="H57" s="217" t="s">
        <v>915</v>
      </c>
      <c r="I57" s="217" t="s">
        <v>107</v>
      </c>
      <c r="J57" s="217" t="s">
        <v>2308</v>
      </c>
      <c r="K57" s="217" t="s">
        <v>2309</v>
      </c>
      <c r="L57" s="217">
        <v>40</v>
      </c>
      <c r="M57" s="217">
        <v>3</v>
      </c>
      <c r="N57" s="217">
        <v>38</v>
      </c>
      <c r="O57" s="217">
        <v>5</v>
      </c>
      <c r="P57" s="217">
        <v>122</v>
      </c>
      <c r="Q57" s="217">
        <v>9</v>
      </c>
      <c r="R57" s="217" t="s">
        <v>1807</v>
      </c>
    </row>
    <row r="58" spans="1:18" x14ac:dyDescent="0.25">
      <c r="A58" s="217">
        <v>57</v>
      </c>
      <c r="B58" s="217" t="s">
        <v>22</v>
      </c>
      <c r="C58" s="217" t="s">
        <v>23</v>
      </c>
      <c r="D58" s="217" t="s">
        <v>85</v>
      </c>
      <c r="E58" s="217" t="s">
        <v>84</v>
      </c>
      <c r="F58" s="217" t="s">
        <v>88</v>
      </c>
      <c r="G58" s="217" t="s">
        <v>89</v>
      </c>
      <c r="H58" s="217" t="s">
        <v>916</v>
      </c>
      <c r="I58" s="217" t="s">
        <v>766</v>
      </c>
      <c r="J58" s="217" t="s">
        <v>2310</v>
      </c>
      <c r="K58" s="217" t="s">
        <v>2311</v>
      </c>
      <c r="L58" s="217">
        <v>126</v>
      </c>
      <c r="M58" s="217">
        <v>22</v>
      </c>
      <c r="N58" s="217">
        <v>0</v>
      </c>
      <c r="O58" s="217">
        <v>0</v>
      </c>
      <c r="P58" s="217">
        <v>0</v>
      </c>
      <c r="Q58" s="217">
        <v>0</v>
      </c>
      <c r="R58" s="217" t="s">
        <v>1807</v>
      </c>
    </row>
    <row r="59" spans="1:18" x14ac:dyDescent="0.25">
      <c r="A59" s="217">
        <v>58</v>
      </c>
      <c r="B59" s="217" t="s">
        <v>22</v>
      </c>
      <c r="C59" s="217" t="s">
        <v>23</v>
      </c>
      <c r="D59" s="217" t="s">
        <v>85</v>
      </c>
      <c r="E59" s="217" t="s">
        <v>84</v>
      </c>
      <c r="F59" s="217" t="s">
        <v>88</v>
      </c>
      <c r="G59" s="217" t="s">
        <v>89</v>
      </c>
      <c r="H59" s="217" t="s">
        <v>1558</v>
      </c>
      <c r="I59" s="217" t="s">
        <v>669</v>
      </c>
      <c r="J59" s="217" t="s">
        <v>2312</v>
      </c>
      <c r="K59" s="217" t="s">
        <v>2313</v>
      </c>
      <c r="L59" s="217">
        <v>7</v>
      </c>
      <c r="M59" s="217">
        <v>1</v>
      </c>
      <c r="N59" s="217">
        <v>0</v>
      </c>
      <c r="O59" s="217">
        <v>0</v>
      </c>
      <c r="P59" s="217">
        <v>67</v>
      </c>
      <c r="Q59" s="217">
        <v>7</v>
      </c>
      <c r="R59" s="217" t="s">
        <v>1807</v>
      </c>
    </row>
    <row r="60" spans="1:18" x14ac:dyDescent="0.25">
      <c r="A60" s="217">
        <v>59</v>
      </c>
      <c r="B60" s="217" t="s">
        <v>22</v>
      </c>
      <c r="C60" s="217" t="s">
        <v>23</v>
      </c>
      <c r="D60" s="217" t="s">
        <v>85</v>
      </c>
      <c r="E60" s="217" t="s">
        <v>84</v>
      </c>
      <c r="F60" s="217" t="s">
        <v>88</v>
      </c>
      <c r="G60" s="217" t="s">
        <v>89</v>
      </c>
      <c r="H60" s="217" t="s">
        <v>1498</v>
      </c>
      <c r="I60" s="217" t="s">
        <v>621</v>
      </c>
      <c r="J60" s="217" t="s">
        <v>2314</v>
      </c>
      <c r="K60" s="217" t="s">
        <v>2315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  <c r="Q60" s="217">
        <v>0</v>
      </c>
      <c r="R60" s="217" t="s">
        <v>1807</v>
      </c>
    </row>
    <row r="61" spans="1:18" x14ac:dyDescent="0.25">
      <c r="A61" s="217">
        <v>60</v>
      </c>
      <c r="B61" s="217" t="s">
        <v>22</v>
      </c>
      <c r="C61" s="217" t="s">
        <v>23</v>
      </c>
      <c r="D61" s="217" t="s">
        <v>85</v>
      </c>
      <c r="E61" s="217" t="s">
        <v>84</v>
      </c>
      <c r="F61" s="217" t="s">
        <v>88</v>
      </c>
      <c r="G61" s="217" t="s">
        <v>89</v>
      </c>
      <c r="H61" s="217" t="s">
        <v>1808</v>
      </c>
      <c r="I61" s="217" t="s">
        <v>1809</v>
      </c>
      <c r="J61" s="217" t="s">
        <v>2316</v>
      </c>
      <c r="K61" s="217" t="s">
        <v>2317</v>
      </c>
      <c r="L61" s="217">
        <v>44</v>
      </c>
      <c r="M61" s="217">
        <v>10</v>
      </c>
      <c r="N61" s="217">
        <v>0</v>
      </c>
      <c r="O61" s="217">
        <v>0</v>
      </c>
      <c r="P61" s="217">
        <v>37</v>
      </c>
      <c r="Q61" s="217">
        <v>9</v>
      </c>
      <c r="R61" s="217" t="s">
        <v>1807</v>
      </c>
    </row>
    <row r="62" spans="1:18" x14ac:dyDescent="0.25">
      <c r="A62" s="217">
        <v>61</v>
      </c>
      <c r="B62" s="217" t="s">
        <v>22</v>
      </c>
      <c r="C62" s="217" t="s">
        <v>23</v>
      </c>
      <c r="D62" s="217" t="s">
        <v>85</v>
      </c>
      <c r="E62" s="217" t="s">
        <v>84</v>
      </c>
      <c r="F62" s="217" t="s">
        <v>88</v>
      </c>
      <c r="G62" s="217" t="s">
        <v>89</v>
      </c>
      <c r="H62" s="217" t="s">
        <v>917</v>
      </c>
      <c r="I62" s="217" t="s">
        <v>108</v>
      </c>
      <c r="J62" s="217" t="s">
        <v>2318</v>
      </c>
      <c r="K62" s="217" t="s">
        <v>2319</v>
      </c>
      <c r="L62" s="217">
        <v>4</v>
      </c>
      <c r="M62" s="217">
        <v>1</v>
      </c>
      <c r="N62" s="217">
        <v>0</v>
      </c>
      <c r="O62" s="217">
        <v>0</v>
      </c>
      <c r="P62" s="217">
        <v>58</v>
      </c>
      <c r="Q62" s="217">
        <v>7</v>
      </c>
      <c r="R62" s="217" t="s">
        <v>1807</v>
      </c>
    </row>
    <row r="63" spans="1:18" x14ac:dyDescent="0.25">
      <c r="A63" s="217">
        <v>62</v>
      </c>
      <c r="B63" s="217" t="s">
        <v>22</v>
      </c>
      <c r="C63" s="217" t="s">
        <v>23</v>
      </c>
      <c r="D63" s="217" t="s">
        <v>85</v>
      </c>
      <c r="E63" s="217" t="s">
        <v>84</v>
      </c>
      <c r="F63" s="217" t="s">
        <v>88</v>
      </c>
      <c r="G63" s="217" t="s">
        <v>89</v>
      </c>
      <c r="H63" s="217" t="s">
        <v>918</v>
      </c>
      <c r="I63" s="217" t="s">
        <v>767</v>
      </c>
      <c r="J63" s="217" t="s">
        <v>2320</v>
      </c>
      <c r="K63" s="217" t="s">
        <v>2321</v>
      </c>
      <c r="L63" s="217">
        <v>38</v>
      </c>
      <c r="M63" s="217">
        <v>8</v>
      </c>
      <c r="N63" s="217">
        <v>39</v>
      </c>
      <c r="O63" s="217">
        <v>9</v>
      </c>
      <c r="P63" s="217">
        <v>0</v>
      </c>
      <c r="Q63" s="217">
        <v>0</v>
      </c>
      <c r="R63" s="217" t="s">
        <v>1807</v>
      </c>
    </row>
    <row r="64" spans="1:18" x14ac:dyDescent="0.25">
      <c r="A64" s="217">
        <v>63</v>
      </c>
      <c r="B64" s="217" t="s">
        <v>22</v>
      </c>
      <c r="C64" s="217" t="s">
        <v>23</v>
      </c>
      <c r="D64" s="217" t="s">
        <v>85</v>
      </c>
      <c r="E64" s="217" t="s">
        <v>84</v>
      </c>
      <c r="F64" s="217" t="s">
        <v>88</v>
      </c>
      <c r="G64" s="217" t="s">
        <v>89</v>
      </c>
      <c r="H64" s="217" t="s">
        <v>919</v>
      </c>
      <c r="I64" s="217" t="s">
        <v>111</v>
      </c>
      <c r="J64" s="217" t="s">
        <v>2322</v>
      </c>
      <c r="K64" s="217" t="s">
        <v>2323</v>
      </c>
      <c r="L64" s="217">
        <v>112</v>
      </c>
      <c r="M64" s="217">
        <v>16</v>
      </c>
      <c r="N64" s="217">
        <v>81</v>
      </c>
      <c r="O64" s="217">
        <v>10</v>
      </c>
      <c r="P64" s="217">
        <v>0</v>
      </c>
      <c r="Q64" s="217">
        <v>0</v>
      </c>
      <c r="R64" s="217" t="s">
        <v>1807</v>
      </c>
    </row>
    <row r="65" spans="1:18" x14ac:dyDescent="0.25">
      <c r="A65" s="217">
        <v>64</v>
      </c>
      <c r="B65" s="217" t="s">
        <v>22</v>
      </c>
      <c r="C65" s="217" t="s">
        <v>23</v>
      </c>
      <c r="D65" s="217" t="s">
        <v>85</v>
      </c>
      <c r="E65" s="217" t="s">
        <v>84</v>
      </c>
      <c r="F65" s="217" t="s">
        <v>95</v>
      </c>
      <c r="G65" s="217" t="s">
        <v>94</v>
      </c>
      <c r="H65" s="217" t="s">
        <v>920</v>
      </c>
      <c r="I65" s="217" t="s">
        <v>112</v>
      </c>
      <c r="J65" s="217" t="s">
        <v>2324</v>
      </c>
      <c r="K65" s="217" t="s">
        <v>2325</v>
      </c>
      <c r="L65" s="217">
        <v>192</v>
      </c>
      <c r="M65" s="217">
        <v>33</v>
      </c>
      <c r="N65" s="217">
        <v>0</v>
      </c>
      <c r="O65" s="217">
        <v>0</v>
      </c>
      <c r="P65" s="217">
        <v>0</v>
      </c>
      <c r="Q65" s="217">
        <v>0</v>
      </c>
      <c r="R65" s="217" t="s">
        <v>1807</v>
      </c>
    </row>
    <row r="66" spans="1:18" x14ac:dyDescent="0.25">
      <c r="A66" s="217">
        <v>65</v>
      </c>
      <c r="B66" s="217" t="s">
        <v>22</v>
      </c>
      <c r="C66" s="217" t="s">
        <v>23</v>
      </c>
      <c r="D66" s="217" t="s">
        <v>85</v>
      </c>
      <c r="E66" s="217" t="s">
        <v>84</v>
      </c>
      <c r="F66" s="217" t="s">
        <v>95</v>
      </c>
      <c r="G66" s="217" t="s">
        <v>94</v>
      </c>
      <c r="H66" s="217" t="s">
        <v>921</v>
      </c>
      <c r="I66" s="217" t="s">
        <v>113</v>
      </c>
      <c r="J66" s="217" t="s">
        <v>2326</v>
      </c>
      <c r="K66" s="217" t="s">
        <v>2327</v>
      </c>
      <c r="L66" s="217">
        <v>247</v>
      </c>
      <c r="M66" s="217">
        <v>40</v>
      </c>
      <c r="N66" s="217">
        <v>0</v>
      </c>
      <c r="O66" s="217">
        <v>0</v>
      </c>
      <c r="P66" s="217">
        <v>0</v>
      </c>
      <c r="Q66" s="217">
        <v>0</v>
      </c>
      <c r="R66" s="217" t="s">
        <v>1807</v>
      </c>
    </row>
    <row r="67" spans="1:18" x14ac:dyDescent="0.25">
      <c r="A67" s="217">
        <v>66</v>
      </c>
      <c r="B67" s="217" t="s">
        <v>22</v>
      </c>
      <c r="C67" s="217" t="s">
        <v>23</v>
      </c>
      <c r="D67" s="217" t="s">
        <v>85</v>
      </c>
      <c r="E67" s="217" t="s">
        <v>84</v>
      </c>
      <c r="F67" s="217" t="s">
        <v>95</v>
      </c>
      <c r="G67" s="217" t="s">
        <v>94</v>
      </c>
      <c r="H67" s="217" t="s">
        <v>922</v>
      </c>
      <c r="I67" s="217" t="s">
        <v>114</v>
      </c>
      <c r="J67" s="217" t="s">
        <v>2328</v>
      </c>
      <c r="K67" s="217" t="s">
        <v>2329</v>
      </c>
      <c r="L67" s="217">
        <v>112</v>
      </c>
      <c r="M67" s="217">
        <v>16</v>
      </c>
      <c r="N67" s="217">
        <v>66</v>
      </c>
      <c r="O67" s="217">
        <v>11</v>
      </c>
      <c r="P67" s="217">
        <v>0</v>
      </c>
      <c r="Q67" s="217">
        <v>0</v>
      </c>
      <c r="R67" s="217" t="s">
        <v>1807</v>
      </c>
    </row>
    <row r="68" spans="1:18" x14ac:dyDescent="0.25">
      <c r="A68" s="217">
        <v>67</v>
      </c>
      <c r="B68" s="217" t="s">
        <v>22</v>
      </c>
      <c r="C68" s="217" t="s">
        <v>23</v>
      </c>
      <c r="D68" s="217" t="s">
        <v>85</v>
      </c>
      <c r="E68" s="217" t="s">
        <v>84</v>
      </c>
      <c r="F68" s="217" t="s">
        <v>95</v>
      </c>
      <c r="G68" s="217" t="s">
        <v>94</v>
      </c>
      <c r="H68" s="217" t="s">
        <v>923</v>
      </c>
      <c r="I68" s="217" t="s">
        <v>115</v>
      </c>
      <c r="J68" s="217" t="s">
        <v>2330</v>
      </c>
      <c r="K68" s="217" t="s">
        <v>2331</v>
      </c>
      <c r="L68" s="217">
        <v>509</v>
      </c>
      <c r="M68" s="217">
        <v>80</v>
      </c>
      <c r="N68" s="217">
        <v>0</v>
      </c>
      <c r="O68" s="217">
        <v>0</v>
      </c>
      <c r="P68" s="217">
        <v>212</v>
      </c>
      <c r="Q68" s="217">
        <v>25</v>
      </c>
      <c r="R68" s="217" t="s">
        <v>1807</v>
      </c>
    </row>
    <row r="69" spans="1:18" x14ac:dyDescent="0.25">
      <c r="A69" s="217">
        <v>68</v>
      </c>
      <c r="B69" s="217" t="s">
        <v>22</v>
      </c>
      <c r="C69" s="217" t="s">
        <v>23</v>
      </c>
      <c r="D69" s="217" t="s">
        <v>85</v>
      </c>
      <c r="E69" s="217" t="s">
        <v>84</v>
      </c>
      <c r="F69" s="217" t="s">
        <v>95</v>
      </c>
      <c r="G69" s="217" t="s">
        <v>94</v>
      </c>
      <c r="H69" s="217" t="s">
        <v>924</v>
      </c>
      <c r="I69" s="217" t="s">
        <v>116</v>
      </c>
      <c r="J69" s="217" t="s">
        <v>2332</v>
      </c>
      <c r="K69" s="217" t="s">
        <v>2333</v>
      </c>
      <c r="L69" s="217">
        <v>21</v>
      </c>
      <c r="M69" s="217">
        <v>3</v>
      </c>
      <c r="N69" s="217">
        <v>0</v>
      </c>
      <c r="O69" s="217">
        <v>0</v>
      </c>
      <c r="P69" s="217">
        <v>0</v>
      </c>
      <c r="Q69" s="217">
        <v>0</v>
      </c>
      <c r="R69" s="217" t="s">
        <v>1807</v>
      </c>
    </row>
    <row r="70" spans="1:18" x14ac:dyDescent="0.25">
      <c r="A70" s="217">
        <v>69</v>
      </c>
      <c r="B70" s="217" t="s">
        <v>22</v>
      </c>
      <c r="C70" s="217" t="s">
        <v>23</v>
      </c>
      <c r="D70" s="217" t="s">
        <v>85</v>
      </c>
      <c r="E70" s="217" t="s">
        <v>84</v>
      </c>
      <c r="F70" s="217" t="s">
        <v>95</v>
      </c>
      <c r="G70" s="217" t="s">
        <v>94</v>
      </c>
      <c r="H70" s="217" t="s">
        <v>1499</v>
      </c>
      <c r="I70" s="217" t="s">
        <v>622</v>
      </c>
      <c r="J70" s="217" t="s">
        <v>2334</v>
      </c>
      <c r="K70" s="217" t="s">
        <v>2335</v>
      </c>
      <c r="L70" s="217">
        <v>0</v>
      </c>
      <c r="M70" s="217">
        <v>0</v>
      </c>
      <c r="N70" s="217">
        <v>0</v>
      </c>
      <c r="O70" s="217">
        <v>0</v>
      </c>
      <c r="P70" s="217">
        <v>0</v>
      </c>
      <c r="Q70" s="217">
        <v>0</v>
      </c>
      <c r="R70" s="217" t="s">
        <v>1807</v>
      </c>
    </row>
    <row r="71" spans="1:18" x14ac:dyDescent="0.25">
      <c r="A71" s="217">
        <v>70</v>
      </c>
      <c r="B71" s="217" t="s">
        <v>22</v>
      </c>
      <c r="C71" s="217" t="s">
        <v>23</v>
      </c>
      <c r="D71" s="217" t="s">
        <v>85</v>
      </c>
      <c r="E71" s="217" t="s">
        <v>84</v>
      </c>
      <c r="F71" s="217" t="s">
        <v>95</v>
      </c>
      <c r="G71" s="217" t="s">
        <v>94</v>
      </c>
      <c r="H71" s="217" t="s">
        <v>1668</v>
      </c>
      <c r="I71" s="217" t="s">
        <v>670</v>
      </c>
      <c r="J71" s="217" t="s">
        <v>2336</v>
      </c>
      <c r="K71" s="217" t="s">
        <v>2337</v>
      </c>
      <c r="L71" s="217">
        <v>46</v>
      </c>
      <c r="M71" s="217">
        <v>7</v>
      </c>
      <c r="N71" s="217">
        <v>30</v>
      </c>
      <c r="O71" s="217">
        <v>6</v>
      </c>
      <c r="P71" s="217">
        <v>0</v>
      </c>
      <c r="Q71" s="217">
        <v>0</v>
      </c>
      <c r="R71" s="217" t="s">
        <v>1807</v>
      </c>
    </row>
    <row r="72" spans="1:18" x14ac:dyDescent="0.25">
      <c r="A72" s="217">
        <v>71</v>
      </c>
      <c r="B72" s="217" t="s">
        <v>22</v>
      </c>
      <c r="C72" s="217" t="s">
        <v>23</v>
      </c>
      <c r="D72" s="217" t="s">
        <v>85</v>
      </c>
      <c r="E72" s="217" t="s">
        <v>84</v>
      </c>
      <c r="F72" s="217" t="s">
        <v>95</v>
      </c>
      <c r="G72" s="217" t="s">
        <v>94</v>
      </c>
      <c r="H72" s="217" t="s">
        <v>925</v>
      </c>
      <c r="I72" s="217" t="s">
        <v>117</v>
      </c>
      <c r="J72" s="217" t="s">
        <v>2338</v>
      </c>
      <c r="K72" s="217" t="s">
        <v>2339</v>
      </c>
      <c r="L72" s="217">
        <v>184</v>
      </c>
      <c r="M72" s="217">
        <v>27</v>
      </c>
      <c r="N72" s="217">
        <v>138</v>
      </c>
      <c r="O72" s="217">
        <v>18</v>
      </c>
      <c r="P72" s="217">
        <v>0</v>
      </c>
      <c r="Q72" s="217">
        <v>0</v>
      </c>
      <c r="R72" s="217" t="s">
        <v>1807</v>
      </c>
    </row>
    <row r="73" spans="1:18" x14ac:dyDescent="0.25">
      <c r="A73" s="217">
        <v>72</v>
      </c>
      <c r="B73" s="217" t="s">
        <v>22</v>
      </c>
      <c r="C73" s="217" t="s">
        <v>23</v>
      </c>
      <c r="D73" s="217" t="s">
        <v>85</v>
      </c>
      <c r="E73" s="217" t="s">
        <v>84</v>
      </c>
      <c r="F73" s="217" t="s">
        <v>95</v>
      </c>
      <c r="G73" s="217" t="s">
        <v>94</v>
      </c>
      <c r="H73" s="217" t="s">
        <v>926</v>
      </c>
      <c r="I73" s="217" t="s">
        <v>118</v>
      </c>
      <c r="J73" s="217" t="s">
        <v>2340</v>
      </c>
      <c r="K73" s="217" t="s">
        <v>2341</v>
      </c>
      <c r="L73" s="217">
        <v>46</v>
      </c>
      <c r="M73" s="217">
        <v>6</v>
      </c>
      <c r="N73" s="217">
        <v>246</v>
      </c>
      <c r="O73" s="217">
        <v>24</v>
      </c>
      <c r="P73" s="217">
        <v>0</v>
      </c>
      <c r="Q73" s="217">
        <v>0</v>
      </c>
      <c r="R73" s="217" t="s">
        <v>1807</v>
      </c>
    </row>
    <row r="74" spans="1:18" x14ac:dyDescent="0.25">
      <c r="A74" s="217">
        <v>73</v>
      </c>
      <c r="B74" s="217" t="s">
        <v>22</v>
      </c>
      <c r="C74" s="217" t="s">
        <v>23</v>
      </c>
      <c r="D74" s="217" t="s">
        <v>85</v>
      </c>
      <c r="E74" s="217" t="s">
        <v>84</v>
      </c>
      <c r="F74" s="217" t="s">
        <v>95</v>
      </c>
      <c r="G74" s="217" t="s">
        <v>94</v>
      </c>
      <c r="H74" s="217" t="s">
        <v>927</v>
      </c>
      <c r="I74" s="217" t="s">
        <v>119</v>
      </c>
      <c r="J74" s="217" t="s">
        <v>2342</v>
      </c>
      <c r="K74" s="217" t="s">
        <v>2343</v>
      </c>
      <c r="L74" s="217">
        <v>185</v>
      </c>
      <c r="M74" s="217">
        <v>25</v>
      </c>
      <c r="N74" s="217">
        <v>77</v>
      </c>
      <c r="O74" s="217">
        <v>11</v>
      </c>
      <c r="P74" s="217">
        <v>0</v>
      </c>
      <c r="Q74" s="217">
        <v>0</v>
      </c>
      <c r="R74" s="217" t="s">
        <v>1807</v>
      </c>
    </row>
    <row r="75" spans="1:18" x14ac:dyDescent="0.25">
      <c r="A75" s="217">
        <v>74</v>
      </c>
      <c r="B75" s="217" t="s">
        <v>22</v>
      </c>
      <c r="C75" s="217" t="s">
        <v>23</v>
      </c>
      <c r="D75" s="217" t="s">
        <v>85</v>
      </c>
      <c r="E75" s="217" t="s">
        <v>84</v>
      </c>
      <c r="F75" s="217" t="s">
        <v>95</v>
      </c>
      <c r="G75" s="217" t="s">
        <v>94</v>
      </c>
      <c r="H75" s="217" t="s">
        <v>928</v>
      </c>
      <c r="I75" s="217" t="s">
        <v>120</v>
      </c>
      <c r="J75" s="217" t="s">
        <v>2344</v>
      </c>
      <c r="K75" s="217" t="s">
        <v>2345</v>
      </c>
      <c r="L75" s="217">
        <v>65</v>
      </c>
      <c r="M75" s="217">
        <v>13</v>
      </c>
      <c r="N75" s="217">
        <v>0</v>
      </c>
      <c r="O75" s="217">
        <v>0</v>
      </c>
      <c r="P75" s="217">
        <v>0</v>
      </c>
      <c r="Q75" s="217">
        <v>0</v>
      </c>
      <c r="R75" s="217" t="s">
        <v>1807</v>
      </c>
    </row>
    <row r="76" spans="1:18" x14ac:dyDescent="0.25">
      <c r="A76" s="217">
        <v>75</v>
      </c>
      <c r="B76" s="217" t="s">
        <v>22</v>
      </c>
      <c r="C76" s="217" t="s">
        <v>23</v>
      </c>
      <c r="D76" s="217" t="s">
        <v>85</v>
      </c>
      <c r="E76" s="217" t="s">
        <v>84</v>
      </c>
      <c r="F76" s="217" t="s">
        <v>95</v>
      </c>
      <c r="G76" s="217" t="s">
        <v>94</v>
      </c>
      <c r="H76" s="217" t="s">
        <v>929</v>
      </c>
      <c r="I76" s="217" t="s">
        <v>121</v>
      </c>
      <c r="J76" s="217" t="s">
        <v>2346</v>
      </c>
      <c r="K76" s="217" t="s">
        <v>2347</v>
      </c>
      <c r="L76" s="217">
        <v>0</v>
      </c>
      <c r="M76" s="217">
        <v>0</v>
      </c>
      <c r="N76" s="217">
        <v>0</v>
      </c>
      <c r="O76" s="217">
        <v>0</v>
      </c>
      <c r="P76" s="217">
        <v>0</v>
      </c>
      <c r="Q76" s="217">
        <v>0</v>
      </c>
      <c r="R76" s="217" t="s">
        <v>1807</v>
      </c>
    </row>
    <row r="77" spans="1:18" x14ac:dyDescent="0.25">
      <c r="A77" s="217">
        <v>76</v>
      </c>
      <c r="B77" s="217" t="s">
        <v>22</v>
      </c>
      <c r="C77" s="217" t="s">
        <v>23</v>
      </c>
      <c r="D77" s="217" t="s">
        <v>85</v>
      </c>
      <c r="E77" s="217" t="s">
        <v>84</v>
      </c>
      <c r="F77" s="217" t="s">
        <v>95</v>
      </c>
      <c r="G77" s="217" t="s">
        <v>94</v>
      </c>
      <c r="H77" s="217" t="s">
        <v>930</v>
      </c>
      <c r="I77" s="217" t="s">
        <v>263</v>
      </c>
      <c r="J77" s="217" t="s">
        <v>2348</v>
      </c>
      <c r="K77" s="217" t="s">
        <v>2349</v>
      </c>
      <c r="L77" s="217">
        <v>350</v>
      </c>
      <c r="M77" s="217">
        <v>51</v>
      </c>
      <c r="N77" s="217">
        <v>34</v>
      </c>
      <c r="O77" s="217">
        <v>5</v>
      </c>
      <c r="P77" s="217">
        <v>62</v>
      </c>
      <c r="Q77" s="217">
        <v>8</v>
      </c>
      <c r="R77" s="217" t="s">
        <v>1807</v>
      </c>
    </row>
    <row r="78" spans="1:18" x14ac:dyDescent="0.25">
      <c r="A78" s="217">
        <v>77</v>
      </c>
      <c r="B78" s="217" t="s">
        <v>22</v>
      </c>
      <c r="C78" s="217" t="s">
        <v>23</v>
      </c>
      <c r="D78" s="217" t="s">
        <v>85</v>
      </c>
      <c r="E78" s="217" t="s">
        <v>84</v>
      </c>
      <c r="F78" s="217" t="s">
        <v>95</v>
      </c>
      <c r="G78" s="217" t="s">
        <v>94</v>
      </c>
      <c r="H78" s="217" t="s">
        <v>931</v>
      </c>
      <c r="I78" s="217" t="s">
        <v>264</v>
      </c>
      <c r="J78" s="217" t="s">
        <v>2350</v>
      </c>
      <c r="K78" s="217" t="s">
        <v>2351</v>
      </c>
      <c r="L78" s="217">
        <v>176</v>
      </c>
      <c r="M78" s="217">
        <v>23</v>
      </c>
      <c r="N78" s="217">
        <v>15</v>
      </c>
      <c r="O78" s="217">
        <v>2</v>
      </c>
      <c r="P78" s="217">
        <v>0</v>
      </c>
      <c r="Q78" s="217">
        <v>0</v>
      </c>
      <c r="R78" s="217" t="s">
        <v>1807</v>
      </c>
    </row>
    <row r="79" spans="1:18" x14ac:dyDescent="0.25">
      <c r="A79" s="217">
        <v>78</v>
      </c>
      <c r="B79" s="217" t="s">
        <v>22</v>
      </c>
      <c r="C79" s="217" t="s">
        <v>23</v>
      </c>
      <c r="D79" s="217" t="s">
        <v>85</v>
      </c>
      <c r="E79" s="217" t="s">
        <v>84</v>
      </c>
      <c r="F79" s="217" t="s">
        <v>95</v>
      </c>
      <c r="G79" s="217" t="s">
        <v>94</v>
      </c>
      <c r="H79" s="217" t="s">
        <v>932</v>
      </c>
      <c r="I79" s="217" t="s">
        <v>265</v>
      </c>
      <c r="J79" s="217" t="s">
        <v>2352</v>
      </c>
      <c r="K79" s="217" t="s">
        <v>2353</v>
      </c>
      <c r="L79" s="217">
        <v>558</v>
      </c>
      <c r="M79" s="217">
        <v>64</v>
      </c>
      <c r="N79" s="217">
        <v>50</v>
      </c>
      <c r="O79" s="217">
        <v>7</v>
      </c>
      <c r="P79" s="217">
        <v>0</v>
      </c>
      <c r="Q79" s="217">
        <v>0</v>
      </c>
      <c r="R79" s="217" t="s">
        <v>1807</v>
      </c>
    </row>
    <row r="80" spans="1:18" x14ac:dyDescent="0.25">
      <c r="A80" s="217">
        <v>79</v>
      </c>
      <c r="B80" s="217" t="s">
        <v>22</v>
      </c>
      <c r="C80" s="217" t="s">
        <v>23</v>
      </c>
      <c r="D80" s="217" t="s">
        <v>85</v>
      </c>
      <c r="E80" s="217" t="s">
        <v>84</v>
      </c>
      <c r="F80" s="217" t="s">
        <v>95</v>
      </c>
      <c r="G80" s="217" t="s">
        <v>94</v>
      </c>
      <c r="H80" s="217" t="s">
        <v>933</v>
      </c>
      <c r="I80" s="217" t="s">
        <v>266</v>
      </c>
      <c r="J80" s="217" t="s">
        <v>2354</v>
      </c>
      <c r="K80" s="217" t="s">
        <v>2355</v>
      </c>
      <c r="L80" s="217">
        <v>50</v>
      </c>
      <c r="M80" s="217">
        <v>10</v>
      </c>
      <c r="N80" s="217">
        <v>30</v>
      </c>
      <c r="O80" s="217">
        <v>6</v>
      </c>
      <c r="P80" s="217">
        <v>0</v>
      </c>
      <c r="Q80" s="217">
        <v>0</v>
      </c>
      <c r="R80" s="217" t="s">
        <v>1807</v>
      </c>
    </row>
    <row r="81" spans="1:18" x14ac:dyDescent="0.25">
      <c r="A81" s="217">
        <v>80</v>
      </c>
      <c r="B81" s="217" t="s">
        <v>22</v>
      </c>
      <c r="C81" s="217" t="s">
        <v>23</v>
      </c>
      <c r="D81" s="217" t="s">
        <v>85</v>
      </c>
      <c r="E81" s="217" t="s">
        <v>84</v>
      </c>
      <c r="F81" s="217" t="s">
        <v>95</v>
      </c>
      <c r="G81" s="217" t="s">
        <v>94</v>
      </c>
      <c r="H81" s="217" t="s">
        <v>934</v>
      </c>
      <c r="I81" s="217" t="s">
        <v>267</v>
      </c>
      <c r="J81" s="217" t="s">
        <v>2356</v>
      </c>
      <c r="K81" s="217" t="s">
        <v>2357</v>
      </c>
      <c r="L81" s="217">
        <v>24</v>
      </c>
      <c r="M81" s="217">
        <v>4</v>
      </c>
      <c r="N81" s="217">
        <v>0</v>
      </c>
      <c r="O81" s="217">
        <v>0</v>
      </c>
      <c r="P81" s="217">
        <v>0</v>
      </c>
      <c r="Q81" s="217">
        <v>0</v>
      </c>
      <c r="R81" s="217" t="s">
        <v>1807</v>
      </c>
    </row>
    <row r="82" spans="1:18" x14ac:dyDescent="0.25">
      <c r="A82" s="217">
        <v>81</v>
      </c>
      <c r="B82" s="217" t="s">
        <v>22</v>
      </c>
      <c r="C82" s="217" t="s">
        <v>23</v>
      </c>
      <c r="D82" s="217" t="s">
        <v>85</v>
      </c>
      <c r="E82" s="217" t="s">
        <v>84</v>
      </c>
      <c r="F82" s="217" t="s">
        <v>95</v>
      </c>
      <c r="G82" s="217" t="s">
        <v>94</v>
      </c>
      <c r="H82" s="217" t="s">
        <v>935</v>
      </c>
      <c r="I82" s="217" t="s">
        <v>268</v>
      </c>
      <c r="J82" s="217" t="s">
        <v>2358</v>
      </c>
      <c r="K82" s="217" t="s">
        <v>2359</v>
      </c>
      <c r="L82" s="217">
        <v>35</v>
      </c>
      <c r="M82" s="217">
        <v>5</v>
      </c>
      <c r="N82" s="217">
        <v>24</v>
      </c>
      <c r="O82" s="217">
        <v>4</v>
      </c>
      <c r="P82" s="217">
        <v>0</v>
      </c>
      <c r="Q82" s="217">
        <v>0</v>
      </c>
      <c r="R82" s="217" t="s">
        <v>1807</v>
      </c>
    </row>
    <row r="83" spans="1:18" x14ac:dyDescent="0.25">
      <c r="A83" s="217">
        <v>82</v>
      </c>
      <c r="B83" s="217" t="s">
        <v>22</v>
      </c>
      <c r="C83" s="217" t="s">
        <v>23</v>
      </c>
      <c r="D83" s="217" t="s">
        <v>85</v>
      </c>
      <c r="E83" s="217" t="s">
        <v>84</v>
      </c>
      <c r="F83" s="217" t="s">
        <v>95</v>
      </c>
      <c r="G83" s="217" t="s">
        <v>94</v>
      </c>
      <c r="H83" s="217" t="s">
        <v>936</v>
      </c>
      <c r="I83" s="217" t="s">
        <v>269</v>
      </c>
      <c r="J83" s="217" t="s">
        <v>2360</v>
      </c>
      <c r="K83" s="217" t="s">
        <v>2361</v>
      </c>
      <c r="L83" s="217">
        <v>73</v>
      </c>
      <c r="M83" s="217">
        <v>12</v>
      </c>
      <c r="N83" s="217">
        <v>18</v>
      </c>
      <c r="O83" s="217">
        <v>3</v>
      </c>
      <c r="P83" s="217">
        <v>0</v>
      </c>
      <c r="Q83" s="217">
        <v>0</v>
      </c>
      <c r="R83" s="217" t="s">
        <v>1807</v>
      </c>
    </row>
    <row r="84" spans="1:18" x14ac:dyDescent="0.25">
      <c r="A84" s="217">
        <v>83</v>
      </c>
      <c r="B84" s="217" t="s">
        <v>22</v>
      </c>
      <c r="C84" s="217" t="s">
        <v>23</v>
      </c>
      <c r="D84" s="217" t="s">
        <v>85</v>
      </c>
      <c r="E84" s="217" t="s">
        <v>84</v>
      </c>
      <c r="F84" s="217" t="s">
        <v>95</v>
      </c>
      <c r="G84" s="217" t="s">
        <v>94</v>
      </c>
      <c r="H84" s="217" t="s">
        <v>937</v>
      </c>
      <c r="I84" s="217" t="s">
        <v>270</v>
      </c>
      <c r="J84" s="217" t="s">
        <v>2362</v>
      </c>
      <c r="K84" s="217" t="s">
        <v>2363</v>
      </c>
      <c r="L84" s="217">
        <v>608</v>
      </c>
      <c r="M84" s="217">
        <v>77</v>
      </c>
      <c r="N84" s="217">
        <v>0</v>
      </c>
      <c r="O84" s="217">
        <v>0</v>
      </c>
      <c r="P84" s="217">
        <v>155</v>
      </c>
      <c r="Q84" s="217">
        <v>22</v>
      </c>
      <c r="R84" s="217" t="s">
        <v>1807</v>
      </c>
    </row>
    <row r="85" spans="1:18" x14ac:dyDescent="0.25">
      <c r="A85" s="217">
        <v>84</v>
      </c>
      <c r="B85" s="217" t="s">
        <v>22</v>
      </c>
      <c r="C85" s="217" t="s">
        <v>23</v>
      </c>
      <c r="D85" s="217" t="s">
        <v>85</v>
      </c>
      <c r="E85" s="217" t="s">
        <v>84</v>
      </c>
      <c r="F85" s="217" t="s">
        <v>95</v>
      </c>
      <c r="G85" s="217" t="s">
        <v>94</v>
      </c>
      <c r="H85" s="217" t="s">
        <v>938</v>
      </c>
      <c r="I85" s="217" t="s">
        <v>271</v>
      </c>
      <c r="J85" s="217" t="s">
        <v>2364</v>
      </c>
      <c r="K85" s="217" t="s">
        <v>2365</v>
      </c>
      <c r="L85" s="217">
        <v>79</v>
      </c>
      <c r="M85" s="217">
        <v>11</v>
      </c>
      <c r="N85" s="217">
        <v>0</v>
      </c>
      <c r="O85" s="217">
        <v>0</v>
      </c>
      <c r="P85" s="217">
        <v>0</v>
      </c>
      <c r="Q85" s="217">
        <v>0</v>
      </c>
      <c r="R85" s="217" t="s">
        <v>1807</v>
      </c>
    </row>
    <row r="86" spans="1:18" x14ac:dyDescent="0.25">
      <c r="A86" s="217">
        <v>85</v>
      </c>
      <c r="B86" s="217" t="s">
        <v>22</v>
      </c>
      <c r="C86" s="217" t="s">
        <v>23</v>
      </c>
      <c r="D86" s="217" t="s">
        <v>85</v>
      </c>
      <c r="E86" s="217" t="s">
        <v>84</v>
      </c>
      <c r="F86" s="217" t="s">
        <v>95</v>
      </c>
      <c r="G86" s="217" t="s">
        <v>94</v>
      </c>
      <c r="H86" s="217" t="s">
        <v>939</v>
      </c>
      <c r="I86" s="217" t="s">
        <v>272</v>
      </c>
      <c r="J86" s="217" t="s">
        <v>2366</v>
      </c>
      <c r="K86" s="217" t="s">
        <v>2367</v>
      </c>
      <c r="L86" s="217">
        <v>34</v>
      </c>
      <c r="M86" s="217">
        <v>7</v>
      </c>
      <c r="N86" s="217">
        <v>0</v>
      </c>
      <c r="O86" s="217">
        <v>0</v>
      </c>
      <c r="P86" s="217">
        <v>0</v>
      </c>
      <c r="Q86" s="217">
        <v>0</v>
      </c>
      <c r="R86" s="217" t="s">
        <v>1807</v>
      </c>
    </row>
    <row r="87" spans="1:18" x14ac:dyDescent="0.25">
      <c r="A87" s="217">
        <v>86</v>
      </c>
      <c r="B87" s="217" t="s">
        <v>22</v>
      </c>
      <c r="C87" s="217" t="s">
        <v>23</v>
      </c>
      <c r="D87" s="217" t="s">
        <v>85</v>
      </c>
      <c r="E87" s="217" t="s">
        <v>84</v>
      </c>
      <c r="F87" s="217" t="s">
        <v>95</v>
      </c>
      <c r="G87" s="217" t="s">
        <v>94</v>
      </c>
      <c r="H87" s="217" t="s">
        <v>940</v>
      </c>
      <c r="I87" s="217" t="s">
        <v>273</v>
      </c>
      <c r="J87" s="217" t="s">
        <v>2368</v>
      </c>
      <c r="K87" s="217" t="s">
        <v>2369</v>
      </c>
      <c r="L87" s="217">
        <v>143</v>
      </c>
      <c r="M87" s="217">
        <v>22</v>
      </c>
      <c r="N87" s="217">
        <v>36</v>
      </c>
      <c r="O87" s="217">
        <v>6</v>
      </c>
      <c r="P87" s="217">
        <v>0</v>
      </c>
      <c r="Q87" s="217">
        <v>0</v>
      </c>
      <c r="R87" s="217" t="s">
        <v>1807</v>
      </c>
    </row>
    <row r="88" spans="1:18" x14ac:dyDescent="0.25">
      <c r="A88" s="217">
        <v>87</v>
      </c>
      <c r="B88" s="217" t="s">
        <v>22</v>
      </c>
      <c r="C88" s="217" t="s">
        <v>23</v>
      </c>
      <c r="D88" s="217" t="s">
        <v>85</v>
      </c>
      <c r="E88" s="217" t="s">
        <v>84</v>
      </c>
      <c r="F88" s="217" t="s">
        <v>92</v>
      </c>
      <c r="G88" s="217" t="s">
        <v>91</v>
      </c>
      <c r="H88" s="217" t="s">
        <v>941</v>
      </c>
      <c r="I88" s="217" t="s">
        <v>274</v>
      </c>
      <c r="J88" s="217" t="s">
        <v>2370</v>
      </c>
      <c r="K88" s="217" t="s">
        <v>2371</v>
      </c>
      <c r="L88" s="217">
        <v>40</v>
      </c>
      <c r="M88" s="217">
        <v>6</v>
      </c>
      <c r="N88" s="217">
        <v>0</v>
      </c>
      <c r="O88" s="217">
        <v>0</v>
      </c>
      <c r="P88" s="217">
        <v>97</v>
      </c>
      <c r="Q88" s="217">
        <v>11</v>
      </c>
      <c r="R88" s="217" t="s">
        <v>1807</v>
      </c>
    </row>
    <row r="89" spans="1:18" x14ac:dyDescent="0.25">
      <c r="A89" s="217">
        <v>88</v>
      </c>
      <c r="B89" s="217" t="s">
        <v>22</v>
      </c>
      <c r="C89" s="217" t="s">
        <v>23</v>
      </c>
      <c r="D89" s="217" t="s">
        <v>85</v>
      </c>
      <c r="E89" s="217" t="s">
        <v>84</v>
      </c>
      <c r="F89" s="217" t="s">
        <v>92</v>
      </c>
      <c r="G89" s="217" t="s">
        <v>91</v>
      </c>
      <c r="H89" s="217" t="s">
        <v>1671</v>
      </c>
      <c r="I89" s="217" t="s">
        <v>295</v>
      </c>
      <c r="J89" s="217" t="s">
        <v>2372</v>
      </c>
      <c r="K89" s="217" t="s">
        <v>2373</v>
      </c>
      <c r="L89" s="217">
        <v>0</v>
      </c>
      <c r="M89" s="217">
        <v>0</v>
      </c>
      <c r="N89" s="217">
        <v>0</v>
      </c>
      <c r="O89" s="217">
        <v>0</v>
      </c>
      <c r="P89" s="217">
        <v>0</v>
      </c>
      <c r="Q89" s="217">
        <v>0</v>
      </c>
      <c r="R89" s="217" t="s">
        <v>1807</v>
      </c>
    </row>
    <row r="90" spans="1:18" x14ac:dyDescent="0.25">
      <c r="A90" s="217">
        <v>89</v>
      </c>
      <c r="B90" s="217" t="s">
        <v>22</v>
      </c>
      <c r="C90" s="217" t="s">
        <v>23</v>
      </c>
      <c r="D90" s="217" t="s">
        <v>85</v>
      </c>
      <c r="E90" s="217" t="s">
        <v>84</v>
      </c>
      <c r="F90" s="217" t="s">
        <v>92</v>
      </c>
      <c r="G90" s="217" t="s">
        <v>91</v>
      </c>
      <c r="H90" s="217" t="s">
        <v>942</v>
      </c>
      <c r="I90" s="217" t="s">
        <v>769</v>
      </c>
      <c r="J90" s="217" t="s">
        <v>2374</v>
      </c>
      <c r="K90" s="217" t="s">
        <v>2375</v>
      </c>
      <c r="L90" s="217">
        <v>340</v>
      </c>
      <c r="M90" s="217">
        <v>48</v>
      </c>
      <c r="N90" s="217">
        <v>0</v>
      </c>
      <c r="O90" s="217">
        <v>0</v>
      </c>
      <c r="P90" s="217">
        <v>0</v>
      </c>
      <c r="Q90" s="217">
        <v>0</v>
      </c>
      <c r="R90" s="217" t="s">
        <v>1807</v>
      </c>
    </row>
    <row r="91" spans="1:18" x14ac:dyDescent="0.25">
      <c r="A91" s="217">
        <v>90</v>
      </c>
      <c r="B91" s="217" t="s">
        <v>22</v>
      </c>
      <c r="C91" s="217" t="s">
        <v>23</v>
      </c>
      <c r="D91" s="217" t="s">
        <v>85</v>
      </c>
      <c r="E91" s="217" t="s">
        <v>84</v>
      </c>
      <c r="F91" s="217" t="s">
        <v>92</v>
      </c>
      <c r="G91" s="217" t="s">
        <v>91</v>
      </c>
      <c r="H91" s="217" t="s">
        <v>943</v>
      </c>
      <c r="I91" s="217" t="s">
        <v>385</v>
      </c>
      <c r="J91" s="217" t="s">
        <v>2376</v>
      </c>
      <c r="K91" s="217" t="s">
        <v>2377</v>
      </c>
      <c r="L91" s="217">
        <v>70</v>
      </c>
      <c r="M91" s="217">
        <v>30</v>
      </c>
      <c r="N91" s="217">
        <v>0</v>
      </c>
      <c r="O91" s="217">
        <v>0</v>
      </c>
      <c r="P91" s="217">
        <v>0</v>
      </c>
      <c r="Q91" s="217">
        <v>0</v>
      </c>
      <c r="R91" s="217" t="s">
        <v>1807</v>
      </c>
    </row>
    <row r="92" spans="1:18" x14ac:dyDescent="0.25">
      <c r="A92" s="217">
        <v>91</v>
      </c>
      <c r="B92" s="217" t="s">
        <v>22</v>
      </c>
      <c r="C92" s="217" t="s">
        <v>23</v>
      </c>
      <c r="D92" s="217" t="s">
        <v>85</v>
      </c>
      <c r="E92" s="217" t="s">
        <v>84</v>
      </c>
      <c r="F92" s="217" t="s">
        <v>92</v>
      </c>
      <c r="G92" s="217" t="s">
        <v>91</v>
      </c>
      <c r="H92" s="217" t="s">
        <v>944</v>
      </c>
      <c r="I92" s="217" t="s">
        <v>275</v>
      </c>
      <c r="J92" s="217" t="s">
        <v>2378</v>
      </c>
      <c r="K92" s="217" t="s">
        <v>2379</v>
      </c>
      <c r="L92" s="217">
        <v>402</v>
      </c>
      <c r="M92" s="217">
        <v>72</v>
      </c>
      <c r="N92" s="217">
        <v>0</v>
      </c>
      <c r="O92" s="217">
        <v>0</v>
      </c>
      <c r="P92" s="217">
        <v>0</v>
      </c>
      <c r="Q92" s="217">
        <v>0</v>
      </c>
      <c r="R92" s="217" t="s">
        <v>1807</v>
      </c>
    </row>
    <row r="93" spans="1:18" x14ac:dyDescent="0.25">
      <c r="A93" s="217">
        <v>92</v>
      </c>
      <c r="B93" s="217" t="s">
        <v>22</v>
      </c>
      <c r="C93" s="217" t="s">
        <v>23</v>
      </c>
      <c r="D93" s="217" t="s">
        <v>85</v>
      </c>
      <c r="E93" s="217" t="s">
        <v>84</v>
      </c>
      <c r="F93" s="217" t="s">
        <v>92</v>
      </c>
      <c r="G93" s="217" t="s">
        <v>91</v>
      </c>
      <c r="H93" s="217" t="s">
        <v>945</v>
      </c>
      <c r="I93" s="217" t="s">
        <v>276</v>
      </c>
      <c r="J93" s="217" t="s">
        <v>2380</v>
      </c>
      <c r="K93" s="217" t="s">
        <v>2381</v>
      </c>
      <c r="L93" s="217">
        <v>70</v>
      </c>
      <c r="M93" s="217">
        <v>10</v>
      </c>
      <c r="N93" s="217">
        <v>137</v>
      </c>
      <c r="O93" s="217">
        <v>15</v>
      </c>
      <c r="P93" s="217">
        <v>0</v>
      </c>
      <c r="Q93" s="217">
        <v>0</v>
      </c>
      <c r="R93" s="217" t="s">
        <v>1807</v>
      </c>
    </row>
    <row r="94" spans="1:18" x14ac:dyDescent="0.25">
      <c r="A94" s="217">
        <v>93</v>
      </c>
      <c r="B94" s="217" t="s">
        <v>22</v>
      </c>
      <c r="C94" s="217" t="s">
        <v>23</v>
      </c>
      <c r="D94" s="217" t="s">
        <v>85</v>
      </c>
      <c r="E94" s="217" t="s">
        <v>84</v>
      </c>
      <c r="F94" s="217" t="s">
        <v>92</v>
      </c>
      <c r="G94" s="217" t="s">
        <v>91</v>
      </c>
      <c r="H94" s="217" t="s">
        <v>946</v>
      </c>
      <c r="I94" s="217" t="s">
        <v>277</v>
      </c>
      <c r="J94" s="217" t="s">
        <v>2382</v>
      </c>
      <c r="K94" s="217" t="s">
        <v>2383</v>
      </c>
      <c r="L94" s="217">
        <v>0</v>
      </c>
      <c r="M94" s="217">
        <v>0</v>
      </c>
      <c r="N94" s="217">
        <v>0</v>
      </c>
      <c r="O94" s="217">
        <v>0</v>
      </c>
      <c r="P94" s="217">
        <v>0</v>
      </c>
      <c r="Q94" s="217">
        <v>0</v>
      </c>
      <c r="R94" s="217" t="s">
        <v>1807</v>
      </c>
    </row>
    <row r="95" spans="1:18" x14ac:dyDescent="0.25">
      <c r="A95" s="217">
        <v>94</v>
      </c>
      <c r="B95" s="217" t="s">
        <v>22</v>
      </c>
      <c r="C95" s="217" t="s">
        <v>23</v>
      </c>
      <c r="D95" s="217" t="s">
        <v>85</v>
      </c>
      <c r="E95" s="217" t="s">
        <v>84</v>
      </c>
      <c r="F95" s="217" t="s">
        <v>92</v>
      </c>
      <c r="G95" s="217" t="s">
        <v>91</v>
      </c>
      <c r="H95" s="217" t="s">
        <v>1669</v>
      </c>
      <c r="I95" s="217" t="s">
        <v>693</v>
      </c>
      <c r="J95" s="217" t="s">
        <v>2384</v>
      </c>
      <c r="K95" s="217" t="s">
        <v>2385</v>
      </c>
      <c r="L95" s="217">
        <v>0</v>
      </c>
      <c r="M95" s="217">
        <v>0</v>
      </c>
      <c r="N95" s="217">
        <v>0</v>
      </c>
      <c r="O95" s="217">
        <v>0</v>
      </c>
      <c r="P95" s="217">
        <v>0</v>
      </c>
      <c r="Q95" s="217">
        <v>0</v>
      </c>
      <c r="R95" s="217" t="s">
        <v>1807</v>
      </c>
    </row>
    <row r="96" spans="1:18" x14ac:dyDescent="0.25">
      <c r="A96" s="217">
        <v>95</v>
      </c>
      <c r="B96" s="217" t="s">
        <v>22</v>
      </c>
      <c r="C96" s="217" t="s">
        <v>23</v>
      </c>
      <c r="D96" s="217" t="s">
        <v>85</v>
      </c>
      <c r="E96" s="217" t="s">
        <v>84</v>
      </c>
      <c r="F96" s="217" t="s">
        <v>92</v>
      </c>
      <c r="G96" s="217" t="s">
        <v>91</v>
      </c>
      <c r="H96" s="217" t="s">
        <v>947</v>
      </c>
      <c r="I96" s="217" t="s">
        <v>278</v>
      </c>
      <c r="J96" s="217" t="s">
        <v>2386</v>
      </c>
      <c r="K96" s="217" t="s">
        <v>2387</v>
      </c>
      <c r="L96" s="217">
        <v>0</v>
      </c>
      <c r="M96" s="217">
        <v>0</v>
      </c>
      <c r="N96" s="217">
        <v>0</v>
      </c>
      <c r="O96" s="217">
        <v>0</v>
      </c>
      <c r="P96" s="217">
        <v>0</v>
      </c>
      <c r="Q96" s="217">
        <v>0</v>
      </c>
      <c r="R96" s="217" t="s">
        <v>1807</v>
      </c>
    </row>
    <row r="97" spans="1:18" x14ac:dyDescent="0.25">
      <c r="A97" s="217">
        <v>96</v>
      </c>
      <c r="B97" s="217" t="s">
        <v>22</v>
      </c>
      <c r="C97" s="217" t="s">
        <v>23</v>
      </c>
      <c r="D97" s="217" t="s">
        <v>85</v>
      </c>
      <c r="E97" s="217" t="s">
        <v>84</v>
      </c>
      <c r="F97" s="217" t="s">
        <v>92</v>
      </c>
      <c r="G97" s="217" t="s">
        <v>91</v>
      </c>
      <c r="H97" s="217" t="s">
        <v>1674</v>
      </c>
      <c r="I97" s="217" t="s">
        <v>279</v>
      </c>
      <c r="J97" s="217" t="s">
        <v>2388</v>
      </c>
      <c r="K97" s="217" t="s">
        <v>2389</v>
      </c>
      <c r="L97" s="217">
        <v>0</v>
      </c>
      <c r="M97" s="217">
        <v>0</v>
      </c>
      <c r="N97" s="217">
        <v>0</v>
      </c>
      <c r="O97" s="217">
        <v>0</v>
      </c>
      <c r="P97" s="217">
        <v>0</v>
      </c>
      <c r="Q97" s="217">
        <v>0</v>
      </c>
      <c r="R97" s="217" t="s">
        <v>1807</v>
      </c>
    </row>
    <row r="98" spans="1:18" x14ac:dyDescent="0.25">
      <c r="A98" s="217">
        <v>97</v>
      </c>
      <c r="B98" s="217" t="s">
        <v>22</v>
      </c>
      <c r="C98" s="217" t="s">
        <v>23</v>
      </c>
      <c r="D98" s="217" t="s">
        <v>85</v>
      </c>
      <c r="E98" s="217" t="s">
        <v>84</v>
      </c>
      <c r="F98" s="217" t="s">
        <v>92</v>
      </c>
      <c r="G98" s="217" t="s">
        <v>91</v>
      </c>
      <c r="H98" s="217" t="s">
        <v>948</v>
      </c>
      <c r="I98" s="217" t="s">
        <v>280</v>
      </c>
      <c r="J98" s="217" t="s">
        <v>2390</v>
      </c>
      <c r="K98" s="217" t="s">
        <v>2391</v>
      </c>
      <c r="L98" s="217">
        <v>12862</v>
      </c>
      <c r="M98" s="217">
        <v>2341</v>
      </c>
      <c r="N98" s="217">
        <v>3266</v>
      </c>
      <c r="O98" s="217">
        <v>583</v>
      </c>
      <c r="P98" s="217">
        <v>7763</v>
      </c>
      <c r="Q98" s="217">
        <v>981</v>
      </c>
      <c r="R98" s="217" t="s">
        <v>1807</v>
      </c>
    </row>
    <row r="99" spans="1:18" x14ac:dyDescent="0.25">
      <c r="A99" s="217">
        <v>98</v>
      </c>
      <c r="B99" s="217" t="s">
        <v>22</v>
      </c>
      <c r="C99" s="217" t="s">
        <v>23</v>
      </c>
      <c r="D99" s="217" t="s">
        <v>85</v>
      </c>
      <c r="E99" s="217" t="s">
        <v>84</v>
      </c>
      <c r="F99" s="217" t="s">
        <v>92</v>
      </c>
      <c r="G99" s="217" t="s">
        <v>91</v>
      </c>
      <c r="H99" s="217" t="s">
        <v>1815</v>
      </c>
      <c r="I99" s="217" t="s">
        <v>1816</v>
      </c>
      <c r="J99" s="217" t="s">
        <v>2392</v>
      </c>
      <c r="K99" s="217" t="s">
        <v>2393</v>
      </c>
      <c r="L99" s="217">
        <v>200</v>
      </c>
      <c r="M99" s="217">
        <v>45</v>
      </c>
      <c r="N99" s="217">
        <v>70</v>
      </c>
      <c r="O99" s="217">
        <v>24</v>
      </c>
      <c r="P99" s="217">
        <v>0</v>
      </c>
      <c r="Q99" s="217">
        <v>0</v>
      </c>
      <c r="R99" s="217" t="s">
        <v>1807</v>
      </c>
    </row>
    <row r="100" spans="1:18" x14ac:dyDescent="0.25">
      <c r="A100" s="217">
        <v>99</v>
      </c>
      <c r="B100" s="217" t="s">
        <v>22</v>
      </c>
      <c r="C100" s="217" t="s">
        <v>23</v>
      </c>
      <c r="D100" s="217" t="s">
        <v>85</v>
      </c>
      <c r="E100" s="217" t="s">
        <v>84</v>
      </c>
      <c r="F100" s="217" t="s">
        <v>92</v>
      </c>
      <c r="G100" s="217" t="s">
        <v>91</v>
      </c>
      <c r="H100" s="217" t="s">
        <v>949</v>
      </c>
      <c r="I100" s="217" t="s">
        <v>768</v>
      </c>
      <c r="J100" s="217" t="s">
        <v>2394</v>
      </c>
      <c r="K100" s="217" t="s">
        <v>2395</v>
      </c>
      <c r="L100" s="217">
        <v>205</v>
      </c>
      <c r="M100" s="217">
        <v>47</v>
      </c>
      <c r="N100" s="217">
        <v>265</v>
      </c>
      <c r="O100" s="217">
        <v>53</v>
      </c>
      <c r="P100" s="217">
        <v>0</v>
      </c>
      <c r="Q100" s="217">
        <v>0</v>
      </c>
      <c r="R100" s="217" t="s">
        <v>1807</v>
      </c>
    </row>
    <row r="101" spans="1:18" x14ac:dyDescent="0.25">
      <c r="A101" s="217">
        <v>100</v>
      </c>
      <c r="B101" s="217" t="s">
        <v>22</v>
      </c>
      <c r="C101" s="217" t="s">
        <v>23</v>
      </c>
      <c r="D101" s="217" t="s">
        <v>85</v>
      </c>
      <c r="E101" s="217" t="s">
        <v>84</v>
      </c>
      <c r="F101" s="217" t="s">
        <v>92</v>
      </c>
      <c r="G101" s="217" t="s">
        <v>91</v>
      </c>
      <c r="H101" s="217" t="s">
        <v>951</v>
      </c>
      <c r="I101" s="217" t="s">
        <v>950</v>
      </c>
      <c r="J101" s="217" t="s">
        <v>2396</v>
      </c>
      <c r="K101" s="217" t="s">
        <v>2397</v>
      </c>
      <c r="L101" s="217">
        <v>97</v>
      </c>
      <c r="M101" s="217">
        <v>10</v>
      </c>
      <c r="N101" s="217">
        <v>38</v>
      </c>
      <c r="O101" s="217">
        <v>5</v>
      </c>
      <c r="P101" s="217">
        <v>0</v>
      </c>
      <c r="Q101" s="217">
        <v>0</v>
      </c>
      <c r="R101" s="217" t="s">
        <v>1807</v>
      </c>
    </row>
    <row r="102" spans="1:18" x14ac:dyDescent="0.25">
      <c r="A102" s="217">
        <v>101</v>
      </c>
      <c r="B102" s="217" t="s">
        <v>22</v>
      </c>
      <c r="C102" s="217" t="s">
        <v>23</v>
      </c>
      <c r="D102" s="217" t="s">
        <v>85</v>
      </c>
      <c r="E102" s="217" t="s">
        <v>84</v>
      </c>
      <c r="F102" s="217" t="s">
        <v>92</v>
      </c>
      <c r="G102" s="217" t="s">
        <v>91</v>
      </c>
      <c r="H102" s="217" t="s">
        <v>953</v>
      </c>
      <c r="I102" s="217" t="s">
        <v>952</v>
      </c>
      <c r="J102" s="217" t="s">
        <v>2398</v>
      </c>
      <c r="K102" s="217" t="s">
        <v>2399</v>
      </c>
      <c r="L102" s="217">
        <v>35</v>
      </c>
      <c r="M102" s="217">
        <v>15</v>
      </c>
      <c r="N102" s="217">
        <v>80</v>
      </c>
      <c r="O102" s="217">
        <v>25</v>
      </c>
      <c r="P102" s="217">
        <v>0</v>
      </c>
      <c r="Q102" s="217">
        <v>0</v>
      </c>
      <c r="R102" s="217" t="s">
        <v>1807</v>
      </c>
    </row>
    <row r="103" spans="1:18" x14ac:dyDescent="0.25">
      <c r="A103" s="217">
        <v>102</v>
      </c>
      <c r="B103" s="217" t="s">
        <v>22</v>
      </c>
      <c r="C103" s="217" t="s">
        <v>23</v>
      </c>
      <c r="D103" s="217" t="s">
        <v>85</v>
      </c>
      <c r="E103" s="217" t="s">
        <v>84</v>
      </c>
      <c r="F103" s="217" t="s">
        <v>92</v>
      </c>
      <c r="G103" s="217" t="s">
        <v>91</v>
      </c>
      <c r="H103" s="217" t="s">
        <v>1813</v>
      </c>
      <c r="I103" s="217" t="s">
        <v>1814</v>
      </c>
      <c r="J103" s="217" t="s">
        <v>2400</v>
      </c>
      <c r="K103" s="217" t="s">
        <v>2401</v>
      </c>
      <c r="L103" s="217">
        <v>90</v>
      </c>
      <c r="M103" s="217">
        <v>12</v>
      </c>
      <c r="N103" s="217">
        <v>107</v>
      </c>
      <c r="O103" s="217">
        <v>27</v>
      </c>
      <c r="P103" s="217">
        <v>0</v>
      </c>
      <c r="Q103" s="217">
        <v>0</v>
      </c>
      <c r="R103" s="217" t="s">
        <v>1807</v>
      </c>
    </row>
    <row r="104" spans="1:18" x14ac:dyDescent="0.25">
      <c r="A104" s="217">
        <v>103</v>
      </c>
      <c r="B104" s="217" t="s">
        <v>22</v>
      </c>
      <c r="C104" s="217" t="s">
        <v>23</v>
      </c>
      <c r="D104" s="217" t="s">
        <v>85</v>
      </c>
      <c r="E104" s="217" t="s">
        <v>84</v>
      </c>
      <c r="F104" s="217" t="s">
        <v>92</v>
      </c>
      <c r="G104" s="217" t="s">
        <v>91</v>
      </c>
      <c r="H104" s="217" t="s">
        <v>955</v>
      </c>
      <c r="I104" s="217" t="s">
        <v>954</v>
      </c>
      <c r="J104" s="217" t="s">
        <v>2402</v>
      </c>
      <c r="K104" s="217" t="s">
        <v>2403</v>
      </c>
      <c r="L104" s="217">
        <v>440</v>
      </c>
      <c r="M104" s="217">
        <v>55</v>
      </c>
      <c r="N104" s="217">
        <v>0</v>
      </c>
      <c r="O104" s="217">
        <v>0</v>
      </c>
      <c r="P104" s="217">
        <v>0</v>
      </c>
      <c r="Q104" s="217">
        <v>0</v>
      </c>
      <c r="R104" s="217" t="s">
        <v>1807</v>
      </c>
    </row>
    <row r="105" spans="1:18" x14ac:dyDescent="0.25">
      <c r="A105" s="217">
        <v>104</v>
      </c>
      <c r="B105" s="217" t="s">
        <v>22</v>
      </c>
      <c r="C105" s="217" t="s">
        <v>23</v>
      </c>
      <c r="D105" s="217" t="s">
        <v>85</v>
      </c>
      <c r="E105" s="217" t="s">
        <v>84</v>
      </c>
      <c r="F105" s="217" t="s">
        <v>92</v>
      </c>
      <c r="G105" s="217" t="s">
        <v>91</v>
      </c>
      <c r="H105" s="217" t="s">
        <v>956</v>
      </c>
      <c r="I105" s="217" t="s">
        <v>281</v>
      </c>
      <c r="J105" s="217" t="s">
        <v>2404</v>
      </c>
      <c r="K105" s="217" t="s">
        <v>2405</v>
      </c>
      <c r="L105" s="217">
        <v>53</v>
      </c>
      <c r="M105" s="217">
        <v>10</v>
      </c>
      <c r="N105" s="217">
        <v>0</v>
      </c>
      <c r="O105" s="217">
        <v>0</v>
      </c>
      <c r="P105" s="217">
        <v>0</v>
      </c>
      <c r="Q105" s="217">
        <v>0</v>
      </c>
      <c r="R105" s="217" t="s">
        <v>1807</v>
      </c>
    </row>
    <row r="106" spans="1:18" x14ac:dyDescent="0.25">
      <c r="A106" s="217">
        <v>105</v>
      </c>
      <c r="B106" s="217" t="s">
        <v>22</v>
      </c>
      <c r="C106" s="217" t="s">
        <v>23</v>
      </c>
      <c r="D106" s="217" t="s">
        <v>85</v>
      </c>
      <c r="E106" s="217" t="s">
        <v>84</v>
      </c>
      <c r="F106" s="217" t="s">
        <v>92</v>
      </c>
      <c r="G106" s="217" t="s">
        <v>91</v>
      </c>
      <c r="H106" s="217" t="s">
        <v>1670</v>
      </c>
      <c r="I106" s="217" t="s">
        <v>282</v>
      </c>
      <c r="J106" s="217" t="s">
        <v>2406</v>
      </c>
      <c r="K106" s="217" t="s">
        <v>2407</v>
      </c>
      <c r="L106" s="217">
        <v>0</v>
      </c>
      <c r="M106" s="217">
        <v>0</v>
      </c>
      <c r="N106" s="217">
        <v>0</v>
      </c>
      <c r="O106" s="217">
        <v>0</v>
      </c>
      <c r="P106" s="217">
        <v>0</v>
      </c>
      <c r="Q106" s="217">
        <v>0</v>
      </c>
      <c r="R106" s="217" t="s">
        <v>1807</v>
      </c>
    </row>
    <row r="107" spans="1:18" x14ac:dyDescent="0.25">
      <c r="A107" s="217">
        <v>106</v>
      </c>
      <c r="B107" s="217" t="s">
        <v>22</v>
      </c>
      <c r="C107" s="217" t="s">
        <v>23</v>
      </c>
      <c r="D107" s="217" t="s">
        <v>85</v>
      </c>
      <c r="E107" s="217" t="s">
        <v>84</v>
      </c>
      <c r="F107" s="217" t="s">
        <v>92</v>
      </c>
      <c r="G107" s="217" t="s">
        <v>91</v>
      </c>
      <c r="H107" s="217" t="s">
        <v>957</v>
      </c>
      <c r="I107" s="217" t="s">
        <v>283</v>
      </c>
      <c r="J107" s="217" t="s">
        <v>2408</v>
      </c>
      <c r="K107" s="217" t="s">
        <v>2409</v>
      </c>
      <c r="L107" s="217">
        <v>0</v>
      </c>
      <c r="M107" s="217">
        <v>0</v>
      </c>
      <c r="N107" s="217">
        <v>0</v>
      </c>
      <c r="O107" s="217">
        <v>0</v>
      </c>
      <c r="P107" s="217">
        <v>0</v>
      </c>
      <c r="Q107" s="217">
        <v>0</v>
      </c>
      <c r="R107" s="217" t="s">
        <v>1807</v>
      </c>
    </row>
    <row r="108" spans="1:18" x14ac:dyDescent="0.25">
      <c r="A108" s="217">
        <v>107</v>
      </c>
      <c r="B108" s="217" t="s">
        <v>22</v>
      </c>
      <c r="C108" s="217" t="s">
        <v>23</v>
      </c>
      <c r="D108" s="217" t="s">
        <v>85</v>
      </c>
      <c r="E108" s="217" t="s">
        <v>84</v>
      </c>
      <c r="F108" s="217" t="s">
        <v>92</v>
      </c>
      <c r="G108" s="217" t="s">
        <v>91</v>
      </c>
      <c r="H108" s="217" t="s">
        <v>958</v>
      </c>
      <c r="I108" s="217" t="s">
        <v>284</v>
      </c>
      <c r="J108" s="217" t="s">
        <v>2410</v>
      </c>
      <c r="K108" s="217" t="s">
        <v>2411</v>
      </c>
      <c r="L108" s="217">
        <v>0</v>
      </c>
      <c r="M108" s="217">
        <v>0</v>
      </c>
      <c r="N108" s="217">
        <v>0</v>
      </c>
      <c r="O108" s="217">
        <v>0</v>
      </c>
      <c r="P108" s="217">
        <v>0</v>
      </c>
      <c r="Q108" s="217">
        <v>0</v>
      </c>
      <c r="R108" s="217" t="s">
        <v>1807</v>
      </c>
    </row>
    <row r="109" spans="1:18" x14ac:dyDescent="0.25">
      <c r="A109" s="217">
        <v>108</v>
      </c>
      <c r="B109" s="217" t="s">
        <v>22</v>
      </c>
      <c r="C109" s="217" t="s">
        <v>23</v>
      </c>
      <c r="D109" s="217" t="s">
        <v>85</v>
      </c>
      <c r="E109" s="217" t="s">
        <v>84</v>
      </c>
      <c r="F109" s="217" t="s">
        <v>92</v>
      </c>
      <c r="G109" s="217" t="s">
        <v>91</v>
      </c>
      <c r="H109" s="217" t="s">
        <v>2027</v>
      </c>
      <c r="I109" s="217" t="s">
        <v>2028</v>
      </c>
      <c r="J109" s="217" t="s">
        <v>2412</v>
      </c>
      <c r="K109" s="217" t="s">
        <v>2413</v>
      </c>
      <c r="L109" s="217">
        <v>0</v>
      </c>
      <c r="M109" s="217">
        <v>0</v>
      </c>
      <c r="N109" s="217">
        <v>0</v>
      </c>
      <c r="O109" s="217">
        <v>0</v>
      </c>
      <c r="P109" s="217">
        <v>0</v>
      </c>
      <c r="Q109" s="217">
        <v>0</v>
      </c>
      <c r="R109" s="217" t="s">
        <v>1807</v>
      </c>
    </row>
    <row r="110" spans="1:18" x14ac:dyDescent="0.25">
      <c r="A110" s="217">
        <v>109</v>
      </c>
      <c r="B110" s="217" t="s">
        <v>22</v>
      </c>
      <c r="C110" s="217" t="s">
        <v>23</v>
      </c>
      <c r="D110" s="217" t="s">
        <v>85</v>
      </c>
      <c r="E110" s="217" t="s">
        <v>84</v>
      </c>
      <c r="F110" s="217" t="s">
        <v>92</v>
      </c>
      <c r="G110" s="217" t="s">
        <v>91</v>
      </c>
      <c r="H110" s="217" t="s">
        <v>959</v>
      </c>
      <c r="I110" s="217" t="s">
        <v>285</v>
      </c>
      <c r="J110" s="217" t="s">
        <v>2414</v>
      </c>
      <c r="K110" s="217" t="s">
        <v>2415</v>
      </c>
      <c r="L110" s="217">
        <v>215</v>
      </c>
      <c r="M110" s="217">
        <v>21</v>
      </c>
      <c r="N110" s="217">
        <v>0</v>
      </c>
      <c r="O110" s="217">
        <v>0</v>
      </c>
      <c r="P110" s="217">
        <v>0</v>
      </c>
      <c r="Q110" s="217">
        <v>0</v>
      </c>
      <c r="R110" s="217" t="s">
        <v>1807</v>
      </c>
    </row>
    <row r="111" spans="1:18" x14ac:dyDescent="0.25">
      <c r="A111" s="217">
        <v>110</v>
      </c>
      <c r="B111" s="217" t="s">
        <v>22</v>
      </c>
      <c r="C111" s="217" t="s">
        <v>23</v>
      </c>
      <c r="D111" s="217" t="s">
        <v>85</v>
      </c>
      <c r="E111" s="217" t="s">
        <v>84</v>
      </c>
      <c r="F111" s="217" t="s">
        <v>92</v>
      </c>
      <c r="G111" s="217" t="s">
        <v>91</v>
      </c>
      <c r="H111" s="217" t="s">
        <v>1501</v>
      </c>
      <c r="I111" s="217" t="s">
        <v>1500</v>
      </c>
      <c r="J111" s="217" t="s">
        <v>2416</v>
      </c>
      <c r="K111" s="217" t="s">
        <v>2417</v>
      </c>
      <c r="L111" s="217">
        <v>0</v>
      </c>
      <c r="M111" s="217">
        <v>0</v>
      </c>
      <c r="N111" s="217">
        <v>315</v>
      </c>
      <c r="O111" s="217">
        <v>39</v>
      </c>
      <c r="P111" s="217">
        <v>0</v>
      </c>
      <c r="Q111" s="217">
        <v>0</v>
      </c>
      <c r="R111" s="217" t="s">
        <v>1807</v>
      </c>
    </row>
    <row r="112" spans="1:18" x14ac:dyDescent="0.25">
      <c r="A112" s="217">
        <v>111</v>
      </c>
      <c r="B112" s="217" t="s">
        <v>22</v>
      </c>
      <c r="C112" s="217" t="s">
        <v>23</v>
      </c>
      <c r="D112" s="217" t="s">
        <v>85</v>
      </c>
      <c r="E112" s="217" t="s">
        <v>84</v>
      </c>
      <c r="F112" s="217" t="s">
        <v>92</v>
      </c>
      <c r="G112" s="217" t="s">
        <v>91</v>
      </c>
      <c r="H112" s="217" t="s">
        <v>961</v>
      </c>
      <c r="I112" s="217" t="s">
        <v>960</v>
      </c>
      <c r="J112" s="217" t="s">
        <v>2418</v>
      </c>
      <c r="K112" s="217" t="s">
        <v>2419</v>
      </c>
      <c r="L112" s="217">
        <v>144</v>
      </c>
      <c r="M112" s="217">
        <v>18</v>
      </c>
      <c r="N112" s="217">
        <v>96</v>
      </c>
      <c r="O112" s="217">
        <v>12</v>
      </c>
      <c r="P112" s="217">
        <v>0</v>
      </c>
      <c r="Q112" s="217">
        <v>0</v>
      </c>
      <c r="R112" s="217" t="s">
        <v>1807</v>
      </c>
    </row>
    <row r="113" spans="1:18" x14ac:dyDescent="0.25">
      <c r="A113" s="217">
        <v>112</v>
      </c>
      <c r="B113" s="217" t="s">
        <v>22</v>
      </c>
      <c r="C113" s="217" t="s">
        <v>23</v>
      </c>
      <c r="D113" s="217" t="s">
        <v>85</v>
      </c>
      <c r="E113" s="217" t="s">
        <v>84</v>
      </c>
      <c r="F113" s="217" t="s">
        <v>92</v>
      </c>
      <c r="G113" s="217" t="s">
        <v>91</v>
      </c>
      <c r="H113" s="217" t="s">
        <v>962</v>
      </c>
      <c r="I113" s="217" t="s">
        <v>286</v>
      </c>
      <c r="J113" s="217" t="s">
        <v>2420</v>
      </c>
      <c r="K113" s="217" t="s">
        <v>2421</v>
      </c>
      <c r="L113" s="217">
        <v>340</v>
      </c>
      <c r="M113" s="217">
        <v>74</v>
      </c>
      <c r="N113" s="217">
        <v>0</v>
      </c>
      <c r="O113" s="217">
        <v>0</v>
      </c>
      <c r="P113" s="217">
        <v>0</v>
      </c>
      <c r="Q113" s="217">
        <v>0</v>
      </c>
      <c r="R113" s="217" t="s">
        <v>1807</v>
      </c>
    </row>
    <row r="114" spans="1:18" x14ac:dyDescent="0.25">
      <c r="A114" s="217">
        <v>113</v>
      </c>
      <c r="B114" s="217" t="s">
        <v>22</v>
      </c>
      <c r="C114" s="217" t="s">
        <v>23</v>
      </c>
      <c r="D114" s="217" t="s">
        <v>85</v>
      </c>
      <c r="E114" s="217" t="s">
        <v>84</v>
      </c>
      <c r="F114" s="217" t="s">
        <v>92</v>
      </c>
      <c r="G114" s="217" t="s">
        <v>91</v>
      </c>
      <c r="H114" s="217" t="s">
        <v>2029</v>
      </c>
      <c r="I114" s="217" t="s">
        <v>2030</v>
      </c>
      <c r="J114" s="217" t="s">
        <v>2422</v>
      </c>
      <c r="K114" s="217" t="s">
        <v>2423</v>
      </c>
      <c r="L114" s="217">
        <v>0</v>
      </c>
      <c r="M114" s="217">
        <v>0</v>
      </c>
      <c r="N114" s="217">
        <v>0</v>
      </c>
      <c r="O114" s="217">
        <v>0</v>
      </c>
      <c r="P114" s="217">
        <v>8</v>
      </c>
      <c r="Q114" s="217">
        <v>1</v>
      </c>
      <c r="R114" s="217" t="s">
        <v>1807</v>
      </c>
    </row>
    <row r="115" spans="1:18" x14ac:dyDescent="0.25">
      <c r="A115" s="217">
        <v>114</v>
      </c>
      <c r="B115" s="217" t="s">
        <v>22</v>
      </c>
      <c r="C115" s="217" t="s">
        <v>23</v>
      </c>
      <c r="D115" s="217" t="s">
        <v>85</v>
      </c>
      <c r="E115" s="217" t="s">
        <v>84</v>
      </c>
      <c r="F115" s="217" t="s">
        <v>92</v>
      </c>
      <c r="G115" s="217" t="s">
        <v>91</v>
      </c>
      <c r="H115" s="217" t="s">
        <v>1672</v>
      </c>
      <c r="I115" s="217" t="s">
        <v>1673</v>
      </c>
      <c r="J115" s="217" t="s">
        <v>2424</v>
      </c>
      <c r="K115" s="217" t="s">
        <v>2425</v>
      </c>
      <c r="L115" s="217">
        <v>0</v>
      </c>
      <c r="M115" s="217">
        <v>0</v>
      </c>
      <c r="N115" s="217">
        <v>0</v>
      </c>
      <c r="O115" s="217">
        <v>0</v>
      </c>
      <c r="P115" s="217">
        <v>0</v>
      </c>
      <c r="Q115" s="217">
        <v>0</v>
      </c>
      <c r="R115" s="217" t="s">
        <v>1807</v>
      </c>
    </row>
    <row r="116" spans="1:18" x14ac:dyDescent="0.25">
      <c r="A116" s="217">
        <v>115</v>
      </c>
      <c r="B116" s="217" t="s">
        <v>22</v>
      </c>
      <c r="C116" s="217" t="s">
        <v>23</v>
      </c>
      <c r="D116" s="217" t="s">
        <v>85</v>
      </c>
      <c r="E116" s="217" t="s">
        <v>84</v>
      </c>
      <c r="F116" s="217" t="s">
        <v>92</v>
      </c>
      <c r="G116" s="217" t="s">
        <v>91</v>
      </c>
      <c r="H116" s="217" t="s">
        <v>963</v>
      </c>
      <c r="I116" s="217" t="s">
        <v>287</v>
      </c>
      <c r="J116" s="217" t="s">
        <v>2426</v>
      </c>
      <c r="K116" s="217" t="s">
        <v>2427</v>
      </c>
      <c r="L116" s="217">
        <v>421</v>
      </c>
      <c r="M116" s="217">
        <v>86</v>
      </c>
      <c r="N116" s="217">
        <v>0</v>
      </c>
      <c r="O116" s="217">
        <v>0</v>
      </c>
      <c r="P116" s="217">
        <v>0</v>
      </c>
      <c r="Q116" s="217">
        <v>0</v>
      </c>
      <c r="R116" s="217" t="s">
        <v>1807</v>
      </c>
    </row>
    <row r="117" spans="1:18" x14ac:dyDescent="0.25">
      <c r="A117" s="217">
        <v>116</v>
      </c>
      <c r="B117" s="217" t="s">
        <v>22</v>
      </c>
      <c r="C117" s="217" t="s">
        <v>23</v>
      </c>
      <c r="D117" s="217" t="s">
        <v>85</v>
      </c>
      <c r="E117" s="217" t="s">
        <v>84</v>
      </c>
      <c r="F117" s="217" t="s">
        <v>92</v>
      </c>
      <c r="G117" s="217" t="s">
        <v>91</v>
      </c>
      <c r="H117" s="217" t="s">
        <v>964</v>
      </c>
      <c r="I117" s="217" t="s">
        <v>288</v>
      </c>
      <c r="J117" s="217" t="s">
        <v>2428</v>
      </c>
      <c r="K117" s="217" t="s">
        <v>2429</v>
      </c>
      <c r="L117" s="217">
        <v>0</v>
      </c>
      <c r="M117" s="217">
        <v>0</v>
      </c>
      <c r="N117" s="217">
        <v>0</v>
      </c>
      <c r="O117" s="217">
        <v>0</v>
      </c>
      <c r="P117" s="217">
        <v>0</v>
      </c>
      <c r="Q117" s="217">
        <v>0</v>
      </c>
      <c r="R117" s="217" t="s">
        <v>1807</v>
      </c>
    </row>
    <row r="118" spans="1:18" x14ac:dyDescent="0.25">
      <c r="A118" s="217">
        <v>117</v>
      </c>
      <c r="B118" s="217" t="s">
        <v>22</v>
      </c>
      <c r="C118" s="217" t="s">
        <v>23</v>
      </c>
      <c r="D118" s="217" t="s">
        <v>85</v>
      </c>
      <c r="E118" s="217" t="s">
        <v>84</v>
      </c>
      <c r="F118" s="217" t="s">
        <v>92</v>
      </c>
      <c r="G118" s="217" t="s">
        <v>91</v>
      </c>
      <c r="H118" s="217" t="s">
        <v>1811</v>
      </c>
      <c r="I118" s="217" t="s">
        <v>1812</v>
      </c>
      <c r="J118" s="217" t="s">
        <v>2430</v>
      </c>
      <c r="K118" s="217" t="s">
        <v>2431</v>
      </c>
      <c r="L118" s="217">
        <v>50</v>
      </c>
      <c r="M118" s="217">
        <v>7</v>
      </c>
      <c r="N118" s="217">
        <v>106</v>
      </c>
      <c r="O118" s="217">
        <v>21</v>
      </c>
      <c r="P118" s="217">
        <v>0</v>
      </c>
      <c r="Q118" s="217">
        <v>0</v>
      </c>
      <c r="R118" s="217" t="s">
        <v>1807</v>
      </c>
    </row>
    <row r="119" spans="1:18" x14ac:dyDescent="0.25">
      <c r="A119" s="217">
        <v>118</v>
      </c>
      <c r="B119" s="217" t="s">
        <v>22</v>
      </c>
      <c r="C119" s="217" t="s">
        <v>23</v>
      </c>
      <c r="D119" s="217" t="s">
        <v>85</v>
      </c>
      <c r="E119" s="217" t="s">
        <v>84</v>
      </c>
      <c r="F119" s="217" t="s">
        <v>92</v>
      </c>
      <c r="G119" s="217" t="s">
        <v>91</v>
      </c>
      <c r="H119" s="217" t="s">
        <v>965</v>
      </c>
      <c r="I119" s="217" t="s">
        <v>289</v>
      </c>
      <c r="J119" s="217" t="s">
        <v>2432</v>
      </c>
      <c r="K119" s="217" t="s">
        <v>2433</v>
      </c>
      <c r="L119" s="217">
        <v>253</v>
      </c>
      <c r="M119" s="217">
        <v>57</v>
      </c>
      <c r="N119" s="217">
        <v>0</v>
      </c>
      <c r="O119" s="217">
        <v>0</v>
      </c>
      <c r="P119" s="217">
        <v>0</v>
      </c>
      <c r="Q119" s="217">
        <v>0</v>
      </c>
      <c r="R119" s="217" t="s">
        <v>1807</v>
      </c>
    </row>
    <row r="120" spans="1:18" x14ac:dyDescent="0.25">
      <c r="A120" s="217">
        <v>119</v>
      </c>
      <c r="B120" s="217" t="s">
        <v>22</v>
      </c>
      <c r="C120" s="217" t="s">
        <v>23</v>
      </c>
      <c r="D120" s="217" t="s">
        <v>85</v>
      </c>
      <c r="E120" s="217" t="s">
        <v>84</v>
      </c>
      <c r="F120" s="217" t="s">
        <v>92</v>
      </c>
      <c r="G120" s="217" t="s">
        <v>91</v>
      </c>
      <c r="H120" s="217" t="s">
        <v>967</v>
      </c>
      <c r="I120" s="217" t="s">
        <v>966</v>
      </c>
      <c r="J120" s="217" t="s">
        <v>2434</v>
      </c>
      <c r="K120" s="217" t="s">
        <v>2435</v>
      </c>
      <c r="L120" s="217">
        <v>150</v>
      </c>
      <c r="M120" s="217">
        <v>36</v>
      </c>
      <c r="N120" s="217">
        <v>310</v>
      </c>
      <c r="O120" s="217">
        <v>62</v>
      </c>
      <c r="P120" s="217">
        <v>0</v>
      </c>
      <c r="Q120" s="217">
        <v>0</v>
      </c>
      <c r="R120" s="217" t="s">
        <v>1807</v>
      </c>
    </row>
    <row r="121" spans="1:18" x14ac:dyDescent="0.25">
      <c r="A121" s="217">
        <v>120</v>
      </c>
      <c r="B121" s="217" t="s">
        <v>22</v>
      </c>
      <c r="C121" s="217" t="s">
        <v>23</v>
      </c>
      <c r="D121" s="217" t="s">
        <v>85</v>
      </c>
      <c r="E121" s="217" t="s">
        <v>84</v>
      </c>
      <c r="F121" s="217" t="s">
        <v>92</v>
      </c>
      <c r="G121" s="217" t="s">
        <v>91</v>
      </c>
      <c r="H121" s="217" t="s">
        <v>968</v>
      </c>
      <c r="I121" s="217" t="s">
        <v>290</v>
      </c>
      <c r="J121" s="217" t="s">
        <v>2436</v>
      </c>
      <c r="K121" s="217" t="s">
        <v>2437</v>
      </c>
      <c r="L121" s="217">
        <v>37</v>
      </c>
      <c r="M121" s="217">
        <v>8</v>
      </c>
      <c r="N121" s="217">
        <v>237</v>
      </c>
      <c r="O121" s="217">
        <v>57</v>
      </c>
      <c r="P121" s="217">
        <v>1420</v>
      </c>
      <c r="Q121" s="217">
        <v>196</v>
      </c>
      <c r="R121" s="217" t="s">
        <v>1807</v>
      </c>
    </row>
    <row r="122" spans="1:18" x14ac:dyDescent="0.25">
      <c r="A122" s="217">
        <v>121</v>
      </c>
      <c r="B122" s="217" t="s">
        <v>22</v>
      </c>
      <c r="C122" s="217" t="s">
        <v>23</v>
      </c>
      <c r="D122" s="217" t="s">
        <v>85</v>
      </c>
      <c r="E122" s="217" t="s">
        <v>84</v>
      </c>
      <c r="F122" s="217" t="s">
        <v>92</v>
      </c>
      <c r="G122" s="217" t="s">
        <v>91</v>
      </c>
      <c r="H122" s="217" t="s">
        <v>969</v>
      </c>
      <c r="I122" s="217" t="s">
        <v>291</v>
      </c>
      <c r="J122" s="217" t="s">
        <v>2438</v>
      </c>
      <c r="K122" s="217" t="s">
        <v>2439</v>
      </c>
      <c r="L122" s="217">
        <v>0</v>
      </c>
      <c r="M122" s="217">
        <v>0</v>
      </c>
      <c r="N122" s="217">
        <v>0</v>
      </c>
      <c r="O122" s="217">
        <v>0</v>
      </c>
      <c r="P122" s="217">
        <v>0</v>
      </c>
      <c r="Q122" s="217">
        <v>0</v>
      </c>
      <c r="R122" s="217" t="s">
        <v>1807</v>
      </c>
    </row>
    <row r="123" spans="1:18" x14ac:dyDescent="0.25">
      <c r="A123" s="217">
        <v>122</v>
      </c>
      <c r="B123" s="217" t="s">
        <v>22</v>
      </c>
      <c r="C123" s="217" t="s">
        <v>23</v>
      </c>
      <c r="D123" s="217" t="s">
        <v>85</v>
      </c>
      <c r="E123" s="217" t="s">
        <v>84</v>
      </c>
      <c r="F123" s="217" t="s">
        <v>92</v>
      </c>
      <c r="G123" s="217" t="s">
        <v>91</v>
      </c>
      <c r="H123" s="217" t="s">
        <v>1817</v>
      </c>
      <c r="I123" s="217" t="s">
        <v>1818</v>
      </c>
      <c r="J123" s="217" t="s">
        <v>2440</v>
      </c>
      <c r="K123" s="217" t="s">
        <v>2441</v>
      </c>
      <c r="L123" s="217">
        <v>225</v>
      </c>
      <c r="M123" s="217">
        <v>49</v>
      </c>
      <c r="N123" s="217">
        <v>175</v>
      </c>
      <c r="O123" s="217">
        <v>45</v>
      </c>
      <c r="P123" s="217">
        <v>0</v>
      </c>
      <c r="Q123" s="217">
        <v>0</v>
      </c>
      <c r="R123" s="217" t="s">
        <v>1807</v>
      </c>
    </row>
    <row r="124" spans="1:18" x14ac:dyDescent="0.25">
      <c r="A124" s="217">
        <v>123</v>
      </c>
      <c r="B124" s="217" t="s">
        <v>22</v>
      </c>
      <c r="C124" s="217" t="s">
        <v>23</v>
      </c>
      <c r="D124" s="217" t="s">
        <v>85</v>
      </c>
      <c r="E124" s="217" t="s">
        <v>84</v>
      </c>
      <c r="F124" s="217" t="s">
        <v>92</v>
      </c>
      <c r="G124" s="217" t="s">
        <v>91</v>
      </c>
      <c r="H124" s="217" t="s">
        <v>970</v>
      </c>
      <c r="I124" s="217" t="s">
        <v>292</v>
      </c>
      <c r="J124" s="217" t="s">
        <v>2442</v>
      </c>
      <c r="K124" s="217" t="s">
        <v>2443</v>
      </c>
      <c r="L124" s="217">
        <v>72</v>
      </c>
      <c r="M124" s="217">
        <v>9</v>
      </c>
      <c r="N124" s="217">
        <v>340</v>
      </c>
      <c r="O124" s="217">
        <v>106</v>
      </c>
      <c r="P124" s="217">
        <v>0</v>
      </c>
      <c r="Q124" s="217">
        <v>0</v>
      </c>
      <c r="R124" s="217" t="s">
        <v>1807</v>
      </c>
    </row>
    <row r="125" spans="1:18" x14ac:dyDescent="0.25">
      <c r="A125" s="217">
        <v>124</v>
      </c>
      <c r="B125" s="217" t="s">
        <v>22</v>
      </c>
      <c r="C125" s="217" t="s">
        <v>23</v>
      </c>
      <c r="D125" s="217" t="s">
        <v>85</v>
      </c>
      <c r="E125" s="217" t="s">
        <v>84</v>
      </c>
      <c r="F125" s="217" t="s">
        <v>92</v>
      </c>
      <c r="G125" s="217" t="s">
        <v>91</v>
      </c>
      <c r="H125" s="217" t="s">
        <v>971</v>
      </c>
      <c r="I125" s="217" t="s">
        <v>770</v>
      </c>
      <c r="J125" s="217" t="s">
        <v>2444</v>
      </c>
      <c r="K125" s="217" t="s">
        <v>2445</v>
      </c>
      <c r="L125" s="217">
        <v>46</v>
      </c>
      <c r="M125" s="217">
        <v>5</v>
      </c>
      <c r="N125" s="217">
        <v>0</v>
      </c>
      <c r="O125" s="217">
        <v>0</v>
      </c>
      <c r="P125" s="217">
        <v>0</v>
      </c>
      <c r="Q125" s="217">
        <v>0</v>
      </c>
      <c r="R125" s="217" t="s">
        <v>1807</v>
      </c>
    </row>
    <row r="126" spans="1:18" x14ac:dyDescent="0.25">
      <c r="A126" s="217">
        <v>125</v>
      </c>
      <c r="B126" s="217" t="s">
        <v>22</v>
      </c>
      <c r="C126" s="217" t="s">
        <v>23</v>
      </c>
      <c r="D126" s="217" t="s">
        <v>85</v>
      </c>
      <c r="E126" s="217" t="s">
        <v>84</v>
      </c>
      <c r="F126" s="217" t="s">
        <v>92</v>
      </c>
      <c r="G126" s="217" t="s">
        <v>91</v>
      </c>
      <c r="H126" s="217" t="s">
        <v>2013</v>
      </c>
      <c r="I126" s="217" t="s">
        <v>2012</v>
      </c>
      <c r="J126" s="217" t="s">
        <v>2446</v>
      </c>
      <c r="K126" s="217" t="s">
        <v>2447</v>
      </c>
      <c r="L126" s="217">
        <v>0</v>
      </c>
      <c r="M126" s="217">
        <v>0</v>
      </c>
      <c r="N126" s="217">
        <v>0</v>
      </c>
      <c r="O126" s="217">
        <v>0</v>
      </c>
      <c r="P126" s="217">
        <v>0</v>
      </c>
      <c r="Q126" s="217">
        <v>0</v>
      </c>
      <c r="R126" s="217" t="s">
        <v>1807</v>
      </c>
    </row>
    <row r="127" spans="1:18" x14ac:dyDescent="0.25">
      <c r="A127" s="217">
        <v>126</v>
      </c>
      <c r="B127" s="217" t="s">
        <v>22</v>
      </c>
      <c r="C127" s="217" t="s">
        <v>23</v>
      </c>
      <c r="D127" s="217" t="s">
        <v>85</v>
      </c>
      <c r="E127" s="217" t="s">
        <v>84</v>
      </c>
      <c r="F127" s="217" t="s">
        <v>173</v>
      </c>
      <c r="G127" s="217" t="s">
        <v>172</v>
      </c>
      <c r="H127" s="217" t="s">
        <v>972</v>
      </c>
      <c r="I127" s="217" t="s">
        <v>293</v>
      </c>
      <c r="J127" s="217" t="s">
        <v>2448</v>
      </c>
      <c r="K127" s="217" t="s">
        <v>2449</v>
      </c>
      <c r="L127" s="217">
        <v>128</v>
      </c>
      <c r="M127" s="217">
        <v>28</v>
      </c>
      <c r="N127" s="217">
        <v>0</v>
      </c>
      <c r="O127" s="217">
        <v>0</v>
      </c>
      <c r="P127" s="217">
        <v>0</v>
      </c>
      <c r="Q127" s="217">
        <v>0</v>
      </c>
      <c r="R127" s="217" t="s">
        <v>1807</v>
      </c>
    </row>
    <row r="128" spans="1:18" x14ac:dyDescent="0.25">
      <c r="A128" s="217">
        <v>127</v>
      </c>
      <c r="B128" s="217" t="s">
        <v>22</v>
      </c>
      <c r="C128" s="217" t="s">
        <v>23</v>
      </c>
      <c r="D128" s="217" t="s">
        <v>85</v>
      </c>
      <c r="E128" s="217" t="s">
        <v>84</v>
      </c>
      <c r="F128" s="217" t="s">
        <v>173</v>
      </c>
      <c r="G128" s="217" t="s">
        <v>172</v>
      </c>
      <c r="H128" s="217" t="s">
        <v>973</v>
      </c>
      <c r="I128" s="217" t="s">
        <v>294</v>
      </c>
      <c r="J128" s="217" t="s">
        <v>2450</v>
      </c>
      <c r="K128" s="217" t="s">
        <v>2451</v>
      </c>
      <c r="L128" s="217">
        <v>33</v>
      </c>
      <c r="M128" s="217">
        <v>5</v>
      </c>
      <c r="N128" s="217">
        <v>0</v>
      </c>
      <c r="O128" s="217">
        <v>0</v>
      </c>
      <c r="P128" s="217">
        <v>0</v>
      </c>
      <c r="Q128" s="217">
        <v>0</v>
      </c>
      <c r="R128" s="217" t="s">
        <v>1807</v>
      </c>
    </row>
    <row r="129" spans="1:18" x14ac:dyDescent="0.25">
      <c r="A129" s="217">
        <v>128</v>
      </c>
      <c r="B129" s="217" t="s">
        <v>22</v>
      </c>
      <c r="C129" s="217" t="s">
        <v>23</v>
      </c>
      <c r="D129" s="217" t="s">
        <v>85</v>
      </c>
      <c r="E129" s="217" t="s">
        <v>84</v>
      </c>
      <c r="F129" s="217" t="s">
        <v>173</v>
      </c>
      <c r="G129" s="217" t="s">
        <v>172</v>
      </c>
      <c r="H129" s="217" t="s">
        <v>974</v>
      </c>
      <c r="I129" s="217" t="s">
        <v>295</v>
      </c>
      <c r="J129" s="217" t="s">
        <v>2452</v>
      </c>
      <c r="K129" s="217" t="s">
        <v>2453</v>
      </c>
      <c r="L129" s="217">
        <v>44</v>
      </c>
      <c r="M129" s="217">
        <v>7</v>
      </c>
      <c r="N129" s="217">
        <v>0</v>
      </c>
      <c r="O129" s="217">
        <v>0</v>
      </c>
      <c r="P129" s="217">
        <v>0</v>
      </c>
      <c r="Q129" s="217">
        <v>0</v>
      </c>
      <c r="R129" s="217" t="s">
        <v>1807</v>
      </c>
    </row>
    <row r="130" spans="1:18" x14ac:dyDescent="0.25">
      <c r="A130" s="217">
        <v>129</v>
      </c>
      <c r="B130" s="217" t="s">
        <v>22</v>
      </c>
      <c r="C130" s="217" t="s">
        <v>23</v>
      </c>
      <c r="D130" s="217" t="s">
        <v>85</v>
      </c>
      <c r="E130" s="217" t="s">
        <v>84</v>
      </c>
      <c r="F130" s="217" t="s">
        <v>173</v>
      </c>
      <c r="G130" s="217" t="s">
        <v>172</v>
      </c>
      <c r="H130" s="217" t="s">
        <v>975</v>
      </c>
      <c r="I130" s="217" t="s">
        <v>296</v>
      </c>
      <c r="J130" s="217" t="s">
        <v>2454</v>
      </c>
      <c r="K130" s="217" t="s">
        <v>2455</v>
      </c>
      <c r="L130" s="217">
        <v>53</v>
      </c>
      <c r="M130" s="217">
        <v>6</v>
      </c>
      <c r="N130" s="217">
        <v>0</v>
      </c>
      <c r="O130" s="217">
        <v>0</v>
      </c>
      <c r="P130" s="217">
        <v>0</v>
      </c>
      <c r="Q130" s="217">
        <v>0</v>
      </c>
      <c r="R130" s="217" t="s">
        <v>1807</v>
      </c>
    </row>
    <row r="131" spans="1:18" x14ac:dyDescent="0.25">
      <c r="A131" s="217">
        <v>130</v>
      </c>
      <c r="B131" s="217" t="s">
        <v>22</v>
      </c>
      <c r="C131" s="217" t="s">
        <v>23</v>
      </c>
      <c r="D131" s="217" t="s">
        <v>85</v>
      </c>
      <c r="E131" s="217" t="s">
        <v>84</v>
      </c>
      <c r="F131" s="217" t="s">
        <v>173</v>
      </c>
      <c r="G131" s="217" t="s">
        <v>172</v>
      </c>
      <c r="H131" s="217" t="s">
        <v>976</v>
      </c>
      <c r="I131" s="217" t="s">
        <v>297</v>
      </c>
      <c r="J131" s="217" t="s">
        <v>2456</v>
      </c>
      <c r="K131" s="217" t="s">
        <v>2457</v>
      </c>
      <c r="L131" s="217">
        <v>42</v>
      </c>
      <c r="M131" s="217">
        <v>6</v>
      </c>
      <c r="N131" s="217">
        <v>0</v>
      </c>
      <c r="O131" s="217">
        <v>0</v>
      </c>
      <c r="P131" s="217">
        <v>0</v>
      </c>
      <c r="Q131" s="217">
        <v>0</v>
      </c>
      <c r="R131" s="217" t="s">
        <v>1807</v>
      </c>
    </row>
    <row r="132" spans="1:18" x14ac:dyDescent="0.25">
      <c r="A132" s="217">
        <v>131</v>
      </c>
      <c r="B132" s="217" t="s">
        <v>22</v>
      </c>
      <c r="C132" s="217" t="s">
        <v>23</v>
      </c>
      <c r="D132" s="217" t="s">
        <v>85</v>
      </c>
      <c r="E132" s="217" t="s">
        <v>84</v>
      </c>
      <c r="F132" s="217" t="s">
        <v>173</v>
      </c>
      <c r="G132" s="217" t="s">
        <v>172</v>
      </c>
      <c r="H132" s="217" t="s">
        <v>977</v>
      </c>
      <c r="I132" s="217" t="s">
        <v>298</v>
      </c>
      <c r="J132" s="217" t="s">
        <v>2458</v>
      </c>
      <c r="K132" s="217" t="s">
        <v>2459</v>
      </c>
      <c r="L132" s="217">
        <v>30</v>
      </c>
      <c r="M132" s="217">
        <v>3</v>
      </c>
      <c r="N132" s="217">
        <v>0</v>
      </c>
      <c r="O132" s="217">
        <v>0</v>
      </c>
      <c r="P132" s="217">
        <v>0</v>
      </c>
      <c r="Q132" s="217">
        <v>0</v>
      </c>
      <c r="R132" s="217" t="s">
        <v>1807</v>
      </c>
    </row>
    <row r="133" spans="1:18" x14ac:dyDescent="0.25">
      <c r="A133" s="217">
        <v>132</v>
      </c>
      <c r="B133" s="217" t="s">
        <v>22</v>
      </c>
      <c r="C133" s="217" t="s">
        <v>23</v>
      </c>
      <c r="D133" s="217" t="s">
        <v>85</v>
      </c>
      <c r="E133" s="217" t="s">
        <v>84</v>
      </c>
      <c r="F133" s="217" t="s">
        <v>173</v>
      </c>
      <c r="G133" s="217" t="s">
        <v>172</v>
      </c>
      <c r="H133" s="217" t="s">
        <v>978</v>
      </c>
      <c r="I133" s="217" t="s">
        <v>299</v>
      </c>
      <c r="J133" s="217" t="s">
        <v>2460</v>
      </c>
      <c r="K133" s="217" t="s">
        <v>2461</v>
      </c>
      <c r="L133" s="217">
        <v>614</v>
      </c>
      <c r="M133" s="217">
        <v>88</v>
      </c>
      <c r="N133" s="217">
        <v>0</v>
      </c>
      <c r="O133" s="217">
        <v>0</v>
      </c>
      <c r="P133" s="217">
        <v>0</v>
      </c>
      <c r="Q133" s="217">
        <v>0</v>
      </c>
      <c r="R133" s="217" t="s">
        <v>1807</v>
      </c>
    </row>
    <row r="134" spans="1:18" x14ac:dyDescent="0.25">
      <c r="A134" s="217">
        <v>133</v>
      </c>
      <c r="B134" s="217" t="s">
        <v>22</v>
      </c>
      <c r="C134" s="217" t="s">
        <v>23</v>
      </c>
      <c r="D134" s="217" t="s">
        <v>85</v>
      </c>
      <c r="E134" s="217" t="s">
        <v>84</v>
      </c>
      <c r="F134" s="217" t="s">
        <v>173</v>
      </c>
      <c r="G134" s="217" t="s">
        <v>172</v>
      </c>
      <c r="H134" s="217" t="s">
        <v>979</v>
      </c>
      <c r="I134" s="217" t="s">
        <v>300</v>
      </c>
      <c r="J134" s="217" t="s">
        <v>2462</v>
      </c>
      <c r="K134" s="217" t="s">
        <v>2463</v>
      </c>
      <c r="L134" s="217">
        <v>119</v>
      </c>
      <c r="M134" s="217">
        <v>27</v>
      </c>
      <c r="N134" s="217">
        <v>0</v>
      </c>
      <c r="O134" s="217">
        <v>0</v>
      </c>
      <c r="P134" s="217">
        <v>0</v>
      </c>
      <c r="Q134" s="217">
        <v>0</v>
      </c>
      <c r="R134" s="217" t="s">
        <v>1807</v>
      </c>
    </row>
    <row r="135" spans="1:18" x14ac:dyDescent="0.25">
      <c r="A135" s="217">
        <v>134</v>
      </c>
      <c r="B135" s="217" t="s">
        <v>22</v>
      </c>
      <c r="C135" s="217" t="s">
        <v>23</v>
      </c>
      <c r="D135" s="217" t="s">
        <v>85</v>
      </c>
      <c r="E135" s="217" t="s">
        <v>84</v>
      </c>
      <c r="F135" s="217" t="s">
        <v>173</v>
      </c>
      <c r="G135" s="217" t="s">
        <v>172</v>
      </c>
      <c r="H135" s="217" t="s">
        <v>980</v>
      </c>
      <c r="I135" s="217" t="s">
        <v>301</v>
      </c>
      <c r="J135" s="217" t="s">
        <v>2464</v>
      </c>
      <c r="K135" s="217" t="s">
        <v>2465</v>
      </c>
      <c r="L135" s="217">
        <v>37</v>
      </c>
      <c r="M135" s="217">
        <v>6</v>
      </c>
      <c r="N135" s="217">
        <v>0</v>
      </c>
      <c r="O135" s="217">
        <v>0</v>
      </c>
      <c r="P135" s="217">
        <v>0</v>
      </c>
      <c r="Q135" s="217">
        <v>0</v>
      </c>
      <c r="R135" s="217" t="s">
        <v>1807</v>
      </c>
    </row>
    <row r="136" spans="1:18" x14ac:dyDescent="0.25">
      <c r="A136" s="217">
        <v>135</v>
      </c>
      <c r="B136" s="217" t="s">
        <v>22</v>
      </c>
      <c r="C136" s="217" t="s">
        <v>23</v>
      </c>
      <c r="D136" s="217" t="s">
        <v>85</v>
      </c>
      <c r="E136" s="217" t="s">
        <v>84</v>
      </c>
      <c r="F136" s="217" t="s">
        <v>173</v>
      </c>
      <c r="G136" s="217" t="s">
        <v>172</v>
      </c>
      <c r="H136" s="217" t="s">
        <v>981</v>
      </c>
      <c r="I136" s="217" t="s">
        <v>302</v>
      </c>
      <c r="J136" s="217" t="s">
        <v>2466</v>
      </c>
      <c r="K136" s="217" t="s">
        <v>2467</v>
      </c>
      <c r="L136" s="217">
        <v>115</v>
      </c>
      <c r="M136" s="217">
        <v>15</v>
      </c>
      <c r="N136" s="217">
        <v>0</v>
      </c>
      <c r="O136" s="217">
        <v>0</v>
      </c>
      <c r="P136" s="217">
        <v>0</v>
      </c>
      <c r="Q136" s="217">
        <v>0</v>
      </c>
      <c r="R136" s="217" t="s">
        <v>1807</v>
      </c>
    </row>
    <row r="137" spans="1:18" x14ac:dyDescent="0.25">
      <c r="A137" s="217">
        <v>136</v>
      </c>
      <c r="B137" s="217" t="s">
        <v>22</v>
      </c>
      <c r="C137" s="217" t="s">
        <v>23</v>
      </c>
      <c r="D137" s="217" t="s">
        <v>85</v>
      </c>
      <c r="E137" s="217" t="s">
        <v>84</v>
      </c>
      <c r="F137" s="217" t="s">
        <v>173</v>
      </c>
      <c r="G137" s="217" t="s">
        <v>172</v>
      </c>
      <c r="H137" s="217" t="s">
        <v>982</v>
      </c>
      <c r="I137" s="217" t="s">
        <v>697</v>
      </c>
      <c r="J137" s="217" t="s">
        <v>2468</v>
      </c>
      <c r="K137" s="217" t="s">
        <v>2469</v>
      </c>
      <c r="L137" s="217">
        <v>34</v>
      </c>
      <c r="M137" s="217">
        <v>3</v>
      </c>
      <c r="N137" s="217">
        <v>0</v>
      </c>
      <c r="O137" s="217">
        <v>0</v>
      </c>
      <c r="P137" s="217">
        <v>0</v>
      </c>
      <c r="Q137" s="217">
        <v>0</v>
      </c>
      <c r="R137" s="217" t="s">
        <v>1807</v>
      </c>
    </row>
    <row r="138" spans="1:18" x14ac:dyDescent="0.25">
      <c r="A138" s="217">
        <v>137</v>
      </c>
      <c r="B138" s="217" t="s">
        <v>22</v>
      </c>
      <c r="C138" s="217" t="s">
        <v>23</v>
      </c>
      <c r="D138" s="217" t="s">
        <v>85</v>
      </c>
      <c r="E138" s="217" t="s">
        <v>84</v>
      </c>
      <c r="F138" s="217" t="s">
        <v>173</v>
      </c>
      <c r="G138" s="217" t="s">
        <v>172</v>
      </c>
      <c r="H138" s="217" t="s">
        <v>983</v>
      </c>
      <c r="I138" s="217" t="s">
        <v>285</v>
      </c>
      <c r="J138" s="217" t="s">
        <v>2470</v>
      </c>
      <c r="K138" s="217" t="s">
        <v>2471</v>
      </c>
      <c r="L138" s="217">
        <v>47</v>
      </c>
      <c r="M138" s="217">
        <v>4</v>
      </c>
      <c r="N138" s="217">
        <v>0</v>
      </c>
      <c r="O138" s="217">
        <v>0</v>
      </c>
      <c r="P138" s="217">
        <v>0</v>
      </c>
      <c r="Q138" s="217">
        <v>0</v>
      </c>
      <c r="R138" s="217" t="s">
        <v>1807</v>
      </c>
    </row>
    <row r="139" spans="1:18" x14ac:dyDescent="0.25">
      <c r="A139" s="217">
        <v>138</v>
      </c>
      <c r="B139" s="217" t="s">
        <v>22</v>
      </c>
      <c r="C139" s="217" t="s">
        <v>23</v>
      </c>
      <c r="D139" s="217" t="s">
        <v>85</v>
      </c>
      <c r="E139" s="217" t="s">
        <v>84</v>
      </c>
      <c r="F139" s="217" t="s">
        <v>173</v>
      </c>
      <c r="G139" s="217" t="s">
        <v>172</v>
      </c>
      <c r="H139" s="217" t="s">
        <v>984</v>
      </c>
      <c r="I139" s="217" t="s">
        <v>303</v>
      </c>
      <c r="J139" s="217" t="s">
        <v>2472</v>
      </c>
      <c r="K139" s="217" t="s">
        <v>2473</v>
      </c>
      <c r="L139" s="217">
        <v>52</v>
      </c>
      <c r="M139" s="217">
        <v>10</v>
      </c>
      <c r="N139" s="217">
        <v>0</v>
      </c>
      <c r="O139" s="217">
        <v>0</v>
      </c>
      <c r="P139" s="217">
        <v>0</v>
      </c>
      <c r="Q139" s="217">
        <v>0</v>
      </c>
      <c r="R139" s="217" t="s">
        <v>1807</v>
      </c>
    </row>
    <row r="140" spans="1:18" x14ac:dyDescent="0.25">
      <c r="A140" s="217">
        <v>139</v>
      </c>
      <c r="B140" s="217" t="s">
        <v>22</v>
      </c>
      <c r="C140" s="217" t="s">
        <v>23</v>
      </c>
      <c r="D140" s="217" t="s">
        <v>85</v>
      </c>
      <c r="E140" s="217" t="s">
        <v>84</v>
      </c>
      <c r="F140" s="217" t="s">
        <v>173</v>
      </c>
      <c r="G140" s="217" t="s">
        <v>172</v>
      </c>
      <c r="H140" s="217" t="s">
        <v>985</v>
      </c>
      <c r="I140" s="217" t="s">
        <v>304</v>
      </c>
      <c r="J140" s="217" t="s">
        <v>2474</v>
      </c>
      <c r="K140" s="217" t="s">
        <v>2475</v>
      </c>
      <c r="L140" s="217">
        <v>25</v>
      </c>
      <c r="M140" s="217">
        <v>4</v>
      </c>
      <c r="N140" s="217">
        <v>0</v>
      </c>
      <c r="O140" s="217">
        <v>0</v>
      </c>
      <c r="P140" s="217">
        <v>0</v>
      </c>
      <c r="Q140" s="217">
        <v>0</v>
      </c>
      <c r="R140" s="217" t="s">
        <v>1807</v>
      </c>
    </row>
    <row r="141" spans="1:18" x14ac:dyDescent="0.25">
      <c r="A141" s="217">
        <v>140</v>
      </c>
      <c r="B141" s="217" t="s">
        <v>22</v>
      </c>
      <c r="C141" s="217" t="s">
        <v>23</v>
      </c>
      <c r="D141" s="217" t="s">
        <v>85</v>
      </c>
      <c r="E141" s="217" t="s">
        <v>84</v>
      </c>
      <c r="F141" s="217" t="s">
        <v>173</v>
      </c>
      <c r="G141" s="217" t="s">
        <v>172</v>
      </c>
      <c r="H141" s="217" t="s">
        <v>986</v>
      </c>
      <c r="I141" s="217" t="s">
        <v>771</v>
      </c>
      <c r="J141" s="217" t="s">
        <v>2476</v>
      </c>
      <c r="K141" s="217" t="s">
        <v>2477</v>
      </c>
      <c r="L141" s="217">
        <v>47</v>
      </c>
      <c r="M141" s="217">
        <v>4</v>
      </c>
      <c r="N141" s="217">
        <v>0</v>
      </c>
      <c r="O141" s="217">
        <v>0</v>
      </c>
      <c r="P141" s="217">
        <v>0</v>
      </c>
      <c r="Q141" s="217">
        <v>0</v>
      </c>
      <c r="R141" s="217" t="s">
        <v>1807</v>
      </c>
    </row>
    <row r="142" spans="1:18" x14ac:dyDescent="0.25">
      <c r="A142" s="217">
        <v>141</v>
      </c>
      <c r="B142" s="217" t="s">
        <v>22</v>
      </c>
      <c r="C142" s="217" t="s">
        <v>23</v>
      </c>
      <c r="D142" s="217" t="s">
        <v>85</v>
      </c>
      <c r="E142" s="217" t="s">
        <v>84</v>
      </c>
      <c r="F142" s="217" t="s">
        <v>173</v>
      </c>
      <c r="G142" s="217" t="s">
        <v>172</v>
      </c>
      <c r="H142" s="217" t="s">
        <v>987</v>
      </c>
      <c r="I142" s="217" t="s">
        <v>305</v>
      </c>
      <c r="J142" s="217" t="s">
        <v>2478</v>
      </c>
      <c r="K142" s="217" t="s">
        <v>2479</v>
      </c>
      <c r="L142" s="217">
        <v>62</v>
      </c>
      <c r="M142" s="217">
        <v>9</v>
      </c>
      <c r="N142" s="217">
        <v>0</v>
      </c>
      <c r="O142" s="217">
        <v>0</v>
      </c>
      <c r="P142" s="217">
        <v>0</v>
      </c>
      <c r="Q142" s="217">
        <v>0</v>
      </c>
      <c r="R142" s="217" t="s">
        <v>1807</v>
      </c>
    </row>
    <row r="143" spans="1:18" x14ac:dyDescent="0.25">
      <c r="A143" s="217">
        <v>142</v>
      </c>
      <c r="B143" s="217" t="s">
        <v>22</v>
      </c>
      <c r="C143" s="217" t="s">
        <v>23</v>
      </c>
      <c r="D143" s="217" t="s">
        <v>85</v>
      </c>
      <c r="E143" s="217" t="s">
        <v>84</v>
      </c>
      <c r="F143" s="217" t="s">
        <v>173</v>
      </c>
      <c r="G143" s="217" t="s">
        <v>172</v>
      </c>
      <c r="H143" s="217" t="s">
        <v>988</v>
      </c>
      <c r="I143" s="217" t="s">
        <v>306</v>
      </c>
      <c r="J143" s="217" t="s">
        <v>2480</v>
      </c>
      <c r="K143" s="217" t="s">
        <v>2481</v>
      </c>
      <c r="L143" s="217">
        <v>66</v>
      </c>
      <c r="M143" s="217">
        <v>11</v>
      </c>
      <c r="N143" s="217">
        <v>0</v>
      </c>
      <c r="O143" s="217">
        <v>0</v>
      </c>
      <c r="P143" s="217">
        <v>0</v>
      </c>
      <c r="Q143" s="217">
        <v>0</v>
      </c>
      <c r="R143" s="217" t="s">
        <v>1807</v>
      </c>
    </row>
    <row r="144" spans="1:18" x14ac:dyDescent="0.25">
      <c r="A144" s="217">
        <v>143</v>
      </c>
      <c r="B144" s="217" t="s">
        <v>22</v>
      </c>
      <c r="C144" s="217" t="s">
        <v>23</v>
      </c>
      <c r="D144" s="217" t="s">
        <v>85</v>
      </c>
      <c r="E144" s="217" t="s">
        <v>84</v>
      </c>
      <c r="F144" s="217" t="s">
        <v>173</v>
      </c>
      <c r="G144" s="217" t="s">
        <v>172</v>
      </c>
      <c r="H144" s="217" t="s">
        <v>989</v>
      </c>
      <c r="I144" s="217" t="s">
        <v>307</v>
      </c>
      <c r="J144" s="217" t="s">
        <v>2482</v>
      </c>
      <c r="K144" s="217" t="s">
        <v>2483</v>
      </c>
      <c r="L144" s="217">
        <v>81</v>
      </c>
      <c r="M144" s="217">
        <v>12</v>
      </c>
      <c r="N144" s="217">
        <v>0</v>
      </c>
      <c r="O144" s="217">
        <v>0</v>
      </c>
      <c r="P144" s="217">
        <v>0</v>
      </c>
      <c r="Q144" s="217">
        <v>0</v>
      </c>
      <c r="R144" s="217" t="s">
        <v>1807</v>
      </c>
    </row>
    <row r="145" spans="1:18" x14ac:dyDescent="0.25">
      <c r="A145" s="217">
        <v>144</v>
      </c>
      <c r="B145" s="217" t="s">
        <v>22</v>
      </c>
      <c r="C145" s="217" t="s">
        <v>23</v>
      </c>
      <c r="D145" s="217" t="s">
        <v>85</v>
      </c>
      <c r="E145" s="217" t="s">
        <v>84</v>
      </c>
      <c r="F145" s="217" t="s">
        <v>173</v>
      </c>
      <c r="G145" s="217" t="s">
        <v>172</v>
      </c>
      <c r="H145" s="217" t="s">
        <v>990</v>
      </c>
      <c r="I145" s="217" t="s">
        <v>772</v>
      </c>
      <c r="J145" s="217" t="s">
        <v>2484</v>
      </c>
      <c r="K145" s="217" t="s">
        <v>2485</v>
      </c>
      <c r="L145" s="217">
        <v>38</v>
      </c>
      <c r="M145" s="217">
        <v>4</v>
      </c>
      <c r="N145" s="217">
        <v>0</v>
      </c>
      <c r="O145" s="217">
        <v>0</v>
      </c>
      <c r="P145" s="217">
        <v>0</v>
      </c>
      <c r="Q145" s="217">
        <v>0</v>
      </c>
      <c r="R145" s="217" t="s">
        <v>1807</v>
      </c>
    </row>
    <row r="146" spans="1:18" x14ac:dyDescent="0.25">
      <c r="A146" s="217">
        <v>145</v>
      </c>
      <c r="B146" s="217" t="s">
        <v>22</v>
      </c>
      <c r="C146" s="217" t="s">
        <v>23</v>
      </c>
      <c r="D146" s="217" t="s">
        <v>85</v>
      </c>
      <c r="E146" s="217" t="s">
        <v>84</v>
      </c>
      <c r="F146" s="217" t="s">
        <v>173</v>
      </c>
      <c r="G146" s="217" t="s">
        <v>172</v>
      </c>
      <c r="H146" s="217" t="s">
        <v>991</v>
      </c>
      <c r="I146" s="217" t="s">
        <v>308</v>
      </c>
      <c r="J146" s="217" t="s">
        <v>2486</v>
      </c>
      <c r="K146" s="217" t="s">
        <v>2487</v>
      </c>
      <c r="L146" s="217">
        <v>32</v>
      </c>
      <c r="M146" s="217">
        <v>7</v>
      </c>
      <c r="N146" s="217">
        <v>0</v>
      </c>
      <c r="O146" s="217">
        <v>0</v>
      </c>
      <c r="P146" s="217">
        <v>0</v>
      </c>
      <c r="Q146" s="217">
        <v>0</v>
      </c>
      <c r="R146" s="217" t="s">
        <v>1807</v>
      </c>
    </row>
    <row r="147" spans="1:18" x14ac:dyDescent="0.25">
      <c r="A147" s="217">
        <v>146</v>
      </c>
      <c r="B147" s="217" t="s">
        <v>22</v>
      </c>
      <c r="C147" s="217" t="s">
        <v>23</v>
      </c>
      <c r="D147" s="217" t="s">
        <v>85</v>
      </c>
      <c r="E147" s="217" t="s">
        <v>84</v>
      </c>
      <c r="F147" s="217" t="s">
        <v>173</v>
      </c>
      <c r="G147" s="217" t="s">
        <v>172</v>
      </c>
      <c r="H147" s="217" t="s">
        <v>992</v>
      </c>
      <c r="I147" s="217" t="s">
        <v>309</v>
      </c>
      <c r="J147" s="217" t="s">
        <v>2488</v>
      </c>
      <c r="K147" s="217" t="s">
        <v>2489</v>
      </c>
      <c r="L147" s="217">
        <v>22</v>
      </c>
      <c r="M147" s="217">
        <v>3</v>
      </c>
      <c r="N147" s="217">
        <v>0</v>
      </c>
      <c r="O147" s="217">
        <v>0</v>
      </c>
      <c r="P147" s="217">
        <v>0</v>
      </c>
      <c r="Q147" s="217">
        <v>0</v>
      </c>
      <c r="R147" s="217" t="s">
        <v>1807</v>
      </c>
    </row>
    <row r="148" spans="1:18" x14ac:dyDescent="0.25">
      <c r="A148" s="217">
        <v>147</v>
      </c>
      <c r="B148" s="217" t="s">
        <v>22</v>
      </c>
      <c r="C148" s="217" t="s">
        <v>23</v>
      </c>
      <c r="D148" s="217" t="s">
        <v>85</v>
      </c>
      <c r="E148" s="217" t="s">
        <v>84</v>
      </c>
      <c r="F148" s="217" t="s">
        <v>173</v>
      </c>
      <c r="G148" s="217" t="s">
        <v>172</v>
      </c>
      <c r="H148" s="217" t="s">
        <v>993</v>
      </c>
      <c r="I148" s="217" t="s">
        <v>310</v>
      </c>
      <c r="J148" s="217" t="s">
        <v>2490</v>
      </c>
      <c r="K148" s="217" t="s">
        <v>2491</v>
      </c>
      <c r="L148" s="217">
        <v>41</v>
      </c>
      <c r="M148" s="217">
        <v>8</v>
      </c>
      <c r="N148" s="217">
        <v>0</v>
      </c>
      <c r="O148" s="217">
        <v>0</v>
      </c>
      <c r="P148" s="217">
        <v>0</v>
      </c>
      <c r="Q148" s="217">
        <v>0</v>
      </c>
      <c r="R148" s="217" t="s">
        <v>1807</v>
      </c>
    </row>
    <row r="149" spans="1:18" x14ac:dyDescent="0.25">
      <c r="A149" s="217">
        <v>148</v>
      </c>
      <c r="B149" s="217" t="s">
        <v>22</v>
      </c>
      <c r="C149" s="217" t="s">
        <v>23</v>
      </c>
      <c r="D149" s="217" t="s">
        <v>85</v>
      </c>
      <c r="E149" s="217" t="s">
        <v>84</v>
      </c>
      <c r="F149" s="217" t="s">
        <v>173</v>
      </c>
      <c r="G149" s="217" t="s">
        <v>172</v>
      </c>
      <c r="H149" s="217" t="s">
        <v>994</v>
      </c>
      <c r="I149" s="217" t="s">
        <v>311</v>
      </c>
      <c r="J149" s="217" t="s">
        <v>2492</v>
      </c>
      <c r="K149" s="217" t="s">
        <v>2493</v>
      </c>
      <c r="L149" s="217">
        <v>62</v>
      </c>
      <c r="M149" s="217">
        <v>10</v>
      </c>
      <c r="N149" s="217">
        <v>0</v>
      </c>
      <c r="O149" s="217">
        <v>0</v>
      </c>
      <c r="P149" s="217">
        <v>0</v>
      </c>
      <c r="Q149" s="217">
        <v>0</v>
      </c>
      <c r="R149" s="217" t="s">
        <v>1807</v>
      </c>
    </row>
    <row r="150" spans="1:18" x14ac:dyDescent="0.25">
      <c r="A150" s="217">
        <v>149</v>
      </c>
      <c r="B150" s="217" t="s">
        <v>22</v>
      </c>
      <c r="C150" s="217" t="s">
        <v>23</v>
      </c>
      <c r="D150" s="217" t="s">
        <v>85</v>
      </c>
      <c r="E150" s="217" t="s">
        <v>84</v>
      </c>
      <c r="F150" s="217" t="s">
        <v>173</v>
      </c>
      <c r="G150" s="217" t="s">
        <v>172</v>
      </c>
      <c r="H150" s="217" t="s">
        <v>995</v>
      </c>
      <c r="I150" s="217" t="s">
        <v>312</v>
      </c>
      <c r="J150" s="217" t="s">
        <v>2494</v>
      </c>
      <c r="K150" s="217" t="s">
        <v>2495</v>
      </c>
      <c r="L150" s="217">
        <v>112</v>
      </c>
      <c r="M150" s="217">
        <v>22</v>
      </c>
      <c r="N150" s="217">
        <v>0</v>
      </c>
      <c r="O150" s="217">
        <v>0</v>
      </c>
      <c r="P150" s="217">
        <v>0</v>
      </c>
      <c r="Q150" s="217">
        <v>0</v>
      </c>
      <c r="R150" s="217" t="s">
        <v>1807</v>
      </c>
    </row>
    <row r="151" spans="1:18" x14ac:dyDescent="0.25">
      <c r="A151" s="217">
        <v>150</v>
      </c>
      <c r="B151" s="217" t="s">
        <v>22</v>
      </c>
      <c r="C151" s="217" t="s">
        <v>23</v>
      </c>
      <c r="D151" s="217" t="s">
        <v>85</v>
      </c>
      <c r="E151" s="217" t="s">
        <v>84</v>
      </c>
      <c r="F151" s="217" t="s">
        <v>173</v>
      </c>
      <c r="G151" s="217" t="s">
        <v>172</v>
      </c>
      <c r="H151" s="217" t="s">
        <v>996</v>
      </c>
      <c r="I151" s="217" t="s">
        <v>313</v>
      </c>
      <c r="J151" s="217" t="s">
        <v>2496</v>
      </c>
      <c r="K151" s="217" t="s">
        <v>2497</v>
      </c>
      <c r="L151" s="217">
        <v>51</v>
      </c>
      <c r="M151" s="217">
        <v>10</v>
      </c>
      <c r="N151" s="217">
        <v>0</v>
      </c>
      <c r="O151" s="217">
        <v>0</v>
      </c>
      <c r="P151" s="217">
        <v>0</v>
      </c>
      <c r="Q151" s="217">
        <v>0</v>
      </c>
      <c r="R151" s="217" t="s">
        <v>1807</v>
      </c>
    </row>
    <row r="152" spans="1:18" x14ac:dyDescent="0.25">
      <c r="A152" s="217">
        <v>151</v>
      </c>
      <c r="B152" s="217" t="s">
        <v>22</v>
      </c>
      <c r="C152" s="217" t="s">
        <v>23</v>
      </c>
      <c r="D152" s="217" t="s">
        <v>85</v>
      </c>
      <c r="E152" s="217" t="s">
        <v>84</v>
      </c>
      <c r="F152" s="217" t="s">
        <v>173</v>
      </c>
      <c r="G152" s="217" t="s">
        <v>172</v>
      </c>
      <c r="H152" s="217" t="s">
        <v>997</v>
      </c>
      <c r="I152" s="217" t="s">
        <v>314</v>
      </c>
      <c r="J152" s="217" t="s">
        <v>2498</v>
      </c>
      <c r="K152" s="217" t="s">
        <v>2499</v>
      </c>
      <c r="L152" s="217">
        <v>95</v>
      </c>
      <c r="M152" s="217">
        <v>19</v>
      </c>
      <c r="N152" s="217">
        <v>0</v>
      </c>
      <c r="O152" s="217">
        <v>0</v>
      </c>
      <c r="P152" s="217">
        <v>0</v>
      </c>
      <c r="Q152" s="217">
        <v>0</v>
      </c>
      <c r="R152" s="217" t="s">
        <v>1807</v>
      </c>
    </row>
    <row r="153" spans="1:18" x14ac:dyDescent="0.25">
      <c r="A153" s="217">
        <v>152</v>
      </c>
      <c r="B153" s="217" t="s">
        <v>22</v>
      </c>
      <c r="C153" s="217" t="s">
        <v>23</v>
      </c>
      <c r="D153" s="217" t="s">
        <v>85</v>
      </c>
      <c r="E153" s="217" t="s">
        <v>84</v>
      </c>
      <c r="F153" s="217" t="s">
        <v>173</v>
      </c>
      <c r="G153" s="217" t="s">
        <v>172</v>
      </c>
      <c r="H153" s="217" t="s">
        <v>998</v>
      </c>
      <c r="I153" s="217" t="s">
        <v>315</v>
      </c>
      <c r="J153" s="217" t="s">
        <v>2500</v>
      </c>
      <c r="K153" s="217" t="s">
        <v>2501</v>
      </c>
      <c r="L153" s="217">
        <v>42</v>
      </c>
      <c r="M153" s="217">
        <v>4</v>
      </c>
      <c r="N153" s="217">
        <v>0</v>
      </c>
      <c r="O153" s="217">
        <v>0</v>
      </c>
      <c r="P153" s="217">
        <v>0</v>
      </c>
      <c r="Q153" s="217">
        <v>0</v>
      </c>
      <c r="R153" s="217" t="s">
        <v>1807</v>
      </c>
    </row>
    <row r="154" spans="1:18" x14ac:dyDescent="0.25">
      <c r="A154" s="217">
        <v>153</v>
      </c>
      <c r="B154" s="217" t="s">
        <v>22</v>
      </c>
      <c r="C154" s="217" t="s">
        <v>23</v>
      </c>
      <c r="D154" s="217" t="s">
        <v>85</v>
      </c>
      <c r="E154" s="217" t="s">
        <v>84</v>
      </c>
      <c r="F154" s="217" t="s">
        <v>173</v>
      </c>
      <c r="G154" s="217" t="s">
        <v>172</v>
      </c>
      <c r="H154" s="217" t="s">
        <v>999</v>
      </c>
      <c r="I154" s="217" t="s">
        <v>316</v>
      </c>
      <c r="J154" s="217" t="s">
        <v>2502</v>
      </c>
      <c r="K154" s="217" t="s">
        <v>2503</v>
      </c>
      <c r="L154" s="217">
        <v>208</v>
      </c>
      <c r="M154" s="217">
        <v>36</v>
      </c>
      <c r="N154" s="217">
        <v>0</v>
      </c>
      <c r="O154" s="217">
        <v>0</v>
      </c>
      <c r="P154" s="217">
        <v>0</v>
      </c>
      <c r="Q154" s="217">
        <v>0</v>
      </c>
      <c r="R154" s="217" t="s">
        <v>1807</v>
      </c>
    </row>
    <row r="155" spans="1:18" x14ac:dyDescent="0.25">
      <c r="A155" s="217">
        <v>154</v>
      </c>
      <c r="B155" s="217" t="s">
        <v>22</v>
      </c>
      <c r="C155" s="217" t="s">
        <v>23</v>
      </c>
      <c r="D155" s="217" t="s">
        <v>85</v>
      </c>
      <c r="E155" s="217" t="s">
        <v>84</v>
      </c>
      <c r="F155" s="217" t="s">
        <v>173</v>
      </c>
      <c r="G155" s="217" t="s">
        <v>172</v>
      </c>
      <c r="H155" s="217" t="s">
        <v>1000</v>
      </c>
      <c r="I155" s="217" t="s">
        <v>773</v>
      </c>
      <c r="J155" s="217" t="s">
        <v>2504</v>
      </c>
      <c r="K155" s="217" t="s">
        <v>2505</v>
      </c>
      <c r="L155" s="217">
        <v>17</v>
      </c>
      <c r="M155" s="217">
        <v>2</v>
      </c>
      <c r="N155" s="217">
        <v>0</v>
      </c>
      <c r="O155" s="217">
        <v>0</v>
      </c>
      <c r="P155" s="217">
        <v>0</v>
      </c>
      <c r="Q155" s="217">
        <v>0</v>
      </c>
      <c r="R155" s="217" t="s">
        <v>1807</v>
      </c>
    </row>
    <row r="156" spans="1:18" x14ac:dyDescent="0.25">
      <c r="A156" s="217">
        <v>155</v>
      </c>
      <c r="B156" s="217" t="s">
        <v>22</v>
      </c>
      <c r="C156" s="217" t="s">
        <v>23</v>
      </c>
      <c r="D156" s="217" t="s">
        <v>85</v>
      </c>
      <c r="E156" s="217" t="s">
        <v>84</v>
      </c>
      <c r="F156" s="217" t="s">
        <v>173</v>
      </c>
      <c r="G156" s="217" t="s">
        <v>172</v>
      </c>
      <c r="H156" s="217" t="s">
        <v>1001</v>
      </c>
      <c r="I156" s="217" t="s">
        <v>317</v>
      </c>
      <c r="J156" s="217" t="s">
        <v>2506</v>
      </c>
      <c r="K156" s="217" t="s">
        <v>2507</v>
      </c>
      <c r="L156" s="217">
        <v>10</v>
      </c>
      <c r="M156" s="217">
        <v>2</v>
      </c>
      <c r="N156" s="217">
        <v>0</v>
      </c>
      <c r="O156" s="217">
        <v>0</v>
      </c>
      <c r="P156" s="217">
        <v>0</v>
      </c>
      <c r="Q156" s="217">
        <v>0</v>
      </c>
      <c r="R156" s="217" t="s">
        <v>1807</v>
      </c>
    </row>
    <row r="157" spans="1:18" x14ac:dyDescent="0.25">
      <c r="A157" s="217">
        <v>156</v>
      </c>
      <c r="B157" s="217" t="s">
        <v>22</v>
      </c>
      <c r="C157" s="217" t="s">
        <v>23</v>
      </c>
      <c r="D157" s="217" t="s">
        <v>85</v>
      </c>
      <c r="E157" s="217" t="s">
        <v>84</v>
      </c>
      <c r="F157" s="217" t="s">
        <v>173</v>
      </c>
      <c r="G157" s="217" t="s">
        <v>172</v>
      </c>
      <c r="H157" s="217" t="s">
        <v>1002</v>
      </c>
      <c r="I157" s="217" t="s">
        <v>318</v>
      </c>
      <c r="J157" s="217" t="s">
        <v>2508</v>
      </c>
      <c r="K157" s="217" t="s">
        <v>2509</v>
      </c>
      <c r="L157" s="217">
        <v>22</v>
      </c>
      <c r="M157" s="217">
        <v>4</v>
      </c>
      <c r="N157" s="217">
        <v>0</v>
      </c>
      <c r="O157" s="217">
        <v>0</v>
      </c>
      <c r="P157" s="217">
        <v>0</v>
      </c>
      <c r="Q157" s="217">
        <v>0</v>
      </c>
      <c r="R157" s="217" t="s">
        <v>1807</v>
      </c>
    </row>
    <row r="158" spans="1:18" x14ac:dyDescent="0.25">
      <c r="A158" s="217">
        <v>157</v>
      </c>
      <c r="B158" s="217" t="s">
        <v>22</v>
      </c>
      <c r="C158" s="217" t="s">
        <v>23</v>
      </c>
      <c r="D158" s="217" t="s">
        <v>85</v>
      </c>
      <c r="E158" s="217" t="s">
        <v>84</v>
      </c>
      <c r="F158" s="217" t="s">
        <v>110</v>
      </c>
      <c r="G158" s="217" t="s">
        <v>109</v>
      </c>
      <c r="H158" s="217" t="s">
        <v>1003</v>
      </c>
      <c r="I158" s="217" t="s">
        <v>319</v>
      </c>
      <c r="J158" s="217" t="s">
        <v>2510</v>
      </c>
      <c r="K158" s="217" t="s">
        <v>2511</v>
      </c>
      <c r="L158" s="217">
        <v>1836</v>
      </c>
      <c r="M158" s="217">
        <v>251</v>
      </c>
      <c r="N158" s="217">
        <v>0</v>
      </c>
      <c r="O158" s="217">
        <v>0</v>
      </c>
      <c r="P158" s="217">
        <v>0</v>
      </c>
      <c r="Q158" s="217">
        <v>0</v>
      </c>
      <c r="R158" s="217" t="s">
        <v>1807</v>
      </c>
    </row>
    <row r="159" spans="1:18" x14ac:dyDescent="0.25">
      <c r="A159" s="217">
        <v>158</v>
      </c>
      <c r="B159" s="217" t="s">
        <v>22</v>
      </c>
      <c r="C159" s="217" t="s">
        <v>23</v>
      </c>
      <c r="D159" s="217" t="s">
        <v>85</v>
      </c>
      <c r="E159" s="217" t="s">
        <v>84</v>
      </c>
      <c r="F159" s="217" t="s">
        <v>110</v>
      </c>
      <c r="G159" s="217" t="s">
        <v>109</v>
      </c>
      <c r="H159" s="217" t="s">
        <v>1004</v>
      </c>
      <c r="I159" s="217" t="s">
        <v>320</v>
      </c>
      <c r="J159" s="217" t="s">
        <v>2512</v>
      </c>
      <c r="K159" s="217" t="s">
        <v>2513</v>
      </c>
      <c r="L159" s="217">
        <v>126</v>
      </c>
      <c r="M159" s="217">
        <v>21</v>
      </c>
      <c r="N159" s="217">
        <v>0</v>
      </c>
      <c r="O159" s="217">
        <v>0</v>
      </c>
      <c r="P159" s="217">
        <v>0</v>
      </c>
      <c r="Q159" s="217">
        <v>0</v>
      </c>
      <c r="R159" s="217" t="s">
        <v>1807</v>
      </c>
    </row>
    <row r="160" spans="1:18" x14ac:dyDescent="0.25">
      <c r="A160" s="217">
        <v>159</v>
      </c>
      <c r="B160" s="217" t="s">
        <v>22</v>
      </c>
      <c r="C160" s="217" t="s">
        <v>23</v>
      </c>
      <c r="D160" s="217" t="s">
        <v>85</v>
      </c>
      <c r="E160" s="217" t="s">
        <v>84</v>
      </c>
      <c r="F160" s="217" t="s">
        <v>110</v>
      </c>
      <c r="G160" s="217" t="s">
        <v>109</v>
      </c>
      <c r="H160" s="217" t="s">
        <v>1005</v>
      </c>
      <c r="I160" s="217" t="s">
        <v>321</v>
      </c>
      <c r="J160" s="217" t="s">
        <v>2514</v>
      </c>
      <c r="K160" s="217" t="s">
        <v>2515</v>
      </c>
      <c r="L160" s="217">
        <v>109</v>
      </c>
      <c r="M160" s="217">
        <v>16</v>
      </c>
      <c r="N160" s="217">
        <v>0</v>
      </c>
      <c r="O160" s="217">
        <v>0</v>
      </c>
      <c r="P160" s="217">
        <v>0</v>
      </c>
      <c r="Q160" s="217">
        <v>0</v>
      </c>
      <c r="R160" s="217" t="s">
        <v>1807</v>
      </c>
    </row>
    <row r="161" spans="1:18" x14ac:dyDescent="0.25">
      <c r="A161" s="217">
        <v>160</v>
      </c>
      <c r="B161" s="217" t="s">
        <v>22</v>
      </c>
      <c r="C161" s="217" t="s">
        <v>23</v>
      </c>
      <c r="D161" s="217" t="s">
        <v>85</v>
      </c>
      <c r="E161" s="217" t="s">
        <v>84</v>
      </c>
      <c r="F161" s="217" t="s">
        <v>110</v>
      </c>
      <c r="G161" s="217" t="s">
        <v>109</v>
      </c>
      <c r="H161" s="217" t="s">
        <v>1006</v>
      </c>
      <c r="I161" s="217" t="s">
        <v>322</v>
      </c>
      <c r="J161" s="217" t="s">
        <v>2516</v>
      </c>
      <c r="K161" s="217" t="s">
        <v>2517</v>
      </c>
      <c r="L161" s="217">
        <v>207</v>
      </c>
      <c r="M161" s="217">
        <v>25</v>
      </c>
      <c r="N161" s="217">
        <v>0</v>
      </c>
      <c r="O161" s="217">
        <v>0</v>
      </c>
      <c r="P161" s="217">
        <v>147</v>
      </c>
      <c r="Q161" s="217">
        <v>21</v>
      </c>
      <c r="R161" s="217" t="s">
        <v>1807</v>
      </c>
    </row>
    <row r="162" spans="1:18" x14ac:dyDescent="0.25">
      <c r="A162" s="217">
        <v>161</v>
      </c>
      <c r="B162" s="217" t="s">
        <v>22</v>
      </c>
      <c r="C162" s="217" t="s">
        <v>23</v>
      </c>
      <c r="D162" s="217" t="s">
        <v>85</v>
      </c>
      <c r="E162" s="217" t="s">
        <v>84</v>
      </c>
      <c r="F162" s="217" t="s">
        <v>110</v>
      </c>
      <c r="G162" s="217" t="s">
        <v>109</v>
      </c>
      <c r="H162" s="217" t="s">
        <v>1559</v>
      </c>
      <c r="I162" s="217" t="s">
        <v>146</v>
      </c>
      <c r="J162" s="217" t="s">
        <v>2518</v>
      </c>
      <c r="K162" s="217" t="s">
        <v>2519</v>
      </c>
      <c r="L162" s="217">
        <v>0</v>
      </c>
      <c r="M162" s="217">
        <v>0</v>
      </c>
      <c r="N162" s="217">
        <v>0</v>
      </c>
      <c r="O162" s="217">
        <v>0</v>
      </c>
      <c r="P162" s="217">
        <v>0</v>
      </c>
      <c r="Q162" s="217">
        <v>0</v>
      </c>
      <c r="R162" s="217" t="s">
        <v>1807</v>
      </c>
    </row>
    <row r="163" spans="1:18" x14ac:dyDescent="0.25">
      <c r="A163" s="217">
        <v>162</v>
      </c>
      <c r="B163" s="217" t="s">
        <v>22</v>
      </c>
      <c r="C163" s="217" t="s">
        <v>23</v>
      </c>
      <c r="D163" s="217" t="s">
        <v>85</v>
      </c>
      <c r="E163" s="217" t="s">
        <v>84</v>
      </c>
      <c r="F163" s="217" t="s">
        <v>110</v>
      </c>
      <c r="G163" s="217" t="s">
        <v>109</v>
      </c>
      <c r="H163" s="217" t="s">
        <v>1828</v>
      </c>
      <c r="I163" s="217" t="s">
        <v>1829</v>
      </c>
      <c r="J163" s="217" t="s">
        <v>2520</v>
      </c>
      <c r="K163" s="217" t="s">
        <v>2521</v>
      </c>
      <c r="L163" s="217">
        <v>120</v>
      </c>
      <c r="M163" s="217">
        <v>15</v>
      </c>
      <c r="N163" s="217">
        <v>0</v>
      </c>
      <c r="O163" s="217">
        <v>0</v>
      </c>
      <c r="P163" s="217">
        <v>0</v>
      </c>
      <c r="Q163" s="217">
        <v>0</v>
      </c>
      <c r="R163" s="217" t="s">
        <v>1807</v>
      </c>
    </row>
    <row r="164" spans="1:18" x14ac:dyDescent="0.25">
      <c r="A164" s="217">
        <v>163</v>
      </c>
      <c r="B164" s="217" t="s">
        <v>22</v>
      </c>
      <c r="C164" s="217" t="s">
        <v>23</v>
      </c>
      <c r="D164" s="217" t="s">
        <v>85</v>
      </c>
      <c r="E164" s="217" t="s">
        <v>84</v>
      </c>
      <c r="F164" s="217" t="s">
        <v>110</v>
      </c>
      <c r="G164" s="217" t="s">
        <v>109</v>
      </c>
      <c r="H164" s="217" t="s">
        <v>1824</v>
      </c>
      <c r="I164" s="217" t="s">
        <v>1825</v>
      </c>
      <c r="J164" s="217" t="s">
        <v>2522</v>
      </c>
      <c r="K164" s="217" t="s">
        <v>2523</v>
      </c>
      <c r="L164" s="217">
        <v>106</v>
      </c>
      <c r="M164" s="217">
        <v>14</v>
      </c>
      <c r="N164" s="217">
        <v>0</v>
      </c>
      <c r="O164" s="217">
        <v>0</v>
      </c>
      <c r="P164" s="217">
        <v>0</v>
      </c>
      <c r="Q164" s="217">
        <v>0</v>
      </c>
      <c r="R164" s="217" t="s">
        <v>1807</v>
      </c>
    </row>
    <row r="165" spans="1:18" x14ac:dyDescent="0.25">
      <c r="A165" s="217">
        <v>164</v>
      </c>
      <c r="B165" s="217" t="s">
        <v>22</v>
      </c>
      <c r="C165" s="217" t="s">
        <v>23</v>
      </c>
      <c r="D165" s="217" t="s">
        <v>85</v>
      </c>
      <c r="E165" s="217" t="s">
        <v>84</v>
      </c>
      <c r="F165" s="217" t="s">
        <v>110</v>
      </c>
      <c r="G165" s="217" t="s">
        <v>109</v>
      </c>
      <c r="H165" s="217" t="s">
        <v>1826</v>
      </c>
      <c r="I165" s="217" t="s">
        <v>1827</v>
      </c>
      <c r="J165" s="217" t="s">
        <v>2524</v>
      </c>
      <c r="K165" s="217" t="s">
        <v>2525</v>
      </c>
      <c r="L165" s="217">
        <v>104</v>
      </c>
      <c r="M165" s="217">
        <v>13</v>
      </c>
      <c r="N165" s="217">
        <v>0</v>
      </c>
      <c r="O165" s="217">
        <v>0</v>
      </c>
      <c r="P165" s="217">
        <v>0</v>
      </c>
      <c r="Q165" s="217">
        <v>0</v>
      </c>
      <c r="R165" s="217" t="s">
        <v>1807</v>
      </c>
    </row>
    <row r="166" spans="1:18" x14ac:dyDescent="0.25">
      <c r="A166" s="217">
        <v>165</v>
      </c>
      <c r="B166" s="217" t="s">
        <v>22</v>
      </c>
      <c r="C166" s="217" t="s">
        <v>23</v>
      </c>
      <c r="D166" s="217" t="s">
        <v>85</v>
      </c>
      <c r="E166" s="217" t="s">
        <v>84</v>
      </c>
      <c r="F166" s="217" t="s">
        <v>110</v>
      </c>
      <c r="G166" s="217" t="s">
        <v>109</v>
      </c>
      <c r="H166" s="217" t="s">
        <v>1007</v>
      </c>
      <c r="I166" s="217" t="s">
        <v>323</v>
      </c>
      <c r="J166" s="217" t="s">
        <v>2526</v>
      </c>
      <c r="K166" s="217" t="s">
        <v>2527</v>
      </c>
      <c r="L166" s="217">
        <v>0</v>
      </c>
      <c r="M166" s="217">
        <v>0</v>
      </c>
      <c r="N166" s="217">
        <v>0</v>
      </c>
      <c r="O166" s="217">
        <v>0</v>
      </c>
      <c r="P166" s="217">
        <v>0</v>
      </c>
      <c r="Q166" s="217">
        <v>0</v>
      </c>
      <c r="R166" s="217" t="s">
        <v>1807</v>
      </c>
    </row>
    <row r="167" spans="1:18" x14ac:dyDescent="0.25">
      <c r="A167" s="217">
        <v>166</v>
      </c>
      <c r="B167" s="217" t="s">
        <v>22</v>
      </c>
      <c r="C167" s="217" t="s">
        <v>23</v>
      </c>
      <c r="D167" s="217" t="s">
        <v>85</v>
      </c>
      <c r="E167" s="217" t="s">
        <v>84</v>
      </c>
      <c r="F167" s="217" t="s">
        <v>110</v>
      </c>
      <c r="G167" s="217" t="s">
        <v>109</v>
      </c>
      <c r="H167" s="217" t="s">
        <v>1560</v>
      </c>
      <c r="I167" s="217" t="s">
        <v>147</v>
      </c>
      <c r="J167" s="217" t="s">
        <v>2528</v>
      </c>
      <c r="K167" s="217" t="s">
        <v>2529</v>
      </c>
      <c r="L167" s="217">
        <v>0</v>
      </c>
      <c r="M167" s="217">
        <v>0</v>
      </c>
      <c r="N167" s="217">
        <v>0</v>
      </c>
      <c r="O167" s="217">
        <v>0</v>
      </c>
      <c r="P167" s="217">
        <v>0</v>
      </c>
      <c r="Q167" s="217">
        <v>0</v>
      </c>
      <c r="R167" s="217" t="s">
        <v>1807</v>
      </c>
    </row>
    <row r="168" spans="1:18" x14ac:dyDescent="0.25">
      <c r="A168" s="217">
        <v>167</v>
      </c>
      <c r="B168" s="217" t="s">
        <v>22</v>
      </c>
      <c r="C168" s="217" t="s">
        <v>23</v>
      </c>
      <c r="D168" s="217" t="s">
        <v>85</v>
      </c>
      <c r="E168" s="217" t="s">
        <v>84</v>
      </c>
      <c r="F168" s="217" t="s">
        <v>110</v>
      </c>
      <c r="G168" s="217" t="s">
        <v>109</v>
      </c>
      <c r="H168" s="217" t="s">
        <v>1008</v>
      </c>
      <c r="I168" s="217" t="s">
        <v>324</v>
      </c>
      <c r="J168" s="217" t="s">
        <v>2530</v>
      </c>
      <c r="K168" s="217" t="s">
        <v>2531</v>
      </c>
      <c r="L168" s="217">
        <v>870</v>
      </c>
      <c r="M168" s="217">
        <v>129</v>
      </c>
      <c r="N168" s="217">
        <v>0</v>
      </c>
      <c r="O168" s="217">
        <v>0</v>
      </c>
      <c r="P168" s="217">
        <v>0</v>
      </c>
      <c r="Q168" s="217">
        <v>0</v>
      </c>
      <c r="R168" s="217" t="s">
        <v>1807</v>
      </c>
    </row>
    <row r="169" spans="1:18" x14ac:dyDescent="0.25">
      <c r="A169" s="217">
        <v>168</v>
      </c>
      <c r="B169" s="217" t="s">
        <v>22</v>
      </c>
      <c r="C169" s="217" t="s">
        <v>23</v>
      </c>
      <c r="D169" s="217" t="s">
        <v>85</v>
      </c>
      <c r="E169" s="217" t="s">
        <v>84</v>
      </c>
      <c r="F169" s="217" t="s">
        <v>110</v>
      </c>
      <c r="G169" s="217" t="s">
        <v>109</v>
      </c>
      <c r="H169" s="217" t="s">
        <v>1009</v>
      </c>
      <c r="I169" s="217" t="s">
        <v>325</v>
      </c>
      <c r="J169" s="217" t="s">
        <v>2532</v>
      </c>
      <c r="K169" s="217" t="s">
        <v>2533</v>
      </c>
      <c r="L169" s="217">
        <v>188</v>
      </c>
      <c r="M169" s="217">
        <v>30</v>
      </c>
      <c r="N169" s="217">
        <v>0</v>
      </c>
      <c r="O169" s="217">
        <v>0</v>
      </c>
      <c r="P169" s="217">
        <v>0</v>
      </c>
      <c r="Q169" s="217">
        <v>0</v>
      </c>
      <c r="R169" s="217" t="s">
        <v>1807</v>
      </c>
    </row>
    <row r="170" spans="1:18" x14ac:dyDescent="0.25">
      <c r="A170" s="217">
        <v>169</v>
      </c>
      <c r="B170" s="217" t="s">
        <v>22</v>
      </c>
      <c r="C170" s="217" t="s">
        <v>23</v>
      </c>
      <c r="D170" s="217" t="s">
        <v>85</v>
      </c>
      <c r="E170" s="217" t="s">
        <v>84</v>
      </c>
      <c r="F170" s="217" t="s">
        <v>110</v>
      </c>
      <c r="G170" s="217" t="s">
        <v>109</v>
      </c>
      <c r="H170" s="217" t="s">
        <v>1010</v>
      </c>
      <c r="I170" s="217" t="s">
        <v>326</v>
      </c>
      <c r="J170" s="217" t="s">
        <v>2534</v>
      </c>
      <c r="K170" s="217" t="s">
        <v>2535</v>
      </c>
      <c r="L170" s="217">
        <v>0</v>
      </c>
      <c r="M170" s="217">
        <v>0</v>
      </c>
      <c r="N170" s="217">
        <v>0</v>
      </c>
      <c r="O170" s="217">
        <v>0</v>
      </c>
      <c r="P170" s="217">
        <v>0</v>
      </c>
      <c r="Q170" s="217">
        <v>0</v>
      </c>
      <c r="R170" s="217" t="s">
        <v>1807</v>
      </c>
    </row>
    <row r="171" spans="1:18" x14ac:dyDescent="0.25">
      <c r="A171" s="217">
        <v>170</v>
      </c>
      <c r="B171" s="217" t="s">
        <v>22</v>
      </c>
      <c r="C171" s="217" t="s">
        <v>23</v>
      </c>
      <c r="D171" s="217" t="s">
        <v>85</v>
      </c>
      <c r="E171" s="217" t="s">
        <v>84</v>
      </c>
      <c r="F171" s="217" t="s">
        <v>110</v>
      </c>
      <c r="G171" s="217" t="s">
        <v>109</v>
      </c>
      <c r="H171" s="217" t="s">
        <v>1689</v>
      </c>
      <c r="I171" s="217" t="s">
        <v>703</v>
      </c>
      <c r="J171" s="217" t="s">
        <v>2536</v>
      </c>
      <c r="K171" s="217" t="s">
        <v>2537</v>
      </c>
      <c r="L171" s="217">
        <v>0</v>
      </c>
      <c r="M171" s="217">
        <v>0</v>
      </c>
      <c r="N171" s="217">
        <v>0</v>
      </c>
      <c r="O171" s="217">
        <v>0</v>
      </c>
      <c r="P171" s="217">
        <v>0</v>
      </c>
      <c r="Q171" s="217">
        <v>0</v>
      </c>
      <c r="R171" s="217" t="s">
        <v>1807</v>
      </c>
    </row>
    <row r="172" spans="1:18" x14ac:dyDescent="0.25">
      <c r="A172" s="217">
        <v>171</v>
      </c>
      <c r="B172" s="217" t="s">
        <v>22</v>
      </c>
      <c r="C172" s="217" t="s">
        <v>23</v>
      </c>
      <c r="D172" s="217" t="s">
        <v>85</v>
      </c>
      <c r="E172" s="217" t="s">
        <v>84</v>
      </c>
      <c r="F172" s="217" t="s">
        <v>110</v>
      </c>
      <c r="G172" s="217" t="s">
        <v>109</v>
      </c>
      <c r="H172" s="217" t="s">
        <v>1011</v>
      </c>
      <c r="I172" s="217" t="s">
        <v>285</v>
      </c>
      <c r="J172" s="217" t="s">
        <v>2538</v>
      </c>
      <c r="K172" s="217" t="s">
        <v>2539</v>
      </c>
      <c r="L172" s="217">
        <v>64</v>
      </c>
      <c r="M172" s="217">
        <v>7</v>
      </c>
      <c r="N172" s="217">
        <v>0</v>
      </c>
      <c r="O172" s="217">
        <v>0</v>
      </c>
      <c r="P172" s="217">
        <v>0</v>
      </c>
      <c r="Q172" s="217">
        <v>0</v>
      </c>
      <c r="R172" s="217" t="s">
        <v>1807</v>
      </c>
    </row>
    <row r="173" spans="1:18" x14ac:dyDescent="0.25">
      <c r="A173" s="217">
        <v>172</v>
      </c>
      <c r="B173" s="217" t="s">
        <v>22</v>
      </c>
      <c r="C173" s="217" t="s">
        <v>23</v>
      </c>
      <c r="D173" s="217" t="s">
        <v>85</v>
      </c>
      <c r="E173" s="217" t="s">
        <v>84</v>
      </c>
      <c r="F173" s="217" t="s">
        <v>110</v>
      </c>
      <c r="G173" s="217" t="s">
        <v>109</v>
      </c>
      <c r="H173" s="217" t="s">
        <v>1834</v>
      </c>
      <c r="I173" s="217" t="s">
        <v>1835</v>
      </c>
      <c r="J173" s="217" t="s">
        <v>2540</v>
      </c>
      <c r="K173" s="217" t="s">
        <v>2541</v>
      </c>
      <c r="L173" s="217">
        <v>160</v>
      </c>
      <c r="M173" s="217">
        <v>20</v>
      </c>
      <c r="N173" s="217">
        <v>0</v>
      </c>
      <c r="O173" s="217">
        <v>0</v>
      </c>
      <c r="P173" s="217">
        <v>0</v>
      </c>
      <c r="Q173" s="217">
        <v>0</v>
      </c>
      <c r="R173" s="217" t="s">
        <v>1807</v>
      </c>
    </row>
    <row r="174" spans="1:18" x14ac:dyDescent="0.25">
      <c r="A174" s="217">
        <v>173</v>
      </c>
      <c r="B174" s="217" t="s">
        <v>22</v>
      </c>
      <c r="C174" s="217" t="s">
        <v>23</v>
      </c>
      <c r="D174" s="217" t="s">
        <v>85</v>
      </c>
      <c r="E174" s="217" t="s">
        <v>84</v>
      </c>
      <c r="F174" s="217" t="s">
        <v>110</v>
      </c>
      <c r="G174" s="217" t="s">
        <v>109</v>
      </c>
      <c r="H174" s="217" t="s">
        <v>1836</v>
      </c>
      <c r="I174" s="217" t="s">
        <v>1837</v>
      </c>
      <c r="J174" s="217" t="s">
        <v>2542</v>
      </c>
      <c r="K174" s="217" t="s">
        <v>2543</v>
      </c>
      <c r="L174" s="217">
        <v>73</v>
      </c>
      <c r="M174" s="217">
        <v>9</v>
      </c>
      <c r="N174" s="217">
        <v>0</v>
      </c>
      <c r="O174" s="217">
        <v>0</v>
      </c>
      <c r="P174" s="217">
        <v>0</v>
      </c>
      <c r="Q174" s="217">
        <v>0</v>
      </c>
      <c r="R174" s="217" t="s">
        <v>1807</v>
      </c>
    </row>
    <row r="175" spans="1:18" x14ac:dyDescent="0.25">
      <c r="A175" s="217">
        <v>174</v>
      </c>
      <c r="B175" s="217" t="s">
        <v>22</v>
      </c>
      <c r="C175" s="217" t="s">
        <v>23</v>
      </c>
      <c r="D175" s="217" t="s">
        <v>85</v>
      </c>
      <c r="E175" s="217" t="s">
        <v>84</v>
      </c>
      <c r="F175" s="217" t="s">
        <v>110</v>
      </c>
      <c r="G175" s="217" t="s">
        <v>109</v>
      </c>
      <c r="H175" s="217" t="s">
        <v>1830</v>
      </c>
      <c r="I175" s="217" t="s">
        <v>1831</v>
      </c>
      <c r="J175" s="217" t="s">
        <v>2544</v>
      </c>
      <c r="K175" s="217" t="s">
        <v>2545</v>
      </c>
      <c r="L175" s="217">
        <v>25</v>
      </c>
      <c r="M175" s="217">
        <v>3</v>
      </c>
      <c r="N175" s="217">
        <v>0</v>
      </c>
      <c r="O175" s="217">
        <v>0</v>
      </c>
      <c r="P175" s="217">
        <v>0</v>
      </c>
      <c r="Q175" s="217">
        <v>0</v>
      </c>
      <c r="R175" s="217" t="s">
        <v>1807</v>
      </c>
    </row>
    <row r="176" spans="1:18" x14ac:dyDescent="0.25">
      <c r="A176" s="217">
        <v>175</v>
      </c>
      <c r="B176" s="217" t="s">
        <v>22</v>
      </c>
      <c r="C176" s="217" t="s">
        <v>23</v>
      </c>
      <c r="D176" s="217" t="s">
        <v>85</v>
      </c>
      <c r="E176" s="217" t="s">
        <v>84</v>
      </c>
      <c r="F176" s="217" t="s">
        <v>110</v>
      </c>
      <c r="G176" s="217" t="s">
        <v>109</v>
      </c>
      <c r="H176" s="217" t="s">
        <v>1012</v>
      </c>
      <c r="I176" s="217" t="s">
        <v>148</v>
      </c>
      <c r="J176" s="217" t="s">
        <v>2546</v>
      </c>
      <c r="K176" s="217" t="s">
        <v>2547</v>
      </c>
      <c r="L176" s="217">
        <v>544</v>
      </c>
      <c r="M176" s="217">
        <v>68</v>
      </c>
      <c r="N176" s="217">
        <v>0</v>
      </c>
      <c r="O176" s="217">
        <v>0</v>
      </c>
      <c r="P176" s="217">
        <v>808</v>
      </c>
      <c r="Q176" s="217">
        <v>101</v>
      </c>
      <c r="R176" s="217" t="s">
        <v>1807</v>
      </c>
    </row>
    <row r="177" spans="1:18" x14ac:dyDescent="0.25">
      <c r="A177" s="217">
        <v>176</v>
      </c>
      <c r="B177" s="217" t="s">
        <v>22</v>
      </c>
      <c r="C177" s="217" t="s">
        <v>23</v>
      </c>
      <c r="D177" s="217" t="s">
        <v>85</v>
      </c>
      <c r="E177" s="217" t="s">
        <v>84</v>
      </c>
      <c r="F177" s="217" t="s">
        <v>110</v>
      </c>
      <c r="G177" s="217" t="s">
        <v>109</v>
      </c>
      <c r="H177" s="217" t="s">
        <v>1013</v>
      </c>
      <c r="I177" s="217" t="s">
        <v>149</v>
      </c>
      <c r="J177" s="217" t="s">
        <v>2548</v>
      </c>
      <c r="K177" s="217" t="s">
        <v>2549</v>
      </c>
      <c r="L177" s="217">
        <v>224</v>
      </c>
      <c r="M177" s="217">
        <v>25</v>
      </c>
      <c r="N177" s="217">
        <v>0</v>
      </c>
      <c r="O177" s="217">
        <v>0</v>
      </c>
      <c r="P177" s="217">
        <v>512</v>
      </c>
      <c r="Q177" s="217">
        <v>96</v>
      </c>
      <c r="R177" s="217" t="s">
        <v>1807</v>
      </c>
    </row>
    <row r="178" spans="1:18" x14ac:dyDescent="0.25">
      <c r="A178" s="217">
        <v>177</v>
      </c>
      <c r="B178" s="217" t="s">
        <v>22</v>
      </c>
      <c r="C178" s="217" t="s">
        <v>23</v>
      </c>
      <c r="D178" s="217" t="s">
        <v>85</v>
      </c>
      <c r="E178" s="217" t="s">
        <v>84</v>
      </c>
      <c r="F178" s="217" t="s">
        <v>110</v>
      </c>
      <c r="G178" s="217" t="s">
        <v>109</v>
      </c>
      <c r="H178" s="217" t="s">
        <v>1832</v>
      </c>
      <c r="I178" s="217" t="s">
        <v>1833</v>
      </c>
      <c r="J178" s="217" t="s">
        <v>2550</v>
      </c>
      <c r="K178" s="217" t="s">
        <v>2551</v>
      </c>
      <c r="L178" s="217">
        <v>80</v>
      </c>
      <c r="M178" s="217">
        <v>10</v>
      </c>
      <c r="N178" s="217">
        <v>0</v>
      </c>
      <c r="O178" s="217">
        <v>0</v>
      </c>
      <c r="P178" s="217">
        <v>0</v>
      </c>
      <c r="Q178" s="217">
        <v>0</v>
      </c>
      <c r="R178" s="217" t="s">
        <v>1807</v>
      </c>
    </row>
    <row r="179" spans="1:18" x14ac:dyDescent="0.25">
      <c r="A179" s="217">
        <v>178</v>
      </c>
      <c r="B179" s="217" t="s">
        <v>22</v>
      </c>
      <c r="C179" s="217" t="s">
        <v>23</v>
      </c>
      <c r="D179" s="217" t="s">
        <v>85</v>
      </c>
      <c r="E179" s="217" t="s">
        <v>84</v>
      </c>
      <c r="F179" s="217" t="s">
        <v>157</v>
      </c>
      <c r="G179" s="217" t="s">
        <v>156</v>
      </c>
      <c r="H179" s="217" t="s">
        <v>1014</v>
      </c>
      <c r="I179" s="217" t="s">
        <v>327</v>
      </c>
      <c r="J179" s="217" t="s">
        <v>2552</v>
      </c>
      <c r="K179" s="217" t="s">
        <v>2553</v>
      </c>
      <c r="L179" s="217">
        <v>331</v>
      </c>
      <c r="M179" s="217">
        <v>69</v>
      </c>
      <c r="N179" s="217">
        <v>0</v>
      </c>
      <c r="O179" s="217">
        <v>0</v>
      </c>
      <c r="P179" s="217">
        <v>0</v>
      </c>
      <c r="Q179" s="217">
        <v>0</v>
      </c>
      <c r="R179" s="217" t="s">
        <v>1807</v>
      </c>
    </row>
    <row r="180" spans="1:18" x14ac:dyDescent="0.25">
      <c r="A180" s="217">
        <v>179</v>
      </c>
      <c r="B180" s="217" t="s">
        <v>22</v>
      </c>
      <c r="C180" s="217" t="s">
        <v>23</v>
      </c>
      <c r="D180" s="217" t="s">
        <v>85</v>
      </c>
      <c r="E180" s="217" t="s">
        <v>84</v>
      </c>
      <c r="F180" s="217" t="s">
        <v>157</v>
      </c>
      <c r="G180" s="217" t="s">
        <v>156</v>
      </c>
      <c r="H180" s="217" t="s">
        <v>1015</v>
      </c>
      <c r="I180" s="217" t="s">
        <v>328</v>
      </c>
      <c r="J180" s="217" t="s">
        <v>2554</v>
      </c>
      <c r="K180" s="217" t="s">
        <v>2555</v>
      </c>
      <c r="L180" s="217">
        <v>540</v>
      </c>
      <c r="M180" s="217">
        <v>102</v>
      </c>
      <c r="N180" s="217">
        <v>0</v>
      </c>
      <c r="O180" s="217">
        <v>0</v>
      </c>
      <c r="P180" s="217">
        <v>0</v>
      </c>
      <c r="Q180" s="217">
        <v>0</v>
      </c>
      <c r="R180" s="217" t="s">
        <v>1807</v>
      </c>
    </row>
    <row r="181" spans="1:18" x14ac:dyDescent="0.25">
      <c r="A181" s="217">
        <v>180</v>
      </c>
      <c r="B181" s="217" t="s">
        <v>22</v>
      </c>
      <c r="C181" s="217" t="s">
        <v>23</v>
      </c>
      <c r="D181" s="217" t="s">
        <v>85</v>
      </c>
      <c r="E181" s="217" t="s">
        <v>84</v>
      </c>
      <c r="F181" s="217" t="s">
        <v>157</v>
      </c>
      <c r="G181" s="217" t="s">
        <v>156</v>
      </c>
      <c r="H181" s="217" t="s">
        <v>1016</v>
      </c>
      <c r="I181" s="217" t="s">
        <v>329</v>
      </c>
      <c r="J181" s="217" t="s">
        <v>2556</v>
      </c>
      <c r="K181" s="217" t="s">
        <v>2557</v>
      </c>
      <c r="L181" s="217">
        <v>10</v>
      </c>
      <c r="M181" s="217">
        <v>2</v>
      </c>
      <c r="N181" s="217">
        <v>0</v>
      </c>
      <c r="O181" s="217">
        <v>0</v>
      </c>
      <c r="P181" s="217">
        <v>0</v>
      </c>
      <c r="Q181" s="217">
        <v>0</v>
      </c>
      <c r="R181" s="217" t="s">
        <v>1807</v>
      </c>
    </row>
    <row r="182" spans="1:18" x14ac:dyDescent="0.25">
      <c r="A182" s="217">
        <v>181</v>
      </c>
      <c r="B182" s="217" t="s">
        <v>22</v>
      </c>
      <c r="C182" s="217" t="s">
        <v>23</v>
      </c>
      <c r="D182" s="217" t="s">
        <v>85</v>
      </c>
      <c r="E182" s="217" t="s">
        <v>84</v>
      </c>
      <c r="F182" s="217" t="s">
        <v>157</v>
      </c>
      <c r="G182" s="217" t="s">
        <v>156</v>
      </c>
      <c r="H182" s="217" t="s">
        <v>1017</v>
      </c>
      <c r="I182" s="217" t="s">
        <v>330</v>
      </c>
      <c r="J182" s="217" t="s">
        <v>2558</v>
      </c>
      <c r="K182" s="217" t="s">
        <v>2559</v>
      </c>
      <c r="L182" s="217">
        <v>366</v>
      </c>
      <c r="M182" s="217">
        <v>45</v>
      </c>
      <c r="N182" s="217">
        <v>0</v>
      </c>
      <c r="O182" s="217">
        <v>0</v>
      </c>
      <c r="P182" s="217">
        <v>0</v>
      </c>
      <c r="Q182" s="217">
        <v>0</v>
      </c>
      <c r="R182" s="217" t="s">
        <v>1807</v>
      </c>
    </row>
    <row r="183" spans="1:18" x14ac:dyDescent="0.25">
      <c r="A183" s="217">
        <v>182</v>
      </c>
      <c r="B183" s="217" t="s">
        <v>22</v>
      </c>
      <c r="C183" s="217" t="s">
        <v>23</v>
      </c>
      <c r="D183" s="217" t="s">
        <v>85</v>
      </c>
      <c r="E183" s="217" t="s">
        <v>84</v>
      </c>
      <c r="F183" s="217" t="s">
        <v>157</v>
      </c>
      <c r="G183" s="217" t="s">
        <v>156</v>
      </c>
      <c r="H183" s="217" t="s">
        <v>1018</v>
      </c>
      <c r="I183" s="217" t="s">
        <v>331</v>
      </c>
      <c r="J183" s="217" t="s">
        <v>2560</v>
      </c>
      <c r="K183" s="217" t="s">
        <v>2561</v>
      </c>
      <c r="L183" s="217">
        <v>54</v>
      </c>
      <c r="M183" s="217">
        <v>9</v>
      </c>
      <c r="N183" s="217">
        <v>0</v>
      </c>
      <c r="O183" s="217">
        <v>0</v>
      </c>
      <c r="P183" s="217">
        <v>0</v>
      </c>
      <c r="Q183" s="217">
        <v>0</v>
      </c>
      <c r="R183" s="217" t="s">
        <v>1807</v>
      </c>
    </row>
    <row r="184" spans="1:18" x14ac:dyDescent="0.25">
      <c r="A184" s="217">
        <v>183</v>
      </c>
      <c r="B184" s="217" t="s">
        <v>22</v>
      </c>
      <c r="C184" s="217" t="s">
        <v>23</v>
      </c>
      <c r="D184" s="217" t="s">
        <v>85</v>
      </c>
      <c r="E184" s="217" t="s">
        <v>84</v>
      </c>
      <c r="F184" s="217" t="s">
        <v>157</v>
      </c>
      <c r="G184" s="217" t="s">
        <v>156</v>
      </c>
      <c r="H184" s="217" t="s">
        <v>1019</v>
      </c>
      <c r="I184" s="217" t="s">
        <v>332</v>
      </c>
      <c r="J184" s="217" t="s">
        <v>2562</v>
      </c>
      <c r="K184" s="217" t="s">
        <v>2563</v>
      </c>
      <c r="L184" s="217">
        <v>1339</v>
      </c>
      <c r="M184" s="217">
        <v>264</v>
      </c>
      <c r="N184" s="217">
        <v>0</v>
      </c>
      <c r="O184" s="217">
        <v>0</v>
      </c>
      <c r="P184" s="217">
        <v>0</v>
      </c>
      <c r="Q184" s="217">
        <v>0</v>
      </c>
      <c r="R184" s="217" t="s">
        <v>1807</v>
      </c>
    </row>
    <row r="185" spans="1:18" x14ac:dyDescent="0.25">
      <c r="A185" s="217">
        <v>184</v>
      </c>
      <c r="B185" s="217" t="s">
        <v>22</v>
      </c>
      <c r="C185" s="217" t="s">
        <v>23</v>
      </c>
      <c r="D185" s="217" t="s">
        <v>85</v>
      </c>
      <c r="E185" s="217" t="s">
        <v>84</v>
      </c>
      <c r="F185" s="217" t="s">
        <v>157</v>
      </c>
      <c r="G185" s="217" t="s">
        <v>156</v>
      </c>
      <c r="H185" s="217" t="s">
        <v>1020</v>
      </c>
      <c r="I185" s="217" t="s">
        <v>333</v>
      </c>
      <c r="J185" s="217" t="s">
        <v>2564</v>
      </c>
      <c r="K185" s="217" t="s">
        <v>2565</v>
      </c>
      <c r="L185" s="217">
        <v>492</v>
      </c>
      <c r="M185" s="217">
        <v>96</v>
      </c>
      <c r="N185" s="217">
        <v>0</v>
      </c>
      <c r="O185" s="217">
        <v>0</v>
      </c>
      <c r="P185" s="217">
        <v>0</v>
      </c>
      <c r="Q185" s="217">
        <v>0</v>
      </c>
      <c r="R185" s="217" t="s">
        <v>1807</v>
      </c>
    </row>
    <row r="186" spans="1:18" x14ac:dyDescent="0.25">
      <c r="A186" s="217">
        <v>185</v>
      </c>
      <c r="B186" s="217" t="s">
        <v>22</v>
      </c>
      <c r="C186" s="217" t="s">
        <v>23</v>
      </c>
      <c r="D186" s="217" t="s">
        <v>85</v>
      </c>
      <c r="E186" s="217" t="s">
        <v>84</v>
      </c>
      <c r="F186" s="217" t="s">
        <v>157</v>
      </c>
      <c r="G186" s="217" t="s">
        <v>156</v>
      </c>
      <c r="H186" s="217" t="s">
        <v>1021</v>
      </c>
      <c r="I186" s="217" t="s">
        <v>334</v>
      </c>
      <c r="J186" s="217" t="s">
        <v>2566</v>
      </c>
      <c r="K186" s="217" t="s">
        <v>2567</v>
      </c>
      <c r="L186" s="217">
        <v>1274</v>
      </c>
      <c r="M186" s="217">
        <v>256</v>
      </c>
      <c r="N186" s="217">
        <v>0</v>
      </c>
      <c r="O186" s="217">
        <v>0</v>
      </c>
      <c r="P186" s="217">
        <v>0</v>
      </c>
      <c r="Q186" s="217">
        <v>0</v>
      </c>
      <c r="R186" s="217" t="s">
        <v>1807</v>
      </c>
    </row>
    <row r="187" spans="1:18" x14ac:dyDescent="0.25">
      <c r="A187" s="217">
        <v>186</v>
      </c>
      <c r="B187" s="217" t="s">
        <v>22</v>
      </c>
      <c r="C187" s="217" t="s">
        <v>23</v>
      </c>
      <c r="D187" s="217" t="s">
        <v>85</v>
      </c>
      <c r="E187" s="217" t="s">
        <v>84</v>
      </c>
      <c r="F187" s="217" t="s">
        <v>157</v>
      </c>
      <c r="G187" s="217" t="s">
        <v>156</v>
      </c>
      <c r="H187" s="217" t="s">
        <v>1022</v>
      </c>
      <c r="I187" s="217" t="s">
        <v>335</v>
      </c>
      <c r="J187" s="217" t="s">
        <v>2568</v>
      </c>
      <c r="K187" s="217" t="s">
        <v>2569</v>
      </c>
      <c r="L187" s="217">
        <v>2400</v>
      </c>
      <c r="M187" s="217">
        <v>483</v>
      </c>
      <c r="N187" s="217">
        <v>0</v>
      </c>
      <c r="O187" s="217">
        <v>0</v>
      </c>
      <c r="P187" s="217">
        <v>0</v>
      </c>
      <c r="Q187" s="217">
        <v>0</v>
      </c>
      <c r="R187" s="217" t="s">
        <v>1807</v>
      </c>
    </row>
    <row r="188" spans="1:18" x14ac:dyDescent="0.25">
      <c r="A188" s="217">
        <v>187</v>
      </c>
      <c r="B188" s="217" t="s">
        <v>22</v>
      </c>
      <c r="C188" s="217" t="s">
        <v>23</v>
      </c>
      <c r="D188" s="217" t="s">
        <v>85</v>
      </c>
      <c r="E188" s="217" t="s">
        <v>84</v>
      </c>
      <c r="F188" s="217" t="s">
        <v>157</v>
      </c>
      <c r="G188" s="217" t="s">
        <v>156</v>
      </c>
      <c r="H188" s="217" t="s">
        <v>1023</v>
      </c>
      <c r="I188" s="217" t="s">
        <v>336</v>
      </c>
      <c r="J188" s="217" t="s">
        <v>2570</v>
      </c>
      <c r="K188" s="217" t="s">
        <v>2571</v>
      </c>
      <c r="L188" s="217">
        <v>641</v>
      </c>
      <c r="M188" s="217">
        <v>126</v>
      </c>
      <c r="N188" s="217">
        <v>0</v>
      </c>
      <c r="O188" s="217">
        <v>0</v>
      </c>
      <c r="P188" s="217">
        <v>0</v>
      </c>
      <c r="Q188" s="217">
        <v>0</v>
      </c>
      <c r="R188" s="217" t="s">
        <v>1807</v>
      </c>
    </row>
    <row r="189" spans="1:18" x14ac:dyDescent="0.25">
      <c r="A189" s="217">
        <v>188</v>
      </c>
      <c r="B189" s="217" t="s">
        <v>22</v>
      </c>
      <c r="C189" s="217" t="s">
        <v>23</v>
      </c>
      <c r="D189" s="217" t="s">
        <v>85</v>
      </c>
      <c r="E189" s="217" t="s">
        <v>84</v>
      </c>
      <c r="F189" s="217" t="s">
        <v>157</v>
      </c>
      <c r="G189" s="217" t="s">
        <v>156</v>
      </c>
      <c r="H189" s="217" t="s">
        <v>1024</v>
      </c>
      <c r="I189" s="217" t="s">
        <v>337</v>
      </c>
      <c r="J189" s="217" t="s">
        <v>2572</v>
      </c>
      <c r="K189" s="217" t="s">
        <v>2573</v>
      </c>
      <c r="L189" s="217">
        <v>384</v>
      </c>
      <c r="M189" s="217">
        <v>74</v>
      </c>
      <c r="N189" s="217">
        <v>0</v>
      </c>
      <c r="O189" s="217">
        <v>0</v>
      </c>
      <c r="P189" s="217">
        <v>0</v>
      </c>
      <c r="Q189" s="217">
        <v>0</v>
      </c>
      <c r="R189" s="217" t="s">
        <v>1807</v>
      </c>
    </row>
    <row r="190" spans="1:18" x14ac:dyDescent="0.25">
      <c r="A190" s="217">
        <v>189</v>
      </c>
      <c r="B190" s="217" t="s">
        <v>22</v>
      </c>
      <c r="C190" s="217" t="s">
        <v>23</v>
      </c>
      <c r="D190" s="217" t="s">
        <v>85</v>
      </c>
      <c r="E190" s="217" t="s">
        <v>84</v>
      </c>
      <c r="F190" s="217" t="s">
        <v>157</v>
      </c>
      <c r="G190" s="217" t="s">
        <v>156</v>
      </c>
      <c r="H190" s="217" t="s">
        <v>1025</v>
      </c>
      <c r="I190" s="217" t="s">
        <v>338</v>
      </c>
      <c r="J190" s="217" t="s">
        <v>2574</v>
      </c>
      <c r="K190" s="217" t="s">
        <v>2575</v>
      </c>
      <c r="L190" s="217">
        <v>420</v>
      </c>
      <c r="M190" s="217">
        <v>67</v>
      </c>
      <c r="N190" s="217">
        <v>0</v>
      </c>
      <c r="O190" s="217">
        <v>0</v>
      </c>
      <c r="P190" s="217">
        <v>0</v>
      </c>
      <c r="Q190" s="217">
        <v>0</v>
      </c>
      <c r="R190" s="217" t="s">
        <v>1807</v>
      </c>
    </row>
    <row r="191" spans="1:18" x14ac:dyDescent="0.25">
      <c r="A191" s="217">
        <v>190</v>
      </c>
      <c r="B191" s="217" t="s">
        <v>22</v>
      </c>
      <c r="C191" s="217" t="s">
        <v>23</v>
      </c>
      <c r="D191" s="217" t="s">
        <v>85</v>
      </c>
      <c r="E191" s="217" t="s">
        <v>84</v>
      </c>
      <c r="F191" s="217" t="s">
        <v>157</v>
      </c>
      <c r="G191" s="217" t="s">
        <v>156</v>
      </c>
      <c r="H191" s="217" t="s">
        <v>1026</v>
      </c>
      <c r="I191" s="217" t="s">
        <v>339</v>
      </c>
      <c r="J191" s="217" t="s">
        <v>2576</v>
      </c>
      <c r="K191" s="217" t="s">
        <v>2577</v>
      </c>
      <c r="L191" s="217">
        <v>64</v>
      </c>
      <c r="M191" s="217">
        <v>16</v>
      </c>
      <c r="N191" s="217">
        <v>21</v>
      </c>
      <c r="O191" s="217">
        <v>5</v>
      </c>
      <c r="P191" s="217">
        <v>0</v>
      </c>
      <c r="Q191" s="217">
        <v>0</v>
      </c>
      <c r="R191" s="217" t="s">
        <v>1807</v>
      </c>
    </row>
    <row r="192" spans="1:18" x14ac:dyDescent="0.25">
      <c r="A192" s="217">
        <v>191</v>
      </c>
      <c r="B192" s="217" t="s">
        <v>22</v>
      </c>
      <c r="C192" s="217" t="s">
        <v>23</v>
      </c>
      <c r="D192" s="217" t="s">
        <v>85</v>
      </c>
      <c r="E192" s="217" t="s">
        <v>84</v>
      </c>
      <c r="F192" s="217" t="s">
        <v>157</v>
      </c>
      <c r="G192" s="217" t="s">
        <v>156</v>
      </c>
      <c r="H192" s="217" t="s">
        <v>1027</v>
      </c>
      <c r="I192" s="217" t="s">
        <v>340</v>
      </c>
      <c r="J192" s="217" t="s">
        <v>2578</v>
      </c>
      <c r="K192" s="217" t="s">
        <v>2579</v>
      </c>
      <c r="L192" s="217">
        <v>42</v>
      </c>
      <c r="M192" s="217">
        <v>12</v>
      </c>
      <c r="N192" s="217">
        <v>0</v>
      </c>
      <c r="O192" s="217">
        <v>0</v>
      </c>
      <c r="P192" s="217">
        <v>0</v>
      </c>
      <c r="Q192" s="217">
        <v>0</v>
      </c>
      <c r="R192" s="217" t="s">
        <v>1807</v>
      </c>
    </row>
    <row r="193" spans="1:18" x14ac:dyDescent="0.25">
      <c r="A193" s="217">
        <v>192</v>
      </c>
      <c r="B193" s="217" t="s">
        <v>22</v>
      </c>
      <c r="C193" s="217" t="s">
        <v>23</v>
      </c>
      <c r="D193" s="217" t="s">
        <v>85</v>
      </c>
      <c r="E193" s="217" t="s">
        <v>84</v>
      </c>
      <c r="F193" s="217" t="s">
        <v>157</v>
      </c>
      <c r="G193" s="217" t="s">
        <v>156</v>
      </c>
      <c r="H193" s="217" t="s">
        <v>1028</v>
      </c>
      <c r="I193" s="217" t="s">
        <v>341</v>
      </c>
      <c r="J193" s="217" t="s">
        <v>2580</v>
      </c>
      <c r="K193" s="217" t="s">
        <v>2581</v>
      </c>
      <c r="L193" s="217">
        <v>1776</v>
      </c>
      <c r="M193" s="217">
        <v>349</v>
      </c>
      <c r="N193" s="217">
        <v>0</v>
      </c>
      <c r="O193" s="217">
        <v>0</v>
      </c>
      <c r="P193" s="217">
        <v>0</v>
      </c>
      <c r="Q193" s="217">
        <v>0</v>
      </c>
      <c r="R193" s="217" t="s">
        <v>1807</v>
      </c>
    </row>
    <row r="194" spans="1:18" x14ac:dyDescent="0.25">
      <c r="A194" s="217">
        <v>193</v>
      </c>
      <c r="B194" s="217" t="s">
        <v>22</v>
      </c>
      <c r="C194" s="217" t="s">
        <v>23</v>
      </c>
      <c r="D194" s="217" t="s">
        <v>85</v>
      </c>
      <c r="E194" s="217" t="s">
        <v>84</v>
      </c>
      <c r="F194" s="217" t="s">
        <v>157</v>
      </c>
      <c r="G194" s="217" t="s">
        <v>156</v>
      </c>
      <c r="H194" s="217" t="s">
        <v>1029</v>
      </c>
      <c r="I194" s="217" t="s">
        <v>342</v>
      </c>
      <c r="J194" s="217" t="s">
        <v>2582</v>
      </c>
      <c r="K194" s="217" t="s">
        <v>2583</v>
      </c>
      <c r="L194" s="217">
        <v>619</v>
      </c>
      <c r="M194" s="217">
        <v>99</v>
      </c>
      <c r="N194" s="217">
        <v>0</v>
      </c>
      <c r="O194" s="217">
        <v>0</v>
      </c>
      <c r="P194" s="217">
        <v>0</v>
      </c>
      <c r="Q194" s="217">
        <v>0</v>
      </c>
      <c r="R194" s="217" t="s">
        <v>1807</v>
      </c>
    </row>
    <row r="195" spans="1:18" x14ac:dyDescent="0.25">
      <c r="A195" s="217">
        <v>194</v>
      </c>
      <c r="B195" s="217" t="s">
        <v>22</v>
      </c>
      <c r="C195" s="217" t="s">
        <v>23</v>
      </c>
      <c r="D195" s="217" t="s">
        <v>85</v>
      </c>
      <c r="E195" s="217" t="s">
        <v>84</v>
      </c>
      <c r="F195" s="217" t="s">
        <v>157</v>
      </c>
      <c r="G195" s="217" t="s">
        <v>156</v>
      </c>
      <c r="H195" s="217" t="s">
        <v>1030</v>
      </c>
      <c r="I195" s="217" t="s">
        <v>343</v>
      </c>
      <c r="J195" s="217" t="s">
        <v>2584</v>
      </c>
      <c r="K195" s="217" t="s">
        <v>2585</v>
      </c>
      <c r="L195" s="217">
        <v>67</v>
      </c>
      <c r="M195" s="217">
        <v>7</v>
      </c>
      <c r="N195" s="217">
        <v>0</v>
      </c>
      <c r="O195" s="217">
        <v>0</v>
      </c>
      <c r="P195" s="217">
        <v>0</v>
      </c>
      <c r="Q195" s="217">
        <v>0</v>
      </c>
      <c r="R195" s="217" t="s">
        <v>1807</v>
      </c>
    </row>
    <row r="196" spans="1:18" x14ac:dyDescent="0.25">
      <c r="A196" s="217">
        <v>195</v>
      </c>
      <c r="B196" s="217" t="s">
        <v>22</v>
      </c>
      <c r="C196" s="217" t="s">
        <v>23</v>
      </c>
      <c r="D196" s="217" t="s">
        <v>85</v>
      </c>
      <c r="E196" s="217" t="s">
        <v>84</v>
      </c>
      <c r="F196" s="217" t="s">
        <v>157</v>
      </c>
      <c r="G196" s="217" t="s">
        <v>156</v>
      </c>
      <c r="H196" s="217" t="s">
        <v>1031</v>
      </c>
      <c r="I196" s="217" t="s">
        <v>344</v>
      </c>
      <c r="J196" s="217" t="s">
        <v>2586</v>
      </c>
      <c r="K196" s="217" t="s">
        <v>2587</v>
      </c>
      <c r="L196" s="217">
        <v>83</v>
      </c>
      <c r="M196" s="217">
        <v>14</v>
      </c>
      <c r="N196" s="217">
        <v>0</v>
      </c>
      <c r="O196" s="217">
        <v>0</v>
      </c>
      <c r="P196" s="217">
        <v>0</v>
      </c>
      <c r="Q196" s="217">
        <v>0</v>
      </c>
      <c r="R196" s="217" t="s">
        <v>1807</v>
      </c>
    </row>
    <row r="197" spans="1:18" x14ac:dyDescent="0.25">
      <c r="A197" s="217">
        <v>196</v>
      </c>
      <c r="B197" s="217" t="s">
        <v>22</v>
      </c>
      <c r="C197" s="217" t="s">
        <v>23</v>
      </c>
      <c r="D197" s="217" t="s">
        <v>85</v>
      </c>
      <c r="E197" s="217" t="s">
        <v>84</v>
      </c>
      <c r="F197" s="217" t="s">
        <v>157</v>
      </c>
      <c r="G197" s="217" t="s">
        <v>156</v>
      </c>
      <c r="H197" s="217" t="s">
        <v>1032</v>
      </c>
      <c r="I197" s="217" t="s">
        <v>345</v>
      </c>
      <c r="J197" s="217" t="s">
        <v>2588</v>
      </c>
      <c r="K197" s="217" t="s">
        <v>2589</v>
      </c>
      <c r="L197" s="217">
        <v>2579</v>
      </c>
      <c r="M197" s="217">
        <v>504</v>
      </c>
      <c r="N197" s="217">
        <v>0</v>
      </c>
      <c r="O197" s="217">
        <v>0</v>
      </c>
      <c r="P197" s="217">
        <v>13</v>
      </c>
      <c r="Q197" s="217">
        <v>1</v>
      </c>
      <c r="R197" s="217" t="s">
        <v>1807</v>
      </c>
    </row>
    <row r="198" spans="1:18" x14ac:dyDescent="0.25">
      <c r="A198" s="217">
        <v>197</v>
      </c>
      <c r="B198" s="217" t="s">
        <v>22</v>
      </c>
      <c r="C198" s="217" t="s">
        <v>23</v>
      </c>
      <c r="D198" s="217" t="s">
        <v>85</v>
      </c>
      <c r="E198" s="217" t="s">
        <v>84</v>
      </c>
      <c r="F198" s="217" t="s">
        <v>157</v>
      </c>
      <c r="G198" s="217" t="s">
        <v>156</v>
      </c>
      <c r="H198" s="217" t="s">
        <v>1033</v>
      </c>
      <c r="I198" s="217" t="s">
        <v>346</v>
      </c>
      <c r="J198" s="217" t="s">
        <v>2590</v>
      </c>
      <c r="K198" s="217" t="s">
        <v>2591</v>
      </c>
      <c r="L198" s="217">
        <v>354</v>
      </c>
      <c r="M198" s="217">
        <v>54</v>
      </c>
      <c r="N198" s="217">
        <v>0</v>
      </c>
      <c r="O198" s="217">
        <v>0</v>
      </c>
      <c r="P198" s="217">
        <v>0</v>
      </c>
      <c r="Q198" s="217">
        <v>0</v>
      </c>
      <c r="R198" s="217" t="s">
        <v>1807</v>
      </c>
    </row>
    <row r="199" spans="1:18" x14ac:dyDescent="0.25">
      <c r="A199" s="217">
        <v>198</v>
      </c>
      <c r="B199" s="217" t="s">
        <v>22</v>
      </c>
      <c r="C199" s="217" t="s">
        <v>23</v>
      </c>
      <c r="D199" s="217" t="s">
        <v>85</v>
      </c>
      <c r="E199" s="217" t="s">
        <v>84</v>
      </c>
      <c r="F199" s="217" t="s">
        <v>157</v>
      </c>
      <c r="G199" s="217" t="s">
        <v>156</v>
      </c>
      <c r="H199" s="217" t="s">
        <v>1034</v>
      </c>
      <c r="I199" s="217" t="s">
        <v>347</v>
      </c>
      <c r="J199" s="217" t="s">
        <v>2592</v>
      </c>
      <c r="K199" s="217" t="s">
        <v>2593</v>
      </c>
      <c r="L199" s="217">
        <v>500</v>
      </c>
      <c r="M199" s="217">
        <v>100</v>
      </c>
      <c r="N199" s="217">
        <v>0</v>
      </c>
      <c r="O199" s="217">
        <v>0</v>
      </c>
      <c r="P199" s="217">
        <v>0</v>
      </c>
      <c r="Q199" s="217">
        <v>0</v>
      </c>
      <c r="R199" s="217" t="s">
        <v>1807</v>
      </c>
    </row>
    <row r="200" spans="1:18" x14ac:dyDescent="0.25">
      <c r="A200" s="217">
        <v>199</v>
      </c>
      <c r="B200" s="217" t="s">
        <v>22</v>
      </c>
      <c r="C200" s="217" t="s">
        <v>23</v>
      </c>
      <c r="D200" s="217" t="s">
        <v>85</v>
      </c>
      <c r="E200" s="217" t="s">
        <v>84</v>
      </c>
      <c r="F200" s="217" t="s">
        <v>157</v>
      </c>
      <c r="G200" s="217" t="s">
        <v>156</v>
      </c>
      <c r="H200" s="217" t="s">
        <v>1035</v>
      </c>
      <c r="I200" s="217" t="s">
        <v>348</v>
      </c>
      <c r="J200" s="217" t="s">
        <v>2594</v>
      </c>
      <c r="K200" s="217" t="s">
        <v>2595</v>
      </c>
      <c r="L200" s="217">
        <v>1638</v>
      </c>
      <c r="M200" s="217">
        <v>316</v>
      </c>
      <c r="N200" s="217">
        <v>0</v>
      </c>
      <c r="O200" s="217">
        <v>0</v>
      </c>
      <c r="P200" s="217">
        <v>0</v>
      </c>
      <c r="Q200" s="217">
        <v>0</v>
      </c>
      <c r="R200" s="217" t="s">
        <v>1807</v>
      </c>
    </row>
    <row r="201" spans="1:18" x14ac:dyDescent="0.25">
      <c r="A201" s="217">
        <v>200</v>
      </c>
      <c r="B201" s="217" t="s">
        <v>22</v>
      </c>
      <c r="C201" s="217" t="s">
        <v>23</v>
      </c>
      <c r="D201" s="217" t="s">
        <v>85</v>
      </c>
      <c r="E201" s="217" t="s">
        <v>84</v>
      </c>
      <c r="F201" s="217" t="s">
        <v>157</v>
      </c>
      <c r="G201" s="217" t="s">
        <v>156</v>
      </c>
      <c r="H201" s="217" t="s">
        <v>1036</v>
      </c>
      <c r="I201" s="217" t="s">
        <v>349</v>
      </c>
      <c r="J201" s="217" t="s">
        <v>2596</v>
      </c>
      <c r="K201" s="217" t="s">
        <v>2597</v>
      </c>
      <c r="L201" s="217">
        <v>105</v>
      </c>
      <c r="M201" s="217">
        <v>21</v>
      </c>
      <c r="N201" s="217">
        <v>0</v>
      </c>
      <c r="O201" s="217">
        <v>0</v>
      </c>
      <c r="P201" s="217">
        <v>0</v>
      </c>
      <c r="Q201" s="217">
        <v>0</v>
      </c>
      <c r="R201" s="217" t="s">
        <v>1807</v>
      </c>
    </row>
    <row r="202" spans="1:18" x14ac:dyDescent="0.25">
      <c r="A202" s="217">
        <v>201</v>
      </c>
      <c r="B202" s="217" t="s">
        <v>22</v>
      </c>
      <c r="C202" s="217" t="s">
        <v>23</v>
      </c>
      <c r="D202" s="217" t="s">
        <v>85</v>
      </c>
      <c r="E202" s="217" t="s">
        <v>84</v>
      </c>
      <c r="F202" s="217" t="s">
        <v>157</v>
      </c>
      <c r="G202" s="217" t="s">
        <v>156</v>
      </c>
      <c r="H202" s="217" t="s">
        <v>1037</v>
      </c>
      <c r="I202" s="217" t="s">
        <v>350</v>
      </c>
      <c r="J202" s="217" t="s">
        <v>2598</v>
      </c>
      <c r="K202" s="217" t="s">
        <v>2599</v>
      </c>
      <c r="L202" s="217">
        <v>35</v>
      </c>
      <c r="M202" s="217">
        <v>10</v>
      </c>
      <c r="N202" s="217">
        <v>0</v>
      </c>
      <c r="O202" s="217">
        <v>0</v>
      </c>
      <c r="P202" s="217">
        <v>0</v>
      </c>
      <c r="Q202" s="217">
        <v>0</v>
      </c>
      <c r="R202" s="217" t="s">
        <v>1807</v>
      </c>
    </row>
    <row r="203" spans="1:18" x14ac:dyDescent="0.25">
      <c r="A203" s="217">
        <v>202</v>
      </c>
      <c r="B203" s="217" t="s">
        <v>22</v>
      </c>
      <c r="C203" s="217" t="s">
        <v>23</v>
      </c>
      <c r="D203" s="217" t="s">
        <v>85</v>
      </c>
      <c r="E203" s="217" t="s">
        <v>84</v>
      </c>
      <c r="F203" s="217" t="s">
        <v>157</v>
      </c>
      <c r="G203" s="217" t="s">
        <v>156</v>
      </c>
      <c r="H203" s="217" t="s">
        <v>1038</v>
      </c>
      <c r="I203" s="217" t="s">
        <v>351</v>
      </c>
      <c r="J203" s="217" t="s">
        <v>2600</v>
      </c>
      <c r="K203" s="217" t="s">
        <v>2601</v>
      </c>
      <c r="L203" s="217">
        <v>708</v>
      </c>
      <c r="M203" s="217">
        <v>135</v>
      </c>
      <c r="N203" s="217">
        <v>0</v>
      </c>
      <c r="O203" s="217">
        <v>0</v>
      </c>
      <c r="P203" s="217">
        <v>0</v>
      </c>
      <c r="Q203" s="217">
        <v>0</v>
      </c>
      <c r="R203" s="217" t="s">
        <v>1807</v>
      </c>
    </row>
    <row r="204" spans="1:18" x14ac:dyDescent="0.25">
      <c r="A204" s="217">
        <v>203</v>
      </c>
      <c r="B204" s="217" t="s">
        <v>22</v>
      </c>
      <c r="C204" s="217" t="s">
        <v>23</v>
      </c>
      <c r="D204" s="217" t="s">
        <v>85</v>
      </c>
      <c r="E204" s="217" t="s">
        <v>84</v>
      </c>
      <c r="F204" s="217" t="s">
        <v>157</v>
      </c>
      <c r="G204" s="217" t="s">
        <v>156</v>
      </c>
      <c r="H204" s="217" t="s">
        <v>1039</v>
      </c>
      <c r="I204" s="217" t="s">
        <v>352</v>
      </c>
      <c r="J204" s="217" t="s">
        <v>2602</v>
      </c>
      <c r="K204" s="217" t="s">
        <v>2603</v>
      </c>
      <c r="L204" s="217">
        <v>141</v>
      </c>
      <c r="M204" s="217">
        <v>25</v>
      </c>
      <c r="N204" s="217">
        <v>0</v>
      </c>
      <c r="O204" s="217">
        <v>0</v>
      </c>
      <c r="P204" s="217">
        <v>0</v>
      </c>
      <c r="Q204" s="217">
        <v>0</v>
      </c>
      <c r="R204" s="217" t="s">
        <v>1807</v>
      </c>
    </row>
    <row r="205" spans="1:18" x14ac:dyDescent="0.25">
      <c r="A205" s="217">
        <v>204</v>
      </c>
      <c r="B205" s="217" t="s">
        <v>22</v>
      </c>
      <c r="C205" s="217" t="s">
        <v>23</v>
      </c>
      <c r="D205" s="217" t="s">
        <v>85</v>
      </c>
      <c r="E205" s="217" t="s">
        <v>84</v>
      </c>
      <c r="F205" s="217" t="s">
        <v>157</v>
      </c>
      <c r="G205" s="217" t="s">
        <v>156</v>
      </c>
      <c r="H205" s="217" t="s">
        <v>1040</v>
      </c>
      <c r="I205" s="217" t="s">
        <v>353</v>
      </c>
      <c r="J205" s="217" t="s">
        <v>2604</v>
      </c>
      <c r="K205" s="217" t="s">
        <v>2605</v>
      </c>
      <c r="L205" s="217">
        <v>120</v>
      </c>
      <c r="M205" s="217">
        <v>19</v>
      </c>
      <c r="N205" s="217">
        <v>0</v>
      </c>
      <c r="O205" s="217">
        <v>0</v>
      </c>
      <c r="P205" s="217">
        <v>0</v>
      </c>
      <c r="Q205" s="217">
        <v>0</v>
      </c>
      <c r="R205" s="217" t="s">
        <v>1807</v>
      </c>
    </row>
    <row r="206" spans="1:18" x14ac:dyDescent="0.25">
      <c r="A206" s="217">
        <v>205</v>
      </c>
      <c r="B206" s="217" t="s">
        <v>22</v>
      </c>
      <c r="C206" s="217" t="s">
        <v>23</v>
      </c>
      <c r="D206" s="217" t="s">
        <v>85</v>
      </c>
      <c r="E206" s="217" t="s">
        <v>84</v>
      </c>
      <c r="F206" s="217" t="s">
        <v>157</v>
      </c>
      <c r="G206" s="217" t="s">
        <v>156</v>
      </c>
      <c r="H206" s="217" t="s">
        <v>1041</v>
      </c>
      <c r="I206" s="217" t="s">
        <v>354</v>
      </c>
      <c r="J206" s="217" t="s">
        <v>2606</v>
      </c>
      <c r="K206" s="217" t="s">
        <v>2607</v>
      </c>
      <c r="L206" s="217">
        <v>127</v>
      </c>
      <c r="M206" s="217">
        <v>19</v>
      </c>
      <c r="N206" s="217">
        <v>0</v>
      </c>
      <c r="O206" s="217">
        <v>0</v>
      </c>
      <c r="P206" s="217">
        <v>0</v>
      </c>
      <c r="Q206" s="217">
        <v>0</v>
      </c>
      <c r="R206" s="217" t="s">
        <v>1807</v>
      </c>
    </row>
    <row r="207" spans="1:18" x14ac:dyDescent="0.25">
      <c r="A207" s="217">
        <v>206</v>
      </c>
      <c r="B207" s="217" t="s">
        <v>22</v>
      </c>
      <c r="C207" s="217" t="s">
        <v>23</v>
      </c>
      <c r="D207" s="217" t="s">
        <v>85</v>
      </c>
      <c r="E207" s="217" t="s">
        <v>84</v>
      </c>
      <c r="F207" s="217" t="s">
        <v>157</v>
      </c>
      <c r="G207" s="217" t="s">
        <v>156</v>
      </c>
      <c r="H207" s="217" t="s">
        <v>1042</v>
      </c>
      <c r="I207" s="217" t="s">
        <v>355</v>
      </c>
      <c r="J207" s="217" t="s">
        <v>2608</v>
      </c>
      <c r="K207" s="217" t="s">
        <v>2609</v>
      </c>
      <c r="L207" s="217">
        <v>37</v>
      </c>
      <c r="M207" s="217">
        <v>6</v>
      </c>
      <c r="N207" s="217">
        <v>0</v>
      </c>
      <c r="O207" s="217">
        <v>0</v>
      </c>
      <c r="P207" s="217">
        <v>0</v>
      </c>
      <c r="Q207" s="217">
        <v>0</v>
      </c>
      <c r="R207" s="217" t="s">
        <v>1807</v>
      </c>
    </row>
    <row r="208" spans="1:18" x14ac:dyDescent="0.25">
      <c r="A208" s="217">
        <v>207</v>
      </c>
      <c r="B208" s="217" t="s">
        <v>22</v>
      </c>
      <c r="C208" s="217" t="s">
        <v>23</v>
      </c>
      <c r="D208" s="217" t="s">
        <v>85</v>
      </c>
      <c r="E208" s="217" t="s">
        <v>84</v>
      </c>
      <c r="F208" s="217" t="s">
        <v>157</v>
      </c>
      <c r="G208" s="217" t="s">
        <v>156</v>
      </c>
      <c r="H208" s="217" t="s">
        <v>1043</v>
      </c>
      <c r="I208" s="217" t="s">
        <v>356</v>
      </c>
      <c r="J208" s="217" t="s">
        <v>2610</v>
      </c>
      <c r="K208" s="217" t="s">
        <v>2611</v>
      </c>
      <c r="L208" s="217">
        <v>397</v>
      </c>
      <c r="M208" s="217">
        <v>76</v>
      </c>
      <c r="N208" s="217">
        <v>0</v>
      </c>
      <c r="O208" s="217">
        <v>0</v>
      </c>
      <c r="P208" s="217">
        <v>0</v>
      </c>
      <c r="Q208" s="217">
        <v>0</v>
      </c>
      <c r="R208" s="217" t="s">
        <v>1807</v>
      </c>
    </row>
    <row r="209" spans="1:18" x14ac:dyDescent="0.25">
      <c r="A209" s="217">
        <v>208</v>
      </c>
      <c r="B209" s="217" t="s">
        <v>22</v>
      </c>
      <c r="C209" s="217" t="s">
        <v>23</v>
      </c>
      <c r="D209" s="217" t="s">
        <v>85</v>
      </c>
      <c r="E209" s="217" t="s">
        <v>84</v>
      </c>
      <c r="F209" s="217" t="s">
        <v>157</v>
      </c>
      <c r="G209" s="217" t="s">
        <v>156</v>
      </c>
      <c r="H209" s="217" t="s">
        <v>1044</v>
      </c>
      <c r="I209" s="217" t="s">
        <v>357</v>
      </c>
      <c r="J209" s="217" t="s">
        <v>2612</v>
      </c>
      <c r="K209" s="217" t="s">
        <v>2613</v>
      </c>
      <c r="L209" s="217">
        <v>42</v>
      </c>
      <c r="M209" s="217">
        <v>8</v>
      </c>
      <c r="N209" s="217">
        <v>10</v>
      </c>
      <c r="O209" s="217">
        <v>1</v>
      </c>
      <c r="P209" s="217">
        <v>0</v>
      </c>
      <c r="Q209" s="217">
        <v>0</v>
      </c>
      <c r="R209" s="217" t="s">
        <v>1807</v>
      </c>
    </row>
    <row r="210" spans="1:18" x14ac:dyDescent="0.25">
      <c r="A210" s="217">
        <v>209</v>
      </c>
      <c r="B210" s="217" t="s">
        <v>22</v>
      </c>
      <c r="C210" s="217" t="s">
        <v>23</v>
      </c>
      <c r="D210" s="217" t="s">
        <v>85</v>
      </c>
      <c r="E210" s="217" t="s">
        <v>84</v>
      </c>
      <c r="F210" s="217" t="s">
        <v>157</v>
      </c>
      <c r="G210" s="217" t="s">
        <v>156</v>
      </c>
      <c r="H210" s="217" t="s">
        <v>1045</v>
      </c>
      <c r="I210" s="217" t="s">
        <v>82</v>
      </c>
      <c r="J210" s="217" t="s">
        <v>2614</v>
      </c>
      <c r="K210" s="217" t="s">
        <v>2615</v>
      </c>
      <c r="L210" s="217">
        <v>375</v>
      </c>
      <c r="M210" s="217">
        <v>75</v>
      </c>
      <c r="N210" s="217">
        <v>0</v>
      </c>
      <c r="O210" s="217">
        <v>0</v>
      </c>
      <c r="P210" s="217">
        <v>0</v>
      </c>
      <c r="Q210" s="217">
        <v>0</v>
      </c>
      <c r="R210" s="217" t="s">
        <v>1807</v>
      </c>
    </row>
    <row r="211" spans="1:18" x14ac:dyDescent="0.25">
      <c r="A211" s="217">
        <v>210</v>
      </c>
      <c r="B211" s="217" t="s">
        <v>22</v>
      </c>
      <c r="C211" s="217" t="s">
        <v>23</v>
      </c>
      <c r="D211" s="217" t="s">
        <v>85</v>
      </c>
      <c r="E211" s="217" t="s">
        <v>84</v>
      </c>
      <c r="F211" s="217" t="s">
        <v>157</v>
      </c>
      <c r="G211" s="217" t="s">
        <v>156</v>
      </c>
      <c r="H211" s="217" t="s">
        <v>1046</v>
      </c>
      <c r="I211" s="217" t="s">
        <v>358</v>
      </c>
      <c r="J211" s="217" t="s">
        <v>2616</v>
      </c>
      <c r="K211" s="217" t="s">
        <v>2617</v>
      </c>
      <c r="L211" s="217">
        <v>380</v>
      </c>
      <c r="M211" s="217">
        <v>66</v>
      </c>
      <c r="N211" s="217">
        <v>0</v>
      </c>
      <c r="O211" s="217">
        <v>0</v>
      </c>
      <c r="P211" s="217">
        <v>0</v>
      </c>
      <c r="Q211" s="217">
        <v>0</v>
      </c>
      <c r="R211" s="217" t="s">
        <v>1807</v>
      </c>
    </row>
    <row r="212" spans="1:18" x14ac:dyDescent="0.25">
      <c r="A212" s="217">
        <v>211</v>
      </c>
      <c r="B212" s="217" t="s">
        <v>22</v>
      </c>
      <c r="C212" s="217" t="s">
        <v>23</v>
      </c>
      <c r="D212" s="217" t="s">
        <v>85</v>
      </c>
      <c r="E212" s="217" t="s">
        <v>84</v>
      </c>
      <c r="F212" s="217" t="s">
        <v>157</v>
      </c>
      <c r="G212" s="217" t="s">
        <v>156</v>
      </c>
      <c r="H212" s="217" t="s">
        <v>1047</v>
      </c>
      <c r="I212" s="217" t="s">
        <v>359</v>
      </c>
      <c r="J212" s="217" t="s">
        <v>2618</v>
      </c>
      <c r="K212" s="217" t="s">
        <v>2619</v>
      </c>
      <c r="L212" s="217">
        <v>492</v>
      </c>
      <c r="M212" s="217">
        <v>99</v>
      </c>
      <c r="N212" s="217">
        <v>0</v>
      </c>
      <c r="O212" s="217">
        <v>0</v>
      </c>
      <c r="P212" s="217">
        <v>0</v>
      </c>
      <c r="Q212" s="217">
        <v>0</v>
      </c>
      <c r="R212" s="217" t="s">
        <v>1807</v>
      </c>
    </row>
    <row r="213" spans="1:18" x14ac:dyDescent="0.25">
      <c r="A213" s="217">
        <v>212</v>
      </c>
      <c r="B213" s="217" t="s">
        <v>22</v>
      </c>
      <c r="C213" s="217" t="s">
        <v>23</v>
      </c>
      <c r="D213" s="217" t="s">
        <v>85</v>
      </c>
      <c r="E213" s="217" t="s">
        <v>84</v>
      </c>
      <c r="F213" s="217" t="s">
        <v>157</v>
      </c>
      <c r="G213" s="217" t="s">
        <v>156</v>
      </c>
      <c r="H213" s="217" t="s">
        <v>1048</v>
      </c>
      <c r="I213" s="217" t="s">
        <v>360</v>
      </c>
      <c r="J213" s="217" t="s">
        <v>2620</v>
      </c>
      <c r="K213" s="217" t="s">
        <v>2621</v>
      </c>
      <c r="L213" s="217">
        <v>262</v>
      </c>
      <c r="M213" s="217">
        <v>53</v>
      </c>
      <c r="N213" s="217">
        <v>0</v>
      </c>
      <c r="O213" s="217">
        <v>0</v>
      </c>
      <c r="P213" s="217">
        <v>0</v>
      </c>
      <c r="Q213" s="217">
        <v>0</v>
      </c>
      <c r="R213" s="217" t="s">
        <v>1807</v>
      </c>
    </row>
    <row r="214" spans="1:18" x14ac:dyDescent="0.25">
      <c r="A214" s="217">
        <v>213</v>
      </c>
      <c r="B214" s="217" t="s">
        <v>22</v>
      </c>
      <c r="C214" s="217" t="s">
        <v>23</v>
      </c>
      <c r="D214" s="217" t="s">
        <v>85</v>
      </c>
      <c r="E214" s="217" t="s">
        <v>84</v>
      </c>
      <c r="F214" s="217" t="s">
        <v>157</v>
      </c>
      <c r="G214" s="217" t="s">
        <v>156</v>
      </c>
      <c r="H214" s="217" t="s">
        <v>1049</v>
      </c>
      <c r="I214" s="217" t="s">
        <v>361</v>
      </c>
      <c r="J214" s="217" t="s">
        <v>2622</v>
      </c>
      <c r="K214" s="217" t="s">
        <v>2623</v>
      </c>
      <c r="L214" s="217">
        <v>60</v>
      </c>
      <c r="M214" s="217">
        <v>10</v>
      </c>
      <c r="N214" s="217">
        <v>0</v>
      </c>
      <c r="O214" s="217">
        <v>0</v>
      </c>
      <c r="P214" s="217">
        <v>0</v>
      </c>
      <c r="Q214" s="217">
        <v>0</v>
      </c>
      <c r="R214" s="217" t="s">
        <v>1807</v>
      </c>
    </row>
    <row r="215" spans="1:18" x14ac:dyDescent="0.25">
      <c r="A215" s="217">
        <v>214</v>
      </c>
      <c r="B215" s="217" t="s">
        <v>22</v>
      </c>
      <c r="C215" s="217" t="s">
        <v>23</v>
      </c>
      <c r="D215" s="217" t="s">
        <v>85</v>
      </c>
      <c r="E215" s="217" t="s">
        <v>84</v>
      </c>
      <c r="F215" s="217" t="s">
        <v>157</v>
      </c>
      <c r="G215" s="217" t="s">
        <v>156</v>
      </c>
      <c r="H215" s="217" t="s">
        <v>1050</v>
      </c>
      <c r="I215" s="217" t="s">
        <v>362</v>
      </c>
      <c r="J215" s="217" t="s">
        <v>2624</v>
      </c>
      <c r="K215" s="217" t="s">
        <v>2625</v>
      </c>
      <c r="L215" s="217">
        <v>50</v>
      </c>
      <c r="M215" s="217">
        <v>4</v>
      </c>
      <c r="N215" s="217">
        <v>0</v>
      </c>
      <c r="O215" s="217">
        <v>0</v>
      </c>
      <c r="P215" s="217">
        <v>0</v>
      </c>
      <c r="Q215" s="217">
        <v>0</v>
      </c>
      <c r="R215" s="217" t="s">
        <v>1807</v>
      </c>
    </row>
    <row r="216" spans="1:18" x14ac:dyDescent="0.25">
      <c r="A216" s="217">
        <v>215</v>
      </c>
      <c r="B216" s="217" t="s">
        <v>22</v>
      </c>
      <c r="C216" s="217" t="s">
        <v>23</v>
      </c>
      <c r="D216" s="217" t="s">
        <v>85</v>
      </c>
      <c r="E216" s="217" t="s">
        <v>84</v>
      </c>
      <c r="F216" s="217" t="s">
        <v>157</v>
      </c>
      <c r="G216" s="217" t="s">
        <v>156</v>
      </c>
      <c r="H216" s="217" t="s">
        <v>1051</v>
      </c>
      <c r="I216" s="217" t="s">
        <v>363</v>
      </c>
      <c r="J216" s="217" t="s">
        <v>2626</v>
      </c>
      <c r="K216" s="217" t="s">
        <v>2627</v>
      </c>
      <c r="L216" s="217">
        <v>236</v>
      </c>
      <c r="M216" s="217">
        <v>44</v>
      </c>
      <c r="N216" s="217">
        <v>0</v>
      </c>
      <c r="O216" s="217">
        <v>0</v>
      </c>
      <c r="P216" s="217">
        <v>0</v>
      </c>
      <c r="Q216" s="217">
        <v>0</v>
      </c>
      <c r="R216" s="217" t="s">
        <v>1807</v>
      </c>
    </row>
    <row r="217" spans="1:18" x14ac:dyDescent="0.25">
      <c r="A217" s="217">
        <v>216</v>
      </c>
      <c r="B217" s="217" t="s">
        <v>22</v>
      </c>
      <c r="C217" s="217" t="s">
        <v>23</v>
      </c>
      <c r="D217" s="217" t="s">
        <v>85</v>
      </c>
      <c r="E217" s="217" t="s">
        <v>84</v>
      </c>
      <c r="F217" s="217" t="s">
        <v>157</v>
      </c>
      <c r="G217" s="217" t="s">
        <v>156</v>
      </c>
      <c r="H217" s="217" t="s">
        <v>1052</v>
      </c>
      <c r="I217" s="217" t="s">
        <v>364</v>
      </c>
      <c r="J217" s="217" t="s">
        <v>2628</v>
      </c>
      <c r="K217" s="217" t="s">
        <v>2629</v>
      </c>
      <c r="L217" s="217">
        <v>278</v>
      </c>
      <c r="M217" s="217">
        <v>47</v>
      </c>
      <c r="N217" s="217">
        <v>0</v>
      </c>
      <c r="O217" s="217">
        <v>0</v>
      </c>
      <c r="P217" s="217">
        <v>0</v>
      </c>
      <c r="Q217" s="217">
        <v>0</v>
      </c>
      <c r="R217" s="217" t="s">
        <v>1807</v>
      </c>
    </row>
    <row r="218" spans="1:18" x14ac:dyDescent="0.25">
      <c r="A218" s="217">
        <v>217</v>
      </c>
      <c r="B218" s="217" t="s">
        <v>22</v>
      </c>
      <c r="C218" s="217" t="s">
        <v>23</v>
      </c>
      <c r="D218" s="217" t="s">
        <v>85</v>
      </c>
      <c r="E218" s="217" t="s">
        <v>84</v>
      </c>
      <c r="F218" s="217" t="s">
        <v>157</v>
      </c>
      <c r="G218" s="217" t="s">
        <v>156</v>
      </c>
      <c r="H218" s="217" t="s">
        <v>1053</v>
      </c>
      <c r="I218" s="217" t="s">
        <v>365</v>
      </c>
      <c r="J218" s="217" t="s">
        <v>2630</v>
      </c>
      <c r="K218" s="217" t="s">
        <v>2631</v>
      </c>
      <c r="L218" s="217">
        <v>157</v>
      </c>
      <c r="M218" s="217">
        <v>23</v>
      </c>
      <c r="N218" s="217">
        <v>0</v>
      </c>
      <c r="O218" s="217">
        <v>0</v>
      </c>
      <c r="P218" s="217">
        <v>0</v>
      </c>
      <c r="Q218" s="217">
        <v>0</v>
      </c>
      <c r="R218" s="217" t="s">
        <v>1807</v>
      </c>
    </row>
    <row r="219" spans="1:18" x14ac:dyDescent="0.25">
      <c r="A219" s="217">
        <v>218</v>
      </c>
      <c r="B219" s="217" t="s">
        <v>22</v>
      </c>
      <c r="C219" s="217" t="s">
        <v>23</v>
      </c>
      <c r="D219" s="217" t="s">
        <v>85</v>
      </c>
      <c r="E219" s="217" t="s">
        <v>84</v>
      </c>
      <c r="F219" s="217" t="s">
        <v>151</v>
      </c>
      <c r="G219" s="217" t="s">
        <v>150</v>
      </c>
      <c r="H219" s="217" t="s">
        <v>1055</v>
      </c>
      <c r="I219" s="217" t="s">
        <v>1054</v>
      </c>
      <c r="J219" s="217" t="s">
        <v>2632</v>
      </c>
      <c r="K219" s="217" t="s">
        <v>2633</v>
      </c>
      <c r="L219" s="217">
        <v>98</v>
      </c>
      <c r="M219" s="217">
        <v>34</v>
      </c>
      <c r="N219" s="217">
        <v>0</v>
      </c>
      <c r="O219" s="217">
        <v>0</v>
      </c>
      <c r="P219" s="217">
        <v>0</v>
      </c>
      <c r="Q219" s="217">
        <v>0</v>
      </c>
      <c r="R219" s="217" t="s">
        <v>1807</v>
      </c>
    </row>
    <row r="220" spans="1:18" x14ac:dyDescent="0.25">
      <c r="A220" s="217">
        <v>219</v>
      </c>
      <c r="B220" s="217" t="s">
        <v>22</v>
      </c>
      <c r="C220" s="217" t="s">
        <v>23</v>
      </c>
      <c r="D220" s="217" t="s">
        <v>85</v>
      </c>
      <c r="E220" s="217" t="s">
        <v>84</v>
      </c>
      <c r="F220" s="217" t="s">
        <v>151</v>
      </c>
      <c r="G220" s="217" t="s">
        <v>150</v>
      </c>
      <c r="H220" s="217" t="s">
        <v>1057</v>
      </c>
      <c r="I220" s="217" t="s">
        <v>1056</v>
      </c>
      <c r="J220" s="217" t="s">
        <v>2634</v>
      </c>
      <c r="K220" s="217" t="s">
        <v>2635</v>
      </c>
      <c r="L220" s="217">
        <v>150</v>
      </c>
      <c r="M220" s="217">
        <v>70</v>
      </c>
      <c r="N220" s="217">
        <v>0</v>
      </c>
      <c r="O220" s="217">
        <v>0</v>
      </c>
      <c r="P220" s="217">
        <v>0</v>
      </c>
      <c r="Q220" s="217">
        <v>0</v>
      </c>
      <c r="R220" s="217" t="s">
        <v>1807</v>
      </c>
    </row>
    <row r="221" spans="1:18" x14ac:dyDescent="0.25">
      <c r="A221" s="217">
        <v>220</v>
      </c>
      <c r="B221" s="217" t="s">
        <v>22</v>
      </c>
      <c r="C221" s="217" t="s">
        <v>23</v>
      </c>
      <c r="D221" s="217" t="s">
        <v>85</v>
      </c>
      <c r="E221" s="217" t="s">
        <v>84</v>
      </c>
      <c r="F221" s="217" t="s">
        <v>151</v>
      </c>
      <c r="G221" s="217" t="s">
        <v>150</v>
      </c>
      <c r="H221" s="217" t="s">
        <v>1059</v>
      </c>
      <c r="I221" s="217" t="s">
        <v>1058</v>
      </c>
      <c r="J221" s="217" t="s">
        <v>2636</v>
      </c>
      <c r="K221" s="217" t="s">
        <v>2637</v>
      </c>
      <c r="L221" s="217">
        <v>150</v>
      </c>
      <c r="M221" s="217">
        <v>30</v>
      </c>
      <c r="N221" s="217">
        <v>0</v>
      </c>
      <c r="O221" s="217">
        <v>0</v>
      </c>
      <c r="P221" s="217">
        <v>0</v>
      </c>
      <c r="Q221" s="217">
        <v>0</v>
      </c>
      <c r="R221" s="217" t="s">
        <v>1807</v>
      </c>
    </row>
    <row r="222" spans="1:18" x14ac:dyDescent="0.25">
      <c r="A222" s="217">
        <v>221</v>
      </c>
      <c r="B222" s="217" t="s">
        <v>22</v>
      </c>
      <c r="C222" s="217" t="s">
        <v>23</v>
      </c>
      <c r="D222" s="217" t="s">
        <v>85</v>
      </c>
      <c r="E222" s="217" t="s">
        <v>84</v>
      </c>
      <c r="F222" s="217" t="s">
        <v>151</v>
      </c>
      <c r="G222" s="217" t="s">
        <v>150</v>
      </c>
      <c r="H222" s="217" t="s">
        <v>1060</v>
      </c>
      <c r="I222" s="217" t="s">
        <v>776</v>
      </c>
      <c r="J222" s="217" t="s">
        <v>2638</v>
      </c>
      <c r="K222" s="217" t="s">
        <v>2639</v>
      </c>
      <c r="L222" s="217">
        <v>0</v>
      </c>
      <c r="M222" s="217">
        <v>0</v>
      </c>
      <c r="N222" s="217">
        <v>0</v>
      </c>
      <c r="O222" s="217">
        <v>0</v>
      </c>
      <c r="P222" s="217">
        <v>0</v>
      </c>
      <c r="Q222" s="217">
        <v>0</v>
      </c>
      <c r="R222" s="217" t="s">
        <v>1807</v>
      </c>
    </row>
    <row r="223" spans="1:18" x14ac:dyDescent="0.25">
      <c r="A223" s="217">
        <v>222</v>
      </c>
      <c r="B223" s="217" t="s">
        <v>22</v>
      </c>
      <c r="C223" s="217" t="s">
        <v>23</v>
      </c>
      <c r="D223" s="217" t="s">
        <v>85</v>
      </c>
      <c r="E223" s="217" t="s">
        <v>84</v>
      </c>
      <c r="F223" s="217" t="s">
        <v>151</v>
      </c>
      <c r="G223" s="217" t="s">
        <v>150</v>
      </c>
      <c r="H223" s="217" t="s">
        <v>1061</v>
      </c>
      <c r="I223" s="217" t="s">
        <v>774</v>
      </c>
      <c r="J223" s="217" t="s">
        <v>2640</v>
      </c>
      <c r="K223" s="217" t="s">
        <v>2641</v>
      </c>
      <c r="L223" s="217">
        <v>142</v>
      </c>
      <c r="M223" s="217">
        <v>35</v>
      </c>
      <c r="N223" s="217">
        <v>0</v>
      </c>
      <c r="O223" s="217">
        <v>0</v>
      </c>
      <c r="P223" s="217">
        <v>0</v>
      </c>
      <c r="Q223" s="217">
        <v>0</v>
      </c>
      <c r="R223" s="217" t="s">
        <v>1807</v>
      </c>
    </row>
    <row r="224" spans="1:18" x14ac:dyDescent="0.25">
      <c r="A224" s="217">
        <v>223</v>
      </c>
      <c r="B224" s="217" t="s">
        <v>22</v>
      </c>
      <c r="C224" s="217" t="s">
        <v>23</v>
      </c>
      <c r="D224" s="217" t="s">
        <v>85</v>
      </c>
      <c r="E224" s="217" t="s">
        <v>84</v>
      </c>
      <c r="F224" s="217" t="s">
        <v>151</v>
      </c>
      <c r="G224" s="217" t="s">
        <v>150</v>
      </c>
      <c r="H224" s="217" t="s">
        <v>1062</v>
      </c>
      <c r="I224" s="217" t="s">
        <v>366</v>
      </c>
      <c r="J224" s="217" t="s">
        <v>2642</v>
      </c>
      <c r="K224" s="217" t="s">
        <v>2643</v>
      </c>
      <c r="L224" s="217">
        <v>759</v>
      </c>
      <c r="M224" s="217">
        <v>96</v>
      </c>
      <c r="N224" s="217">
        <v>0</v>
      </c>
      <c r="O224" s="217">
        <v>0</v>
      </c>
      <c r="P224" s="217">
        <v>0</v>
      </c>
      <c r="Q224" s="217">
        <v>0</v>
      </c>
      <c r="R224" s="217" t="s">
        <v>1807</v>
      </c>
    </row>
    <row r="225" spans="1:18" x14ac:dyDescent="0.25">
      <c r="A225" s="217">
        <v>224</v>
      </c>
      <c r="B225" s="217" t="s">
        <v>22</v>
      </c>
      <c r="C225" s="217" t="s">
        <v>23</v>
      </c>
      <c r="D225" s="217" t="s">
        <v>85</v>
      </c>
      <c r="E225" s="217" t="s">
        <v>84</v>
      </c>
      <c r="F225" s="217" t="s">
        <v>151</v>
      </c>
      <c r="G225" s="217" t="s">
        <v>150</v>
      </c>
      <c r="H225" s="217" t="s">
        <v>1064</v>
      </c>
      <c r="I225" s="217" t="s">
        <v>1063</v>
      </c>
      <c r="J225" s="217" t="s">
        <v>2644</v>
      </c>
      <c r="K225" s="217" t="s">
        <v>2645</v>
      </c>
      <c r="L225" s="217">
        <v>205</v>
      </c>
      <c r="M225" s="217">
        <v>53</v>
      </c>
      <c r="N225" s="217">
        <v>110</v>
      </c>
      <c r="O225" s="217">
        <v>20</v>
      </c>
      <c r="P225" s="217">
        <v>0</v>
      </c>
      <c r="Q225" s="217">
        <v>0</v>
      </c>
      <c r="R225" s="217" t="s">
        <v>1807</v>
      </c>
    </row>
    <row r="226" spans="1:18" x14ac:dyDescent="0.25">
      <c r="A226" s="217">
        <v>225</v>
      </c>
      <c r="B226" s="217" t="s">
        <v>22</v>
      </c>
      <c r="C226" s="217" t="s">
        <v>23</v>
      </c>
      <c r="D226" s="217" t="s">
        <v>85</v>
      </c>
      <c r="E226" s="217" t="s">
        <v>84</v>
      </c>
      <c r="F226" s="217" t="s">
        <v>151</v>
      </c>
      <c r="G226" s="217" t="s">
        <v>150</v>
      </c>
      <c r="H226" s="217" t="s">
        <v>1066</v>
      </c>
      <c r="I226" s="217" t="s">
        <v>1065</v>
      </c>
      <c r="J226" s="217" t="s">
        <v>2646</v>
      </c>
      <c r="K226" s="217" t="s">
        <v>2647</v>
      </c>
      <c r="L226" s="217">
        <v>100</v>
      </c>
      <c r="M226" s="217">
        <v>22</v>
      </c>
      <c r="N226" s="217">
        <v>0</v>
      </c>
      <c r="O226" s="217">
        <v>0</v>
      </c>
      <c r="P226" s="217">
        <v>0</v>
      </c>
      <c r="Q226" s="217">
        <v>0</v>
      </c>
      <c r="R226" s="217" t="s">
        <v>1807</v>
      </c>
    </row>
    <row r="227" spans="1:18" x14ac:dyDescent="0.25">
      <c r="A227" s="217">
        <v>226</v>
      </c>
      <c r="B227" s="217" t="s">
        <v>22</v>
      </c>
      <c r="C227" s="217" t="s">
        <v>23</v>
      </c>
      <c r="D227" s="217" t="s">
        <v>85</v>
      </c>
      <c r="E227" s="217" t="s">
        <v>84</v>
      </c>
      <c r="F227" s="217" t="s">
        <v>151</v>
      </c>
      <c r="G227" s="217" t="s">
        <v>150</v>
      </c>
      <c r="H227" s="217" t="s">
        <v>1067</v>
      </c>
      <c r="I227" s="217" t="s">
        <v>778</v>
      </c>
      <c r="J227" s="217" t="s">
        <v>2648</v>
      </c>
      <c r="K227" s="217" t="s">
        <v>2649</v>
      </c>
      <c r="L227" s="217">
        <v>100</v>
      </c>
      <c r="M227" s="217">
        <v>19</v>
      </c>
      <c r="N227" s="217">
        <v>23</v>
      </c>
      <c r="O227" s="217">
        <v>3</v>
      </c>
      <c r="P227" s="217">
        <v>0</v>
      </c>
      <c r="Q227" s="217">
        <v>0</v>
      </c>
      <c r="R227" s="217" t="s">
        <v>1807</v>
      </c>
    </row>
    <row r="228" spans="1:18" x14ac:dyDescent="0.25">
      <c r="A228" s="217">
        <v>227</v>
      </c>
      <c r="B228" s="217" t="s">
        <v>22</v>
      </c>
      <c r="C228" s="217" t="s">
        <v>23</v>
      </c>
      <c r="D228" s="217" t="s">
        <v>85</v>
      </c>
      <c r="E228" s="217" t="s">
        <v>84</v>
      </c>
      <c r="F228" s="217" t="s">
        <v>151</v>
      </c>
      <c r="G228" s="217" t="s">
        <v>150</v>
      </c>
      <c r="H228" s="217" t="s">
        <v>1068</v>
      </c>
      <c r="I228" s="217" t="s">
        <v>780</v>
      </c>
      <c r="J228" s="217" t="s">
        <v>2650</v>
      </c>
      <c r="K228" s="217" t="s">
        <v>2651</v>
      </c>
      <c r="L228" s="217">
        <v>298</v>
      </c>
      <c r="M228" s="217">
        <v>70</v>
      </c>
      <c r="N228" s="217">
        <v>0</v>
      </c>
      <c r="O228" s="217">
        <v>0</v>
      </c>
      <c r="P228" s="217">
        <v>0</v>
      </c>
      <c r="Q228" s="217">
        <v>0</v>
      </c>
      <c r="R228" s="217" t="s">
        <v>1807</v>
      </c>
    </row>
    <row r="229" spans="1:18" x14ac:dyDescent="0.25">
      <c r="A229" s="217">
        <v>228</v>
      </c>
      <c r="B229" s="217" t="s">
        <v>22</v>
      </c>
      <c r="C229" s="217" t="s">
        <v>23</v>
      </c>
      <c r="D229" s="217" t="s">
        <v>85</v>
      </c>
      <c r="E229" s="217" t="s">
        <v>84</v>
      </c>
      <c r="F229" s="217" t="s">
        <v>151</v>
      </c>
      <c r="G229" s="217" t="s">
        <v>150</v>
      </c>
      <c r="H229" s="217" t="s">
        <v>1070</v>
      </c>
      <c r="I229" s="217" t="s">
        <v>1069</v>
      </c>
      <c r="J229" s="217" t="s">
        <v>2652</v>
      </c>
      <c r="K229" s="217" t="s">
        <v>2653</v>
      </c>
      <c r="L229" s="217">
        <v>150</v>
      </c>
      <c r="M229" s="217">
        <v>52</v>
      </c>
      <c r="N229" s="217">
        <v>0</v>
      </c>
      <c r="O229" s="217">
        <v>0</v>
      </c>
      <c r="P229" s="217">
        <v>0</v>
      </c>
      <c r="Q229" s="217">
        <v>0</v>
      </c>
      <c r="R229" s="217" t="s">
        <v>1807</v>
      </c>
    </row>
    <row r="230" spans="1:18" x14ac:dyDescent="0.25">
      <c r="A230" s="217">
        <v>229</v>
      </c>
      <c r="B230" s="217" t="s">
        <v>22</v>
      </c>
      <c r="C230" s="217" t="s">
        <v>23</v>
      </c>
      <c r="D230" s="217" t="s">
        <v>85</v>
      </c>
      <c r="E230" s="217" t="s">
        <v>84</v>
      </c>
      <c r="F230" s="217" t="s">
        <v>151</v>
      </c>
      <c r="G230" s="217" t="s">
        <v>150</v>
      </c>
      <c r="H230" s="217" t="s">
        <v>1071</v>
      </c>
      <c r="I230" s="217" t="s">
        <v>781</v>
      </c>
      <c r="J230" s="217" t="s">
        <v>2654</v>
      </c>
      <c r="K230" s="217" t="s">
        <v>2655</v>
      </c>
      <c r="L230" s="217">
        <v>283</v>
      </c>
      <c r="M230" s="217">
        <v>50</v>
      </c>
      <c r="N230" s="217">
        <v>49</v>
      </c>
      <c r="O230" s="217">
        <v>5</v>
      </c>
      <c r="P230" s="217">
        <v>0</v>
      </c>
      <c r="Q230" s="217">
        <v>0</v>
      </c>
      <c r="R230" s="217" t="s">
        <v>1807</v>
      </c>
    </row>
    <row r="231" spans="1:18" x14ac:dyDescent="0.25">
      <c r="A231" s="217">
        <v>230</v>
      </c>
      <c r="B231" s="217" t="s">
        <v>22</v>
      </c>
      <c r="C231" s="217" t="s">
        <v>23</v>
      </c>
      <c r="D231" s="217" t="s">
        <v>85</v>
      </c>
      <c r="E231" s="217" t="s">
        <v>84</v>
      </c>
      <c r="F231" s="217" t="s">
        <v>151</v>
      </c>
      <c r="G231" s="217" t="s">
        <v>150</v>
      </c>
      <c r="H231" s="217" t="s">
        <v>1073</v>
      </c>
      <c r="I231" s="217" t="s">
        <v>1072</v>
      </c>
      <c r="J231" s="217" t="s">
        <v>2656</v>
      </c>
      <c r="K231" s="217" t="s">
        <v>2657</v>
      </c>
      <c r="L231" s="217">
        <v>130</v>
      </c>
      <c r="M231" s="217">
        <v>17</v>
      </c>
      <c r="N231" s="217">
        <v>0</v>
      </c>
      <c r="O231" s="217">
        <v>0</v>
      </c>
      <c r="P231" s="217">
        <v>0</v>
      </c>
      <c r="Q231" s="217">
        <v>0</v>
      </c>
      <c r="R231" s="217" t="s">
        <v>1807</v>
      </c>
    </row>
    <row r="232" spans="1:18" x14ac:dyDescent="0.25">
      <c r="A232" s="217">
        <v>231</v>
      </c>
      <c r="B232" s="217" t="s">
        <v>22</v>
      </c>
      <c r="C232" s="217" t="s">
        <v>23</v>
      </c>
      <c r="D232" s="217" t="s">
        <v>85</v>
      </c>
      <c r="E232" s="217" t="s">
        <v>84</v>
      </c>
      <c r="F232" s="217" t="s">
        <v>151</v>
      </c>
      <c r="G232" s="217" t="s">
        <v>150</v>
      </c>
      <c r="H232" s="217" t="s">
        <v>1075</v>
      </c>
      <c r="I232" s="217" t="s">
        <v>1074</v>
      </c>
      <c r="J232" s="217" t="s">
        <v>2658</v>
      </c>
      <c r="K232" s="217" t="s">
        <v>2659</v>
      </c>
      <c r="L232" s="217">
        <v>130</v>
      </c>
      <c r="M232" s="217">
        <v>18</v>
      </c>
      <c r="N232" s="217">
        <v>0</v>
      </c>
      <c r="O232" s="217">
        <v>0</v>
      </c>
      <c r="P232" s="217">
        <v>0</v>
      </c>
      <c r="Q232" s="217">
        <v>0</v>
      </c>
      <c r="R232" s="217" t="s">
        <v>1807</v>
      </c>
    </row>
    <row r="233" spans="1:18" x14ac:dyDescent="0.25">
      <c r="A233" s="217">
        <v>232</v>
      </c>
      <c r="B233" s="217" t="s">
        <v>22</v>
      </c>
      <c r="C233" s="217" t="s">
        <v>23</v>
      </c>
      <c r="D233" s="217" t="s">
        <v>85</v>
      </c>
      <c r="E233" s="217" t="s">
        <v>84</v>
      </c>
      <c r="F233" s="217" t="s">
        <v>151</v>
      </c>
      <c r="G233" s="217" t="s">
        <v>150</v>
      </c>
      <c r="H233" s="217" t="s">
        <v>1077</v>
      </c>
      <c r="I233" s="217" t="s">
        <v>1076</v>
      </c>
      <c r="J233" s="217" t="s">
        <v>2660</v>
      </c>
      <c r="K233" s="217" t="s">
        <v>2661</v>
      </c>
      <c r="L233" s="217">
        <v>100</v>
      </c>
      <c r="M233" s="217">
        <v>22</v>
      </c>
      <c r="N233" s="217">
        <v>0</v>
      </c>
      <c r="O233" s="217">
        <v>0</v>
      </c>
      <c r="P233" s="217">
        <v>0</v>
      </c>
      <c r="Q233" s="217">
        <v>0</v>
      </c>
      <c r="R233" s="217" t="s">
        <v>1807</v>
      </c>
    </row>
    <row r="234" spans="1:18" x14ac:dyDescent="0.25">
      <c r="A234" s="217">
        <v>233</v>
      </c>
      <c r="B234" s="217" t="s">
        <v>22</v>
      </c>
      <c r="C234" s="217" t="s">
        <v>23</v>
      </c>
      <c r="D234" s="217" t="s">
        <v>85</v>
      </c>
      <c r="E234" s="217" t="s">
        <v>84</v>
      </c>
      <c r="F234" s="217" t="s">
        <v>151</v>
      </c>
      <c r="G234" s="217" t="s">
        <v>150</v>
      </c>
      <c r="H234" s="217" t="s">
        <v>1079</v>
      </c>
      <c r="I234" s="217" t="s">
        <v>1078</v>
      </c>
      <c r="J234" s="217" t="s">
        <v>2662</v>
      </c>
      <c r="K234" s="217" t="s">
        <v>2663</v>
      </c>
      <c r="L234" s="217">
        <v>500</v>
      </c>
      <c r="M234" s="217">
        <v>100</v>
      </c>
      <c r="N234" s="217">
        <v>0</v>
      </c>
      <c r="O234" s="217">
        <v>0</v>
      </c>
      <c r="P234" s="217">
        <v>0</v>
      </c>
      <c r="Q234" s="217">
        <v>0</v>
      </c>
      <c r="R234" s="217" t="s">
        <v>1807</v>
      </c>
    </row>
    <row r="235" spans="1:18" x14ac:dyDescent="0.25">
      <c r="A235" s="217">
        <v>234</v>
      </c>
      <c r="B235" s="217" t="s">
        <v>22</v>
      </c>
      <c r="C235" s="217" t="s">
        <v>23</v>
      </c>
      <c r="D235" s="217" t="s">
        <v>85</v>
      </c>
      <c r="E235" s="217" t="s">
        <v>84</v>
      </c>
      <c r="F235" s="217" t="s">
        <v>151</v>
      </c>
      <c r="G235" s="217" t="s">
        <v>150</v>
      </c>
      <c r="H235" s="217" t="s">
        <v>1080</v>
      </c>
      <c r="I235" s="217" t="s">
        <v>367</v>
      </c>
      <c r="J235" s="217" t="s">
        <v>2664</v>
      </c>
      <c r="K235" s="217" t="s">
        <v>2665</v>
      </c>
      <c r="L235" s="217">
        <v>1123</v>
      </c>
      <c r="M235" s="217">
        <v>173</v>
      </c>
      <c r="N235" s="217">
        <v>0</v>
      </c>
      <c r="O235" s="217">
        <v>0</v>
      </c>
      <c r="P235" s="217">
        <v>0</v>
      </c>
      <c r="Q235" s="217">
        <v>0</v>
      </c>
      <c r="R235" s="217" t="s">
        <v>1807</v>
      </c>
    </row>
    <row r="236" spans="1:18" x14ac:dyDescent="0.25">
      <c r="A236" s="217">
        <v>235</v>
      </c>
      <c r="B236" s="217" t="s">
        <v>22</v>
      </c>
      <c r="C236" s="217" t="s">
        <v>23</v>
      </c>
      <c r="D236" s="217" t="s">
        <v>85</v>
      </c>
      <c r="E236" s="217" t="s">
        <v>84</v>
      </c>
      <c r="F236" s="217" t="s">
        <v>151</v>
      </c>
      <c r="G236" s="217" t="s">
        <v>150</v>
      </c>
      <c r="H236" s="217" t="s">
        <v>1081</v>
      </c>
      <c r="I236" s="217" t="s">
        <v>368</v>
      </c>
      <c r="J236" s="217" t="s">
        <v>2666</v>
      </c>
      <c r="K236" s="217" t="s">
        <v>2667</v>
      </c>
      <c r="L236" s="217">
        <v>950</v>
      </c>
      <c r="M236" s="217">
        <v>191</v>
      </c>
      <c r="N236" s="217">
        <v>0</v>
      </c>
      <c r="O236" s="217">
        <v>0</v>
      </c>
      <c r="P236" s="217">
        <v>0</v>
      </c>
      <c r="Q236" s="217">
        <v>0</v>
      </c>
      <c r="R236" s="217" t="s">
        <v>1807</v>
      </c>
    </row>
    <row r="237" spans="1:18" x14ac:dyDescent="0.25">
      <c r="A237" s="217">
        <v>236</v>
      </c>
      <c r="B237" s="217" t="s">
        <v>22</v>
      </c>
      <c r="C237" s="217" t="s">
        <v>23</v>
      </c>
      <c r="D237" s="217" t="s">
        <v>85</v>
      </c>
      <c r="E237" s="217" t="s">
        <v>84</v>
      </c>
      <c r="F237" s="217" t="s">
        <v>151</v>
      </c>
      <c r="G237" s="217" t="s">
        <v>150</v>
      </c>
      <c r="H237" s="217" t="s">
        <v>1082</v>
      </c>
      <c r="I237" s="217" t="s">
        <v>852</v>
      </c>
      <c r="J237" s="217" t="s">
        <v>2668</v>
      </c>
      <c r="K237" s="217" t="s">
        <v>2669</v>
      </c>
      <c r="L237" s="217">
        <v>87</v>
      </c>
      <c r="M237" s="217">
        <v>18</v>
      </c>
      <c r="N237" s="217">
        <v>0</v>
      </c>
      <c r="O237" s="217">
        <v>0</v>
      </c>
      <c r="P237" s="217">
        <v>0</v>
      </c>
      <c r="Q237" s="217">
        <v>0</v>
      </c>
      <c r="R237" s="217" t="s">
        <v>1807</v>
      </c>
    </row>
    <row r="238" spans="1:18" x14ac:dyDescent="0.25">
      <c r="A238" s="217">
        <v>237</v>
      </c>
      <c r="B238" s="217" t="s">
        <v>22</v>
      </c>
      <c r="C238" s="217" t="s">
        <v>23</v>
      </c>
      <c r="D238" s="217" t="s">
        <v>85</v>
      </c>
      <c r="E238" s="217" t="s">
        <v>84</v>
      </c>
      <c r="F238" s="217" t="s">
        <v>151</v>
      </c>
      <c r="G238" s="217" t="s">
        <v>150</v>
      </c>
      <c r="H238" s="217" t="s">
        <v>1664</v>
      </c>
      <c r="I238" s="217" t="s">
        <v>777</v>
      </c>
      <c r="J238" s="217" t="s">
        <v>2670</v>
      </c>
      <c r="K238" s="217" t="s">
        <v>2671</v>
      </c>
      <c r="L238" s="217">
        <v>128</v>
      </c>
      <c r="M238" s="217">
        <v>32</v>
      </c>
      <c r="N238" s="217">
        <v>0</v>
      </c>
      <c r="O238" s="217">
        <v>0</v>
      </c>
      <c r="P238" s="217">
        <v>0</v>
      </c>
      <c r="Q238" s="217">
        <v>0</v>
      </c>
      <c r="R238" s="217" t="s">
        <v>1807</v>
      </c>
    </row>
    <row r="239" spans="1:18" x14ac:dyDescent="0.25">
      <c r="A239" s="217">
        <v>238</v>
      </c>
      <c r="B239" s="217" t="s">
        <v>22</v>
      </c>
      <c r="C239" s="217" t="s">
        <v>23</v>
      </c>
      <c r="D239" s="217" t="s">
        <v>85</v>
      </c>
      <c r="E239" s="217" t="s">
        <v>84</v>
      </c>
      <c r="F239" s="217" t="s">
        <v>151</v>
      </c>
      <c r="G239" s="217" t="s">
        <v>150</v>
      </c>
      <c r="H239" s="217" t="s">
        <v>1665</v>
      </c>
      <c r="I239" s="217" t="s">
        <v>1666</v>
      </c>
      <c r="J239" s="217" t="s">
        <v>2672</v>
      </c>
      <c r="K239" s="217" t="s">
        <v>2673</v>
      </c>
      <c r="L239" s="217">
        <v>0</v>
      </c>
      <c r="M239" s="217">
        <v>0</v>
      </c>
      <c r="N239" s="217">
        <v>0</v>
      </c>
      <c r="O239" s="217">
        <v>0</v>
      </c>
      <c r="P239" s="217">
        <v>0</v>
      </c>
      <c r="Q239" s="217">
        <v>0</v>
      </c>
      <c r="R239" s="217" t="s">
        <v>1807</v>
      </c>
    </row>
    <row r="240" spans="1:18" x14ac:dyDescent="0.25">
      <c r="A240" s="217">
        <v>239</v>
      </c>
      <c r="B240" s="217" t="s">
        <v>22</v>
      </c>
      <c r="C240" s="217" t="s">
        <v>23</v>
      </c>
      <c r="D240" s="217" t="s">
        <v>85</v>
      </c>
      <c r="E240" s="217" t="s">
        <v>84</v>
      </c>
      <c r="F240" s="217" t="s">
        <v>151</v>
      </c>
      <c r="G240" s="217" t="s">
        <v>150</v>
      </c>
      <c r="H240" s="217" t="s">
        <v>1083</v>
      </c>
      <c r="I240" s="217" t="s">
        <v>697</v>
      </c>
      <c r="J240" s="217" t="s">
        <v>2674</v>
      </c>
      <c r="K240" s="217" t="s">
        <v>2675</v>
      </c>
      <c r="L240" s="217">
        <v>350</v>
      </c>
      <c r="M240" s="217">
        <v>35</v>
      </c>
      <c r="N240" s="217">
        <v>0</v>
      </c>
      <c r="O240" s="217">
        <v>0</v>
      </c>
      <c r="P240" s="217">
        <v>0</v>
      </c>
      <c r="Q240" s="217">
        <v>0</v>
      </c>
      <c r="R240" s="217" t="s">
        <v>1807</v>
      </c>
    </row>
    <row r="241" spans="1:18" x14ac:dyDescent="0.25">
      <c r="A241" s="217">
        <v>240</v>
      </c>
      <c r="B241" s="217" t="s">
        <v>22</v>
      </c>
      <c r="C241" s="217" t="s">
        <v>23</v>
      </c>
      <c r="D241" s="217" t="s">
        <v>85</v>
      </c>
      <c r="E241" s="217" t="s">
        <v>84</v>
      </c>
      <c r="F241" s="217" t="s">
        <v>151</v>
      </c>
      <c r="G241" s="217" t="s">
        <v>150</v>
      </c>
      <c r="H241" s="217" t="s">
        <v>1084</v>
      </c>
      <c r="I241" s="217" t="s">
        <v>152</v>
      </c>
      <c r="J241" s="217" t="s">
        <v>2676</v>
      </c>
      <c r="K241" s="217" t="s">
        <v>2677</v>
      </c>
      <c r="L241" s="217">
        <v>814</v>
      </c>
      <c r="M241" s="217">
        <v>137</v>
      </c>
      <c r="N241" s="217">
        <v>0</v>
      </c>
      <c r="O241" s="217">
        <v>0</v>
      </c>
      <c r="P241" s="217">
        <v>70</v>
      </c>
      <c r="Q241" s="217">
        <v>14</v>
      </c>
      <c r="R241" s="217" t="s">
        <v>1807</v>
      </c>
    </row>
    <row r="242" spans="1:18" x14ac:dyDescent="0.25">
      <c r="A242" s="217">
        <v>241</v>
      </c>
      <c r="B242" s="217" t="s">
        <v>22</v>
      </c>
      <c r="C242" s="217" t="s">
        <v>23</v>
      </c>
      <c r="D242" s="217" t="s">
        <v>85</v>
      </c>
      <c r="E242" s="217" t="s">
        <v>84</v>
      </c>
      <c r="F242" s="217" t="s">
        <v>151</v>
      </c>
      <c r="G242" s="217" t="s">
        <v>150</v>
      </c>
      <c r="H242" s="217" t="s">
        <v>1086</v>
      </c>
      <c r="I242" s="217" t="s">
        <v>1085</v>
      </c>
      <c r="J242" s="217" t="s">
        <v>2678</v>
      </c>
      <c r="K242" s="217" t="s">
        <v>2679</v>
      </c>
      <c r="L242" s="217">
        <v>45</v>
      </c>
      <c r="M242" s="217">
        <v>7</v>
      </c>
      <c r="N242" s="217">
        <v>0</v>
      </c>
      <c r="O242" s="217">
        <v>0</v>
      </c>
      <c r="P242" s="217">
        <v>0</v>
      </c>
      <c r="Q242" s="217">
        <v>0</v>
      </c>
      <c r="R242" s="217" t="s">
        <v>1807</v>
      </c>
    </row>
    <row r="243" spans="1:18" x14ac:dyDescent="0.25">
      <c r="A243" s="217">
        <v>242</v>
      </c>
      <c r="B243" s="217" t="s">
        <v>22</v>
      </c>
      <c r="C243" s="217" t="s">
        <v>23</v>
      </c>
      <c r="D243" s="217" t="s">
        <v>85</v>
      </c>
      <c r="E243" s="217" t="s">
        <v>84</v>
      </c>
      <c r="F243" s="217" t="s">
        <v>151</v>
      </c>
      <c r="G243" s="217" t="s">
        <v>150</v>
      </c>
      <c r="H243" s="217" t="s">
        <v>1088</v>
      </c>
      <c r="I243" s="217" t="s">
        <v>1087</v>
      </c>
      <c r="J243" s="217" t="s">
        <v>2680</v>
      </c>
      <c r="K243" s="217" t="s">
        <v>2681</v>
      </c>
      <c r="L243" s="217">
        <v>25</v>
      </c>
      <c r="M243" s="217">
        <v>4</v>
      </c>
      <c r="N243" s="217">
        <v>0</v>
      </c>
      <c r="O243" s="217">
        <v>0</v>
      </c>
      <c r="P243" s="217">
        <v>0</v>
      </c>
      <c r="Q243" s="217">
        <v>0</v>
      </c>
      <c r="R243" s="217" t="s">
        <v>1807</v>
      </c>
    </row>
    <row r="244" spans="1:18" x14ac:dyDescent="0.25">
      <c r="A244" s="217">
        <v>243</v>
      </c>
      <c r="B244" s="217" t="s">
        <v>22</v>
      </c>
      <c r="C244" s="217" t="s">
        <v>23</v>
      </c>
      <c r="D244" s="217" t="s">
        <v>85</v>
      </c>
      <c r="E244" s="217" t="s">
        <v>84</v>
      </c>
      <c r="F244" s="217" t="s">
        <v>151</v>
      </c>
      <c r="G244" s="217" t="s">
        <v>150</v>
      </c>
      <c r="H244" s="217" t="s">
        <v>1090</v>
      </c>
      <c r="I244" s="217" t="s">
        <v>1089</v>
      </c>
      <c r="J244" s="217" t="s">
        <v>2682</v>
      </c>
      <c r="K244" s="217" t="s">
        <v>2683</v>
      </c>
      <c r="L244" s="217">
        <v>140</v>
      </c>
      <c r="M244" s="217">
        <v>22</v>
      </c>
      <c r="N244" s="217">
        <v>0</v>
      </c>
      <c r="O244" s="217">
        <v>0</v>
      </c>
      <c r="P244" s="217">
        <v>0</v>
      </c>
      <c r="Q244" s="217">
        <v>0</v>
      </c>
      <c r="R244" s="217" t="s">
        <v>1807</v>
      </c>
    </row>
    <row r="245" spans="1:18" x14ac:dyDescent="0.25">
      <c r="A245" s="217">
        <v>244</v>
      </c>
      <c r="B245" s="217" t="s">
        <v>22</v>
      </c>
      <c r="C245" s="217" t="s">
        <v>23</v>
      </c>
      <c r="D245" s="217" t="s">
        <v>85</v>
      </c>
      <c r="E245" s="217" t="s">
        <v>84</v>
      </c>
      <c r="F245" s="217" t="s">
        <v>151</v>
      </c>
      <c r="G245" s="217" t="s">
        <v>150</v>
      </c>
      <c r="H245" s="217" t="s">
        <v>1091</v>
      </c>
      <c r="I245" s="217" t="s">
        <v>779</v>
      </c>
      <c r="J245" s="217" t="s">
        <v>2684</v>
      </c>
      <c r="K245" s="217" t="s">
        <v>2685</v>
      </c>
      <c r="L245" s="217">
        <v>147</v>
      </c>
      <c r="M245" s="217">
        <v>35</v>
      </c>
      <c r="N245" s="217">
        <v>0</v>
      </c>
      <c r="O245" s="217">
        <v>0</v>
      </c>
      <c r="P245" s="217">
        <v>0</v>
      </c>
      <c r="Q245" s="217">
        <v>0</v>
      </c>
      <c r="R245" s="217" t="s">
        <v>1807</v>
      </c>
    </row>
    <row r="246" spans="1:18" x14ac:dyDescent="0.25">
      <c r="A246" s="217">
        <v>245</v>
      </c>
      <c r="B246" s="217" t="s">
        <v>22</v>
      </c>
      <c r="C246" s="217" t="s">
        <v>23</v>
      </c>
      <c r="D246" s="217" t="s">
        <v>85</v>
      </c>
      <c r="E246" s="217" t="s">
        <v>84</v>
      </c>
      <c r="F246" s="217" t="s">
        <v>151</v>
      </c>
      <c r="G246" s="217" t="s">
        <v>150</v>
      </c>
      <c r="H246" s="217" t="s">
        <v>1092</v>
      </c>
      <c r="I246" s="217" t="s">
        <v>783</v>
      </c>
      <c r="J246" s="217" t="s">
        <v>2686</v>
      </c>
      <c r="K246" s="217" t="s">
        <v>2687</v>
      </c>
      <c r="L246" s="217">
        <v>125</v>
      </c>
      <c r="M246" s="217">
        <v>18</v>
      </c>
      <c r="N246" s="217">
        <v>0</v>
      </c>
      <c r="O246" s="217">
        <v>0</v>
      </c>
      <c r="P246" s="217">
        <v>0</v>
      </c>
      <c r="Q246" s="217">
        <v>0</v>
      </c>
      <c r="R246" s="217" t="s">
        <v>1807</v>
      </c>
    </row>
    <row r="247" spans="1:18" x14ac:dyDescent="0.25">
      <c r="A247" s="217">
        <v>246</v>
      </c>
      <c r="B247" s="217" t="s">
        <v>22</v>
      </c>
      <c r="C247" s="217" t="s">
        <v>23</v>
      </c>
      <c r="D247" s="217" t="s">
        <v>85</v>
      </c>
      <c r="E247" s="217" t="s">
        <v>84</v>
      </c>
      <c r="F247" s="217" t="s">
        <v>151</v>
      </c>
      <c r="G247" s="217" t="s">
        <v>150</v>
      </c>
      <c r="H247" s="217" t="s">
        <v>1093</v>
      </c>
      <c r="I247" s="217" t="s">
        <v>784</v>
      </c>
      <c r="J247" s="217" t="s">
        <v>2688</v>
      </c>
      <c r="K247" s="217" t="s">
        <v>2689</v>
      </c>
      <c r="L247" s="217">
        <v>166</v>
      </c>
      <c r="M247" s="217">
        <v>29</v>
      </c>
      <c r="N247" s="217">
        <v>0</v>
      </c>
      <c r="O247" s="217">
        <v>0</v>
      </c>
      <c r="P247" s="217">
        <v>0</v>
      </c>
      <c r="Q247" s="217">
        <v>0</v>
      </c>
      <c r="R247" s="217" t="s">
        <v>1807</v>
      </c>
    </row>
    <row r="248" spans="1:18" x14ac:dyDescent="0.25">
      <c r="A248" s="217">
        <v>247</v>
      </c>
      <c r="B248" s="217" t="s">
        <v>22</v>
      </c>
      <c r="C248" s="217" t="s">
        <v>23</v>
      </c>
      <c r="D248" s="217" t="s">
        <v>85</v>
      </c>
      <c r="E248" s="217" t="s">
        <v>84</v>
      </c>
      <c r="F248" s="217" t="s">
        <v>151</v>
      </c>
      <c r="G248" s="217" t="s">
        <v>150</v>
      </c>
      <c r="H248" s="217" t="s">
        <v>1094</v>
      </c>
      <c r="I248" s="217" t="s">
        <v>785</v>
      </c>
      <c r="J248" s="217" t="s">
        <v>2690</v>
      </c>
      <c r="K248" s="217" t="s">
        <v>2691</v>
      </c>
      <c r="L248" s="217">
        <v>56</v>
      </c>
      <c r="M248" s="217">
        <v>6</v>
      </c>
      <c r="N248" s="217">
        <v>0</v>
      </c>
      <c r="O248" s="217">
        <v>0</v>
      </c>
      <c r="P248" s="217">
        <v>0</v>
      </c>
      <c r="Q248" s="217">
        <v>0</v>
      </c>
      <c r="R248" s="217" t="s">
        <v>1807</v>
      </c>
    </row>
    <row r="249" spans="1:18" x14ac:dyDescent="0.25">
      <c r="A249" s="217">
        <v>248</v>
      </c>
      <c r="B249" s="217" t="s">
        <v>22</v>
      </c>
      <c r="C249" s="217" t="s">
        <v>23</v>
      </c>
      <c r="D249" s="217" t="s">
        <v>85</v>
      </c>
      <c r="E249" s="217" t="s">
        <v>84</v>
      </c>
      <c r="F249" s="217" t="s">
        <v>151</v>
      </c>
      <c r="G249" s="217" t="s">
        <v>150</v>
      </c>
      <c r="H249" s="217" t="s">
        <v>1095</v>
      </c>
      <c r="I249" s="217" t="s">
        <v>786</v>
      </c>
      <c r="J249" s="217" t="s">
        <v>2692</v>
      </c>
      <c r="K249" s="217" t="s">
        <v>2693</v>
      </c>
      <c r="L249" s="217">
        <v>49</v>
      </c>
      <c r="M249" s="217">
        <v>7</v>
      </c>
      <c r="N249" s="217">
        <v>204</v>
      </c>
      <c r="O249" s="217">
        <v>44</v>
      </c>
      <c r="P249" s="217">
        <v>0</v>
      </c>
      <c r="Q249" s="217">
        <v>0</v>
      </c>
      <c r="R249" s="217" t="s">
        <v>1807</v>
      </c>
    </row>
    <row r="250" spans="1:18" x14ac:dyDescent="0.25">
      <c r="A250" s="217">
        <v>249</v>
      </c>
      <c r="B250" s="217" t="s">
        <v>22</v>
      </c>
      <c r="C250" s="217" t="s">
        <v>23</v>
      </c>
      <c r="D250" s="217" t="s">
        <v>85</v>
      </c>
      <c r="E250" s="217" t="s">
        <v>84</v>
      </c>
      <c r="F250" s="217" t="s">
        <v>151</v>
      </c>
      <c r="G250" s="217" t="s">
        <v>150</v>
      </c>
      <c r="H250" s="217" t="s">
        <v>1502</v>
      </c>
      <c r="I250" s="217" t="s">
        <v>82</v>
      </c>
      <c r="J250" s="217" t="s">
        <v>2694</v>
      </c>
      <c r="K250" s="217" t="s">
        <v>2695</v>
      </c>
      <c r="L250" s="217">
        <v>0</v>
      </c>
      <c r="M250" s="217">
        <v>0</v>
      </c>
      <c r="N250" s="217">
        <v>100</v>
      </c>
      <c r="O250" s="217">
        <v>17</v>
      </c>
      <c r="P250" s="217">
        <v>0</v>
      </c>
      <c r="Q250" s="217">
        <v>0</v>
      </c>
      <c r="R250" s="217" t="s">
        <v>1807</v>
      </c>
    </row>
    <row r="251" spans="1:18" x14ac:dyDescent="0.25">
      <c r="A251" s="217">
        <v>250</v>
      </c>
      <c r="B251" s="217" t="s">
        <v>22</v>
      </c>
      <c r="C251" s="217" t="s">
        <v>23</v>
      </c>
      <c r="D251" s="217" t="s">
        <v>85</v>
      </c>
      <c r="E251" s="217" t="s">
        <v>84</v>
      </c>
      <c r="F251" s="217" t="s">
        <v>151</v>
      </c>
      <c r="G251" s="217" t="s">
        <v>150</v>
      </c>
      <c r="H251" s="217" t="s">
        <v>1097</v>
      </c>
      <c r="I251" s="217" t="s">
        <v>1096</v>
      </c>
      <c r="J251" s="217" t="s">
        <v>2696</v>
      </c>
      <c r="K251" s="217" t="s">
        <v>2697</v>
      </c>
      <c r="L251" s="217">
        <v>54</v>
      </c>
      <c r="M251" s="217">
        <v>6</v>
      </c>
      <c r="N251" s="217">
        <v>168</v>
      </c>
      <c r="O251" s="217">
        <v>22</v>
      </c>
      <c r="P251" s="217">
        <v>0</v>
      </c>
      <c r="Q251" s="217">
        <v>0</v>
      </c>
      <c r="R251" s="217" t="s">
        <v>1807</v>
      </c>
    </row>
    <row r="252" spans="1:18" x14ac:dyDescent="0.25">
      <c r="A252" s="217">
        <v>251</v>
      </c>
      <c r="B252" s="217" t="s">
        <v>22</v>
      </c>
      <c r="C252" s="217" t="s">
        <v>23</v>
      </c>
      <c r="D252" s="217" t="s">
        <v>85</v>
      </c>
      <c r="E252" s="217" t="s">
        <v>84</v>
      </c>
      <c r="F252" s="217" t="s">
        <v>151</v>
      </c>
      <c r="G252" s="217" t="s">
        <v>150</v>
      </c>
      <c r="H252" s="217" t="s">
        <v>1098</v>
      </c>
      <c r="I252" s="217" t="s">
        <v>787</v>
      </c>
      <c r="J252" s="217" t="s">
        <v>2698</v>
      </c>
      <c r="K252" s="217" t="s">
        <v>2699</v>
      </c>
      <c r="L252" s="217">
        <v>440</v>
      </c>
      <c r="M252" s="217">
        <v>89</v>
      </c>
      <c r="N252" s="217">
        <v>207</v>
      </c>
      <c r="O252" s="217">
        <v>66</v>
      </c>
      <c r="P252" s="217">
        <v>0</v>
      </c>
      <c r="Q252" s="217">
        <v>0</v>
      </c>
      <c r="R252" s="217" t="s">
        <v>1807</v>
      </c>
    </row>
    <row r="253" spans="1:18" x14ac:dyDescent="0.25">
      <c r="A253" s="217">
        <v>252</v>
      </c>
      <c r="B253" s="217" t="s">
        <v>22</v>
      </c>
      <c r="C253" s="217" t="s">
        <v>23</v>
      </c>
      <c r="D253" s="217" t="s">
        <v>85</v>
      </c>
      <c r="E253" s="217" t="s">
        <v>84</v>
      </c>
      <c r="F253" s="217" t="s">
        <v>151</v>
      </c>
      <c r="G253" s="217" t="s">
        <v>150</v>
      </c>
      <c r="H253" s="217" t="s">
        <v>1100</v>
      </c>
      <c r="I253" s="217" t="s">
        <v>1099</v>
      </c>
      <c r="J253" s="217" t="s">
        <v>2700</v>
      </c>
      <c r="K253" s="217" t="s">
        <v>2701</v>
      </c>
      <c r="L253" s="217">
        <v>150</v>
      </c>
      <c r="M253" s="217">
        <v>35</v>
      </c>
      <c r="N253" s="217">
        <v>0</v>
      </c>
      <c r="O253" s="217">
        <v>0</v>
      </c>
      <c r="P253" s="217">
        <v>0</v>
      </c>
      <c r="Q253" s="217">
        <v>0</v>
      </c>
      <c r="R253" s="217" t="s">
        <v>1807</v>
      </c>
    </row>
    <row r="254" spans="1:18" x14ac:dyDescent="0.25">
      <c r="A254" s="217">
        <v>253</v>
      </c>
      <c r="B254" s="217" t="s">
        <v>22</v>
      </c>
      <c r="C254" s="217" t="s">
        <v>23</v>
      </c>
      <c r="D254" s="217" t="s">
        <v>85</v>
      </c>
      <c r="E254" s="217" t="s">
        <v>84</v>
      </c>
      <c r="F254" s="217" t="s">
        <v>151</v>
      </c>
      <c r="G254" s="217" t="s">
        <v>150</v>
      </c>
      <c r="H254" s="217" t="s">
        <v>1101</v>
      </c>
      <c r="I254" s="217" t="s">
        <v>788</v>
      </c>
      <c r="J254" s="217" t="s">
        <v>2702</v>
      </c>
      <c r="K254" s="217" t="s">
        <v>2703</v>
      </c>
      <c r="L254" s="217">
        <v>447</v>
      </c>
      <c r="M254" s="217">
        <v>100</v>
      </c>
      <c r="N254" s="217">
        <v>152</v>
      </c>
      <c r="O254" s="217">
        <v>28</v>
      </c>
      <c r="P254" s="217">
        <v>0</v>
      </c>
      <c r="Q254" s="217">
        <v>0</v>
      </c>
      <c r="R254" s="217" t="s">
        <v>1807</v>
      </c>
    </row>
    <row r="255" spans="1:18" x14ac:dyDescent="0.25">
      <c r="A255" s="217">
        <v>254</v>
      </c>
      <c r="B255" s="217" t="s">
        <v>22</v>
      </c>
      <c r="C255" s="217" t="s">
        <v>23</v>
      </c>
      <c r="D255" s="217" t="s">
        <v>85</v>
      </c>
      <c r="E255" s="217" t="s">
        <v>84</v>
      </c>
      <c r="F255" s="217" t="s">
        <v>151</v>
      </c>
      <c r="G255" s="217" t="s">
        <v>150</v>
      </c>
      <c r="H255" s="217" t="s">
        <v>1102</v>
      </c>
      <c r="I255" s="217" t="s">
        <v>775</v>
      </c>
      <c r="J255" s="217" t="s">
        <v>2704</v>
      </c>
      <c r="K255" s="217" t="s">
        <v>2705</v>
      </c>
      <c r="L255" s="217">
        <v>71</v>
      </c>
      <c r="M255" s="217">
        <v>8</v>
      </c>
      <c r="N255" s="217">
        <v>425</v>
      </c>
      <c r="O255" s="217">
        <v>50</v>
      </c>
      <c r="P255" s="217">
        <v>0</v>
      </c>
      <c r="Q255" s="217">
        <v>0</v>
      </c>
      <c r="R255" s="217" t="s">
        <v>1807</v>
      </c>
    </row>
    <row r="256" spans="1:18" x14ac:dyDescent="0.25">
      <c r="A256" s="217">
        <v>255</v>
      </c>
      <c r="B256" s="217" t="s">
        <v>22</v>
      </c>
      <c r="C256" s="217" t="s">
        <v>23</v>
      </c>
      <c r="D256" s="217" t="s">
        <v>85</v>
      </c>
      <c r="E256" s="217" t="s">
        <v>84</v>
      </c>
      <c r="F256" s="217" t="s">
        <v>151</v>
      </c>
      <c r="G256" s="217" t="s">
        <v>150</v>
      </c>
      <c r="H256" s="217" t="s">
        <v>1103</v>
      </c>
      <c r="I256" s="217" t="s">
        <v>789</v>
      </c>
      <c r="J256" s="217" t="s">
        <v>2706</v>
      </c>
      <c r="K256" s="217" t="s">
        <v>2707</v>
      </c>
      <c r="L256" s="217">
        <v>432</v>
      </c>
      <c r="M256" s="217">
        <v>84</v>
      </c>
      <c r="N256" s="217">
        <v>152</v>
      </c>
      <c r="O256" s="217">
        <v>50</v>
      </c>
      <c r="P256" s="217">
        <v>0</v>
      </c>
      <c r="Q256" s="217">
        <v>0</v>
      </c>
      <c r="R256" s="217" t="s">
        <v>1807</v>
      </c>
    </row>
    <row r="257" spans="1:18" x14ac:dyDescent="0.25">
      <c r="A257" s="217">
        <v>256</v>
      </c>
      <c r="B257" s="217" t="s">
        <v>22</v>
      </c>
      <c r="C257" s="217" t="s">
        <v>23</v>
      </c>
      <c r="D257" s="217" t="s">
        <v>85</v>
      </c>
      <c r="E257" s="217" t="s">
        <v>84</v>
      </c>
      <c r="F257" s="217" t="s">
        <v>151</v>
      </c>
      <c r="G257" s="217" t="s">
        <v>150</v>
      </c>
      <c r="H257" s="217" t="s">
        <v>1105</v>
      </c>
      <c r="I257" s="217" t="s">
        <v>1104</v>
      </c>
      <c r="J257" s="217" t="s">
        <v>2708</v>
      </c>
      <c r="K257" s="217" t="s">
        <v>2709</v>
      </c>
      <c r="L257" s="217">
        <v>656</v>
      </c>
      <c r="M257" s="217">
        <v>82</v>
      </c>
      <c r="N257" s="217">
        <v>212</v>
      </c>
      <c r="O257" s="217">
        <v>25</v>
      </c>
      <c r="P257" s="217">
        <v>0</v>
      </c>
      <c r="Q257" s="217">
        <v>0</v>
      </c>
      <c r="R257" s="217" t="s">
        <v>1807</v>
      </c>
    </row>
    <row r="258" spans="1:18" x14ac:dyDescent="0.25">
      <c r="A258" s="217">
        <v>257</v>
      </c>
      <c r="B258" s="217" t="s">
        <v>22</v>
      </c>
      <c r="C258" s="217" t="s">
        <v>23</v>
      </c>
      <c r="D258" s="217" t="s">
        <v>85</v>
      </c>
      <c r="E258" s="217" t="s">
        <v>84</v>
      </c>
      <c r="F258" s="217" t="s">
        <v>151</v>
      </c>
      <c r="G258" s="217" t="s">
        <v>150</v>
      </c>
      <c r="H258" s="217" t="s">
        <v>1106</v>
      </c>
      <c r="I258" s="217" t="s">
        <v>369</v>
      </c>
      <c r="J258" s="217" t="s">
        <v>2710</v>
      </c>
      <c r="K258" s="217" t="s">
        <v>2711</v>
      </c>
      <c r="L258" s="217">
        <v>1598</v>
      </c>
      <c r="M258" s="217">
        <v>213</v>
      </c>
      <c r="N258" s="217">
        <v>0</v>
      </c>
      <c r="O258" s="217">
        <v>0</v>
      </c>
      <c r="P258" s="217">
        <v>0</v>
      </c>
      <c r="Q258" s="217">
        <v>0</v>
      </c>
      <c r="R258" s="217" t="s">
        <v>1807</v>
      </c>
    </row>
    <row r="259" spans="1:18" x14ac:dyDescent="0.25">
      <c r="A259" s="217">
        <v>258</v>
      </c>
      <c r="B259" s="217" t="s">
        <v>22</v>
      </c>
      <c r="C259" s="217" t="s">
        <v>23</v>
      </c>
      <c r="D259" s="217" t="s">
        <v>85</v>
      </c>
      <c r="E259" s="217" t="s">
        <v>84</v>
      </c>
      <c r="F259" s="217" t="s">
        <v>151</v>
      </c>
      <c r="G259" s="217" t="s">
        <v>150</v>
      </c>
      <c r="H259" s="217" t="s">
        <v>1107</v>
      </c>
      <c r="I259" s="217" t="s">
        <v>790</v>
      </c>
      <c r="J259" s="217" t="s">
        <v>2712</v>
      </c>
      <c r="K259" s="217" t="s">
        <v>2713</v>
      </c>
      <c r="L259" s="217">
        <v>128</v>
      </c>
      <c r="M259" s="217">
        <v>17</v>
      </c>
      <c r="N259" s="217">
        <v>28</v>
      </c>
      <c r="O259" s="217">
        <v>5</v>
      </c>
      <c r="P259" s="217">
        <v>0</v>
      </c>
      <c r="Q259" s="217">
        <v>0</v>
      </c>
      <c r="R259" s="217" t="s">
        <v>1807</v>
      </c>
    </row>
    <row r="260" spans="1:18" x14ac:dyDescent="0.25">
      <c r="A260" s="217">
        <v>259</v>
      </c>
      <c r="B260" s="217" t="s">
        <v>22</v>
      </c>
      <c r="C260" s="217" t="s">
        <v>23</v>
      </c>
      <c r="D260" s="217" t="s">
        <v>85</v>
      </c>
      <c r="E260" s="217" t="s">
        <v>84</v>
      </c>
      <c r="F260" s="217" t="s">
        <v>151</v>
      </c>
      <c r="G260" s="217" t="s">
        <v>150</v>
      </c>
      <c r="H260" s="217" t="s">
        <v>1108</v>
      </c>
      <c r="I260" s="217" t="s">
        <v>370</v>
      </c>
      <c r="J260" s="217" t="s">
        <v>2714</v>
      </c>
      <c r="K260" s="217" t="s">
        <v>2715</v>
      </c>
      <c r="L260" s="217">
        <v>869</v>
      </c>
      <c r="M260" s="217">
        <v>98</v>
      </c>
      <c r="N260" s="217">
        <v>0</v>
      </c>
      <c r="O260" s="217">
        <v>0</v>
      </c>
      <c r="P260" s="217">
        <v>0</v>
      </c>
      <c r="Q260" s="217">
        <v>0</v>
      </c>
      <c r="R260" s="217" t="s">
        <v>1807</v>
      </c>
    </row>
    <row r="261" spans="1:18" x14ac:dyDescent="0.25">
      <c r="A261" s="217">
        <v>260</v>
      </c>
      <c r="B261" s="217" t="s">
        <v>22</v>
      </c>
      <c r="C261" s="217" t="s">
        <v>23</v>
      </c>
      <c r="D261" s="217" t="s">
        <v>85</v>
      </c>
      <c r="E261" s="217" t="s">
        <v>84</v>
      </c>
      <c r="F261" s="217" t="s">
        <v>98</v>
      </c>
      <c r="G261" s="217" t="s">
        <v>97</v>
      </c>
      <c r="H261" s="217" t="s">
        <v>1819</v>
      </c>
      <c r="I261" s="217" t="s">
        <v>1820</v>
      </c>
      <c r="J261" s="217" t="s">
        <v>2716</v>
      </c>
      <c r="K261" s="217" t="s">
        <v>2717</v>
      </c>
      <c r="L261" s="217">
        <v>3630</v>
      </c>
      <c r="M261" s="217">
        <v>395</v>
      </c>
      <c r="N261" s="217">
        <v>0</v>
      </c>
      <c r="O261" s="217">
        <v>0</v>
      </c>
      <c r="P261" s="217">
        <v>0</v>
      </c>
      <c r="Q261" s="217">
        <v>0</v>
      </c>
      <c r="R261" s="217" t="s">
        <v>1807</v>
      </c>
    </row>
    <row r="262" spans="1:18" x14ac:dyDescent="0.25">
      <c r="A262" s="217">
        <v>261</v>
      </c>
      <c r="B262" s="217" t="s">
        <v>22</v>
      </c>
      <c r="C262" s="217" t="s">
        <v>23</v>
      </c>
      <c r="D262" s="217" t="s">
        <v>85</v>
      </c>
      <c r="E262" s="217" t="s">
        <v>84</v>
      </c>
      <c r="F262" s="217" t="s">
        <v>98</v>
      </c>
      <c r="G262" s="217" t="s">
        <v>97</v>
      </c>
      <c r="H262" s="217" t="s">
        <v>1109</v>
      </c>
      <c r="I262" s="217" t="s">
        <v>371</v>
      </c>
      <c r="J262" s="217" t="s">
        <v>2718</v>
      </c>
      <c r="K262" s="217" t="s">
        <v>2719</v>
      </c>
      <c r="L262" s="217">
        <v>86</v>
      </c>
      <c r="M262" s="217">
        <v>17</v>
      </c>
      <c r="N262" s="217">
        <v>0</v>
      </c>
      <c r="O262" s="217">
        <v>0</v>
      </c>
      <c r="P262" s="217">
        <v>0</v>
      </c>
      <c r="Q262" s="217">
        <v>0</v>
      </c>
      <c r="R262" s="217" t="s">
        <v>1807</v>
      </c>
    </row>
    <row r="263" spans="1:18" x14ac:dyDescent="0.25">
      <c r="A263" s="217">
        <v>262</v>
      </c>
      <c r="B263" s="217" t="s">
        <v>22</v>
      </c>
      <c r="C263" s="217" t="s">
        <v>23</v>
      </c>
      <c r="D263" s="217" t="s">
        <v>85</v>
      </c>
      <c r="E263" s="217" t="s">
        <v>84</v>
      </c>
      <c r="F263" s="217" t="s">
        <v>98</v>
      </c>
      <c r="G263" s="217" t="s">
        <v>97</v>
      </c>
      <c r="H263" s="217" t="s">
        <v>1111</v>
      </c>
      <c r="I263" s="217" t="s">
        <v>1110</v>
      </c>
      <c r="J263" s="217" t="s">
        <v>2720</v>
      </c>
      <c r="K263" s="217" t="s">
        <v>2721</v>
      </c>
      <c r="L263" s="217">
        <v>9</v>
      </c>
      <c r="M263" s="217">
        <v>3</v>
      </c>
      <c r="N263" s="217">
        <v>0</v>
      </c>
      <c r="O263" s="217">
        <v>0</v>
      </c>
      <c r="P263" s="217">
        <v>0</v>
      </c>
      <c r="Q263" s="217">
        <v>0</v>
      </c>
      <c r="R263" s="217" t="s">
        <v>1807</v>
      </c>
    </row>
    <row r="264" spans="1:18" x14ac:dyDescent="0.25">
      <c r="A264" s="217">
        <v>263</v>
      </c>
      <c r="B264" s="217" t="s">
        <v>22</v>
      </c>
      <c r="C264" s="217" t="s">
        <v>23</v>
      </c>
      <c r="D264" s="217" t="s">
        <v>85</v>
      </c>
      <c r="E264" s="217" t="s">
        <v>84</v>
      </c>
      <c r="F264" s="217" t="s">
        <v>98</v>
      </c>
      <c r="G264" s="217" t="s">
        <v>97</v>
      </c>
      <c r="H264" s="217" t="s">
        <v>1113</v>
      </c>
      <c r="I264" s="217" t="s">
        <v>1112</v>
      </c>
      <c r="J264" s="217" t="s">
        <v>2722</v>
      </c>
      <c r="K264" s="217" t="s">
        <v>2723</v>
      </c>
      <c r="L264" s="217">
        <v>87</v>
      </c>
      <c r="M264" s="217">
        <v>12</v>
      </c>
      <c r="N264" s="217">
        <v>0</v>
      </c>
      <c r="O264" s="217">
        <v>0</v>
      </c>
      <c r="P264" s="217">
        <v>0</v>
      </c>
      <c r="Q264" s="217">
        <v>0</v>
      </c>
      <c r="R264" s="217" t="s">
        <v>1807</v>
      </c>
    </row>
    <row r="265" spans="1:18" x14ac:dyDescent="0.25">
      <c r="A265" s="217">
        <v>264</v>
      </c>
      <c r="B265" s="217" t="s">
        <v>22</v>
      </c>
      <c r="C265" s="217" t="s">
        <v>23</v>
      </c>
      <c r="D265" s="217" t="s">
        <v>85</v>
      </c>
      <c r="E265" s="217" t="s">
        <v>84</v>
      </c>
      <c r="F265" s="217" t="s">
        <v>98</v>
      </c>
      <c r="G265" s="217" t="s">
        <v>97</v>
      </c>
      <c r="H265" s="217" t="s">
        <v>1115</v>
      </c>
      <c r="I265" s="217" t="s">
        <v>1114</v>
      </c>
      <c r="J265" s="217" t="s">
        <v>2724</v>
      </c>
      <c r="K265" s="217" t="s">
        <v>2725</v>
      </c>
      <c r="L265" s="217">
        <v>50</v>
      </c>
      <c r="M265" s="217">
        <v>10</v>
      </c>
      <c r="N265" s="217">
        <v>0</v>
      </c>
      <c r="O265" s="217">
        <v>0</v>
      </c>
      <c r="P265" s="217">
        <v>0</v>
      </c>
      <c r="Q265" s="217">
        <v>0</v>
      </c>
      <c r="R265" s="217" t="s">
        <v>1807</v>
      </c>
    </row>
    <row r="266" spans="1:18" x14ac:dyDescent="0.25">
      <c r="A266" s="217">
        <v>265</v>
      </c>
      <c r="B266" s="217" t="s">
        <v>22</v>
      </c>
      <c r="C266" s="217" t="s">
        <v>23</v>
      </c>
      <c r="D266" s="217" t="s">
        <v>85</v>
      </c>
      <c r="E266" s="217" t="s">
        <v>84</v>
      </c>
      <c r="F266" s="217" t="s">
        <v>98</v>
      </c>
      <c r="G266" s="217" t="s">
        <v>97</v>
      </c>
      <c r="H266" s="217" t="s">
        <v>1116</v>
      </c>
      <c r="I266" s="217" t="s">
        <v>372</v>
      </c>
      <c r="J266" s="217" t="s">
        <v>2726</v>
      </c>
      <c r="K266" s="217" t="s">
        <v>2727</v>
      </c>
      <c r="L266" s="217">
        <v>60</v>
      </c>
      <c r="M266" s="217">
        <v>10</v>
      </c>
      <c r="N266" s="217">
        <v>40</v>
      </c>
      <c r="O266" s="217">
        <v>7</v>
      </c>
      <c r="P266" s="217">
        <v>0</v>
      </c>
      <c r="Q266" s="217">
        <v>0</v>
      </c>
      <c r="R266" s="217" t="s">
        <v>1807</v>
      </c>
    </row>
    <row r="267" spans="1:18" x14ac:dyDescent="0.25">
      <c r="A267" s="217">
        <v>266</v>
      </c>
      <c r="B267" s="217" t="s">
        <v>22</v>
      </c>
      <c r="C267" s="217" t="s">
        <v>23</v>
      </c>
      <c r="D267" s="217" t="s">
        <v>85</v>
      </c>
      <c r="E267" s="217" t="s">
        <v>84</v>
      </c>
      <c r="F267" s="217" t="s">
        <v>98</v>
      </c>
      <c r="G267" s="217" t="s">
        <v>97</v>
      </c>
      <c r="H267" s="217" t="s">
        <v>1678</v>
      </c>
      <c r="I267" s="217" t="s">
        <v>817</v>
      </c>
      <c r="J267" s="217" t="s">
        <v>2728</v>
      </c>
      <c r="K267" s="217" t="s">
        <v>2729</v>
      </c>
      <c r="L267" s="217">
        <v>0</v>
      </c>
      <c r="M267" s="217">
        <v>0</v>
      </c>
      <c r="N267" s="217">
        <v>0</v>
      </c>
      <c r="O267" s="217">
        <v>0</v>
      </c>
      <c r="P267" s="217">
        <v>0</v>
      </c>
      <c r="Q267" s="217">
        <v>0</v>
      </c>
      <c r="R267" s="217" t="s">
        <v>1807</v>
      </c>
    </row>
    <row r="268" spans="1:18" x14ac:dyDescent="0.25">
      <c r="A268" s="217">
        <v>267</v>
      </c>
      <c r="B268" s="217" t="s">
        <v>22</v>
      </c>
      <c r="C268" s="217" t="s">
        <v>23</v>
      </c>
      <c r="D268" s="217" t="s">
        <v>85</v>
      </c>
      <c r="E268" s="217" t="s">
        <v>84</v>
      </c>
      <c r="F268" s="217" t="s">
        <v>98</v>
      </c>
      <c r="G268" s="217" t="s">
        <v>97</v>
      </c>
      <c r="H268" s="217" t="s">
        <v>1503</v>
      </c>
      <c r="I268" s="217" t="s">
        <v>623</v>
      </c>
      <c r="J268" s="217" t="s">
        <v>2730</v>
      </c>
      <c r="K268" s="217" t="s">
        <v>2731</v>
      </c>
      <c r="L268" s="217">
        <v>0</v>
      </c>
      <c r="M268" s="217">
        <v>0</v>
      </c>
      <c r="N268" s="217">
        <v>0</v>
      </c>
      <c r="O268" s="217">
        <v>0</v>
      </c>
      <c r="P268" s="217">
        <v>0</v>
      </c>
      <c r="Q268" s="217">
        <v>0</v>
      </c>
      <c r="R268" s="217" t="s">
        <v>1807</v>
      </c>
    </row>
    <row r="269" spans="1:18" x14ac:dyDescent="0.25">
      <c r="A269" s="217">
        <v>268</v>
      </c>
      <c r="B269" s="217" t="s">
        <v>22</v>
      </c>
      <c r="C269" s="217" t="s">
        <v>23</v>
      </c>
      <c r="D269" s="217" t="s">
        <v>85</v>
      </c>
      <c r="E269" s="217" t="s">
        <v>84</v>
      </c>
      <c r="F269" s="217" t="s">
        <v>98</v>
      </c>
      <c r="G269" s="217" t="s">
        <v>97</v>
      </c>
      <c r="H269" s="217" t="s">
        <v>1117</v>
      </c>
      <c r="I269" s="217" t="s">
        <v>153</v>
      </c>
      <c r="J269" s="217" t="s">
        <v>2732</v>
      </c>
      <c r="K269" s="217" t="s">
        <v>2733</v>
      </c>
      <c r="L269" s="217">
        <v>8314</v>
      </c>
      <c r="M269" s="217">
        <v>978</v>
      </c>
      <c r="N269" s="217">
        <v>442</v>
      </c>
      <c r="O269" s="217">
        <v>52</v>
      </c>
      <c r="P269" s="217">
        <v>6367</v>
      </c>
      <c r="Q269" s="217">
        <v>749</v>
      </c>
      <c r="R269" s="217" t="s">
        <v>1807</v>
      </c>
    </row>
    <row r="270" spans="1:18" x14ac:dyDescent="0.25">
      <c r="A270" s="217">
        <v>269</v>
      </c>
      <c r="B270" s="217" t="s">
        <v>22</v>
      </c>
      <c r="C270" s="217" t="s">
        <v>23</v>
      </c>
      <c r="D270" s="217" t="s">
        <v>85</v>
      </c>
      <c r="E270" s="217" t="s">
        <v>84</v>
      </c>
      <c r="F270" s="217" t="s">
        <v>98</v>
      </c>
      <c r="G270" s="217" t="s">
        <v>97</v>
      </c>
      <c r="H270" s="217" t="s">
        <v>1118</v>
      </c>
      <c r="I270" s="217" t="s">
        <v>373</v>
      </c>
      <c r="J270" s="217" t="s">
        <v>2734</v>
      </c>
      <c r="K270" s="217" t="s">
        <v>2735</v>
      </c>
      <c r="L270" s="217">
        <v>3202</v>
      </c>
      <c r="M270" s="217">
        <v>376</v>
      </c>
      <c r="N270" s="217">
        <v>3240</v>
      </c>
      <c r="O270" s="217">
        <v>381</v>
      </c>
      <c r="P270" s="217">
        <v>0</v>
      </c>
      <c r="Q270" s="217">
        <v>0</v>
      </c>
      <c r="R270" s="217" t="s">
        <v>1807</v>
      </c>
    </row>
    <row r="271" spans="1:18" x14ac:dyDescent="0.25">
      <c r="A271" s="217">
        <v>270</v>
      </c>
      <c r="B271" s="217" t="s">
        <v>22</v>
      </c>
      <c r="C271" s="217" t="s">
        <v>23</v>
      </c>
      <c r="D271" s="217" t="s">
        <v>85</v>
      </c>
      <c r="E271" s="217" t="s">
        <v>84</v>
      </c>
      <c r="F271" s="217" t="s">
        <v>98</v>
      </c>
      <c r="G271" s="217" t="s">
        <v>97</v>
      </c>
      <c r="H271" s="217" t="s">
        <v>1504</v>
      </c>
      <c r="I271" s="217" t="s">
        <v>803</v>
      </c>
      <c r="J271" s="217" t="s">
        <v>2736</v>
      </c>
      <c r="K271" s="217" t="s">
        <v>2737</v>
      </c>
      <c r="L271" s="217">
        <v>0</v>
      </c>
      <c r="M271" s="217">
        <v>0</v>
      </c>
      <c r="N271" s="217">
        <v>118</v>
      </c>
      <c r="O271" s="217">
        <v>20</v>
      </c>
      <c r="P271" s="217">
        <v>0</v>
      </c>
      <c r="Q271" s="217">
        <v>0</v>
      </c>
      <c r="R271" s="217" t="s">
        <v>1807</v>
      </c>
    </row>
    <row r="272" spans="1:18" x14ac:dyDescent="0.25">
      <c r="A272" s="217">
        <v>271</v>
      </c>
      <c r="B272" s="217" t="s">
        <v>22</v>
      </c>
      <c r="C272" s="217" t="s">
        <v>23</v>
      </c>
      <c r="D272" s="217" t="s">
        <v>85</v>
      </c>
      <c r="E272" s="217" t="s">
        <v>84</v>
      </c>
      <c r="F272" s="217" t="s">
        <v>98</v>
      </c>
      <c r="G272" s="217" t="s">
        <v>97</v>
      </c>
      <c r="H272" s="217" t="s">
        <v>1505</v>
      </c>
      <c r="I272" s="217" t="s">
        <v>799</v>
      </c>
      <c r="J272" s="217" t="s">
        <v>2738</v>
      </c>
      <c r="K272" s="217" t="s">
        <v>2739</v>
      </c>
      <c r="L272" s="217">
        <v>0</v>
      </c>
      <c r="M272" s="217">
        <v>0</v>
      </c>
      <c r="N272" s="217">
        <v>70</v>
      </c>
      <c r="O272" s="217">
        <v>13</v>
      </c>
      <c r="P272" s="217">
        <v>0</v>
      </c>
      <c r="Q272" s="217">
        <v>0</v>
      </c>
      <c r="R272" s="217" t="s">
        <v>1807</v>
      </c>
    </row>
    <row r="273" spans="1:18" x14ac:dyDescent="0.25">
      <c r="A273" s="217">
        <v>272</v>
      </c>
      <c r="B273" s="217" t="s">
        <v>22</v>
      </c>
      <c r="C273" s="217" t="s">
        <v>23</v>
      </c>
      <c r="D273" s="217" t="s">
        <v>85</v>
      </c>
      <c r="E273" s="217" t="s">
        <v>84</v>
      </c>
      <c r="F273" s="217" t="s">
        <v>98</v>
      </c>
      <c r="G273" s="217" t="s">
        <v>97</v>
      </c>
      <c r="H273" s="217" t="s">
        <v>1120</v>
      </c>
      <c r="I273" s="217" t="s">
        <v>1119</v>
      </c>
      <c r="J273" s="217" t="s">
        <v>2740</v>
      </c>
      <c r="K273" s="217" t="s">
        <v>2741</v>
      </c>
      <c r="L273" s="217">
        <v>87</v>
      </c>
      <c r="M273" s="217">
        <v>13</v>
      </c>
      <c r="N273" s="217">
        <v>0</v>
      </c>
      <c r="O273" s="217">
        <v>0</v>
      </c>
      <c r="P273" s="217">
        <v>0</v>
      </c>
      <c r="Q273" s="217">
        <v>0</v>
      </c>
      <c r="R273" s="217" t="s">
        <v>1807</v>
      </c>
    </row>
    <row r="274" spans="1:18" x14ac:dyDescent="0.25">
      <c r="A274" s="217">
        <v>273</v>
      </c>
      <c r="B274" s="217" t="s">
        <v>22</v>
      </c>
      <c r="C274" s="217" t="s">
        <v>23</v>
      </c>
      <c r="D274" s="217" t="s">
        <v>85</v>
      </c>
      <c r="E274" s="217" t="s">
        <v>84</v>
      </c>
      <c r="F274" s="217" t="s">
        <v>98</v>
      </c>
      <c r="G274" s="217" t="s">
        <v>97</v>
      </c>
      <c r="H274" s="217" t="s">
        <v>1677</v>
      </c>
      <c r="I274" s="217" t="s">
        <v>694</v>
      </c>
      <c r="J274" s="217" t="s">
        <v>2742</v>
      </c>
      <c r="K274" s="217" t="s">
        <v>2743</v>
      </c>
      <c r="L274" s="217">
        <v>0</v>
      </c>
      <c r="M274" s="217">
        <v>0</v>
      </c>
      <c r="N274" s="217">
        <v>0</v>
      </c>
      <c r="O274" s="217">
        <v>0</v>
      </c>
      <c r="P274" s="217">
        <v>0</v>
      </c>
      <c r="Q274" s="217">
        <v>0</v>
      </c>
      <c r="R274" s="217" t="s">
        <v>1807</v>
      </c>
    </row>
    <row r="275" spans="1:18" x14ac:dyDescent="0.25">
      <c r="A275" s="217">
        <v>274</v>
      </c>
      <c r="B275" s="217" t="s">
        <v>22</v>
      </c>
      <c r="C275" s="217" t="s">
        <v>23</v>
      </c>
      <c r="D275" s="217" t="s">
        <v>85</v>
      </c>
      <c r="E275" s="217" t="s">
        <v>84</v>
      </c>
      <c r="F275" s="217" t="s">
        <v>98</v>
      </c>
      <c r="G275" s="217" t="s">
        <v>97</v>
      </c>
      <c r="H275" s="217" t="s">
        <v>1121</v>
      </c>
      <c r="I275" s="217" t="s">
        <v>374</v>
      </c>
      <c r="J275" s="217" t="s">
        <v>2744</v>
      </c>
      <c r="K275" s="217" t="s">
        <v>2745</v>
      </c>
      <c r="L275" s="217">
        <v>139</v>
      </c>
      <c r="M275" s="217">
        <v>36</v>
      </c>
      <c r="N275" s="217">
        <v>0</v>
      </c>
      <c r="O275" s="217">
        <v>0</v>
      </c>
      <c r="P275" s="217">
        <v>32</v>
      </c>
      <c r="Q275" s="217">
        <v>6</v>
      </c>
      <c r="R275" s="217" t="s">
        <v>1807</v>
      </c>
    </row>
    <row r="276" spans="1:18" x14ac:dyDescent="0.25">
      <c r="A276" s="217">
        <v>275</v>
      </c>
      <c r="B276" s="217" t="s">
        <v>22</v>
      </c>
      <c r="C276" s="217" t="s">
        <v>23</v>
      </c>
      <c r="D276" s="217" t="s">
        <v>85</v>
      </c>
      <c r="E276" s="217" t="s">
        <v>84</v>
      </c>
      <c r="F276" s="217" t="s">
        <v>98</v>
      </c>
      <c r="G276" s="217" t="s">
        <v>97</v>
      </c>
      <c r="H276" s="217" t="s">
        <v>1122</v>
      </c>
      <c r="I276" s="217" t="s">
        <v>375</v>
      </c>
      <c r="J276" s="217" t="s">
        <v>2746</v>
      </c>
      <c r="K276" s="217" t="s">
        <v>2747</v>
      </c>
      <c r="L276" s="217">
        <v>36</v>
      </c>
      <c r="M276" s="217">
        <v>8</v>
      </c>
      <c r="N276" s="217">
        <v>0</v>
      </c>
      <c r="O276" s="217">
        <v>0</v>
      </c>
      <c r="P276" s="217">
        <v>0</v>
      </c>
      <c r="Q276" s="217">
        <v>0</v>
      </c>
      <c r="R276" s="217" t="s">
        <v>1807</v>
      </c>
    </row>
    <row r="277" spans="1:18" x14ac:dyDescent="0.25">
      <c r="A277" s="217">
        <v>276</v>
      </c>
      <c r="B277" s="217" t="s">
        <v>22</v>
      </c>
      <c r="C277" s="217" t="s">
        <v>23</v>
      </c>
      <c r="D277" s="217" t="s">
        <v>85</v>
      </c>
      <c r="E277" s="217" t="s">
        <v>84</v>
      </c>
      <c r="F277" s="217" t="s">
        <v>98</v>
      </c>
      <c r="G277" s="217" t="s">
        <v>97</v>
      </c>
      <c r="H277" s="217" t="s">
        <v>1123</v>
      </c>
      <c r="I277" s="217" t="s">
        <v>376</v>
      </c>
      <c r="J277" s="217" t="s">
        <v>2748</v>
      </c>
      <c r="K277" s="217" t="s">
        <v>2749</v>
      </c>
      <c r="L277" s="217">
        <v>392</v>
      </c>
      <c r="M277" s="217">
        <v>46</v>
      </c>
      <c r="N277" s="217">
        <v>0</v>
      </c>
      <c r="O277" s="217">
        <v>0</v>
      </c>
      <c r="P277" s="217">
        <v>0</v>
      </c>
      <c r="Q277" s="217">
        <v>0</v>
      </c>
      <c r="R277" s="217" t="s">
        <v>1807</v>
      </c>
    </row>
    <row r="278" spans="1:18" x14ac:dyDescent="0.25">
      <c r="A278" s="217">
        <v>277</v>
      </c>
      <c r="B278" s="217" t="s">
        <v>22</v>
      </c>
      <c r="C278" s="217" t="s">
        <v>23</v>
      </c>
      <c r="D278" s="217" t="s">
        <v>85</v>
      </c>
      <c r="E278" s="217" t="s">
        <v>84</v>
      </c>
      <c r="F278" s="217" t="s">
        <v>98</v>
      </c>
      <c r="G278" s="217" t="s">
        <v>97</v>
      </c>
      <c r="H278" s="217" t="s">
        <v>1124</v>
      </c>
      <c r="I278" s="217" t="s">
        <v>377</v>
      </c>
      <c r="J278" s="217" t="s">
        <v>2750</v>
      </c>
      <c r="K278" s="217" t="s">
        <v>2751</v>
      </c>
      <c r="L278" s="217">
        <v>35</v>
      </c>
      <c r="M278" s="217">
        <v>7</v>
      </c>
      <c r="N278" s="217">
        <v>0</v>
      </c>
      <c r="O278" s="217">
        <v>0</v>
      </c>
      <c r="P278" s="217">
        <v>0</v>
      </c>
      <c r="Q278" s="217">
        <v>0</v>
      </c>
      <c r="R278" s="217" t="s">
        <v>1807</v>
      </c>
    </row>
    <row r="279" spans="1:18" x14ac:dyDescent="0.25">
      <c r="A279" s="217">
        <v>278</v>
      </c>
      <c r="B279" s="217" t="s">
        <v>22</v>
      </c>
      <c r="C279" s="217" t="s">
        <v>23</v>
      </c>
      <c r="D279" s="217" t="s">
        <v>85</v>
      </c>
      <c r="E279" s="217" t="s">
        <v>84</v>
      </c>
      <c r="F279" s="217" t="s">
        <v>98</v>
      </c>
      <c r="G279" s="217" t="s">
        <v>97</v>
      </c>
      <c r="H279" s="217" t="s">
        <v>1126</v>
      </c>
      <c r="I279" s="217" t="s">
        <v>1125</v>
      </c>
      <c r="J279" s="217" t="s">
        <v>2752</v>
      </c>
      <c r="K279" s="217" t="s">
        <v>2753</v>
      </c>
      <c r="L279" s="217">
        <v>90</v>
      </c>
      <c r="M279" s="217">
        <v>11</v>
      </c>
      <c r="N279" s="217">
        <v>0</v>
      </c>
      <c r="O279" s="217">
        <v>0</v>
      </c>
      <c r="P279" s="217">
        <v>0</v>
      </c>
      <c r="Q279" s="217">
        <v>0</v>
      </c>
      <c r="R279" s="217" t="s">
        <v>1807</v>
      </c>
    </row>
    <row r="280" spans="1:18" x14ac:dyDescent="0.25">
      <c r="A280" s="217">
        <v>279</v>
      </c>
      <c r="B280" s="217" t="s">
        <v>22</v>
      </c>
      <c r="C280" s="217" t="s">
        <v>23</v>
      </c>
      <c r="D280" s="217" t="s">
        <v>85</v>
      </c>
      <c r="E280" s="217" t="s">
        <v>84</v>
      </c>
      <c r="F280" s="217" t="s">
        <v>98</v>
      </c>
      <c r="G280" s="217" t="s">
        <v>97</v>
      </c>
      <c r="H280" s="217" t="s">
        <v>1128</v>
      </c>
      <c r="I280" s="217" t="s">
        <v>1127</v>
      </c>
      <c r="J280" s="217" t="s">
        <v>2754</v>
      </c>
      <c r="K280" s="217" t="s">
        <v>2755</v>
      </c>
      <c r="L280" s="217">
        <v>32</v>
      </c>
      <c r="M280" s="217">
        <v>7</v>
      </c>
      <c r="N280" s="217">
        <v>0</v>
      </c>
      <c r="O280" s="217">
        <v>0</v>
      </c>
      <c r="P280" s="217">
        <v>0</v>
      </c>
      <c r="Q280" s="217">
        <v>0</v>
      </c>
      <c r="R280" s="217" t="s">
        <v>1807</v>
      </c>
    </row>
    <row r="281" spans="1:18" x14ac:dyDescent="0.25">
      <c r="A281" s="217">
        <v>280</v>
      </c>
      <c r="B281" s="217" t="s">
        <v>22</v>
      </c>
      <c r="C281" s="217" t="s">
        <v>23</v>
      </c>
      <c r="D281" s="217" t="s">
        <v>85</v>
      </c>
      <c r="E281" s="217" t="s">
        <v>84</v>
      </c>
      <c r="F281" s="217" t="s">
        <v>98</v>
      </c>
      <c r="G281" s="217" t="s">
        <v>97</v>
      </c>
      <c r="H281" s="217" t="s">
        <v>1130</v>
      </c>
      <c r="I281" s="217" t="s">
        <v>1129</v>
      </c>
      <c r="J281" s="217" t="s">
        <v>2756</v>
      </c>
      <c r="K281" s="217" t="s">
        <v>2757</v>
      </c>
      <c r="L281" s="217">
        <v>85</v>
      </c>
      <c r="M281" s="217">
        <v>10</v>
      </c>
      <c r="N281" s="217">
        <v>0</v>
      </c>
      <c r="O281" s="217">
        <v>0</v>
      </c>
      <c r="P281" s="217">
        <v>0</v>
      </c>
      <c r="Q281" s="217">
        <v>0</v>
      </c>
      <c r="R281" s="217" t="s">
        <v>1807</v>
      </c>
    </row>
    <row r="282" spans="1:18" x14ac:dyDescent="0.25">
      <c r="A282" s="217">
        <v>281</v>
      </c>
      <c r="B282" s="217" t="s">
        <v>22</v>
      </c>
      <c r="C282" s="217" t="s">
        <v>23</v>
      </c>
      <c r="D282" s="217" t="s">
        <v>85</v>
      </c>
      <c r="E282" s="217" t="s">
        <v>84</v>
      </c>
      <c r="F282" s="217" t="s">
        <v>98</v>
      </c>
      <c r="G282" s="217" t="s">
        <v>97</v>
      </c>
      <c r="H282" s="217" t="s">
        <v>1506</v>
      </c>
      <c r="I282" s="217" t="s">
        <v>810</v>
      </c>
      <c r="J282" s="217" t="s">
        <v>2758</v>
      </c>
      <c r="K282" s="217" t="s">
        <v>2759</v>
      </c>
      <c r="L282" s="217">
        <v>0</v>
      </c>
      <c r="M282" s="217">
        <v>0</v>
      </c>
      <c r="N282" s="217">
        <v>170</v>
      </c>
      <c r="O282" s="217">
        <v>20</v>
      </c>
      <c r="P282" s="217">
        <v>0</v>
      </c>
      <c r="Q282" s="217">
        <v>0</v>
      </c>
      <c r="R282" s="217" t="s">
        <v>1807</v>
      </c>
    </row>
    <row r="283" spans="1:18" x14ac:dyDescent="0.25">
      <c r="A283" s="217">
        <v>282</v>
      </c>
      <c r="B283" s="217" t="s">
        <v>22</v>
      </c>
      <c r="C283" s="217" t="s">
        <v>23</v>
      </c>
      <c r="D283" s="217" t="s">
        <v>85</v>
      </c>
      <c r="E283" s="217" t="s">
        <v>84</v>
      </c>
      <c r="F283" s="217" t="s">
        <v>98</v>
      </c>
      <c r="G283" s="217" t="s">
        <v>97</v>
      </c>
      <c r="H283" s="217" t="s">
        <v>1132</v>
      </c>
      <c r="I283" s="217" t="s">
        <v>1131</v>
      </c>
      <c r="J283" s="217" t="s">
        <v>2760</v>
      </c>
      <c r="K283" s="217" t="s">
        <v>2761</v>
      </c>
      <c r="L283" s="217">
        <v>45</v>
      </c>
      <c r="M283" s="217">
        <v>10</v>
      </c>
      <c r="N283" s="217">
        <v>0</v>
      </c>
      <c r="O283" s="217">
        <v>0</v>
      </c>
      <c r="P283" s="217">
        <v>0</v>
      </c>
      <c r="Q283" s="217">
        <v>0</v>
      </c>
      <c r="R283" s="217" t="s">
        <v>1807</v>
      </c>
    </row>
    <row r="284" spans="1:18" x14ac:dyDescent="0.25">
      <c r="A284" s="217">
        <v>283</v>
      </c>
      <c r="B284" s="217" t="s">
        <v>22</v>
      </c>
      <c r="C284" s="217" t="s">
        <v>23</v>
      </c>
      <c r="D284" s="217" t="s">
        <v>85</v>
      </c>
      <c r="E284" s="217" t="s">
        <v>84</v>
      </c>
      <c r="F284" s="217" t="s">
        <v>98</v>
      </c>
      <c r="G284" s="217" t="s">
        <v>97</v>
      </c>
      <c r="H284" s="217" t="s">
        <v>1133</v>
      </c>
      <c r="I284" s="217" t="s">
        <v>378</v>
      </c>
      <c r="J284" s="217" t="s">
        <v>2762</v>
      </c>
      <c r="K284" s="217" t="s">
        <v>2763</v>
      </c>
      <c r="L284" s="217">
        <v>60</v>
      </c>
      <c r="M284" s="217">
        <v>10</v>
      </c>
      <c r="N284" s="217">
        <v>40</v>
      </c>
      <c r="O284" s="217">
        <v>6</v>
      </c>
      <c r="P284" s="217">
        <v>0</v>
      </c>
      <c r="Q284" s="217">
        <v>0</v>
      </c>
      <c r="R284" s="217" t="s">
        <v>1807</v>
      </c>
    </row>
    <row r="285" spans="1:18" x14ac:dyDescent="0.25">
      <c r="A285" s="217">
        <v>284</v>
      </c>
      <c r="B285" s="217" t="s">
        <v>22</v>
      </c>
      <c r="C285" s="217" t="s">
        <v>23</v>
      </c>
      <c r="D285" s="217" t="s">
        <v>85</v>
      </c>
      <c r="E285" s="217" t="s">
        <v>84</v>
      </c>
      <c r="F285" s="217" t="s">
        <v>98</v>
      </c>
      <c r="G285" s="217" t="s">
        <v>97</v>
      </c>
      <c r="H285" s="217" t="s">
        <v>1134</v>
      </c>
      <c r="I285" s="217" t="s">
        <v>819</v>
      </c>
      <c r="J285" s="217" t="s">
        <v>2764</v>
      </c>
      <c r="K285" s="217" t="s">
        <v>2765</v>
      </c>
      <c r="L285" s="217">
        <v>15</v>
      </c>
      <c r="M285" s="217">
        <v>3</v>
      </c>
      <c r="N285" s="217">
        <v>25</v>
      </c>
      <c r="O285" s="217">
        <v>4</v>
      </c>
      <c r="P285" s="217">
        <v>0</v>
      </c>
      <c r="Q285" s="217">
        <v>0</v>
      </c>
      <c r="R285" s="217" t="s">
        <v>1807</v>
      </c>
    </row>
    <row r="286" spans="1:18" x14ac:dyDescent="0.25">
      <c r="A286" s="217">
        <v>285</v>
      </c>
      <c r="B286" s="217" t="s">
        <v>22</v>
      </c>
      <c r="C286" s="217" t="s">
        <v>23</v>
      </c>
      <c r="D286" s="217" t="s">
        <v>85</v>
      </c>
      <c r="E286" s="217" t="s">
        <v>84</v>
      </c>
      <c r="F286" s="217" t="s">
        <v>98</v>
      </c>
      <c r="G286" s="217" t="s">
        <v>97</v>
      </c>
      <c r="H286" s="217" t="s">
        <v>1135</v>
      </c>
      <c r="I286" s="217" t="s">
        <v>795</v>
      </c>
      <c r="J286" s="217" t="s">
        <v>2766</v>
      </c>
      <c r="K286" s="217" t="s">
        <v>2767</v>
      </c>
      <c r="L286" s="217">
        <v>18</v>
      </c>
      <c r="M286" s="217">
        <v>4</v>
      </c>
      <c r="N286" s="217">
        <v>18</v>
      </c>
      <c r="O286" s="217">
        <v>4</v>
      </c>
      <c r="P286" s="217">
        <v>0</v>
      </c>
      <c r="Q286" s="217">
        <v>0</v>
      </c>
      <c r="R286" s="217" t="s">
        <v>1807</v>
      </c>
    </row>
    <row r="287" spans="1:18" x14ac:dyDescent="0.25">
      <c r="A287" s="217">
        <v>286</v>
      </c>
      <c r="B287" s="217" t="s">
        <v>22</v>
      </c>
      <c r="C287" s="217" t="s">
        <v>23</v>
      </c>
      <c r="D287" s="217" t="s">
        <v>85</v>
      </c>
      <c r="E287" s="217" t="s">
        <v>84</v>
      </c>
      <c r="F287" s="217" t="s">
        <v>98</v>
      </c>
      <c r="G287" s="217" t="s">
        <v>97</v>
      </c>
      <c r="H287" s="217" t="s">
        <v>1136</v>
      </c>
      <c r="I287" s="217" t="s">
        <v>295</v>
      </c>
      <c r="J287" s="217" t="s">
        <v>2768</v>
      </c>
      <c r="K287" s="217" t="s">
        <v>2769</v>
      </c>
      <c r="L287" s="217">
        <v>87</v>
      </c>
      <c r="M287" s="217">
        <v>13</v>
      </c>
      <c r="N287" s="217">
        <v>0</v>
      </c>
      <c r="O287" s="217">
        <v>0</v>
      </c>
      <c r="P287" s="217">
        <v>0</v>
      </c>
      <c r="Q287" s="217">
        <v>0</v>
      </c>
      <c r="R287" s="217" t="s">
        <v>1807</v>
      </c>
    </row>
    <row r="288" spans="1:18" x14ac:dyDescent="0.25">
      <c r="A288" s="217">
        <v>287</v>
      </c>
      <c r="B288" s="217" t="s">
        <v>22</v>
      </c>
      <c r="C288" s="217" t="s">
        <v>23</v>
      </c>
      <c r="D288" s="217" t="s">
        <v>85</v>
      </c>
      <c r="E288" s="217" t="s">
        <v>84</v>
      </c>
      <c r="F288" s="217" t="s">
        <v>98</v>
      </c>
      <c r="G288" s="217" t="s">
        <v>97</v>
      </c>
      <c r="H288" s="217" t="s">
        <v>1137</v>
      </c>
      <c r="I288" s="217" t="s">
        <v>379</v>
      </c>
      <c r="J288" s="217" t="s">
        <v>2770</v>
      </c>
      <c r="K288" s="217" t="s">
        <v>2771</v>
      </c>
      <c r="L288" s="217">
        <v>37</v>
      </c>
      <c r="M288" s="217">
        <v>7</v>
      </c>
      <c r="N288" s="217">
        <v>0</v>
      </c>
      <c r="O288" s="217">
        <v>0</v>
      </c>
      <c r="P288" s="217">
        <v>0</v>
      </c>
      <c r="Q288" s="217">
        <v>0</v>
      </c>
      <c r="R288" s="217" t="s">
        <v>1807</v>
      </c>
    </row>
    <row r="289" spans="1:18" x14ac:dyDescent="0.25">
      <c r="A289" s="217">
        <v>288</v>
      </c>
      <c r="B289" s="217" t="s">
        <v>22</v>
      </c>
      <c r="C289" s="217" t="s">
        <v>23</v>
      </c>
      <c r="D289" s="217" t="s">
        <v>85</v>
      </c>
      <c r="E289" s="217" t="s">
        <v>84</v>
      </c>
      <c r="F289" s="217" t="s">
        <v>98</v>
      </c>
      <c r="G289" s="217" t="s">
        <v>97</v>
      </c>
      <c r="H289" s="217" t="s">
        <v>1138</v>
      </c>
      <c r="I289" s="217" t="s">
        <v>380</v>
      </c>
      <c r="J289" s="217" t="s">
        <v>2772</v>
      </c>
      <c r="K289" s="217" t="s">
        <v>2773</v>
      </c>
      <c r="L289" s="217">
        <v>34</v>
      </c>
      <c r="M289" s="217">
        <v>6</v>
      </c>
      <c r="N289" s="217">
        <v>0</v>
      </c>
      <c r="O289" s="217">
        <v>0</v>
      </c>
      <c r="P289" s="217">
        <v>0</v>
      </c>
      <c r="Q289" s="217">
        <v>0</v>
      </c>
      <c r="R289" s="217" t="s">
        <v>1807</v>
      </c>
    </row>
    <row r="290" spans="1:18" x14ac:dyDescent="0.25">
      <c r="A290" s="217">
        <v>289</v>
      </c>
      <c r="B290" s="217" t="s">
        <v>22</v>
      </c>
      <c r="C290" s="217" t="s">
        <v>23</v>
      </c>
      <c r="D290" s="217" t="s">
        <v>85</v>
      </c>
      <c r="E290" s="217" t="s">
        <v>84</v>
      </c>
      <c r="F290" s="217" t="s">
        <v>98</v>
      </c>
      <c r="G290" s="217" t="s">
        <v>97</v>
      </c>
      <c r="H290" s="217" t="s">
        <v>1139</v>
      </c>
      <c r="I290" s="217" t="s">
        <v>381</v>
      </c>
      <c r="J290" s="217" t="s">
        <v>2774</v>
      </c>
      <c r="K290" s="217" t="s">
        <v>2775</v>
      </c>
      <c r="L290" s="217">
        <v>52</v>
      </c>
      <c r="M290" s="217">
        <v>7</v>
      </c>
      <c r="N290" s="217">
        <v>0</v>
      </c>
      <c r="O290" s="217">
        <v>0</v>
      </c>
      <c r="P290" s="217">
        <v>0</v>
      </c>
      <c r="Q290" s="217">
        <v>0</v>
      </c>
      <c r="R290" s="217" t="s">
        <v>1807</v>
      </c>
    </row>
    <row r="291" spans="1:18" x14ac:dyDescent="0.25">
      <c r="A291" s="217">
        <v>290</v>
      </c>
      <c r="B291" s="217" t="s">
        <v>22</v>
      </c>
      <c r="C291" s="217" t="s">
        <v>23</v>
      </c>
      <c r="D291" s="217" t="s">
        <v>85</v>
      </c>
      <c r="E291" s="217" t="s">
        <v>84</v>
      </c>
      <c r="F291" s="217" t="s">
        <v>98</v>
      </c>
      <c r="G291" s="217" t="s">
        <v>97</v>
      </c>
      <c r="H291" s="217" t="s">
        <v>1140</v>
      </c>
      <c r="I291" s="217" t="s">
        <v>382</v>
      </c>
      <c r="J291" s="217" t="s">
        <v>2776</v>
      </c>
      <c r="K291" s="217" t="s">
        <v>2777</v>
      </c>
      <c r="L291" s="217">
        <v>19</v>
      </c>
      <c r="M291" s="217">
        <v>4</v>
      </c>
      <c r="N291" s="217">
        <v>41</v>
      </c>
      <c r="O291" s="217">
        <v>9</v>
      </c>
      <c r="P291" s="217">
        <v>0</v>
      </c>
      <c r="Q291" s="217">
        <v>0</v>
      </c>
      <c r="R291" s="217" t="s">
        <v>1807</v>
      </c>
    </row>
    <row r="292" spans="1:18" x14ac:dyDescent="0.25">
      <c r="A292" s="217">
        <v>291</v>
      </c>
      <c r="B292" s="217" t="s">
        <v>22</v>
      </c>
      <c r="C292" s="217" t="s">
        <v>23</v>
      </c>
      <c r="D292" s="217" t="s">
        <v>85</v>
      </c>
      <c r="E292" s="217" t="s">
        <v>84</v>
      </c>
      <c r="F292" s="217" t="s">
        <v>98</v>
      </c>
      <c r="G292" s="217" t="s">
        <v>97</v>
      </c>
      <c r="H292" s="217" t="s">
        <v>1141</v>
      </c>
      <c r="I292" s="217" t="s">
        <v>383</v>
      </c>
      <c r="J292" s="217" t="s">
        <v>2778</v>
      </c>
      <c r="K292" s="217" t="s">
        <v>2779</v>
      </c>
      <c r="L292" s="217">
        <v>56</v>
      </c>
      <c r="M292" s="217">
        <v>12</v>
      </c>
      <c r="N292" s="217">
        <v>0</v>
      </c>
      <c r="O292" s="217">
        <v>0</v>
      </c>
      <c r="P292" s="217">
        <v>30</v>
      </c>
      <c r="Q292" s="217">
        <v>6</v>
      </c>
      <c r="R292" s="217" t="s">
        <v>1807</v>
      </c>
    </row>
    <row r="293" spans="1:18" x14ac:dyDescent="0.25">
      <c r="A293" s="217">
        <v>292</v>
      </c>
      <c r="B293" s="217" t="s">
        <v>22</v>
      </c>
      <c r="C293" s="217" t="s">
        <v>23</v>
      </c>
      <c r="D293" s="217" t="s">
        <v>85</v>
      </c>
      <c r="E293" s="217" t="s">
        <v>84</v>
      </c>
      <c r="F293" s="217" t="s">
        <v>98</v>
      </c>
      <c r="G293" s="217" t="s">
        <v>97</v>
      </c>
      <c r="H293" s="217" t="s">
        <v>1142</v>
      </c>
      <c r="I293" s="217" t="s">
        <v>801</v>
      </c>
      <c r="J293" s="217" t="s">
        <v>2780</v>
      </c>
      <c r="K293" s="217" t="s">
        <v>2781</v>
      </c>
      <c r="L293" s="217">
        <v>551</v>
      </c>
      <c r="M293" s="217">
        <v>65</v>
      </c>
      <c r="N293" s="217">
        <v>296</v>
      </c>
      <c r="O293" s="217">
        <v>23</v>
      </c>
      <c r="P293" s="217">
        <v>0</v>
      </c>
      <c r="Q293" s="217">
        <v>0</v>
      </c>
      <c r="R293" s="217" t="s">
        <v>1807</v>
      </c>
    </row>
    <row r="294" spans="1:18" x14ac:dyDescent="0.25">
      <c r="A294" s="217">
        <v>293</v>
      </c>
      <c r="B294" s="217" t="s">
        <v>22</v>
      </c>
      <c r="C294" s="217" t="s">
        <v>23</v>
      </c>
      <c r="D294" s="217" t="s">
        <v>85</v>
      </c>
      <c r="E294" s="217" t="s">
        <v>84</v>
      </c>
      <c r="F294" s="217" t="s">
        <v>98</v>
      </c>
      <c r="G294" s="217" t="s">
        <v>97</v>
      </c>
      <c r="H294" s="217" t="s">
        <v>1143</v>
      </c>
      <c r="I294" s="217" t="s">
        <v>155</v>
      </c>
      <c r="J294" s="217" t="s">
        <v>2782</v>
      </c>
      <c r="K294" s="217" t="s">
        <v>2783</v>
      </c>
      <c r="L294" s="217">
        <v>460</v>
      </c>
      <c r="M294" s="217">
        <v>92</v>
      </c>
      <c r="N294" s="217">
        <v>0</v>
      </c>
      <c r="O294" s="217">
        <v>0</v>
      </c>
      <c r="P294" s="217">
        <v>80</v>
      </c>
      <c r="Q294" s="217">
        <v>16</v>
      </c>
      <c r="R294" s="217" t="s">
        <v>1807</v>
      </c>
    </row>
    <row r="295" spans="1:18" x14ac:dyDescent="0.25">
      <c r="A295" s="217">
        <v>294</v>
      </c>
      <c r="B295" s="217" t="s">
        <v>22</v>
      </c>
      <c r="C295" s="217" t="s">
        <v>23</v>
      </c>
      <c r="D295" s="217" t="s">
        <v>85</v>
      </c>
      <c r="E295" s="217" t="s">
        <v>84</v>
      </c>
      <c r="F295" s="217" t="s">
        <v>98</v>
      </c>
      <c r="G295" s="217" t="s">
        <v>97</v>
      </c>
      <c r="H295" s="217" t="s">
        <v>1679</v>
      </c>
      <c r="I295" s="217" t="s">
        <v>699</v>
      </c>
      <c r="J295" s="217" t="s">
        <v>2784</v>
      </c>
      <c r="K295" s="217" t="s">
        <v>2785</v>
      </c>
      <c r="L295" s="217">
        <v>0</v>
      </c>
      <c r="M295" s="217">
        <v>0</v>
      </c>
      <c r="N295" s="217">
        <v>0</v>
      </c>
      <c r="O295" s="217">
        <v>0</v>
      </c>
      <c r="P295" s="217">
        <v>0</v>
      </c>
      <c r="Q295" s="217">
        <v>0</v>
      </c>
      <c r="R295" s="217" t="s">
        <v>1807</v>
      </c>
    </row>
    <row r="296" spans="1:18" x14ac:dyDescent="0.25">
      <c r="A296" s="217">
        <v>295</v>
      </c>
      <c r="B296" s="217" t="s">
        <v>22</v>
      </c>
      <c r="C296" s="217" t="s">
        <v>23</v>
      </c>
      <c r="D296" s="217" t="s">
        <v>85</v>
      </c>
      <c r="E296" s="217" t="s">
        <v>84</v>
      </c>
      <c r="F296" s="217" t="s">
        <v>98</v>
      </c>
      <c r="G296" s="217" t="s">
        <v>97</v>
      </c>
      <c r="H296" s="217" t="s">
        <v>1144</v>
      </c>
      <c r="I296" s="217" t="s">
        <v>384</v>
      </c>
      <c r="J296" s="217" t="s">
        <v>2786</v>
      </c>
      <c r="K296" s="217" t="s">
        <v>2787</v>
      </c>
      <c r="L296" s="217">
        <v>307</v>
      </c>
      <c r="M296" s="217">
        <v>74</v>
      </c>
      <c r="N296" s="217">
        <v>2271</v>
      </c>
      <c r="O296" s="217">
        <v>267</v>
      </c>
      <c r="P296" s="217">
        <v>0</v>
      </c>
      <c r="Q296" s="217">
        <v>0</v>
      </c>
      <c r="R296" s="217" t="s">
        <v>1807</v>
      </c>
    </row>
    <row r="297" spans="1:18" x14ac:dyDescent="0.25">
      <c r="A297" s="217">
        <v>296</v>
      </c>
      <c r="B297" s="217" t="s">
        <v>22</v>
      </c>
      <c r="C297" s="217" t="s">
        <v>23</v>
      </c>
      <c r="D297" s="217" t="s">
        <v>85</v>
      </c>
      <c r="E297" s="217" t="s">
        <v>84</v>
      </c>
      <c r="F297" s="217" t="s">
        <v>98</v>
      </c>
      <c r="G297" s="217" t="s">
        <v>97</v>
      </c>
      <c r="H297" s="217" t="s">
        <v>1146</v>
      </c>
      <c r="I297" s="217" t="s">
        <v>1145</v>
      </c>
      <c r="J297" s="217" t="s">
        <v>2788</v>
      </c>
      <c r="K297" s="217" t="s">
        <v>2789</v>
      </c>
      <c r="L297" s="217">
        <v>55</v>
      </c>
      <c r="M297" s="217">
        <v>7</v>
      </c>
      <c r="N297" s="217">
        <v>0</v>
      </c>
      <c r="O297" s="217">
        <v>0</v>
      </c>
      <c r="P297" s="217">
        <v>0</v>
      </c>
      <c r="Q297" s="217">
        <v>0</v>
      </c>
      <c r="R297" s="217" t="s">
        <v>1807</v>
      </c>
    </row>
    <row r="298" spans="1:18" x14ac:dyDescent="0.25">
      <c r="A298" s="217">
        <v>297</v>
      </c>
      <c r="B298" s="217" t="s">
        <v>22</v>
      </c>
      <c r="C298" s="217" t="s">
        <v>23</v>
      </c>
      <c r="D298" s="217" t="s">
        <v>85</v>
      </c>
      <c r="E298" s="217" t="s">
        <v>84</v>
      </c>
      <c r="F298" s="217" t="s">
        <v>98</v>
      </c>
      <c r="G298" s="217" t="s">
        <v>97</v>
      </c>
      <c r="H298" s="217" t="s">
        <v>1147</v>
      </c>
      <c r="I298" s="217" t="s">
        <v>385</v>
      </c>
      <c r="J298" s="217" t="s">
        <v>2790</v>
      </c>
      <c r="K298" s="217" t="s">
        <v>2791</v>
      </c>
      <c r="L298" s="217">
        <v>103</v>
      </c>
      <c r="M298" s="217">
        <v>16</v>
      </c>
      <c r="N298" s="217">
        <v>0</v>
      </c>
      <c r="O298" s="217">
        <v>0</v>
      </c>
      <c r="P298" s="217">
        <v>0</v>
      </c>
      <c r="Q298" s="217">
        <v>0</v>
      </c>
      <c r="R298" s="217" t="s">
        <v>1807</v>
      </c>
    </row>
    <row r="299" spans="1:18" x14ac:dyDescent="0.25">
      <c r="A299" s="217">
        <v>298</v>
      </c>
      <c r="B299" s="217" t="s">
        <v>22</v>
      </c>
      <c r="C299" s="217" t="s">
        <v>23</v>
      </c>
      <c r="D299" s="217" t="s">
        <v>85</v>
      </c>
      <c r="E299" s="217" t="s">
        <v>84</v>
      </c>
      <c r="F299" s="217" t="s">
        <v>98</v>
      </c>
      <c r="G299" s="217" t="s">
        <v>97</v>
      </c>
      <c r="H299" s="217" t="s">
        <v>1675</v>
      </c>
      <c r="I299" s="217" t="s">
        <v>1676</v>
      </c>
      <c r="J299" s="217" t="s">
        <v>2792</v>
      </c>
      <c r="K299" s="217" t="s">
        <v>2793</v>
      </c>
      <c r="L299" s="217">
        <v>0</v>
      </c>
      <c r="M299" s="217">
        <v>0</v>
      </c>
      <c r="N299" s="217">
        <v>0</v>
      </c>
      <c r="O299" s="217">
        <v>0</v>
      </c>
      <c r="P299" s="217">
        <v>0</v>
      </c>
      <c r="Q299" s="217">
        <v>0</v>
      </c>
      <c r="R299" s="217" t="s">
        <v>1807</v>
      </c>
    </row>
    <row r="300" spans="1:18" x14ac:dyDescent="0.25">
      <c r="A300" s="217">
        <v>299</v>
      </c>
      <c r="B300" s="217" t="s">
        <v>22</v>
      </c>
      <c r="C300" s="217" t="s">
        <v>23</v>
      </c>
      <c r="D300" s="217" t="s">
        <v>85</v>
      </c>
      <c r="E300" s="217" t="s">
        <v>84</v>
      </c>
      <c r="F300" s="217" t="s">
        <v>98</v>
      </c>
      <c r="G300" s="217" t="s">
        <v>97</v>
      </c>
      <c r="H300" s="217" t="s">
        <v>1148</v>
      </c>
      <c r="I300" s="217" t="s">
        <v>158</v>
      </c>
      <c r="J300" s="217" t="s">
        <v>2794</v>
      </c>
      <c r="K300" s="217" t="s">
        <v>2795</v>
      </c>
      <c r="L300" s="217">
        <v>1736</v>
      </c>
      <c r="M300" s="217">
        <v>207</v>
      </c>
      <c r="N300" s="217">
        <v>50</v>
      </c>
      <c r="O300" s="217">
        <v>9</v>
      </c>
      <c r="P300" s="217">
        <v>0</v>
      </c>
      <c r="Q300" s="217">
        <v>0</v>
      </c>
      <c r="R300" s="217" t="s">
        <v>1807</v>
      </c>
    </row>
    <row r="301" spans="1:18" x14ac:dyDescent="0.25">
      <c r="A301" s="217">
        <v>300</v>
      </c>
      <c r="B301" s="217" t="s">
        <v>22</v>
      </c>
      <c r="C301" s="217" t="s">
        <v>23</v>
      </c>
      <c r="D301" s="217" t="s">
        <v>85</v>
      </c>
      <c r="E301" s="217" t="s">
        <v>84</v>
      </c>
      <c r="F301" s="217" t="s">
        <v>98</v>
      </c>
      <c r="G301" s="217" t="s">
        <v>97</v>
      </c>
      <c r="H301" s="217" t="s">
        <v>1149</v>
      </c>
      <c r="I301" s="217" t="s">
        <v>159</v>
      </c>
      <c r="J301" s="217" t="s">
        <v>2796</v>
      </c>
      <c r="K301" s="217" t="s">
        <v>2797</v>
      </c>
      <c r="L301" s="217">
        <v>60</v>
      </c>
      <c r="M301" s="217">
        <v>14</v>
      </c>
      <c r="N301" s="217">
        <v>0</v>
      </c>
      <c r="O301" s="217">
        <v>0</v>
      </c>
      <c r="P301" s="217">
        <v>80</v>
      </c>
      <c r="Q301" s="217">
        <v>20</v>
      </c>
      <c r="R301" s="217" t="s">
        <v>1807</v>
      </c>
    </row>
    <row r="302" spans="1:18" x14ac:dyDescent="0.25">
      <c r="A302" s="217">
        <v>301</v>
      </c>
      <c r="B302" s="217" t="s">
        <v>22</v>
      </c>
      <c r="C302" s="217" t="s">
        <v>23</v>
      </c>
      <c r="D302" s="217" t="s">
        <v>85</v>
      </c>
      <c r="E302" s="217" t="s">
        <v>84</v>
      </c>
      <c r="F302" s="217" t="s">
        <v>98</v>
      </c>
      <c r="G302" s="217" t="s">
        <v>97</v>
      </c>
      <c r="H302" s="217" t="s">
        <v>1970</v>
      </c>
      <c r="I302" s="217" t="s">
        <v>1969</v>
      </c>
      <c r="J302" s="217" t="s">
        <v>2798</v>
      </c>
      <c r="K302" s="217" t="s">
        <v>2799</v>
      </c>
      <c r="L302" s="217">
        <v>0</v>
      </c>
      <c r="M302" s="217">
        <v>0</v>
      </c>
      <c r="N302" s="217">
        <v>400</v>
      </c>
      <c r="O302" s="217">
        <v>47</v>
      </c>
      <c r="P302" s="217">
        <v>0</v>
      </c>
      <c r="Q302" s="217">
        <v>0</v>
      </c>
      <c r="R302" s="217" t="s">
        <v>1807</v>
      </c>
    </row>
    <row r="303" spans="1:18" x14ac:dyDescent="0.25">
      <c r="A303" s="217">
        <v>302</v>
      </c>
      <c r="B303" s="217" t="s">
        <v>22</v>
      </c>
      <c r="C303" s="217" t="s">
        <v>23</v>
      </c>
      <c r="D303" s="217" t="s">
        <v>85</v>
      </c>
      <c r="E303" s="217" t="s">
        <v>84</v>
      </c>
      <c r="F303" s="217" t="s">
        <v>98</v>
      </c>
      <c r="G303" s="217" t="s">
        <v>97</v>
      </c>
      <c r="H303" s="217" t="s">
        <v>1507</v>
      </c>
      <c r="I303" s="217" t="s">
        <v>824</v>
      </c>
      <c r="J303" s="217" t="s">
        <v>2800</v>
      </c>
      <c r="K303" s="217" t="s">
        <v>2801</v>
      </c>
      <c r="L303" s="217">
        <v>0</v>
      </c>
      <c r="M303" s="217">
        <v>0</v>
      </c>
      <c r="N303" s="217">
        <v>400</v>
      </c>
      <c r="O303" s="217">
        <v>47</v>
      </c>
      <c r="P303" s="217">
        <v>0</v>
      </c>
      <c r="Q303" s="217">
        <v>0</v>
      </c>
      <c r="R303" s="217" t="s">
        <v>1807</v>
      </c>
    </row>
    <row r="304" spans="1:18" x14ac:dyDescent="0.25">
      <c r="A304" s="217">
        <v>303</v>
      </c>
      <c r="B304" s="217" t="s">
        <v>22</v>
      </c>
      <c r="C304" s="217" t="s">
        <v>23</v>
      </c>
      <c r="D304" s="217" t="s">
        <v>85</v>
      </c>
      <c r="E304" s="217" t="s">
        <v>84</v>
      </c>
      <c r="F304" s="217" t="s">
        <v>98</v>
      </c>
      <c r="G304" s="217" t="s">
        <v>97</v>
      </c>
      <c r="H304" s="217" t="s">
        <v>1150</v>
      </c>
      <c r="I304" s="217" t="s">
        <v>160</v>
      </c>
      <c r="J304" s="217" t="s">
        <v>2802</v>
      </c>
      <c r="K304" s="217" t="s">
        <v>2803</v>
      </c>
      <c r="L304" s="217">
        <v>27</v>
      </c>
      <c r="M304" s="217">
        <v>6</v>
      </c>
      <c r="N304" s="217">
        <v>42</v>
      </c>
      <c r="O304" s="217">
        <v>8</v>
      </c>
      <c r="P304" s="217">
        <v>0</v>
      </c>
      <c r="Q304" s="217">
        <v>0</v>
      </c>
      <c r="R304" s="217" t="s">
        <v>1807</v>
      </c>
    </row>
    <row r="305" spans="1:18" x14ac:dyDescent="0.25">
      <c r="A305" s="217">
        <v>304</v>
      </c>
      <c r="B305" s="217" t="s">
        <v>22</v>
      </c>
      <c r="C305" s="217" t="s">
        <v>23</v>
      </c>
      <c r="D305" s="217" t="s">
        <v>85</v>
      </c>
      <c r="E305" s="217" t="s">
        <v>84</v>
      </c>
      <c r="F305" s="217" t="s">
        <v>98</v>
      </c>
      <c r="G305" s="217" t="s">
        <v>97</v>
      </c>
      <c r="H305" s="217" t="s">
        <v>1151</v>
      </c>
      <c r="I305" s="217" t="s">
        <v>161</v>
      </c>
      <c r="J305" s="217" t="s">
        <v>2804</v>
      </c>
      <c r="K305" s="217" t="s">
        <v>2805</v>
      </c>
      <c r="L305" s="217">
        <v>208</v>
      </c>
      <c r="M305" s="217">
        <v>27</v>
      </c>
      <c r="N305" s="217">
        <v>726</v>
      </c>
      <c r="O305" s="217">
        <v>115</v>
      </c>
      <c r="P305" s="217">
        <v>50</v>
      </c>
      <c r="Q305" s="217">
        <v>10</v>
      </c>
      <c r="R305" s="217" t="s">
        <v>1807</v>
      </c>
    </row>
    <row r="306" spans="1:18" x14ac:dyDescent="0.25">
      <c r="A306" s="217">
        <v>305</v>
      </c>
      <c r="B306" s="217" t="s">
        <v>22</v>
      </c>
      <c r="C306" s="217" t="s">
        <v>23</v>
      </c>
      <c r="D306" s="217" t="s">
        <v>85</v>
      </c>
      <c r="E306" s="217" t="s">
        <v>84</v>
      </c>
      <c r="F306" s="217" t="s">
        <v>98</v>
      </c>
      <c r="G306" s="217" t="s">
        <v>97</v>
      </c>
      <c r="H306" s="217" t="s">
        <v>1153</v>
      </c>
      <c r="I306" s="217" t="s">
        <v>1152</v>
      </c>
      <c r="J306" s="217" t="s">
        <v>2806</v>
      </c>
      <c r="K306" s="217" t="s">
        <v>2807</v>
      </c>
      <c r="L306" s="217">
        <v>425</v>
      </c>
      <c r="M306" s="217">
        <v>85</v>
      </c>
      <c r="N306" s="217">
        <v>0</v>
      </c>
      <c r="O306" s="217">
        <v>0</v>
      </c>
      <c r="P306" s="217">
        <v>0</v>
      </c>
      <c r="Q306" s="217">
        <v>0</v>
      </c>
      <c r="R306" s="217" t="s">
        <v>1807</v>
      </c>
    </row>
    <row r="307" spans="1:18" x14ac:dyDescent="0.25">
      <c r="A307" s="217">
        <v>306</v>
      </c>
      <c r="B307" s="217" t="s">
        <v>22</v>
      </c>
      <c r="C307" s="217" t="s">
        <v>23</v>
      </c>
      <c r="D307" s="217" t="s">
        <v>85</v>
      </c>
      <c r="E307" s="217" t="s">
        <v>84</v>
      </c>
      <c r="F307" s="217" t="s">
        <v>98</v>
      </c>
      <c r="G307" s="217" t="s">
        <v>97</v>
      </c>
      <c r="H307" s="217" t="s">
        <v>1154</v>
      </c>
      <c r="I307" s="217" t="s">
        <v>386</v>
      </c>
      <c r="J307" s="217" t="s">
        <v>2808</v>
      </c>
      <c r="K307" s="217" t="s">
        <v>2809</v>
      </c>
      <c r="L307" s="217">
        <v>49</v>
      </c>
      <c r="M307" s="217">
        <v>13</v>
      </c>
      <c r="N307" s="217">
        <v>0</v>
      </c>
      <c r="O307" s="217">
        <v>0</v>
      </c>
      <c r="P307" s="217">
        <v>13</v>
      </c>
      <c r="Q307" s="217">
        <v>1</v>
      </c>
      <c r="R307" s="217" t="s">
        <v>1807</v>
      </c>
    </row>
    <row r="308" spans="1:18" x14ac:dyDescent="0.25">
      <c r="A308" s="217">
        <v>307</v>
      </c>
      <c r="B308" s="217" t="s">
        <v>22</v>
      </c>
      <c r="C308" s="217" t="s">
        <v>23</v>
      </c>
      <c r="D308" s="217" t="s">
        <v>85</v>
      </c>
      <c r="E308" s="217" t="s">
        <v>84</v>
      </c>
      <c r="F308" s="217" t="s">
        <v>98</v>
      </c>
      <c r="G308" s="217" t="s">
        <v>97</v>
      </c>
      <c r="H308" s="217" t="s">
        <v>1155</v>
      </c>
      <c r="I308" s="217" t="s">
        <v>387</v>
      </c>
      <c r="J308" s="217" t="s">
        <v>2810</v>
      </c>
      <c r="K308" s="217" t="s">
        <v>2811</v>
      </c>
      <c r="L308" s="217">
        <v>35</v>
      </c>
      <c r="M308" s="217">
        <v>9</v>
      </c>
      <c r="N308" s="217">
        <v>0</v>
      </c>
      <c r="O308" s="217">
        <v>0</v>
      </c>
      <c r="P308" s="217">
        <v>0</v>
      </c>
      <c r="Q308" s="217">
        <v>0</v>
      </c>
      <c r="R308" s="217" t="s">
        <v>1807</v>
      </c>
    </row>
    <row r="309" spans="1:18" x14ac:dyDescent="0.25">
      <c r="A309" s="217">
        <v>308</v>
      </c>
      <c r="B309" s="217" t="s">
        <v>22</v>
      </c>
      <c r="C309" s="217" t="s">
        <v>23</v>
      </c>
      <c r="D309" s="217" t="s">
        <v>85</v>
      </c>
      <c r="E309" s="217" t="s">
        <v>84</v>
      </c>
      <c r="F309" s="217" t="s">
        <v>98</v>
      </c>
      <c r="G309" s="217" t="s">
        <v>97</v>
      </c>
      <c r="H309" s="217" t="s">
        <v>1157</v>
      </c>
      <c r="I309" s="217" t="s">
        <v>1156</v>
      </c>
      <c r="J309" s="217" t="s">
        <v>2812</v>
      </c>
      <c r="K309" s="217" t="s">
        <v>2813</v>
      </c>
      <c r="L309" s="217">
        <v>81</v>
      </c>
      <c r="M309" s="217">
        <v>10</v>
      </c>
      <c r="N309" s="217">
        <v>0</v>
      </c>
      <c r="O309" s="217">
        <v>0</v>
      </c>
      <c r="P309" s="217">
        <v>0</v>
      </c>
      <c r="Q309" s="217">
        <v>0</v>
      </c>
      <c r="R309" s="217" t="s">
        <v>1807</v>
      </c>
    </row>
    <row r="310" spans="1:18" x14ac:dyDescent="0.25">
      <c r="A310" s="217">
        <v>309</v>
      </c>
      <c r="B310" s="217" t="s">
        <v>22</v>
      </c>
      <c r="C310" s="217" t="s">
        <v>23</v>
      </c>
      <c r="D310" s="217" t="s">
        <v>85</v>
      </c>
      <c r="E310" s="217" t="s">
        <v>84</v>
      </c>
      <c r="F310" s="217" t="s">
        <v>98</v>
      </c>
      <c r="G310" s="217" t="s">
        <v>97</v>
      </c>
      <c r="H310" s="217" t="s">
        <v>1158</v>
      </c>
      <c r="I310" s="217" t="s">
        <v>162</v>
      </c>
      <c r="J310" s="217" t="s">
        <v>2814</v>
      </c>
      <c r="K310" s="217" t="s">
        <v>2815</v>
      </c>
      <c r="L310" s="217">
        <v>337</v>
      </c>
      <c r="M310" s="217">
        <v>39</v>
      </c>
      <c r="N310" s="217">
        <v>38</v>
      </c>
      <c r="O310" s="217">
        <v>3</v>
      </c>
      <c r="P310" s="217">
        <v>165</v>
      </c>
      <c r="Q310" s="217">
        <v>33</v>
      </c>
      <c r="R310" s="217" t="s">
        <v>1807</v>
      </c>
    </row>
    <row r="311" spans="1:18" x14ac:dyDescent="0.25">
      <c r="A311" s="217">
        <v>310</v>
      </c>
      <c r="B311" s="217" t="s">
        <v>22</v>
      </c>
      <c r="C311" s="217" t="s">
        <v>23</v>
      </c>
      <c r="D311" s="217" t="s">
        <v>85</v>
      </c>
      <c r="E311" s="217" t="s">
        <v>84</v>
      </c>
      <c r="F311" s="217" t="s">
        <v>98</v>
      </c>
      <c r="G311" s="217" t="s">
        <v>97</v>
      </c>
      <c r="H311" s="217" t="s">
        <v>1159</v>
      </c>
      <c r="I311" s="217" t="s">
        <v>807</v>
      </c>
      <c r="J311" s="217" t="s">
        <v>2816</v>
      </c>
      <c r="K311" s="217" t="s">
        <v>2817</v>
      </c>
      <c r="L311" s="217">
        <v>42</v>
      </c>
      <c r="M311" s="217">
        <v>13</v>
      </c>
      <c r="N311" s="217">
        <v>0</v>
      </c>
      <c r="O311" s="217">
        <v>0</v>
      </c>
      <c r="P311" s="217">
        <v>0</v>
      </c>
      <c r="Q311" s="217">
        <v>0</v>
      </c>
      <c r="R311" s="217" t="s">
        <v>1807</v>
      </c>
    </row>
    <row r="312" spans="1:18" x14ac:dyDescent="0.25">
      <c r="A312" s="217">
        <v>311</v>
      </c>
      <c r="B312" s="217" t="s">
        <v>22</v>
      </c>
      <c r="C312" s="217" t="s">
        <v>23</v>
      </c>
      <c r="D312" s="217" t="s">
        <v>85</v>
      </c>
      <c r="E312" s="217" t="s">
        <v>84</v>
      </c>
      <c r="F312" s="217" t="s">
        <v>98</v>
      </c>
      <c r="G312" s="217" t="s">
        <v>97</v>
      </c>
      <c r="H312" s="217" t="s">
        <v>1508</v>
      </c>
      <c r="I312" s="217" t="s">
        <v>624</v>
      </c>
      <c r="J312" s="217" t="s">
        <v>2818</v>
      </c>
      <c r="K312" s="217" t="s">
        <v>2819</v>
      </c>
      <c r="L312" s="217">
        <v>0</v>
      </c>
      <c r="M312" s="217">
        <v>0</v>
      </c>
      <c r="N312" s="217">
        <v>187</v>
      </c>
      <c r="O312" s="217">
        <v>22</v>
      </c>
      <c r="P312" s="217">
        <v>0</v>
      </c>
      <c r="Q312" s="217">
        <v>0</v>
      </c>
      <c r="R312" s="217" t="s">
        <v>1807</v>
      </c>
    </row>
    <row r="313" spans="1:18" x14ac:dyDescent="0.25">
      <c r="A313" s="217">
        <v>312</v>
      </c>
      <c r="B313" s="217" t="s">
        <v>22</v>
      </c>
      <c r="C313" s="217" t="s">
        <v>23</v>
      </c>
      <c r="D313" s="217" t="s">
        <v>85</v>
      </c>
      <c r="E313" s="217" t="s">
        <v>84</v>
      </c>
      <c r="F313" s="217" t="s">
        <v>98</v>
      </c>
      <c r="G313" s="217" t="s">
        <v>97</v>
      </c>
      <c r="H313" s="217" t="s">
        <v>1160</v>
      </c>
      <c r="I313" s="217" t="s">
        <v>388</v>
      </c>
      <c r="J313" s="217" t="s">
        <v>2820</v>
      </c>
      <c r="K313" s="217" t="s">
        <v>2821</v>
      </c>
      <c r="L313" s="217">
        <v>243</v>
      </c>
      <c r="M313" s="217">
        <v>30</v>
      </c>
      <c r="N313" s="217">
        <v>451</v>
      </c>
      <c r="O313" s="217">
        <v>53</v>
      </c>
      <c r="P313" s="217">
        <v>0</v>
      </c>
      <c r="Q313" s="217">
        <v>0</v>
      </c>
      <c r="R313" s="217" t="s">
        <v>1807</v>
      </c>
    </row>
    <row r="314" spans="1:18" x14ac:dyDescent="0.25">
      <c r="A314" s="217">
        <v>313</v>
      </c>
      <c r="B314" s="217" t="s">
        <v>22</v>
      </c>
      <c r="C314" s="217" t="s">
        <v>23</v>
      </c>
      <c r="D314" s="217" t="s">
        <v>85</v>
      </c>
      <c r="E314" s="217" t="s">
        <v>84</v>
      </c>
      <c r="F314" s="217" t="s">
        <v>98</v>
      </c>
      <c r="G314" s="217" t="s">
        <v>97</v>
      </c>
      <c r="H314" s="217" t="s">
        <v>1509</v>
      </c>
      <c r="I314" s="217" t="s">
        <v>796</v>
      </c>
      <c r="J314" s="217" t="s">
        <v>2822</v>
      </c>
      <c r="K314" s="217" t="s">
        <v>2823</v>
      </c>
      <c r="L314" s="217">
        <v>0</v>
      </c>
      <c r="M314" s="217">
        <v>0</v>
      </c>
      <c r="N314" s="217">
        <v>62</v>
      </c>
      <c r="O314" s="217">
        <v>11</v>
      </c>
      <c r="P314" s="217">
        <v>0</v>
      </c>
      <c r="Q314" s="217">
        <v>0</v>
      </c>
      <c r="R314" s="217" t="s">
        <v>1807</v>
      </c>
    </row>
    <row r="315" spans="1:18" x14ac:dyDescent="0.25">
      <c r="A315" s="217">
        <v>314</v>
      </c>
      <c r="B315" s="217" t="s">
        <v>22</v>
      </c>
      <c r="C315" s="217" t="s">
        <v>23</v>
      </c>
      <c r="D315" s="217" t="s">
        <v>85</v>
      </c>
      <c r="E315" s="217" t="s">
        <v>84</v>
      </c>
      <c r="F315" s="217" t="s">
        <v>98</v>
      </c>
      <c r="G315" s="217" t="s">
        <v>97</v>
      </c>
      <c r="H315" s="217" t="s">
        <v>1161</v>
      </c>
      <c r="I315" s="217" t="s">
        <v>389</v>
      </c>
      <c r="J315" s="217" t="s">
        <v>2824</v>
      </c>
      <c r="K315" s="217" t="s">
        <v>2825</v>
      </c>
      <c r="L315" s="217">
        <v>27</v>
      </c>
      <c r="M315" s="217">
        <v>5</v>
      </c>
      <c r="N315" s="217">
        <v>0</v>
      </c>
      <c r="O315" s="217">
        <v>0</v>
      </c>
      <c r="P315" s="217">
        <v>0</v>
      </c>
      <c r="Q315" s="217">
        <v>0</v>
      </c>
      <c r="R315" s="217" t="s">
        <v>1807</v>
      </c>
    </row>
    <row r="316" spans="1:18" x14ac:dyDescent="0.25">
      <c r="A316" s="217">
        <v>315</v>
      </c>
      <c r="B316" s="217" t="s">
        <v>22</v>
      </c>
      <c r="C316" s="217" t="s">
        <v>23</v>
      </c>
      <c r="D316" s="217" t="s">
        <v>85</v>
      </c>
      <c r="E316" s="217" t="s">
        <v>84</v>
      </c>
      <c r="F316" s="217" t="s">
        <v>98</v>
      </c>
      <c r="G316" s="217" t="s">
        <v>97</v>
      </c>
      <c r="H316" s="217" t="s">
        <v>1510</v>
      </c>
      <c r="I316" s="217" t="s">
        <v>625</v>
      </c>
      <c r="J316" s="217" t="s">
        <v>2826</v>
      </c>
      <c r="K316" s="217" t="s">
        <v>2827</v>
      </c>
      <c r="L316" s="217">
        <v>0</v>
      </c>
      <c r="M316" s="217">
        <v>0</v>
      </c>
      <c r="N316" s="217">
        <v>0</v>
      </c>
      <c r="O316" s="217">
        <v>0</v>
      </c>
      <c r="P316" s="217">
        <v>0</v>
      </c>
      <c r="Q316" s="217">
        <v>0</v>
      </c>
      <c r="R316" s="217" t="s">
        <v>1807</v>
      </c>
    </row>
    <row r="317" spans="1:18" x14ac:dyDescent="0.25">
      <c r="A317" s="217">
        <v>316</v>
      </c>
      <c r="B317" s="217" t="s">
        <v>22</v>
      </c>
      <c r="C317" s="217" t="s">
        <v>23</v>
      </c>
      <c r="D317" s="217" t="s">
        <v>85</v>
      </c>
      <c r="E317" s="217" t="s">
        <v>84</v>
      </c>
      <c r="F317" s="217" t="s">
        <v>98</v>
      </c>
      <c r="G317" s="217" t="s">
        <v>97</v>
      </c>
      <c r="H317" s="217" t="s">
        <v>1163</v>
      </c>
      <c r="I317" s="217" t="s">
        <v>1162</v>
      </c>
      <c r="J317" s="217" t="s">
        <v>2828</v>
      </c>
      <c r="K317" s="217" t="s">
        <v>2829</v>
      </c>
      <c r="L317" s="217">
        <v>37</v>
      </c>
      <c r="M317" s="217">
        <v>5</v>
      </c>
      <c r="N317" s="217">
        <v>0</v>
      </c>
      <c r="O317" s="217">
        <v>0</v>
      </c>
      <c r="P317" s="217">
        <v>0</v>
      </c>
      <c r="Q317" s="217">
        <v>0</v>
      </c>
      <c r="R317" s="217" t="s">
        <v>1807</v>
      </c>
    </row>
    <row r="318" spans="1:18" x14ac:dyDescent="0.25">
      <c r="A318" s="217">
        <v>317</v>
      </c>
      <c r="B318" s="217" t="s">
        <v>22</v>
      </c>
      <c r="C318" s="217" t="s">
        <v>23</v>
      </c>
      <c r="D318" s="217" t="s">
        <v>85</v>
      </c>
      <c r="E318" s="217" t="s">
        <v>84</v>
      </c>
      <c r="F318" s="217" t="s">
        <v>98</v>
      </c>
      <c r="G318" s="217" t="s">
        <v>97</v>
      </c>
      <c r="H318" s="217" t="s">
        <v>1164</v>
      </c>
      <c r="I318" s="217" t="s">
        <v>791</v>
      </c>
      <c r="J318" s="217" t="s">
        <v>2830</v>
      </c>
      <c r="K318" s="217" t="s">
        <v>2831</v>
      </c>
      <c r="L318" s="217">
        <v>102</v>
      </c>
      <c r="M318" s="217">
        <v>22</v>
      </c>
      <c r="N318" s="217">
        <v>102</v>
      </c>
      <c r="O318" s="217">
        <v>22</v>
      </c>
      <c r="P318" s="217">
        <v>0</v>
      </c>
      <c r="Q318" s="217">
        <v>0</v>
      </c>
      <c r="R318" s="217" t="s">
        <v>1807</v>
      </c>
    </row>
    <row r="319" spans="1:18" x14ac:dyDescent="0.25">
      <c r="A319" s="217">
        <v>318</v>
      </c>
      <c r="B319" s="217" t="s">
        <v>22</v>
      </c>
      <c r="C319" s="217" t="s">
        <v>23</v>
      </c>
      <c r="D319" s="217" t="s">
        <v>85</v>
      </c>
      <c r="E319" s="217" t="s">
        <v>84</v>
      </c>
      <c r="F319" s="217" t="s">
        <v>98</v>
      </c>
      <c r="G319" s="217" t="s">
        <v>97</v>
      </c>
      <c r="H319" s="217" t="s">
        <v>1165</v>
      </c>
      <c r="I319" s="217" t="s">
        <v>809</v>
      </c>
      <c r="J319" s="217" t="s">
        <v>2832</v>
      </c>
      <c r="K319" s="217" t="s">
        <v>2833</v>
      </c>
      <c r="L319" s="217">
        <v>106</v>
      </c>
      <c r="M319" s="217">
        <v>22</v>
      </c>
      <c r="N319" s="217">
        <v>49</v>
      </c>
      <c r="O319" s="217">
        <v>11</v>
      </c>
      <c r="P319" s="217">
        <v>0</v>
      </c>
      <c r="Q319" s="217">
        <v>0</v>
      </c>
      <c r="R319" s="217" t="s">
        <v>1807</v>
      </c>
    </row>
    <row r="320" spans="1:18" x14ac:dyDescent="0.25">
      <c r="A320" s="217">
        <v>319</v>
      </c>
      <c r="B320" s="217" t="s">
        <v>22</v>
      </c>
      <c r="C320" s="217" t="s">
        <v>23</v>
      </c>
      <c r="D320" s="217" t="s">
        <v>85</v>
      </c>
      <c r="E320" s="217" t="s">
        <v>84</v>
      </c>
      <c r="F320" s="217" t="s">
        <v>98</v>
      </c>
      <c r="G320" s="217" t="s">
        <v>97</v>
      </c>
      <c r="H320" s="217" t="s">
        <v>1166</v>
      </c>
      <c r="I320" s="217" t="s">
        <v>390</v>
      </c>
      <c r="J320" s="217" t="s">
        <v>2834</v>
      </c>
      <c r="K320" s="217" t="s">
        <v>2835</v>
      </c>
      <c r="L320" s="217">
        <v>51</v>
      </c>
      <c r="M320" s="217">
        <v>8</v>
      </c>
      <c r="N320" s="217">
        <v>114</v>
      </c>
      <c r="O320" s="217">
        <v>12</v>
      </c>
      <c r="P320" s="217">
        <v>0</v>
      </c>
      <c r="Q320" s="217">
        <v>0</v>
      </c>
      <c r="R320" s="217" t="s">
        <v>1807</v>
      </c>
    </row>
    <row r="321" spans="1:18" x14ac:dyDescent="0.25">
      <c r="A321" s="217">
        <v>320</v>
      </c>
      <c r="B321" s="217" t="s">
        <v>22</v>
      </c>
      <c r="C321" s="217" t="s">
        <v>23</v>
      </c>
      <c r="D321" s="217" t="s">
        <v>85</v>
      </c>
      <c r="E321" s="217" t="s">
        <v>84</v>
      </c>
      <c r="F321" s="217" t="s">
        <v>98</v>
      </c>
      <c r="G321" s="217" t="s">
        <v>97</v>
      </c>
      <c r="H321" s="217" t="s">
        <v>1167</v>
      </c>
      <c r="I321" s="217" t="s">
        <v>391</v>
      </c>
      <c r="J321" s="217" t="s">
        <v>2836</v>
      </c>
      <c r="K321" s="217" t="s">
        <v>2837</v>
      </c>
      <c r="L321" s="217">
        <v>42</v>
      </c>
      <c r="M321" s="217">
        <v>6</v>
      </c>
      <c r="N321" s="217">
        <v>0</v>
      </c>
      <c r="O321" s="217">
        <v>0</v>
      </c>
      <c r="P321" s="217">
        <v>0</v>
      </c>
      <c r="Q321" s="217">
        <v>0</v>
      </c>
      <c r="R321" s="217" t="s">
        <v>1807</v>
      </c>
    </row>
    <row r="322" spans="1:18" x14ac:dyDescent="0.25">
      <c r="A322" s="217">
        <v>321</v>
      </c>
      <c r="B322" s="217" t="s">
        <v>22</v>
      </c>
      <c r="C322" s="217" t="s">
        <v>23</v>
      </c>
      <c r="D322" s="217" t="s">
        <v>85</v>
      </c>
      <c r="E322" s="217" t="s">
        <v>84</v>
      </c>
      <c r="F322" s="217" t="s">
        <v>98</v>
      </c>
      <c r="G322" s="217" t="s">
        <v>97</v>
      </c>
      <c r="H322" s="217" t="s">
        <v>1168</v>
      </c>
      <c r="I322" s="217" t="s">
        <v>802</v>
      </c>
      <c r="J322" s="217" t="s">
        <v>2838</v>
      </c>
      <c r="K322" s="217" t="s">
        <v>2839</v>
      </c>
      <c r="L322" s="217">
        <v>47</v>
      </c>
      <c r="M322" s="217">
        <v>8</v>
      </c>
      <c r="N322" s="217">
        <v>0</v>
      </c>
      <c r="O322" s="217">
        <v>0</v>
      </c>
      <c r="P322" s="217">
        <v>0</v>
      </c>
      <c r="Q322" s="217">
        <v>0</v>
      </c>
      <c r="R322" s="217" t="s">
        <v>1807</v>
      </c>
    </row>
    <row r="323" spans="1:18" x14ac:dyDescent="0.25">
      <c r="A323" s="217">
        <v>322</v>
      </c>
      <c r="B323" s="217" t="s">
        <v>22</v>
      </c>
      <c r="C323" s="217" t="s">
        <v>23</v>
      </c>
      <c r="D323" s="217" t="s">
        <v>85</v>
      </c>
      <c r="E323" s="217" t="s">
        <v>84</v>
      </c>
      <c r="F323" s="217" t="s">
        <v>98</v>
      </c>
      <c r="G323" s="217" t="s">
        <v>97</v>
      </c>
      <c r="H323" s="217" t="s">
        <v>1169</v>
      </c>
      <c r="I323" s="217" t="s">
        <v>392</v>
      </c>
      <c r="J323" s="217" t="s">
        <v>2840</v>
      </c>
      <c r="K323" s="217" t="s">
        <v>2841</v>
      </c>
      <c r="L323" s="217">
        <v>83</v>
      </c>
      <c r="M323" s="217">
        <v>20</v>
      </c>
      <c r="N323" s="217">
        <v>6</v>
      </c>
      <c r="O323" s="217">
        <v>4</v>
      </c>
      <c r="P323" s="217">
        <v>60</v>
      </c>
      <c r="Q323" s="217">
        <v>17</v>
      </c>
      <c r="R323" s="217" t="s">
        <v>1807</v>
      </c>
    </row>
    <row r="324" spans="1:18" x14ac:dyDescent="0.25">
      <c r="A324" s="217">
        <v>323</v>
      </c>
      <c r="B324" s="217" t="s">
        <v>22</v>
      </c>
      <c r="C324" s="217" t="s">
        <v>23</v>
      </c>
      <c r="D324" s="217" t="s">
        <v>85</v>
      </c>
      <c r="E324" s="217" t="s">
        <v>84</v>
      </c>
      <c r="F324" s="217" t="s">
        <v>98</v>
      </c>
      <c r="G324" s="217" t="s">
        <v>97</v>
      </c>
      <c r="H324" s="217" t="s">
        <v>1170</v>
      </c>
      <c r="I324" s="217" t="s">
        <v>792</v>
      </c>
      <c r="J324" s="217" t="s">
        <v>2842</v>
      </c>
      <c r="K324" s="217" t="s">
        <v>2843</v>
      </c>
      <c r="L324" s="217">
        <v>51</v>
      </c>
      <c r="M324" s="217">
        <v>6</v>
      </c>
      <c r="N324" s="217">
        <v>68</v>
      </c>
      <c r="O324" s="217">
        <v>8</v>
      </c>
      <c r="P324" s="217">
        <v>0</v>
      </c>
      <c r="Q324" s="217">
        <v>0</v>
      </c>
      <c r="R324" s="217" t="s">
        <v>1807</v>
      </c>
    </row>
    <row r="325" spans="1:18" x14ac:dyDescent="0.25">
      <c r="A325" s="217">
        <v>324</v>
      </c>
      <c r="B325" s="217" t="s">
        <v>22</v>
      </c>
      <c r="C325" s="217" t="s">
        <v>23</v>
      </c>
      <c r="D325" s="217" t="s">
        <v>85</v>
      </c>
      <c r="E325" s="217" t="s">
        <v>84</v>
      </c>
      <c r="F325" s="217" t="s">
        <v>98</v>
      </c>
      <c r="G325" s="217" t="s">
        <v>97</v>
      </c>
      <c r="H325" s="217" t="s">
        <v>1171</v>
      </c>
      <c r="I325" s="217" t="s">
        <v>163</v>
      </c>
      <c r="J325" s="217" t="s">
        <v>2844</v>
      </c>
      <c r="K325" s="217" t="s">
        <v>2845</v>
      </c>
      <c r="L325" s="217">
        <v>1365</v>
      </c>
      <c r="M325" s="217">
        <v>196</v>
      </c>
      <c r="N325" s="217">
        <v>250</v>
      </c>
      <c r="O325" s="217">
        <v>21</v>
      </c>
      <c r="P325" s="217">
        <v>350</v>
      </c>
      <c r="Q325" s="217">
        <v>70</v>
      </c>
      <c r="R325" s="217" t="s">
        <v>1807</v>
      </c>
    </row>
    <row r="326" spans="1:18" x14ac:dyDescent="0.25">
      <c r="A326" s="217">
        <v>325</v>
      </c>
      <c r="B326" s="217" t="s">
        <v>22</v>
      </c>
      <c r="C326" s="217" t="s">
        <v>23</v>
      </c>
      <c r="D326" s="217" t="s">
        <v>85</v>
      </c>
      <c r="E326" s="217" t="s">
        <v>84</v>
      </c>
      <c r="F326" s="217" t="s">
        <v>98</v>
      </c>
      <c r="G326" s="217" t="s">
        <v>97</v>
      </c>
      <c r="H326" s="217" t="s">
        <v>1172</v>
      </c>
      <c r="I326" s="217" t="s">
        <v>393</v>
      </c>
      <c r="J326" s="217" t="s">
        <v>2846</v>
      </c>
      <c r="K326" s="217" t="s">
        <v>2847</v>
      </c>
      <c r="L326" s="217">
        <v>35</v>
      </c>
      <c r="M326" s="217">
        <v>6</v>
      </c>
      <c r="N326" s="217">
        <v>16</v>
      </c>
      <c r="O326" s="217">
        <v>3</v>
      </c>
      <c r="P326" s="217">
        <v>37</v>
      </c>
      <c r="Q326" s="217">
        <v>2</v>
      </c>
      <c r="R326" s="217" t="s">
        <v>1807</v>
      </c>
    </row>
    <row r="327" spans="1:18" x14ac:dyDescent="0.25">
      <c r="A327" s="217">
        <v>326</v>
      </c>
      <c r="B327" s="217" t="s">
        <v>22</v>
      </c>
      <c r="C327" s="217" t="s">
        <v>23</v>
      </c>
      <c r="D327" s="217" t="s">
        <v>85</v>
      </c>
      <c r="E327" s="217" t="s">
        <v>84</v>
      </c>
      <c r="F327" s="217" t="s">
        <v>98</v>
      </c>
      <c r="G327" s="217" t="s">
        <v>97</v>
      </c>
      <c r="H327" s="217" t="s">
        <v>1173</v>
      </c>
      <c r="I327" s="217" t="s">
        <v>394</v>
      </c>
      <c r="J327" s="217" t="s">
        <v>2848</v>
      </c>
      <c r="K327" s="217" t="s">
        <v>2849</v>
      </c>
      <c r="L327" s="217">
        <v>51</v>
      </c>
      <c r="M327" s="217">
        <v>9</v>
      </c>
      <c r="N327" s="217">
        <v>0</v>
      </c>
      <c r="O327" s="217">
        <v>0</v>
      </c>
      <c r="P327" s="217">
        <v>0</v>
      </c>
      <c r="Q327" s="217">
        <v>0</v>
      </c>
      <c r="R327" s="217" t="s">
        <v>1807</v>
      </c>
    </row>
    <row r="328" spans="1:18" x14ac:dyDescent="0.25">
      <c r="A328" s="217">
        <v>327</v>
      </c>
      <c r="B328" s="217" t="s">
        <v>22</v>
      </c>
      <c r="C328" s="217" t="s">
        <v>23</v>
      </c>
      <c r="D328" s="217" t="s">
        <v>85</v>
      </c>
      <c r="E328" s="217" t="s">
        <v>84</v>
      </c>
      <c r="F328" s="217" t="s">
        <v>98</v>
      </c>
      <c r="G328" s="217" t="s">
        <v>97</v>
      </c>
      <c r="H328" s="217" t="s">
        <v>1174</v>
      </c>
      <c r="I328" s="217" t="s">
        <v>395</v>
      </c>
      <c r="J328" s="217" t="s">
        <v>2850</v>
      </c>
      <c r="K328" s="217" t="s">
        <v>2851</v>
      </c>
      <c r="L328" s="217">
        <v>45</v>
      </c>
      <c r="M328" s="217">
        <v>5</v>
      </c>
      <c r="N328" s="217">
        <v>75</v>
      </c>
      <c r="O328" s="217">
        <v>20</v>
      </c>
      <c r="P328" s="217">
        <v>0</v>
      </c>
      <c r="Q328" s="217">
        <v>0</v>
      </c>
      <c r="R328" s="217" t="s">
        <v>1807</v>
      </c>
    </row>
    <row r="329" spans="1:18" x14ac:dyDescent="0.25">
      <c r="A329" s="217">
        <v>328</v>
      </c>
      <c r="B329" s="217" t="s">
        <v>22</v>
      </c>
      <c r="C329" s="217" t="s">
        <v>23</v>
      </c>
      <c r="D329" s="217" t="s">
        <v>85</v>
      </c>
      <c r="E329" s="217" t="s">
        <v>84</v>
      </c>
      <c r="F329" s="217" t="s">
        <v>98</v>
      </c>
      <c r="G329" s="217" t="s">
        <v>97</v>
      </c>
      <c r="H329" s="217" t="s">
        <v>1175</v>
      </c>
      <c r="I329" s="217" t="s">
        <v>396</v>
      </c>
      <c r="J329" s="217" t="s">
        <v>2852</v>
      </c>
      <c r="K329" s="217" t="s">
        <v>2853</v>
      </c>
      <c r="L329" s="217">
        <v>77</v>
      </c>
      <c r="M329" s="217">
        <v>13</v>
      </c>
      <c r="N329" s="217">
        <v>0</v>
      </c>
      <c r="O329" s="217">
        <v>0</v>
      </c>
      <c r="P329" s="217">
        <v>0</v>
      </c>
      <c r="Q329" s="217">
        <v>0</v>
      </c>
      <c r="R329" s="217" t="s">
        <v>1807</v>
      </c>
    </row>
    <row r="330" spans="1:18" x14ac:dyDescent="0.25">
      <c r="A330" s="217">
        <v>329</v>
      </c>
      <c r="B330" s="217" t="s">
        <v>22</v>
      </c>
      <c r="C330" s="217" t="s">
        <v>23</v>
      </c>
      <c r="D330" s="217" t="s">
        <v>85</v>
      </c>
      <c r="E330" s="217" t="s">
        <v>84</v>
      </c>
      <c r="F330" s="217" t="s">
        <v>98</v>
      </c>
      <c r="G330" s="217" t="s">
        <v>97</v>
      </c>
      <c r="H330" s="217" t="s">
        <v>1176</v>
      </c>
      <c r="I330" s="217" t="s">
        <v>397</v>
      </c>
      <c r="J330" s="217" t="s">
        <v>2854</v>
      </c>
      <c r="K330" s="217" t="s">
        <v>2855</v>
      </c>
      <c r="L330" s="217">
        <v>90</v>
      </c>
      <c r="M330" s="217">
        <v>17</v>
      </c>
      <c r="N330" s="217">
        <v>0</v>
      </c>
      <c r="O330" s="217">
        <v>0</v>
      </c>
      <c r="P330" s="217">
        <v>0</v>
      </c>
      <c r="Q330" s="217">
        <v>0</v>
      </c>
      <c r="R330" s="217" t="s">
        <v>1807</v>
      </c>
    </row>
    <row r="331" spans="1:18" x14ac:dyDescent="0.25">
      <c r="A331" s="217">
        <v>330</v>
      </c>
      <c r="B331" s="217" t="s">
        <v>22</v>
      </c>
      <c r="C331" s="217" t="s">
        <v>23</v>
      </c>
      <c r="D331" s="217" t="s">
        <v>85</v>
      </c>
      <c r="E331" s="217" t="s">
        <v>84</v>
      </c>
      <c r="F331" s="217" t="s">
        <v>98</v>
      </c>
      <c r="G331" s="217" t="s">
        <v>97</v>
      </c>
      <c r="H331" s="217" t="s">
        <v>1177</v>
      </c>
      <c r="I331" s="217" t="s">
        <v>398</v>
      </c>
      <c r="J331" s="217" t="s">
        <v>2856</v>
      </c>
      <c r="K331" s="217" t="s">
        <v>2857</v>
      </c>
      <c r="L331" s="217">
        <v>152</v>
      </c>
      <c r="M331" s="217">
        <v>29</v>
      </c>
      <c r="N331" s="217">
        <v>0</v>
      </c>
      <c r="O331" s="217">
        <v>0</v>
      </c>
      <c r="P331" s="217">
        <v>0</v>
      </c>
      <c r="Q331" s="217">
        <v>0</v>
      </c>
      <c r="R331" s="217" t="s">
        <v>1807</v>
      </c>
    </row>
    <row r="332" spans="1:18" x14ac:dyDescent="0.25">
      <c r="A332" s="217">
        <v>331</v>
      </c>
      <c r="B332" s="217" t="s">
        <v>22</v>
      </c>
      <c r="C332" s="217" t="s">
        <v>23</v>
      </c>
      <c r="D332" s="217" t="s">
        <v>85</v>
      </c>
      <c r="E332" s="217" t="s">
        <v>84</v>
      </c>
      <c r="F332" s="217" t="s">
        <v>98</v>
      </c>
      <c r="G332" s="217" t="s">
        <v>97</v>
      </c>
      <c r="H332" s="217" t="s">
        <v>1178</v>
      </c>
      <c r="I332" s="217" t="s">
        <v>399</v>
      </c>
      <c r="J332" s="217" t="s">
        <v>2858</v>
      </c>
      <c r="K332" s="217" t="s">
        <v>2859</v>
      </c>
      <c r="L332" s="217">
        <v>102</v>
      </c>
      <c r="M332" s="217">
        <v>33</v>
      </c>
      <c r="N332" s="217">
        <v>102</v>
      </c>
      <c r="O332" s="217">
        <v>12</v>
      </c>
      <c r="P332" s="217">
        <v>0</v>
      </c>
      <c r="Q332" s="217">
        <v>0</v>
      </c>
      <c r="R332" s="217" t="s">
        <v>1807</v>
      </c>
    </row>
    <row r="333" spans="1:18" x14ac:dyDescent="0.25">
      <c r="A333" s="217">
        <v>332</v>
      </c>
      <c r="B333" s="217" t="s">
        <v>22</v>
      </c>
      <c r="C333" s="217" t="s">
        <v>23</v>
      </c>
      <c r="D333" s="217" t="s">
        <v>85</v>
      </c>
      <c r="E333" s="217" t="s">
        <v>84</v>
      </c>
      <c r="F333" s="217" t="s">
        <v>98</v>
      </c>
      <c r="G333" s="217" t="s">
        <v>97</v>
      </c>
      <c r="H333" s="217" t="s">
        <v>1179</v>
      </c>
      <c r="I333" s="217" t="s">
        <v>797</v>
      </c>
      <c r="J333" s="217" t="s">
        <v>2860</v>
      </c>
      <c r="K333" s="217" t="s">
        <v>2861</v>
      </c>
      <c r="L333" s="217">
        <v>63</v>
      </c>
      <c r="M333" s="217">
        <v>7</v>
      </c>
      <c r="N333" s="217">
        <v>0</v>
      </c>
      <c r="O333" s="217">
        <v>0</v>
      </c>
      <c r="P333" s="217">
        <v>0</v>
      </c>
      <c r="Q333" s="217">
        <v>0</v>
      </c>
      <c r="R333" s="217" t="s">
        <v>1807</v>
      </c>
    </row>
    <row r="334" spans="1:18" x14ac:dyDescent="0.25">
      <c r="A334" s="217">
        <v>333</v>
      </c>
      <c r="B334" s="217" t="s">
        <v>22</v>
      </c>
      <c r="C334" s="217" t="s">
        <v>23</v>
      </c>
      <c r="D334" s="217" t="s">
        <v>85</v>
      </c>
      <c r="E334" s="217" t="s">
        <v>84</v>
      </c>
      <c r="F334" s="217" t="s">
        <v>98</v>
      </c>
      <c r="G334" s="217" t="s">
        <v>97</v>
      </c>
      <c r="H334" s="217" t="s">
        <v>1511</v>
      </c>
      <c r="I334" s="217" t="s">
        <v>798</v>
      </c>
      <c r="J334" s="217" t="s">
        <v>2862</v>
      </c>
      <c r="K334" s="217" t="s">
        <v>2863</v>
      </c>
      <c r="L334" s="217">
        <v>17</v>
      </c>
      <c r="M334" s="217">
        <v>2</v>
      </c>
      <c r="N334" s="217">
        <v>34</v>
      </c>
      <c r="O334" s="217">
        <v>4</v>
      </c>
      <c r="P334" s="217">
        <v>0</v>
      </c>
      <c r="Q334" s="217">
        <v>0</v>
      </c>
      <c r="R334" s="217" t="s">
        <v>1807</v>
      </c>
    </row>
    <row r="335" spans="1:18" x14ac:dyDescent="0.25">
      <c r="A335" s="217">
        <v>334</v>
      </c>
      <c r="B335" s="217" t="s">
        <v>22</v>
      </c>
      <c r="C335" s="217" t="s">
        <v>23</v>
      </c>
      <c r="D335" s="217" t="s">
        <v>85</v>
      </c>
      <c r="E335" s="217" t="s">
        <v>84</v>
      </c>
      <c r="F335" s="217" t="s">
        <v>98</v>
      </c>
      <c r="G335" s="217" t="s">
        <v>97</v>
      </c>
      <c r="H335" s="217" t="s">
        <v>1180</v>
      </c>
      <c r="I335" s="217" t="s">
        <v>400</v>
      </c>
      <c r="J335" s="217" t="s">
        <v>2864</v>
      </c>
      <c r="K335" s="217" t="s">
        <v>2865</v>
      </c>
      <c r="L335" s="217">
        <v>134</v>
      </c>
      <c r="M335" s="217">
        <v>15</v>
      </c>
      <c r="N335" s="217">
        <v>0</v>
      </c>
      <c r="O335" s="217">
        <v>0</v>
      </c>
      <c r="P335" s="217">
        <v>0</v>
      </c>
      <c r="Q335" s="217">
        <v>0</v>
      </c>
      <c r="R335" s="217" t="s">
        <v>1807</v>
      </c>
    </row>
    <row r="336" spans="1:18" x14ac:dyDescent="0.25">
      <c r="A336" s="217">
        <v>335</v>
      </c>
      <c r="B336" s="217" t="s">
        <v>22</v>
      </c>
      <c r="C336" s="217" t="s">
        <v>23</v>
      </c>
      <c r="D336" s="217" t="s">
        <v>85</v>
      </c>
      <c r="E336" s="217" t="s">
        <v>84</v>
      </c>
      <c r="F336" s="217" t="s">
        <v>98</v>
      </c>
      <c r="G336" s="217" t="s">
        <v>97</v>
      </c>
      <c r="H336" s="217" t="s">
        <v>1181</v>
      </c>
      <c r="I336" s="217" t="s">
        <v>298</v>
      </c>
      <c r="J336" s="217" t="s">
        <v>2866</v>
      </c>
      <c r="K336" s="217" t="s">
        <v>2867</v>
      </c>
      <c r="L336" s="217">
        <v>60</v>
      </c>
      <c r="M336" s="217">
        <v>11</v>
      </c>
      <c r="N336" s="217">
        <v>26</v>
      </c>
      <c r="O336" s="217">
        <v>5</v>
      </c>
      <c r="P336" s="217">
        <v>0</v>
      </c>
      <c r="Q336" s="217">
        <v>0</v>
      </c>
      <c r="R336" s="217" t="s">
        <v>1807</v>
      </c>
    </row>
    <row r="337" spans="1:18" x14ac:dyDescent="0.25">
      <c r="A337" s="217">
        <v>336</v>
      </c>
      <c r="B337" s="217" t="s">
        <v>22</v>
      </c>
      <c r="C337" s="217" t="s">
        <v>23</v>
      </c>
      <c r="D337" s="217" t="s">
        <v>85</v>
      </c>
      <c r="E337" s="217" t="s">
        <v>84</v>
      </c>
      <c r="F337" s="217" t="s">
        <v>98</v>
      </c>
      <c r="G337" s="217" t="s">
        <v>97</v>
      </c>
      <c r="H337" s="217" t="s">
        <v>1183</v>
      </c>
      <c r="I337" s="217" t="s">
        <v>1182</v>
      </c>
      <c r="J337" s="217" t="s">
        <v>2868</v>
      </c>
      <c r="K337" s="217" t="s">
        <v>2869</v>
      </c>
      <c r="L337" s="217">
        <v>85</v>
      </c>
      <c r="M337" s="217">
        <v>13</v>
      </c>
      <c r="N337" s="217">
        <v>0</v>
      </c>
      <c r="O337" s="217">
        <v>0</v>
      </c>
      <c r="P337" s="217">
        <v>0</v>
      </c>
      <c r="Q337" s="217">
        <v>0</v>
      </c>
      <c r="R337" s="217" t="s">
        <v>1807</v>
      </c>
    </row>
    <row r="338" spans="1:18" x14ac:dyDescent="0.25">
      <c r="A338" s="217">
        <v>337</v>
      </c>
      <c r="B338" s="217" t="s">
        <v>22</v>
      </c>
      <c r="C338" s="217" t="s">
        <v>23</v>
      </c>
      <c r="D338" s="217" t="s">
        <v>85</v>
      </c>
      <c r="E338" s="217" t="s">
        <v>84</v>
      </c>
      <c r="F338" s="217" t="s">
        <v>98</v>
      </c>
      <c r="G338" s="217" t="s">
        <v>97</v>
      </c>
      <c r="H338" s="217" t="s">
        <v>2015</v>
      </c>
      <c r="I338" s="217" t="s">
        <v>2014</v>
      </c>
      <c r="J338" s="217" t="s">
        <v>2870</v>
      </c>
      <c r="K338" s="217" t="s">
        <v>2871</v>
      </c>
      <c r="L338" s="217">
        <v>0</v>
      </c>
      <c r="M338" s="217">
        <v>0</v>
      </c>
      <c r="N338" s="217">
        <v>0</v>
      </c>
      <c r="O338" s="217">
        <v>0</v>
      </c>
      <c r="P338" s="217">
        <v>0</v>
      </c>
      <c r="Q338" s="217">
        <v>0</v>
      </c>
      <c r="R338" s="217" t="s">
        <v>1807</v>
      </c>
    </row>
    <row r="339" spans="1:18" x14ac:dyDescent="0.25">
      <c r="A339" s="217">
        <v>338</v>
      </c>
      <c r="B339" s="217" t="s">
        <v>22</v>
      </c>
      <c r="C339" s="217" t="s">
        <v>23</v>
      </c>
      <c r="D339" s="217" t="s">
        <v>85</v>
      </c>
      <c r="E339" s="217" t="s">
        <v>84</v>
      </c>
      <c r="F339" s="217" t="s">
        <v>98</v>
      </c>
      <c r="G339" s="217" t="s">
        <v>97</v>
      </c>
      <c r="H339" s="217" t="s">
        <v>1184</v>
      </c>
      <c r="I339" s="217" t="s">
        <v>401</v>
      </c>
      <c r="J339" s="217" t="s">
        <v>2872</v>
      </c>
      <c r="K339" s="217" t="s">
        <v>2873</v>
      </c>
      <c r="L339" s="217">
        <v>32</v>
      </c>
      <c r="M339" s="217">
        <v>6</v>
      </c>
      <c r="N339" s="217">
        <v>53</v>
      </c>
      <c r="O339" s="217">
        <v>12</v>
      </c>
      <c r="P339" s="217">
        <v>0</v>
      </c>
      <c r="Q339" s="217">
        <v>0</v>
      </c>
      <c r="R339" s="217" t="s">
        <v>1807</v>
      </c>
    </row>
    <row r="340" spans="1:18" x14ac:dyDescent="0.25">
      <c r="A340" s="217">
        <v>339</v>
      </c>
      <c r="B340" s="217" t="s">
        <v>22</v>
      </c>
      <c r="C340" s="217" t="s">
        <v>23</v>
      </c>
      <c r="D340" s="217" t="s">
        <v>85</v>
      </c>
      <c r="E340" s="217" t="s">
        <v>84</v>
      </c>
      <c r="F340" s="217" t="s">
        <v>98</v>
      </c>
      <c r="G340" s="217" t="s">
        <v>97</v>
      </c>
      <c r="H340" s="217" t="s">
        <v>1185</v>
      </c>
      <c r="I340" s="217" t="s">
        <v>164</v>
      </c>
      <c r="J340" s="217" t="s">
        <v>2874</v>
      </c>
      <c r="K340" s="217" t="s">
        <v>2875</v>
      </c>
      <c r="L340" s="217">
        <v>26</v>
      </c>
      <c r="M340" s="217">
        <v>7</v>
      </c>
      <c r="N340" s="217">
        <v>64</v>
      </c>
      <c r="O340" s="217">
        <v>13</v>
      </c>
      <c r="P340" s="217">
        <v>26</v>
      </c>
      <c r="Q340" s="217">
        <v>7</v>
      </c>
      <c r="R340" s="217" t="s">
        <v>1807</v>
      </c>
    </row>
    <row r="341" spans="1:18" x14ac:dyDescent="0.25">
      <c r="A341" s="217">
        <v>340</v>
      </c>
      <c r="B341" s="217" t="s">
        <v>22</v>
      </c>
      <c r="C341" s="217" t="s">
        <v>23</v>
      </c>
      <c r="D341" s="217" t="s">
        <v>85</v>
      </c>
      <c r="E341" s="217" t="s">
        <v>84</v>
      </c>
      <c r="F341" s="217" t="s">
        <v>98</v>
      </c>
      <c r="G341" s="217" t="s">
        <v>97</v>
      </c>
      <c r="H341" s="217" t="s">
        <v>1186</v>
      </c>
      <c r="I341" s="217" t="s">
        <v>823</v>
      </c>
      <c r="J341" s="217" t="s">
        <v>2876</v>
      </c>
      <c r="K341" s="217" t="s">
        <v>2877</v>
      </c>
      <c r="L341" s="217">
        <v>47</v>
      </c>
      <c r="M341" s="217">
        <v>8</v>
      </c>
      <c r="N341" s="217">
        <v>142</v>
      </c>
      <c r="O341" s="217">
        <v>42</v>
      </c>
      <c r="P341" s="217">
        <v>0</v>
      </c>
      <c r="Q341" s="217">
        <v>0</v>
      </c>
      <c r="R341" s="217" t="s">
        <v>1807</v>
      </c>
    </row>
    <row r="342" spans="1:18" x14ac:dyDescent="0.25">
      <c r="A342" s="217">
        <v>341</v>
      </c>
      <c r="B342" s="217" t="s">
        <v>22</v>
      </c>
      <c r="C342" s="217" t="s">
        <v>23</v>
      </c>
      <c r="D342" s="217" t="s">
        <v>85</v>
      </c>
      <c r="E342" s="217" t="s">
        <v>84</v>
      </c>
      <c r="F342" s="217" t="s">
        <v>98</v>
      </c>
      <c r="G342" s="217" t="s">
        <v>97</v>
      </c>
      <c r="H342" s="217" t="s">
        <v>1683</v>
      </c>
      <c r="I342" s="217" t="s">
        <v>794</v>
      </c>
      <c r="J342" s="217" t="s">
        <v>2878</v>
      </c>
      <c r="K342" s="217" t="s">
        <v>2879</v>
      </c>
      <c r="L342" s="217">
        <v>0</v>
      </c>
      <c r="M342" s="217">
        <v>0</v>
      </c>
      <c r="N342" s="217">
        <v>0</v>
      </c>
      <c r="O342" s="217">
        <v>0</v>
      </c>
      <c r="P342" s="217">
        <v>0</v>
      </c>
      <c r="Q342" s="217">
        <v>0</v>
      </c>
      <c r="R342" s="217" t="s">
        <v>1807</v>
      </c>
    </row>
    <row r="343" spans="1:18" x14ac:dyDescent="0.25">
      <c r="A343" s="217">
        <v>342</v>
      </c>
      <c r="B343" s="217" t="s">
        <v>22</v>
      </c>
      <c r="C343" s="217" t="s">
        <v>23</v>
      </c>
      <c r="D343" s="217" t="s">
        <v>85</v>
      </c>
      <c r="E343" s="217" t="s">
        <v>84</v>
      </c>
      <c r="F343" s="217" t="s">
        <v>98</v>
      </c>
      <c r="G343" s="217" t="s">
        <v>97</v>
      </c>
      <c r="H343" s="217" t="s">
        <v>1187</v>
      </c>
      <c r="I343" s="217" t="s">
        <v>402</v>
      </c>
      <c r="J343" s="217" t="s">
        <v>2880</v>
      </c>
      <c r="K343" s="217" t="s">
        <v>2881</v>
      </c>
      <c r="L343" s="217">
        <v>51</v>
      </c>
      <c r="M343" s="217">
        <v>6</v>
      </c>
      <c r="N343" s="217">
        <v>85</v>
      </c>
      <c r="O343" s="217">
        <v>10</v>
      </c>
      <c r="P343" s="217">
        <v>0</v>
      </c>
      <c r="Q343" s="217">
        <v>0</v>
      </c>
      <c r="R343" s="217" t="s">
        <v>1807</v>
      </c>
    </row>
    <row r="344" spans="1:18" x14ac:dyDescent="0.25">
      <c r="A344" s="217">
        <v>343</v>
      </c>
      <c r="B344" s="217" t="s">
        <v>22</v>
      </c>
      <c r="C344" s="217" t="s">
        <v>23</v>
      </c>
      <c r="D344" s="217" t="s">
        <v>85</v>
      </c>
      <c r="E344" s="217" t="s">
        <v>84</v>
      </c>
      <c r="F344" s="217" t="s">
        <v>98</v>
      </c>
      <c r="G344" s="217" t="s">
        <v>97</v>
      </c>
      <c r="H344" s="217" t="s">
        <v>1188</v>
      </c>
      <c r="I344" s="217" t="s">
        <v>403</v>
      </c>
      <c r="J344" s="217" t="s">
        <v>2882</v>
      </c>
      <c r="K344" s="217" t="s">
        <v>2883</v>
      </c>
      <c r="L344" s="217">
        <v>47</v>
      </c>
      <c r="M344" s="217">
        <v>8</v>
      </c>
      <c r="N344" s="217">
        <v>4</v>
      </c>
      <c r="O344" s="217">
        <v>1</v>
      </c>
      <c r="P344" s="217">
        <v>0</v>
      </c>
      <c r="Q344" s="217">
        <v>0</v>
      </c>
      <c r="R344" s="217" t="s">
        <v>1807</v>
      </c>
    </row>
    <row r="345" spans="1:18" x14ac:dyDescent="0.25">
      <c r="A345" s="217">
        <v>344</v>
      </c>
      <c r="B345" s="217" t="s">
        <v>22</v>
      </c>
      <c r="C345" s="217" t="s">
        <v>23</v>
      </c>
      <c r="D345" s="217" t="s">
        <v>85</v>
      </c>
      <c r="E345" s="217" t="s">
        <v>84</v>
      </c>
      <c r="F345" s="217" t="s">
        <v>98</v>
      </c>
      <c r="G345" s="217" t="s">
        <v>97</v>
      </c>
      <c r="H345" s="217" t="s">
        <v>1190</v>
      </c>
      <c r="I345" s="217" t="s">
        <v>1189</v>
      </c>
      <c r="J345" s="217" t="s">
        <v>2884</v>
      </c>
      <c r="K345" s="217" t="s">
        <v>2885</v>
      </c>
      <c r="L345" s="217">
        <v>175</v>
      </c>
      <c r="M345" s="217">
        <v>35</v>
      </c>
      <c r="N345" s="217">
        <v>0</v>
      </c>
      <c r="O345" s="217">
        <v>0</v>
      </c>
      <c r="P345" s="217">
        <v>0</v>
      </c>
      <c r="Q345" s="217">
        <v>0</v>
      </c>
      <c r="R345" s="217" t="s">
        <v>1807</v>
      </c>
    </row>
    <row r="346" spans="1:18" x14ac:dyDescent="0.25">
      <c r="A346" s="217">
        <v>345</v>
      </c>
      <c r="B346" s="217" t="s">
        <v>22</v>
      </c>
      <c r="C346" s="217" t="s">
        <v>23</v>
      </c>
      <c r="D346" s="217" t="s">
        <v>85</v>
      </c>
      <c r="E346" s="217" t="s">
        <v>84</v>
      </c>
      <c r="F346" s="217" t="s">
        <v>98</v>
      </c>
      <c r="G346" s="217" t="s">
        <v>97</v>
      </c>
      <c r="H346" s="217" t="s">
        <v>1191</v>
      </c>
      <c r="I346" s="217" t="s">
        <v>404</v>
      </c>
      <c r="J346" s="217" t="s">
        <v>2886</v>
      </c>
      <c r="K346" s="217" t="s">
        <v>2887</v>
      </c>
      <c r="L346" s="217">
        <v>7</v>
      </c>
      <c r="M346" s="217">
        <v>1</v>
      </c>
      <c r="N346" s="217">
        <v>75</v>
      </c>
      <c r="O346" s="217">
        <v>9</v>
      </c>
      <c r="P346" s="217">
        <v>0</v>
      </c>
      <c r="Q346" s="217">
        <v>0</v>
      </c>
      <c r="R346" s="217" t="s">
        <v>1807</v>
      </c>
    </row>
    <row r="347" spans="1:18" x14ac:dyDescent="0.25">
      <c r="A347" s="217">
        <v>346</v>
      </c>
      <c r="B347" s="217" t="s">
        <v>22</v>
      </c>
      <c r="C347" s="217" t="s">
        <v>23</v>
      </c>
      <c r="D347" s="217" t="s">
        <v>85</v>
      </c>
      <c r="E347" s="217" t="s">
        <v>84</v>
      </c>
      <c r="F347" s="217" t="s">
        <v>98</v>
      </c>
      <c r="G347" s="217" t="s">
        <v>97</v>
      </c>
      <c r="H347" s="217" t="s">
        <v>1192</v>
      </c>
      <c r="I347" s="217" t="s">
        <v>825</v>
      </c>
      <c r="J347" s="217" t="s">
        <v>2888</v>
      </c>
      <c r="K347" s="217" t="s">
        <v>2889</v>
      </c>
      <c r="L347" s="217">
        <v>298</v>
      </c>
      <c r="M347" s="217">
        <v>36</v>
      </c>
      <c r="N347" s="217">
        <v>25</v>
      </c>
      <c r="O347" s="217">
        <v>5</v>
      </c>
      <c r="P347" s="217">
        <v>0</v>
      </c>
      <c r="Q347" s="217">
        <v>0</v>
      </c>
      <c r="R347" s="217" t="s">
        <v>1807</v>
      </c>
    </row>
    <row r="348" spans="1:18" x14ac:dyDescent="0.25">
      <c r="A348" s="217">
        <v>347</v>
      </c>
      <c r="B348" s="217" t="s">
        <v>22</v>
      </c>
      <c r="C348" s="217" t="s">
        <v>23</v>
      </c>
      <c r="D348" s="217" t="s">
        <v>85</v>
      </c>
      <c r="E348" s="217" t="s">
        <v>84</v>
      </c>
      <c r="F348" s="217" t="s">
        <v>98</v>
      </c>
      <c r="G348" s="217" t="s">
        <v>97</v>
      </c>
      <c r="H348" s="217" t="s">
        <v>1193</v>
      </c>
      <c r="I348" s="217" t="s">
        <v>826</v>
      </c>
      <c r="J348" s="217" t="s">
        <v>2890</v>
      </c>
      <c r="K348" s="217" t="s">
        <v>2891</v>
      </c>
      <c r="L348" s="217">
        <v>60</v>
      </c>
      <c r="M348" s="217">
        <v>7</v>
      </c>
      <c r="N348" s="217">
        <v>94</v>
      </c>
      <c r="O348" s="217">
        <v>11</v>
      </c>
      <c r="P348" s="217">
        <v>0</v>
      </c>
      <c r="Q348" s="217">
        <v>0</v>
      </c>
      <c r="R348" s="217" t="s">
        <v>1807</v>
      </c>
    </row>
    <row r="349" spans="1:18" x14ac:dyDescent="0.25">
      <c r="A349" s="217">
        <v>348</v>
      </c>
      <c r="B349" s="217" t="s">
        <v>22</v>
      </c>
      <c r="C349" s="217" t="s">
        <v>23</v>
      </c>
      <c r="D349" s="217" t="s">
        <v>85</v>
      </c>
      <c r="E349" s="217" t="s">
        <v>84</v>
      </c>
      <c r="F349" s="217" t="s">
        <v>98</v>
      </c>
      <c r="G349" s="217" t="s">
        <v>97</v>
      </c>
      <c r="H349" s="217" t="s">
        <v>1684</v>
      </c>
      <c r="I349" s="217" t="s">
        <v>405</v>
      </c>
      <c r="J349" s="217" t="s">
        <v>2892</v>
      </c>
      <c r="K349" s="217" t="s">
        <v>2893</v>
      </c>
      <c r="L349" s="217">
        <v>72</v>
      </c>
      <c r="M349" s="217">
        <v>13</v>
      </c>
      <c r="N349" s="217">
        <v>0</v>
      </c>
      <c r="O349" s="217">
        <v>0</v>
      </c>
      <c r="P349" s="217">
        <v>0</v>
      </c>
      <c r="Q349" s="217">
        <v>0</v>
      </c>
      <c r="R349" s="217" t="s">
        <v>1807</v>
      </c>
    </row>
    <row r="350" spans="1:18" x14ac:dyDescent="0.25">
      <c r="A350" s="217">
        <v>349</v>
      </c>
      <c r="B350" s="217" t="s">
        <v>22</v>
      </c>
      <c r="C350" s="217" t="s">
        <v>23</v>
      </c>
      <c r="D350" s="217" t="s">
        <v>85</v>
      </c>
      <c r="E350" s="217" t="s">
        <v>84</v>
      </c>
      <c r="F350" s="217" t="s">
        <v>98</v>
      </c>
      <c r="G350" s="217" t="s">
        <v>97</v>
      </c>
      <c r="H350" s="217" t="s">
        <v>1194</v>
      </c>
      <c r="I350" s="217" t="s">
        <v>406</v>
      </c>
      <c r="J350" s="217" t="s">
        <v>2894</v>
      </c>
      <c r="K350" s="217" t="s">
        <v>2895</v>
      </c>
      <c r="L350" s="217">
        <v>202</v>
      </c>
      <c r="M350" s="217">
        <v>34</v>
      </c>
      <c r="N350" s="217">
        <v>0</v>
      </c>
      <c r="O350" s="217">
        <v>0</v>
      </c>
      <c r="P350" s="217">
        <v>0</v>
      </c>
      <c r="Q350" s="217">
        <v>0</v>
      </c>
      <c r="R350" s="217" t="s">
        <v>1807</v>
      </c>
    </row>
    <row r="351" spans="1:18" x14ac:dyDescent="0.25">
      <c r="A351" s="217">
        <v>350</v>
      </c>
      <c r="B351" s="217" t="s">
        <v>22</v>
      </c>
      <c r="C351" s="217" t="s">
        <v>23</v>
      </c>
      <c r="D351" s="217" t="s">
        <v>85</v>
      </c>
      <c r="E351" s="217" t="s">
        <v>84</v>
      </c>
      <c r="F351" s="217" t="s">
        <v>98</v>
      </c>
      <c r="G351" s="217" t="s">
        <v>97</v>
      </c>
      <c r="H351" s="217" t="s">
        <v>1196</v>
      </c>
      <c r="I351" s="217" t="s">
        <v>1195</v>
      </c>
      <c r="J351" s="217" t="s">
        <v>2896</v>
      </c>
      <c r="K351" s="217" t="s">
        <v>2897</v>
      </c>
      <c r="L351" s="217">
        <v>27</v>
      </c>
      <c r="M351" s="217">
        <v>9</v>
      </c>
      <c r="N351" s="217">
        <v>0</v>
      </c>
      <c r="O351" s="217">
        <v>0</v>
      </c>
      <c r="P351" s="217">
        <v>0</v>
      </c>
      <c r="Q351" s="217">
        <v>0</v>
      </c>
      <c r="R351" s="217" t="s">
        <v>1807</v>
      </c>
    </row>
    <row r="352" spans="1:18" x14ac:dyDescent="0.25">
      <c r="A352" s="217">
        <v>351</v>
      </c>
      <c r="B352" s="217" t="s">
        <v>22</v>
      </c>
      <c r="C352" s="217" t="s">
        <v>23</v>
      </c>
      <c r="D352" s="217" t="s">
        <v>85</v>
      </c>
      <c r="E352" s="217" t="s">
        <v>84</v>
      </c>
      <c r="F352" s="217" t="s">
        <v>98</v>
      </c>
      <c r="G352" s="217" t="s">
        <v>97</v>
      </c>
      <c r="H352" s="217" t="s">
        <v>1687</v>
      </c>
      <c r="I352" s="217" t="s">
        <v>805</v>
      </c>
      <c r="J352" s="217" t="s">
        <v>2898</v>
      </c>
      <c r="K352" s="217" t="s">
        <v>2899</v>
      </c>
      <c r="L352" s="217">
        <v>0</v>
      </c>
      <c r="M352" s="217">
        <v>0</v>
      </c>
      <c r="N352" s="217">
        <v>0</v>
      </c>
      <c r="O352" s="217">
        <v>0</v>
      </c>
      <c r="P352" s="217">
        <v>0</v>
      </c>
      <c r="Q352" s="217">
        <v>0</v>
      </c>
      <c r="R352" s="217" t="s">
        <v>1807</v>
      </c>
    </row>
    <row r="353" spans="1:18" x14ac:dyDescent="0.25">
      <c r="A353" s="217">
        <v>352</v>
      </c>
      <c r="B353" s="217" t="s">
        <v>22</v>
      </c>
      <c r="C353" s="217" t="s">
        <v>23</v>
      </c>
      <c r="D353" s="217" t="s">
        <v>85</v>
      </c>
      <c r="E353" s="217" t="s">
        <v>84</v>
      </c>
      <c r="F353" s="217" t="s">
        <v>98</v>
      </c>
      <c r="G353" s="217" t="s">
        <v>97</v>
      </c>
      <c r="H353" s="217" t="s">
        <v>1197</v>
      </c>
      <c r="I353" s="217" t="s">
        <v>407</v>
      </c>
      <c r="J353" s="217" t="s">
        <v>2900</v>
      </c>
      <c r="K353" s="217" t="s">
        <v>2901</v>
      </c>
      <c r="L353" s="217">
        <v>43</v>
      </c>
      <c r="M353" s="217">
        <v>4</v>
      </c>
      <c r="N353" s="217">
        <v>15</v>
      </c>
      <c r="O353" s="217">
        <v>3</v>
      </c>
      <c r="P353" s="217">
        <v>0</v>
      </c>
      <c r="Q353" s="217">
        <v>0</v>
      </c>
      <c r="R353" s="217" t="s">
        <v>1807</v>
      </c>
    </row>
    <row r="354" spans="1:18" x14ac:dyDescent="0.25">
      <c r="A354" s="217">
        <v>353</v>
      </c>
      <c r="B354" s="217" t="s">
        <v>22</v>
      </c>
      <c r="C354" s="217" t="s">
        <v>23</v>
      </c>
      <c r="D354" s="217" t="s">
        <v>85</v>
      </c>
      <c r="E354" s="217" t="s">
        <v>84</v>
      </c>
      <c r="F354" s="217" t="s">
        <v>98</v>
      </c>
      <c r="G354" s="217" t="s">
        <v>97</v>
      </c>
      <c r="H354" s="217" t="s">
        <v>1198</v>
      </c>
      <c r="I354" s="217" t="s">
        <v>816</v>
      </c>
      <c r="J354" s="217" t="s">
        <v>2902</v>
      </c>
      <c r="K354" s="217" t="s">
        <v>2903</v>
      </c>
      <c r="L354" s="217">
        <v>94</v>
      </c>
      <c r="M354" s="217">
        <v>11</v>
      </c>
      <c r="N354" s="217">
        <v>92</v>
      </c>
      <c r="O354" s="217">
        <v>11</v>
      </c>
      <c r="P354" s="217">
        <v>0</v>
      </c>
      <c r="Q354" s="217">
        <v>0</v>
      </c>
      <c r="R354" s="217" t="s">
        <v>1807</v>
      </c>
    </row>
    <row r="355" spans="1:18" x14ac:dyDescent="0.25">
      <c r="A355" s="217">
        <v>354</v>
      </c>
      <c r="B355" s="217" t="s">
        <v>22</v>
      </c>
      <c r="C355" s="217" t="s">
        <v>23</v>
      </c>
      <c r="D355" s="217" t="s">
        <v>85</v>
      </c>
      <c r="E355" s="217" t="s">
        <v>84</v>
      </c>
      <c r="F355" s="217" t="s">
        <v>98</v>
      </c>
      <c r="G355" s="217" t="s">
        <v>97</v>
      </c>
      <c r="H355" s="217" t="s">
        <v>1680</v>
      </c>
      <c r="I355" s="217" t="s">
        <v>700</v>
      </c>
      <c r="J355" s="217" t="s">
        <v>2904</v>
      </c>
      <c r="K355" s="217" t="s">
        <v>2905</v>
      </c>
      <c r="L355" s="217">
        <v>0</v>
      </c>
      <c r="M355" s="217">
        <v>0</v>
      </c>
      <c r="N355" s="217">
        <v>0</v>
      </c>
      <c r="O355" s="217">
        <v>0</v>
      </c>
      <c r="P355" s="217">
        <v>0</v>
      </c>
      <c r="Q355" s="217">
        <v>0</v>
      </c>
      <c r="R355" s="217" t="s">
        <v>1807</v>
      </c>
    </row>
    <row r="356" spans="1:18" x14ac:dyDescent="0.25">
      <c r="A356" s="217">
        <v>355</v>
      </c>
      <c r="B356" s="217" t="s">
        <v>22</v>
      </c>
      <c r="C356" s="217" t="s">
        <v>23</v>
      </c>
      <c r="D356" s="217" t="s">
        <v>85</v>
      </c>
      <c r="E356" s="217" t="s">
        <v>84</v>
      </c>
      <c r="F356" s="217" t="s">
        <v>98</v>
      </c>
      <c r="G356" s="217" t="s">
        <v>97</v>
      </c>
      <c r="H356" s="217" t="s">
        <v>1199</v>
      </c>
      <c r="I356" s="217" t="s">
        <v>408</v>
      </c>
      <c r="J356" s="217" t="s">
        <v>2906</v>
      </c>
      <c r="K356" s="217" t="s">
        <v>2907</v>
      </c>
      <c r="L356" s="217">
        <v>5</v>
      </c>
      <c r="M356" s="217">
        <v>1</v>
      </c>
      <c r="N356" s="217">
        <v>15</v>
      </c>
      <c r="O356" s="217">
        <v>2</v>
      </c>
      <c r="P356" s="217">
        <v>0</v>
      </c>
      <c r="Q356" s="217">
        <v>0</v>
      </c>
      <c r="R356" s="217" t="s">
        <v>1807</v>
      </c>
    </row>
    <row r="357" spans="1:18" x14ac:dyDescent="0.25">
      <c r="A357" s="217">
        <v>356</v>
      </c>
      <c r="B357" s="217" t="s">
        <v>22</v>
      </c>
      <c r="C357" s="217" t="s">
        <v>23</v>
      </c>
      <c r="D357" s="217" t="s">
        <v>85</v>
      </c>
      <c r="E357" s="217" t="s">
        <v>84</v>
      </c>
      <c r="F357" s="217" t="s">
        <v>98</v>
      </c>
      <c r="G357" s="217" t="s">
        <v>97</v>
      </c>
      <c r="H357" s="217" t="s">
        <v>1200</v>
      </c>
      <c r="I357" s="217" t="s">
        <v>804</v>
      </c>
      <c r="J357" s="217" t="s">
        <v>2908</v>
      </c>
      <c r="K357" s="217" t="s">
        <v>2909</v>
      </c>
      <c r="L357" s="217">
        <v>36</v>
      </c>
      <c r="M357" s="217">
        <v>4</v>
      </c>
      <c r="N357" s="217">
        <v>0</v>
      </c>
      <c r="O357" s="217">
        <v>0</v>
      </c>
      <c r="P357" s="217">
        <v>0</v>
      </c>
      <c r="Q357" s="217">
        <v>0</v>
      </c>
      <c r="R357" s="217" t="s">
        <v>1807</v>
      </c>
    </row>
    <row r="358" spans="1:18" x14ac:dyDescent="0.25">
      <c r="A358" s="217">
        <v>357</v>
      </c>
      <c r="B358" s="217" t="s">
        <v>22</v>
      </c>
      <c r="C358" s="217" t="s">
        <v>23</v>
      </c>
      <c r="D358" s="217" t="s">
        <v>85</v>
      </c>
      <c r="E358" s="217" t="s">
        <v>84</v>
      </c>
      <c r="F358" s="217" t="s">
        <v>98</v>
      </c>
      <c r="G358" s="217" t="s">
        <v>97</v>
      </c>
      <c r="H358" s="217" t="s">
        <v>1201</v>
      </c>
      <c r="I358" s="217" t="s">
        <v>814</v>
      </c>
      <c r="J358" s="217" t="s">
        <v>2910</v>
      </c>
      <c r="K358" s="217" t="s">
        <v>2911</v>
      </c>
      <c r="L358" s="217">
        <v>111</v>
      </c>
      <c r="M358" s="217">
        <v>13</v>
      </c>
      <c r="N358" s="217">
        <v>0</v>
      </c>
      <c r="O358" s="217">
        <v>0</v>
      </c>
      <c r="P358" s="217">
        <v>0</v>
      </c>
      <c r="Q358" s="217">
        <v>0</v>
      </c>
      <c r="R358" s="217" t="s">
        <v>1807</v>
      </c>
    </row>
    <row r="359" spans="1:18" x14ac:dyDescent="0.25">
      <c r="A359" s="217">
        <v>358</v>
      </c>
      <c r="B359" s="217" t="s">
        <v>22</v>
      </c>
      <c r="C359" s="217" t="s">
        <v>23</v>
      </c>
      <c r="D359" s="217" t="s">
        <v>85</v>
      </c>
      <c r="E359" s="217" t="s">
        <v>84</v>
      </c>
      <c r="F359" s="217" t="s">
        <v>98</v>
      </c>
      <c r="G359" s="217" t="s">
        <v>97</v>
      </c>
      <c r="H359" s="217" t="s">
        <v>1822</v>
      </c>
      <c r="I359" s="217" t="s">
        <v>1823</v>
      </c>
      <c r="J359" s="217" t="s">
        <v>2912</v>
      </c>
      <c r="K359" s="217" t="s">
        <v>2913</v>
      </c>
      <c r="L359" s="217">
        <v>70</v>
      </c>
      <c r="M359" s="217">
        <v>8</v>
      </c>
      <c r="N359" s="217">
        <v>80</v>
      </c>
      <c r="O359" s="217">
        <v>10</v>
      </c>
      <c r="P359" s="217">
        <v>0</v>
      </c>
      <c r="Q359" s="217">
        <v>0</v>
      </c>
      <c r="R359" s="217" t="s">
        <v>1807</v>
      </c>
    </row>
    <row r="360" spans="1:18" x14ac:dyDescent="0.25">
      <c r="A360" s="217">
        <v>359</v>
      </c>
      <c r="B360" s="217" t="s">
        <v>22</v>
      </c>
      <c r="C360" s="217" t="s">
        <v>23</v>
      </c>
      <c r="D360" s="217" t="s">
        <v>85</v>
      </c>
      <c r="E360" s="217" t="s">
        <v>84</v>
      </c>
      <c r="F360" s="217" t="s">
        <v>98</v>
      </c>
      <c r="G360" s="217" t="s">
        <v>97</v>
      </c>
      <c r="H360" s="217" t="s">
        <v>1202</v>
      </c>
      <c r="I360" s="217" t="s">
        <v>301</v>
      </c>
      <c r="J360" s="217" t="s">
        <v>2914</v>
      </c>
      <c r="K360" s="217" t="s">
        <v>2915</v>
      </c>
      <c r="L360" s="217">
        <v>57</v>
      </c>
      <c r="M360" s="217">
        <v>10</v>
      </c>
      <c r="N360" s="217">
        <v>0</v>
      </c>
      <c r="O360" s="217">
        <v>0</v>
      </c>
      <c r="P360" s="217">
        <v>0</v>
      </c>
      <c r="Q360" s="217">
        <v>0</v>
      </c>
      <c r="R360" s="217" t="s">
        <v>1807</v>
      </c>
    </row>
    <row r="361" spans="1:18" x14ac:dyDescent="0.25">
      <c r="A361" s="217">
        <v>360</v>
      </c>
      <c r="B361" s="217" t="s">
        <v>22</v>
      </c>
      <c r="C361" s="217" t="s">
        <v>23</v>
      </c>
      <c r="D361" s="217" t="s">
        <v>85</v>
      </c>
      <c r="E361" s="217" t="s">
        <v>84</v>
      </c>
      <c r="F361" s="217" t="s">
        <v>98</v>
      </c>
      <c r="G361" s="217" t="s">
        <v>97</v>
      </c>
      <c r="H361" s="217" t="s">
        <v>1203</v>
      </c>
      <c r="I361" s="217" t="s">
        <v>818</v>
      </c>
      <c r="J361" s="217" t="s">
        <v>2916</v>
      </c>
      <c r="K361" s="217" t="s">
        <v>2917</v>
      </c>
      <c r="L361" s="217">
        <v>15</v>
      </c>
      <c r="M361" s="217">
        <v>4</v>
      </c>
      <c r="N361" s="217">
        <v>150</v>
      </c>
      <c r="O361" s="217">
        <v>30</v>
      </c>
      <c r="P361" s="217">
        <v>80</v>
      </c>
      <c r="Q361" s="217">
        <v>15</v>
      </c>
      <c r="R361" s="217" t="s">
        <v>1807</v>
      </c>
    </row>
    <row r="362" spans="1:18" x14ac:dyDescent="0.25">
      <c r="A362" s="217">
        <v>361</v>
      </c>
      <c r="B362" s="217" t="s">
        <v>22</v>
      </c>
      <c r="C362" s="217" t="s">
        <v>23</v>
      </c>
      <c r="D362" s="217" t="s">
        <v>85</v>
      </c>
      <c r="E362" s="217" t="s">
        <v>84</v>
      </c>
      <c r="F362" s="217" t="s">
        <v>98</v>
      </c>
      <c r="G362" s="217" t="s">
        <v>97</v>
      </c>
      <c r="H362" s="217" t="s">
        <v>1204</v>
      </c>
      <c r="I362" s="217" t="s">
        <v>701</v>
      </c>
      <c r="J362" s="217" t="s">
        <v>2918</v>
      </c>
      <c r="K362" s="217" t="s">
        <v>2919</v>
      </c>
      <c r="L362" s="217">
        <v>60</v>
      </c>
      <c r="M362" s="217">
        <v>7</v>
      </c>
      <c r="N362" s="217">
        <v>77</v>
      </c>
      <c r="O362" s="217">
        <v>9</v>
      </c>
      <c r="P362" s="217">
        <v>43</v>
      </c>
      <c r="Q362" s="217">
        <v>5</v>
      </c>
      <c r="R362" s="217" t="s">
        <v>1807</v>
      </c>
    </row>
    <row r="363" spans="1:18" x14ac:dyDescent="0.25">
      <c r="A363" s="217">
        <v>362</v>
      </c>
      <c r="B363" s="217" t="s">
        <v>22</v>
      </c>
      <c r="C363" s="217" t="s">
        <v>23</v>
      </c>
      <c r="D363" s="217" t="s">
        <v>85</v>
      </c>
      <c r="E363" s="217" t="s">
        <v>84</v>
      </c>
      <c r="F363" s="217" t="s">
        <v>98</v>
      </c>
      <c r="G363" s="217" t="s">
        <v>97</v>
      </c>
      <c r="H363" s="217" t="s">
        <v>1205</v>
      </c>
      <c r="I363" s="217" t="s">
        <v>409</v>
      </c>
      <c r="J363" s="217" t="s">
        <v>2920</v>
      </c>
      <c r="K363" s="217" t="s">
        <v>2921</v>
      </c>
      <c r="L363" s="217">
        <v>168</v>
      </c>
      <c r="M363" s="217">
        <v>19</v>
      </c>
      <c r="N363" s="217">
        <v>0</v>
      </c>
      <c r="O363" s="217">
        <v>0</v>
      </c>
      <c r="P363" s="217">
        <v>0</v>
      </c>
      <c r="Q363" s="217">
        <v>0</v>
      </c>
      <c r="R363" s="217" t="s">
        <v>1807</v>
      </c>
    </row>
    <row r="364" spans="1:18" x14ac:dyDescent="0.25">
      <c r="A364" s="217">
        <v>363</v>
      </c>
      <c r="B364" s="217" t="s">
        <v>22</v>
      </c>
      <c r="C364" s="217" t="s">
        <v>23</v>
      </c>
      <c r="D364" s="217" t="s">
        <v>85</v>
      </c>
      <c r="E364" s="217" t="s">
        <v>84</v>
      </c>
      <c r="F364" s="217" t="s">
        <v>98</v>
      </c>
      <c r="G364" s="217" t="s">
        <v>97</v>
      </c>
      <c r="H364" s="217" t="s">
        <v>2138</v>
      </c>
      <c r="I364" s="217" t="s">
        <v>2137</v>
      </c>
      <c r="J364" s="217" t="s">
        <v>2922</v>
      </c>
      <c r="K364" s="217" t="s">
        <v>2923</v>
      </c>
      <c r="L364" s="217">
        <v>43</v>
      </c>
      <c r="M364" s="217">
        <v>5</v>
      </c>
      <c r="N364" s="217">
        <v>94</v>
      </c>
      <c r="O364" s="217">
        <v>11</v>
      </c>
      <c r="P364" s="217">
        <v>0</v>
      </c>
      <c r="Q364" s="217">
        <v>0</v>
      </c>
      <c r="R364" s="217" t="s">
        <v>1810</v>
      </c>
    </row>
    <row r="365" spans="1:18" x14ac:dyDescent="0.25">
      <c r="A365" s="217">
        <v>364</v>
      </c>
      <c r="B365" s="217" t="s">
        <v>22</v>
      </c>
      <c r="C365" s="217" t="s">
        <v>23</v>
      </c>
      <c r="D365" s="217" t="s">
        <v>85</v>
      </c>
      <c r="E365" s="217" t="s">
        <v>84</v>
      </c>
      <c r="F365" s="217" t="s">
        <v>98</v>
      </c>
      <c r="G365" s="217" t="s">
        <v>97</v>
      </c>
      <c r="H365" s="217" t="s">
        <v>1512</v>
      </c>
      <c r="I365" s="217" t="s">
        <v>626</v>
      </c>
      <c r="J365" s="217" t="s">
        <v>2924</v>
      </c>
      <c r="K365" s="217" t="s">
        <v>2925</v>
      </c>
      <c r="L365" s="217">
        <v>0</v>
      </c>
      <c r="M365" s="217">
        <v>0</v>
      </c>
      <c r="N365" s="217">
        <v>0</v>
      </c>
      <c r="O365" s="217">
        <v>0</v>
      </c>
      <c r="P365" s="217">
        <v>0</v>
      </c>
      <c r="Q365" s="217">
        <v>0</v>
      </c>
      <c r="R365" s="217" t="s">
        <v>1807</v>
      </c>
    </row>
    <row r="366" spans="1:18" x14ac:dyDescent="0.25">
      <c r="A366" s="217">
        <v>365</v>
      </c>
      <c r="B366" s="217" t="s">
        <v>22</v>
      </c>
      <c r="C366" s="217" t="s">
        <v>23</v>
      </c>
      <c r="D366" s="217" t="s">
        <v>85</v>
      </c>
      <c r="E366" s="217" t="s">
        <v>84</v>
      </c>
      <c r="F366" s="217" t="s">
        <v>98</v>
      </c>
      <c r="G366" s="217" t="s">
        <v>97</v>
      </c>
      <c r="H366" s="217" t="s">
        <v>1513</v>
      </c>
      <c r="I366" s="217" t="s">
        <v>827</v>
      </c>
      <c r="J366" s="217" t="s">
        <v>2926</v>
      </c>
      <c r="K366" s="217" t="s">
        <v>2927</v>
      </c>
      <c r="L366" s="217">
        <v>0</v>
      </c>
      <c r="M366" s="217">
        <v>0</v>
      </c>
      <c r="N366" s="217">
        <v>0</v>
      </c>
      <c r="O366" s="217">
        <v>0</v>
      </c>
      <c r="P366" s="217">
        <v>0</v>
      </c>
      <c r="Q366" s="217">
        <v>0</v>
      </c>
      <c r="R366" s="217" t="s">
        <v>1807</v>
      </c>
    </row>
    <row r="367" spans="1:18" x14ac:dyDescent="0.25">
      <c r="A367" s="217">
        <v>366</v>
      </c>
      <c r="B367" s="217" t="s">
        <v>22</v>
      </c>
      <c r="C367" s="217" t="s">
        <v>23</v>
      </c>
      <c r="D367" s="217" t="s">
        <v>85</v>
      </c>
      <c r="E367" s="217" t="s">
        <v>84</v>
      </c>
      <c r="F367" s="217" t="s">
        <v>98</v>
      </c>
      <c r="G367" s="217" t="s">
        <v>97</v>
      </c>
      <c r="H367" s="217" t="s">
        <v>1206</v>
      </c>
      <c r="I367" s="217" t="s">
        <v>410</v>
      </c>
      <c r="J367" s="217" t="s">
        <v>2928</v>
      </c>
      <c r="K367" s="217" t="s">
        <v>2929</v>
      </c>
      <c r="L367" s="217">
        <v>37</v>
      </c>
      <c r="M367" s="217">
        <v>10</v>
      </c>
      <c r="N367" s="217">
        <v>0</v>
      </c>
      <c r="O367" s="217">
        <v>0</v>
      </c>
      <c r="P367" s="217">
        <v>0</v>
      </c>
      <c r="Q367" s="217">
        <v>0</v>
      </c>
      <c r="R367" s="217" t="s">
        <v>1807</v>
      </c>
    </row>
    <row r="368" spans="1:18" x14ac:dyDescent="0.25">
      <c r="A368" s="217">
        <v>367</v>
      </c>
      <c r="B368" s="217" t="s">
        <v>22</v>
      </c>
      <c r="C368" s="217" t="s">
        <v>23</v>
      </c>
      <c r="D368" s="217" t="s">
        <v>85</v>
      </c>
      <c r="E368" s="217" t="s">
        <v>84</v>
      </c>
      <c r="F368" s="217" t="s">
        <v>98</v>
      </c>
      <c r="G368" s="217" t="s">
        <v>97</v>
      </c>
      <c r="H368" s="217" t="s">
        <v>1514</v>
      </c>
      <c r="I368" s="217" t="s">
        <v>627</v>
      </c>
      <c r="J368" s="217" t="s">
        <v>2930</v>
      </c>
      <c r="K368" s="217" t="s">
        <v>2931</v>
      </c>
      <c r="L368" s="217">
        <v>0</v>
      </c>
      <c r="M368" s="217">
        <v>0</v>
      </c>
      <c r="N368" s="217">
        <v>0</v>
      </c>
      <c r="O368" s="217">
        <v>0</v>
      </c>
      <c r="P368" s="217">
        <v>0</v>
      </c>
      <c r="Q368" s="217">
        <v>0</v>
      </c>
      <c r="R368" s="217" t="s">
        <v>1807</v>
      </c>
    </row>
    <row r="369" spans="1:18" x14ac:dyDescent="0.25">
      <c r="A369" s="217">
        <v>368</v>
      </c>
      <c r="B369" s="217" t="s">
        <v>22</v>
      </c>
      <c r="C369" s="217" t="s">
        <v>23</v>
      </c>
      <c r="D369" s="217" t="s">
        <v>85</v>
      </c>
      <c r="E369" s="217" t="s">
        <v>84</v>
      </c>
      <c r="F369" s="217" t="s">
        <v>98</v>
      </c>
      <c r="G369" s="217" t="s">
        <v>97</v>
      </c>
      <c r="H369" s="217" t="s">
        <v>1207</v>
      </c>
      <c r="I369" s="217" t="s">
        <v>782</v>
      </c>
      <c r="J369" s="217" t="s">
        <v>2932</v>
      </c>
      <c r="K369" s="217" t="s">
        <v>2933</v>
      </c>
      <c r="L369" s="217">
        <v>104</v>
      </c>
      <c r="M369" s="217">
        <v>14</v>
      </c>
      <c r="N369" s="217">
        <v>77</v>
      </c>
      <c r="O369" s="217">
        <v>11</v>
      </c>
      <c r="P369" s="217">
        <v>0</v>
      </c>
      <c r="Q369" s="217">
        <v>0</v>
      </c>
      <c r="R369" s="217" t="s">
        <v>1807</v>
      </c>
    </row>
    <row r="370" spans="1:18" x14ac:dyDescent="0.25">
      <c r="A370" s="217">
        <v>369</v>
      </c>
      <c r="B370" s="217" t="s">
        <v>22</v>
      </c>
      <c r="C370" s="217" t="s">
        <v>23</v>
      </c>
      <c r="D370" s="217" t="s">
        <v>85</v>
      </c>
      <c r="E370" s="217" t="s">
        <v>84</v>
      </c>
      <c r="F370" s="217" t="s">
        <v>98</v>
      </c>
      <c r="G370" s="217" t="s">
        <v>97</v>
      </c>
      <c r="H370" s="217" t="s">
        <v>1208</v>
      </c>
      <c r="I370" s="217" t="s">
        <v>165</v>
      </c>
      <c r="J370" s="217" t="s">
        <v>2934</v>
      </c>
      <c r="K370" s="217" t="s">
        <v>2935</v>
      </c>
      <c r="L370" s="217">
        <v>61</v>
      </c>
      <c r="M370" s="217">
        <v>10</v>
      </c>
      <c r="N370" s="217">
        <v>0</v>
      </c>
      <c r="O370" s="217">
        <v>0</v>
      </c>
      <c r="P370" s="217">
        <v>13</v>
      </c>
      <c r="Q370" s="217">
        <v>4</v>
      </c>
      <c r="R370" s="217" t="s">
        <v>1807</v>
      </c>
    </row>
    <row r="371" spans="1:18" x14ac:dyDescent="0.25">
      <c r="A371" s="217">
        <v>370</v>
      </c>
      <c r="B371" s="217" t="s">
        <v>22</v>
      </c>
      <c r="C371" s="217" t="s">
        <v>23</v>
      </c>
      <c r="D371" s="217" t="s">
        <v>85</v>
      </c>
      <c r="E371" s="217" t="s">
        <v>84</v>
      </c>
      <c r="F371" s="217" t="s">
        <v>98</v>
      </c>
      <c r="G371" s="217" t="s">
        <v>97</v>
      </c>
      <c r="H371" s="217" t="s">
        <v>1209</v>
      </c>
      <c r="I371" s="217" t="s">
        <v>411</v>
      </c>
      <c r="J371" s="217" t="s">
        <v>2936</v>
      </c>
      <c r="K371" s="217" t="s">
        <v>2937</v>
      </c>
      <c r="L371" s="217">
        <v>20</v>
      </c>
      <c r="M371" s="217">
        <v>3</v>
      </c>
      <c r="N371" s="217">
        <v>0</v>
      </c>
      <c r="O371" s="217">
        <v>0</v>
      </c>
      <c r="P371" s="217">
        <v>0</v>
      </c>
      <c r="Q371" s="217">
        <v>0</v>
      </c>
      <c r="R371" s="217" t="s">
        <v>1807</v>
      </c>
    </row>
    <row r="372" spans="1:18" x14ac:dyDescent="0.25">
      <c r="A372" s="217">
        <v>371</v>
      </c>
      <c r="B372" s="217" t="s">
        <v>22</v>
      </c>
      <c r="C372" s="217" t="s">
        <v>23</v>
      </c>
      <c r="D372" s="217" t="s">
        <v>85</v>
      </c>
      <c r="E372" s="217" t="s">
        <v>84</v>
      </c>
      <c r="F372" s="217" t="s">
        <v>98</v>
      </c>
      <c r="G372" s="217" t="s">
        <v>97</v>
      </c>
      <c r="H372" s="217" t="s">
        <v>1210</v>
      </c>
      <c r="I372" s="217" t="s">
        <v>412</v>
      </c>
      <c r="J372" s="217" t="s">
        <v>2938</v>
      </c>
      <c r="K372" s="217" t="s">
        <v>2939</v>
      </c>
      <c r="L372" s="217">
        <v>77</v>
      </c>
      <c r="M372" s="217">
        <v>23</v>
      </c>
      <c r="N372" s="217">
        <v>0</v>
      </c>
      <c r="O372" s="217">
        <v>0</v>
      </c>
      <c r="P372" s="217">
        <v>0</v>
      </c>
      <c r="Q372" s="217">
        <v>0</v>
      </c>
      <c r="R372" s="217" t="s">
        <v>1807</v>
      </c>
    </row>
    <row r="373" spans="1:18" x14ac:dyDescent="0.25">
      <c r="A373" s="217">
        <v>372</v>
      </c>
      <c r="B373" s="217" t="s">
        <v>22</v>
      </c>
      <c r="C373" s="217" t="s">
        <v>23</v>
      </c>
      <c r="D373" s="217" t="s">
        <v>85</v>
      </c>
      <c r="E373" s="217" t="s">
        <v>84</v>
      </c>
      <c r="F373" s="217" t="s">
        <v>98</v>
      </c>
      <c r="G373" s="217" t="s">
        <v>97</v>
      </c>
      <c r="H373" s="217" t="s">
        <v>1211</v>
      </c>
      <c r="I373" s="217" t="s">
        <v>413</v>
      </c>
      <c r="J373" s="217" t="s">
        <v>2940</v>
      </c>
      <c r="K373" s="217" t="s">
        <v>2941</v>
      </c>
      <c r="L373" s="217">
        <v>187</v>
      </c>
      <c r="M373" s="217">
        <v>22</v>
      </c>
      <c r="N373" s="217">
        <v>145</v>
      </c>
      <c r="O373" s="217">
        <v>17</v>
      </c>
      <c r="P373" s="217">
        <v>0</v>
      </c>
      <c r="Q373" s="217">
        <v>0</v>
      </c>
      <c r="R373" s="217" t="s">
        <v>1807</v>
      </c>
    </row>
    <row r="374" spans="1:18" x14ac:dyDescent="0.25">
      <c r="A374" s="217">
        <v>373</v>
      </c>
      <c r="B374" s="217" t="s">
        <v>22</v>
      </c>
      <c r="C374" s="217" t="s">
        <v>23</v>
      </c>
      <c r="D374" s="217" t="s">
        <v>85</v>
      </c>
      <c r="E374" s="217" t="s">
        <v>84</v>
      </c>
      <c r="F374" s="217" t="s">
        <v>98</v>
      </c>
      <c r="G374" s="217" t="s">
        <v>97</v>
      </c>
      <c r="H374" s="217" t="s">
        <v>1212</v>
      </c>
      <c r="I374" s="217" t="s">
        <v>414</v>
      </c>
      <c r="J374" s="217" t="s">
        <v>2942</v>
      </c>
      <c r="K374" s="217" t="s">
        <v>2943</v>
      </c>
      <c r="L374" s="217">
        <v>1174</v>
      </c>
      <c r="M374" s="217">
        <v>138</v>
      </c>
      <c r="N374" s="217">
        <v>137</v>
      </c>
      <c r="O374" s="217">
        <v>16</v>
      </c>
      <c r="P374" s="217">
        <v>0</v>
      </c>
      <c r="Q374" s="217">
        <v>0</v>
      </c>
      <c r="R374" s="217" t="s">
        <v>1807</v>
      </c>
    </row>
    <row r="375" spans="1:18" x14ac:dyDescent="0.25">
      <c r="A375" s="217">
        <v>374</v>
      </c>
      <c r="B375" s="217" t="s">
        <v>22</v>
      </c>
      <c r="C375" s="217" t="s">
        <v>23</v>
      </c>
      <c r="D375" s="217" t="s">
        <v>85</v>
      </c>
      <c r="E375" s="217" t="s">
        <v>84</v>
      </c>
      <c r="F375" s="217" t="s">
        <v>98</v>
      </c>
      <c r="G375" s="217" t="s">
        <v>97</v>
      </c>
      <c r="H375" s="217" t="s">
        <v>1515</v>
      </c>
      <c r="I375" s="217" t="s">
        <v>628</v>
      </c>
      <c r="J375" s="217" t="s">
        <v>2944</v>
      </c>
      <c r="K375" s="217" t="s">
        <v>2945</v>
      </c>
      <c r="L375" s="217">
        <v>0</v>
      </c>
      <c r="M375" s="217">
        <v>0</v>
      </c>
      <c r="N375" s="217">
        <v>0</v>
      </c>
      <c r="O375" s="217">
        <v>0</v>
      </c>
      <c r="P375" s="217">
        <v>0</v>
      </c>
      <c r="Q375" s="217">
        <v>0</v>
      </c>
      <c r="R375" s="217" t="s">
        <v>1807</v>
      </c>
    </row>
    <row r="376" spans="1:18" x14ac:dyDescent="0.25">
      <c r="A376" s="217">
        <v>375</v>
      </c>
      <c r="B376" s="217" t="s">
        <v>22</v>
      </c>
      <c r="C376" s="217" t="s">
        <v>23</v>
      </c>
      <c r="D376" s="217" t="s">
        <v>85</v>
      </c>
      <c r="E376" s="217" t="s">
        <v>84</v>
      </c>
      <c r="F376" s="217" t="s">
        <v>98</v>
      </c>
      <c r="G376" s="217" t="s">
        <v>97</v>
      </c>
      <c r="H376" s="217" t="s">
        <v>1213</v>
      </c>
      <c r="I376" s="217" t="s">
        <v>415</v>
      </c>
      <c r="J376" s="217" t="s">
        <v>2946</v>
      </c>
      <c r="K376" s="217" t="s">
        <v>2947</v>
      </c>
      <c r="L376" s="217">
        <v>99</v>
      </c>
      <c r="M376" s="217">
        <v>19</v>
      </c>
      <c r="N376" s="217">
        <v>0</v>
      </c>
      <c r="O376" s="217">
        <v>0</v>
      </c>
      <c r="P376" s="217">
        <v>0</v>
      </c>
      <c r="Q376" s="217">
        <v>0</v>
      </c>
      <c r="R376" s="217" t="s">
        <v>1807</v>
      </c>
    </row>
    <row r="377" spans="1:18" x14ac:dyDescent="0.25">
      <c r="A377" s="217">
        <v>376</v>
      </c>
      <c r="B377" s="217" t="s">
        <v>22</v>
      </c>
      <c r="C377" s="217" t="s">
        <v>23</v>
      </c>
      <c r="D377" s="217" t="s">
        <v>85</v>
      </c>
      <c r="E377" s="217" t="s">
        <v>84</v>
      </c>
      <c r="F377" s="217" t="s">
        <v>98</v>
      </c>
      <c r="G377" s="217" t="s">
        <v>97</v>
      </c>
      <c r="H377" s="217" t="s">
        <v>1214</v>
      </c>
      <c r="I377" s="217" t="s">
        <v>416</v>
      </c>
      <c r="J377" s="217" t="s">
        <v>2948</v>
      </c>
      <c r="K377" s="217" t="s">
        <v>2949</v>
      </c>
      <c r="L377" s="217">
        <v>100</v>
      </c>
      <c r="M377" s="217">
        <v>26</v>
      </c>
      <c r="N377" s="217">
        <v>27</v>
      </c>
      <c r="O377" s="217">
        <v>4</v>
      </c>
      <c r="P377" s="217">
        <v>0</v>
      </c>
      <c r="Q377" s="217">
        <v>0</v>
      </c>
      <c r="R377" s="217" t="s">
        <v>1807</v>
      </c>
    </row>
    <row r="378" spans="1:18" x14ac:dyDescent="0.25">
      <c r="A378" s="217">
        <v>377</v>
      </c>
      <c r="B378" s="217" t="s">
        <v>22</v>
      </c>
      <c r="C378" s="217" t="s">
        <v>23</v>
      </c>
      <c r="D378" s="217" t="s">
        <v>85</v>
      </c>
      <c r="E378" s="217" t="s">
        <v>84</v>
      </c>
      <c r="F378" s="217" t="s">
        <v>98</v>
      </c>
      <c r="G378" s="217" t="s">
        <v>97</v>
      </c>
      <c r="H378" s="217" t="s">
        <v>1215</v>
      </c>
      <c r="I378" s="217" t="s">
        <v>793</v>
      </c>
      <c r="J378" s="217" t="s">
        <v>2950</v>
      </c>
      <c r="K378" s="217" t="s">
        <v>2951</v>
      </c>
      <c r="L378" s="217">
        <v>111</v>
      </c>
      <c r="M378" s="217">
        <v>13</v>
      </c>
      <c r="N378" s="217">
        <v>149</v>
      </c>
      <c r="O378" s="217">
        <v>21</v>
      </c>
      <c r="P378" s="217">
        <v>0</v>
      </c>
      <c r="Q378" s="217">
        <v>0</v>
      </c>
      <c r="R378" s="217" t="s">
        <v>1807</v>
      </c>
    </row>
    <row r="379" spans="1:18" x14ac:dyDescent="0.25">
      <c r="A379" s="217">
        <v>378</v>
      </c>
      <c r="B379" s="217" t="s">
        <v>22</v>
      </c>
      <c r="C379" s="217" t="s">
        <v>23</v>
      </c>
      <c r="D379" s="217" t="s">
        <v>85</v>
      </c>
      <c r="E379" s="217" t="s">
        <v>84</v>
      </c>
      <c r="F379" s="217" t="s">
        <v>98</v>
      </c>
      <c r="G379" s="217" t="s">
        <v>97</v>
      </c>
      <c r="H379" s="217" t="s">
        <v>1216</v>
      </c>
      <c r="I379" s="217" t="s">
        <v>828</v>
      </c>
      <c r="J379" s="217" t="s">
        <v>2952</v>
      </c>
      <c r="K379" s="217" t="s">
        <v>2953</v>
      </c>
      <c r="L379" s="217">
        <v>0</v>
      </c>
      <c r="M379" s="217">
        <v>0</v>
      </c>
      <c r="N379" s="217">
        <v>0</v>
      </c>
      <c r="O379" s="217">
        <v>0</v>
      </c>
      <c r="P379" s="217">
        <v>0</v>
      </c>
      <c r="Q379" s="217">
        <v>0</v>
      </c>
      <c r="R379" s="217" t="s">
        <v>1807</v>
      </c>
    </row>
    <row r="380" spans="1:18" x14ac:dyDescent="0.25">
      <c r="A380" s="217">
        <v>379</v>
      </c>
      <c r="B380" s="217" t="s">
        <v>22</v>
      </c>
      <c r="C380" s="217" t="s">
        <v>23</v>
      </c>
      <c r="D380" s="217" t="s">
        <v>85</v>
      </c>
      <c r="E380" s="217" t="s">
        <v>84</v>
      </c>
      <c r="F380" s="217" t="s">
        <v>98</v>
      </c>
      <c r="G380" s="217" t="s">
        <v>97</v>
      </c>
      <c r="H380" s="217" t="s">
        <v>1217</v>
      </c>
      <c r="I380" s="217" t="s">
        <v>417</v>
      </c>
      <c r="J380" s="217" t="s">
        <v>2954</v>
      </c>
      <c r="K380" s="217" t="s">
        <v>2955</v>
      </c>
      <c r="L380" s="217">
        <v>22</v>
      </c>
      <c r="M380" s="217">
        <v>5</v>
      </c>
      <c r="N380" s="217">
        <v>77</v>
      </c>
      <c r="O380" s="217">
        <v>14</v>
      </c>
      <c r="P380" s="217">
        <v>0</v>
      </c>
      <c r="Q380" s="217">
        <v>0</v>
      </c>
      <c r="R380" s="217" t="s">
        <v>1807</v>
      </c>
    </row>
    <row r="381" spans="1:18" x14ac:dyDescent="0.25">
      <c r="A381" s="217">
        <v>380</v>
      </c>
      <c r="B381" s="217" t="s">
        <v>22</v>
      </c>
      <c r="C381" s="217" t="s">
        <v>23</v>
      </c>
      <c r="D381" s="217" t="s">
        <v>85</v>
      </c>
      <c r="E381" s="217" t="s">
        <v>84</v>
      </c>
      <c r="F381" s="217" t="s">
        <v>98</v>
      </c>
      <c r="G381" s="217" t="s">
        <v>97</v>
      </c>
      <c r="H381" s="217" t="s">
        <v>1218</v>
      </c>
      <c r="I381" s="217" t="s">
        <v>418</v>
      </c>
      <c r="J381" s="217" t="s">
        <v>2956</v>
      </c>
      <c r="K381" s="217" t="s">
        <v>2957</v>
      </c>
      <c r="L381" s="217">
        <v>92</v>
      </c>
      <c r="M381" s="217">
        <v>15</v>
      </c>
      <c r="N381" s="217">
        <v>0</v>
      </c>
      <c r="O381" s="217">
        <v>0</v>
      </c>
      <c r="P381" s="217">
        <v>0</v>
      </c>
      <c r="Q381" s="217">
        <v>0</v>
      </c>
      <c r="R381" s="217" t="s">
        <v>1807</v>
      </c>
    </row>
    <row r="382" spans="1:18" x14ac:dyDescent="0.25">
      <c r="A382" s="217">
        <v>381</v>
      </c>
      <c r="B382" s="217" t="s">
        <v>22</v>
      </c>
      <c r="C382" s="217" t="s">
        <v>23</v>
      </c>
      <c r="D382" s="217" t="s">
        <v>85</v>
      </c>
      <c r="E382" s="217" t="s">
        <v>84</v>
      </c>
      <c r="F382" s="217" t="s">
        <v>98</v>
      </c>
      <c r="G382" s="217" t="s">
        <v>97</v>
      </c>
      <c r="H382" s="217" t="s">
        <v>1682</v>
      </c>
      <c r="I382" s="217" t="s">
        <v>697</v>
      </c>
      <c r="J382" s="217" t="s">
        <v>2958</v>
      </c>
      <c r="K382" s="217" t="s">
        <v>2959</v>
      </c>
      <c r="L382" s="217">
        <v>0</v>
      </c>
      <c r="M382" s="217">
        <v>0</v>
      </c>
      <c r="N382" s="217">
        <v>0</v>
      </c>
      <c r="O382" s="217">
        <v>0</v>
      </c>
      <c r="P382" s="217">
        <v>0</v>
      </c>
      <c r="Q382" s="217">
        <v>0</v>
      </c>
      <c r="R382" s="217" t="s">
        <v>1807</v>
      </c>
    </row>
    <row r="383" spans="1:18" x14ac:dyDescent="0.25">
      <c r="A383" s="217">
        <v>382</v>
      </c>
      <c r="B383" s="217" t="s">
        <v>22</v>
      </c>
      <c r="C383" s="217" t="s">
        <v>23</v>
      </c>
      <c r="D383" s="217" t="s">
        <v>85</v>
      </c>
      <c r="E383" s="217" t="s">
        <v>84</v>
      </c>
      <c r="F383" s="217" t="s">
        <v>98</v>
      </c>
      <c r="G383" s="217" t="s">
        <v>97</v>
      </c>
      <c r="H383" s="217" t="s">
        <v>1219</v>
      </c>
      <c r="I383" s="217" t="s">
        <v>419</v>
      </c>
      <c r="J383" s="217" t="s">
        <v>2960</v>
      </c>
      <c r="K383" s="217" t="s">
        <v>2961</v>
      </c>
      <c r="L383" s="217">
        <v>71</v>
      </c>
      <c r="M383" s="217">
        <v>12</v>
      </c>
      <c r="N383" s="217">
        <v>0</v>
      </c>
      <c r="O383" s="217">
        <v>0</v>
      </c>
      <c r="P383" s="217">
        <v>0</v>
      </c>
      <c r="Q383" s="217">
        <v>0</v>
      </c>
      <c r="R383" s="217" t="s">
        <v>1807</v>
      </c>
    </row>
    <row r="384" spans="1:18" x14ac:dyDescent="0.25">
      <c r="A384" s="217">
        <v>383</v>
      </c>
      <c r="B384" s="217" t="s">
        <v>22</v>
      </c>
      <c r="C384" s="217" t="s">
        <v>23</v>
      </c>
      <c r="D384" s="217" t="s">
        <v>85</v>
      </c>
      <c r="E384" s="217" t="s">
        <v>84</v>
      </c>
      <c r="F384" s="217" t="s">
        <v>98</v>
      </c>
      <c r="G384" s="217" t="s">
        <v>97</v>
      </c>
      <c r="H384" s="217" t="s">
        <v>1220</v>
      </c>
      <c r="I384" s="217" t="s">
        <v>420</v>
      </c>
      <c r="J384" s="217" t="s">
        <v>2962</v>
      </c>
      <c r="K384" s="217" t="s">
        <v>2963</v>
      </c>
      <c r="L384" s="217">
        <v>795</v>
      </c>
      <c r="M384" s="217">
        <v>200</v>
      </c>
      <c r="N384" s="217">
        <v>0</v>
      </c>
      <c r="O384" s="217">
        <v>0</v>
      </c>
      <c r="P384" s="217">
        <v>0</v>
      </c>
      <c r="Q384" s="217">
        <v>0</v>
      </c>
      <c r="R384" s="217" t="s">
        <v>1807</v>
      </c>
    </row>
    <row r="385" spans="1:18" x14ac:dyDescent="0.25">
      <c r="A385" s="217">
        <v>384</v>
      </c>
      <c r="B385" s="217" t="s">
        <v>22</v>
      </c>
      <c r="C385" s="217" t="s">
        <v>23</v>
      </c>
      <c r="D385" s="217" t="s">
        <v>85</v>
      </c>
      <c r="E385" s="217" t="s">
        <v>84</v>
      </c>
      <c r="F385" s="217" t="s">
        <v>98</v>
      </c>
      <c r="G385" s="217" t="s">
        <v>97</v>
      </c>
      <c r="H385" s="217" t="s">
        <v>1221</v>
      </c>
      <c r="I385" s="217" t="s">
        <v>421</v>
      </c>
      <c r="J385" s="217" t="s">
        <v>2964</v>
      </c>
      <c r="K385" s="217" t="s">
        <v>2965</v>
      </c>
      <c r="L385" s="217">
        <v>20</v>
      </c>
      <c r="M385" s="217">
        <v>5</v>
      </c>
      <c r="N385" s="217">
        <v>30</v>
      </c>
      <c r="O385" s="217">
        <v>6</v>
      </c>
      <c r="P385" s="217">
        <v>0</v>
      </c>
      <c r="Q385" s="217">
        <v>0</v>
      </c>
      <c r="R385" s="217" t="s">
        <v>1807</v>
      </c>
    </row>
    <row r="386" spans="1:18" x14ac:dyDescent="0.25">
      <c r="A386" s="217">
        <v>385</v>
      </c>
      <c r="B386" s="217" t="s">
        <v>22</v>
      </c>
      <c r="C386" s="217" t="s">
        <v>23</v>
      </c>
      <c r="D386" s="217" t="s">
        <v>85</v>
      </c>
      <c r="E386" s="217" t="s">
        <v>84</v>
      </c>
      <c r="F386" s="217" t="s">
        <v>98</v>
      </c>
      <c r="G386" s="217" t="s">
        <v>97</v>
      </c>
      <c r="H386" s="217" t="s">
        <v>1222</v>
      </c>
      <c r="I386" s="217" t="s">
        <v>166</v>
      </c>
      <c r="J386" s="217" t="s">
        <v>2966</v>
      </c>
      <c r="K386" s="217" t="s">
        <v>2967</v>
      </c>
      <c r="L386" s="217">
        <v>27</v>
      </c>
      <c r="M386" s="217">
        <v>6</v>
      </c>
      <c r="N386" s="217">
        <v>31</v>
      </c>
      <c r="O386" s="217">
        <v>7</v>
      </c>
      <c r="P386" s="217">
        <v>0</v>
      </c>
      <c r="Q386" s="217">
        <v>0</v>
      </c>
      <c r="R386" s="217" t="s">
        <v>1807</v>
      </c>
    </row>
    <row r="387" spans="1:18" x14ac:dyDescent="0.25">
      <c r="A387" s="217">
        <v>386</v>
      </c>
      <c r="B387" s="217" t="s">
        <v>22</v>
      </c>
      <c r="C387" s="217" t="s">
        <v>23</v>
      </c>
      <c r="D387" s="217" t="s">
        <v>85</v>
      </c>
      <c r="E387" s="217" t="s">
        <v>84</v>
      </c>
      <c r="F387" s="217" t="s">
        <v>98</v>
      </c>
      <c r="G387" s="217" t="s">
        <v>97</v>
      </c>
      <c r="H387" s="217" t="s">
        <v>1223</v>
      </c>
      <c r="I387" s="217" t="s">
        <v>422</v>
      </c>
      <c r="J387" s="217" t="s">
        <v>2968</v>
      </c>
      <c r="K387" s="217" t="s">
        <v>2969</v>
      </c>
      <c r="L387" s="217">
        <v>56</v>
      </c>
      <c r="M387" s="217">
        <v>10</v>
      </c>
      <c r="N387" s="217">
        <v>0</v>
      </c>
      <c r="O387" s="217">
        <v>0</v>
      </c>
      <c r="P387" s="217">
        <v>28</v>
      </c>
      <c r="Q387" s="217">
        <v>7</v>
      </c>
      <c r="R387" s="217" t="s">
        <v>1807</v>
      </c>
    </row>
    <row r="388" spans="1:18" x14ac:dyDescent="0.25">
      <c r="A388" s="217">
        <v>387</v>
      </c>
      <c r="B388" s="217" t="s">
        <v>22</v>
      </c>
      <c r="C388" s="217" t="s">
        <v>23</v>
      </c>
      <c r="D388" s="217" t="s">
        <v>85</v>
      </c>
      <c r="E388" s="217" t="s">
        <v>84</v>
      </c>
      <c r="F388" s="217" t="s">
        <v>98</v>
      </c>
      <c r="G388" s="217" t="s">
        <v>97</v>
      </c>
      <c r="H388" s="217" t="s">
        <v>1681</v>
      </c>
      <c r="I388" s="217" t="s">
        <v>696</v>
      </c>
      <c r="J388" s="217" t="s">
        <v>2970</v>
      </c>
      <c r="K388" s="217" t="s">
        <v>2971</v>
      </c>
      <c r="L388" s="217">
        <v>0</v>
      </c>
      <c r="M388" s="217">
        <v>0</v>
      </c>
      <c r="N388" s="217">
        <v>0</v>
      </c>
      <c r="O388" s="217">
        <v>0</v>
      </c>
      <c r="P388" s="217">
        <v>0</v>
      </c>
      <c r="Q388" s="217">
        <v>0</v>
      </c>
      <c r="R388" s="217" t="s">
        <v>1807</v>
      </c>
    </row>
    <row r="389" spans="1:18" x14ac:dyDescent="0.25">
      <c r="A389" s="217">
        <v>388</v>
      </c>
      <c r="B389" s="217" t="s">
        <v>22</v>
      </c>
      <c r="C389" s="217" t="s">
        <v>23</v>
      </c>
      <c r="D389" s="217" t="s">
        <v>85</v>
      </c>
      <c r="E389" s="217" t="s">
        <v>84</v>
      </c>
      <c r="F389" s="217" t="s">
        <v>98</v>
      </c>
      <c r="G389" s="217" t="s">
        <v>97</v>
      </c>
      <c r="H389" s="217" t="s">
        <v>1224</v>
      </c>
      <c r="I389" s="217" t="s">
        <v>423</v>
      </c>
      <c r="J389" s="217" t="s">
        <v>2972</v>
      </c>
      <c r="K389" s="217" t="s">
        <v>2973</v>
      </c>
      <c r="L389" s="217">
        <v>10227</v>
      </c>
      <c r="M389" s="217">
        <v>2066</v>
      </c>
      <c r="N389" s="217">
        <v>0</v>
      </c>
      <c r="O389" s="217">
        <v>0</v>
      </c>
      <c r="P389" s="217">
        <v>0</v>
      </c>
      <c r="Q389" s="217">
        <v>0</v>
      </c>
      <c r="R389" s="217" t="s">
        <v>1807</v>
      </c>
    </row>
    <row r="390" spans="1:18" x14ac:dyDescent="0.25">
      <c r="A390" s="217">
        <v>389</v>
      </c>
      <c r="B390" s="217" t="s">
        <v>22</v>
      </c>
      <c r="C390" s="217" t="s">
        <v>23</v>
      </c>
      <c r="D390" s="217" t="s">
        <v>85</v>
      </c>
      <c r="E390" s="217" t="s">
        <v>84</v>
      </c>
      <c r="F390" s="217" t="s">
        <v>98</v>
      </c>
      <c r="G390" s="217" t="s">
        <v>97</v>
      </c>
      <c r="H390" s="217" t="s">
        <v>1225</v>
      </c>
      <c r="I390" s="217" t="s">
        <v>424</v>
      </c>
      <c r="J390" s="217" t="s">
        <v>2974</v>
      </c>
      <c r="K390" s="217" t="s">
        <v>2975</v>
      </c>
      <c r="L390" s="217">
        <v>162</v>
      </c>
      <c r="M390" s="217">
        <v>30</v>
      </c>
      <c r="N390" s="217">
        <v>18</v>
      </c>
      <c r="O390" s="217">
        <v>4</v>
      </c>
      <c r="P390" s="217">
        <v>0</v>
      </c>
      <c r="Q390" s="217">
        <v>0</v>
      </c>
      <c r="R390" s="217" t="s">
        <v>1807</v>
      </c>
    </row>
    <row r="391" spans="1:18" x14ac:dyDescent="0.25">
      <c r="A391" s="217">
        <v>390</v>
      </c>
      <c r="B391" s="217" t="s">
        <v>22</v>
      </c>
      <c r="C391" s="217" t="s">
        <v>23</v>
      </c>
      <c r="D391" s="217" t="s">
        <v>85</v>
      </c>
      <c r="E391" s="217" t="s">
        <v>84</v>
      </c>
      <c r="F391" s="217" t="s">
        <v>98</v>
      </c>
      <c r="G391" s="217" t="s">
        <v>97</v>
      </c>
      <c r="H391" s="217" t="s">
        <v>1226</v>
      </c>
      <c r="I391" s="217" t="s">
        <v>425</v>
      </c>
      <c r="J391" s="217" t="s">
        <v>2976</v>
      </c>
      <c r="K391" s="217" t="s">
        <v>2977</v>
      </c>
      <c r="L391" s="217">
        <v>58</v>
      </c>
      <c r="M391" s="217">
        <v>12</v>
      </c>
      <c r="N391" s="217">
        <v>0</v>
      </c>
      <c r="O391" s="217">
        <v>0</v>
      </c>
      <c r="P391" s="217">
        <v>0</v>
      </c>
      <c r="Q391" s="217">
        <v>0</v>
      </c>
      <c r="R391" s="217" t="s">
        <v>1807</v>
      </c>
    </row>
    <row r="392" spans="1:18" x14ac:dyDescent="0.25">
      <c r="A392" s="217">
        <v>391</v>
      </c>
      <c r="B392" s="217" t="s">
        <v>22</v>
      </c>
      <c r="C392" s="217" t="s">
        <v>23</v>
      </c>
      <c r="D392" s="217" t="s">
        <v>85</v>
      </c>
      <c r="E392" s="217" t="s">
        <v>84</v>
      </c>
      <c r="F392" s="217" t="s">
        <v>98</v>
      </c>
      <c r="G392" s="217" t="s">
        <v>97</v>
      </c>
      <c r="H392" s="217" t="s">
        <v>1227</v>
      </c>
      <c r="I392" s="217" t="s">
        <v>426</v>
      </c>
      <c r="J392" s="217" t="s">
        <v>2978</v>
      </c>
      <c r="K392" s="217" t="s">
        <v>2979</v>
      </c>
      <c r="L392" s="217">
        <v>257</v>
      </c>
      <c r="M392" s="217">
        <v>49</v>
      </c>
      <c r="N392" s="217">
        <v>33</v>
      </c>
      <c r="O392" s="217">
        <v>11</v>
      </c>
      <c r="P392" s="217">
        <v>0</v>
      </c>
      <c r="Q392" s="217">
        <v>0</v>
      </c>
      <c r="R392" s="217" t="s">
        <v>1807</v>
      </c>
    </row>
    <row r="393" spans="1:18" x14ac:dyDescent="0.25">
      <c r="A393" s="217">
        <v>392</v>
      </c>
      <c r="B393" s="217" t="s">
        <v>22</v>
      </c>
      <c r="C393" s="217" t="s">
        <v>23</v>
      </c>
      <c r="D393" s="217" t="s">
        <v>85</v>
      </c>
      <c r="E393" s="217" t="s">
        <v>84</v>
      </c>
      <c r="F393" s="217" t="s">
        <v>98</v>
      </c>
      <c r="G393" s="217" t="s">
        <v>97</v>
      </c>
      <c r="H393" s="217" t="s">
        <v>1516</v>
      </c>
      <c r="I393" s="217" t="s">
        <v>629</v>
      </c>
      <c r="J393" s="217" t="s">
        <v>2980</v>
      </c>
      <c r="K393" s="217" t="s">
        <v>2981</v>
      </c>
      <c r="L393" s="217">
        <v>0</v>
      </c>
      <c r="M393" s="217">
        <v>0</v>
      </c>
      <c r="N393" s="217">
        <v>0</v>
      </c>
      <c r="O393" s="217">
        <v>0</v>
      </c>
      <c r="P393" s="217">
        <v>0</v>
      </c>
      <c r="Q393" s="217">
        <v>0</v>
      </c>
      <c r="R393" s="217" t="s">
        <v>1807</v>
      </c>
    </row>
    <row r="394" spans="1:18" x14ac:dyDescent="0.25">
      <c r="A394" s="217">
        <v>393</v>
      </c>
      <c r="B394" s="217" t="s">
        <v>22</v>
      </c>
      <c r="C394" s="217" t="s">
        <v>23</v>
      </c>
      <c r="D394" s="217" t="s">
        <v>85</v>
      </c>
      <c r="E394" s="217" t="s">
        <v>84</v>
      </c>
      <c r="F394" s="217" t="s">
        <v>98</v>
      </c>
      <c r="G394" s="217" t="s">
        <v>97</v>
      </c>
      <c r="H394" s="217" t="s">
        <v>1228</v>
      </c>
      <c r="I394" s="217" t="s">
        <v>427</v>
      </c>
      <c r="J394" s="217" t="s">
        <v>2982</v>
      </c>
      <c r="K394" s="217" t="s">
        <v>2983</v>
      </c>
      <c r="L394" s="217">
        <v>193</v>
      </c>
      <c r="M394" s="217">
        <v>27</v>
      </c>
      <c r="N394" s="217">
        <v>0</v>
      </c>
      <c r="O394" s="217">
        <v>0</v>
      </c>
      <c r="P394" s="217">
        <v>0</v>
      </c>
      <c r="Q394" s="217">
        <v>0</v>
      </c>
      <c r="R394" s="217" t="s">
        <v>1807</v>
      </c>
    </row>
    <row r="395" spans="1:18" x14ac:dyDescent="0.25">
      <c r="A395" s="217">
        <v>394</v>
      </c>
      <c r="B395" s="217" t="s">
        <v>22</v>
      </c>
      <c r="C395" s="217" t="s">
        <v>23</v>
      </c>
      <c r="D395" s="217" t="s">
        <v>85</v>
      </c>
      <c r="E395" s="217" t="s">
        <v>84</v>
      </c>
      <c r="F395" s="217" t="s">
        <v>98</v>
      </c>
      <c r="G395" s="217" t="s">
        <v>97</v>
      </c>
      <c r="H395" s="217" t="s">
        <v>1229</v>
      </c>
      <c r="I395" s="217" t="s">
        <v>428</v>
      </c>
      <c r="J395" s="217" t="s">
        <v>2984</v>
      </c>
      <c r="K395" s="217" t="s">
        <v>2985</v>
      </c>
      <c r="L395" s="217">
        <v>72</v>
      </c>
      <c r="M395" s="217">
        <v>10</v>
      </c>
      <c r="N395" s="217">
        <v>0</v>
      </c>
      <c r="O395" s="217">
        <v>0</v>
      </c>
      <c r="P395" s="217">
        <v>0</v>
      </c>
      <c r="Q395" s="217">
        <v>0</v>
      </c>
      <c r="R395" s="217" t="s">
        <v>1807</v>
      </c>
    </row>
    <row r="396" spans="1:18" x14ac:dyDescent="0.25">
      <c r="A396" s="217">
        <v>395</v>
      </c>
      <c r="B396" s="217" t="s">
        <v>22</v>
      </c>
      <c r="C396" s="217" t="s">
        <v>23</v>
      </c>
      <c r="D396" s="217" t="s">
        <v>85</v>
      </c>
      <c r="E396" s="217" t="s">
        <v>84</v>
      </c>
      <c r="F396" s="217" t="s">
        <v>98</v>
      </c>
      <c r="G396" s="217" t="s">
        <v>97</v>
      </c>
      <c r="H396" s="217" t="s">
        <v>1517</v>
      </c>
      <c r="I396" s="217" t="s">
        <v>630</v>
      </c>
      <c r="J396" s="217" t="s">
        <v>2986</v>
      </c>
      <c r="K396" s="217" t="s">
        <v>2987</v>
      </c>
      <c r="L396" s="217">
        <v>0</v>
      </c>
      <c r="M396" s="217">
        <v>0</v>
      </c>
      <c r="N396" s="217">
        <v>0</v>
      </c>
      <c r="O396" s="217">
        <v>0</v>
      </c>
      <c r="P396" s="217">
        <v>0</v>
      </c>
      <c r="Q396" s="217">
        <v>0</v>
      </c>
      <c r="R396" s="217" t="s">
        <v>1807</v>
      </c>
    </row>
    <row r="397" spans="1:18" x14ac:dyDescent="0.25">
      <c r="A397" s="217">
        <v>396</v>
      </c>
      <c r="B397" s="217" t="s">
        <v>22</v>
      </c>
      <c r="C397" s="217" t="s">
        <v>23</v>
      </c>
      <c r="D397" s="217" t="s">
        <v>85</v>
      </c>
      <c r="E397" s="217" t="s">
        <v>84</v>
      </c>
      <c r="F397" s="217" t="s">
        <v>98</v>
      </c>
      <c r="G397" s="217" t="s">
        <v>97</v>
      </c>
      <c r="H397" s="217" t="s">
        <v>1230</v>
      </c>
      <c r="I397" s="217" t="s">
        <v>429</v>
      </c>
      <c r="J397" s="217" t="s">
        <v>2988</v>
      </c>
      <c r="K397" s="217" t="s">
        <v>2989</v>
      </c>
      <c r="L397" s="217">
        <v>59</v>
      </c>
      <c r="M397" s="217">
        <v>5</v>
      </c>
      <c r="N397" s="217">
        <v>0</v>
      </c>
      <c r="O397" s="217">
        <v>0</v>
      </c>
      <c r="P397" s="217">
        <v>0</v>
      </c>
      <c r="Q397" s="217">
        <v>0</v>
      </c>
      <c r="R397" s="217" t="s">
        <v>1807</v>
      </c>
    </row>
    <row r="398" spans="1:18" x14ac:dyDescent="0.25">
      <c r="A398" s="217">
        <v>397</v>
      </c>
      <c r="B398" s="217" t="s">
        <v>22</v>
      </c>
      <c r="C398" s="217" t="s">
        <v>23</v>
      </c>
      <c r="D398" s="217" t="s">
        <v>85</v>
      </c>
      <c r="E398" s="217" t="s">
        <v>84</v>
      </c>
      <c r="F398" s="217" t="s">
        <v>98</v>
      </c>
      <c r="G398" s="217" t="s">
        <v>97</v>
      </c>
      <c r="H398" s="217" t="s">
        <v>1231</v>
      </c>
      <c r="I398" s="217" t="s">
        <v>430</v>
      </c>
      <c r="J398" s="217" t="s">
        <v>2990</v>
      </c>
      <c r="K398" s="217" t="s">
        <v>2991</v>
      </c>
      <c r="L398" s="217">
        <v>434</v>
      </c>
      <c r="M398" s="217">
        <v>47</v>
      </c>
      <c r="N398" s="217">
        <v>0</v>
      </c>
      <c r="O398" s="217">
        <v>0</v>
      </c>
      <c r="P398" s="217">
        <v>56</v>
      </c>
      <c r="Q398" s="217">
        <v>5</v>
      </c>
      <c r="R398" s="217" t="s">
        <v>1807</v>
      </c>
    </row>
    <row r="399" spans="1:18" x14ac:dyDescent="0.25">
      <c r="A399" s="217">
        <v>398</v>
      </c>
      <c r="B399" s="217" t="s">
        <v>22</v>
      </c>
      <c r="C399" s="217" t="s">
        <v>23</v>
      </c>
      <c r="D399" s="217" t="s">
        <v>85</v>
      </c>
      <c r="E399" s="217" t="s">
        <v>84</v>
      </c>
      <c r="F399" s="217" t="s">
        <v>98</v>
      </c>
      <c r="G399" s="217" t="s">
        <v>97</v>
      </c>
      <c r="H399" s="217" t="s">
        <v>1518</v>
      </c>
      <c r="I399" s="217" t="s">
        <v>631</v>
      </c>
      <c r="J399" s="217" t="s">
        <v>2992</v>
      </c>
      <c r="K399" s="217" t="s">
        <v>2993</v>
      </c>
      <c r="L399" s="217">
        <v>0</v>
      </c>
      <c r="M399" s="217">
        <v>0</v>
      </c>
      <c r="N399" s="217">
        <v>0</v>
      </c>
      <c r="O399" s="217">
        <v>0</v>
      </c>
      <c r="P399" s="217">
        <v>0</v>
      </c>
      <c r="Q399" s="217">
        <v>0</v>
      </c>
      <c r="R399" s="217" t="s">
        <v>1807</v>
      </c>
    </row>
    <row r="400" spans="1:18" x14ac:dyDescent="0.25">
      <c r="A400" s="217">
        <v>399</v>
      </c>
      <c r="B400" s="217" t="s">
        <v>22</v>
      </c>
      <c r="C400" s="217" t="s">
        <v>23</v>
      </c>
      <c r="D400" s="217" t="s">
        <v>85</v>
      </c>
      <c r="E400" s="217" t="s">
        <v>84</v>
      </c>
      <c r="F400" s="217" t="s">
        <v>98</v>
      </c>
      <c r="G400" s="217" t="s">
        <v>97</v>
      </c>
      <c r="H400" s="217" t="s">
        <v>1519</v>
      </c>
      <c r="I400" s="217" t="s">
        <v>632</v>
      </c>
      <c r="J400" s="217" t="s">
        <v>2994</v>
      </c>
      <c r="K400" s="217" t="s">
        <v>2995</v>
      </c>
      <c r="L400" s="217">
        <v>0</v>
      </c>
      <c r="M400" s="217">
        <v>0</v>
      </c>
      <c r="N400" s="217">
        <v>0</v>
      </c>
      <c r="O400" s="217">
        <v>0</v>
      </c>
      <c r="P400" s="217">
        <v>0</v>
      </c>
      <c r="Q400" s="217">
        <v>0</v>
      </c>
      <c r="R400" s="217" t="s">
        <v>1807</v>
      </c>
    </row>
    <row r="401" spans="1:18" x14ac:dyDescent="0.25">
      <c r="A401" s="217">
        <v>400</v>
      </c>
      <c r="B401" s="217" t="s">
        <v>22</v>
      </c>
      <c r="C401" s="217" t="s">
        <v>23</v>
      </c>
      <c r="D401" s="217" t="s">
        <v>85</v>
      </c>
      <c r="E401" s="217" t="s">
        <v>84</v>
      </c>
      <c r="F401" s="217" t="s">
        <v>98</v>
      </c>
      <c r="G401" s="217" t="s">
        <v>97</v>
      </c>
      <c r="H401" s="217" t="s">
        <v>1232</v>
      </c>
      <c r="I401" s="217" t="s">
        <v>167</v>
      </c>
      <c r="J401" s="217" t="s">
        <v>2996</v>
      </c>
      <c r="K401" s="217" t="s">
        <v>2997</v>
      </c>
      <c r="L401" s="217">
        <v>157</v>
      </c>
      <c r="M401" s="217">
        <v>24</v>
      </c>
      <c r="N401" s="217">
        <v>0</v>
      </c>
      <c r="O401" s="217">
        <v>0</v>
      </c>
      <c r="P401" s="217">
        <v>120</v>
      </c>
      <c r="Q401" s="217">
        <v>24</v>
      </c>
      <c r="R401" s="217" t="s">
        <v>1807</v>
      </c>
    </row>
    <row r="402" spans="1:18" x14ac:dyDescent="0.25">
      <c r="A402" s="217">
        <v>401</v>
      </c>
      <c r="B402" s="217" t="s">
        <v>22</v>
      </c>
      <c r="C402" s="217" t="s">
        <v>23</v>
      </c>
      <c r="D402" s="217" t="s">
        <v>85</v>
      </c>
      <c r="E402" s="217" t="s">
        <v>84</v>
      </c>
      <c r="F402" s="217" t="s">
        <v>98</v>
      </c>
      <c r="G402" s="217" t="s">
        <v>97</v>
      </c>
      <c r="H402" s="217" t="s">
        <v>1685</v>
      </c>
      <c r="I402" s="217" t="s">
        <v>431</v>
      </c>
      <c r="J402" s="217" t="s">
        <v>2998</v>
      </c>
      <c r="K402" s="217" t="s">
        <v>2999</v>
      </c>
      <c r="L402" s="217">
        <v>0</v>
      </c>
      <c r="M402" s="217">
        <v>0</v>
      </c>
      <c r="N402" s="217">
        <v>0</v>
      </c>
      <c r="O402" s="217">
        <v>0</v>
      </c>
      <c r="P402" s="217">
        <v>1157</v>
      </c>
      <c r="Q402" s="217">
        <v>148</v>
      </c>
      <c r="R402" s="217" t="s">
        <v>1807</v>
      </c>
    </row>
    <row r="403" spans="1:18" x14ac:dyDescent="0.25">
      <c r="A403" s="217">
        <v>402</v>
      </c>
      <c r="B403" s="217" t="s">
        <v>22</v>
      </c>
      <c r="C403" s="217" t="s">
        <v>23</v>
      </c>
      <c r="D403" s="217" t="s">
        <v>85</v>
      </c>
      <c r="E403" s="217" t="s">
        <v>84</v>
      </c>
      <c r="F403" s="217" t="s">
        <v>98</v>
      </c>
      <c r="G403" s="217" t="s">
        <v>97</v>
      </c>
      <c r="H403" s="217" t="s">
        <v>1234</v>
      </c>
      <c r="I403" s="217" t="s">
        <v>1233</v>
      </c>
      <c r="J403" s="217" t="s">
        <v>3000</v>
      </c>
      <c r="K403" s="217" t="s">
        <v>3001</v>
      </c>
      <c r="L403" s="217">
        <v>0</v>
      </c>
      <c r="M403" s="217">
        <v>0</v>
      </c>
      <c r="N403" s="217">
        <v>0</v>
      </c>
      <c r="O403" s="217">
        <v>0</v>
      </c>
      <c r="P403" s="217">
        <v>0</v>
      </c>
      <c r="Q403" s="217">
        <v>0</v>
      </c>
      <c r="R403" s="217" t="s">
        <v>1807</v>
      </c>
    </row>
    <row r="404" spans="1:18" x14ac:dyDescent="0.25">
      <c r="A404" s="217">
        <v>403</v>
      </c>
      <c r="B404" s="217" t="s">
        <v>22</v>
      </c>
      <c r="C404" s="217" t="s">
        <v>23</v>
      </c>
      <c r="D404" s="217" t="s">
        <v>85</v>
      </c>
      <c r="E404" s="217" t="s">
        <v>84</v>
      </c>
      <c r="F404" s="217" t="s">
        <v>98</v>
      </c>
      <c r="G404" s="217" t="s">
        <v>97</v>
      </c>
      <c r="H404" s="217" t="s">
        <v>1235</v>
      </c>
      <c r="I404" s="217" t="s">
        <v>168</v>
      </c>
      <c r="J404" s="217" t="s">
        <v>3002</v>
      </c>
      <c r="K404" s="217" t="s">
        <v>3003</v>
      </c>
      <c r="L404" s="217">
        <v>50</v>
      </c>
      <c r="M404" s="217">
        <v>8</v>
      </c>
      <c r="N404" s="217">
        <v>70</v>
      </c>
      <c r="O404" s="217">
        <v>12</v>
      </c>
      <c r="P404" s="217">
        <v>50</v>
      </c>
      <c r="Q404" s="217">
        <v>11</v>
      </c>
      <c r="R404" s="217" t="s">
        <v>1807</v>
      </c>
    </row>
    <row r="405" spans="1:18" x14ac:dyDescent="0.25">
      <c r="A405" s="217">
        <v>404</v>
      </c>
      <c r="B405" s="217" t="s">
        <v>22</v>
      </c>
      <c r="C405" s="217" t="s">
        <v>23</v>
      </c>
      <c r="D405" s="217" t="s">
        <v>85</v>
      </c>
      <c r="E405" s="217" t="s">
        <v>84</v>
      </c>
      <c r="F405" s="217" t="s">
        <v>98</v>
      </c>
      <c r="G405" s="217" t="s">
        <v>97</v>
      </c>
      <c r="H405" s="217" t="s">
        <v>1236</v>
      </c>
      <c r="I405" s="217" t="s">
        <v>432</v>
      </c>
      <c r="J405" s="217" t="s">
        <v>3004</v>
      </c>
      <c r="K405" s="217" t="s">
        <v>3005</v>
      </c>
      <c r="L405" s="217">
        <v>46</v>
      </c>
      <c r="M405" s="217">
        <v>7</v>
      </c>
      <c r="N405" s="217">
        <v>73</v>
      </c>
      <c r="O405" s="217">
        <v>13</v>
      </c>
      <c r="P405" s="217">
        <v>0</v>
      </c>
      <c r="Q405" s="217">
        <v>0</v>
      </c>
      <c r="R405" s="217" t="s">
        <v>1807</v>
      </c>
    </row>
    <row r="406" spans="1:18" x14ac:dyDescent="0.25">
      <c r="A406" s="217">
        <v>405</v>
      </c>
      <c r="B406" s="217" t="s">
        <v>22</v>
      </c>
      <c r="C406" s="217" t="s">
        <v>23</v>
      </c>
      <c r="D406" s="217" t="s">
        <v>85</v>
      </c>
      <c r="E406" s="217" t="s">
        <v>84</v>
      </c>
      <c r="F406" s="217" t="s">
        <v>98</v>
      </c>
      <c r="G406" s="217" t="s">
        <v>97</v>
      </c>
      <c r="H406" s="217" t="s">
        <v>1238</v>
      </c>
      <c r="I406" s="217" t="s">
        <v>1237</v>
      </c>
      <c r="J406" s="217" t="s">
        <v>3006</v>
      </c>
      <c r="K406" s="217" t="s">
        <v>3007</v>
      </c>
      <c r="L406" s="217">
        <v>100</v>
      </c>
      <c r="M406" s="217">
        <v>25</v>
      </c>
      <c r="N406" s="217">
        <v>0</v>
      </c>
      <c r="O406" s="217">
        <v>0</v>
      </c>
      <c r="P406" s="217">
        <v>0</v>
      </c>
      <c r="Q406" s="217">
        <v>0</v>
      </c>
      <c r="R406" s="217" t="s">
        <v>1807</v>
      </c>
    </row>
    <row r="407" spans="1:18" x14ac:dyDescent="0.25">
      <c r="A407" s="217">
        <v>406</v>
      </c>
      <c r="B407" s="217" t="s">
        <v>22</v>
      </c>
      <c r="C407" s="217" t="s">
        <v>23</v>
      </c>
      <c r="D407" s="217" t="s">
        <v>85</v>
      </c>
      <c r="E407" s="217" t="s">
        <v>84</v>
      </c>
      <c r="F407" s="217" t="s">
        <v>98</v>
      </c>
      <c r="G407" s="217" t="s">
        <v>97</v>
      </c>
      <c r="H407" s="217" t="s">
        <v>1240</v>
      </c>
      <c r="I407" s="217" t="s">
        <v>1239</v>
      </c>
      <c r="J407" s="217" t="s">
        <v>3008</v>
      </c>
      <c r="K407" s="217" t="s">
        <v>3009</v>
      </c>
      <c r="L407" s="217">
        <v>195</v>
      </c>
      <c r="M407" s="217">
        <v>49</v>
      </c>
      <c r="N407" s="217">
        <v>0</v>
      </c>
      <c r="O407" s="217">
        <v>0</v>
      </c>
      <c r="P407" s="217">
        <v>0</v>
      </c>
      <c r="Q407" s="217">
        <v>0</v>
      </c>
      <c r="R407" s="217" t="s">
        <v>1807</v>
      </c>
    </row>
    <row r="408" spans="1:18" x14ac:dyDescent="0.25">
      <c r="A408" s="217">
        <v>407</v>
      </c>
      <c r="B408" s="217" t="s">
        <v>22</v>
      </c>
      <c r="C408" s="217" t="s">
        <v>23</v>
      </c>
      <c r="D408" s="217" t="s">
        <v>85</v>
      </c>
      <c r="E408" s="217" t="s">
        <v>84</v>
      </c>
      <c r="F408" s="217" t="s">
        <v>98</v>
      </c>
      <c r="G408" s="217" t="s">
        <v>97</v>
      </c>
      <c r="H408" s="217" t="s">
        <v>1241</v>
      </c>
      <c r="I408" s="217" t="s">
        <v>433</v>
      </c>
      <c r="J408" s="217" t="s">
        <v>3010</v>
      </c>
      <c r="K408" s="217" t="s">
        <v>3011</v>
      </c>
      <c r="L408" s="217">
        <v>77</v>
      </c>
      <c r="M408" s="217">
        <v>14</v>
      </c>
      <c r="N408" s="217">
        <v>42</v>
      </c>
      <c r="O408" s="217">
        <v>8</v>
      </c>
      <c r="P408" s="217">
        <v>0</v>
      </c>
      <c r="Q408" s="217">
        <v>0</v>
      </c>
      <c r="R408" s="217" t="s">
        <v>1807</v>
      </c>
    </row>
    <row r="409" spans="1:18" x14ac:dyDescent="0.25">
      <c r="A409" s="217">
        <v>408</v>
      </c>
      <c r="B409" s="217" t="s">
        <v>22</v>
      </c>
      <c r="C409" s="217" t="s">
        <v>23</v>
      </c>
      <c r="D409" s="217" t="s">
        <v>85</v>
      </c>
      <c r="E409" s="217" t="s">
        <v>84</v>
      </c>
      <c r="F409" s="217" t="s">
        <v>98</v>
      </c>
      <c r="G409" s="217" t="s">
        <v>97</v>
      </c>
      <c r="H409" s="217" t="s">
        <v>1520</v>
      </c>
      <c r="I409" s="217" t="s">
        <v>702</v>
      </c>
      <c r="J409" s="217" t="s">
        <v>3012</v>
      </c>
      <c r="K409" s="217" t="s">
        <v>3013</v>
      </c>
      <c r="L409" s="217">
        <v>17</v>
      </c>
      <c r="M409" s="217">
        <v>3</v>
      </c>
      <c r="N409" s="217">
        <v>26</v>
      </c>
      <c r="O409" s="217">
        <v>3</v>
      </c>
      <c r="P409" s="217">
        <v>0</v>
      </c>
      <c r="Q409" s="217">
        <v>0</v>
      </c>
      <c r="R409" s="217" t="s">
        <v>1807</v>
      </c>
    </row>
    <row r="410" spans="1:18" x14ac:dyDescent="0.25">
      <c r="A410" s="217">
        <v>409</v>
      </c>
      <c r="B410" s="217" t="s">
        <v>22</v>
      </c>
      <c r="C410" s="217" t="s">
        <v>23</v>
      </c>
      <c r="D410" s="217" t="s">
        <v>85</v>
      </c>
      <c r="E410" s="217" t="s">
        <v>84</v>
      </c>
      <c r="F410" s="217" t="s">
        <v>98</v>
      </c>
      <c r="G410" s="217" t="s">
        <v>97</v>
      </c>
      <c r="H410" s="217" t="s">
        <v>1242</v>
      </c>
      <c r="I410" s="217" t="s">
        <v>434</v>
      </c>
      <c r="J410" s="217" t="s">
        <v>3014</v>
      </c>
      <c r="K410" s="217" t="s">
        <v>3015</v>
      </c>
      <c r="L410" s="217">
        <v>1432</v>
      </c>
      <c r="M410" s="217">
        <v>123</v>
      </c>
      <c r="N410" s="217">
        <v>0</v>
      </c>
      <c r="O410" s="217">
        <v>0</v>
      </c>
      <c r="P410" s="217">
        <v>0</v>
      </c>
      <c r="Q410" s="217">
        <v>0</v>
      </c>
      <c r="R410" s="217" t="s">
        <v>1807</v>
      </c>
    </row>
    <row r="411" spans="1:18" x14ac:dyDescent="0.25">
      <c r="A411" s="217">
        <v>410</v>
      </c>
      <c r="B411" s="217" t="s">
        <v>22</v>
      </c>
      <c r="C411" s="217" t="s">
        <v>23</v>
      </c>
      <c r="D411" s="217" t="s">
        <v>85</v>
      </c>
      <c r="E411" s="217" t="s">
        <v>84</v>
      </c>
      <c r="F411" s="217" t="s">
        <v>98</v>
      </c>
      <c r="G411" s="217" t="s">
        <v>97</v>
      </c>
      <c r="H411" s="217" t="s">
        <v>1244</v>
      </c>
      <c r="I411" s="217" t="s">
        <v>1243</v>
      </c>
      <c r="J411" s="217" t="s">
        <v>3016</v>
      </c>
      <c r="K411" s="217" t="s">
        <v>3017</v>
      </c>
      <c r="L411" s="217">
        <v>21</v>
      </c>
      <c r="M411" s="217">
        <v>3</v>
      </c>
      <c r="N411" s="217">
        <v>0</v>
      </c>
      <c r="O411" s="217">
        <v>0</v>
      </c>
      <c r="P411" s="217">
        <v>0</v>
      </c>
      <c r="Q411" s="217">
        <v>0</v>
      </c>
      <c r="R411" s="217" t="s">
        <v>1807</v>
      </c>
    </row>
    <row r="412" spans="1:18" x14ac:dyDescent="0.25">
      <c r="A412" s="217">
        <v>411</v>
      </c>
      <c r="B412" s="217" t="s">
        <v>22</v>
      </c>
      <c r="C412" s="217" t="s">
        <v>23</v>
      </c>
      <c r="D412" s="217" t="s">
        <v>85</v>
      </c>
      <c r="E412" s="217" t="s">
        <v>84</v>
      </c>
      <c r="F412" s="217" t="s">
        <v>98</v>
      </c>
      <c r="G412" s="217" t="s">
        <v>97</v>
      </c>
      <c r="H412" s="217" t="s">
        <v>1246</v>
      </c>
      <c r="I412" s="217" t="s">
        <v>1245</v>
      </c>
      <c r="J412" s="217" t="s">
        <v>3018</v>
      </c>
      <c r="K412" s="217" t="s">
        <v>3019</v>
      </c>
      <c r="L412" s="217">
        <v>80</v>
      </c>
      <c r="M412" s="217">
        <v>16</v>
      </c>
      <c r="N412" s="217">
        <v>0</v>
      </c>
      <c r="O412" s="217">
        <v>0</v>
      </c>
      <c r="P412" s="217">
        <v>0</v>
      </c>
      <c r="Q412" s="217">
        <v>0</v>
      </c>
      <c r="R412" s="217" t="s">
        <v>1807</v>
      </c>
    </row>
    <row r="413" spans="1:18" x14ac:dyDescent="0.25">
      <c r="A413" s="217">
        <v>412</v>
      </c>
      <c r="B413" s="217" t="s">
        <v>22</v>
      </c>
      <c r="C413" s="217" t="s">
        <v>23</v>
      </c>
      <c r="D413" s="217" t="s">
        <v>85</v>
      </c>
      <c r="E413" s="217" t="s">
        <v>84</v>
      </c>
      <c r="F413" s="217" t="s">
        <v>98</v>
      </c>
      <c r="G413" s="217" t="s">
        <v>97</v>
      </c>
      <c r="H413" s="217" t="s">
        <v>1247</v>
      </c>
      <c r="I413" s="217" t="s">
        <v>435</v>
      </c>
      <c r="J413" s="217" t="s">
        <v>3020</v>
      </c>
      <c r="K413" s="217" t="s">
        <v>3021</v>
      </c>
      <c r="L413" s="217">
        <v>70</v>
      </c>
      <c r="M413" s="217">
        <v>12</v>
      </c>
      <c r="N413" s="217">
        <v>0</v>
      </c>
      <c r="O413" s="217">
        <v>0</v>
      </c>
      <c r="P413" s="217">
        <v>0</v>
      </c>
      <c r="Q413" s="217">
        <v>0</v>
      </c>
      <c r="R413" s="217" t="s">
        <v>1807</v>
      </c>
    </row>
    <row r="414" spans="1:18" x14ac:dyDescent="0.25">
      <c r="A414" s="217">
        <v>413</v>
      </c>
      <c r="B414" s="217" t="s">
        <v>22</v>
      </c>
      <c r="C414" s="217" t="s">
        <v>23</v>
      </c>
      <c r="D414" s="217" t="s">
        <v>85</v>
      </c>
      <c r="E414" s="217" t="s">
        <v>84</v>
      </c>
      <c r="F414" s="217" t="s">
        <v>98</v>
      </c>
      <c r="G414" s="217" t="s">
        <v>97</v>
      </c>
      <c r="H414" s="217" t="s">
        <v>1248</v>
      </c>
      <c r="I414" s="217" t="s">
        <v>436</v>
      </c>
      <c r="J414" s="217" t="s">
        <v>3022</v>
      </c>
      <c r="K414" s="217" t="s">
        <v>3023</v>
      </c>
      <c r="L414" s="217">
        <v>113</v>
      </c>
      <c r="M414" s="217">
        <v>16</v>
      </c>
      <c r="N414" s="217">
        <v>0</v>
      </c>
      <c r="O414" s="217">
        <v>0</v>
      </c>
      <c r="P414" s="217">
        <v>0</v>
      </c>
      <c r="Q414" s="217">
        <v>0</v>
      </c>
      <c r="R414" s="217" t="s">
        <v>1807</v>
      </c>
    </row>
    <row r="415" spans="1:18" x14ac:dyDescent="0.25">
      <c r="A415" s="217">
        <v>414</v>
      </c>
      <c r="B415" s="217" t="s">
        <v>22</v>
      </c>
      <c r="C415" s="217" t="s">
        <v>23</v>
      </c>
      <c r="D415" s="217" t="s">
        <v>85</v>
      </c>
      <c r="E415" s="217" t="s">
        <v>84</v>
      </c>
      <c r="F415" s="217" t="s">
        <v>98</v>
      </c>
      <c r="G415" s="217" t="s">
        <v>97</v>
      </c>
      <c r="H415" s="217" t="s">
        <v>2140</v>
      </c>
      <c r="I415" s="217" t="s">
        <v>2139</v>
      </c>
      <c r="J415" s="217" t="s">
        <v>3024</v>
      </c>
      <c r="K415" s="217" t="s">
        <v>3025</v>
      </c>
      <c r="L415" s="217">
        <v>170</v>
      </c>
      <c r="M415" s="217">
        <v>20</v>
      </c>
      <c r="N415" s="217">
        <v>0</v>
      </c>
      <c r="O415" s="217">
        <v>0</v>
      </c>
      <c r="P415" s="217">
        <v>0</v>
      </c>
      <c r="Q415" s="217">
        <v>0</v>
      </c>
      <c r="R415" s="217" t="s">
        <v>1810</v>
      </c>
    </row>
    <row r="416" spans="1:18" x14ac:dyDescent="0.25">
      <c r="A416" s="217">
        <v>415</v>
      </c>
      <c r="B416" s="217" t="s">
        <v>22</v>
      </c>
      <c r="C416" s="217" t="s">
        <v>23</v>
      </c>
      <c r="D416" s="217" t="s">
        <v>85</v>
      </c>
      <c r="E416" s="217" t="s">
        <v>84</v>
      </c>
      <c r="F416" s="217" t="s">
        <v>98</v>
      </c>
      <c r="G416" s="217" t="s">
        <v>97</v>
      </c>
      <c r="H416" s="217" t="s">
        <v>1250</v>
      </c>
      <c r="I416" s="217" t="s">
        <v>1249</v>
      </c>
      <c r="J416" s="217" t="s">
        <v>3026</v>
      </c>
      <c r="K416" s="217" t="s">
        <v>3027</v>
      </c>
      <c r="L416" s="217">
        <v>35</v>
      </c>
      <c r="M416" s="217">
        <v>6</v>
      </c>
      <c r="N416" s="217">
        <v>0</v>
      </c>
      <c r="O416" s="217">
        <v>0</v>
      </c>
      <c r="P416" s="217">
        <v>0</v>
      </c>
      <c r="Q416" s="217">
        <v>0</v>
      </c>
      <c r="R416" s="217" t="s">
        <v>1807</v>
      </c>
    </row>
    <row r="417" spans="1:18" x14ac:dyDescent="0.25">
      <c r="A417" s="217">
        <v>416</v>
      </c>
      <c r="B417" s="217" t="s">
        <v>22</v>
      </c>
      <c r="C417" s="217" t="s">
        <v>23</v>
      </c>
      <c r="D417" s="217" t="s">
        <v>85</v>
      </c>
      <c r="E417" s="217" t="s">
        <v>84</v>
      </c>
      <c r="F417" s="217" t="s">
        <v>98</v>
      </c>
      <c r="G417" s="217" t="s">
        <v>97</v>
      </c>
      <c r="H417" s="217" t="s">
        <v>1252</v>
      </c>
      <c r="I417" s="217" t="s">
        <v>1251</v>
      </c>
      <c r="J417" s="217" t="s">
        <v>3028</v>
      </c>
      <c r="K417" s="217" t="s">
        <v>3029</v>
      </c>
      <c r="L417" s="217">
        <v>55</v>
      </c>
      <c r="M417" s="217">
        <v>7</v>
      </c>
      <c r="N417" s="217">
        <v>0</v>
      </c>
      <c r="O417" s="217">
        <v>0</v>
      </c>
      <c r="P417" s="217">
        <v>0</v>
      </c>
      <c r="Q417" s="217">
        <v>0</v>
      </c>
      <c r="R417" s="217" t="s">
        <v>1807</v>
      </c>
    </row>
    <row r="418" spans="1:18" x14ac:dyDescent="0.25">
      <c r="A418" s="217">
        <v>417</v>
      </c>
      <c r="B418" s="217" t="s">
        <v>22</v>
      </c>
      <c r="C418" s="217" t="s">
        <v>23</v>
      </c>
      <c r="D418" s="217" t="s">
        <v>85</v>
      </c>
      <c r="E418" s="217" t="s">
        <v>84</v>
      </c>
      <c r="F418" s="217" t="s">
        <v>98</v>
      </c>
      <c r="G418" s="217" t="s">
        <v>97</v>
      </c>
      <c r="H418" s="217" t="s">
        <v>1253</v>
      </c>
      <c r="I418" s="217" t="s">
        <v>437</v>
      </c>
      <c r="J418" s="217" t="s">
        <v>3030</v>
      </c>
      <c r="K418" s="217" t="s">
        <v>3031</v>
      </c>
      <c r="L418" s="217">
        <v>32</v>
      </c>
      <c r="M418" s="217">
        <v>6</v>
      </c>
      <c r="N418" s="217">
        <v>20</v>
      </c>
      <c r="O418" s="217">
        <v>6</v>
      </c>
      <c r="P418" s="217">
        <v>35</v>
      </c>
      <c r="Q418" s="217">
        <v>8</v>
      </c>
      <c r="R418" s="217" t="s">
        <v>1807</v>
      </c>
    </row>
    <row r="419" spans="1:18" x14ac:dyDescent="0.25">
      <c r="A419" s="217">
        <v>418</v>
      </c>
      <c r="B419" s="217" t="s">
        <v>22</v>
      </c>
      <c r="C419" s="217" t="s">
        <v>23</v>
      </c>
      <c r="D419" s="217" t="s">
        <v>85</v>
      </c>
      <c r="E419" s="217" t="s">
        <v>84</v>
      </c>
      <c r="F419" s="217" t="s">
        <v>98</v>
      </c>
      <c r="G419" s="217" t="s">
        <v>97</v>
      </c>
      <c r="H419" s="217" t="s">
        <v>1254</v>
      </c>
      <c r="I419" s="217" t="s">
        <v>438</v>
      </c>
      <c r="J419" s="217" t="s">
        <v>3032</v>
      </c>
      <c r="K419" s="217" t="s">
        <v>3033</v>
      </c>
      <c r="L419" s="217">
        <v>56</v>
      </c>
      <c r="M419" s="217">
        <v>7</v>
      </c>
      <c r="N419" s="217">
        <v>0</v>
      </c>
      <c r="O419" s="217">
        <v>0</v>
      </c>
      <c r="P419" s="217">
        <v>0</v>
      </c>
      <c r="Q419" s="217">
        <v>0</v>
      </c>
      <c r="R419" s="217" t="s">
        <v>1807</v>
      </c>
    </row>
    <row r="420" spans="1:18" x14ac:dyDescent="0.25">
      <c r="A420" s="217">
        <v>419</v>
      </c>
      <c r="B420" s="217" t="s">
        <v>22</v>
      </c>
      <c r="C420" s="217" t="s">
        <v>23</v>
      </c>
      <c r="D420" s="217" t="s">
        <v>85</v>
      </c>
      <c r="E420" s="217" t="s">
        <v>84</v>
      </c>
      <c r="F420" s="217" t="s">
        <v>98</v>
      </c>
      <c r="G420" s="217" t="s">
        <v>97</v>
      </c>
      <c r="H420" s="217" t="s">
        <v>1255</v>
      </c>
      <c r="I420" s="217" t="s">
        <v>439</v>
      </c>
      <c r="J420" s="217" t="s">
        <v>3034</v>
      </c>
      <c r="K420" s="217" t="s">
        <v>3035</v>
      </c>
      <c r="L420" s="217">
        <v>95</v>
      </c>
      <c r="M420" s="217">
        <v>20</v>
      </c>
      <c r="N420" s="217">
        <v>0</v>
      </c>
      <c r="O420" s="217">
        <v>0</v>
      </c>
      <c r="P420" s="217">
        <v>0</v>
      </c>
      <c r="Q420" s="217">
        <v>0</v>
      </c>
      <c r="R420" s="217" t="s">
        <v>1807</v>
      </c>
    </row>
    <row r="421" spans="1:18" x14ac:dyDescent="0.25">
      <c r="A421" s="217">
        <v>420</v>
      </c>
      <c r="B421" s="217" t="s">
        <v>22</v>
      </c>
      <c r="C421" s="217" t="s">
        <v>23</v>
      </c>
      <c r="D421" s="217" t="s">
        <v>85</v>
      </c>
      <c r="E421" s="217" t="s">
        <v>84</v>
      </c>
      <c r="F421" s="217" t="s">
        <v>98</v>
      </c>
      <c r="G421" s="217" t="s">
        <v>97</v>
      </c>
      <c r="H421" s="217" t="s">
        <v>1256</v>
      </c>
      <c r="I421" s="217" t="s">
        <v>821</v>
      </c>
      <c r="J421" s="217" t="s">
        <v>3036</v>
      </c>
      <c r="K421" s="217" t="s">
        <v>3037</v>
      </c>
      <c r="L421" s="217">
        <v>68</v>
      </c>
      <c r="M421" s="217">
        <v>8</v>
      </c>
      <c r="N421" s="217">
        <v>0</v>
      </c>
      <c r="O421" s="217">
        <v>0</v>
      </c>
      <c r="P421" s="217">
        <v>0</v>
      </c>
      <c r="Q421" s="217">
        <v>0</v>
      </c>
      <c r="R421" s="217" t="s">
        <v>1807</v>
      </c>
    </row>
    <row r="422" spans="1:18" x14ac:dyDescent="0.25">
      <c r="A422" s="217">
        <v>421</v>
      </c>
      <c r="B422" s="217" t="s">
        <v>22</v>
      </c>
      <c r="C422" s="217" t="s">
        <v>23</v>
      </c>
      <c r="D422" s="217" t="s">
        <v>85</v>
      </c>
      <c r="E422" s="217" t="s">
        <v>84</v>
      </c>
      <c r="F422" s="217" t="s">
        <v>98</v>
      </c>
      <c r="G422" s="217" t="s">
        <v>97</v>
      </c>
      <c r="H422" s="217" t="s">
        <v>1257</v>
      </c>
      <c r="I422" s="217" t="s">
        <v>440</v>
      </c>
      <c r="J422" s="217" t="s">
        <v>3038</v>
      </c>
      <c r="K422" s="217" t="s">
        <v>3039</v>
      </c>
      <c r="L422" s="217">
        <v>78</v>
      </c>
      <c r="M422" s="217">
        <v>14</v>
      </c>
      <c r="N422" s="217">
        <v>0</v>
      </c>
      <c r="O422" s="217">
        <v>0</v>
      </c>
      <c r="P422" s="217">
        <v>0</v>
      </c>
      <c r="Q422" s="217">
        <v>0</v>
      </c>
      <c r="R422" s="217" t="s">
        <v>1807</v>
      </c>
    </row>
    <row r="423" spans="1:18" x14ac:dyDescent="0.25">
      <c r="A423" s="217">
        <v>422</v>
      </c>
      <c r="B423" s="217" t="s">
        <v>22</v>
      </c>
      <c r="C423" s="217" t="s">
        <v>23</v>
      </c>
      <c r="D423" s="217" t="s">
        <v>85</v>
      </c>
      <c r="E423" s="217" t="s">
        <v>84</v>
      </c>
      <c r="F423" s="217" t="s">
        <v>98</v>
      </c>
      <c r="G423" s="217" t="s">
        <v>97</v>
      </c>
      <c r="H423" s="217" t="s">
        <v>1258</v>
      </c>
      <c r="I423" s="217" t="s">
        <v>441</v>
      </c>
      <c r="J423" s="217" t="s">
        <v>3040</v>
      </c>
      <c r="K423" s="217" t="s">
        <v>3041</v>
      </c>
      <c r="L423" s="217">
        <v>58</v>
      </c>
      <c r="M423" s="217">
        <v>14</v>
      </c>
      <c r="N423" s="217">
        <v>0</v>
      </c>
      <c r="O423" s="217">
        <v>0</v>
      </c>
      <c r="P423" s="217">
        <v>0</v>
      </c>
      <c r="Q423" s="217">
        <v>0</v>
      </c>
      <c r="R423" s="217" t="s">
        <v>1807</v>
      </c>
    </row>
    <row r="424" spans="1:18" x14ac:dyDescent="0.25">
      <c r="A424" s="217">
        <v>423</v>
      </c>
      <c r="B424" s="217" t="s">
        <v>22</v>
      </c>
      <c r="C424" s="217" t="s">
        <v>23</v>
      </c>
      <c r="D424" s="217" t="s">
        <v>85</v>
      </c>
      <c r="E424" s="217" t="s">
        <v>84</v>
      </c>
      <c r="F424" s="217" t="s">
        <v>98</v>
      </c>
      <c r="G424" s="217" t="s">
        <v>97</v>
      </c>
      <c r="H424" s="217" t="s">
        <v>1259</v>
      </c>
      <c r="I424" s="217" t="s">
        <v>442</v>
      </c>
      <c r="J424" s="217" t="s">
        <v>3042</v>
      </c>
      <c r="K424" s="217" t="s">
        <v>3043</v>
      </c>
      <c r="L424" s="217">
        <v>128</v>
      </c>
      <c r="M424" s="217">
        <v>25</v>
      </c>
      <c r="N424" s="217">
        <v>0</v>
      </c>
      <c r="O424" s="217">
        <v>0</v>
      </c>
      <c r="P424" s="217">
        <v>0</v>
      </c>
      <c r="Q424" s="217">
        <v>0</v>
      </c>
      <c r="R424" s="217" t="s">
        <v>1807</v>
      </c>
    </row>
    <row r="425" spans="1:18" x14ac:dyDescent="0.25">
      <c r="A425" s="217">
        <v>424</v>
      </c>
      <c r="B425" s="217" t="s">
        <v>22</v>
      </c>
      <c r="C425" s="217" t="s">
        <v>23</v>
      </c>
      <c r="D425" s="217" t="s">
        <v>85</v>
      </c>
      <c r="E425" s="217" t="s">
        <v>84</v>
      </c>
      <c r="F425" s="217" t="s">
        <v>98</v>
      </c>
      <c r="G425" s="217" t="s">
        <v>97</v>
      </c>
      <c r="H425" s="217" t="s">
        <v>1260</v>
      </c>
      <c r="I425" s="217" t="s">
        <v>443</v>
      </c>
      <c r="J425" s="217" t="s">
        <v>3044</v>
      </c>
      <c r="K425" s="217" t="s">
        <v>3045</v>
      </c>
      <c r="L425" s="217">
        <v>152</v>
      </c>
      <c r="M425" s="217">
        <v>23</v>
      </c>
      <c r="N425" s="217">
        <v>0</v>
      </c>
      <c r="O425" s="217">
        <v>0</v>
      </c>
      <c r="P425" s="217">
        <v>0</v>
      </c>
      <c r="Q425" s="217">
        <v>0</v>
      </c>
      <c r="R425" s="217" t="s">
        <v>1807</v>
      </c>
    </row>
    <row r="426" spans="1:18" x14ac:dyDescent="0.25">
      <c r="A426" s="217">
        <v>425</v>
      </c>
      <c r="B426" s="217" t="s">
        <v>22</v>
      </c>
      <c r="C426" s="217" t="s">
        <v>23</v>
      </c>
      <c r="D426" s="217" t="s">
        <v>85</v>
      </c>
      <c r="E426" s="217" t="s">
        <v>84</v>
      </c>
      <c r="F426" s="217" t="s">
        <v>98</v>
      </c>
      <c r="G426" s="217" t="s">
        <v>97</v>
      </c>
      <c r="H426" s="217" t="s">
        <v>1686</v>
      </c>
      <c r="I426" s="217" t="s">
        <v>695</v>
      </c>
      <c r="J426" s="217" t="s">
        <v>3046</v>
      </c>
      <c r="K426" s="217" t="s">
        <v>3047</v>
      </c>
      <c r="L426" s="217">
        <v>90</v>
      </c>
      <c r="M426" s="217">
        <v>18</v>
      </c>
      <c r="N426" s="217">
        <v>0</v>
      </c>
      <c r="O426" s="217">
        <v>0</v>
      </c>
      <c r="P426" s="217">
        <v>0</v>
      </c>
      <c r="Q426" s="217">
        <v>0</v>
      </c>
      <c r="R426" s="217" t="s">
        <v>1807</v>
      </c>
    </row>
    <row r="427" spans="1:18" x14ac:dyDescent="0.25">
      <c r="A427" s="217">
        <v>426</v>
      </c>
      <c r="B427" s="217" t="s">
        <v>22</v>
      </c>
      <c r="C427" s="217" t="s">
        <v>23</v>
      </c>
      <c r="D427" s="217" t="s">
        <v>85</v>
      </c>
      <c r="E427" s="217" t="s">
        <v>84</v>
      </c>
      <c r="F427" s="217" t="s">
        <v>98</v>
      </c>
      <c r="G427" s="217" t="s">
        <v>97</v>
      </c>
      <c r="H427" s="217" t="s">
        <v>1261</v>
      </c>
      <c r="I427" s="217" t="s">
        <v>444</v>
      </c>
      <c r="J427" s="217" t="s">
        <v>3048</v>
      </c>
      <c r="K427" s="217" t="s">
        <v>3049</v>
      </c>
      <c r="L427" s="217">
        <v>35</v>
      </c>
      <c r="M427" s="217">
        <v>6</v>
      </c>
      <c r="N427" s="217">
        <v>33</v>
      </c>
      <c r="O427" s="217">
        <v>7</v>
      </c>
      <c r="P427" s="217">
        <v>0</v>
      </c>
      <c r="Q427" s="217">
        <v>0</v>
      </c>
      <c r="R427" s="217" t="s">
        <v>1807</v>
      </c>
    </row>
    <row r="428" spans="1:18" x14ac:dyDescent="0.25">
      <c r="A428" s="217">
        <v>427</v>
      </c>
      <c r="B428" s="217" t="s">
        <v>22</v>
      </c>
      <c r="C428" s="217" t="s">
        <v>23</v>
      </c>
      <c r="D428" s="217" t="s">
        <v>85</v>
      </c>
      <c r="E428" s="217" t="s">
        <v>84</v>
      </c>
      <c r="F428" s="217" t="s">
        <v>98</v>
      </c>
      <c r="G428" s="217" t="s">
        <v>97</v>
      </c>
      <c r="H428" s="217" t="s">
        <v>1262</v>
      </c>
      <c r="I428" s="217" t="s">
        <v>169</v>
      </c>
      <c r="J428" s="217" t="s">
        <v>3050</v>
      </c>
      <c r="K428" s="217" t="s">
        <v>3051</v>
      </c>
      <c r="L428" s="217">
        <v>87</v>
      </c>
      <c r="M428" s="217">
        <v>18</v>
      </c>
      <c r="N428" s="217">
        <v>18</v>
      </c>
      <c r="O428" s="217">
        <v>7</v>
      </c>
      <c r="P428" s="217">
        <v>0</v>
      </c>
      <c r="Q428" s="217">
        <v>0</v>
      </c>
      <c r="R428" s="217" t="s">
        <v>1807</v>
      </c>
    </row>
    <row r="429" spans="1:18" x14ac:dyDescent="0.25">
      <c r="A429" s="217">
        <v>428</v>
      </c>
      <c r="B429" s="217" t="s">
        <v>22</v>
      </c>
      <c r="C429" s="217" t="s">
        <v>23</v>
      </c>
      <c r="D429" s="217" t="s">
        <v>85</v>
      </c>
      <c r="E429" s="217" t="s">
        <v>84</v>
      </c>
      <c r="F429" s="217" t="s">
        <v>98</v>
      </c>
      <c r="G429" s="217" t="s">
        <v>97</v>
      </c>
      <c r="H429" s="217" t="s">
        <v>1263</v>
      </c>
      <c r="I429" s="217" t="s">
        <v>445</v>
      </c>
      <c r="J429" s="217" t="s">
        <v>3052</v>
      </c>
      <c r="K429" s="217" t="s">
        <v>3053</v>
      </c>
      <c r="L429" s="217">
        <v>107</v>
      </c>
      <c r="M429" s="217">
        <v>20</v>
      </c>
      <c r="N429" s="217">
        <v>0</v>
      </c>
      <c r="O429" s="217">
        <v>0</v>
      </c>
      <c r="P429" s="217">
        <v>0</v>
      </c>
      <c r="Q429" s="217">
        <v>0</v>
      </c>
      <c r="R429" s="217" t="s">
        <v>1807</v>
      </c>
    </row>
    <row r="430" spans="1:18" x14ac:dyDescent="0.25">
      <c r="A430" s="217">
        <v>429</v>
      </c>
      <c r="B430" s="217" t="s">
        <v>22</v>
      </c>
      <c r="C430" s="217" t="s">
        <v>23</v>
      </c>
      <c r="D430" s="217" t="s">
        <v>85</v>
      </c>
      <c r="E430" s="217" t="s">
        <v>84</v>
      </c>
      <c r="F430" s="217" t="s">
        <v>98</v>
      </c>
      <c r="G430" s="217" t="s">
        <v>97</v>
      </c>
      <c r="H430" s="217" t="s">
        <v>1264</v>
      </c>
      <c r="I430" s="217" t="s">
        <v>822</v>
      </c>
      <c r="J430" s="217" t="s">
        <v>3054</v>
      </c>
      <c r="K430" s="217" t="s">
        <v>3055</v>
      </c>
      <c r="L430" s="217">
        <v>37</v>
      </c>
      <c r="M430" s="217">
        <v>7</v>
      </c>
      <c r="N430" s="217">
        <v>0</v>
      </c>
      <c r="O430" s="217">
        <v>0</v>
      </c>
      <c r="P430" s="217">
        <v>0</v>
      </c>
      <c r="Q430" s="217">
        <v>0</v>
      </c>
      <c r="R430" s="217" t="s">
        <v>1807</v>
      </c>
    </row>
    <row r="431" spans="1:18" x14ac:dyDescent="0.25">
      <c r="A431" s="217">
        <v>430</v>
      </c>
      <c r="B431" s="217" t="s">
        <v>22</v>
      </c>
      <c r="C431" s="217" t="s">
        <v>23</v>
      </c>
      <c r="D431" s="217" t="s">
        <v>85</v>
      </c>
      <c r="E431" s="217" t="s">
        <v>84</v>
      </c>
      <c r="F431" s="217" t="s">
        <v>98</v>
      </c>
      <c r="G431" s="217" t="s">
        <v>97</v>
      </c>
      <c r="H431" s="217" t="s">
        <v>1265</v>
      </c>
      <c r="I431" s="217" t="s">
        <v>831</v>
      </c>
      <c r="J431" s="217" t="s">
        <v>3056</v>
      </c>
      <c r="K431" s="217" t="s">
        <v>3057</v>
      </c>
      <c r="L431" s="217">
        <v>32</v>
      </c>
      <c r="M431" s="217">
        <v>6</v>
      </c>
      <c r="N431" s="217">
        <v>0</v>
      </c>
      <c r="O431" s="217">
        <v>0</v>
      </c>
      <c r="P431" s="217">
        <v>0</v>
      </c>
      <c r="Q431" s="217">
        <v>0</v>
      </c>
      <c r="R431" s="217" t="s">
        <v>1807</v>
      </c>
    </row>
    <row r="432" spans="1:18" x14ac:dyDescent="0.25">
      <c r="A432" s="217">
        <v>431</v>
      </c>
      <c r="B432" s="217" t="s">
        <v>22</v>
      </c>
      <c r="C432" s="217" t="s">
        <v>23</v>
      </c>
      <c r="D432" s="217" t="s">
        <v>85</v>
      </c>
      <c r="E432" s="217" t="s">
        <v>84</v>
      </c>
      <c r="F432" s="217" t="s">
        <v>98</v>
      </c>
      <c r="G432" s="217" t="s">
        <v>97</v>
      </c>
      <c r="H432" s="217" t="s">
        <v>1266</v>
      </c>
      <c r="I432" s="217" t="s">
        <v>446</v>
      </c>
      <c r="J432" s="217" t="s">
        <v>3058</v>
      </c>
      <c r="K432" s="217" t="s">
        <v>3059</v>
      </c>
      <c r="L432" s="217">
        <v>340</v>
      </c>
      <c r="M432" s="217">
        <v>40</v>
      </c>
      <c r="N432" s="217">
        <v>471</v>
      </c>
      <c r="O432" s="217">
        <v>63</v>
      </c>
      <c r="P432" s="217">
        <v>0</v>
      </c>
      <c r="Q432" s="217">
        <v>0</v>
      </c>
      <c r="R432" s="217" t="s">
        <v>1807</v>
      </c>
    </row>
    <row r="433" spans="1:18" x14ac:dyDescent="0.25">
      <c r="A433" s="217">
        <v>432</v>
      </c>
      <c r="B433" s="217" t="s">
        <v>22</v>
      </c>
      <c r="C433" s="217" t="s">
        <v>23</v>
      </c>
      <c r="D433" s="217" t="s">
        <v>85</v>
      </c>
      <c r="E433" s="217" t="s">
        <v>84</v>
      </c>
      <c r="F433" s="217" t="s">
        <v>98</v>
      </c>
      <c r="G433" s="217" t="s">
        <v>97</v>
      </c>
      <c r="H433" s="217" t="s">
        <v>1267</v>
      </c>
      <c r="I433" s="217" t="s">
        <v>447</v>
      </c>
      <c r="J433" s="217" t="s">
        <v>3060</v>
      </c>
      <c r="K433" s="217" t="s">
        <v>3061</v>
      </c>
      <c r="L433" s="217">
        <v>38</v>
      </c>
      <c r="M433" s="217">
        <v>7</v>
      </c>
      <c r="N433" s="217">
        <v>204</v>
      </c>
      <c r="O433" s="217">
        <v>41</v>
      </c>
      <c r="P433" s="217">
        <v>0</v>
      </c>
      <c r="Q433" s="217">
        <v>0</v>
      </c>
      <c r="R433" s="217" t="s">
        <v>1807</v>
      </c>
    </row>
    <row r="434" spans="1:18" x14ac:dyDescent="0.25">
      <c r="A434" s="217">
        <v>433</v>
      </c>
      <c r="B434" s="217" t="s">
        <v>22</v>
      </c>
      <c r="C434" s="217" t="s">
        <v>23</v>
      </c>
      <c r="D434" s="217" t="s">
        <v>85</v>
      </c>
      <c r="E434" s="217" t="s">
        <v>84</v>
      </c>
      <c r="F434" s="217" t="s">
        <v>98</v>
      </c>
      <c r="G434" s="217" t="s">
        <v>97</v>
      </c>
      <c r="H434" s="217" t="s">
        <v>1268</v>
      </c>
      <c r="I434" s="217" t="s">
        <v>806</v>
      </c>
      <c r="J434" s="217" t="s">
        <v>3062</v>
      </c>
      <c r="K434" s="217" t="s">
        <v>3063</v>
      </c>
      <c r="L434" s="217">
        <v>34</v>
      </c>
      <c r="M434" s="217">
        <v>4</v>
      </c>
      <c r="N434" s="217">
        <v>247</v>
      </c>
      <c r="O434" s="217">
        <v>29</v>
      </c>
      <c r="P434" s="217">
        <v>0</v>
      </c>
      <c r="Q434" s="217">
        <v>0</v>
      </c>
      <c r="R434" s="217" t="s">
        <v>1807</v>
      </c>
    </row>
    <row r="435" spans="1:18" x14ac:dyDescent="0.25">
      <c r="A435" s="217">
        <v>434</v>
      </c>
      <c r="B435" s="217" t="s">
        <v>22</v>
      </c>
      <c r="C435" s="217" t="s">
        <v>23</v>
      </c>
      <c r="D435" s="217" t="s">
        <v>85</v>
      </c>
      <c r="E435" s="217" t="s">
        <v>84</v>
      </c>
      <c r="F435" s="217" t="s">
        <v>98</v>
      </c>
      <c r="G435" s="217" t="s">
        <v>97</v>
      </c>
      <c r="H435" s="217" t="s">
        <v>1269</v>
      </c>
      <c r="I435" s="217" t="s">
        <v>448</v>
      </c>
      <c r="J435" s="217" t="s">
        <v>3064</v>
      </c>
      <c r="K435" s="217" t="s">
        <v>3065</v>
      </c>
      <c r="L435" s="217">
        <v>178</v>
      </c>
      <c r="M435" s="217">
        <v>19</v>
      </c>
      <c r="N435" s="217">
        <v>0</v>
      </c>
      <c r="O435" s="217">
        <v>0</v>
      </c>
      <c r="P435" s="217">
        <v>0</v>
      </c>
      <c r="Q435" s="217">
        <v>0</v>
      </c>
      <c r="R435" s="217" t="s">
        <v>1807</v>
      </c>
    </row>
    <row r="436" spans="1:18" x14ac:dyDescent="0.25">
      <c r="A436" s="217">
        <v>435</v>
      </c>
      <c r="B436" s="217" t="s">
        <v>22</v>
      </c>
      <c r="C436" s="217" t="s">
        <v>23</v>
      </c>
      <c r="D436" s="217" t="s">
        <v>85</v>
      </c>
      <c r="E436" s="217" t="s">
        <v>84</v>
      </c>
      <c r="F436" s="217" t="s">
        <v>98</v>
      </c>
      <c r="G436" s="217" t="s">
        <v>97</v>
      </c>
      <c r="H436" s="217" t="s">
        <v>1270</v>
      </c>
      <c r="I436" s="217" t="s">
        <v>449</v>
      </c>
      <c r="J436" s="217" t="s">
        <v>3066</v>
      </c>
      <c r="K436" s="217" t="s">
        <v>3067</v>
      </c>
      <c r="L436" s="217">
        <v>36</v>
      </c>
      <c r="M436" s="217">
        <v>7</v>
      </c>
      <c r="N436" s="217">
        <v>45</v>
      </c>
      <c r="O436" s="217">
        <v>9</v>
      </c>
      <c r="P436" s="217">
        <v>0</v>
      </c>
      <c r="Q436" s="217">
        <v>0</v>
      </c>
      <c r="R436" s="217" t="s">
        <v>1807</v>
      </c>
    </row>
    <row r="437" spans="1:18" x14ac:dyDescent="0.25">
      <c r="A437" s="217">
        <v>436</v>
      </c>
      <c r="B437" s="217" t="s">
        <v>22</v>
      </c>
      <c r="C437" s="217" t="s">
        <v>23</v>
      </c>
      <c r="D437" s="217" t="s">
        <v>85</v>
      </c>
      <c r="E437" s="217" t="s">
        <v>84</v>
      </c>
      <c r="F437" s="217" t="s">
        <v>98</v>
      </c>
      <c r="G437" s="217" t="s">
        <v>97</v>
      </c>
      <c r="H437" s="217" t="s">
        <v>1271</v>
      </c>
      <c r="I437" s="217" t="s">
        <v>450</v>
      </c>
      <c r="J437" s="217" t="s">
        <v>3068</v>
      </c>
      <c r="K437" s="217" t="s">
        <v>3069</v>
      </c>
      <c r="L437" s="217">
        <v>95</v>
      </c>
      <c r="M437" s="217">
        <v>14</v>
      </c>
      <c r="N437" s="217">
        <v>20</v>
      </c>
      <c r="O437" s="217">
        <v>3</v>
      </c>
      <c r="P437" s="217">
        <v>0</v>
      </c>
      <c r="Q437" s="217">
        <v>0</v>
      </c>
      <c r="R437" s="217" t="s">
        <v>1807</v>
      </c>
    </row>
    <row r="438" spans="1:18" x14ac:dyDescent="0.25">
      <c r="A438" s="217">
        <v>437</v>
      </c>
      <c r="B438" s="217" t="s">
        <v>22</v>
      </c>
      <c r="C438" s="217" t="s">
        <v>23</v>
      </c>
      <c r="D438" s="217" t="s">
        <v>85</v>
      </c>
      <c r="E438" s="217" t="s">
        <v>84</v>
      </c>
      <c r="F438" s="217" t="s">
        <v>98</v>
      </c>
      <c r="G438" s="217" t="s">
        <v>97</v>
      </c>
      <c r="H438" s="217" t="s">
        <v>1272</v>
      </c>
      <c r="I438" s="217" t="s">
        <v>451</v>
      </c>
      <c r="J438" s="217" t="s">
        <v>3070</v>
      </c>
      <c r="K438" s="217" t="s">
        <v>3071</v>
      </c>
      <c r="L438" s="217">
        <v>1070</v>
      </c>
      <c r="M438" s="217">
        <v>233</v>
      </c>
      <c r="N438" s="217">
        <v>96</v>
      </c>
      <c r="O438" s="217">
        <v>18</v>
      </c>
      <c r="P438" s="217">
        <v>96</v>
      </c>
      <c r="Q438" s="217">
        <v>18</v>
      </c>
      <c r="R438" s="217" t="s">
        <v>1807</v>
      </c>
    </row>
    <row r="439" spans="1:18" x14ac:dyDescent="0.25">
      <c r="A439" s="217">
        <v>438</v>
      </c>
      <c r="B439" s="217" t="s">
        <v>22</v>
      </c>
      <c r="C439" s="217" t="s">
        <v>23</v>
      </c>
      <c r="D439" s="217" t="s">
        <v>85</v>
      </c>
      <c r="E439" s="217" t="s">
        <v>84</v>
      </c>
      <c r="F439" s="217" t="s">
        <v>98</v>
      </c>
      <c r="G439" s="217" t="s">
        <v>97</v>
      </c>
      <c r="H439" s="217" t="s">
        <v>1273</v>
      </c>
      <c r="I439" s="217" t="s">
        <v>808</v>
      </c>
      <c r="J439" s="217" t="s">
        <v>3072</v>
      </c>
      <c r="K439" s="217" t="s">
        <v>3073</v>
      </c>
      <c r="L439" s="217">
        <v>109</v>
      </c>
      <c r="M439" s="217">
        <v>12</v>
      </c>
      <c r="N439" s="217">
        <v>0</v>
      </c>
      <c r="O439" s="217">
        <v>0</v>
      </c>
      <c r="P439" s="217">
        <v>0</v>
      </c>
      <c r="Q439" s="217">
        <v>0</v>
      </c>
      <c r="R439" s="217" t="s">
        <v>1807</v>
      </c>
    </row>
    <row r="440" spans="1:18" x14ac:dyDescent="0.25">
      <c r="A440" s="217">
        <v>439</v>
      </c>
      <c r="B440" s="217" t="s">
        <v>22</v>
      </c>
      <c r="C440" s="217" t="s">
        <v>23</v>
      </c>
      <c r="D440" s="217" t="s">
        <v>85</v>
      </c>
      <c r="E440" s="217" t="s">
        <v>84</v>
      </c>
      <c r="F440" s="217" t="s">
        <v>98</v>
      </c>
      <c r="G440" s="217" t="s">
        <v>97</v>
      </c>
      <c r="H440" s="217" t="s">
        <v>1274</v>
      </c>
      <c r="I440" s="217" t="s">
        <v>170</v>
      </c>
      <c r="J440" s="217" t="s">
        <v>3074</v>
      </c>
      <c r="K440" s="217" t="s">
        <v>3075</v>
      </c>
      <c r="L440" s="217">
        <v>1078</v>
      </c>
      <c r="M440" s="217">
        <v>130</v>
      </c>
      <c r="N440" s="217">
        <v>0</v>
      </c>
      <c r="O440" s="217">
        <v>0</v>
      </c>
      <c r="P440" s="217">
        <v>0</v>
      </c>
      <c r="Q440" s="217">
        <v>0</v>
      </c>
      <c r="R440" s="217" t="s">
        <v>1807</v>
      </c>
    </row>
    <row r="441" spans="1:18" x14ac:dyDescent="0.25">
      <c r="A441" s="217">
        <v>440</v>
      </c>
      <c r="B441" s="217" t="s">
        <v>22</v>
      </c>
      <c r="C441" s="217" t="s">
        <v>23</v>
      </c>
      <c r="D441" s="217" t="s">
        <v>85</v>
      </c>
      <c r="E441" s="217" t="s">
        <v>84</v>
      </c>
      <c r="F441" s="217" t="s">
        <v>98</v>
      </c>
      <c r="G441" s="217" t="s">
        <v>97</v>
      </c>
      <c r="H441" s="217" t="s">
        <v>1276</v>
      </c>
      <c r="I441" s="217" t="s">
        <v>1275</v>
      </c>
      <c r="J441" s="217" t="s">
        <v>3076</v>
      </c>
      <c r="K441" s="217" t="s">
        <v>3077</v>
      </c>
      <c r="L441" s="217">
        <v>24</v>
      </c>
      <c r="M441" s="217">
        <v>4</v>
      </c>
      <c r="N441" s="217">
        <v>0</v>
      </c>
      <c r="O441" s="217">
        <v>0</v>
      </c>
      <c r="P441" s="217">
        <v>0</v>
      </c>
      <c r="Q441" s="217">
        <v>0</v>
      </c>
      <c r="R441" s="217" t="s">
        <v>1807</v>
      </c>
    </row>
    <row r="442" spans="1:18" x14ac:dyDescent="0.25">
      <c r="A442" s="217">
        <v>441</v>
      </c>
      <c r="B442" s="217" t="s">
        <v>22</v>
      </c>
      <c r="C442" s="217" t="s">
        <v>23</v>
      </c>
      <c r="D442" s="217" t="s">
        <v>85</v>
      </c>
      <c r="E442" s="217" t="s">
        <v>84</v>
      </c>
      <c r="F442" s="217" t="s">
        <v>98</v>
      </c>
      <c r="G442" s="217" t="s">
        <v>97</v>
      </c>
      <c r="H442" s="217" t="s">
        <v>1277</v>
      </c>
      <c r="I442" s="217" t="s">
        <v>811</v>
      </c>
      <c r="J442" s="217" t="s">
        <v>3078</v>
      </c>
      <c r="K442" s="217" t="s">
        <v>3079</v>
      </c>
      <c r="L442" s="217">
        <v>95</v>
      </c>
      <c r="M442" s="217">
        <v>17</v>
      </c>
      <c r="N442" s="217">
        <v>20</v>
      </c>
      <c r="O442" s="217">
        <v>6</v>
      </c>
      <c r="P442" s="217">
        <v>0</v>
      </c>
      <c r="Q442" s="217">
        <v>0</v>
      </c>
      <c r="R442" s="217" t="s">
        <v>1807</v>
      </c>
    </row>
    <row r="443" spans="1:18" x14ac:dyDescent="0.25">
      <c r="A443" s="217">
        <v>442</v>
      </c>
      <c r="B443" s="217" t="s">
        <v>22</v>
      </c>
      <c r="C443" s="217" t="s">
        <v>23</v>
      </c>
      <c r="D443" s="217" t="s">
        <v>85</v>
      </c>
      <c r="E443" s="217" t="s">
        <v>84</v>
      </c>
      <c r="F443" s="217" t="s">
        <v>98</v>
      </c>
      <c r="G443" s="217" t="s">
        <v>97</v>
      </c>
      <c r="H443" s="217" t="s">
        <v>1278</v>
      </c>
      <c r="I443" s="217" t="s">
        <v>452</v>
      </c>
      <c r="J443" s="217" t="s">
        <v>3080</v>
      </c>
      <c r="K443" s="217" t="s">
        <v>3081</v>
      </c>
      <c r="L443" s="217">
        <v>100</v>
      </c>
      <c r="M443" s="217">
        <v>30</v>
      </c>
      <c r="N443" s="217">
        <v>0</v>
      </c>
      <c r="O443" s="217">
        <v>0</v>
      </c>
      <c r="P443" s="217">
        <v>0</v>
      </c>
      <c r="Q443" s="217">
        <v>0</v>
      </c>
      <c r="R443" s="217" t="s">
        <v>1807</v>
      </c>
    </row>
    <row r="444" spans="1:18" x14ac:dyDescent="0.25">
      <c r="A444" s="217">
        <v>443</v>
      </c>
      <c r="B444" s="217" t="s">
        <v>22</v>
      </c>
      <c r="C444" s="217" t="s">
        <v>23</v>
      </c>
      <c r="D444" s="217" t="s">
        <v>85</v>
      </c>
      <c r="E444" s="217" t="s">
        <v>84</v>
      </c>
      <c r="F444" s="217" t="s">
        <v>98</v>
      </c>
      <c r="G444" s="217" t="s">
        <v>97</v>
      </c>
      <c r="H444" s="217" t="s">
        <v>1279</v>
      </c>
      <c r="I444" s="217" t="s">
        <v>453</v>
      </c>
      <c r="J444" s="217" t="s">
        <v>3082</v>
      </c>
      <c r="K444" s="217" t="s">
        <v>3083</v>
      </c>
      <c r="L444" s="217">
        <v>105</v>
      </c>
      <c r="M444" s="217">
        <v>18</v>
      </c>
      <c r="N444" s="217">
        <v>0</v>
      </c>
      <c r="O444" s="217">
        <v>0</v>
      </c>
      <c r="P444" s="217">
        <v>0</v>
      </c>
      <c r="Q444" s="217">
        <v>0</v>
      </c>
      <c r="R444" s="217" t="s">
        <v>1807</v>
      </c>
    </row>
    <row r="445" spans="1:18" x14ac:dyDescent="0.25">
      <c r="A445" s="217">
        <v>444</v>
      </c>
      <c r="B445" s="217" t="s">
        <v>22</v>
      </c>
      <c r="C445" s="217" t="s">
        <v>23</v>
      </c>
      <c r="D445" s="217" t="s">
        <v>85</v>
      </c>
      <c r="E445" s="217" t="s">
        <v>84</v>
      </c>
      <c r="F445" s="217" t="s">
        <v>98</v>
      </c>
      <c r="G445" s="217" t="s">
        <v>97</v>
      </c>
      <c r="H445" s="217" t="s">
        <v>1521</v>
      </c>
      <c r="I445" s="217" t="s">
        <v>289</v>
      </c>
      <c r="J445" s="217" t="s">
        <v>3084</v>
      </c>
      <c r="K445" s="217" t="s">
        <v>3085</v>
      </c>
      <c r="L445" s="217">
        <v>0</v>
      </c>
      <c r="M445" s="217">
        <v>0</v>
      </c>
      <c r="N445" s="217">
        <v>0</v>
      </c>
      <c r="O445" s="217">
        <v>0</v>
      </c>
      <c r="P445" s="217">
        <v>0</v>
      </c>
      <c r="Q445" s="217">
        <v>0</v>
      </c>
      <c r="R445" s="217" t="s">
        <v>1807</v>
      </c>
    </row>
    <row r="446" spans="1:18" x14ac:dyDescent="0.25">
      <c r="A446" s="217">
        <v>445</v>
      </c>
      <c r="B446" s="217" t="s">
        <v>22</v>
      </c>
      <c r="C446" s="217" t="s">
        <v>23</v>
      </c>
      <c r="D446" s="217" t="s">
        <v>85</v>
      </c>
      <c r="E446" s="217" t="s">
        <v>84</v>
      </c>
      <c r="F446" s="217" t="s">
        <v>98</v>
      </c>
      <c r="G446" s="217" t="s">
        <v>97</v>
      </c>
      <c r="H446" s="217" t="s">
        <v>1280</v>
      </c>
      <c r="I446" s="217" t="s">
        <v>454</v>
      </c>
      <c r="J446" s="217" t="s">
        <v>3086</v>
      </c>
      <c r="K446" s="217" t="s">
        <v>3087</v>
      </c>
      <c r="L446" s="217">
        <v>40</v>
      </c>
      <c r="M446" s="217">
        <v>11</v>
      </c>
      <c r="N446" s="217">
        <v>0</v>
      </c>
      <c r="O446" s="217">
        <v>0</v>
      </c>
      <c r="P446" s="217">
        <v>8</v>
      </c>
      <c r="Q446" s="217">
        <v>3</v>
      </c>
      <c r="R446" s="217" t="s">
        <v>1807</v>
      </c>
    </row>
    <row r="447" spans="1:18" x14ac:dyDescent="0.25">
      <c r="A447" s="217">
        <v>446</v>
      </c>
      <c r="B447" s="217" t="s">
        <v>22</v>
      </c>
      <c r="C447" s="217" t="s">
        <v>23</v>
      </c>
      <c r="D447" s="217" t="s">
        <v>85</v>
      </c>
      <c r="E447" s="217" t="s">
        <v>84</v>
      </c>
      <c r="F447" s="217" t="s">
        <v>98</v>
      </c>
      <c r="G447" s="217" t="s">
        <v>97</v>
      </c>
      <c r="H447" s="217" t="s">
        <v>1522</v>
      </c>
      <c r="I447" s="217" t="s">
        <v>633</v>
      </c>
      <c r="J447" s="217" t="s">
        <v>3088</v>
      </c>
      <c r="K447" s="217" t="s">
        <v>3089</v>
      </c>
      <c r="L447" s="217">
        <v>0</v>
      </c>
      <c r="M447" s="217">
        <v>0</v>
      </c>
      <c r="N447" s="217">
        <v>0</v>
      </c>
      <c r="O447" s="217">
        <v>0</v>
      </c>
      <c r="P447" s="217">
        <v>0</v>
      </c>
      <c r="Q447" s="217">
        <v>0</v>
      </c>
      <c r="R447" s="217" t="s">
        <v>1807</v>
      </c>
    </row>
    <row r="448" spans="1:18" x14ac:dyDescent="0.25">
      <c r="A448" s="217">
        <v>447</v>
      </c>
      <c r="B448" s="217" t="s">
        <v>22</v>
      </c>
      <c r="C448" s="217" t="s">
        <v>23</v>
      </c>
      <c r="D448" s="217" t="s">
        <v>85</v>
      </c>
      <c r="E448" s="217" t="s">
        <v>84</v>
      </c>
      <c r="F448" s="217" t="s">
        <v>98</v>
      </c>
      <c r="G448" s="217" t="s">
        <v>97</v>
      </c>
      <c r="H448" s="217" t="s">
        <v>1281</v>
      </c>
      <c r="I448" s="217" t="s">
        <v>820</v>
      </c>
      <c r="J448" s="217" t="s">
        <v>3090</v>
      </c>
      <c r="K448" s="217" t="s">
        <v>3091</v>
      </c>
      <c r="L448" s="217">
        <v>218</v>
      </c>
      <c r="M448" s="217">
        <v>34</v>
      </c>
      <c r="N448" s="217">
        <v>23</v>
      </c>
      <c r="O448" s="217">
        <v>3</v>
      </c>
      <c r="P448" s="217">
        <v>0</v>
      </c>
      <c r="Q448" s="217">
        <v>0</v>
      </c>
      <c r="R448" s="217" t="s">
        <v>1807</v>
      </c>
    </row>
    <row r="449" spans="1:18" x14ac:dyDescent="0.25">
      <c r="A449" s="217">
        <v>448</v>
      </c>
      <c r="B449" s="217" t="s">
        <v>22</v>
      </c>
      <c r="C449" s="217" t="s">
        <v>23</v>
      </c>
      <c r="D449" s="217" t="s">
        <v>85</v>
      </c>
      <c r="E449" s="217" t="s">
        <v>84</v>
      </c>
      <c r="F449" s="217" t="s">
        <v>98</v>
      </c>
      <c r="G449" s="217" t="s">
        <v>97</v>
      </c>
      <c r="H449" s="217" t="s">
        <v>1523</v>
      </c>
      <c r="I449" s="217" t="s">
        <v>698</v>
      </c>
      <c r="J449" s="217" t="s">
        <v>3092</v>
      </c>
      <c r="K449" s="217" t="s">
        <v>3093</v>
      </c>
      <c r="L449" s="217">
        <v>0</v>
      </c>
      <c r="M449" s="217">
        <v>0</v>
      </c>
      <c r="N449" s="217">
        <v>0</v>
      </c>
      <c r="O449" s="217">
        <v>0</v>
      </c>
      <c r="P449" s="217">
        <v>0</v>
      </c>
      <c r="Q449" s="217">
        <v>0</v>
      </c>
      <c r="R449" s="217" t="s">
        <v>1807</v>
      </c>
    </row>
    <row r="450" spans="1:18" x14ac:dyDescent="0.25">
      <c r="A450" s="217">
        <v>449</v>
      </c>
      <c r="B450" s="217" t="s">
        <v>22</v>
      </c>
      <c r="C450" s="217" t="s">
        <v>23</v>
      </c>
      <c r="D450" s="217" t="s">
        <v>85</v>
      </c>
      <c r="E450" s="217" t="s">
        <v>84</v>
      </c>
      <c r="F450" s="217" t="s">
        <v>98</v>
      </c>
      <c r="G450" s="217" t="s">
        <v>97</v>
      </c>
      <c r="H450" s="217" t="s">
        <v>1282</v>
      </c>
      <c r="I450" s="217" t="s">
        <v>455</v>
      </c>
      <c r="J450" s="217" t="s">
        <v>3094</v>
      </c>
      <c r="K450" s="217" t="s">
        <v>3095</v>
      </c>
      <c r="L450" s="217">
        <v>82</v>
      </c>
      <c r="M450" s="217">
        <v>19</v>
      </c>
      <c r="N450" s="217">
        <v>120</v>
      </c>
      <c r="O450" s="217">
        <v>20</v>
      </c>
      <c r="P450" s="217">
        <v>0</v>
      </c>
      <c r="Q450" s="217">
        <v>0</v>
      </c>
      <c r="R450" s="217" t="s">
        <v>1807</v>
      </c>
    </row>
    <row r="451" spans="1:18" x14ac:dyDescent="0.25">
      <c r="A451" s="217">
        <v>450</v>
      </c>
      <c r="B451" s="217" t="s">
        <v>22</v>
      </c>
      <c r="C451" s="217" t="s">
        <v>23</v>
      </c>
      <c r="D451" s="217" t="s">
        <v>85</v>
      </c>
      <c r="E451" s="217" t="s">
        <v>84</v>
      </c>
      <c r="F451" s="217" t="s">
        <v>98</v>
      </c>
      <c r="G451" s="217" t="s">
        <v>97</v>
      </c>
      <c r="H451" s="217" t="s">
        <v>1283</v>
      </c>
      <c r="I451" s="217" t="s">
        <v>813</v>
      </c>
      <c r="J451" s="217" t="s">
        <v>3096</v>
      </c>
      <c r="K451" s="217" t="s">
        <v>3097</v>
      </c>
      <c r="L451" s="217">
        <v>111</v>
      </c>
      <c r="M451" s="217">
        <v>16</v>
      </c>
      <c r="N451" s="217">
        <v>49</v>
      </c>
      <c r="O451" s="217">
        <v>7</v>
      </c>
      <c r="P451" s="217">
        <v>0</v>
      </c>
      <c r="Q451" s="217">
        <v>0</v>
      </c>
      <c r="R451" s="217" t="s">
        <v>1807</v>
      </c>
    </row>
    <row r="452" spans="1:18" x14ac:dyDescent="0.25">
      <c r="A452" s="217">
        <v>451</v>
      </c>
      <c r="B452" s="217" t="s">
        <v>22</v>
      </c>
      <c r="C452" s="217" t="s">
        <v>23</v>
      </c>
      <c r="D452" s="217" t="s">
        <v>85</v>
      </c>
      <c r="E452" s="217" t="s">
        <v>84</v>
      </c>
      <c r="F452" s="217" t="s">
        <v>98</v>
      </c>
      <c r="G452" s="217" t="s">
        <v>97</v>
      </c>
      <c r="H452" s="217" t="s">
        <v>1285</v>
      </c>
      <c r="I452" s="217" t="s">
        <v>1284</v>
      </c>
      <c r="J452" s="217" t="s">
        <v>3098</v>
      </c>
      <c r="K452" s="217" t="s">
        <v>3099</v>
      </c>
      <c r="L452" s="217">
        <v>135</v>
      </c>
      <c r="M452" s="217">
        <v>35</v>
      </c>
      <c r="N452" s="217">
        <v>0</v>
      </c>
      <c r="O452" s="217">
        <v>0</v>
      </c>
      <c r="P452" s="217">
        <v>0</v>
      </c>
      <c r="Q452" s="217">
        <v>0</v>
      </c>
      <c r="R452" s="217" t="s">
        <v>1807</v>
      </c>
    </row>
    <row r="453" spans="1:18" x14ac:dyDescent="0.25">
      <c r="A453" s="217">
        <v>452</v>
      </c>
      <c r="B453" s="217" t="s">
        <v>22</v>
      </c>
      <c r="C453" s="217" t="s">
        <v>23</v>
      </c>
      <c r="D453" s="217" t="s">
        <v>85</v>
      </c>
      <c r="E453" s="217" t="s">
        <v>84</v>
      </c>
      <c r="F453" s="217" t="s">
        <v>98</v>
      </c>
      <c r="G453" s="217" t="s">
        <v>97</v>
      </c>
      <c r="H453" s="217" t="s">
        <v>1287</v>
      </c>
      <c r="I453" s="217" t="s">
        <v>1286</v>
      </c>
      <c r="J453" s="217" t="s">
        <v>3100</v>
      </c>
      <c r="K453" s="217" t="s">
        <v>3101</v>
      </c>
      <c r="L453" s="217">
        <v>41</v>
      </c>
      <c r="M453" s="217">
        <v>7</v>
      </c>
      <c r="N453" s="217">
        <v>0</v>
      </c>
      <c r="O453" s="217">
        <v>0</v>
      </c>
      <c r="P453" s="217">
        <v>0</v>
      </c>
      <c r="Q453" s="217">
        <v>0</v>
      </c>
      <c r="R453" s="217" t="s">
        <v>1807</v>
      </c>
    </row>
    <row r="454" spans="1:18" x14ac:dyDescent="0.25">
      <c r="A454" s="217">
        <v>453</v>
      </c>
      <c r="B454" s="217" t="s">
        <v>22</v>
      </c>
      <c r="C454" s="217" t="s">
        <v>23</v>
      </c>
      <c r="D454" s="217" t="s">
        <v>85</v>
      </c>
      <c r="E454" s="217" t="s">
        <v>84</v>
      </c>
      <c r="F454" s="217" t="s">
        <v>98</v>
      </c>
      <c r="G454" s="217" t="s">
        <v>97</v>
      </c>
      <c r="H454" s="217" t="s">
        <v>1288</v>
      </c>
      <c r="I454" s="217" t="s">
        <v>456</v>
      </c>
      <c r="J454" s="217" t="s">
        <v>3102</v>
      </c>
      <c r="K454" s="217" t="s">
        <v>3103</v>
      </c>
      <c r="L454" s="217">
        <v>468</v>
      </c>
      <c r="M454" s="217">
        <v>95</v>
      </c>
      <c r="N454" s="217">
        <v>0</v>
      </c>
      <c r="O454" s="217">
        <v>0</v>
      </c>
      <c r="P454" s="217">
        <v>0</v>
      </c>
      <c r="Q454" s="217">
        <v>0</v>
      </c>
      <c r="R454" s="217" t="s">
        <v>1807</v>
      </c>
    </row>
    <row r="455" spans="1:18" x14ac:dyDescent="0.25">
      <c r="A455" s="217">
        <v>454</v>
      </c>
      <c r="B455" s="217" t="s">
        <v>22</v>
      </c>
      <c r="C455" s="217" t="s">
        <v>23</v>
      </c>
      <c r="D455" s="217" t="s">
        <v>85</v>
      </c>
      <c r="E455" s="217" t="s">
        <v>84</v>
      </c>
      <c r="F455" s="217" t="s">
        <v>98</v>
      </c>
      <c r="G455" s="217" t="s">
        <v>97</v>
      </c>
      <c r="H455" s="217" t="s">
        <v>1289</v>
      </c>
      <c r="I455" s="217" t="s">
        <v>457</v>
      </c>
      <c r="J455" s="217" t="s">
        <v>3104</v>
      </c>
      <c r="K455" s="217" t="s">
        <v>3105</v>
      </c>
      <c r="L455" s="217">
        <v>465</v>
      </c>
      <c r="M455" s="217">
        <v>61</v>
      </c>
      <c r="N455" s="217">
        <v>0</v>
      </c>
      <c r="O455" s="217">
        <v>0</v>
      </c>
      <c r="P455" s="217">
        <v>0</v>
      </c>
      <c r="Q455" s="217">
        <v>0</v>
      </c>
      <c r="R455" s="217" t="s">
        <v>1807</v>
      </c>
    </row>
    <row r="456" spans="1:18" x14ac:dyDescent="0.25">
      <c r="A456" s="217">
        <v>455</v>
      </c>
      <c r="B456" s="217" t="s">
        <v>22</v>
      </c>
      <c r="C456" s="217" t="s">
        <v>23</v>
      </c>
      <c r="D456" s="217" t="s">
        <v>85</v>
      </c>
      <c r="E456" s="217" t="s">
        <v>84</v>
      </c>
      <c r="F456" s="217" t="s">
        <v>98</v>
      </c>
      <c r="G456" s="217" t="s">
        <v>97</v>
      </c>
      <c r="H456" s="217" t="s">
        <v>1290</v>
      </c>
      <c r="I456" s="217" t="s">
        <v>458</v>
      </c>
      <c r="J456" s="217" t="s">
        <v>3106</v>
      </c>
      <c r="K456" s="217" t="s">
        <v>3107</v>
      </c>
      <c r="L456" s="217">
        <v>502</v>
      </c>
      <c r="M456" s="217">
        <v>59</v>
      </c>
      <c r="N456" s="217">
        <v>0</v>
      </c>
      <c r="O456" s="217">
        <v>0</v>
      </c>
      <c r="P456" s="217">
        <v>0</v>
      </c>
      <c r="Q456" s="217">
        <v>0</v>
      </c>
      <c r="R456" s="217" t="s">
        <v>1807</v>
      </c>
    </row>
    <row r="457" spans="1:18" x14ac:dyDescent="0.25">
      <c r="A457" s="217">
        <v>456</v>
      </c>
      <c r="B457" s="217" t="s">
        <v>22</v>
      </c>
      <c r="C457" s="217" t="s">
        <v>23</v>
      </c>
      <c r="D457" s="217" t="s">
        <v>85</v>
      </c>
      <c r="E457" s="217" t="s">
        <v>84</v>
      </c>
      <c r="F457" s="217" t="s">
        <v>98</v>
      </c>
      <c r="G457" s="217" t="s">
        <v>97</v>
      </c>
      <c r="H457" s="217" t="s">
        <v>1292</v>
      </c>
      <c r="I457" s="217" t="s">
        <v>1291</v>
      </c>
      <c r="J457" s="217" t="s">
        <v>3108</v>
      </c>
      <c r="K457" s="217" t="s">
        <v>3109</v>
      </c>
      <c r="L457" s="217">
        <v>160</v>
      </c>
      <c r="M457" s="217">
        <v>32</v>
      </c>
      <c r="N457" s="217">
        <v>0</v>
      </c>
      <c r="O457" s="217">
        <v>0</v>
      </c>
      <c r="P457" s="217">
        <v>0</v>
      </c>
      <c r="Q457" s="217">
        <v>0</v>
      </c>
      <c r="R457" s="217" t="s">
        <v>1807</v>
      </c>
    </row>
    <row r="458" spans="1:18" x14ac:dyDescent="0.25">
      <c r="A458" s="217">
        <v>457</v>
      </c>
      <c r="B458" s="217" t="s">
        <v>22</v>
      </c>
      <c r="C458" s="217" t="s">
        <v>23</v>
      </c>
      <c r="D458" s="217" t="s">
        <v>85</v>
      </c>
      <c r="E458" s="217" t="s">
        <v>84</v>
      </c>
      <c r="F458" s="217" t="s">
        <v>98</v>
      </c>
      <c r="G458" s="217" t="s">
        <v>97</v>
      </c>
      <c r="H458" s="217" t="s">
        <v>1294</v>
      </c>
      <c r="I458" s="217" t="s">
        <v>1293</v>
      </c>
      <c r="J458" s="217" t="s">
        <v>3110</v>
      </c>
      <c r="K458" s="217" t="s">
        <v>3111</v>
      </c>
      <c r="L458" s="217">
        <v>100</v>
      </c>
      <c r="M458" s="217">
        <v>36</v>
      </c>
      <c r="N458" s="217">
        <v>0</v>
      </c>
      <c r="O458" s="217">
        <v>0</v>
      </c>
      <c r="P458" s="217">
        <v>0</v>
      </c>
      <c r="Q458" s="217">
        <v>0</v>
      </c>
      <c r="R458" s="217" t="s">
        <v>1807</v>
      </c>
    </row>
    <row r="459" spans="1:18" x14ac:dyDescent="0.25">
      <c r="A459" s="217">
        <v>458</v>
      </c>
      <c r="B459" s="217" t="s">
        <v>22</v>
      </c>
      <c r="C459" s="217" t="s">
        <v>23</v>
      </c>
      <c r="D459" s="217" t="s">
        <v>85</v>
      </c>
      <c r="E459" s="217" t="s">
        <v>84</v>
      </c>
      <c r="F459" s="217" t="s">
        <v>98</v>
      </c>
      <c r="G459" s="217" t="s">
        <v>97</v>
      </c>
      <c r="H459" s="217" t="s">
        <v>1295</v>
      </c>
      <c r="I459" s="217" t="s">
        <v>459</v>
      </c>
      <c r="J459" s="217" t="s">
        <v>3112</v>
      </c>
      <c r="K459" s="217" t="s">
        <v>3113</v>
      </c>
      <c r="L459" s="217">
        <v>134</v>
      </c>
      <c r="M459" s="217">
        <v>23</v>
      </c>
      <c r="N459" s="217">
        <v>0</v>
      </c>
      <c r="O459" s="217">
        <v>0</v>
      </c>
      <c r="P459" s="217">
        <v>0</v>
      </c>
      <c r="Q459" s="217">
        <v>0</v>
      </c>
      <c r="R459" s="217" t="s">
        <v>1807</v>
      </c>
    </row>
    <row r="460" spans="1:18" x14ac:dyDescent="0.25">
      <c r="A460" s="217">
        <v>459</v>
      </c>
      <c r="B460" s="217" t="s">
        <v>22</v>
      </c>
      <c r="C460" s="217" t="s">
        <v>23</v>
      </c>
      <c r="D460" s="217" t="s">
        <v>85</v>
      </c>
      <c r="E460" s="217" t="s">
        <v>84</v>
      </c>
      <c r="F460" s="217" t="s">
        <v>98</v>
      </c>
      <c r="G460" s="217" t="s">
        <v>97</v>
      </c>
      <c r="H460" s="217" t="s">
        <v>1524</v>
      </c>
      <c r="I460" s="217" t="s">
        <v>815</v>
      </c>
      <c r="J460" s="217" t="s">
        <v>3114</v>
      </c>
      <c r="K460" s="217" t="s">
        <v>3115</v>
      </c>
      <c r="L460" s="217">
        <v>0</v>
      </c>
      <c r="M460" s="217">
        <v>0</v>
      </c>
      <c r="N460" s="217">
        <v>77</v>
      </c>
      <c r="O460" s="217">
        <v>9</v>
      </c>
      <c r="P460" s="217">
        <v>0</v>
      </c>
      <c r="Q460" s="217">
        <v>0</v>
      </c>
      <c r="R460" s="217" t="s">
        <v>1807</v>
      </c>
    </row>
    <row r="461" spans="1:18" x14ac:dyDescent="0.25">
      <c r="A461" s="217">
        <v>460</v>
      </c>
      <c r="B461" s="217" t="s">
        <v>22</v>
      </c>
      <c r="C461" s="217" t="s">
        <v>23</v>
      </c>
      <c r="D461" s="217" t="s">
        <v>85</v>
      </c>
      <c r="E461" s="217" t="s">
        <v>84</v>
      </c>
      <c r="F461" s="217" t="s">
        <v>98</v>
      </c>
      <c r="G461" s="217" t="s">
        <v>97</v>
      </c>
      <c r="H461" s="217" t="s">
        <v>1296</v>
      </c>
      <c r="I461" s="217" t="s">
        <v>812</v>
      </c>
      <c r="J461" s="217" t="s">
        <v>3116</v>
      </c>
      <c r="K461" s="217" t="s">
        <v>3117</v>
      </c>
      <c r="L461" s="217">
        <v>213</v>
      </c>
      <c r="M461" s="217">
        <v>25</v>
      </c>
      <c r="N461" s="217">
        <v>94</v>
      </c>
      <c r="O461" s="217">
        <v>11</v>
      </c>
      <c r="P461" s="217">
        <v>0</v>
      </c>
      <c r="Q461" s="217">
        <v>0</v>
      </c>
      <c r="R461" s="217" t="s">
        <v>1807</v>
      </c>
    </row>
    <row r="462" spans="1:18" x14ac:dyDescent="0.25">
      <c r="A462" s="217">
        <v>461</v>
      </c>
      <c r="B462" s="217" t="s">
        <v>22</v>
      </c>
      <c r="C462" s="217" t="s">
        <v>23</v>
      </c>
      <c r="D462" s="217" t="s">
        <v>85</v>
      </c>
      <c r="E462" s="217" t="s">
        <v>84</v>
      </c>
      <c r="F462" s="217" t="s">
        <v>98</v>
      </c>
      <c r="G462" s="217" t="s">
        <v>97</v>
      </c>
      <c r="H462" s="217" t="s">
        <v>1297</v>
      </c>
      <c r="I462" s="217" t="s">
        <v>171</v>
      </c>
      <c r="J462" s="217" t="s">
        <v>3118</v>
      </c>
      <c r="K462" s="217" t="s">
        <v>3119</v>
      </c>
      <c r="L462" s="217">
        <v>75</v>
      </c>
      <c r="M462" s="217">
        <v>13</v>
      </c>
      <c r="N462" s="217">
        <v>15</v>
      </c>
      <c r="O462" s="217">
        <v>2</v>
      </c>
      <c r="P462" s="217">
        <v>10</v>
      </c>
      <c r="Q462" s="217">
        <v>3</v>
      </c>
      <c r="R462" s="217" t="s">
        <v>1807</v>
      </c>
    </row>
    <row r="463" spans="1:18" x14ac:dyDescent="0.25">
      <c r="A463" s="217">
        <v>462</v>
      </c>
      <c r="B463" s="217" t="s">
        <v>22</v>
      </c>
      <c r="C463" s="217" t="s">
        <v>23</v>
      </c>
      <c r="D463" s="217" t="s">
        <v>85</v>
      </c>
      <c r="E463" s="217" t="s">
        <v>84</v>
      </c>
      <c r="F463" s="217" t="s">
        <v>98</v>
      </c>
      <c r="G463" s="217" t="s">
        <v>97</v>
      </c>
      <c r="H463" s="217" t="s">
        <v>1298</v>
      </c>
      <c r="I463" s="217" t="s">
        <v>460</v>
      </c>
      <c r="J463" s="217" t="s">
        <v>3120</v>
      </c>
      <c r="K463" s="217" t="s">
        <v>3121</v>
      </c>
      <c r="L463" s="217">
        <v>60</v>
      </c>
      <c r="M463" s="217">
        <v>7</v>
      </c>
      <c r="N463" s="217">
        <v>0</v>
      </c>
      <c r="O463" s="217">
        <v>0</v>
      </c>
      <c r="P463" s="217">
        <v>0</v>
      </c>
      <c r="Q463" s="217">
        <v>0</v>
      </c>
      <c r="R463" s="217" t="s">
        <v>1807</v>
      </c>
    </row>
    <row r="464" spans="1:18" x14ac:dyDescent="0.25">
      <c r="A464" s="217">
        <v>463</v>
      </c>
      <c r="B464" s="217" t="s">
        <v>22</v>
      </c>
      <c r="C464" s="217" t="s">
        <v>23</v>
      </c>
      <c r="D464" s="217" t="s">
        <v>85</v>
      </c>
      <c r="E464" s="217" t="s">
        <v>84</v>
      </c>
      <c r="F464" s="217" t="s">
        <v>98</v>
      </c>
      <c r="G464" s="217" t="s">
        <v>97</v>
      </c>
      <c r="H464" s="217" t="s">
        <v>1299</v>
      </c>
      <c r="I464" s="217" t="s">
        <v>461</v>
      </c>
      <c r="J464" s="217" t="s">
        <v>3122</v>
      </c>
      <c r="K464" s="217" t="s">
        <v>3123</v>
      </c>
      <c r="L464" s="217">
        <v>91</v>
      </c>
      <c r="M464" s="217">
        <v>15</v>
      </c>
      <c r="N464" s="217">
        <v>124</v>
      </c>
      <c r="O464" s="217">
        <v>8</v>
      </c>
      <c r="P464" s="217">
        <v>0</v>
      </c>
      <c r="Q464" s="217">
        <v>0</v>
      </c>
      <c r="R464" s="217" t="s">
        <v>1807</v>
      </c>
    </row>
    <row r="465" spans="1:18" x14ac:dyDescent="0.25">
      <c r="A465" s="217">
        <v>464</v>
      </c>
      <c r="B465" s="217" t="s">
        <v>22</v>
      </c>
      <c r="C465" s="217" t="s">
        <v>23</v>
      </c>
      <c r="D465" s="217" t="s">
        <v>85</v>
      </c>
      <c r="E465" s="217" t="s">
        <v>84</v>
      </c>
      <c r="F465" s="217" t="s">
        <v>98</v>
      </c>
      <c r="G465" s="217" t="s">
        <v>97</v>
      </c>
      <c r="H465" s="217" t="s">
        <v>1688</v>
      </c>
      <c r="I465" s="217" t="s">
        <v>800</v>
      </c>
      <c r="J465" s="217" t="s">
        <v>3124</v>
      </c>
      <c r="K465" s="217" t="s">
        <v>3125</v>
      </c>
      <c r="L465" s="217">
        <v>0</v>
      </c>
      <c r="M465" s="217">
        <v>0</v>
      </c>
      <c r="N465" s="217">
        <v>0</v>
      </c>
      <c r="O465" s="217">
        <v>0</v>
      </c>
      <c r="P465" s="217">
        <v>0</v>
      </c>
      <c r="Q465" s="217">
        <v>0</v>
      </c>
      <c r="R465" s="217" t="s">
        <v>1807</v>
      </c>
    </row>
    <row r="466" spans="1:18" x14ac:dyDescent="0.25">
      <c r="A466" s="217">
        <v>465</v>
      </c>
      <c r="B466" s="217" t="s">
        <v>22</v>
      </c>
      <c r="C466" s="217" t="s">
        <v>23</v>
      </c>
      <c r="D466" s="217" t="s">
        <v>85</v>
      </c>
      <c r="E466" s="217" t="s">
        <v>84</v>
      </c>
      <c r="F466" s="217" t="s">
        <v>98</v>
      </c>
      <c r="G466" s="217" t="s">
        <v>97</v>
      </c>
      <c r="H466" s="217" t="s">
        <v>1300</v>
      </c>
      <c r="I466" s="217" t="s">
        <v>462</v>
      </c>
      <c r="J466" s="217" t="s">
        <v>3126</v>
      </c>
      <c r="K466" s="217" t="s">
        <v>3127</v>
      </c>
      <c r="L466" s="217">
        <v>48</v>
      </c>
      <c r="M466" s="217">
        <v>12</v>
      </c>
      <c r="N466" s="217">
        <v>0</v>
      </c>
      <c r="O466" s="217">
        <v>0</v>
      </c>
      <c r="P466" s="217">
        <v>10</v>
      </c>
      <c r="Q466" s="217">
        <v>3</v>
      </c>
      <c r="R466" s="217" t="s">
        <v>1807</v>
      </c>
    </row>
    <row r="467" spans="1:18" x14ac:dyDescent="0.25">
      <c r="A467" s="217">
        <v>466</v>
      </c>
      <c r="B467" s="217" t="s">
        <v>22</v>
      </c>
      <c r="C467" s="217" t="s">
        <v>23</v>
      </c>
      <c r="D467" s="217" t="s">
        <v>85</v>
      </c>
      <c r="E467" s="217" t="s">
        <v>84</v>
      </c>
      <c r="F467" s="217" t="s">
        <v>175</v>
      </c>
      <c r="G467" s="217" t="s">
        <v>174</v>
      </c>
      <c r="H467" s="217" t="s">
        <v>1301</v>
      </c>
      <c r="I467" s="217" t="s">
        <v>295</v>
      </c>
      <c r="J467" s="217" t="s">
        <v>3128</v>
      </c>
      <c r="K467" s="217" t="s">
        <v>3129</v>
      </c>
      <c r="L467" s="217">
        <v>20</v>
      </c>
      <c r="M467" s="217">
        <v>5</v>
      </c>
      <c r="N467" s="217">
        <v>50</v>
      </c>
      <c r="O467" s="217">
        <v>14</v>
      </c>
      <c r="P467" s="217">
        <v>102</v>
      </c>
      <c r="Q467" s="217">
        <v>20</v>
      </c>
      <c r="R467" s="217" t="s">
        <v>1807</v>
      </c>
    </row>
    <row r="468" spans="1:18" x14ac:dyDescent="0.25">
      <c r="A468" s="217">
        <v>467</v>
      </c>
      <c r="B468" s="217" t="s">
        <v>22</v>
      </c>
      <c r="C468" s="217" t="s">
        <v>23</v>
      </c>
      <c r="D468" s="217" t="s">
        <v>85</v>
      </c>
      <c r="E468" s="217" t="s">
        <v>84</v>
      </c>
      <c r="F468" s="217" t="s">
        <v>175</v>
      </c>
      <c r="G468" s="217" t="s">
        <v>174</v>
      </c>
      <c r="H468" s="217" t="s">
        <v>1525</v>
      </c>
      <c r="I468" s="217" t="s">
        <v>176</v>
      </c>
      <c r="J468" s="217" t="s">
        <v>3130</v>
      </c>
      <c r="K468" s="217" t="s">
        <v>3131</v>
      </c>
      <c r="L468" s="217">
        <v>0</v>
      </c>
      <c r="M468" s="217">
        <v>0</v>
      </c>
      <c r="N468" s="217">
        <v>288</v>
      </c>
      <c r="O468" s="217">
        <v>45</v>
      </c>
      <c r="P468" s="217">
        <v>0</v>
      </c>
      <c r="Q468" s="217">
        <v>0</v>
      </c>
      <c r="R468" s="217" t="s">
        <v>1807</v>
      </c>
    </row>
    <row r="469" spans="1:18" x14ac:dyDescent="0.25">
      <c r="A469" s="217">
        <v>468</v>
      </c>
      <c r="B469" s="217" t="s">
        <v>22</v>
      </c>
      <c r="C469" s="217" t="s">
        <v>23</v>
      </c>
      <c r="D469" s="217" t="s">
        <v>85</v>
      </c>
      <c r="E469" s="217" t="s">
        <v>84</v>
      </c>
      <c r="F469" s="217" t="s">
        <v>175</v>
      </c>
      <c r="G469" s="217" t="s">
        <v>174</v>
      </c>
      <c r="H469" s="217" t="s">
        <v>1302</v>
      </c>
      <c r="I469" s="217" t="s">
        <v>463</v>
      </c>
      <c r="J469" s="217" t="s">
        <v>3132</v>
      </c>
      <c r="K469" s="217" t="s">
        <v>3133</v>
      </c>
      <c r="L469" s="217">
        <v>310</v>
      </c>
      <c r="M469" s="217">
        <v>37</v>
      </c>
      <c r="N469" s="217">
        <v>276</v>
      </c>
      <c r="O469" s="217">
        <v>56</v>
      </c>
      <c r="P469" s="217">
        <v>0</v>
      </c>
      <c r="Q469" s="217">
        <v>0</v>
      </c>
      <c r="R469" s="217" t="s">
        <v>1807</v>
      </c>
    </row>
    <row r="470" spans="1:18" x14ac:dyDescent="0.25">
      <c r="A470" s="217">
        <v>469</v>
      </c>
      <c r="B470" s="217" t="s">
        <v>22</v>
      </c>
      <c r="C470" s="217" t="s">
        <v>23</v>
      </c>
      <c r="D470" s="217" t="s">
        <v>85</v>
      </c>
      <c r="E470" s="217" t="s">
        <v>84</v>
      </c>
      <c r="F470" s="217" t="s">
        <v>175</v>
      </c>
      <c r="G470" s="217" t="s">
        <v>174</v>
      </c>
      <c r="H470" s="217" t="s">
        <v>1663</v>
      </c>
      <c r="I470" s="217" t="s">
        <v>829</v>
      </c>
      <c r="J470" s="217" t="s">
        <v>3134</v>
      </c>
      <c r="K470" s="217" t="s">
        <v>3135</v>
      </c>
      <c r="L470" s="217">
        <v>0</v>
      </c>
      <c r="M470" s="217">
        <v>0</v>
      </c>
      <c r="N470" s="217">
        <v>0</v>
      </c>
      <c r="O470" s="217">
        <v>0</v>
      </c>
      <c r="P470" s="217">
        <v>0</v>
      </c>
      <c r="Q470" s="217">
        <v>0</v>
      </c>
      <c r="R470" s="217" t="s">
        <v>1807</v>
      </c>
    </row>
    <row r="471" spans="1:18" x14ac:dyDescent="0.25">
      <c r="A471" s="217">
        <v>470</v>
      </c>
      <c r="B471" s="217" t="s">
        <v>22</v>
      </c>
      <c r="C471" s="217" t="s">
        <v>23</v>
      </c>
      <c r="D471" s="217" t="s">
        <v>85</v>
      </c>
      <c r="E471" s="217" t="s">
        <v>84</v>
      </c>
      <c r="F471" s="217" t="s">
        <v>175</v>
      </c>
      <c r="G471" s="217" t="s">
        <v>174</v>
      </c>
      <c r="H471" s="217" t="s">
        <v>1972</v>
      </c>
      <c r="I471" s="217" t="s">
        <v>1971</v>
      </c>
      <c r="J471" s="217" t="s">
        <v>3136</v>
      </c>
      <c r="K471" s="217" t="s">
        <v>3137</v>
      </c>
      <c r="L471" s="217">
        <v>0</v>
      </c>
      <c r="M471" s="217">
        <v>0</v>
      </c>
      <c r="N471" s="217">
        <v>25</v>
      </c>
      <c r="O471" s="217">
        <v>4</v>
      </c>
      <c r="P471" s="217">
        <v>131</v>
      </c>
      <c r="Q471" s="217">
        <v>25</v>
      </c>
      <c r="R471" s="217" t="s">
        <v>1807</v>
      </c>
    </row>
    <row r="472" spans="1:18" x14ac:dyDescent="0.25">
      <c r="A472" s="217">
        <v>471</v>
      </c>
      <c r="B472" s="217" t="s">
        <v>22</v>
      </c>
      <c r="C472" s="217" t="s">
        <v>23</v>
      </c>
      <c r="D472" s="217" t="s">
        <v>85</v>
      </c>
      <c r="E472" s="217" t="s">
        <v>84</v>
      </c>
      <c r="F472" s="217" t="s">
        <v>175</v>
      </c>
      <c r="G472" s="217" t="s">
        <v>174</v>
      </c>
      <c r="H472" s="217" t="s">
        <v>1303</v>
      </c>
      <c r="I472" s="217" t="s">
        <v>464</v>
      </c>
      <c r="J472" s="217" t="s">
        <v>3138</v>
      </c>
      <c r="K472" s="217" t="s">
        <v>3139</v>
      </c>
      <c r="L472" s="217">
        <v>20</v>
      </c>
      <c r="M472" s="217">
        <v>6</v>
      </c>
      <c r="N472" s="217">
        <v>128</v>
      </c>
      <c r="O472" s="217">
        <v>32</v>
      </c>
      <c r="P472" s="217">
        <v>93</v>
      </c>
      <c r="Q472" s="217">
        <v>17</v>
      </c>
      <c r="R472" s="217" t="s">
        <v>1807</v>
      </c>
    </row>
    <row r="473" spans="1:18" x14ac:dyDescent="0.25">
      <c r="A473" s="217">
        <v>472</v>
      </c>
      <c r="B473" s="217" t="s">
        <v>22</v>
      </c>
      <c r="C473" s="217" t="s">
        <v>23</v>
      </c>
      <c r="D473" s="217" t="s">
        <v>85</v>
      </c>
      <c r="E473" s="217" t="s">
        <v>84</v>
      </c>
      <c r="F473" s="217" t="s">
        <v>175</v>
      </c>
      <c r="G473" s="217" t="s">
        <v>174</v>
      </c>
      <c r="H473" s="217" t="s">
        <v>1526</v>
      </c>
      <c r="I473" s="217" t="s">
        <v>177</v>
      </c>
      <c r="J473" s="217" t="s">
        <v>3140</v>
      </c>
      <c r="K473" s="217" t="s">
        <v>3141</v>
      </c>
      <c r="L473" s="217">
        <v>0</v>
      </c>
      <c r="M473" s="217">
        <v>0</v>
      </c>
      <c r="N473" s="217">
        <v>20</v>
      </c>
      <c r="O473" s="217">
        <v>6</v>
      </c>
      <c r="P473" s="217">
        <v>350</v>
      </c>
      <c r="Q473" s="217">
        <v>62</v>
      </c>
      <c r="R473" s="217" t="s">
        <v>1807</v>
      </c>
    </row>
    <row r="474" spans="1:18" x14ac:dyDescent="0.25">
      <c r="A474" s="217">
        <v>473</v>
      </c>
      <c r="B474" s="217" t="s">
        <v>22</v>
      </c>
      <c r="C474" s="217" t="s">
        <v>23</v>
      </c>
      <c r="D474" s="217" t="s">
        <v>85</v>
      </c>
      <c r="E474" s="217" t="s">
        <v>84</v>
      </c>
      <c r="F474" s="217" t="s">
        <v>175</v>
      </c>
      <c r="G474" s="217" t="s">
        <v>174</v>
      </c>
      <c r="H474" s="217" t="s">
        <v>1304</v>
      </c>
      <c r="I474" s="217" t="s">
        <v>465</v>
      </c>
      <c r="J474" s="217" t="s">
        <v>3142</v>
      </c>
      <c r="K474" s="217" t="s">
        <v>3143</v>
      </c>
      <c r="L474" s="217">
        <v>44</v>
      </c>
      <c r="M474" s="217">
        <v>10</v>
      </c>
      <c r="N474" s="217">
        <v>69</v>
      </c>
      <c r="O474" s="217">
        <v>18</v>
      </c>
      <c r="P474" s="217">
        <v>50</v>
      </c>
      <c r="Q474" s="217">
        <v>9</v>
      </c>
      <c r="R474" s="217" t="s">
        <v>1807</v>
      </c>
    </row>
    <row r="475" spans="1:18" x14ac:dyDescent="0.25">
      <c r="A475" s="217">
        <v>474</v>
      </c>
      <c r="B475" s="217" t="s">
        <v>22</v>
      </c>
      <c r="C475" s="217" t="s">
        <v>23</v>
      </c>
      <c r="D475" s="217" t="s">
        <v>85</v>
      </c>
      <c r="E475" s="217" t="s">
        <v>84</v>
      </c>
      <c r="F475" s="217" t="s">
        <v>175</v>
      </c>
      <c r="G475" s="217" t="s">
        <v>174</v>
      </c>
      <c r="H475" s="217" t="s">
        <v>1662</v>
      </c>
      <c r="I475" s="217" t="s">
        <v>691</v>
      </c>
      <c r="J475" s="217" t="s">
        <v>3144</v>
      </c>
      <c r="K475" s="217" t="s">
        <v>3145</v>
      </c>
      <c r="L475" s="217">
        <v>0</v>
      </c>
      <c r="M475" s="217">
        <v>0</v>
      </c>
      <c r="N475" s="217">
        <v>0</v>
      </c>
      <c r="O475" s="217">
        <v>0</v>
      </c>
      <c r="P475" s="217">
        <v>0</v>
      </c>
      <c r="Q475" s="217">
        <v>0</v>
      </c>
      <c r="R475" s="217" t="s">
        <v>1807</v>
      </c>
    </row>
    <row r="476" spans="1:18" x14ac:dyDescent="0.25">
      <c r="A476" s="217">
        <v>475</v>
      </c>
      <c r="B476" s="217" t="s">
        <v>22</v>
      </c>
      <c r="C476" s="217" t="s">
        <v>23</v>
      </c>
      <c r="D476" s="217" t="s">
        <v>85</v>
      </c>
      <c r="E476" s="217" t="s">
        <v>84</v>
      </c>
      <c r="F476" s="217" t="s">
        <v>175</v>
      </c>
      <c r="G476" s="217" t="s">
        <v>174</v>
      </c>
      <c r="H476" s="217" t="s">
        <v>1305</v>
      </c>
      <c r="I476" s="217" t="s">
        <v>420</v>
      </c>
      <c r="J476" s="217" t="s">
        <v>3146</v>
      </c>
      <c r="K476" s="217" t="s">
        <v>3147</v>
      </c>
      <c r="L476" s="217">
        <v>0</v>
      </c>
      <c r="M476" s="217">
        <v>0</v>
      </c>
      <c r="N476" s="217">
        <v>0</v>
      </c>
      <c r="O476" s="217">
        <v>0</v>
      </c>
      <c r="P476" s="217">
        <v>0</v>
      </c>
      <c r="Q476" s="217">
        <v>0</v>
      </c>
      <c r="R476" s="217" t="s">
        <v>1807</v>
      </c>
    </row>
    <row r="477" spans="1:18" x14ac:dyDescent="0.25">
      <c r="A477" s="217">
        <v>476</v>
      </c>
      <c r="B477" s="217" t="s">
        <v>22</v>
      </c>
      <c r="C477" s="217" t="s">
        <v>23</v>
      </c>
      <c r="D477" s="217" t="s">
        <v>85</v>
      </c>
      <c r="E477" s="217" t="s">
        <v>84</v>
      </c>
      <c r="F477" s="217" t="s">
        <v>175</v>
      </c>
      <c r="G477" s="217" t="s">
        <v>174</v>
      </c>
      <c r="H477" s="217" t="s">
        <v>1527</v>
      </c>
      <c r="I477" s="217" t="s">
        <v>634</v>
      </c>
      <c r="J477" s="217" t="s">
        <v>3148</v>
      </c>
      <c r="K477" s="217" t="s">
        <v>3149</v>
      </c>
      <c r="L477" s="217">
        <v>0</v>
      </c>
      <c r="M477" s="217">
        <v>0</v>
      </c>
      <c r="N477" s="217">
        <v>350</v>
      </c>
      <c r="O477" s="217">
        <v>69</v>
      </c>
      <c r="P477" s="217">
        <v>479</v>
      </c>
      <c r="Q477" s="217">
        <v>100</v>
      </c>
      <c r="R477" s="217" t="s">
        <v>1807</v>
      </c>
    </row>
    <row r="478" spans="1:18" x14ac:dyDescent="0.25">
      <c r="A478" s="217">
        <v>477</v>
      </c>
      <c r="B478" s="217" t="s">
        <v>22</v>
      </c>
      <c r="C478" s="217" t="s">
        <v>23</v>
      </c>
      <c r="D478" s="217" t="s">
        <v>85</v>
      </c>
      <c r="E478" s="217" t="s">
        <v>84</v>
      </c>
      <c r="F478" s="217" t="s">
        <v>175</v>
      </c>
      <c r="G478" s="217" t="s">
        <v>174</v>
      </c>
      <c r="H478" s="217" t="s">
        <v>1528</v>
      </c>
      <c r="I478" s="217" t="s">
        <v>832</v>
      </c>
      <c r="J478" s="217" t="s">
        <v>3150</v>
      </c>
      <c r="K478" s="217" t="s">
        <v>3151</v>
      </c>
      <c r="L478" s="217">
        <v>0</v>
      </c>
      <c r="M478" s="217">
        <v>0</v>
      </c>
      <c r="N478" s="217">
        <v>159</v>
      </c>
      <c r="O478" s="217">
        <v>27</v>
      </c>
      <c r="P478" s="217">
        <v>0</v>
      </c>
      <c r="Q478" s="217">
        <v>0</v>
      </c>
      <c r="R478" s="217" t="s">
        <v>1807</v>
      </c>
    </row>
    <row r="479" spans="1:18" x14ac:dyDescent="0.25">
      <c r="A479" s="217">
        <v>478</v>
      </c>
      <c r="B479" s="217" t="s">
        <v>22</v>
      </c>
      <c r="C479" s="217" t="s">
        <v>23</v>
      </c>
      <c r="D479" s="217" t="s">
        <v>85</v>
      </c>
      <c r="E479" s="217" t="s">
        <v>84</v>
      </c>
      <c r="F479" s="217" t="s">
        <v>175</v>
      </c>
      <c r="G479" s="217" t="s">
        <v>174</v>
      </c>
      <c r="H479" s="217" t="s">
        <v>1306</v>
      </c>
      <c r="I479" s="217" t="s">
        <v>830</v>
      </c>
      <c r="J479" s="217" t="s">
        <v>3152</v>
      </c>
      <c r="K479" s="217" t="s">
        <v>3153</v>
      </c>
      <c r="L479" s="217">
        <v>87</v>
      </c>
      <c r="M479" s="217">
        <v>7</v>
      </c>
      <c r="N479" s="217">
        <v>91</v>
      </c>
      <c r="O479" s="217">
        <v>12</v>
      </c>
      <c r="P479" s="217">
        <v>89</v>
      </c>
      <c r="Q479" s="217">
        <v>14</v>
      </c>
      <c r="R479" s="217" t="s">
        <v>1807</v>
      </c>
    </row>
    <row r="480" spans="1:18" x14ac:dyDescent="0.25">
      <c r="A480" s="217">
        <v>479</v>
      </c>
      <c r="B480" s="217" t="s">
        <v>22</v>
      </c>
      <c r="C480" s="217" t="s">
        <v>23</v>
      </c>
      <c r="D480" s="217" t="s">
        <v>85</v>
      </c>
      <c r="E480" s="217" t="s">
        <v>84</v>
      </c>
      <c r="F480" s="217" t="s">
        <v>175</v>
      </c>
      <c r="G480" s="217" t="s">
        <v>174</v>
      </c>
      <c r="H480" s="217" t="s">
        <v>1561</v>
      </c>
      <c r="I480" s="217" t="s">
        <v>853</v>
      </c>
      <c r="J480" s="217" t="s">
        <v>3154</v>
      </c>
      <c r="K480" s="217" t="s">
        <v>3155</v>
      </c>
      <c r="L480" s="217">
        <v>0</v>
      </c>
      <c r="M480" s="217">
        <v>0</v>
      </c>
      <c r="N480" s="217">
        <v>0</v>
      </c>
      <c r="O480" s="217">
        <v>0</v>
      </c>
      <c r="P480" s="217">
        <v>70</v>
      </c>
      <c r="Q480" s="217">
        <v>12</v>
      </c>
      <c r="R480" s="217" t="s">
        <v>1807</v>
      </c>
    </row>
    <row r="481" spans="1:18" x14ac:dyDescent="0.25">
      <c r="A481" s="217">
        <v>480</v>
      </c>
      <c r="B481" s="217" t="s">
        <v>22</v>
      </c>
      <c r="C481" s="217" t="s">
        <v>23</v>
      </c>
      <c r="D481" s="217" t="s">
        <v>85</v>
      </c>
      <c r="E481" s="217" t="s">
        <v>84</v>
      </c>
      <c r="F481" s="217" t="s">
        <v>175</v>
      </c>
      <c r="G481" s="217" t="s">
        <v>174</v>
      </c>
      <c r="H481" s="217" t="s">
        <v>1562</v>
      </c>
      <c r="I481" s="217" t="s">
        <v>178</v>
      </c>
      <c r="J481" s="217" t="s">
        <v>3156</v>
      </c>
      <c r="K481" s="217" t="s">
        <v>3157</v>
      </c>
      <c r="L481" s="217">
        <v>0</v>
      </c>
      <c r="M481" s="217">
        <v>0</v>
      </c>
      <c r="N481" s="217">
        <v>0</v>
      </c>
      <c r="O481" s="217">
        <v>0</v>
      </c>
      <c r="P481" s="217">
        <v>227</v>
      </c>
      <c r="Q481" s="217">
        <v>44</v>
      </c>
      <c r="R481" s="217" t="s">
        <v>1807</v>
      </c>
    </row>
    <row r="482" spans="1:18" x14ac:dyDescent="0.25">
      <c r="A482" s="217">
        <v>481</v>
      </c>
      <c r="B482" s="217" t="s">
        <v>22</v>
      </c>
      <c r="C482" s="217" t="s">
        <v>23</v>
      </c>
      <c r="D482" s="217" t="s">
        <v>85</v>
      </c>
      <c r="E482" s="217" t="s">
        <v>84</v>
      </c>
      <c r="F482" s="217" t="s">
        <v>175</v>
      </c>
      <c r="G482" s="217" t="s">
        <v>174</v>
      </c>
      <c r="H482" s="217" t="s">
        <v>1529</v>
      </c>
      <c r="I482" s="217" t="s">
        <v>831</v>
      </c>
      <c r="J482" s="217" t="s">
        <v>3158</v>
      </c>
      <c r="K482" s="217" t="s">
        <v>3159</v>
      </c>
      <c r="L482" s="217">
        <v>0</v>
      </c>
      <c r="M482" s="217">
        <v>0</v>
      </c>
      <c r="N482" s="217">
        <v>260</v>
      </c>
      <c r="O482" s="217">
        <v>40</v>
      </c>
      <c r="P482" s="217">
        <v>0</v>
      </c>
      <c r="Q482" s="217">
        <v>0</v>
      </c>
      <c r="R482" s="217" t="s">
        <v>1807</v>
      </c>
    </row>
    <row r="483" spans="1:18" x14ac:dyDescent="0.25">
      <c r="A483" s="217">
        <v>482</v>
      </c>
      <c r="B483" s="217" t="s">
        <v>22</v>
      </c>
      <c r="C483" s="217" t="s">
        <v>23</v>
      </c>
      <c r="D483" s="217" t="s">
        <v>85</v>
      </c>
      <c r="E483" s="217" t="s">
        <v>84</v>
      </c>
      <c r="F483" s="217" t="s">
        <v>175</v>
      </c>
      <c r="G483" s="217" t="s">
        <v>174</v>
      </c>
      <c r="H483" s="217" t="s">
        <v>1530</v>
      </c>
      <c r="I483" s="217" t="s">
        <v>635</v>
      </c>
      <c r="J483" s="217" t="s">
        <v>3160</v>
      </c>
      <c r="K483" s="217" t="s">
        <v>3161</v>
      </c>
      <c r="L483" s="217">
        <v>0</v>
      </c>
      <c r="M483" s="217">
        <v>0</v>
      </c>
      <c r="N483" s="217">
        <v>209</v>
      </c>
      <c r="O483" s="217">
        <v>49</v>
      </c>
      <c r="P483" s="217">
        <v>513</v>
      </c>
      <c r="Q483" s="217">
        <v>101</v>
      </c>
      <c r="R483" s="217" t="s">
        <v>1807</v>
      </c>
    </row>
    <row r="484" spans="1:18" x14ac:dyDescent="0.25">
      <c r="A484" s="217">
        <v>483</v>
      </c>
      <c r="B484" s="217" t="s">
        <v>22</v>
      </c>
      <c r="C484" s="217" t="s">
        <v>23</v>
      </c>
      <c r="D484" s="217" t="s">
        <v>85</v>
      </c>
      <c r="E484" s="217" t="s">
        <v>84</v>
      </c>
      <c r="F484" s="217" t="s">
        <v>175</v>
      </c>
      <c r="G484" s="217" t="s">
        <v>174</v>
      </c>
      <c r="H484" s="217" t="s">
        <v>1307</v>
      </c>
      <c r="I484" s="217" t="s">
        <v>466</v>
      </c>
      <c r="J484" s="217" t="s">
        <v>3162</v>
      </c>
      <c r="K484" s="217" t="s">
        <v>3163</v>
      </c>
      <c r="L484" s="217">
        <v>16</v>
      </c>
      <c r="M484" s="217">
        <v>3</v>
      </c>
      <c r="N484" s="217">
        <v>68</v>
      </c>
      <c r="O484" s="217">
        <v>6</v>
      </c>
      <c r="P484" s="217">
        <v>0</v>
      </c>
      <c r="Q484" s="217">
        <v>0</v>
      </c>
      <c r="R484" s="217" t="s">
        <v>1807</v>
      </c>
    </row>
    <row r="485" spans="1:18" x14ac:dyDescent="0.25">
      <c r="A485" s="217">
        <v>484</v>
      </c>
      <c r="B485" s="217" t="s">
        <v>22</v>
      </c>
      <c r="C485" s="217" t="s">
        <v>23</v>
      </c>
      <c r="D485" s="217" t="s">
        <v>85</v>
      </c>
      <c r="E485" s="217" t="s">
        <v>84</v>
      </c>
      <c r="F485" s="217" t="s">
        <v>175</v>
      </c>
      <c r="G485" s="217" t="s">
        <v>174</v>
      </c>
      <c r="H485" s="217" t="s">
        <v>1308</v>
      </c>
      <c r="I485" s="217" t="s">
        <v>467</v>
      </c>
      <c r="J485" s="217" t="s">
        <v>3164</v>
      </c>
      <c r="K485" s="217" t="s">
        <v>3165</v>
      </c>
      <c r="L485" s="217">
        <v>36</v>
      </c>
      <c r="M485" s="217">
        <v>5</v>
      </c>
      <c r="N485" s="217">
        <v>262</v>
      </c>
      <c r="O485" s="217">
        <v>30</v>
      </c>
      <c r="P485" s="217">
        <v>22</v>
      </c>
      <c r="Q485" s="217">
        <v>5</v>
      </c>
      <c r="R485" s="217" t="s">
        <v>1807</v>
      </c>
    </row>
    <row r="486" spans="1:18" x14ac:dyDescent="0.25">
      <c r="A486" s="217">
        <v>485</v>
      </c>
      <c r="B486" s="217" t="s">
        <v>22</v>
      </c>
      <c r="C486" s="217" t="s">
        <v>23</v>
      </c>
      <c r="D486" s="217" t="s">
        <v>85</v>
      </c>
      <c r="E486" s="217" t="s">
        <v>84</v>
      </c>
      <c r="F486" s="217" t="s">
        <v>175</v>
      </c>
      <c r="G486" s="217" t="s">
        <v>174</v>
      </c>
      <c r="H486" s="217" t="s">
        <v>1309</v>
      </c>
      <c r="I486" s="217" t="s">
        <v>468</v>
      </c>
      <c r="J486" s="217" t="s">
        <v>3166</v>
      </c>
      <c r="K486" s="217" t="s">
        <v>3167</v>
      </c>
      <c r="L486" s="217">
        <v>90</v>
      </c>
      <c r="M486" s="217">
        <v>12</v>
      </c>
      <c r="N486" s="217">
        <v>67</v>
      </c>
      <c r="O486" s="217">
        <v>12</v>
      </c>
      <c r="P486" s="217">
        <v>0</v>
      </c>
      <c r="Q486" s="217">
        <v>0</v>
      </c>
      <c r="R486" s="217" t="s">
        <v>1807</v>
      </c>
    </row>
    <row r="487" spans="1:18" x14ac:dyDescent="0.25">
      <c r="A487" s="217">
        <v>486</v>
      </c>
      <c r="B487" s="217" t="s">
        <v>22</v>
      </c>
      <c r="C487" s="217" t="s">
        <v>23</v>
      </c>
      <c r="D487" s="217" t="s">
        <v>85</v>
      </c>
      <c r="E487" s="217" t="s">
        <v>84</v>
      </c>
      <c r="F487" s="217" t="s">
        <v>175</v>
      </c>
      <c r="G487" s="217" t="s">
        <v>174</v>
      </c>
      <c r="H487" s="217" t="s">
        <v>1531</v>
      </c>
      <c r="I487" s="217" t="s">
        <v>469</v>
      </c>
      <c r="J487" s="217" t="s">
        <v>3168</v>
      </c>
      <c r="K487" s="217" t="s">
        <v>3169</v>
      </c>
      <c r="L487" s="217">
        <v>68</v>
      </c>
      <c r="M487" s="217">
        <v>12</v>
      </c>
      <c r="N487" s="217">
        <v>54</v>
      </c>
      <c r="O487" s="217">
        <v>9</v>
      </c>
      <c r="P487" s="217">
        <v>13</v>
      </c>
      <c r="Q487" s="217">
        <v>3</v>
      </c>
      <c r="R487" s="217" t="s">
        <v>1807</v>
      </c>
    </row>
    <row r="488" spans="1:18" x14ac:dyDescent="0.25">
      <c r="A488" s="217">
        <v>487</v>
      </c>
      <c r="B488" s="217" t="s">
        <v>22</v>
      </c>
      <c r="C488" s="217" t="s">
        <v>23</v>
      </c>
      <c r="D488" s="217" t="s">
        <v>85</v>
      </c>
      <c r="E488" s="217" t="s">
        <v>84</v>
      </c>
      <c r="F488" s="217" t="s">
        <v>175</v>
      </c>
      <c r="G488" s="217" t="s">
        <v>174</v>
      </c>
      <c r="H488" s="217" t="s">
        <v>1310</v>
      </c>
      <c r="I488" s="217" t="s">
        <v>833</v>
      </c>
      <c r="J488" s="217" t="s">
        <v>3170</v>
      </c>
      <c r="K488" s="217" t="s">
        <v>3171</v>
      </c>
      <c r="L488" s="217">
        <v>16</v>
      </c>
      <c r="M488" s="217">
        <v>3</v>
      </c>
      <c r="N488" s="217">
        <v>58</v>
      </c>
      <c r="O488" s="217">
        <v>13</v>
      </c>
      <c r="P488" s="217">
        <v>57</v>
      </c>
      <c r="Q488" s="217">
        <v>15</v>
      </c>
      <c r="R488" s="217" t="s">
        <v>1807</v>
      </c>
    </row>
    <row r="489" spans="1:18" x14ac:dyDescent="0.25">
      <c r="A489" s="217">
        <v>488</v>
      </c>
      <c r="B489" s="217" t="s">
        <v>22</v>
      </c>
      <c r="C489" s="217" t="s">
        <v>23</v>
      </c>
      <c r="D489" s="217" t="s">
        <v>85</v>
      </c>
      <c r="E489" s="217" t="s">
        <v>84</v>
      </c>
      <c r="F489" s="217" t="s">
        <v>175</v>
      </c>
      <c r="G489" s="217" t="s">
        <v>174</v>
      </c>
      <c r="H489" s="217" t="s">
        <v>1311</v>
      </c>
      <c r="I489" s="217" t="s">
        <v>470</v>
      </c>
      <c r="J489" s="217" t="s">
        <v>3172</v>
      </c>
      <c r="K489" s="217" t="s">
        <v>3173</v>
      </c>
      <c r="L489" s="217">
        <v>2151</v>
      </c>
      <c r="M489" s="217">
        <v>418</v>
      </c>
      <c r="N489" s="217">
        <v>251</v>
      </c>
      <c r="O489" s="217">
        <v>76</v>
      </c>
      <c r="P489" s="217">
        <v>0</v>
      </c>
      <c r="Q489" s="217">
        <v>0</v>
      </c>
      <c r="R489" s="217" t="s">
        <v>1807</v>
      </c>
    </row>
    <row r="490" spans="1:18" x14ac:dyDescent="0.25">
      <c r="A490" s="217">
        <v>489</v>
      </c>
      <c r="B490" s="217" t="s">
        <v>22</v>
      </c>
      <c r="C490" s="217" t="s">
        <v>23</v>
      </c>
      <c r="D490" s="217" t="s">
        <v>85</v>
      </c>
      <c r="E490" s="217" t="s">
        <v>84</v>
      </c>
      <c r="F490" s="217" t="s">
        <v>175</v>
      </c>
      <c r="G490" s="217" t="s">
        <v>174</v>
      </c>
      <c r="H490" s="217" t="s">
        <v>2141</v>
      </c>
      <c r="I490" s="217" t="s">
        <v>815</v>
      </c>
      <c r="J490" s="217" t="s">
        <v>3174</v>
      </c>
      <c r="K490" s="217" t="s">
        <v>3175</v>
      </c>
      <c r="L490" s="217">
        <v>483</v>
      </c>
      <c r="M490" s="217">
        <v>58</v>
      </c>
      <c r="N490" s="217">
        <v>85</v>
      </c>
      <c r="O490" s="217">
        <v>17</v>
      </c>
      <c r="P490" s="217">
        <v>0</v>
      </c>
      <c r="Q490" s="217">
        <v>0</v>
      </c>
      <c r="R490" s="217" t="s">
        <v>1810</v>
      </c>
    </row>
    <row r="491" spans="1:18" x14ac:dyDescent="0.25">
      <c r="A491" s="217">
        <v>490</v>
      </c>
      <c r="B491" s="217" t="s">
        <v>22</v>
      </c>
      <c r="C491" s="217" t="s">
        <v>23</v>
      </c>
      <c r="D491" s="217" t="s">
        <v>85</v>
      </c>
      <c r="E491" s="217" t="s">
        <v>84</v>
      </c>
      <c r="F491" s="217" t="s">
        <v>175</v>
      </c>
      <c r="G491" s="217" t="s">
        <v>174</v>
      </c>
      <c r="H491" s="217" t="s">
        <v>1312</v>
      </c>
      <c r="I491" s="217" t="s">
        <v>179</v>
      </c>
      <c r="J491" s="217" t="s">
        <v>3176</v>
      </c>
      <c r="K491" s="217" t="s">
        <v>3177</v>
      </c>
      <c r="L491" s="217">
        <v>338</v>
      </c>
      <c r="M491" s="217">
        <v>57</v>
      </c>
      <c r="N491" s="217">
        <v>497</v>
      </c>
      <c r="O491" s="217">
        <v>81</v>
      </c>
      <c r="P491" s="217">
        <v>532</v>
      </c>
      <c r="Q491" s="217">
        <v>80</v>
      </c>
      <c r="R491" s="217" t="s">
        <v>1807</v>
      </c>
    </row>
    <row r="492" spans="1:18" x14ac:dyDescent="0.25">
      <c r="A492" s="217">
        <v>491</v>
      </c>
      <c r="B492" s="217" t="s">
        <v>22</v>
      </c>
      <c r="C492" s="217" t="s">
        <v>23</v>
      </c>
      <c r="D492" s="217" t="s">
        <v>85</v>
      </c>
      <c r="E492" s="217" t="s">
        <v>84</v>
      </c>
      <c r="F492" s="217" t="s">
        <v>175</v>
      </c>
      <c r="G492" s="217" t="s">
        <v>174</v>
      </c>
      <c r="H492" s="217" t="s">
        <v>1532</v>
      </c>
      <c r="I492" s="217" t="s">
        <v>636</v>
      </c>
      <c r="J492" s="217" t="s">
        <v>3178</v>
      </c>
      <c r="K492" s="217" t="s">
        <v>3179</v>
      </c>
      <c r="L492" s="217">
        <v>29</v>
      </c>
      <c r="M492" s="217">
        <v>3</v>
      </c>
      <c r="N492" s="217">
        <v>127</v>
      </c>
      <c r="O492" s="217">
        <v>23</v>
      </c>
      <c r="P492" s="217">
        <v>0</v>
      </c>
      <c r="Q492" s="217">
        <v>0</v>
      </c>
      <c r="R492" s="217" t="s">
        <v>1807</v>
      </c>
    </row>
    <row r="493" spans="1:18" x14ac:dyDescent="0.25">
      <c r="A493" s="217">
        <v>492</v>
      </c>
      <c r="B493" s="217" t="s">
        <v>22</v>
      </c>
      <c r="C493" s="217" t="s">
        <v>23</v>
      </c>
      <c r="D493" s="217" t="s">
        <v>85</v>
      </c>
      <c r="E493" s="217" t="s">
        <v>84</v>
      </c>
      <c r="F493" s="217" t="s">
        <v>181</v>
      </c>
      <c r="G493" s="217" t="s">
        <v>180</v>
      </c>
      <c r="H493" s="217" t="s">
        <v>1313</v>
      </c>
      <c r="I493" s="217" t="s">
        <v>182</v>
      </c>
      <c r="J493" s="217" t="s">
        <v>3180</v>
      </c>
      <c r="K493" s="217" t="s">
        <v>3181</v>
      </c>
      <c r="L493" s="217">
        <v>171</v>
      </c>
      <c r="M493" s="217">
        <v>33</v>
      </c>
      <c r="N493" s="217">
        <v>0</v>
      </c>
      <c r="O493" s="217">
        <v>0</v>
      </c>
      <c r="P493" s="217">
        <v>583</v>
      </c>
      <c r="Q493" s="217">
        <v>79</v>
      </c>
      <c r="R493" s="217" t="s">
        <v>1807</v>
      </c>
    </row>
    <row r="494" spans="1:18" x14ac:dyDescent="0.25">
      <c r="A494" s="217">
        <v>493</v>
      </c>
      <c r="B494" s="217" t="s">
        <v>22</v>
      </c>
      <c r="C494" s="217" t="s">
        <v>23</v>
      </c>
      <c r="D494" s="217" t="s">
        <v>85</v>
      </c>
      <c r="E494" s="217" t="s">
        <v>84</v>
      </c>
      <c r="F494" s="217" t="s">
        <v>181</v>
      </c>
      <c r="G494" s="217" t="s">
        <v>180</v>
      </c>
      <c r="H494" s="217" t="s">
        <v>1314</v>
      </c>
      <c r="I494" s="217" t="s">
        <v>185</v>
      </c>
      <c r="J494" s="217" t="s">
        <v>3182</v>
      </c>
      <c r="K494" s="217" t="s">
        <v>3183</v>
      </c>
      <c r="L494" s="217">
        <v>595</v>
      </c>
      <c r="M494" s="217">
        <v>103</v>
      </c>
      <c r="N494" s="217">
        <v>0</v>
      </c>
      <c r="O494" s="217">
        <v>0</v>
      </c>
      <c r="P494" s="217">
        <v>238</v>
      </c>
      <c r="Q494" s="217">
        <v>47</v>
      </c>
      <c r="R494" s="217" t="s">
        <v>1807</v>
      </c>
    </row>
    <row r="495" spans="1:18" x14ac:dyDescent="0.25">
      <c r="A495" s="217">
        <v>494</v>
      </c>
      <c r="B495" s="217" t="s">
        <v>22</v>
      </c>
      <c r="C495" s="217" t="s">
        <v>23</v>
      </c>
      <c r="D495" s="217" t="s">
        <v>85</v>
      </c>
      <c r="E495" s="217" t="s">
        <v>84</v>
      </c>
      <c r="F495" s="217" t="s">
        <v>181</v>
      </c>
      <c r="G495" s="217" t="s">
        <v>180</v>
      </c>
      <c r="H495" s="217" t="s">
        <v>1315</v>
      </c>
      <c r="I495" s="217" t="s">
        <v>186</v>
      </c>
      <c r="J495" s="217" t="s">
        <v>3184</v>
      </c>
      <c r="K495" s="217" t="s">
        <v>3185</v>
      </c>
      <c r="L495" s="217">
        <v>208</v>
      </c>
      <c r="M495" s="217">
        <v>41</v>
      </c>
      <c r="N495" s="217">
        <v>0</v>
      </c>
      <c r="O495" s="217">
        <v>0</v>
      </c>
      <c r="P495" s="217">
        <v>275</v>
      </c>
      <c r="Q495" s="217">
        <v>53</v>
      </c>
      <c r="R495" s="217" t="s">
        <v>1807</v>
      </c>
    </row>
    <row r="496" spans="1:18" x14ac:dyDescent="0.25">
      <c r="A496" s="217">
        <v>495</v>
      </c>
      <c r="B496" s="217" t="s">
        <v>22</v>
      </c>
      <c r="C496" s="217" t="s">
        <v>23</v>
      </c>
      <c r="D496" s="217" t="s">
        <v>85</v>
      </c>
      <c r="E496" s="217" t="s">
        <v>84</v>
      </c>
      <c r="F496" s="217" t="s">
        <v>181</v>
      </c>
      <c r="G496" s="217" t="s">
        <v>180</v>
      </c>
      <c r="H496" s="217" t="s">
        <v>1316</v>
      </c>
      <c r="I496" s="217" t="s">
        <v>187</v>
      </c>
      <c r="J496" s="217" t="s">
        <v>3186</v>
      </c>
      <c r="K496" s="217" t="s">
        <v>3187</v>
      </c>
      <c r="L496" s="217">
        <v>459</v>
      </c>
      <c r="M496" s="217">
        <v>91</v>
      </c>
      <c r="N496" s="217">
        <v>0</v>
      </c>
      <c r="O496" s="217">
        <v>0</v>
      </c>
      <c r="P496" s="217">
        <v>294</v>
      </c>
      <c r="Q496" s="217">
        <v>59</v>
      </c>
      <c r="R496" s="217" t="s">
        <v>1807</v>
      </c>
    </row>
    <row r="497" spans="1:18" x14ac:dyDescent="0.25">
      <c r="A497" s="217">
        <v>496</v>
      </c>
      <c r="B497" s="217" t="s">
        <v>22</v>
      </c>
      <c r="C497" s="217" t="s">
        <v>23</v>
      </c>
      <c r="D497" s="217" t="s">
        <v>85</v>
      </c>
      <c r="E497" s="217" t="s">
        <v>84</v>
      </c>
      <c r="F497" s="217" t="s">
        <v>181</v>
      </c>
      <c r="G497" s="217" t="s">
        <v>180</v>
      </c>
      <c r="H497" s="217" t="s">
        <v>1317</v>
      </c>
      <c r="I497" s="217" t="s">
        <v>188</v>
      </c>
      <c r="J497" s="217" t="s">
        <v>3188</v>
      </c>
      <c r="K497" s="217" t="s">
        <v>3189</v>
      </c>
      <c r="L497" s="217">
        <v>520</v>
      </c>
      <c r="M497" s="217">
        <v>102</v>
      </c>
      <c r="N497" s="217">
        <v>0</v>
      </c>
      <c r="O497" s="217">
        <v>0</v>
      </c>
      <c r="P497" s="217">
        <v>270</v>
      </c>
      <c r="Q497" s="217">
        <v>53</v>
      </c>
      <c r="R497" s="217" t="s">
        <v>1807</v>
      </c>
    </row>
    <row r="498" spans="1:18" x14ac:dyDescent="0.25">
      <c r="A498" s="217">
        <v>497</v>
      </c>
      <c r="B498" s="217" t="s">
        <v>22</v>
      </c>
      <c r="C498" s="217" t="s">
        <v>23</v>
      </c>
      <c r="D498" s="217" t="s">
        <v>85</v>
      </c>
      <c r="E498" s="217" t="s">
        <v>84</v>
      </c>
      <c r="F498" s="217" t="s">
        <v>181</v>
      </c>
      <c r="G498" s="217" t="s">
        <v>180</v>
      </c>
      <c r="H498" s="217" t="s">
        <v>1318</v>
      </c>
      <c r="I498" s="217" t="s">
        <v>189</v>
      </c>
      <c r="J498" s="217" t="s">
        <v>3190</v>
      </c>
      <c r="K498" s="217" t="s">
        <v>3191</v>
      </c>
      <c r="L498" s="217">
        <v>455</v>
      </c>
      <c r="M498" s="217">
        <v>89</v>
      </c>
      <c r="N498" s="217">
        <v>0</v>
      </c>
      <c r="O498" s="217">
        <v>0</v>
      </c>
      <c r="P498" s="217">
        <v>495</v>
      </c>
      <c r="Q498" s="217">
        <v>97</v>
      </c>
      <c r="R498" s="217" t="s">
        <v>1807</v>
      </c>
    </row>
    <row r="499" spans="1:18" x14ac:dyDescent="0.25">
      <c r="A499" s="217">
        <v>498</v>
      </c>
      <c r="B499" s="217" t="s">
        <v>22</v>
      </c>
      <c r="C499" s="217" t="s">
        <v>23</v>
      </c>
      <c r="D499" s="217" t="s">
        <v>85</v>
      </c>
      <c r="E499" s="217" t="s">
        <v>84</v>
      </c>
      <c r="F499" s="217" t="s">
        <v>181</v>
      </c>
      <c r="G499" s="217" t="s">
        <v>180</v>
      </c>
      <c r="H499" s="217" t="s">
        <v>1319</v>
      </c>
      <c r="I499" s="217" t="s">
        <v>190</v>
      </c>
      <c r="J499" s="217" t="s">
        <v>3192</v>
      </c>
      <c r="K499" s="217" t="s">
        <v>3193</v>
      </c>
      <c r="L499" s="217">
        <v>460</v>
      </c>
      <c r="M499" s="217">
        <v>90</v>
      </c>
      <c r="N499" s="217">
        <v>0</v>
      </c>
      <c r="O499" s="217">
        <v>0</v>
      </c>
      <c r="P499" s="217">
        <v>360</v>
      </c>
      <c r="Q499" s="217">
        <v>70</v>
      </c>
      <c r="R499" s="217" t="s">
        <v>1807</v>
      </c>
    </row>
    <row r="500" spans="1:18" x14ac:dyDescent="0.25">
      <c r="A500" s="217">
        <v>499</v>
      </c>
      <c r="B500" s="217" t="s">
        <v>22</v>
      </c>
      <c r="C500" s="217" t="s">
        <v>23</v>
      </c>
      <c r="D500" s="217" t="s">
        <v>85</v>
      </c>
      <c r="E500" s="217" t="s">
        <v>84</v>
      </c>
      <c r="F500" s="217" t="s">
        <v>181</v>
      </c>
      <c r="G500" s="217" t="s">
        <v>180</v>
      </c>
      <c r="H500" s="217" t="s">
        <v>1667</v>
      </c>
      <c r="I500" s="217" t="s">
        <v>692</v>
      </c>
      <c r="J500" s="217" t="s">
        <v>3194</v>
      </c>
      <c r="K500" s="217" t="s">
        <v>3195</v>
      </c>
      <c r="L500" s="217">
        <v>0</v>
      </c>
      <c r="M500" s="217">
        <v>0</v>
      </c>
      <c r="N500" s="217">
        <v>0</v>
      </c>
      <c r="O500" s="217">
        <v>0</v>
      </c>
      <c r="P500" s="217">
        <v>0</v>
      </c>
      <c r="Q500" s="217">
        <v>0</v>
      </c>
      <c r="R500" s="217" t="s">
        <v>1807</v>
      </c>
    </row>
    <row r="501" spans="1:18" x14ac:dyDescent="0.25">
      <c r="A501" s="217">
        <v>500</v>
      </c>
      <c r="B501" s="217" t="s">
        <v>22</v>
      </c>
      <c r="C501" s="217" t="s">
        <v>23</v>
      </c>
      <c r="D501" s="217" t="s">
        <v>85</v>
      </c>
      <c r="E501" s="217" t="s">
        <v>84</v>
      </c>
      <c r="F501" s="217" t="s">
        <v>181</v>
      </c>
      <c r="G501" s="217" t="s">
        <v>180</v>
      </c>
      <c r="H501" s="217" t="s">
        <v>1320</v>
      </c>
      <c r="I501" s="217" t="s">
        <v>191</v>
      </c>
      <c r="J501" s="217" t="s">
        <v>3196</v>
      </c>
      <c r="K501" s="217" t="s">
        <v>3197</v>
      </c>
      <c r="L501" s="217">
        <v>505</v>
      </c>
      <c r="M501" s="217">
        <v>99</v>
      </c>
      <c r="N501" s="217">
        <v>0</v>
      </c>
      <c r="O501" s="217">
        <v>0</v>
      </c>
      <c r="P501" s="217">
        <v>495</v>
      </c>
      <c r="Q501" s="217">
        <v>95</v>
      </c>
      <c r="R501" s="217" t="s">
        <v>1807</v>
      </c>
    </row>
    <row r="502" spans="1:18" x14ac:dyDescent="0.25">
      <c r="A502" s="217">
        <v>501</v>
      </c>
      <c r="B502" s="217" t="s">
        <v>22</v>
      </c>
      <c r="C502" s="217" t="s">
        <v>23</v>
      </c>
      <c r="D502" s="217" t="s">
        <v>85</v>
      </c>
      <c r="E502" s="217" t="s">
        <v>84</v>
      </c>
      <c r="F502" s="217" t="s">
        <v>181</v>
      </c>
      <c r="G502" s="217" t="s">
        <v>180</v>
      </c>
      <c r="H502" s="217" t="s">
        <v>1321</v>
      </c>
      <c r="I502" s="217" t="s">
        <v>192</v>
      </c>
      <c r="J502" s="217" t="s">
        <v>3198</v>
      </c>
      <c r="K502" s="217" t="s">
        <v>3199</v>
      </c>
      <c r="L502" s="217">
        <v>480</v>
      </c>
      <c r="M502" s="217">
        <v>95</v>
      </c>
      <c r="N502" s="217">
        <v>0</v>
      </c>
      <c r="O502" s="217">
        <v>0</v>
      </c>
      <c r="P502" s="217">
        <v>460</v>
      </c>
      <c r="Q502" s="217">
        <v>92</v>
      </c>
      <c r="R502" s="217" t="s">
        <v>1807</v>
      </c>
    </row>
    <row r="503" spans="1:18" x14ac:dyDescent="0.25">
      <c r="A503" s="217">
        <v>502</v>
      </c>
      <c r="B503" s="217" t="s">
        <v>22</v>
      </c>
      <c r="C503" s="217" t="s">
        <v>23</v>
      </c>
      <c r="D503" s="217" t="s">
        <v>85</v>
      </c>
      <c r="E503" s="217" t="s">
        <v>84</v>
      </c>
      <c r="F503" s="217" t="s">
        <v>181</v>
      </c>
      <c r="G503" s="217" t="s">
        <v>180</v>
      </c>
      <c r="H503" s="217" t="s">
        <v>1563</v>
      </c>
      <c r="I503" s="217" t="s">
        <v>193</v>
      </c>
      <c r="J503" s="217" t="s">
        <v>3200</v>
      </c>
      <c r="K503" s="217" t="s">
        <v>3201</v>
      </c>
      <c r="L503" s="217">
        <v>0</v>
      </c>
      <c r="M503" s="217">
        <v>0</v>
      </c>
      <c r="N503" s="217">
        <v>0</v>
      </c>
      <c r="O503" s="217">
        <v>0</v>
      </c>
      <c r="P503" s="217">
        <v>526</v>
      </c>
      <c r="Q503" s="217">
        <v>96</v>
      </c>
      <c r="R503" s="217" t="s">
        <v>1807</v>
      </c>
    </row>
    <row r="504" spans="1:18" x14ac:dyDescent="0.25">
      <c r="A504" s="217">
        <v>503</v>
      </c>
      <c r="B504" s="217" t="s">
        <v>22</v>
      </c>
      <c r="C504" s="217" t="s">
        <v>23</v>
      </c>
      <c r="D504" s="217" t="s">
        <v>85</v>
      </c>
      <c r="E504" s="217" t="s">
        <v>84</v>
      </c>
      <c r="F504" s="217" t="s">
        <v>181</v>
      </c>
      <c r="G504" s="217" t="s">
        <v>180</v>
      </c>
      <c r="H504" s="217" t="s">
        <v>1322</v>
      </c>
      <c r="I504" s="217" t="s">
        <v>194</v>
      </c>
      <c r="J504" s="217" t="s">
        <v>3202</v>
      </c>
      <c r="K504" s="217" t="s">
        <v>3203</v>
      </c>
      <c r="L504" s="217">
        <v>389</v>
      </c>
      <c r="M504" s="217">
        <v>72</v>
      </c>
      <c r="N504" s="217">
        <v>0</v>
      </c>
      <c r="O504" s="217">
        <v>0</v>
      </c>
      <c r="P504" s="217">
        <v>350</v>
      </c>
      <c r="Q504" s="217">
        <v>68</v>
      </c>
      <c r="R504" s="217" t="s">
        <v>1807</v>
      </c>
    </row>
    <row r="505" spans="1:18" x14ac:dyDescent="0.25">
      <c r="A505" s="217">
        <v>504</v>
      </c>
      <c r="B505" s="217" t="s">
        <v>22</v>
      </c>
      <c r="C505" s="217" t="s">
        <v>23</v>
      </c>
      <c r="D505" s="217" t="s">
        <v>184</v>
      </c>
      <c r="E505" s="217" t="s">
        <v>183</v>
      </c>
      <c r="F505" s="217" t="s">
        <v>471</v>
      </c>
      <c r="G505" s="217" t="s">
        <v>472</v>
      </c>
      <c r="H505" s="217" t="s">
        <v>1323</v>
      </c>
      <c r="I505" s="217" t="s">
        <v>473</v>
      </c>
      <c r="J505" s="217" t="s">
        <v>3204</v>
      </c>
      <c r="K505" s="217" t="s">
        <v>3205</v>
      </c>
      <c r="L505" s="217">
        <v>313</v>
      </c>
      <c r="M505" s="217">
        <v>44</v>
      </c>
      <c r="N505" s="217">
        <v>0</v>
      </c>
      <c r="O505" s="217">
        <v>0</v>
      </c>
      <c r="P505" s="217">
        <v>0</v>
      </c>
      <c r="Q505" s="217">
        <v>0</v>
      </c>
      <c r="R505" s="217" t="s">
        <v>1807</v>
      </c>
    </row>
    <row r="506" spans="1:18" x14ac:dyDescent="0.25">
      <c r="A506" s="217">
        <v>505</v>
      </c>
      <c r="B506" s="217" t="s">
        <v>22</v>
      </c>
      <c r="C506" s="217" t="s">
        <v>23</v>
      </c>
      <c r="D506" s="217" t="s">
        <v>184</v>
      </c>
      <c r="E506" s="217" t="s">
        <v>183</v>
      </c>
      <c r="F506" s="217" t="s">
        <v>471</v>
      </c>
      <c r="G506" s="217" t="s">
        <v>472</v>
      </c>
      <c r="H506" s="217" t="s">
        <v>1324</v>
      </c>
      <c r="I506" s="217" t="s">
        <v>474</v>
      </c>
      <c r="J506" s="217" t="s">
        <v>3206</v>
      </c>
      <c r="K506" s="217" t="s">
        <v>3207</v>
      </c>
      <c r="L506" s="217">
        <v>153</v>
      </c>
      <c r="M506" s="217">
        <v>31</v>
      </c>
      <c r="N506" s="217">
        <v>0</v>
      </c>
      <c r="O506" s="217">
        <v>0</v>
      </c>
      <c r="P506" s="217">
        <v>0</v>
      </c>
      <c r="Q506" s="217">
        <v>0</v>
      </c>
      <c r="R506" s="217" t="s">
        <v>1807</v>
      </c>
    </row>
    <row r="507" spans="1:18" x14ac:dyDescent="0.25">
      <c r="A507" s="217">
        <v>506</v>
      </c>
      <c r="B507" s="217" t="s">
        <v>22</v>
      </c>
      <c r="C507" s="217" t="s">
        <v>23</v>
      </c>
      <c r="D507" s="217" t="s">
        <v>184</v>
      </c>
      <c r="E507" s="217" t="s">
        <v>183</v>
      </c>
      <c r="F507" s="217" t="s">
        <v>471</v>
      </c>
      <c r="G507" s="217" t="s">
        <v>472</v>
      </c>
      <c r="H507" s="217" t="s">
        <v>1325</v>
      </c>
      <c r="I507" s="217" t="s">
        <v>475</v>
      </c>
      <c r="J507" s="217" t="s">
        <v>3208</v>
      </c>
      <c r="K507" s="217" t="s">
        <v>3209</v>
      </c>
      <c r="L507" s="217">
        <v>104</v>
      </c>
      <c r="M507" s="217">
        <v>18</v>
      </c>
      <c r="N507" s="217">
        <v>0</v>
      </c>
      <c r="O507" s="217">
        <v>0</v>
      </c>
      <c r="P507" s="217">
        <v>0</v>
      </c>
      <c r="Q507" s="217">
        <v>0</v>
      </c>
      <c r="R507" s="217" t="s">
        <v>1807</v>
      </c>
    </row>
    <row r="508" spans="1:18" x14ac:dyDescent="0.25">
      <c r="A508" s="217">
        <v>507</v>
      </c>
      <c r="B508" s="217" t="s">
        <v>22</v>
      </c>
      <c r="C508" s="217" t="s">
        <v>23</v>
      </c>
      <c r="D508" s="217" t="s">
        <v>184</v>
      </c>
      <c r="E508" s="217" t="s">
        <v>183</v>
      </c>
      <c r="F508" s="217" t="s">
        <v>471</v>
      </c>
      <c r="G508" s="217" t="s">
        <v>472</v>
      </c>
      <c r="H508" s="217" t="s">
        <v>1533</v>
      </c>
      <c r="I508" s="217" t="s">
        <v>638</v>
      </c>
      <c r="J508" s="217" t="s">
        <v>3210</v>
      </c>
      <c r="K508" s="217" t="s">
        <v>3211</v>
      </c>
      <c r="L508" s="217">
        <v>0</v>
      </c>
      <c r="M508" s="217">
        <v>0</v>
      </c>
      <c r="N508" s="217">
        <v>119</v>
      </c>
      <c r="O508" s="217">
        <v>25</v>
      </c>
      <c r="P508" s="217">
        <v>41</v>
      </c>
      <c r="Q508" s="217">
        <v>7</v>
      </c>
      <c r="R508" s="217" t="s">
        <v>1807</v>
      </c>
    </row>
    <row r="509" spans="1:18" x14ac:dyDescent="0.25">
      <c r="A509" s="217">
        <v>508</v>
      </c>
      <c r="B509" s="217" t="s">
        <v>22</v>
      </c>
      <c r="C509" s="217" t="s">
        <v>23</v>
      </c>
      <c r="D509" s="217" t="s">
        <v>184</v>
      </c>
      <c r="E509" s="217" t="s">
        <v>183</v>
      </c>
      <c r="F509" s="217" t="s">
        <v>471</v>
      </c>
      <c r="G509" s="217" t="s">
        <v>472</v>
      </c>
      <c r="H509" s="217" t="s">
        <v>1326</v>
      </c>
      <c r="I509" s="217" t="s">
        <v>476</v>
      </c>
      <c r="J509" s="217" t="s">
        <v>3212</v>
      </c>
      <c r="K509" s="217" t="s">
        <v>3213</v>
      </c>
      <c r="L509" s="217">
        <v>196</v>
      </c>
      <c r="M509" s="217">
        <v>37</v>
      </c>
      <c r="N509" s="217">
        <v>0</v>
      </c>
      <c r="O509" s="217">
        <v>0</v>
      </c>
      <c r="P509" s="217">
        <v>0</v>
      </c>
      <c r="Q509" s="217">
        <v>0</v>
      </c>
      <c r="R509" s="217" t="s">
        <v>1807</v>
      </c>
    </row>
    <row r="510" spans="1:18" x14ac:dyDescent="0.25">
      <c r="A510" s="217">
        <v>509</v>
      </c>
      <c r="B510" s="217" t="s">
        <v>22</v>
      </c>
      <c r="C510" s="217" t="s">
        <v>23</v>
      </c>
      <c r="D510" s="217" t="s">
        <v>184</v>
      </c>
      <c r="E510" s="217" t="s">
        <v>183</v>
      </c>
      <c r="F510" s="217" t="s">
        <v>471</v>
      </c>
      <c r="G510" s="217" t="s">
        <v>472</v>
      </c>
      <c r="H510" s="217" t="s">
        <v>1327</v>
      </c>
      <c r="I510" s="217" t="s">
        <v>477</v>
      </c>
      <c r="J510" s="217" t="s">
        <v>3214</v>
      </c>
      <c r="K510" s="217" t="s">
        <v>3215</v>
      </c>
      <c r="L510" s="217">
        <v>324</v>
      </c>
      <c r="M510" s="217">
        <v>51</v>
      </c>
      <c r="N510" s="217">
        <v>0</v>
      </c>
      <c r="O510" s="217">
        <v>0</v>
      </c>
      <c r="P510" s="217">
        <v>0</v>
      </c>
      <c r="Q510" s="217">
        <v>0</v>
      </c>
      <c r="R510" s="217" t="s">
        <v>1807</v>
      </c>
    </row>
    <row r="511" spans="1:18" x14ac:dyDescent="0.25">
      <c r="A511" s="217">
        <v>510</v>
      </c>
      <c r="B511" s="217" t="s">
        <v>22</v>
      </c>
      <c r="C511" s="217" t="s">
        <v>23</v>
      </c>
      <c r="D511" s="217" t="s">
        <v>184</v>
      </c>
      <c r="E511" s="217" t="s">
        <v>183</v>
      </c>
      <c r="F511" s="217" t="s">
        <v>471</v>
      </c>
      <c r="G511" s="217" t="s">
        <v>472</v>
      </c>
      <c r="H511" s="217" t="s">
        <v>1328</v>
      </c>
      <c r="I511" s="217" t="s">
        <v>478</v>
      </c>
      <c r="J511" s="217" t="s">
        <v>3216</v>
      </c>
      <c r="K511" s="217" t="s">
        <v>3217</v>
      </c>
      <c r="L511" s="217">
        <v>164</v>
      </c>
      <c r="M511" s="217">
        <v>26</v>
      </c>
      <c r="N511" s="217">
        <v>0</v>
      </c>
      <c r="O511" s="217">
        <v>0</v>
      </c>
      <c r="P511" s="217">
        <v>0</v>
      </c>
      <c r="Q511" s="217">
        <v>0</v>
      </c>
      <c r="R511" s="217" t="s">
        <v>1807</v>
      </c>
    </row>
    <row r="512" spans="1:18" x14ac:dyDescent="0.25">
      <c r="A512" s="217">
        <v>511</v>
      </c>
      <c r="B512" s="217" t="s">
        <v>22</v>
      </c>
      <c r="C512" s="217" t="s">
        <v>23</v>
      </c>
      <c r="D512" s="217" t="s">
        <v>184</v>
      </c>
      <c r="E512" s="217" t="s">
        <v>183</v>
      </c>
      <c r="F512" s="217" t="s">
        <v>471</v>
      </c>
      <c r="G512" s="217" t="s">
        <v>472</v>
      </c>
      <c r="H512" s="217" t="s">
        <v>1329</v>
      </c>
      <c r="I512" s="217" t="s">
        <v>479</v>
      </c>
      <c r="J512" s="217" t="s">
        <v>3218</v>
      </c>
      <c r="K512" s="217" t="s">
        <v>3219</v>
      </c>
      <c r="L512" s="217">
        <v>172</v>
      </c>
      <c r="M512" s="217">
        <v>28</v>
      </c>
      <c r="N512" s="217">
        <v>0</v>
      </c>
      <c r="O512" s="217">
        <v>0</v>
      </c>
      <c r="P512" s="217">
        <v>0</v>
      </c>
      <c r="Q512" s="217">
        <v>0</v>
      </c>
      <c r="R512" s="217" t="s">
        <v>1807</v>
      </c>
    </row>
    <row r="513" spans="1:18" x14ac:dyDescent="0.25">
      <c r="A513" s="217">
        <v>512</v>
      </c>
      <c r="B513" s="217" t="s">
        <v>22</v>
      </c>
      <c r="C513" s="217" t="s">
        <v>23</v>
      </c>
      <c r="D513" s="217" t="s">
        <v>184</v>
      </c>
      <c r="E513" s="217" t="s">
        <v>183</v>
      </c>
      <c r="F513" s="217" t="s">
        <v>471</v>
      </c>
      <c r="G513" s="217" t="s">
        <v>472</v>
      </c>
      <c r="H513" s="217" t="s">
        <v>1330</v>
      </c>
      <c r="I513" s="217" t="s">
        <v>480</v>
      </c>
      <c r="J513" s="217" t="s">
        <v>3220</v>
      </c>
      <c r="K513" s="217" t="s">
        <v>3221</v>
      </c>
      <c r="L513" s="217">
        <v>97</v>
      </c>
      <c r="M513" s="217">
        <v>17</v>
      </c>
      <c r="N513" s="217">
        <v>0</v>
      </c>
      <c r="O513" s="217">
        <v>0</v>
      </c>
      <c r="P513" s="217">
        <v>0</v>
      </c>
      <c r="Q513" s="217">
        <v>0</v>
      </c>
      <c r="R513" s="217" t="s">
        <v>1807</v>
      </c>
    </row>
    <row r="514" spans="1:18" x14ac:dyDescent="0.25">
      <c r="A514" s="217">
        <v>513</v>
      </c>
      <c r="B514" s="217" t="s">
        <v>22</v>
      </c>
      <c r="C514" s="217" t="s">
        <v>23</v>
      </c>
      <c r="D514" s="217" t="s">
        <v>184</v>
      </c>
      <c r="E514" s="217" t="s">
        <v>183</v>
      </c>
      <c r="F514" s="217" t="s">
        <v>196</v>
      </c>
      <c r="G514" s="217" t="s">
        <v>195</v>
      </c>
      <c r="H514" s="217" t="s">
        <v>1331</v>
      </c>
      <c r="I514" s="217" t="s">
        <v>481</v>
      </c>
      <c r="J514" s="217" t="s">
        <v>3222</v>
      </c>
      <c r="K514" s="217" t="s">
        <v>3223</v>
      </c>
      <c r="L514" s="217">
        <v>280</v>
      </c>
      <c r="M514" s="217">
        <v>35</v>
      </c>
      <c r="N514" s="217">
        <v>0</v>
      </c>
      <c r="O514" s="217">
        <v>0</v>
      </c>
      <c r="P514" s="217">
        <v>75</v>
      </c>
      <c r="Q514" s="217">
        <v>15</v>
      </c>
      <c r="R514" s="217" t="s">
        <v>1807</v>
      </c>
    </row>
    <row r="515" spans="1:18" x14ac:dyDescent="0.25">
      <c r="A515" s="217">
        <v>514</v>
      </c>
      <c r="B515" s="217" t="s">
        <v>22</v>
      </c>
      <c r="C515" s="217" t="s">
        <v>23</v>
      </c>
      <c r="D515" s="217" t="s">
        <v>184</v>
      </c>
      <c r="E515" s="217" t="s">
        <v>183</v>
      </c>
      <c r="F515" s="217" t="s">
        <v>196</v>
      </c>
      <c r="G515" s="217" t="s">
        <v>195</v>
      </c>
      <c r="H515" s="217" t="s">
        <v>1332</v>
      </c>
      <c r="I515" s="217" t="s">
        <v>197</v>
      </c>
      <c r="J515" s="217" t="s">
        <v>3224</v>
      </c>
      <c r="K515" s="217" t="s">
        <v>3225</v>
      </c>
      <c r="L515" s="217">
        <v>420</v>
      </c>
      <c r="M515" s="217">
        <v>40</v>
      </c>
      <c r="N515" s="217">
        <v>0</v>
      </c>
      <c r="O515" s="217">
        <v>0</v>
      </c>
      <c r="P515" s="217">
        <v>120</v>
      </c>
      <c r="Q515" s="217">
        <v>24</v>
      </c>
      <c r="R515" s="217" t="s">
        <v>1807</v>
      </c>
    </row>
    <row r="516" spans="1:18" x14ac:dyDescent="0.25">
      <c r="A516" s="217">
        <v>515</v>
      </c>
      <c r="B516" s="217" t="s">
        <v>22</v>
      </c>
      <c r="C516" s="217" t="s">
        <v>23</v>
      </c>
      <c r="D516" s="217" t="s">
        <v>184</v>
      </c>
      <c r="E516" s="217" t="s">
        <v>183</v>
      </c>
      <c r="F516" s="217" t="s">
        <v>196</v>
      </c>
      <c r="G516" s="217" t="s">
        <v>195</v>
      </c>
      <c r="H516" s="217" t="s">
        <v>1333</v>
      </c>
      <c r="I516" s="217" t="s">
        <v>198</v>
      </c>
      <c r="J516" s="217" t="s">
        <v>3226</v>
      </c>
      <c r="K516" s="217" t="s">
        <v>3227</v>
      </c>
      <c r="L516" s="217">
        <v>370</v>
      </c>
      <c r="M516" s="217">
        <v>56</v>
      </c>
      <c r="N516" s="217">
        <v>0</v>
      </c>
      <c r="O516" s="217">
        <v>0</v>
      </c>
      <c r="P516" s="217">
        <v>75</v>
      </c>
      <c r="Q516" s="217">
        <v>15</v>
      </c>
      <c r="R516" s="217" t="s">
        <v>1807</v>
      </c>
    </row>
    <row r="517" spans="1:18" x14ac:dyDescent="0.25">
      <c r="A517" s="217">
        <v>516</v>
      </c>
      <c r="B517" s="217" t="s">
        <v>22</v>
      </c>
      <c r="C517" s="217" t="s">
        <v>23</v>
      </c>
      <c r="D517" s="217" t="s">
        <v>184</v>
      </c>
      <c r="E517" s="217" t="s">
        <v>183</v>
      </c>
      <c r="F517" s="217" t="s">
        <v>196</v>
      </c>
      <c r="G517" s="217" t="s">
        <v>195</v>
      </c>
      <c r="H517" s="217" t="s">
        <v>1334</v>
      </c>
      <c r="I517" s="217" t="s">
        <v>201</v>
      </c>
      <c r="J517" s="217" t="s">
        <v>3228</v>
      </c>
      <c r="K517" s="217" t="s">
        <v>3229</v>
      </c>
      <c r="L517" s="217">
        <v>500</v>
      </c>
      <c r="M517" s="217">
        <v>100</v>
      </c>
      <c r="N517" s="217">
        <v>0</v>
      </c>
      <c r="O517" s="217">
        <v>0</v>
      </c>
      <c r="P517" s="217">
        <v>150</v>
      </c>
      <c r="Q517" s="217">
        <v>30</v>
      </c>
      <c r="R517" s="217" t="s">
        <v>1807</v>
      </c>
    </row>
    <row r="518" spans="1:18" x14ac:dyDescent="0.25">
      <c r="A518" s="217">
        <v>517</v>
      </c>
      <c r="B518" s="217" t="s">
        <v>22</v>
      </c>
      <c r="C518" s="217" t="s">
        <v>23</v>
      </c>
      <c r="D518" s="217" t="s">
        <v>184</v>
      </c>
      <c r="E518" s="217" t="s">
        <v>183</v>
      </c>
      <c r="F518" s="217" t="s">
        <v>196</v>
      </c>
      <c r="G518" s="217" t="s">
        <v>195</v>
      </c>
      <c r="H518" s="217" t="s">
        <v>1335</v>
      </c>
      <c r="I518" s="217" t="s">
        <v>482</v>
      </c>
      <c r="J518" s="217" t="s">
        <v>3230</v>
      </c>
      <c r="K518" s="217" t="s">
        <v>3231</v>
      </c>
      <c r="L518" s="217">
        <v>48</v>
      </c>
      <c r="M518" s="217">
        <v>6</v>
      </c>
      <c r="N518" s="217">
        <v>0</v>
      </c>
      <c r="O518" s="217">
        <v>0</v>
      </c>
      <c r="P518" s="217">
        <v>0</v>
      </c>
      <c r="Q518" s="217">
        <v>0</v>
      </c>
      <c r="R518" s="217" t="s">
        <v>1807</v>
      </c>
    </row>
    <row r="519" spans="1:18" x14ac:dyDescent="0.25">
      <c r="A519" s="217">
        <v>518</v>
      </c>
      <c r="B519" s="217" t="s">
        <v>22</v>
      </c>
      <c r="C519" s="217" t="s">
        <v>23</v>
      </c>
      <c r="D519" s="217" t="s">
        <v>184</v>
      </c>
      <c r="E519" s="217" t="s">
        <v>183</v>
      </c>
      <c r="F519" s="217" t="s">
        <v>203</v>
      </c>
      <c r="G519" s="217" t="s">
        <v>202</v>
      </c>
      <c r="H519" s="217" t="s">
        <v>1564</v>
      </c>
      <c r="I519" s="217" t="s">
        <v>671</v>
      </c>
      <c r="J519" s="217" t="s">
        <v>3232</v>
      </c>
      <c r="K519" s="217" t="s">
        <v>3233</v>
      </c>
      <c r="L519" s="217">
        <v>0</v>
      </c>
      <c r="M519" s="217">
        <v>0</v>
      </c>
      <c r="N519" s="217">
        <v>0</v>
      </c>
      <c r="O519" s="217">
        <v>0</v>
      </c>
      <c r="P519" s="217">
        <v>281</v>
      </c>
      <c r="Q519" s="217">
        <v>50</v>
      </c>
      <c r="R519" s="217" t="s">
        <v>1807</v>
      </c>
    </row>
    <row r="520" spans="1:18" x14ac:dyDescent="0.25">
      <c r="A520" s="217">
        <v>519</v>
      </c>
      <c r="B520" s="217" t="s">
        <v>22</v>
      </c>
      <c r="C520" s="217" t="s">
        <v>23</v>
      </c>
      <c r="D520" s="217" t="s">
        <v>184</v>
      </c>
      <c r="E520" s="217" t="s">
        <v>183</v>
      </c>
      <c r="F520" s="217" t="s">
        <v>203</v>
      </c>
      <c r="G520" s="217" t="s">
        <v>202</v>
      </c>
      <c r="H520" s="217" t="s">
        <v>1565</v>
      </c>
      <c r="I520" s="217" t="s">
        <v>704</v>
      </c>
      <c r="J520" s="217" t="s">
        <v>3234</v>
      </c>
      <c r="K520" s="217" t="s">
        <v>3235</v>
      </c>
      <c r="L520" s="217">
        <v>0</v>
      </c>
      <c r="M520" s="217">
        <v>0</v>
      </c>
      <c r="N520" s="217">
        <v>0</v>
      </c>
      <c r="O520" s="217">
        <v>0</v>
      </c>
      <c r="P520" s="217">
        <v>300</v>
      </c>
      <c r="Q520" s="217">
        <v>60</v>
      </c>
      <c r="R520" s="217" t="s">
        <v>1807</v>
      </c>
    </row>
    <row r="521" spans="1:18" x14ac:dyDescent="0.25">
      <c r="A521" s="217">
        <v>520</v>
      </c>
      <c r="B521" s="217" t="s">
        <v>22</v>
      </c>
      <c r="C521" s="217" t="s">
        <v>23</v>
      </c>
      <c r="D521" s="217" t="s">
        <v>184</v>
      </c>
      <c r="E521" s="217" t="s">
        <v>183</v>
      </c>
      <c r="F521" s="217" t="s">
        <v>203</v>
      </c>
      <c r="G521" s="217" t="s">
        <v>202</v>
      </c>
      <c r="H521" s="217" t="s">
        <v>1566</v>
      </c>
      <c r="I521" s="217" t="s">
        <v>672</v>
      </c>
      <c r="J521" s="217" t="s">
        <v>3236</v>
      </c>
      <c r="K521" s="217" t="s">
        <v>3237</v>
      </c>
      <c r="L521" s="217">
        <v>0</v>
      </c>
      <c r="M521" s="217">
        <v>0</v>
      </c>
      <c r="N521" s="217">
        <v>0</v>
      </c>
      <c r="O521" s="217">
        <v>0</v>
      </c>
      <c r="P521" s="217">
        <v>92</v>
      </c>
      <c r="Q521" s="217">
        <v>15</v>
      </c>
      <c r="R521" s="217" t="s">
        <v>1807</v>
      </c>
    </row>
    <row r="522" spans="1:18" x14ac:dyDescent="0.25">
      <c r="A522" s="217">
        <v>521</v>
      </c>
      <c r="B522" s="217" t="s">
        <v>22</v>
      </c>
      <c r="C522" s="217" t="s">
        <v>23</v>
      </c>
      <c r="D522" s="217" t="s">
        <v>184</v>
      </c>
      <c r="E522" s="217" t="s">
        <v>183</v>
      </c>
      <c r="F522" s="217" t="s">
        <v>203</v>
      </c>
      <c r="G522" s="217" t="s">
        <v>202</v>
      </c>
      <c r="H522" s="217" t="s">
        <v>1567</v>
      </c>
      <c r="I522" s="217" t="s">
        <v>673</v>
      </c>
      <c r="J522" s="217" t="s">
        <v>3238</v>
      </c>
      <c r="K522" s="217" t="s">
        <v>3239</v>
      </c>
      <c r="L522" s="217">
        <v>0</v>
      </c>
      <c r="M522" s="217">
        <v>0</v>
      </c>
      <c r="N522" s="217">
        <v>0</v>
      </c>
      <c r="O522" s="217">
        <v>0</v>
      </c>
      <c r="P522" s="217">
        <v>200</v>
      </c>
      <c r="Q522" s="217">
        <v>20</v>
      </c>
      <c r="R522" s="217" t="s">
        <v>1807</v>
      </c>
    </row>
    <row r="523" spans="1:18" x14ac:dyDescent="0.25">
      <c r="A523" s="217">
        <v>522</v>
      </c>
      <c r="B523" s="217" t="s">
        <v>22</v>
      </c>
      <c r="C523" s="217" t="s">
        <v>23</v>
      </c>
      <c r="D523" s="217" t="s">
        <v>184</v>
      </c>
      <c r="E523" s="217" t="s">
        <v>183</v>
      </c>
      <c r="F523" s="217" t="s">
        <v>203</v>
      </c>
      <c r="G523" s="217" t="s">
        <v>202</v>
      </c>
      <c r="H523" s="217" t="s">
        <v>1336</v>
      </c>
      <c r="I523" s="217" t="s">
        <v>204</v>
      </c>
      <c r="J523" s="217" t="s">
        <v>3240</v>
      </c>
      <c r="K523" s="217" t="s">
        <v>3241</v>
      </c>
      <c r="L523" s="217">
        <v>33</v>
      </c>
      <c r="M523" s="217">
        <v>7</v>
      </c>
      <c r="N523" s="217">
        <v>0</v>
      </c>
      <c r="O523" s="217">
        <v>0</v>
      </c>
      <c r="P523" s="217">
        <v>227</v>
      </c>
      <c r="Q523" s="217">
        <v>18</v>
      </c>
      <c r="R523" s="217" t="s">
        <v>1807</v>
      </c>
    </row>
    <row r="524" spans="1:18" x14ac:dyDescent="0.25">
      <c r="A524" s="217">
        <v>523</v>
      </c>
      <c r="B524" s="217" t="s">
        <v>22</v>
      </c>
      <c r="C524" s="217" t="s">
        <v>23</v>
      </c>
      <c r="D524" s="217" t="s">
        <v>184</v>
      </c>
      <c r="E524" s="217" t="s">
        <v>183</v>
      </c>
      <c r="F524" s="217" t="s">
        <v>206</v>
      </c>
      <c r="G524" s="217" t="s">
        <v>205</v>
      </c>
      <c r="H524" s="217" t="s">
        <v>1568</v>
      </c>
      <c r="I524" s="217" t="s">
        <v>207</v>
      </c>
      <c r="J524" s="217" t="s">
        <v>3242</v>
      </c>
      <c r="K524" s="217" t="s">
        <v>3243</v>
      </c>
      <c r="L524" s="217">
        <v>0</v>
      </c>
      <c r="M524" s="217">
        <v>0</v>
      </c>
      <c r="N524" s="217">
        <v>0</v>
      </c>
      <c r="O524" s="217">
        <v>0</v>
      </c>
      <c r="P524" s="217">
        <v>1212</v>
      </c>
      <c r="Q524" s="217">
        <v>202</v>
      </c>
      <c r="R524" s="217" t="s">
        <v>1807</v>
      </c>
    </row>
    <row r="525" spans="1:18" x14ac:dyDescent="0.25">
      <c r="A525" s="217">
        <v>524</v>
      </c>
      <c r="B525" s="217" t="s">
        <v>22</v>
      </c>
      <c r="C525" s="217" t="s">
        <v>23</v>
      </c>
      <c r="D525" s="217" t="s">
        <v>184</v>
      </c>
      <c r="E525" s="217" t="s">
        <v>183</v>
      </c>
      <c r="F525" s="217" t="s">
        <v>206</v>
      </c>
      <c r="G525" s="217" t="s">
        <v>205</v>
      </c>
      <c r="H525" s="217" t="s">
        <v>1337</v>
      </c>
      <c r="I525" s="217" t="s">
        <v>208</v>
      </c>
      <c r="J525" s="217" t="s">
        <v>3244</v>
      </c>
      <c r="K525" s="217" t="s">
        <v>3245</v>
      </c>
      <c r="L525" s="217">
        <v>82</v>
      </c>
      <c r="M525" s="217">
        <v>15</v>
      </c>
      <c r="N525" s="217">
        <v>0</v>
      </c>
      <c r="O525" s="217">
        <v>0</v>
      </c>
      <c r="P525" s="217">
        <v>275</v>
      </c>
      <c r="Q525" s="217">
        <v>45</v>
      </c>
      <c r="R525" s="217" t="s">
        <v>1807</v>
      </c>
    </row>
    <row r="526" spans="1:18" x14ac:dyDescent="0.25">
      <c r="A526" s="217">
        <v>525</v>
      </c>
      <c r="B526" s="217" t="s">
        <v>22</v>
      </c>
      <c r="C526" s="217" t="s">
        <v>23</v>
      </c>
      <c r="D526" s="217" t="s">
        <v>184</v>
      </c>
      <c r="E526" s="217" t="s">
        <v>183</v>
      </c>
      <c r="F526" s="217" t="s">
        <v>206</v>
      </c>
      <c r="G526" s="217" t="s">
        <v>205</v>
      </c>
      <c r="H526" s="217" t="s">
        <v>1569</v>
      </c>
      <c r="I526" s="217" t="s">
        <v>209</v>
      </c>
      <c r="J526" s="217" t="s">
        <v>3246</v>
      </c>
      <c r="K526" s="217" t="s">
        <v>3247</v>
      </c>
      <c r="L526" s="217">
        <v>0</v>
      </c>
      <c r="M526" s="217">
        <v>0</v>
      </c>
      <c r="N526" s="217">
        <v>0</v>
      </c>
      <c r="O526" s="217">
        <v>0</v>
      </c>
      <c r="P526" s="217">
        <v>1290</v>
      </c>
      <c r="Q526" s="217">
        <v>214</v>
      </c>
      <c r="R526" s="217" t="s">
        <v>1807</v>
      </c>
    </row>
    <row r="527" spans="1:18" x14ac:dyDescent="0.25">
      <c r="A527" s="217">
        <v>526</v>
      </c>
      <c r="B527" s="217" t="s">
        <v>22</v>
      </c>
      <c r="C527" s="217" t="s">
        <v>23</v>
      </c>
      <c r="D527" s="217" t="s">
        <v>184</v>
      </c>
      <c r="E527" s="217" t="s">
        <v>183</v>
      </c>
      <c r="F527" s="217" t="s">
        <v>206</v>
      </c>
      <c r="G527" s="217" t="s">
        <v>205</v>
      </c>
      <c r="H527" s="217" t="s">
        <v>1338</v>
      </c>
      <c r="I527" s="217" t="s">
        <v>483</v>
      </c>
      <c r="J527" s="217" t="s">
        <v>3248</v>
      </c>
      <c r="K527" s="217" t="s">
        <v>3249</v>
      </c>
      <c r="L527" s="217">
        <v>185</v>
      </c>
      <c r="M527" s="217">
        <v>27</v>
      </c>
      <c r="N527" s="217">
        <v>0</v>
      </c>
      <c r="O527" s="217">
        <v>0</v>
      </c>
      <c r="P527" s="217">
        <v>101</v>
      </c>
      <c r="Q527" s="217">
        <v>7</v>
      </c>
      <c r="R527" s="217" t="s">
        <v>1807</v>
      </c>
    </row>
    <row r="528" spans="1:18" x14ac:dyDescent="0.25">
      <c r="A528" s="217">
        <v>527</v>
      </c>
      <c r="B528" s="217" t="s">
        <v>22</v>
      </c>
      <c r="C528" s="217" t="s">
        <v>23</v>
      </c>
      <c r="D528" s="217" t="s">
        <v>184</v>
      </c>
      <c r="E528" s="217" t="s">
        <v>183</v>
      </c>
      <c r="F528" s="217" t="s">
        <v>206</v>
      </c>
      <c r="G528" s="217" t="s">
        <v>205</v>
      </c>
      <c r="H528" s="217" t="s">
        <v>1339</v>
      </c>
      <c r="I528" s="217" t="s">
        <v>210</v>
      </c>
      <c r="J528" s="217" t="s">
        <v>3250</v>
      </c>
      <c r="K528" s="217" t="s">
        <v>3251</v>
      </c>
      <c r="L528" s="217">
        <v>254</v>
      </c>
      <c r="M528" s="217">
        <v>42</v>
      </c>
      <c r="N528" s="217">
        <v>0</v>
      </c>
      <c r="O528" s="217">
        <v>0</v>
      </c>
      <c r="P528" s="217">
        <v>142</v>
      </c>
      <c r="Q528" s="217">
        <v>23</v>
      </c>
      <c r="R528" s="217" t="s">
        <v>1807</v>
      </c>
    </row>
    <row r="529" spans="1:18" x14ac:dyDescent="0.25">
      <c r="A529" s="217">
        <v>528</v>
      </c>
      <c r="B529" s="217" t="s">
        <v>22</v>
      </c>
      <c r="C529" s="217" t="s">
        <v>23</v>
      </c>
      <c r="D529" s="217" t="s">
        <v>184</v>
      </c>
      <c r="E529" s="217" t="s">
        <v>183</v>
      </c>
      <c r="F529" s="217" t="s">
        <v>206</v>
      </c>
      <c r="G529" s="217" t="s">
        <v>205</v>
      </c>
      <c r="H529" s="217" t="s">
        <v>1570</v>
      </c>
      <c r="I529" s="217" t="s">
        <v>674</v>
      </c>
      <c r="J529" s="217" t="s">
        <v>3252</v>
      </c>
      <c r="K529" s="217" t="s">
        <v>3253</v>
      </c>
      <c r="L529" s="217">
        <v>0</v>
      </c>
      <c r="M529" s="217">
        <v>0</v>
      </c>
      <c r="N529" s="217">
        <v>0</v>
      </c>
      <c r="O529" s="217">
        <v>0</v>
      </c>
      <c r="P529" s="217">
        <v>190</v>
      </c>
      <c r="Q529" s="217">
        <v>27</v>
      </c>
      <c r="R529" s="217" t="s">
        <v>1807</v>
      </c>
    </row>
    <row r="530" spans="1:18" x14ac:dyDescent="0.25">
      <c r="A530" s="217">
        <v>529</v>
      </c>
      <c r="B530" s="217" t="s">
        <v>22</v>
      </c>
      <c r="C530" s="217" t="s">
        <v>23</v>
      </c>
      <c r="D530" s="217" t="s">
        <v>184</v>
      </c>
      <c r="E530" s="217" t="s">
        <v>183</v>
      </c>
      <c r="F530" s="217" t="s">
        <v>206</v>
      </c>
      <c r="G530" s="217" t="s">
        <v>205</v>
      </c>
      <c r="H530" s="217" t="s">
        <v>1340</v>
      </c>
      <c r="I530" s="217" t="s">
        <v>484</v>
      </c>
      <c r="J530" s="217" t="s">
        <v>3254</v>
      </c>
      <c r="K530" s="217" t="s">
        <v>3255</v>
      </c>
      <c r="L530" s="217">
        <v>15</v>
      </c>
      <c r="M530" s="217">
        <v>2</v>
      </c>
      <c r="N530" s="217">
        <v>0</v>
      </c>
      <c r="O530" s="217">
        <v>0</v>
      </c>
      <c r="P530" s="217">
        <v>280</v>
      </c>
      <c r="Q530" s="217">
        <v>45</v>
      </c>
      <c r="R530" s="217" t="s">
        <v>1807</v>
      </c>
    </row>
    <row r="531" spans="1:18" x14ac:dyDescent="0.25">
      <c r="A531" s="217">
        <v>530</v>
      </c>
      <c r="B531" s="217" t="s">
        <v>22</v>
      </c>
      <c r="C531" s="217" t="s">
        <v>23</v>
      </c>
      <c r="D531" s="217" t="s">
        <v>184</v>
      </c>
      <c r="E531" s="217" t="s">
        <v>183</v>
      </c>
      <c r="F531" s="217" t="s">
        <v>206</v>
      </c>
      <c r="G531" s="217" t="s">
        <v>205</v>
      </c>
      <c r="H531" s="217" t="s">
        <v>1341</v>
      </c>
      <c r="I531" s="217" t="s">
        <v>211</v>
      </c>
      <c r="J531" s="217" t="s">
        <v>3256</v>
      </c>
      <c r="K531" s="217" t="s">
        <v>3257</v>
      </c>
      <c r="L531" s="217">
        <v>38</v>
      </c>
      <c r="M531" s="217">
        <v>6</v>
      </c>
      <c r="N531" s="217">
        <v>0</v>
      </c>
      <c r="O531" s="217">
        <v>0</v>
      </c>
      <c r="P531" s="217">
        <v>107</v>
      </c>
      <c r="Q531" s="217">
        <v>15</v>
      </c>
      <c r="R531" s="217" t="s">
        <v>1807</v>
      </c>
    </row>
    <row r="532" spans="1:18" x14ac:dyDescent="0.25">
      <c r="A532" s="217">
        <v>531</v>
      </c>
      <c r="B532" s="217" t="s">
        <v>22</v>
      </c>
      <c r="C532" s="217" t="s">
        <v>23</v>
      </c>
      <c r="D532" s="217" t="s">
        <v>184</v>
      </c>
      <c r="E532" s="217" t="s">
        <v>183</v>
      </c>
      <c r="F532" s="217" t="s">
        <v>206</v>
      </c>
      <c r="G532" s="217" t="s">
        <v>205</v>
      </c>
      <c r="H532" s="217" t="s">
        <v>1571</v>
      </c>
      <c r="I532" s="217" t="s">
        <v>675</v>
      </c>
      <c r="J532" s="217" t="s">
        <v>3258</v>
      </c>
      <c r="K532" s="217" t="s">
        <v>3259</v>
      </c>
      <c r="L532" s="217">
        <v>0</v>
      </c>
      <c r="M532" s="217">
        <v>0</v>
      </c>
      <c r="N532" s="217">
        <v>0</v>
      </c>
      <c r="O532" s="217">
        <v>0</v>
      </c>
      <c r="P532" s="217">
        <v>102</v>
      </c>
      <c r="Q532" s="217">
        <v>13</v>
      </c>
      <c r="R532" s="217" t="s">
        <v>1807</v>
      </c>
    </row>
    <row r="533" spans="1:18" x14ac:dyDescent="0.25">
      <c r="A533" s="217">
        <v>532</v>
      </c>
      <c r="B533" s="217" t="s">
        <v>22</v>
      </c>
      <c r="C533" s="217" t="s">
        <v>23</v>
      </c>
      <c r="D533" s="217" t="s">
        <v>184</v>
      </c>
      <c r="E533" s="217" t="s">
        <v>183</v>
      </c>
      <c r="F533" s="217" t="s">
        <v>215</v>
      </c>
      <c r="G533" s="217" t="s">
        <v>214</v>
      </c>
      <c r="H533" s="217" t="s">
        <v>1342</v>
      </c>
      <c r="I533" s="217" t="s">
        <v>216</v>
      </c>
      <c r="J533" s="217" t="s">
        <v>3260</v>
      </c>
      <c r="K533" s="217" t="s">
        <v>3261</v>
      </c>
      <c r="L533" s="217">
        <v>190</v>
      </c>
      <c r="M533" s="217">
        <v>36</v>
      </c>
      <c r="N533" s="217">
        <v>0</v>
      </c>
      <c r="O533" s="217">
        <v>0</v>
      </c>
      <c r="P533" s="217">
        <v>13</v>
      </c>
      <c r="Q533" s="217">
        <v>2</v>
      </c>
      <c r="R533" s="217" t="s">
        <v>1807</v>
      </c>
    </row>
    <row r="534" spans="1:18" x14ac:dyDescent="0.25">
      <c r="A534" s="217">
        <v>533</v>
      </c>
      <c r="B534" s="217" t="s">
        <v>22</v>
      </c>
      <c r="C534" s="217" t="s">
        <v>23</v>
      </c>
      <c r="D534" s="217" t="s">
        <v>184</v>
      </c>
      <c r="E534" s="217" t="s">
        <v>183</v>
      </c>
      <c r="F534" s="217" t="s">
        <v>215</v>
      </c>
      <c r="G534" s="217" t="s">
        <v>214</v>
      </c>
      <c r="H534" s="217" t="s">
        <v>1343</v>
      </c>
      <c r="I534" s="217" t="s">
        <v>485</v>
      </c>
      <c r="J534" s="217" t="s">
        <v>3262</v>
      </c>
      <c r="K534" s="217" t="s">
        <v>3263</v>
      </c>
      <c r="L534" s="217">
        <v>1528</v>
      </c>
      <c r="M534" s="217">
        <v>102</v>
      </c>
      <c r="N534" s="217">
        <v>0</v>
      </c>
      <c r="O534" s="217">
        <v>0</v>
      </c>
      <c r="P534" s="217">
        <v>0</v>
      </c>
      <c r="Q534" s="217">
        <v>0</v>
      </c>
      <c r="R534" s="217" t="s">
        <v>1807</v>
      </c>
    </row>
    <row r="535" spans="1:18" x14ac:dyDescent="0.25">
      <c r="A535" s="217">
        <v>534</v>
      </c>
      <c r="B535" s="217" t="s">
        <v>22</v>
      </c>
      <c r="C535" s="217" t="s">
        <v>23</v>
      </c>
      <c r="D535" s="217" t="s">
        <v>184</v>
      </c>
      <c r="E535" s="217" t="s">
        <v>183</v>
      </c>
      <c r="F535" s="217" t="s">
        <v>215</v>
      </c>
      <c r="G535" s="217" t="s">
        <v>214</v>
      </c>
      <c r="H535" s="217" t="s">
        <v>1344</v>
      </c>
      <c r="I535" s="217" t="s">
        <v>486</v>
      </c>
      <c r="J535" s="217" t="s">
        <v>3264</v>
      </c>
      <c r="K535" s="217" t="s">
        <v>3265</v>
      </c>
      <c r="L535" s="217">
        <v>578</v>
      </c>
      <c r="M535" s="217">
        <v>68</v>
      </c>
      <c r="N535" s="217">
        <v>0</v>
      </c>
      <c r="O535" s="217">
        <v>0</v>
      </c>
      <c r="P535" s="217">
        <v>0</v>
      </c>
      <c r="Q535" s="217">
        <v>0</v>
      </c>
      <c r="R535" s="217" t="s">
        <v>1807</v>
      </c>
    </row>
    <row r="536" spans="1:18" x14ac:dyDescent="0.25">
      <c r="A536" s="217">
        <v>535</v>
      </c>
      <c r="B536" s="217" t="s">
        <v>22</v>
      </c>
      <c r="C536" s="217" t="s">
        <v>23</v>
      </c>
      <c r="D536" s="217" t="s">
        <v>184</v>
      </c>
      <c r="E536" s="217" t="s">
        <v>183</v>
      </c>
      <c r="F536" s="217" t="s">
        <v>215</v>
      </c>
      <c r="G536" s="217" t="s">
        <v>214</v>
      </c>
      <c r="H536" s="217" t="s">
        <v>1345</v>
      </c>
      <c r="I536" s="217" t="s">
        <v>487</v>
      </c>
      <c r="J536" s="217" t="s">
        <v>3266</v>
      </c>
      <c r="K536" s="217" t="s">
        <v>3267</v>
      </c>
      <c r="L536" s="217">
        <v>364</v>
      </c>
      <c r="M536" s="217">
        <v>52</v>
      </c>
      <c r="N536" s="217">
        <v>0</v>
      </c>
      <c r="O536" s="217">
        <v>0</v>
      </c>
      <c r="P536" s="217">
        <v>4</v>
      </c>
      <c r="Q536" s="217">
        <v>1</v>
      </c>
      <c r="R536" s="217" t="s">
        <v>1807</v>
      </c>
    </row>
    <row r="537" spans="1:18" x14ac:dyDescent="0.25">
      <c r="A537" s="217">
        <v>536</v>
      </c>
      <c r="B537" s="217" t="s">
        <v>22</v>
      </c>
      <c r="C537" s="217" t="s">
        <v>23</v>
      </c>
      <c r="D537" s="217" t="s">
        <v>184</v>
      </c>
      <c r="E537" s="217" t="s">
        <v>183</v>
      </c>
      <c r="F537" s="217" t="s">
        <v>215</v>
      </c>
      <c r="G537" s="217" t="s">
        <v>214</v>
      </c>
      <c r="H537" s="217" t="s">
        <v>1346</v>
      </c>
      <c r="I537" s="217" t="s">
        <v>488</v>
      </c>
      <c r="J537" s="217" t="s">
        <v>3268</v>
      </c>
      <c r="K537" s="217" t="s">
        <v>3269</v>
      </c>
      <c r="L537" s="217">
        <v>2417</v>
      </c>
      <c r="M537" s="217">
        <v>324</v>
      </c>
      <c r="N537" s="217">
        <v>0</v>
      </c>
      <c r="O537" s="217">
        <v>0</v>
      </c>
      <c r="P537" s="217">
        <v>0</v>
      </c>
      <c r="Q537" s="217">
        <v>0</v>
      </c>
      <c r="R537" s="217" t="s">
        <v>1807</v>
      </c>
    </row>
    <row r="538" spans="1:18" x14ac:dyDescent="0.25">
      <c r="A538" s="217">
        <v>537</v>
      </c>
      <c r="B538" s="217" t="s">
        <v>22</v>
      </c>
      <c r="C538" s="217" t="s">
        <v>23</v>
      </c>
      <c r="D538" s="217" t="s">
        <v>184</v>
      </c>
      <c r="E538" s="217" t="s">
        <v>183</v>
      </c>
      <c r="F538" s="217" t="s">
        <v>215</v>
      </c>
      <c r="G538" s="217" t="s">
        <v>214</v>
      </c>
      <c r="H538" s="217" t="s">
        <v>1347</v>
      </c>
      <c r="I538" s="217" t="s">
        <v>1838</v>
      </c>
      <c r="J538" s="217" t="s">
        <v>3270</v>
      </c>
      <c r="K538" s="217" t="s">
        <v>3271</v>
      </c>
      <c r="L538" s="217">
        <v>179</v>
      </c>
      <c r="M538" s="217">
        <v>33</v>
      </c>
      <c r="N538" s="217">
        <v>0</v>
      </c>
      <c r="O538" s="217">
        <v>0</v>
      </c>
      <c r="P538" s="217">
        <v>352</v>
      </c>
      <c r="Q538" s="217">
        <v>56</v>
      </c>
      <c r="R538" s="217" t="s">
        <v>1807</v>
      </c>
    </row>
    <row r="539" spans="1:18" x14ac:dyDescent="0.25">
      <c r="A539" s="217">
        <v>538</v>
      </c>
      <c r="B539" s="217" t="s">
        <v>22</v>
      </c>
      <c r="C539" s="217" t="s">
        <v>23</v>
      </c>
      <c r="D539" s="217" t="s">
        <v>184</v>
      </c>
      <c r="E539" s="217" t="s">
        <v>183</v>
      </c>
      <c r="F539" s="217" t="s">
        <v>213</v>
      </c>
      <c r="G539" s="217" t="s">
        <v>212</v>
      </c>
      <c r="H539" s="217" t="s">
        <v>1348</v>
      </c>
      <c r="I539" s="217" t="s">
        <v>489</v>
      </c>
      <c r="J539" s="217" t="s">
        <v>3272</v>
      </c>
      <c r="K539" s="217" t="s">
        <v>3273</v>
      </c>
      <c r="L539" s="217">
        <v>1200</v>
      </c>
      <c r="M539" s="217">
        <v>262</v>
      </c>
      <c r="N539" s="217">
        <v>0</v>
      </c>
      <c r="O539" s="217">
        <v>0</v>
      </c>
      <c r="P539" s="217">
        <v>0</v>
      </c>
      <c r="Q539" s="217">
        <v>0</v>
      </c>
      <c r="R539" s="217" t="s">
        <v>1807</v>
      </c>
    </row>
    <row r="540" spans="1:18" x14ac:dyDescent="0.25">
      <c r="A540" s="217">
        <v>539</v>
      </c>
      <c r="B540" s="217" t="s">
        <v>22</v>
      </c>
      <c r="C540" s="217" t="s">
        <v>23</v>
      </c>
      <c r="D540" s="217" t="s">
        <v>184</v>
      </c>
      <c r="E540" s="217" t="s">
        <v>183</v>
      </c>
      <c r="F540" s="217" t="s">
        <v>213</v>
      </c>
      <c r="G540" s="217" t="s">
        <v>212</v>
      </c>
      <c r="H540" s="217" t="s">
        <v>2031</v>
      </c>
      <c r="I540" s="217" t="s">
        <v>2032</v>
      </c>
      <c r="J540" s="217" t="s">
        <v>3274</v>
      </c>
      <c r="K540" s="217" t="s">
        <v>3275</v>
      </c>
      <c r="L540" s="217">
        <v>60</v>
      </c>
      <c r="M540" s="217">
        <v>12</v>
      </c>
      <c r="N540" s="217">
        <v>0</v>
      </c>
      <c r="O540" s="217">
        <v>0</v>
      </c>
      <c r="P540" s="217">
        <v>450</v>
      </c>
      <c r="Q540" s="217">
        <v>90</v>
      </c>
      <c r="R540" s="217" t="s">
        <v>1807</v>
      </c>
    </row>
    <row r="541" spans="1:18" x14ac:dyDescent="0.25">
      <c r="A541" s="217">
        <v>540</v>
      </c>
      <c r="B541" s="217" t="s">
        <v>22</v>
      </c>
      <c r="C541" s="217" t="s">
        <v>23</v>
      </c>
      <c r="D541" s="217" t="s">
        <v>184</v>
      </c>
      <c r="E541" s="217" t="s">
        <v>183</v>
      </c>
      <c r="F541" s="217" t="s">
        <v>213</v>
      </c>
      <c r="G541" s="217" t="s">
        <v>212</v>
      </c>
      <c r="H541" s="217" t="s">
        <v>2033</v>
      </c>
      <c r="I541" s="217" t="s">
        <v>2034</v>
      </c>
      <c r="J541" s="217" t="s">
        <v>3276</v>
      </c>
      <c r="K541" s="217" t="s">
        <v>3277</v>
      </c>
      <c r="L541" s="217">
        <v>50</v>
      </c>
      <c r="M541" s="217">
        <v>10</v>
      </c>
      <c r="N541" s="217">
        <v>0</v>
      </c>
      <c r="O541" s="217">
        <v>0</v>
      </c>
      <c r="P541" s="217">
        <v>350</v>
      </c>
      <c r="Q541" s="217">
        <v>70</v>
      </c>
      <c r="R541" s="217" t="s">
        <v>1807</v>
      </c>
    </row>
    <row r="542" spans="1:18" x14ac:dyDescent="0.25">
      <c r="A542" s="217">
        <v>541</v>
      </c>
      <c r="B542" s="217" t="s">
        <v>22</v>
      </c>
      <c r="C542" s="217" t="s">
        <v>23</v>
      </c>
      <c r="D542" s="217" t="s">
        <v>218</v>
      </c>
      <c r="E542" s="217" t="s">
        <v>217</v>
      </c>
      <c r="F542" s="217" t="s">
        <v>676</v>
      </c>
      <c r="G542" s="217" t="s">
        <v>677</v>
      </c>
      <c r="H542" s="217" t="s">
        <v>1572</v>
      </c>
      <c r="I542" s="217" t="s">
        <v>678</v>
      </c>
      <c r="J542" s="217" t="s">
        <v>3278</v>
      </c>
      <c r="K542" s="217" t="s">
        <v>3279</v>
      </c>
      <c r="L542" s="217">
        <v>0</v>
      </c>
      <c r="M542" s="217">
        <v>0</v>
      </c>
      <c r="N542" s="217">
        <v>0</v>
      </c>
      <c r="O542" s="217">
        <v>0</v>
      </c>
      <c r="P542" s="217">
        <v>6</v>
      </c>
      <c r="Q542" s="217">
        <v>1</v>
      </c>
      <c r="R542" s="217" t="s">
        <v>1807</v>
      </c>
    </row>
    <row r="543" spans="1:18" x14ac:dyDescent="0.25">
      <c r="A543" s="217">
        <v>542</v>
      </c>
      <c r="B543" s="217" t="s">
        <v>22</v>
      </c>
      <c r="C543" s="217" t="s">
        <v>23</v>
      </c>
      <c r="D543" s="217" t="s">
        <v>218</v>
      </c>
      <c r="E543" s="217" t="s">
        <v>217</v>
      </c>
      <c r="F543" s="217" t="s">
        <v>676</v>
      </c>
      <c r="G543" s="217" t="s">
        <v>677</v>
      </c>
      <c r="H543" s="217" t="s">
        <v>1573</v>
      </c>
      <c r="I543" s="217" t="s">
        <v>679</v>
      </c>
      <c r="J543" s="217" t="s">
        <v>3280</v>
      </c>
      <c r="K543" s="217" t="s">
        <v>3281</v>
      </c>
      <c r="L543" s="217">
        <v>0</v>
      </c>
      <c r="M543" s="217">
        <v>0</v>
      </c>
      <c r="N543" s="217">
        <v>0</v>
      </c>
      <c r="O543" s="217">
        <v>0</v>
      </c>
      <c r="P543" s="217">
        <v>4</v>
      </c>
      <c r="Q543" s="217">
        <v>1</v>
      </c>
      <c r="R543" s="217" t="s">
        <v>1807</v>
      </c>
    </row>
    <row r="544" spans="1:18" x14ac:dyDescent="0.25">
      <c r="A544" s="217">
        <v>543</v>
      </c>
      <c r="B544" s="217" t="s">
        <v>22</v>
      </c>
      <c r="C544" s="217" t="s">
        <v>23</v>
      </c>
      <c r="D544" s="217" t="s">
        <v>218</v>
      </c>
      <c r="E544" s="217" t="s">
        <v>217</v>
      </c>
      <c r="F544" s="217" t="s">
        <v>676</v>
      </c>
      <c r="G544" s="217" t="s">
        <v>677</v>
      </c>
      <c r="H544" s="217" t="s">
        <v>1574</v>
      </c>
      <c r="I544" s="217" t="s">
        <v>680</v>
      </c>
      <c r="J544" s="217" t="s">
        <v>3282</v>
      </c>
      <c r="K544" s="217" t="s">
        <v>3283</v>
      </c>
      <c r="L544" s="217">
        <v>0</v>
      </c>
      <c r="M544" s="217">
        <v>0</v>
      </c>
      <c r="N544" s="217">
        <v>0</v>
      </c>
      <c r="O544" s="217">
        <v>0</v>
      </c>
      <c r="P544" s="217">
        <v>42</v>
      </c>
      <c r="Q544" s="217">
        <v>2</v>
      </c>
      <c r="R544" s="217" t="s">
        <v>1807</v>
      </c>
    </row>
    <row r="545" spans="1:18" x14ac:dyDescent="0.25">
      <c r="A545" s="217">
        <v>544</v>
      </c>
      <c r="B545" s="217" t="s">
        <v>22</v>
      </c>
      <c r="C545" s="217" t="s">
        <v>23</v>
      </c>
      <c r="D545" s="217" t="s">
        <v>218</v>
      </c>
      <c r="E545" s="217" t="s">
        <v>217</v>
      </c>
      <c r="F545" s="217" t="s">
        <v>676</v>
      </c>
      <c r="G545" s="217" t="s">
        <v>677</v>
      </c>
      <c r="H545" s="217" t="s">
        <v>1575</v>
      </c>
      <c r="I545" s="217" t="s">
        <v>681</v>
      </c>
      <c r="J545" s="217" t="s">
        <v>3284</v>
      </c>
      <c r="K545" s="217" t="s">
        <v>3285</v>
      </c>
      <c r="L545" s="217">
        <v>0</v>
      </c>
      <c r="M545" s="217">
        <v>0</v>
      </c>
      <c r="N545" s="217">
        <v>0</v>
      </c>
      <c r="O545" s="217">
        <v>0</v>
      </c>
      <c r="P545" s="217">
        <v>24</v>
      </c>
      <c r="Q545" s="217">
        <v>2</v>
      </c>
      <c r="R545" s="217" t="s">
        <v>1807</v>
      </c>
    </row>
    <row r="546" spans="1:18" x14ac:dyDescent="0.25">
      <c r="A546" s="217">
        <v>545</v>
      </c>
      <c r="B546" s="217" t="s">
        <v>22</v>
      </c>
      <c r="C546" s="217" t="s">
        <v>23</v>
      </c>
      <c r="D546" s="217" t="s">
        <v>218</v>
      </c>
      <c r="E546" s="217" t="s">
        <v>217</v>
      </c>
      <c r="F546" s="217" t="s">
        <v>676</v>
      </c>
      <c r="G546" s="217" t="s">
        <v>677</v>
      </c>
      <c r="H546" s="217" t="s">
        <v>1576</v>
      </c>
      <c r="I546" s="217" t="s">
        <v>682</v>
      </c>
      <c r="J546" s="217" t="s">
        <v>3286</v>
      </c>
      <c r="K546" s="217" t="s">
        <v>3287</v>
      </c>
      <c r="L546" s="217">
        <v>0</v>
      </c>
      <c r="M546" s="217">
        <v>0</v>
      </c>
      <c r="N546" s="217">
        <v>0</v>
      </c>
      <c r="O546" s="217">
        <v>0</v>
      </c>
      <c r="P546" s="217">
        <v>6</v>
      </c>
      <c r="Q546" s="217">
        <v>1</v>
      </c>
      <c r="R546" s="217" t="s">
        <v>1807</v>
      </c>
    </row>
    <row r="547" spans="1:18" x14ac:dyDescent="0.25">
      <c r="A547" s="217">
        <v>546</v>
      </c>
      <c r="B547" s="217" t="s">
        <v>22</v>
      </c>
      <c r="C547" s="217" t="s">
        <v>23</v>
      </c>
      <c r="D547" s="217" t="s">
        <v>218</v>
      </c>
      <c r="E547" s="217" t="s">
        <v>217</v>
      </c>
      <c r="F547" s="217" t="s">
        <v>224</v>
      </c>
      <c r="G547" s="217" t="s">
        <v>223</v>
      </c>
      <c r="H547" s="217" t="s">
        <v>1349</v>
      </c>
      <c r="I547" s="217" t="s">
        <v>490</v>
      </c>
      <c r="J547" s="217" t="s">
        <v>3288</v>
      </c>
      <c r="K547" s="217" t="s">
        <v>3289</v>
      </c>
      <c r="L547" s="217">
        <v>0</v>
      </c>
      <c r="M547" s="217">
        <v>0</v>
      </c>
      <c r="N547" s="217">
        <v>0</v>
      </c>
      <c r="O547" s="217">
        <v>0</v>
      </c>
      <c r="P547" s="217">
        <v>24</v>
      </c>
      <c r="Q547" s="217">
        <v>4</v>
      </c>
      <c r="R547" s="217" t="s">
        <v>1807</v>
      </c>
    </row>
    <row r="548" spans="1:18" x14ac:dyDescent="0.25">
      <c r="A548" s="217">
        <v>547</v>
      </c>
      <c r="B548" s="217" t="s">
        <v>22</v>
      </c>
      <c r="C548" s="217" t="s">
        <v>23</v>
      </c>
      <c r="D548" s="217" t="s">
        <v>218</v>
      </c>
      <c r="E548" s="217" t="s">
        <v>217</v>
      </c>
      <c r="F548" s="217" t="s">
        <v>224</v>
      </c>
      <c r="G548" s="217" t="s">
        <v>223</v>
      </c>
      <c r="H548" s="217" t="s">
        <v>1350</v>
      </c>
      <c r="I548" s="217" t="s">
        <v>491</v>
      </c>
      <c r="J548" s="217" t="s">
        <v>3290</v>
      </c>
      <c r="K548" s="217" t="s">
        <v>3291</v>
      </c>
      <c r="L548" s="217">
        <v>18</v>
      </c>
      <c r="M548" s="217">
        <v>2</v>
      </c>
      <c r="N548" s="217">
        <v>0</v>
      </c>
      <c r="O548" s="217">
        <v>0</v>
      </c>
      <c r="P548" s="217">
        <v>0</v>
      </c>
      <c r="Q548" s="217">
        <v>0</v>
      </c>
      <c r="R548" s="217" t="s">
        <v>1807</v>
      </c>
    </row>
    <row r="549" spans="1:18" x14ac:dyDescent="0.25">
      <c r="A549" s="217">
        <v>548</v>
      </c>
      <c r="B549" s="217" t="s">
        <v>22</v>
      </c>
      <c r="C549" s="217" t="s">
        <v>23</v>
      </c>
      <c r="D549" s="217" t="s">
        <v>218</v>
      </c>
      <c r="E549" s="217" t="s">
        <v>217</v>
      </c>
      <c r="F549" s="217" t="s">
        <v>224</v>
      </c>
      <c r="G549" s="217" t="s">
        <v>223</v>
      </c>
      <c r="H549" s="217" t="s">
        <v>1351</v>
      </c>
      <c r="I549" s="217" t="s">
        <v>492</v>
      </c>
      <c r="J549" s="217" t="s">
        <v>3292</v>
      </c>
      <c r="K549" s="217" t="s">
        <v>3293</v>
      </c>
      <c r="L549" s="217">
        <v>0</v>
      </c>
      <c r="M549" s="217">
        <v>0</v>
      </c>
      <c r="N549" s="217">
        <v>0</v>
      </c>
      <c r="O549" s="217">
        <v>0</v>
      </c>
      <c r="P549" s="217">
        <v>58</v>
      </c>
      <c r="Q549" s="217">
        <v>4</v>
      </c>
      <c r="R549" s="217" t="s">
        <v>1807</v>
      </c>
    </row>
    <row r="550" spans="1:18" x14ac:dyDescent="0.25">
      <c r="A550" s="217">
        <v>549</v>
      </c>
      <c r="B550" s="217" t="s">
        <v>22</v>
      </c>
      <c r="C550" s="217" t="s">
        <v>23</v>
      </c>
      <c r="D550" s="217" t="s">
        <v>218</v>
      </c>
      <c r="E550" s="217" t="s">
        <v>217</v>
      </c>
      <c r="F550" s="217" t="s">
        <v>224</v>
      </c>
      <c r="G550" s="217" t="s">
        <v>223</v>
      </c>
      <c r="H550" s="217" t="s">
        <v>1352</v>
      </c>
      <c r="I550" s="217" t="s">
        <v>493</v>
      </c>
      <c r="J550" s="217" t="s">
        <v>3294</v>
      </c>
      <c r="K550" s="217" t="s">
        <v>3295</v>
      </c>
      <c r="L550" s="217">
        <v>37</v>
      </c>
      <c r="M550" s="217">
        <v>6</v>
      </c>
      <c r="N550" s="217">
        <v>0</v>
      </c>
      <c r="O550" s="217">
        <v>0</v>
      </c>
      <c r="P550" s="217">
        <v>5</v>
      </c>
      <c r="Q550" s="217">
        <v>1</v>
      </c>
      <c r="R550" s="217" t="s">
        <v>1807</v>
      </c>
    </row>
    <row r="551" spans="1:18" x14ac:dyDescent="0.25">
      <c r="A551" s="217">
        <v>550</v>
      </c>
      <c r="B551" s="217" t="s">
        <v>22</v>
      </c>
      <c r="C551" s="217" t="s">
        <v>23</v>
      </c>
      <c r="D551" s="217" t="s">
        <v>218</v>
      </c>
      <c r="E551" s="217" t="s">
        <v>217</v>
      </c>
      <c r="F551" s="217" t="s">
        <v>224</v>
      </c>
      <c r="G551" s="217" t="s">
        <v>223</v>
      </c>
      <c r="H551" s="217" t="s">
        <v>1353</v>
      </c>
      <c r="I551" s="217" t="s">
        <v>494</v>
      </c>
      <c r="J551" s="217" t="s">
        <v>3296</v>
      </c>
      <c r="K551" s="217" t="s">
        <v>3297</v>
      </c>
      <c r="L551" s="217">
        <v>22</v>
      </c>
      <c r="M551" s="217">
        <v>4</v>
      </c>
      <c r="N551" s="217">
        <v>0</v>
      </c>
      <c r="O551" s="217">
        <v>0</v>
      </c>
      <c r="P551" s="217">
        <v>0</v>
      </c>
      <c r="Q551" s="217">
        <v>0</v>
      </c>
      <c r="R551" s="217" t="s">
        <v>1807</v>
      </c>
    </row>
    <row r="552" spans="1:18" x14ac:dyDescent="0.25">
      <c r="A552" s="217">
        <v>551</v>
      </c>
      <c r="B552" s="217" t="s">
        <v>22</v>
      </c>
      <c r="C552" s="217" t="s">
        <v>23</v>
      </c>
      <c r="D552" s="217" t="s">
        <v>218</v>
      </c>
      <c r="E552" s="217" t="s">
        <v>217</v>
      </c>
      <c r="F552" s="217" t="s">
        <v>224</v>
      </c>
      <c r="G552" s="217" t="s">
        <v>223</v>
      </c>
      <c r="H552" s="217" t="s">
        <v>1354</v>
      </c>
      <c r="I552" s="217" t="s">
        <v>495</v>
      </c>
      <c r="J552" s="217" t="s">
        <v>3298</v>
      </c>
      <c r="K552" s="217" t="s">
        <v>3299</v>
      </c>
      <c r="L552" s="217">
        <v>0</v>
      </c>
      <c r="M552" s="217">
        <v>0</v>
      </c>
      <c r="N552" s="217">
        <v>0</v>
      </c>
      <c r="O552" s="217">
        <v>0</v>
      </c>
      <c r="P552" s="217">
        <v>6</v>
      </c>
      <c r="Q552" s="217">
        <v>1</v>
      </c>
      <c r="R552" s="217" t="s">
        <v>1807</v>
      </c>
    </row>
    <row r="553" spans="1:18" x14ac:dyDescent="0.25">
      <c r="A553" s="217">
        <v>552</v>
      </c>
      <c r="B553" s="217" t="s">
        <v>22</v>
      </c>
      <c r="C553" s="217" t="s">
        <v>23</v>
      </c>
      <c r="D553" s="217" t="s">
        <v>218</v>
      </c>
      <c r="E553" s="217" t="s">
        <v>217</v>
      </c>
      <c r="F553" s="217" t="s">
        <v>224</v>
      </c>
      <c r="G553" s="217" t="s">
        <v>223</v>
      </c>
      <c r="H553" s="217" t="s">
        <v>1355</v>
      </c>
      <c r="I553" s="217" t="s">
        <v>496</v>
      </c>
      <c r="J553" s="217" t="s">
        <v>3300</v>
      </c>
      <c r="K553" s="217" t="s">
        <v>3301</v>
      </c>
      <c r="L553" s="217">
        <v>0</v>
      </c>
      <c r="M553" s="217">
        <v>0</v>
      </c>
      <c r="N553" s="217">
        <v>0</v>
      </c>
      <c r="O553" s="217">
        <v>0</v>
      </c>
      <c r="P553" s="217">
        <v>22</v>
      </c>
      <c r="Q553" s="217">
        <v>3</v>
      </c>
      <c r="R553" s="217" t="s">
        <v>1807</v>
      </c>
    </row>
    <row r="554" spans="1:18" x14ac:dyDescent="0.25">
      <c r="A554" s="217">
        <v>553</v>
      </c>
      <c r="B554" s="217" t="s">
        <v>22</v>
      </c>
      <c r="C554" s="217" t="s">
        <v>23</v>
      </c>
      <c r="D554" s="217" t="s">
        <v>218</v>
      </c>
      <c r="E554" s="217" t="s">
        <v>217</v>
      </c>
      <c r="F554" s="217" t="s">
        <v>220</v>
      </c>
      <c r="G554" s="217" t="s">
        <v>219</v>
      </c>
      <c r="H554" s="217" t="s">
        <v>1690</v>
      </c>
      <c r="I554" s="217" t="s">
        <v>221</v>
      </c>
      <c r="J554" s="217" t="s">
        <v>3302</v>
      </c>
      <c r="K554" s="217" t="s">
        <v>3303</v>
      </c>
      <c r="L554" s="217">
        <v>0</v>
      </c>
      <c r="M554" s="217">
        <v>0</v>
      </c>
      <c r="N554" s="217">
        <v>0</v>
      </c>
      <c r="O554" s="217">
        <v>0</v>
      </c>
      <c r="P554" s="217">
        <v>0</v>
      </c>
      <c r="Q554" s="217">
        <v>0</v>
      </c>
      <c r="R554" s="217" t="s">
        <v>1807</v>
      </c>
    </row>
    <row r="555" spans="1:18" x14ac:dyDescent="0.25">
      <c r="A555" s="217">
        <v>554</v>
      </c>
      <c r="B555" s="217" t="s">
        <v>22</v>
      </c>
      <c r="C555" s="217" t="s">
        <v>23</v>
      </c>
      <c r="D555" s="217" t="s">
        <v>218</v>
      </c>
      <c r="E555" s="217" t="s">
        <v>217</v>
      </c>
      <c r="F555" s="217" t="s">
        <v>220</v>
      </c>
      <c r="G555" s="217" t="s">
        <v>219</v>
      </c>
      <c r="H555" s="217" t="s">
        <v>1577</v>
      </c>
      <c r="I555" s="217" t="s">
        <v>222</v>
      </c>
      <c r="J555" s="217" t="s">
        <v>3304</v>
      </c>
      <c r="K555" s="217" t="s">
        <v>3305</v>
      </c>
      <c r="L555" s="217">
        <v>0</v>
      </c>
      <c r="M555" s="217">
        <v>0</v>
      </c>
      <c r="N555" s="217">
        <v>0</v>
      </c>
      <c r="O555" s="217">
        <v>0</v>
      </c>
      <c r="P555" s="217">
        <v>16</v>
      </c>
      <c r="Q555" s="217">
        <v>3</v>
      </c>
      <c r="R555" s="217" t="s">
        <v>1807</v>
      </c>
    </row>
    <row r="556" spans="1:18" x14ac:dyDescent="0.25">
      <c r="A556" s="217">
        <v>555</v>
      </c>
      <c r="B556" s="217" t="s">
        <v>22</v>
      </c>
      <c r="C556" s="217" t="s">
        <v>23</v>
      </c>
      <c r="D556" s="217" t="s">
        <v>218</v>
      </c>
      <c r="E556" s="217" t="s">
        <v>217</v>
      </c>
      <c r="F556" s="217" t="s">
        <v>220</v>
      </c>
      <c r="G556" s="217" t="s">
        <v>219</v>
      </c>
      <c r="H556" s="217" t="s">
        <v>1534</v>
      </c>
      <c r="I556" s="217" t="s">
        <v>225</v>
      </c>
      <c r="J556" s="217" t="s">
        <v>3306</v>
      </c>
      <c r="K556" s="217" t="s">
        <v>3307</v>
      </c>
      <c r="L556" s="217">
        <v>0</v>
      </c>
      <c r="M556" s="217">
        <v>0</v>
      </c>
      <c r="N556" s="217">
        <v>9</v>
      </c>
      <c r="O556" s="217">
        <v>2</v>
      </c>
      <c r="P556" s="217">
        <v>0</v>
      </c>
      <c r="Q556" s="217">
        <v>0</v>
      </c>
      <c r="R556" s="217" t="s">
        <v>1807</v>
      </c>
    </row>
    <row r="557" spans="1:18" x14ac:dyDescent="0.25">
      <c r="A557" s="217">
        <v>556</v>
      </c>
      <c r="B557" s="217" t="s">
        <v>22</v>
      </c>
      <c r="C557" s="217" t="s">
        <v>23</v>
      </c>
      <c r="D557" s="217" t="s">
        <v>218</v>
      </c>
      <c r="E557" s="217" t="s">
        <v>217</v>
      </c>
      <c r="F557" s="217" t="s">
        <v>220</v>
      </c>
      <c r="G557" s="217" t="s">
        <v>219</v>
      </c>
      <c r="H557" s="217" t="s">
        <v>1578</v>
      </c>
      <c r="I557" s="217" t="s">
        <v>226</v>
      </c>
      <c r="J557" s="217" t="s">
        <v>3308</v>
      </c>
      <c r="K557" s="217" t="s">
        <v>3309</v>
      </c>
      <c r="L557" s="217">
        <v>0</v>
      </c>
      <c r="M557" s="217">
        <v>0</v>
      </c>
      <c r="N557" s="217">
        <v>0</v>
      </c>
      <c r="O557" s="217">
        <v>0</v>
      </c>
      <c r="P557" s="217">
        <v>8</v>
      </c>
      <c r="Q557" s="217">
        <v>1</v>
      </c>
      <c r="R557" s="217" t="s">
        <v>1807</v>
      </c>
    </row>
    <row r="558" spans="1:18" x14ac:dyDescent="0.25">
      <c r="A558" s="217">
        <v>557</v>
      </c>
      <c r="B558" s="217" t="s">
        <v>22</v>
      </c>
      <c r="C558" s="217" t="s">
        <v>23</v>
      </c>
      <c r="D558" s="217" t="s">
        <v>218</v>
      </c>
      <c r="E558" s="217" t="s">
        <v>217</v>
      </c>
      <c r="F558" s="217" t="s">
        <v>220</v>
      </c>
      <c r="G558" s="217" t="s">
        <v>219</v>
      </c>
      <c r="H558" s="217" t="s">
        <v>1580</v>
      </c>
      <c r="I558" s="217" t="s">
        <v>1579</v>
      </c>
      <c r="J558" s="217" t="s">
        <v>3310</v>
      </c>
      <c r="K558" s="217" t="s">
        <v>3311</v>
      </c>
      <c r="L558" s="217">
        <v>0</v>
      </c>
      <c r="M558" s="217">
        <v>0</v>
      </c>
      <c r="N558" s="217">
        <v>0</v>
      </c>
      <c r="O558" s="217">
        <v>0</v>
      </c>
      <c r="P558" s="217">
        <v>13</v>
      </c>
      <c r="Q558" s="217">
        <v>4</v>
      </c>
      <c r="R558" s="217" t="s">
        <v>1807</v>
      </c>
    </row>
    <row r="559" spans="1:18" x14ac:dyDescent="0.25">
      <c r="A559" s="217">
        <v>558</v>
      </c>
      <c r="B559" s="217" t="s">
        <v>22</v>
      </c>
      <c r="C559" s="217" t="s">
        <v>23</v>
      </c>
      <c r="D559" s="217" t="s">
        <v>218</v>
      </c>
      <c r="E559" s="217" t="s">
        <v>217</v>
      </c>
      <c r="F559" s="217" t="s">
        <v>228</v>
      </c>
      <c r="G559" s="217" t="s">
        <v>227</v>
      </c>
      <c r="H559" s="217" t="s">
        <v>1581</v>
      </c>
      <c r="I559" s="217" t="s">
        <v>229</v>
      </c>
      <c r="J559" s="217" t="s">
        <v>3312</v>
      </c>
      <c r="K559" s="217" t="s">
        <v>3313</v>
      </c>
      <c r="L559" s="217">
        <v>0</v>
      </c>
      <c r="M559" s="217">
        <v>0</v>
      </c>
      <c r="N559" s="217">
        <v>0</v>
      </c>
      <c r="O559" s="217">
        <v>0</v>
      </c>
      <c r="P559" s="217">
        <v>357</v>
      </c>
      <c r="Q559" s="217">
        <v>64</v>
      </c>
      <c r="R559" s="217" t="s">
        <v>1807</v>
      </c>
    </row>
    <row r="560" spans="1:18" x14ac:dyDescent="0.25">
      <c r="A560" s="217">
        <v>559</v>
      </c>
      <c r="B560" s="217" t="s">
        <v>22</v>
      </c>
      <c r="C560" s="217" t="s">
        <v>23</v>
      </c>
      <c r="D560" s="217" t="s">
        <v>218</v>
      </c>
      <c r="E560" s="217" t="s">
        <v>217</v>
      </c>
      <c r="F560" s="217" t="s">
        <v>228</v>
      </c>
      <c r="G560" s="217" t="s">
        <v>227</v>
      </c>
      <c r="H560" s="217" t="s">
        <v>1582</v>
      </c>
      <c r="I560" s="217" t="s">
        <v>230</v>
      </c>
      <c r="J560" s="217" t="s">
        <v>3314</v>
      </c>
      <c r="K560" s="217" t="s">
        <v>3315</v>
      </c>
      <c r="L560" s="217">
        <v>0</v>
      </c>
      <c r="M560" s="217">
        <v>0</v>
      </c>
      <c r="N560" s="217">
        <v>0</v>
      </c>
      <c r="O560" s="217">
        <v>0</v>
      </c>
      <c r="P560" s="217">
        <v>72</v>
      </c>
      <c r="Q560" s="217">
        <v>15</v>
      </c>
      <c r="R560" s="217" t="s">
        <v>1807</v>
      </c>
    </row>
    <row r="561" spans="1:18" x14ac:dyDescent="0.25">
      <c r="A561" s="217">
        <v>560</v>
      </c>
      <c r="B561" s="217" t="s">
        <v>22</v>
      </c>
      <c r="C561" s="217" t="s">
        <v>23</v>
      </c>
      <c r="D561" s="217" t="s">
        <v>218</v>
      </c>
      <c r="E561" s="217" t="s">
        <v>217</v>
      </c>
      <c r="F561" s="217" t="s">
        <v>497</v>
      </c>
      <c r="G561" s="217" t="s">
        <v>498</v>
      </c>
      <c r="H561" s="217" t="s">
        <v>1535</v>
      </c>
      <c r="I561" s="217" t="s">
        <v>640</v>
      </c>
      <c r="J561" s="217" t="s">
        <v>3316</v>
      </c>
      <c r="K561" s="217" t="s">
        <v>3317</v>
      </c>
      <c r="L561" s="217">
        <v>0</v>
      </c>
      <c r="M561" s="217">
        <v>0</v>
      </c>
      <c r="N561" s="217">
        <v>11</v>
      </c>
      <c r="O561" s="217">
        <v>1</v>
      </c>
      <c r="P561" s="217">
        <v>0</v>
      </c>
      <c r="Q561" s="217">
        <v>0</v>
      </c>
      <c r="R561" s="217" t="s">
        <v>1807</v>
      </c>
    </row>
    <row r="562" spans="1:18" x14ac:dyDescent="0.25">
      <c r="A562" s="217">
        <v>561</v>
      </c>
      <c r="B562" s="217" t="s">
        <v>22</v>
      </c>
      <c r="C562" s="217" t="s">
        <v>23</v>
      </c>
      <c r="D562" s="217" t="s">
        <v>218</v>
      </c>
      <c r="E562" s="217" t="s">
        <v>217</v>
      </c>
      <c r="F562" s="217" t="s">
        <v>497</v>
      </c>
      <c r="G562" s="217" t="s">
        <v>498</v>
      </c>
      <c r="H562" s="217" t="s">
        <v>1356</v>
      </c>
      <c r="I562" s="217" t="s">
        <v>499</v>
      </c>
      <c r="J562" s="217" t="s">
        <v>3318</v>
      </c>
      <c r="K562" s="217" t="s">
        <v>3319</v>
      </c>
      <c r="L562" s="217">
        <v>16</v>
      </c>
      <c r="M562" s="217">
        <v>3</v>
      </c>
      <c r="N562" s="217">
        <v>0</v>
      </c>
      <c r="O562" s="217">
        <v>0</v>
      </c>
      <c r="P562" s="217">
        <v>0</v>
      </c>
      <c r="Q562" s="217">
        <v>0</v>
      </c>
      <c r="R562" s="217" t="s">
        <v>1807</v>
      </c>
    </row>
    <row r="563" spans="1:18" x14ac:dyDescent="0.25">
      <c r="A563" s="217">
        <v>562</v>
      </c>
      <c r="B563" s="217" t="s">
        <v>22</v>
      </c>
      <c r="C563" s="217" t="s">
        <v>23</v>
      </c>
      <c r="D563" s="217" t="s">
        <v>218</v>
      </c>
      <c r="E563" s="217" t="s">
        <v>217</v>
      </c>
      <c r="F563" s="217" t="s">
        <v>497</v>
      </c>
      <c r="G563" s="217" t="s">
        <v>498</v>
      </c>
      <c r="H563" s="217" t="s">
        <v>1357</v>
      </c>
      <c r="I563" s="217" t="s">
        <v>500</v>
      </c>
      <c r="J563" s="217" t="s">
        <v>3320</v>
      </c>
      <c r="K563" s="217" t="s">
        <v>3321</v>
      </c>
      <c r="L563" s="217">
        <v>36</v>
      </c>
      <c r="M563" s="217">
        <v>4</v>
      </c>
      <c r="N563" s="217">
        <v>0</v>
      </c>
      <c r="O563" s="217">
        <v>0</v>
      </c>
      <c r="P563" s="217">
        <v>4</v>
      </c>
      <c r="Q563" s="217">
        <v>1</v>
      </c>
      <c r="R563" s="217" t="s">
        <v>1807</v>
      </c>
    </row>
    <row r="564" spans="1:18" x14ac:dyDescent="0.25">
      <c r="A564" s="217">
        <v>563</v>
      </c>
      <c r="B564" s="217" t="s">
        <v>22</v>
      </c>
      <c r="C564" s="217" t="s">
        <v>23</v>
      </c>
      <c r="D564" s="217" t="s">
        <v>48</v>
      </c>
      <c r="E564" s="217" t="s">
        <v>47</v>
      </c>
      <c r="F564" s="217" t="s">
        <v>232</v>
      </c>
      <c r="G564" s="217" t="s">
        <v>231</v>
      </c>
      <c r="H564" s="217" t="s">
        <v>2017</v>
      </c>
      <c r="I564" s="217" t="s">
        <v>2016</v>
      </c>
      <c r="J564" s="217" t="s">
        <v>3322</v>
      </c>
      <c r="K564" s="217" t="s">
        <v>3323</v>
      </c>
      <c r="L564" s="217">
        <v>0</v>
      </c>
      <c r="M564" s="217">
        <v>0</v>
      </c>
      <c r="N564" s="217">
        <v>0</v>
      </c>
      <c r="O564" s="217">
        <v>0</v>
      </c>
      <c r="P564" s="217">
        <v>0</v>
      </c>
      <c r="Q564" s="217">
        <v>0</v>
      </c>
      <c r="R564" s="217" t="s">
        <v>1807</v>
      </c>
    </row>
    <row r="565" spans="1:18" x14ac:dyDescent="0.25">
      <c r="A565" s="217">
        <v>564</v>
      </c>
      <c r="B565" s="217" t="s">
        <v>22</v>
      </c>
      <c r="C565" s="217" t="s">
        <v>23</v>
      </c>
      <c r="D565" s="217" t="s">
        <v>48</v>
      </c>
      <c r="E565" s="217" t="s">
        <v>47</v>
      </c>
      <c r="F565" s="217" t="s">
        <v>232</v>
      </c>
      <c r="G565" s="217" t="s">
        <v>231</v>
      </c>
      <c r="H565" s="217" t="s">
        <v>1694</v>
      </c>
      <c r="I565" s="217" t="s">
        <v>709</v>
      </c>
      <c r="J565" s="217" t="s">
        <v>3324</v>
      </c>
      <c r="K565" s="217" t="s">
        <v>3325</v>
      </c>
      <c r="L565" s="217">
        <v>0</v>
      </c>
      <c r="M565" s="217">
        <v>0</v>
      </c>
      <c r="N565" s="217">
        <v>0</v>
      </c>
      <c r="O565" s="217">
        <v>0</v>
      </c>
      <c r="P565" s="217">
        <v>0</v>
      </c>
      <c r="Q565" s="217">
        <v>0</v>
      </c>
      <c r="R565" s="217" t="s">
        <v>1807</v>
      </c>
    </row>
    <row r="566" spans="1:18" x14ac:dyDescent="0.25">
      <c r="A566" s="217">
        <v>565</v>
      </c>
      <c r="B566" s="217" t="s">
        <v>22</v>
      </c>
      <c r="C566" s="217" t="s">
        <v>23</v>
      </c>
      <c r="D566" s="217" t="s">
        <v>48</v>
      </c>
      <c r="E566" s="217" t="s">
        <v>47</v>
      </c>
      <c r="F566" s="217" t="s">
        <v>232</v>
      </c>
      <c r="G566" s="217" t="s">
        <v>231</v>
      </c>
      <c r="H566" s="217" t="s">
        <v>1358</v>
      </c>
      <c r="I566" s="217" t="s">
        <v>233</v>
      </c>
      <c r="J566" s="217" t="s">
        <v>3326</v>
      </c>
      <c r="K566" s="217" t="s">
        <v>3327</v>
      </c>
      <c r="L566" s="217">
        <v>3888</v>
      </c>
      <c r="M566" s="217">
        <v>566</v>
      </c>
      <c r="N566" s="217">
        <v>0</v>
      </c>
      <c r="O566" s="217">
        <v>0</v>
      </c>
      <c r="P566" s="217">
        <v>7967</v>
      </c>
      <c r="Q566" s="217">
        <v>1098</v>
      </c>
      <c r="R566" s="217" t="s">
        <v>1807</v>
      </c>
    </row>
    <row r="567" spans="1:18" x14ac:dyDescent="0.25">
      <c r="A567" s="217">
        <v>566</v>
      </c>
      <c r="B567" s="217" t="s">
        <v>22</v>
      </c>
      <c r="C567" s="217" t="s">
        <v>23</v>
      </c>
      <c r="D567" s="217" t="s">
        <v>48</v>
      </c>
      <c r="E567" s="217" t="s">
        <v>47</v>
      </c>
      <c r="F567" s="217" t="s">
        <v>232</v>
      </c>
      <c r="G567" s="217" t="s">
        <v>231</v>
      </c>
      <c r="H567" s="217" t="s">
        <v>1695</v>
      </c>
      <c r="I567" s="217" t="s">
        <v>501</v>
      </c>
      <c r="J567" s="217" t="s">
        <v>3328</v>
      </c>
      <c r="K567" s="217" t="s">
        <v>3329</v>
      </c>
      <c r="L567" s="217">
        <v>0</v>
      </c>
      <c r="M567" s="217">
        <v>0</v>
      </c>
      <c r="N567" s="217">
        <v>0</v>
      </c>
      <c r="O567" s="217">
        <v>0</v>
      </c>
      <c r="P567" s="217">
        <v>0</v>
      </c>
      <c r="Q567" s="217">
        <v>0</v>
      </c>
      <c r="R567" s="217" t="s">
        <v>1807</v>
      </c>
    </row>
    <row r="568" spans="1:18" x14ac:dyDescent="0.25">
      <c r="A568" s="217">
        <v>567</v>
      </c>
      <c r="B568" s="217" t="s">
        <v>22</v>
      </c>
      <c r="C568" s="217" t="s">
        <v>23</v>
      </c>
      <c r="D568" s="217" t="s">
        <v>48</v>
      </c>
      <c r="E568" s="217" t="s">
        <v>47</v>
      </c>
      <c r="F568" s="217" t="s">
        <v>232</v>
      </c>
      <c r="G568" s="217" t="s">
        <v>231</v>
      </c>
      <c r="H568" s="217" t="s">
        <v>1696</v>
      </c>
      <c r="I568" s="217" t="s">
        <v>711</v>
      </c>
      <c r="J568" s="217" t="s">
        <v>3330</v>
      </c>
      <c r="K568" s="217" t="s">
        <v>3331</v>
      </c>
      <c r="L568" s="217">
        <v>0</v>
      </c>
      <c r="M568" s="217">
        <v>0</v>
      </c>
      <c r="N568" s="217">
        <v>0</v>
      </c>
      <c r="O568" s="217">
        <v>0</v>
      </c>
      <c r="P568" s="217">
        <v>0</v>
      </c>
      <c r="Q568" s="217">
        <v>0</v>
      </c>
      <c r="R568" s="217" t="s">
        <v>1807</v>
      </c>
    </row>
    <row r="569" spans="1:18" x14ac:dyDescent="0.25">
      <c r="A569" s="217">
        <v>568</v>
      </c>
      <c r="B569" s="217" t="s">
        <v>22</v>
      </c>
      <c r="C569" s="217" t="s">
        <v>23</v>
      </c>
      <c r="D569" s="217" t="s">
        <v>48</v>
      </c>
      <c r="E569" s="217" t="s">
        <v>47</v>
      </c>
      <c r="F569" s="217" t="s">
        <v>232</v>
      </c>
      <c r="G569" s="217" t="s">
        <v>231</v>
      </c>
      <c r="H569" s="217" t="s">
        <v>1697</v>
      </c>
      <c r="I569" s="217" t="s">
        <v>708</v>
      </c>
      <c r="J569" s="217" t="s">
        <v>3332</v>
      </c>
      <c r="K569" s="217" t="s">
        <v>3333</v>
      </c>
      <c r="L569" s="217">
        <v>0</v>
      </c>
      <c r="M569" s="217">
        <v>0</v>
      </c>
      <c r="N569" s="217">
        <v>0</v>
      </c>
      <c r="O569" s="217">
        <v>0</v>
      </c>
      <c r="P569" s="217">
        <v>0</v>
      </c>
      <c r="Q569" s="217">
        <v>0</v>
      </c>
      <c r="R569" s="217" t="s">
        <v>1807</v>
      </c>
    </row>
    <row r="570" spans="1:18" x14ac:dyDescent="0.25">
      <c r="A570" s="217">
        <v>569</v>
      </c>
      <c r="B570" s="217" t="s">
        <v>22</v>
      </c>
      <c r="C570" s="217" t="s">
        <v>23</v>
      </c>
      <c r="D570" s="217" t="s">
        <v>48</v>
      </c>
      <c r="E570" s="217" t="s">
        <v>47</v>
      </c>
      <c r="F570" s="217" t="s">
        <v>232</v>
      </c>
      <c r="G570" s="217" t="s">
        <v>231</v>
      </c>
      <c r="H570" s="217" t="s">
        <v>1583</v>
      </c>
      <c r="I570" s="217" t="s">
        <v>706</v>
      </c>
      <c r="J570" s="217" t="s">
        <v>3334</v>
      </c>
      <c r="K570" s="217" t="s">
        <v>3335</v>
      </c>
      <c r="L570" s="217">
        <v>0</v>
      </c>
      <c r="M570" s="217">
        <v>0</v>
      </c>
      <c r="N570" s="217">
        <v>0</v>
      </c>
      <c r="O570" s="217">
        <v>0</v>
      </c>
      <c r="P570" s="217">
        <v>75</v>
      </c>
      <c r="Q570" s="217">
        <v>16</v>
      </c>
      <c r="R570" s="217" t="s">
        <v>1807</v>
      </c>
    </row>
    <row r="571" spans="1:18" x14ac:dyDescent="0.25">
      <c r="A571" s="217">
        <v>570</v>
      </c>
      <c r="B571" s="217" t="s">
        <v>22</v>
      </c>
      <c r="C571" s="217" t="s">
        <v>23</v>
      </c>
      <c r="D571" s="217" t="s">
        <v>48</v>
      </c>
      <c r="E571" s="217" t="s">
        <v>47</v>
      </c>
      <c r="F571" s="217" t="s">
        <v>232</v>
      </c>
      <c r="G571" s="217" t="s">
        <v>231</v>
      </c>
      <c r="H571" s="217" t="s">
        <v>1359</v>
      </c>
      <c r="I571" s="217" t="s">
        <v>834</v>
      </c>
      <c r="J571" s="217" t="s">
        <v>3336</v>
      </c>
      <c r="K571" s="217" t="s">
        <v>3337</v>
      </c>
      <c r="L571" s="217">
        <v>182</v>
      </c>
      <c r="M571" s="217">
        <v>23</v>
      </c>
      <c r="N571" s="217">
        <v>0</v>
      </c>
      <c r="O571" s="217">
        <v>0</v>
      </c>
      <c r="P571" s="217">
        <v>212</v>
      </c>
      <c r="Q571" s="217">
        <v>35</v>
      </c>
      <c r="R571" s="217" t="s">
        <v>1807</v>
      </c>
    </row>
    <row r="572" spans="1:18" x14ac:dyDescent="0.25">
      <c r="A572" s="217">
        <v>571</v>
      </c>
      <c r="B572" s="217" t="s">
        <v>22</v>
      </c>
      <c r="C572" s="217" t="s">
        <v>23</v>
      </c>
      <c r="D572" s="217" t="s">
        <v>48</v>
      </c>
      <c r="E572" s="217" t="s">
        <v>47</v>
      </c>
      <c r="F572" s="217" t="s">
        <v>232</v>
      </c>
      <c r="G572" s="217" t="s">
        <v>231</v>
      </c>
      <c r="H572" s="217" t="s">
        <v>1361</v>
      </c>
      <c r="I572" s="217" t="s">
        <v>1360</v>
      </c>
      <c r="J572" s="217" t="s">
        <v>3338</v>
      </c>
      <c r="K572" s="217" t="s">
        <v>3339</v>
      </c>
      <c r="L572" s="217">
        <v>4624</v>
      </c>
      <c r="M572" s="217">
        <v>579</v>
      </c>
      <c r="N572" s="217">
        <v>0</v>
      </c>
      <c r="O572" s="217">
        <v>0</v>
      </c>
      <c r="P572" s="217">
        <v>119</v>
      </c>
      <c r="Q572" s="217">
        <v>17</v>
      </c>
      <c r="R572" s="217" t="s">
        <v>1807</v>
      </c>
    </row>
    <row r="573" spans="1:18" x14ac:dyDescent="0.25">
      <c r="A573" s="217">
        <v>572</v>
      </c>
      <c r="B573" s="217" t="s">
        <v>22</v>
      </c>
      <c r="C573" s="217" t="s">
        <v>23</v>
      </c>
      <c r="D573" s="217" t="s">
        <v>48</v>
      </c>
      <c r="E573" s="217" t="s">
        <v>47</v>
      </c>
      <c r="F573" s="217" t="s">
        <v>232</v>
      </c>
      <c r="G573" s="217" t="s">
        <v>231</v>
      </c>
      <c r="H573" s="217" t="s">
        <v>1362</v>
      </c>
      <c r="I573" s="217" t="s">
        <v>234</v>
      </c>
      <c r="J573" s="217" t="s">
        <v>3340</v>
      </c>
      <c r="K573" s="217" t="s">
        <v>3341</v>
      </c>
      <c r="L573" s="217">
        <v>5827</v>
      </c>
      <c r="M573" s="217">
        <v>961</v>
      </c>
      <c r="N573" s="217">
        <v>0</v>
      </c>
      <c r="O573" s="217">
        <v>0</v>
      </c>
      <c r="P573" s="217">
        <v>650</v>
      </c>
      <c r="Q573" s="217">
        <v>115</v>
      </c>
      <c r="R573" s="217" t="s">
        <v>1807</v>
      </c>
    </row>
    <row r="574" spans="1:18" x14ac:dyDescent="0.25">
      <c r="A574" s="217">
        <v>573</v>
      </c>
      <c r="B574" s="217" t="s">
        <v>22</v>
      </c>
      <c r="C574" s="217" t="s">
        <v>23</v>
      </c>
      <c r="D574" s="217" t="s">
        <v>48</v>
      </c>
      <c r="E574" s="217" t="s">
        <v>47</v>
      </c>
      <c r="F574" s="217" t="s">
        <v>232</v>
      </c>
      <c r="G574" s="217" t="s">
        <v>231</v>
      </c>
      <c r="H574" s="217" t="s">
        <v>1691</v>
      </c>
      <c r="I574" s="217" t="s">
        <v>1692</v>
      </c>
      <c r="J574" s="217" t="s">
        <v>3342</v>
      </c>
      <c r="K574" s="217" t="s">
        <v>3343</v>
      </c>
      <c r="L574" s="217">
        <v>0</v>
      </c>
      <c r="M574" s="217">
        <v>0</v>
      </c>
      <c r="N574" s="217">
        <v>0</v>
      </c>
      <c r="O574" s="217">
        <v>0</v>
      </c>
      <c r="P574" s="217">
        <v>0</v>
      </c>
      <c r="Q574" s="217">
        <v>0</v>
      </c>
      <c r="R574" s="217" t="s">
        <v>1807</v>
      </c>
    </row>
    <row r="575" spans="1:18" x14ac:dyDescent="0.25">
      <c r="A575" s="217">
        <v>574</v>
      </c>
      <c r="B575" s="217" t="s">
        <v>22</v>
      </c>
      <c r="C575" s="217" t="s">
        <v>23</v>
      </c>
      <c r="D575" s="217" t="s">
        <v>48</v>
      </c>
      <c r="E575" s="217" t="s">
        <v>47</v>
      </c>
      <c r="F575" s="217" t="s">
        <v>232</v>
      </c>
      <c r="G575" s="217" t="s">
        <v>231</v>
      </c>
      <c r="H575" s="217" t="s">
        <v>1584</v>
      </c>
      <c r="I575" s="217" t="s">
        <v>707</v>
      </c>
      <c r="J575" s="217" t="s">
        <v>3344</v>
      </c>
      <c r="K575" s="217" t="s">
        <v>3345</v>
      </c>
      <c r="L575" s="217">
        <v>0</v>
      </c>
      <c r="M575" s="217">
        <v>0</v>
      </c>
      <c r="N575" s="217">
        <v>0</v>
      </c>
      <c r="O575" s="217">
        <v>0</v>
      </c>
      <c r="P575" s="217">
        <v>105</v>
      </c>
      <c r="Q575" s="217">
        <v>20</v>
      </c>
      <c r="R575" s="217" t="s">
        <v>1807</v>
      </c>
    </row>
    <row r="576" spans="1:18" x14ac:dyDescent="0.25">
      <c r="A576" s="217">
        <v>575</v>
      </c>
      <c r="B576" s="217" t="s">
        <v>22</v>
      </c>
      <c r="C576" s="217" t="s">
        <v>23</v>
      </c>
      <c r="D576" s="217" t="s">
        <v>48</v>
      </c>
      <c r="E576" s="217" t="s">
        <v>47</v>
      </c>
      <c r="F576" s="217" t="s">
        <v>232</v>
      </c>
      <c r="G576" s="217" t="s">
        <v>231</v>
      </c>
      <c r="H576" s="217" t="s">
        <v>1698</v>
      </c>
      <c r="I576" s="217" t="s">
        <v>710</v>
      </c>
      <c r="J576" s="217" t="s">
        <v>3346</v>
      </c>
      <c r="K576" s="217" t="s">
        <v>3347</v>
      </c>
      <c r="L576" s="217">
        <v>0</v>
      </c>
      <c r="M576" s="217">
        <v>0</v>
      </c>
      <c r="N576" s="217">
        <v>0</v>
      </c>
      <c r="O576" s="217">
        <v>0</v>
      </c>
      <c r="P576" s="217">
        <v>0</v>
      </c>
      <c r="Q576" s="217">
        <v>0</v>
      </c>
      <c r="R576" s="217" t="s">
        <v>1807</v>
      </c>
    </row>
    <row r="577" spans="1:18" x14ac:dyDescent="0.25">
      <c r="A577" s="217">
        <v>576</v>
      </c>
      <c r="B577" s="217" t="s">
        <v>22</v>
      </c>
      <c r="C577" s="217" t="s">
        <v>23</v>
      </c>
      <c r="D577" s="217" t="s">
        <v>48</v>
      </c>
      <c r="E577" s="217" t="s">
        <v>47</v>
      </c>
      <c r="F577" s="217" t="s">
        <v>232</v>
      </c>
      <c r="G577" s="217" t="s">
        <v>231</v>
      </c>
      <c r="H577" s="217" t="s">
        <v>1693</v>
      </c>
      <c r="I577" s="217" t="s">
        <v>705</v>
      </c>
      <c r="J577" s="217" t="s">
        <v>3348</v>
      </c>
      <c r="K577" s="217" t="s">
        <v>3349</v>
      </c>
      <c r="L577" s="217">
        <v>0</v>
      </c>
      <c r="M577" s="217">
        <v>0</v>
      </c>
      <c r="N577" s="217">
        <v>0</v>
      </c>
      <c r="O577" s="217">
        <v>0</v>
      </c>
      <c r="P577" s="217">
        <v>0</v>
      </c>
      <c r="Q577" s="217">
        <v>0</v>
      </c>
      <c r="R577" s="217" t="s">
        <v>1807</v>
      </c>
    </row>
    <row r="578" spans="1:18" x14ac:dyDescent="0.25">
      <c r="A578" s="217">
        <v>577</v>
      </c>
      <c r="B578" s="217" t="s">
        <v>22</v>
      </c>
      <c r="C578" s="217" t="s">
        <v>23</v>
      </c>
      <c r="D578" s="217" t="s">
        <v>48</v>
      </c>
      <c r="E578" s="217" t="s">
        <v>47</v>
      </c>
      <c r="F578" s="217" t="s">
        <v>62</v>
      </c>
      <c r="G578" s="217" t="s">
        <v>61</v>
      </c>
      <c r="H578" s="217" t="s">
        <v>1363</v>
      </c>
      <c r="I578" s="217" t="s">
        <v>502</v>
      </c>
      <c r="J578" s="217" t="s">
        <v>3350</v>
      </c>
      <c r="K578" s="217" t="s">
        <v>3351</v>
      </c>
      <c r="L578" s="217">
        <v>836</v>
      </c>
      <c r="M578" s="217">
        <v>187</v>
      </c>
      <c r="N578" s="217">
        <v>0</v>
      </c>
      <c r="O578" s="217">
        <v>0</v>
      </c>
      <c r="P578" s="217">
        <v>0</v>
      </c>
      <c r="Q578" s="217">
        <v>0</v>
      </c>
      <c r="R578" s="217" t="s">
        <v>1807</v>
      </c>
    </row>
    <row r="579" spans="1:18" x14ac:dyDescent="0.25">
      <c r="A579" s="217">
        <v>578</v>
      </c>
      <c r="B579" s="217" t="s">
        <v>22</v>
      </c>
      <c r="C579" s="217" t="s">
        <v>23</v>
      </c>
      <c r="D579" s="217" t="s">
        <v>48</v>
      </c>
      <c r="E579" s="217" t="s">
        <v>47</v>
      </c>
      <c r="F579" s="217" t="s">
        <v>62</v>
      </c>
      <c r="G579" s="217" t="s">
        <v>61</v>
      </c>
      <c r="H579" s="217" t="s">
        <v>1364</v>
      </c>
      <c r="I579" s="217" t="s">
        <v>503</v>
      </c>
      <c r="J579" s="217" t="s">
        <v>3352</v>
      </c>
      <c r="K579" s="217" t="s">
        <v>3353</v>
      </c>
      <c r="L579" s="217">
        <v>259</v>
      </c>
      <c r="M579" s="217">
        <v>50</v>
      </c>
      <c r="N579" s="217">
        <v>0</v>
      </c>
      <c r="O579" s="217">
        <v>0</v>
      </c>
      <c r="P579" s="217">
        <v>0</v>
      </c>
      <c r="Q579" s="217">
        <v>0</v>
      </c>
      <c r="R579" s="217" t="s">
        <v>1807</v>
      </c>
    </row>
    <row r="580" spans="1:18" x14ac:dyDescent="0.25">
      <c r="A580" s="217">
        <v>579</v>
      </c>
      <c r="B580" s="217" t="s">
        <v>22</v>
      </c>
      <c r="C580" s="217" t="s">
        <v>23</v>
      </c>
      <c r="D580" s="217" t="s">
        <v>48</v>
      </c>
      <c r="E580" s="217" t="s">
        <v>47</v>
      </c>
      <c r="F580" s="217" t="s">
        <v>62</v>
      </c>
      <c r="G580" s="217" t="s">
        <v>61</v>
      </c>
      <c r="H580" s="217" t="s">
        <v>1365</v>
      </c>
      <c r="I580" s="217" t="s">
        <v>836</v>
      </c>
      <c r="J580" s="217" t="s">
        <v>3354</v>
      </c>
      <c r="K580" s="217" t="s">
        <v>3355</v>
      </c>
      <c r="L580" s="217">
        <v>285</v>
      </c>
      <c r="M580" s="217">
        <v>56</v>
      </c>
      <c r="N580" s="217">
        <v>0</v>
      </c>
      <c r="O580" s="217">
        <v>0</v>
      </c>
      <c r="P580" s="217">
        <v>0</v>
      </c>
      <c r="Q580" s="217">
        <v>0</v>
      </c>
      <c r="R580" s="217" t="s">
        <v>1807</v>
      </c>
    </row>
    <row r="581" spans="1:18" x14ac:dyDescent="0.25">
      <c r="A581" s="217">
        <v>580</v>
      </c>
      <c r="B581" s="217" t="s">
        <v>22</v>
      </c>
      <c r="C581" s="217" t="s">
        <v>23</v>
      </c>
      <c r="D581" s="217" t="s">
        <v>48</v>
      </c>
      <c r="E581" s="217" t="s">
        <v>47</v>
      </c>
      <c r="F581" s="217" t="s">
        <v>62</v>
      </c>
      <c r="G581" s="217" t="s">
        <v>61</v>
      </c>
      <c r="H581" s="217" t="s">
        <v>1585</v>
      </c>
      <c r="I581" s="217" t="s">
        <v>839</v>
      </c>
      <c r="J581" s="217" t="s">
        <v>3356</v>
      </c>
      <c r="K581" s="217" t="s">
        <v>3357</v>
      </c>
      <c r="L581" s="217">
        <v>0</v>
      </c>
      <c r="M581" s="217">
        <v>0</v>
      </c>
      <c r="N581" s="217">
        <v>0</v>
      </c>
      <c r="O581" s="217">
        <v>0</v>
      </c>
      <c r="P581" s="217">
        <v>1722</v>
      </c>
      <c r="Q581" s="217">
        <v>305</v>
      </c>
      <c r="R581" s="217" t="s">
        <v>1807</v>
      </c>
    </row>
    <row r="582" spans="1:18" x14ac:dyDescent="0.25">
      <c r="A582" s="217">
        <v>581</v>
      </c>
      <c r="B582" s="217" t="s">
        <v>22</v>
      </c>
      <c r="C582" s="217" t="s">
        <v>23</v>
      </c>
      <c r="D582" s="217" t="s">
        <v>48</v>
      </c>
      <c r="E582" s="217" t="s">
        <v>47</v>
      </c>
      <c r="F582" s="217" t="s">
        <v>62</v>
      </c>
      <c r="G582" s="217" t="s">
        <v>61</v>
      </c>
      <c r="H582" s="217" t="s">
        <v>1366</v>
      </c>
      <c r="I582" s="217" t="s">
        <v>504</v>
      </c>
      <c r="J582" s="217" t="s">
        <v>3358</v>
      </c>
      <c r="K582" s="217" t="s">
        <v>3359</v>
      </c>
      <c r="L582" s="217">
        <v>365</v>
      </c>
      <c r="M582" s="217">
        <v>59</v>
      </c>
      <c r="N582" s="217">
        <v>0</v>
      </c>
      <c r="O582" s="217">
        <v>0</v>
      </c>
      <c r="P582" s="217">
        <v>0</v>
      </c>
      <c r="Q582" s="217">
        <v>0</v>
      </c>
      <c r="R582" s="217" t="s">
        <v>1807</v>
      </c>
    </row>
    <row r="583" spans="1:18" x14ac:dyDescent="0.25">
      <c r="A583" s="217">
        <v>582</v>
      </c>
      <c r="B583" s="217" t="s">
        <v>22</v>
      </c>
      <c r="C583" s="217" t="s">
        <v>23</v>
      </c>
      <c r="D583" s="217" t="s">
        <v>48</v>
      </c>
      <c r="E583" s="217" t="s">
        <v>47</v>
      </c>
      <c r="F583" s="217" t="s">
        <v>62</v>
      </c>
      <c r="G583" s="217" t="s">
        <v>61</v>
      </c>
      <c r="H583" s="217" t="s">
        <v>1367</v>
      </c>
      <c r="I583" s="217" t="s">
        <v>505</v>
      </c>
      <c r="J583" s="217" t="s">
        <v>3360</v>
      </c>
      <c r="K583" s="217" t="s">
        <v>3361</v>
      </c>
      <c r="L583" s="217">
        <v>1780</v>
      </c>
      <c r="M583" s="217">
        <v>518</v>
      </c>
      <c r="N583" s="217">
        <v>0</v>
      </c>
      <c r="O583" s="217">
        <v>0</v>
      </c>
      <c r="P583" s="217">
        <v>231</v>
      </c>
      <c r="Q583" s="217">
        <v>41</v>
      </c>
      <c r="R583" s="217" t="s">
        <v>1807</v>
      </c>
    </row>
    <row r="584" spans="1:18" x14ac:dyDescent="0.25">
      <c r="A584" s="217">
        <v>583</v>
      </c>
      <c r="B584" s="217" t="s">
        <v>22</v>
      </c>
      <c r="C584" s="217" t="s">
        <v>23</v>
      </c>
      <c r="D584" s="217" t="s">
        <v>48</v>
      </c>
      <c r="E584" s="217" t="s">
        <v>47</v>
      </c>
      <c r="F584" s="217" t="s">
        <v>62</v>
      </c>
      <c r="G584" s="217" t="s">
        <v>61</v>
      </c>
      <c r="H584" s="217" t="s">
        <v>1368</v>
      </c>
      <c r="I584" s="217" t="s">
        <v>506</v>
      </c>
      <c r="J584" s="217" t="s">
        <v>3362</v>
      </c>
      <c r="K584" s="217" t="s">
        <v>3363</v>
      </c>
      <c r="L584" s="217">
        <v>412</v>
      </c>
      <c r="M584" s="217">
        <v>127</v>
      </c>
      <c r="N584" s="217">
        <v>0</v>
      </c>
      <c r="O584" s="217">
        <v>0</v>
      </c>
      <c r="P584" s="217">
        <v>1697</v>
      </c>
      <c r="Q584" s="217">
        <v>290</v>
      </c>
      <c r="R584" s="217" t="s">
        <v>1807</v>
      </c>
    </row>
    <row r="585" spans="1:18" x14ac:dyDescent="0.25">
      <c r="A585" s="217">
        <v>584</v>
      </c>
      <c r="B585" s="217" t="s">
        <v>22</v>
      </c>
      <c r="C585" s="217" t="s">
        <v>23</v>
      </c>
      <c r="D585" s="217" t="s">
        <v>48</v>
      </c>
      <c r="E585" s="217" t="s">
        <v>47</v>
      </c>
      <c r="F585" s="217" t="s">
        <v>62</v>
      </c>
      <c r="G585" s="217" t="s">
        <v>61</v>
      </c>
      <c r="H585" s="217" t="s">
        <v>1369</v>
      </c>
      <c r="I585" s="217" t="s">
        <v>507</v>
      </c>
      <c r="J585" s="217" t="s">
        <v>3364</v>
      </c>
      <c r="K585" s="217" t="s">
        <v>3365</v>
      </c>
      <c r="L585" s="217">
        <v>555</v>
      </c>
      <c r="M585" s="217">
        <v>119</v>
      </c>
      <c r="N585" s="217">
        <v>0</v>
      </c>
      <c r="O585" s="217">
        <v>0</v>
      </c>
      <c r="P585" s="217">
        <v>0</v>
      </c>
      <c r="Q585" s="217">
        <v>0</v>
      </c>
      <c r="R585" s="217" t="s">
        <v>1807</v>
      </c>
    </row>
    <row r="586" spans="1:18" x14ac:dyDescent="0.25">
      <c r="A586" s="217">
        <v>585</v>
      </c>
      <c r="B586" s="217" t="s">
        <v>22</v>
      </c>
      <c r="C586" s="217" t="s">
        <v>23</v>
      </c>
      <c r="D586" s="217" t="s">
        <v>48</v>
      </c>
      <c r="E586" s="217" t="s">
        <v>47</v>
      </c>
      <c r="F586" s="217" t="s">
        <v>62</v>
      </c>
      <c r="G586" s="217" t="s">
        <v>61</v>
      </c>
      <c r="H586" s="217" t="s">
        <v>1370</v>
      </c>
      <c r="I586" s="217" t="s">
        <v>508</v>
      </c>
      <c r="J586" s="217" t="s">
        <v>3366</v>
      </c>
      <c r="K586" s="217" t="s">
        <v>3367</v>
      </c>
      <c r="L586" s="217">
        <v>530</v>
      </c>
      <c r="M586" s="217">
        <v>129</v>
      </c>
      <c r="N586" s="217">
        <v>0</v>
      </c>
      <c r="O586" s="217">
        <v>0</v>
      </c>
      <c r="P586" s="217">
        <v>0</v>
      </c>
      <c r="Q586" s="217">
        <v>0</v>
      </c>
      <c r="R586" s="217" t="s">
        <v>1807</v>
      </c>
    </row>
    <row r="587" spans="1:18" x14ac:dyDescent="0.25">
      <c r="A587" s="217">
        <v>586</v>
      </c>
      <c r="B587" s="217" t="s">
        <v>22</v>
      </c>
      <c r="C587" s="217" t="s">
        <v>23</v>
      </c>
      <c r="D587" s="217" t="s">
        <v>48</v>
      </c>
      <c r="E587" s="217" t="s">
        <v>47</v>
      </c>
      <c r="F587" s="217" t="s">
        <v>62</v>
      </c>
      <c r="G587" s="217" t="s">
        <v>61</v>
      </c>
      <c r="H587" s="217" t="s">
        <v>1371</v>
      </c>
      <c r="I587" s="217" t="s">
        <v>509</v>
      </c>
      <c r="J587" s="217" t="s">
        <v>3368</v>
      </c>
      <c r="K587" s="217" t="s">
        <v>3369</v>
      </c>
      <c r="L587" s="217">
        <v>236</v>
      </c>
      <c r="M587" s="217">
        <v>46</v>
      </c>
      <c r="N587" s="217">
        <v>0</v>
      </c>
      <c r="O587" s="217">
        <v>0</v>
      </c>
      <c r="P587" s="217">
        <v>0</v>
      </c>
      <c r="Q587" s="217">
        <v>0</v>
      </c>
      <c r="R587" s="217" t="s">
        <v>1807</v>
      </c>
    </row>
    <row r="588" spans="1:18" x14ac:dyDescent="0.25">
      <c r="A588" s="217">
        <v>587</v>
      </c>
      <c r="B588" s="217" t="s">
        <v>22</v>
      </c>
      <c r="C588" s="217" t="s">
        <v>23</v>
      </c>
      <c r="D588" s="217" t="s">
        <v>48</v>
      </c>
      <c r="E588" s="217" t="s">
        <v>47</v>
      </c>
      <c r="F588" s="217" t="s">
        <v>62</v>
      </c>
      <c r="G588" s="217" t="s">
        <v>61</v>
      </c>
      <c r="H588" s="217" t="s">
        <v>1372</v>
      </c>
      <c r="I588" s="217" t="s">
        <v>835</v>
      </c>
      <c r="J588" s="217" t="s">
        <v>3370</v>
      </c>
      <c r="K588" s="217" t="s">
        <v>3371</v>
      </c>
      <c r="L588" s="217">
        <v>85</v>
      </c>
      <c r="M588" s="217">
        <v>21</v>
      </c>
      <c r="N588" s="217">
        <v>0</v>
      </c>
      <c r="O588" s="217">
        <v>0</v>
      </c>
      <c r="P588" s="217">
        <v>0</v>
      </c>
      <c r="Q588" s="217">
        <v>0</v>
      </c>
      <c r="R588" s="217" t="s">
        <v>1807</v>
      </c>
    </row>
    <row r="589" spans="1:18" x14ac:dyDescent="0.25">
      <c r="A589" s="217">
        <v>588</v>
      </c>
      <c r="B589" s="217" t="s">
        <v>22</v>
      </c>
      <c r="C589" s="217" t="s">
        <v>23</v>
      </c>
      <c r="D589" s="217" t="s">
        <v>48</v>
      </c>
      <c r="E589" s="217" t="s">
        <v>47</v>
      </c>
      <c r="F589" s="217" t="s">
        <v>62</v>
      </c>
      <c r="G589" s="217" t="s">
        <v>61</v>
      </c>
      <c r="H589" s="217" t="s">
        <v>1373</v>
      </c>
      <c r="I589" s="217" t="s">
        <v>510</v>
      </c>
      <c r="J589" s="217" t="s">
        <v>3372</v>
      </c>
      <c r="K589" s="217" t="s">
        <v>3373</v>
      </c>
      <c r="L589" s="217">
        <v>523</v>
      </c>
      <c r="M589" s="217">
        <v>179</v>
      </c>
      <c r="N589" s="217">
        <v>0</v>
      </c>
      <c r="O589" s="217">
        <v>0</v>
      </c>
      <c r="P589" s="217">
        <v>0</v>
      </c>
      <c r="Q589" s="217">
        <v>0</v>
      </c>
      <c r="R589" s="217" t="s">
        <v>1807</v>
      </c>
    </row>
    <row r="590" spans="1:18" x14ac:dyDescent="0.25">
      <c r="A590" s="217">
        <v>589</v>
      </c>
      <c r="B590" s="217" t="s">
        <v>22</v>
      </c>
      <c r="C590" s="217" t="s">
        <v>23</v>
      </c>
      <c r="D590" s="217" t="s">
        <v>48</v>
      </c>
      <c r="E590" s="217" t="s">
        <v>47</v>
      </c>
      <c r="F590" s="217" t="s">
        <v>62</v>
      </c>
      <c r="G590" s="217" t="s">
        <v>61</v>
      </c>
      <c r="H590" s="217" t="s">
        <v>1374</v>
      </c>
      <c r="I590" s="217" t="s">
        <v>511</v>
      </c>
      <c r="J590" s="217" t="s">
        <v>3374</v>
      </c>
      <c r="K590" s="217" t="s">
        <v>3375</v>
      </c>
      <c r="L590" s="217">
        <v>465</v>
      </c>
      <c r="M590" s="217">
        <v>100</v>
      </c>
      <c r="N590" s="217">
        <v>0</v>
      </c>
      <c r="O590" s="217">
        <v>0</v>
      </c>
      <c r="P590" s="217">
        <v>0</v>
      </c>
      <c r="Q590" s="217">
        <v>0</v>
      </c>
      <c r="R590" s="217" t="s">
        <v>1807</v>
      </c>
    </row>
    <row r="591" spans="1:18" x14ac:dyDescent="0.25">
      <c r="A591" s="217">
        <v>590</v>
      </c>
      <c r="B591" s="217" t="s">
        <v>22</v>
      </c>
      <c r="C591" s="217" t="s">
        <v>23</v>
      </c>
      <c r="D591" s="217" t="s">
        <v>48</v>
      </c>
      <c r="E591" s="217" t="s">
        <v>47</v>
      </c>
      <c r="F591" s="217" t="s">
        <v>62</v>
      </c>
      <c r="G591" s="217" t="s">
        <v>61</v>
      </c>
      <c r="H591" s="217" t="s">
        <v>1375</v>
      </c>
      <c r="I591" s="217" t="s">
        <v>512</v>
      </c>
      <c r="J591" s="217" t="s">
        <v>3376</v>
      </c>
      <c r="K591" s="217" t="s">
        <v>3377</v>
      </c>
      <c r="L591" s="217">
        <v>1512</v>
      </c>
      <c r="M591" s="217">
        <v>668</v>
      </c>
      <c r="N591" s="217">
        <v>0</v>
      </c>
      <c r="O591" s="217">
        <v>0</v>
      </c>
      <c r="P591" s="217">
        <v>0</v>
      </c>
      <c r="Q591" s="217">
        <v>0</v>
      </c>
      <c r="R591" s="217" t="s">
        <v>1807</v>
      </c>
    </row>
    <row r="592" spans="1:18" x14ac:dyDescent="0.25">
      <c r="A592" s="217">
        <v>591</v>
      </c>
      <c r="B592" s="217" t="s">
        <v>22</v>
      </c>
      <c r="C592" s="217" t="s">
        <v>23</v>
      </c>
      <c r="D592" s="217" t="s">
        <v>48</v>
      </c>
      <c r="E592" s="217" t="s">
        <v>47</v>
      </c>
      <c r="F592" s="217" t="s">
        <v>62</v>
      </c>
      <c r="G592" s="217" t="s">
        <v>61</v>
      </c>
      <c r="H592" s="217" t="s">
        <v>1376</v>
      </c>
      <c r="I592" s="217" t="s">
        <v>837</v>
      </c>
      <c r="J592" s="217" t="s">
        <v>3378</v>
      </c>
      <c r="K592" s="217" t="s">
        <v>3379</v>
      </c>
      <c r="L592" s="217">
        <v>10403</v>
      </c>
      <c r="M592" s="217">
        <v>1716</v>
      </c>
      <c r="N592" s="217">
        <v>0</v>
      </c>
      <c r="O592" s="217">
        <v>0</v>
      </c>
      <c r="P592" s="217">
        <v>1177</v>
      </c>
      <c r="Q592" s="217">
        <v>173</v>
      </c>
      <c r="R592" s="217" t="s">
        <v>1807</v>
      </c>
    </row>
    <row r="593" spans="1:18" x14ac:dyDescent="0.25">
      <c r="A593" s="217">
        <v>592</v>
      </c>
      <c r="B593" s="217" t="s">
        <v>22</v>
      </c>
      <c r="C593" s="217" t="s">
        <v>23</v>
      </c>
      <c r="D593" s="217" t="s">
        <v>48</v>
      </c>
      <c r="E593" s="217" t="s">
        <v>47</v>
      </c>
      <c r="F593" s="217" t="s">
        <v>62</v>
      </c>
      <c r="G593" s="217" t="s">
        <v>61</v>
      </c>
      <c r="H593" s="217" t="s">
        <v>1377</v>
      </c>
      <c r="I593" s="217" t="s">
        <v>513</v>
      </c>
      <c r="J593" s="217" t="s">
        <v>3380</v>
      </c>
      <c r="K593" s="217" t="s">
        <v>3381</v>
      </c>
      <c r="L593" s="217">
        <v>3089</v>
      </c>
      <c r="M593" s="217">
        <v>554</v>
      </c>
      <c r="N593" s="217">
        <v>0</v>
      </c>
      <c r="O593" s="217">
        <v>0</v>
      </c>
      <c r="P593" s="217">
        <v>0</v>
      </c>
      <c r="Q593" s="217">
        <v>0</v>
      </c>
      <c r="R593" s="217" t="s">
        <v>1807</v>
      </c>
    </row>
    <row r="594" spans="1:18" x14ac:dyDescent="0.25">
      <c r="A594" s="217">
        <v>593</v>
      </c>
      <c r="B594" s="217" t="s">
        <v>22</v>
      </c>
      <c r="C594" s="217" t="s">
        <v>23</v>
      </c>
      <c r="D594" s="217" t="s">
        <v>48</v>
      </c>
      <c r="E594" s="217" t="s">
        <v>47</v>
      </c>
      <c r="F594" s="217" t="s">
        <v>62</v>
      </c>
      <c r="G594" s="217" t="s">
        <v>61</v>
      </c>
      <c r="H594" s="217" t="s">
        <v>1586</v>
      </c>
      <c r="I594" s="217" t="s">
        <v>838</v>
      </c>
      <c r="J594" s="217" t="s">
        <v>3382</v>
      </c>
      <c r="K594" s="217" t="s">
        <v>3383</v>
      </c>
      <c r="L594" s="217">
        <v>17</v>
      </c>
      <c r="M594" s="217">
        <v>2</v>
      </c>
      <c r="N594" s="217">
        <v>0</v>
      </c>
      <c r="O594" s="217">
        <v>0</v>
      </c>
      <c r="P594" s="217">
        <v>1738</v>
      </c>
      <c r="Q594" s="217">
        <v>261</v>
      </c>
      <c r="R594" s="217" t="s">
        <v>1807</v>
      </c>
    </row>
    <row r="595" spans="1:18" x14ac:dyDescent="0.25">
      <c r="A595" s="217">
        <v>594</v>
      </c>
      <c r="B595" s="217" t="s">
        <v>22</v>
      </c>
      <c r="C595" s="217" t="s">
        <v>23</v>
      </c>
      <c r="D595" s="217" t="s">
        <v>48</v>
      </c>
      <c r="E595" s="217" t="s">
        <v>47</v>
      </c>
      <c r="F595" s="217" t="s">
        <v>62</v>
      </c>
      <c r="G595" s="217" t="s">
        <v>61</v>
      </c>
      <c r="H595" s="217" t="s">
        <v>1378</v>
      </c>
      <c r="I595" s="217" t="s">
        <v>840</v>
      </c>
      <c r="J595" s="217" t="s">
        <v>3384</v>
      </c>
      <c r="K595" s="217" t="s">
        <v>3385</v>
      </c>
      <c r="L595" s="217">
        <v>521</v>
      </c>
      <c r="M595" s="217">
        <v>63</v>
      </c>
      <c r="N595" s="217">
        <v>0</v>
      </c>
      <c r="O595" s="217">
        <v>0</v>
      </c>
      <c r="P595" s="217">
        <v>923</v>
      </c>
      <c r="Q595" s="217">
        <v>138</v>
      </c>
      <c r="R595" s="217" t="s">
        <v>1807</v>
      </c>
    </row>
    <row r="596" spans="1:18" x14ac:dyDescent="0.25">
      <c r="A596" s="217">
        <v>595</v>
      </c>
      <c r="B596" s="217" t="s">
        <v>22</v>
      </c>
      <c r="C596" s="217" t="s">
        <v>23</v>
      </c>
      <c r="D596" s="217" t="s">
        <v>48</v>
      </c>
      <c r="E596" s="217" t="s">
        <v>47</v>
      </c>
      <c r="F596" s="217" t="s">
        <v>62</v>
      </c>
      <c r="G596" s="217" t="s">
        <v>61</v>
      </c>
      <c r="H596" s="217" t="s">
        <v>1379</v>
      </c>
      <c r="I596" s="217" t="s">
        <v>514</v>
      </c>
      <c r="J596" s="217" t="s">
        <v>3386</v>
      </c>
      <c r="K596" s="217" t="s">
        <v>3387</v>
      </c>
      <c r="L596" s="217">
        <v>289</v>
      </c>
      <c r="M596" s="217">
        <v>48</v>
      </c>
      <c r="N596" s="217">
        <v>0</v>
      </c>
      <c r="O596" s="217">
        <v>0</v>
      </c>
      <c r="P596" s="217">
        <v>0</v>
      </c>
      <c r="Q596" s="217">
        <v>0</v>
      </c>
      <c r="R596" s="217" t="s">
        <v>1807</v>
      </c>
    </row>
    <row r="597" spans="1:18" x14ac:dyDescent="0.25">
      <c r="A597" s="217">
        <v>596</v>
      </c>
      <c r="B597" s="217" t="s">
        <v>22</v>
      </c>
      <c r="C597" s="217" t="s">
        <v>23</v>
      </c>
      <c r="D597" s="217" t="s">
        <v>48</v>
      </c>
      <c r="E597" s="217" t="s">
        <v>47</v>
      </c>
      <c r="F597" s="217" t="s">
        <v>62</v>
      </c>
      <c r="G597" s="217" t="s">
        <v>61</v>
      </c>
      <c r="H597" s="217" t="s">
        <v>1380</v>
      </c>
      <c r="I597" s="217" t="s">
        <v>515</v>
      </c>
      <c r="J597" s="217" t="s">
        <v>3388</v>
      </c>
      <c r="K597" s="217" t="s">
        <v>3389</v>
      </c>
      <c r="L597" s="217">
        <v>409</v>
      </c>
      <c r="M597" s="217">
        <v>140</v>
      </c>
      <c r="N597" s="217">
        <v>0</v>
      </c>
      <c r="O597" s="217">
        <v>0</v>
      </c>
      <c r="P597" s="217">
        <v>0</v>
      </c>
      <c r="Q597" s="217">
        <v>0</v>
      </c>
      <c r="R597" s="217" t="s">
        <v>1807</v>
      </c>
    </row>
    <row r="598" spans="1:18" x14ac:dyDescent="0.25">
      <c r="A598" s="217">
        <v>597</v>
      </c>
      <c r="B598" s="217" t="s">
        <v>22</v>
      </c>
      <c r="C598" s="217" t="s">
        <v>23</v>
      </c>
      <c r="D598" s="217" t="s">
        <v>48</v>
      </c>
      <c r="E598" s="217" t="s">
        <v>47</v>
      </c>
      <c r="F598" s="217" t="s">
        <v>62</v>
      </c>
      <c r="G598" s="217" t="s">
        <v>61</v>
      </c>
      <c r="H598" s="217" t="s">
        <v>1381</v>
      </c>
      <c r="I598" s="217" t="s">
        <v>516</v>
      </c>
      <c r="J598" s="217" t="s">
        <v>3390</v>
      </c>
      <c r="K598" s="217" t="s">
        <v>3391</v>
      </c>
      <c r="L598" s="217">
        <v>400</v>
      </c>
      <c r="M598" s="217">
        <v>188</v>
      </c>
      <c r="N598" s="217">
        <v>0</v>
      </c>
      <c r="O598" s="217">
        <v>0</v>
      </c>
      <c r="P598" s="217">
        <v>0</v>
      </c>
      <c r="Q598" s="217">
        <v>0</v>
      </c>
      <c r="R598" s="217" t="s">
        <v>1807</v>
      </c>
    </row>
    <row r="599" spans="1:18" x14ac:dyDescent="0.25">
      <c r="A599" s="217">
        <v>598</v>
      </c>
      <c r="B599" s="217" t="s">
        <v>22</v>
      </c>
      <c r="C599" s="217" t="s">
        <v>23</v>
      </c>
      <c r="D599" s="217" t="s">
        <v>48</v>
      </c>
      <c r="E599" s="217" t="s">
        <v>47</v>
      </c>
      <c r="F599" s="217" t="s">
        <v>62</v>
      </c>
      <c r="G599" s="217" t="s">
        <v>61</v>
      </c>
      <c r="H599" s="217" t="s">
        <v>1382</v>
      </c>
      <c r="I599" s="217" t="s">
        <v>517</v>
      </c>
      <c r="J599" s="217" t="s">
        <v>3392</v>
      </c>
      <c r="K599" s="217" t="s">
        <v>3393</v>
      </c>
      <c r="L599" s="217">
        <v>507</v>
      </c>
      <c r="M599" s="217">
        <v>102</v>
      </c>
      <c r="N599" s="217">
        <v>0</v>
      </c>
      <c r="O599" s="217">
        <v>0</v>
      </c>
      <c r="P599" s="217">
        <v>0</v>
      </c>
      <c r="Q599" s="217">
        <v>0</v>
      </c>
      <c r="R599" s="217" t="s">
        <v>1807</v>
      </c>
    </row>
    <row r="600" spans="1:18" x14ac:dyDescent="0.25">
      <c r="A600" s="217">
        <v>599</v>
      </c>
      <c r="B600" s="217" t="s">
        <v>22</v>
      </c>
      <c r="C600" s="217" t="s">
        <v>23</v>
      </c>
      <c r="D600" s="217" t="s">
        <v>48</v>
      </c>
      <c r="E600" s="217" t="s">
        <v>47</v>
      </c>
      <c r="F600" s="217" t="s">
        <v>62</v>
      </c>
      <c r="G600" s="217" t="s">
        <v>61</v>
      </c>
      <c r="H600" s="217" t="s">
        <v>1383</v>
      </c>
      <c r="I600" s="217" t="s">
        <v>518</v>
      </c>
      <c r="J600" s="217" t="s">
        <v>3394</v>
      </c>
      <c r="K600" s="217" t="s">
        <v>3395</v>
      </c>
      <c r="L600" s="217">
        <v>16541</v>
      </c>
      <c r="M600" s="217">
        <v>2124</v>
      </c>
      <c r="N600" s="217">
        <v>0</v>
      </c>
      <c r="O600" s="217">
        <v>0</v>
      </c>
      <c r="P600" s="217">
        <v>0</v>
      </c>
      <c r="Q600" s="217">
        <v>0</v>
      </c>
      <c r="R600" s="217" t="s">
        <v>1807</v>
      </c>
    </row>
    <row r="601" spans="1:18" x14ac:dyDescent="0.25">
      <c r="A601" s="217">
        <v>600</v>
      </c>
      <c r="B601" s="217" t="s">
        <v>22</v>
      </c>
      <c r="C601" s="217" t="s">
        <v>23</v>
      </c>
      <c r="D601" s="217" t="s">
        <v>48</v>
      </c>
      <c r="E601" s="217" t="s">
        <v>47</v>
      </c>
      <c r="F601" s="217" t="s">
        <v>62</v>
      </c>
      <c r="G601" s="217" t="s">
        <v>61</v>
      </c>
      <c r="H601" s="217" t="s">
        <v>1384</v>
      </c>
      <c r="I601" s="217" t="s">
        <v>519</v>
      </c>
      <c r="J601" s="217" t="s">
        <v>3396</v>
      </c>
      <c r="K601" s="217" t="s">
        <v>3397</v>
      </c>
      <c r="L601" s="217">
        <v>168</v>
      </c>
      <c r="M601" s="217">
        <v>76</v>
      </c>
      <c r="N601" s="217">
        <v>0</v>
      </c>
      <c r="O601" s="217">
        <v>0</v>
      </c>
      <c r="P601" s="217">
        <v>0</v>
      </c>
      <c r="Q601" s="217">
        <v>0</v>
      </c>
      <c r="R601" s="217" t="s">
        <v>1807</v>
      </c>
    </row>
    <row r="602" spans="1:18" x14ac:dyDescent="0.25">
      <c r="A602" s="217">
        <v>601</v>
      </c>
      <c r="B602" s="217" t="s">
        <v>22</v>
      </c>
      <c r="C602" s="217" t="s">
        <v>23</v>
      </c>
      <c r="D602" s="217" t="s">
        <v>48</v>
      </c>
      <c r="E602" s="217" t="s">
        <v>47</v>
      </c>
      <c r="F602" s="217" t="s">
        <v>62</v>
      </c>
      <c r="G602" s="217" t="s">
        <v>61</v>
      </c>
      <c r="H602" s="217" t="s">
        <v>1385</v>
      </c>
      <c r="I602" s="217" t="s">
        <v>520</v>
      </c>
      <c r="J602" s="217" t="s">
        <v>3398</v>
      </c>
      <c r="K602" s="217" t="s">
        <v>3399</v>
      </c>
      <c r="L602" s="217">
        <v>349</v>
      </c>
      <c r="M602" s="217">
        <v>58</v>
      </c>
      <c r="N602" s="217">
        <v>0</v>
      </c>
      <c r="O602" s="217">
        <v>0</v>
      </c>
      <c r="P602" s="217">
        <v>0</v>
      </c>
      <c r="Q602" s="217">
        <v>0</v>
      </c>
      <c r="R602" s="217" t="s">
        <v>1807</v>
      </c>
    </row>
    <row r="603" spans="1:18" x14ac:dyDescent="0.25">
      <c r="A603" s="217">
        <v>602</v>
      </c>
      <c r="B603" s="217" t="s">
        <v>22</v>
      </c>
      <c r="C603" s="217" t="s">
        <v>23</v>
      </c>
      <c r="D603" s="217" t="s">
        <v>48</v>
      </c>
      <c r="E603" s="217" t="s">
        <v>47</v>
      </c>
      <c r="F603" s="217" t="s">
        <v>62</v>
      </c>
      <c r="G603" s="217" t="s">
        <v>61</v>
      </c>
      <c r="H603" s="217" t="s">
        <v>1386</v>
      </c>
      <c r="I603" s="217" t="s">
        <v>521</v>
      </c>
      <c r="J603" s="217" t="s">
        <v>3400</v>
      </c>
      <c r="K603" s="217" t="s">
        <v>3401</v>
      </c>
      <c r="L603" s="217">
        <v>413</v>
      </c>
      <c r="M603" s="217">
        <v>50</v>
      </c>
      <c r="N603" s="217">
        <v>0</v>
      </c>
      <c r="O603" s="217">
        <v>0</v>
      </c>
      <c r="P603" s="217">
        <v>0</v>
      </c>
      <c r="Q603" s="217">
        <v>0</v>
      </c>
      <c r="R603" s="217" t="s">
        <v>1807</v>
      </c>
    </row>
    <row r="604" spans="1:18" x14ac:dyDescent="0.25">
      <c r="A604" s="217">
        <v>603</v>
      </c>
      <c r="B604" s="217" t="s">
        <v>22</v>
      </c>
      <c r="C604" s="217" t="s">
        <v>23</v>
      </c>
      <c r="D604" s="217" t="s">
        <v>48</v>
      </c>
      <c r="E604" s="217" t="s">
        <v>47</v>
      </c>
      <c r="F604" s="217" t="s">
        <v>62</v>
      </c>
      <c r="G604" s="217" t="s">
        <v>61</v>
      </c>
      <c r="H604" s="217" t="s">
        <v>1387</v>
      </c>
      <c r="I604" s="217" t="s">
        <v>522</v>
      </c>
      <c r="J604" s="217" t="s">
        <v>3402</v>
      </c>
      <c r="K604" s="217" t="s">
        <v>3403</v>
      </c>
      <c r="L604" s="217">
        <v>665</v>
      </c>
      <c r="M604" s="217">
        <v>118</v>
      </c>
      <c r="N604" s="217">
        <v>0</v>
      </c>
      <c r="O604" s="217">
        <v>0</v>
      </c>
      <c r="P604" s="217">
        <v>0</v>
      </c>
      <c r="Q604" s="217">
        <v>0</v>
      </c>
      <c r="R604" s="217" t="s">
        <v>1807</v>
      </c>
    </row>
    <row r="605" spans="1:18" x14ac:dyDescent="0.25">
      <c r="A605" s="217">
        <v>604</v>
      </c>
      <c r="B605" s="217" t="s">
        <v>22</v>
      </c>
      <c r="C605" s="217" t="s">
        <v>23</v>
      </c>
      <c r="D605" s="217" t="s">
        <v>48</v>
      </c>
      <c r="E605" s="217" t="s">
        <v>47</v>
      </c>
      <c r="F605" s="217" t="s">
        <v>62</v>
      </c>
      <c r="G605" s="217" t="s">
        <v>61</v>
      </c>
      <c r="H605" s="217" t="s">
        <v>1388</v>
      </c>
      <c r="I605" s="217" t="s">
        <v>523</v>
      </c>
      <c r="J605" s="217" t="s">
        <v>3404</v>
      </c>
      <c r="K605" s="217" t="s">
        <v>3405</v>
      </c>
      <c r="L605" s="217">
        <v>386</v>
      </c>
      <c r="M605" s="217">
        <v>140</v>
      </c>
      <c r="N605" s="217">
        <v>0</v>
      </c>
      <c r="O605" s="217">
        <v>0</v>
      </c>
      <c r="P605" s="217">
        <v>0</v>
      </c>
      <c r="Q605" s="217">
        <v>0</v>
      </c>
      <c r="R605" s="217" t="s">
        <v>1807</v>
      </c>
    </row>
    <row r="606" spans="1:18" x14ac:dyDescent="0.25">
      <c r="A606" s="217">
        <v>605</v>
      </c>
      <c r="B606" s="217" t="s">
        <v>22</v>
      </c>
      <c r="C606" s="217" t="s">
        <v>23</v>
      </c>
      <c r="D606" s="217" t="s">
        <v>48</v>
      </c>
      <c r="E606" s="217" t="s">
        <v>47</v>
      </c>
      <c r="F606" s="217" t="s">
        <v>62</v>
      </c>
      <c r="G606" s="217" t="s">
        <v>61</v>
      </c>
      <c r="H606" s="217" t="s">
        <v>1389</v>
      </c>
      <c r="I606" s="217" t="s">
        <v>524</v>
      </c>
      <c r="J606" s="217" t="s">
        <v>3406</v>
      </c>
      <c r="K606" s="217" t="s">
        <v>3407</v>
      </c>
      <c r="L606" s="217">
        <v>300</v>
      </c>
      <c r="M606" s="217">
        <v>51</v>
      </c>
      <c r="N606" s="217">
        <v>0</v>
      </c>
      <c r="O606" s="217">
        <v>0</v>
      </c>
      <c r="P606" s="217">
        <v>0</v>
      </c>
      <c r="Q606" s="217">
        <v>0</v>
      </c>
      <c r="R606" s="217" t="s">
        <v>1807</v>
      </c>
    </row>
    <row r="607" spans="1:18" x14ac:dyDescent="0.25">
      <c r="A607" s="217">
        <v>606</v>
      </c>
      <c r="B607" s="217" t="s">
        <v>22</v>
      </c>
      <c r="C607" s="217" t="s">
        <v>23</v>
      </c>
      <c r="D607" s="217" t="s">
        <v>48</v>
      </c>
      <c r="E607" s="217" t="s">
        <v>47</v>
      </c>
      <c r="F607" s="217" t="s">
        <v>62</v>
      </c>
      <c r="G607" s="217" t="s">
        <v>61</v>
      </c>
      <c r="H607" s="217" t="s">
        <v>1390</v>
      </c>
      <c r="I607" s="217" t="s">
        <v>525</v>
      </c>
      <c r="J607" s="217" t="s">
        <v>3408</v>
      </c>
      <c r="K607" s="217" t="s">
        <v>3409</v>
      </c>
      <c r="L607" s="217">
        <v>417</v>
      </c>
      <c r="M607" s="217">
        <v>118</v>
      </c>
      <c r="N607" s="217">
        <v>0</v>
      </c>
      <c r="O607" s="217">
        <v>0</v>
      </c>
      <c r="P607" s="217">
        <v>0</v>
      </c>
      <c r="Q607" s="217">
        <v>0</v>
      </c>
      <c r="R607" s="217" t="s">
        <v>1807</v>
      </c>
    </row>
    <row r="608" spans="1:18" x14ac:dyDescent="0.25">
      <c r="A608" s="217">
        <v>607</v>
      </c>
      <c r="B608" s="217" t="s">
        <v>22</v>
      </c>
      <c r="C608" s="217" t="s">
        <v>23</v>
      </c>
      <c r="D608" s="217" t="s">
        <v>48</v>
      </c>
      <c r="E608" s="217" t="s">
        <v>47</v>
      </c>
      <c r="F608" s="217" t="s">
        <v>62</v>
      </c>
      <c r="G608" s="217" t="s">
        <v>61</v>
      </c>
      <c r="H608" s="217" t="s">
        <v>1391</v>
      </c>
      <c r="I608" s="217" t="s">
        <v>526</v>
      </c>
      <c r="J608" s="217" t="s">
        <v>3410</v>
      </c>
      <c r="K608" s="217" t="s">
        <v>3411</v>
      </c>
      <c r="L608" s="217">
        <v>540</v>
      </c>
      <c r="M608" s="217">
        <v>133</v>
      </c>
      <c r="N608" s="217">
        <v>0</v>
      </c>
      <c r="O608" s="217">
        <v>0</v>
      </c>
      <c r="P608" s="217">
        <v>0</v>
      </c>
      <c r="Q608" s="217">
        <v>0</v>
      </c>
      <c r="R608" s="217" t="s">
        <v>1807</v>
      </c>
    </row>
    <row r="609" spans="1:18" x14ac:dyDescent="0.25">
      <c r="A609" s="217">
        <v>608</v>
      </c>
      <c r="B609" s="217" t="s">
        <v>22</v>
      </c>
      <c r="C609" s="217" t="s">
        <v>23</v>
      </c>
      <c r="D609" s="217" t="s">
        <v>48</v>
      </c>
      <c r="E609" s="217" t="s">
        <v>47</v>
      </c>
      <c r="F609" s="217" t="s">
        <v>62</v>
      </c>
      <c r="G609" s="217" t="s">
        <v>61</v>
      </c>
      <c r="H609" s="217" t="s">
        <v>1587</v>
      </c>
      <c r="I609" s="217" t="s">
        <v>841</v>
      </c>
      <c r="J609" s="217" t="s">
        <v>3412</v>
      </c>
      <c r="K609" s="217" t="s">
        <v>3413</v>
      </c>
      <c r="L609" s="217">
        <v>0</v>
      </c>
      <c r="M609" s="217">
        <v>0</v>
      </c>
      <c r="N609" s="217">
        <v>0</v>
      </c>
      <c r="O609" s="217">
        <v>0</v>
      </c>
      <c r="P609" s="217">
        <v>512</v>
      </c>
      <c r="Q609" s="217">
        <v>90</v>
      </c>
      <c r="R609" s="217" t="s">
        <v>1807</v>
      </c>
    </row>
    <row r="610" spans="1:18" x14ac:dyDescent="0.25">
      <c r="A610" s="217">
        <v>609</v>
      </c>
      <c r="B610" s="217" t="s">
        <v>22</v>
      </c>
      <c r="C610" s="217" t="s">
        <v>23</v>
      </c>
      <c r="D610" s="217" t="s">
        <v>48</v>
      </c>
      <c r="E610" s="217" t="s">
        <v>47</v>
      </c>
      <c r="F610" s="217" t="s">
        <v>527</v>
      </c>
      <c r="G610" s="217" t="s">
        <v>528</v>
      </c>
      <c r="H610" s="217" t="s">
        <v>1699</v>
      </c>
      <c r="I610" s="217" t="s">
        <v>842</v>
      </c>
      <c r="J610" s="217" t="s">
        <v>3414</v>
      </c>
      <c r="K610" s="217" t="s">
        <v>3415</v>
      </c>
      <c r="L610" s="217">
        <v>0</v>
      </c>
      <c r="M610" s="217">
        <v>0</v>
      </c>
      <c r="N610" s="217">
        <v>0</v>
      </c>
      <c r="O610" s="217">
        <v>0</v>
      </c>
      <c r="P610" s="217">
        <v>0</v>
      </c>
      <c r="Q610" s="217">
        <v>0</v>
      </c>
      <c r="R610" s="217" t="s">
        <v>1807</v>
      </c>
    </row>
    <row r="611" spans="1:18" x14ac:dyDescent="0.25">
      <c r="A611" s="217">
        <v>610</v>
      </c>
      <c r="B611" s="217" t="s">
        <v>22</v>
      </c>
      <c r="C611" s="217" t="s">
        <v>23</v>
      </c>
      <c r="D611" s="217" t="s">
        <v>48</v>
      </c>
      <c r="E611" s="217" t="s">
        <v>47</v>
      </c>
      <c r="F611" s="217" t="s">
        <v>527</v>
      </c>
      <c r="G611" s="217" t="s">
        <v>528</v>
      </c>
      <c r="H611" s="217" t="s">
        <v>1392</v>
      </c>
      <c r="I611" s="217" t="s">
        <v>844</v>
      </c>
      <c r="J611" s="217" t="s">
        <v>3416</v>
      </c>
      <c r="K611" s="217" t="s">
        <v>3417</v>
      </c>
      <c r="L611" s="217">
        <v>0</v>
      </c>
      <c r="M611" s="217">
        <v>0</v>
      </c>
      <c r="N611" s="217">
        <v>0</v>
      </c>
      <c r="O611" s="217">
        <v>0</v>
      </c>
      <c r="P611" s="217">
        <v>0</v>
      </c>
      <c r="Q611" s="217">
        <v>0</v>
      </c>
      <c r="R611" s="217" t="s">
        <v>1807</v>
      </c>
    </row>
    <row r="612" spans="1:18" x14ac:dyDescent="0.25">
      <c r="A612" s="217">
        <v>611</v>
      </c>
      <c r="B612" s="217" t="s">
        <v>22</v>
      </c>
      <c r="C612" s="217" t="s">
        <v>23</v>
      </c>
      <c r="D612" s="217" t="s">
        <v>48</v>
      </c>
      <c r="E612" s="217" t="s">
        <v>47</v>
      </c>
      <c r="F612" s="217" t="s">
        <v>527</v>
      </c>
      <c r="G612" s="217" t="s">
        <v>528</v>
      </c>
      <c r="H612" s="217" t="s">
        <v>1700</v>
      </c>
      <c r="I612" s="217" t="s">
        <v>843</v>
      </c>
      <c r="J612" s="217" t="s">
        <v>3418</v>
      </c>
      <c r="K612" s="217" t="s">
        <v>3419</v>
      </c>
      <c r="L612" s="217">
        <v>0</v>
      </c>
      <c r="M612" s="217">
        <v>0</v>
      </c>
      <c r="N612" s="217">
        <v>0</v>
      </c>
      <c r="O612" s="217">
        <v>0</v>
      </c>
      <c r="P612" s="217">
        <v>0</v>
      </c>
      <c r="Q612" s="217">
        <v>0</v>
      </c>
      <c r="R612" s="217" t="s">
        <v>1807</v>
      </c>
    </row>
    <row r="613" spans="1:18" x14ac:dyDescent="0.25">
      <c r="A613" s="217">
        <v>612</v>
      </c>
      <c r="B613" s="217" t="s">
        <v>22</v>
      </c>
      <c r="C613" s="217" t="s">
        <v>23</v>
      </c>
      <c r="D613" s="217" t="s">
        <v>48</v>
      </c>
      <c r="E613" s="217" t="s">
        <v>47</v>
      </c>
      <c r="F613" s="217" t="s">
        <v>527</v>
      </c>
      <c r="G613" s="217" t="s">
        <v>528</v>
      </c>
      <c r="H613" s="217" t="s">
        <v>1393</v>
      </c>
      <c r="I613" s="217" t="s">
        <v>529</v>
      </c>
      <c r="J613" s="217" t="s">
        <v>3420</v>
      </c>
      <c r="K613" s="217" t="s">
        <v>3421</v>
      </c>
      <c r="L613" s="217">
        <v>23</v>
      </c>
      <c r="M613" s="217">
        <v>6</v>
      </c>
      <c r="N613" s="217">
        <v>0</v>
      </c>
      <c r="O613" s="217">
        <v>0</v>
      </c>
      <c r="P613" s="217">
        <v>0</v>
      </c>
      <c r="Q613" s="217">
        <v>0</v>
      </c>
      <c r="R613" s="217" t="s">
        <v>1807</v>
      </c>
    </row>
    <row r="614" spans="1:18" x14ac:dyDescent="0.25">
      <c r="A614" s="217">
        <v>613</v>
      </c>
      <c r="B614" s="217" t="s">
        <v>22</v>
      </c>
      <c r="C614" s="217" t="s">
        <v>23</v>
      </c>
      <c r="D614" s="217" t="s">
        <v>48</v>
      </c>
      <c r="E614" s="217" t="s">
        <v>47</v>
      </c>
      <c r="F614" s="217" t="s">
        <v>527</v>
      </c>
      <c r="G614" s="217" t="s">
        <v>528</v>
      </c>
      <c r="H614" s="217" t="s">
        <v>1394</v>
      </c>
      <c r="I614" s="217" t="s">
        <v>530</v>
      </c>
      <c r="J614" s="217" t="s">
        <v>3422</v>
      </c>
      <c r="K614" s="217" t="s">
        <v>3423</v>
      </c>
      <c r="L614" s="217">
        <v>320</v>
      </c>
      <c r="M614" s="217">
        <v>153</v>
      </c>
      <c r="N614" s="217">
        <v>0</v>
      </c>
      <c r="O614" s="217">
        <v>0</v>
      </c>
      <c r="P614" s="217">
        <v>0</v>
      </c>
      <c r="Q614" s="217">
        <v>0</v>
      </c>
      <c r="R614" s="217" t="s">
        <v>1807</v>
      </c>
    </row>
    <row r="615" spans="1:18" x14ac:dyDescent="0.25">
      <c r="A615" s="217">
        <v>614</v>
      </c>
      <c r="B615" s="217" t="s">
        <v>22</v>
      </c>
      <c r="C615" s="217" t="s">
        <v>23</v>
      </c>
      <c r="D615" s="217" t="s">
        <v>48</v>
      </c>
      <c r="E615" s="217" t="s">
        <v>47</v>
      </c>
      <c r="F615" s="217" t="s">
        <v>527</v>
      </c>
      <c r="G615" s="217" t="s">
        <v>528</v>
      </c>
      <c r="H615" s="217" t="s">
        <v>1395</v>
      </c>
      <c r="I615" s="217" t="s">
        <v>531</v>
      </c>
      <c r="J615" s="217" t="s">
        <v>3424</v>
      </c>
      <c r="K615" s="217" t="s">
        <v>3425</v>
      </c>
      <c r="L615" s="217">
        <v>356</v>
      </c>
      <c r="M615" s="217">
        <v>33</v>
      </c>
      <c r="N615" s="217">
        <v>0</v>
      </c>
      <c r="O615" s="217">
        <v>0</v>
      </c>
      <c r="P615" s="217">
        <v>0</v>
      </c>
      <c r="Q615" s="217">
        <v>0</v>
      </c>
      <c r="R615" s="217" t="s">
        <v>1807</v>
      </c>
    </row>
    <row r="616" spans="1:18" x14ac:dyDescent="0.25">
      <c r="A616" s="217">
        <v>615</v>
      </c>
      <c r="B616" s="217" t="s">
        <v>22</v>
      </c>
      <c r="C616" s="217" t="s">
        <v>23</v>
      </c>
      <c r="D616" s="217" t="s">
        <v>48</v>
      </c>
      <c r="E616" s="217" t="s">
        <v>47</v>
      </c>
      <c r="F616" s="217" t="s">
        <v>527</v>
      </c>
      <c r="G616" s="217" t="s">
        <v>528</v>
      </c>
      <c r="H616" s="217" t="s">
        <v>1396</v>
      </c>
      <c r="I616" s="217" t="s">
        <v>532</v>
      </c>
      <c r="J616" s="217" t="s">
        <v>3426</v>
      </c>
      <c r="K616" s="217" t="s">
        <v>3427</v>
      </c>
      <c r="L616" s="217">
        <v>93</v>
      </c>
      <c r="M616" s="217">
        <v>38</v>
      </c>
      <c r="N616" s="217">
        <v>0</v>
      </c>
      <c r="O616" s="217">
        <v>0</v>
      </c>
      <c r="P616" s="217">
        <v>0</v>
      </c>
      <c r="Q616" s="217">
        <v>0</v>
      </c>
      <c r="R616" s="217" t="s">
        <v>1807</v>
      </c>
    </row>
    <row r="617" spans="1:18" x14ac:dyDescent="0.25">
      <c r="A617" s="217">
        <v>616</v>
      </c>
      <c r="B617" s="217" t="s">
        <v>22</v>
      </c>
      <c r="C617" s="217" t="s">
        <v>23</v>
      </c>
      <c r="D617" s="217" t="s">
        <v>48</v>
      </c>
      <c r="E617" s="217" t="s">
        <v>47</v>
      </c>
      <c r="F617" s="217" t="s">
        <v>527</v>
      </c>
      <c r="G617" s="217" t="s">
        <v>528</v>
      </c>
      <c r="H617" s="217" t="s">
        <v>1397</v>
      </c>
      <c r="I617" s="217" t="s">
        <v>533</v>
      </c>
      <c r="J617" s="217" t="s">
        <v>3428</v>
      </c>
      <c r="K617" s="217" t="s">
        <v>3429</v>
      </c>
      <c r="L617" s="217">
        <v>118</v>
      </c>
      <c r="M617" s="217">
        <v>12</v>
      </c>
      <c r="N617" s="217">
        <v>0</v>
      </c>
      <c r="O617" s="217">
        <v>0</v>
      </c>
      <c r="P617" s="217">
        <v>0</v>
      </c>
      <c r="Q617" s="217">
        <v>0</v>
      </c>
      <c r="R617" s="217" t="s">
        <v>1807</v>
      </c>
    </row>
    <row r="618" spans="1:18" x14ac:dyDescent="0.25">
      <c r="A618" s="217">
        <v>617</v>
      </c>
      <c r="B618" s="217" t="s">
        <v>22</v>
      </c>
      <c r="C618" s="217" t="s">
        <v>23</v>
      </c>
      <c r="D618" s="217" t="s">
        <v>48</v>
      </c>
      <c r="E618" s="217" t="s">
        <v>47</v>
      </c>
      <c r="F618" s="217" t="s">
        <v>527</v>
      </c>
      <c r="G618" s="217" t="s">
        <v>528</v>
      </c>
      <c r="H618" s="217" t="s">
        <v>1398</v>
      </c>
      <c r="I618" s="217" t="s">
        <v>534</v>
      </c>
      <c r="J618" s="217" t="s">
        <v>3430</v>
      </c>
      <c r="K618" s="217" t="s">
        <v>3431</v>
      </c>
      <c r="L618" s="217">
        <v>113</v>
      </c>
      <c r="M618" s="217">
        <v>29</v>
      </c>
      <c r="N618" s="217">
        <v>0</v>
      </c>
      <c r="O618" s="217">
        <v>0</v>
      </c>
      <c r="P618" s="217">
        <v>0</v>
      </c>
      <c r="Q618" s="217">
        <v>0</v>
      </c>
      <c r="R618" s="217" t="s">
        <v>1807</v>
      </c>
    </row>
    <row r="619" spans="1:18" x14ac:dyDescent="0.25">
      <c r="A619" s="217">
        <v>618</v>
      </c>
      <c r="B619" s="217" t="s">
        <v>22</v>
      </c>
      <c r="C619" s="217" t="s">
        <v>23</v>
      </c>
      <c r="D619" s="217" t="s">
        <v>48</v>
      </c>
      <c r="E619" s="217" t="s">
        <v>47</v>
      </c>
      <c r="F619" s="217" t="s">
        <v>527</v>
      </c>
      <c r="G619" s="217" t="s">
        <v>528</v>
      </c>
      <c r="H619" s="217" t="s">
        <v>1399</v>
      </c>
      <c r="I619" s="217" t="s">
        <v>535</v>
      </c>
      <c r="J619" s="217" t="s">
        <v>3432</v>
      </c>
      <c r="K619" s="217" t="s">
        <v>3433</v>
      </c>
      <c r="L619" s="217">
        <v>191</v>
      </c>
      <c r="M619" s="217">
        <v>42</v>
      </c>
      <c r="N619" s="217">
        <v>0</v>
      </c>
      <c r="O619" s="217">
        <v>0</v>
      </c>
      <c r="P619" s="217">
        <v>0</v>
      </c>
      <c r="Q619" s="217">
        <v>0</v>
      </c>
      <c r="R619" s="217" t="s">
        <v>1807</v>
      </c>
    </row>
    <row r="620" spans="1:18" x14ac:dyDescent="0.25">
      <c r="A620" s="217">
        <v>619</v>
      </c>
      <c r="B620" s="217" t="s">
        <v>22</v>
      </c>
      <c r="C620" s="217" t="s">
        <v>23</v>
      </c>
      <c r="D620" s="217" t="s">
        <v>48</v>
      </c>
      <c r="E620" s="217" t="s">
        <v>47</v>
      </c>
      <c r="F620" s="217" t="s">
        <v>527</v>
      </c>
      <c r="G620" s="217" t="s">
        <v>528</v>
      </c>
      <c r="H620" s="217" t="s">
        <v>1400</v>
      </c>
      <c r="I620" s="217" t="s">
        <v>536</v>
      </c>
      <c r="J620" s="217" t="s">
        <v>3434</v>
      </c>
      <c r="K620" s="217" t="s">
        <v>3435</v>
      </c>
      <c r="L620" s="217">
        <v>71</v>
      </c>
      <c r="M620" s="217">
        <v>49</v>
      </c>
      <c r="N620" s="217">
        <v>0</v>
      </c>
      <c r="O620" s="217">
        <v>0</v>
      </c>
      <c r="P620" s="217">
        <v>0</v>
      </c>
      <c r="Q620" s="217">
        <v>0</v>
      </c>
      <c r="R620" s="217" t="s">
        <v>1807</v>
      </c>
    </row>
    <row r="621" spans="1:18" x14ac:dyDescent="0.25">
      <c r="A621" s="217">
        <v>620</v>
      </c>
      <c r="B621" s="217" t="s">
        <v>22</v>
      </c>
      <c r="C621" s="217" t="s">
        <v>23</v>
      </c>
      <c r="D621" s="217" t="s">
        <v>48</v>
      </c>
      <c r="E621" s="217" t="s">
        <v>47</v>
      </c>
      <c r="F621" s="217" t="s">
        <v>527</v>
      </c>
      <c r="G621" s="217" t="s">
        <v>528</v>
      </c>
      <c r="H621" s="217" t="s">
        <v>1401</v>
      </c>
      <c r="I621" s="217" t="s">
        <v>537</v>
      </c>
      <c r="J621" s="217" t="s">
        <v>3436</v>
      </c>
      <c r="K621" s="217" t="s">
        <v>3437</v>
      </c>
      <c r="L621" s="217">
        <v>51</v>
      </c>
      <c r="M621" s="217">
        <v>8</v>
      </c>
      <c r="N621" s="217">
        <v>0</v>
      </c>
      <c r="O621" s="217">
        <v>0</v>
      </c>
      <c r="P621" s="217">
        <v>0</v>
      </c>
      <c r="Q621" s="217">
        <v>0</v>
      </c>
      <c r="R621" s="217" t="s">
        <v>1807</v>
      </c>
    </row>
    <row r="622" spans="1:18" x14ac:dyDescent="0.25">
      <c r="A622" s="217">
        <v>621</v>
      </c>
      <c r="B622" s="217" t="s">
        <v>22</v>
      </c>
      <c r="C622" s="217" t="s">
        <v>23</v>
      </c>
      <c r="D622" s="217" t="s">
        <v>48</v>
      </c>
      <c r="E622" s="217" t="s">
        <v>47</v>
      </c>
      <c r="F622" s="217" t="s">
        <v>527</v>
      </c>
      <c r="G622" s="217" t="s">
        <v>528</v>
      </c>
      <c r="H622" s="217" t="s">
        <v>1402</v>
      </c>
      <c r="I622" s="217" t="s">
        <v>538</v>
      </c>
      <c r="J622" s="217" t="s">
        <v>3438</v>
      </c>
      <c r="K622" s="217" t="s">
        <v>3439</v>
      </c>
      <c r="L622" s="217">
        <v>132</v>
      </c>
      <c r="M622" s="217">
        <v>21</v>
      </c>
      <c r="N622" s="217">
        <v>0</v>
      </c>
      <c r="O622" s="217">
        <v>0</v>
      </c>
      <c r="P622" s="217">
        <v>0</v>
      </c>
      <c r="Q622" s="217">
        <v>0</v>
      </c>
      <c r="R622" s="217" t="s">
        <v>1807</v>
      </c>
    </row>
    <row r="623" spans="1:18" x14ac:dyDescent="0.25">
      <c r="A623" s="217">
        <v>622</v>
      </c>
      <c r="B623" s="217" t="s">
        <v>22</v>
      </c>
      <c r="C623" s="217" t="s">
        <v>23</v>
      </c>
      <c r="D623" s="217" t="s">
        <v>48</v>
      </c>
      <c r="E623" s="217" t="s">
        <v>47</v>
      </c>
      <c r="F623" s="217" t="s">
        <v>527</v>
      </c>
      <c r="G623" s="217" t="s">
        <v>528</v>
      </c>
      <c r="H623" s="217" t="s">
        <v>1403</v>
      </c>
      <c r="I623" s="217" t="s">
        <v>539</v>
      </c>
      <c r="J623" s="217" t="s">
        <v>3440</v>
      </c>
      <c r="K623" s="217" t="s">
        <v>3441</v>
      </c>
      <c r="L623" s="217">
        <v>260</v>
      </c>
      <c r="M623" s="217">
        <v>52</v>
      </c>
      <c r="N623" s="217">
        <v>0</v>
      </c>
      <c r="O623" s="217">
        <v>0</v>
      </c>
      <c r="P623" s="217">
        <v>0</v>
      </c>
      <c r="Q623" s="217">
        <v>0</v>
      </c>
      <c r="R623" s="217" t="s">
        <v>1807</v>
      </c>
    </row>
    <row r="624" spans="1:18" x14ac:dyDescent="0.25">
      <c r="A624" s="217">
        <v>623</v>
      </c>
      <c r="B624" s="217" t="s">
        <v>22</v>
      </c>
      <c r="C624" s="217" t="s">
        <v>23</v>
      </c>
      <c r="D624" s="217" t="s">
        <v>37</v>
      </c>
      <c r="E624" s="217" t="s">
        <v>36</v>
      </c>
      <c r="F624" s="217" t="s">
        <v>236</v>
      </c>
      <c r="G624" s="217" t="s">
        <v>235</v>
      </c>
      <c r="H624" s="217" t="s">
        <v>1588</v>
      </c>
      <c r="I624" s="217" t="s">
        <v>237</v>
      </c>
      <c r="J624" s="217" t="s">
        <v>3442</v>
      </c>
      <c r="K624" s="217" t="s">
        <v>3443</v>
      </c>
      <c r="L624" s="217">
        <v>78</v>
      </c>
      <c r="M624" s="217">
        <v>10</v>
      </c>
      <c r="N624" s="217">
        <v>0</v>
      </c>
      <c r="O624" s="217">
        <v>0</v>
      </c>
      <c r="P624" s="217">
        <v>95</v>
      </c>
      <c r="Q624" s="217">
        <v>17</v>
      </c>
      <c r="R624" s="217" t="s">
        <v>1807</v>
      </c>
    </row>
    <row r="625" spans="1:18" x14ac:dyDescent="0.25">
      <c r="A625" s="217">
        <v>624</v>
      </c>
      <c r="B625" s="217" t="s">
        <v>22</v>
      </c>
      <c r="C625" s="217" t="s">
        <v>23</v>
      </c>
      <c r="D625" s="217" t="s">
        <v>37</v>
      </c>
      <c r="E625" s="217" t="s">
        <v>36</v>
      </c>
      <c r="F625" s="217" t="s">
        <v>236</v>
      </c>
      <c r="G625" s="217" t="s">
        <v>235</v>
      </c>
      <c r="H625" s="217" t="s">
        <v>1701</v>
      </c>
      <c r="I625" s="217" t="s">
        <v>238</v>
      </c>
      <c r="J625" s="217" t="s">
        <v>3444</v>
      </c>
      <c r="K625" s="217" t="s">
        <v>3445</v>
      </c>
      <c r="L625" s="217">
        <v>0</v>
      </c>
      <c r="M625" s="217">
        <v>0</v>
      </c>
      <c r="N625" s="217">
        <v>0</v>
      </c>
      <c r="O625" s="217">
        <v>0</v>
      </c>
      <c r="P625" s="217">
        <v>0</v>
      </c>
      <c r="Q625" s="217">
        <v>0</v>
      </c>
      <c r="R625" s="217" t="s">
        <v>1807</v>
      </c>
    </row>
    <row r="626" spans="1:18" x14ac:dyDescent="0.25">
      <c r="A626" s="217">
        <v>625</v>
      </c>
      <c r="B626" s="217" t="s">
        <v>22</v>
      </c>
      <c r="C626" s="217" t="s">
        <v>23</v>
      </c>
      <c r="D626" s="217" t="s">
        <v>37</v>
      </c>
      <c r="E626" s="217" t="s">
        <v>36</v>
      </c>
      <c r="F626" s="217" t="s">
        <v>236</v>
      </c>
      <c r="G626" s="217" t="s">
        <v>235</v>
      </c>
      <c r="H626" s="217" t="s">
        <v>1589</v>
      </c>
      <c r="I626" s="217" t="s">
        <v>241</v>
      </c>
      <c r="J626" s="217" t="s">
        <v>3446</v>
      </c>
      <c r="K626" s="217" t="s">
        <v>3447</v>
      </c>
      <c r="L626" s="217">
        <v>0</v>
      </c>
      <c r="M626" s="217">
        <v>0</v>
      </c>
      <c r="N626" s="217">
        <v>0</v>
      </c>
      <c r="O626" s="217">
        <v>0</v>
      </c>
      <c r="P626" s="217">
        <v>780</v>
      </c>
      <c r="Q626" s="217">
        <v>156</v>
      </c>
      <c r="R626" s="217" t="s">
        <v>1807</v>
      </c>
    </row>
    <row r="627" spans="1:18" x14ac:dyDescent="0.25">
      <c r="A627" s="217">
        <v>626</v>
      </c>
      <c r="B627" s="217" t="s">
        <v>22</v>
      </c>
      <c r="C627" s="217" t="s">
        <v>23</v>
      </c>
      <c r="D627" s="217" t="s">
        <v>37</v>
      </c>
      <c r="E627" s="217" t="s">
        <v>36</v>
      </c>
      <c r="F627" s="217" t="s">
        <v>236</v>
      </c>
      <c r="G627" s="217" t="s">
        <v>235</v>
      </c>
      <c r="H627" s="217" t="s">
        <v>1404</v>
      </c>
      <c r="I627" s="217" t="s">
        <v>242</v>
      </c>
      <c r="J627" s="217" t="s">
        <v>3448</v>
      </c>
      <c r="K627" s="217" t="s">
        <v>3449</v>
      </c>
      <c r="L627" s="217">
        <v>123</v>
      </c>
      <c r="M627" s="217">
        <v>23</v>
      </c>
      <c r="N627" s="217">
        <v>0</v>
      </c>
      <c r="O627" s="217">
        <v>0</v>
      </c>
      <c r="P627" s="217">
        <v>616</v>
      </c>
      <c r="Q627" s="217">
        <v>121</v>
      </c>
      <c r="R627" s="217" t="s">
        <v>1807</v>
      </c>
    </row>
    <row r="628" spans="1:18" x14ac:dyDescent="0.25">
      <c r="A628" s="217">
        <v>627</v>
      </c>
      <c r="B628" s="217" t="s">
        <v>22</v>
      </c>
      <c r="C628" s="217" t="s">
        <v>23</v>
      </c>
      <c r="D628" s="217" t="s">
        <v>37</v>
      </c>
      <c r="E628" s="217" t="s">
        <v>36</v>
      </c>
      <c r="F628" s="217" t="s">
        <v>236</v>
      </c>
      <c r="G628" s="217" t="s">
        <v>235</v>
      </c>
      <c r="H628" s="217" t="s">
        <v>1536</v>
      </c>
      <c r="I628" s="217" t="s">
        <v>643</v>
      </c>
      <c r="J628" s="217" t="s">
        <v>3450</v>
      </c>
      <c r="K628" s="217" t="s">
        <v>3451</v>
      </c>
      <c r="L628" s="217">
        <v>0</v>
      </c>
      <c r="M628" s="217">
        <v>0</v>
      </c>
      <c r="N628" s="217">
        <v>90</v>
      </c>
      <c r="O628" s="217">
        <v>16</v>
      </c>
      <c r="P628" s="217">
        <v>75</v>
      </c>
      <c r="Q628" s="217">
        <v>14</v>
      </c>
      <c r="R628" s="217" t="s">
        <v>1807</v>
      </c>
    </row>
    <row r="629" spans="1:18" x14ac:dyDescent="0.25">
      <c r="A629" s="217">
        <v>628</v>
      </c>
      <c r="B629" s="217" t="s">
        <v>22</v>
      </c>
      <c r="C629" s="217" t="s">
        <v>23</v>
      </c>
      <c r="D629" s="217" t="s">
        <v>37</v>
      </c>
      <c r="E629" s="217" t="s">
        <v>36</v>
      </c>
      <c r="F629" s="217" t="s">
        <v>540</v>
      </c>
      <c r="G629" s="217" t="s">
        <v>541</v>
      </c>
      <c r="H629" s="217" t="s">
        <v>1405</v>
      </c>
      <c r="I629" s="217" t="s">
        <v>542</v>
      </c>
      <c r="J629" s="217" t="s">
        <v>3452</v>
      </c>
      <c r="K629" s="217" t="s">
        <v>3453</v>
      </c>
      <c r="L629" s="217">
        <v>55</v>
      </c>
      <c r="M629" s="217">
        <v>7</v>
      </c>
      <c r="N629" s="217">
        <v>0</v>
      </c>
      <c r="O629" s="217">
        <v>0</v>
      </c>
      <c r="P629" s="217">
        <v>35</v>
      </c>
      <c r="Q629" s="217">
        <v>5</v>
      </c>
      <c r="R629" s="217" t="s">
        <v>1807</v>
      </c>
    </row>
    <row r="630" spans="1:18" x14ac:dyDescent="0.25">
      <c r="A630" s="217">
        <v>629</v>
      </c>
      <c r="B630" s="217" t="s">
        <v>22</v>
      </c>
      <c r="C630" s="217" t="s">
        <v>23</v>
      </c>
      <c r="D630" s="217" t="s">
        <v>37</v>
      </c>
      <c r="E630" s="217" t="s">
        <v>36</v>
      </c>
      <c r="F630" s="217" t="s">
        <v>540</v>
      </c>
      <c r="G630" s="217" t="s">
        <v>541</v>
      </c>
      <c r="H630" s="217" t="s">
        <v>1406</v>
      </c>
      <c r="I630" s="217" t="s">
        <v>543</v>
      </c>
      <c r="J630" s="217" t="s">
        <v>3454</v>
      </c>
      <c r="K630" s="217" t="s">
        <v>3455</v>
      </c>
      <c r="L630" s="217">
        <v>129</v>
      </c>
      <c r="M630" s="217">
        <v>19</v>
      </c>
      <c r="N630" s="217">
        <v>0</v>
      </c>
      <c r="O630" s="217">
        <v>0</v>
      </c>
      <c r="P630" s="217">
        <v>65</v>
      </c>
      <c r="Q630" s="217">
        <v>11</v>
      </c>
      <c r="R630" s="217" t="s">
        <v>1807</v>
      </c>
    </row>
    <row r="631" spans="1:18" x14ac:dyDescent="0.25">
      <c r="A631" s="217">
        <v>630</v>
      </c>
      <c r="B631" s="217" t="s">
        <v>22</v>
      </c>
      <c r="C631" s="217" t="s">
        <v>23</v>
      </c>
      <c r="D631" s="217" t="s">
        <v>37</v>
      </c>
      <c r="E631" s="217" t="s">
        <v>36</v>
      </c>
      <c r="F631" s="217" t="s">
        <v>540</v>
      </c>
      <c r="G631" s="217" t="s">
        <v>541</v>
      </c>
      <c r="H631" s="217" t="s">
        <v>1407</v>
      </c>
      <c r="I631" s="217" t="s">
        <v>544</v>
      </c>
      <c r="J631" s="217" t="s">
        <v>3456</v>
      </c>
      <c r="K631" s="217" t="s">
        <v>3457</v>
      </c>
      <c r="L631" s="217">
        <v>55</v>
      </c>
      <c r="M631" s="217">
        <v>8</v>
      </c>
      <c r="N631" s="217">
        <v>0</v>
      </c>
      <c r="O631" s="217">
        <v>0</v>
      </c>
      <c r="P631" s="217">
        <v>35</v>
      </c>
      <c r="Q631" s="217">
        <v>5</v>
      </c>
      <c r="R631" s="217" t="s">
        <v>1807</v>
      </c>
    </row>
    <row r="632" spans="1:18" x14ac:dyDescent="0.25">
      <c r="A632" s="217">
        <v>631</v>
      </c>
      <c r="B632" s="217" t="s">
        <v>22</v>
      </c>
      <c r="C632" s="217" t="s">
        <v>23</v>
      </c>
      <c r="D632" s="217" t="s">
        <v>37</v>
      </c>
      <c r="E632" s="217" t="s">
        <v>36</v>
      </c>
      <c r="F632" s="217" t="s">
        <v>540</v>
      </c>
      <c r="G632" s="217" t="s">
        <v>541</v>
      </c>
      <c r="H632" s="217" t="s">
        <v>1408</v>
      </c>
      <c r="I632" s="217" t="s">
        <v>545</v>
      </c>
      <c r="J632" s="217" t="s">
        <v>3458</v>
      </c>
      <c r="K632" s="217" t="s">
        <v>3459</v>
      </c>
      <c r="L632" s="217">
        <v>148</v>
      </c>
      <c r="M632" s="217">
        <v>26</v>
      </c>
      <c r="N632" s="217">
        <v>0</v>
      </c>
      <c r="O632" s="217">
        <v>0</v>
      </c>
      <c r="P632" s="217">
        <v>80</v>
      </c>
      <c r="Q632" s="217">
        <v>12</v>
      </c>
      <c r="R632" s="217" t="s">
        <v>1807</v>
      </c>
    </row>
    <row r="633" spans="1:18" x14ac:dyDescent="0.25">
      <c r="A633" s="217">
        <v>632</v>
      </c>
      <c r="B633" s="217" t="s">
        <v>22</v>
      </c>
      <c r="C633" s="217" t="s">
        <v>23</v>
      </c>
      <c r="D633" s="217" t="s">
        <v>37</v>
      </c>
      <c r="E633" s="217" t="s">
        <v>36</v>
      </c>
      <c r="F633" s="217" t="s">
        <v>540</v>
      </c>
      <c r="G633" s="217" t="s">
        <v>541</v>
      </c>
      <c r="H633" s="217" t="s">
        <v>1409</v>
      </c>
      <c r="I633" s="217" t="s">
        <v>285</v>
      </c>
      <c r="J633" s="217" t="s">
        <v>3460</v>
      </c>
      <c r="K633" s="217" t="s">
        <v>3461</v>
      </c>
      <c r="L633" s="217">
        <v>17</v>
      </c>
      <c r="M633" s="217">
        <v>4</v>
      </c>
      <c r="N633" s="217">
        <v>0</v>
      </c>
      <c r="O633" s="217">
        <v>0</v>
      </c>
      <c r="P633" s="217">
        <v>3</v>
      </c>
      <c r="Q633" s="217">
        <v>1</v>
      </c>
      <c r="R633" s="217" t="s">
        <v>1807</v>
      </c>
    </row>
    <row r="634" spans="1:18" x14ac:dyDescent="0.25">
      <c r="A634" s="217">
        <v>633</v>
      </c>
      <c r="B634" s="217" t="s">
        <v>22</v>
      </c>
      <c r="C634" s="217" t="s">
        <v>23</v>
      </c>
      <c r="D634" s="217" t="s">
        <v>37</v>
      </c>
      <c r="E634" s="217" t="s">
        <v>36</v>
      </c>
      <c r="F634" s="217" t="s">
        <v>540</v>
      </c>
      <c r="G634" s="217" t="s">
        <v>541</v>
      </c>
      <c r="H634" s="217" t="s">
        <v>1410</v>
      </c>
      <c r="I634" s="217" t="s">
        <v>546</v>
      </c>
      <c r="J634" s="217" t="s">
        <v>3462</v>
      </c>
      <c r="K634" s="217" t="s">
        <v>3463</v>
      </c>
      <c r="L634" s="217">
        <v>0</v>
      </c>
      <c r="M634" s="217">
        <v>0</v>
      </c>
      <c r="N634" s="217">
        <v>0</v>
      </c>
      <c r="O634" s="217">
        <v>0</v>
      </c>
      <c r="P634" s="217">
        <v>35</v>
      </c>
      <c r="Q634" s="217">
        <v>6</v>
      </c>
      <c r="R634" s="217" t="s">
        <v>1807</v>
      </c>
    </row>
    <row r="635" spans="1:18" x14ac:dyDescent="0.25">
      <c r="A635" s="217">
        <v>634</v>
      </c>
      <c r="B635" s="217" t="s">
        <v>22</v>
      </c>
      <c r="C635" s="217" t="s">
        <v>23</v>
      </c>
      <c r="D635" s="217" t="s">
        <v>37</v>
      </c>
      <c r="E635" s="217" t="s">
        <v>36</v>
      </c>
      <c r="F635" s="217" t="s">
        <v>547</v>
      </c>
      <c r="G635" s="217" t="s">
        <v>548</v>
      </c>
      <c r="H635" s="217" t="s">
        <v>1411</v>
      </c>
      <c r="I635" s="217" t="s">
        <v>549</v>
      </c>
      <c r="J635" s="217" t="s">
        <v>3464</v>
      </c>
      <c r="K635" s="217" t="s">
        <v>3465</v>
      </c>
      <c r="L635" s="217">
        <v>192</v>
      </c>
      <c r="M635" s="217">
        <v>37</v>
      </c>
      <c r="N635" s="217">
        <v>0</v>
      </c>
      <c r="O635" s="217">
        <v>0</v>
      </c>
      <c r="P635" s="217">
        <v>42</v>
      </c>
      <c r="Q635" s="217">
        <v>13</v>
      </c>
      <c r="R635" s="217" t="s">
        <v>1807</v>
      </c>
    </row>
    <row r="636" spans="1:18" x14ac:dyDescent="0.25">
      <c r="A636" s="217">
        <v>635</v>
      </c>
      <c r="B636" s="217" t="s">
        <v>22</v>
      </c>
      <c r="C636" s="217" t="s">
        <v>23</v>
      </c>
      <c r="D636" s="217" t="s">
        <v>37</v>
      </c>
      <c r="E636" s="217" t="s">
        <v>36</v>
      </c>
      <c r="F636" s="217" t="s">
        <v>547</v>
      </c>
      <c r="G636" s="217" t="s">
        <v>548</v>
      </c>
      <c r="H636" s="217" t="s">
        <v>1412</v>
      </c>
      <c r="I636" s="217" t="s">
        <v>550</v>
      </c>
      <c r="J636" s="217" t="s">
        <v>3466</v>
      </c>
      <c r="K636" s="217" t="s">
        <v>3467</v>
      </c>
      <c r="L636" s="217">
        <v>226</v>
      </c>
      <c r="M636" s="217">
        <v>42</v>
      </c>
      <c r="N636" s="217">
        <v>0</v>
      </c>
      <c r="O636" s="217">
        <v>0</v>
      </c>
      <c r="P636" s="217">
        <v>62</v>
      </c>
      <c r="Q636" s="217">
        <v>11</v>
      </c>
      <c r="R636" s="217" t="s">
        <v>1807</v>
      </c>
    </row>
    <row r="637" spans="1:18" x14ac:dyDescent="0.25">
      <c r="A637" s="217">
        <v>636</v>
      </c>
      <c r="B637" s="217" t="s">
        <v>22</v>
      </c>
      <c r="C637" s="217" t="s">
        <v>23</v>
      </c>
      <c r="D637" s="217" t="s">
        <v>37</v>
      </c>
      <c r="E637" s="217" t="s">
        <v>36</v>
      </c>
      <c r="F637" s="217" t="s">
        <v>547</v>
      </c>
      <c r="G637" s="217" t="s">
        <v>548</v>
      </c>
      <c r="H637" s="217" t="s">
        <v>1413</v>
      </c>
      <c r="I637" s="217" t="s">
        <v>551</v>
      </c>
      <c r="J637" s="217" t="s">
        <v>3468</v>
      </c>
      <c r="K637" s="217" t="s">
        <v>3469</v>
      </c>
      <c r="L637" s="217">
        <v>260</v>
      </c>
      <c r="M637" s="217">
        <v>36</v>
      </c>
      <c r="N637" s="217">
        <v>0</v>
      </c>
      <c r="O637" s="217">
        <v>0</v>
      </c>
      <c r="P637" s="217">
        <v>48</v>
      </c>
      <c r="Q637" s="217">
        <v>6</v>
      </c>
      <c r="R637" s="217" t="s">
        <v>1807</v>
      </c>
    </row>
    <row r="638" spans="1:18" x14ac:dyDescent="0.25">
      <c r="A638" s="217">
        <v>637</v>
      </c>
      <c r="B638" s="217" t="s">
        <v>22</v>
      </c>
      <c r="C638" s="217" t="s">
        <v>23</v>
      </c>
      <c r="D638" s="217" t="s">
        <v>37</v>
      </c>
      <c r="E638" s="217" t="s">
        <v>36</v>
      </c>
      <c r="F638" s="217" t="s">
        <v>547</v>
      </c>
      <c r="G638" s="217" t="s">
        <v>548</v>
      </c>
      <c r="H638" s="217" t="s">
        <v>1414</v>
      </c>
      <c r="I638" s="217" t="s">
        <v>552</v>
      </c>
      <c r="J638" s="217" t="s">
        <v>3470</v>
      </c>
      <c r="K638" s="217" t="s">
        <v>3471</v>
      </c>
      <c r="L638" s="217">
        <v>238</v>
      </c>
      <c r="M638" s="217">
        <v>38</v>
      </c>
      <c r="N638" s="217">
        <v>3</v>
      </c>
      <c r="O638" s="217">
        <v>1</v>
      </c>
      <c r="P638" s="217">
        <v>18</v>
      </c>
      <c r="Q638" s="217">
        <v>4</v>
      </c>
      <c r="R638" s="217" t="s">
        <v>1807</v>
      </c>
    </row>
    <row r="639" spans="1:18" x14ac:dyDescent="0.25">
      <c r="A639" s="217">
        <v>638</v>
      </c>
      <c r="B639" s="217" t="s">
        <v>22</v>
      </c>
      <c r="C639" s="217" t="s">
        <v>23</v>
      </c>
      <c r="D639" s="217" t="s">
        <v>37</v>
      </c>
      <c r="E639" s="217" t="s">
        <v>36</v>
      </c>
      <c r="F639" s="217" t="s">
        <v>547</v>
      </c>
      <c r="G639" s="217" t="s">
        <v>548</v>
      </c>
      <c r="H639" s="217" t="s">
        <v>1415</v>
      </c>
      <c r="I639" s="217" t="s">
        <v>553</v>
      </c>
      <c r="J639" s="217" t="s">
        <v>3472</v>
      </c>
      <c r="K639" s="217" t="s">
        <v>3473</v>
      </c>
      <c r="L639" s="217">
        <v>189</v>
      </c>
      <c r="M639" s="217">
        <v>33</v>
      </c>
      <c r="N639" s="217">
        <v>0</v>
      </c>
      <c r="O639" s="217">
        <v>0</v>
      </c>
      <c r="P639" s="217">
        <v>121</v>
      </c>
      <c r="Q639" s="217">
        <v>18</v>
      </c>
      <c r="R639" s="217" t="s">
        <v>1807</v>
      </c>
    </row>
    <row r="640" spans="1:18" x14ac:dyDescent="0.25">
      <c r="A640" s="217">
        <v>639</v>
      </c>
      <c r="B640" s="217" t="s">
        <v>22</v>
      </c>
      <c r="C640" s="217" t="s">
        <v>23</v>
      </c>
      <c r="D640" s="217" t="s">
        <v>37</v>
      </c>
      <c r="E640" s="217" t="s">
        <v>36</v>
      </c>
      <c r="F640" s="217" t="s">
        <v>547</v>
      </c>
      <c r="G640" s="217" t="s">
        <v>548</v>
      </c>
      <c r="H640" s="217" t="s">
        <v>1416</v>
      </c>
      <c r="I640" s="217" t="s">
        <v>554</v>
      </c>
      <c r="J640" s="217" t="s">
        <v>3474</v>
      </c>
      <c r="K640" s="217" t="s">
        <v>3475</v>
      </c>
      <c r="L640" s="217">
        <v>646</v>
      </c>
      <c r="M640" s="217">
        <v>98</v>
      </c>
      <c r="N640" s="217">
        <v>0</v>
      </c>
      <c r="O640" s="217">
        <v>0</v>
      </c>
      <c r="P640" s="217">
        <v>0</v>
      </c>
      <c r="Q640" s="217">
        <v>0</v>
      </c>
      <c r="R640" s="217" t="s">
        <v>1807</v>
      </c>
    </row>
    <row r="641" spans="1:18" x14ac:dyDescent="0.25">
      <c r="A641" s="217">
        <v>640</v>
      </c>
      <c r="B641" s="217" t="s">
        <v>22</v>
      </c>
      <c r="C641" s="217" t="s">
        <v>23</v>
      </c>
      <c r="D641" s="217" t="s">
        <v>37</v>
      </c>
      <c r="E641" s="217" t="s">
        <v>36</v>
      </c>
      <c r="F641" s="217" t="s">
        <v>547</v>
      </c>
      <c r="G641" s="217" t="s">
        <v>548</v>
      </c>
      <c r="H641" s="217" t="s">
        <v>1417</v>
      </c>
      <c r="I641" s="217" t="s">
        <v>555</v>
      </c>
      <c r="J641" s="217" t="s">
        <v>3476</v>
      </c>
      <c r="K641" s="217" t="s">
        <v>3477</v>
      </c>
      <c r="L641" s="217">
        <v>498</v>
      </c>
      <c r="M641" s="217">
        <v>73</v>
      </c>
      <c r="N641" s="217">
        <v>0</v>
      </c>
      <c r="O641" s="217">
        <v>0</v>
      </c>
      <c r="P641" s="217">
        <v>58</v>
      </c>
      <c r="Q641" s="217">
        <v>20</v>
      </c>
      <c r="R641" s="217" t="s">
        <v>1807</v>
      </c>
    </row>
    <row r="642" spans="1:18" x14ac:dyDescent="0.25">
      <c r="A642" s="217">
        <v>641</v>
      </c>
      <c r="B642" s="217" t="s">
        <v>22</v>
      </c>
      <c r="C642" s="217" t="s">
        <v>23</v>
      </c>
      <c r="D642" s="217" t="s">
        <v>37</v>
      </c>
      <c r="E642" s="217" t="s">
        <v>36</v>
      </c>
      <c r="F642" s="217" t="s">
        <v>547</v>
      </c>
      <c r="G642" s="217" t="s">
        <v>548</v>
      </c>
      <c r="H642" s="217" t="s">
        <v>1418</v>
      </c>
      <c r="I642" s="217" t="s">
        <v>556</v>
      </c>
      <c r="J642" s="217" t="s">
        <v>3478</v>
      </c>
      <c r="K642" s="217" t="s">
        <v>3479</v>
      </c>
      <c r="L642" s="217">
        <v>205</v>
      </c>
      <c r="M642" s="217">
        <v>34</v>
      </c>
      <c r="N642" s="217">
        <v>0</v>
      </c>
      <c r="O642" s="217">
        <v>0</v>
      </c>
      <c r="P642" s="217">
        <v>58</v>
      </c>
      <c r="Q642" s="217">
        <v>16</v>
      </c>
      <c r="R642" s="217" t="s">
        <v>1807</v>
      </c>
    </row>
    <row r="643" spans="1:18" x14ac:dyDescent="0.25">
      <c r="A643" s="217">
        <v>642</v>
      </c>
      <c r="B643" s="217" t="s">
        <v>22</v>
      </c>
      <c r="C643" s="217" t="s">
        <v>23</v>
      </c>
      <c r="D643" s="217" t="s">
        <v>37</v>
      </c>
      <c r="E643" s="217" t="s">
        <v>36</v>
      </c>
      <c r="F643" s="217" t="s">
        <v>547</v>
      </c>
      <c r="G643" s="217" t="s">
        <v>548</v>
      </c>
      <c r="H643" s="217" t="s">
        <v>1419</v>
      </c>
      <c r="I643" s="217" t="s">
        <v>557</v>
      </c>
      <c r="J643" s="217" t="s">
        <v>3480</v>
      </c>
      <c r="K643" s="217" t="s">
        <v>3481</v>
      </c>
      <c r="L643" s="217">
        <v>836</v>
      </c>
      <c r="M643" s="217">
        <v>111</v>
      </c>
      <c r="N643" s="217">
        <v>0</v>
      </c>
      <c r="O643" s="217">
        <v>0</v>
      </c>
      <c r="P643" s="217">
        <v>28</v>
      </c>
      <c r="Q643" s="217">
        <v>4</v>
      </c>
      <c r="R643" s="217" t="s">
        <v>1807</v>
      </c>
    </row>
    <row r="644" spans="1:18" x14ac:dyDescent="0.25">
      <c r="A644" s="217">
        <v>643</v>
      </c>
      <c r="B644" s="217" t="s">
        <v>22</v>
      </c>
      <c r="C644" s="217" t="s">
        <v>23</v>
      </c>
      <c r="D644" s="217" t="s">
        <v>37</v>
      </c>
      <c r="E644" s="217" t="s">
        <v>36</v>
      </c>
      <c r="F644" s="217" t="s">
        <v>547</v>
      </c>
      <c r="G644" s="217" t="s">
        <v>548</v>
      </c>
      <c r="H644" s="217" t="s">
        <v>1840</v>
      </c>
      <c r="I644" s="217" t="s">
        <v>845</v>
      </c>
      <c r="J644" s="217" t="s">
        <v>3482</v>
      </c>
      <c r="K644" s="217" t="s">
        <v>3483</v>
      </c>
      <c r="L644" s="217">
        <v>49</v>
      </c>
      <c r="M644" s="217">
        <v>10</v>
      </c>
      <c r="N644" s="217">
        <v>0</v>
      </c>
      <c r="O644" s="217">
        <v>0</v>
      </c>
      <c r="P644" s="217">
        <v>82</v>
      </c>
      <c r="Q644" s="217">
        <v>15</v>
      </c>
      <c r="R644" s="217" t="s">
        <v>1807</v>
      </c>
    </row>
    <row r="645" spans="1:18" x14ac:dyDescent="0.25">
      <c r="A645" s="217">
        <v>644</v>
      </c>
      <c r="B645" s="217" t="s">
        <v>22</v>
      </c>
      <c r="C645" s="217" t="s">
        <v>23</v>
      </c>
      <c r="D645" s="217" t="s">
        <v>37</v>
      </c>
      <c r="E645" s="217" t="s">
        <v>36</v>
      </c>
      <c r="F645" s="217" t="s">
        <v>547</v>
      </c>
      <c r="G645" s="217" t="s">
        <v>548</v>
      </c>
      <c r="H645" s="217" t="s">
        <v>1420</v>
      </c>
      <c r="I645" s="217" t="s">
        <v>558</v>
      </c>
      <c r="J645" s="217" t="s">
        <v>3484</v>
      </c>
      <c r="K645" s="217" t="s">
        <v>3485</v>
      </c>
      <c r="L645" s="217">
        <v>221</v>
      </c>
      <c r="M645" s="217">
        <v>30</v>
      </c>
      <c r="N645" s="217">
        <v>0</v>
      </c>
      <c r="O645" s="217">
        <v>0</v>
      </c>
      <c r="P645" s="217">
        <v>48</v>
      </c>
      <c r="Q645" s="217">
        <v>6</v>
      </c>
      <c r="R645" s="217" t="s">
        <v>1807</v>
      </c>
    </row>
    <row r="646" spans="1:18" x14ac:dyDescent="0.25">
      <c r="A646" s="217">
        <v>645</v>
      </c>
      <c r="B646" s="217" t="s">
        <v>22</v>
      </c>
      <c r="C646" s="217" t="s">
        <v>23</v>
      </c>
      <c r="D646" s="217" t="s">
        <v>37</v>
      </c>
      <c r="E646" s="217" t="s">
        <v>36</v>
      </c>
      <c r="F646" s="217" t="s">
        <v>547</v>
      </c>
      <c r="G646" s="217" t="s">
        <v>548</v>
      </c>
      <c r="H646" s="217" t="s">
        <v>1421</v>
      </c>
      <c r="I646" s="217" t="s">
        <v>559</v>
      </c>
      <c r="J646" s="217" t="s">
        <v>3486</v>
      </c>
      <c r="K646" s="217" t="s">
        <v>3487</v>
      </c>
      <c r="L646" s="217">
        <v>1434</v>
      </c>
      <c r="M646" s="217">
        <v>224</v>
      </c>
      <c r="N646" s="217">
        <v>0</v>
      </c>
      <c r="O646" s="217">
        <v>0</v>
      </c>
      <c r="P646" s="217">
        <v>79</v>
      </c>
      <c r="Q646" s="217">
        <v>12</v>
      </c>
      <c r="R646" s="217" t="s">
        <v>1807</v>
      </c>
    </row>
    <row r="647" spans="1:18" x14ac:dyDescent="0.25">
      <c r="A647" s="217">
        <v>646</v>
      </c>
      <c r="B647" s="217" t="s">
        <v>22</v>
      </c>
      <c r="C647" s="217" t="s">
        <v>23</v>
      </c>
      <c r="D647" s="217" t="s">
        <v>37</v>
      </c>
      <c r="E647" s="217" t="s">
        <v>36</v>
      </c>
      <c r="F647" s="217" t="s">
        <v>547</v>
      </c>
      <c r="G647" s="217" t="s">
        <v>548</v>
      </c>
      <c r="H647" s="217" t="s">
        <v>1422</v>
      </c>
      <c r="I647" s="217" t="s">
        <v>560</v>
      </c>
      <c r="J647" s="217" t="s">
        <v>3488</v>
      </c>
      <c r="K647" s="217" t="s">
        <v>3489</v>
      </c>
      <c r="L647" s="217">
        <v>287</v>
      </c>
      <c r="M647" s="217">
        <v>40</v>
      </c>
      <c r="N647" s="217">
        <v>0</v>
      </c>
      <c r="O647" s="217">
        <v>0</v>
      </c>
      <c r="P647" s="217">
        <v>0</v>
      </c>
      <c r="Q647" s="217">
        <v>0</v>
      </c>
      <c r="R647" s="217" t="s">
        <v>1807</v>
      </c>
    </row>
    <row r="648" spans="1:18" x14ac:dyDescent="0.25">
      <c r="A648" s="217">
        <v>647</v>
      </c>
      <c r="B648" s="217" t="s">
        <v>22</v>
      </c>
      <c r="C648" s="217" t="s">
        <v>23</v>
      </c>
      <c r="D648" s="217" t="s">
        <v>37</v>
      </c>
      <c r="E648" s="217" t="s">
        <v>36</v>
      </c>
      <c r="F648" s="217" t="s">
        <v>547</v>
      </c>
      <c r="G648" s="217" t="s">
        <v>548</v>
      </c>
      <c r="H648" s="217" t="s">
        <v>1423</v>
      </c>
      <c r="I648" s="217" t="s">
        <v>561</v>
      </c>
      <c r="J648" s="217" t="s">
        <v>3490</v>
      </c>
      <c r="K648" s="217" t="s">
        <v>3491</v>
      </c>
      <c r="L648" s="217">
        <v>416</v>
      </c>
      <c r="M648" s="217">
        <v>54</v>
      </c>
      <c r="N648" s="217">
        <v>2</v>
      </c>
      <c r="O648" s="217">
        <v>1</v>
      </c>
      <c r="P648" s="217">
        <v>32</v>
      </c>
      <c r="Q648" s="217">
        <v>6</v>
      </c>
      <c r="R648" s="217" t="s">
        <v>1807</v>
      </c>
    </row>
    <row r="649" spans="1:18" x14ac:dyDescent="0.25">
      <c r="A649" s="217">
        <v>648</v>
      </c>
      <c r="B649" s="217" t="s">
        <v>22</v>
      </c>
      <c r="C649" s="217" t="s">
        <v>23</v>
      </c>
      <c r="D649" s="217" t="s">
        <v>37</v>
      </c>
      <c r="E649" s="217" t="s">
        <v>36</v>
      </c>
      <c r="F649" s="217" t="s">
        <v>547</v>
      </c>
      <c r="G649" s="217" t="s">
        <v>548</v>
      </c>
      <c r="H649" s="217" t="s">
        <v>1424</v>
      </c>
      <c r="I649" s="217" t="s">
        <v>562</v>
      </c>
      <c r="J649" s="217" t="s">
        <v>3492</v>
      </c>
      <c r="K649" s="217" t="s">
        <v>3493</v>
      </c>
      <c r="L649" s="217">
        <v>438</v>
      </c>
      <c r="M649" s="217">
        <v>51</v>
      </c>
      <c r="N649" s="217">
        <v>0</v>
      </c>
      <c r="O649" s="217">
        <v>0</v>
      </c>
      <c r="P649" s="217">
        <v>69</v>
      </c>
      <c r="Q649" s="217">
        <v>11</v>
      </c>
      <c r="R649" s="217" t="s">
        <v>1807</v>
      </c>
    </row>
    <row r="650" spans="1:18" x14ac:dyDescent="0.25">
      <c r="A650" s="217">
        <v>649</v>
      </c>
      <c r="B650" s="217" t="s">
        <v>22</v>
      </c>
      <c r="C650" s="217" t="s">
        <v>23</v>
      </c>
      <c r="D650" s="217" t="s">
        <v>37</v>
      </c>
      <c r="E650" s="217" t="s">
        <v>36</v>
      </c>
      <c r="F650" s="217" t="s">
        <v>547</v>
      </c>
      <c r="G650" s="217" t="s">
        <v>548</v>
      </c>
      <c r="H650" s="217" t="s">
        <v>1425</v>
      </c>
      <c r="I650" s="217" t="s">
        <v>563</v>
      </c>
      <c r="J650" s="217" t="s">
        <v>3494</v>
      </c>
      <c r="K650" s="217" t="s">
        <v>3495</v>
      </c>
      <c r="L650" s="217">
        <v>1592</v>
      </c>
      <c r="M650" s="217">
        <v>202</v>
      </c>
      <c r="N650" s="217">
        <v>0</v>
      </c>
      <c r="O650" s="217">
        <v>0</v>
      </c>
      <c r="P650" s="217">
        <v>80</v>
      </c>
      <c r="Q650" s="217">
        <v>12</v>
      </c>
      <c r="R650" s="217" t="s">
        <v>1807</v>
      </c>
    </row>
    <row r="651" spans="1:18" x14ac:dyDescent="0.25">
      <c r="A651" s="217">
        <v>650</v>
      </c>
      <c r="B651" s="217" t="s">
        <v>22</v>
      </c>
      <c r="C651" s="217" t="s">
        <v>23</v>
      </c>
      <c r="D651" s="217" t="s">
        <v>37</v>
      </c>
      <c r="E651" s="217" t="s">
        <v>36</v>
      </c>
      <c r="F651" s="217" t="s">
        <v>547</v>
      </c>
      <c r="G651" s="217" t="s">
        <v>548</v>
      </c>
      <c r="H651" s="217" t="s">
        <v>2035</v>
      </c>
      <c r="I651" s="217" t="s">
        <v>2036</v>
      </c>
      <c r="J651" s="217" t="s">
        <v>3496</v>
      </c>
      <c r="K651" s="217" t="s">
        <v>3497</v>
      </c>
      <c r="L651" s="217">
        <v>0</v>
      </c>
      <c r="M651" s="217">
        <v>0</v>
      </c>
      <c r="N651" s="217">
        <v>0</v>
      </c>
      <c r="O651" s="217">
        <v>0</v>
      </c>
      <c r="P651" s="217">
        <v>84</v>
      </c>
      <c r="Q651" s="217">
        <v>18</v>
      </c>
      <c r="R651" s="217" t="s">
        <v>1807</v>
      </c>
    </row>
    <row r="652" spans="1:18" x14ac:dyDescent="0.25">
      <c r="A652" s="217">
        <v>651</v>
      </c>
      <c r="B652" s="217" t="s">
        <v>22</v>
      </c>
      <c r="C652" s="217" t="s">
        <v>23</v>
      </c>
      <c r="D652" s="217" t="s">
        <v>37</v>
      </c>
      <c r="E652" s="217" t="s">
        <v>36</v>
      </c>
      <c r="F652" s="217" t="s">
        <v>547</v>
      </c>
      <c r="G652" s="217" t="s">
        <v>548</v>
      </c>
      <c r="H652" s="217" t="s">
        <v>2037</v>
      </c>
      <c r="I652" s="217" t="s">
        <v>2038</v>
      </c>
      <c r="J652" s="217" t="s">
        <v>3498</v>
      </c>
      <c r="K652" s="217" t="s">
        <v>3499</v>
      </c>
      <c r="L652" s="217">
        <v>82</v>
      </c>
      <c r="M652" s="217">
        <v>11</v>
      </c>
      <c r="N652" s="217">
        <v>0</v>
      </c>
      <c r="O652" s="217">
        <v>0</v>
      </c>
      <c r="P652" s="217">
        <v>0</v>
      </c>
      <c r="Q652" s="217">
        <v>0</v>
      </c>
      <c r="R652" s="217" t="s">
        <v>1807</v>
      </c>
    </row>
    <row r="653" spans="1:18" x14ac:dyDescent="0.25">
      <c r="A653" s="217">
        <v>652</v>
      </c>
      <c r="B653" s="217" t="s">
        <v>22</v>
      </c>
      <c r="C653" s="217" t="s">
        <v>23</v>
      </c>
      <c r="D653" s="217" t="s">
        <v>37</v>
      </c>
      <c r="E653" s="217" t="s">
        <v>36</v>
      </c>
      <c r="F653" s="217" t="s">
        <v>547</v>
      </c>
      <c r="G653" s="217" t="s">
        <v>548</v>
      </c>
      <c r="H653" s="217" t="s">
        <v>1426</v>
      </c>
      <c r="I653" s="217" t="s">
        <v>564</v>
      </c>
      <c r="J653" s="217" t="s">
        <v>3500</v>
      </c>
      <c r="K653" s="217" t="s">
        <v>3501</v>
      </c>
      <c r="L653" s="217">
        <v>192</v>
      </c>
      <c r="M653" s="217">
        <v>29</v>
      </c>
      <c r="N653" s="217">
        <v>0</v>
      </c>
      <c r="O653" s="217">
        <v>0</v>
      </c>
      <c r="P653" s="217">
        <v>0</v>
      </c>
      <c r="Q653" s="217">
        <v>0</v>
      </c>
      <c r="R653" s="217" t="s">
        <v>1807</v>
      </c>
    </row>
    <row r="654" spans="1:18" x14ac:dyDescent="0.25">
      <c r="A654" s="217">
        <v>653</v>
      </c>
      <c r="B654" s="217" t="s">
        <v>22</v>
      </c>
      <c r="C654" s="217" t="s">
        <v>23</v>
      </c>
      <c r="D654" s="217" t="s">
        <v>37</v>
      </c>
      <c r="E654" s="217" t="s">
        <v>36</v>
      </c>
      <c r="F654" s="217" t="s">
        <v>547</v>
      </c>
      <c r="G654" s="217" t="s">
        <v>548</v>
      </c>
      <c r="H654" s="217" t="s">
        <v>1427</v>
      </c>
      <c r="I654" s="217" t="s">
        <v>565</v>
      </c>
      <c r="J654" s="217" t="s">
        <v>3502</v>
      </c>
      <c r="K654" s="217" t="s">
        <v>3503</v>
      </c>
      <c r="L654" s="217">
        <v>471</v>
      </c>
      <c r="M654" s="217">
        <v>61</v>
      </c>
      <c r="N654" s="217">
        <v>11</v>
      </c>
      <c r="O654" s="217">
        <v>3</v>
      </c>
      <c r="P654" s="217">
        <v>115</v>
      </c>
      <c r="Q654" s="217">
        <v>23</v>
      </c>
      <c r="R654" s="217" t="s">
        <v>1807</v>
      </c>
    </row>
    <row r="655" spans="1:18" x14ac:dyDescent="0.25">
      <c r="A655" s="217">
        <v>654</v>
      </c>
      <c r="B655" s="217" t="s">
        <v>22</v>
      </c>
      <c r="C655" s="217" t="s">
        <v>23</v>
      </c>
      <c r="D655" s="217" t="s">
        <v>37</v>
      </c>
      <c r="E655" s="217" t="s">
        <v>36</v>
      </c>
      <c r="F655" s="217" t="s">
        <v>547</v>
      </c>
      <c r="G655" s="217" t="s">
        <v>548</v>
      </c>
      <c r="H655" s="217" t="s">
        <v>1428</v>
      </c>
      <c r="I655" s="217" t="s">
        <v>242</v>
      </c>
      <c r="J655" s="217" t="s">
        <v>3504</v>
      </c>
      <c r="K655" s="217" t="s">
        <v>3505</v>
      </c>
      <c r="L655" s="217">
        <v>948</v>
      </c>
      <c r="M655" s="217">
        <v>131</v>
      </c>
      <c r="N655" s="217">
        <v>0</v>
      </c>
      <c r="O655" s="217">
        <v>0</v>
      </c>
      <c r="P655" s="217">
        <v>32</v>
      </c>
      <c r="Q655" s="217">
        <v>5</v>
      </c>
      <c r="R655" s="217" t="s">
        <v>1807</v>
      </c>
    </row>
    <row r="656" spans="1:18" x14ac:dyDescent="0.25">
      <c r="A656" s="217">
        <v>655</v>
      </c>
      <c r="B656" s="217" t="s">
        <v>22</v>
      </c>
      <c r="C656" s="217" t="s">
        <v>23</v>
      </c>
      <c r="D656" s="217" t="s">
        <v>37</v>
      </c>
      <c r="E656" s="217" t="s">
        <v>36</v>
      </c>
      <c r="F656" s="217" t="s">
        <v>547</v>
      </c>
      <c r="G656" s="217" t="s">
        <v>548</v>
      </c>
      <c r="H656" s="217" t="s">
        <v>1429</v>
      </c>
      <c r="I656" s="217" t="s">
        <v>566</v>
      </c>
      <c r="J656" s="217" t="s">
        <v>3506</v>
      </c>
      <c r="K656" s="217" t="s">
        <v>3507</v>
      </c>
      <c r="L656" s="217">
        <v>360</v>
      </c>
      <c r="M656" s="217">
        <v>59</v>
      </c>
      <c r="N656" s="217">
        <v>7</v>
      </c>
      <c r="O656" s="217">
        <v>2</v>
      </c>
      <c r="P656" s="217">
        <v>67</v>
      </c>
      <c r="Q656" s="217">
        <v>12</v>
      </c>
      <c r="R656" s="217" t="s">
        <v>1807</v>
      </c>
    </row>
    <row r="657" spans="1:18" x14ac:dyDescent="0.25">
      <c r="A657" s="217">
        <v>656</v>
      </c>
      <c r="B657" s="217" t="s">
        <v>22</v>
      </c>
      <c r="C657" s="217" t="s">
        <v>23</v>
      </c>
      <c r="D657" s="217" t="s">
        <v>37</v>
      </c>
      <c r="E657" s="217" t="s">
        <v>36</v>
      </c>
      <c r="F657" s="217" t="s">
        <v>547</v>
      </c>
      <c r="G657" s="217" t="s">
        <v>548</v>
      </c>
      <c r="H657" s="217" t="s">
        <v>1430</v>
      </c>
      <c r="I657" s="217" t="s">
        <v>567</v>
      </c>
      <c r="J657" s="217" t="s">
        <v>3508</v>
      </c>
      <c r="K657" s="217" t="s">
        <v>3509</v>
      </c>
      <c r="L657" s="217">
        <v>180</v>
      </c>
      <c r="M657" s="217">
        <v>32</v>
      </c>
      <c r="N657" s="217">
        <v>0</v>
      </c>
      <c r="O657" s="217">
        <v>0</v>
      </c>
      <c r="P657" s="217">
        <v>43</v>
      </c>
      <c r="Q657" s="217">
        <v>7</v>
      </c>
      <c r="R657" s="217" t="s">
        <v>1807</v>
      </c>
    </row>
    <row r="658" spans="1:18" x14ac:dyDescent="0.25">
      <c r="A658" s="217">
        <v>657</v>
      </c>
      <c r="B658" s="217" t="s">
        <v>22</v>
      </c>
      <c r="C658" s="217" t="s">
        <v>23</v>
      </c>
      <c r="D658" s="217" t="s">
        <v>37</v>
      </c>
      <c r="E658" s="217" t="s">
        <v>36</v>
      </c>
      <c r="F658" s="217" t="s">
        <v>547</v>
      </c>
      <c r="G658" s="217" t="s">
        <v>548</v>
      </c>
      <c r="H658" s="217" t="s">
        <v>2039</v>
      </c>
      <c r="I658" s="217" t="s">
        <v>586</v>
      </c>
      <c r="J658" s="217" t="s">
        <v>3510</v>
      </c>
      <c r="K658" s="217" t="s">
        <v>3511</v>
      </c>
      <c r="L658" s="217">
        <v>142</v>
      </c>
      <c r="M658" s="217">
        <v>21</v>
      </c>
      <c r="N658" s="217">
        <v>0</v>
      </c>
      <c r="O658" s="217">
        <v>0</v>
      </c>
      <c r="P658" s="217">
        <v>0</v>
      </c>
      <c r="Q658" s="217">
        <v>0</v>
      </c>
      <c r="R658" s="217" t="s">
        <v>1807</v>
      </c>
    </row>
    <row r="659" spans="1:18" x14ac:dyDescent="0.25">
      <c r="A659" s="217">
        <v>658</v>
      </c>
      <c r="B659" s="217" t="s">
        <v>22</v>
      </c>
      <c r="C659" s="217" t="s">
        <v>23</v>
      </c>
      <c r="D659" s="217" t="s">
        <v>37</v>
      </c>
      <c r="E659" s="217" t="s">
        <v>36</v>
      </c>
      <c r="F659" s="217" t="s">
        <v>547</v>
      </c>
      <c r="G659" s="217" t="s">
        <v>548</v>
      </c>
      <c r="H659" s="217" t="s">
        <v>1431</v>
      </c>
      <c r="I659" s="217" t="s">
        <v>599</v>
      </c>
      <c r="J659" s="217" t="s">
        <v>3512</v>
      </c>
      <c r="K659" s="217" t="s">
        <v>3513</v>
      </c>
      <c r="L659" s="217">
        <v>896</v>
      </c>
      <c r="M659" s="217">
        <v>109</v>
      </c>
      <c r="N659" s="217">
        <v>0</v>
      </c>
      <c r="O659" s="217">
        <v>0</v>
      </c>
      <c r="P659" s="217">
        <v>193</v>
      </c>
      <c r="Q659" s="217">
        <v>29</v>
      </c>
      <c r="R659" s="217" t="s">
        <v>1807</v>
      </c>
    </row>
    <row r="660" spans="1:18" x14ac:dyDescent="0.25">
      <c r="A660" s="217">
        <v>659</v>
      </c>
      <c r="B660" s="217" t="s">
        <v>22</v>
      </c>
      <c r="C660" s="217" t="s">
        <v>23</v>
      </c>
      <c r="D660" s="217" t="s">
        <v>37</v>
      </c>
      <c r="E660" s="217" t="s">
        <v>36</v>
      </c>
      <c r="F660" s="217" t="s">
        <v>547</v>
      </c>
      <c r="G660" s="217" t="s">
        <v>548</v>
      </c>
      <c r="H660" s="217" t="s">
        <v>1432</v>
      </c>
      <c r="I660" s="217" t="s">
        <v>568</v>
      </c>
      <c r="J660" s="217" t="s">
        <v>3514</v>
      </c>
      <c r="K660" s="217" t="s">
        <v>3515</v>
      </c>
      <c r="L660" s="217">
        <v>302</v>
      </c>
      <c r="M660" s="217">
        <v>43</v>
      </c>
      <c r="N660" s="217">
        <v>0</v>
      </c>
      <c r="O660" s="217">
        <v>0</v>
      </c>
      <c r="P660" s="217">
        <v>48</v>
      </c>
      <c r="Q660" s="217">
        <v>8</v>
      </c>
      <c r="R660" s="217" t="s">
        <v>1807</v>
      </c>
    </row>
    <row r="661" spans="1:18" x14ac:dyDescent="0.25">
      <c r="A661" s="217">
        <v>660</v>
      </c>
      <c r="B661" s="217" t="s">
        <v>22</v>
      </c>
      <c r="C661" s="217" t="s">
        <v>23</v>
      </c>
      <c r="D661" s="217" t="s">
        <v>37</v>
      </c>
      <c r="E661" s="217" t="s">
        <v>36</v>
      </c>
      <c r="F661" s="217" t="s">
        <v>547</v>
      </c>
      <c r="G661" s="217" t="s">
        <v>548</v>
      </c>
      <c r="H661" s="217" t="s">
        <v>1433</v>
      </c>
      <c r="I661" s="217" t="s">
        <v>569</v>
      </c>
      <c r="J661" s="217" t="s">
        <v>3516</v>
      </c>
      <c r="K661" s="217" t="s">
        <v>3517</v>
      </c>
      <c r="L661" s="217">
        <v>129</v>
      </c>
      <c r="M661" s="217">
        <v>21</v>
      </c>
      <c r="N661" s="217">
        <v>0</v>
      </c>
      <c r="O661" s="217">
        <v>0</v>
      </c>
      <c r="P661" s="217">
        <v>142</v>
      </c>
      <c r="Q661" s="217">
        <v>21</v>
      </c>
      <c r="R661" s="217" t="s">
        <v>1807</v>
      </c>
    </row>
    <row r="662" spans="1:18" x14ac:dyDescent="0.25">
      <c r="A662" s="217">
        <v>661</v>
      </c>
      <c r="B662" s="217" t="s">
        <v>22</v>
      </c>
      <c r="C662" s="217" t="s">
        <v>23</v>
      </c>
      <c r="D662" s="217" t="s">
        <v>37</v>
      </c>
      <c r="E662" s="217" t="s">
        <v>36</v>
      </c>
      <c r="F662" s="217" t="s">
        <v>547</v>
      </c>
      <c r="G662" s="217" t="s">
        <v>548</v>
      </c>
      <c r="H662" s="217" t="s">
        <v>1434</v>
      </c>
      <c r="I662" s="217" t="s">
        <v>570</v>
      </c>
      <c r="J662" s="217" t="s">
        <v>3518</v>
      </c>
      <c r="K662" s="217" t="s">
        <v>3519</v>
      </c>
      <c r="L662" s="217">
        <v>493</v>
      </c>
      <c r="M662" s="217">
        <v>73</v>
      </c>
      <c r="N662" s="217">
        <v>0</v>
      </c>
      <c r="O662" s="217">
        <v>0</v>
      </c>
      <c r="P662" s="217">
        <v>0</v>
      </c>
      <c r="Q662" s="217">
        <v>0</v>
      </c>
      <c r="R662" s="217" t="s">
        <v>1807</v>
      </c>
    </row>
    <row r="663" spans="1:18" x14ac:dyDescent="0.25">
      <c r="A663" s="217">
        <v>662</v>
      </c>
      <c r="B663" s="217" t="s">
        <v>22</v>
      </c>
      <c r="C663" s="217" t="s">
        <v>23</v>
      </c>
      <c r="D663" s="217" t="s">
        <v>37</v>
      </c>
      <c r="E663" s="217" t="s">
        <v>36</v>
      </c>
      <c r="F663" s="217" t="s">
        <v>547</v>
      </c>
      <c r="G663" s="217" t="s">
        <v>548</v>
      </c>
      <c r="H663" s="217" t="s">
        <v>1435</v>
      </c>
      <c r="I663" s="217" t="s">
        <v>571</v>
      </c>
      <c r="J663" s="217" t="s">
        <v>3520</v>
      </c>
      <c r="K663" s="217" t="s">
        <v>3521</v>
      </c>
      <c r="L663" s="217">
        <v>1320</v>
      </c>
      <c r="M663" s="217">
        <v>173</v>
      </c>
      <c r="N663" s="217">
        <v>0</v>
      </c>
      <c r="O663" s="217">
        <v>0</v>
      </c>
      <c r="P663" s="217">
        <v>284</v>
      </c>
      <c r="Q663" s="217">
        <v>53</v>
      </c>
      <c r="R663" s="217" t="s">
        <v>1807</v>
      </c>
    </row>
    <row r="664" spans="1:18" x14ac:dyDescent="0.25">
      <c r="A664" s="217">
        <v>663</v>
      </c>
      <c r="B664" s="217" t="s">
        <v>22</v>
      </c>
      <c r="C664" s="217" t="s">
        <v>23</v>
      </c>
      <c r="D664" s="217" t="s">
        <v>37</v>
      </c>
      <c r="E664" s="217" t="s">
        <v>36</v>
      </c>
      <c r="F664" s="217" t="s">
        <v>547</v>
      </c>
      <c r="G664" s="217" t="s">
        <v>548</v>
      </c>
      <c r="H664" s="217" t="s">
        <v>1436</v>
      </c>
      <c r="I664" s="217" t="s">
        <v>572</v>
      </c>
      <c r="J664" s="217" t="s">
        <v>3522</v>
      </c>
      <c r="K664" s="217" t="s">
        <v>3523</v>
      </c>
      <c r="L664" s="217">
        <v>1138</v>
      </c>
      <c r="M664" s="217">
        <v>152</v>
      </c>
      <c r="N664" s="217">
        <v>0</v>
      </c>
      <c r="O664" s="217">
        <v>0</v>
      </c>
      <c r="P664" s="217">
        <v>135</v>
      </c>
      <c r="Q664" s="217">
        <v>18</v>
      </c>
      <c r="R664" s="217" t="s">
        <v>1807</v>
      </c>
    </row>
    <row r="665" spans="1:18" x14ac:dyDescent="0.25">
      <c r="A665" s="217">
        <v>664</v>
      </c>
      <c r="B665" s="217" t="s">
        <v>22</v>
      </c>
      <c r="C665" s="217" t="s">
        <v>23</v>
      </c>
      <c r="D665" s="217" t="s">
        <v>37</v>
      </c>
      <c r="E665" s="217" t="s">
        <v>36</v>
      </c>
      <c r="F665" s="217" t="s">
        <v>547</v>
      </c>
      <c r="G665" s="217" t="s">
        <v>548</v>
      </c>
      <c r="H665" s="217" t="s">
        <v>1437</v>
      </c>
      <c r="I665" s="217" t="s">
        <v>573</v>
      </c>
      <c r="J665" s="217" t="s">
        <v>3524</v>
      </c>
      <c r="K665" s="217" t="s">
        <v>3525</v>
      </c>
      <c r="L665" s="217">
        <v>340</v>
      </c>
      <c r="M665" s="217">
        <v>47</v>
      </c>
      <c r="N665" s="217">
        <v>0</v>
      </c>
      <c r="O665" s="217">
        <v>0</v>
      </c>
      <c r="P665" s="217">
        <v>62</v>
      </c>
      <c r="Q665" s="217">
        <v>13</v>
      </c>
      <c r="R665" s="217" t="s">
        <v>1807</v>
      </c>
    </row>
    <row r="666" spans="1:18" x14ac:dyDescent="0.25">
      <c r="A666" s="217">
        <v>665</v>
      </c>
      <c r="B666" s="217" t="s">
        <v>22</v>
      </c>
      <c r="C666" s="217" t="s">
        <v>23</v>
      </c>
      <c r="D666" s="217" t="s">
        <v>37</v>
      </c>
      <c r="E666" s="217" t="s">
        <v>36</v>
      </c>
      <c r="F666" s="217" t="s">
        <v>547</v>
      </c>
      <c r="G666" s="217" t="s">
        <v>548</v>
      </c>
      <c r="H666" s="217" t="s">
        <v>1438</v>
      </c>
      <c r="I666" s="217" t="s">
        <v>574</v>
      </c>
      <c r="J666" s="217" t="s">
        <v>3526</v>
      </c>
      <c r="K666" s="217" t="s">
        <v>3527</v>
      </c>
      <c r="L666" s="217">
        <v>646</v>
      </c>
      <c r="M666" s="217">
        <v>92</v>
      </c>
      <c r="N666" s="217">
        <v>0</v>
      </c>
      <c r="O666" s="217">
        <v>0</v>
      </c>
      <c r="P666" s="217">
        <v>109</v>
      </c>
      <c r="Q666" s="217">
        <v>16</v>
      </c>
      <c r="R666" s="217" t="s">
        <v>1807</v>
      </c>
    </row>
    <row r="667" spans="1:18" x14ac:dyDescent="0.25">
      <c r="A667" s="217">
        <v>666</v>
      </c>
      <c r="B667" s="217" t="s">
        <v>22</v>
      </c>
      <c r="C667" s="217" t="s">
        <v>23</v>
      </c>
      <c r="D667" s="217" t="s">
        <v>37</v>
      </c>
      <c r="E667" s="217" t="s">
        <v>36</v>
      </c>
      <c r="F667" s="217" t="s">
        <v>547</v>
      </c>
      <c r="G667" s="217" t="s">
        <v>548</v>
      </c>
      <c r="H667" s="217" t="s">
        <v>1439</v>
      </c>
      <c r="I667" s="217" t="s">
        <v>575</v>
      </c>
      <c r="J667" s="217" t="s">
        <v>3528</v>
      </c>
      <c r="K667" s="217" t="s">
        <v>3529</v>
      </c>
      <c r="L667" s="217">
        <v>336</v>
      </c>
      <c r="M667" s="217">
        <v>49</v>
      </c>
      <c r="N667" s="217">
        <v>4</v>
      </c>
      <c r="O667" s="217">
        <v>2</v>
      </c>
      <c r="P667" s="217">
        <v>32</v>
      </c>
      <c r="Q667" s="217">
        <v>6</v>
      </c>
      <c r="R667" s="217" t="s">
        <v>1807</v>
      </c>
    </row>
    <row r="668" spans="1:18" x14ac:dyDescent="0.25">
      <c r="A668" s="217">
        <v>667</v>
      </c>
      <c r="B668" s="217" t="s">
        <v>22</v>
      </c>
      <c r="C668" s="217" t="s">
        <v>23</v>
      </c>
      <c r="D668" s="217" t="s">
        <v>37</v>
      </c>
      <c r="E668" s="217" t="s">
        <v>36</v>
      </c>
      <c r="F668" s="217" t="s">
        <v>547</v>
      </c>
      <c r="G668" s="217" t="s">
        <v>548</v>
      </c>
      <c r="H668" s="217" t="s">
        <v>2040</v>
      </c>
      <c r="I668" s="217" t="s">
        <v>2041</v>
      </c>
      <c r="J668" s="217" t="s">
        <v>3530</v>
      </c>
      <c r="K668" s="217" t="s">
        <v>3531</v>
      </c>
      <c r="L668" s="217">
        <v>63</v>
      </c>
      <c r="M668" s="217">
        <v>12</v>
      </c>
      <c r="N668" s="217">
        <v>0</v>
      </c>
      <c r="O668" s="217">
        <v>0</v>
      </c>
      <c r="P668" s="217">
        <v>11</v>
      </c>
      <c r="Q668" s="217">
        <v>2</v>
      </c>
      <c r="R668" s="217" t="s">
        <v>1807</v>
      </c>
    </row>
    <row r="669" spans="1:18" x14ac:dyDescent="0.25">
      <c r="A669" s="217">
        <v>668</v>
      </c>
      <c r="B669" s="217" t="s">
        <v>22</v>
      </c>
      <c r="C669" s="217" t="s">
        <v>23</v>
      </c>
      <c r="D669" s="217" t="s">
        <v>37</v>
      </c>
      <c r="E669" s="217" t="s">
        <v>36</v>
      </c>
      <c r="F669" s="217" t="s">
        <v>547</v>
      </c>
      <c r="G669" s="217" t="s">
        <v>548</v>
      </c>
      <c r="H669" s="217" t="s">
        <v>1440</v>
      </c>
      <c r="I669" s="217" t="s">
        <v>576</v>
      </c>
      <c r="J669" s="217" t="s">
        <v>3532</v>
      </c>
      <c r="K669" s="217" t="s">
        <v>3533</v>
      </c>
      <c r="L669" s="217">
        <v>549</v>
      </c>
      <c r="M669" s="217">
        <v>73</v>
      </c>
      <c r="N669" s="217">
        <v>3</v>
      </c>
      <c r="O669" s="217">
        <v>1</v>
      </c>
      <c r="P669" s="217">
        <v>0</v>
      </c>
      <c r="Q669" s="217">
        <v>0</v>
      </c>
      <c r="R669" s="217" t="s">
        <v>1807</v>
      </c>
    </row>
    <row r="670" spans="1:18" x14ac:dyDescent="0.25">
      <c r="A670" s="217">
        <v>669</v>
      </c>
      <c r="B670" s="217" t="s">
        <v>22</v>
      </c>
      <c r="C670" s="217" t="s">
        <v>23</v>
      </c>
      <c r="D670" s="217" t="s">
        <v>37</v>
      </c>
      <c r="E670" s="217" t="s">
        <v>36</v>
      </c>
      <c r="F670" s="217" t="s">
        <v>244</v>
      </c>
      <c r="G670" s="217" t="s">
        <v>243</v>
      </c>
      <c r="H670" s="217" t="s">
        <v>1537</v>
      </c>
      <c r="I670" s="217" t="s">
        <v>644</v>
      </c>
      <c r="J670" s="217" t="s">
        <v>3534</v>
      </c>
      <c r="K670" s="217" t="s">
        <v>3535</v>
      </c>
      <c r="L670" s="217">
        <v>0</v>
      </c>
      <c r="M670" s="217">
        <v>0</v>
      </c>
      <c r="N670" s="217">
        <v>35</v>
      </c>
      <c r="O670" s="217">
        <v>6</v>
      </c>
      <c r="P670" s="217">
        <v>8</v>
      </c>
      <c r="Q670" s="217">
        <v>2</v>
      </c>
      <c r="R670" s="217" t="s">
        <v>1807</v>
      </c>
    </row>
    <row r="671" spans="1:18" x14ac:dyDescent="0.25">
      <c r="A671" s="217">
        <v>670</v>
      </c>
      <c r="B671" s="217" t="s">
        <v>22</v>
      </c>
      <c r="C671" s="217" t="s">
        <v>23</v>
      </c>
      <c r="D671" s="217" t="s">
        <v>37</v>
      </c>
      <c r="E671" s="217" t="s">
        <v>36</v>
      </c>
      <c r="F671" s="217" t="s">
        <v>244</v>
      </c>
      <c r="G671" s="217" t="s">
        <v>243</v>
      </c>
      <c r="H671" s="217" t="s">
        <v>1538</v>
      </c>
      <c r="I671" s="217" t="s">
        <v>645</v>
      </c>
      <c r="J671" s="217" t="s">
        <v>3536</v>
      </c>
      <c r="K671" s="217" t="s">
        <v>3537</v>
      </c>
      <c r="L671" s="217">
        <v>0</v>
      </c>
      <c r="M671" s="217">
        <v>0</v>
      </c>
      <c r="N671" s="217">
        <v>152</v>
      </c>
      <c r="O671" s="217">
        <v>30</v>
      </c>
      <c r="P671" s="217">
        <v>73</v>
      </c>
      <c r="Q671" s="217">
        <v>13</v>
      </c>
      <c r="R671" s="217" t="s">
        <v>1807</v>
      </c>
    </row>
    <row r="672" spans="1:18" x14ac:dyDescent="0.25">
      <c r="A672" s="217">
        <v>671</v>
      </c>
      <c r="B672" s="217" t="s">
        <v>22</v>
      </c>
      <c r="C672" s="217" t="s">
        <v>23</v>
      </c>
      <c r="D672" s="217" t="s">
        <v>37</v>
      </c>
      <c r="E672" s="217" t="s">
        <v>36</v>
      </c>
      <c r="F672" s="217" t="s">
        <v>244</v>
      </c>
      <c r="G672" s="217" t="s">
        <v>243</v>
      </c>
      <c r="H672" s="217" t="s">
        <v>1539</v>
      </c>
      <c r="I672" s="217" t="s">
        <v>646</v>
      </c>
      <c r="J672" s="217" t="s">
        <v>3538</v>
      </c>
      <c r="K672" s="217" t="s">
        <v>3539</v>
      </c>
      <c r="L672" s="217">
        <v>0</v>
      </c>
      <c r="M672" s="217">
        <v>0</v>
      </c>
      <c r="N672" s="217">
        <v>20</v>
      </c>
      <c r="O672" s="217">
        <v>5</v>
      </c>
      <c r="P672" s="217">
        <v>30</v>
      </c>
      <c r="Q672" s="217">
        <v>5</v>
      </c>
      <c r="R672" s="217" t="s">
        <v>1807</v>
      </c>
    </row>
    <row r="673" spans="1:18" x14ac:dyDescent="0.25">
      <c r="A673" s="217">
        <v>672</v>
      </c>
      <c r="B673" s="217" t="s">
        <v>22</v>
      </c>
      <c r="C673" s="217" t="s">
        <v>23</v>
      </c>
      <c r="D673" s="217" t="s">
        <v>37</v>
      </c>
      <c r="E673" s="217" t="s">
        <v>36</v>
      </c>
      <c r="F673" s="217" t="s">
        <v>244</v>
      </c>
      <c r="G673" s="217" t="s">
        <v>243</v>
      </c>
      <c r="H673" s="217" t="s">
        <v>2042</v>
      </c>
      <c r="I673" s="217" t="s">
        <v>2043</v>
      </c>
      <c r="J673" s="217" t="s">
        <v>3540</v>
      </c>
      <c r="K673" s="217" t="s">
        <v>3541</v>
      </c>
      <c r="L673" s="217">
        <v>0</v>
      </c>
      <c r="M673" s="217">
        <v>0</v>
      </c>
      <c r="N673" s="217">
        <v>8</v>
      </c>
      <c r="O673" s="217">
        <v>2</v>
      </c>
      <c r="P673" s="217">
        <v>0</v>
      </c>
      <c r="Q673" s="217">
        <v>0</v>
      </c>
      <c r="R673" s="217" t="s">
        <v>1807</v>
      </c>
    </row>
    <row r="674" spans="1:18" x14ac:dyDescent="0.25">
      <c r="A674" s="217">
        <v>673</v>
      </c>
      <c r="B674" s="217" t="s">
        <v>22</v>
      </c>
      <c r="C674" s="217" t="s">
        <v>23</v>
      </c>
      <c r="D674" s="217" t="s">
        <v>37</v>
      </c>
      <c r="E674" s="217" t="s">
        <v>36</v>
      </c>
      <c r="F674" s="217" t="s">
        <v>244</v>
      </c>
      <c r="G674" s="217" t="s">
        <v>243</v>
      </c>
      <c r="H674" s="217" t="s">
        <v>1542</v>
      </c>
      <c r="I674" s="217" t="s">
        <v>647</v>
      </c>
      <c r="J674" s="217" t="s">
        <v>3542</v>
      </c>
      <c r="K674" s="217" t="s">
        <v>3543</v>
      </c>
      <c r="L674" s="217">
        <v>0</v>
      </c>
      <c r="M674" s="217">
        <v>0</v>
      </c>
      <c r="N674" s="217">
        <v>46</v>
      </c>
      <c r="O674" s="217">
        <v>9</v>
      </c>
      <c r="P674" s="217">
        <v>0</v>
      </c>
      <c r="Q674" s="217">
        <v>0</v>
      </c>
      <c r="R674" s="217" t="s">
        <v>1807</v>
      </c>
    </row>
    <row r="675" spans="1:18" x14ac:dyDescent="0.25">
      <c r="A675" s="217">
        <v>674</v>
      </c>
      <c r="B675" s="217" t="s">
        <v>22</v>
      </c>
      <c r="C675" s="217" t="s">
        <v>23</v>
      </c>
      <c r="D675" s="217" t="s">
        <v>37</v>
      </c>
      <c r="E675" s="217" t="s">
        <v>36</v>
      </c>
      <c r="F675" s="217" t="s">
        <v>244</v>
      </c>
      <c r="G675" s="217" t="s">
        <v>243</v>
      </c>
      <c r="H675" s="217" t="s">
        <v>1543</v>
      </c>
      <c r="I675" s="217" t="s">
        <v>245</v>
      </c>
      <c r="J675" s="217" t="s">
        <v>3544</v>
      </c>
      <c r="K675" s="217" t="s">
        <v>3545</v>
      </c>
      <c r="L675" s="217">
        <v>0</v>
      </c>
      <c r="M675" s="217">
        <v>0</v>
      </c>
      <c r="N675" s="217">
        <v>270</v>
      </c>
      <c r="O675" s="217">
        <v>30</v>
      </c>
      <c r="P675" s="217">
        <v>300</v>
      </c>
      <c r="Q675" s="217">
        <v>50</v>
      </c>
      <c r="R675" s="217" t="s">
        <v>1807</v>
      </c>
    </row>
    <row r="676" spans="1:18" x14ac:dyDescent="0.25">
      <c r="A676" s="217">
        <v>675</v>
      </c>
      <c r="B676" s="217" t="s">
        <v>22</v>
      </c>
      <c r="C676" s="217" t="s">
        <v>23</v>
      </c>
      <c r="D676" s="217" t="s">
        <v>37</v>
      </c>
      <c r="E676" s="217" t="s">
        <v>36</v>
      </c>
      <c r="F676" s="217" t="s">
        <v>244</v>
      </c>
      <c r="G676" s="217" t="s">
        <v>243</v>
      </c>
      <c r="H676" s="217" t="s">
        <v>1544</v>
      </c>
      <c r="I676" s="217" t="s">
        <v>648</v>
      </c>
      <c r="J676" s="217" t="s">
        <v>3546</v>
      </c>
      <c r="K676" s="217" t="s">
        <v>3547</v>
      </c>
      <c r="L676" s="217">
        <v>0</v>
      </c>
      <c r="M676" s="217">
        <v>0</v>
      </c>
      <c r="N676" s="217">
        <v>42</v>
      </c>
      <c r="O676" s="217">
        <v>9</v>
      </c>
      <c r="P676" s="217">
        <v>37</v>
      </c>
      <c r="Q676" s="217">
        <v>14</v>
      </c>
      <c r="R676" s="217" t="s">
        <v>1807</v>
      </c>
    </row>
    <row r="677" spans="1:18" x14ac:dyDescent="0.25">
      <c r="A677" s="217">
        <v>676</v>
      </c>
      <c r="B677" s="217" t="s">
        <v>22</v>
      </c>
      <c r="C677" s="217" t="s">
        <v>23</v>
      </c>
      <c r="D677" s="217" t="s">
        <v>37</v>
      </c>
      <c r="E677" s="217" t="s">
        <v>36</v>
      </c>
      <c r="F677" s="217" t="s">
        <v>244</v>
      </c>
      <c r="G677" s="217" t="s">
        <v>243</v>
      </c>
      <c r="H677" s="217" t="s">
        <v>1545</v>
      </c>
      <c r="I677" s="217" t="s">
        <v>649</v>
      </c>
      <c r="J677" s="217" t="s">
        <v>3548</v>
      </c>
      <c r="K677" s="217" t="s">
        <v>3549</v>
      </c>
      <c r="L677" s="217">
        <v>0</v>
      </c>
      <c r="M677" s="217">
        <v>0</v>
      </c>
      <c r="N677" s="217">
        <v>100</v>
      </c>
      <c r="O677" s="217">
        <v>15</v>
      </c>
      <c r="P677" s="217">
        <v>69</v>
      </c>
      <c r="Q677" s="217">
        <v>16</v>
      </c>
      <c r="R677" s="217" t="s">
        <v>1807</v>
      </c>
    </row>
    <row r="678" spans="1:18" x14ac:dyDescent="0.25">
      <c r="A678" s="217">
        <v>677</v>
      </c>
      <c r="B678" s="217" t="s">
        <v>22</v>
      </c>
      <c r="C678" s="217" t="s">
        <v>23</v>
      </c>
      <c r="D678" s="217" t="s">
        <v>37</v>
      </c>
      <c r="E678" s="217" t="s">
        <v>36</v>
      </c>
      <c r="F678" s="217" t="s">
        <v>244</v>
      </c>
      <c r="G678" s="217" t="s">
        <v>243</v>
      </c>
      <c r="H678" s="217" t="s">
        <v>1546</v>
      </c>
      <c r="I678" s="217" t="s">
        <v>650</v>
      </c>
      <c r="J678" s="217" t="s">
        <v>3550</v>
      </c>
      <c r="K678" s="217" t="s">
        <v>3551</v>
      </c>
      <c r="L678" s="217">
        <v>0</v>
      </c>
      <c r="M678" s="217">
        <v>0</v>
      </c>
      <c r="N678" s="217">
        <v>103</v>
      </c>
      <c r="O678" s="217">
        <v>22</v>
      </c>
      <c r="P678" s="217">
        <v>80</v>
      </c>
      <c r="Q678" s="217">
        <v>17</v>
      </c>
      <c r="R678" s="217" t="s">
        <v>1807</v>
      </c>
    </row>
    <row r="679" spans="1:18" x14ac:dyDescent="0.25">
      <c r="A679" s="217">
        <v>678</v>
      </c>
      <c r="B679" s="217" t="s">
        <v>22</v>
      </c>
      <c r="C679" s="217" t="s">
        <v>23</v>
      </c>
      <c r="D679" s="217" t="s">
        <v>37</v>
      </c>
      <c r="E679" s="217" t="s">
        <v>36</v>
      </c>
      <c r="F679" s="217" t="s">
        <v>244</v>
      </c>
      <c r="G679" s="217" t="s">
        <v>243</v>
      </c>
      <c r="H679" s="217" t="s">
        <v>1547</v>
      </c>
      <c r="I679" s="217" t="s">
        <v>651</v>
      </c>
      <c r="J679" s="217" t="s">
        <v>3552</v>
      </c>
      <c r="K679" s="217" t="s">
        <v>3553</v>
      </c>
      <c r="L679" s="217">
        <v>0</v>
      </c>
      <c r="M679" s="217">
        <v>0</v>
      </c>
      <c r="N679" s="217">
        <v>87</v>
      </c>
      <c r="O679" s="217">
        <v>30</v>
      </c>
      <c r="P679" s="217">
        <v>170</v>
      </c>
      <c r="Q679" s="217">
        <v>52</v>
      </c>
      <c r="R679" s="217" t="s">
        <v>1807</v>
      </c>
    </row>
    <row r="680" spans="1:18" x14ac:dyDescent="0.25">
      <c r="A680" s="217">
        <v>679</v>
      </c>
      <c r="B680" s="217" t="s">
        <v>22</v>
      </c>
      <c r="C680" s="217" t="s">
        <v>23</v>
      </c>
      <c r="D680" s="217" t="s">
        <v>37</v>
      </c>
      <c r="E680" s="217" t="s">
        <v>36</v>
      </c>
      <c r="F680" s="217" t="s">
        <v>244</v>
      </c>
      <c r="G680" s="217" t="s">
        <v>243</v>
      </c>
      <c r="H680" s="217" t="s">
        <v>1548</v>
      </c>
      <c r="I680" s="217" t="s">
        <v>652</v>
      </c>
      <c r="J680" s="217" t="s">
        <v>3554</v>
      </c>
      <c r="K680" s="217" t="s">
        <v>3555</v>
      </c>
      <c r="L680" s="217">
        <v>0</v>
      </c>
      <c r="M680" s="217">
        <v>0</v>
      </c>
      <c r="N680" s="217">
        <v>161</v>
      </c>
      <c r="O680" s="217">
        <v>30</v>
      </c>
      <c r="P680" s="217">
        <v>150</v>
      </c>
      <c r="Q680" s="217">
        <v>50</v>
      </c>
      <c r="R680" s="217" t="s">
        <v>1807</v>
      </c>
    </row>
    <row r="681" spans="1:18" x14ac:dyDescent="0.25">
      <c r="A681" s="217">
        <v>680</v>
      </c>
      <c r="B681" s="217" t="s">
        <v>22</v>
      </c>
      <c r="C681" s="217" t="s">
        <v>23</v>
      </c>
      <c r="D681" s="217" t="s">
        <v>37</v>
      </c>
      <c r="E681" s="217" t="s">
        <v>36</v>
      </c>
      <c r="F681" s="217" t="s">
        <v>244</v>
      </c>
      <c r="G681" s="217" t="s">
        <v>243</v>
      </c>
      <c r="H681" s="217" t="s">
        <v>1549</v>
      </c>
      <c r="I681" s="217" t="s">
        <v>653</v>
      </c>
      <c r="J681" s="217" t="s">
        <v>3556</v>
      </c>
      <c r="K681" s="217" t="s">
        <v>3557</v>
      </c>
      <c r="L681" s="217">
        <v>0</v>
      </c>
      <c r="M681" s="217">
        <v>0</v>
      </c>
      <c r="N681" s="217">
        <v>18</v>
      </c>
      <c r="O681" s="217">
        <v>3</v>
      </c>
      <c r="P681" s="217">
        <v>0</v>
      </c>
      <c r="Q681" s="217">
        <v>0</v>
      </c>
      <c r="R681" s="217" t="s">
        <v>1807</v>
      </c>
    </row>
    <row r="682" spans="1:18" x14ac:dyDescent="0.25">
      <c r="A682" s="217">
        <v>681</v>
      </c>
      <c r="B682" s="217" t="s">
        <v>22</v>
      </c>
      <c r="C682" s="217" t="s">
        <v>23</v>
      </c>
      <c r="D682" s="217" t="s">
        <v>37</v>
      </c>
      <c r="E682" s="217" t="s">
        <v>36</v>
      </c>
      <c r="F682" s="217" t="s">
        <v>244</v>
      </c>
      <c r="G682" s="217" t="s">
        <v>243</v>
      </c>
      <c r="H682" s="217" t="s">
        <v>1550</v>
      </c>
      <c r="I682" s="217" t="s">
        <v>654</v>
      </c>
      <c r="J682" s="217" t="s">
        <v>3558</v>
      </c>
      <c r="K682" s="217" t="s">
        <v>3559</v>
      </c>
      <c r="L682" s="217">
        <v>0</v>
      </c>
      <c r="M682" s="217">
        <v>0</v>
      </c>
      <c r="N682" s="217">
        <v>65</v>
      </c>
      <c r="O682" s="217">
        <v>12</v>
      </c>
      <c r="P682" s="217">
        <v>35</v>
      </c>
      <c r="Q682" s="217">
        <v>8</v>
      </c>
      <c r="R682" s="217" t="s">
        <v>1807</v>
      </c>
    </row>
    <row r="683" spans="1:18" x14ac:dyDescent="0.25">
      <c r="A683" s="217">
        <v>682</v>
      </c>
      <c r="B683" s="217" t="s">
        <v>22</v>
      </c>
      <c r="C683" s="217" t="s">
        <v>23</v>
      </c>
      <c r="D683" s="217" t="s">
        <v>37</v>
      </c>
      <c r="E683" s="217" t="s">
        <v>36</v>
      </c>
      <c r="F683" s="217" t="s">
        <v>244</v>
      </c>
      <c r="G683" s="217" t="s">
        <v>243</v>
      </c>
      <c r="H683" s="217" t="s">
        <v>1551</v>
      </c>
      <c r="I683" s="217" t="s">
        <v>655</v>
      </c>
      <c r="J683" s="217" t="s">
        <v>3560</v>
      </c>
      <c r="K683" s="217" t="s">
        <v>3561</v>
      </c>
      <c r="L683" s="217">
        <v>0</v>
      </c>
      <c r="M683" s="217">
        <v>0</v>
      </c>
      <c r="N683" s="217">
        <v>202</v>
      </c>
      <c r="O683" s="217">
        <v>25</v>
      </c>
      <c r="P683" s="217">
        <v>31</v>
      </c>
      <c r="Q683" s="217">
        <v>5</v>
      </c>
      <c r="R683" s="217" t="s">
        <v>1807</v>
      </c>
    </row>
    <row r="684" spans="1:18" x14ac:dyDescent="0.25">
      <c r="A684" s="217">
        <v>683</v>
      </c>
      <c r="B684" s="217" t="s">
        <v>22</v>
      </c>
      <c r="C684" s="217" t="s">
        <v>23</v>
      </c>
      <c r="D684" s="217" t="s">
        <v>37</v>
      </c>
      <c r="E684" s="217" t="s">
        <v>36</v>
      </c>
      <c r="F684" s="217" t="s">
        <v>247</v>
      </c>
      <c r="G684" s="217" t="s">
        <v>246</v>
      </c>
      <c r="H684" s="217" t="s">
        <v>2044</v>
      </c>
      <c r="I684" s="217" t="s">
        <v>2045</v>
      </c>
      <c r="J684" s="217" t="s">
        <v>3562</v>
      </c>
      <c r="K684" s="217" t="s">
        <v>3563</v>
      </c>
      <c r="L684" s="217">
        <v>45</v>
      </c>
      <c r="M684" s="217">
        <v>9</v>
      </c>
      <c r="N684" s="217">
        <v>0</v>
      </c>
      <c r="O684" s="217">
        <v>0</v>
      </c>
      <c r="P684" s="217">
        <v>4</v>
      </c>
      <c r="Q684" s="217">
        <v>1</v>
      </c>
      <c r="R684" s="217" t="s">
        <v>1807</v>
      </c>
    </row>
    <row r="685" spans="1:18" x14ac:dyDescent="0.25">
      <c r="A685" s="217">
        <v>684</v>
      </c>
      <c r="B685" s="217" t="s">
        <v>22</v>
      </c>
      <c r="C685" s="217" t="s">
        <v>23</v>
      </c>
      <c r="D685" s="217" t="s">
        <v>37</v>
      </c>
      <c r="E685" s="217" t="s">
        <v>36</v>
      </c>
      <c r="F685" s="217" t="s">
        <v>247</v>
      </c>
      <c r="G685" s="217" t="s">
        <v>246</v>
      </c>
      <c r="H685" s="217" t="s">
        <v>1441</v>
      </c>
      <c r="I685" s="217" t="s">
        <v>577</v>
      </c>
      <c r="J685" s="217" t="s">
        <v>3564</v>
      </c>
      <c r="K685" s="217" t="s">
        <v>3565</v>
      </c>
      <c r="L685" s="217">
        <v>152</v>
      </c>
      <c r="M685" s="217">
        <v>24</v>
      </c>
      <c r="N685" s="217">
        <v>0</v>
      </c>
      <c r="O685" s="217">
        <v>0</v>
      </c>
      <c r="P685" s="217">
        <v>1221</v>
      </c>
      <c r="Q685" s="217">
        <v>156</v>
      </c>
      <c r="R685" s="217" t="s">
        <v>1807</v>
      </c>
    </row>
    <row r="686" spans="1:18" x14ac:dyDescent="0.25">
      <c r="A686" s="217">
        <v>685</v>
      </c>
      <c r="B686" s="217" t="s">
        <v>22</v>
      </c>
      <c r="C686" s="217" t="s">
        <v>23</v>
      </c>
      <c r="D686" s="217" t="s">
        <v>37</v>
      </c>
      <c r="E686" s="217" t="s">
        <v>36</v>
      </c>
      <c r="F686" s="217" t="s">
        <v>247</v>
      </c>
      <c r="G686" s="217" t="s">
        <v>246</v>
      </c>
      <c r="H686" s="217" t="s">
        <v>1590</v>
      </c>
      <c r="I686" s="217" t="s">
        <v>683</v>
      </c>
      <c r="J686" s="217" t="s">
        <v>3566</v>
      </c>
      <c r="K686" s="217" t="s">
        <v>3567</v>
      </c>
      <c r="L686" s="217">
        <v>0</v>
      </c>
      <c r="M686" s="217">
        <v>0</v>
      </c>
      <c r="N686" s="217">
        <v>0</v>
      </c>
      <c r="O686" s="217">
        <v>0</v>
      </c>
      <c r="P686" s="217">
        <v>8</v>
      </c>
      <c r="Q686" s="217">
        <v>2</v>
      </c>
      <c r="R686" s="217" t="s">
        <v>1807</v>
      </c>
    </row>
    <row r="687" spans="1:18" x14ac:dyDescent="0.25">
      <c r="A687" s="217">
        <v>686</v>
      </c>
      <c r="B687" s="217" t="s">
        <v>22</v>
      </c>
      <c r="C687" s="217" t="s">
        <v>23</v>
      </c>
      <c r="D687" s="217" t="s">
        <v>37</v>
      </c>
      <c r="E687" s="217" t="s">
        <v>36</v>
      </c>
      <c r="F687" s="217" t="s">
        <v>247</v>
      </c>
      <c r="G687" s="217" t="s">
        <v>246</v>
      </c>
      <c r="H687" s="217" t="s">
        <v>1442</v>
      </c>
      <c r="I687" s="217" t="s">
        <v>578</v>
      </c>
      <c r="J687" s="217" t="s">
        <v>3568</v>
      </c>
      <c r="K687" s="217" t="s">
        <v>3569</v>
      </c>
      <c r="L687" s="217">
        <v>14</v>
      </c>
      <c r="M687" s="217">
        <v>2</v>
      </c>
      <c r="N687" s="217">
        <v>0</v>
      </c>
      <c r="O687" s="217">
        <v>0</v>
      </c>
      <c r="P687" s="217">
        <v>0</v>
      </c>
      <c r="Q687" s="217">
        <v>0</v>
      </c>
      <c r="R687" s="217" t="s">
        <v>1807</v>
      </c>
    </row>
    <row r="688" spans="1:18" x14ac:dyDescent="0.25">
      <c r="A688" s="217">
        <v>687</v>
      </c>
      <c r="B688" s="217" t="s">
        <v>22</v>
      </c>
      <c r="C688" s="217" t="s">
        <v>23</v>
      </c>
      <c r="D688" s="217" t="s">
        <v>37</v>
      </c>
      <c r="E688" s="217" t="s">
        <v>36</v>
      </c>
      <c r="F688" s="217" t="s">
        <v>247</v>
      </c>
      <c r="G688" s="217" t="s">
        <v>246</v>
      </c>
      <c r="H688" s="217" t="s">
        <v>1443</v>
      </c>
      <c r="I688" s="217" t="s">
        <v>579</v>
      </c>
      <c r="J688" s="217" t="s">
        <v>3570</v>
      </c>
      <c r="K688" s="217" t="s">
        <v>3571</v>
      </c>
      <c r="L688" s="217">
        <v>304</v>
      </c>
      <c r="M688" s="217">
        <v>37</v>
      </c>
      <c r="N688" s="217">
        <v>0</v>
      </c>
      <c r="O688" s="217">
        <v>0</v>
      </c>
      <c r="P688" s="217">
        <v>48</v>
      </c>
      <c r="Q688" s="217">
        <v>6</v>
      </c>
      <c r="R688" s="217" t="s">
        <v>1807</v>
      </c>
    </row>
    <row r="689" spans="1:18" x14ac:dyDescent="0.25">
      <c r="A689" s="217">
        <v>688</v>
      </c>
      <c r="B689" s="217" t="s">
        <v>22</v>
      </c>
      <c r="C689" s="217" t="s">
        <v>23</v>
      </c>
      <c r="D689" s="217" t="s">
        <v>37</v>
      </c>
      <c r="E689" s="217" t="s">
        <v>36</v>
      </c>
      <c r="F689" s="217" t="s">
        <v>247</v>
      </c>
      <c r="G689" s="217" t="s">
        <v>246</v>
      </c>
      <c r="H689" s="217" t="s">
        <v>1444</v>
      </c>
      <c r="I689" s="217" t="s">
        <v>580</v>
      </c>
      <c r="J689" s="217" t="s">
        <v>3572</v>
      </c>
      <c r="K689" s="217" t="s">
        <v>3573</v>
      </c>
      <c r="L689" s="217">
        <v>350</v>
      </c>
      <c r="M689" s="217">
        <v>70</v>
      </c>
      <c r="N689" s="217">
        <v>160</v>
      </c>
      <c r="O689" s="217">
        <v>32</v>
      </c>
      <c r="P689" s="217">
        <v>100</v>
      </c>
      <c r="Q689" s="217">
        <v>20</v>
      </c>
      <c r="R689" s="217" t="s">
        <v>1807</v>
      </c>
    </row>
    <row r="690" spans="1:18" x14ac:dyDescent="0.25">
      <c r="A690" s="217">
        <v>689</v>
      </c>
      <c r="B690" s="217" t="s">
        <v>22</v>
      </c>
      <c r="C690" s="217" t="s">
        <v>23</v>
      </c>
      <c r="D690" s="217" t="s">
        <v>37</v>
      </c>
      <c r="E690" s="217" t="s">
        <v>36</v>
      </c>
      <c r="F690" s="217" t="s">
        <v>247</v>
      </c>
      <c r="G690" s="217" t="s">
        <v>246</v>
      </c>
      <c r="H690" s="217" t="s">
        <v>1445</v>
      </c>
      <c r="I690" s="217" t="s">
        <v>581</v>
      </c>
      <c r="J690" s="217" t="s">
        <v>3574</v>
      </c>
      <c r="K690" s="217" t="s">
        <v>3575</v>
      </c>
      <c r="L690" s="217">
        <v>45</v>
      </c>
      <c r="M690" s="217">
        <v>9</v>
      </c>
      <c r="N690" s="217">
        <v>0</v>
      </c>
      <c r="O690" s="217">
        <v>0</v>
      </c>
      <c r="P690" s="217">
        <v>0</v>
      </c>
      <c r="Q690" s="217">
        <v>0</v>
      </c>
      <c r="R690" s="217" t="s">
        <v>1807</v>
      </c>
    </row>
    <row r="691" spans="1:18" x14ac:dyDescent="0.25">
      <c r="A691" s="217">
        <v>690</v>
      </c>
      <c r="B691" s="217" t="s">
        <v>22</v>
      </c>
      <c r="C691" s="217" t="s">
        <v>23</v>
      </c>
      <c r="D691" s="217" t="s">
        <v>37</v>
      </c>
      <c r="E691" s="217" t="s">
        <v>36</v>
      </c>
      <c r="F691" s="217" t="s">
        <v>247</v>
      </c>
      <c r="G691" s="217" t="s">
        <v>246</v>
      </c>
      <c r="H691" s="217" t="s">
        <v>2046</v>
      </c>
      <c r="I691" s="217" t="s">
        <v>2047</v>
      </c>
      <c r="J691" s="217" t="s">
        <v>3576</v>
      </c>
      <c r="K691" s="217" t="s">
        <v>3577</v>
      </c>
      <c r="L691" s="217">
        <v>1709</v>
      </c>
      <c r="M691" s="217">
        <v>256</v>
      </c>
      <c r="N691" s="217">
        <v>0</v>
      </c>
      <c r="O691" s="217">
        <v>0</v>
      </c>
      <c r="P691" s="217">
        <v>248</v>
      </c>
      <c r="Q691" s="217">
        <v>30</v>
      </c>
      <c r="R691" s="217" t="s">
        <v>1807</v>
      </c>
    </row>
    <row r="692" spans="1:18" x14ac:dyDescent="0.25">
      <c r="A692" s="217">
        <v>691</v>
      </c>
      <c r="B692" s="217" t="s">
        <v>22</v>
      </c>
      <c r="C692" s="217" t="s">
        <v>23</v>
      </c>
      <c r="D692" s="217" t="s">
        <v>37</v>
      </c>
      <c r="E692" s="217" t="s">
        <v>36</v>
      </c>
      <c r="F692" s="217" t="s">
        <v>247</v>
      </c>
      <c r="G692" s="217" t="s">
        <v>246</v>
      </c>
      <c r="H692" s="217" t="s">
        <v>1446</v>
      </c>
      <c r="I692" s="217" t="s">
        <v>582</v>
      </c>
      <c r="J692" s="217" t="s">
        <v>3578</v>
      </c>
      <c r="K692" s="217" t="s">
        <v>3579</v>
      </c>
      <c r="L692" s="217">
        <v>1080</v>
      </c>
      <c r="M692" s="217">
        <v>216</v>
      </c>
      <c r="N692" s="217">
        <v>0</v>
      </c>
      <c r="O692" s="217">
        <v>0</v>
      </c>
      <c r="P692" s="217">
        <v>617</v>
      </c>
      <c r="Q692" s="217">
        <v>123</v>
      </c>
      <c r="R692" s="217" t="s">
        <v>1807</v>
      </c>
    </row>
    <row r="693" spans="1:18" x14ac:dyDescent="0.25">
      <c r="A693" s="217">
        <v>692</v>
      </c>
      <c r="B693" s="217" t="s">
        <v>22</v>
      </c>
      <c r="C693" s="217" t="s">
        <v>23</v>
      </c>
      <c r="D693" s="217" t="s">
        <v>37</v>
      </c>
      <c r="E693" s="217" t="s">
        <v>36</v>
      </c>
      <c r="F693" s="217" t="s">
        <v>247</v>
      </c>
      <c r="G693" s="217" t="s">
        <v>246</v>
      </c>
      <c r="H693" s="217" t="s">
        <v>1447</v>
      </c>
      <c r="I693" s="217" t="s">
        <v>583</v>
      </c>
      <c r="J693" s="217" t="s">
        <v>3580</v>
      </c>
      <c r="K693" s="217" t="s">
        <v>3581</v>
      </c>
      <c r="L693" s="217">
        <v>0</v>
      </c>
      <c r="M693" s="217">
        <v>0</v>
      </c>
      <c r="N693" s="217">
        <v>0</v>
      </c>
      <c r="O693" s="217">
        <v>0</v>
      </c>
      <c r="P693" s="217">
        <v>48</v>
      </c>
      <c r="Q693" s="217">
        <v>6</v>
      </c>
      <c r="R693" s="217" t="s">
        <v>1807</v>
      </c>
    </row>
    <row r="694" spans="1:18" x14ac:dyDescent="0.25">
      <c r="A694" s="217">
        <v>693</v>
      </c>
      <c r="B694" s="217" t="s">
        <v>22</v>
      </c>
      <c r="C694" s="217" t="s">
        <v>23</v>
      </c>
      <c r="D694" s="217" t="s">
        <v>37</v>
      </c>
      <c r="E694" s="217" t="s">
        <v>36</v>
      </c>
      <c r="F694" s="217" t="s">
        <v>247</v>
      </c>
      <c r="G694" s="217" t="s">
        <v>246</v>
      </c>
      <c r="H694" s="217" t="s">
        <v>1448</v>
      </c>
      <c r="I694" s="217" t="s">
        <v>242</v>
      </c>
      <c r="J694" s="217" t="s">
        <v>3582</v>
      </c>
      <c r="K694" s="217" t="s">
        <v>3583</v>
      </c>
      <c r="L694" s="217">
        <v>952</v>
      </c>
      <c r="M694" s="217">
        <v>120</v>
      </c>
      <c r="N694" s="217">
        <v>0</v>
      </c>
      <c r="O694" s="217">
        <v>0</v>
      </c>
      <c r="P694" s="217">
        <v>114</v>
      </c>
      <c r="Q694" s="217">
        <v>15</v>
      </c>
      <c r="R694" s="217" t="s">
        <v>1807</v>
      </c>
    </row>
    <row r="695" spans="1:18" x14ac:dyDescent="0.25">
      <c r="A695" s="217">
        <v>694</v>
      </c>
      <c r="B695" s="217" t="s">
        <v>22</v>
      </c>
      <c r="C695" s="217" t="s">
        <v>23</v>
      </c>
      <c r="D695" s="217" t="s">
        <v>37</v>
      </c>
      <c r="E695" s="217" t="s">
        <v>36</v>
      </c>
      <c r="F695" s="217" t="s">
        <v>247</v>
      </c>
      <c r="G695" s="217" t="s">
        <v>246</v>
      </c>
      <c r="H695" s="217" t="s">
        <v>1974</v>
      </c>
      <c r="I695" s="217" t="s">
        <v>1973</v>
      </c>
      <c r="J695" s="217" t="s">
        <v>3584</v>
      </c>
      <c r="K695" s="217" t="s">
        <v>3585</v>
      </c>
      <c r="L695" s="217">
        <v>0</v>
      </c>
      <c r="M695" s="217">
        <v>0</v>
      </c>
      <c r="N695" s="217">
        <v>271</v>
      </c>
      <c r="O695" s="217">
        <v>42</v>
      </c>
      <c r="P695" s="217">
        <v>184</v>
      </c>
      <c r="Q695" s="217">
        <v>36</v>
      </c>
      <c r="R695" s="217" t="s">
        <v>1807</v>
      </c>
    </row>
    <row r="696" spans="1:18" x14ac:dyDescent="0.25">
      <c r="A696" s="217">
        <v>695</v>
      </c>
      <c r="B696" s="217" t="s">
        <v>22</v>
      </c>
      <c r="C696" s="217" t="s">
        <v>23</v>
      </c>
      <c r="D696" s="217" t="s">
        <v>37</v>
      </c>
      <c r="E696" s="217" t="s">
        <v>36</v>
      </c>
      <c r="F696" s="217" t="s">
        <v>247</v>
      </c>
      <c r="G696" s="217" t="s">
        <v>246</v>
      </c>
      <c r="H696" s="217" t="s">
        <v>1449</v>
      </c>
      <c r="I696" s="217" t="s">
        <v>584</v>
      </c>
      <c r="J696" s="217" t="s">
        <v>3586</v>
      </c>
      <c r="K696" s="217" t="s">
        <v>3587</v>
      </c>
      <c r="L696" s="217">
        <v>551</v>
      </c>
      <c r="M696" s="217">
        <v>92</v>
      </c>
      <c r="N696" s="217">
        <v>0</v>
      </c>
      <c r="O696" s="217">
        <v>0</v>
      </c>
      <c r="P696" s="217">
        <v>25</v>
      </c>
      <c r="Q696" s="217">
        <v>5</v>
      </c>
      <c r="R696" s="217" t="s">
        <v>1807</v>
      </c>
    </row>
    <row r="697" spans="1:18" x14ac:dyDescent="0.25">
      <c r="A697" s="217">
        <v>696</v>
      </c>
      <c r="B697" s="217" t="s">
        <v>22</v>
      </c>
      <c r="C697" s="217" t="s">
        <v>23</v>
      </c>
      <c r="D697" s="217" t="s">
        <v>37</v>
      </c>
      <c r="E697" s="217" t="s">
        <v>36</v>
      </c>
      <c r="F697" s="217" t="s">
        <v>247</v>
      </c>
      <c r="G697" s="217" t="s">
        <v>246</v>
      </c>
      <c r="H697" s="217" t="s">
        <v>1450</v>
      </c>
      <c r="I697" s="217" t="s">
        <v>585</v>
      </c>
      <c r="J697" s="217" t="s">
        <v>3588</v>
      </c>
      <c r="K697" s="217" t="s">
        <v>3589</v>
      </c>
      <c r="L697" s="217">
        <v>80</v>
      </c>
      <c r="M697" s="217">
        <v>12</v>
      </c>
      <c r="N697" s="217">
        <v>0</v>
      </c>
      <c r="O697" s="217">
        <v>0</v>
      </c>
      <c r="P697" s="217">
        <v>86</v>
      </c>
      <c r="Q697" s="217">
        <v>16</v>
      </c>
      <c r="R697" s="217" t="s">
        <v>1807</v>
      </c>
    </row>
    <row r="698" spans="1:18" x14ac:dyDescent="0.25">
      <c r="A698" s="217">
        <v>697</v>
      </c>
      <c r="B698" s="217" t="s">
        <v>22</v>
      </c>
      <c r="C698" s="217" t="s">
        <v>23</v>
      </c>
      <c r="D698" s="217" t="s">
        <v>37</v>
      </c>
      <c r="E698" s="217" t="s">
        <v>36</v>
      </c>
      <c r="F698" s="217" t="s">
        <v>247</v>
      </c>
      <c r="G698" s="217" t="s">
        <v>246</v>
      </c>
      <c r="H698" s="217" t="s">
        <v>1451</v>
      </c>
      <c r="I698" s="217" t="s">
        <v>586</v>
      </c>
      <c r="J698" s="217" t="s">
        <v>3590</v>
      </c>
      <c r="K698" s="217" t="s">
        <v>3591</v>
      </c>
      <c r="L698" s="217">
        <v>120</v>
      </c>
      <c r="M698" s="217">
        <v>24</v>
      </c>
      <c r="N698" s="217">
        <v>0</v>
      </c>
      <c r="O698" s="217">
        <v>0</v>
      </c>
      <c r="P698" s="217">
        <v>94</v>
      </c>
      <c r="Q698" s="217">
        <v>19</v>
      </c>
      <c r="R698" s="217" t="s">
        <v>1807</v>
      </c>
    </row>
    <row r="699" spans="1:18" x14ac:dyDescent="0.25">
      <c r="A699" s="217">
        <v>698</v>
      </c>
      <c r="B699" s="217" t="s">
        <v>22</v>
      </c>
      <c r="C699" s="217" t="s">
        <v>23</v>
      </c>
      <c r="D699" s="217" t="s">
        <v>37</v>
      </c>
      <c r="E699" s="217" t="s">
        <v>36</v>
      </c>
      <c r="F699" s="217" t="s">
        <v>247</v>
      </c>
      <c r="G699" s="217" t="s">
        <v>246</v>
      </c>
      <c r="H699" s="217" t="s">
        <v>1452</v>
      </c>
      <c r="I699" s="217" t="s">
        <v>248</v>
      </c>
      <c r="J699" s="217" t="s">
        <v>3592</v>
      </c>
      <c r="K699" s="217" t="s">
        <v>3593</v>
      </c>
      <c r="L699" s="217">
        <v>705</v>
      </c>
      <c r="M699" s="217">
        <v>142</v>
      </c>
      <c r="N699" s="217">
        <v>0</v>
      </c>
      <c r="O699" s="217">
        <v>0</v>
      </c>
      <c r="P699" s="217">
        <v>75</v>
      </c>
      <c r="Q699" s="217">
        <v>15</v>
      </c>
      <c r="R699" s="217" t="s">
        <v>1807</v>
      </c>
    </row>
    <row r="700" spans="1:18" x14ac:dyDescent="0.25">
      <c r="A700" s="217">
        <v>699</v>
      </c>
      <c r="B700" s="217" t="s">
        <v>22</v>
      </c>
      <c r="C700" s="217" t="s">
        <v>23</v>
      </c>
      <c r="D700" s="217" t="s">
        <v>37</v>
      </c>
      <c r="E700" s="217" t="s">
        <v>36</v>
      </c>
      <c r="F700" s="217" t="s">
        <v>247</v>
      </c>
      <c r="G700" s="217" t="s">
        <v>246</v>
      </c>
      <c r="H700" s="217" t="s">
        <v>1453</v>
      </c>
      <c r="I700" s="217" t="s">
        <v>587</v>
      </c>
      <c r="J700" s="217" t="s">
        <v>3594</v>
      </c>
      <c r="K700" s="217" t="s">
        <v>3595</v>
      </c>
      <c r="L700" s="217">
        <v>228</v>
      </c>
      <c r="M700" s="217">
        <v>40</v>
      </c>
      <c r="N700" s="217">
        <v>0</v>
      </c>
      <c r="O700" s="217">
        <v>0</v>
      </c>
      <c r="P700" s="217">
        <v>686</v>
      </c>
      <c r="Q700" s="217">
        <v>127</v>
      </c>
      <c r="R700" s="217" t="s">
        <v>1807</v>
      </c>
    </row>
    <row r="701" spans="1:18" x14ac:dyDescent="0.25">
      <c r="A701" s="217">
        <v>700</v>
      </c>
      <c r="B701" s="217" t="s">
        <v>22</v>
      </c>
      <c r="C701" s="217" t="s">
        <v>23</v>
      </c>
      <c r="D701" s="217" t="s">
        <v>37</v>
      </c>
      <c r="E701" s="217" t="s">
        <v>36</v>
      </c>
      <c r="F701" s="217" t="s">
        <v>247</v>
      </c>
      <c r="G701" s="217" t="s">
        <v>246</v>
      </c>
      <c r="H701" s="217" t="s">
        <v>1454</v>
      </c>
      <c r="I701" s="217" t="s">
        <v>251</v>
      </c>
      <c r="J701" s="217" t="s">
        <v>3596</v>
      </c>
      <c r="K701" s="217" t="s">
        <v>3597</v>
      </c>
      <c r="L701" s="217">
        <v>70</v>
      </c>
      <c r="M701" s="217">
        <v>14</v>
      </c>
      <c r="N701" s="217">
        <v>0</v>
      </c>
      <c r="O701" s="217">
        <v>0</v>
      </c>
      <c r="P701" s="217">
        <v>120</v>
      </c>
      <c r="Q701" s="217">
        <v>23</v>
      </c>
      <c r="R701" s="217" t="s">
        <v>1807</v>
      </c>
    </row>
    <row r="702" spans="1:18" x14ac:dyDescent="0.25">
      <c r="A702" s="217">
        <v>701</v>
      </c>
      <c r="B702" s="217" t="s">
        <v>22</v>
      </c>
      <c r="C702" s="217" t="s">
        <v>23</v>
      </c>
      <c r="D702" s="217" t="s">
        <v>37</v>
      </c>
      <c r="E702" s="217" t="s">
        <v>36</v>
      </c>
      <c r="F702" s="217" t="s">
        <v>247</v>
      </c>
      <c r="G702" s="217" t="s">
        <v>246</v>
      </c>
      <c r="H702" s="217" t="s">
        <v>1455</v>
      </c>
      <c r="I702" s="217" t="s">
        <v>588</v>
      </c>
      <c r="J702" s="217" t="s">
        <v>3598</v>
      </c>
      <c r="K702" s="217" t="s">
        <v>3599</v>
      </c>
      <c r="L702" s="217">
        <v>102</v>
      </c>
      <c r="M702" s="217">
        <v>17</v>
      </c>
      <c r="N702" s="217">
        <v>0</v>
      </c>
      <c r="O702" s="217">
        <v>0</v>
      </c>
      <c r="P702" s="217">
        <v>32</v>
      </c>
      <c r="Q702" s="217">
        <v>6</v>
      </c>
      <c r="R702" s="217" t="s">
        <v>1807</v>
      </c>
    </row>
    <row r="703" spans="1:18" x14ac:dyDescent="0.25">
      <c r="A703" s="217">
        <v>702</v>
      </c>
      <c r="B703" s="217" t="s">
        <v>22</v>
      </c>
      <c r="C703" s="217" t="s">
        <v>23</v>
      </c>
      <c r="D703" s="217" t="s">
        <v>37</v>
      </c>
      <c r="E703" s="217" t="s">
        <v>36</v>
      </c>
      <c r="F703" s="217" t="s">
        <v>247</v>
      </c>
      <c r="G703" s="217" t="s">
        <v>246</v>
      </c>
      <c r="H703" s="217" t="s">
        <v>1456</v>
      </c>
      <c r="I703" s="217" t="s">
        <v>589</v>
      </c>
      <c r="J703" s="217" t="s">
        <v>3600</v>
      </c>
      <c r="K703" s="217" t="s">
        <v>3601</v>
      </c>
      <c r="L703" s="217">
        <v>15</v>
      </c>
      <c r="M703" s="217">
        <v>3</v>
      </c>
      <c r="N703" s="217">
        <v>0</v>
      </c>
      <c r="O703" s="217">
        <v>0</v>
      </c>
      <c r="P703" s="217">
        <v>55</v>
      </c>
      <c r="Q703" s="217">
        <v>10</v>
      </c>
      <c r="R703" s="217" t="s">
        <v>1807</v>
      </c>
    </row>
    <row r="704" spans="1:18" x14ac:dyDescent="0.25">
      <c r="A704" s="217">
        <v>703</v>
      </c>
      <c r="B704" s="217" t="s">
        <v>22</v>
      </c>
      <c r="C704" s="217" t="s">
        <v>23</v>
      </c>
      <c r="D704" s="217" t="s">
        <v>37</v>
      </c>
      <c r="E704" s="217" t="s">
        <v>36</v>
      </c>
      <c r="F704" s="217" t="s">
        <v>247</v>
      </c>
      <c r="G704" s="217" t="s">
        <v>246</v>
      </c>
      <c r="H704" s="217" t="s">
        <v>1457</v>
      </c>
      <c r="I704" s="217" t="s">
        <v>1968</v>
      </c>
      <c r="J704" s="217" t="s">
        <v>3602</v>
      </c>
      <c r="K704" s="217" t="s">
        <v>3603</v>
      </c>
      <c r="L704" s="217">
        <v>375</v>
      </c>
      <c r="M704" s="217">
        <v>62</v>
      </c>
      <c r="N704" s="217">
        <v>0</v>
      </c>
      <c r="O704" s="217">
        <v>0</v>
      </c>
      <c r="P704" s="217">
        <v>67</v>
      </c>
      <c r="Q704" s="217">
        <v>11</v>
      </c>
      <c r="R704" s="217" t="s">
        <v>1807</v>
      </c>
    </row>
    <row r="705" spans="1:18" x14ac:dyDescent="0.25">
      <c r="A705" s="217">
        <v>704</v>
      </c>
      <c r="B705" s="217" t="s">
        <v>22</v>
      </c>
      <c r="C705" s="217" t="s">
        <v>23</v>
      </c>
      <c r="D705" s="217" t="s">
        <v>37</v>
      </c>
      <c r="E705" s="217" t="s">
        <v>36</v>
      </c>
      <c r="F705" s="217" t="s">
        <v>247</v>
      </c>
      <c r="G705" s="217" t="s">
        <v>246</v>
      </c>
      <c r="H705" s="217" t="s">
        <v>1458</v>
      </c>
      <c r="I705" s="217" t="s">
        <v>590</v>
      </c>
      <c r="J705" s="217" t="s">
        <v>3604</v>
      </c>
      <c r="K705" s="217" t="s">
        <v>3605</v>
      </c>
      <c r="L705" s="217">
        <v>312</v>
      </c>
      <c r="M705" s="217">
        <v>39</v>
      </c>
      <c r="N705" s="217">
        <v>0</v>
      </c>
      <c r="O705" s="217">
        <v>0</v>
      </c>
      <c r="P705" s="217">
        <v>478</v>
      </c>
      <c r="Q705" s="217">
        <v>60</v>
      </c>
      <c r="R705" s="217" t="s">
        <v>1807</v>
      </c>
    </row>
    <row r="706" spans="1:18" x14ac:dyDescent="0.25">
      <c r="A706" s="217">
        <v>705</v>
      </c>
      <c r="B706" s="217" t="s">
        <v>22</v>
      </c>
      <c r="C706" s="217" t="s">
        <v>23</v>
      </c>
      <c r="D706" s="217" t="s">
        <v>37</v>
      </c>
      <c r="E706" s="217" t="s">
        <v>36</v>
      </c>
      <c r="F706" s="217" t="s">
        <v>247</v>
      </c>
      <c r="G706" s="217" t="s">
        <v>246</v>
      </c>
      <c r="H706" s="217" t="s">
        <v>1459</v>
      </c>
      <c r="I706" s="217" t="s">
        <v>591</v>
      </c>
      <c r="J706" s="217" t="s">
        <v>3606</v>
      </c>
      <c r="K706" s="217" t="s">
        <v>3607</v>
      </c>
      <c r="L706" s="217">
        <v>180</v>
      </c>
      <c r="M706" s="217">
        <v>36</v>
      </c>
      <c r="N706" s="217">
        <v>0</v>
      </c>
      <c r="O706" s="217">
        <v>0</v>
      </c>
      <c r="P706" s="217">
        <v>41</v>
      </c>
      <c r="Q706" s="217">
        <v>7</v>
      </c>
      <c r="R706" s="217" t="s">
        <v>1807</v>
      </c>
    </row>
    <row r="707" spans="1:18" x14ac:dyDescent="0.25">
      <c r="A707" s="217">
        <v>706</v>
      </c>
      <c r="B707" s="217" t="s">
        <v>22</v>
      </c>
      <c r="C707" s="217" t="s">
        <v>23</v>
      </c>
      <c r="D707" s="217" t="s">
        <v>37</v>
      </c>
      <c r="E707" s="217" t="s">
        <v>36</v>
      </c>
      <c r="F707" s="217" t="s">
        <v>247</v>
      </c>
      <c r="G707" s="217" t="s">
        <v>246</v>
      </c>
      <c r="H707" s="217" t="s">
        <v>1460</v>
      </c>
      <c r="I707" s="217" t="s">
        <v>592</v>
      </c>
      <c r="J707" s="217" t="s">
        <v>3608</v>
      </c>
      <c r="K707" s="217" t="s">
        <v>3609</v>
      </c>
      <c r="L707" s="217">
        <v>150</v>
      </c>
      <c r="M707" s="217">
        <v>30</v>
      </c>
      <c r="N707" s="217">
        <v>0</v>
      </c>
      <c r="O707" s="217">
        <v>0</v>
      </c>
      <c r="P707" s="217">
        <v>0</v>
      </c>
      <c r="Q707" s="217">
        <v>0</v>
      </c>
      <c r="R707" s="217" t="s">
        <v>1807</v>
      </c>
    </row>
    <row r="708" spans="1:18" x14ac:dyDescent="0.25">
      <c r="A708" s="217">
        <v>707</v>
      </c>
      <c r="B708" s="217" t="s">
        <v>22</v>
      </c>
      <c r="C708" s="217" t="s">
        <v>23</v>
      </c>
      <c r="D708" s="217" t="s">
        <v>37</v>
      </c>
      <c r="E708" s="217" t="s">
        <v>36</v>
      </c>
      <c r="F708" s="217" t="s">
        <v>247</v>
      </c>
      <c r="G708" s="217" t="s">
        <v>246</v>
      </c>
      <c r="H708" s="217" t="s">
        <v>1461</v>
      </c>
      <c r="I708" s="217" t="s">
        <v>593</v>
      </c>
      <c r="J708" s="217" t="s">
        <v>3610</v>
      </c>
      <c r="K708" s="217" t="s">
        <v>3611</v>
      </c>
      <c r="L708" s="217">
        <v>128</v>
      </c>
      <c r="M708" s="217">
        <v>20</v>
      </c>
      <c r="N708" s="217">
        <v>0</v>
      </c>
      <c r="O708" s="217">
        <v>0</v>
      </c>
      <c r="P708" s="217">
        <v>40</v>
      </c>
      <c r="Q708" s="217">
        <v>8</v>
      </c>
      <c r="R708" s="217" t="s">
        <v>1807</v>
      </c>
    </row>
    <row r="709" spans="1:18" x14ac:dyDescent="0.25">
      <c r="A709" s="217">
        <v>708</v>
      </c>
      <c r="B709" s="217" t="s">
        <v>22</v>
      </c>
      <c r="C709" s="217" t="s">
        <v>23</v>
      </c>
      <c r="D709" s="217" t="s">
        <v>37</v>
      </c>
      <c r="E709" s="217" t="s">
        <v>36</v>
      </c>
      <c r="F709" s="217" t="s">
        <v>247</v>
      </c>
      <c r="G709" s="217" t="s">
        <v>246</v>
      </c>
      <c r="H709" s="217" t="s">
        <v>1462</v>
      </c>
      <c r="I709" s="217" t="s">
        <v>594</v>
      </c>
      <c r="J709" s="217" t="s">
        <v>3612</v>
      </c>
      <c r="K709" s="217" t="s">
        <v>3613</v>
      </c>
      <c r="L709" s="217">
        <v>243</v>
      </c>
      <c r="M709" s="217">
        <v>49</v>
      </c>
      <c r="N709" s="217">
        <v>0</v>
      </c>
      <c r="O709" s="217">
        <v>0</v>
      </c>
      <c r="P709" s="217">
        <v>37</v>
      </c>
      <c r="Q709" s="217">
        <v>7</v>
      </c>
      <c r="R709" s="217" t="s">
        <v>1807</v>
      </c>
    </row>
    <row r="710" spans="1:18" x14ac:dyDescent="0.25">
      <c r="A710" s="217">
        <v>709</v>
      </c>
      <c r="B710" s="217" t="s">
        <v>22</v>
      </c>
      <c r="C710" s="217" t="s">
        <v>23</v>
      </c>
      <c r="D710" s="217" t="s">
        <v>37</v>
      </c>
      <c r="E710" s="217" t="s">
        <v>36</v>
      </c>
      <c r="F710" s="217" t="s">
        <v>247</v>
      </c>
      <c r="G710" s="217" t="s">
        <v>246</v>
      </c>
      <c r="H710" s="217" t="s">
        <v>1463</v>
      </c>
      <c r="I710" s="217" t="s">
        <v>595</v>
      </c>
      <c r="J710" s="217" t="s">
        <v>3614</v>
      </c>
      <c r="K710" s="217" t="s">
        <v>3615</v>
      </c>
      <c r="L710" s="217">
        <v>356</v>
      </c>
      <c r="M710" s="217">
        <v>60</v>
      </c>
      <c r="N710" s="217">
        <v>0</v>
      </c>
      <c r="O710" s="217">
        <v>0</v>
      </c>
      <c r="P710" s="217">
        <v>40</v>
      </c>
      <c r="Q710" s="217">
        <v>8</v>
      </c>
      <c r="R710" s="217" t="s">
        <v>1807</v>
      </c>
    </row>
    <row r="711" spans="1:18" x14ac:dyDescent="0.25">
      <c r="A711" s="217">
        <v>710</v>
      </c>
      <c r="B711" s="217" t="s">
        <v>22</v>
      </c>
      <c r="C711" s="217" t="s">
        <v>23</v>
      </c>
      <c r="D711" s="217" t="s">
        <v>37</v>
      </c>
      <c r="E711" s="217" t="s">
        <v>36</v>
      </c>
      <c r="F711" s="217" t="s">
        <v>247</v>
      </c>
      <c r="G711" s="217" t="s">
        <v>246</v>
      </c>
      <c r="H711" s="217" t="s">
        <v>1464</v>
      </c>
      <c r="I711" s="217" t="s">
        <v>596</v>
      </c>
      <c r="J711" s="217" t="s">
        <v>3616</v>
      </c>
      <c r="K711" s="217" t="s">
        <v>3617</v>
      </c>
      <c r="L711" s="217">
        <v>150</v>
      </c>
      <c r="M711" s="217">
        <v>30</v>
      </c>
      <c r="N711" s="217">
        <v>0</v>
      </c>
      <c r="O711" s="217">
        <v>0</v>
      </c>
      <c r="P711" s="217">
        <v>129</v>
      </c>
      <c r="Q711" s="217">
        <v>25</v>
      </c>
      <c r="R711" s="217" t="s">
        <v>1807</v>
      </c>
    </row>
    <row r="712" spans="1:18" x14ac:dyDescent="0.25">
      <c r="A712" s="217">
        <v>711</v>
      </c>
      <c r="B712" s="217" t="s">
        <v>22</v>
      </c>
      <c r="C712" s="217" t="s">
        <v>23</v>
      </c>
      <c r="D712" s="217" t="s">
        <v>37</v>
      </c>
      <c r="E712" s="217" t="s">
        <v>36</v>
      </c>
      <c r="F712" s="217" t="s">
        <v>247</v>
      </c>
      <c r="G712" s="217" t="s">
        <v>246</v>
      </c>
      <c r="H712" s="217" t="s">
        <v>1465</v>
      </c>
      <c r="I712" s="217" t="s">
        <v>252</v>
      </c>
      <c r="J712" s="217" t="s">
        <v>3618</v>
      </c>
      <c r="K712" s="217" t="s">
        <v>3619</v>
      </c>
      <c r="L712" s="217">
        <v>1326</v>
      </c>
      <c r="M712" s="217">
        <v>263</v>
      </c>
      <c r="N712" s="217">
        <v>0</v>
      </c>
      <c r="O712" s="217">
        <v>0</v>
      </c>
      <c r="P712" s="217">
        <v>283</v>
      </c>
      <c r="Q712" s="217">
        <v>57</v>
      </c>
      <c r="R712" s="217" t="s">
        <v>1807</v>
      </c>
    </row>
    <row r="713" spans="1:18" x14ac:dyDescent="0.25">
      <c r="A713" s="217">
        <v>712</v>
      </c>
      <c r="B713" s="217" t="s">
        <v>22</v>
      </c>
      <c r="C713" s="217" t="s">
        <v>23</v>
      </c>
      <c r="D713" s="217" t="s">
        <v>37</v>
      </c>
      <c r="E713" s="217" t="s">
        <v>36</v>
      </c>
      <c r="F713" s="217" t="s">
        <v>247</v>
      </c>
      <c r="G713" s="217" t="s">
        <v>246</v>
      </c>
      <c r="H713" s="217" t="s">
        <v>1466</v>
      </c>
      <c r="I713" s="217" t="s">
        <v>597</v>
      </c>
      <c r="J713" s="217" t="s">
        <v>3620</v>
      </c>
      <c r="K713" s="217" t="s">
        <v>3621</v>
      </c>
      <c r="L713" s="217">
        <v>896</v>
      </c>
      <c r="M713" s="217">
        <v>210</v>
      </c>
      <c r="N713" s="217">
        <v>0</v>
      </c>
      <c r="O713" s="217">
        <v>0</v>
      </c>
      <c r="P713" s="217">
        <v>40</v>
      </c>
      <c r="Q713" s="217">
        <v>8</v>
      </c>
      <c r="R713" s="217" t="s">
        <v>1807</v>
      </c>
    </row>
    <row r="714" spans="1:18" x14ac:dyDescent="0.25">
      <c r="A714" s="217">
        <v>713</v>
      </c>
      <c r="B714" s="217" t="s">
        <v>22</v>
      </c>
      <c r="C714" s="217" t="s">
        <v>23</v>
      </c>
      <c r="D714" s="217" t="s">
        <v>37</v>
      </c>
      <c r="E714" s="217" t="s">
        <v>36</v>
      </c>
      <c r="F714" s="217" t="s">
        <v>247</v>
      </c>
      <c r="G714" s="217" t="s">
        <v>246</v>
      </c>
      <c r="H714" s="217" t="s">
        <v>1552</v>
      </c>
      <c r="I714" s="217" t="s">
        <v>684</v>
      </c>
      <c r="J714" s="217" t="s">
        <v>3622</v>
      </c>
      <c r="K714" s="217" t="s">
        <v>3623</v>
      </c>
      <c r="L714" s="217">
        <v>0</v>
      </c>
      <c r="M714" s="217">
        <v>0</v>
      </c>
      <c r="N714" s="217">
        <v>0</v>
      </c>
      <c r="O714" s="217">
        <v>0</v>
      </c>
      <c r="P714" s="217">
        <v>1448</v>
      </c>
      <c r="Q714" s="217">
        <v>183</v>
      </c>
      <c r="R714" s="217" t="s">
        <v>1807</v>
      </c>
    </row>
    <row r="715" spans="1:18" x14ac:dyDescent="0.25">
      <c r="A715" s="217">
        <v>714</v>
      </c>
      <c r="B715" s="217" t="s">
        <v>22</v>
      </c>
      <c r="C715" s="217" t="s">
        <v>23</v>
      </c>
      <c r="D715" s="217" t="s">
        <v>37</v>
      </c>
      <c r="E715" s="217" t="s">
        <v>36</v>
      </c>
      <c r="F715" s="217" t="s">
        <v>250</v>
      </c>
      <c r="G715" s="217" t="s">
        <v>249</v>
      </c>
      <c r="H715" s="217" t="s">
        <v>2143</v>
      </c>
      <c r="I715" s="217" t="s">
        <v>2142</v>
      </c>
      <c r="J715" s="217" t="s">
        <v>3624</v>
      </c>
      <c r="K715" s="217" t="s">
        <v>3625</v>
      </c>
      <c r="L715" s="217">
        <v>1957</v>
      </c>
      <c r="M715" s="217">
        <v>287</v>
      </c>
      <c r="N715" s="217">
        <v>2748</v>
      </c>
      <c r="O715" s="217">
        <v>476</v>
      </c>
      <c r="P715" s="217">
        <v>580</v>
      </c>
      <c r="Q715" s="217">
        <v>90</v>
      </c>
      <c r="R715" s="217" t="s">
        <v>1810</v>
      </c>
    </row>
    <row r="716" spans="1:18" x14ac:dyDescent="0.25">
      <c r="A716" s="217">
        <v>715</v>
      </c>
      <c r="B716" s="217" t="s">
        <v>22</v>
      </c>
      <c r="C716" s="217" t="s">
        <v>23</v>
      </c>
      <c r="D716" s="217" t="s">
        <v>37</v>
      </c>
      <c r="E716" s="217" t="s">
        <v>36</v>
      </c>
      <c r="F716" s="217" t="s">
        <v>250</v>
      </c>
      <c r="G716" s="217" t="s">
        <v>249</v>
      </c>
      <c r="H716" s="217" t="s">
        <v>2048</v>
      </c>
      <c r="I716" s="217" t="s">
        <v>2049</v>
      </c>
      <c r="J716" s="217" t="s">
        <v>3626</v>
      </c>
      <c r="K716" s="217" t="s">
        <v>3627</v>
      </c>
      <c r="L716" s="217">
        <v>168</v>
      </c>
      <c r="M716" s="217">
        <v>32</v>
      </c>
      <c r="N716" s="217">
        <v>0</v>
      </c>
      <c r="O716" s="217">
        <v>0</v>
      </c>
      <c r="P716" s="217">
        <v>31</v>
      </c>
      <c r="Q716" s="217">
        <v>6</v>
      </c>
      <c r="R716" s="217" t="s">
        <v>1807</v>
      </c>
    </row>
    <row r="717" spans="1:18" x14ac:dyDescent="0.25">
      <c r="A717" s="217">
        <v>716</v>
      </c>
      <c r="B717" s="217" t="s">
        <v>22</v>
      </c>
      <c r="C717" s="217" t="s">
        <v>23</v>
      </c>
      <c r="D717" s="217" t="s">
        <v>37</v>
      </c>
      <c r="E717" s="217" t="s">
        <v>36</v>
      </c>
      <c r="F717" s="217" t="s">
        <v>250</v>
      </c>
      <c r="G717" s="217" t="s">
        <v>249</v>
      </c>
      <c r="H717" s="217" t="s">
        <v>1467</v>
      </c>
      <c r="I717" s="217" t="s">
        <v>253</v>
      </c>
      <c r="J717" s="217" t="s">
        <v>3628</v>
      </c>
      <c r="K717" s="217" t="s">
        <v>3629</v>
      </c>
      <c r="L717" s="217">
        <v>710</v>
      </c>
      <c r="M717" s="217">
        <v>142</v>
      </c>
      <c r="N717" s="217">
        <v>0</v>
      </c>
      <c r="O717" s="217">
        <v>0</v>
      </c>
      <c r="P717" s="217">
        <v>85</v>
      </c>
      <c r="Q717" s="217">
        <v>17</v>
      </c>
      <c r="R717" s="217" t="s">
        <v>1807</v>
      </c>
    </row>
    <row r="718" spans="1:18" x14ac:dyDescent="0.25">
      <c r="A718" s="217">
        <v>717</v>
      </c>
      <c r="B718" s="217" t="s">
        <v>22</v>
      </c>
      <c r="C718" s="217" t="s">
        <v>23</v>
      </c>
      <c r="D718" s="217" t="s">
        <v>37</v>
      </c>
      <c r="E718" s="217" t="s">
        <v>36</v>
      </c>
      <c r="F718" s="217" t="s">
        <v>250</v>
      </c>
      <c r="G718" s="217" t="s">
        <v>249</v>
      </c>
      <c r="H718" s="217" t="s">
        <v>1468</v>
      </c>
      <c r="I718" s="217" t="s">
        <v>254</v>
      </c>
      <c r="J718" s="217" t="s">
        <v>3630</v>
      </c>
      <c r="K718" s="217" t="s">
        <v>3631</v>
      </c>
      <c r="L718" s="217">
        <v>400</v>
      </c>
      <c r="M718" s="217">
        <v>80</v>
      </c>
      <c r="N718" s="217">
        <v>65</v>
      </c>
      <c r="O718" s="217">
        <v>13</v>
      </c>
      <c r="P718" s="217">
        <v>0</v>
      </c>
      <c r="Q718" s="217">
        <v>0</v>
      </c>
      <c r="R718" s="217" t="s">
        <v>1807</v>
      </c>
    </row>
    <row r="719" spans="1:18" x14ac:dyDescent="0.25">
      <c r="A719" s="217">
        <v>718</v>
      </c>
      <c r="B719" s="217" t="s">
        <v>22</v>
      </c>
      <c r="C719" s="217" t="s">
        <v>23</v>
      </c>
      <c r="D719" s="217" t="s">
        <v>37</v>
      </c>
      <c r="E719" s="217" t="s">
        <v>36</v>
      </c>
      <c r="F719" s="217" t="s">
        <v>250</v>
      </c>
      <c r="G719" s="217" t="s">
        <v>249</v>
      </c>
      <c r="H719" s="217" t="s">
        <v>1469</v>
      </c>
      <c r="I719" s="217" t="s">
        <v>255</v>
      </c>
      <c r="J719" s="217" t="s">
        <v>3632</v>
      </c>
      <c r="K719" s="217" t="s">
        <v>3633</v>
      </c>
      <c r="L719" s="217">
        <v>372</v>
      </c>
      <c r="M719" s="217">
        <v>74</v>
      </c>
      <c r="N719" s="217">
        <v>0</v>
      </c>
      <c r="O719" s="217">
        <v>0</v>
      </c>
      <c r="P719" s="217">
        <v>324</v>
      </c>
      <c r="Q719" s="217">
        <v>60</v>
      </c>
      <c r="R719" s="217" t="s">
        <v>1807</v>
      </c>
    </row>
    <row r="720" spans="1:18" x14ac:dyDescent="0.25">
      <c r="A720" s="217">
        <v>719</v>
      </c>
      <c r="B720" s="217" t="s">
        <v>22</v>
      </c>
      <c r="C720" s="217" t="s">
        <v>23</v>
      </c>
      <c r="D720" s="217" t="s">
        <v>37</v>
      </c>
      <c r="E720" s="217" t="s">
        <v>36</v>
      </c>
      <c r="F720" s="217" t="s">
        <v>250</v>
      </c>
      <c r="G720" s="217" t="s">
        <v>249</v>
      </c>
      <c r="H720" s="217" t="s">
        <v>1470</v>
      </c>
      <c r="I720" s="217" t="s">
        <v>846</v>
      </c>
      <c r="J720" s="217" t="s">
        <v>3634</v>
      </c>
      <c r="K720" s="217" t="s">
        <v>3635</v>
      </c>
      <c r="L720" s="217">
        <v>240</v>
      </c>
      <c r="M720" s="217">
        <v>48</v>
      </c>
      <c r="N720" s="217">
        <v>0</v>
      </c>
      <c r="O720" s="217">
        <v>0</v>
      </c>
      <c r="P720" s="217">
        <v>286</v>
      </c>
      <c r="Q720" s="217">
        <v>56</v>
      </c>
      <c r="R720" s="217" t="s">
        <v>1807</v>
      </c>
    </row>
    <row r="721" spans="1:18" x14ac:dyDescent="0.25">
      <c r="A721" s="217">
        <v>720</v>
      </c>
      <c r="B721" s="217" t="s">
        <v>22</v>
      </c>
      <c r="C721" s="217" t="s">
        <v>23</v>
      </c>
      <c r="D721" s="217" t="s">
        <v>37</v>
      </c>
      <c r="E721" s="217" t="s">
        <v>36</v>
      </c>
      <c r="F721" s="217" t="s">
        <v>250</v>
      </c>
      <c r="G721" s="217" t="s">
        <v>249</v>
      </c>
      <c r="H721" s="217" t="s">
        <v>1471</v>
      </c>
      <c r="I721" s="217" t="s">
        <v>598</v>
      </c>
      <c r="J721" s="217" t="s">
        <v>3636</v>
      </c>
      <c r="K721" s="217" t="s">
        <v>3637</v>
      </c>
      <c r="L721" s="217">
        <v>136</v>
      </c>
      <c r="M721" s="217">
        <v>27</v>
      </c>
      <c r="N721" s="217">
        <v>0</v>
      </c>
      <c r="O721" s="217">
        <v>0</v>
      </c>
      <c r="P721" s="217">
        <v>0</v>
      </c>
      <c r="Q721" s="217">
        <v>0</v>
      </c>
      <c r="R721" s="217" t="s">
        <v>1807</v>
      </c>
    </row>
    <row r="722" spans="1:18" x14ac:dyDescent="0.25">
      <c r="A722" s="217">
        <v>721</v>
      </c>
      <c r="B722" s="217" t="s">
        <v>22</v>
      </c>
      <c r="C722" s="217" t="s">
        <v>23</v>
      </c>
      <c r="D722" s="217" t="s">
        <v>37</v>
      </c>
      <c r="E722" s="217" t="s">
        <v>36</v>
      </c>
      <c r="F722" s="217" t="s">
        <v>250</v>
      </c>
      <c r="G722" s="217" t="s">
        <v>249</v>
      </c>
      <c r="H722" s="217" t="s">
        <v>1472</v>
      </c>
      <c r="I722" s="217" t="s">
        <v>256</v>
      </c>
      <c r="J722" s="217" t="s">
        <v>3638</v>
      </c>
      <c r="K722" s="217" t="s">
        <v>3639</v>
      </c>
      <c r="L722" s="217">
        <v>489</v>
      </c>
      <c r="M722" s="217">
        <v>89</v>
      </c>
      <c r="N722" s="217">
        <v>100</v>
      </c>
      <c r="O722" s="217">
        <v>18</v>
      </c>
      <c r="P722" s="217">
        <v>102</v>
      </c>
      <c r="Q722" s="217">
        <v>17</v>
      </c>
      <c r="R722" s="217" t="s">
        <v>1807</v>
      </c>
    </row>
    <row r="723" spans="1:18" x14ac:dyDescent="0.25">
      <c r="A723" s="217">
        <v>722</v>
      </c>
      <c r="B723" s="217" t="s">
        <v>22</v>
      </c>
      <c r="C723" s="217" t="s">
        <v>23</v>
      </c>
      <c r="D723" s="217" t="s">
        <v>37</v>
      </c>
      <c r="E723" s="217" t="s">
        <v>36</v>
      </c>
      <c r="F723" s="217" t="s">
        <v>250</v>
      </c>
      <c r="G723" s="217" t="s">
        <v>249</v>
      </c>
      <c r="H723" s="217" t="s">
        <v>1473</v>
      </c>
      <c r="I723" s="217" t="s">
        <v>257</v>
      </c>
      <c r="J723" s="217" t="s">
        <v>3640</v>
      </c>
      <c r="K723" s="217" t="s">
        <v>3641</v>
      </c>
      <c r="L723" s="217">
        <v>60</v>
      </c>
      <c r="M723" s="217">
        <v>12</v>
      </c>
      <c r="N723" s="217">
        <v>0</v>
      </c>
      <c r="O723" s="217">
        <v>0</v>
      </c>
      <c r="P723" s="217">
        <v>30</v>
      </c>
      <c r="Q723" s="217">
        <v>6</v>
      </c>
      <c r="R723" s="217" t="s">
        <v>1807</v>
      </c>
    </row>
    <row r="724" spans="1:18" x14ac:dyDescent="0.25">
      <c r="A724" s="217">
        <v>723</v>
      </c>
      <c r="B724" s="217" t="s">
        <v>22</v>
      </c>
      <c r="C724" s="217" t="s">
        <v>23</v>
      </c>
      <c r="D724" s="217" t="s">
        <v>37</v>
      </c>
      <c r="E724" s="217" t="s">
        <v>36</v>
      </c>
      <c r="F724" s="217" t="s">
        <v>250</v>
      </c>
      <c r="G724" s="217" t="s">
        <v>249</v>
      </c>
      <c r="H724" s="217" t="s">
        <v>1474</v>
      </c>
      <c r="I724" s="217" t="s">
        <v>258</v>
      </c>
      <c r="J724" s="217" t="s">
        <v>3642</v>
      </c>
      <c r="K724" s="217" t="s">
        <v>3643</v>
      </c>
      <c r="L724" s="217">
        <v>345</v>
      </c>
      <c r="M724" s="217">
        <v>69</v>
      </c>
      <c r="N724" s="217">
        <v>0</v>
      </c>
      <c r="O724" s="217">
        <v>0</v>
      </c>
      <c r="P724" s="217">
        <v>55</v>
      </c>
      <c r="Q724" s="217">
        <v>11</v>
      </c>
      <c r="R724" s="217" t="s">
        <v>1807</v>
      </c>
    </row>
    <row r="725" spans="1:18" x14ac:dyDescent="0.25">
      <c r="A725" s="217">
        <v>724</v>
      </c>
      <c r="B725" s="217" t="s">
        <v>22</v>
      </c>
      <c r="C725" s="217" t="s">
        <v>23</v>
      </c>
      <c r="D725" s="217" t="s">
        <v>37</v>
      </c>
      <c r="E725" s="217" t="s">
        <v>36</v>
      </c>
      <c r="F725" s="217" t="s">
        <v>250</v>
      </c>
      <c r="G725" s="217" t="s">
        <v>249</v>
      </c>
      <c r="H725" s="217" t="s">
        <v>1475</v>
      </c>
      <c r="I725" s="217" t="s">
        <v>259</v>
      </c>
      <c r="J725" s="217" t="s">
        <v>3644</v>
      </c>
      <c r="K725" s="217" t="s">
        <v>3645</v>
      </c>
      <c r="L725" s="217">
        <v>1096</v>
      </c>
      <c r="M725" s="217">
        <v>209</v>
      </c>
      <c r="N725" s="217">
        <v>195</v>
      </c>
      <c r="O725" s="217">
        <v>36</v>
      </c>
      <c r="P725" s="217">
        <v>185</v>
      </c>
      <c r="Q725" s="217">
        <v>33</v>
      </c>
      <c r="R725" s="217" t="s">
        <v>1807</v>
      </c>
    </row>
    <row r="726" spans="1:18" x14ac:dyDescent="0.25">
      <c r="A726" s="217">
        <v>725</v>
      </c>
      <c r="B726" s="217" t="s">
        <v>22</v>
      </c>
      <c r="C726" s="217" t="s">
        <v>23</v>
      </c>
      <c r="D726" s="217" t="s">
        <v>37</v>
      </c>
      <c r="E726" s="217" t="s">
        <v>36</v>
      </c>
      <c r="F726" s="217" t="s">
        <v>250</v>
      </c>
      <c r="G726" s="217" t="s">
        <v>249</v>
      </c>
      <c r="H726" s="217" t="s">
        <v>1476</v>
      </c>
      <c r="I726" s="217" t="s">
        <v>260</v>
      </c>
      <c r="J726" s="217" t="s">
        <v>3646</v>
      </c>
      <c r="K726" s="217" t="s">
        <v>3647</v>
      </c>
      <c r="L726" s="217">
        <v>225</v>
      </c>
      <c r="M726" s="217">
        <v>45</v>
      </c>
      <c r="N726" s="217">
        <v>0</v>
      </c>
      <c r="O726" s="217">
        <v>0</v>
      </c>
      <c r="P726" s="217">
        <v>135</v>
      </c>
      <c r="Q726" s="217">
        <v>27</v>
      </c>
      <c r="R726" s="217" t="s">
        <v>1807</v>
      </c>
    </row>
    <row r="727" spans="1:18" x14ac:dyDescent="0.25">
      <c r="A727" s="217">
        <v>726</v>
      </c>
      <c r="B727" s="217" t="s">
        <v>22</v>
      </c>
      <c r="C727" s="217" t="s">
        <v>23</v>
      </c>
      <c r="D727" s="217" t="s">
        <v>37</v>
      </c>
      <c r="E727" s="217" t="s">
        <v>36</v>
      </c>
      <c r="F727" s="217" t="s">
        <v>250</v>
      </c>
      <c r="G727" s="217" t="s">
        <v>249</v>
      </c>
      <c r="H727" s="217" t="s">
        <v>1477</v>
      </c>
      <c r="I727" s="217" t="s">
        <v>261</v>
      </c>
      <c r="J727" s="217" t="s">
        <v>3648</v>
      </c>
      <c r="K727" s="217" t="s">
        <v>3649</v>
      </c>
      <c r="L727" s="217">
        <v>35</v>
      </c>
      <c r="M727" s="217">
        <v>7</v>
      </c>
      <c r="N727" s="217">
        <v>0</v>
      </c>
      <c r="O727" s="217">
        <v>0</v>
      </c>
      <c r="P727" s="217">
        <v>10</v>
      </c>
      <c r="Q727" s="217">
        <v>2</v>
      </c>
      <c r="R727" s="217" t="s">
        <v>1807</v>
      </c>
    </row>
    <row r="728" spans="1:18" x14ac:dyDescent="0.25">
      <c r="A728" s="217">
        <v>727</v>
      </c>
      <c r="B728" s="217" t="s">
        <v>22</v>
      </c>
      <c r="C728" s="217" t="s">
        <v>23</v>
      </c>
      <c r="D728" s="217" t="s">
        <v>37</v>
      </c>
      <c r="E728" s="217" t="s">
        <v>36</v>
      </c>
      <c r="F728" s="217" t="s">
        <v>250</v>
      </c>
      <c r="G728" s="217" t="s">
        <v>249</v>
      </c>
      <c r="H728" s="217" t="s">
        <v>1478</v>
      </c>
      <c r="I728" s="217" t="s">
        <v>262</v>
      </c>
      <c r="J728" s="217" t="s">
        <v>3650</v>
      </c>
      <c r="K728" s="217" t="s">
        <v>3651</v>
      </c>
      <c r="L728" s="217">
        <v>120</v>
      </c>
      <c r="M728" s="217">
        <v>24</v>
      </c>
      <c r="N728" s="217">
        <v>125</v>
      </c>
      <c r="O728" s="217">
        <v>25</v>
      </c>
      <c r="P728" s="217">
        <v>85</v>
      </c>
      <c r="Q728" s="217">
        <v>17</v>
      </c>
      <c r="R728" s="217" t="s">
        <v>1807</v>
      </c>
    </row>
    <row r="729" spans="1:18" x14ac:dyDescent="0.25">
      <c r="A729" s="217">
        <v>728</v>
      </c>
      <c r="B729" s="217" t="s">
        <v>22</v>
      </c>
      <c r="C729" s="217" t="s">
        <v>23</v>
      </c>
      <c r="D729" s="217" t="s">
        <v>37</v>
      </c>
      <c r="E729" s="217" t="s">
        <v>36</v>
      </c>
      <c r="F729" s="217" t="s">
        <v>250</v>
      </c>
      <c r="G729" s="217" t="s">
        <v>249</v>
      </c>
      <c r="H729" s="217" t="s">
        <v>1479</v>
      </c>
      <c r="I729" s="217" t="s">
        <v>599</v>
      </c>
      <c r="J729" s="217" t="s">
        <v>3652</v>
      </c>
      <c r="K729" s="217" t="s">
        <v>3653</v>
      </c>
      <c r="L729" s="217">
        <v>669</v>
      </c>
      <c r="M729" s="217">
        <v>133</v>
      </c>
      <c r="N729" s="217">
        <v>0</v>
      </c>
      <c r="O729" s="217">
        <v>0</v>
      </c>
      <c r="P729" s="217">
        <v>30</v>
      </c>
      <c r="Q729" s="217">
        <v>6</v>
      </c>
      <c r="R729" s="217" t="s">
        <v>1807</v>
      </c>
    </row>
    <row r="730" spans="1:18" x14ac:dyDescent="0.25">
      <c r="A730" s="217">
        <v>729</v>
      </c>
      <c r="B730" s="217" t="s">
        <v>22</v>
      </c>
      <c r="C730" s="217" t="s">
        <v>23</v>
      </c>
      <c r="D730" s="217" t="s">
        <v>37</v>
      </c>
      <c r="E730" s="217" t="s">
        <v>36</v>
      </c>
      <c r="F730" s="217" t="s">
        <v>250</v>
      </c>
      <c r="G730" s="217" t="s">
        <v>249</v>
      </c>
      <c r="H730" s="217" t="s">
        <v>1480</v>
      </c>
      <c r="I730" s="217" t="s">
        <v>600</v>
      </c>
      <c r="J730" s="217" t="s">
        <v>3654</v>
      </c>
      <c r="K730" s="217" t="s">
        <v>3655</v>
      </c>
      <c r="L730" s="217">
        <v>80</v>
      </c>
      <c r="M730" s="217">
        <v>16</v>
      </c>
      <c r="N730" s="217">
        <v>0</v>
      </c>
      <c r="O730" s="217">
        <v>0</v>
      </c>
      <c r="P730" s="217">
        <v>48</v>
      </c>
      <c r="Q730" s="217">
        <v>10</v>
      </c>
      <c r="R730" s="217" t="s">
        <v>1807</v>
      </c>
    </row>
    <row r="731" spans="1:18" x14ac:dyDescent="0.25">
      <c r="A731" s="217">
        <v>730</v>
      </c>
      <c r="B731" s="217" t="s">
        <v>22</v>
      </c>
      <c r="C731" s="217" t="s">
        <v>23</v>
      </c>
      <c r="D731" s="217" t="s">
        <v>37</v>
      </c>
      <c r="E731" s="217" t="s">
        <v>36</v>
      </c>
      <c r="F731" s="217" t="s">
        <v>250</v>
      </c>
      <c r="G731" s="217" t="s">
        <v>249</v>
      </c>
      <c r="H731" s="217" t="s">
        <v>1481</v>
      </c>
      <c r="I731" s="217" t="s">
        <v>601</v>
      </c>
      <c r="J731" s="217" t="s">
        <v>3656</v>
      </c>
      <c r="K731" s="217" t="s">
        <v>3657</v>
      </c>
      <c r="L731" s="217">
        <v>937</v>
      </c>
      <c r="M731" s="217">
        <v>184</v>
      </c>
      <c r="N731" s="217">
        <v>0</v>
      </c>
      <c r="O731" s="217">
        <v>0</v>
      </c>
      <c r="P731" s="217">
        <v>700</v>
      </c>
      <c r="Q731" s="217">
        <v>140</v>
      </c>
      <c r="R731" s="217" t="s">
        <v>1807</v>
      </c>
    </row>
    <row r="732" spans="1:18" x14ac:dyDescent="0.25">
      <c r="A732" s="217">
        <v>731</v>
      </c>
      <c r="B732" s="217" t="s">
        <v>22</v>
      </c>
      <c r="C732" s="217" t="s">
        <v>23</v>
      </c>
      <c r="D732" s="217" t="s">
        <v>37</v>
      </c>
      <c r="E732" s="217" t="s">
        <v>36</v>
      </c>
      <c r="F732" s="217" t="s">
        <v>250</v>
      </c>
      <c r="G732" s="217" t="s">
        <v>249</v>
      </c>
      <c r="H732" s="217" t="s">
        <v>1482</v>
      </c>
      <c r="I732" s="217" t="s">
        <v>602</v>
      </c>
      <c r="J732" s="217" t="s">
        <v>3658</v>
      </c>
      <c r="K732" s="217" t="s">
        <v>3659</v>
      </c>
      <c r="L732" s="217">
        <v>545</v>
      </c>
      <c r="M732" s="217">
        <v>107</v>
      </c>
      <c r="N732" s="217">
        <v>0</v>
      </c>
      <c r="O732" s="217">
        <v>0</v>
      </c>
      <c r="P732" s="217">
        <v>428</v>
      </c>
      <c r="Q732" s="217">
        <v>75</v>
      </c>
      <c r="R732" s="217" t="s">
        <v>1807</v>
      </c>
    </row>
    <row r="733" spans="1:18" x14ac:dyDescent="0.25">
      <c r="A733" s="217">
        <v>732</v>
      </c>
      <c r="B733" s="217" t="s">
        <v>22</v>
      </c>
      <c r="C733" s="217" t="s">
        <v>23</v>
      </c>
      <c r="D733" s="217" t="s">
        <v>37</v>
      </c>
      <c r="E733" s="217" t="s">
        <v>36</v>
      </c>
      <c r="F733" s="217" t="s">
        <v>250</v>
      </c>
      <c r="G733" s="217" t="s">
        <v>249</v>
      </c>
      <c r="H733" s="217" t="s">
        <v>1483</v>
      </c>
      <c r="I733" s="217" t="s">
        <v>603</v>
      </c>
      <c r="J733" s="217" t="s">
        <v>3660</v>
      </c>
      <c r="K733" s="217" t="s">
        <v>3661</v>
      </c>
      <c r="L733" s="217">
        <v>1503</v>
      </c>
      <c r="M733" s="217">
        <v>300</v>
      </c>
      <c r="N733" s="217">
        <v>0</v>
      </c>
      <c r="O733" s="217">
        <v>0</v>
      </c>
      <c r="P733" s="217">
        <v>410</v>
      </c>
      <c r="Q733" s="217">
        <v>75</v>
      </c>
      <c r="R733" s="217" t="s">
        <v>1807</v>
      </c>
    </row>
    <row r="734" spans="1:18" x14ac:dyDescent="0.25">
      <c r="A734" s="217">
        <v>733</v>
      </c>
      <c r="B734" s="217" t="s">
        <v>22</v>
      </c>
      <c r="C734" s="217" t="s">
        <v>23</v>
      </c>
      <c r="D734" s="217" t="s">
        <v>37</v>
      </c>
      <c r="E734" s="217" t="s">
        <v>36</v>
      </c>
      <c r="F734" s="217" t="s">
        <v>250</v>
      </c>
      <c r="G734" s="217" t="s">
        <v>249</v>
      </c>
      <c r="H734" s="217" t="s">
        <v>1484</v>
      </c>
      <c r="I734" s="217" t="s">
        <v>604</v>
      </c>
      <c r="J734" s="217" t="s">
        <v>3662</v>
      </c>
      <c r="K734" s="217" t="s">
        <v>3663</v>
      </c>
      <c r="L734" s="217">
        <v>491</v>
      </c>
      <c r="M734" s="217">
        <v>97</v>
      </c>
      <c r="N734" s="217">
        <v>0</v>
      </c>
      <c r="O734" s="217">
        <v>0</v>
      </c>
      <c r="P734" s="217">
        <v>474</v>
      </c>
      <c r="Q734" s="217">
        <v>87</v>
      </c>
      <c r="R734" s="217" t="s">
        <v>1807</v>
      </c>
    </row>
    <row r="735" spans="1:18" x14ac:dyDescent="0.25">
      <c r="A735" s="217">
        <v>734</v>
      </c>
      <c r="B735" s="217" t="s">
        <v>22</v>
      </c>
      <c r="C735" s="217" t="s">
        <v>23</v>
      </c>
      <c r="D735" s="217" t="s">
        <v>37</v>
      </c>
      <c r="E735" s="217" t="s">
        <v>36</v>
      </c>
      <c r="F735" s="217" t="s">
        <v>250</v>
      </c>
      <c r="G735" s="217" t="s">
        <v>249</v>
      </c>
      <c r="H735" s="217" t="s">
        <v>1485</v>
      </c>
      <c r="I735" s="217" t="s">
        <v>605</v>
      </c>
      <c r="J735" s="217" t="s">
        <v>3664</v>
      </c>
      <c r="K735" s="217" t="s">
        <v>3665</v>
      </c>
      <c r="L735" s="217">
        <v>707</v>
      </c>
      <c r="M735" s="217">
        <v>138</v>
      </c>
      <c r="N735" s="217">
        <v>0</v>
      </c>
      <c r="O735" s="217">
        <v>0</v>
      </c>
      <c r="P735" s="217">
        <v>905</v>
      </c>
      <c r="Q735" s="217">
        <v>176</v>
      </c>
      <c r="R735" s="217" t="s">
        <v>1807</v>
      </c>
    </row>
    <row r="736" spans="1:18" x14ac:dyDescent="0.25">
      <c r="A736" s="217">
        <v>735</v>
      </c>
      <c r="B736" s="217" t="s">
        <v>22</v>
      </c>
      <c r="C736" s="217" t="s">
        <v>23</v>
      </c>
      <c r="D736" s="217" t="s">
        <v>37</v>
      </c>
      <c r="E736" s="217" t="s">
        <v>36</v>
      </c>
      <c r="F736" s="217" t="s">
        <v>250</v>
      </c>
      <c r="G736" s="217" t="s">
        <v>249</v>
      </c>
      <c r="H736" s="217" t="s">
        <v>1486</v>
      </c>
      <c r="I736" s="217" t="s">
        <v>606</v>
      </c>
      <c r="J736" s="217" t="s">
        <v>3666</v>
      </c>
      <c r="K736" s="217" t="s">
        <v>3667</v>
      </c>
      <c r="L736" s="217">
        <v>213</v>
      </c>
      <c r="M736" s="217">
        <v>42</v>
      </c>
      <c r="N736" s="217">
        <v>85</v>
      </c>
      <c r="O736" s="217">
        <v>17</v>
      </c>
      <c r="P736" s="217">
        <v>0</v>
      </c>
      <c r="Q736" s="217">
        <v>0</v>
      </c>
      <c r="R736" s="217" t="s">
        <v>1807</v>
      </c>
    </row>
    <row r="737" spans="1:18" x14ac:dyDescent="0.25">
      <c r="A737" s="217">
        <v>736</v>
      </c>
      <c r="B737" s="217" t="s">
        <v>22</v>
      </c>
      <c r="C737" s="217" t="s">
        <v>23</v>
      </c>
      <c r="D737" s="217" t="s">
        <v>37</v>
      </c>
      <c r="E737" s="217" t="s">
        <v>36</v>
      </c>
      <c r="F737" s="217" t="s">
        <v>250</v>
      </c>
      <c r="G737" s="217" t="s">
        <v>249</v>
      </c>
      <c r="H737" s="217" t="s">
        <v>1487</v>
      </c>
      <c r="I737" s="217" t="s">
        <v>607</v>
      </c>
      <c r="J737" s="217" t="s">
        <v>3668</v>
      </c>
      <c r="K737" s="217" t="s">
        <v>3669</v>
      </c>
      <c r="L737" s="217">
        <v>60</v>
      </c>
      <c r="M737" s="217">
        <v>12</v>
      </c>
      <c r="N737" s="217">
        <v>0</v>
      </c>
      <c r="O737" s="217">
        <v>0</v>
      </c>
      <c r="P737" s="217">
        <v>30</v>
      </c>
      <c r="Q737" s="217">
        <v>6</v>
      </c>
      <c r="R737" s="217" t="s">
        <v>1807</v>
      </c>
    </row>
    <row r="738" spans="1:18" x14ac:dyDescent="0.25">
      <c r="A738" s="217">
        <v>737</v>
      </c>
      <c r="B738" s="217" t="s">
        <v>22</v>
      </c>
      <c r="C738" s="217" t="s">
        <v>23</v>
      </c>
      <c r="D738" s="217" t="s">
        <v>37</v>
      </c>
      <c r="E738" s="217" t="s">
        <v>36</v>
      </c>
      <c r="F738" s="217" t="s">
        <v>250</v>
      </c>
      <c r="G738" s="217" t="s">
        <v>249</v>
      </c>
      <c r="H738" s="217" t="s">
        <v>2050</v>
      </c>
      <c r="I738" s="217" t="s">
        <v>2051</v>
      </c>
      <c r="J738" s="217" t="s">
        <v>3670</v>
      </c>
      <c r="K738" s="217" t="s">
        <v>3671</v>
      </c>
      <c r="L738" s="217">
        <v>114</v>
      </c>
      <c r="M738" s="217">
        <v>21</v>
      </c>
      <c r="N738" s="217">
        <v>0</v>
      </c>
      <c r="O738" s="217">
        <v>0</v>
      </c>
      <c r="P738" s="217">
        <v>276</v>
      </c>
      <c r="Q738" s="217">
        <v>46</v>
      </c>
      <c r="R738" s="217" t="s">
        <v>1807</v>
      </c>
    </row>
    <row r="739" spans="1:18" x14ac:dyDescent="0.25">
      <c r="A739" s="217">
        <v>738</v>
      </c>
      <c r="B739" s="217" t="s">
        <v>22</v>
      </c>
      <c r="C739" s="217" t="s">
        <v>23</v>
      </c>
      <c r="D739" s="217" t="s">
        <v>37</v>
      </c>
      <c r="E739" s="217" t="s">
        <v>36</v>
      </c>
      <c r="F739" s="217" t="s">
        <v>250</v>
      </c>
      <c r="G739" s="217" t="s">
        <v>249</v>
      </c>
      <c r="H739" s="217" t="s">
        <v>1488</v>
      </c>
      <c r="I739" s="217" t="s">
        <v>685</v>
      </c>
      <c r="J739" s="217" t="s">
        <v>3672</v>
      </c>
      <c r="K739" s="217" t="s">
        <v>3673</v>
      </c>
      <c r="L739" s="217">
        <v>16</v>
      </c>
      <c r="M739" s="217">
        <v>3</v>
      </c>
      <c r="N739" s="217">
        <v>0</v>
      </c>
      <c r="O739" s="217">
        <v>0</v>
      </c>
      <c r="P739" s="217">
        <v>350</v>
      </c>
      <c r="Q739" s="217">
        <v>54</v>
      </c>
      <c r="R739" s="217" t="s">
        <v>1807</v>
      </c>
    </row>
    <row r="740" spans="1:18" x14ac:dyDescent="0.25">
      <c r="A740" s="217">
        <v>739</v>
      </c>
      <c r="B740" s="217" t="s">
        <v>22</v>
      </c>
      <c r="C740" s="217" t="s">
        <v>23</v>
      </c>
      <c r="D740" s="217" t="s">
        <v>37</v>
      </c>
      <c r="E740" s="217" t="s">
        <v>36</v>
      </c>
      <c r="F740" s="217" t="s">
        <v>250</v>
      </c>
      <c r="G740" s="217" t="s">
        <v>249</v>
      </c>
      <c r="H740" s="217" t="s">
        <v>2052</v>
      </c>
      <c r="I740" s="217" t="s">
        <v>2053</v>
      </c>
      <c r="J740" s="217" t="s">
        <v>3674</v>
      </c>
      <c r="K740" s="217" t="s">
        <v>3675</v>
      </c>
      <c r="L740" s="217">
        <v>48</v>
      </c>
      <c r="M740" s="217">
        <v>9</v>
      </c>
      <c r="N740" s="217">
        <v>0</v>
      </c>
      <c r="O740" s="217">
        <v>0</v>
      </c>
      <c r="P740" s="217">
        <v>167</v>
      </c>
      <c r="Q740" s="217">
        <v>32</v>
      </c>
      <c r="R740" s="217" t="s">
        <v>1807</v>
      </c>
    </row>
    <row r="741" spans="1:18" x14ac:dyDescent="0.25">
      <c r="A741" s="217">
        <v>740</v>
      </c>
      <c r="B741" s="217" t="s">
        <v>22</v>
      </c>
      <c r="C741" s="217" t="s">
        <v>23</v>
      </c>
      <c r="D741" s="217" t="s">
        <v>37</v>
      </c>
      <c r="E741" s="217" t="s">
        <v>36</v>
      </c>
      <c r="F741" s="217" t="s">
        <v>608</v>
      </c>
      <c r="G741" s="217" t="s">
        <v>609</v>
      </c>
      <c r="H741" s="217" t="s">
        <v>1489</v>
      </c>
      <c r="I741" s="217" t="s">
        <v>2144</v>
      </c>
      <c r="J741" s="217" t="s">
        <v>3676</v>
      </c>
      <c r="K741" s="217" t="s">
        <v>3677</v>
      </c>
      <c r="L741" s="217">
        <v>167</v>
      </c>
      <c r="M741" s="217">
        <v>40</v>
      </c>
      <c r="N741" s="217">
        <v>0</v>
      </c>
      <c r="O741" s="217">
        <v>0</v>
      </c>
      <c r="P741" s="217">
        <v>30</v>
      </c>
      <c r="Q741" s="217">
        <v>6</v>
      </c>
      <c r="R741" s="217" t="s">
        <v>1807</v>
      </c>
    </row>
    <row r="742" spans="1:18" x14ac:dyDescent="0.25">
      <c r="A742" s="217">
        <v>741</v>
      </c>
      <c r="B742" s="217" t="s">
        <v>22</v>
      </c>
      <c r="C742" s="217" t="s">
        <v>23</v>
      </c>
      <c r="D742" s="217" t="s">
        <v>37</v>
      </c>
      <c r="E742" s="217" t="s">
        <v>36</v>
      </c>
      <c r="F742" s="217" t="s">
        <v>608</v>
      </c>
      <c r="G742" s="217" t="s">
        <v>609</v>
      </c>
      <c r="H742" s="217" t="s">
        <v>1490</v>
      </c>
      <c r="I742" s="217" t="s">
        <v>610</v>
      </c>
      <c r="J742" s="217" t="s">
        <v>3678</v>
      </c>
      <c r="K742" s="217" t="s">
        <v>3679</v>
      </c>
      <c r="L742" s="217">
        <v>53</v>
      </c>
      <c r="M742" s="217">
        <v>17</v>
      </c>
      <c r="N742" s="217">
        <v>0</v>
      </c>
      <c r="O742" s="217">
        <v>0</v>
      </c>
      <c r="P742" s="217">
        <v>22</v>
      </c>
      <c r="Q742" s="217">
        <v>5</v>
      </c>
      <c r="R742" s="217" t="s">
        <v>1807</v>
      </c>
    </row>
    <row r="743" spans="1:18" x14ac:dyDescent="0.25">
      <c r="A743" s="217">
        <v>742</v>
      </c>
      <c r="B743" s="217" t="s">
        <v>22</v>
      </c>
      <c r="C743" s="217" t="s">
        <v>23</v>
      </c>
      <c r="D743" s="217" t="s">
        <v>37</v>
      </c>
      <c r="E743" s="217" t="s">
        <v>36</v>
      </c>
      <c r="F743" s="217" t="s">
        <v>608</v>
      </c>
      <c r="G743" s="217" t="s">
        <v>609</v>
      </c>
      <c r="H743" s="217" t="s">
        <v>1491</v>
      </c>
      <c r="I743" s="217" t="s">
        <v>611</v>
      </c>
      <c r="J743" s="217" t="s">
        <v>3680</v>
      </c>
      <c r="K743" s="217" t="s">
        <v>3681</v>
      </c>
      <c r="L743" s="217">
        <v>0</v>
      </c>
      <c r="M743" s="217">
        <v>0</v>
      </c>
      <c r="N743" s="217">
        <v>0</v>
      </c>
      <c r="O743" s="217">
        <v>0</v>
      </c>
      <c r="P743" s="217">
        <v>0</v>
      </c>
      <c r="Q743" s="217">
        <v>0</v>
      </c>
      <c r="R743" s="217" t="s">
        <v>1807</v>
      </c>
    </row>
    <row r="744" spans="1:18" x14ac:dyDescent="0.25">
      <c r="A744" s="217">
        <v>743</v>
      </c>
      <c r="B744" s="217" t="s">
        <v>22</v>
      </c>
      <c r="C744" s="217" t="s">
        <v>23</v>
      </c>
      <c r="D744" s="217" t="s">
        <v>37</v>
      </c>
      <c r="E744" s="217" t="s">
        <v>36</v>
      </c>
      <c r="F744" s="217" t="s">
        <v>608</v>
      </c>
      <c r="G744" s="217" t="s">
        <v>609</v>
      </c>
      <c r="H744" s="217" t="s">
        <v>1492</v>
      </c>
      <c r="I744" s="217" t="s">
        <v>612</v>
      </c>
      <c r="J744" s="217" t="s">
        <v>3682</v>
      </c>
      <c r="K744" s="217" t="s">
        <v>3683</v>
      </c>
      <c r="L744" s="217">
        <v>208</v>
      </c>
      <c r="M744" s="217">
        <v>44</v>
      </c>
      <c r="N744" s="217">
        <v>0</v>
      </c>
      <c r="O744" s="217">
        <v>0</v>
      </c>
      <c r="P744" s="217">
        <v>31</v>
      </c>
      <c r="Q744" s="217">
        <v>6</v>
      </c>
      <c r="R744" s="217" t="s">
        <v>1807</v>
      </c>
    </row>
    <row r="745" spans="1:18" x14ac:dyDescent="0.25">
      <c r="A745" s="217">
        <v>744</v>
      </c>
      <c r="B745" s="217" t="s">
        <v>22</v>
      </c>
      <c r="C745" s="217" t="s">
        <v>23</v>
      </c>
      <c r="D745" s="217" t="s">
        <v>37</v>
      </c>
      <c r="E745" s="217" t="s">
        <v>36</v>
      </c>
      <c r="F745" s="217" t="s">
        <v>608</v>
      </c>
      <c r="G745" s="217" t="s">
        <v>609</v>
      </c>
      <c r="H745" s="217" t="s">
        <v>1493</v>
      </c>
      <c r="I745" s="217" t="s">
        <v>613</v>
      </c>
      <c r="J745" s="217" t="s">
        <v>3684</v>
      </c>
      <c r="K745" s="217" t="s">
        <v>3685</v>
      </c>
      <c r="L745" s="217">
        <v>52</v>
      </c>
      <c r="M745" s="217">
        <v>11</v>
      </c>
      <c r="N745" s="217">
        <v>0</v>
      </c>
      <c r="O745" s="217">
        <v>0</v>
      </c>
      <c r="P745" s="217">
        <v>17</v>
      </c>
      <c r="Q745" s="217">
        <v>4</v>
      </c>
      <c r="R745" s="217" t="s">
        <v>1807</v>
      </c>
    </row>
    <row r="746" spans="1:18" x14ac:dyDescent="0.25">
      <c r="A746" s="217">
        <v>745</v>
      </c>
      <c r="B746" s="217" t="s">
        <v>22</v>
      </c>
      <c r="C746" s="217" t="s">
        <v>23</v>
      </c>
      <c r="D746" s="217" t="s">
        <v>37</v>
      </c>
      <c r="E746" s="217" t="s">
        <v>36</v>
      </c>
      <c r="F746" s="217" t="s">
        <v>608</v>
      </c>
      <c r="G746" s="217" t="s">
        <v>609</v>
      </c>
      <c r="H746" s="217" t="s">
        <v>1494</v>
      </c>
      <c r="I746" s="217" t="s">
        <v>614</v>
      </c>
      <c r="J746" s="217" t="s">
        <v>3686</v>
      </c>
      <c r="K746" s="217" t="s">
        <v>3687</v>
      </c>
      <c r="L746" s="217">
        <v>18</v>
      </c>
      <c r="M746" s="217">
        <v>3</v>
      </c>
      <c r="N746" s="217">
        <v>13</v>
      </c>
      <c r="O746" s="217">
        <v>8</v>
      </c>
      <c r="P746" s="217">
        <v>18</v>
      </c>
      <c r="Q746" s="217">
        <v>4</v>
      </c>
      <c r="R746" s="217" t="s">
        <v>1807</v>
      </c>
    </row>
    <row r="747" spans="1:18" x14ac:dyDescent="0.25">
      <c r="A747" s="217">
        <v>746</v>
      </c>
      <c r="B747" s="217" t="s">
        <v>22</v>
      </c>
      <c r="C747" s="217" t="s">
        <v>23</v>
      </c>
      <c r="D747" s="217" t="s">
        <v>37</v>
      </c>
      <c r="E747" s="217" t="s">
        <v>36</v>
      </c>
      <c r="F747" s="217" t="s">
        <v>608</v>
      </c>
      <c r="G747" s="217" t="s">
        <v>609</v>
      </c>
      <c r="H747" s="217" t="s">
        <v>1495</v>
      </c>
      <c r="I747" s="217" t="s">
        <v>615</v>
      </c>
      <c r="J747" s="217" t="s">
        <v>3688</v>
      </c>
      <c r="K747" s="217" t="s">
        <v>3689</v>
      </c>
      <c r="L747" s="217">
        <v>238</v>
      </c>
      <c r="M747" s="217">
        <v>35</v>
      </c>
      <c r="N747" s="217">
        <v>0</v>
      </c>
      <c r="O747" s="217">
        <v>0</v>
      </c>
      <c r="P747" s="217">
        <v>0</v>
      </c>
      <c r="Q747" s="217">
        <v>0</v>
      </c>
      <c r="R747" s="217" t="s">
        <v>1807</v>
      </c>
    </row>
    <row r="748" spans="1:18" x14ac:dyDescent="0.25">
      <c r="A748" s="217">
        <v>747</v>
      </c>
      <c r="B748" s="217" t="s">
        <v>22</v>
      </c>
      <c r="C748" s="217" t="s">
        <v>23</v>
      </c>
      <c r="D748" s="217" t="s">
        <v>37</v>
      </c>
      <c r="E748" s="217" t="s">
        <v>36</v>
      </c>
      <c r="F748" s="217" t="s">
        <v>608</v>
      </c>
      <c r="G748" s="217" t="s">
        <v>609</v>
      </c>
      <c r="H748" s="217" t="s">
        <v>1496</v>
      </c>
      <c r="I748" s="217" t="s">
        <v>2145</v>
      </c>
      <c r="J748" s="217" t="s">
        <v>3690</v>
      </c>
      <c r="K748" s="217" t="s">
        <v>3691</v>
      </c>
      <c r="L748" s="217">
        <v>12</v>
      </c>
      <c r="M748" s="217">
        <v>4</v>
      </c>
      <c r="N748" s="217">
        <v>6</v>
      </c>
      <c r="O748" s="217">
        <v>1</v>
      </c>
      <c r="P748" s="217">
        <v>0</v>
      </c>
      <c r="Q748" s="217">
        <v>0</v>
      </c>
      <c r="R748" s="217" t="s">
        <v>1807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W1984"/>
  <sheetViews>
    <sheetView zoomScale="70" zoomScaleNormal="70" workbookViewId="0">
      <selection activeCell="C15" sqref="C15"/>
    </sheetView>
  </sheetViews>
  <sheetFormatPr defaultColWidth="11.42578125" defaultRowHeight="15" x14ac:dyDescent="0.25"/>
  <cols>
    <col min="1" max="1" width="18.28515625" style="96" bestFit="1" customWidth="1"/>
    <col min="2" max="2" width="17.85546875" style="96" bestFit="1" customWidth="1"/>
    <col min="3" max="3" width="18.7109375" style="96" bestFit="1" customWidth="1"/>
    <col min="4" max="4" width="18.28515625" style="96" bestFit="1" customWidth="1"/>
    <col min="5" max="5" width="18.7109375" style="96" bestFit="1" customWidth="1"/>
    <col min="6" max="6" width="18.28515625" style="96" bestFit="1" customWidth="1"/>
    <col min="7" max="7" width="23" style="96" customWidth="1"/>
    <col min="8" max="8" width="19.7109375" style="96" bestFit="1" customWidth="1"/>
    <col min="9" max="9" width="20" style="96" customWidth="1"/>
    <col min="10" max="10" width="13.5703125" style="96" bestFit="1" customWidth="1"/>
    <col min="11" max="11" width="7.85546875" style="96" bestFit="1" customWidth="1"/>
    <col min="12" max="12" width="8.5703125" style="96" bestFit="1" customWidth="1"/>
    <col min="13" max="13" width="33" style="96" bestFit="1" customWidth="1"/>
    <col min="14" max="14" width="19.28515625" style="96" customWidth="1"/>
    <col min="15" max="15" width="23.140625" style="96" bestFit="1" customWidth="1"/>
    <col min="16" max="16" width="26.42578125" style="96" bestFit="1" customWidth="1"/>
    <col min="17" max="17" width="32.85546875" style="96" bestFit="1" customWidth="1"/>
    <col min="18" max="18" width="26" style="96" bestFit="1" customWidth="1"/>
    <col min="19" max="19" width="32.42578125" style="96" bestFit="1" customWidth="1"/>
    <col min="20" max="20" width="26.42578125" style="96" bestFit="1" customWidth="1"/>
    <col min="21" max="21" width="32.85546875" style="96" bestFit="1" customWidth="1"/>
    <col min="22" max="22" width="26.42578125" style="96" bestFit="1" customWidth="1"/>
    <col min="23" max="23" width="32.85546875" style="96" bestFit="1" customWidth="1"/>
    <col min="24" max="26" width="9.42578125" style="96" bestFit="1" customWidth="1"/>
    <col min="27" max="27" width="13.42578125" style="96" bestFit="1" customWidth="1"/>
    <col min="28" max="28" width="15.140625" style="96" bestFit="1" customWidth="1"/>
    <col min="29" max="29" width="13.42578125" style="96" bestFit="1" customWidth="1"/>
    <col min="30" max="31" width="16.7109375" style="96" bestFit="1" customWidth="1"/>
    <col min="32" max="32" width="14.140625" style="96" bestFit="1" customWidth="1"/>
    <col min="33" max="33" width="14" style="96" bestFit="1" customWidth="1"/>
    <col min="34" max="35" width="16.7109375" style="96" bestFit="1" customWidth="1"/>
    <col min="36" max="36" width="20.5703125" style="96" bestFit="1" customWidth="1"/>
    <col min="37" max="37" width="15" style="96" bestFit="1" customWidth="1"/>
    <col min="38" max="38" width="20.42578125" style="96" bestFit="1" customWidth="1"/>
    <col min="39" max="39" width="5.5703125" style="96" bestFit="1" customWidth="1"/>
    <col min="40" max="40" width="6.140625" style="96" bestFit="1" customWidth="1"/>
    <col min="41" max="41" width="30.85546875" style="96" bestFit="1" customWidth="1"/>
    <col min="42" max="42" width="14.42578125" style="96" bestFit="1" customWidth="1"/>
    <col min="43" max="43" width="22" style="96" bestFit="1" customWidth="1"/>
    <col min="44" max="44" width="19.7109375" style="96" bestFit="1" customWidth="1"/>
    <col min="45" max="45" width="24.85546875" style="96" bestFit="1" customWidth="1"/>
    <col min="46" max="46" width="19.7109375" style="96" bestFit="1" customWidth="1"/>
    <col min="47" max="47" width="24.85546875" style="96" bestFit="1" customWidth="1"/>
    <col min="48" max="48" width="19.7109375" style="96" bestFit="1" customWidth="1"/>
    <col min="49" max="49" width="24.85546875" style="96" bestFit="1" customWidth="1"/>
    <col min="50" max="50" width="19.7109375" style="96" bestFit="1" customWidth="1"/>
    <col min="51" max="51" width="24.85546875" style="96" bestFit="1" customWidth="1"/>
    <col min="52" max="16384" width="11.42578125" style="96"/>
  </cols>
  <sheetData>
    <row r="1" spans="1:23" x14ac:dyDescent="0.25">
      <c r="A1" s="217" t="s">
        <v>0</v>
      </c>
      <c r="B1" s="217" t="s">
        <v>1</v>
      </c>
      <c r="C1" s="217" t="s">
        <v>2</v>
      </c>
      <c r="D1" s="217" t="s">
        <v>3</v>
      </c>
      <c r="E1" s="217" t="s">
        <v>4</v>
      </c>
      <c r="F1" s="217" t="s">
        <v>5</v>
      </c>
      <c r="G1" s="217" t="s">
        <v>6</v>
      </c>
      <c r="H1" s="217" t="s">
        <v>865</v>
      </c>
      <c r="I1" s="217" t="s">
        <v>7</v>
      </c>
      <c r="J1" s="217" t="s">
        <v>8</v>
      </c>
      <c r="K1" s="217" t="s">
        <v>9</v>
      </c>
      <c r="L1" s="217" t="s">
        <v>10</v>
      </c>
      <c r="M1" s="217" t="s">
        <v>11</v>
      </c>
      <c r="N1" s="217" t="s">
        <v>12</v>
      </c>
      <c r="O1" s="217" t="s">
        <v>13</v>
      </c>
      <c r="P1" s="217" t="s">
        <v>14</v>
      </c>
      <c r="Q1" s="217" t="s">
        <v>15</v>
      </c>
      <c r="R1" s="217" t="s">
        <v>16</v>
      </c>
      <c r="S1" s="217" t="s">
        <v>17</v>
      </c>
      <c r="T1" s="217" t="s">
        <v>18</v>
      </c>
      <c r="U1" s="217" t="s">
        <v>19</v>
      </c>
      <c r="V1" s="217" t="s">
        <v>20</v>
      </c>
      <c r="W1" s="217" t="s">
        <v>21</v>
      </c>
    </row>
    <row r="2" spans="1:23" x14ac:dyDescent="0.25">
      <c r="A2" s="217" t="s">
        <v>22</v>
      </c>
      <c r="B2" s="217" t="s">
        <v>23</v>
      </c>
      <c r="C2" s="217" t="s">
        <v>24</v>
      </c>
      <c r="D2" s="217" t="s">
        <v>25</v>
      </c>
      <c r="E2" s="217" t="s">
        <v>26</v>
      </c>
      <c r="F2" s="217" t="s">
        <v>27</v>
      </c>
      <c r="G2" s="217" t="s">
        <v>28</v>
      </c>
      <c r="H2" s="217" t="s">
        <v>866</v>
      </c>
      <c r="I2" s="217" t="s">
        <v>29</v>
      </c>
      <c r="J2" s="217" t="s">
        <v>1855</v>
      </c>
      <c r="K2" s="217">
        <v>3</v>
      </c>
      <c r="L2" s="217">
        <v>16</v>
      </c>
      <c r="M2" s="217" t="s">
        <v>31</v>
      </c>
      <c r="N2" s="217" t="s">
        <v>32</v>
      </c>
      <c r="O2" s="217" t="s">
        <v>33</v>
      </c>
      <c r="P2" s="217" t="s">
        <v>34</v>
      </c>
      <c r="Q2" s="217" t="s">
        <v>35</v>
      </c>
      <c r="R2" s="217" t="s">
        <v>23</v>
      </c>
      <c r="S2" s="217" t="s">
        <v>22</v>
      </c>
      <c r="T2" s="217" t="s">
        <v>36</v>
      </c>
      <c r="U2" s="217" t="s">
        <v>37</v>
      </c>
      <c r="V2" s="217" t="s">
        <v>249</v>
      </c>
      <c r="W2" s="217" t="s">
        <v>250</v>
      </c>
    </row>
    <row r="3" spans="1:23" x14ac:dyDescent="0.25">
      <c r="A3" s="217" t="s">
        <v>22</v>
      </c>
      <c r="B3" s="217" t="s">
        <v>23</v>
      </c>
      <c r="C3" s="217" t="s">
        <v>24</v>
      </c>
      <c r="D3" s="217" t="s">
        <v>25</v>
      </c>
      <c r="E3" s="217" t="s">
        <v>26</v>
      </c>
      <c r="F3" s="217" t="s">
        <v>27</v>
      </c>
      <c r="G3" s="217" t="s">
        <v>38</v>
      </c>
      <c r="H3" s="217" t="s">
        <v>867</v>
      </c>
      <c r="I3" s="217" t="s">
        <v>29</v>
      </c>
      <c r="J3" s="217" t="s">
        <v>1855</v>
      </c>
      <c r="K3" s="217">
        <v>3</v>
      </c>
      <c r="L3" s="217">
        <v>10</v>
      </c>
      <c r="M3" s="217" t="s">
        <v>31</v>
      </c>
      <c r="N3" s="217" t="s">
        <v>32</v>
      </c>
      <c r="O3" s="217" t="s">
        <v>33</v>
      </c>
      <c r="P3" s="217" t="s">
        <v>34</v>
      </c>
      <c r="Q3" s="217" t="s">
        <v>35</v>
      </c>
      <c r="R3" s="217" t="s">
        <v>23</v>
      </c>
      <c r="S3" s="217" t="s">
        <v>22</v>
      </c>
      <c r="T3" s="217" t="s">
        <v>36</v>
      </c>
      <c r="U3" s="217" t="s">
        <v>37</v>
      </c>
      <c r="V3" s="217" t="s">
        <v>249</v>
      </c>
      <c r="W3" s="217" t="s">
        <v>250</v>
      </c>
    </row>
    <row r="4" spans="1:23" x14ac:dyDescent="0.25">
      <c r="A4" s="217" t="s">
        <v>22</v>
      </c>
      <c r="B4" s="217" t="s">
        <v>23</v>
      </c>
      <c r="C4" s="217" t="s">
        <v>24</v>
      </c>
      <c r="D4" s="217" t="s">
        <v>25</v>
      </c>
      <c r="E4" s="217" t="s">
        <v>26</v>
      </c>
      <c r="F4" s="217" t="s">
        <v>27</v>
      </c>
      <c r="G4" s="217" t="s">
        <v>39</v>
      </c>
      <c r="H4" s="217" t="s">
        <v>868</v>
      </c>
      <c r="I4" s="217" t="s">
        <v>29</v>
      </c>
      <c r="J4" s="217" t="s">
        <v>1855</v>
      </c>
      <c r="K4" s="217">
        <v>3</v>
      </c>
      <c r="L4" s="217">
        <v>21</v>
      </c>
      <c r="M4" s="217" t="s">
        <v>31</v>
      </c>
      <c r="N4" s="217" t="s">
        <v>32</v>
      </c>
      <c r="O4" s="217" t="s">
        <v>33</v>
      </c>
      <c r="P4" s="217" t="s">
        <v>34</v>
      </c>
      <c r="Q4" s="217" t="s">
        <v>35</v>
      </c>
      <c r="R4" s="217" t="s">
        <v>23</v>
      </c>
      <c r="S4" s="217" t="s">
        <v>22</v>
      </c>
      <c r="T4" s="217" t="s">
        <v>36</v>
      </c>
      <c r="U4" s="217" t="s">
        <v>37</v>
      </c>
      <c r="V4" s="217" t="s">
        <v>249</v>
      </c>
      <c r="W4" s="217" t="s">
        <v>250</v>
      </c>
    </row>
    <row r="5" spans="1:23" x14ac:dyDescent="0.25">
      <c r="A5" s="217" t="s">
        <v>22</v>
      </c>
      <c r="B5" s="217" t="s">
        <v>23</v>
      </c>
      <c r="C5" s="217" t="s">
        <v>24</v>
      </c>
      <c r="D5" s="217" t="s">
        <v>25</v>
      </c>
      <c r="E5" s="217" t="s">
        <v>26</v>
      </c>
      <c r="F5" s="217" t="s">
        <v>27</v>
      </c>
      <c r="G5" s="217" t="s">
        <v>40</v>
      </c>
      <c r="H5" s="217" t="s">
        <v>869</v>
      </c>
      <c r="I5" s="217" t="s">
        <v>29</v>
      </c>
      <c r="J5" s="217" t="s">
        <v>1855</v>
      </c>
      <c r="K5" s="217">
        <v>2</v>
      </c>
      <c r="L5" s="217">
        <v>8</v>
      </c>
      <c r="M5" s="217" t="s">
        <v>31</v>
      </c>
      <c r="N5" s="217" t="s">
        <v>32</v>
      </c>
      <c r="O5" s="217" t="s">
        <v>33</v>
      </c>
      <c r="P5" s="217" t="s">
        <v>34</v>
      </c>
      <c r="Q5" s="217" t="s">
        <v>35</v>
      </c>
      <c r="R5" s="217" t="s">
        <v>23</v>
      </c>
      <c r="S5" s="217" t="s">
        <v>22</v>
      </c>
      <c r="T5" s="217" t="s">
        <v>36</v>
      </c>
      <c r="U5" s="217" t="s">
        <v>37</v>
      </c>
      <c r="V5" s="217" t="s">
        <v>249</v>
      </c>
      <c r="W5" s="217" t="s">
        <v>250</v>
      </c>
    </row>
    <row r="6" spans="1:23" x14ac:dyDescent="0.25">
      <c r="A6" s="217" t="s">
        <v>22</v>
      </c>
      <c r="B6" s="217" t="s">
        <v>23</v>
      </c>
      <c r="C6" s="217" t="s">
        <v>24</v>
      </c>
      <c r="D6" s="217" t="s">
        <v>25</v>
      </c>
      <c r="E6" s="217" t="s">
        <v>26</v>
      </c>
      <c r="F6" s="217" t="s">
        <v>27</v>
      </c>
      <c r="G6" s="217" t="s">
        <v>41</v>
      </c>
      <c r="H6" s="217" t="s">
        <v>870</v>
      </c>
      <c r="I6" s="217" t="s">
        <v>29</v>
      </c>
      <c r="J6" s="217" t="s">
        <v>1855</v>
      </c>
      <c r="K6" s="217">
        <v>27</v>
      </c>
      <c r="L6" s="217">
        <v>151</v>
      </c>
      <c r="M6" s="217" t="s">
        <v>31</v>
      </c>
      <c r="N6" s="217" t="s">
        <v>32</v>
      </c>
      <c r="O6" s="217" t="s">
        <v>33</v>
      </c>
      <c r="P6" s="217" t="s">
        <v>34</v>
      </c>
      <c r="Q6" s="217" t="s">
        <v>35</v>
      </c>
      <c r="R6" s="217" t="s">
        <v>23</v>
      </c>
      <c r="S6" s="217" t="s">
        <v>22</v>
      </c>
      <c r="T6" s="217" t="s">
        <v>36</v>
      </c>
      <c r="U6" s="217" t="s">
        <v>37</v>
      </c>
      <c r="V6" s="217" t="s">
        <v>249</v>
      </c>
      <c r="W6" s="217" t="s">
        <v>250</v>
      </c>
    </row>
    <row r="7" spans="1:23" x14ac:dyDescent="0.25">
      <c r="A7" s="217" t="s">
        <v>22</v>
      </c>
      <c r="B7" s="217" t="s">
        <v>23</v>
      </c>
      <c r="C7" s="217" t="s">
        <v>24</v>
      </c>
      <c r="D7" s="217" t="s">
        <v>25</v>
      </c>
      <c r="E7" s="217" t="s">
        <v>26</v>
      </c>
      <c r="F7" s="217" t="s">
        <v>27</v>
      </c>
      <c r="G7" s="217" t="s">
        <v>43</v>
      </c>
      <c r="H7" s="217" t="s">
        <v>871</v>
      </c>
      <c r="I7" s="217" t="s">
        <v>29</v>
      </c>
      <c r="J7" s="217" t="s">
        <v>1855</v>
      </c>
      <c r="K7" s="217">
        <v>9</v>
      </c>
      <c r="L7" s="217">
        <v>67</v>
      </c>
      <c r="M7" s="217" t="s">
        <v>31</v>
      </c>
      <c r="N7" s="217" t="s">
        <v>32</v>
      </c>
      <c r="O7" s="217" t="s">
        <v>33</v>
      </c>
      <c r="P7" s="217" t="s">
        <v>34</v>
      </c>
      <c r="Q7" s="217" t="s">
        <v>35</v>
      </c>
      <c r="R7" s="217" t="s">
        <v>23</v>
      </c>
      <c r="S7" s="217" t="s">
        <v>22</v>
      </c>
      <c r="T7" s="217" t="s">
        <v>36</v>
      </c>
      <c r="U7" s="217" t="s">
        <v>37</v>
      </c>
      <c r="V7" s="217" t="s">
        <v>249</v>
      </c>
      <c r="W7" s="217" t="s">
        <v>250</v>
      </c>
    </row>
    <row r="8" spans="1:23" x14ac:dyDescent="0.25">
      <c r="A8" s="217" t="s">
        <v>22</v>
      </c>
      <c r="B8" s="217" t="s">
        <v>23</v>
      </c>
      <c r="C8" s="217" t="s">
        <v>24</v>
      </c>
      <c r="D8" s="217" t="s">
        <v>25</v>
      </c>
      <c r="E8" s="217" t="s">
        <v>44</v>
      </c>
      <c r="F8" s="217" t="s">
        <v>45</v>
      </c>
      <c r="G8" s="217" t="s">
        <v>46</v>
      </c>
      <c r="H8" s="217" t="s">
        <v>872</v>
      </c>
      <c r="I8" s="217" t="s">
        <v>29</v>
      </c>
      <c r="J8" s="217" t="s">
        <v>1855</v>
      </c>
      <c r="K8" s="217">
        <v>50</v>
      </c>
      <c r="L8" s="217">
        <v>350</v>
      </c>
      <c r="M8" s="217" t="s">
        <v>31</v>
      </c>
      <c r="N8" s="217" t="s">
        <v>32</v>
      </c>
      <c r="O8" s="217" t="s">
        <v>68</v>
      </c>
      <c r="P8" s="217" t="s">
        <v>34</v>
      </c>
      <c r="Q8" s="217" t="s">
        <v>35</v>
      </c>
      <c r="R8" s="217" t="s">
        <v>23</v>
      </c>
      <c r="S8" s="217" t="s">
        <v>22</v>
      </c>
      <c r="T8" s="217" t="s">
        <v>25</v>
      </c>
      <c r="U8" s="217" t="s">
        <v>24</v>
      </c>
      <c r="V8" s="217" t="s">
        <v>45</v>
      </c>
      <c r="W8" s="217" t="s">
        <v>44</v>
      </c>
    </row>
    <row r="9" spans="1:23" x14ac:dyDescent="0.25">
      <c r="A9" s="217" t="s">
        <v>22</v>
      </c>
      <c r="B9" s="217" t="s">
        <v>23</v>
      </c>
      <c r="C9" s="217" t="s">
        <v>24</v>
      </c>
      <c r="D9" s="217" t="s">
        <v>25</v>
      </c>
      <c r="E9" s="217" t="s">
        <v>44</v>
      </c>
      <c r="F9" s="217" t="s">
        <v>45</v>
      </c>
      <c r="G9" s="217" t="s">
        <v>49</v>
      </c>
      <c r="H9" s="217" t="s">
        <v>873</v>
      </c>
      <c r="I9" s="217" t="s">
        <v>29</v>
      </c>
      <c r="J9" s="217" t="s">
        <v>1855</v>
      </c>
      <c r="K9" s="217">
        <v>66</v>
      </c>
      <c r="L9" s="217">
        <v>391</v>
      </c>
      <c r="M9" s="217" t="s">
        <v>31</v>
      </c>
      <c r="N9" s="217" t="s">
        <v>32</v>
      </c>
      <c r="O9" s="217" t="s">
        <v>68</v>
      </c>
      <c r="P9" s="217" t="s">
        <v>34</v>
      </c>
      <c r="Q9" s="217" t="s">
        <v>35</v>
      </c>
      <c r="R9" s="217" t="s">
        <v>23</v>
      </c>
      <c r="S9" s="217" t="s">
        <v>22</v>
      </c>
      <c r="T9" s="217" t="s">
        <v>25</v>
      </c>
      <c r="U9" s="217" t="s">
        <v>24</v>
      </c>
      <c r="V9" s="217" t="s">
        <v>45</v>
      </c>
      <c r="W9" s="217" t="s">
        <v>44</v>
      </c>
    </row>
    <row r="10" spans="1:23" x14ac:dyDescent="0.25">
      <c r="A10" s="217" t="s">
        <v>22</v>
      </c>
      <c r="B10" s="217" t="s">
        <v>23</v>
      </c>
      <c r="C10" s="217" t="s">
        <v>24</v>
      </c>
      <c r="D10" s="217" t="s">
        <v>25</v>
      </c>
      <c r="E10" s="217" t="s">
        <v>50</v>
      </c>
      <c r="F10" s="217" t="s">
        <v>51</v>
      </c>
      <c r="G10" s="217" t="s">
        <v>52</v>
      </c>
      <c r="H10" s="217" t="s">
        <v>874</v>
      </c>
      <c r="I10" s="217" t="s">
        <v>29</v>
      </c>
      <c r="J10" s="217" t="s">
        <v>1855</v>
      </c>
      <c r="K10" s="217">
        <v>71</v>
      </c>
      <c r="L10" s="217">
        <v>378</v>
      </c>
      <c r="M10" s="217" t="s">
        <v>31</v>
      </c>
      <c r="N10" s="217" t="s">
        <v>32</v>
      </c>
      <c r="O10" s="217" t="s">
        <v>100</v>
      </c>
      <c r="P10" s="217" t="s">
        <v>34</v>
      </c>
      <c r="Q10" s="217" t="s">
        <v>35</v>
      </c>
      <c r="R10" s="217" t="s">
        <v>23</v>
      </c>
      <c r="S10" s="217" t="s">
        <v>22</v>
      </c>
      <c r="T10" s="217" t="s">
        <v>25</v>
      </c>
      <c r="U10" s="217" t="s">
        <v>24</v>
      </c>
      <c r="V10" s="217" t="s">
        <v>51</v>
      </c>
      <c r="W10" s="217" t="s">
        <v>50</v>
      </c>
    </row>
    <row r="11" spans="1:23" x14ac:dyDescent="0.25">
      <c r="A11" s="217" t="s">
        <v>22</v>
      </c>
      <c r="B11" s="217" t="s">
        <v>23</v>
      </c>
      <c r="C11" s="217" t="s">
        <v>24</v>
      </c>
      <c r="D11" s="217" t="s">
        <v>25</v>
      </c>
      <c r="E11" s="217" t="s">
        <v>50</v>
      </c>
      <c r="F11" s="217" t="s">
        <v>51</v>
      </c>
      <c r="G11" s="217" t="s">
        <v>53</v>
      </c>
      <c r="H11" s="217" t="s">
        <v>875</v>
      </c>
      <c r="I11" s="217" t="s">
        <v>29</v>
      </c>
      <c r="J11" s="217" t="s">
        <v>1855</v>
      </c>
      <c r="K11" s="217">
        <v>131</v>
      </c>
      <c r="L11" s="217">
        <v>672</v>
      </c>
      <c r="M11" s="217" t="s">
        <v>31</v>
      </c>
      <c r="N11" s="217" t="s">
        <v>32</v>
      </c>
      <c r="O11" s="217" t="s">
        <v>100</v>
      </c>
      <c r="P11" s="217" t="s">
        <v>34</v>
      </c>
      <c r="Q11" s="217" t="s">
        <v>35</v>
      </c>
      <c r="R11" s="217" t="s">
        <v>23</v>
      </c>
      <c r="S11" s="217" t="s">
        <v>22</v>
      </c>
      <c r="T11" s="217" t="s">
        <v>25</v>
      </c>
      <c r="U11" s="217" t="s">
        <v>24</v>
      </c>
      <c r="V11" s="217" t="s">
        <v>51</v>
      </c>
      <c r="W11" s="217" t="s">
        <v>50</v>
      </c>
    </row>
    <row r="12" spans="1:23" x14ac:dyDescent="0.25">
      <c r="A12" s="217" t="s">
        <v>22</v>
      </c>
      <c r="B12" s="217" t="s">
        <v>23</v>
      </c>
      <c r="C12" s="217" t="s">
        <v>24</v>
      </c>
      <c r="D12" s="217" t="s">
        <v>25</v>
      </c>
      <c r="E12" s="217" t="s">
        <v>50</v>
      </c>
      <c r="F12" s="217" t="s">
        <v>51</v>
      </c>
      <c r="G12" s="217" t="s">
        <v>54</v>
      </c>
      <c r="H12" s="217" t="s">
        <v>876</v>
      </c>
      <c r="I12" s="217" t="s">
        <v>29</v>
      </c>
      <c r="J12" s="217" t="s">
        <v>1855</v>
      </c>
      <c r="K12" s="217">
        <v>195</v>
      </c>
      <c r="L12" s="217">
        <v>1110</v>
      </c>
      <c r="M12" s="217" t="s">
        <v>31</v>
      </c>
      <c r="N12" s="217" t="s">
        <v>32</v>
      </c>
      <c r="O12" s="217" t="s">
        <v>33</v>
      </c>
      <c r="P12" s="217" t="s">
        <v>34</v>
      </c>
      <c r="Q12" s="217" t="s">
        <v>35</v>
      </c>
      <c r="R12" s="217" t="s">
        <v>23</v>
      </c>
      <c r="S12" s="217" t="s">
        <v>22</v>
      </c>
      <c r="T12" s="217" t="s">
        <v>47</v>
      </c>
      <c r="U12" s="217" t="s">
        <v>48</v>
      </c>
      <c r="V12" s="217" t="s">
        <v>231</v>
      </c>
      <c r="W12" s="217" t="s">
        <v>232</v>
      </c>
    </row>
    <row r="13" spans="1:23" x14ac:dyDescent="0.25">
      <c r="A13" s="217" t="s">
        <v>22</v>
      </c>
      <c r="B13" s="217" t="s">
        <v>23</v>
      </c>
      <c r="C13" s="217" t="s">
        <v>24</v>
      </c>
      <c r="D13" s="217" t="s">
        <v>25</v>
      </c>
      <c r="E13" s="217" t="s">
        <v>50</v>
      </c>
      <c r="F13" s="217" t="s">
        <v>51</v>
      </c>
      <c r="G13" s="217" t="s">
        <v>55</v>
      </c>
      <c r="H13" s="217" t="s">
        <v>877</v>
      </c>
      <c r="I13" s="217" t="s">
        <v>29</v>
      </c>
      <c r="J13" s="217" t="s">
        <v>1855</v>
      </c>
      <c r="K13" s="217">
        <v>8</v>
      </c>
      <c r="L13" s="217">
        <v>79</v>
      </c>
      <c r="M13" s="217" t="s">
        <v>31</v>
      </c>
      <c r="N13" s="217" t="s">
        <v>32</v>
      </c>
      <c r="O13" s="217" t="s">
        <v>33</v>
      </c>
      <c r="P13" s="217" t="s">
        <v>34</v>
      </c>
      <c r="Q13" s="217" t="s">
        <v>35</v>
      </c>
      <c r="R13" s="217" t="s">
        <v>23</v>
      </c>
      <c r="S13" s="217" t="s">
        <v>22</v>
      </c>
      <c r="T13" s="217" t="s">
        <v>47</v>
      </c>
      <c r="U13" s="217" t="s">
        <v>48</v>
      </c>
      <c r="V13" s="217" t="s">
        <v>231</v>
      </c>
      <c r="W13" s="217" t="s">
        <v>232</v>
      </c>
    </row>
    <row r="14" spans="1:23" x14ac:dyDescent="0.25">
      <c r="A14" s="217" t="s">
        <v>22</v>
      </c>
      <c r="B14" s="217" t="s">
        <v>23</v>
      </c>
      <c r="C14" s="217" t="s">
        <v>24</v>
      </c>
      <c r="D14" s="217" t="s">
        <v>25</v>
      </c>
      <c r="E14" s="217" t="s">
        <v>665</v>
      </c>
      <c r="F14" s="217" t="s">
        <v>666</v>
      </c>
      <c r="G14" s="217" t="s">
        <v>667</v>
      </c>
      <c r="H14" s="217" t="s">
        <v>878</v>
      </c>
      <c r="I14" s="217" t="s">
        <v>29</v>
      </c>
      <c r="J14" s="217" t="s">
        <v>1855</v>
      </c>
      <c r="K14" s="217">
        <v>8</v>
      </c>
      <c r="L14" s="217">
        <v>36</v>
      </c>
      <c r="M14" s="217" t="s">
        <v>31</v>
      </c>
      <c r="N14" s="217" t="s">
        <v>32</v>
      </c>
      <c r="O14" s="217" t="s">
        <v>33</v>
      </c>
      <c r="P14" s="217" t="s">
        <v>34</v>
      </c>
      <c r="Q14" s="217" t="s">
        <v>35</v>
      </c>
      <c r="R14" s="217" t="s">
        <v>23</v>
      </c>
      <c r="S14" s="217" t="s">
        <v>22</v>
      </c>
      <c r="T14" s="217" t="s">
        <v>47</v>
      </c>
      <c r="U14" s="217" t="s">
        <v>48</v>
      </c>
      <c r="V14" s="217" t="s">
        <v>231</v>
      </c>
      <c r="W14" s="217" t="s">
        <v>232</v>
      </c>
    </row>
    <row r="15" spans="1:23" x14ac:dyDescent="0.25">
      <c r="A15" s="217" t="s">
        <v>22</v>
      </c>
      <c r="B15" s="217" t="s">
        <v>23</v>
      </c>
      <c r="C15" s="217" t="s">
        <v>24</v>
      </c>
      <c r="D15" s="217" t="s">
        <v>25</v>
      </c>
      <c r="E15" s="217" t="s">
        <v>56</v>
      </c>
      <c r="F15" s="217" t="s">
        <v>57</v>
      </c>
      <c r="G15" s="217" t="s">
        <v>58</v>
      </c>
      <c r="H15" s="217" t="s">
        <v>879</v>
      </c>
      <c r="I15" s="217" t="s">
        <v>29</v>
      </c>
      <c r="J15" s="217" t="s">
        <v>1855</v>
      </c>
      <c r="K15" s="217">
        <v>3</v>
      </c>
      <c r="L15" s="217">
        <v>18</v>
      </c>
      <c r="M15" s="217" t="s">
        <v>31</v>
      </c>
      <c r="N15" s="217" t="s">
        <v>32</v>
      </c>
      <c r="O15" s="217" t="s">
        <v>33</v>
      </c>
      <c r="P15" s="217" t="s">
        <v>34</v>
      </c>
      <c r="Q15" s="217" t="s">
        <v>35</v>
      </c>
      <c r="R15" s="217" t="s">
        <v>23</v>
      </c>
      <c r="S15" s="217" t="s">
        <v>22</v>
      </c>
      <c r="T15" s="217" t="s">
        <v>47</v>
      </c>
      <c r="U15" s="217" t="s">
        <v>48</v>
      </c>
      <c r="V15" s="217" t="s">
        <v>61</v>
      </c>
      <c r="W15" s="217" t="s">
        <v>62</v>
      </c>
    </row>
    <row r="16" spans="1:23" x14ac:dyDescent="0.25">
      <c r="A16" s="217" t="s">
        <v>22</v>
      </c>
      <c r="B16" s="217" t="s">
        <v>23</v>
      </c>
      <c r="C16" s="217" t="s">
        <v>24</v>
      </c>
      <c r="D16" s="217" t="s">
        <v>25</v>
      </c>
      <c r="E16" s="217" t="s">
        <v>56</v>
      </c>
      <c r="F16" s="217" t="s">
        <v>57</v>
      </c>
      <c r="G16" s="217" t="s">
        <v>59</v>
      </c>
      <c r="H16" s="217" t="s">
        <v>880</v>
      </c>
      <c r="I16" s="217" t="s">
        <v>29</v>
      </c>
      <c r="J16" s="217" t="s">
        <v>1855</v>
      </c>
      <c r="K16" s="217">
        <v>2</v>
      </c>
      <c r="L16" s="217">
        <v>19</v>
      </c>
      <c r="M16" s="217" t="s">
        <v>31</v>
      </c>
      <c r="N16" s="217" t="s">
        <v>32</v>
      </c>
      <c r="O16" s="217" t="s">
        <v>100</v>
      </c>
      <c r="P16" s="217" t="s">
        <v>34</v>
      </c>
      <c r="Q16" s="217" t="s">
        <v>35</v>
      </c>
      <c r="R16" s="217" t="s">
        <v>23</v>
      </c>
      <c r="S16" s="217" t="s">
        <v>22</v>
      </c>
      <c r="T16" s="217" t="s">
        <v>25</v>
      </c>
      <c r="U16" s="217" t="s">
        <v>24</v>
      </c>
      <c r="V16" s="217" t="s">
        <v>57</v>
      </c>
      <c r="W16" s="217" t="s">
        <v>56</v>
      </c>
    </row>
    <row r="17" spans="1:23" x14ac:dyDescent="0.25">
      <c r="A17" s="217" t="s">
        <v>22</v>
      </c>
      <c r="B17" s="217" t="s">
        <v>23</v>
      </c>
      <c r="C17" s="217" t="s">
        <v>24</v>
      </c>
      <c r="D17" s="217" t="s">
        <v>25</v>
      </c>
      <c r="E17" s="217" t="s">
        <v>56</v>
      </c>
      <c r="F17" s="217" t="s">
        <v>57</v>
      </c>
      <c r="G17" s="217" t="s">
        <v>60</v>
      </c>
      <c r="H17" s="217" t="s">
        <v>881</v>
      </c>
      <c r="I17" s="217" t="s">
        <v>29</v>
      </c>
      <c r="J17" s="217" t="s">
        <v>1855</v>
      </c>
      <c r="K17" s="217">
        <v>19</v>
      </c>
      <c r="L17" s="217">
        <v>165</v>
      </c>
      <c r="M17" s="217" t="s">
        <v>31</v>
      </c>
      <c r="N17" s="217" t="s">
        <v>32</v>
      </c>
      <c r="O17" s="217" t="s">
        <v>33</v>
      </c>
      <c r="P17" s="217" t="s">
        <v>34</v>
      </c>
      <c r="Q17" s="217" t="s">
        <v>35</v>
      </c>
      <c r="R17" s="217" t="s">
        <v>23</v>
      </c>
      <c r="S17" s="217" t="s">
        <v>22</v>
      </c>
      <c r="T17" s="217" t="s">
        <v>47</v>
      </c>
      <c r="U17" s="217" t="s">
        <v>48</v>
      </c>
      <c r="V17" s="217" t="s">
        <v>61</v>
      </c>
      <c r="W17" s="217" t="s">
        <v>62</v>
      </c>
    </row>
    <row r="18" spans="1:23" x14ac:dyDescent="0.25">
      <c r="A18" s="217" t="s">
        <v>22</v>
      </c>
      <c r="B18" s="217" t="s">
        <v>23</v>
      </c>
      <c r="C18" s="217" t="s">
        <v>24</v>
      </c>
      <c r="D18" s="217" t="s">
        <v>25</v>
      </c>
      <c r="E18" s="217" t="s">
        <v>56</v>
      </c>
      <c r="F18" s="217" t="s">
        <v>57</v>
      </c>
      <c r="G18" s="217" t="s">
        <v>63</v>
      </c>
      <c r="H18" s="217" t="s">
        <v>882</v>
      </c>
      <c r="I18" s="217" t="s">
        <v>29</v>
      </c>
      <c r="J18" s="217" t="s">
        <v>1855</v>
      </c>
      <c r="K18" s="217">
        <v>39</v>
      </c>
      <c r="L18" s="217">
        <v>202</v>
      </c>
      <c r="M18" s="217" t="s">
        <v>31</v>
      </c>
      <c r="N18" s="217" t="s">
        <v>32</v>
      </c>
      <c r="O18" s="217" t="s">
        <v>33</v>
      </c>
      <c r="P18" s="217" t="s">
        <v>34</v>
      </c>
      <c r="Q18" s="217" t="s">
        <v>35</v>
      </c>
      <c r="R18" s="217" t="s">
        <v>23</v>
      </c>
      <c r="S18" s="217" t="s">
        <v>22</v>
      </c>
      <c r="T18" s="217" t="s">
        <v>47</v>
      </c>
      <c r="U18" s="217" t="s">
        <v>48</v>
      </c>
      <c r="V18" s="217" t="s">
        <v>61</v>
      </c>
      <c r="W18" s="217" t="s">
        <v>62</v>
      </c>
    </row>
    <row r="19" spans="1:23" x14ac:dyDescent="0.25">
      <c r="A19" s="217" t="s">
        <v>22</v>
      </c>
      <c r="B19" s="217" t="s">
        <v>23</v>
      </c>
      <c r="C19" s="217" t="s">
        <v>24</v>
      </c>
      <c r="D19" s="217" t="s">
        <v>25</v>
      </c>
      <c r="E19" s="217" t="s">
        <v>56</v>
      </c>
      <c r="F19" s="217" t="s">
        <v>57</v>
      </c>
      <c r="G19" s="217" t="s">
        <v>63</v>
      </c>
      <c r="H19" s="217" t="s">
        <v>882</v>
      </c>
      <c r="I19" s="217" t="s">
        <v>29</v>
      </c>
      <c r="J19" s="217" t="s">
        <v>1856</v>
      </c>
      <c r="K19" s="217">
        <v>45</v>
      </c>
      <c r="L19" s="217">
        <v>216</v>
      </c>
      <c r="M19" s="217" t="s">
        <v>31</v>
      </c>
      <c r="N19" s="217" t="s">
        <v>32</v>
      </c>
      <c r="O19" s="217" t="s">
        <v>33</v>
      </c>
      <c r="P19" s="217" t="s">
        <v>34</v>
      </c>
      <c r="Q19" s="217" t="s">
        <v>35</v>
      </c>
      <c r="R19" s="217" t="s">
        <v>23</v>
      </c>
      <c r="S19" s="217" t="s">
        <v>22</v>
      </c>
      <c r="T19" s="217" t="s">
        <v>47</v>
      </c>
      <c r="U19" s="217" t="s">
        <v>48</v>
      </c>
      <c r="V19" s="217" t="s">
        <v>61</v>
      </c>
      <c r="W19" s="217" t="s">
        <v>62</v>
      </c>
    </row>
    <row r="20" spans="1:23" x14ac:dyDescent="0.25">
      <c r="A20" s="217" t="s">
        <v>22</v>
      </c>
      <c r="B20" s="217" t="s">
        <v>23</v>
      </c>
      <c r="C20" s="217" t="s">
        <v>24</v>
      </c>
      <c r="D20" s="217" t="s">
        <v>25</v>
      </c>
      <c r="E20" s="217" t="s">
        <v>56</v>
      </c>
      <c r="F20" s="217" t="s">
        <v>57</v>
      </c>
      <c r="G20" s="217" t="s">
        <v>63</v>
      </c>
      <c r="H20" s="217" t="s">
        <v>882</v>
      </c>
      <c r="I20" s="217" t="s">
        <v>29</v>
      </c>
      <c r="J20" s="217" t="s">
        <v>1857</v>
      </c>
      <c r="K20" s="217">
        <v>51</v>
      </c>
      <c r="L20" s="217">
        <v>263</v>
      </c>
      <c r="M20" s="217" t="s">
        <v>31</v>
      </c>
      <c r="N20" s="217" t="s">
        <v>32</v>
      </c>
      <c r="O20" s="217" t="s">
        <v>33</v>
      </c>
      <c r="P20" s="217" t="s">
        <v>34</v>
      </c>
      <c r="Q20" s="217" t="s">
        <v>35</v>
      </c>
      <c r="R20" s="217" t="s">
        <v>23</v>
      </c>
      <c r="S20" s="217" t="s">
        <v>22</v>
      </c>
      <c r="T20" s="217" t="s">
        <v>47</v>
      </c>
      <c r="U20" s="217" t="s">
        <v>48</v>
      </c>
      <c r="V20" s="217" t="s">
        <v>61</v>
      </c>
      <c r="W20" s="217" t="s">
        <v>62</v>
      </c>
    </row>
    <row r="21" spans="1:23" x14ac:dyDescent="0.25">
      <c r="A21" s="217" t="s">
        <v>22</v>
      </c>
      <c r="B21" s="217" t="s">
        <v>23</v>
      </c>
      <c r="C21" s="217" t="s">
        <v>24</v>
      </c>
      <c r="D21" s="217" t="s">
        <v>25</v>
      </c>
      <c r="E21" s="217" t="s">
        <v>56</v>
      </c>
      <c r="F21" s="217" t="s">
        <v>57</v>
      </c>
      <c r="G21" s="217" t="s">
        <v>63</v>
      </c>
      <c r="H21" s="217" t="s">
        <v>882</v>
      </c>
      <c r="I21" s="217" t="s">
        <v>29</v>
      </c>
      <c r="J21" s="217" t="s">
        <v>1858</v>
      </c>
      <c r="K21" s="217">
        <v>9</v>
      </c>
      <c r="L21" s="217">
        <v>61</v>
      </c>
      <c r="M21" s="217" t="s">
        <v>31</v>
      </c>
      <c r="N21" s="217" t="s">
        <v>32</v>
      </c>
      <c r="O21" s="217" t="s">
        <v>33</v>
      </c>
      <c r="P21" s="217" t="s">
        <v>34</v>
      </c>
      <c r="Q21" s="217" t="s">
        <v>35</v>
      </c>
      <c r="R21" s="217" t="s">
        <v>23</v>
      </c>
      <c r="S21" s="217" t="s">
        <v>22</v>
      </c>
      <c r="T21" s="217" t="s">
        <v>47</v>
      </c>
      <c r="U21" s="217" t="s">
        <v>48</v>
      </c>
      <c r="V21" s="217" t="s">
        <v>61</v>
      </c>
      <c r="W21" s="217" t="s">
        <v>62</v>
      </c>
    </row>
    <row r="22" spans="1:23" x14ac:dyDescent="0.25">
      <c r="A22" s="217" t="s">
        <v>22</v>
      </c>
      <c r="B22" s="217" t="s">
        <v>23</v>
      </c>
      <c r="C22" s="217" t="s">
        <v>24</v>
      </c>
      <c r="D22" s="217" t="s">
        <v>25</v>
      </c>
      <c r="E22" s="217" t="s">
        <v>56</v>
      </c>
      <c r="F22" s="217" t="s">
        <v>57</v>
      </c>
      <c r="G22" s="217" t="s">
        <v>64</v>
      </c>
      <c r="H22" s="217" t="s">
        <v>883</v>
      </c>
      <c r="I22" s="217" t="s">
        <v>29</v>
      </c>
      <c r="J22" s="217" t="s">
        <v>1855</v>
      </c>
      <c r="K22" s="217">
        <v>7</v>
      </c>
      <c r="L22" s="217">
        <v>36</v>
      </c>
      <c r="M22" s="217" t="s">
        <v>31</v>
      </c>
      <c r="N22" s="217" t="s">
        <v>32</v>
      </c>
      <c r="O22" s="217" t="s">
        <v>33</v>
      </c>
      <c r="P22" s="217" t="s">
        <v>34</v>
      </c>
      <c r="Q22" s="217" t="s">
        <v>35</v>
      </c>
      <c r="R22" s="217" t="s">
        <v>23</v>
      </c>
      <c r="S22" s="217" t="s">
        <v>22</v>
      </c>
      <c r="T22" s="217" t="s">
        <v>47</v>
      </c>
      <c r="U22" s="217" t="s">
        <v>48</v>
      </c>
      <c r="V22" s="217" t="s">
        <v>61</v>
      </c>
      <c r="W22" s="217" t="s">
        <v>62</v>
      </c>
    </row>
    <row r="23" spans="1:23" x14ac:dyDescent="0.25">
      <c r="A23" s="217" t="s">
        <v>22</v>
      </c>
      <c r="B23" s="217" t="s">
        <v>23</v>
      </c>
      <c r="C23" s="217" t="s">
        <v>24</v>
      </c>
      <c r="D23" s="217" t="s">
        <v>25</v>
      </c>
      <c r="E23" s="217" t="s">
        <v>56</v>
      </c>
      <c r="F23" s="217" t="s">
        <v>57</v>
      </c>
      <c r="G23" s="217" t="s">
        <v>65</v>
      </c>
      <c r="H23" s="217" t="s">
        <v>884</v>
      </c>
      <c r="I23" s="217" t="s">
        <v>29</v>
      </c>
      <c r="J23" s="217" t="s">
        <v>1856</v>
      </c>
      <c r="K23" s="217">
        <v>7</v>
      </c>
      <c r="L23" s="217">
        <v>37</v>
      </c>
      <c r="M23" s="217" t="s">
        <v>31</v>
      </c>
      <c r="N23" s="217" t="s">
        <v>32</v>
      </c>
      <c r="O23" s="217" t="s">
        <v>33</v>
      </c>
      <c r="P23" s="217" t="s">
        <v>34</v>
      </c>
      <c r="Q23" s="217" t="s">
        <v>35</v>
      </c>
      <c r="R23" s="217" t="s">
        <v>23</v>
      </c>
      <c r="S23" s="217" t="s">
        <v>22</v>
      </c>
      <c r="T23" s="217" t="s">
        <v>47</v>
      </c>
      <c r="U23" s="217" t="s">
        <v>48</v>
      </c>
      <c r="V23" s="217" t="s">
        <v>61</v>
      </c>
      <c r="W23" s="217" t="s">
        <v>62</v>
      </c>
    </row>
    <row r="24" spans="1:23" x14ac:dyDescent="0.25">
      <c r="A24" s="217" t="s">
        <v>22</v>
      </c>
      <c r="B24" s="217" t="s">
        <v>23</v>
      </c>
      <c r="C24" s="217" t="s">
        <v>24</v>
      </c>
      <c r="D24" s="217" t="s">
        <v>25</v>
      </c>
      <c r="E24" s="217" t="s">
        <v>56</v>
      </c>
      <c r="F24" s="217" t="s">
        <v>57</v>
      </c>
      <c r="G24" s="217" t="s">
        <v>67</v>
      </c>
      <c r="H24" s="217" t="s">
        <v>886</v>
      </c>
      <c r="I24" s="217" t="s">
        <v>29</v>
      </c>
      <c r="J24" s="217" t="s">
        <v>1856</v>
      </c>
      <c r="K24" s="217">
        <v>3</v>
      </c>
      <c r="L24" s="217">
        <v>27</v>
      </c>
      <c r="M24" s="217" t="s">
        <v>31</v>
      </c>
      <c r="N24" s="217" t="s">
        <v>32</v>
      </c>
      <c r="O24" s="217" t="s">
        <v>33</v>
      </c>
      <c r="P24" s="217" t="s">
        <v>34</v>
      </c>
      <c r="Q24" s="217" t="s">
        <v>35</v>
      </c>
      <c r="R24" s="217" t="s">
        <v>23</v>
      </c>
      <c r="S24" s="217" t="s">
        <v>22</v>
      </c>
      <c r="T24" s="217" t="s">
        <v>47</v>
      </c>
      <c r="U24" s="217" t="s">
        <v>48</v>
      </c>
      <c r="V24" s="217" t="s">
        <v>61</v>
      </c>
      <c r="W24" s="217" t="s">
        <v>62</v>
      </c>
    </row>
    <row r="25" spans="1:23" x14ac:dyDescent="0.25">
      <c r="A25" s="217" t="s">
        <v>22</v>
      </c>
      <c r="B25" s="217" t="s">
        <v>23</v>
      </c>
      <c r="C25" s="217" t="s">
        <v>24</v>
      </c>
      <c r="D25" s="217" t="s">
        <v>25</v>
      </c>
      <c r="E25" s="217" t="s">
        <v>56</v>
      </c>
      <c r="F25" s="217" t="s">
        <v>57</v>
      </c>
      <c r="G25" s="217" t="s">
        <v>70</v>
      </c>
      <c r="H25" s="217" t="s">
        <v>888</v>
      </c>
      <c r="I25" s="217" t="s">
        <v>29</v>
      </c>
      <c r="J25" s="217" t="s">
        <v>1855</v>
      </c>
      <c r="K25" s="217">
        <v>2</v>
      </c>
      <c r="L25" s="217">
        <v>14</v>
      </c>
      <c r="M25" s="217" t="s">
        <v>31</v>
      </c>
      <c r="N25" s="217" t="s">
        <v>32</v>
      </c>
      <c r="O25" s="217" t="s">
        <v>33</v>
      </c>
      <c r="P25" s="217" t="s">
        <v>34</v>
      </c>
      <c r="Q25" s="217" t="s">
        <v>35</v>
      </c>
      <c r="R25" s="217" t="s">
        <v>23</v>
      </c>
      <c r="S25" s="217" t="s">
        <v>22</v>
      </c>
      <c r="T25" s="217" t="s">
        <v>47</v>
      </c>
      <c r="U25" s="217" t="s">
        <v>48</v>
      </c>
      <c r="V25" s="217" t="s">
        <v>61</v>
      </c>
      <c r="W25" s="217" t="s">
        <v>62</v>
      </c>
    </row>
    <row r="26" spans="1:23" x14ac:dyDescent="0.25">
      <c r="A26" s="217" t="s">
        <v>22</v>
      </c>
      <c r="B26" s="217" t="s">
        <v>23</v>
      </c>
      <c r="C26" s="217" t="s">
        <v>24</v>
      </c>
      <c r="D26" s="217" t="s">
        <v>25</v>
      </c>
      <c r="E26" s="217" t="s">
        <v>56</v>
      </c>
      <c r="F26" s="217" t="s">
        <v>57</v>
      </c>
      <c r="G26" s="217" t="s">
        <v>70</v>
      </c>
      <c r="H26" s="217" t="s">
        <v>888</v>
      </c>
      <c r="I26" s="217" t="s">
        <v>29</v>
      </c>
      <c r="J26" s="217" t="s">
        <v>1859</v>
      </c>
      <c r="K26" s="217">
        <v>2</v>
      </c>
      <c r="L26" s="217">
        <v>2</v>
      </c>
      <c r="M26" s="217" t="s">
        <v>31</v>
      </c>
      <c r="N26" s="217" t="s">
        <v>32</v>
      </c>
      <c r="O26" s="217" t="s">
        <v>33</v>
      </c>
      <c r="P26" s="217" t="s">
        <v>34</v>
      </c>
      <c r="Q26" s="217" t="s">
        <v>35</v>
      </c>
      <c r="R26" s="217" t="s">
        <v>23</v>
      </c>
      <c r="S26" s="217" t="s">
        <v>22</v>
      </c>
      <c r="T26" s="217" t="s">
        <v>47</v>
      </c>
      <c r="U26" s="217" t="s">
        <v>48</v>
      </c>
      <c r="V26" s="217" t="s">
        <v>61</v>
      </c>
      <c r="W26" s="217" t="s">
        <v>62</v>
      </c>
    </row>
    <row r="27" spans="1:23" x14ac:dyDescent="0.25">
      <c r="A27" s="217" t="s">
        <v>22</v>
      </c>
      <c r="B27" s="217" t="s">
        <v>23</v>
      </c>
      <c r="C27" s="217" t="s">
        <v>24</v>
      </c>
      <c r="D27" s="217" t="s">
        <v>25</v>
      </c>
      <c r="E27" s="217" t="s">
        <v>56</v>
      </c>
      <c r="F27" s="217" t="s">
        <v>57</v>
      </c>
      <c r="G27" s="217" t="s">
        <v>71</v>
      </c>
      <c r="H27" s="217" t="s">
        <v>889</v>
      </c>
      <c r="I27" s="217" t="s">
        <v>29</v>
      </c>
      <c r="J27" s="217" t="s">
        <v>1856</v>
      </c>
      <c r="K27" s="217">
        <v>2</v>
      </c>
      <c r="L27" s="217">
        <v>13</v>
      </c>
      <c r="M27" s="217" t="s">
        <v>31</v>
      </c>
      <c r="N27" s="217" t="s">
        <v>32</v>
      </c>
      <c r="O27" s="217" t="s">
        <v>33</v>
      </c>
      <c r="P27" s="217" t="s">
        <v>34</v>
      </c>
      <c r="Q27" s="217" t="s">
        <v>35</v>
      </c>
      <c r="R27" s="217" t="s">
        <v>23</v>
      </c>
      <c r="S27" s="217" t="s">
        <v>22</v>
      </c>
      <c r="T27" s="217" t="s">
        <v>47</v>
      </c>
      <c r="U27" s="217" t="s">
        <v>48</v>
      </c>
      <c r="V27" s="217" t="s">
        <v>61</v>
      </c>
      <c r="W27" s="217" t="s">
        <v>62</v>
      </c>
    </row>
    <row r="28" spans="1:23" x14ac:dyDescent="0.25">
      <c r="A28" s="217" t="s">
        <v>22</v>
      </c>
      <c r="B28" s="217" t="s">
        <v>23</v>
      </c>
      <c r="C28" s="217" t="s">
        <v>24</v>
      </c>
      <c r="D28" s="217" t="s">
        <v>25</v>
      </c>
      <c r="E28" s="217" t="s">
        <v>56</v>
      </c>
      <c r="F28" s="217" t="s">
        <v>57</v>
      </c>
      <c r="G28" s="217" t="s">
        <v>71</v>
      </c>
      <c r="H28" s="217" t="s">
        <v>889</v>
      </c>
      <c r="I28" s="217" t="s">
        <v>29</v>
      </c>
      <c r="J28" s="217" t="s">
        <v>1858</v>
      </c>
      <c r="K28" s="217">
        <v>3</v>
      </c>
      <c r="L28" s="217">
        <v>28</v>
      </c>
      <c r="M28" s="217" t="s">
        <v>31</v>
      </c>
      <c r="N28" s="217" t="s">
        <v>32</v>
      </c>
      <c r="O28" s="217" t="s">
        <v>33</v>
      </c>
      <c r="P28" s="217" t="s">
        <v>34</v>
      </c>
      <c r="Q28" s="217" t="s">
        <v>35</v>
      </c>
      <c r="R28" s="217" t="s">
        <v>23</v>
      </c>
      <c r="S28" s="217" t="s">
        <v>22</v>
      </c>
      <c r="T28" s="217" t="s">
        <v>47</v>
      </c>
      <c r="U28" s="217" t="s">
        <v>48</v>
      </c>
      <c r="V28" s="217" t="s">
        <v>61</v>
      </c>
      <c r="W28" s="217" t="s">
        <v>62</v>
      </c>
    </row>
    <row r="29" spans="1:23" x14ac:dyDescent="0.25">
      <c r="A29" s="217" t="s">
        <v>22</v>
      </c>
      <c r="B29" s="217" t="s">
        <v>23</v>
      </c>
      <c r="C29" s="217" t="s">
        <v>24</v>
      </c>
      <c r="D29" s="217" t="s">
        <v>25</v>
      </c>
      <c r="E29" s="217" t="s">
        <v>56</v>
      </c>
      <c r="F29" s="217" t="s">
        <v>57</v>
      </c>
      <c r="G29" s="217" t="s">
        <v>72</v>
      </c>
      <c r="H29" s="217" t="s">
        <v>890</v>
      </c>
      <c r="I29" s="217" t="s">
        <v>29</v>
      </c>
      <c r="J29" s="217" t="s">
        <v>1854</v>
      </c>
      <c r="K29" s="217">
        <v>11</v>
      </c>
      <c r="L29" s="217">
        <v>59</v>
      </c>
      <c r="M29" s="217" t="s">
        <v>31</v>
      </c>
      <c r="N29" s="217" t="s">
        <v>32</v>
      </c>
      <c r="O29" s="217" t="s">
        <v>33</v>
      </c>
      <c r="P29" s="217" t="s">
        <v>34</v>
      </c>
      <c r="Q29" s="217" t="s">
        <v>35</v>
      </c>
      <c r="R29" s="217" t="s">
        <v>23</v>
      </c>
      <c r="S29" s="217" t="s">
        <v>22</v>
      </c>
      <c r="T29" s="217" t="s">
        <v>47</v>
      </c>
      <c r="U29" s="217" t="s">
        <v>48</v>
      </c>
      <c r="V29" s="217" t="s">
        <v>61</v>
      </c>
      <c r="W29" s="217" t="s">
        <v>62</v>
      </c>
    </row>
    <row r="30" spans="1:23" x14ac:dyDescent="0.25">
      <c r="A30" s="217" t="s">
        <v>22</v>
      </c>
      <c r="B30" s="217" t="s">
        <v>23</v>
      </c>
      <c r="C30" s="217" t="s">
        <v>24</v>
      </c>
      <c r="D30" s="217" t="s">
        <v>25</v>
      </c>
      <c r="E30" s="217" t="s">
        <v>56</v>
      </c>
      <c r="F30" s="217" t="s">
        <v>57</v>
      </c>
      <c r="G30" s="217" t="s">
        <v>73</v>
      </c>
      <c r="H30" s="217" t="s">
        <v>891</v>
      </c>
      <c r="I30" s="217" t="s">
        <v>29</v>
      </c>
      <c r="J30" s="217" t="s">
        <v>1855</v>
      </c>
      <c r="K30" s="217">
        <v>19</v>
      </c>
      <c r="L30" s="217">
        <v>69</v>
      </c>
      <c r="M30" s="217" t="s">
        <v>31</v>
      </c>
      <c r="N30" s="217" t="s">
        <v>32</v>
      </c>
      <c r="O30" s="217" t="s">
        <v>100</v>
      </c>
      <c r="P30" s="217" t="s">
        <v>34</v>
      </c>
      <c r="Q30" s="217" t="s">
        <v>35</v>
      </c>
      <c r="R30" s="217" t="s">
        <v>23</v>
      </c>
      <c r="S30" s="217" t="s">
        <v>22</v>
      </c>
      <c r="T30" s="217" t="s">
        <v>25</v>
      </c>
      <c r="U30" s="217" t="s">
        <v>24</v>
      </c>
      <c r="V30" s="217" t="s">
        <v>57</v>
      </c>
      <c r="W30" s="217" t="s">
        <v>56</v>
      </c>
    </row>
    <row r="31" spans="1:23" x14ac:dyDescent="0.25">
      <c r="A31" s="217" t="s">
        <v>22</v>
      </c>
      <c r="B31" s="217" t="s">
        <v>23</v>
      </c>
      <c r="C31" s="217" t="s">
        <v>24</v>
      </c>
      <c r="D31" s="217" t="s">
        <v>25</v>
      </c>
      <c r="E31" s="217" t="s">
        <v>56</v>
      </c>
      <c r="F31" s="217" t="s">
        <v>57</v>
      </c>
      <c r="G31" s="217" t="s">
        <v>73</v>
      </c>
      <c r="H31" s="217" t="s">
        <v>891</v>
      </c>
      <c r="I31" s="217" t="s">
        <v>29</v>
      </c>
      <c r="J31" s="217" t="s">
        <v>1858</v>
      </c>
      <c r="K31" s="217">
        <v>7</v>
      </c>
      <c r="L31" s="217">
        <v>18</v>
      </c>
      <c r="M31" s="217" t="s">
        <v>31</v>
      </c>
      <c r="N31" s="217" t="s">
        <v>32</v>
      </c>
      <c r="O31" s="217" t="s">
        <v>100</v>
      </c>
      <c r="P31" s="217" t="s">
        <v>34</v>
      </c>
      <c r="Q31" s="217" t="s">
        <v>35</v>
      </c>
      <c r="R31" s="217" t="s">
        <v>23</v>
      </c>
      <c r="S31" s="217" t="s">
        <v>22</v>
      </c>
      <c r="T31" s="217" t="s">
        <v>25</v>
      </c>
      <c r="U31" s="217" t="s">
        <v>24</v>
      </c>
      <c r="V31" s="217" t="s">
        <v>57</v>
      </c>
      <c r="W31" s="217" t="s">
        <v>56</v>
      </c>
    </row>
    <row r="32" spans="1:23" x14ac:dyDescent="0.25">
      <c r="A32" s="217" t="s">
        <v>22</v>
      </c>
      <c r="B32" s="217" t="s">
        <v>23</v>
      </c>
      <c r="C32" s="217" t="s">
        <v>24</v>
      </c>
      <c r="D32" s="217" t="s">
        <v>25</v>
      </c>
      <c r="E32" s="217" t="s">
        <v>56</v>
      </c>
      <c r="F32" s="217" t="s">
        <v>57</v>
      </c>
      <c r="G32" s="217" t="s">
        <v>73</v>
      </c>
      <c r="H32" s="217" t="s">
        <v>891</v>
      </c>
      <c r="I32" s="217" t="s">
        <v>29</v>
      </c>
      <c r="J32" s="217" t="s">
        <v>1859</v>
      </c>
      <c r="K32" s="217">
        <v>1</v>
      </c>
      <c r="L32" s="217">
        <v>11</v>
      </c>
      <c r="M32" s="217" t="s">
        <v>31</v>
      </c>
      <c r="N32" s="217" t="s">
        <v>32</v>
      </c>
      <c r="O32" s="217" t="s">
        <v>100</v>
      </c>
      <c r="P32" s="217" t="s">
        <v>34</v>
      </c>
      <c r="Q32" s="217" t="s">
        <v>35</v>
      </c>
      <c r="R32" s="217" t="s">
        <v>23</v>
      </c>
      <c r="S32" s="217" t="s">
        <v>22</v>
      </c>
      <c r="T32" s="217" t="s">
        <v>25</v>
      </c>
      <c r="U32" s="217" t="s">
        <v>24</v>
      </c>
      <c r="V32" s="217" t="s">
        <v>57</v>
      </c>
      <c r="W32" s="217" t="s">
        <v>56</v>
      </c>
    </row>
    <row r="33" spans="1:23" x14ac:dyDescent="0.25">
      <c r="A33" s="217" t="s">
        <v>22</v>
      </c>
      <c r="B33" s="217" t="s">
        <v>23</v>
      </c>
      <c r="C33" s="217" t="s">
        <v>24</v>
      </c>
      <c r="D33" s="217" t="s">
        <v>25</v>
      </c>
      <c r="E33" s="217" t="s">
        <v>56</v>
      </c>
      <c r="F33" s="217" t="s">
        <v>57</v>
      </c>
      <c r="G33" s="217" t="s">
        <v>74</v>
      </c>
      <c r="H33" s="217" t="s">
        <v>892</v>
      </c>
      <c r="I33" s="217" t="s">
        <v>29</v>
      </c>
      <c r="J33" s="217" t="s">
        <v>1855</v>
      </c>
      <c r="K33" s="217">
        <v>17</v>
      </c>
      <c r="L33" s="217">
        <v>85</v>
      </c>
      <c r="M33" s="217" t="s">
        <v>31</v>
      </c>
      <c r="N33" s="217" t="s">
        <v>32</v>
      </c>
      <c r="O33" s="217" t="s">
        <v>100</v>
      </c>
      <c r="P33" s="217" t="s">
        <v>34</v>
      </c>
      <c r="Q33" s="217" t="s">
        <v>35</v>
      </c>
      <c r="R33" s="217" t="s">
        <v>23</v>
      </c>
      <c r="S33" s="217" t="s">
        <v>22</v>
      </c>
      <c r="T33" s="217" t="s">
        <v>25</v>
      </c>
      <c r="U33" s="217" t="s">
        <v>24</v>
      </c>
      <c r="V33" s="217" t="s">
        <v>57</v>
      </c>
      <c r="W33" s="217" t="s">
        <v>56</v>
      </c>
    </row>
    <row r="34" spans="1:23" x14ac:dyDescent="0.25">
      <c r="A34" s="217" t="s">
        <v>22</v>
      </c>
      <c r="B34" s="217" t="s">
        <v>23</v>
      </c>
      <c r="C34" s="217" t="s">
        <v>24</v>
      </c>
      <c r="D34" s="217" t="s">
        <v>25</v>
      </c>
      <c r="E34" s="217" t="s">
        <v>56</v>
      </c>
      <c r="F34" s="217" t="s">
        <v>57</v>
      </c>
      <c r="G34" s="217" t="s">
        <v>74</v>
      </c>
      <c r="H34" s="217" t="s">
        <v>892</v>
      </c>
      <c r="I34" s="217" t="s">
        <v>29</v>
      </c>
      <c r="J34" s="217" t="s">
        <v>1858</v>
      </c>
      <c r="K34" s="217">
        <v>2</v>
      </c>
      <c r="L34" s="217">
        <v>5</v>
      </c>
      <c r="M34" s="217" t="s">
        <v>31</v>
      </c>
      <c r="N34" s="217" t="s">
        <v>32</v>
      </c>
      <c r="O34" s="217" t="s">
        <v>100</v>
      </c>
      <c r="P34" s="217" t="s">
        <v>34</v>
      </c>
      <c r="Q34" s="217" t="s">
        <v>35</v>
      </c>
      <c r="R34" s="217" t="s">
        <v>23</v>
      </c>
      <c r="S34" s="217" t="s">
        <v>22</v>
      </c>
      <c r="T34" s="217" t="s">
        <v>25</v>
      </c>
      <c r="U34" s="217" t="s">
        <v>24</v>
      </c>
      <c r="V34" s="217" t="s">
        <v>57</v>
      </c>
      <c r="W34" s="217" t="s">
        <v>56</v>
      </c>
    </row>
    <row r="35" spans="1:23" x14ac:dyDescent="0.25">
      <c r="A35" s="217" t="s">
        <v>22</v>
      </c>
      <c r="B35" s="217" t="s">
        <v>23</v>
      </c>
      <c r="C35" s="217" t="s">
        <v>24</v>
      </c>
      <c r="D35" s="217" t="s">
        <v>25</v>
      </c>
      <c r="E35" s="217" t="s">
        <v>56</v>
      </c>
      <c r="F35" s="217" t="s">
        <v>57</v>
      </c>
      <c r="G35" s="217" t="s">
        <v>75</v>
      </c>
      <c r="H35" s="217" t="s">
        <v>893</v>
      </c>
      <c r="I35" s="217" t="s">
        <v>29</v>
      </c>
      <c r="J35" s="217" t="s">
        <v>1855</v>
      </c>
      <c r="K35" s="217">
        <v>7</v>
      </c>
      <c r="L35" s="217">
        <v>35</v>
      </c>
      <c r="M35" s="217" t="s">
        <v>31</v>
      </c>
      <c r="N35" s="217" t="s">
        <v>32</v>
      </c>
      <c r="O35" s="217" t="s">
        <v>100</v>
      </c>
      <c r="P35" s="217" t="s">
        <v>34</v>
      </c>
      <c r="Q35" s="217" t="s">
        <v>35</v>
      </c>
      <c r="R35" s="217" t="s">
        <v>23</v>
      </c>
      <c r="S35" s="217" t="s">
        <v>22</v>
      </c>
      <c r="T35" s="217" t="s">
        <v>25</v>
      </c>
      <c r="U35" s="217" t="s">
        <v>24</v>
      </c>
      <c r="V35" s="217" t="s">
        <v>57</v>
      </c>
      <c r="W35" s="217" t="s">
        <v>56</v>
      </c>
    </row>
    <row r="36" spans="1:23" x14ac:dyDescent="0.25">
      <c r="A36" s="217" t="s">
        <v>22</v>
      </c>
      <c r="B36" s="217" t="s">
        <v>23</v>
      </c>
      <c r="C36" s="217" t="s">
        <v>24</v>
      </c>
      <c r="D36" s="217" t="s">
        <v>25</v>
      </c>
      <c r="E36" s="217" t="s">
        <v>56</v>
      </c>
      <c r="F36" s="217" t="s">
        <v>57</v>
      </c>
      <c r="G36" s="217" t="s">
        <v>75</v>
      </c>
      <c r="H36" s="217" t="s">
        <v>893</v>
      </c>
      <c r="I36" s="217" t="s">
        <v>29</v>
      </c>
      <c r="J36" s="217" t="s">
        <v>1857</v>
      </c>
      <c r="K36" s="217">
        <v>4</v>
      </c>
      <c r="L36" s="217">
        <v>27</v>
      </c>
      <c r="M36" s="217" t="s">
        <v>31</v>
      </c>
      <c r="N36" s="217" t="s">
        <v>32</v>
      </c>
      <c r="O36" s="217" t="s">
        <v>100</v>
      </c>
      <c r="P36" s="217" t="s">
        <v>34</v>
      </c>
      <c r="Q36" s="217" t="s">
        <v>35</v>
      </c>
      <c r="R36" s="217" t="s">
        <v>23</v>
      </c>
      <c r="S36" s="217" t="s">
        <v>22</v>
      </c>
      <c r="T36" s="217" t="s">
        <v>25</v>
      </c>
      <c r="U36" s="217" t="s">
        <v>24</v>
      </c>
      <c r="V36" s="217" t="s">
        <v>57</v>
      </c>
      <c r="W36" s="217" t="s">
        <v>56</v>
      </c>
    </row>
    <row r="37" spans="1:23" x14ac:dyDescent="0.25">
      <c r="A37" s="217" t="s">
        <v>22</v>
      </c>
      <c r="B37" s="217" t="s">
        <v>23</v>
      </c>
      <c r="C37" s="217" t="s">
        <v>24</v>
      </c>
      <c r="D37" s="217" t="s">
        <v>25</v>
      </c>
      <c r="E37" s="217" t="s">
        <v>56</v>
      </c>
      <c r="F37" s="217" t="s">
        <v>57</v>
      </c>
      <c r="G37" s="217" t="s">
        <v>75</v>
      </c>
      <c r="H37" s="217" t="s">
        <v>893</v>
      </c>
      <c r="I37" s="217" t="s">
        <v>29</v>
      </c>
      <c r="J37" s="217" t="s">
        <v>1858</v>
      </c>
      <c r="K37" s="217">
        <v>1</v>
      </c>
      <c r="L37" s="217">
        <v>2</v>
      </c>
      <c r="M37" s="217" t="s">
        <v>31</v>
      </c>
      <c r="N37" s="217" t="s">
        <v>32</v>
      </c>
      <c r="O37" s="217" t="s">
        <v>100</v>
      </c>
      <c r="P37" s="217" t="s">
        <v>34</v>
      </c>
      <c r="Q37" s="217" t="s">
        <v>35</v>
      </c>
      <c r="R37" s="217" t="s">
        <v>23</v>
      </c>
      <c r="S37" s="217" t="s">
        <v>22</v>
      </c>
      <c r="T37" s="217" t="s">
        <v>25</v>
      </c>
      <c r="U37" s="217" t="s">
        <v>24</v>
      </c>
      <c r="V37" s="217" t="s">
        <v>57</v>
      </c>
      <c r="W37" s="217" t="s">
        <v>56</v>
      </c>
    </row>
    <row r="38" spans="1:23" x14ac:dyDescent="0.25">
      <c r="A38" s="217" t="s">
        <v>22</v>
      </c>
      <c r="B38" s="217" t="s">
        <v>23</v>
      </c>
      <c r="C38" s="217" t="s">
        <v>24</v>
      </c>
      <c r="D38" s="217" t="s">
        <v>25</v>
      </c>
      <c r="E38" s="217" t="s">
        <v>56</v>
      </c>
      <c r="F38" s="217" t="s">
        <v>57</v>
      </c>
      <c r="G38" s="217" t="s">
        <v>75</v>
      </c>
      <c r="H38" s="217" t="s">
        <v>893</v>
      </c>
      <c r="I38" s="217" t="s">
        <v>29</v>
      </c>
      <c r="J38" s="217" t="s">
        <v>1859</v>
      </c>
      <c r="K38" s="217">
        <v>1</v>
      </c>
      <c r="L38" s="217">
        <v>4</v>
      </c>
      <c r="M38" s="217" t="s">
        <v>31</v>
      </c>
      <c r="N38" s="217" t="s">
        <v>32</v>
      </c>
      <c r="O38" s="217" t="s">
        <v>100</v>
      </c>
      <c r="P38" s="217" t="s">
        <v>34</v>
      </c>
      <c r="Q38" s="217" t="s">
        <v>35</v>
      </c>
      <c r="R38" s="217" t="s">
        <v>23</v>
      </c>
      <c r="S38" s="217" t="s">
        <v>22</v>
      </c>
      <c r="T38" s="217" t="s">
        <v>25</v>
      </c>
      <c r="U38" s="217" t="s">
        <v>24</v>
      </c>
      <c r="V38" s="217" t="s">
        <v>57</v>
      </c>
      <c r="W38" s="217" t="s">
        <v>56</v>
      </c>
    </row>
    <row r="39" spans="1:23" x14ac:dyDescent="0.25">
      <c r="A39" s="217" t="s">
        <v>22</v>
      </c>
      <c r="B39" s="217" t="s">
        <v>23</v>
      </c>
      <c r="C39" s="217" t="s">
        <v>24</v>
      </c>
      <c r="D39" s="217" t="s">
        <v>25</v>
      </c>
      <c r="E39" s="217" t="s">
        <v>56</v>
      </c>
      <c r="F39" s="217" t="s">
        <v>57</v>
      </c>
      <c r="G39" s="217" t="s">
        <v>76</v>
      </c>
      <c r="H39" s="217" t="s">
        <v>894</v>
      </c>
      <c r="I39" s="217" t="s">
        <v>29</v>
      </c>
      <c r="J39" s="217" t="s">
        <v>1856</v>
      </c>
      <c r="K39" s="217">
        <v>28</v>
      </c>
      <c r="L39" s="217">
        <v>228</v>
      </c>
      <c r="M39" s="217" t="s">
        <v>31</v>
      </c>
      <c r="N39" s="217" t="s">
        <v>32</v>
      </c>
      <c r="O39" s="217" t="s">
        <v>33</v>
      </c>
      <c r="P39" s="217" t="s">
        <v>34</v>
      </c>
      <c r="Q39" s="217" t="s">
        <v>35</v>
      </c>
      <c r="R39" s="217" t="s">
        <v>23</v>
      </c>
      <c r="S39" s="217" t="s">
        <v>22</v>
      </c>
      <c r="T39" s="217" t="s">
        <v>47</v>
      </c>
      <c r="U39" s="217" t="s">
        <v>48</v>
      </c>
      <c r="V39" s="217" t="s">
        <v>61</v>
      </c>
      <c r="W39" s="217" t="s">
        <v>62</v>
      </c>
    </row>
    <row r="40" spans="1:23" x14ac:dyDescent="0.25">
      <c r="A40" s="217" t="s">
        <v>22</v>
      </c>
      <c r="B40" s="217" t="s">
        <v>23</v>
      </c>
      <c r="C40" s="217" t="s">
        <v>24</v>
      </c>
      <c r="D40" s="217" t="s">
        <v>25</v>
      </c>
      <c r="E40" s="217" t="s">
        <v>56</v>
      </c>
      <c r="F40" s="217" t="s">
        <v>57</v>
      </c>
      <c r="G40" s="217" t="s">
        <v>77</v>
      </c>
      <c r="H40" s="217" t="s">
        <v>895</v>
      </c>
      <c r="I40" s="217" t="s">
        <v>29</v>
      </c>
      <c r="J40" s="217" t="s">
        <v>1855</v>
      </c>
      <c r="K40" s="217">
        <v>4</v>
      </c>
      <c r="L40" s="217">
        <v>16</v>
      </c>
      <c r="M40" s="217" t="s">
        <v>31</v>
      </c>
      <c r="N40" s="217" t="s">
        <v>32</v>
      </c>
      <c r="O40" s="217" t="s">
        <v>33</v>
      </c>
      <c r="P40" s="217" t="s">
        <v>34</v>
      </c>
      <c r="Q40" s="217" t="s">
        <v>35</v>
      </c>
      <c r="R40" s="217" t="s">
        <v>23</v>
      </c>
      <c r="S40" s="217" t="s">
        <v>22</v>
      </c>
      <c r="T40" s="217" t="s">
        <v>47</v>
      </c>
      <c r="U40" s="217" t="s">
        <v>48</v>
      </c>
      <c r="V40" s="217" t="s">
        <v>61</v>
      </c>
      <c r="W40" s="217" t="s">
        <v>62</v>
      </c>
    </row>
    <row r="41" spans="1:23" x14ac:dyDescent="0.25">
      <c r="A41" s="217" t="s">
        <v>22</v>
      </c>
      <c r="B41" s="217" t="s">
        <v>23</v>
      </c>
      <c r="C41" s="217" t="s">
        <v>24</v>
      </c>
      <c r="D41" s="217" t="s">
        <v>25</v>
      </c>
      <c r="E41" s="217" t="s">
        <v>56</v>
      </c>
      <c r="F41" s="217" t="s">
        <v>57</v>
      </c>
      <c r="G41" s="217" t="s">
        <v>78</v>
      </c>
      <c r="H41" s="217" t="s">
        <v>896</v>
      </c>
      <c r="I41" s="217" t="s">
        <v>29</v>
      </c>
      <c r="J41" s="217" t="s">
        <v>1855</v>
      </c>
      <c r="K41" s="217">
        <v>1</v>
      </c>
      <c r="L41" s="217">
        <v>6</v>
      </c>
      <c r="M41" s="217" t="s">
        <v>31</v>
      </c>
      <c r="N41" s="217" t="s">
        <v>32</v>
      </c>
      <c r="O41" s="217" t="s">
        <v>33</v>
      </c>
      <c r="P41" s="217" t="s">
        <v>34</v>
      </c>
      <c r="Q41" s="217" t="s">
        <v>35</v>
      </c>
      <c r="R41" s="217" t="s">
        <v>23</v>
      </c>
      <c r="S41" s="217" t="s">
        <v>22</v>
      </c>
      <c r="T41" s="217" t="s">
        <v>47</v>
      </c>
      <c r="U41" s="217" t="s">
        <v>48</v>
      </c>
      <c r="V41" s="217" t="s">
        <v>61</v>
      </c>
      <c r="W41" s="217" t="s">
        <v>62</v>
      </c>
    </row>
    <row r="42" spans="1:23" x14ac:dyDescent="0.25">
      <c r="A42" s="217" t="s">
        <v>22</v>
      </c>
      <c r="B42" s="217" t="s">
        <v>23</v>
      </c>
      <c r="C42" s="217" t="s">
        <v>24</v>
      </c>
      <c r="D42" s="217" t="s">
        <v>25</v>
      </c>
      <c r="E42" s="217" t="s">
        <v>56</v>
      </c>
      <c r="F42" s="217" t="s">
        <v>57</v>
      </c>
      <c r="G42" s="217" t="s">
        <v>79</v>
      </c>
      <c r="H42" s="217" t="s">
        <v>897</v>
      </c>
      <c r="I42" s="217" t="s">
        <v>29</v>
      </c>
      <c r="J42" s="217" t="s">
        <v>1855</v>
      </c>
      <c r="K42" s="217">
        <v>5</v>
      </c>
      <c r="L42" s="217">
        <v>23</v>
      </c>
      <c r="M42" s="217" t="s">
        <v>31</v>
      </c>
      <c r="N42" s="217" t="s">
        <v>32</v>
      </c>
      <c r="O42" s="217" t="s">
        <v>33</v>
      </c>
      <c r="P42" s="217" t="s">
        <v>34</v>
      </c>
      <c r="Q42" s="217" t="s">
        <v>35</v>
      </c>
      <c r="R42" s="217" t="s">
        <v>23</v>
      </c>
      <c r="S42" s="217" t="s">
        <v>22</v>
      </c>
      <c r="T42" s="217" t="s">
        <v>47</v>
      </c>
      <c r="U42" s="217" t="s">
        <v>48</v>
      </c>
      <c r="V42" s="217" t="s">
        <v>231</v>
      </c>
      <c r="W42" s="217" t="s">
        <v>232</v>
      </c>
    </row>
    <row r="43" spans="1:23" x14ac:dyDescent="0.25">
      <c r="A43" s="217" t="s">
        <v>22</v>
      </c>
      <c r="B43" s="217" t="s">
        <v>23</v>
      </c>
      <c r="C43" s="217" t="s">
        <v>24</v>
      </c>
      <c r="D43" s="217" t="s">
        <v>25</v>
      </c>
      <c r="E43" s="217" t="s">
        <v>56</v>
      </c>
      <c r="F43" s="217" t="s">
        <v>57</v>
      </c>
      <c r="G43" s="217" t="s">
        <v>80</v>
      </c>
      <c r="H43" s="217" t="s">
        <v>898</v>
      </c>
      <c r="I43" s="217" t="s">
        <v>29</v>
      </c>
      <c r="J43" s="217" t="s">
        <v>1855</v>
      </c>
      <c r="K43" s="217">
        <v>9</v>
      </c>
      <c r="L43" s="217">
        <v>44</v>
      </c>
      <c r="M43" s="217" t="s">
        <v>31</v>
      </c>
      <c r="N43" s="217" t="s">
        <v>32</v>
      </c>
      <c r="O43" s="217" t="s">
        <v>33</v>
      </c>
      <c r="P43" s="217" t="s">
        <v>34</v>
      </c>
      <c r="Q43" s="217" t="s">
        <v>35</v>
      </c>
      <c r="R43" s="217" t="s">
        <v>23</v>
      </c>
      <c r="S43" s="217" t="s">
        <v>22</v>
      </c>
      <c r="T43" s="217" t="s">
        <v>47</v>
      </c>
      <c r="U43" s="217" t="s">
        <v>48</v>
      </c>
      <c r="V43" s="217" t="s">
        <v>61</v>
      </c>
      <c r="W43" s="217" t="s">
        <v>62</v>
      </c>
    </row>
    <row r="44" spans="1:23" x14ac:dyDescent="0.25">
      <c r="A44" s="217" t="s">
        <v>22</v>
      </c>
      <c r="B44" s="217" t="s">
        <v>23</v>
      </c>
      <c r="C44" s="217" t="s">
        <v>24</v>
      </c>
      <c r="D44" s="217" t="s">
        <v>25</v>
      </c>
      <c r="E44" s="217" t="s">
        <v>56</v>
      </c>
      <c r="F44" s="217" t="s">
        <v>57</v>
      </c>
      <c r="G44" s="217" t="s">
        <v>81</v>
      </c>
      <c r="H44" s="217" t="s">
        <v>899</v>
      </c>
      <c r="I44" s="217" t="s">
        <v>29</v>
      </c>
      <c r="J44" s="217" t="s">
        <v>1855</v>
      </c>
      <c r="K44" s="217">
        <v>9</v>
      </c>
      <c r="L44" s="217">
        <v>63</v>
      </c>
      <c r="M44" s="217" t="s">
        <v>31</v>
      </c>
      <c r="N44" s="217" t="s">
        <v>32</v>
      </c>
      <c r="O44" s="217" t="s">
        <v>33</v>
      </c>
      <c r="P44" s="217" t="s">
        <v>34</v>
      </c>
      <c r="Q44" s="217" t="s">
        <v>35</v>
      </c>
      <c r="R44" s="217" t="s">
        <v>23</v>
      </c>
      <c r="S44" s="217" t="s">
        <v>22</v>
      </c>
      <c r="T44" s="217" t="s">
        <v>47</v>
      </c>
      <c r="U44" s="217" t="s">
        <v>48</v>
      </c>
      <c r="V44" s="217" t="s">
        <v>61</v>
      </c>
      <c r="W44" s="217" t="s">
        <v>62</v>
      </c>
    </row>
    <row r="45" spans="1:23" x14ac:dyDescent="0.25">
      <c r="A45" s="217" t="s">
        <v>22</v>
      </c>
      <c r="B45" s="217" t="s">
        <v>23</v>
      </c>
      <c r="C45" s="217" t="s">
        <v>24</v>
      </c>
      <c r="D45" s="217" t="s">
        <v>25</v>
      </c>
      <c r="E45" s="217" t="s">
        <v>56</v>
      </c>
      <c r="F45" s="217" t="s">
        <v>57</v>
      </c>
      <c r="G45" s="217" t="s">
        <v>82</v>
      </c>
      <c r="H45" s="217" t="s">
        <v>900</v>
      </c>
      <c r="I45" s="217" t="s">
        <v>29</v>
      </c>
      <c r="J45" s="217" t="s">
        <v>1855</v>
      </c>
      <c r="K45" s="217">
        <v>4</v>
      </c>
      <c r="L45" s="217">
        <v>25</v>
      </c>
      <c r="M45" s="217" t="s">
        <v>31</v>
      </c>
      <c r="N45" s="217" t="s">
        <v>32</v>
      </c>
      <c r="O45" s="217" t="s">
        <v>33</v>
      </c>
      <c r="P45" s="217" t="s">
        <v>34</v>
      </c>
      <c r="Q45" s="217" t="s">
        <v>35</v>
      </c>
      <c r="R45" s="217" t="s">
        <v>23</v>
      </c>
      <c r="S45" s="217" t="s">
        <v>22</v>
      </c>
      <c r="T45" s="217" t="s">
        <v>47</v>
      </c>
      <c r="U45" s="217" t="s">
        <v>48</v>
      </c>
      <c r="V45" s="217" t="s">
        <v>231</v>
      </c>
      <c r="W45" s="217" t="s">
        <v>232</v>
      </c>
    </row>
    <row r="46" spans="1:23" x14ac:dyDescent="0.25">
      <c r="A46" s="217" t="s">
        <v>22</v>
      </c>
      <c r="B46" s="217" t="s">
        <v>23</v>
      </c>
      <c r="C46" s="217" t="s">
        <v>24</v>
      </c>
      <c r="D46" s="217" t="s">
        <v>25</v>
      </c>
      <c r="E46" s="217" t="s">
        <v>56</v>
      </c>
      <c r="F46" s="217" t="s">
        <v>57</v>
      </c>
      <c r="G46" s="217" t="s">
        <v>83</v>
      </c>
      <c r="H46" s="217" t="s">
        <v>901</v>
      </c>
      <c r="I46" s="217" t="s">
        <v>29</v>
      </c>
      <c r="J46" s="217" t="s">
        <v>1856</v>
      </c>
      <c r="K46" s="217">
        <v>6</v>
      </c>
      <c r="L46" s="217">
        <v>47</v>
      </c>
      <c r="M46" s="217" t="s">
        <v>31</v>
      </c>
      <c r="N46" s="217" t="s">
        <v>32</v>
      </c>
      <c r="O46" s="217" t="s">
        <v>33</v>
      </c>
      <c r="P46" s="217" t="s">
        <v>34</v>
      </c>
      <c r="Q46" s="217" t="s">
        <v>35</v>
      </c>
      <c r="R46" s="217" t="s">
        <v>23</v>
      </c>
      <c r="S46" s="217" t="s">
        <v>22</v>
      </c>
      <c r="T46" s="217" t="s">
        <v>47</v>
      </c>
      <c r="U46" s="217" t="s">
        <v>48</v>
      </c>
      <c r="V46" s="217" t="s">
        <v>61</v>
      </c>
      <c r="W46" s="217" t="s">
        <v>62</v>
      </c>
    </row>
    <row r="47" spans="1:23" x14ac:dyDescent="0.25">
      <c r="A47" s="217" t="s">
        <v>22</v>
      </c>
      <c r="B47" s="217" t="s">
        <v>23</v>
      </c>
      <c r="C47" s="217" t="s">
        <v>24</v>
      </c>
      <c r="D47" s="217" t="s">
        <v>25</v>
      </c>
      <c r="E47" s="217" t="s">
        <v>56</v>
      </c>
      <c r="F47" s="217" t="s">
        <v>57</v>
      </c>
      <c r="G47" s="217" t="s">
        <v>83</v>
      </c>
      <c r="H47" s="217" t="s">
        <v>901</v>
      </c>
      <c r="I47" s="217" t="s">
        <v>29</v>
      </c>
      <c r="J47" s="217" t="s">
        <v>1858</v>
      </c>
      <c r="K47" s="217">
        <v>1</v>
      </c>
      <c r="L47" s="217">
        <v>1</v>
      </c>
      <c r="M47" s="217" t="s">
        <v>31</v>
      </c>
      <c r="N47" s="217" t="s">
        <v>32</v>
      </c>
      <c r="O47" s="217" t="s">
        <v>33</v>
      </c>
      <c r="P47" s="217" t="s">
        <v>34</v>
      </c>
      <c r="Q47" s="217" t="s">
        <v>35</v>
      </c>
      <c r="R47" s="217" t="s">
        <v>23</v>
      </c>
      <c r="S47" s="217" t="s">
        <v>22</v>
      </c>
      <c r="T47" s="217" t="s">
        <v>47</v>
      </c>
      <c r="U47" s="217" t="s">
        <v>48</v>
      </c>
      <c r="V47" s="217" t="s">
        <v>61</v>
      </c>
      <c r="W47" s="217" t="s">
        <v>62</v>
      </c>
    </row>
    <row r="48" spans="1:23" x14ac:dyDescent="0.25">
      <c r="A48" s="217" t="s">
        <v>22</v>
      </c>
      <c r="B48" s="217" t="s">
        <v>23</v>
      </c>
      <c r="C48" s="217" t="s">
        <v>24</v>
      </c>
      <c r="D48" s="217" t="s">
        <v>25</v>
      </c>
      <c r="E48" s="217" t="s">
        <v>56</v>
      </c>
      <c r="F48" s="217" t="s">
        <v>57</v>
      </c>
      <c r="G48" s="217" t="s">
        <v>86</v>
      </c>
      <c r="H48" s="217" t="s">
        <v>902</v>
      </c>
      <c r="I48" s="217" t="s">
        <v>29</v>
      </c>
      <c r="J48" s="217" t="s">
        <v>1855</v>
      </c>
      <c r="K48" s="217">
        <v>22</v>
      </c>
      <c r="L48" s="217">
        <v>136</v>
      </c>
      <c r="M48" s="217" t="s">
        <v>31</v>
      </c>
      <c r="N48" s="217" t="s">
        <v>32</v>
      </c>
      <c r="O48" s="217" t="s">
        <v>100</v>
      </c>
      <c r="P48" s="217" t="s">
        <v>34</v>
      </c>
      <c r="Q48" s="217" t="s">
        <v>35</v>
      </c>
      <c r="R48" s="217" t="s">
        <v>23</v>
      </c>
      <c r="S48" s="217" t="s">
        <v>22</v>
      </c>
      <c r="T48" s="217" t="s">
        <v>25</v>
      </c>
      <c r="U48" s="217" t="s">
        <v>24</v>
      </c>
      <c r="V48" s="217" t="s">
        <v>57</v>
      </c>
      <c r="W48" s="217" t="s">
        <v>56</v>
      </c>
    </row>
    <row r="49" spans="1:23" x14ac:dyDescent="0.25">
      <c r="A49" s="217" t="s">
        <v>22</v>
      </c>
      <c r="B49" s="217" t="s">
        <v>23</v>
      </c>
      <c r="C49" s="217" t="s">
        <v>24</v>
      </c>
      <c r="D49" s="217" t="s">
        <v>25</v>
      </c>
      <c r="E49" s="217" t="s">
        <v>56</v>
      </c>
      <c r="F49" s="217" t="s">
        <v>57</v>
      </c>
      <c r="G49" s="217" t="s">
        <v>140</v>
      </c>
      <c r="H49" s="217" t="s">
        <v>903</v>
      </c>
      <c r="I49" s="217" t="s">
        <v>29</v>
      </c>
      <c r="J49" s="217" t="s">
        <v>1855</v>
      </c>
      <c r="K49" s="217">
        <v>3</v>
      </c>
      <c r="L49" s="217">
        <v>20</v>
      </c>
      <c r="M49" s="217" t="s">
        <v>31</v>
      </c>
      <c r="N49" s="217" t="s">
        <v>32</v>
      </c>
      <c r="O49" s="217" t="s">
        <v>100</v>
      </c>
      <c r="P49" s="217" t="s">
        <v>34</v>
      </c>
      <c r="Q49" s="217" t="s">
        <v>35</v>
      </c>
      <c r="R49" s="217" t="s">
        <v>23</v>
      </c>
      <c r="S49" s="217" t="s">
        <v>22</v>
      </c>
      <c r="T49" s="217" t="s">
        <v>25</v>
      </c>
      <c r="U49" s="217" t="s">
        <v>24</v>
      </c>
      <c r="V49" s="217" t="s">
        <v>57</v>
      </c>
      <c r="W49" s="217" t="s">
        <v>56</v>
      </c>
    </row>
    <row r="50" spans="1:23" x14ac:dyDescent="0.25">
      <c r="A50" s="217" t="s">
        <v>22</v>
      </c>
      <c r="B50" s="217" t="s">
        <v>23</v>
      </c>
      <c r="C50" s="217" t="s">
        <v>24</v>
      </c>
      <c r="D50" s="217" t="s">
        <v>25</v>
      </c>
      <c r="E50" s="217" t="s">
        <v>56</v>
      </c>
      <c r="F50" s="217" t="s">
        <v>57</v>
      </c>
      <c r="G50" s="217" t="s">
        <v>87</v>
      </c>
      <c r="H50" s="217" t="s">
        <v>905</v>
      </c>
      <c r="I50" s="217" t="s">
        <v>29</v>
      </c>
      <c r="J50" s="217" t="s">
        <v>1855</v>
      </c>
      <c r="K50" s="217">
        <v>2</v>
      </c>
      <c r="L50" s="217">
        <v>11</v>
      </c>
      <c r="M50" s="217" t="s">
        <v>31</v>
      </c>
      <c r="N50" s="217" t="s">
        <v>32</v>
      </c>
      <c r="O50" s="217" t="s">
        <v>33</v>
      </c>
      <c r="P50" s="217" t="s">
        <v>34</v>
      </c>
      <c r="Q50" s="217" t="s">
        <v>35</v>
      </c>
      <c r="R50" s="217" t="s">
        <v>23</v>
      </c>
      <c r="S50" s="217" t="s">
        <v>22</v>
      </c>
      <c r="T50" s="217" t="s">
        <v>47</v>
      </c>
      <c r="U50" s="217" t="s">
        <v>48</v>
      </c>
      <c r="V50" s="217" t="s">
        <v>61</v>
      </c>
      <c r="W50" s="217" t="s">
        <v>62</v>
      </c>
    </row>
    <row r="51" spans="1:23" x14ac:dyDescent="0.25">
      <c r="A51" s="217" t="s">
        <v>22</v>
      </c>
      <c r="B51" s="217" t="s">
        <v>23</v>
      </c>
      <c r="C51" s="217" t="s">
        <v>24</v>
      </c>
      <c r="D51" s="217" t="s">
        <v>25</v>
      </c>
      <c r="E51" s="217" t="s">
        <v>56</v>
      </c>
      <c r="F51" s="217" t="s">
        <v>57</v>
      </c>
      <c r="G51" s="217" t="s">
        <v>87</v>
      </c>
      <c r="H51" s="217" t="s">
        <v>905</v>
      </c>
      <c r="I51" s="217" t="s">
        <v>29</v>
      </c>
      <c r="J51" s="217" t="s">
        <v>1858</v>
      </c>
      <c r="K51" s="217">
        <v>1</v>
      </c>
      <c r="L51" s="217">
        <v>4</v>
      </c>
      <c r="M51" s="217" t="s">
        <v>31</v>
      </c>
      <c r="N51" s="217" t="s">
        <v>32</v>
      </c>
      <c r="O51" s="217" t="s">
        <v>33</v>
      </c>
      <c r="P51" s="217" t="s">
        <v>34</v>
      </c>
      <c r="Q51" s="217" t="s">
        <v>35</v>
      </c>
      <c r="R51" s="217" t="s">
        <v>23</v>
      </c>
      <c r="S51" s="217" t="s">
        <v>22</v>
      </c>
      <c r="T51" s="217" t="s">
        <v>47</v>
      </c>
      <c r="U51" s="217" t="s">
        <v>48</v>
      </c>
      <c r="V51" s="217" t="s">
        <v>61</v>
      </c>
      <c r="W51" s="217" t="s">
        <v>62</v>
      </c>
    </row>
    <row r="52" spans="1:23" x14ac:dyDescent="0.25">
      <c r="A52" s="217" t="s">
        <v>22</v>
      </c>
      <c r="B52" s="217" t="s">
        <v>23</v>
      </c>
      <c r="C52" s="217" t="s">
        <v>85</v>
      </c>
      <c r="D52" s="217" t="s">
        <v>84</v>
      </c>
      <c r="E52" s="217" t="s">
        <v>88</v>
      </c>
      <c r="F52" s="217" t="s">
        <v>89</v>
      </c>
      <c r="G52" s="217" t="s">
        <v>90</v>
      </c>
      <c r="H52" s="217" t="s">
        <v>906</v>
      </c>
      <c r="I52" s="217" t="s">
        <v>29</v>
      </c>
      <c r="J52" s="217" t="s">
        <v>1856</v>
      </c>
      <c r="K52" s="217">
        <v>9</v>
      </c>
      <c r="L52" s="217">
        <v>83</v>
      </c>
      <c r="M52" s="217" t="s">
        <v>31</v>
      </c>
      <c r="N52" s="217" t="s">
        <v>32</v>
      </c>
      <c r="O52" s="217" t="s">
        <v>68</v>
      </c>
      <c r="P52" s="217" t="s">
        <v>34</v>
      </c>
      <c r="Q52" s="217" t="s">
        <v>35</v>
      </c>
      <c r="R52" s="217" t="s">
        <v>23</v>
      </c>
      <c r="S52" s="217" t="s">
        <v>22</v>
      </c>
      <c r="T52" s="217" t="s">
        <v>84</v>
      </c>
      <c r="U52" s="217" t="s">
        <v>85</v>
      </c>
      <c r="V52" s="217" t="s">
        <v>91</v>
      </c>
      <c r="W52" s="217" t="s">
        <v>92</v>
      </c>
    </row>
    <row r="53" spans="1:23" x14ac:dyDescent="0.25">
      <c r="A53" s="217" t="s">
        <v>22</v>
      </c>
      <c r="B53" s="217" t="s">
        <v>23</v>
      </c>
      <c r="C53" s="217" t="s">
        <v>85</v>
      </c>
      <c r="D53" s="217" t="s">
        <v>84</v>
      </c>
      <c r="E53" s="217" t="s">
        <v>88</v>
      </c>
      <c r="F53" s="217" t="s">
        <v>89</v>
      </c>
      <c r="G53" s="217" t="s">
        <v>90</v>
      </c>
      <c r="H53" s="217" t="s">
        <v>906</v>
      </c>
      <c r="I53" s="217" t="s">
        <v>29</v>
      </c>
      <c r="J53" s="217" t="s">
        <v>1857</v>
      </c>
      <c r="K53" s="217">
        <v>1</v>
      </c>
      <c r="L53" s="217">
        <v>5</v>
      </c>
      <c r="M53" s="217" t="s">
        <v>31</v>
      </c>
      <c r="N53" s="217" t="s">
        <v>32</v>
      </c>
      <c r="O53" s="217" t="s">
        <v>68</v>
      </c>
      <c r="P53" s="217" t="s">
        <v>34</v>
      </c>
      <c r="Q53" s="217" t="s">
        <v>35</v>
      </c>
      <c r="R53" s="217" t="s">
        <v>23</v>
      </c>
      <c r="S53" s="217" t="s">
        <v>22</v>
      </c>
      <c r="T53" s="217" t="s">
        <v>84</v>
      </c>
      <c r="U53" s="217" t="s">
        <v>85</v>
      </c>
      <c r="V53" s="217" t="s">
        <v>91</v>
      </c>
      <c r="W53" s="217" t="s">
        <v>92</v>
      </c>
    </row>
    <row r="54" spans="1:23" x14ac:dyDescent="0.25">
      <c r="A54" s="217" t="s">
        <v>22</v>
      </c>
      <c r="B54" s="217" t="s">
        <v>23</v>
      </c>
      <c r="C54" s="217" t="s">
        <v>85</v>
      </c>
      <c r="D54" s="217" t="s">
        <v>84</v>
      </c>
      <c r="E54" s="217" t="s">
        <v>88</v>
      </c>
      <c r="F54" s="217" t="s">
        <v>89</v>
      </c>
      <c r="G54" s="217" t="s">
        <v>93</v>
      </c>
      <c r="H54" s="217" t="s">
        <v>907</v>
      </c>
      <c r="I54" s="217" t="s">
        <v>29</v>
      </c>
      <c r="J54" s="217" t="s">
        <v>1855</v>
      </c>
      <c r="K54" s="217">
        <v>152</v>
      </c>
      <c r="L54" s="217">
        <v>999</v>
      </c>
      <c r="M54" s="217" t="s">
        <v>31</v>
      </c>
      <c r="N54" s="217" t="s">
        <v>32</v>
      </c>
      <c r="O54" s="217" t="s">
        <v>68</v>
      </c>
      <c r="P54" s="217" t="s">
        <v>34</v>
      </c>
      <c r="Q54" s="217" t="s">
        <v>35</v>
      </c>
      <c r="R54" s="217" t="s">
        <v>23</v>
      </c>
      <c r="S54" s="217" t="s">
        <v>22</v>
      </c>
      <c r="T54" s="217" t="s">
        <v>84</v>
      </c>
      <c r="U54" s="217" t="s">
        <v>85</v>
      </c>
      <c r="V54" s="217" t="s">
        <v>91</v>
      </c>
      <c r="W54" s="217" t="s">
        <v>92</v>
      </c>
    </row>
    <row r="55" spans="1:23" x14ac:dyDescent="0.25">
      <c r="A55" s="217" t="s">
        <v>22</v>
      </c>
      <c r="B55" s="217" t="s">
        <v>23</v>
      </c>
      <c r="C55" s="217" t="s">
        <v>85</v>
      </c>
      <c r="D55" s="217" t="s">
        <v>84</v>
      </c>
      <c r="E55" s="217" t="s">
        <v>88</v>
      </c>
      <c r="F55" s="217" t="s">
        <v>89</v>
      </c>
      <c r="G55" s="217" t="s">
        <v>93</v>
      </c>
      <c r="H55" s="217" t="s">
        <v>907</v>
      </c>
      <c r="I55" s="217" t="s">
        <v>29</v>
      </c>
      <c r="J55" s="217" t="s">
        <v>1856</v>
      </c>
      <c r="K55" s="217">
        <v>117</v>
      </c>
      <c r="L55" s="217">
        <v>768</v>
      </c>
      <c r="M55" s="217" t="s">
        <v>31</v>
      </c>
      <c r="N55" s="217" t="s">
        <v>32</v>
      </c>
      <c r="O55" s="217" t="s">
        <v>68</v>
      </c>
      <c r="P55" s="217" t="s">
        <v>34</v>
      </c>
      <c r="Q55" s="217" t="s">
        <v>35</v>
      </c>
      <c r="R55" s="217" t="s">
        <v>23</v>
      </c>
      <c r="S55" s="217" t="s">
        <v>22</v>
      </c>
      <c r="T55" s="217" t="s">
        <v>84</v>
      </c>
      <c r="U55" s="217" t="s">
        <v>85</v>
      </c>
      <c r="V55" s="217" t="s">
        <v>91</v>
      </c>
      <c r="W55" s="217" t="s">
        <v>92</v>
      </c>
    </row>
    <row r="56" spans="1:23" x14ac:dyDescent="0.25">
      <c r="A56" s="217" t="s">
        <v>22</v>
      </c>
      <c r="B56" s="217" t="s">
        <v>23</v>
      </c>
      <c r="C56" s="217" t="s">
        <v>85</v>
      </c>
      <c r="D56" s="217" t="s">
        <v>84</v>
      </c>
      <c r="E56" s="217" t="s">
        <v>88</v>
      </c>
      <c r="F56" s="217" t="s">
        <v>89</v>
      </c>
      <c r="G56" s="217" t="s">
        <v>93</v>
      </c>
      <c r="H56" s="217" t="s">
        <v>907</v>
      </c>
      <c r="I56" s="217" t="s">
        <v>29</v>
      </c>
      <c r="J56" s="217" t="s">
        <v>1857</v>
      </c>
      <c r="K56" s="217">
        <v>318</v>
      </c>
      <c r="L56" s="217">
        <v>1927</v>
      </c>
      <c r="M56" s="217" t="s">
        <v>31</v>
      </c>
      <c r="N56" s="217" t="s">
        <v>32</v>
      </c>
      <c r="O56" s="217" t="s">
        <v>68</v>
      </c>
      <c r="P56" s="217" t="s">
        <v>34</v>
      </c>
      <c r="Q56" s="217" t="s">
        <v>35</v>
      </c>
      <c r="R56" s="217" t="s">
        <v>23</v>
      </c>
      <c r="S56" s="217" t="s">
        <v>22</v>
      </c>
      <c r="T56" s="217" t="s">
        <v>84</v>
      </c>
      <c r="U56" s="217" t="s">
        <v>85</v>
      </c>
      <c r="V56" s="217" t="s">
        <v>94</v>
      </c>
      <c r="W56" s="217" t="s">
        <v>95</v>
      </c>
    </row>
    <row r="57" spans="1:23" x14ac:dyDescent="0.25">
      <c r="A57" s="217" t="s">
        <v>22</v>
      </c>
      <c r="B57" s="217" t="s">
        <v>23</v>
      </c>
      <c r="C57" s="217" t="s">
        <v>85</v>
      </c>
      <c r="D57" s="217" t="s">
        <v>84</v>
      </c>
      <c r="E57" s="217" t="s">
        <v>88</v>
      </c>
      <c r="F57" s="217" t="s">
        <v>89</v>
      </c>
      <c r="G57" s="217" t="s">
        <v>93</v>
      </c>
      <c r="H57" s="217" t="s">
        <v>907</v>
      </c>
      <c r="I57" s="217" t="s">
        <v>29</v>
      </c>
      <c r="J57" s="217" t="s">
        <v>1858</v>
      </c>
      <c r="K57" s="217">
        <v>22</v>
      </c>
      <c r="L57" s="217">
        <v>134</v>
      </c>
      <c r="M57" s="217" t="s">
        <v>31</v>
      </c>
      <c r="N57" s="217" t="s">
        <v>32</v>
      </c>
      <c r="O57" s="217" t="s">
        <v>68</v>
      </c>
      <c r="P57" s="217" t="s">
        <v>34</v>
      </c>
      <c r="Q57" s="217" t="s">
        <v>35</v>
      </c>
      <c r="R57" s="217" t="s">
        <v>23</v>
      </c>
      <c r="S57" s="217" t="s">
        <v>22</v>
      </c>
      <c r="T57" s="217" t="s">
        <v>84</v>
      </c>
      <c r="U57" s="217" t="s">
        <v>85</v>
      </c>
      <c r="V57" s="217" t="s">
        <v>91</v>
      </c>
      <c r="W57" s="217" t="s">
        <v>92</v>
      </c>
    </row>
    <row r="58" spans="1:23" x14ac:dyDescent="0.25">
      <c r="A58" s="217" t="s">
        <v>22</v>
      </c>
      <c r="B58" s="217" t="s">
        <v>23</v>
      </c>
      <c r="C58" s="217" t="s">
        <v>85</v>
      </c>
      <c r="D58" s="217" t="s">
        <v>84</v>
      </c>
      <c r="E58" s="217" t="s">
        <v>88</v>
      </c>
      <c r="F58" s="217" t="s">
        <v>89</v>
      </c>
      <c r="G58" s="217" t="s">
        <v>96</v>
      </c>
      <c r="H58" s="217" t="s">
        <v>908</v>
      </c>
      <c r="I58" s="217" t="s">
        <v>29</v>
      </c>
      <c r="J58" s="217" t="s">
        <v>1854</v>
      </c>
      <c r="K58" s="217">
        <v>196</v>
      </c>
      <c r="L58" s="217">
        <v>1445</v>
      </c>
      <c r="M58" s="217" t="s">
        <v>99</v>
      </c>
      <c r="N58" s="217" t="s">
        <v>32</v>
      </c>
      <c r="O58" s="217" t="s">
        <v>100</v>
      </c>
      <c r="P58" s="217" t="s">
        <v>34</v>
      </c>
      <c r="Q58" s="217" t="s">
        <v>35</v>
      </c>
      <c r="R58" s="217" t="s">
        <v>23</v>
      </c>
      <c r="S58" s="217" t="s">
        <v>22</v>
      </c>
      <c r="T58" s="217" t="s">
        <v>84</v>
      </c>
      <c r="U58" s="217" t="s">
        <v>85</v>
      </c>
      <c r="V58" s="217" t="s">
        <v>89</v>
      </c>
      <c r="W58" s="217" t="s">
        <v>88</v>
      </c>
    </row>
    <row r="59" spans="1:23" x14ac:dyDescent="0.25">
      <c r="A59" s="217" t="s">
        <v>22</v>
      </c>
      <c r="B59" s="217" t="s">
        <v>23</v>
      </c>
      <c r="C59" s="217" t="s">
        <v>85</v>
      </c>
      <c r="D59" s="217" t="s">
        <v>84</v>
      </c>
      <c r="E59" s="217" t="s">
        <v>88</v>
      </c>
      <c r="F59" s="217" t="s">
        <v>89</v>
      </c>
      <c r="G59" s="217" t="s">
        <v>96</v>
      </c>
      <c r="H59" s="217" t="s">
        <v>908</v>
      </c>
      <c r="I59" s="217" t="s">
        <v>29</v>
      </c>
      <c r="J59" s="217" t="s">
        <v>1856</v>
      </c>
      <c r="K59" s="217">
        <v>17</v>
      </c>
      <c r="L59" s="217">
        <v>90</v>
      </c>
      <c r="M59" s="217" t="s">
        <v>31</v>
      </c>
      <c r="N59" s="217" t="s">
        <v>32</v>
      </c>
      <c r="O59" s="217" t="s">
        <v>68</v>
      </c>
      <c r="P59" s="217" t="s">
        <v>34</v>
      </c>
      <c r="Q59" s="217" t="s">
        <v>35</v>
      </c>
      <c r="R59" s="217" t="s">
        <v>23</v>
      </c>
      <c r="S59" s="217" t="s">
        <v>22</v>
      </c>
      <c r="T59" s="217" t="s">
        <v>84</v>
      </c>
      <c r="U59" s="217" t="s">
        <v>85</v>
      </c>
      <c r="V59" s="217" t="s">
        <v>97</v>
      </c>
      <c r="W59" s="217" t="s">
        <v>98</v>
      </c>
    </row>
    <row r="60" spans="1:23" x14ac:dyDescent="0.25">
      <c r="A60" s="217" t="s">
        <v>22</v>
      </c>
      <c r="B60" s="217" t="s">
        <v>23</v>
      </c>
      <c r="C60" s="217" t="s">
        <v>85</v>
      </c>
      <c r="D60" s="217" t="s">
        <v>84</v>
      </c>
      <c r="E60" s="217" t="s">
        <v>88</v>
      </c>
      <c r="F60" s="217" t="s">
        <v>89</v>
      </c>
      <c r="G60" s="217" t="s">
        <v>96</v>
      </c>
      <c r="H60" s="217" t="s">
        <v>908</v>
      </c>
      <c r="I60" s="217" t="s">
        <v>29</v>
      </c>
      <c r="J60" s="217" t="s">
        <v>1857</v>
      </c>
      <c r="K60" s="217">
        <v>49</v>
      </c>
      <c r="L60" s="217">
        <v>363</v>
      </c>
      <c r="M60" s="217" t="s">
        <v>99</v>
      </c>
      <c r="N60" s="217" t="s">
        <v>32</v>
      </c>
      <c r="O60" s="217" t="s">
        <v>100</v>
      </c>
      <c r="P60" s="217" t="s">
        <v>34</v>
      </c>
      <c r="Q60" s="217" t="s">
        <v>35</v>
      </c>
      <c r="R60" s="217" t="s">
        <v>23</v>
      </c>
      <c r="S60" s="217" t="s">
        <v>22</v>
      </c>
      <c r="T60" s="217" t="s">
        <v>84</v>
      </c>
      <c r="U60" s="217" t="s">
        <v>85</v>
      </c>
      <c r="V60" s="217" t="s">
        <v>89</v>
      </c>
      <c r="W60" s="217" t="s">
        <v>88</v>
      </c>
    </row>
    <row r="61" spans="1:23" x14ac:dyDescent="0.25">
      <c r="A61" s="217" t="s">
        <v>22</v>
      </c>
      <c r="B61" s="217" t="s">
        <v>23</v>
      </c>
      <c r="C61" s="217" t="s">
        <v>85</v>
      </c>
      <c r="D61" s="217" t="s">
        <v>84</v>
      </c>
      <c r="E61" s="217" t="s">
        <v>88</v>
      </c>
      <c r="F61" s="217" t="s">
        <v>89</v>
      </c>
      <c r="G61" s="217" t="s">
        <v>96</v>
      </c>
      <c r="H61" s="217" t="s">
        <v>908</v>
      </c>
      <c r="I61" s="217" t="s">
        <v>29</v>
      </c>
      <c r="J61" s="217" t="s">
        <v>1858</v>
      </c>
      <c r="K61" s="217">
        <v>26</v>
      </c>
      <c r="L61" s="217">
        <v>139</v>
      </c>
      <c r="M61" s="217" t="s">
        <v>99</v>
      </c>
      <c r="N61" s="217" t="s">
        <v>32</v>
      </c>
      <c r="O61" s="217" t="s">
        <v>100</v>
      </c>
      <c r="P61" s="217" t="s">
        <v>34</v>
      </c>
      <c r="Q61" s="217" t="s">
        <v>35</v>
      </c>
      <c r="R61" s="217" t="s">
        <v>23</v>
      </c>
      <c r="S61" s="217" t="s">
        <v>22</v>
      </c>
      <c r="T61" s="217" t="s">
        <v>84</v>
      </c>
      <c r="U61" s="217" t="s">
        <v>85</v>
      </c>
      <c r="V61" s="217" t="s">
        <v>89</v>
      </c>
      <c r="W61" s="217" t="s">
        <v>88</v>
      </c>
    </row>
    <row r="62" spans="1:23" x14ac:dyDescent="0.25">
      <c r="A62" s="217" t="s">
        <v>22</v>
      </c>
      <c r="B62" s="217" t="s">
        <v>23</v>
      </c>
      <c r="C62" s="217" t="s">
        <v>85</v>
      </c>
      <c r="D62" s="217" t="s">
        <v>84</v>
      </c>
      <c r="E62" s="217" t="s">
        <v>88</v>
      </c>
      <c r="F62" s="217" t="s">
        <v>89</v>
      </c>
      <c r="G62" s="217" t="s">
        <v>96</v>
      </c>
      <c r="H62" s="217" t="s">
        <v>908</v>
      </c>
      <c r="I62" s="217" t="s">
        <v>29</v>
      </c>
      <c r="J62" s="217" t="s">
        <v>1859</v>
      </c>
      <c r="K62" s="217">
        <v>28</v>
      </c>
      <c r="L62" s="217">
        <v>154</v>
      </c>
      <c r="M62" s="217" t="s">
        <v>99</v>
      </c>
      <c r="N62" s="217" t="s">
        <v>32</v>
      </c>
      <c r="O62" s="217" t="s">
        <v>100</v>
      </c>
      <c r="P62" s="217" t="s">
        <v>34</v>
      </c>
      <c r="Q62" s="217" t="s">
        <v>35</v>
      </c>
      <c r="R62" s="217" t="s">
        <v>23</v>
      </c>
      <c r="S62" s="217" t="s">
        <v>22</v>
      </c>
      <c r="T62" s="217" t="s">
        <v>84</v>
      </c>
      <c r="U62" s="217" t="s">
        <v>85</v>
      </c>
      <c r="V62" s="217" t="s">
        <v>89</v>
      </c>
      <c r="W62" s="217" t="s">
        <v>88</v>
      </c>
    </row>
    <row r="63" spans="1:23" x14ac:dyDescent="0.25">
      <c r="A63" s="217" t="s">
        <v>22</v>
      </c>
      <c r="B63" s="217" t="s">
        <v>23</v>
      </c>
      <c r="C63" s="217" t="s">
        <v>85</v>
      </c>
      <c r="D63" s="217" t="s">
        <v>84</v>
      </c>
      <c r="E63" s="217" t="s">
        <v>88</v>
      </c>
      <c r="F63" s="217" t="s">
        <v>89</v>
      </c>
      <c r="G63" s="217" t="s">
        <v>101</v>
      </c>
      <c r="H63" s="217" t="s">
        <v>909</v>
      </c>
      <c r="I63" s="217" t="s">
        <v>29</v>
      </c>
      <c r="J63" s="217" t="s">
        <v>1856</v>
      </c>
      <c r="K63" s="217">
        <v>3</v>
      </c>
      <c r="L63" s="217">
        <v>20</v>
      </c>
      <c r="M63" s="217" t="s">
        <v>31</v>
      </c>
      <c r="N63" s="217" t="s">
        <v>32</v>
      </c>
      <c r="O63" s="217" t="s">
        <v>68</v>
      </c>
      <c r="P63" s="217" t="s">
        <v>34</v>
      </c>
      <c r="Q63" s="217" t="s">
        <v>35</v>
      </c>
      <c r="R63" s="217" t="s">
        <v>23</v>
      </c>
      <c r="S63" s="217" t="s">
        <v>22</v>
      </c>
      <c r="T63" s="217" t="s">
        <v>84</v>
      </c>
      <c r="U63" s="217" t="s">
        <v>85</v>
      </c>
      <c r="V63" s="217" t="s">
        <v>91</v>
      </c>
      <c r="W63" s="217" t="s">
        <v>92</v>
      </c>
    </row>
    <row r="64" spans="1:23" x14ac:dyDescent="0.25">
      <c r="A64" s="217" t="s">
        <v>22</v>
      </c>
      <c r="B64" s="217" t="s">
        <v>23</v>
      </c>
      <c r="C64" s="217" t="s">
        <v>85</v>
      </c>
      <c r="D64" s="217" t="s">
        <v>84</v>
      </c>
      <c r="E64" s="217" t="s">
        <v>88</v>
      </c>
      <c r="F64" s="217" t="s">
        <v>89</v>
      </c>
      <c r="G64" s="217" t="s">
        <v>101</v>
      </c>
      <c r="H64" s="217" t="s">
        <v>909</v>
      </c>
      <c r="I64" s="217" t="s">
        <v>29</v>
      </c>
      <c r="J64" s="217" t="s">
        <v>1857</v>
      </c>
      <c r="K64" s="217">
        <v>4</v>
      </c>
      <c r="L64" s="217">
        <v>22</v>
      </c>
      <c r="M64" s="217" t="s">
        <v>31</v>
      </c>
      <c r="N64" s="217" t="s">
        <v>32</v>
      </c>
      <c r="O64" s="217" t="s">
        <v>68</v>
      </c>
      <c r="P64" s="217" t="s">
        <v>34</v>
      </c>
      <c r="Q64" s="217" t="s">
        <v>35</v>
      </c>
      <c r="R64" s="217" t="s">
        <v>23</v>
      </c>
      <c r="S64" s="217" t="s">
        <v>22</v>
      </c>
      <c r="T64" s="217" t="s">
        <v>84</v>
      </c>
      <c r="U64" s="217" t="s">
        <v>85</v>
      </c>
      <c r="V64" s="217" t="s">
        <v>91</v>
      </c>
      <c r="W64" s="217" t="s">
        <v>92</v>
      </c>
    </row>
    <row r="65" spans="1:23" x14ac:dyDescent="0.25">
      <c r="A65" s="217" t="s">
        <v>22</v>
      </c>
      <c r="B65" s="217" t="s">
        <v>23</v>
      </c>
      <c r="C65" s="217" t="s">
        <v>85</v>
      </c>
      <c r="D65" s="217" t="s">
        <v>84</v>
      </c>
      <c r="E65" s="217" t="s">
        <v>88</v>
      </c>
      <c r="F65" s="217" t="s">
        <v>89</v>
      </c>
      <c r="G65" s="217" t="s">
        <v>102</v>
      </c>
      <c r="H65" s="217" t="s">
        <v>910</v>
      </c>
      <c r="I65" s="217" t="s">
        <v>29</v>
      </c>
      <c r="J65" s="217" t="s">
        <v>1856</v>
      </c>
      <c r="K65" s="217">
        <v>7</v>
      </c>
      <c r="L65" s="217">
        <v>68</v>
      </c>
      <c r="M65" s="217" t="s">
        <v>31</v>
      </c>
      <c r="N65" s="217" t="s">
        <v>32</v>
      </c>
      <c r="O65" s="217" t="s">
        <v>68</v>
      </c>
      <c r="P65" s="217" t="s">
        <v>34</v>
      </c>
      <c r="Q65" s="217" t="s">
        <v>35</v>
      </c>
      <c r="R65" s="217" t="s">
        <v>23</v>
      </c>
      <c r="S65" s="217" t="s">
        <v>22</v>
      </c>
      <c r="T65" s="217" t="s">
        <v>84</v>
      </c>
      <c r="U65" s="217" t="s">
        <v>85</v>
      </c>
      <c r="V65" s="217" t="s">
        <v>91</v>
      </c>
      <c r="W65" s="217" t="s">
        <v>92</v>
      </c>
    </row>
    <row r="66" spans="1:23" x14ac:dyDescent="0.25">
      <c r="A66" s="217" t="s">
        <v>22</v>
      </c>
      <c r="B66" s="217" t="s">
        <v>23</v>
      </c>
      <c r="C66" s="217" t="s">
        <v>85</v>
      </c>
      <c r="D66" s="217" t="s">
        <v>84</v>
      </c>
      <c r="E66" s="217" t="s">
        <v>88</v>
      </c>
      <c r="F66" s="217" t="s">
        <v>89</v>
      </c>
      <c r="G66" s="217" t="s">
        <v>103</v>
      </c>
      <c r="H66" s="217" t="s">
        <v>911</v>
      </c>
      <c r="I66" s="217" t="s">
        <v>29</v>
      </c>
      <c r="J66" s="217" t="s">
        <v>1856</v>
      </c>
      <c r="K66" s="217">
        <v>4</v>
      </c>
      <c r="L66" s="217">
        <v>38</v>
      </c>
      <c r="M66" s="217" t="s">
        <v>31</v>
      </c>
      <c r="N66" s="217" t="s">
        <v>32</v>
      </c>
      <c r="O66" s="217" t="s">
        <v>68</v>
      </c>
      <c r="P66" s="217" t="s">
        <v>34</v>
      </c>
      <c r="Q66" s="217" t="s">
        <v>35</v>
      </c>
      <c r="R66" s="217" t="s">
        <v>23</v>
      </c>
      <c r="S66" s="217" t="s">
        <v>22</v>
      </c>
      <c r="T66" s="217" t="s">
        <v>84</v>
      </c>
      <c r="U66" s="217" t="s">
        <v>85</v>
      </c>
      <c r="V66" s="217" t="s">
        <v>109</v>
      </c>
      <c r="W66" s="217" t="s">
        <v>110</v>
      </c>
    </row>
    <row r="67" spans="1:23" x14ac:dyDescent="0.25">
      <c r="A67" s="217" t="s">
        <v>22</v>
      </c>
      <c r="B67" s="217" t="s">
        <v>23</v>
      </c>
      <c r="C67" s="217" t="s">
        <v>85</v>
      </c>
      <c r="D67" s="217" t="s">
        <v>84</v>
      </c>
      <c r="E67" s="217" t="s">
        <v>88</v>
      </c>
      <c r="F67" s="217" t="s">
        <v>89</v>
      </c>
      <c r="G67" s="217" t="s">
        <v>103</v>
      </c>
      <c r="H67" s="217" t="s">
        <v>911</v>
      </c>
      <c r="I67" s="217" t="s">
        <v>29</v>
      </c>
      <c r="J67" s="217" t="s">
        <v>1857</v>
      </c>
      <c r="K67" s="217">
        <v>13</v>
      </c>
      <c r="L67" s="217">
        <v>98</v>
      </c>
      <c r="M67" s="217" t="s">
        <v>31</v>
      </c>
      <c r="N67" s="217" t="s">
        <v>32</v>
      </c>
      <c r="O67" s="217" t="s">
        <v>68</v>
      </c>
      <c r="P67" s="217" t="s">
        <v>34</v>
      </c>
      <c r="Q67" s="217" t="s">
        <v>35</v>
      </c>
      <c r="R67" s="217" t="s">
        <v>23</v>
      </c>
      <c r="S67" s="217" t="s">
        <v>22</v>
      </c>
      <c r="T67" s="217" t="s">
        <v>84</v>
      </c>
      <c r="U67" s="217" t="s">
        <v>85</v>
      </c>
      <c r="V67" s="217" t="s">
        <v>97</v>
      </c>
      <c r="W67" s="217" t="s">
        <v>98</v>
      </c>
    </row>
    <row r="68" spans="1:23" x14ac:dyDescent="0.25">
      <c r="A68" s="217" t="s">
        <v>22</v>
      </c>
      <c r="B68" s="217" t="s">
        <v>23</v>
      </c>
      <c r="C68" s="217" t="s">
        <v>85</v>
      </c>
      <c r="D68" s="217" t="s">
        <v>84</v>
      </c>
      <c r="E68" s="217" t="s">
        <v>88</v>
      </c>
      <c r="F68" s="217" t="s">
        <v>89</v>
      </c>
      <c r="G68" s="217" t="s">
        <v>103</v>
      </c>
      <c r="H68" s="217" t="s">
        <v>911</v>
      </c>
      <c r="I68" s="217" t="s">
        <v>29</v>
      </c>
      <c r="J68" s="217" t="s">
        <v>1859</v>
      </c>
      <c r="K68" s="217">
        <v>1</v>
      </c>
      <c r="L68" s="217">
        <v>9</v>
      </c>
      <c r="M68" s="217" t="s">
        <v>99</v>
      </c>
      <c r="N68" s="217" t="s">
        <v>32</v>
      </c>
      <c r="O68" s="217" t="s">
        <v>68</v>
      </c>
      <c r="P68" s="217" t="s">
        <v>34</v>
      </c>
      <c r="Q68" s="217" t="s">
        <v>35</v>
      </c>
      <c r="R68" s="217" t="s">
        <v>23</v>
      </c>
      <c r="S68" s="217" t="s">
        <v>22</v>
      </c>
      <c r="T68" s="217" t="s">
        <v>84</v>
      </c>
      <c r="U68" s="217" t="s">
        <v>85</v>
      </c>
      <c r="V68" s="217" t="s">
        <v>94</v>
      </c>
      <c r="W68" s="217" t="s">
        <v>95</v>
      </c>
    </row>
    <row r="69" spans="1:23" x14ac:dyDescent="0.25">
      <c r="A69" s="217" t="s">
        <v>22</v>
      </c>
      <c r="B69" s="217" t="s">
        <v>23</v>
      </c>
      <c r="C69" s="217" t="s">
        <v>85</v>
      </c>
      <c r="D69" s="217" t="s">
        <v>84</v>
      </c>
      <c r="E69" s="217" t="s">
        <v>88</v>
      </c>
      <c r="F69" s="217" t="s">
        <v>89</v>
      </c>
      <c r="G69" s="217" t="s">
        <v>104</v>
      </c>
      <c r="H69" s="217" t="s">
        <v>912</v>
      </c>
      <c r="I69" s="217" t="s">
        <v>29</v>
      </c>
      <c r="J69" s="217" t="s">
        <v>1855</v>
      </c>
      <c r="K69" s="217">
        <v>5</v>
      </c>
      <c r="L69" s="217">
        <v>31</v>
      </c>
      <c r="M69" s="217" t="s">
        <v>31</v>
      </c>
      <c r="N69" s="217" t="s">
        <v>32</v>
      </c>
      <c r="O69" s="217" t="s">
        <v>68</v>
      </c>
      <c r="P69" s="217" t="s">
        <v>34</v>
      </c>
      <c r="Q69" s="217" t="s">
        <v>35</v>
      </c>
      <c r="R69" s="217" t="s">
        <v>23</v>
      </c>
      <c r="S69" s="217" t="s">
        <v>22</v>
      </c>
      <c r="T69" s="217" t="s">
        <v>84</v>
      </c>
      <c r="U69" s="217" t="s">
        <v>85</v>
      </c>
      <c r="V69" s="217" t="s">
        <v>91</v>
      </c>
      <c r="W69" s="217" t="s">
        <v>92</v>
      </c>
    </row>
    <row r="70" spans="1:23" x14ac:dyDescent="0.25">
      <c r="A70" s="217" t="s">
        <v>22</v>
      </c>
      <c r="B70" s="217" t="s">
        <v>23</v>
      </c>
      <c r="C70" s="217" t="s">
        <v>85</v>
      </c>
      <c r="D70" s="217" t="s">
        <v>84</v>
      </c>
      <c r="E70" s="217" t="s">
        <v>88</v>
      </c>
      <c r="F70" s="217" t="s">
        <v>89</v>
      </c>
      <c r="G70" s="217" t="s">
        <v>104</v>
      </c>
      <c r="H70" s="217" t="s">
        <v>912</v>
      </c>
      <c r="I70" s="217" t="s">
        <v>29</v>
      </c>
      <c r="J70" s="217" t="s">
        <v>1856</v>
      </c>
      <c r="K70" s="217">
        <v>2</v>
      </c>
      <c r="L70" s="217">
        <v>12</v>
      </c>
      <c r="M70" s="217" t="s">
        <v>31</v>
      </c>
      <c r="N70" s="217" t="s">
        <v>32</v>
      </c>
      <c r="O70" s="217" t="s">
        <v>68</v>
      </c>
      <c r="P70" s="217" t="s">
        <v>34</v>
      </c>
      <c r="Q70" s="217" t="s">
        <v>35</v>
      </c>
      <c r="R70" s="217" t="s">
        <v>23</v>
      </c>
      <c r="S70" s="217" t="s">
        <v>22</v>
      </c>
      <c r="T70" s="217" t="s">
        <v>84</v>
      </c>
      <c r="U70" s="217" t="s">
        <v>85</v>
      </c>
      <c r="V70" s="217" t="s">
        <v>91</v>
      </c>
      <c r="W70" s="217" t="s">
        <v>92</v>
      </c>
    </row>
    <row r="71" spans="1:23" x14ac:dyDescent="0.25">
      <c r="A71" s="217" t="s">
        <v>22</v>
      </c>
      <c r="B71" s="217" t="s">
        <v>23</v>
      </c>
      <c r="C71" s="217" t="s">
        <v>85</v>
      </c>
      <c r="D71" s="217" t="s">
        <v>84</v>
      </c>
      <c r="E71" s="217" t="s">
        <v>88</v>
      </c>
      <c r="F71" s="217" t="s">
        <v>89</v>
      </c>
      <c r="G71" s="217" t="s">
        <v>104</v>
      </c>
      <c r="H71" s="217" t="s">
        <v>912</v>
      </c>
      <c r="I71" s="217" t="s">
        <v>29</v>
      </c>
      <c r="J71" s="217" t="s">
        <v>1857</v>
      </c>
      <c r="K71" s="217">
        <v>4</v>
      </c>
      <c r="L71" s="217">
        <v>31</v>
      </c>
      <c r="M71" s="217" t="s">
        <v>31</v>
      </c>
      <c r="N71" s="217" t="s">
        <v>32</v>
      </c>
      <c r="O71" s="217" t="s">
        <v>68</v>
      </c>
      <c r="P71" s="217" t="s">
        <v>34</v>
      </c>
      <c r="Q71" s="217" t="s">
        <v>35</v>
      </c>
      <c r="R71" s="217" t="s">
        <v>23</v>
      </c>
      <c r="S71" s="217" t="s">
        <v>22</v>
      </c>
      <c r="T71" s="217" t="s">
        <v>84</v>
      </c>
      <c r="U71" s="217" t="s">
        <v>85</v>
      </c>
      <c r="V71" s="217" t="s">
        <v>94</v>
      </c>
      <c r="W71" s="217" t="s">
        <v>95</v>
      </c>
    </row>
    <row r="72" spans="1:23" x14ac:dyDescent="0.25">
      <c r="A72" s="217" t="s">
        <v>22</v>
      </c>
      <c r="B72" s="217" t="s">
        <v>23</v>
      </c>
      <c r="C72" s="217" t="s">
        <v>85</v>
      </c>
      <c r="D72" s="217" t="s">
        <v>84</v>
      </c>
      <c r="E72" s="217" t="s">
        <v>88</v>
      </c>
      <c r="F72" s="217" t="s">
        <v>89</v>
      </c>
      <c r="G72" s="217" t="s">
        <v>105</v>
      </c>
      <c r="H72" s="217" t="s">
        <v>913</v>
      </c>
      <c r="I72" s="217" t="s">
        <v>29</v>
      </c>
      <c r="J72" s="217" t="s">
        <v>1855</v>
      </c>
      <c r="K72" s="217">
        <v>1</v>
      </c>
      <c r="L72" s="217">
        <v>5</v>
      </c>
      <c r="M72" s="217" t="s">
        <v>31</v>
      </c>
      <c r="N72" s="217" t="s">
        <v>32</v>
      </c>
      <c r="O72" s="217" t="s">
        <v>68</v>
      </c>
      <c r="P72" s="217" t="s">
        <v>34</v>
      </c>
      <c r="Q72" s="217" t="s">
        <v>35</v>
      </c>
      <c r="R72" s="217" t="s">
        <v>23</v>
      </c>
      <c r="S72" s="217" t="s">
        <v>22</v>
      </c>
      <c r="T72" s="217" t="s">
        <v>84</v>
      </c>
      <c r="U72" s="217" t="s">
        <v>85</v>
      </c>
      <c r="V72" s="217" t="s">
        <v>91</v>
      </c>
      <c r="W72" s="217" t="s">
        <v>92</v>
      </c>
    </row>
    <row r="73" spans="1:23" x14ac:dyDescent="0.25">
      <c r="A73" s="217" t="s">
        <v>22</v>
      </c>
      <c r="B73" s="217" t="s">
        <v>23</v>
      </c>
      <c r="C73" s="217" t="s">
        <v>85</v>
      </c>
      <c r="D73" s="217" t="s">
        <v>84</v>
      </c>
      <c r="E73" s="217" t="s">
        <v>88</v>
      </c>
      <c r="F73" s="217" t="s">
        <v>89</v>
      </c>
      <c r="G73" s="217" t="s">
        <v>105</v>
      </c>
      <c r="H73" s="217" t="s">
        <v>913</v>
      </c>
      <c r="I73" s="217" t="s">
        <v>29</v>
      </c>
      <c r="J73" s="217" t="s">
        <v>1857</v>
      </c>
      <c r="K73" s="217">
        <v>2</v>
      </c>
      <c r="L73" s="217">
        <v>5</v>
      </c>
      <c r="M73" s="217" t="s">
        <v>31</v>
      </c>
      <c r="N73" s="217" t="s">
        <v>32</v>
      </c>
      <c r="O73" s="217" t="s">
        <v>68</v>
      </c>
      <c r="P73" s="217" t="s">
        <v>34</v>
      </c>
      <c r="Q73" s="217" t="s">
        <v>35</v>
      </c>
      <c r="R73" s="217" t="s">
        <v>23</v>
      </c>
      <c r="S73" s="217" t="s">
        <v>22</v>
      </c>
      <c r="T73" s="217" t="s">
        <v>84</v>
      </c>
      <c r="U73" s="217" t="s">
        <v>85</v>
      </c>
      <c r="V73" s="217" t="s">
        <v>94</v>
      </c>
      <c r="W73" s="217" t="s">
        <v>95</v>
      </c>
    </row>
    <row r="74" spans="1:23" x14ac:dyDescent="0.25">
      <c r="A74" s="217" t="s">
        <v>22</v>
      </c>
      <c r="B74" s="217" t="s">
        <v>23</v>
      </c>
      <c r="C74" s="217" t="s">
        <v>85</v>
      </c>
      <c r="D74" s="217" t="s">
        <v>84</v>
      </c>
      <c r="E74" s="217" t="s">
        <v>88</v>
      </c>
      <c r="F74" s="217" t="s">
        <v>89</v>
      </c>
      <c r="G74" s="217" t="s">
        <v>105</v>
      </c>
      <c r="H74" s="217" t="s">
        <v>913</v>
      </c>
      <c r="I74" s="217" t="s">
        <v>29</v>
      </c>
      <c r="J74" s="217" t="s">
        <v>1858</v>
      </c>
      <c r="K74" s="217">
        <v>1</v>
      </c>
      <c r="L74" s="217">
        <v>5</v>
      </c>
      <c r="M74" s="217" t="s">
        <v>31</v>
      </c>
      <c r="N74" s="217" t="s">
        <v>32</v>
      </c>
      <c r="O74" s="217" t="s">
        <v>68</v>
      </c>
      <c r="P74" s="217" t="s">
        <v>34</v>
      </c>
      <c r="Q74" s="217" t="s">
        <v>35</v>
      </c>
      <c r="R74" s="217" t="s">
        <v>23</v>
      </c>
      <c r="S74" s="217" t="s">
        <v>22</v>
      </c>
      <c r="T74" s="217" t="s">
        <v>84</v>
      </c>
      <c r="U74" s="217" t="s">
        <v>85</v>
      </c>
      <c r="V74" s="217" t="s">
        <v>91</v>
      </c>
      <c r="W74" s="217" t="s">
        <v>92</v>
      </c>
    </row>
    <row r="75" spans="1:23" x14ac:dyDescent="0.25">
      <c r="A75" s="217" t="s">
        <v>22</v>
      </c>
      <c r="B75" s="217" t="s">
        <v>23</v>
      </c>
      <c r="C75" s="217" t="s">
        <v>85</v>
      </c>
      <c r="D75" s="217" t="s">
        <v>84</v>
      </c>
      <c r="E75" s="217" t="s">
        <v>88</v>
      </c>
      <c r="F75" s="217" t="s">
        <v>89</v>
      </c>
      <c r="G75" s="217" t="s">
        <v>106</v>
      </c>
      <c r="H75" s="217" t="s">
        <v>914</v>
      </c>
      <c r="I75" s="217" t="s">
        <v>29</v>
      </c>
      <c r="J75" s="217" t="s">
        <v>1855</v>
      </c>
      <c r="K75" s="217">
        <v>20</v>
      </c>
      <c r="L75" s="217">
        <v>127</v>
      </c>
      <c r="M75" s="217" t="s">
        <v>31</v>
      </c>
      <c r="N75" s="217" t="s">
        <v>32</v>
      </c>
      <c r="O75" s="217" t="s">
        <v>68</v>
      </c>
      <c r="P75" s="217" t="s">
        <v>34</v>
      </c>
      <c r="Q75" s="217" t="s">
        <v>35</v>
      </c>
      <c r="R75" s="217" t="s">
        <v>23</v>
      </c>
      <c r="S75" s="217" t="s">
        <v>22</v>
      </c>
      <c r="T75" s="217" t="s">
        <v>84</v>
      </c>
      <c r="U75" s="217" t="s">
        <v>85</v>
      </c>
      <c r="V75" s="217" t="s">
        <v>91</v>
      </c>
      <c r="W75" s="217" t="s">
        <v>92</v>
      </c>
    </row>
    <row r="76" spans="1:23" x14ac:dyDescent="0.25">
      <c r="A76" s="217" t="s">
        <v>22</v>
      </c>
      <c r="B76" s="217" t="s">
        <v>23</v>
      </c>
      <c r="C76" s="217" t="s">
        <v>85</v>
      </c>
      <c r="D76" s="217" t="s">
        <v>84</v>
      </c>
      <c r="E76" s="217" t="s">
        <v>88</v>
      </c>
      <c r="F76" s="217" t="s">
        <v>89</v>
      </c>
      <c r="G76" s="217" t="s">
        <v>106</v>
      </c>
      <c r="H76" s="217" t="s">
        <v>914</v>
      </c>
      <c r="I76" s="217" t="s">
        <v>29</v>
      </c>
      <c r="J76" s="217" t="s">
        <v>1856</v>
      </c>
      <c r="K76" s="217">
        <v>17</v>
      </c>
      <c r="L76" s="217">
        <v>92</v>
      </c>
      <c r="M76" s="217" t="s">
        <v>31</v>
      </c>
      <c r="N76" s="217" t="s">
        <v>32</v>
      </c>
      <c r="O76" s="217" t="s">
        <v>68</v>
      </c>
      <c r="P76" s="217" t="s">
        <v>34</v>
      </c>
      <c r="Q76" s="217" t="s">
        <v>35</v>
      </c>
      <c r="R76" s="217" t="s">
        <v>23</v>
      </c>
      <c r="S76" s="217" t="s">
        <v>22</v>
      </c>
      <c r="T76" s="217" t="s">
        <v>84</v>
      </c>
      <c r="U76" s="217" t="s">
        <v>85</v>
      </c>
      <c r="V76" s="217" t="s">
        <v>94</v>
      </c>
      <c r="W76" s="217" t="s">
        <v>95</v>
      </c>
    </row>
    <row r="77" spans="1:23" x14ac:dyDescent="0.25">
      <c r="A77" s="217" t="s">
        <v>22</v>
      </c>
      <c r="B77" s="217" t="s">
        <v>23</v>
      </c>
      <c r="C77" s="217" t="s">
        <v>85</v>
      </c>
      <c r="D77" s="217" t="s">
        <v>84</v>
      </c>
      <c r="E77" s="217" t="s">
        <v>88</v>
      </c>
      <c r="F77" s="217" t="s">
        <v>89</v>
      </c>
      <c r="G77" s="217" t="s">
        <v>106</v>
      </c>
      <c r="H77" s="217" t="s">
        <v>914</v>
      </c>
      <c r="I77" s="217" t="s">
        <v>29</v>
      </c>
      <c r="J77" s="217" t="s">
        <v>1857</v>
      </c>
      <c r="K77" s="217">
        <v>25</v>
      </c>
      <c r="L77" s="217">
        <v>112</v>
      </c>
      <c r="M77" s="217" t="s">
        <v>31</v>
      </c>
      <c r="N77" s="217" t="s">
        <v>32</v>
      </c>
      <c r="O77" s="217" t="s">
        <v>68</v>
      </c>
      <c r="P77" s="217" t="s">
        <v>34</v>
      </c>
      <c r="Q77" s="217" t="s">
        <v>35</v>
      </c>
      <c r="R77" s="217" t="s">
        <v>23</v>
      </c>
      <c r="S77" s="217" t="s">
        <v>22</v>
      </c>
      <c r="T77" s="217" t="s">
        <v>84</v>
      </c>
      <c r="U77" s="217" t="s">
        <v>85</v>
      </c>
      <c r="V77" s="217" t="s">
        <v>91</v>
      </c>
      <c r="W77" s="217" t="s">
        <v>92</v>
      </c>
    </row>
    <row r="78" spans="1:23" x14ac:dyDescent="0.25">
      <c r="A78" s="217" t="s">
        <v>22</v>
      </c>
      <c r="B78" s="217" t="s">
        <v>23</v>
      </c>
      <c r="C78" s="217" t="s">
        <v>85</v>
      </c>
      <c r="D78" s="217" t="s">
        <v>84</v>
      </c>
      <c r="E78" s="217" t="s">
        <v>88</v>
      </c>
      <c r="F78" s="217" t="s">
        <v>89</v>
      </c>
      <c r="G78" s="217" t="s">
        <v>107</v>
      </c>
      <c r="H78" s="217" t="s">
        <v>915</v>
      </c>
      <c r="I78" s="217" t="s">
        <v>29</v>
      </c>
      <c r="J78" s="217" t="s">
        <v>1855</v>
      </c>
      <c r="K78" s="217">
        <v>2</v>
      </c>
      <c r="L78" s="217">
        <v>28</v>
      </c>
      <c r="M78" s="217" t="s">
        <v>31</v>
      </c>
      <c r="N78" s="217" t="s">
        <v>32</v>
      </c>
      <c r="O78" s="217" t="s">
        <v>68</v>
      </c>
      <c r="P78" s="217" t="s">
        <v>34</v>
      </c>
      <c r="Q78" s="217" t="s">
        <v>35</v>
      </c>
      <c r="R78" s="217" t="s">
        <v>23</v>
      </c>
      <c r="S78" s="217" t="s">
        <v>22</v>
      </c>
      <c r="T78" s="217" t="s">
        <v>84</v>
      </c>
      <c r="U78" s="217" t="s">
        <v>85</v>
      </c>
      <c r="V78" s="217" t="s">
        <v>91</v>
      </c>
      <c r="W78" s="217" t="s">
        <v>92</v>
      </c>
    </row>
    <row r="79" spans="1:23" x14ac:dyDescent="0.25">
      <c r="A79" s="217" t="s">
        <v>22</v>
      </c>
      <c r="B79" s="217" t="s">
        <v>23</v>
      </c>
      <c r="C79" s="217" t="s">
        <v>85</v>
      </c>
      <c r="D79" s="217" t="s">
        <v>84</v>
      </c>
      <c r="E79" s="217" t="s">
        <v>88</v>
      </c>
      <c r="F79" s="217" t="s">
        <v>89</v>
      </c>
      <c r="G79" s="217" t="s">
        <v>107</v>
      </c>
      <c r="H79" s="217" t="s">
        <v>915</v>
      </c>
      <c r="I79" s="217" t="s">
        <v>29</v>
      </c>
      <c r="J79" s="217" t="s">
        <v>1856</v>
      </c>
      <c r="K79" s="217">
        <v>1</v>
      </c>
      <c r="L79" s="217">
        <v>12</v>
      </c>
      <c r="M79" s="217" t="s">
        <v>31</v>
      </c>
      <c r="N79" s="217" t="s">
        <v>32</v>
      </c>
      <c r="O79" s="217" t="s">
        <v>68</v>
      </c>
      <c r="P79" s="217" t="s">
        <v>34</v>
      </c>
      <c r="Q79" s="217" t="s">
        <v>35</v>
      </c>
      <c r="R79" s="217" t="s">
        <v>23</v>
      </c>
      <c r="S79" s="217" t="s">
        <v>22</v>
      </c>
      <c r="T79" s="217" t="s">
        <v>84</v>
      </c>
      <c r="U79" s="217" t="s">
        <v>85</v>
      </c>
      <c r="V79" s="217" t="s">
        <v>94</v>
      </c>
      <c r="W79" s="217" t="s">
        <v>95</v>
      </c>
    </row>
    <row r="80" spans="1:23" x14ac:dyDescent="0.25">
      <c r="A80" s="217" t="s">
        <v>22</v>
      </c>
      <c r="B80" s="217" t="s">
        <v>23</v>
      </c>
      <c r="C80" s="217" t="s">
        <v>85</v>
      </c>
      <c r="D80" s="217" t="s">
        <v>84</v>
      </c>
      <c r="E80" s="217" t="s">
        <v>88</v>
      </c>
      <c r="F80" s="217" t="s">
        <v>89</v>
      </c>
      <c r="G80" s="217" t="s">
        <v>766</v>
      </c>
      <c r="H80" s="217" t="s">
        <v>916</v>
      </c>
      <c r="I80" s="217" t="s">
        <v>29</v>
      </c>
      <c r="J80" s="217" t="s">
        <v>1858</v>
      </c>
      <c r="K80" s="217">
        <v>22</v>
      </c>
      <c r="L80" s="217">
        <v>126</v>
      </c>
      <c r="M80" s="217" t="s">
        <v>31</v>
      </c>
      <c r="N80" s="217" t="s">
        <v>32</v>
      </c>
      <c r="O80" s="217" t="s">
        <v>68</v>
      </c>
      <c r="P80" s="217" t="s">
        <v>34</v>
      </c>
      <c r="Q80" s="217" t="s">
        <v>35</v>
      </c>
      <c r="R80" s="217" t="s">
        <v>23</v>
      </c>
      <c r="S80" s="217" t="s">
        <v>22</v>
      </c>
      <c r="T80" s="217" t="s">
        <v>84</v>
      </c>
      <c r="U80" s="217" t="s">
        <v>85</v>
      </c>
      <c r="V80" s="217" t="s">
        <v>109</v>
      </c>
      <c r="W80" s="217" t="s">
        <v>110</v>
      </c>
    </row>
    <row r="81" spans="1:23" x14ac:dyDescent="0.25">
      <c r="A81" s="217" t="s">
        <v>22</v>
      </c>
      <c r="B81" s="217" t="s">
        <v>23</v>
      </c>
      <c r="C81" s="217" t="s">
        <v>85</v>
      </c>
      <c r="D81" s="217" t="s">
        <v>84</v>
      </c>
      <c r="E81" s="217" t="s">
        <v>88</v>
      </c>
      <c r="F81" s="217" t="s">
        <v>89</v>
      </c>
      <c r="G81" s="217" t="s">
        <v>669</v>
      </c>
      <c r="H81" s="217" t="s">
        <v>1558</v>
      </c>
      <c r="I81" s="217" t="s">
        <v>29</v>
      </c>
      <c r="J81" s="217" t="s">
        <v>1858</v>
      </c>
      <c r="K81" s="217">
        <v>1</v>
      </c>
      <c r="L81" s="217">
        <v>7</v>
      </c>
      <c r="M81" s="217" t="s">
        <v>31</v>
      </c>
      <c r="N81" s="217" t="s">
        <v>32</v>
      </c>
      <c r="O81" s="217" t="s">
        <v>68</v>
      </c>
      <c r="P81" s="217" t="s">
        <v>34</v>
      </c>
      <c r="Q81" s="217" t="s">
        <v>35</v>
      </c>
      <c r="R81" s="217" t="s">
        <v>23</v>
      </c>
      <c r="S81" s="217" t="s">
        <v>22</v>
      </c>
      <c r="T81" s="217" t="s">
        <v>84</v>
      </c>
      <c r="U81" s="217" t="s">
        <v>85</v>
      </c>
      <c r="V81" s="217" t="s">
        <v>94</v>
      </c>
      <c r="W81" s="217" t="s">
        <v>95</v>
      </c>
    </row>
    <row r="82" spans="1:23" x14ac:dyDescent="0.25">
      <c r="A82" s="217" t="s">
        <v>22</v>
      </c>
      <c r="B82" s="217" t="s">
        <v>23</v>
      </c>
      <c r="C82" s="217" t="s">
        <v>85</v>
      </c>
      <c r="D82" s="217" t="s">
        <v>84</v>
      </c>
      <c r="E82" s="217" t="s">
        <v>88</v>
      </c>
      <c r="F82" s="217" t="s">
        <v>89</v>
      </c>
      <c r="G82" s="217" t="s">
        <v>1809</v>
      </c>
      <c r="H82" s="217" t="s">
        <v>1808</v>
      </c>
      <c r="I82" s="217" t="s">
        <v>29</v>
      </c>
      <c r="J82" s="217" t="s">
        <v>1857</v>
      </c>
      <c r="K82" s="217">
        <v>2</v>
      </c>
      <c r="L82" s="217">
        <v>8</v>
      </c>
      <c r="M82" s="217" t="s">
        <v>31</v>
      </c>
      <c r="N82" s="217" t="s">
        <v>32</v>
      </c>
      <c r="O82" s="217" t="s">
        <v>68</v>
      </c>
      <c r="P82" s="217" t="s">
        <v>34</v>
      </c>
      <c r="Q82" s="217" t="s">
        <v>35</v>
      </c>
      <c r="R82" s="217" t="s">
        <v>23</v>
      </c>
      <c r="S82" s="217" t="s">
        <v>22</v>
      </c>
      <c r="T82" s="217" t="s">
        <v>84</v>
      </c>
      <c r="U82" s="217" t="s">
        <v>85</v>
      </c>
      <c r="V82" s="217" t="s">
        <v>91</v>
      </c>
      <c r="W82" s="217" t="s">
        <v>92</v>
      </c>
    </row>
    <row r="83" spans="1:23" x14ac:dyDescent="0.25">
      <c r="A83" s="217" t="s">
        <v>22</v>
      </c>
      <c r="B83" s="217" t="s">
        <v>23</v>
      </c>
      <c r="C83" s="217" t="s">
        <v>85</v>
      </c>
      <c r="D83" s="217" t="s">
        <v>84</v>
      </c>
      <c r="E83" s="217" t="s">
        <v>88</v>
      </c>
      <c r="F83" s="217" t="s">
        <v>89</v>
      </c>
      <c r="G83" s="217" t="s">
        <v>1809</v>
      </c>
      <c r="H83" s="217" t="s">
        <v>1808</v>
      </c>
      <c r="I83" s="217" t="s">
        <v>29</v>
      </c>
      <c r="J83" s="217" t="s">
        <v>1858</v>
      </c>
      <c r="K83" s="217">
        <v>8</v>
      </c>
      <c r="L83" s="217">
        <v>36</v>
      </c>
      <c r="M83" s="217" t="s">
        <v>31</v>
      </c>
      <c r="N83" s="217" t="s">
        <v>32</v>
      </c>
      <c r="O83" s="217" t="s">
        <v>68</v>
      </c>
      <c r="P83" s="217" t="s">
        <v>34</v>
      </c>
      <c r="Q83" s="217" t="s">
        <v>35</v>
      </c>
      <c r="R83" s="217" t="s">
        <v>23</v>
      </c>
      <c r="S83" s="217" t="s">
        <v>22</v>
      </c>
      <c r="T83" s="217" t="s">
        <v>84</v>
      </c>
      <c r="U83" s="217" t="s">
        <v>85</v>
      </c>
      <c r="V83" s="217" t="s">
        <v>91</v>
      </c>
      <c r="W83" s="217" t="s">
        <v>92</v>
      </c>
    </row>
    <row r="84" spans="1:23" x14ac:dyDescent="0.25">
      <c r="A84" s="217" t="s">
        <v>22</v>
      </c>
      <c r="B84" s="217" t="s">
        <v>23</v>
      </c>
      <c r="C84" s="217" t="s">
        <v>85</v>
      </c>
      <c r="D84" s="217" t="s">
        <v>84</v>
      </c>
      <c r="E84" s="217" t="s">
        <v>88</v>
      </c>
      <c r="F84" s="217" t="s">
        <v>89</v>
      </c>
      <c r="G84" s="217" t="s">
        <v>108</v>
      </c>
      <c r="H84" s="217" t="s">
        <v>917</v>
      </c>
      <c r="I84" s="217" t="s">
        <v>29</v>
      </c>
      <c r="J84" s="217" t="s">
        <v>1856</v>
      </c>
      <c r="K84" s="217">
        <v>1</v>
      </c>
      <c r="L84" s="217">
        <v>4</v>
      </c>
      <c r="M84" s="217" t="s">
        <v>31</v>
      </c>
      <c r="N84" s="217" t="s">
        <v>32</v>
      </c>
      <c r="O84" s="217" t="s">
        <v>68</v>
      </c>
      <c r="P84" s="217" t="s">
        <v>34</v>
      </c>
      <c r="Q84" s="217" t="s">
        <v>35</v>
      </c>
      <c r="R84" s="217" t="s">
        <v>23</v>
      </c>
      <c r="S84" s="217" t="s">
        <v>22</v>
      </c>
      <c r="T84" s="217" t="s">
        <v>84</v>
      </c>
      <c r="U84" s="217" t="s">
        <v>85</v>
      </c>
      <c r="V84" s="217" t="s">
        <v>109</v>
      </c>
      <c r="W84" s="217" t="s">
        <v>110</v>
      </c>
    </row>
    <row r="85" spans="1:23" x14ac:dyDescent="0.25">
      <c r="A85" s="217" t="s">
        <v>22</v>
      </c>
      <c r="B85" s="217" t="s">
        <v>23</v>
      </c>
      <c r="C85" s="217" t="s">
        <v>85</v>
      </c>
      <c r="D85" s="217" t="s">
        <v>84</v>
      </c>
      <c r="E85" s="217" t="s">
        <v>88</v>
      </c>
      <c r="F85" s="217" t="s">
        <v>89</v>
      </c>
      <c r="G85" s="217" t="s">
        <v>767</v>
      </c>
      <c r="H85" s="217" t="s">
        <v>918</v>
      </c>
      <c r="I85" s="217" t="s">
        <v>29</v>
      </c>
      <c r="J85" s="217" t="s">
        <v>1857</v>
      </c>
      <c r="K85" s="217">
        <v>5</v>
      </c>
      <c r="L85" s="217">
        <v>22</v>
      </c>
      <c r="M85" s="217" t="s">
        <v>31</v>
      </c>
      <c r="N85" s="217" t="s">
        <v>32</v>
      </c>
      <c r="O85" s="217" t="s">
        <v>68</v>
      </c>
      <c r="P85" s="217" t="s">
        <v>34</v>
      </c>
      <c r="Q85" s="217" t="s">
        <v>35</v>
      </c>
      <c r="R85" s="217" t="s">
        <v>23</v>
      </c>
      <c r="S85" s="217" t="s">
        <v>22</v>
      </c>
      <c r="T85" s="217" t="s">
        <v>84</v>
      </c>
      <c r="U85" s="217" t="s">
        <v>85</v>
      </c>
      <c r="V85" s="217" t="s">
        <v>91</v>
      </c>
      <c r="W85" s="217" t="s">
        <v>92</v>
      </c>
    </row>
    <row r="86" spans="1:23" x14ac:dyDescent="0.25">
      <c r="A86" s="217" t="s">
        <v>22</v>
      </c>
      <c r="B86" s="217" t="s">
        <v>23</v>
      </c>
      <c r="C86" s="217" t="s">
        <v>85</v>
      </c>
      <c r="D86" s="217" t="s">
        <v>84</v>
      </c>
      <c r="E86" s="217" t="s">
        <v>88</v>
      </c>
      <c r="F86" s="217" t="s">
        <v>89</v>
      </c>
      <c r="G86" s="217" t="s">
        <v>767</v>
      </c>
      <c r="H86" s="217" t="s">
        <v>918</v>
      </c>
      <c r="I86" s="217" t="s">
        <v>29</v>
      </c>
      <c r="J86" s="217" t="s">
        <v>1858</v>
      </c>
      <c r="K86" s="217">
        <v>3</v>
      </c>
      <c r="L86" s="217">
        <v>16</v>
      </c>
      <c r="M86" s="217" t="s">
        <v>99</v>
      </c>
      <c r="N86" s="217" t="s">
        <v>32</v>
      </c>
      <c r="O86" s="217" t="s">
        <v>100</v>
      </c>
      <c r="P86" s="217" t="s">
        <v>34</v>
      </c>
      <c r="Q86" s="217" t="s">
        <v>35</v>
      </c>
      <c r="R86" s="217" t="s">
        <v>23</v>
      </c>
      <c r="S86" s="217" t="s">
        <v>22</v>
      </c>
      <c r="T86" s="217" t="s">
        <v>84</v>
      </c>
      <c r="U86" s="217" t="s">
        <v>85</v>
      </c>
      <c r="V86" s="217" t="s">
        <v>89</v>
      </c>
      <c r="W86" s="217" t="s">
        <v>88</v>
      </c>
    </row>
    <row r="87" spans="1:23" x14ac:dyDescent="0.25">
      <c r="A87" s="217" t="s">
        <v>22</v>
      </c>
      <c r="B87" s="217" t="s">
        <v>23</v>
      </c>
      <c r="C87" s="217" t="s">
        <v>85</v>
      </c>
      <c r="D87" s="217" t="s">
        <v>84</v>
      </c>
      <c r="E87" s="217" t="s">
        <v>88</v>
      </c>
      <c r="F87" s="217" t="s">
        <v>89</v>
      </c>
      <c r="G87" s="217" t="s">
        <v>111</v>
      </c>
      <c r="H87" s="217" t="s">
        <v>919</v>
      </c>
      <c r="I87" s="217" t="s">
        <v>29</v>
      </c>
      <c r="J87" s="217" t="s">
        <v>1855</v>
      </c>
      <c r="K87" s="217">
        <v>5</v>
      </c>
      <c r="L87" s="217">
        <v>36</v>
      </c>
      <c r="M87" s="217" t="s">
        <v>31</v>
      </c>
      <c r="N87" s="217" t="s">
        <v>32</v>
      </c>
      <c r="O87" s="217" t="s">
        <v>68</v>
      </c>
      <c r="P87" s="217" t="s">
        <v>34</v>
      </c>
      <c r="Q87" s="217" t="s">
        <v>35</v>
      </c>
      <c r="R87" s="217" t="s">
        <v>23</v>
      </c>
      <c r="S87" s="217" t="s">
        <v>22</v>
      </c>
      <c r="T87" s="217" t="s">
        <v>84</v>
      </c>
      <c r="U87" s="217" t="s">
        <v>85</v>
      </c>
      <c r="V87" s="217" t="s">
        <v>97</v>
      </c>
      <c r="W87" s="217" t="s">
        <v>98</v>
      </c>
    </row>
    <row r="88" spans="1:23" x14ac:dyDescent="0.25">
      <c r="A88" s="217" t="s">
        <v>22</v>
      </c>
      <c r="B88" s="217" t="s">
        <v>23</v>
      </c>
      <c r="C88" s="217" t="s">
        <v>85</v>
      </c>
      <c r="D88" s="217" t="s">
        <v>84</v>
      </c>
      <c r="E88" s="217" t="s">
        <v>88</v>
      </c>
      <c r="F88" s="217" t="s">
        <v>89</v>
      </c>
      <c r="G88" s="217" t="s">
        <v>111</v>
      </c>
      <c r="H88" s="217" t="s">
        <v>919</v>
      </c>
      <c r="I88" s="217" t="s">
        <v>29</v>
      </c>
      <c r="J88" s="217" t="s">
        <v>1856</v>
      </c>
      <c r="K88" s="217">
        <v>6</v>
      </c>
      <c r="L88" s="217">
        <v>45</v>
      </c>
      <c r="M88" s="217" t="s">
        <v>31</v>
      </c>
      <c r="N88" s="217" t="s">
        <v>32</v>
      </c>
      <c r="O88" s="217" t="s">
        <v>68</v>
      </c>
      <c r="P88" s="217" t="s">
        <v>34</v>
      </c>
      <c r="Q88" s="217" t="s">
        <v>35</v>
      </c>
      <c r="R88" s="217" t="s">
        <v>23</v>
      </c>
      <c r="S88" s="217" t="s">
        <v>22</v>
      </c>
      <c r="T88" s="217" t="s">
        <v>84</v>
      </c>
      <c r="U88" s="217" t="s">
        <v>85</v>
      </c>
      <c r="V88" s="217" t="s">
        <v>91</v>
      </c>
      <c r="W88" s="217" t="s">
        <v>92</v>
      </c>
    </row>
    <row r="89" spans="1:23" x14ac:dyDescent="0.25">
      <c r="A89" s="217" t="s">
        <v>22</v>
      </c>
      <c r="B89" s="217" t="s">
        <v>23</v>
      </c>
      <c r="C89" s="217" t="s">
        <v>85</v>
      </c>
      <c r="D89" s="217" t="s">
        <v>84</v>
      </c>
      <c r="E89" s="217" t="s">
        <v>88</v>
      </c>
      <c r="F89" s="217" t="s">
        <v>89</v>
      </c>
      <c r="G89" s="217" t="s">
        <v>111</v>
      </c>
      <c r="H89" s="217" t="s">
        <v>919</v>
      </c>
      <c r="I89" s="217" t="s">
        <v>29</v>
      </c>
      <c r="J89" s="217" t="s">
        <v>1857</v>
      </c>
      <c r="K89" s="217">
        <v>5</v>
      </c>
      <c r="L89" s="217">
        <v>31</v>
      </c>
      <c r="M89" s="217" t="s">
        <v>31</v>
      </c>
      <c r="N89" s="217" t="s">
        <v>32</v>
      </c>
      <c r="O89" s="217" t="s">
        <v>68</v>
      </c>
      <c r="P89" s="217" t="s">
        <v>34</v>
      </c>
      <c r="Q89" s="217" t="s">
        <v>35</v>
      </c>
      <c r="R89" s="217" t="s">
        <v>23</v>
      </c>
      <c r="S89" s="217" t="s">
        <v>22</v>
      </c>
      <c r="T89" s="217" t="s">
        <v>84</v>
      </c>
      <c r="U89" s="217" t="s">
        <v>85</v>
      </c>
      <c r="V89" s="217" t="s">
        <v>91</v>
      </c>
      <c r="W89" s="217" t="s">
        <v>92</v>
      </c>
    </row>
    <row r="90" spans="1:23" x14ac:dyDescent="0.25">
      <c r="A90" s="217" t="s">
        <v>22</v>
      </c>
      <c r="B90" s="217" t="s">
        <v>23</v>
      </c>
      <c r="C90" s="217" t="s">
        <v>85</v>
      </c>
      <c r="D90" s="217" t="s">
        <v>84</v>
      </c>
      <c r="E90" s="217" t="s">
        <v>95</v>
      </c>
      <c r="F90" s="217" t="s">
        <v>94</v>
      </c>
      <c r="G90" s="217" t="s">
        <v>112</v>
      </c>
      <c r="H90" s="217" t="s">
        <v>920</v>
      </c>
      <c r="I90" s="217" t="s">
        <v>29</v>
      </c>
      <c r="J90" s="217" t="s">
        <v>1856</v>
      </c>
      <c r="K90" s="217">
        <v>12</v>
      </c>
      <c r="L90" s="217">
        <v>59</v>
      </c>
      <c r="M90" s="217" t="s">
        <v>31</v>
      </c>
      <c r="N90" s="217" t="s">
        <v>32</v>
      </c>
      <c r="O90" s="217" t="s">
        <v>68</v>
      </c>
      <c r="P90" s="217" t="s">
        <v>34</v>
      </c>
      <c r="Q90" s="217" t="s">
        <v>35</v>
      </c>
      <c r="R90" s="217" t="s">
        <v>23</v>
      </c>
      <c r="S90" s="217" t="s">
        <v>22</v>
      </c>
      <c r="T90" s="217" t="s">
        <v>84</v>
      </c>
      <c r="U90" s="217" t="s">
        <v>85</v>
      </c>
      <c r="V90" s="217" t="s">
        <v>109</v>
      </c>
      <c r="W90" s="217" t="s">
        <v>110</v>
      </c>
    </row>
    <row r="91" spans="1:23" x14ac:dyDescent="0.25">
      <c r="A91" s="217" t="s">
        <v>22</v>
      </c>
      <c r="B91" s="217" t="s">
        <v>23</v>
      </c>
      <c r="C91" s="217" t="s">
        <v>85</v>
      </c>
      <c r="D91" s="217" t="s">
        <v>84</v>
      </c>
      <c r="E91" s="217" t="s">
        <v>95</v>
      </c>
      <c r="F91" s="217" t="s">
        <v>94</v>
      </c>
      <c r="G91" s="217" t="s">
        <v>112</v>
      </c>
      <c r="H91" s="217" t="s">
        <v>920</v>
      </c>
      <c r="I91" s="217" t="s">
        <v>29</v>
      </c>
      <c r="J91" s="217" t="s">
        <v>1857</v>
      </c>
      <c r="K91" s="217">
        <v>8</v>
      </c>
      <c r="L91" s="217">
        <v>41</v>
      </c>
      <c r="M91" s="217" t="s">
        <v>31</v>
      </c>
      <c r="N91" s="217" t="s">
        <v>32</v>
      </c>
      <c r="O91" s="217" t="s">
        <v>100</v>
      </c>
      <c r="P91" s="217" t="s">
        <v>34</v>
      </c>
      <c r="Q91" s="217" t="s">
        <v>35</v>
      </c>
      <c r="R91" s="217" t="s">
        <v>23</v>
      </c>
      <c r="S91" s="217" t="s">
        <v>22</v>
      </c>
      <c r="T91" s="217" t="s">
        <v>84</v>
      </c>
      <c r="U91" s="217" t="s">
        <v>85</v>
      </c>
      <c r="V91" s="217" t="s">
        <v>94</v>
      </c>
      <c r="W91" s="217" t="s">
        <v>95</v>
      </c>
    </row>
    <row r="92" spans="1:23" x14ac:dyDescent="0.25">
      <c r="A92" s="217" t="s">
        <v>22</v>
      </c>
      <c r="B92" s="217" t="s">
        <v>23</v>
      </c>
      <c r="C92" s="217" t="s">
        <v>85</v>
      </c>
      <c r="D92" s="217" t="s">
        <v>84</v>
      </c>
      <c r="E92" s="217" t="s">
        <v>95</v>
      </c>
      <c r="F92" s="217" t="s">
        <v>94</v>
      </c>
      <c r="G92" s="217" t="s">
        <v>112</v>
      </c>
      <c r="H92" s="217" t="s">
        <v>920</v>
      </c>
      <c r="I92" s="217" t="s">
        <v>29</v>
      </c>
      <c r="J92" s="217" t="s">
        <v>1858</v>
      </c>
      <c r="K92" s="217">
        <v>13</v>
      </c>
      <c r="L92" s="217">
        <v>92</v>
      </c>
      <c r="M92" s="217" t="s">
        <v>31</v>
      </c>
      <c r="N92" s="217" t="s">
        <v>32</v>
      </c>
      <c r="O92" s="217" t="s">
        <v>68</v>
      </c>
      <c r="P92" s="217" t="s">
        <v>34</v>
      </c>
      <c r="Q92" s="217" t="s">
        <v>35</v>
      </c>
      <c r="R92" s="217" t="s">
        <v>23</v>
      </c>
      <c r="S92" s="217" t="s">
        <v>22</v>
      </c>
      <c r="T92" s="217" t="s">
        <v>84</v>
      </c>
      <c r="U92" s="217" t="s">
        <v>85</v>
      </c>
      <c r="V92" s="217" t="s">
        <v>109</v>
      </c>
      <c r="W92" s="217" t="s">
        <v>110</v>
      </c>
    </row>
    <row r="93" spans="1:23" x14ac:dyDescent="0.25">
      <c r="A93" s="217" t="s">
        <v>22</v>
      </c>
      <c r="B93" s="217" t="s">
        <v>23</v>
      </c>
      <c r="C93" s="217" t="s">
        <v>85</v>
      </c>
      <c r="D93" s="217" t="s">
        <v>84</v>
      </c>
      <c r="E93" s="217" t="s">
        <v>95</v>
      </c>
      <c r="F93" s="217" t="s">
        <v>94</v>
      </c>
      <c r="G93" s="217" t="s">
        <v>113</v>
      </c>
      <c r="H93" s="217" t="s">
        <v>921</v>
      </c>
      <c r="I93" s="217" t="s">
        <v>29</v>
      </c>
      <c r="J93" s="217" t="s">
        <v>1856</v>
      </c>
      <c r="K93" s="217">
        <v>33</v>
      </c>
      <c r="L93" s="217">
        <v>204</v>
      </c>
      <c r="M93" s="217" t="s">
        <v>31</v>
      </c>
      <c r="N93" s="217" t="s">
        <v>32</v>
      </c>
      <c r="O93" s="217" t="s">
        <v>68</v>
      </c>
      <c r="P93" s="217" t="s">
        <v>34</v>
      </c>
      <c r="Q93" s="217" t="s">
        <v>35</v>
      </c>
      <c r="R93" s="217" t="s">
        <v>23</v>
      </c>
      <c r="S93" s="217" t="s">
        <v>22</v>
      </c>
      <c r="T93" s="217" t="s">
        <v>84</v>
      </c>
      <c r="U93" s="217" t="s">
        <v>85</v>
      </c>
      <c r="V93" s="217" t="s">
        <v>109</v>
      </c>
      <c r="W93" s="217" t="s">
        <v>110</v>
      </c>
    </row>
    <row r="94" spans="1:23" x14ac:dyDescent="0.25">
      <c r="A94" s="217" t="s">
        <v>22</v>
      </c>
      <c r="B94" s="217" t="s">
        <v>23</v>
      </c>
      <c r="C94" s="217" t="s">
        <v>85</v>
      </c>
      <c r="D94" s="217" t="s">
        <v>84</v>
      </c>
      <c r="E94" s="217" t="s">
        <v>95</v>
      </c>
      <c r="F94" s="217" t="s">
        <v>94</v>
      </c>
      <c r="G94" s="217" t="s">
        <v>113</v>
      </c>
      <c r="H94" s="217" t="s">
        <v>921</v>
      </c>
      <c r="I94" s="217" t="s">
        <v>29</v>
      </c>
      <c r="J94" s="217" t="s">
        <v>1857</v>
      </c>
      <c r="K94" s="217">
        <v>7</v>
      </c>
      <c r="L94" s="217">
        <v>43</v>
      </c>
      <c r="M94" s="217" t="s">
        <v>31</v>
      </c>
      <c r="N94" s="217" t="s">
        <v>32</v>
      </c>
      <c r="O94" s="217" t="s">
        <v>68</v>
      </c>
      <c r="P94" s="217" t="s">
        <v>34</v>
      </c>
      <c r="Q94" s="217" t="s">
        <v>35</v>
      </c>
      <c r="R94" s="217" t="s">
        <v>23</v>
      </c>
      <c r="S94" s="217" t="s">
        <v>22</v>
      </c>
      <c r="T94" s="217" t="s">
        <v>84</v>
      </c>
      <c r="U94" s="217" t="s">
        <v>85</v>
      </c>
      <c r="V94" s="217" t="s">
        <v>109</v>
      </c>
      <c r="W94" s="217" t="s">
        <v>110</v>
      </c>
    </row>
    <row r="95" spans="1:23" x14ac:dyDescent="0.25">
      <c r="A95" s="217" t="s">
        <v>22</v>
      </c>
      <c r="B95" s="217" t="s">
        <v>23</v>
      </c>
      <c r="C95" s="217" t="s">
        <v>85</v>
      </c>
      <c r="D95" s="217" t="s">
        <v>84</v>
      </c>
      <c r="E95" s="217" t="s">
        <v>95</v>
      </c>
      <c r="F95" s="217" t="s">
        <v>94</v>
      </c>
      <c r="G95" s="217" t="s">
        <v>114</v>
      </c>
      <c r="H95" s="217" t="s">
        <v>922</v>
      </c>
      <c r="I95" s="217" t="s">
        <v>29</v>
      </c>
      <c r="J95" s="217" t="s">
        <v>1857</v>
      </c>
      <c r="K95" s="217">
        <v>7</v>
      </c>
      <c r="L95" s="217">
        <v>49</v>
      </c>
      <c r="M95" s="217" t="s">
        <v>31</v>
      </c>
      <c r="N95" s="217" t="s">
        <v>32</v>
      </c>
      <c r="O95" s="217" t="s">
        <v>100</v>
      </c>
      <c r="P95" s="217" t="s">
        <v>34</v>
      </c>
      <c r="Q95" s="217" t="s">
        <v>35</v>
      </c>
      <c r="R95" s="217" t="s">
        <v>23</v>
      </c>
      <c r="S95" s="217" t="s">
        <v>22</v>
      </c>
      <c r="T95" s="217" t="s">
        <v>84</v>
      </c>
      <c r="U95" s="217" t="s">
        <v>85</v>
      </c>
      <c r="V95" s="217" t="s">
        <v>94</v>
      </c>
      <c r="W95" s="217" t="s">
        <v>95</v>
      </c>
    </row>
    <row r="96" spans="1:23" x14ac:dyDescent="0.25">
      <c r="A96" s="217" t="s">
        <v>22</v>
      </c>
      <c r="B96" s="217" t="s">
        <v>23</v>
      </c>
      <c r="C96" s="217" t="s">
        <v>85</v>
      </c>
      <c r="D96" s="217" t="s">
        <v>84</v>
      </c>
      <c r="E96" s="217" t="s">
        <v>95</v>
      </c>
      <c r="F96" s="217" t="s">
        <v>94</v>
      </c>
      <c r="G96" s="217" t="s">
        <v>114</v>
      </c>
      <c r="H96" s="217" t="s">
        <v>922</v>
      </c>
      <c r="I96" s="217" t="s">
        <v>29</v>
      </c>
      <c r="J96" s="217" t="s">
        <v>1858</v>
      </c>
      <c r="K96" s="217">
        <v>9</v>
      </c>
      <c r="L96" s="217">
        <v>63</v>
      </c>
      <c r="M96" s="217" t="s">
        <v>31</v>
      </c>
      <c r="N96" s="217" t="s">
        <v>32</v>
      </c>
      <c r="O96" s="217" t="s">
        <v>68</v>
      </c>
      <c r="P96" s="217" t="s">
        <v>34</v>
      </c>
      <c r="Q96" s="217" t="s">
        <v>35</v>
      </c>
      <c r="R96" s="217" t="s">
        <v>23</v>
      </c>
      <c r="S96" s="217" t="s">
        <v>22</v>
      </c>
      <c r="T96" s="217" t="s">
        <v>84</v>
      </c>
      <c r="U96" s="217" t="s">
        <v>85</v>
      </c>
      <c r="V96" s="217" t="s">
        <v>109</v>
      </c>
      <c r="W96" s="217" t="s">
        <v>110</v>
      </c>
    </row>
    <row r="97" spans="1:23" x14ac:dyDescent="0.25">
      <c r="A97" s="217" t="s">
        <v>22</v>
      </c>
      <c r="B97" s="217" t="s">
        <v>23</v>
      </c>
      <c r="C97" s="217" t="s">
        <v>85</v>
      </c>
      <c r="D97" s="217" t="s">
        <v>84</v>
      </c>
      <c r="E97" s="217" t="s">
        <v>95</v>
      </c>
      <c r="F97" s="217" t="s">
        <v>94</v>
      </c>
      <c r="G97" s="217" t="s">
        <v>115</v>
      </c>
      <c r="H97" s="217" t="s">
        <v>923</v>
      </c>
      <c r="I97" s="217" t="s">
        <v>29</v>
      </c>
      <c r="J97" s="217" t="s">
        <v>1854</v>
      </c>
      <c r="K97" s="217">
        <v>7</v>
      </c>
      <c r="L97" s="217">
        <v>42</v>
      </c>
      <c r="M97" s="217" t="s">
        <v>31</v>
      </c>
      <c r="N97" s="217" t="s">
        <v>32</v>
      </c>
      <c r="O97" s="217" t="s">
        <v>68</v>
      </c>
      <c r="P97" s="217" t="s">
        <v>34</v>
      </c>
      <c r="Q97" s="217" t="s">
        <v>35</v>
      </c>
      <c r="R97" s="217" t="s">
        <v>23</v>
      </c>
      <c r="S97" s="217" t="s">
        <v>22</v>
      </c>
      <c r="T97" s="217" t="s">
        <v>84</v>
      </c>
      <c r="U97" s="217" t="s">
        <v>85</v>
      </c>
      <c r="V97" s="217" t="s">
        <v>91</v>
      </c>
      <c r="W97" s="217" t="s">
        <v>92</v>
      </c>
    </row>
    <row r="98" spans="1:23" x14ac:dyDescent="0.25">
      <c r="A98" s="217" t="s">
        <v>22</v>
      </c>
      <c r="B98" s="217" t="s">
        <v>23</v>
      </c>
      <c r="C98" s="217" t="s">
        <v>85</v>
      </c>
      <c r="D98" s="217" t="s">
        <v>84</v>
      </c>
      <c r="E98" s="217" t="s">
        <v>95</v>
      </c>
      <c r="F98" s="217" t="s">
        <v>94</v>
      </c>
      <c r="G98" s="217" t="s">
        <v>115</v>
      </c>
      <c r="H98" s="217" t="s">
        <v>923</v>
      </c>
      <c r="I98" s="217" t="s">
        <v>29</v>
      </c>
      <c r="J98" s="217" t="s">
        <v>1855</v>
      </c>
      <c r="K98" s="217">
        <v>21</v>
      </c>
      <c r="L98" s="217">
        <v>132</v>
      </c>
      <c r="M98" s="217" t="s">
        <v>31</v>
      </c>
      <c r="N98" s="217" t="s">
        <v>32</v>
      </c>
      <c r="O98" s="217" t="s">
        <v>68</v>
      </c>
      <c r="P98" s="217" t="s">
        <v>34</v>
      </c>
      <c r="Q98" s="217" t="s">
        <v>35</v>
      </c>
      <c r="R98" s="217" t="s">
        <v>23</v>
      </c>
      <c r="S98" s="217" t="s">
        <v>22</v>
      </c>
      <c r="T98" s="217" t="s">
        <v>84</v>
      </c>
      <c r="U98" s="217" t="s">
        <v>85</v>
      </c>
      <c r="V98" s="217" t="s">
        <v>91</v>
      </c>
      <c r="W98" s="217" t="s">
        <v>92</v>
      </c>
    </row>
    <row r="99" spans="1:23" x14ac:dyDescent="0.25">
      <c r="A99" s="217" t="s">
        <v>22</v>
      </c>
      <c r="B99" s="217" t="s">
        <v>23</v>
      </c>
      <c r="C99" s="217" t="s">
        <v>85</v>
      </c>
      <c r="D99" s="217" t="s">
        <v>84</v>
      </c>
      <c r="E99" s="217" t="s">
        <v>95</v>
      </c>
      <c r="F99" s="217" t="s">
        <v>94</v>
      </c>
      <c r="G99" s="217" t="s">
        <v>115</v>
      </c>
      <c r="H99" s="217" t="s">
        <v>923</v>
      </c>
      <c r="I99" s="217" t="s">
        <v>29</v>
      </c>
      <c r="J99" s="217" t="s">
        <v>1856</v>
      </c>
      <c r="K99" s="217">
        <v>49</v>
      </c>
      <c r="L99" s="217">
        <v>317</v>
      </c>
      <c r="M99" s="217" t="s">
        <v>31</v>
      </c>
      <c r="N99" s="217" t="s">
        <v>32</v>
      </c>
      <c r="O99" s="217" t="s">
        <v>100</v>
      </c>
      <c r="P99" s="217" t="s">
        <v>34</v>
      </c>
      <c r="Q99" s="217" t="s">
        <v>35</v>
      </c>
      <c r="R99" s="217" t="s">
        <v>23</v>
      </c>
      <c r="S99" s="217" t="s">
        <v>22</v>
      </c>
      <c r="T99" s="217" t="s">
        <v>84</v>
      </c>
      <c r="U99" s="217" t="s">
        <v>85</v>
      </c>
      <c r="V99" s="217" t="s">
        <v>94</v>
      </c>
      <c r="W99" s="217" t="s">
        <v>95</v>
      </c>
    </row>
    <row r="100" spans="1:23" x14ac:dyDescent="0.25">
      <c r="A100" s="217" t="s">
        <v>22</v>
      </c>
      <c r="B100" s="217" t="s">
        <v>23</v>
      </c>
      <c r="C100" s="217" t="s">
        <v>85</v>
      </c>
      <c r="D100" s="217" t="s">
        <v>84</v>
      </c>
      <c r="E100" s="217" t="s">
        <v>95</v>
      </c>
      <c r="F100" s="217" t="s">
        <v>94</v>
      </c>
      <c r="G100" s="217" t="s">
        <v>115</v>
      </c>
      <c r="H100" s="217" t="s">
        <v>923</v>
      </c>
      <c r="I100" s="217" t="s">
        <v>29</v>
      </c>
      <c r="J100" s="217" t="s">
        <v>1857</v>
      </c>
      <c r="K100" s="217">
        <v>3</v>
      </c>
      <c r="L100" s="217">
        <v>18</v>
      </c>
      <c r="M100" s="217" t="s">
        <v>31</v>
      </c>
      <c r="N100" s="217" t="s">
        <v>32</v>
      </c>
      <c r="O100" s="217" t="s">
        <v>100</v>
      </c>
      <c r="P100" s="217" t="s">
        <v>34</v>
      </c>
      <c r="Q100" s="217" t="s">
        <v>35</v>
      </c>
      <c r="R100" s="217" t="s">
        <v>23</v>
      </c>
      <c r="S100" s="217" t="s">
        <v>22</v>
      </c>
      <c r="T100" s="217" t="s">
        <v>84</v>
      </c>
      <c r="U100" s="217" t="s">
        <v>85</v>
      </c>
      <c r="V100" s="217" t="s">
        <v>94</v>
      </c>
      <c r="W100" s="217" t="s">
        <v>95</v>
      </c>
    </row>
    <row r="101" spans="1:23" x14ac:dyDescent="0.25">
      <c r="A101" s="217" t="s">
        <v>22</v>
      </c>
      <c r="B101" s="217" t="s">
        <v>23</v>
      </c>
      <c r="C101" s="217" t="s">
        <v>85</v>
      </c>
      <c r="D101" s="217" t="s">
        <v>84</v>
      </c>
      <c r="E101" s="217" t="s">
        <v>95</v>
      </c>
      <c r="F101" s="217" t="s">
        <v>94</v>
      </c>
      <c r="G101" s="217" t="s">
        <v>116</v>
      </c>
      <c r="H101" s="217" t="s">
        <v>924</v>
      </c>
      <c r="I101" s="217" t="s">
        <v>29</v>
      </c>
      <c r="J101" s="217" t="s">
        <v>1856</v>
      </c>
      <c r="K101" s="217">
        <v>1</v>
      </c>
      <c r="L101" s="217">
        <v>7</v>
      </c>
      <c r="M101" s="217" t="s">
        <v>31</v>
      </c>
      <c r="N101" s="217" t="s">
        <v>32</v>
      </c>
      <c r="O101" s="217" t="s">
        <v>68</v>
      </c>
      <c r="P101" s="217" t="s">
        <v>34</v>
      </c>
      <c r="Q101" s="217" t="s">
        <v>35</v>
      </c>
      <c r="R101" s="217" t="s">
        <v>23</v>
      </c>
      <c r="S101" s="217" t="s">
        <v>22</v>
      </c>
      <c r="T101" s="217" t="s">
        <v>84</v>
      </c>
      <c r="U101" s="217" t="s">
        <v>85</v>
      </c>
      <c r="V101" s="217" t="s">
        <v>109</v>
      </c>
      <c r="W101" s="217" t="s">
        <v>110</v>
      </c>
    </row>
    <row r="102" spans="1:23" x14ac:dyDescent="0.25">
      <c r="A102" s="217" t="s">
        <v>22</v>
      </c>
      <c r="B102" s="217" t="s">
        <v>23</v>
      </c>
      <c r="C102" s="217" t="s">
        <v>85</v>
      </c>
      <c r="D102" s="217" t="s">
        <v>84</v>
      </c>
      <c r="E102" s="217" t="s">
        <v>95</v>
      </c>
      <c r="F102" s="217" t="s">
        <v>94</v>
      </c>
      <c r="G102" s="217" t="s">
        <v>116</v>
      </c>
      <c r="H102" s="217" t="s">
        <v>924</v>
      </c>
      <c r="I102" s="217" t="s">
        <v>29</v>
      </c>
      <c r="J102" s="217" t="s">
        <v>1857</v>
      </c>
      <c r="K102" s="217">
        <v>2</v>
      </c>
      <c r="L102" s="217">
        <v>14</v>
      </c>
      <c r="M102" s="217" t="s">
        <v>31</v>
      </c>
      <c r="N102" s="217" t="s">
        <v>32</v>
      </c>
      <c r="O102" s="217" t="s">
        <v>100</v>
      </c>
      <c r="P102" s="217" t="s">
        <v>34</v>
      </c>
      <c r="Q102" s="217" t="s">
        <v>35</v>
      </c>
      <c r="R102" s="217" t="s">
        <v>23</v>
      </c>
      <c r="S102" s="217" t="s">
        <v>22</v>
      </c>
      <c r="T102" s="217" t="s">
        <v>84</v>
      </c>
      <c r="U102" s="217" t="s">
        <v>85</v>
      </c>
      <c r="V102" s="217" t="s">
        <v>94</v>
      </c>
      <c r="W102" s="217" t="s">
        <v>95</v>
      </c>
    </row>
    <row r="103" spans="1:23" x14ac:dyDescent="0.25">
      <c r="A103" s="217" t="s">
        <v>22</v>
      </c>
      <c r="B103" s="217" t="s">
        <v>23</v>
      </c>
      <c r="C103" s="217" t="s">
        <v>85</v>
      </c>
      <c r="D103" s="217" t="s">
        <v>84</v>
      </c>
      <c r="E103" s="217" t="s">
        <v>95</v>
      </c>
      <c r="F103" s="217" t="s">
        <v>94</v>
      </c>
      <c r="G103" s="217" t="s">
        <v>670</v>
      </c>
      <c r="H103" s="217" t="s">
        <v>1668</v>
      </c>
      <c r="I103" s="217" t="s">
        <v>29</v>
      </c>
      <c r="J103" s="217" t="s">
        <v>1858</v>
      </c>
      <c r="K103" s="217">
        <v>7</v>
      </c>
      <c r="L103" s="217">
        <v>46</v>
      </c>
      <c r="M103" s="217" t="s">
        <v>31</v>
      </c>
      <c r="N103" s="217" t="s">
        <v>32</v>
      </c>
      <c r="O103" s="217" t="s">
        <v>68</v>
      </c>
      <c r="P103" s="217" t="s">
        <v>34</v>
      </c>
      <c r="Q103" s="217" t="s">
        <v>35</v>
      </c>
      <c r="R103" s="217" t="s">
        <v>23</v>
      </c>
      <c r="S103" s="217" t="s">
        <v>22</v>
      </c>
      <c r="T103" s="217" t="s">
        <v>84</v>
      </c>
      <c r="U103" s="217" t="s">
        <v>85</v>
      </c>
      <c r="V103" s="217" t="s">
        <v>109</v>
      </c>
      <c r="W103" s="217" t="s">
        <v>110</v>
      </c>
    </row>
    <row r="104" spans="1:23" x14ac:dyDescent="0.25">
      <c r="A104" s="217" t="s">
        <v>22</v>
      </c>
      <c r="B104" s="217" t="s">
        <v>23</v>
      </c>
      <c r="C104" s="217" t="s">
        <v>85</v>
      </c>
      <c r="D104" s="217" t="s">
        <v>84</v>
      </c>
      <c r="E104" s="217" t="s">
        <v>95</v>
      </c>
      <c r="F104" s="217" t="s">
        <v>94</v>
      </c>
      <c r="G104" s="217" t="s">
        <v>117</v>
      </c>
      <c r="H104" s="217" t="s">
        <v>925</v>
      </c>
      <c r="I104" s="217" t="s">
        <v>29</v>
      </c>
      <c r="J104" s="217" t="s">
        <v>1855</v>
      </c>
      <c r="K104" s="217">
        <v>7</v>
      </c>
      <c r="L104" s="217">
        <v>72</v>
      </c>
      <c r="M104" s="217" t="s">
        <v>31</v>
      </c>
      <c r="N104" s="217" t="s">
        <v>32</v>
      </c>
      <c r="O104" s="217" t="s">
        <v>68</v>
      </c>
      <c r="P104" s="217" t="s">
        <v>34</v>
      </c>
      <c r="Q104" s="217" t="s">
        <v>35</v>
      </c>
      <c r="R104" s="217" t="s">
        <v>23</v>
      </c>
      <c r="S104" s="217" t="s">
        <v>22</v>
      </c>
      <c r="T104" s="217" t="s">
        <v>84</v>
      </c>
      <c r="U104" s="217" t="s">
        <v>85</v>
      </c>
      <c r="V104" s="217" t="s">
        <v>91</v>
      </c>
      <c r="W104" s="217" t="s">
        <v>92</v>
      </c>
    </row>
    <row r="105" spans="1:23" x14ac:dyDescent="0.25">
      <c r="A105" s="217" t="s">
        <v>22</v>
      </c>
      <c r="B105" s="217" t="s">
        <v>23</v>
      </c>
      <c r="C105" s="217" t="s">
        <v>85</v>
      </c>
      <c r="D105" s="217" t="s">
        <v>84</v>
      </c>
      <c r="E105" s="217" t="s">
        <v>95</v>
      </c>
      <c r="F105" s="217" t="s">
        <v>94</v>
      </c>
      <c r="G105" s="217" t="s">
        <v>117</v>
      </c>
      <c r="H105" s="217" t="s">
        <v>925</v>
      </c>
      <c r="I105" s="217" t="s">
        <v>29</v>
      </c>
      <c r="J105" s="217" t="s">
        <v>1856</v>
      </c>
      <c r="K105" s="217">
        <v>7</v>
      </c>
      <c r="L105" s="217">
        <v>51</v>
      </c>
      <c r="M105" s="217" t="s">
        <v>31</v>
      </c>
      <c r="N105" s="217" t="s">
        <v>32</v>
      </c>
      <c r="O105" s="217" t="s">
        <v>68</v>
      </c>
      <c r="P105" s="217" t="s">
        <v>34</v>
      </c>
      <c r="Q105" s="217" t="s">
        <v>35</v>
      </c>
      <c r="R105" s="217" t="s">
        <v>23</v>
      </c>
      <c r="S105" s="217" t="s">
        <v>22</v>
      </c>
      <c r="T105" s="217" t="s">
        <v>84</v>
      </c>
      <c r="U105" s="217" t="s">
        <v>85</v>
      </c>
      <c r="V105" s="217" t="s">
        <v>109</v>
      </c>
      <c r="W105" s="217" t="s">
        <v>110</v>
      </c>
    </row>
    <row r="106" spans="1:23" x14ac:dyDescent="0.25">
      <c r="A106" s="217" t="s">
        <v>22</v>
      </c>
      <c r="B106" s="217" t="s">
        <v>23</v>
      </c>
      <c r="C106" s="217" t="s">
        <v>85</v>
      </c>
      <c r="D106" s="217" t="s">
        <v>84</v>
      </c>
      <c r="E106" s="217" t="s">
        <v>95</v>
      </c>
      <c r="F106" s="217" t="s">
        <v>94</v>
      </c>
      <c r="G106" s="217" t="s">
        <v>117</v>
      </c>
      <c r="H106" s="217" t="s">
        <v>925</v>
      </c>
      <c r="I106" s="217" t="s">
        <v>29</v>
      </c>
      <c r="J106" s="217" t="s">
        <v>1857</v>
      </c>
      <c r="K106" s="217">
        <v>10</v>
      </c>
      <c r="L106" s="217">
        <v>47</v>
      </c>
      <c r="M106" s="217" t="s">
        <v>31</v>
      </c>
      <c r="N106" s="217" t="s">
        <v>32</v>
      </c>
      <c r="O106" s="217" t="s">
        <v>100</v>
      </c>
      <c r="P106" s="217" t="s">
        <v>34</v>
      </c>
      <c r="Q106" s="217" t="s">
        <v>35</v>
      </c>
      <c r="R106" s="217" t="s">
        <v>23</v>
      </c>
      <c r="S106" s="217" t="s">
        <v>22</v>
      </c>
      <c r="T106" s="217" t="s">
        <v>84</v>
      </c>
      <c r="U106" s="217" t="s">
        <v>85</v>
      </c>
      <c r="V106" s="217" t="s">
        <v>94</v>
      </c>
      <c r="W106" s="217" t="s">
        <v>95</v>
      </c>
    </row>
    <row r="107" spans="1:23" x14ac:dyDescent="0.25">
      <c r="A107" s="217" t="s">
        <v>22</v>
      </c>
      <c r="B107" s="217" t="s">
        <v>23</v>
      </c>
      <c r="C107" s="217" t="s">
        <v>85</v>
      </c>
      <c r="D107" s="217" t="s">
        <v>84</v>
      </c>
      <c r="E107" s="217" t="s">
        <v>95</v>
      </c>
      <c r="F107" s="217" t="s">
        <v>94</v>
      </c>
      <c r="G107" s="217" t="s">
        <v>117</v>
      </c>
      <c r="H107" s="217" t="s">
        <v>925</v>
      </c>
      <c r="I107" s="217" t="s">
        <v>29</v>
      </c>
      <c r="J107" s="217" t="s">
        <v>1858</v>
      </c>
      <c r="K107" s="217">
        <v>3</v>
      </c>
      <c r="L107" s="217">
        <v>14</v>
      </c>
      <c r="M107" s="217" t="s">
        <v>31</v>
      </c>
      <c r="N107" s="217" t="s">
        <v>32</v>
      </c>
      <c r="O107" s="217" t="s">
        <v>68</v>
      </c>
      <c r="P107" s="217" t="s">
        <v>34</v>
      </c>
      <c r="Q107" s="217" t="s">
        <v>35</v>
      </c>
      <c r="R107" s="217" t="s">
        <v>23</v>
      </c>
      <c r="S107" s="217" t="s">
        <v>22</v>
      </c>
      <c r="T107" s="217" t="s">
        <v>84</v>
      </c>
      <c r="U107" s="217" t="s">
        <v>85</v>
      </c>
      <c r="V107" s="217" t="s">
        <v>109</v>
      </c>
      <c r="W107" s="217" t="s">
        <v>110</v>
      </c>
    </row>
    <row r="108" spans="1:23" x14ac:dyDescent="0.25">
      <c r="A108" s="217" t="s">
        <v>22</v>
      </c>
      <c r="B108" s="217" t="s">
        <v>23</v>
      </c>
      <c r="C108" s="217" t="s">
        <v>85</v>
      </c>
      <c r="D108" s="217" t="s">
        <v>84</v>
      </c>
      <c r="E108" s="217" t="s">
        <v>95</v>
      </c>
      <c r="F108" s="217" t="s">
        <v>94</v>
      </c>
      <c r="G108" s="217" t="s">
        <v>118</v>
      </c>
      <c r="H108" s="217" t="s">
        <v>926</v>
      </c>
      <c r="I108" s="217" t="s">
        <v>29</v>
      </c>
      <c r="J108" s="217" t="s">
        <v>1857</v>
      </c>
      <c r="K108" s="217">
        <v>1</v>
      </c>
      <c r="L108" s="217">
        <v>8</v>
      </c>
      <c r="M108" s="217" t="s">
        <v>31</v>
      </c>
      <c r="N108" s="217" t="s">
        <v>32</v>
      </c>
      <c r="O108" s="217" t="s">
        <v>68</v>
      </c>
      <c r="P108" s="217" t="s">
        <v>34</v>
      </c>
      <c r="Q108" s="217" t="s">
        <v>35</v>
      </c>
      <c r="R108" s="217" t="s">
        <v>23</v>
      </c>
      <c r="S108" s="217" t="s">
        <v>22</v>
      </c>
      <c r="T108" s="217" t="s">
        <v>84</v>
      </c>
      <c r="U108" s="217" t="s">
        <v>85</v>
      </c>
      <c r="V108" s="217" t="s">
        <v>109</v>
      </c>
      <c r="W108" s="217" t="s">
        <v>110</v>
      </c>
    </row>
    <row r="109" spans="1:23" x14ac:dyDescent="0.25">
      <c r="A109" s="217" t="s">
        <v>22</v>
      </c>
      <c r="B109" s="217" t="s">
        <v>23</v>
      </c>
      <c r="C109" s="217" t="s">
        <v>85</v>
      </c>
      <c r="D109" s="217" t="s">
        <v>84</v>
      </c>
      <c r="E109" s="217" t="s">
        <v>95</v>
      </c>
      <c r="F109" s="217" t="s">
        <v>94</v>
      </c>
      <c r="G109" s="217" t="s">
        <v>118</v>
      </c>
      <c r="H109" s="217" t="s">
        <v>926</v>
      </c>
      <c r="I109" s="217" t="s">
        <v>29</v>
      </c>
      <c r="J109" s="217" t="s">
        <v>1858</v>
      </c>
      <c r="K109" s="217">
        <v>5</v>
      </c>
      <c r="L109" s="217">
        <v>38</v>
      </c>
      <c r="M109" s="217" t="s">
        <v>31</v>
      </c>
      <c r="N109" s="217" t="s">
        <v>32</v>
      </c>
      <c r="O109" s="217" t="s">
        <v>68</v>
      </c>
      <c r="P109" s="217" t="s">
        <v>34</v>
      </c>
      <c r="Q109" s="217" t="s">
        <v>35</v>
      </c>
      <c r="R109" s="217" t="s">
        <v>23</v>
      </c>
      <c r="S109" s="217" t="s">
        <v>22</v>
      </c>
      <c r="T109" s="217" t="s">
        <v>84</v>
      </c>
      <c r="U109" s="217" t="s">
        <v>85</v>
      </c>
      <c r="V109" s="217" t="s">
        <v>109</v>
      </c>
      <c r="W109" s="217" t="s">
        <v>110</v>
      </c>
    </row>
    <row r="110" spans="1:23" x14ac:dyDescent="0.25">
      <c r="A110" s="217" t="s">
        <v>22</v>
      </c>
      <c r="B110" s="217" t="s">
        <v>23</v>
      </c>
      <c r="C110" s="217" t="s">
        <v>85</v>
      </c>
      <c r="D110" s="217" t="s">
        <v>84</v>
      </c>
      <c r="E110" s="217" t="s">
        <v>95</v>
      </c>
      <c r="F110" s="217" t="s">
        <v>94</v>
      </c>
      <c r="G110" s="217" t="s">
        <v>119</v>
      </c>
      <c r="H110" s="217" t="s">
        <v>927</v>
      </c>
      <c r="I110" s="217" t="s">
        <v>29</v>
      </c>
      <c r="J110" s="217" t="s">
        <v>1857</v>
      </c>
      <c r="K110" s="217">
        <v>5</v>
      </c>
      <c r="L110" s="217">
        <v>43</v>
      </c>
      <c r="M110" s="217" t="s">
        <v>31</v>
      </c>
      <c r="N110" s="217" t="s">
        <v>32</v>
      </c>
      <c r="O110" s="217" t="s">
        <v>68</v>
      </c>
      <c r="P110" s="217" t="s">
        <v>34</v>
      </c>
      <c r="Q110" s="217" t="s">
        <v>35</v>
      </c>
      <c r="R110" s="217" t="s">
        <v>23</v>
      </c>
      <c r="S110" s="217" t="s">
        <v>22</v>
      </c>
      <c r="T110" s="217" t="s">
        <v>84</v>
      </c>
      <c r="U110" s="217" t="s">
        <v>85</v>
      </c>
      <c r="V110" s="217" t="s">
        <v>109</v>
      </c>
      <c r="W110" s="217" t="s">
        <v>110</v>
      </c>
    </row>
    <row r="111" spans="1:23" x14ac:dyDescent="0.25">
      <c r="A111" s="217" t="s">
        <v>22</v>
      </c>
      <c r="B111" s="217" t="s">
        <v>23</v>
      </c>
      <c r="C111" s="217" t="s">
        <v>85</v>
      </c>
      <c r="D111" s="217" t="s">
        <v>84</v>
      </c>
      <c r="E111" s="217" t="s">
        <v>95</v>
      </c>
      <c r="F111" s="217" t="s">
        <v>94</v>
      </c>
      <c r="G111" s="217" t="s">
        <v>119</v>
      </c>
      <c r="H111" s="217" t="s">
        <v>927</v>
      </c>
      <c r="I111" s="217" t="s">
        <v>29</v>
      </c>
      <c r="J111" s="217" t="s">
        <v>1858</v>
      </c>
      <c r="K111" s="217">
        <v>20</v>
      </c>
      <c r="L111" s="217">
        <v>142</v>
      </c>
      <c r="M111" s="217" t="s">
        <v>31</v>
      </c>
      <c r="N111" s="217" t="s">
        <v>32</v>
      </c>
      <c r="O111" s="217" t="s">
        <v>68</v>
      </c>
      <c r="P111" s="217" t="s">
        <v>34</v>
      </c>
      <c r="Q111" s="217" t="s">
        <v>35</v>
      </c>
      <c r="R111" s="217" t="s">
        <v>23</v>
      </c>
      <c r="S111" s="217" t="s">
        <v>22</v>
      </c>
      <c r="T111" s="217" t="s">
        <v>84</v>
      </c>
      <c r="U111" s="217" t="s">
        <v>85</v>
      </c>
      <c r="V111" s="217" t="s">
        <v>109</v>
      </c>
      <c r="W111" s="217" t="s">
        <v>110</v>
      </c>
    </row>
    <row r="112" spans="1:23" x14ac:dyDescent="0.25">
      <c r="A112" s="217" t="s">
        <v>22</v>
      </c>
      <c r="B112" s="217" t="s">
        <v>23</v>
      </c>
      <c r="C112" s="217" t="s">
        <v>85</v>
      </c>
      <c r="D112" s="217" t="s">
        <v>84</v>
      </c>
      <c r="E112" s="217" t="s">
        <v>95</v>
      </c>
      <c r="F112" s="217" t="s">
        <v>94</v>
      </c>
      <c r="G112" s="217" t="s">
        <v>120</v>
      </c>
      <c r="H112" s="217" t="s">
        <v>928</v>
      </c>
      <c r="I112" s="217" t="s">
        <v>29</v>
      </c>
      <c r="J112" s="217" t="s">
        <v>1856</v>
      </c>
      <c r="K112" s="217">
        <v>8</v>
      </c>
      <c r="L112" s="217">
        <v>40</v>
      </c>
      <c r="M112" s="217" t="s">
        <v>31</v>
      </c>
      <c r="N112" s="217" t="s">
        <v>32</v>
      </c>
      <c r="O112" s="217" t="s">
        <v>68</v>
      </c>
      <c r="P112" s="217" t="s">
        <v>34</v>
      </c>
      <c r="Q112" s="217" t="s">
        <v>35</v>
      </c>
      <c r="R112" s="217" t="s">
        <v>23</v>
      </c>
      <c r="S112" s="217" t="s">
        <v>22</v>
      </c>
      <c r="T112" s="217" t="s">
        <v>84</v>
      </c>
      <c r="U112" s="217" t="s">
        <v>85</v>
      </c>
      <c r="V112" s="217" t="s">
        <v>109</v>
      </c>
      <c r="W112" s="217" t="s">
        <v>110</v>
      </c>
    </row>
    <row r="113" spans="1:23" x14ac:dyDescent="0.25">
      <c r="A113" s="217" t="s">
        <v>22</v>
      </c>
      <c r="B113" s="217" t="s">
        <v>23</v>
      </c>
      <c r="C113" s="217" t="s">
        <v>85</v>
      </c>
      <c r="D113" s="217" t="s">
        <v>84</v>
      </c>
      <c r="E113" s="217" t="s">
        <v>95</v>
      </c>
      <c r="F113" s="217" t="s">
        <v>94</v>
      </c>
      <c r="G113" s="217" t="s">
        <v>120</v>
      </c>
      <c r="H113" s="217" t="s">
        <v>928</v>
      </c>
      <c r="I113" s="217" t="s">
        <v>29</v>
      </c>
      <c r="J113" s="217" t="s">
        <v>1857</v>
      </c>
      <c r="K113" s="217">
        <v>5</v>
      </c>
      <c r="L113" s="217">
        <v>25</v>
      </c>
      <c r="M113" s="217" t="s">
        <v>31</v>
      </c>
      <c r="N113" s="217" t="s">
        <v>32</v>
      </c>
      <c r="O113" s="217" t="s">
        <v>100</v>
      </c>
      <c r="P113" s="217" t="s">
        <v>34</v>
      </c>
      <c r="Q113" s="217" t="s">
        <v>35</v>
      </c>
      <c r="R113" s="217" t="s">
        <v>23</v>
      </c>
      <c r="S113" s="217" t="s">
        <v>22</v>
      </c>
      <c r="T113" s="217" t="s">
        <v>84</v>
      </c>
      <c r="U113" s="217" t="s">
        <v>85</v>
      </c>
      <c r="V113" s="217" t="s">
        <v>94</v>
      </c>
      <c r="W113" s="217" t="s">
        <v>95</v>
      </c>
    </row>
    <row r="114" spans="1:23" x14ac:dyDescent="0.25">
      <c r="A114" s="217" t="s">
        <v>22</v>
      </c>
      <c r="B114" s="217" t="s">
        <v>23</v>
      </c>
      <c r="C114" s="217" t="s">
        <v>85</v>
      </c>
      <c r="D114" s="217" t="s">
        <v>84</v>
      </c>
      <c r="E114" s="217" t="s">
        <v>95</v>
      </c>
      <c r="F114" s="217" t="s">
        <v>94</v>
      </c>
      <c r="G114" s="217" t="s">
        <v>263</v>
      </c>
      <c r="H114" s="217" t="s">
        <v>930</v>
      </c>
      <c r="I114" s="217" t="s">
        <v>29</v>
      </c>
      <c r="J114" s="217" t="s">
        <v>1856</v>
      </c>
      <c r="K114" s="217">
        <v>27</v>
      </c>
      <c r="L114" s="217">
        <v>167</v>
      </c>
      <c r="M114" s="217" t="s">
        <v>31</v>
      </c>
      <c r="N114" s="217" t="s">
        <v>32</v>
      </c>
      <c r="O114" s="217" t="s">
        <v>68</v>
      </c>
      <c r="P114" s="217" t="s">
        <v>34</v>
      </c>
      <c r="Q114" s="217" t="s">
        <v>35</v>
      </c>
      <c r="R114" s="217" t="s">
        <v>23</v>
      </c>
      <c r="S114" s="217" t="s">
        <v>22</v>
      </c>
      <c r="T114" s="217" t="s">
        <v>84</v>
      </c>
      <c r="U114" s="217" t="s">
        <v>85</v>
      </c>
      <c r="V114" s="217" t="s">
        <v>109</v>
      </c>
      <c r="W114" s="217" t="s">
        <v>110</v>
      </c>
    </row>
    <row r="115" spans="1:23" x14ac:dyDescent="0.25">
      <c r="A115" s="217" t="s">
        <v>22</v>
      </c>
      <c r="B115" s="217" t="s">
        <v>23</v>
      </c>
      <c r="C115" s="217" t="s">
        <v>85</v>
      </c>
      <c r="D115" s="217" t="s">
        <v>84</v>
      </c>
      <c r="E115" s="217" t="s">
        <v>95</v>
      </c>
      <c r="F115" s="217" t="s">
        <v>94</v>
      </c>
      <c r="G115" s="217" t="s">
        <v>263</v>
      </c>
      <c r="H115" s="217" t="s">
        <v>930</v>
      </c>
      <c r="I115" s="217" t="s">
        <v>29</v>
      </c>
      <c r="J115" s="217" t="s">
        <v>1857</v>
      </c>
      <c r="K115" s="217">
        <v>9</v>
      </c>
      <c r="L115" s="217">
        <v>63</v>
      </c>
      <c r="M115" s="217" t="s">
        <v>31</v>
      </c>
      <c r="N115" s="217" t="s">
        <v>32</v>
      </c>
      <c r="O115" s="217" t="s">
        <v>100</v>
      </c>
      <c r="P115" s="217" t="s">
        <v>34</v>
      </c>
      <c r="Q115" s="217" t="s">
        <v>35</v>
      </c>
      <c r="R115" s="217" t="s">
        <v>23</v>
      </c>
      <c r="S115" s="217" t="s">
        <v>22</v>
      </c>
      <c r="T115" s="217" t="s">
        <v>84</v>
      </c>
      <c r="U115" s="217" t="s">
        <v>85</v>
      </c>
      <c r="V115" s="217" t="s">
        <v>94</v>
      </c>
      <c r="W115" s="217" t="s">
        <v>95</v>
      </c>
    </row>
    <row r="116" spans="1:23" x14ac:dyDescent="0.25">
      <c r="A116" s="217" t="s">
        <v>22</v>
      </c>
      <c r="B116" s="217" t="s">
        <v>23</v>
      </c>
      <c r="C116" s="217" t="s">
        <v>85</v>
      </c>
      <c r="D116" s="217" t="s">
        <v>84</v>
      </c>
      <c r="E116" s="217" t="s">
        <v>95</v>
      </c>
      <c r="F116" s="217" t="s">
        <v>94</v>
      </c>
      <c r="G116" s="217" t="s">
        <v>263</v>
      </c>
      <c r="H116" s="217" t="s">
        <v>930</v>
      </c>
      <c r="I116" s="217" t="s">
        <v>29</v>
      </c>
      <c r="J116" s="217" t="s">
        <v>1858</v>
      </c>
      <c r="K116" s="217">
        <v>15</v>
      </c>
      <c r="L116" s="217">
        <v>120</v>
      </c>
      <c r="M116" s="217" t="s">
        <v>31</v>
      </c>
      <c r="N116" s="217" t="s">
        <v>32</v>
      </c>
      <c r="O116" s="217" t="s">
        <v>68</v>
      </c>
      <c r="P116" s="217" t="s">
        <v>34</v>
      </c>
      <c r="Q116" s="217" t="s">
        <v>35</v>
      </c>
      <c r="R116" s="217" t="s">
        <v>23</v>
      </c>
      <c r="S116" s="217" t="s">
        <v>22</v>
      </c>
      <c r="T116" s="217" t="s">
        <v>84</v>
      </c>
      <c r="U116" s="217" t="s">
        <v>85</v>
      </c>
      <c r="V116" s="217" t="s">
        <v>109</v>
      </c>
      <c r="W116" s="217" t="s">
        <v>110</v>
      </c>
    </row>
    <row r="117" spans="1:23" x14ac:dyDescent="0.25">
      <c r="A117" s="217" t="s">
        <v>22</v>
      </c>
      <c r="B117" s="217" t="s">
        <v>23</v>
      </c>
      <c r="C117" s="217" t="s">
        <v>85</v>
      </c>
      <c r="D117" s="217" t="s">
        <v>84</v>
      </c>
      <c r="E117" s="217" t="s">
        <v>95</v>
      </c>
      <c r="F117" s="217" t="s">
        <v>94</v>
      </c>
      <c r="G117" s="217" t="s">
        <v>264</v>
      </c>
      <c r="H117" s="217" t="s">
        <v>931</v>
      </c>
      <c r="I117" s="217" t="s">
        <v>29</v>
      </c>
      <c r="J117" s="217" t="s">
        <v>1855</v>
      </c>
      <c r="K117" s="217">
        <v>1</v>
      </c>
      <c r="L117" s="217">
        <v>4</v>
      </c>
      <c r="M117" s="217" t="s">
        <v>31</v>
      </c>
      <c r="N117" s="217" t="s">
        <v>32</v>
      </c>
      <c r="O117" s="217" t="s">
        <v>68</v>
      </c>
      <c r="P117" s="217" t="s">
        <v>34</v>
      </c>
      <c r="Q117" s="217" t="s">
        <v>35</v>
      </c>
      <c r="R117" s="217" t="s">
        <v>23</v>
      </c>
      <c r="S117" s="217" t="s">
        <v>22</v>
      </c>
      <c r="T117" s="217" t="s">
        <v>84</v>
      </c>
      <c r="U117" s="217" t="s">
        <v>85</v>
      </c>
      <c r="V117" s="217" t="s">
        <v>172</v>
      </c>
      <c r="W117" s="217" t="s">
        <v>173</v>
      </c>
    </row>
    <row r="118" spans="1:23" x14ac:dyDescent="0.25">
      <c r="A118" s="217" t="s">
        <v>22</v>
      </c>
      <c r="B118" s="217" t="s">
        <v>23</v>
      </c>
      <c r="C118" s="217" t="s">
        <v>85</v>
      </c>
      <c r="D118" s="217" t="s">
        <v>84</v>
      </c>
      <c r="E118" s="217" t="s">
        <v>95</v>
      </c>
      <c r="F118" s="217" t="s">
        <v>94</v>
      </c>
      <c r="G118" s="217" t="s">
        <v>264</v>
      </c>
      <c r="H118" s="217" t="s">
        <v>931</v>
      </c>
      <c r="I118" s="217" t="s">
        <v>29</v>
      </c>
      <c r="J118" s="217" t="s">
        <v>1856</v>
      </c>
      <c r="K118" s="217">
        <v>1</v>
      </c>
      <c r="L118" s="217">
        <v>11</v>
      </c>
      <c r="M118" s="217" t="s">
        <v>31</v>
      </c>
      <c r="N118" s="217" t="s">
        <v>32</v>
      </c>
      <c r="O118" s="217" t="s">
        <v>68</v>
      </c>
      <c r="P118" s="217" t="s">
        <v>34</v>
      </c>
      <c r="Q118" s="217" t="s">
        <v>35</v>
      </c>
      <c r="R118" s="217" t="s">
        <v>23</v>
      </c>
      <c r="S118" s="217" t="s">
        <v>22</v>
      </c>
      <c r="T118" s="217" t="s">
        <v>84</v>
      </c>
      <c r="U118" s="217" t="s">
        <v>85</v>
      </c>
      <c r="V118" s="217" t="s">
        <v>109</v>
      </c>
      <c r="W118" s="217" t="s">
        <v>110</v>
      </c>
    </row>
    <row r="119" spans="1:23" x14ac:dyDescent="0.25">
      <c r="A119" s="217" t="s">
        <v>22</v>
      </c>
      <c r="B119" s="217" t="s">
        <v>23</v>
      </c>
      <c r="C119" s="217" t="s">
        <v>85</v>
      </c>
      <c r="D119" s="217" t="s">
        <v>84</v>
      </c>
      <c r="E119" s="217" t="s">
        <v>95</v>
      </c>
      <c r="F119" s="217" t="s">
        <v>94</v>
      </c>
      <c r="G119" s="217" t="s">
        <v>264</v>
      </c>
      <c r="H119" s="217" t="s">
        <v>931</v>
      </c>
      <c r="I119" s="217" t="s">
        <v>29</v>
      </c>
      <c r="J119" s="217" t="s">
        <v>1857</v>
      </c>
      <c r="K119" s="217">
        <v>1</v>
      </c>
      <c r="L119" s="217">
        <v>5</v>
      </c>
      <c r="M119" s="217" t="s">
        <v>31</v>
      </c>
      <c r="N119" s="217" t="s">
        <v>32</v>
      </c>
      <c r="O119" s="217" t="s">
        <v>68</v>
      </c>
      <c r="P119" s="217" t="s">
        <v>34</v>
      </c>
      <c r="Q119" s="217" t="s">
        <v>35</v>
      </c>
      <c r="R119" s="217" t="s">
        <v>23</v>
      </c>
      <c r="S119" s="217" t="s">
        <v>22</v>
      </c>
      <c r="T119" s="217" t="s">
        <v>84</v>
      </c>
      <c r="U119" s="217" t="s">
        <v>85</v>
      </c>
      <c r="V119" s="217" t="s">
        <v>109</v>
      </c>
      <c r="W119" s="217" t="s">
        <v>110</v>
      </c>
    </row>
    <row r="120" spans="1:23" x14ac:dyDescent="0.25">
      <c r="A120" s="217" t="s">
        <v>22</v>
      </c>
      <c r="B120" s="217" t="s">
        <v>23</v>
      </c>
      <c r="C120" s="217" t="s">
        <v>85</v>
      </c>
      <c r="D120" s="217" t="s">
        <v>84</v>
      </c>
      <c r="E120" s="217" t="s">
        <v>95</v>
      </c>
      <c r="F120" s="217" t="s">
        <v>94</v>
      </c>
      <c r="G120" s="217" t="s">
        <v>264</v>
      </c>
      <c r="H120" s="217" t="s">
        <v>931</v>
      </c>
      <c r="I120" s="217" t="s">
        <v>29</v>
      </c>
      <c r="J120" s="217" t="s">
        <v>1858</v>
      </c>
      <c r="K120" s="217">
        <v>20</v>
      </c>
      <c r="L120" s="217">
        <v>156</v>
      </c>
      <c r="M120" s="217" t="s">
        <v>31</v>
      </c>
      <c r="N120" s="217" t="s">
        <v>32</v>
      </c>
      <c r="O120" s="217" t="s">
        <v>68</v>
      </c>
      <c r="P120" s="217" t="s">
        <v>34</v>
      </c>
      <c r="Q120" s="217" t="s">
        <v>35</v>
      </c>
      <c r="R120" s="217" t="s">
        <v>23</v>
      </c>
      <c r="S120" s="217" t="s">
        <v>22</v>
      </c>
      <c r="T120" s="217" t="s">
        <v>84</v>
      </c>
      <c r="U120" s="217" t="s">
        <v>85</v>
      </c>
      <c r="V120" s="217" t="s">
        <v>109</v>
      </c>
      <c r="W120" s="217" t="s">
        <v>110</v>
      </c>
    </row>
    <row r="121" spans="1:23" x14ac:dyDescent="0.25">
      <c r="A121" s="217" t="s">
        <v>22</v>
      </c>
      <c r="B121" s="217" t="s">
        <v>23</v>
      </c>
      <c r="C121" s="217" t="s">
        <v>85</v>
      </c>
      <c r="D121" s="217" t="s">
        <v>84</v>
      </c>
      <c r="E121" s="217" t="s">
        <v>95</v>
      </c>
      <c r="F121" s="217" t="s">
        <v>94</v>
      </c>
      <c r="G121" s="217" t="s">
        <v>265</v>
      </c>
      <c r="H121" s="217" t="s">
        <v>932</v>
      </c>
      <c r="I121" s="217" t="s">
        <v>29</v>
      </c>
      <c r="J121" s="217" t="s">
        <v>1856</v>
      </c>
      <c r="K121" s="217">
        <v>1</v>
      </c>
      <c r="L121" s="217">
        <v>17</v>
      </c>
      <c r="M121" s="217" t="s">
        <v>31</v>
      </c>
      <c r="N121" s="217" t="s">
        <v>32</v>
      </c>
      <c r="O121" s="217" t="s">
        <v>68</v>
      </c>
      <c r="P121" s="217" t="s">
        <v>34</v>
      </c>
      <c r="Q121" s="217" t="s">
        <v>35</v>
      </c>
      <c r="R121" s="217" t="s">
        <v>23</v>
      </c>
      <c r="S121" s="217" t="s">
        <v>22</v>
      </c>
      <c r="T121" s="217" t="s">
        <v>84</v>
      </c>
      <c r="U121" s="217" t="s">
        <v>85</v>
      </c>
      <c r="V121" s="217" t="s">
        <v>109</v>
      </c>
      <c r="W121" s="217" t="s">
        <v>110</v>
      </c>
    </row>
    <row r="122" spans="1:23" x14ac:dyDescent="0.25">
      <c r="A122" s="217" t="s">
        <v>22</v>
      </c>
      <c r="B122" s="217" t="s">
        <v>23</v>
      </c>
      <c r="C122" s="217" t="s">
        <v>85</v>
      </c>
      <c r="D122" s="217" t="s">
        <v>84</v>
      </c>
      <c r="E122" s="217" t="s">
        <v>95</v>
      </c>
      <c r="F122" s="217" t="s">
        <v>94</v>
      </c>
      <c r="G122" s="217" t="s">
        <v>265</v>
      </c>
      <c r="H122" s="217" t="s">
        <v>932</v>
      </c>
      <c r="I122" s="217" t="s">
        <v>29</v>
      </c>
      <c r="J122" s="217" t="s">
        <v>1857</v>
      </c>
      <c r="K122" s="217">
        <v>1</v>
      </c>
      <c r="L122" s="217">
        <v>16</v>
      </c>
      <c r="M122" s="217" t="s">
        <v>31</v>
      </c>
      <c r="N122" s="217" t="s">
        <v>32</v>
      </c>
      <c r="O122" s="217" t="s">
        <v>68</v>
      </c>
      <c r="P122" s="217" t="s">
        <v>34</v>
      </c>
      <c r="Q122" s="217" t="s">
        <v>35</v>
      </c>
      <c r="R122" s="217" t="s">
        <v>23</v>
      </c>
      <c r="S122" s="217" t="s">
        <v>22</v>
      </c>
      <c r="T122" s="217" t="s">
        <v>84</v>
      </c>
      <c r="U122" s="217" t="s">
        <v>85</v>
      </c>
      <c r="V122" s="217" t="s">
        <v>109</v>
      </c>
      <c r="W122" s="217" t="s">
        <v>110</v>
      </c>
    </row>
    <row r="123" spans="1:23" x14ac:dyDescent="0.25">
      <c r="A123" s="217" t="s">
        <v>22</v>
      </c>
      <c r="B123" s="217" t="s">
        <v>23</v>
      </c>
      <c r="C123" s="217" t="s">
        <v>85</v>
      </c>
      <c r="D123" s="217" t="s">
        <v>84</v>
      </c>
      <c r="E123" s="217" t="s">
        <v>95</v>
      </c>
      <c r="F123" s="217" t="s">
        <v>94</v>
      </c>
      <c r="G123" s="217" t="s">
        <v>265</v>
      </c>
      <c r="H123" s="217" t="s">
        <v>932</v>
      </c>
      <c r="I123" s="217" t="s">
        <v>29</v>
      </c>
      <c r="J123" s="217" t="s">
        <v>1858</v>
      </c>
      <c r="K123" s="217">
        <v>4</v>
      </c>
      <c r="L123" s="217">
        <v>18</v>
      </c>
      <c r="M123" s="217" t="s">
        <v>31</v>
      </c>
      <c r="N123" s="217" t="s">
        <v>32</v>
      </c>
      <c r="O123" s="217" t="s">
        <v>100</v>
      </c>
      <c r="P123" s="217" t="s">
        <v>34</v>
      </c>
      <c r="Q123" s="217" t="s">
        <v>35</v>
      </c>
      <c r="R123" s="217" t="s">
        <v>23</v>
      </c>
      <c r="S123" s="217" t="s">
        <v>22</v>
      </c>
      <c r="T123" s="217" t="s">
        <v>84</v>
      </c>
      <c r="U123" s="217" t="s">
        <v>85</v>
      </c>
      <c r="V123" s="217" t="s">
        <v>94</v>
      </c>
      <c r="W123" s="217" t="s">
        <v>95</v>
      </c>
    </row>
    <row r="124" spans="1:23" x14ac:dyDescent="0.25">
      <c r="A124" s="217" t="s">
        <v>22</v>
      </c>
      <c r="B124" s="217" t="s">
        <v>23</v>
      </c>
      <c r="C124" s="217" t="s">
        <v>85</v>
      </c>
      <c r="D124" s="217" t="s">
        <v>84</v>
      </c>
      <c r="E124" s="217" t="s">
        <v>95</v>
      </c>
      <c r="F124" s="217" t="s">
        <v>94</v>
      </c>
      <c r="G124" s="217" t="s">
        <v>265</v>
      </c>
      <c r="H124" s="217" t="s">
        <v>932</v>
      </c>
      <c r="I124" s="217" t="s">
        <v>29</v>
      </c>
      <c r="J124" s="217" t="s">
        <v>1859</v>
      </c>
      <c r="K124" s="217">
        <v>58</v>
      </c>
      <c r="L124" s="217">
        <v>507</v>
      </c>
      <c r="M124" s="217" t="s">
        <v>99</v>
      </c>
      <c r="N124" s="217" t="s">
        <v>32</v>
      </c>
      <c r="O124" s="217" t="s">
        <v>100</v>
      </c>
      <c r="P124" s="217" t="s">
        <v>34</v>
      </c>
      <c r="Q124" s="217" t="s">
        <v>35</v>
      </c>
      <c r="R124" s="217" t="s">
        <v>23</v>
      </c>
      <c r="S124" s="217" t="s">
        <v>22</v>
      </c>
      <c r="T124" s="217" t="s">
        <v>84</v>
      </c>
      <c r="U124" s="217" t="s">
        <v>85</v>
      </c>
      <c r="V124" s="217" t="s">
        <v>94</v>
      </c>
      <c r="W124" s="217" t="s">
        <v>95</v>
      </c>
    </row>
    <row r="125" spans="1:23" x14ac:dyDescent="0.25">
      <c r="A125" s="217" t="s">
        <v>22</v>
      </c>
      <c r="B125" s="217" t="s">
        <v>23</v>
      </c>
      <c r="C125" s="217" t="s">
        <v>85</v>
      </c>
      <c r="D125" s="217" t="s">
        <v>84</v>
      </c>
      <c r="E125" s="217" t="s">
        <v>95</v>
      </c>
      <c r="F125" s="217" t="s">
        <v>94</v>
      </c>
      <c r="G125" s="217" t="s">
        <v>266</v>
      </c>
      <c r="H125" s="217" t="s">
        <v>933</v>
      </c>
      <c r="I125" s="217" t="s">
        <v>29</v>
      </c>
      <c r="J125" s="217" t="s">
        <v>1855</v>
      </c>
      <c r="K125" s="217">
        <v>3</v>
      </c>
      <c r="L125" s="217">
        <v>15</v>
      </c>
      <c r="M125" s="217" t="s">
        <v>31</v>
      </c>
      <c r="N125" s="217" t="s">
        <v>32</v>
      </c>
      <c r="O125" s="217" t="s">
        <v>68</v>
      </c>
      <c r="P125" s="217" t="s">
        <v>34</v>
      </c>
      <c r="Q125" s="217" t="s">
        <v>35</v>
      </c>
      <c r="R125" s="217" t="s">
        <v>23</v>
      </c>
      <c r="S125" s="217" t="s">
        <v>22</v>
      </c>
      <c r="T125" s="217" t="s">
        <v>84</v>
      </c>
      <c r="U125" s="217" t="s">
        <v>85</v>
      </c>
      <c r="V125" s="217" t="s">
        <v>91</v>
      </c>
      <c r="W125" s="217" t="s">
        <v>92</v>
      </c>
    </row>
    <row r="126" spans="1:23" x14ac:dyDescent="0.25">
      <c r="A126" s="217" t="s">
        <v>22</v>
      </c>
      <c r="B126" s="217" t="s">
        <v>23</v>
      </c>
      <c r="C126" s="217" t="s">
        <v>85</v>
      </c>
      <c r="D126" s="217" t="s">
        <v>84</v>
      </c>
      <c r="E126" s="217" t="s">
        <v>95</v>
      </c>
      <c r="F126" s="217" t="s">
        <v>94</v>
      </c>
      <c r="G126" s="217" t="s">
        <v>266</v>
      </c>
      <c r="H126" s="217" t="s">
        <v>933</v>
      </c>
      <c r="I126" s="217" t="s">
        <v>29</v>
      </c>
      <c r="J126" s="217" t="s">
        <v>1856</v>
      </c>
      <c r="K126" s="217">
        <v>2</v>
      </c>
      <c r="L126" s="217">
        <v>10</v>
      </c>
      <c r="M126" s="217" t="s">
        <v>31</v>
      </c>
      <c r="N126" s="217" t="s">
        <v>32</v>
      </c>
      <c r="O126" s="217" t="s">
        <v>68</v>
      </c>
      <c r="P126" s="217" t="s">
        <v>34</v>
      </c>
      <c r="Q126" s="217" t="s">
        <v>35</v>
      </c>
      <c r="R126" s="217" t="s">
        <v>23</v>
      </c>
      <c r="S126" s="217" t="s">
        <v>22</v>
      </c>
      <c r="T126" s="217" t="s">
        <v>84</v>
      </c>
      <c r="U126" s="217" t="s">
        <v>85</v>
      </c>
      <c r="V126" s="217" t="s">
        <v>109</v>
      </c>
      <c r="W126" s="217" t="s">
        <v>110</v>
      </c>
    </row>
    <row r="127" spans="1:23" x14ac:dyDescent="0.25">
      <c r="A127" s="217" t="s">
        <v>22</v>
      </c>
      <c r="B127" s="217" t="s">
        <v>23</v>
      </c>
      <c r="C127" s="217" t="s">
        <v>85</v>
      </c>
      <c r="D127" s="217" t="s">
        <v>84</v>
      </c>
      <c r="E127" s="217" t="s">
        <v>95</v>
      </c>
      <c r="F127" s="217" t="s">
        <v>94</v>
      </c>
      <c r="G127" s="217" t="s">
        <v>266</v>
      </c>
      <c r="H127" s="217" t="s">
        <v>933</v>
      </c>
      <c r="I127" s="217" t="s">
        <v>29</v>
      </c>
      <c r="J127" s="217" t="s">
        <v>1857</v>
      </c>
      <c r="K127" s="217">
        <v>5</v>
      </c>
      <c r="L127" s="217">
        <v>25</v>
      </c>
      <c r="M127" s="217" t="s">
        <v>31</v>
      </c>
      <c r="N127" s="217" t="s">
        <v>32</v>
      </c>
      <c r="O127" s="217" t="s">
        <v>100</v>
      </c>
      <c r="P127" s="217" t="s">
        <v>34</v>
      </c>
      <c r="Q127" s="217" t="s">
        <v>35</v>
      </c>
      <c r="R127" s="217" t="s">
        <v>23</v>
      </c>
      <c r="S127" s="217" t="s">
        <v>22</v>
      </c>
      <c r="T127" s="217" t="s">
        <v>84</v>
      </c>
      <c r="U127" s="217" t="s">
        <v>85</v>
      </c>
      <c r="V127" s="217" t="s">
        <v>94</v>
      </c>
      <c r="W127" s="217" t="s">
        <v>95</v>
      </c>
    </row>
    <row r="128" spans="1:23" x14ac:dyDescent="0.25">
      <c r="A128" s="217" t="s">
        <v>22</v>
      </c>
      <c r="B128" s="217" t="s">
        <v>23</v>
      </c>
      <c r="C128" s="217" t="s">
        <v>85</v>
      </c>
      <c r="D128" s="217" t="s">
        <v>84</v>
      </c>
      <c r="E128" s="217" t="s">
        <v>95</v>
      </c>
      <c r="F128" s="217" t="s">
        <v>94</v>
      </c>
      <c r="G128" s="217" t="s">
        <v>267</v>
      </c>
      <c r="H128" s="217" t="s">
        <v>934</v>
      </c>
      <c r="I128" s="217" t="s">
        <v>29</v>
      </c>
      <c r="J128" s="217" t="s">
        <v>1856</v>
      </c>
      <c r="K128" s="217">
        <v>3</v>
      </c>
      <c r="L128" s="217">
        <v>18</v>
      </c>
      <c r="M128" s="217" t="s">
        <v>31</v>
      </c>
      <c r="N128" s="217" t="s">
        <v>32</v>
      </c>
      <c r="O128" s="217" t="s">
        <v>68</v>
      </c>
      <c r="P128" s="217" t="s">
        <v>34</v>
      </c>
      <c r="Q128" s="217" t="s">
        <v>35</v>
      </c>
      <c r="R128" s="217" t="s">
        <v>23</v>
      </c>
      <c r="S128" s="217" t="s">
        <v>22</v>
      </c>
      <c r="T128" s="217" t="s">
        <v>84</v>
      </c>
      <c r="U128" s="217" t="s">
        <v>85</v>
      </c>
      <c r="V128" s="217" t="s">
        <v>109</v>
      </c>
      <c r="W128" s="217" t="s">
        <v>110</v>
      </c>
    </row>
    <row r="129" spans="1:23" x14ac:dyDescent="0.25">
      <c r="A129" s="217" t="s">
        <v>22</v>
      </c>
      <c r="B129" s="217" t="s">
        <v>23</v>
      </c>
      <c r="C129" s="217" t="s">
        <v>85</v>
      </c>
      <c r="D129" s="217" t="s">
        <v>84</v>
      </c>
      <c r="E129" s="217" t="s">
        <v>95</v>
      </c>
      <c r="F129" s="217" t="s">
        <v>94</v>
      </c>
      <c r="G129" s="217" t="s">
        <v>267</v>
      </c>
      <c r="H129" s="217" t="s">
        <v>934</v>
      </c>
      <c r="I129" s="217" t="s">
        <v>29</v>
      </c>
      <c r="J129" s="217" t="s">
        <v>1857</v>
      </c>
      <c r="K129" s="217">
        <v>1</v>
      </c>
      <c r="L129" s="217">
        <v>6</v>
      </c>
      <c r="M129" s="217" t="s">
        <v>31</v>
      </c>
      <c r="N129" s="217" t="s">
        <v>32</v>
      </c>
      <c r="O129" s="217" t="s">
        <v>100</v>
      </c>
      <c r="P129" s="217" t="s">
        <v>34</v>
      </c>
      <c r="Q129" s="217" t="s">
        <v>35</v>
      </c>
      <c r="R129" s="217" t="s">
        <v>23</v>
      </c>
      <c r="S129" s="217" t="s">
        <v>22</v>
      </c>
      <c r="T129" s="217" t="s">
        <v>84</v>
      </c>
      <c r="U129" s="217" t="s">
        <v>85</v>
      </c>
      <c r="V129" s="217" t="s">
        <v>94</v>
      </c>
      <c r="W129" s="217" t="s">
        <v>95</v>
      </c>
    </row>
    <row r="130" spans="1:23" x14ac:dyDescent="0.25">
      <c r="A130" s="217" t="s">
        <v>22</v>
      </c>
      <c r="B130" s="217" t="s">
        <v>23</v>
      </c>
      <c r="C130" s="217" t="s">
        <v>85</v>
      </c>
      <c r="D130" s="217" t="s">
        <v>84</v>
      </c>
      <c r="E130" s="217" t="s">
        <v>95</v>
      </c>
      <c r="F130" s="217" t="s">
        <v>94</v>
      </c>
      <c r="G130" s="217" t="s">
        <v>268</v>
      </c>
      <c r="H130" s="217" t="s">
        <v>935</v>
      </c>
      <c r="I130" s="217" t="s">
        <v>29</v>
      </c>
      <c r="J130" s="217" t="s">
        <v>1857</v>
      </c>
      <c r="K130" s="217">
        <v>5</v>
      </c>
      <c r="L130" s="217">
        <v>35</v>
      </c>
      <c r="M130" s="217" t="s">
        <v>31</v>
      </c>
      <c r="N130" s="217" t="s">
        <v>32</v>
      </c>
      <c r="O130" s="217" t="s">
        <v>100</v>
      </c>
      <c r="P130" s="217" t="s">
        <v>34</v>
      </c>
      <c r="Q130" s="217" t="s">
        <v>35</v>
      </c>
      <c r="R130" s="217" t="s">
        <v>23</v>
      </c>
      <c r="S130" s="217" t="s">
        <v>22</v>
      </c>
      <c r="T130" s="217" t="s">
        <v>84</v>
      </c>
      <c r="U130" s="217" t="s">
        <v>85</v>
      </c>
      <c r="V130" s="217" t="s">
        <v>94</v>
      </c>
      <c r="W130" s="217" t="s">
        <v>95</v>
      </c>
    </row>
    <row r="131" spans="1:23" x14ac:dyDescent="0.25">
      <c r="A131" s="217" t="s">
        <v>22</v>
      </c>
      <c r="B131" s="217" t="s">
        <v>23</v>
      </c>
      <c r="C131" s="217" t="s">
        <v>85</v>
      </c>
      <c r="D131" s="217" t="s">
        <v>84</v>
      </c>
      <c r="E131" s="217" t="s">
        <v>95</v>
      </c>
      <c r="F131" s="217" t="s">
        <v>94</v>
      </c>
      <c r="G131" s="217" t="s">
        <v>269</v>
      </c>
      <c r="H131" s="217" t="s">
        <v>936</v>
      </c>
      <c r="I131" s="217" t="s">
        <v>29</v>
      </c>
      <c r="J131" s="217" t="s">
        <v>1856</v>
      </c>
      <c r="K131" s="217">
        <v>11</v>
      </c>
      <c r="L131" s="217">
        <v>66</v>
      </c>
      <c r="M131" s="217" t="s">
        <v>31</v>
      </c>
      <c r="N131" s="217" t="s">
        <v>32</v>
      </c>
      <c r="O131" s="217" t="s">
        <v>68</v>
      </c>
      <c r="P131" s="217" t="s">
        <v>34</v>
      </c>
      <c r="Q131" s="217" t="s">
        <v>35</v>
      </c>
      <c r="R131" s="217" t="s">
        <v>23</v>
      </c>
      <c r="S131" s="217" t="s">
        <v>22</v>
      </c>
      <c r="T131" s="217" t="s">
        <v>84</v>
      </c>
      <c r="U131" s="217" t="s">
        <v>85</v>
      </c>
      <c r="V131" s="217" t="s">
        <v>109</v>
      </c>
      <c r="W131" s="217" t="s">
        <v>110</v>
      </c>
    </row>
    <row r="132" spans="1:23" x14ac:dyDescent="0.25">
      <c r="A132" s="217" t="s">
        <v>22</v>
      </c>
      <c r="B132" s="217" t="s">
        <v>23</v>
      </c>
      <c r="C132" s="217" t="s">
        <v>85</v>
      </c>
      <c r="D132" s="217" t="s">
        <v>84</v>
      </c>
      <c r="E132" s="217" t="s">
        <v>95</v>
      </c>
      <c r="F132" s="217" t="s">
        <v>94</v>
      </c>
      <c r="G132" s="217" t="s">
        <v>269</v>
      </c>
      <c r="H132" s="217" t="s">
        <v>936</v>
      </c>
      <c r="I132" s="217" t="s">
        <v>29</v>
      </c>
      <c r="J132" s="217" t="s">
        <v>1858</v>
      </c>
      <c r="K132" s="217">
        <v>1</v>
      </c>
      <c r="L132" s="217">
        <v>7</v>
      </c>
      <c r="M132" s="217" t="s">
        <v>31</v>
      </c>
      <c r="N132" s="217" t="s">
        <v>32</v>
      </c>
      <c r="O132" s="217" t="s">
        <v>68</v>
      </c>
      <c r="P132" s="217" t="s">
        <v>34</v>
      </c>
      <c r="Q132" s="217" t="s">
        <v>35</v>
      </c>
      <c r="R132" s="217" t="s">
        <v>23</v>
      </c>
      <c r="S132" s="217" t="s">
        <v>22</v>
      </c>
      <c r="T132" s="217" t="s">
        <v>84</v>
      </c>
      <c r="U132" s="217" t="s">
        <v>85</v>
      </c>
      <c r="V132" s="217" t="s">
        <v>109</v>
      </c>
      <c r="W132" s="217" t="s">
        <v>110</v>
      </c>
    </row>
    <row r="133" spans="1:23" x14ac:dyDescent="0.25">
      <c r="A133" s="217" t="s">
        <v>22</v>
      </c>
      <c r="B133" s="217" t="s">
        <v>23</v>
      </c>
      <c r="C133" s="217" t="s">
        <v>85</v>
      </c>
      <c r="D133" s="217" t="s">
        <v>84</v>
      </c>
      <c r="E133" s="217" t="s">
        <v>95</v>
      </c>
      <c r="F133" s="217" t="s">
        <v>94</v>
      </c>
      <c r="G133" s="217" t="s">
        <v>270</v>
      </c>
      <c r="H133" s="217" t="s">
        <v>937</v>
      </c>
      <c r="I133" s="217" t="s">
        <v>29</v>
      </c>
      <c r="J133" s="217" t="s">
        <v>1856</v>
      </c>
      <c r="K133" s="217">
        <v>19</v>
      </c>
      <c r="L133" s="217">
        <v>115</v>
      </c>
      <c r="M133" s="217" t="s">
        <v>31</v>
      </c>
      <c r="N133" s="217" t="s">
        <v>32</v>
      </c>
      <c r="O133" s="217" t="s">
        <v>68</v>
      </c>
      <c r="P133" s="217" t="s">
        <v>34</v>
      </c>
      <c r="Q133" s="217" t="s">
        <v>35</v>
      </c>
      <c r="R133" s="217" t="s">
        <v>23</v>
      </c>
      <c r="S133" s="217" t="s">
        <v>22</v>
      </c>
      <c r="T133" s="217" t="s">
        <v>84</v>
      </c>
      <c r="U133" s="217" t="s">
        <v>85</v>
      </c>
      <c r="V133" s="217" t="s">
        <v>109</v>
      </c>
      <c r="W133" s="217" t="s">
        <v>110</v>
      </c>
    </row>
    <row r="134" spans="1:23" x14ac:dyDescent="0.25">
      <c r="A134" s="217" t="s">
        <v>22</v>
      </c>
      <c r="B134" s="217" t="s">
        <v>23</v>
      </c>
      <c r="C134" s="217" t="s">
        <v>85</v>
      </c>
      <c r="D134" s="217" t="s">
        <v>84</v>
      </c>
      <c r="E134" s="217" t="s">
        <v>95</v>
      </c>
      <c r="F134" s="217" t="s">
        <v>94</v>
      </c>
      <c r="G134" s="217" t="s">
        <v>270</v>
      </c>
      <c r="H134" s="217" t="s">
        <v>937</v>
      </c>
      <c r="I134" s="217" t="s">
        <v>29</v>
      </c>
      <c r="J134" s="217" t="s">
        <v>1858</v>
      </c>
      <c r="K134" s="217">
        <v>58</v>
      </c>
      <c r="L134" s="217">
        <v>493</v>
      </c>
      <c r="M134" s="217" t="s">
        <v>31</v>
      </c>
      <c r="N134" s="217" t="s">
        <v>32</v>
      </c>
      <c r="O134" s="217" t="s">
        <v>68</v>
      </c>
      <c r="P134" s="217" t="s">
        <v>34</v>
      </c>
      <c r="Q134" s="217" t="s">
        <v>35</v>
      </c>
      <c r="R134" s="217" t="s">
        <v>23</v>
      </c>
      <c r="S134" s="217" t="s">
        <v>22</v>
      </c>
      <c r="T134" s="217" t="s">
        <v>84</v>
      </c>
      <c r="U134" s="217" t="s">
        <v>85</v>
      </c>
      <c r="V134" s="217" t="s">
        <v>109</v>
      </c>
      <c r="W134" s="217" t="s">
        <v>110</v>
      </c>
    </row>
    <row r="135" spans="1:23" x14ac:dyDescent="0.25">
      <c r="A135" s="217" t="s">
        <v>22</v>
      </c>
      <c r="B135" s="217" t="s">
        <v>23</v>
      </c>
      <c r="C135" s="217" t="s">
        <v>85</v>
      </c>
      <c r="D135" s="217" t="s">
        <v>84</v>
      </c>
      <c r="E135" s="217" t="s">
        <v>95</v>
      </c>
      <c r="F135" s="217" t="s">
        <v>94</v>
      </c>
      <c r="G135" s="217" t="s">
        <v>271</v>
      </c>
      <c r="H135" s="217" t="s">
        <v>938</v>
      </c>
      <c r="I135" s="217" t="s">
        <v>29</v>
      </c>
      <c r="J135" s="217" t="s">
        <v>1856</v>
      </c>
      <c r="K135" s="217">
        <v>2</v>
      </c>
      <c r="L135" s="217">
        <v>12</v>
      </c>
      <c r="M135" s="217" t="s">
        <v>31</v>
      </c>
      <c r="N135" s="217" t="s">
        <v>32</v>
      </c>
      <c r="O135" s="217" t="s">
        <v>68</v>
      </c>
      <c r="P135" s="217" t="s">
        <v>34</v>
      </c>
      <c r="Q135" s="217" t="s">
        <v>35</v>
      </c>
      <c r="R135" s="217" t="s">
        <v>23</v>
      </c>
      <c r="S135" s="217" t="s">
        <v>22</v>
      </c>
      <c r="T135" s="217" t="s">
        <v>84</v>
      </c>
      <c r="U135" s="217" t="s">
        <v>85</v>
      </c>
      <c r="V135" s="217" t="s">
        <v>109</v>
      </c>
      <c r="W135" s="217" t="s">
        <v>110</v>
      </c>
    </row>
    <row r="136" spans="1:23" x14ac:dyDescent="0.25">
      <c r="A136" s="217" t="s">
        <v>22</v>
      </c>
      <c r="B136" s="217" t="s">
        <v>23</v>
      </c>
      <c r="C136" s="217" t="s">
        <v>85</v>
      </c>
      <c r="D136" s="217" t="s">
        <v>84</v>
      </c>
      <c r="E136" s="217" t="s">
        <v>95</v>
      </c>
      <c r="F136" s="217" t="s">
        <v>94</v>
      </c>
      <c r="G136" s="217" t="s">
        <v>271</v>
      </c>
      <c r="H136" s="217" t="s">
        <v>938</v>
      </c>
      <c r="I136" s="217" t="s">
        <v>29</v>
      </c>
      <c r="J136" s="217" t="s">
        <v>1857</v>
      </c>
      <c r="K136" s="217">
        <v>3</v>
      </c>
      <c r="L136" s="217">
        <v>23</v>
      </c>
      <c r="M136" s="217" t="s">
        <v>31</v>
      </c>
      <c r="N136" s="217" t="s">
        <v>32</v>
      </c>
      <c r="O136" s="217" t="s">
        <v>100</v>
      </c>
      <c r="P136" s="217" t="s">
        <v>34</v>
      </c>
      <c r="Q136" s="217" t="s">
        <v>35</v>
      </c>
      <c r="R136" s="217" t="s">
        <v>23</v>
      </c>
      <c r="S136" s="217" t="s">
        <v>22</v>
      </c>
      <c r="T136" s="217" t="s">
        <v>84</v>
      </c>
      <c r="U136" s="217" t="s">
        <v>85</v>
      </c>
      <c r="V136" s="217" t="s">
        <v>94</v>
      </c>
      <c r="W136" s="217" t="s">
        <v>95</v>
      </c>
    </row>
    <row r="137" spans="1:23" x14ac:dyDescent="0.25">
      <c r="A137" s="217" t="s">
        <v>22</v>
      </c>
      <c r="B137" s="217" t="s">
        <v>23</v>
      </c>
      <c r="C137" s="217" t="s">
        <v>85</v>
      </c>
      <c r="D137" s="217" t="s">
        <v>84</v>
      </c>
      <c r="E137" s="217" t="s">
        <v>95</v>
      </c>
      <c r="F137" s="217" t="s">
        <v>94</v>
      </c>
      <c r="G137" s="217" t="s">
        <v>271</v>
      </c>
      <c r="H137" s="217" t="s">
        <v>938</v>
      </c>
      <c r="I137" s="217" t="s">
        <v>29</v>
      </c>
      <c r="J137" s="217" t="s">
        <v>1858</v>
      </c>
      <c r="K137" s="217">
        <v>6</v>
      </c>
      <c r="L137" s="217">
        <v>44</v>
      </c>
      <c r="M137" s="217" t="s">
        <v>31</v>
      </c>
      <c r="N137" s="217" t="s">
        <v>32</v>
      </c>
      <c r="O137" s="217" t="s">
        <v>68</v>
      </c>
      <c r="P137" s="217" t="s">
        <v>34</v>
      </c>
      <c r="Q137" s="217" t="s">
        <v>35</v>
      </c>
      <c r="R137" s="217" t="s">
        <v>23</v>
      </c>
      <c r="S137" s="217" t="s">
        <v>22</v>
      </c>
      <c r="T137" s="217" t="s">
        <v>84</v>
      </c>
      <c r="U137" s="217" t="s">
        <v>85</v>
      </c>
      <c r="V137" s="217" t="s">
        <v>109</v>
      </c>
      <c r="W137" s="217" t="s">
        <v>110</v>
      </c>
    </row>
    <row r="138" spans="1:23" x14ac:dyDescent="0.25">
      <c r="A138" s="217" t="s">
        <v>22</v>
      </c>
      <c r="B138" s="217" t="s">
        <v>23</v>
      </c>
      <c r="C138" s="217" t="s">
        <v>85</v>
      </c>
      <c r="D138" s="217" t="s">
        <v>84</v>
      </c>
      <c r="E138" s="217" t="s">
        <v>95</v>
      </c>
      <c r="F138" s="217" t="s">
        <v>94</v>
      </c>
      <c r="G138" s="217" t="s">
        <v>272</v>
      </c>
      <c r="H138" s="217" t="s">
        <v>939</v>
      </c>
      <c r="I138" s="217" t="s">
        <v>29</v>
      </c>
      <c r="J138" s="217" t="s">
        <v>1856</v>
      </c>
      <c r="K138" s="217">
        <v>7</v>
      </c>
      <c r="L138" s="217">
        <v>34</v>
      </c>
      <c r="M138" s="217" t="s">
        <v>31</v>
      </c>
      <c r="N138" s="217" t="s">
        <v>32</v>
      </c>
      <c r="O138" s="217" t="s">
        <v>68</v>
      </c>
      <c r="P138" s="217" t="s">
        <v>34</v>
      </c>
      <c r="Q138" s="217" t="s">
        <v>35</v>
      </c>
      <c r="R138" s="217" t="s">
        <v>23</v>
      </c>
      <c r="S138" s="217" t="s">
        <v>22</v>
      </c>
      <c r="T138" s="217" t="s">
        <v>84</v>
      </c>
      <c r="U138" s="217" t="s">
        <v>85</v>
      </c>
      <c r="V138" s="217" t="s">
        <v>109</v>
      </c>
      <c r="W138" s="217" t="s">
        <v>110</v>
      </c>
    </row>
    <row r="139" spans="1:23" x14ac:dyDescent="0.25">
      <c r="A139" s="217" t="s">
        <v>22</v>
      </c>
      <c r="B139" s="217" t="s">
        <v>23</v>
      </c>
      <c r="C139" s="217" t="s">
        <v>85</v>
      </c>
      <c r="D139" s="217" t="s">
        <v>84</v>
      </c>
      <c r="E139" s="217" t="s">
        <v>95</v>
      </c>
      <c r="F139" s="217" t="s">
        <v>94</v>
      </c>
      <c r="G139" s="217" t="s">
        <v>273</v>
      </c>
      <c r="H139" s="217" t="s">
        <v>940</v>
      </c>
      <c r="I139" s="217" t="s">
        <v>29</v>
      </c>
      <c r="J139" s="217" t="s">
        <v>1856</v>
      </c>
      <c r="K139" s="217">
        <v>3</v>
      </c>
      <c r="L139" s="217">
        <v>23</v>
      </c>
      <c r="M139" s="217" t="s">
        <v>31</v>
      </c>
      <c r="N139" s="217" t="s">
        <v>32</v>
      </c>
      <c r="O139" s="217" t="s">
        <v>68</v>
      </c>
      <c r="P139" s="217" t="s">
        <v>34</v>
      </c>
      <c r="Q139" s="217" t="s">
        <v>35</v>
      </c>
      <c r="R139" s="217" t="s">
        <v>23</v>
      </c>
      <c r="S139" s="217" t="s">
        <v>22</v>
      </c>
      <c r="T139" s="217" t="s">
        <v>84</v>
      </c>
      <c r="U139" s="217" t="s">
        <v>85</v>
      </c>
      <c r="V139" s="217" t="s">
        <v>109</v>
      </c>
      <c r="W139" s="217" t="s">
        <v>110</v>
      </c>
    </row>
    <row r="140" spans="1:23" x14ac:dyDescent="0.25">
      <c r="A140" s="217" t="s">
        <v>22</v>
      </c>
      <c r="B140" s="217" t="s">
        <v>23</v>
      </c>
      <c r="C140" s="217" t="s">
        <v>85</v>
      </c>
      <c r="D140" s="217" t="s">
        <v>84</v>
      </c>
      <c r="E140" s="217" t="s">
        <v>95</v>
      </c>
      <c r="F140" s="217" t="s">
        <v>94</v>
      </c>
      <c r="G140" s="217" t="s">
        <v>273</v>
      </c>
      <c r="H140" s="217" t="s">
        <v>940</v>
      </c>
      <c r="I140" s="217" t="s">
        <v>29</v>
      </c>
      <c r="J140" s="217" t="s">
        <v>1857</v>
      </c>
      <c r="K140" s="217">
        <v>2</v>
      </c>
      <c r="L140" s="217">
        <v>17</v>
      </c>
      <c r="M140" s="217" t="s">
        <v>31</v>
      </c>
      <c r="N140" s="217" t="s">
        <v>32</v>
      </c>
      <c r="O140" s="217" t="s">
        <v>68</v>
      </c>
      <c r="P140" s="217" t="s">
        <v>34</v>
      </c>
      <c r="Q140" s="217" t="s">
        <v>35</v>
      </c>
      <c r="R140" s="217" t="s">
        <v>23</v>
      </c>
      <c r="S140" s="217" t="s">
        <v>22</v>
      </c>
      <c r="T140" s="217" t="s">
        <v>84</v>
      </c>
      <c r="U140" s="217" t="s">
        <v>85</v>
      </c>
      <c r="V140" s="217" t="s">
        <v>109</v>
      </c>
      <c r="W140" s="217" t="s">
        <v>110</v>
      </c>
    </row>
    <row r="141" spans="1:23" x14ac:dyDescent="0.25">
      <c r="A141" s="217" t="s">
        <v>22</v>
      </c>
      <c r="B141" s="217" t="s">
        <v>23</v>
      </c>
      <c r="C141" s="217" t="s">
        <v>85</v>
      </c>
      <c r="D141" s="217" t="s">
        <v>84</v>
      </c>
      <c r="E141" s="217" t="s">
        <v>95</v>
      </c>
      <c r="F141" s="217" t="s">
        <v>94</v>
      </c>
      <c r="G141" s="217" t="s">
        <v>273</v>
      </c>
      <c r="H141" s="217" t="s">
        <v>940</v>
      </c>
      <c r="I141" s="217" t="s">
        <v>29</v>
      </c>
      <c r="J141" s="217" t="s">
        <v>1858</v>
      </c>
      <c r="K141" s="217">
        <v>17</v>
      </c>
      <c r="L141" s="217">
        <v>103</v>
      </c>
      <c r="M141" s="217" t="s">
        <v>31</v>
      </c>
      <c r="N141" s="217" t="s">
        <v>32</v>
      </c>
      <c r="O141" s="217" t="s">
        <v>68</v>
      </c>
      <c r="P141" s="217" t="s">
        <v>34</v>
      </c>
      <c r="Q141" s="217" t="s">
        <v>35</v>
      </c>
      <c r="R141" s="217" t="s">
        <v>23</v>
      </c>
      <c r="S141" s="217" t="s">
        <v>22</v>
      </c>
      <c r="T141" s="217" t="s">
        <v>84</v>
      </c>
      <c r="U141" s="217" t="s">
        <v>85</v>
      </c>
      <c r="V141" s="217" t="s">
        <v>91</v>
      </c>
      <c r="W141" s="217" t="s">
        <v>92</v>
      </c>
    </row>
    <row r="142" spans="1:23" x14ac:dyDescent="0.25">
      <c r="A142" s="217" t="s">
        <v>22</v>
      </c>
      <c r="B142" s="217" t="s">
        <v>23</v>
      </c>
      <c r="C142" s="217" t="s">
        <v>85</v>
      </c>
      <c r="D142" s="217" t="s">
        <v>84</v>
      </c>
      <c r="E142" s="217" t="s">
        <v>92</v>
      </c>
      <c r="F142" s="217" t="s">
        <v>91</v>
      </c>
      <c r="G142" s="217" t="s">
        <v>274</v>
      </c>
      <c r="H142" s="217" t="s">
        <v>941</v>
      </c>
      <c r="I142" s="217" t="s">
        <v>29</v>
      </c>
      <c r="J142" s="217" t="s">
        <v>1856</v>
      </c>
      <c r="K142" s="217">
        <v>6</v>
      </c>
      <c r="L142" s="217">
        <v>40</v>
      </c>
      <c r="M142" s="217" t="s">
        <v>31</v>
      </c>
      <c r="N142" s="217" t="s">
        <v>32</v>
      </c>
      <c r="O142" s="217" t="s">
        <v>100</v>
      </c>
      <c r="P142" s="217" t="s">
        <v>34</v>
      </c>
      <c r="Q142" s="217" t="s">
        <v>35</v>
      </c>
      <c r="R142" s="217" t="s">
        <v>23</v>
      </c>
      <c r="S142" s="217" t="s">
        <v>22</v>
      </c>
      <c r="T142" s="217" t="s">
        <v>84</v>
      </c>
      <c r="U142" s="217" t="s">
        <v>85</v>
      </c>
      <c r="V142" s="217" t="s">
        <v>91</v>
      </c>
      <c r="W142" s="217" t="s">
        <v>92</v>
      </c>
    </row>
    <row r="143" spans="1:23" x14ac:dyDescent="0.25">
      <c r="A143" s="217" t="s">
        <v>22</v>
      </c>
      <c r="B143" s="217" t="s">
        <v>23</v>
      </c>
      <c r="C143" s="217" t="s">
        <v>85</v>
      </c>
      <c r="D143" s="217" t="s">
        <v>84</v>
      </c>
      <c r="E143" s="217" t="s">
        <v>92</v>
      </c>
      <c r="F143" s="217" t="s">
        <v>91</v>
      </c>
      <c r="G143" s="217" t="s">
        <v>769</v>
      </c>
      <c r="H143" s="217" t="s">
        <v>942</v>
      </c>
      <c r="I143" s="217" t="s">
        <v>29</v>
      </c>
      <c r="J143" s="217" t="s">
        <v>1858</v>
      </c>
      <c r="K143" s="217">
        <v>48</v>
      </c>
      <c r="L143" s="217">
        <v>340</v>
      </c>
      <c r="M143" s="217" t="s">
        <v>31</v>
      </c>
      <c r="N143" s="217" t="s">
        <v>32</v>
      </c>
      <c r="O143" s="217" t="s">
        <v>100</v>
      </c>
      <c r="P143" s="217" t="s">
        <v>34</v>
      </c>
      <c r="Q143" s="217" t="s">
        <v>35</v>
      </c>
      <c r="R143" s="217" t="s">
        <v>23</v>
      </c>
      <c r="S143" s="217" t="s">
        <v>22</v>
      </c>
      <c r="T143" s="217" t="s">
        <v>84</v>
      </c>
      <c r="U143" s="217" t="s">
        <v>85</v>
      </c>
      <c r="V143" s="217" t="s">
        <v>91</v>
      </c>
      <c r="W143" s="217" t="s">
        <v>92</v>
      </c>
    </row>
    <row r="144" spans="1:23" x14ac:dyDescent="0.25">
      <c r="A144" s="217" t="s">
        <v>22</v>
      </c>
      <c r="B144" s="217" t="s">
        <v>23</v>
      </c>
      <c r="C144" s="217" t="s">
        <v>85</v>
      </c>
      <c r="D144" s="217" t="s">
        <v>84</v>
      </c>
      <c r="E144" s="217" t="s">
        <v>92</v>
      </c>
      <c r="F144" s="217" t="s">
        <v>91</v>
      </c>
      <c r="G144" s="217" t="s">
        <v>385</v>
      </c>
      <c r="H144" s="217" t="s">
        <v>943</v>
      </c>
      <c r="I144" s="217" t="s">
        <v>29</v>
      </c>
      <c r="J144" s="217" t="s">
        <v>1858</v>
      </c>
      <c r="K144" s="217">
        <v>30</v>
      </c>
      <c r="L144" s="217">
        <v>70</v>
      </c>
      <c r="M144" s="217" t="s">
        <v>31</v>
      </c>
      <c r="N144" s="217" t="s">
        <v>32</v>
      </c>
      <c r="O144" s="217" t="s">
        <v>100</v>
      </c>
      <c r="P144" s="217" t="s">
        <v>34</v>
      </c>
      <c r="Q144" s="217" t="s">
        <v>35</v>
      </c>
      <c r="R144" s="217" t="s">
        <v>23</v>
      </c>
      <c r="S144" s="217" t="s">
        <v>22</v>
      </c>
      <c r="T144" s="217" t="s">
        <v>84</v>
      </c>
      <c r="U144" s="217" t="s">
        <v>85</v>
      </c>
      <c r="V144" s="217" t="s">
        <v>91</v>
      </c>
      <c r="W144" s="217" t="s">
        <v>92</v>
      </c>
    </row>
    <row r="145" spans="1:23" x14ac:dyDescent="0.25">
      <c r="A145" s="217" t="s">
        <v>22</v>
      </c>
      <c r="B145" s="217" t="s">
        <v>23</v>
      </c>
      <c r="C145" s="217" t="s">
        <v>85</v>
      </c>
      <c r="D145" s="217" t="s">
        <v>84</v>
      </c>
      <c r="E145" s="217" t="s">
        <v>92</v>
      </c>
      <c r="F145" s="217" t="s">
        <v>91</v>
      </c>
      <c r="G145" s="217" t="s">
        <v>275</v>
      </c>
      <c r="H145" s="217" t="s">
        <v>944</v>
      </c>
      <c r="I145" s="217" t="s">
        <v>29</v>
      </c>
      <c r="J145" s="217" t="s">
        <v>1858</v>
      </c>
      <c r="K145" s="217">
        <v>72</v>
      </c>
      <c r="L145" s="217">
        <v>402</v>
      </c>
      <c r="M145" s="217" t="s">
        <v>31</v>
      </c>
      <c r="N145" s="217" t="s">
        <v>32</v>
      </c>
      <c r="O145" s="217" t="s">
        <v>100</v>
      </c>
      <c r="P145" s="217" t="s">
        <v>34</v>
      </c>
      <c r="Q145" s="217" t="s">
        <v>35</v>
      </c>
      <c r="R145" s="217" t="s">
        <v>23</v>
      </c>
      <c r="S145" s="217" t="s">
        <v>22</v>
      </c>
      <c r="T145" s="217" t="s">
        <v>84</v>
      </c>
      <c r="U145" s="217" t="s">
        <v>85</v>
      </c>
      <c r="V145" s="217" t="s">
        <v>91</v>
      </c>
      <c r="W145" s="217" t="s">
        <v>92</v>
      </c>
    </row>
    <row r="146" spans="1:23" x14ac:dyDescent="0.25">
      <c r="A146" s="217" t="s">
        <v>22</v>
      </c>
      <c r="B146" s="217" t="s">
        <v>23</v>
      </c>
      <c r="C146" s="217" t="s">
        <v>85</v>
      </c>
      <c r="D146" s="217" t="s">
        <v>84</v>
      </c>
      <c r="E146" s="217" t="s">
        <v>92</v>
      </c>
      <c r="F146" s="217" t="s">
        <v>91</v>
      </c>
      <c r="G146" s="217" t="s">
        <v>276</v>
      </c>
      <c r="H146" s="217" t="s">
        <v>945</v>
      </c>
      <c r="I146" s="217" t="s">
        <v>29</v>
      </c>
      <c r="J146" s="217" t="s">
        <v>1857</v>
      </c>
      <c r="K146" s="217">
        <v>10</v>
      </c>
      <c r="L146" s="217">
        <v>70</v>
      </c>
      <c r="M146" s="217" t="s">
        <v>31</v>
      </c>
      <c r="N146" s="217" t="s">
        <v>32</v>
      </c>
      <c r="O146" s="217" t="s">
        <v>100</v>
      </c>
      <c r="P146" s="217" t="s">
        <v>34</v>
      </c>
      <c r="Q146" s="217" t="s">
        <v>35</v>
      </c>
      <c r="R146" s="217" t="s">
        <v>23</v>
      </c>
      <c r="S146" s="217" t="s">
        <v>22</v>
      </c>
      <c r="T146" s="217" t="s">
        <v>84</v>
      </c>
      <c r="U146" s="217" t="s">
        <v>85</v>
      </c>
      <c r="V146" s="217" t="s">
        <v>91</v>
      </c>
      <c r="W146" s="217" t="s">
        <v>92</v>
      </c>
    </row>
    <row r="147" spans="1:23" x14ac:dyDescent="0.25">
      <c r="A147" s="217" t="s">
        <v>22</v>
      </c>
      <c r="B147" s="217" t="s">
        <v>23</v>
      </c>
      <c r="C147" s="217" t="s">
        <v>85</v>
      </c>
      <c r="D147" s="217" t="s">
        <v>84</v>
      </c>
      <c r="E147" s="217" t="s">
        <v>92</v>
      </c>
      <c r="F147" s="217" t="s">
        <v>91</v>
      </c>
      <c r="G147" s="217" t="s">
        <v>280</v>
      </c>
      <c r="H147" s="217" t="s">
        <v>948</v>
      </c>
      <c r="I147" s="217" t="s">
        <v>29</v>
      </c>
      <c r="J147" s="217" t="s">
        <v>1856</v>
      </c>
      <c r="K147" s="217">
        <v>732</v>
      </c>
      <c r="L147" s="217">
        <v>3848</v>
      </c>
      <c r="M147" s="217" t="s">
        <v>31</v>
      </c>
      <c r="N147" s="217" t="s">
        <v>32</v>
      </c>
      <c r="O147" s="217" t="s">
        <v>100</v>
      </c>
      <c r="P147" s="217" t="s">
        <v>34</v>
      </c>
      <c r="Q147" s="217" t="s">
        <v>35</v>
      </c>
      <c r="R147" s="217" t="s">
        <v>23</v>
      </c>
      <c r="S147" s="217" t="s">
        <v>22</v>
      </c>
      <c r="T147" s="217" t="s">
        <v>84</v>
      </c>
      <c r="U147" s="217" t="s">
        <v>85</v>
      </c>
      <c r="V147" s="217" t="s">
        <v>91</v>
      </c>
      <c r="W147" s="217" t="s">
        <v>92</v>
      </c>
    </row>
    <row r="148" spans="1:23" x14ac:dyDescent="0.25">
      <c r="A148" s="217" t="s">
        <v>22</v>
      </c>
      <c r="B148" s="217" t="s">
        <v>23</v>
      </c>
      <c r="C148" s="217" t="s">
        <v>85</v>
      </c>
      <c r="D148" s="217" t="s">
        <v>84</v>
      </c>
      <c r="E148" s="217" t="s">
        <v>92</v>
      </c>
      <c r="F148" s="217" t="s">
        <v>91</v>
      </c>
      <c r="G148" s="217" t="s">
        <v>280</v>
      </c>
      <c r="H148" s="217" t="s">
        <v>948</v>
      </c>
      <c r="I148" s="217" t="s">
        <v>29</v>
      </c>
      <c r="J148" s="217" t="s">
        <v>1857</v>
      </c>
      <c r="K148" s="217">
        <v>1524</v>
      </c>
      <c r="L148" s="217">
        <v>8255</v>
      </c>
      <c r="M148" s="217" t="s">
        <v>31</v>
      </c>
      <c r="N148" s="217" t="s">
        <v>32</v>
      </c>
      <c r="O148" s="217" t="s">
        <v>100</v>
      </c>
      <c r="P148" s="217" t="s">
        <v>34</v>
      </c>
      <c r="Q148" s="217" t="s">
        <v>35</v>
      </c>
      <c r="R148" s="217" t="s">
        <v>23</v>
      </c>
      <c r="S148" s="217" t="s">
        <v>22</v>
      </c>
      <c r="T148" s="217" t="s">
        <v>84</v>
      </c>
      <c r="U148" s="217" t="s">
        <v>85</v>
      </c>
      <c r="V148" s="217" t="s">
        <v>91</v>
      </c>
      <c r="W148" s="217" t="s">
        <v>92</v>
      </c>
    </row>
    <row r="149" spans="1:23" x14ac:dyDescent="0.25">
      <c r="A149" s="217" t="s">
        <v>22</v>
      </c>
      <c r="B149" s="217" t="s">
        <v>23</v>
      </c>
      <c r="C149" s="217" t="s">
        <v>85</v>
      </c>
      <c r="D149" s="217" t="s">
        <v>84</v>
      </c>
      <c r="E149" s="217" t="s">
        <v>92</v>
      </c>
      <c r="F149" s="217" t="s">
        <v>91</v>
      </c>
      <c r="G149" s="217" t="s">
        <v>280</v>
      </c>
      <c r="H149" s="217" t="s">
        <v>948</v>
      </c>
      <c r="I149" s="217" t="s">
        <v>29</v>
      </c>
      <c r="J149" s="217" t="s">
        <v>1858</v>
      </c>
      <c r="K149" s="217">
        <v>85</v>
      </c>
      <c r="L149" s="217">
        <v>759</v>
      </c>
      <c r="M149" s="217" t="s">
        <v>31</v>
      </c>
      <c r="N149" s="217" t="s">
        <v>32</v>
      </c>
      <c r="O149" s="217" t="s">
        <v>100</v>
      </c>
      <c r="P149" s="217" t="s">
        <v>34</v>
      </c>
      <c r="Q149" s="217" t="s">
        <v>35</v>
      </c>
      <c r="R149" s="217" t="s">
        <v>23</v>
      </c>
      <c r="S149" s="217" t="s">
        <v>22</v>
      </c>
      <c r="T149" s="217" t="s">
        <v>84</v>
      </c>
      <c r="U149" s="217" t="s">
        <v>85</v>
      </c>
      <c r="V149" s="217" t="s">
        <v>91</v>
      </c>
      <c r="W149" s="217" t="s">
        <v>92</v>
      </c>
    </row>
    <row r="150" spans="1:23" x14ac:dyDescent="0.25">
      <c r="A150" s="217" t="s">
        <v>22</v>
      </c>
      <c r="B150" s="217" t="s">
        <v>23</v>
      </c>
      <c r="C150" s="217" t="s">
        <v>85</v>
      </c>
      <c r="D150" s="217" t="s">
        <v>84</v>
      </c>
      <c r="E150" s="217" t="s">
        <v>92</v>
      </c>
      <c r="F150" s="217" t="s">
        <v>91</v>
      </c>
      <c r="G150" s="217" t="s">
        <v>1816</v>
      </c>
      <c r="H150" s="217" t="s">
        <v>1815</v>
      </c>
      <c r="I150" s="217" t="s">
        <v>29</v>
      </c>
      <c r="J150" s="217" t="s">
        <v>1858</v>
      </c>
      <c r="K150" s="217">
        <v>45</v>
      </c>
      <c r="L150" s="217">
        <v>200</v>
      </c>
      <c r="M150" s="217" t="s">
        <v>31</v>
      </c>
      <c r="N150" s="217" t="s">
        <v>32</v>
      </c>
      <c r="O150" s="217" t="s">
        <v>100</v>
      </c>
      <c r="P150" s="217" t="s">
        <v>34</v>
      </c>
      <c r="Q150" s="217" t="s">
        <v>35</v>
      </c>
      <c r="R150" s="217" t="s">
        <v>23</v>
      </c>
      <c r="S150" s="217" t="s">
        <v>22</v>
      </c>
      <c r="T150" s="217" t="s">
        <v>84</v>
      </c>
      <c r="U150" s="217" t="s">
        <v>85</v>
      </c>
      <c r="V150" s="217" t="s">
        <v>91</v>
      </c>
      <c r="W150" s="217" t="s">
        <v>92</v>
      </c>
    </row>
    <row r="151" spans="1:23" x14ac:dyDescent="0.25">
      <c r="A151" s="217" t="s">
        <v>22</v>
      </c>
      <c r="B151" s="217" t="s">
        <v>23</v>
      </c>
      <c r="C151" s="217" t="s">
        <v>85</v>
      </c>
      <c r="D151" s="217" t="s">
        <v>84</v>
      </c>
      <c r="E151" s="217" t="s">
        <v>92</v>
      </c>
      <c r="F151" s="217" t="s">
        <v>91</v>
      </c>
      <c r="G151" s="217" t="s">
        <v>768</v>
      </c>
      <c r="H151" s="217" t="s">
        <v>949</v>
      </c>
      <c r="I151" s="217" t="s">
        <v>29</v>
      </c>
      <c r="J151" s="217" t="s">
        <v>1856</v>
      </c>
      <c r="K151" s="217">
        <v>47</v>
      </c>
      <c r="L151" s="217">
        <v>205</v>
      </c>
      <c r="M151" s="217" t="s">
        <v>31</v>
      </c>
      <c r="N151" s="217" t="s">
        <v>32</v>
      </c>
      <c r="O151" s="217" t="s">
        <v>100</v>
      </c>
      <c r="P151" s="217" t="s">
        <v>34</v>
      </c>
      <c r="Q151" s="217" t="s">
        <v>35</v>
      </c>
      <c r="R151" s="217" t="s">
        <v>23</v>
      </c>
      <c r="S151" s="217" t="s">
        <v>22</v>
      </c>
      <c r="T151" s="217" t="s">
        <v>84</v>
      </c>
      <c r="U151" s="217" t="s">
        <v>85</v>
      </c>
      <c r="V151" s="217" t="s">
        <v>91</v>
      </c>
      <c r="W151" s="217" t="s">
        <v>92</v>
      </c>
    </row>
    <row r="152" spans="1:23" x14ac:dyDescent="0.25">
      <c r="A152" s="217" t="s">
        <v>22</v>
      </c>
      <c r="B152" s="217" t="s">
        <v>23</v>
      </c>
      <c r="C152" s="217" t="s">
        <v>85</v>
      </c>
      <c r="D152" s="217" t="s">
        <v>84</v>
      </c>
      <c r="E152" s="217" t="s">
        <v>92</v>
      </c>
      <c r="F152" s="217" t="s">
        <v>91</v>
      </c>
      <c r="G152" s="217" t="s">
        <v>950</v>
      </c>
      <c r="H152" s="217" t="s">
        <v>951</v>
      </c>
      <c r="I152" s="217" t="s">
        <v>29</v>
      </c>
      <c r="J152" s="217" t="s">
        <v>1857</v>
      </c>
      <c r="K152" s="217">
        <v>10</v>
      </c>
      <c r="L152" s="217">
        <v>97</v>
      </c>
      <c r="M152" s="217" t="s">
        <v>31</v>
      </c>
      <c r="N152" s="217" t="s">
        <v>32</v>
      </c>
      <c r="O152" s="217" t="s">
        <v>100</v>
      </c>
      <c r="P152" s="217" t="s">
        <v>34</v>
      </c>
      <c r="Q152" s="217" t="s">
        <v>35</v>
      </c>
      <c r="R152" s="217" t="s">
        <v>23</v>
      </c>
      <c r="S152" s="217" t="s">
        <v>22</v>
      </c>
      <c r="T152" s="217" t="s">
        <v>84</v>
      </c>
      <c r="U152" s="217" t="s">
        <v>85</v>
      </c>
      <c r="V152" s="217" t="s">
        <v>91</v>
      </c>
      <c r="W152" s="217" t="s">
        <v>92</v>
      </c>
    </row>
    <row r="153" spans="1:23" x14ac:dyDescent="0.25">
      <c r="A153" s="217" t="s">
        <v>22</v>
      </c>
      <c r="B153" s="217" t="s">
        <v>23</v>
      </c>
      <c r="C153" s="217" t="s">
        <v>85</v>
      </c>
      <c r="D153" s="217" t="s">
        <v>84</v>
      </c>
      <c r="E153" s="217" t="s">
        <v>92</v>
      </c>
      <c r="F153" s="217" t="s">
        <v>91</v>
      </c>
      <c r="G153" s="217" t="s">
        <v>952</v>
      </c>
      <c r="H153" s="217" t="s">
        <v>953</v>
      </c>
      <c r="I153" s="217" t="s">
        <v>29</v>
      </c>
      <c r="J153" s="217" t="s">
        <v>1857</v>
      </c>
      <c r="K153" s="217">
        <v>15</v>
      </c>
      <c r="L153" s="217">
        <v>35</v>
      </c>
      <c r="M153" s="217" t="s">
        <v>31</v>
      </c>
      <c r="N153" s="217" t="s">
        <v>32</v>
      </c>
      <c r="O153" s="217" t="s">
        <v>100</v>
      </c>
      <c r="P153" s="217" t="s">
        <v>34</v>
      </c>
      <c r="Q153" s="217" t="s">
        <v>35</v>
      </c>
      <c r="R153" s="217" t="s">
        <v>23</v>
      </c>
      <c r="S153" s="217" t="s">
        <v>22</v>
      </c>
      <c r="T153" s="217" t="s">
        <v>84</v>
      </c>
      <c r="U153" s="217" t="s">
        <v>85</v>
      </c>
      <c r="V153" s="217" t="s">
        <v>91</v>
      </c>
      <c r="W153" s="217" t="s">
        <v>92</v>
      </c>
    </row>
    <row r="154" spans="1:23" x14ac:dyDescent="0.25">
      <c r="A154" s="217" t="s">
        <v>22</v>
      </c>
      <c r="B154" s="217" t="s">
        <v>23</v>
      </c>
      <c r="C154" s="217" t="s">
        <v>85</v>
      </c>
      <c r="D154" s="217" t="s">
        <v>84</v>
      </c>
      <c r="E154" s="217" t="s">
        <v>92</v>
      </c>
      <c r="F154" s="217" t="s">
        <v>91</v>
      </c>
      <c r="G154" s="217" t="s">
        <v>1814</v>
      </c>
      <c r="H154" s="217" t="s">
        <v>1813</v>
      </c>
      <c r="I154" s="217" t="s">
        <v>29</v>
      </c>
      <c r="J154" s="217" t="s">
        <v>1858</v>
      </c>
      <c r="K154" s="217">
        <v>12</v>
      </c>
      <c r="L154" s="217">
        <v>90</v>
      </c>
      <c r="M154" s="217" t="s">
        <v>31</v>
      </c>
      <c r="N154" s="217" t="s">
        <v>32</v>
      </c>
      <c r="O154" s="217" t="s">
        <v>100</v>
      </c>
      <c r="P154" s="217" t="s">
        <v>34</v>
      </c>
      <c r="Q154" s="217" t="s">
        <v>35</v>
      </c>
      <c r="R154" s="217" t="s">
        <v>23</v>
      </c>
      <c r="S154" s="217" t="s">
        <v>22</v>
      </c>
      <c r="T154" s="217" t="s">
        <v>84</v>
      </c>
      <c r="U154" s="217" t="s">
        <v>85</v>
      </c>
      <c r="V154" s="217" t="s">
        <v>91</v>
      </c>
      <c r="W154" s="217" t="s">
        <v>92</v>
      </c>
    </row>
    <row r="155" spans="1:23" x14ac:dyDescent="0.25">
      <c r="A155" s="217" t="s">
        <v>22</v>
      </c>
      <c r="B155" s="217" t="s">
        <v>23</v>
      </c>
      <c r="C155" s="217" t="s">
        <v>85</v>
      </c>
      <c r="D155" s="217" t="s">
        <v>84</v>
      </c>
      <c r="E155" s="217" t="s">
        <v>92</v>
      </c>
      <c r="F155" s="217" t="s">
        <v>91</v>
      </c>
      <c r="G155" s="217" t="s">
        <v>954</v>
      </c>
      <c r="H155" s="217" t="s">
        <v>955</v>
      </c>
      <c r="I155" s="217" t="s">
        <v>29</v>
      </c>
      <c r="J155" s="217" t="s">
        <v>1858</v>
      </c>
      <c r="K155" s="217">
        <v>55</v>
      </c>
      <c r="L155" s="217">
        <v>440</v>
      </c>
      <c r="M155" s="217" t="s">
        <v>31</v>
      </c>
      <c r="N155" s="217" t="s">
        <v>32</v>
      </c>
      <c r="O155" s="217" t="s">
        <v>100</v>
      </c>
      <c r="P155" s="217" t="s">
        <v>34</v>
      </c>
      <c r="Q155" s="217" t="s">
        <v>35</v>
      </c>
      <c r="R155" s="217" t="s">
        <v>23</v>
      </c>
      <c r="S155" s="217" t="s">
        <v>22</v>
      </c>
      <c r="T155" s="217" t="s">
        <v>84</v>
      </c>
      <c r="U155" s="217" t="s">
        <v>85</v>
      </c>
      <c r="V155" s="217" t="s">
        <v>91</v>
      </c>
      <c r="W155" s="217" t="s">
        <v>92</v>
      </c>
    </row>
    <row r="156" spans="1:23" x14ac:dyDescent="0.25">
      <c r="A156" s="217" t="s">
        <v>22</v>
      </c>
      <c r="B156" s="217" t="s">
        <v>23</v>
      </c>
      <c r="C156" s="217" t="s">
        <v>85</v>
      </c>
      <c r="D156" s="217" t="s">
        <v>84</v>
      </c>
      <c r="E156" s="217" t="s">
        <v>92</v>
      </c>
      <c r="F156" s="217" t="s">
        <v>91</v>
      </c>
      <c r="G156" s="217" t="s">
        <v>281</v>
      </c>
      <c r="H156" s="217" t="s">
        <v>956</v>
      </c>
      <c r="I156" s="217" t="s">
        <v>29</v>
      </c>
      <c r="J156" s="217" t="s">
        <v>1856</v>
      </c>
      <c r="K156" s="217">
        <v>10</v>
      </c>
      <c r="L156" s="217">
        <v>53</v>
      </c>
      <c r="M156" s="217" t="s">
        <v>31</v>
      </c>
      <c r="N156" s="217" t="s">
        <v>32</v>
      </c>
      <c r="O156" s="217" t="s">
        <v>100</v>
      </c>
      <c r="P156" s="217" t="s">
        <v>34</v>
      </c>
      <c r="Q156" s="217" t="s">
        <v>35</v>
      </c>
      <c r="R156" s="217" t="s">
        <v>23</v>
      </c>
      <c r="S156" s="217" t="s">
        <v>22</v>
      </c>
      <c r="T156" s="217" t="s">
        <v>84</v>
      </c>
      <c r="U156" s="217" t="s">
        <v>85</v>
      </c>
      <c r="V156" s="217" t="s">
        <v>91</v>
      </c>
      <c r="W156" s="217" t="s">
        <v>92</v>
      </c>
    </row>
    <row r="157" spans="1:23" x14ac:dyDescent="0.25">
      <c r="A157" s="217" t="s">
        <v>22</v>
      </c>
      <c r="B157" s="217" t="s">
        <v>23</v>
      </c>
      <c r="C157" s="217" t="s">
        <v>85</v>
      </c>
      <c r="D157" s="217" t="s">
        <v>84</v>
      </c>
      <c r="E157" s="217" t="s">
        <v>92</v>
      </c>
      <c r="F157" s="217" t="s">
        <v>91</v>
      </c>
      <c r="G157" s="217" t="s">
        <v>285</v>
      </c>
      <c r="H157" s="217" t="s">
        <v>959</v>
      </c>
      <c r="I157" s="217" t="s">
        <v>29</v>
      </c>
      <c r="J157" s="217" t="s">
        <v>1856</v>
      </c>
      <c r="K157" s="217">
        <v>21</v>
      </c>
      <c r="L157" s="217">
        <v>215</v>
      </c>
      <c r="M157" s="217" t="s">
        <v>31</v>
      </c>
      <c r="N157" s="217" t="s">
        <v>32</v>
      </c>
      <c r="O157" s="217" t="s">
        <v>100</v>
      </c>
      <c r="P157" s="217" t="s">
        <v>34</v>
      </c>
      <c r="Q157" s="217" t="s">
        <v>35</v>
      </c>
      <c r="R157" s="217" t="s">
        <v>23</v>
      </c>
      <c r="S157" s="217" t="s">
        <v>22</v>
      </c>
      <c r="T157" s="217" t="s">
        <v>84</v>
      </c>
      <c r="U157" s="217" t="s">
        <v>85</v>
      </c>
      <c r="V157" s="217" t="s">
        <v>91</v>
      </c>
      <c r="W157" s="217" t="s">
        <v>92</v>
      </c>
    </row>
    <row r="158" spans="1:23" x14ac:dyDescent="0.25">
      <c r="A158" s="217" t="s">
        <v>22</v>
      </c>
      <c r="B158" s="217" t="s">
        <v>23</v>
      </c>
      <c r="C158" s="217" t="s">
        <v>85</v>
      </c>
      <c r="D158" s="217" t="s">
        <v>84</v>
      </c>
      <c r="E158" s="217" t="s">
        <v>92</v>
      </c>
      <c r="F158" s="217" t="s">
        <v>91</v>
      </c>
      <c r="G158" s="217" t="s">
        <v>960</v>
      </c>
      <c r="H158" s="217" t="s">
        <v>961</v>
      </c>
      <c r="I158" s="217" t="s">
        <v>29</v>
      </c>
      <c r="J158" s="217" t="s">
        <v>1858</v>
      </c>
      <c r="K158" s="217">
        <v>18</v>
      </c>
      <c r="L158" s="217">
        <v>144</v>
      </c>
      <c r="M158" s="217" t="s">
        <v>31</v>
      </c>
      <c r="N158" s="217" t="s">
        <v>32</v>
      </c>
      <c r="O158" s="217" t="s">
        <v>100</v>
      </c>
      <c r="P158" s="217" t="s">
        <v>34</v>
      </c>
      <c r="Q158" s="217" t="s">
        <v>35</v>
      </c>
      <c r="R158" s="217" t="s">
        <v>23</v>
      </c>
      <c r="S158" s="217" t="s">
        <v>22</v>
      </c>
      <c r="T158" s="217" t="s">
        <v>84</v>
      </c>
      <c r="U158" s="217" t="s">
        <v>85</v>
      </c>
      <c r="V158" s="217" t="s">
        <v>91</v>
      </c>
      <c r="W158" s="217" t="s">
        <v>92</v>
      </c>
    </row>
    <row r="159" spans="1:23" x14ac:dyDescent="0.25">
      <c r="A159" s="217" t="s">
        <v>22</v>
      </c>
      <c r="B159" s="217" t="s">
        <v>23</v>
      </c>
      <c r="C159" s="217" t="s">
        <v>85</v>
      </c>
      <c r="D159" s="217" t="s">
        <v>84</v>
      </c>
      <c r="E159" s="217" t="s">
        <v>92</v>
      </c>
      <c r="F159" s="217" t="s">
        <v>91</v>
      </c>
      <c r="G159" s="217" t="s">
        <v>286</v>
      </c>
      <c r="H159" s="217" t="s">
        <v>962</v>
      </c>
      <c r="I159" s="217" t="s">
        <v>29</v>
      </c>
      <c r="J159" s="217" t="s">
        <v>1856</v>
      </c>
      <c r="K159" s="217">
        <v>74</v>
      </c>
      <c r="L159" s="217">
        <v>340</v>
      </c>
      <c r="M159" s="217" t="s">
        <v>31</v>
      </c>
      <c r="N159" s="217" t="s">
        <v>32</v>
      </c>
      <c r="O159" s="217" t="s">
        <v>100</v>
      </c>
      <c r="P159" s="217" t="s">
        <v>34</v>
      </c>
      <c r="Q159" s="217" t="s">
        <v>35</v>
      </c>
      <c r="R159" s="217" t="s">
        <v>23</v>
      </c>
      <c r="S159" s="217" t="s">
        <v>22</v>
      </c>
      <c r="T159" s="217" t="s">
        <v>84</v>
      </c>
      <c r="U159" s="217" t="s">
        <v>85</v>
      </c>
      <c r="V159" s="217" t="s">
        <v>91</v>
      </c>
      <c r="W159" s="217" t="s">
        <v>92</v>
      </c>
    </row>
    <row r="160" spans="1:23" x14ac:dyDescent="0.25">
      <c r="A160" s="217" t="s">
        <v>22</v>
      </c>
      <c r="B160" s="217" t="s">
        <v>23</v>
      </c>
      <c r="C160" s="217" t="s">
        <v>85</v>
      </c>
      <c r="D160" s="217" t="s">
        <v>84</v>
      </c>
      <c r="E160" s="217" t="s">
        <v>92</v>
      </c>
      <c r="F160" s="217" t="s">
        <v>91</v>
      </c>
      <c r="G160" s="217" t="s">
        <v>287</v>
      </c>
      <c r="H160" s="217" t="s">
        <v>963</v>
      </c>
      <c r="I160" s="217" t="s">
        <v>29</v>
      </c>
      <c r="J160" s="217" t="s">
        <v>1856</v>
      </c>
      <c r="K160" s="217">
        <v>86</v>
      </c>
      <c r="L160" s="217">
        <v>421</v>
      </c>
      <c r="M160" s="217" t="s">
        <v>31</v>
      </c>
      <c r="N160" s="217" t="s">
        <v>32</v>
      </c>
      <c r="O160" s="217" t="s">
        <v>100</v>
      </c>
      <c r="P160" s="217" t="s">
        <v>34</v>
      </c>
      <c r="Q160" s="217" t="s">
        <v>35</v>
      </c>
      <c r="R160" s="217" t="s">
        <v>23</v>
      </c>
      <c r="S160" s="217" t="s">
        <v>22</v>
      </c>
      <c r="T160" s="217" t="s">
        <v>84</v>
      </c>
      <c r="U160" s="217" t="s">
        <v>85</v>
      </c>
      <c r="V160" s="217" t="s">
        <v>91</v>
      </c>
      <c r="W160" s="217" t="s">
        <v>92</v>
      </c>
    </row>
    <row r="161" spans="1:23" x14ac:dyDescent="0.25">
      <c r="A161" s="217" t="s">
        <v>22</v>
      </c>
      <c r="B161" s="217" t="s">
        <v>23</v>
      </c>
      <c r="C161" s="217" t="s">
        <v>85</v>
      </c>
      <c r="D161" s="217" t="s">
        <v>84</v>
      </c>
      <c r="E161" s="217" t="s">
        <v>92</v>
      </c>
      <c r="F161" s="217" t="s">
        <v>91</v>
      </c>
      <c r="G161" s="217" t="s">
        <v>1812</v>
      </c>
      <c r="H161" s="217" t="s">
        <v>1811</v>
      </c>
      <c r="I161" s="217" t="s">
        <v>29</v>
      </c>
      <c r="J161" s="217" t="s">
        <v>1858</v>
      </c>
      <c r="K161" s="217">
        <v>7</v>
      </c>
      <c r="L161" s="217">
        <v>50</v>
      </c>
      <c r="M161" s="217" t="s">
        <v>31</v>
      </c>
      <c r="N161" s="217" t="s">
        <v>32</v>
      </c>
      <c r="O161" s="217" t="s">
        <v>100</v>
      </c>
      <c r="P161" s="217" t="s">
        <v>34</v>
      </c>
      <c r="Q161" s="217" t="s">
        <v>35</v>
      </c>
      <c r="R161" s="217" t="s">
        <v>23</v>
      </c>
      <c r="S161" s="217" t="s">
        <v>22</v>
      </c>
      <c r="T161" s="217" t="s">
        <v>84</v>
      </c>
      <c r="U161" s="217" t="s">
        <v>85</v>
      </c>
      <c r="V161" s="217" t="s">
        <v>91</v>
      </c>
      <c r="W161" s="217" t="s">
        <v>92</v>
      </c>
    </row>
    <row r="162" spans="1:23" x14ac:dyDescent="0.25">
      <c r="A162" s="217" t="s">
        <v>22</v>
      </c>
      <c r="B162" s="217" t="s">
        <v>23</v>
      </c>
      <c r="C162" s="217" t="s">
        <v>85</v>
      </c>
      <c r="D162" s="217" t="s">
        <v>84</v>
      </c>
      <c r="E162" s="217" t="s">
        <v>92</v>
      </c>
      <c r="F162" s="217" t="s">
        <v>91</v>
      </c>
      <c r="G162" s="217" t="s">
        <v>289</v>
      </c>
      <c r="H162" s="217" t="s">
        <v>965</v>
      </c>
      <c r="I162" s="217" t="s">
        <v>29</v>
      </c>
      <c r="J162" s="217" t="s">
        <v>1856</v>
      </c>
      <c r="K162" s="217">
        <v>57</v>
      </c>
      <c r="L162" s="217">
        <v>253</v>
      </c>
      <c r="M162" s="217" t="s">
        <v>31</v>
      </c>
      <c r="N162" s="217" t="s">
        <v>32</v>
      </c>
      <c r="O162" s="217" t="s">
        <v>100</v>
      </c>
      <c r="P162" s="217" t="s">
        <v>34</v>
      </c>
      <c r="Q162" s="217" t="s">
        <v>35</v>
      </c>
      <c r="R162" s="217" t="s">
        <v>23</v>
      </c>
      <c r="S162" s="217" t="s">
        <v>22</v>
      </c>
      <c r="T162" s="217" t="s">
        <v>84</v>
      </c>
      <c r="U162" s="217" t="s">
        <v>85</v>
      </c>
      <c r="V162" s="217" t="s">
        <v>91</v>
      </c>
      <c r="W162" s="217" t="s">
        <v>92</v>
      </c>
    </row>
    <row r="163" spans="1:23" x14ac:dyDescent="0.25">
      <c r="A163" s="217" t="s">
        <v>22</v>
      </c>
      <c r="B163" s="217" t="s">
        <v>23</v>
      </c>
      <c r="C163" s="217" t="s">
        <v>85</v>
      </c>
      <c r="D163" s="217" t="s">
        <v>84</v>
      </c>
      <c r="E163" s="217" t="s">
        <v>92</v>
      </c>
      <c r="F163" s="217" t="s">
        <v>91</v>
      </c>
      <c r="G163" s="217" t="s">
        <v>966</v>
      </c>
      <c r="H163" s="217" t="s">
        <v>967</v>
      </c>
      <c r="I163" s="217" t="s">
        <v>29</v>
      </c>
      <c r="J163" s="217" t="s">
        <v>1858</v>
      </c>
      <c r="K163" s="217">
        <v>36</v>
      </c>
      <c r="L163" s="217">
        <v>150</v>
      </c>
      <c r="M163" s="217" t="s">
        <v>31</v>
      </c>
      <c r="N163" s="217" t="s">
        <v>32</v>
      </c>
      <c r="O163" s="217" t="s">
        <v>100</v>
      </c>
      <c r="P163" s="217" t="s">
        <v>34</v>
      </c>
      <c r="Q163" s="217" t="s">
        <v>35</v>
      </c>
      <c r="R163" s="217" t="s">
        <v>23</v>
      </c>
      <c r="S163" s="217" t="s">
        <v>22</v>
      </c>
      <c r="T163" s="217" t="s">
        <v>84</v>
      </c>
      <c r="U163" s="217" t="s">
        <v>85</v>
      </c>
      <c r="V163" s="217" t="s">
        <v>91</v>
      </c>
      <c r="W163" s="217" t="s">
        <v>92</v>
      </c>
    </row>
    <row r="164" spans="1:23" x14ac:dyDescent="0.25">
      <c r="A164" s="217" t="s">
        <v>22</v>
      </c>
      <c r="B164" s="217" t="s">
        <v>23</v>
      </c>
      <c r="C164" s="217" t="s">
        <v>85</v>
      </c>
      <c r="D164" s="217" t="s">
        <v>84</v>
      </c>
      <c r="E164" s="217" t="s">
        <v>92</v>
      </c>
      <c r="F164" s="217" t="s">
        <v>91</v>
      </c>
      <c r="G164" s="217" t="s">
        <v>290</v>
      </c>
      <c r="H164" s="217" t="s">
        <v>968</v>
      </c>
      <c r="I164" s="217" t="s">
        <v>29</v>
      </c>
      <c r="J164" s="217" t="s">
        <v>1858</v>
      </c>
      <c r="K164" s="217">
        <v>8</v>
      </c>
      <c r="L164" s="217">
        <v>37</v>
      </c>
      <c r="M164" s="217" t="s">
        <v>31</v>
      </c>
      <c r="N164" s="217" t="s">
        <v>32</v>
      </c>
      <c r="O164" s="217" t="s">
        <v>100</v>
      </c>
      <c r="P164" s="217" t="s">
        <v>34</v>
      </c>
      <c r="Q164" s="217" t="s">
        <v>35</v>
      </c>
      <c r="R164" s="217" t="s">
        <v>23</v>
      </c>
      <c r="S164" s="217" t="s">
        <v>22</v>
      </c>
      <c r="T164" s="217" t="s">
        <v>84</v>
      </c>
      <c r="U164" s="217" t="s">
        <v>85</v>
      </c>
      <c r="V164" s="217" t="s">
        <v>91</v>
      </c>
      <c r="W164" s="217" t="s">
        <v>92</v>
      </c>
    </row>
    <row r="165" spans="1:23" x14ac:dyDescent="0.25">
      <c r="A165" s="217" t="s">
        <v>22</v>
      </c>
      <c r="B165" s="217" t="s">
        <v>23</v>
      </c>
      <c r="C165" s="217" t="s">
        <v>85</v>
      </c>
      <c r="D165" s="217" t="s">
        <v>84</v>
      </c>
      <c r="E165" s="217" t="s">
        <v>92</v>
      </c>
      <c r="F165" s="217" t="s">
        <v>91</v>
      </c>
      <c r="G165" s="217" t="s">
        <v>1818</v>
      </c>
      <c r="H165" s="217" t="s">
        <v>1817</v>
      </c>
      <c r="I165" s="217" t="s">
        <v>29</v>
      </c>
      <c r="J165" s="217" t="s">
        <v>1858</v>
      </c>
      <c r="K165" s="217">
        <v>49</v>
      </c>
      <c r="L165" s="217">
        <v>225</v>
      </c>
      <c r="M165" s="217" t="s">
        <v>31</v>
      </c>
      <c r="N165" s="217" t="s">
        <v>32</v>
      </c>
      <c r="O165" s="217" t="s">
        <v>100</v>
      </c>
      <c r="P165" s="217" t="s">
        <v>34</v>
      </c>
      <c r="Q165" s="217" t="s">
        <v>35</v>
      </c>
      <c r="R165" s="217" t="s">
        <v>23</v>
      </c>
      <c r="S165" s="217" t="s">
        <v>22</v>
      </c>
      <c r="T165" s="217" t="s">
        <v>84</v>
      </c>
      <c r="U165" s="217" t="s">
        <v>85</v>
      </c>
      <c r="V165" s="217" t="s">
        <v>91</v>
      </c>
      <c r="W165" s="217" t="s">
        <v>92</v>
      </c>
    </row>
    <row r="166" spans="1:23" x14ac:dyDescent="0.25">
      <c r="A166" s="217" t="s">
        <v>22</v>
      </c>
      <c r="B166" s="217" t="s">
        <v>23</v>
      </c>
      <c r="C166" s="217" t="s">
        <v>85</v>
      </c>
      <c r="D166" s="217" t="s">
        <v>84</v>
      </c>
      <c r="E166" s="217" t="s">
        <v>92</v>
      </c>
      <c r="F166" s="217" t="s">
        <v>91</v>
      </c>
      <c r="G166" s="217" t="s">
        <v>292</v>
      </c>
      <c r="H166" s="217" t="s">
        <v>970</v>
      </c>
      <c r="I166" s="217" t="s">
        <v>29</v>
      </c>
      <c r="J166" s="217" t="s">
        <v>1857</v>
      </c>
      <c r="K166" s="217">
        <v>9</v>
      </c>
      <c r="L166" s="217">
        <v>72</v>
      </c>
      <c r="M166" s="217" t="s">
        <v>31</v>
      </c>
      <c r="N166" s="217" t="s">
        <v>32</v>
      </c>
      <c r="O166" s="217" t="s">
        <v>100</v>
      </c>
      <c r="P166" s="217" t="s">
        <v>34</v>
      </c>
      <c r="Q166" s="217" t="s">
        <v>35</v>
      </c>
      <c r="R166" s="217" t="s">
        <v>23</v>
      </c>
      <c r="S166" s="217" t="s">
        <v>22</v>
      </c>
      <c r="T166" s="217" t="s">
        <v>84</v>
      </c>
      <c r="U166" s="217" t="s">
        <v>85</v>
      </c>
      <c r="V166" s="217" t="s">
        <v>91</v>
      </c>
      <c r="W166" s="217" t="s">
        <v>92</v>
      </c>
    </row>
    <row r="167" spans="1:23" x14ac:dyDescent="0.25">
      <c r="A167" s="217" t="s">
        <v>22</v>
      </c>
      <c r="B167" s="217" t="s">
        <v>23</v>
      </c>
      <c r="C167" s="217" t="s">
        <v>85</v>
      </c>
      <c r="D167" s="217" t="s">
        <v>84</v>
      </c>
      <c r="E167" s="217" t="s">
        <v>92</v>
      </c>
      <c r="F167" s="217" t="s">
        <v>91</v>
      </c>
      <c r="G167" s="217" t="s">
        <v>770</v>
      </c>
      <c r="H167" s="217" t="s">
        <v>971</v>
      </c>
      <c r="I167" s="217" t="s">
        <v>29</v>
      </c>
      <c r="J167" s="217" t="s">
        <v>1858</v>
      </c>
      <c r="K167" s="217">
        <v>5</v>
      </c>
      <c r="L167" s="217">
        <v>46</v>
      </c>
      <c r="M167" s="217" t="s">
        <v>31</v>
      </c>
      <c r="N167" s="217" t="s">
        <v>32</v>
      </c>
      <c r="O167" s="217" t="s">
        <v>100</v>
      </c>
      <c r="P167" s="217" t="s">
        <v>34</v>
      </c>
      <c r="Q167" s="217" t="s">
        <v>35</v>
      </c>
      <c r="R167" s="217" t="s">
        <v>23</v>
      </c>
      <c r="S167" s="217" t="s">
        <v>22</v>
      </c>
      <c r="T167" s="217" t="s">
        <v>84</v>
      </c>
      <c r="U167" s="217" t="s">
        <v>85</v>
      </c>
      <c r="V167" s="217" t="s">
        <v>91</v>
      </c>
      <c r="W167" s="217" t="s">
        <v>92</v>
      </c>
    </row>
    <row r="168" spans="1:23" x14ac:dyDescent="0.25">
      <c r="A168" s="217" t="s">
        <v>22</v>
      </c>
      <c r="B168" s="217" t="s">
        <v>23</v>
      </c>
      <c r="C168" s="217" t="s">
        <v>85</v>
      </c>
      <c r="D168" s="217" t="s">
        <v>84</v>
      </c>
      <c r="E168" s="217" t="s">
        <v>173</v>
      </c>
      <c r="F168" s="217" t="s">
        <v>172</v>
      </c>
      <c r="G168" s="217" t="s">
        <v>293</v>
      </c>
      <c r="H168" s="217" t="s">
        <v>972</v>
      </c>
      <c r="I168" s="217" t="s">
        <v>29</v>
      </c>
      <c r="J168" s="217" t="s">
        <v>1857</v>
      </c>
      <c r="K168" s="217">
        <v>28</v>
      </c>
      <c r="L168" s="217">
        <v>128</v>
      </c>
      <c r="M168" s="217" t="s">
        <v>31</v>
      </c>
      <c r="N168" s="217" t="s">
        <v>32</v>
      </c>
      <c r="O168" s="217" t="s">
        <v>68</v>
      </c>
      <c r="P168" s="217" t="s">
        <v>34</v>
      </c>
      <c r="Q168" s="217" t="s">
        <v>35</v>
      </c>
      <c r="R168" s="217" t="s">
        <v>23</v>
      </c>
      <c r="S168" s="217" t="s">
        <v>22</v>
      </c>
      <c r="T168" s="217" t="s">
        <v>84</v>
      </c>
      <c r="U168" s="217" t="s">
        <v>85</v>
      </c>
      <c r="V168" s="217" t="s">
        <v>91</v>
      </c>
      <c r="W168" s="217" t="s">
        <v>92</v>
      </c>
    </row>
    <row r="169" spans="1:23" x14ac:dyDescent="0.25">
      <c r="A169" s="217" t="s">
        <v>22</v>
      </c>
      <c r="B169" s="217" t="s">
        <v>23</v>
      </c>
      <c r="C169" s="217" t="s">
        <v>85</v>
      </c>
      <c r="D169" s="217" t="s">
        <v>84</v>
      </c>
      <c r="E169" s="217" t="s">
        <v>173</v>
      </c>
      <c r="F169" s="217" t="s">
        <v>172</v>
      </c>
      <c r="G169" s="217" t="s">
        <v>294</v>
      </c>
      <c r="H169" s="217" t="s">
        <v>973</v>
      </c>
      <c r="I169" s="217" t="s">
        <v>29</v>
      </c>
      <c r="J169" s="217" t="s">
        <v>1856</v>
      </c>
      <c r="K169" s="217">
        <v>3</v>
      </c>
      <c r="L169" s="217">
        <v>19</v>
      </c>
      <c r="M169" s="217" t="s">
        <v>31</v>
      </c>
      <c r="N169" s="217" t="s">
        <v>32</v>
      </c>
      <c r="O169" s="217" t="s">
        <v>68</v>
      </c>
      <c r="P169" s="217" t="s">
        <v>34</v>
      </c>
      <c r="Q169" s="217" t="s">
        <v>35</v>
      </c>
      <c r="R169" s="217" t="s">
        <v>23</v>
      </c>
      <c r="S169" s="217" t="s">
        <v>22</v>
      </c>
      <c r="T169" s="217" t="s">
        <v>84</v>
      </c>
      <c r="U169" s="217" t="s">
        <v>85</v>
      </c>
      <c r="V169" s="217" t="s">
        <v>91</v>
      </c>
      <c r="W169" s="217" t="s">
        <v>92</v>
      </c>
    </row>
    <row r="170" spans="1:23" x14ac:dyDescent="0.25">
      <c r="A170" s="217" t="s">
        <v>22</v>
      </c>
      <c r="B170" s="217" t="s">
        <v>23</v>
      </c>
      <c r="C170" s="217" t="s">
        <v>85</v>
      </c>
      <c r="D170" s="217" t="s">
        <v>84</v>
      </c>
      <c r="E170" s="217" t="s">
        <v>173</v>
      </c>
      <c r="F170" s="217" t="s">
        <v>172</v>
      </c>
      <c r="G170" s="217" t="s">
        <v>294</v>
      </c>
      <c r="H170" s="217" t="s">
        <v>973</v>
      </c>
      <c r="I170" s="217" t="s">
        <v>29</v>
      </c>
      <c r="J170" s="217" t="s">
        <v>1858</v>
      </c>
      <c r="K170" s="217">
        <v>2</v>
      </c>
      <c r="L170" s="217">
        <v>14</v>
      </c>
      <c r="M170" s="217" t="s">
        <v>31</v>
      </c>
      <c r="N170" s="217" t="s">
        <v>32</v>
      </c>
      <c r="O170" s="217" t="s">
        <v>68</v>
      </c>
      <c r="P170" s="217" t="s">
        <v>34</v>
      </c>
      <c r="Q170" s="217" t="s">
        <v>35</v>
      </c>
      <c r="R170" s="217" t="s">
        <v>23</v>
      </c>
      <c r="S170" s="217" t="s">
        <v>22</v>
      </c>
      <c r="T170" s="217" t="s">
        <v>84</v>
      </c>
      <c r="U170" s="217" t="s">
        <v>85</v>
      </c>
      <c r="V170" s="217" t="s">
        <v>97</v>
      </c>
      <c r="W170" s="217" t="s">
        <v>98</v>
      </c>
    </row>
    <row r="171" spans="1:23" x14ac:dyDescent="0.25">
      <c r="A171" s="217" t="s">
        <v>22</v>
      </c>
      <c r="B171" s="217" t="s">
        <v>23</v>
      </c>
      <c r="C171" s="217" t="s">
        <v>85</v>
      </c>
      <c r="D171" s="217" t="s">
        <v>84</v>
      </c>
      <c r="E171" s="217" t="s">
        <v>173</v>
      </c>
      <c r="F171" s="217" t="s">
        <v>172</v>
      </c>
      <c r="G171" s="217" t="s">
        <v>295</v>
      </c>
      <c r="H171" s="217" t="s">
        <v>974</v>
      </c>
      <c r="I171" s="217" t="s">
        <v>29</v>
      </c>
      <c r="J171" s="217" t="s">
        <v>1856</v>
      </c>
      <c r="K171" s="217">
        <v>4</v>
      </c>
      <c r="L171" s="217">
        <v>32</v>
      </c>
      <c r="M171" s="217" t="s">
        <v>31</v>
      </c>
      <c r="N171" s="217" t="s">
        <v>32</v>
      </c>
      <c r="O171" s="217" t="s">
        <v>68</v>
      </c>
      <c r="P171" s="217" t="s">
        <v>34</v>
      </c>
      <c r="Q171" s="217" t="s">
        <v>35</v>
      </c>
      <c r="R171" s="217" t="s">
        <v>23</v>
      </c>
      <c r="S171" s="217" t="s">
        <v>22</v>
      </c>
      <c r="T171" s="217" t="s">
        <v>84</v>
      </c>
      <c r="U171" s="217" t="s">
        <v>85</v>
      </c>
      <c r="V171" s="217" t="s">
        <v>91</v>
      </c>
      <c r="W171" s="217" t="s">
        <v>92</v>
      </c>
    </row>
    <row r="172" spans="1:23" x14ac:dyDescent="0.25">
      <c r="A172" s="217" t="s">
        <v>22</v>
      </c>
      <c r="B172" s="217" t="s">
        <v>23</v>
      </c>
      <c r="C172" s="217" t="s">
        <v>85</v>
      </c>
      <c r="D172" s="217" t="s">
        <v>84</v>
      </c>
      <c r="E172" s="217" t="s">
        <v>173</v>
      </c>
      <c r="F172" s="217" t="s">
        <v>172</v>
      </c>
      <c r="G172" s="217" t="s">
        <v>295</v>
      </c>
      <c r="H172" s="217" t="s">
        <v>974</v>
      </c>
      <c r="I172" s="217" t="s">
        <v>29</v>
      </c>
      <c r="J172" s="217" t="s">
        <v>1857</v>
      </c>
      <c r="K172" s="217">
        <v>3</v>
      </c>
      <c r="L172" s="217">
        <v>12</v>
      </c>
      <c r="M172" s="217" t="s">
        <v>31</v>
      </c>
      <c r="N172" s="217" t="s">
        <v>32</v>
      </c>
      <c r="O172" s="217" t="s">
        <v>68</v>
      </c>
      <c r="P172" s="217" t="s">
        <v>34</v>
      </c>
      <c r="Q172" s="217" t="s">
        <v>35</v>
      </c>
      <c r="R172" s="217" t="s">
        <v>23</v>
      </c>
      <c r="S172" s="217" t="s">
        <v>22</v>
      </c>
      <c r="T172" s="217" t="s">
        <v>84</v>
      </c>
      <c r="U172" s="217" t="s">
        <v>85</v>
      </c>
      <c r="V172" s="217" t="s">
        <v>91</v>
      </c>
      <c r="W172" s="217" t="s">
        <v>92</v>
      </c>
    </row>
    <row r="173" spans="1:23" x14ac:dyDescent="0.25">
      <c r="A173" s="217" t="s">
        <v>22</v>
      </c>
      <c r="B173" s="217" t="s">
        <v>23</v>
      </c>
      <c r="C173" s="217" t="s">
        <v>85</v>
      </c>
      <c r="D173" s="217" t="s">
        <v>84</v>
      </c>
      <c r="E173" s="217" t="s">
        <v>173</v>
      </c>
      <c r="F173" s="217" t="s">
        <v>172</v>
      </c>
      <c r="G173" s="217" t="s">
        <v>296</v>
      </c>
      <c r="H173" s="217" t="s">
        <v>975</v>
      </c>
      <c r="I173" s="217" t="s">
        <v>29</v>
      </c>
      <c r="J173" s="217" t="s">
        <v>1856</v>
      </c>
      <c r="K173" s="217">
        <v>6</v>
      </c>
      <c r="L173" s="217">
        <v>53</v>
      </c>
      <c r="M173" s="217" t="s">
        <v>31</v>
      </c>
      <c r="N173" s="217" t="s">
        <v>32</v>
      </c>
      <c r="O173" s="217" t="s">
        <v>68</v>
      </c>
      <c r="P173" s="217" t="s">
        <v>34</v>
      </c>
      <c r="Q173" s="217" t="s">
        <v>35</v>
      </c>
      <c r="R173" s="217" t="s">
        <v>23</v>
      </c>
      <c r="S173" s="217" t="s">
        <v>22</v>
      </c>
      <c r="T173" s="217" t="s">
        <v>84</v>
      </c>
      <c r="U173" s="217" t="s">
        <v>85</v>
      </c>
      <c r="V173" s="217" t="s">
        <v>91</v>
      </c>
      <c r="W173" s="217" t="s">
        <v>92</v>
      </c>
    </row>
    <row r="174" spans="1:23" x14ac:dyDescent="0.25">
      <c r="A174" s="217" t="s">
        <v>22</v>
      </c>
      <c r="B174" s="217" t="s">
        <v>23</v>
      </c>
      <c r="C174" s="217" t="s">
        <v>85</v>
      </c>
      <c r="D174" s="217" t="s">
        <v>84</v>
      </c>
      <c r="E174" s="217" t="s">
        <v>173</v>
      </c>
      <c r="F174" s="217" t="s">
        <v>172</v>
      </c>
      <c r="G174" s="217" t="s">
        <v>297</v>
      </c>
      <c r="H174" s="217" t="s">
        <v>976</v>
      </c>
      <c r="I174" s="217" t="s">
        <v>29</v>
      </c>
      <c r="J174" s="217" t="s">
        <v>1856</v>
      </c>
      <c r="K174" s="217">
        <v>6</v>
      </c>
      <c r="L174" s="217">
        <v>42</v>
      </c>
      <c r="M174" s="217" t="s">
        <v>31</v>
      </c>
      <c r="N174" s="217" t="s">
        <v>32</v>
      </c>
      <c r="O174" s="217" t="s">
        <v>68</v>
      </c>
      <c r="P174" s="217" t="s">
        <v>34</v>
      </c>
      <c r="Q174" s="217" t="s">
        <v>35</v>
      </c>
      <c r="R174" s="217" t="s">
        <v>23</v>
      </c>
      <c r="S174" s="217" t="s">
        <v>22</v>
      </c>
      <c r="T174" s="217" t="s">
        <v>84</v>
      </c>
      <c r="U174" s="217" t="s">
        <v>85</v>
      </c>
      <c r="V174" s="217" t="s">
        <v>91</v>
      </c>
      <c r="W174" s="217" t="s">
        <v>92</v>
      </c>
    </row>
    <row r="175" spans="1:23" x14ac:dyDescent="0.25">
      <c r="A175" s="217" t="s">
        <v>22</v>
      </c>
      <c r="B175" s="217" t="s">
        <v>23</v>
      </c>
      <c r="C175" s="217" t="s">
        <v>85</v>
      </c>
      <c r="D175" s="217" t="s">
        <v>84</v>
      </c>
      <c r="E175" s="217" t="s">
        <v>173</v>
      </c>
      <c r="F175" s="217" t="s">
        <v>172</v>
      </c>
      <c r="G175" s="217" t="s">
        <v>298</v>
      </c>
      <c r="H175" s="217" t="s">
        <v>977</v>
      </c>
      <c r="I175" s="217" t="s">
        <v>29</v>
      </c>
      <c r="J175" s="217" t="s">
        <v>1857</v>
      </c>
      <c r="K175" s="217">
        <v>3</v>
      </c>
      <c r="L175" s="217">
        <v>30</v>
      </c>
      <c r="M175" s="217" t="s">
        <v>31</v>
      </c>
      <c r="N175" s="217" t="s">
        <v>32</v>
      </c>
      <c r="O175" s="217" t="s">
        <v>68</v>
      </c>
      <c r="P175" s="217" t="s">
        <v>34</v>
      </c>
      <c r="Q175" s="217" t="s">
        <v>35</v>
      </c>
      <c r="R175" s="217" t="s">
        <v>23</v>
      </c>
      <c r="S175" s="217" t="s">
        <v>22</v>
      </c>
      <c r="T175" s="217" t="s">
        <v>84</v>
      </c>
      <c r="U175" s="217" t="s">
        <v>85</v>
      </c>
      <c r="V175" s="217" t="s">
        <v>97</v>
      </c>
      <c r="W175" s="217" t="s">
        <v>98</v>
      </c>
    </row>
    <row r="176" spans="1:23" x14ac:dyDescent="0.25">
      <c r="A176" s="217" t="s">
        <v>22</v>
      </c>
      <c r="B176" s="217" t="s">
        <v>23</v>
      </c>
      <c r="C176" s="217" t="s">
        <v>85</v>
      </c>
      <c r="D176" s="217" t="s">
        <v>84</v>
      </c>
      <c r="E176" s="217" t="s">
        <v>173</v>
      </c>
      <c r="F176" s="217" t="s">
        <v>172</v>
      </c>
      <c r="G176" s="217" t="s">
        <v>299</v>
      </c>
      <c r="H176" s="217" t="s">
        <v>978</v>
      </c>
      <c r="I176" s="217" t="s">
        <v>29</v>
      </c>
      <c r="J176" s="217" t="s">
        <v>1855</v>
      </c>
      <c r="K176" s="217">
        <v>16</v>
      </c>
      <c r="L176" s="217">
        <v>88</v>
      </c>
      <c r="M176" s="217" t="s">
        <v>31</v>
      </c>
      <c r="N176" s="217" t="s">
        <v>32</v>
      </c>
      <c r="O176" s="217" t="s">
        <v>68</v>
      </c>
      <c r="P176" s="217" t="s">
        <v>34</v>
      </c>
      <c r="Q176" s="217" t="s">
        <v>35</v>
      </c>
      <c r="R176" s="217" t="s">
        <v>23</v>
      </c>
      <c r="S176" s="217" t="s">
        <v>22</v>
      </c>
      <c r="T176" s="217" t="s">
        <v>84</v>
      </c>
      <c r="U176" s="217" t="s">
        <v>85</v>
      </c>
      <c r="V176" s="217" t="s">
        <v>91</v>
      </c>
      <c r="W176" s="217" t="s">
        <v>92</v>
      </c>
    </row>
    <row r="177" spans="1:23" x14ac:dyDescent="0.25">
      <c r="A177" s="217" t="s">
        <v>22</v>
      </c>
      <c r="B177" s="217" t="s">
        <v>23</v>
      </c>
      <c r="C177" s="217" t="s">
        <v>85</v>
      </c>
      <c r="D177" s="217" t="s">
        <v>84</v>
      </c>
      <c r="E177" s="217" t="s">
        <v>173</v>
      </c>
      <c r="F177" s="217" t="s">
        <v>172</v>
      </c>
      <c r="G177" s="217" t="s">
        <v>299</v>
      </c>
      <c r="H177" s="217" t="s">
        <v>978</v>
      </c>
      <c r="I177" s="217" t="s">
        <v>29</v>
      </c>
      <c r="J177" s="217" t="s">
        <v>1856</v>
      </c>
      <c r="K177" s="217">
        <v>45</v>
      </c>
      <c r="L177" s="217">
        <v>412</v>
      </c>
      <c r="M177" s="217" t="s">
        <v>31</v>
      </c>
      <c r="N177" s="217" t="s">
        <v>32</v>
      </c>
      <c r="O177" s="217" t="s">
        <v>68</v>
      </c>
      <c r="P177" s="217" t="s">
        <v>34</v>
      </c>
      <c r="Q177" s="217" t="s">
        <v>35</v>
      </c>
      <c r="R177" s="217" t="s">
        <v>23</v>
      </c>
      <c r="S177" s="217" t="s">
        <v>22</v>
      </c>
      <c r="T177" s="217" t="s">
        <v>84</v>
      </c>
      <c r="U177" s="217" t="s">
        <v>85</v>
      </c>
      <c r="V177" s="217" t="s">
        <v>91</v>
      </c>
      <c r="W177" s="217" t="s">
        <v>92</v>
      </c>
    </row>
    <row r="178" spans="1:23" x14ac:dyDescent="0.25">
      <c r="A178" s="217" t="s">
        <v>22</v>
      </c>
      <c r="B178" s="217" t="s">
        <v>23</v>
      </c>
      <c r="C178" s="217" t="s">
        <v>85</v>
      </c>
      <c r="D178" s="217" t="s">
        <v>84</v>
      </c>
      <c r="E178" s="217" t="s">
        <v>173</v>
      </c>
      <c r="F178" s="217" t="s">
        <v>172</v>
      </c>
      <c r="G178" s="217" t="s">
        <v>299</v>
      </c>
      <c r="H178" s="217" t="s">
        <v>978</v>
      </c>
      <c r="I178" s="217" t="s">
        <v>29</v>
      </c>
      <c r="J178" s="217" t="s">
        <v>1857</v>
      </c>
      <c r="K178" s="217">
        <v>27</v>
      </c>
      <c r="L178" s="217">
        <v>114</v>
      </c>
      <c r="M178" s="217" t="s">
        <v>31</v>
      </c>
      <c r="N178" s="217" t="s">
        <v>32</v>
      </c>
      <c r="O178" s="217" t="s">
        <v>68</v>
      </c>
      <c r="P178" s="217" t="s">
        <v>34</v>
      </c>
      <c r="Q178" s="217" t="s">
        <v>35</v>
      </c>
      <c r="R178" s="217" t="s">
        <v>23</v>
      </c>
      <c r="S178" s="217" t="s">
        <v>22</v>
      </c>
      <c r="T178" s="217" t="s">
        <v>84</v>
      </c>
      <c r="U178" s="217" t="s">
        <v>85</v>
      </c>
      <c r="V178" s="217" t="s">
        <v>91</v>
      </c>
      <c r="W178" s="217" t="s">
        <v>92</v>
      </c>
    </row>
    <row r="179" spans="1:23" x14ac:dyDescent="0.25">
      <c r="A179" s="217" t="s">
        <v>22</v>
      </c>
      <c r="B179" s="217" t="s">
        <v>23</v>
      </c>
      <c r="C179" s="217" t="s">
        <v>85</v>
      </c>
      <c r="D179" s="217" t="s">
        <v>84</v>
      </c>
      <c r="E179" s="217" t="s">
        <v>173</v>
      </c>
      <c r="F179" s="217" t="s">
        <v>172</v>
      </c>
      <c r="G179" s="217" t="s">
        <v>300</v>
      </c>
      <c r="H179" s="217" t="s">
        <v>979</v>
      </c>
      <c r="I179" s="217" t="s">
        <v>29</v>
      </c>
      <c r="J179" s="217" t="s">
        <v>1856</v>
      </c>
      <c r="K179" s="217">
        <v>22</v>
      </c>
      <c r="L179" s="217">
        <v>87</v>
      </c>
      <c r="M179" s="217" t="s">
        <v>31</v>
      </c>
      <c r="N179" s="217" t="s">
        <v>32</v>
      </c>
      <c r="O179" s="217" t="s">
        <v>68</v>
      </c>
      <c r="P179" s="217" t="s">
        <v>34</v>
      </c>
      <c r="Q179" s="217" t="s">
        <v>35</v>
      </c>
      <c r="R179" s="217" t="s">
        <v>23</v>
      </c>
      <c r="S179" s="217" t="s">
        <v>22</v>
      </c>
      <c r="T179" s="217" t="s">
        <v>84</v>
      </c>
      <c r="U179" s="217" t="s">
        <v>85</v>
      </c>
      <c r="V179" s="217" t="s">
        <v>91</v>
      </c>
      <c r="W179" s="217" t="s">
        <v>92</v>
      </c>
    </row>
    <row r="180" spans="1:23" x14ac:dyDescent="0.25">
      <c r="A180" s="217" t="s">
        <v>22</v>
      </c>
      <c r="B180" s="217" t="s">
        <v>23</v>
      </c>
      <c r="C180" s="217" t="s">
        <v>85</v>
      </c>
      <c r="D180" s="217" t="s">
        <v>84</v>
      </c>
      <c r="E180" s="217" t="s">
        <v>173</v>
      </c>
      <c r="F180" s="217" t="s">
        <v>172</v>
      </c>
      <c r="G180" s="217" t="s">
        <v>300</v>
      </c>
      <c r="H180" s="217" t="s">
        <v>979</v>
      </c>
      <c r="I180" s="217" t="s">
        <v>29</v>
      </c>
      <c r="J180" s="217" t="s">
        <v>1858</v>
      </c>
      <c r="K180" s="217">
        <v>5</v>
      </c>
      <c r="L180" s="217">
        <v>32</v>
      </c>
      <c r="M180" s="217" t="s">
        <v>31</v>
      </c>
      <c r="N180" s="217" t="s">
        <v>32</v>
      </c>
      <c r="O180" s="217" t="s">
        <v>68</v>
      </c>
      <c r="P180" s="217" t="s">
        <v>34</v>
      </c>
      <c r="Q180" s="217" t="s">
        <v>35</v>
      </c>
      <c r="R180" s="217" t="s">
        <v>23</v>
      </c>
      <c r="S180" s="217" t="s">
        <v>22</v>
      </c>
      <c r="T180" s="217" t="s">
        <v>84</v>
      </c>
      <c r="U180" s="217" t="s">
        <v>85</v>
      </c>
      <c r="V180" s="217" t="s">
        <v>109</v>
      </c>
      <c r="W180" s="217" t="s">
        <v>110</v>
      </c>
    </row>
    <row r="181" spans="1:23" x14ac:dyDescent="0.25">
      <c r="A181" s="217" t="s">
        <v>22</v>
      </c>
      <c r="B181" s="217" t="s">
        <v>23</v>
      </c>
      <c r="C181" s="217" t="s">
        <v>85</v>
      </c>
      <c r="D181" s="217" t="s">
        <v>84</v>
      </c>
      <c r="E181" s="217" t="s">
        <v>173</v>
      </c>
      <c r="F181" s="217" t="s">
        <v>172</v>
      </c>
      <c r="G181" s="217" t="s">
        <v>301</v>
      </c>
      <c r="H181" s="217" t="s">
        <v>980</v>
      </c>
      <c r="I181" s="217" t="s">
        <v>29</v>
      </c>
      <c r="J181" s="217" t="s">
        <v>1856</v>
      </c>
      <c r="K181" s="217">
        <v>6</v>
      </c>
      <c r="L181" s="217">
        <v>37</v>
      </c>
      <c r="M181" s="217" t="s">
        <v>31</v>
      </c>
      <c r="N181" s="217" t="s">
        <v>32</v>
      </c>
      <c r="O181" s="217" t="s">
        <v>68</v>
      </c>
      <c r="P181" s="217" t="s">
        <v>34</v>
      </c>
      <c r="Q181" s="217" t="s">
        <v>35</v>
      </c>
      <c r="R181" s="217" t="s">
        <v>23</v>
      </c>
      <c r="S181" s="217" t="s">
        <v>22</v>
      </c>
      <c r="T181" s="217" t="s">
        <v>84</v>
      </c>
      <c r="U181" s="217" t="s">
        <v>85</v>
      </c>
      <c r="V181" s="217" t="s">
        <v>91</v>
      </c>
      <c r="W181" s="217" t="s">
        <v>92</v>
      </c>
    </row>
    <row r="182" spans="1:23" x14ac:dyDescent="0.25">
      <c r="A182" s="217" t="s">
        <v>22</v>
      </c>
      <c r="B182" s="217" t="s">
        <v>23</v>
      </c>
      <c r="C182" s="217" t="s">
        <v>85</v>
      </c>
      <c r="D182" s="217" t="s">
        <v>84</v>
      </c>
      <c r="E182" s="217" t="s">
        <v>173</v>
      </c>
      <c r="F182" s="217" t="s">
        <v>172</v>
      </c>
      <c r="G182" s="217" t="s">
        <v>302</v>
      </c>
      <c r="H182" s="217" t="s">
        <v>981</v>
      </c>
      <c r="I182" s="217" t="s">
        <v>29</v>
      </c>
      <c r="J182" s="217" t="s">
        <v>1856</v>
      </c>
      <c r="K182" s="217">
        <v>13</v>
      </c>
      <c r="L182" s="217">
        <v>102</v>
      </c>
      <c r="M182" s="217" t="s">
        <v>31</v>
      </c>
      <c r="N182" s="217" t="s">
        <v>32</v>
      </c>
      <c r="O182" s="217" t="s">
        <v>68</v>
      </c>
      <c r="P182" s="217" t="s">
        <v>34</v>
      </c>
      <c r="Q182" s="217" t="s">
        <v>35</v>
      </c>
      <c r="R182" s="217" t="s">
        <v>23</v>
      </c>
      <c r="S182" s="217" t="s">
        <v>22</v>
      </c>
      <c r="T182" s="217" t="s">
        <v>84</v>
      </c>
      <c r="U182" s="217" t="s">
        <v>85</v>
      </c>
      <c r="V182" s="217" t="s">
        <v>91</v>
      </c>
      <c r="W182" s="217" t="s">
        <v>92</v>
      </c>
    </row>
    <row r="183" spans="1:23" x14ac:dyDescent="0.25">
      <c r="A183" s="217" t="s">
        <v>22</v>
      </c>
      <c r="B183" s="217" t="s">
        <v>23</v>
      </c>
      <c r="C183" s="217" t="s">
        <v>85</v>
      </c>
      <c r="D183" s="217" t="s">
        <v>84</v>
      </c>
      <c r="E183" s="217" t="s">
        <v>173</v>
      </c>
      <c r="F183" s="217" t="s">
        <v>172</v>
      </c>
      <c r="G183" s="217" t="s">
        <v>302</v>
      </c>
      <c r="H183" s="217" t="s">
        <v>981</v>
      </c>
      <c r="I183" s="217" t="s">
        <v>29</v>
      </c>
      <c r="J183" s="217" t="s">
        <v>1858</v>
      </c>
      <c r="K183" s="217">
        <v>2</v>
      </c>
      <c r="L183" s="217">
        <v>13</v>
      </c>
      <c r="M183" s="217" t="s">
        <v>31</v>
      </c>
      <c r="N183" s="217" t="s">
        <v>32</v>
      </c>
      <c r="O183" s="217" t="s">
        <v>68</v>
      </c>
      <c r="P183" s="217" t="s">
        <v>34</v>
      </c>
      <c r="Q183" s="217" t="s">
        <v>35</v>
      </c>
      <c r="R183" s="217" t="s">
        <v>23</v>
      </c>
      <c r="S183" s="217" t="s">
        <v>22</v>
      </c>
      <c r="T183" s="217" t="s">
        <v>84</v>
      </c>
      <c r="U183" s="217" t="s">
        <v>85</v>
      </c>
      <c r="V183" s="217" t="s">
        <v>109</v>
      </c>
      <c r="W183" s="217" t="s">
        <v>110</v>
      </c>
    </row>
    <row r="184" spans="1:23" x14ac:dyDescent="0.25">
      <c r="A184" s="217" t="s">
        <v>22</v>
      </c>
      <c r="B184" s="217" t="s">
        <v>23</v>
      </c>
      <c r="C184" s="217" t="s">
        <v>85</v>
      </c>
      <c r="D184" s="217" t="s">
        <v>84</v>
      </c>
      <c r="E184" s="217" t="s">
        <v>173</v>
      </c>
      <c r="F184" s="217" t="s">
        <v>172</v>
      </c>
      <c r="G184" s="217" t="s">
        <v>697</v>
      </c>
      <c r="H184" s="217" t="s">
        <v>982</v>
      </c>
      <c r="I184" s="217" t="s">
        <v>29</v>
      </c>
      <c r="J184" s="217" t="s">
        <v>1857</v>
      </c>
      <c r="K184" s="217">
        <v>3</v>
      </c>
      <c r="L184" s="217">
        <v>34</v>
      </c>
      <c r="M184" s="217" t="s">
        <v>31</v>
      </c>
      <c r="N184" s="217" t="s">
        <v>32</v>
      </c>
      <c r="O184" s="217" t="s">
        <v>68</v>
      </c>
      <c r="P184" s="217" t="s">
        <v>34</v>
      </c>
      <c r="Q184" s="217" t="s">
        <v>35</v>
      </c>
      <c r="R184" s="217" t="s">
        <v>23</v>
      </c>
      <c r="S184" s="217" t="s">
        <v>22</v>
      </c>
      <c r="T184" s="217" t="s">
        <v>84</v>
      </c>
      <c r="U184" s="217" t="s">
        <v>85</v>
      </c>
      <c r="V184" s="217" t="s">
        <v>97</v>
      </c>
      <c r="W184" s="217" t="s">
        <v>98</v>
      </c>
    </row>
    <row r="185" spans="1:23" x14ac:dyDescent="0.25">
      <c r="A185" s="217" t="s">
        <v>22</v>
      </c>
      <c r="B185" s="217" t="s">
        <v>23</v>
      </c>
      <c r="C185" s="217" t="s">
        <v>85</v>
      </c>
      <c r="D185" s="217" t="s">
        <v>84</v>
      </c>
      <c r="E185" s="217" t="s">
        <v>173</v>
      </c>
      <c r="F185" s="217" t="s">
        <v>172</v>
      </c>
      <c r="G185" s="217" t="s">
        <v>285</v>
      </c>
      <c r="H185" s="217" t="s">
        <v>983</v>
      </c>
      <c r="I185" s="217" t="s">
        <v>29</v>
      </c>
      <c r="J185" s="217" t="s">
        <v>1858</v>
      </c>
      <c r="K185" s="217">
        <v>4</v>
      </c>
      <c r="L185" s="217">
        <v>47</v>
      </c>
      <c r="M185" s="217" t="s">
        <v>31</v>
      </c>
      <c r="N185" s="217" t="s">
        <v>32</v>
      </c>
      <c r="O185" s="217" t="s">
        <v>68</v>
      </c>
      <c r="P185" s="217" t="s">
        <v>34</v>
      </c>
      <c r="Q185" s="217" t="s">
        <v>35</v>
      </c>
      <c r="R185" s="217" t="s">
        <v>23</v>
      </c>
      <c r="S185" s="217" t="s">
        <v>22</v>
      </c>
      <c r="T185" s="217" t="s">
        <v>84</v>
      </c>
      <c r="U185" s="217" t="s">
        <v>85</v>
      </c>
      <c r="V185" s="217" t="s">
        <v>97</v>
      </c>
      <c r="W185" s="217" t="s">
        <v>98</v>
      </c>
    </row>
    <row r="186" spans="1:23" x14ac:dyDescent="0.25">
      <c r="A186" s="217" t="s">
        <v>22</v>
      </c>
      <c r="B186" s="217" t="s">
        <v>23</v>
      </c>
      <c r="C186" s="217" t="s">
        <v>85</v>
      </c>
      <c r="D186" s="217" t="s">
        <v>84</v>
      </c>
      <c r="E186" s="217" t="s">
        <v>173</v>
      </c>
      <c r="F186" s="217" t="s">
        <v>172</v>
      </c>
      <c r="G186" s="217" t="s">
        <v>303</v>
      </c>
      <c r="H186" s="217" t="s">
        <v>984</v>
      </c>
      <c r="I186" s="217" t="s">
        <v>29</v>
      </c>
      <c r="J186" s="217" t="s">
        <v>1856</v>
      </c>
      <c r="K186" s="217">
        <v>10</v>
      </c>
      <c r="L186" s="217">
        <v>52</v>
      </c>
      <c r="M186" s="217" t="s">
        <v>31</v>
      </c>
      <c r="N186" s="217" t="s">
        <v>32</v>
      </c>
      <c r="O186" s="217" t="s">
        <v>68</v>
      </c>
      <c r="P186" s="217" t="s">
        <v>34</v>
      </c>
      <c r="Q186" s="217" t="s">
        <v>35</v>
      </c>
      <c r="R186" s="217" t="s">
        <v>23</v>
      </c>
      <c r="S186" s="217" t="s">
        <v>22</v>
      </c>
      <c r="T186" s="217" t="s">
        <v>84</v>
      </c>
      <c r="U186" s="217" t="s">
        <v>85</v>
      </c>
      <c r="V186" s="217" t="s">
        <v>91</v>
      </c>
      <c r="W186" s="217" t="s">
        <v>92</v>
      </c>
    </row>
    <row r="187" spans="1:23" x14ac:dyDescent="0.25">
      <c r="A187" s="217" t="s">
        <v>22</v>
      </c>
      <c r="B187" s="217" t="s">
        <v>23</v>
      </c>
      <c r="C187" s="217" t="s">
        <v>85</v>
      </c>
      <c r="D187" s="217" t="s">
        <v>84</v>
      </c>
      <c r="E187" s="217" t="s">
        <v>173</v>
      </c>
      <c r="F187" s="217" t="s">
        <v>172</v>
      </c>
      <c r="G187" s="217" t="s">
        <v>304</v>
      </c>
      <c r="H187" s="217" t="s">
        <v>985</v>
      </c>
      <c r="I187" s="217" t="s">
        <v>29</v>
      </c>
      <c r="J187" s="217" t="s">
        <v>1856</v>
      </c>
      <c r="K187" s="217">
        <v>2</v>
      </c>
      <c r="L187" s="217">
        <v>17</v>
      </c>
      <c r="M187" s="217" t="s">
        <v>31</v>
      </c>
      <c r="N187" s="217" t="s">
        <v>32</v>
      </c>
      <c r="O187" s="217" t="s">
        <v>68</v>
      </c>
      <c r="P187" s="217" t="s">
        <v>34</v>
      </c>
      <c r="Q187" s="217" t="s">
        <v>35</v>
      </c>
      <c r="R187" s="217" t="s">
        <v>23</v>
      </c>
      <c r="S187" s="217" t="s">
        <v>22</v>
      </c>
      <c r="T187" s="217" t="s">
        <v>84</v>
      </c>
      <c r="U187" s="217" t="s">
        <v>85</v>
      </c>
      <c r="V187" s="217" t="s">
        <v>91</v>
      </c>
      <c r="W187" s="217" t="s">
        <v>92</v>
      </c>
    </row>
    <row r="188" spans="1:23" x14ac:dyDescent="0.25">
      <c r="A188" s="217" t="s">
        <v>22</v>
      </c>
      <c r="B188" s="217" t="s">
        <v>23</v>
      </c>
      <c r="C188" s="217" t="s">
        <v>85</v>
      </c>
      <c r="D188" s="217" t="s">
        <v>84</v>
      </c>
      <c r="E188" s="217" t="s">
        <v>173</v>
      </c>
      <c r="F188" s="217" t="s">
        <v>172</v>
      </c>
      <c r="G188" s="217" t="s">
        <v>304</v>
      </c>
      <c r="H188" s="217" t="s">
        <v>985</v>
      </c>
      <c r="I188" s="217" t="s">
        <v>29</v>
      </c>
      <c r="J188" s="217" t="s">
        <v>1857</v>
      </c>
      <c r="K188" s="217">
        <v>2</v>
      </c>
      <c r="L188" s="217">
        <v>8</v>
      </c>
      <c r="M188" s="217" t="s">
        <v>31</v>
      </c>
      <c r="N188" s="217" t="s">
        <v>32</v>
      </c>
      <c r="O188" s="217" t="s">
        <v>68</v>
      </c>
      <c r="P188" s="217" t="s">
        <v>34</v>
      </c>
      <c r="Q188" s="217" t="s">
        <v>35</v>
      </c>
      <c r="R188" s="217" t="s">
        <v>23</v>
      </c>
      <c r="S188" s="217" t="s">
        <v>22</v>
      </c>
      <c r="T188" s="217" t="s">
        <v>84</v>
      </c>
      <c r="U188" s="217" t="s">
        <v>85</v>
      </c>
      <c r="V188" s="217" t="s">
        <v>91</v>
      </c>
      <c r="W188" s="217" t="s">
        <v>92</v>
      </c>
    </row>
    <row r="189" spans="1:23" x14ac:dyDescent="0.25">
      <c r="A189" s="217" t="s">
        <v>22</v>
      </c>
      <c r="B189" s="217" t="s">
        <v>23</v>
      </c>
      <c r="C189" s="217" t="s">
        <v>85</v>
      </c>
      <c r="D189" s="217" t="s">
        <v>84</v>
      </c>
      <c r="E189" s="217" t="s">
        <v>173</v>
      </c>
      <c r="F189" s="217" t="s">
        <v>172</v>
      </c>
      <c r="G189" s="217" t="s">
        <v>771</v>
      </c>
      <c r="H189" s="217" t="s">
        <v>986</v>
      </c>
      <c r="I189" s="217" t="s">
        <v>29</v>
      </c>
      <c r="J189" s="217" t="s">
        <v>1858</v>
      </c>
      <c r="K189" s="217">
        <v>4</v>
      </c>
      <c r="L189" s="217">
        <v>47</v>
      </c>
      <c r="M189" s="217" t="s">
        <v>31</v>
      </c>
      <c r="N189" s="217" t="s">
        <v>32</v>
      </c>
      <c r="O189" s="217" t="s">
        <v>68</v>
      </c>
      <c r="P189" s="217" t="s">
        <v>34</v>
      </c>
      <c r="Q189" s="217" t="s">
        <v>35</v>
      </c>
      <c r="R189" s="217" t="s">
        <v>23</v>
      </c>
      <c r="S189" s="217" t="s">
        <v>22</v>
      </c>
      <c r="T189" s="217" t="s">
        <v>84</v>
      </c>
      <c r="U189" s="217" t="s">
        <v>85</v>
      </c>
      <c r="V189" s="217" t="s">
        <v>91</v>
      </c>
      <c r="W189" s="217" t="s">
        <v>92</v>
      </c>
    </row>
    <row r="190" spans="1:23" x14ac:dyDescent="0.25">
      <c r="A190" s="217" t="s">
        <v>22</v>
      </c>
      <c r="B190" s="217" t="s">
        <v>23</v>
      </c>
      <c r="C190" s="217" t="s">
        <v>85</v>
      </c>
      <c r="D190" s="217" t="s">
        <v>84</v>
      </c>
      <c r="E190" s="217" t="s">
        <v>173</v>
      </c>
      <c r="F190" s="217" t="s">
        <v>172</v>
      </c>
      <c r="G190" s="217" t="s">
        <v>305</v>
      </c>
      <c r="H190" s="217" t="s">
        <v>987</v>
      </c>
      <c r="I190" s="217" t="s">
        <v>29</v>
      </c>
      <c r="J190" s="217" t="s">
        <v>1856</v>
      </c>
      <c r="K190" s="217">
        <v>9</v>
      </c>
      <c r="L190" s="217">
        <v>62</v>
      </c>
      <c r="M190" s="217" t="s">
        <v>31</v>
      </c>
      <c r="N190" s="217" t="s">
        <v>32</v>
      </c>
      <c r="O190" s="217" t="s">
        <v>68</v>
      </c>
      <c r="P190" s="217" t="s">
        <v>34</v>
      </c>
      <c r="Q190" s="217" t="s">
        <v>35</v>
      </c>
      <c r="R190" s="217" t="s">
        <v>23</v>
      </c>
      <c r="S190" s="217" t="s">
        <v>22</v>
      </c>
      <c r="T190" s="217" t="s">
        <v>84</v>
      </c>
      <c r="U190" s="217" t="s">
        <v>85</v>
      </c>
      <c r="V190" s="217" t="s">
        <v>91</v>
      </c>
      <c r="W190" s="217" t="s">
        <v>92</v>
      </c>
    </row>
    <row r="191" spans="1:23" x14ac:dyDescent="0.25">
      <c r="A191" s="217" t="s">
        <v>22</v>
      </c>
      <c r="B191" s="217" t="s">
        <v>23</v>
      </c>
      <c r="C191" s="217" t="s">
        <v>85</v>
      </c>
      <c r="D191" s="217" t="s">
        <v>84</v>
      </c>
      <c r="E191" s="217" t="s">
        <v>173</v>
      </c>
      <c r="F191" s="217" t="s">
        <v>172</v>
      </c>
      <c r="G191" s="217" t="s">
        <v>306</v>
      </c>
      <c r="H191" s="217" t="s">
        <v>988</v>
      </c>
      <c r="I191" s="217" t="s">
        <v>29</v>
      </c>
      <c r="J191" s="217" t="s">
        <v>1856</v>
      </c>
      <c r="K191" s="217">
        <v>11</v>
      </c>
      <c r="L191" s="217">
        <v>66</v>
      </c>
      <c r="M191" s="217" t="s">
        <v>31</v>
      </c>
      <c r="N191" s="217" t="s">
        <v>32</v>
      </c>
      <c r="O191" s="217" t="s">
        <v>68</v>
      </c>
      <c r="P191" s="217" t="s">
        <v>34</v>
      </c>
      <c r="Q191" s="217" t="s">
        <v>35</v>
      </c>
      <c r="R191" s="217" t="s">
        <v>23</v>
      </c>
      <c r="S191" s="217" t="s">
        <v>22</v>
      </c>
      <c r="T191" s="217" t="s">
        <v>84</v>
      </c>
      <c r="U191" s="217" t="s">
        <v>85</v>
      </c>
      <c r="V191" s="217" t="s">
        <v>91</v>
      </c>
      <c r="W191" s="217" t="s">
        <v>92</v>
      </c>
    </row>
    <row r="192" spans="1:23" x14ac:dyDescent="0.25">
      <c r="A192" s="217" t="s">
        <v>22</v>
      </c>
      <c r="B192" s="217" t="s">
        <v>23</v>
      </c>
      <c r="C192" s="217" t="s">
        <v>85</v>
      </c>
      <c r="D192" s="217" t="s">
        <v>84</v>
      </c>
      <c r="E192" s="217" t="s">
        <v>173</v>
      </c>
      <c r="F192" s="217" t="s">
        <v>172</v>
      </c>
      <c r="G192" s="217" t="s">
        <v>307</v>
      </c>
      <c r="H192" s="217" t="s">
        <v>989</v>
      </c>
      <c r="I192" s="217" t="s">
        <v>29</v>
      </c>
      <c r="J192" s="217" t="s">
        <v>1856</v>
      </c>
      <c r="K192" s="217">
        <v>12</v>
      </c>
      <c r="L192" s="217">
        <v>81</v>
      </c>
      <c r="M192" s="217" t="s">
        <v>31</v>
      </c>
      <c r="N192" s="217" t="s">
        <v>32</v>
      </c>
      <c r="O192" s="217" t="s">
        <v>68</v>
      </c>
      <c r="P192" s="217" t="s">
        <v>34</v>
      </c>
      <c r="Q192" s="217" t="s">
        <v>35</v>
      </c>
      <c r="R192" s="217" t="s">
        <v>23</v>
      </c>
      <c r="S192" s="217" t="s">
        <v>22</v>
      </c>
      <c r="T192" s="217" t="s">
        <v>84</v>
      </c>
      <c r="U192" s="217" t="s">
        <v>85</v>
      </c>
      <c r="V192" s="217" t="s">
        <v>91</v>
      </c>
      <c r="W192" s="217" t="s">
        <v>92</v>
      </c>
    </row>
    <row r="193" spans="1:23" x14ac:dyDescent="0.25">
      <c r="A193" s="217" t="s">
        <v>22</v>
      </c>
      <c r="B193" s="217" t="s">
        <v>23</v>
      </c>
      <c r="C193" s="217" t="s">
        <v>85</v>
      </c>
      <c r="D193" s="217" t="s">
        <v>84</v>
      </c>
      <c r="E193" s="217" t="s">
        <v>173</v>
      </c>
      <c r="F193" s="217" t="s">
        <v>172</v>
      </c>
      <c r="G193" s="217" t="s">
        <v>772</v>
      </c>
      <c r="H193" s="217" t="s">
        <v>990</v>
      </c>
      <c r="I193" s="217" t="s">
        <v>29</v>
      </c>
      <c r="J193" s="217" t="s">
        <v>1858</v>
      </c>
      <c r="K193" s="217">
        <v>4</v>
      </c>
      <c r="L193" s="217">
        <v>38</v>
      </c>
      <c r="M193" s="217" t="s">
        <v>31</v>
      </c>
      <c r="N193" s="217" t="s">
        <v>32</v>
      </c>
      <c r="O193" s="217" t="s">
        <v>68</v>
      </c>
      <c r="P193" s="217" t="s">
        <v>34</v>
      </c>
      <c r="Q193" s="217" t="s">
        <v>35</v>
      </c>
      <c r="R193" s="217" t="s">
        <v>23</v>
      </c>
      <c r="S193" s="217" t="s">
        <v>22</v>
      </c>
      <c r="T193" s="217" t="s">
        <v>84</v>
      </c>
      <c r="U193" s="217" t="s">
        <v>85</v>
      </c>
      <c r="V193" s="217" t="s">
        <v>97</v>
      </c>
      <c r="W193" s="217" t="s">
        <v>98</v>
      </c>
    </row>
    <row r="194" spans="1:23" x14ac:dyDescent="0.25">
      <c r="A194" s="217" t="s">
        <v>22</v>
      </c>
      <c r="B194" s="217" t="s">
        <v>23</v>
      </c>
      <c r="C194" s="217" t="s">
        <v>85</v>
      </c>
      <c r="D194" s="217" t="s">
        <v>84</v>
      </c>
      <c r="E194" s="217" t="s">
        <v>173</v>
      </c>
      <c r="F194" s="217" t="s">
        <v>172</v>
      </c>
      <c r="G194" s="217" t="s">
        <v>308</v>
      </c>
      <c r="H194" s="217" t="s">
        <v>991</v>
      </c>
      <c r="I194" s="217" t="s">
        <v>29</v>
      </c>
      <c r="J194" s="217" t="s">
        <v>1856</v>
      </c>
      <c r="K194" s="217">
        <v>7</v>
      </c>
      <c r="L194" s="217">
        <v>32</v>
      </c>
      <c r="M194" s="217" t="s">
        <v>31</v>
      </c>
      <c r="N194" s="217" t="s">
        <v>32</v>
      </c>
      <c r="O194" s="217" t="s">
        <v>68</v>
      </c>
      <c r="P194" s="217" t="s">
        <v>34</v>
      </c>
      <c r="Q194" s="217" t="s">
        <v>35</v>
      </c>
      <c r="R194" s="217" t="s">
        <v>23</v>
      </c>
      <c r="S194" s="217" t="s">
        <v>22</v>
      </c>
      <c r="T194" s="217" t="s">
        <v>84</v>
      </c>
      <c r="U194" s="217" t="s">
        <v>85</v>
      </c>
      <c r="V194" s="217" t="s">
        <v>91</v>
      </c>
      <c r="W194" s="217" t="s">
        <v>92</v>
      </c>
    </row>
    <row r="195" spans="1:23" x14ac:dyDescent="0.25">
      <c r="A195" s="217" t="s">
        <v>22</v>
      </c>
      <c r="B195" s="217" t="s">
        <v>23</v>
      </c>
      <c r="C195" s="217" t="s">
        <v>85</v>
      </c>
      <c r="D195" s="217" t="s">
        <v>84</v>
      </c>
      <c r="E195" s="217" t="s">
        <v>173</v>
      </c>
      <c r="F195" s="217" t="s">
        <v>172</v>
      </c>
      <c r="G195" s="217" t="s">
        <v>309</v>
      </c>
      <c r="H195" s="217" t="s">
        <v>992</v>
      </c>
      <c r="I195" s="217" t="s">
        <v>29</v>
      </c>
      <c r="J195" s="217" t="s">
        <v>1856</v>
      </c>
      <c r="K195" s="217">
        <v>2</v>
      </c>
      <c r="L195" s="217">
        <v>15</v>
      </c>
      <c r="M195" s="217" t="s">
        <v>31</v>
      </c>
      <c r="N195" s="217" t="s">
        <v>32</v>
      </c>
      <c r="O195" s="217" t="s">
        <v>68</v>
      </c>
      <c r="P195" s="217" t="s">
        <v>34</v>
      </c>
      <c r="Q195" s="217" t="s">
        <v>35</v>
      </c>
      <c r="R195" s="217" t="s">
        <v>23</v>
      </c>
      <c r="S195" s="217" t="s">
        <v>22</v>
      </c>
      <c r="T195" s="217" t="s">
        <v>84</v>
      </c>
      <c r="U195" s="217" t="s">
        <v>85</v>
      </c>
      <c r="V195" s="217" t="s">
        <v>91</v>
      </c>
      <c r="W195" s="217" t="s">
        <v>92</v>
      </c>
    </row>
    <row r="196" spans="1:23" x14ac:dyDescent="0.25">
      <c r="A196" s="217" t="s">
        <v>22</v>
      </c>
      <c r="B196" s="217" t="s">
        <v>23</v>
      </c>
      <c r="C196" s="217" t="s">
        <v>85</v>
      </c>
      <c r="D196" s="217" t="s">
        <v>84</v>
      </c>
      <c r="E196" s="217" t="s">
        <v>173</v>
      </c>
      <c r="F196" s="217" t="s">
        <v>172</v>
      </c>
      <c r="G196" s="217" t="s">
        <v>309</v>
      </c>
      <c r="H196" s="217" t="s">
        <v>992</v>
      </c>
      <c r="I196" s="217" t="s">
        <v>29</v>
      </c>
      <c r="J196" s="217" t="s">
        <v>1857</v>
      </c>
      <c r="K196" s="217">
        <v>1</v>
      </c>
      <c r="L196" s="217">
        <v>7</v>
      </c>
      <c r="M196" s="217" t="s">
        <v>31</v>
      </c>
      <c r="N196" s="217" t="s">
        <v>32</v>
      </c>
      <c r="O196" s="217" t="s">
        <v>68</v>
      </c>
      <c r="P196" s="217" t="s">
        <v>34</v>
      </c>
      <c r="Q196" s="217" t="s">
        <v>35</v>
      </c>
      <c r="R196" s="217" t="s">
        <v>23</v>
      </c>
      <c r="S196" s="217" t="s">
        <v>22</v>
      </c>
      <c r="T196" s="217" t="s">
        <v>84</v>
      </c>
      <c r="U196" s="217" t="s">
        <v>85</v>
      </c>
      <c r="V196" s="217" t="s">
        <v>91</v>
      </c>
      <c r="W196" s="217" t="s">
        <v>92</v>
      </c>
    </row>
    <row r="197" spans="1:23" x14ac:dyDescent="0.25">
      <c r="A197" s="217" t="s">
        <v>22</v>
      </c>
      <c r="B197" s="217" t="s">
        <v>23</v>
      </c>
      <c r="C197" s="217" t="s">
        <v>85</v>
      </c>
      <c r="D197" s="217" t="s">
        <v>84</v>
      </c>
      <c r="E197" s="217" t="s">
        <v>173</v>
      </c>
      <c r="F197" s="217" t="s">
        <v>172</v>
      </c>
      <c r="G197" s="217" t="s">
        <v>310</v>
      </c>
      <c r="H197" s="217" t="s">
        <v>993</v>
      </c>
      <c r="I197" s="217" t="s">
        <v>29</v>
      </c>
      <c r="J197" s="217" t="s">
        <v>1857</v>
      </c>
      <c r="K197" s="217">
        <v>8</v>
      </c>
      <c r="L197" s="217">
        <v>41</v>
      </c>
      <c r="M197" s="217" t="s">
        <v>31</v>
      </c>
      <c r="N197" s="217" t="s">
        <v>32</v>
      </c>
      <c r="O197" s="217" t="s">
        <v>68</v>
      </c>
      <c r="P197" s="217" t="s">
        <v>34</v>
      </c>
      <c r="Q197" s="217" t="s">
        <v>35</v>
      </c>
      <c r="R197" s="217" t="s">
        <v>23</v>
      </c>
      <c r="S197" s="217" t="s">
        <v>22</v>
      </c>
      <c r="T197" s="217" t="s">
        <v>84</v>
      </c>
      <c r="U197" s="217" t="s">
        <v>85</v>
      </c>
      <c r="V197" s="217" t="s">
        <v>97</v>
      </c>
      <c r="W197" s="217" t="s">
        <v>98</v>
      </c>
    </row>
    <row r="198" spans="1:23" x14ac:dyDescent="0.25">
      <c r="A198" s="217" t="s">
        <v>22</v>
      </c>
      <c r="B198" s="217" t="s">
        <v>23</v>
      </c>
      <c r="C198" s="217" t="s">
        <v>85</v>
      </c>
      <c r="D198" s="217" t="s">
        <v>84</v>
      </c>
      <c r="E198" s="217" t="s">
        <v>173</v>
      </c>
      <c r="F198" s="217" t="s">
        <v>172</v>
      </c>
      <c r="G198" s="217" t="s">
        <v>311</v>
      </c>
      <c r="H198" s="217" t="s">
        <v>994</v>
      </c>
      <c r="I198" s="217" t="s">
        <v>29</v>
      </c>
      <c r="J198" s="217" t="s">
        <v>1856</v>
      </c>
      <c r="K198" s="217">
        <v>10</v>
      </c>
      <c r="L198" s="217">
        <v>62</v>
      </c>
      <c r="M198" s="217" t="s">
        <v>31</v>
      </c>
      <c r="N198" s="217" t="s">
        <v>32</v>
      </c>
      <c r="O198" s="217" t="s">
        <v>68</v>
      </c>
      <c r="P198" s="217" t="s">
        <v>34</v>
      </c>
      <c r="Q198" s="217" t="s">
        <v>35</v>
      </c>
      <c r="R198" s="217" t="s">
        <v>23</v>
      </c>
      <c r="S198" s="217" t="s">
        <v>22</v>
      </c>
      <c r="T198" s="217" t="s">
        <v>84</v>
      </c>
      <c r="U198" s="217" t="s">
        <v>85</v>
      </c>
      <c r="V198" s="217" t="s">
        <v>91</v>
      </c>
      <c r="W198" s="217" t="s">
        <v>92</v>
      </c>
    </row>
    <row r="199" spans="1:23" x14ac:dyDescent="0.25">
      <c r="A199" s="217" t="s">
        <v>22</v>
      </c>
      <c r="B199" s="217" t="s">
        <v>23</v>
      </c>
      <c r="C199" s="217" t="s">
        <v>85</v>
      </c>
      <c r="D199" s="217" t="s">
        <v>84</v>
      </c>
      <c r="E199" s="217" t="s">
        <v>173</v>
      </c>
      <c r="F199" s="217" t="s">
        <v>172</v>
      </c>
      <c r="G199" s="217" t="s">
        <v>312</v>
      </c>
      <c r="H199" s="217" t="s">
        <v>995</v>
      </c>
      <c r="I199" s="217" t="s">
        <v>29</v>
      </c>
      <c r="J199" s="217" t="s">
        <v>1855</v>
      </c>
      <c r="K199" s="217">
        <v>6</v>
      </c>
      <c r="L199" s="217">
        <v>32</v>
      </c>
      <c r="M199" s="217" t="s">
        <v>31</v>
      </c>
      <c r="N199" s="217" t="s">
        <v>32</v>
      </c>
      <c r="O199" s="217" t="s">
        <v>68</v>
      </c>
      <c r="P199" s="217" t="s">
        <v>34</v>
      </c>
      <c r="Q199" s="217" t="s">
        <v>35</v>
      </c>
      <c r="R199" s="217" t="s">
        <v>23</v>
      </c>
      <c r="S199" s="217" t="s">
        <v>22</v>
      </c>
      <c r="T199" s="217" t="s">
        <v>84</v>
      </c>
      <c r="U199" s="217" t="s">
        <v>85</v>
      </c>
      <c r="V199" s="217" t="s">
        <v>91</v>
      </c>
      <c r="W199" s="217" t="s">
        <v>92</v>
      </c>
    </row>
    <row r="200" spans="1:23" x14ac:dyDescent="0.25">
      <c r="A200" s="217" t="s">
        <v>22</v>
      </c>
      <c r="B200" s="217" t="s">
        <v>23</v>
      </c>
      <c r="C200" s="217" t="s">
        <v>85</v>
      </c>
      <c r="D200" s="217" t="s">
        <v>84</v>
      </c>
      <c r="E200" s="217" t="s">
        <v>173</v>
      </c>
      <c r="F200" s="217" t="s">
        <v>172</v>
      </c>
      <c r="G200" s="217" t="s">
        <v>312</v>
      </c>
      <c r="H200" s="217" t="s">
        <v>995</v>
      </c>
      <c r="I200" s="217" t="s">
        <v>29</v>
      </c>
      <c r="J200" s="217" t="s">
        <v>1856</v>
      </c>
      <c r="K200" s="217">
        <v>10</v>
      </c>
      <c r="L200" s="217">
        <v>56</v>
      </c>
      <c r="M200" s="217" t="s">
        <v>31</v>
      </c>
      <c r="N200" s="217" t="s">
        <v>32</v>
      </c>
      <c r="O200" s="217" t="s">
        <v>68</v>
      </c>
      <c r="P200" s="217" t="s">
        <v>34</v>
      </c>
      <c r="Q200" s="217" t="s">
        <v>35</v>
      </c>
      <c r="R200" s="217" t="s">
        <v>23</v>
      </c>
      <c r="S200" s="217" t="s">
        <v>22</v>
      </c>
      <c r="T200" s="217" t="s">
        <v>84</v>
      </c>
      <c r="U200" s="217" t="s">
        <v>85</v>
      </c>
      <c r="V200" s="217" t="s">
        <v>91</v>
      </c>
      <c r="W200" s="217" t="s">
        <v>92</v>
      </c>
    </row>
    <row r="201" spans="1:23" x14ac:dyDescent="0.25">
      <c r="A201" s="217" t="s">
        <v>22</v>
      </c>
      <c r="B201" s="217" t="s">
        <v>23</v>
      </c>
      <c r="C201" s="217" t="s">
        <v>85</v>
      </c>
      <c r="D201" s="217" t="s">
        <v>84</v>
      </c>
      <c r="E201" s="217" t="s">
        <v>173</v>
      </c>
      <c r="F201" s="217" t="s">
        <v>172</v>
      </c>
      <c r="G201" s="217" t="s">
        <v>312</v>
      </c>
      <c r="H201" s="217" t="s">
        <v>995</v>
      </c>
      <c r="I201" s="217" t="s">
        <v>29</v>
      </c>
      <c r="J201" s="217" t="s">
        <v>1857</v>
      </c>
      <c r="K201" s="217">
        <v>6</v>
      </c>
      <c r="L201" s="217">
        <v>24</v>
      </c>
      <c r="M201" s="217" t="s">
        <v>31</v>
      </c>
      <c r="N201" s="217" t="s">
        <v>32</v>
      </c>
      <c r="O201" s="217" t="s">
        <v>68</v>
      </c>
      <c r="P201" s="217" t="s">
        <v>34</v>
      </c>
      <c r="Q201" s="217" t="s">
        <v>35</v>
      </c>
      <c r="R201" s="217" t="s">
        <v>23</v>
      </c>
      <c r="S201" s="217" t="s">
        <v>22</v>
      </c>
      <c r="T201" s="217" t="s">
        <v>84</v>
      </c>
      <c r="U201" s="217" t="s">
        <v>85</v>
      </c>
      <c r="V201" s="217" t="s">
        <v>91</v>
      </c>
      <c r="W201" s="217" t="s">
        <v>92</v>
      </c>
    </row>
    <row r="202" spans="1:23" x14ac:dyDescent="0.25">
      <c r="A202" s="217" t="s">
        <v>22</v>
      </c>
      <c r="B202" s="217" t="s">
        <v>23</v>
      </c>
      <c r="C202" s="217" t="s">
        <v>85</v>
      </c>
      <c r="D202" s="217" t="s">
        <v>84</v>
      </c>
      <c r="E202" s="217" t="s">
        <v>173</v>
      </c>
      <c r="F202" s="217" t="s">
        <v>172</v>
      </c>
      <c r="G202" s="217" t="s">
        <v>313</v>
      </c>
      <c r="H202" s="217" t="s">
        <v>996</v>
      </c>
      <c r="I202" s="217" t="s">
        <v>29</v>
      </c>
      <c r="J202" s="217" t="s">
        <v>1855</v>
      </c>
      <c r="K202" s="217">
        <v>2</v>
      </c>
      <c r="L202" s="217">
        <v>19</v>
      </c>
      <c r="M202" s="217" t="s">
        <v>31</v>
      </c>
      <c r="N202" s="217" t="s">
        <v>32</v>
      </c>
      <c r="O202" s="217" t="s">
        <v>68</v>
      </c>
      <c r="P202" s="217" t="s">
        <v>34</v>
      </c>
      <c r="Q202" s="217" t="s">
        <v>35</v>
      </c>
      <c r="R202" s="217" t="s">
        <v>23</v>
      </c>
      <c r="S202" s="217" t="s">
        <v>22</v>
      </c>
      <c r="T202" s="217" t="s">
        <v>84</v>
      </c>
      <c r="U202" s="217" t="s">
        <v>85</v>
      </c>
      <c r="V202" s="217" t="s">
        <v>91</v>
      </c>
      <c r="W202" s="217" t="s">
        <v>92</v>
      </c>
    </row>
    <row r="203" spans="1:23" x14ac:dyDescent="0.25">
      <c r="A203" s="217" t="s">
        <v>22</v>
      </c>
      <c r="B203" s="217" t="s">
        <v>23</v>
      </c>
      <c r="C203" s="217" t="s">
        <v>85</v>
      </c>
      <c r="D203" s="217" t="s">
        <v>84</v>
      </c>
      <c r="E203" s="217" t="s">
        <v>173</v>
      </c>
      <c r="F203" s="217" t="s">
        <v>172</v>
      </c>
      <c r="G203" s="217" t="s">
        <v>313</v>
      </c>
      <c r="H203" s="217" t="s">
        <v>996</v>
      </c>
      <c r="I203" s="217" t="s">
        <v>29</v>
      </c>
      <c r="J203" s="217" t="s">
        <v>1856</v>
      </c>
      <c r="K203" s="217">
        <v>8</v>
      </c>
      <c r="L203" s="217">
        <v>32</v>
      </c>
      <c r="M203" s="217" t="s">
        <v>31</v>
      </c>
      <c r="N203" s="217" t="s">
        <v>32</v>
      </c>
      <c r="O203" s="217" t="s">
        <v>68</v>
      </c>
      <c r="P203" s="217" t="s">
        <v>34</v>
      </c>
      <c r="Q203" s="217" t="s">
        <v>35</v>
      </c>
      <c r="R203" s="217" t="s">
        <v>23</v>
      </c>
      <c r="S203" s="217" t="s">
        <v>22</v>
      </c>
      <c r="T203" s="217" t="s">
        <v>84</v>
      </c>
      <c r="U203" s="217" t="s">
        <v>85</v>
      </c>
      <c r="V203" s="217" t="s">
        <v>91</v>
      </c>
      <c r="W203" s="217" t="s">
        <v>92</v>
      </c>
    </row>
    <row r="204" spans="1:23" x14ac:dyDescent="0.25">
      <c r="A204" s="217" t="s">
        <v>22</v>
      </c>
      <c r="B204" s="217" t="s">
        <v>23</v>
      </c>
      <c r="C204" s="217" t="s">
        <v>85</v>
      </c>
      <c r="D204" s="217" t="s">
        <v>84</v>
      </c>
      <c r="E204" s="217" t="s">
        <v>173</v>
      </c>
      <c r="F204" s="217" t="s">
        <v>172</v>
      </c>
      <c r="G204" s="217" t="s">
        <v>314</v>
      </c>
      <c r="H204" s="217" t="s">
        <v>997</v>
      </c>
      <c r="I204" s="217" t="s">
        <v>29</v>
      </c>
      <c r="J204" s="217" t="s">
        <v>1856</v>
      </c>
      <c r="K204" s="217">
        <v>19</v>
      </c>
      <c r="L204" s="217">
        <v>95</v>
      </c>
      <c r="M204" s="217" t="s">
        <v>31</v>
      </c>
      <c r="N204" s="217" t="s">
        <v>32</v>
      </c>
      <c r="O204" s="217" t="s">
        <v>68</v>
      </c>
      <c r="P204" s="217" t="s">
        <v>34</v>
      </c>
      <c r="Q204" s="217" t="s">
        <v>35</v>
      </c>
      <c r="R204" s="217" t="s">
        <v>23</v>
      </c>
      <c r="S204" s="217" t="s">
        <v>22</v>
      </c>
      <c r="T204" s="217" t="s">
        <v>84</v>
      </c>
      <c r="U204" s="217" t="s">
        <v>85</v>
      </c>
      <c r="V204" s="217" t="s">
        <v>91</v>
      </c>
      <c r="W204" s="217" t="s">
        <v>92</v>
      </c>
    </row>
    <row r="205" spans="1:23" x14ac:dyDescent="0.25">
      <c r="A205" s="217" t="s">
        <v>22</v>
      </c>
      <c r="B205" s="217" t="s">
        <v>23</v>
      </c>
      <c r="C205" s="217" t="s">
        <v>85</v>
      </c>
      <c r="D205" s="217" t="s">
        <v>84</v>
      </c>
      <c r="E205" s="217" t="s">
        <v>173</v>
      </c>
      <c r="F205" s="217" t="s">
        <v>172</v>
      </c>
      <c r="G205" s="217" t="s">
        <v>315</v>
      </c>
      <c r="H205" s="217" t="s">
        <v>998</v>
      </c>
      <c r="I205" s="217" t="s">
        <v>29</v>
      </c>
      <c r="J205" s="217" t="s">
        <v>1855</v>
      </c>
      <c r="K205" s="217">
        <v>4</v>
      </c>
      <c r="L205" s="217">
        <v>42</v>
      </c>
      <c r="M205" s="217" t="s">
        <v>31</v>
      </c>
      <c r="N205" s="217" t="s">
        <v>32</v>
      </c>
      <c r="O205" s="217" t="s">
        <v>68</v>
      </c>
      <c r="P205" s="217" t="s">
        <v>34</v>
      </c>
      <c r="Q205" s="217" t="s">
        <v>35</v>
      </c>
      <c r="R205" s="217" t="s">
        <v>23</v>
      </c>
      <c r="S205" s="217" t="s">
        <v>22</v>
      </c>
      <c r="T205" s="217" t="s">
        <v>84</v>
      </c>
      <c r="U205" s="217" t="s">
        <v>85</v>
      </c>
      <c r="V205" s="217" t="s">
        <v>91</v>
      </c>
      <c r="W205" s="217" t="s">
        <v>92</v>
      </c>
    </row>
    <row r="206" spans="1:23" x14ac:dyDescent="0.25">
      <c r="A206" s="217" t="s">
        <v>22</v>
      </c>
      <c r="B206" s="217" t="s">
        <v>23</v>
      </c>
      <c r="C206" s="217" t="s">
        <v>85</v>
      </c>
      <c r="D206" s="217" t="s">
        <v>84</v>
      </c>
      <c r="E206" s="217" t="s">
        <v>173</v>
      </c>
      <c r="F206" s="217" t="s">
        <v>172</v>
      </c>
      <c r="G206" s="217" t="s">
        <v>316</v>
      </c>
      <c r="H206" s="217" t="s">
        <v>999</v>
      </c>
      <c r="I206" s="217" t="s">
        <v>29</v>
      </c>
      <c r="J206" s="217" t="s">
        <v>1855</v>
      </c>
      <c r="K206" s="217">
        <v>2</v>
      </c>
      <c r="L206" s="217">
        <v>14</v>
      </c>
      <c r="M206" s="217" t="s">
        <v>31</v>
      </c>
      <c r="N206" s="217" t="s">
        <v>32</v>
      </c>
      <c r="O206" s="217" t="s">
        <v>68</v>
      </c>
      <c r="P206" s="217" t="s">
        <v>34</v>
      </c>
      <c r="Q206" s="217" t="s">
        <v>35</v>
      </c>
      <c r="R206" s="217" t="s">
        <v>23</v>
      </c>
      <c r="S206" s="217" t="s">
        <v>22</v>
      </c>
      <c r="T206" s="217" t="s">
        <v>84</v>
      </c>
      <c r="U206" s="217" t="s">
        <v>85</v>
      </c>
      <c r="V206" s="217" t="s">
        <v>91</v>
      </c>
      <c r="W206" s="217" t="s">
        <v>92</v>
      </c>
    </row>
    <row r="207" spans="1:23" x14ac:dyDescent="0.25">
      <c r="A207" s="217" t="s">
        <v>22</v>
      </c>
      <c r="B207" s="217" t="s">
        <v>23</v>
      </c>
      <c r="C207" s="217" t="s">
        <v>85</v>
      </c>
      <c r="D207" s="217" t="s">
        <v>84</v>
      </c>
      <c r="E207" s="217" t="s">
        <v>173</v>
      </c>
      <c r="F207" s="217" t="s">
        <v>172</v>
      </c>
      <c r="G207" s="217" t="s">
        <v>316</v>
      </c>
      <c r="H207" s="217" t="s">
        <v>999</v>
      </c>
      <c r="I207" s="217" t="s">
        <v>29</v>
      </c>
      <c r="J207" s="217" t="s">
        <v>1856</v>
      </c>
      <c r="K207" s="217">
        <v>28</v>
      </c>
      <c r="L207" s="217">
        <v>162</v>
      </c>
      <c r="M207" s="217" t="s">
        <v>31</v>
      </c>
      <c r="N207" s="217" t="s">
        <v>32</v>
      </c>
      <c r="O207" s="217" t="s">
        <v>68</v>
      </c>
      <c r="P207" s="217" t="s">
        <v>34</v>
      </c>
      <c r="Q207" s="217" t="s">
        <v>35</v>
      </c>
      <c r="R207" s="217" t="s">
        <v>23</v>
      </c>
      <c r="S207" s="217" t="s">
        <v>22</v>
      </c>
      <c r="T207" s="217" t="s">
        <v>84</v>
      </c>
      <c r="U207" s="217" t="s">
        <v>85</v>
      </c>
      <c r="V207" s="217" t="s">
        <v>97</v>
      </c>
      <c r="W207" s="217" t="s">
        <v>98</v>
      </c>
    </row>
    <row r="208" spans="1:23" x14ac:dyDescent="0.25">
      <c r="A208" s="217" t="s">
        <v>22</v>
      </c>
      <c r="B208" s="217" t="s">
        <v>23</v>
      </c>
      <c r="C208" s="217" t="s">
        <v>85</v>
      </c>
      <c r="D208" s="217" t="s">
        <v>84</v>
      </c>
      <c r="E208" s="217" t="s">
        <v>173</v>
      </c>
      <c r="F208" s="217" t="s">
        <v>172</v>
      </c>
      <c r="G208" s="217" t="s">
        <v>316</v>
      </c>
      <c r="H208" s="217" t="s">
        <v>999</v>
      </c>
      <c r="I208" s="217" t="s">
        <v>29</v>
      </c>
      <c r="J208" s="217" t="s">
        <v>1857</v>
      </c>
      <c r="K208" s="217">
        <v>6</v>
      </c>
      <c r="L208" s="217">
        <v>32</v>
      </c>
      <c r="M208" s="217" t="s">
        <v>31</v>
      </c>
      <c r="N208" s="217" t="s">
        <v>32</v>
      </c>
      <c r="O208" s="217" t="s">
        <v>68</v>
      </c>
      <c r="P208" s="217" t="s">
        <v>34</v>
      </c>
      <c r="Q208" s="217" t="s">
        <v>35</v>
      </c>
      <c r="R208" s="217" t="s">
        <v>23</v>
      </c>
      <c r="S208" s="217" t="s">
        <v>22</v>
      </c>
      <c r="T208" s="217" t="s">
        <v>84</v>
      </c>
      <c r="U208" s="217" t="s">
        <v>85</v>
      </c>
      <c r="V208" s="217" t="s">
        <v>91</v>
      </c>
      <c r="W208" s="217" t="s">
        <v>92</v>
      </c>
    </row>
    <row r="209" spans="1:23" x14ac:dyDescent="0.25">
      <c r="A209" s="217" t="s">
        <v>22</v>
      </c>
      <c r="B209" s="217" t="s">
        <v>23</v>
      </c>
      <c r="C209" s="217" t="s">
        <v>85</v>
      </c>
      <c r="D209" s="217" t="s">
        <v>84</v>
      </c>
      <c r="E209" s="217" t="s">
        <v>173</v>
      </c>
      <c r="F209" s="217" t="s">
        <v>172</v>
      </c>
      <c r="G209" s="217" t="s">
        <v>773</v>
      </c>
      <c r="H209" s="217" t="s">
        <v>1000</v>
      </c>
      <c r="I209" s="217" t="s">
        <v>29</v>
      </c>
      <c r="J209" s="217" t="s">
        <v>1856</v>
      </c>
      <c r="K209" s="217">
        <v>2</v>
      </c>
      <c r="L209" s="217">
        <v>17</v>
      </c>
      <c r="M209" s="217" t="s">
        <v>31</v>
      </c>
      <c r="N209" s="217" t="s">
        <v>32</v>
      </c>
      <c r="O209" s="217" t="s">
        <v>68</v>
      </c>
      <c r="P209" s="217" t="s">
        <v>34</v>
      </c>
      <c r="Q209" s="217" t="s">
        <v>35</v>
      </c>
      <c r="R209" s="217" t="s">
        <v>23</v>
      </c>
      <c r="S209" s="217" t="s">
        <v>22</v>
      </c>
      <c r="T209" s="217" t="s">
        <v>84</v>
      </c>
      <c r="U209" s="217" t="s">
        <v>85</v>
      </c>
      <c r="V209" s="217" t="s">
        <v>91</v>
      </c>
      <c r="W209" s="217" t="s">
        <v>92</v>
      </c>
    </row>
    <row r="210" spans="1:23" x14ac:dyDescent="0.25">
      <c r="A210" s="217" t="s">
        <v>22</v>
      </c>
      <c r="B210" s="217" t="s">
        <v>23</v>
      </c>
      <c r="C210" s="217" t="s">
        <v>85</v>
      </c>
      <c r="D210" s="217" t="s">
        <v>84</v>
      </c>
      <c r="E210" s="217" t="s">
        <v>173</v>
      </c>
      <c r="F210" s="217" t="s">
        <v>172</v>
      </c>
      <c r="G210" s="217" t="s">
        <v>317</v>
      </c>
      <c r="H210" s="217" t="s">
        <v>1001</v>
      </c>
      <c r="I210" s="217" t="s">
        <v>29</v>
      </c>
      <c r="J210" s="217" t="s">
        <v>1856</v>
      </c>
      <c r="K210" s="217">
        <v>2</v>
      </c>
      <c r="L210" s="217">
        <v>10</v>
      </c>
      <c r="M210" s="217" t="s">
        <v>31</v>
      </c>
      <c r="N210" s="217" t="s">
        <v>32</v>
      </c>
      <c r="O210" s="217" t="s">
        <v>68</v>
      </c>
      <c r="P210" s="217" t="s">
        <v>34</v>
      </c>
      <c r="Q210" s="217" t="s">
        <v>35</v>
      </c>
      <c r="R210" s="217" t="s">
        <v>23</v>
      </c>
      <c r="S210" s="217" t="s">
        <v>22</v>
      </c>
      <c r="T210" s="217" t="s">
        <v>84</v>
      </c>
      <c r="U210" s="217" t="s">
        <v>85</v>
      </c>
      <c r="V210" s="217" t="s">
        <v>91</v>
      </c>
      <c r="W210" s="217" t="s">
        <v>92</v>
      </c>
    </row>
    <row r="211" spans="1:23" x14ac:dyDescent="0.25">
      <c r="A211" s="217" t="s">
        <v>22</v>
      </c>
      <c r="B211" s="217" t="s">
        <v>23</v>
      </c>
      <c r="C211" s="217" t="s">
        <v>85</v>
      </c>
      <c r="D211" s="217" t="s">
        <v>84</v>
      </c>
      <c r="E211" s="217" t="s">
        <v>173</v>
      </c>
      <c r="F211" s="217" t="s">
        <v>172</v>
      </c>
      <c r="G211" s="217" t="s">
        <v>318</v>
      </c>
      <c r="H211" s="217" t="s">
        <v>1002</v>
      </c>
      <c r="I211" s="217" t="s">
        <v>29</v>
      </c>
      <c r="J211" s="217" t="s">
        <v>1856</v>
      </c>
      <c r="K211" s="217">
        <v>4</v>
      </c>
      <c r="L211" s="217">
        <v>22</v>
      </c>
      <c r="M211" s="217" t="s">
        <v>31</v>
      </c>
      <c r="N211" s="217" t="s">
        <v>32</v>
      </c>
      <c r="O211" s="217" t="s">
        <v>68</v>
      </c>
      <c r="P211" s="217" t="s">
        <v>34</v>
      </c>
      <c r="Q211" s="217" t="s">
        <v>35</v>
      </c>
      <c r="R211" s="217" t="s">
        <v>23</v>
      </c>
      <c r="S211" s="217" t="s">
        <v>22</v>
      </c>
      <c r="T211" s="217" t="s">
        <v>84</v>
      </c>
      <c r="U211" s="217" t="s">
        <v>85</v>
      </c>
      <c r="V211" s="217" t="s">
        <v>91</v>
      </c>
      <c r="W211" s="217" t="s">
        <v>92</v>
      </c>
    </row>
    <row r="212" spans="1:23" x14ac:dyDescent="0.25">
      <c r="A212" s="217" t="s">
        <v>22</v>
      </c>
      <c r="B212" s="217" t="s">
        <v>23</v>
      </c>
      <c r="C212" s="217" t="s">
        <v>85</v>
      </c>
      <c r="D212" s="217" t="s">
        <v>84</v>
      </c>
      <c r="E212" s="217" t="s">
        <v>110</v>
      </c>
      <c r="F212" s="217" t="s">
        <v>109</v>
      </c>
      <c r="G212" s="217" t="s">
        <v>319</v>
      </c>
      <c r="H212" s="217" t="s">
        <v>1003</v>
      </c>
      <c r="I212" s="217" t="s">
        <v>29</v>
      </c>
      <c r="J212" s="217" t="s">
        <v>1855</v>
      </c>
      <c r="K212" s="217">
        <v>10</v>
      </c>
      <c r="L212" s="217">
        <v>45</v>
      </c>
      <c r="M212" s="217" t="s">
        <v>31</v>
      </c>
      <c r="N212" s="217" t="s">
        <v>32</v>
      </c>
      <c r="O212" s="217" t="s">
        <v>68</v>
      </c>
      <c r="P212" s="217" t="s">
        <v>34</v>
      </c>
      <c r="Q212" s="217" t="s">
        <v>35</v>
      </c>
      <c r="R212" s="217" t="s">
        <v>23</v>
      </c>
      <c r="S212" s="217" t="s">
        <v>22</v>
      </c>
      <c r="T212" s="217" t="s">
        <v>84</v>
      </c>
      <c r="U212" s="217" t="s">
        <v>85</v>
      </c>
      <c r="V212" s="217" t="s">
        <v>91</v>
      </c>
      <c r="W212" s="217" t="s">
        <v>92</v>
      </c>
    </row>
    <row r="213" spans="1:23" x14ac:dyDescent="0.25">
      <c r="A213" s="217" t="s">
        <v>22</v>
      </c>
      <c r="B213" s="217" t="s">
        <v>23</v>
      </c>
      <c r="C213" s="217" t="s">
        <v>85</v>
      </c>
      <c r="D213" s="217" t="s">
        <v>84</v>
      </c>
      <c r="E213" s="217" t="s">
        <v>110</v>
      </c>
      <c r="F213" s="217" t="s">
        <v>109</v>
      </c>
      <c r="G213" s="217" t="s">
        <v>319</v>
      </c>
      <c r="H213" s="217" t="s">
        <v>1003</v>
      </c>
      <c r="I213" s="217" t="s">
        <v>29</v>
      </c>
      <c r="J213" s="217" t="s">
        <v>1856</v>
      </c>
      <c r="K213" s="217">
        <v>15</v>
      </c>
      <c r="L213" s="217">
        <v>64</v>
      </c>
      <c r="M213" s="217" t="s">
        <v>31</v>
      </c>
      <c r="N213" s="217" t="s">
        <v>32</v>
      </c>
      <c r="O213" s="217" t="s">
        <v>68</v>
      </c>
      <c r="P213" s="217" t="s">
        <v>34</v>
      </c>
      <c r="Q213" s="217" t="s">
        <v>35</v>
      </c>
      <c r="R213" s="217" t="s">
        <v>23</v>
      </c>
      <c r="S213" s="217" t="s">
        <v>22</v>
      </c>
      <c r="T213" s="217" t="s">
        <v>84</v>
      </c>
      <c r="U213" s="217" t="s">
        <v>85</v>
      </c>
      <c r="V213" s="217" t="s">
        <v>91</v>
      </c>
      <c r="W213" s="217" t="s">
        <v>92</v>
      </c>
    </row>
    <row r="214" spans="1:23" x14ac:dyDescent="0.25">
      <c r="A214" s="217" t="s">
        <v>22</v>
      </c>
      <c r="B214" s="217" t="s">
        <v>23</v>
      </c>
      <c r="C214" s="217" t="s">
        <v>85</v>
      </c>
      <c r="D214" s="217" t="s">
        <v>84</v>
      </c>
      <c r="E214" s="217" t="s">
        <v>110</v>
      </c>
      <c r="F214" s="217" t="s">
        <v>109</v>
      </c>
      <c r="G214" s="217" t="s">
        <v>319</v>
      </c>
      <c r="H214" s="217" t="s">
        <v>1003</v>
      </c>
      <c r="I214" s="217" t="s">
        <v>29</v>
      </c>
      <c r="J214" s="217" t="s">
        <v>1857</v>
      </c>
      <c r="K214" s="217">
        <v>27</v>
      </c>
      <c r="L214" s="217">
        <v>135</v>
      </c>
      <c r="M214" s="217" t="s">
        <v>31</v>
      </c>
      <c r="N214" s="217" t="s">
        <v>32</v>
      </c>
      <c r="O214" s="217" t="s">
        <v>100</v>
      </c>
      <c r="P214" s="217" t="s">
        <v>34</v>
      </c>
      <c r="Q214" s="217" t="s">
        <v>35</v>
      </c>
      <c r="R214" s="217" t="s">
        <v>23</v>
      </c>
      <c r="S214" s="217" t="s">
        <v>22</v>
      </c>
      <c r="T214" s="217" t="s">
        <v>84</v>
      </c>
      <c r="U214" s="217" t="s">
        <v>85</v>
      </c>
      <c r="V214" s="217" t="s">
        <v>109</v>
      </c>
      <c r="W214" s="217" t="s">
        <v>110</v>
      </c>
    </row>
    <row r="215" spans="1:23" x14ac:dyDescent="0.25">
      <c r="A215" s="217" t="s">
        <v>22</v>
      </c>
      <c r="B215" s="217" t="s">
        <v>23</v>
      </c>
      <c r="C215" s="217" t="s">
        <v>85</v>
      </c>
      <c r="D215" s="217" t="s">
        <v>84</v>
      </c>
      <c r="E215" s="217" t="s">
        <v>110</v>
      </c>
      <c r="F215" s="217" t="s">
        <v>109</v>
      </c>
      <c r="G215" s="217" t="s">
        <v>319</v>
      </c>
      <c r="H215" s="217" t="s">
        <v>1003</v>
      </c>
      <c r="I215" s="217" t="s">
        <v>29</v>
      </c>
      <c r="J215" s="217" t="s">
        <v>1858</v>
      </c>
      <c r="K215" s="217">
        <v>199</v>
      </c>
      <c r="L215" s="217">
        <v>1592</v>
      </c>
      <c r="M215" s="217" t="s">
        <v>31</v>
      </c>
      <c r="N215" s="217" t="s">
        <v>32</v>
      </c>
      <c r="O215" s="217" t="s">
        <v>100</v>
      </c>
      <c r="P215" s="217" t="s">
        <v>34</v>
      </c>
      <c r="Q215" s="217" t="s">
        <v>35</v>
      </c>
      <c r="R215" s="217" t="s">
        <v>23</v>
      </c>
      <c r="S215" s="217" t="s">
        <v>22</v>
      </c>
      <c r="T215" s="217" t="s">
        <v>84</v>
      </c>
      <c r="U215" s="217" t="s">
        <v>85</v>
      </c>
      <c r="V215" s="217" t="s">
        <v>109</v>
      </c>
      <c r="W215" s="217" t="s">
        <v>110</v>
      </c>
    </row>
    <row r="216" spans="1:23" x14ac:dyDescent="0.25">
      <c r="A216" s="217" t="s">
        <v>22</v>
      </c>
      <c r="B216" s="217" t="s">
        <v>23</v>
      </c>
      <c r="C216" s="217" t="s">
        <v>85</v>
      </c>
      <c r="D216" s="217" t="s">
        <v>84</v>
      </c>
      <c r="E216" s="217" t="s">
        <v>110</v>
      </c>
      <c r="F216" s="217" t="s">
        <v>109</v>
      </c>
      <c r="G216" s="217" t="s">
        <v>320</v>
      </c>
      <c r="H216" s="217" t="s">
        <v>1004</v>
      </c>
      <c r="I216" s="217" t="s">
        <v>29</v>
      </c>
      <c r="J216" s="217" t="s">
        <v>1856</v>
      </c>
      <c r="K216" s="217">
        <v>5</v>
      </c>
      <c r="L216" s="217">
        <v>26</v>
      </c>
      <c r="M216" s="217" t="s">
        <v>31</v>
      </c>
      <c r="N216" s="217" t="s">
        <v>32</v>
      </c>
      <c r="O216" s="217" t="s">
        <v>68</v>
      </c>
      <c r="P216" s="217" t="s">
        <v>34</v>
      </c>
      <c r="Q216" s="217" t="s">
        <v>35</v>
      </c>
      <c r="R216" s="217" t="s">
        <v>23</v>
      </c>
      <c r="S216" s="217" t="s">
        <v>22</v>
      </c>
      <c r="T216" s="217" t="s">
        <v>84</v>
      </c>
      <c r="U216" s="217" t="s">
        <v>85</v>
      </c>
      <c r="V216" s="217" t="s">
        <v>91</v>
      </c>
      <c r="W216" s="217" t="s">
        <v>92</v>
      </c>
    </row>
    <row r="217" spans="1:23" x14ac:dyDescent="0.25">
      <c r="A217" s="217" t="s">
        <v>22</v>
      </c>
      <c r="B217" s="217" t="s">
        <v>23</v>
      </c>
      <c r="C217" s="217" t="s">
        <v>85</v>
      </c>
      <c r="D217" s="217" t="s">
        <v>84</v>
      </c>
      <c r="E217" s="217" t="s">
        <v>110</v>
      </c>
      <c r="F217" s="217" t="s">
        <v>109</v>
      </c>
      <c r="G217" s="217" t="s">
        <v>320</v>
      </c>
      <c r="H217" s="217" t="s">
        <v>1004</v>
      </c>
      <c r="I217" s="217" t="s">
        <v>29</v>
      </c>
      <c r="J217" s="217" t="s">
        <v>1857</v>
      </c>
      <c r="K217" s="217">
        <v>9</v>
      </c>
      <c r="L217" s="217">
        <v>44</v>
      </c>
      <c r="M217" s="217" t="s">
        <v>31</v>
      </c>
      <c r="N217" s="217" t="s">
        <v>32</v>
      </c>
      <c r="O217" s="217" t="s">
        <v>100</v>
      </c>
      <c r="P217" s="217" t="s">
        <v>34</v>
      </c>
      <c r="Q217" s="217" t="s">
        <v>35</v>
      </c>
      <c r="R217" s="217" t="s">
        <v>23</v>
      </c>
      <c r="S217" s="217" t="s">
        <v>22</v>
      </c>
      <c r="T217" s="217" t="s">
        <v>84</v>
      </c>
      <c r="U217" s="217" t="s">
        <v>85</v>
      </c>
      <c r="V217" s="217" t="s">
        <v>109</v>
      </c>
      <c r="W217" s="217" t="s">
        <v>110</v>
      </c>
    </row>
    <row r="218" spans="1:23" x14ac:dyDescent="0.25">
      <c r="A218" s="217" t="s">
        <v>22</v>
      </c>
      <c r="B218" s="217" t="s">
        <v>23</v>
      </c>
      <c r="C218" s="217" t="s">
        <v>85</v>
      </c>
      <c r="D218" s="217" t="s">
        <v>84</v>
      </c>
      <c r="E218" s="217" t="s">
        <v>110</v>
      </c>
      <c r="F218" s="217" t="s">
        <v>109</v>
      </c>
      <c r="G218" s="217" t="s">
        <v>320</v>
      </c>
      <c r="H218" s="217" t="s">
        <v>1004</v>
      </c>
      <c r="I218" s="217" t="s">
        <v>29</v>
      </c>
      <c r="J218" s="217" t="s">
        <v>1858</v>
      </c>
      <c r="K218" s="217">
        <v>7</v>
      </c>
      <c r="L218" s="217">
        <v>56</v>
      </c>
      <c r="M218" s="217" t="s">
        <v>31</v>
      </c>
      <c r="N218" s="217" t="s">
        <v>32</v>
      </c>
      <c r="O218" s="217" t="s">
        <v>100</v>
      </c>
      <c r="P218" s="217" t="s">
        <v>34</v>
      </c>
      <c r="Q218" s="217" t="s">
        <v>35</v>
      </c>
      <c r="R218" s="217" t="s">
        <v>23</v>
      </c>
      <c r="S218" s="217" t="s">
        <v>22</v>
      </c>
      <c r="T218" s="217" t="s">
        <v>84</v>
      </c>
      <c r="U218" s="217" t="s">
        <v>85</v>
      </c>
      <c r="V218" s="217" t="s">
        <v>109</v>
      </c>
      <c r="W218" s="217" t="s">
        <v>110</v>
      </c>
    </row>
    <row r="219" spans="1:23" x14ac:dyDescent="0.25">
      <c r="A219" s="217" t="s">
        <v>22</v>
      </c>
      <c r="B219" s="217" t="s">
        <v>23</v>
      </c>
      <c r="C219" s="217" t="s">
        <v>85</v>
      </c>
      <c r="D219" s="217" t="s">
        <v>84</v>
      </c>
      <c r="E219" s="217" t="s">
        <v>110</v>
      </c>
      <c r="F219" s="217" t="s">
        <v>109</v>
      </c>
      <c r="G219" s="217" t="s">
        <v>321</v>
      </c>
      <c r="H219" s="217" t="s">
        <v>1005</v>
      </c>
      <c r="I219" s="217" t="s">
        <v>29</v>
      </c>
      <c r="J219" s="217" t="s">
        <v>1856</v>
      </c>
      <c r="K219" s="217">
        <v>2</v>
      </c>
      <c r="L219" s="217">
        <v>9</v>
      </c>
      <c r="M219" s="217" t="s">
        <v>31</v>
      </c>
      <c r="N219" s="217" t="s">
        <v>32</v>
      </c>
      <c r="O219" s="217" t="s">
        <v>68</v>
      </c>
      <c r="P219" s="217" t="s">
        <v>34</v>
      </c>
      <c r="Q219" s="217" t="s">
        <v>35</v>
      </c>
      <c r="R219" s="217" t="s">
        <v>23</v>
      </c>
      <c r="S219" s="217" t="s">
        <v>22</v>
      </c>
      <c r="T219" s="217" t="s">
        <v>84</v>
      </c>
      <c r="U219" s="217" t="s">
        <v>85</v>
      </c>
      <c r="V219" s="217" t="s">
        <v>91</v>
      </c>
      <c r="W219" s="217" t="s">
        <v>92</v>
      </c>
    </row>
    <row r="220" spans="1:23" x14ac:dyDescent="0.25">
      <c r="A220" s="217" t="s">
        <v>22</v>
      </c>
      <c r="B220" s="217" t="s">
        <v>23</v>
      </c>
      <c r="C220" s="217" t="s">
        <v>85</v>
      </c>
      <c r="D220" s="217" t="s">
        <v>84</v>
      </c>
      <c r="E220" s="217" t="s">
        <v>110</v>
      </c>
      <c r="F220" s="217" t="s">
        <v>109</v>
      </c>
      <c r="G220" s="217" t="s">
        <v>321</v>
      </c>
      <c r="H220" s="217" t="s">
        <v>1005</v>
      </c>
      <c r="I220" s="217" t="s">
        <v>29</v>
      </c>
      <c r="J220" s="217" t="s">
        <v>1857</v>
      </c>
      <c r="K220" s="217">
        <v>4</v>
      </c>
      <c r="L220" s="217">
        <v>20</v>
      </c>
      <c r="M220" s="217" t="s">
        <v>31</v>
      </c>
      <c r="N220" s="217" t="s">
        <v>32</v>
      </c>
      <c r="O220" s="217" t="s">
        <v>100</v>
      </c>
      <c r="P220" s="217" t="s">
        <v>34</v>
      </c>
      <c r="Q220" s="217" t="s">
        <v>35</v>
      </c>
      <c r="R220" s="217" t="s">
        <v>23</v>
      </c>
      <c r="S220" s="217" t="s">
        <v>22</v>
      </c>
      <c r="T220" s="217" t="s">
        <v>84</v>
      </c>
      <c r="U220" s="217" t="s">
        <v>85</v>
      </c>
      <c r="V220" s="217" t="s">
        <v>109</v>
      </c>
      <c r="W220" s="217" t="s">
        <v>110</v>
      </c>
    </row>
    <row r="221" spans="1:23" x14ac:dyDescent="0.25">
      <c r="A221" s="217" t="s">
        <v>22</v>
      </c>
      <c r="B221" s="217" t="s">
        <v>23</v>
      </c>
      <c r="C221" s="217" t="s">
        <v>85</v>
      </c>
      <c r="D221" s="217" t="s">
        <v>84</v>
      </c>
      <c r="E221" s="217" t="s">
        <v>110</v>
      </c>
      <c r="F221" s="217" t="s">
        <v>109</v>
      </c>
      <c r="G221" s="217" t="s">
        <v>321</v>
      </c>
      <c r="H221" s="217" t="s">
        <v>1005</v>
      </c>
      <c r="I221" s="217" t="s">
        <v>29</v>
      </c>
      <c r="J221" s="217" t="s">
        <v>1858</v>
      </c>
      <c r="K221" s="217">
        <v>10</v>
      </c>
      <c r="L221" s="217">
        <v>80</v>
      </c>
      <c r="M221" s="217" t="s">
        <v>31</v>
      </c>
      <c r="N221" s="217" t="s">
        <v>32</v>
      </c>
      <c r="O221" s="217" t="s">
        <v>100</v>
      </c>
      <c r="P221" s="217" t="s">
        <v>34</v>
      </c>
      <c r="Q221" s="217" t="s">
        <v>35</v>
      </c>
      <c r="R221" s="217" t="s">
        <v>23</v>
      </c>
      <c r="S221" s="217" t="s">
        <v>22</v>
      </c>
      <c r="T221" s="217" t="s">
        <v>84</v>
      </c>
      <c r="U221" s="217" t="s">
        <v>85</v>
      </c>
      <c r="V221" s="217" t="s">
        <v>109</v>
      </c>
      <c r="W221" s="217" t="s">
        <v>110</v>
      </c>
    </row>
    <row r="222" spans="1:23" x14ac:dyDescent="0.25">
      <c r="A222" s="217" t="s">
        <v>22</v>
      </c>
      <c r="B222" s="217" t="s">
        <v>23</v>
      </c>
      <c r="C222" s="217" t="s">
        <v>85</v>
      </c>
      <c r="D222" s="217" t="s">
        <v>84</v>
      </c>
      <c r="E222" s="217" t="s">
        <v>110</v>
      </c>
      <c r="F222" s="217" t="s">
        <v>109</v>
      </c>
      <c r="G222" s="217" t="s">
        <v>322</v>
      </c>
      <c r="H222" s="217" t="s">
        <v>1006</v>
      </c>
      <c r="I222" s="217" t="s">
        <v>29</v>
      </c>
      <c r="J222" s="217" t="s">
        <v>1857</v>
      </c>
      <c r="K222" s="217">
        <v>15</v>
      </c>
      <c r="L222" s="217">
        <v>137</v>
      </c>
      <c r="M222" s="217" t="s">
        <v>31</v>
      </c>
      <c r="N222" s="217" t="s">
        <v>32</v>
      </c>
      <c r="O222" s="217" t="s">
        <v>100</v>
      </c>
      <c r="P222" s="217" t="s">
        <v>34</v>
      </c>
      <c r="Q222" s="217" t="s">
        <v>35</v>
      </c>
      <c r="R222" s="217" t="s">
        <v>23</v>
      </c>
      <c r="S222" s="217" t="s">
        <v>22</v>
      </c>
      <c r="T222" s="217" t="s">
        <v>84</v>
      </c>
      <c r="U222" s="217" t="s">
        <v>85</v>
      </c>
      <c r="V222" s="217" t="s">
        <v>109</v>
      </c>
      <c r="W222" s="217" t="s">
        <v>110</v>
      </c>
    </row>
    <row r="223" spans="1:23" x14ac:dyDescent="0.25">
      <c r="A223" s="217" t="s">
        <v>22</v>
      </c>
      <c r="B223" s="217" t="s">
        <v>23</v>
      </c>
      <c r="C223" s="217" t="s">
        <v>85</v>
      </c>
      <c r="D223" s="217" t="s">
        <v>84</v>
      </c>
      <c r="E223" s="217" t="s">
        <v>110</v>
      </c>
      <c r="F223" s="217" t="s">
        <v>109</v>
      </c>
      <c r="G223" s="217" t="s">
        <v>322</v>
      </c>
      <c r="H223" s="217" t="s">
        <v>1006</v>
      </c>
      <c r="I223" s="217" t="s">
        <v>29</v>
      </c>
      <c r="J223" s="217" t="s">
        <v>1859</v>
      </c>
      <c r="K223" s="217">
        <v>10</v>
      </c>
      <c r="L223" s="217">
        <v>70</v>
      </c>
      <c r="M223" s="217" t="s">
        <v>31</v>
      </c>
      <c r="N223" s="217" t="s">
        <v>32</v>
      </c>
      <c r="O223" s="217" t="s">
        <v>100</v>
      </c>
      <c r="P223" s="217" t="s">
        <v>34</v>
      </c>
      <c r="Q223" s="217" t="s">
        <v>35</v>
      </c>
      <c r="R223" s="217" t="s">
        <v>23</v>
      </c>
      <c r="S223" s="217" t="s">
        <v>22</v>
      </c>
      <c r="T223" s="217" t="s">
        <v>84</v>
      </c>
      <c r="U223" s="217" t="s">
        <v>85</v>
      </c>
      <c r="V223" s="217" t="s">
        <v>109</v>
      </c>
      <c r="W223" s="217" t="s">
        <v>110</v>
      </c>
    </row>
    <row r="224" spans="1:23" x14ac:dyDescent="0.25">
      <c r="A224" s="217" t="s">
        <v>22</v>
      </c>
      <c r="B224" s="217" t="s">
        <v>23</v>
      </c>
      <c r="C224" s="217" t="s">
        <v>85</v>
      </c>
      <c r="D224" s="217" t="s">
        <v>84</v>
      </c>
      <c r="E224" s="217" t="s">
        <v>110</v>
      </c>
      <c r="F224" s="217" t="s">
        <v>109</v>
      </c>
      <c r="G224" s="217" t="s">
        <v>1829</v>
      </c>
      <c r="H224" s="217" t="s">
        <v>1828</v>
      </c>
      <c r="I224" s="217" t="s">
        <v>29</v>
      </c>
      <c r="J224" s="217" t="s">
        <v>1858</v>
      </c>
      <c r="K224" s="217">
        <v>15</v>
      </c>
      <c r="L224" s="217">
        <v>120</v>
      </c>
      <c r="M224" s="217" t="s">
        <v>31</v>
      </c>
      <c r="N224" s="217" t="s">
        <v>32</v>
      </c>
      <c r="O224" s="217" t="s">
        <v>100</v>
      </c>
      <c r="P224" s="217" t="s">
        <v>34</v>
      </c>
      <c r="Q224" s="217" t="s">
        <v>35</v>
      </c>
      <c r="R224" s="217" t="s">
        <v>23</v>
      </c>
      <c r="S224" s="217" t="s">
        <v>22</v>
      </c>
      <c r="T224" s="217" t="s">
        <v>84</v>
      </c>
      <c r="U224" s="217" t="s">
        <v>85</v>
      </c>
      <c r="V224" s="217" t="s">
        <v>109</v>
      </c>
      <c r="W224" s="217" t="s">
        <v>110</v>
      </c>
    </row>
    <row r="225" spans="1:23" x14ac:dyDescent="0.25">
      <c r="A225" s="217" t="s">
        <v>22</v>
      </c>
      <c r="B225" s="217" t="s">
        <v>23</v>
      </c>
      <c r="C225" s="217" t="s">
        <v>85</v>
      </c>
      <c r="D225" s="217" t="s">
        <v>84</v>
      </c>
      <c r="E225" s="217" t="s">
        <v>110</v>
      </c>
      <c r="F225" s="217" t="s">
        <v>109</v>
      </c>
      <c r="G225" s="217" t="s">
        <v>1825</v>
      </c>
      <c r="H225" s="217" t="s">
        <v>1824</v>
      </c>
      <c r="I225" s="217" t="s">
        <v>29</v>
      </c>
      <c r="J225" s="217" t="s">
        <v>1858</v>
      </c>
      <c r="K225" s="217">
        <v>14</v>
      </c>
      <c r="L225" s="217">
        <v>106</v>
      </c>
      <c r="M225" s="217" t="s">
        <v>31</v>
      </c>
      <c r="N225" s="217" t="s">
        <v>32</v>
      </c>
      <c r="O225" s="217" t="s">
        <v>100</v>
      </c>
      <c r="P225" s="217" t="s">
        <v>34</v>
      </c>
      <c r="Q225" s="217" t="s">
        <v>35</v>
      </c>
      <c r="R225" s="217" t="s">
        <v>23</v>
      </c>
      <c r="S225" s="217" t="s">
        <v>22</v>
      </c>
      <c r="T225" s="217" t="s">
        <v>84</v>
      </c>
      <c r="U225" s="217" t="s">
        <v>85</v>
      </c>
      <c r="V225" s="217" t="s">
        <v>109</v>
      </c>
      <c r="W225" s="217" t="s">
        <v>110</v>
      </c>
    </row>
    <row r="226" spans="1:23" x14ac:dyDescent="0.25">
      <c r="A226" s="217" t="s">
        <v>22</v>
      </c>
      <c r="B226" s="217" t="s">
        <v>23</v>
      </c>
      <c r="C226" s="217" t="s">
        <v>85</v>
      </c>
      <c r="D226" s="217" t="s">
        <v>84</v>
      </c>
      <c r="E226" s="217" t="s">
        <v>110</v>
      </c>
      <c r="F226" s="217" t="s">
        <v>109</v>
      </c>
      <c r="G226" s="217" t="s">
        <v>1827</v>
      </c>
      <c r="H226" s="217" t="s">
        <v>1826</v>
      </c>
      <c r="I226" s="217" t="s">
        <v>29</v>
      </c>
      <c r="J226" s="217" t="s">
        <v>1858</v>
      </c>
      <c r="K226" s="217">
        <v>13</v>
      </c>
      <c r="L226" s="217">
        <v>104</v>
      </c>
      <c r="M226" s="217" t="s">
        <v>31</v>
      </c>
      <c r="N226" s="217" t="s">
        <v>32</v>
      </c>
      <c r="O226" s="217" t="s">
        <v>100</v>
      </c>
      <c r="P226" s="217" t="s">
        <v>34</v>
      </c>
      <c r="Q226" s="217" t="s">
        <v>35</v>
      </c>
      <c r="R226" s="217" t="s">
        <v>23</v>
      </c>
      <c r="S226" s="217" t="s">
        <v>22</v>
      </c>
      <c r="T226" s="217" t="s">
        <v>84</v>
      </c>
      <c r="U226" s="217" t="s">
        <v>85</v>
      </c>
      <c r="V226" s="217" t="s">
        <v>109</v>
      </c>
      <c r="W226" s="217" t="s">
        <v>110</v>
      </c>
    </row>
    <row r="227" spans="1:23" x14ac:dyDescent="0.25">
      <c r="A227" s="217" t="s">
        <v>22</v>
      </c>
      <c r="B227" s="217" t="s">
        <v>23</v>
      </c>
      <c r="C227" s="217" t="s">
        <v>85</v>
      </c>
      <c r="D227" s="217" t="s">
        <v>84</v>
      </c>
      <c r="E227" s="217" t="s">
        <v>110</v>
      </c>
      <c r="F227" s="217" t="s">
        <v>109</v>
      </c>
      <c r="G227" s="217" t="s">
        <v>324</v>
      </c>
      <c r="H227" s="217" t="s">
        <v>1008</v>
      </c>
      <c r="I227" s="217" t="s">
        <v>29</v>
      </c>
      <c r="J227" s="217" t="s">
        <v>1855</v>
      </c>
      <c r="K227" s="217">
        <v>6</v>
      </c>
      <c r="L227" s="217">
        <v>30</v>
      </c>
      <c r="M227" s="217" t="s">
        <v>31</v>
      </c>
      <c r="N227" s="217" t="s">
        <v>32</v>
      </c>
      <c r="O227" s="217" t="s">
        <v>68</v>
      </c>
      <c r="P227" s="217" t="s">
        <v>34</v>
      </c>
      <c r="Q227" s="217" t="s">
        <v>35</v>
      </c>
      <c r="R227" s="217" t="s">
        <v>23</v>
      </c>
      <c r="S227" s="217" t="s">
        <v>22</v>
      </c>
      <c r="T227" s="217" t="s">
        <v>84</v>
      </c>
      <c r="U227" s="217" t="s">
        <v>85</v>
      </c>
      <c r="V227" s="217" t="s">
        <v>91</v>
      </c>
      <c r="W227" s="217" t="s">
        <v>92</v>
      </c>
    </row>
    <row r="228" spans="1:23" x14ac:dyDescent="0.25">
      <c r="A228" s="217" t="s">
        <v>22</v>
      </c>
      <c r="B228" s="217" t="s">
        <v>23</v>
      </c>
      <c r="C228" s="217" t="s">
        <v>85</v>
      </c>
      <c r="D228" s="217" t="s">
        <v>84</v>
      </c>
      <c r="E228" s="217" t="s">
        <v>110</v>
      </c>
      <c r="F228" s="217" t="s">
        <v>109</v>
      </c>
      <c r="G228" s="217" t="s">
        <v>324</v>
      </c>
      <c r="H228" s="217" t="s">
        <v>1008</v>
      </c>
      <c r="I228" s="217" t="s">
        <v>29</v>
      </c>
      <c r="J228" s="217" t="s">
        <v>1856</v>
      </c>
      <c r="K228" s="217">
        <v>15</v>
      </c>
      <c r="L228" s="217">
        <v>75</v>
      </c>
      <c r="M228" s="217" t="s">
        <v>31</v>
      </c>
      <c r="N228" s="217" t="s">
        <v>32</v>
      </c>
      <c r="O228" s="217" t="s">
        <v>100</v>
      </c>
      <c r="P228" s="217" t="s">
        <v>34</v>
      </c>
      <c r="Q228" s="217" t="s">
        <v>35</v>
      </c>
      <c r="R228" s="217" t="s">
        <v>23</v>
      </c>
      <c r="S228" s="217" t="s">
        <v>22</v>
      </c>
      <c r="T228" s="217" t="s">
        <v>84</v>
      </c>
      <c r="U228" s="217" t="s">
        <v>85</v>
      </c>
      <c r="V228" s="217" t="s">
        <v>109</v>
      </c>
      <c r="W228" s="217" t="s">
        <v>110</v>
      </c>
    </row>
    <row r="229" spans="1:23" x14ac:dyDescent="0.25">
      <c r="A229" s="217" t="s">
        <v>22</v>
      </c>
      <c r="B229" s="217" t="s">
        <v>23</v>
      </c>
      <c r="C229" s="217" t="s">
        <v>85</v>
      </c>
      <c r="D229" s="217" t="s">
        <v>84</v>
      </c>
      <c r="E229" s="217" t="s">
        <v>110</v>
      </c>
      <c r="F229" s="217" t="s">
        <v>109</v>
      </c>
      <c r="G229" s="217" t="s">
        <v>324</v>
      </c>
      <c r="H229" s="217" t="s">
        <v>1008</v>
      </c>
      <c r="I229" s="217" t="s">
        <v>29</v>
      </c>
      <c r="J229" s="217" t="s">
        <v>1857</v>
      </c>
      <c r="K229" s="217">
        <v>8</v>
      </c>
      <c r="L229" s="217">
        <v>40</v>
      </c>
      <c r="M229" s="217" t="s">
        <v>31</v>
      </c>
      <c r="N229" s="217" t="s">
        <v>32</v>
      </c>
      <c r="O229" s="217" t="s">
        <v>100</v>
      </c>
      <c r="P229" s="217" t="s">
        <v>34</v>
      </c>
      <c r="Q229" s="217" t="s">
        <v>35</v>
      </c>
      <c r="R229" s="217" t="s">
        <v>23</v>
      </c>
      <c r="S229" s="217" t="s">
        <v>22</v>
      </c>
      <c r="T229" s="217" t="s">
        <v>84</v>
      </c>
      <c r="U229" s="217" t="s">
        <v>85</v>
      </c>
      <c r="V229" s="217" t="s">
        <v>109</v>
      </c>
      <c r="W229" s="217" t="s">
        <v>110</v>
      </c>
    </row>
    <row r="230" spans="1:23" x14ac:dyDescent="0.25">
      <c r="A230" s="217" t="s">
        <v>22</v>
      </c>
      <c r="B230" s="217" t="s">
        <v>23</v>
      </c>
      <c r="C230" s="217" t="s">
        <v>85</v>
      </c>
      <c r="D230" s="217" t="s">
        <v>84</v>
      </c>
      <c r="E230" s="217" t="s">
        <v>110</v>
      </c>
      <c r="F230" s="217" t="s">
        <v>109</v>
      </c>
      <c r="G230" s="217" t="s">
        <v>324</v>
      </c>
      <c r="H230" s="217" t="s">
        <v>1008</v>
      </c>
      <c r="I230" s="217" t="s">
        <v>29</v>
      </c>
      <c r="J230" s="217" t="s">
        <v>1858</v>
      </c>
      <c r="K230" s="217">
        <v>100</v>
      </c>
      <c r="L230" s="217">
        <v>725</v>
      </c>
      <c r="M230" s="217" t="s">
        <v>31</v>
      </c>
      <c r="N230" s="217" t="s">
        <v>32</v>
      </c>
      <c r="O230" s="217" t="s">
        <v>68</v>
      </c>
      <c r="P230" s="217" t="s">
        <v>34</v>
      </c>
      <c r="Q230" s="217" t="s">
        <v>35</v>
      </c>
      <c r="R230" s="217" t="s">
        <v>23</v>
      </c>
      <c r="S230" s="217" t="s">
        <v>22</v>
      </c>
      <c r="T230" s="217" t="s">
        <v>84</v>
      </c>
      <c r="U230" s="217" t="s">
        <v>85</v>
      </c>
      <c r="V230" s="217" t="s">
        <v>94</v>
      </c>
      <c r="W230" s="217" t="s">
        <v>95</v>
      </c>
    </row>
    <row r="231" spans="1:23" x14ac:dyDescent="0.25">
      <c r="A231" s="217" t="s">
        <v>22</v>
      </c>
      <c r="B231" s="217" t="s">
        <v>23</v>
      </c>
      <c r="C231" s="217" t="s">
        <v>85</v>
      </c>
      <c r="D231" s="217" t="s">
        <v>84</v>
      </c>
      <c r="E231" s="217" t="s">
        <v>110</v>
      </c>
      <c r="F231" s="217" t="s">
        <v>109</v>
      </c>
      <c r="G231" s="217" t="s">
        <v>325</v>
      </c>
      <c r="H231" s="217" t="s">
        <v>1009</v>
      </c>
      <c r="I231" s="217" t="s">
        <v>29</v>
      </c>
      <c r="J231" s="217" t="s">
        <v>1856</v>
      </c>
      <c r="K231" s="217">
        <v>20</v>
      </c>
      <c r="L231" s="217">
        <v>100</v>
      </c>
      <c r="M231" s="217" t="s">
        <v>31</v>
      </c>
      <c r="N231" s="217" t="s">
        <v>32</v>
      </c>
      <c r="O231" s="217" t="s">
        <v>100</v>
      </c>
      <c r="P231" s="217" t="s">
        <v>34</v>
      </c>
      <c r="Q231" s="217" t="s">
        <v>35</v>
      </c>
      <c r="R231" s="217" t="s">
        <v>23</v>
      </c>
      <c r="S231" s="217" t="s">
        <v>22</v>
      </c>
      <c r="T231" s="217" t="s">
        <v>84</v>
      </c>
      <c r="U231" s="217" t="s">
        <v>85</v>
      </c>
      <c r="V231" s="217" t="s">
        <v>109</v>
      </c>
      <c r="W231" s="217" t="s">
        <v>110</v>
      </c>
    </row>
    <row r="232" spans="1:23" x14ac:dyDescent="0.25">
      <c r="A232" s="217" t="s">
        <v>22</v>
      </c>
      <c r="B232" s="217" t="s">
        <v>23</v>
      </c>
      <c r="C232" s="217" t="s">
        <v>85</v>
      </c>
      <c r="D232" s="217" t="s">
        <v>84</v>
      </c>
      <c r="E232" s="217" t="s">
        <v>110</v>
      </c>
      <c r="F232" s="217" t="s">
        <v>109</v>
      </c>
      <c r="G232" s="217" t="s">
        <v>325</v>
      </c>
      <c r="H232" s="217" t="s">
        <v>1009</v>
      </c>
      <c r="I232" s="217" t="s">
        <v>29</v>
      </c>
      <c r="J232" s="217" t="s">
        <v>1858</v>
      </c>
      <c r="K232" s="217">
        <v>10</v>
      </c>
      <c r="L232" s="217">
        <v>88</v>
      </c>
      <c r="M232" s="217" t="s">
        <v>31</v>
      </c>
      <c r="N232" s="217" t="s">
        <v>32</v>
      </c>
      <c r="O232" s="217" t="s">
        <v>100</v>
      </c>
      <c r="P232" s="217" t="s">
        <v>34</v>
      </c>
      <c r="Q232" s="217" t="s">
        <v>35</v>
      </c>
      <c r="R232" s="217" t="s">
        <v>23</v>
      </c>
      <c r="S232" s="217" t="s">
        <v>22</v>
      </c>
      <c r="T232" s="217" t="s">
        <v>84</v>
      </c>
      <c r="U232" s="217" t="s">
        <v>85</v>
      </c>
      <c r="V232" s="217" t="s">
        <v>109</v>
      </c>
      <c r="W232" s="217" t="s">
        <v>110</v>
      </c>
    </row>
    <row r="233" spans="1:23" x14ac:dyDescent="0.25">
      <c r="A233" s="217" t="s">
        <v>22</v>
      </c>
      <c r="B233" s="217" t="s">
        <v>23</v>
      </c>
      <c r="C233" s="217" t="s">
        <v>85</v>
      </c>
      <c r="D233" s="217" t="s">
        <v>84</v>
      </c>
      <c r="E233" s="217" t="s">
        <v>110</v>
      </c>
      <c r="F233" s="217" t="s">
        <v>109</v>
      </c>
      <c r="G233" s="217" t="s">
        <v>285</v>
      </c>
      <c r="H233" s="217" t="s">
        <v>1011</v>
      </c>
      <c r="I233" s="217" t="s">
        <v>29</v>
      </c>
      <c r="J233" s="217" t="s">
        <v>1855</v>
      </c>
      <c r="K233" s="217">
        <v>4</v>
      </c>
      <c r="L233" s="217">
        <v>31</v>
      </c>
      <c r="M233" s="217" t="s">
        <v>31</v>
      </c>
      <c r="N233" s="217" t="s">
        <v>32</v>
      </c>
      <c r="O233" s="217" t="s">
        <v>68</v>
      </c>
      <c r="P233" s="217" t="s">
        <v>34</v>
      </c>
      <c r="Q233" s="217" t="s">
        <v>35</v>
      </c>
      <c r="R233" s="217" t="s">
        <v>23</v>
      </c>
      <c r="S233" s="217" t="s">
        <v>22</v>
      </c>
      <c r="T233" s="217" t="s">
        <v>84</v>
      </c>
      <c r="U233" s="217" t="s">
        <v>85</v>
      </c>
      <c r="V233" s="217" t="s">
        <v>91</v>
      </c>
      <c r="W233" s="217" t="s">
        <v>92</v>
      </c>
    </row>
    <row r="234" spans="1:23" x14ac:dyDescent="0.25">
      <c r="A234" s="217" t="s">
        <v>22</v>
      </c>
      <c r="B234" s="217" t="s">
        <v>23</v>
      </c>
      <c r="C234" s="217" t="s">
        <v>85</v>
      </c>
      <c r="D234" s="217" t="s">
        <v>84</v>
      </c>
      <c r="E234" s="217" t="s">
        <v>110</v>
      </c>
      <c r="F234" s="217" t="s">
        <v>109</v>
      </c>
      <c r="G234" s="217" t="s">
        <v>285</v>
      </c>
      <c r="H234" s="217" t="s">
        <v>1011</v>
      </c>
      <c r="I234" s="217" t="s">
        <v>29</v>
      </c>
      <c r="J234" s="217" t="s">
        <v>1856</v>
      </c>
      <c r="K234" s="217">
        <v>1</v>
      </c>
      <c r="L234" s="217">
        <v>4</v>
      </c>
      <c r="M234" s="217" t="s">
        <v>31</v>
      </c>
      <c r="N234" s="217" t="s">
        <v>32</v>
      </c>
      <c r="O234" s="217" t="s">
        <v>100</v>
      </c>
      <c r="P234" s="217" t="s">
        <v>34</v>
      </c>
      <c r="Q234" s="217" t="s">
        <v>35</v>
      </c>
      <c r="R234" s="217" t="s">
        <v>23</v>
      </c>
      <c r="S234" s="217" t="s">
        <v>22</v>
      </c>
      <c r="T234" s="217" t="s">
        <v>84</v>
      </c>
      <c r="U234" s="217" t="s">
        <v>85</v>
      </c>
      <c r="V234" s="217" t="s">
        <v>109</v>
      </c>
      <c r="W234" s="217" t="s">
        <v>110</v>
      </c>
    </row>
    <row r="235" spans="1:23" x14ac:dyDescent="0.25">
      <c r="A235" s="217" t="s">
        <v>22</v>
      </c>
      <c r="B235" s="217" t="s">
        <v>23</v>
      </c>
      <c r="C235" s="217" t="s">
        <v>85</v>
      </c>
      <c r="D235" s="217" t="s">
        <v>84</v>
      </c>
      <c r="E235" s="217" t="s">
        <v>110</v>
      </c>
      <c r="F235" s="217" t="s">
        <v>109</v>
      </c>
      <c r="G235" s="217" t="s">
        <v>285</v>
      </c>
      <c r="H235" s="217" t="s">
        <v>1011</v>
      </c>
      <c r="I235" s="217" t="s">
        <v>29</v>
      </c>
      <c r="J235" s="217" t="s">
        <v>1858</v>
      </c>
      <c r="K235" s="217">
        <v>2</v>
      </c>
      <c r="L235" s="217">
        <v>29</v>
      </c>
      <c r="M235" s="217" t="s">
        <v>31</v>
      </c>
      <c r="N235" s="217" t="s">
        <v>32</v>
      </c>
      <c r="O235" s="217" t="s">
        <v>100</v>
      </c>
      <c r="P235" s="217" t="s">
        <v>34</v>
      </c>
      <c r="Q235" s="217" t="s">
        <v>35</v>
      </c>
      <c r="R235" s="217" t="s">
        <v>23</v>
      </c>
      <c r="S235" s="217" t="s">
        <v>22</v>
      </c>
      <c r="T235" s="217" t="s">
        <v>84</v>
      </c>
      <c r="U235" s="217" t="s">
        <v>85</v>
      </c>
      <c r="V235" s="217" t="s">
        <v>109</v>
      </c>
      <c r="W235" s="217" t="s">
        <v>110</v>
      </c>
    </row>
    <row r="236" spans="1:23" x14ac:dyDescent="0.25">
      <c r="A236" s="217" t="s">
        <v>22</v>
      </c>
      <c r="B236" s="217" t="s">
        <v>23</v>
      </c>
      <c r="C236" s="217" t="s">
        <v>85</v>
      </c>
      <c r="D236" s="217" t="s">
        <v>84</v>
      </c>
      <c r="E236" s="217" t="s">
        <v>110</v>
      </c>
      <c r="F236" s="217" t="s">
        <v>109</v>
      </c>
      <c r="G236" s="217" t="s">
        <v>1835</v>
      </c>
      <c r="H236" s="217" t="s">
        <v>1834</v>
      </c>
      <c r="I236" s="217" t="s">
        <v>29</v>
      </c>
      <c r="J236" s="217" t="s">
        <v>1858</v>
      </c>
      <c r="K236" s="217">
        <v>20</v>
      </c>
      <c r="L236" s="217">
        <v>160</v>
      </c>
      <c r="M236" s="217" t="s">
        <v>31</v>
      </c>
      <c r="N236" s="217" t="s">
        <v>32</v>
      </c>
      <c r="O236" s="217" t="s">
        <v>100</v>
      </c>
      <c r="P236" s="217" t="s">
        <v>34</v>
      </c>
      <c r="Q236" s="217" t="s">
        <v>35</v>
      </c>
      <c r="R236" s="217" t="s">
        <v>23</v>
      </c>
      <c r="S236" s="217" t="s">
        <v>22</v>
      </c>
      <c r="T236" s="217" t="s">
        <v>84</v>
      </c>
      <c r="U236" s="217" t="s">
        <v>85</v>
      </c>
      <c r="V236" s="217" t="s">
        <v>109</v>
      </c>
      <c r="W236" s="217" t="s">
        <v>110</v>
      </c>
    </row>
    <row r="237" spans="1:23" x14ac:dyDescent="0.25">
      <c r="A237" s="217" t="s">
        <v>22</v>
      </c>
      <c r="B237" s="217" t="s">
        <v>23</v>
      </c>
      <c r="C237" s="217" t="s">
        <v>85</v>
      </c>
      <c r="D237" s="217" t="s">
        <v>84</v>
      </c>
      <c r="E237" s="217" t="s">
        <v>110</v>
      </c>
      <c r="F237" s="217" t="s">
        <v>109</v>
      </c>
      <c r="G237" s="217" t="s">
        <v>1837</v>
      </c>
      <c r="H237" s="217" t="s">
        <v>1836</v>
      </c>
      <c r="I237" s="217" t="s">
        <v>29</v>
      </c>
      <c r="J237" s="217" t="s">
        <v>1858</v>
      </c>
      <c r="K237" s="217">
        <v>9</v>
      </c>
      <c r="L237" s="217">
        <v>73</v>
      </c>
      <c r="M237" s="217" t="s">
        <v>31</v>
      </c>
      <c r="N237" s="217" t="s">
        <v>32</v>
      </c>
      <c r="O237" s="217" t="s">
        <v>100</v>
      </c>
      <c r="P237" s="217" t="s">
        <v>34</v>
      </c>
      <c r="Q237" s="217" t="s">
        <v>35</v>
      </c>
      <c r="R237" s="217" t="s">
        <v>23</v>
      </c>
      <c r="S237" s="217" t="s">
        <v>22</v>
      </c>
      <c r="T237" s="217" t="s">
        <v>84</v>
      </c>
      <c r="U237" s="217" t="s">
        <v>85</v>
      </c>
      <c r="V237" s="217" t="s">
        <v>109</v>
      </c>
      <c r="W237" s="217" t="s">
        <v>110</v>
      </c>
    </row>
    <row r="238" spans="1:23" x14ac:dyDescent="0.25">
      <c r="A238" s="217" t="s">
        <v>22</v>
      </c>
      <c r="B238" s="217" t="s">
        <v>23</v>
      </c>
      <c r="C238" s="217" t="s">
        <v>85</v>
      </c>
      <c r="D238" s="217" t="s">
        <v>84</v>
      </c>
      <c r="E238" s="217" t="s">
        <v>110</v>
      </c>
      <c r="F238" s="217" t="s">
        <v>109</v>
      </c>
      <c r="G238" s="217" t="s">
        <v>1831</v>
      </c>
      <c r="H238" s="217" t="s">
        <v>1830</v>
      </c>
      <c r="I238" s="217" t="s">
        <v>29</v>
      </c>
      <c r="J238" s="217" t="s">
        <v>1858</v>
      </c>
      <c r="K238" s="217">
        <v>3</v>
      </c>
      <c r="L238" s="217">
        <v>25</v>
      </c>
      <c r="M238" s="217" t="s">
        <v>31</v>
      </c>
      <c r="N238" s="217" t="s">
        <v>32</v>
      </c>
      <c r="O238" s="217" t="s">
        <v>100</v>
      </c>
      <c r="P238" s="217" t="s">
        <v>34</v>
      </c>
      <c r="Q238" s="217" t="s">
        <v>35</v>
      </c>
      <c r="R238" s="217" t="s">
        <v>23</v>
      </c>
      <c r="S238" s="217" t="s">
        <v>22</v>
      </c>
      <c r="T238" s="217" t="s">
        <v>84</v>
      </c>
      <c r="U238" s="217" t="s">
        <v>85</v>
      </c>
      <c r="V238" s="217" t="s">
        <v>109</v>
      </c>
      <c r="W238" s="217" t="s">
        <v>110</v>
      </c>
    </row>
    <row r="239" spans="1:23" x14ac:dyDescent="0.25">
      <c r="A239" s="217" t="s">
        <v>22</v>
      </c>
      <c r="B239" s="217" t="s">
        <v>23</v>
      </c>
      <c r="C239" s="217" t="s">
        <v>85</v>
      </c>
      <c r="D239" s="217" t="s">
        <v>84</v>
      </c>
      <c r="E239" s="217" t="s">
        <v>110</v>
      </c>
      <c r="F239" s="217" t="s">
        <v>109</v>
      </c>
      <c r="G239" s="217" t="s">
        <v>148</v>
      </c>
      <c r="H239" s="217" t="s">
        <v>1012</v>
      </c>
      <c r="I239" s="217" t="s">
        <v>29</v>
      </c>
      <c r="J239" s="217" t="s">
        <v>1856</v>
      </c>
      <c r="K239" s="217">
        <v>52</v>
      </c>
      <c r="L239" s="217">
        <v>416</v>
      </c>
      <c r="M239" s="217" t="s">
        <v>31</v>
      </c>
      <c r="N239" s="217" t="s">
        <v>32</v>
      </c>
      <c r="O239" s="217" t="s">
        <v>100</v>
      </c>
      <c r="P239" s="217" t="s">
        <v>34</v>
      </c>
      <c r="Q239" s="217" t="s">
        <v>35</v>
      </c>
      <c r="R239" s="217" t="s">
        <v>23</v>
      </c>
      <c r="S239" s="217" t="s">
        <v>22</v>
      </c>
      <c r="T239" s="217" t="s">
        <v>84</v>
      </c>
      <c r="U239" s="217" t="s">
        <v>85</v>
      </c>
      <c r="V239" s="217" t="s">
        <v>109</v>
      </c>
      <c r="W239" s="217" t="s">
        <v>110</v>
      </c>
    </row>
    <row r="240" spans="1:23" x14ac:dyDescent="0.25">
      <c r="A240" s="217" t="s">
        <v>22</v>
      </c>
      <c r="B240" s="217" t="s">
        <v>23</v>
      </c>
      <c r="C240" s="217" t="s">
        <v>85</v>
      </c>
      <c r="D240" s="217" t="s">
        <v>84</v>
      </c>
      <c r="E240" s="217" t="s">
        <v>110</v>
      </c>
      <c r="F240" s="217" t="s">
        <v>109</v>
      </c>
      <c r="G240" s="217" t="s">
        <v>148</v>
      </c>
      <c r="H240" s="217" t="s">
        <v>1012</v>
      </c>
      <c r="I240" s="217" t="s">
        <v>29</v>
      </c>
      <c r="J240" s="217" t="s">
        <v>1857</v>
      </c>
      <c r="K240" s="217">
        <v>16</v>
      </c>
      <c r="L240" s="217">
        <v>128</v>
      </c>
      <c r="M240" s="217" t="s">
        <v>31</v>
      </c>
      <c r="N240" s="217" t="s">
        <v>32</v>
      </c>
      <c r="O240" s="217" t="s">
        <v>100</v>
      </c>
      <c r="P240" s="217" t="s">
        <v>34</v>
      </c>
      <c r="Q240" s="217" t="s">
        <v>35</v>
      </c>
      <c r="R240" s="217" t="s">
        <v>23</v>
      </c>
      <c r="S240" s="217" t="s">
        <v>22</v>
      </c>
      <c r="T240" s="217" t="s">
        <v>84</v>
      </c>
      <c r="U240" s="217" t="s">
        <v>85</v>
      </c>
      <c r="V240" s="217" t="s">
        <v>109</v>
      </c>
      <c r="W240" s="217" t="s">
        <v>110</v>
      </c>
    </row>
    <row r="241" spans="1:23" x14ac:dyDescent="0.25">
      <c r="A241" s="217" t="s">
        <v>22</v>
      </c>
      <c r="B241" s="217" t="s">
        <v>23</v>
      </c>
      <c r="C241" s="217" t="s">
        <v>85</v>
      </c>
      <c r="D241" s="217" t="s">
        <v>84</v>
      </c>
      <c r="E241" s="217" t="s">
        <v>110</v>
      </c>
      <c r="F241" s="217" t="s">
        <v>109</v>
      </c>
      <c r="G241" s="217" t="s">
        <v>149</v>
      </c>
      <c r="H241" s="217" t="s">
        <v>1013</v>
      </c>
      <c r="I241" s="217" t="s">
        <v>29</v>
      </c>
      <c r="J241" s="217" t="s">
        <v>1856</v>
      </c>
      <c r="K241" s="217">
        <v>7</v>
      </c>
      <c r="L241" s="217">
        <v>28</v>
      </c>
      <c r="M241" s="217" t="s">
        <v>31</v>
      </c>
      <c r="N241" s="217" t="s">
        <v>32</v>
      </c>
      <c r="O241" s="217" t="s">
        <v>100</v>
      </c>
      <c r="P241" s="217" t="s">
        <v>34</v>
      </c>
      <c r="Q241" s="217" t="s">
        <v>35</v>
      </c>
      <c r="R241" s="217" t="s">
        <v>23</v>
      </c>
      <c r="S241" s="217" t="s">
        <v>22</v>
      </c>
      <c r="T241" s="217" t="s">
        <v>84</v>
      </c>
      <c r="U241" s="217" t="s">
        <v>85</v>
      </c>
      <c r="V241" s="217" t="s">
        <v>109</v>
      </c>
      <c r="W241" s="217" t="s">
        <v>110</v>
      </c>
    </row>
    <row r="242" spans="1:23" x14ac:dyDescent="0.25">
      <c r="A242" s="217" t="s">
        <v>22</v>
      </c>
      <c r="B242" s="217" t="s">
        <v>23</v>
      </c>
      <c r="C242" s="217" t="s">
        <v>85</v>
      </c>
      <c r="D242" s="217" t="s">
        <v>84</v>
      </c>
      <c r="E242" s="217" t="s">
        <v>110</v>
      </c>
      <c r="F242" s="217" t="s">
        <v>109</v>
      </c>
      <c r="G242" s="217" t="s">
        <v>149</v>
      </c>
      <c r="H242" s="217" t="s">
        <v>1013</v>
      </c>
      <c r="I242" s="217" t="s">
        <v>29</v>
      </c>
      <c r="J242" s="217" t="s">
        <v>1857</v>
      </c>
      <c r="K242" s="217">
        <v>8</v>
      </c>
      <c r="L242" s="217">
        <v>116</v>
      </c>
      <c r="M242" s="217" t="s">
        <v>31</v>
      </c>
      <c r="N242" s="217" t="s">
        <v>32</v>
      </c>
      <c r="O242" s="217" t="s">
        <v>100</v>
      </c>
      <c r="P242" s="217" t="s">
        <v>34</v>
      </c>
      <c r="Q242" s="217" t="s">
        <v>35</v>
      </c>
      <c r="R242" s="217" t="s">
        <v>23</v>
      </c>
      <c r="S242" s="217" t="s">
        <v>22</v>
      </c>
      <c r="T242" s="217" t="s">
        <v>84</v>
      </c>
      <c r="U242" s="217" t="s">
        <v>85</v>
      </c>
      <c r="V242" s="217" t="s">
        <v>109</v>
      </c>
      <c r="W242" s="217" t="s">
        <v>110</v>
      </c>
    </row>
    <row r="243" spans="1:23" x14ac:dyDescent="0.25">
      <c r="A243" s="217" t="s">
        <v>22</v>
      </c>
      <c r="B243" s="217" t="s">
        <v>23</v>
      </c>
      <c r="C243" s="217" t="s">
        <v>85</v>
      </c>
      <c r="D243" s="217" t="s">
        <v>84</v>
      </c>
      <c r="E243" s="217" t="s">
        <v>110</v>
      </c>
      <c r="F243" s="217" t="s">
        <v>109</v>
      </c>
      <c r="G243" s="217" t="s">
        <v>149</v>
      </c>
      <c r="H243" s="217" t="s">
        <v>1013</v>
      </c>
      <c r="I243" s="217" t="s">
        <v>29</v>
      </c>
      <c r="J243" s="217" t="s">
        <v>1858</v>
      </c>
      <c r="K243" s="217">
        <v>10</v>
      </c>
      <c r="L243" s="217">
        <v>80</v>
      </c>
      <c r="M243" s="217" t="s">
        <v>31</v>
      </c>
      <c r="N243" s="217" t="s">
        <v>32</v>
      </c>
      <c r="O243" s="217" t="s">
        <v>100</v>
      </c>
      <c r="P243" s="217" t="s">
        <v>34</v>
      </c>
      <c r="Q243" s="217" t="s">
        <v>35</v>
      </c>
      <c r="R243" s="217" t="s">
        <v>23</v>
      </c>
      <c r="S243" s="217" t="s">
        <v>22</v>
      </c>
      <c r="T243" s="217" t="s">
        <v>84</v>
      </c>
      <c r="U243" s="217" t="s">
        <v>85</v>
      </c>
      <c r="V243" s="217" t="s">
        <v>109</v>
      </c>
      <c r="W243" s="217" t="s">
        <v>110</v>
      </c>
    </row>
    <row r="244" spans="1:23" x14ac:dyDescent="0.25">
      <c r="A244" s="217" t="s">
        <v>22</v>
      </c>
      <c r="B244" s="217" t="s">
        <v>23</v>
      </c>
      <c r="C244" s="217" t="s">
        <v>85</v>
      </c>
      <c r="D244" s="217" t="s">
        <v>84</v>
      </c>
      <c r="E244" s="217" t="s">
        <v>110</v>
      </c>
      <c r="F244" s="217" t="s">
        <v>109</v>
      </c>
      <c r="G244" s="217" t="s">
        <v>1833</v>
      </c>
      <c r="H244" s="217" t="s">
        <v>1832</v>
      </c>
      <c r="I244" s="217" t="s">
        <v>29</v>
      </c>
      <c r="J244" s="217" t="s">
        <v>1858</v>
      </c>
      <c r="K244" s="217">
        <v>10</v>
      </c>
      <c r="L244" s="217">
        <v>80</v>
      </c>
      <c r="M244" s="217" t="s">
        <v>31</v>
      </c>
      <c r="N244" s="217" t="s">
        <v>32</v>
      </c>
      <c r="O244" s="217" t="s">
        <v>100</v>
      </c>
      <c r="P244" s="217" t="s">
        <v>34</v>
      </c>
      <c r="Q244" s="217" t="s">
        <v>35</v>
      </c>
      <c r="R244" s="217" t="s">
        <v>23</v>
      </c>
      <c r="S244" s="217" t="s">
        <v>22</v>
      </c>
      <c r="T244" s="217" t="s">
        <v>84</v>
      </c>
      <c r="U244" s="217" t="s">
        <v>85</v>
      </c>
      <c r="V244" s="217" t="s">
        <v>109</v>
      </c>
      <c r="W244" s="217" t="s">
        <v>110</v>
      </c>
    </row>
    <row r="245" spans="1:23" x14ac:dyDescent="0.25">
      <c r="A245" s="217" t="s">
        <v>22</v>
      </c>
      <c r="B245" s="217" t="s">
        <v>23</v>
      </c>
      <c r="C245" s="217" t="s">
        <v>85</v>
      </c>
      <c r="D245" s="217" t="s">
        <v>84</v>
      </c>
      <c r="E245" s="217" t="s">
        <v>157</v>
      </c>
      <c r="F245" s="217" t="s">
        <v>156</v>
      </c>
      <c r="G245" s="217" t="s">
        <v>327</v>
      </c>
      <c r="H245" s="217" t="s">
        <v>1014</v>
      </c>
      <c r="I245" s="217" t="s">
        <v>29</v>
      </c>
      <c r="J245" s="217" t="s">
        <v>1855</v>
      </c>
      <c r="K245" s="217">
        <v>22</v>
      </c>
      <c r="L245" s="217">
        <v>111</v>
      </c>
      <c r="M245" s="217" t="s">
        <v>31</v>
      </c>
      <c r="N245" s="217" t="s">
        <v>32</v>
      </c>
      <c r="O245" s="217" t="s">
        <v>68</v>
      </c>
      <c r="P245" s="217" t="s">
        <v>34</v>
      </c>
      <c r="Q245" s="217" t="s">
        <v>35</v>
      </c>
      <c r="R245" s="217" t="s">
        <v>23</v>
      </c>
      <c r="S245" s="217" t="s">
        <v>22</v>
      </c>
      <c r="T245" s="217" t="s">
        <v>84</v>
      </c>
      <c r="U245" s="217" t="s">
        <v>85</v>
      </c>
      <c r="V245" s="217" t="s">
        <v>97</v>
      </c>
      <c r="W245" s="217" t="s">
        <v>98</v>
      </c>
    </row>
    <row r="246" spans="1:23" x14ac:dyDescent="0.25">
      <c r="A246" s="217" t="s">
        <v>22</v>
      </c>
      <c r="B246" s="217" t="s">
        <v>23</v>
      </c>
      <c r="C246" s="217" t="s">
        <v>85</v>
      </c>
      <c r="D246" s="217" t="s">
        <v>84</v>
      </c>
      <c r="E246" s="217" t="s">
        <v>157</v>
      </c>
      <c r="F246" s="217" t="s">
        <v>156</v>
      </c>
      <c r="G246" s="217" t="s">
        <v>327</v>
      </c>
      <c r="H246" s="217" t="s">
        <v>1014</v>
      </c>
      <c r="I246" s="217" t="s">
        <v>29</v>
      </c>
      <c r="J246" s="217" t="s">
        <v>1856</v>
      </c>
      <c r="K246" s="217">
        <v>40</v>
      </c>
      <c r="L246" s="217">
        <v>202</v>
      </c>
      <c r="M246" s="217" t="s">
        <v>31</v>
      </c>
      <c r="N246" s="217" t="s">
        <v>32</v>
      </c>
      <c r="O246" s="217" t="s">
        <v>68</v>
      </c>
      <c r="P246" s="217" t="s">
        <v>34</v>
      </c>
      <c r="Q246" s="217" t="s">
        <v>35</v>
      </c>
      <c r="R246" s="217" t="s">
        <v>23</v>
      </c>
      <c r="S246" s="217" t="s">
        <v>22</v>
      </c>
      <c r="T246" s="217" t="s">
        <v>84</v>
      </c>
      <c r="U246" s="217" t="s">
        <v>85</v>
      </c>
      <c r="V246" s="217" t="s">
        <v>97</v>
      </c>
      <c r="W246" s="217" t="s">
        <v>98</v>
      </c>
    </row>
    <row r="247" spans="1:23" x14ac:dyDescent="0.25">
      <c r="A247" s="217" t="s">
        <v>22</v>
      </c>
      <c r="B247" s="217" t="s">
        <v>23</v>
      </c>
      <c r="C247" s="217" t="s">
        <v>85</v>
      </c>
      <c r="D247" s="217" t="s">
        <v>84</v>
      </c>
      <c r="E247" s="217" t="s">
        <v>157</v>
      </c>
      <c r="F247" s="217" t="s">
        <v>156</v>
      </c>
      <c r="G247" s="217" t="s">
        <v>327</v>
      </c>
      <c r="H247" s="217" t="s">
        <v>1014</v>
      </c>
      <c r="I247" s="217" t="s">
        <v>29</v>
      </c>
      <c r="J247" s="217" t="s">
        <v>1857</v>
      </c>
      <c r="K247" s="217">
        <v>7</v>
      </c>
      <c r="L247" s="217">
        <v>18</v>
      </c>
      <c r="M247" s="217" t="s">
        <v>31</v>
      </c>
      <c r="N247" s="217" t="s">
        <v>32</v>
      </c>
      <c r="O247" s="217" t="s">
        <v>68</v>
      </c>
      <c r="P247" s="217" t="s">
        <v>34</v>
      </c>
      <c r="Q247" s="217" t="s">
        <v>35</v>
      </c>
      <c r="R247" s="217" t="s">
        <v>23</v>
      </c>
      <c r="S247" s="217" t="s">
        <v>22</v>
      </c>
      <c r="T247" s="217" t="s">
        <v>84</v>
      </c>
      <c r="U247" s="217" t="s">
        <v>85</v>
      </c>
      <c r="V247" s="217" t="s">
        <v>97</v>
      </c>
      <c r="W247" s="217" t="s">
        <v>98</v>
      </c>
    </row>
    <row r="248" spans="1:23" x14ac:dyDescent="0.25">
      <c r="A248" s="217" t="s">
        <v>22</v>
      </c>
      <c r="B248" s="217" t="s">
        <v>23</v>
      </c>
      <c r="C248" s="217" t="s">
        <v>85</v>
      </c>
      <c r="D248" s="217" t="s">
        <v>84</v>
      </c>
      <c r="E248" s="217" t="s">
        <v>157</v>
      </c>
      <c r="F248" s="217" t="s">
        <v>156</v>
      </c>
      <c r="G248" s="217" t="s">
        <v>328</v>
      </c>
      <c r="H248" s="217" t="s">
        <v>1015</v>
      </c>
      <c r="I248" s="217" t="s">
        <v>29</v>
      </c>
      <c r="J248" s="217" t="s">
        <v>1855</v>
      </c>
      <c r="K248" s="217">
        <v>70</v>
      </c>
      <c r="L248" s="217">
        <v>350</v>
      </c>
      <c r="M248" s="217" t="s">
        <v>31</v>
      </c>
      <c r="N248" s="217" t="s">
        <v>32</v>
      </c>
      <c r="O248" s="217" t="s">
        <v>68</v>
      </c>
      <c r="P248" s="217" t="s">
        <v>34</v>
      </c>
      <c r="Q248" s="217" t="s">
        <v>35</v>
      </c>
      <c r="R248" s="217" t="s">
        <v>23</v>
      </c>
      <c r="S248" s="217" t="s">
        <v>22</v>
      </c>
      <c r="T248" s="217" t="s">
        <v>84</v>
      </c>
      <c r="U248" s="217" t="s">
        <v>85</v>
      </c>
      <c r="V248" s="217" t="s">
        <v>97</v>
      </c>
      <c r="W248" s="217" t="s">
        <v>98</v>
      </c>
    </row>
    <row r="249" spans="1:23" x14ac:dyDescent="0.25">
      <c r="A249" s="217" t="s">
        <v>22</v>
      </c>
      <c r="B249" s="217" t="s">
        <v>23</v>
      </c>
      <c r="C249" s="217" t="s">
        <v>85</v>
      </c>
      <c r="D249" s="217" t="s">
        <v>84</v>
      </c>
      <c r="E249" s="217" t="s">
        <v>157</v>
      </c>
      <c r="F249" s="217" t="s">
        <v>156</v>
      </c>
      <c r="G249" s="217" t="s">
        <v>328</v>
      </c>
      <c r="H249" s="217" t="s">
        <v>1015</v>
      </c>
      <c r="I249" s="217" t="s">
        <v>29</v>
      </c>
      <c r="J249" s="217" t="s">
        <v>1856</v>
      </c>
      <c r="K249" s="217">
        <v>15</v>
      </c>
      <c r="L249" s="217">
        <v>75</v>
      </c>
      <c r="M249" s="217" t="s">
        <v>31</v>
      </c>
      <c r="N249" s="217" t="s">
        <v>32</v>
      </c>
      <c r="O249" s="217" t="s">
        <v>68</v>
      </c>
      <c r="P249" s="217" t="s">
        <v>34</v>
      </c>
      <c r="Q249" s="217" t="s">
        <v>35</v>
      </c>
      <c r="R249" s="217" t="s">
        <v>23</v>
      </c>
      <c r="S249" s="217" t="s">
        <v>22</v>
      </c>
      <c r="T249" s="217" t="s">
        <v>84</v>
      </c>
      <c r="U249" s="217" t="s">
        <v>85</v>
      </c>
      <c r="V249" s="217" t="s">
        <v>97</v>
      </c>
      <c r="W249" s="217" t="s">
        <v>98</v>
      </c>
    </row>
    <row r="250" spans="1:23" x14ac:dyDescent="0.25">
      <c r="A250" s="217" t="s">
        <v>22</v>
      </c>
      <c r="B250" s="217" t="s">
        <v>23</v>
      </c>
      <c r="C250" s="217" t="s">
        <v>85</v>
      </c>
      <c r="D250" s="217" t="s">
        <v>84</v>
      </c>
      <c r="E250" s="217" t="s">
        <v>157</v>
      </c>
      <c r="F250" s="217" t="s">
        <v>156</v>
      </c>
      <c r="G250" s="217" t="s">
        <v>328</v>
      </c>
      <c r="H250" s="217" t="s">
        <v>1015</v>
      </c>
      <c r="I250" s="217" t="s">
        <v>29</v>
      </c>
      <c r="J250" s="217" t="s">
        <v>1857</v>
      </c>
      <c r="K250" s="217">
        <v>10</v>
      </c>
      <c r="L250" s="217">
        <v>55</v>
      </c>
      <c r="M250" s="217" t="s">
        <v>31</v>
      </c>
      <c r="N250" s="217" t="s">
        <v>32</v>
      </c>
      <c r="O250" s="217" t="s">
        <v>68</v>
      </c>
      <c r="P250" s="217" t="s">
        <v>34</v>
      </c>
      <c r="Q250" s="217" t="s">
        <v>35</v>
      </c>
      <c r="R250" s="217" t="s">
        <v>23</v>
      </c>
      <c r="S250" s="217" t="s">
        <v>22</v>
      </c>
      <c r="T250" s="217" t="s">
        <v>84</v>
      </c>
      <c r="U250" s="217" t="s">
        <v>85</v>
      </c>
      <c r="V250" s="217" t="s">
        <v>97</v>
      </c>
      <c r="W250" s="217" t="s">
        <v>98</v>
      </c>
    </row>
    <row r="251" spans="1:23" x14ac:dyDescent="0.25">
      <c r="A251" s="217" t="s">
        <v>22</v>
      </c>
      <c r="B251" s="217" t="s">
        <v>23</v>
      </c>
      <c r="C251" s="217" t="s">
        <v>85</v>
      </c>
      <c r="D251" s="217" t="s">
        <v>84</v>
      </c>
      <c r="E251" s="217" t="s">
        <v>157</v>
      </c>
      <c r="F251" s="217" t="s">
        <v>156</v>
      </c>
      <c r="G251" s="217" t="s">
        <v>328</v>
      </c>
      <c r="H251" s="217" t="s">
        <v>1015</v>
      </c>
      <c r="I251" s="217" t="s">
        <v>29</v>
      </c>
      <c r="J251" s="217" t="s">
        <v>1858</v>
      </c>
      <c r="K251" s="217">
        <v>7</v>
      </c>
      <c r="L251" s="217">
        <v>60</v>
      </c>
      <c r="M251" s="217" t="s">
        <v>31</v>
      </c>
      <c r="N251" s="217" t="s">
        <v>32</v>
      </c>
      <c r="O251" s="217" t="s">
        <v>68</v>
      </c>
      <c r="P251" s="217" t="s">
        <v>34</v>
      </c>
      <c r="Q251" s="217" t="s">
        <v>35</v>
      </c>
      <c r="R251" s="217" t="s">
        <v>23</v>
      </c>
      <c r="S251" s="217" t="s">
        <v>22</v>
      </c>
      <c r="T251" s="217" t="s">
        <v>84</v>
      </c>
      <c r="U251" s="217" t="s">
        <v>85</v>
      </c>
      <c r="V251" s="217" t="s">
        <v>97</v>
      </c>
      <c r="W251" s="217" t="s">
        <v>98</v>
      </c>
    </row>
    <row r="252" spans="1:23" x14ac:dyDescent="0.25">
      <c r="A252" s="217" t="s">
        <v>22</v>
      </c>
      <c r="B252" s="217" t="s">
        <v>23</v>
      </c>
      <c r="C252" s="217" t="s">
        <v>85</v>
      </c>
      <c r="D252" s="217" t="s">
        <v>84</v>
      </c>
      <c r="E252" s="217" t="s">
        <v>157</v>
      </c>
      <c r="F252" s="217" t="s">
        <v>156</v>
      </c>
      <c r="G252" s="217" t="s">
        <v>329</v>
      </c>
      <c r="H252" s="217" t="s">
        <v>1016</v>
      </c>
      <c r="I252" s="217" t="s">
        <v>29</v>
      </c>
      <c r="J252" s="217" t="s">
        <v>1856</v>
      </c>
      <c r="K252" s="217">
        <v>1</v>
      </c>
      <c r="L252" s="217">
        <v>5</v>
      </c>
      <c r="M252" s="217" t="s">
        <v>31</v>
      </c>
      <c r="N252" s="217" t="s">
        <v>32</v>
      </c>
      <c r="O252" s="217" t="s">
        <v>68</v>
      </c>
      <c r="P252" s="217" t="s">
        <v>34</v>
      </c>
      <c r="Q252" s="217" t="s">
        <v>35</v>
      </c>
      <c r="R252" s="217" t="s">
        <v>23</v>
      </c>
      <c r="S252" s="217" t="s">
        <v>22</v>
      </c>
      <c r="T252" s="217" t="s">
        <v>84</v>
      </c>
      <c r="U252" s="217" t="s">
        <v>85</v>
      </c>
      <c r="V252" s="217" t="s">
        <v>91</v>
      </c>
      <c r="W252" s="217" t="s">
        <v>92</v>
      </c>
    </row>
    <row r="253" spans="1:23" x14ac:dyDescent="0.25">
      <c r="A253" s="217" t="s">
        <v>22</v>
      </c>
      <c r="B253" s="217" t="s">
        <v>23</v>
      </c>
      <c r="C253" s="217" t="s">
        <v>85</v>
      </c>
      <c r="D253" s="217" t="s">
        <v>84</v>
      </c>
      <c r="E253" s="217" t="s">
        <v>157</v>
      </c>
      <c r="F253" s="217" t="s">
        <v>156</v>
      </c>
      <c r="G253" s="217" t="s">
        <v>329</v>
      </c>
      <c r="H253" s="217" t="s">
        <v>1016</v>
      </c>
      <c r="I253" s="217" t="s">
        <v>29</v>
      </c>
      <c r="J253" s="217" t="s">
        <v>1858</v>
      </c>
      <c r="K253" s="217">
        <v>1</v>
      </c>
      <c r="L253" s="217">
        <v>5</v>
      </c>
      <c r="M253" s="217" t="s">
        <v>31</v>
      </c>
      <c r="N253" s="217" t="s">
        <v>32</v>
      </c>
      <c r="O253" s="217" t="s">
        <v>68</v>
      </c>
      <c r="P253" s="217" t="s">
        <v>34</v>
      </c>
      <c r="Q253" s="217" t="s">
        <v>35</v>
      </c>
      <c r="R253" s="217" t="s">
        <v>23</v>
      </c>
      <c r="S253" s="217" t="s">
        <v>22</v>
      </c>
      <c r="T253" s="217" t="s">
        <v>84</v>
      </c>
      <c r="U253" s="217" t="s">
        <v>85</v>
      </c>
      <c r="V253" s="217" t="s">
        <v>91</v>
      </c>
      <c r="W253" s="217" t="s">
        <v>92</v>
      </c>
    </row>
    <row r="254" spans="1:23" x14ac:dyDescent="0.25">
      <c r="A254" s="217" t="s">
        <v>22</v>
      </c>
      <c r="B254" s="217" t="s">
        <v>23</v>
      </c>
      <c r="C254" s="217" t="s">
        <v>85</v>
      </c>
      <c r="D254" s="217" t="s">
        <v>84</v>
      </c>
      <c r="E254" s="217" t="s">
        <v>157</v>
      </c>
      <c r="F254" s="217" t="s">
        <v>156</v>
      </c>
      <c r="G254" s="217" t="s">
        <v>330</v>
      </c>
      <c r="H254" s="217" t="s">
        <v>1017</v>
      </c>
      <c r="I254" s="217" t="s">
        <v>29</v>
      </c>
      <c r="J254" s="217" t="s">
        <v>1856</v>
      </c>
      <c r="K254" s="217">
        <v>39</v>
      </c>
      <c r="L254" s="217">
        <v>322</v>
      </c>
      <c r="M254" s="217" t="s">
        <v>31</v>
      </c>
      <c r="N254" s="217" t="s">
        <v>32</v>
      </c>
      <c r="O254" s="217" t="s">
        <v>68</v>
      </c>
      <c r="P254" s="217" t="s">
        <v>34</v>
      </c>
      <c r="Q254" s="217" t="s">
        <v>35</v>
      </c>
      <c r="R254" s="217" t="s">
        <v>23</v>
      </c>
      <c r="S254" s="217" t="s">
        <v>22</v>
      </c>
      <c r="T254" s="217" t="s">
        <v>84</v>
      </c>
      <c r="U254" s="217" t="s">
        <v>85</v>
      </c>
      <c r="V254" s="217" t="s">
        <v>97</v>
      </c>
      <c r="W254" s="217" t="s">
        <v>98</v>
      </c>
    </row>
    <row r="255" spans="1:23" x14ac:dyDescent="0.25">
      <c r="A255" s="217" t="s">
        <v>22</v>
      </c>
      <c r="B255" s="217" t="s">
        <v>23</v>
      </c>
      <c r="C255" s="217" t="s">
        <v>85</v>
      </c>
      <c r="D255" s="217" t="s">
        <v>84</v>
      </c>
      <c r="E255" s="217" t="s">
        <v>157</v>
      </c>
      <c r="F255" s="217" t="s">
        <v>156</v>
      </c>
      <c r="G255" s="217" t="s">
        <v>330</v>
      </c>
      <c r="H255" s="217" t="s">
        <v>1017</v>
      </c>
      <c r="I255" s="217" t="s">
        <v>29</v>
      </c>
      <c r="J255" s="217" t="s">
        <v>1857</v>
      </c>
      <c r="K255" s="217">
        <v>6</v>
      </c>
      <c r="L255" s="217">
        <v>44</v>
      </c>
      <c r="M255" s="217" t="s">
        <v>31</v>
      </c>
      <c r="N255" s="217" t="s">
        <v>32</v>
      </c>
      <c r="O255" s="217" t="s">
        <v>68</v>
      </c>
      <c r="P255" s="217" t="s">
        <v>34</v>
      </c>
      <c r="Q255" s="217" t="s">
        <v>35</v>
      </c>
      <c r="R255" s="217" t="s">
        <v>23</v>
      </c>
      <c r="S255" s="217" t="s">
        <v>22</v>
      </c>
      <c r="T255" s="217" t="s">
        <v>84</v>
      </c>
      <c r="U255" s="217" t="s">
        <v>85</v>
      </c>
      <c r="V255" s="217" t="s">
        <v>97</v>
      </c>
      <c r="W255" s="217" t="s">
        <v>98</v>
      </c>
    </row>
    <row r="256" spans="1:23" x14ac:dyDescent="0.25">
      <c r="A256" s="217" t="s">
        <v>22</v>
      </c>
      <c r="B256" s="217" t="s">
        <v>23</v>
      </c>
      <c r="C256" s="217" t="s">
        <v>85</v>
      </c>
      <c r="D256" s="217" t="s">
        <v>84</v>
      </c>
      <c r="E256" s="217" t="s">
        <v>157</v>
      </c>
      <c r="F256" s="217" t="s">
        <v>156</v>
      </c>
      <c r="G256" s="217" t="s">
        <v>331</v>
      </c>
      <c r="H256" s="217" t="s">
        <v>1018</v>
      </c>
      <c r="I256" s="217" t="s">
        <v>29</v>
      </c>
      <c r="J256" s="217" t="s">
        <v>1856</v>
      </c>
      <c r="K256" s="217">
        <v>6</v>
      </c>
      <c r="L256" s="217">
        <v>39</v>
      </c>
      <c r="M256" s="217" t="s">
        <v>31</v>
      </c>
      <c r="N256" s="217" t="s">
        <v>32</v>
      </c>
      <c r="O256" s="217" t="s">
        <v>68</v>
      </c>
      <c r="P256" s="217" t="s">
        <v>34</v>
      </c>
      <c r="Q256" s="217" t="s">
        <v>35</v>
      </c>
      <c r="R256" s="217" t="s">
        <v>23</v>
      </c>
      <c r="S256" s="217" t="s">
        <v>22</v>
      </c>
      <c r="T256" s="217" t="s">
        <v>84</v>
      </c>
      <c r="U256" s="217" t="s">
        <v>85</v>
      </c>
      <c r="V256" s="217" t="s">
        <v>150</v>
      </c>
      <c r="W256" s="217" t="s">
        <v>151</v>
      </c>
    </row>
    <row r="257" spans="1:23" x14ac:dyDescent="0.25">
      <c r="A257" s="217" t="s">
        <v>22</v>
      </c>
      <c r="B257" s="217" t="s">
        <v>23</v>
      </c>
      <c r="C257" s="217" t="s">
        <v>85</v>
      </c>
      <c r="D257" s="217" t="s">
        <v>84</v>
      </c>
      <c r="E257" s="217" t="s">
        <v>157</v>
      </c>
      <c r="F257" s="217" t="s">
        <v>156</v>
      </c>
      <c r="G257" s="217" t="s">
        <v>331</v>
      </c>
      <c r="H257" s="217" t="s">
        <v>1018</v>
      </c>
      <c r="I257" s="217" t="s">
        <v>29</v>
      </c>
      <c r="J257" s="217" t="s">
        <v>1858</v>
      </c>
      <c r="K257" s="217">
        <v>3</v>
      </c>
      <c r="L257" s="217">
        <v>15</v>
      </c>
      <c r="M257" s="217" t="s">
        <v>31</v>
      </c>
      <c r="N257" s="217" t="s">
        <v>32</v>
      </c>
      <c r="O257" s="217" t="s">
        <v>68</v>
      </c>
      <c r="P257" s="217" t="s">
        <v>34</v>
      </c>
      <c r="Q257" s="217" t="s">
        <v>35</v>
      </c>
      <c r="R257" s="217" t="s">
        <v>23</v>
      </c>
      <c r="S257" s="217" t="s">
        <v>22</v>
      </c>
      <c r="T257" s="217" t="s">
        <v>84</v>
      </c>
      <c r="U257" s="217" t="s">
        <v>85</v>
      </c>
      <c r="V257" s="217" t="s">
        <v>150</v>
      </c>
      <c r="W257" s="217" t="s">
        <v>151</v>
      </c>
    </row>
    <row r="258" spans="1:23" x14ac:dyDescent="0.25">
      <c r="A258" s="217" t="s">
        <v>22</v>
      </c>
      <c r="B258" s="217" t="s">
        <v>23</v>
      </c>
      <c r="C258" s="217" t="s">
        <v>85</v>
      </c>
      <c r="D258" s="217" t="s">
        <v>84</v>
      </c>
      <c r="E258" s="217" t="s">
        <v>157</v>
      </c>
      <c r="F258" s="217" t="s">
        <v>156</v>
      </c>
      <c r="G258" s="217" t="s">
        <v>332</v>
      </c>
      <c r="H258" s="217" t="s">
        <v>1019</v>
      </c>
      <c r="I258" s="217" t="s">
        <v>29</v>
      </c>
      <c r="J258" s="217" t="s">
        <v>1855</v>
      </c>
      <c r="K258" s="217">
        <v>67</v>
      </c>
      <c r="L258" s="217">
        <v>340</v>
      </c>
      <c r="M258" s="217" t="s">
        <v>31</v>
      </c>
      <c r="N258" s="217" t="s">
        <v>32</v>
      </c>
      <c r="O258" s="217" t="s">
        <v>68</v>
      </c>
      <c r="P258" s="217" t="s">
        <v>34</v>
      </c>
      <c r="Q258" s="217" t="s">
        <v>35</v>
      </c>
      <c r="R258" s="217" t="s">
        <v>23</v>
      </c>
      <c r="S258" s="217" t="s">
        <v>22</v>
      </c>
      <c r="T258" s="217" t="s">
        <v>84</v>
      </c>
      <c r="U258" s="217" t="s">
        <v>85</v>
      </c>
      <c r="V258" s="217" t="s">
        <v>97</v>
      </c>
      <c r="W258" s="217" t="s">
        <v>98</v>
      </c>
    </row>
    <row r="259" spans="1:23" x14ac:dyDescent="0.25">
      <c r="A259" s="217" t="s">
        <v>22</v>
      </c>
      <c r="B259" s="217" t="s">
        <v>23</v>
      </c>
      <c r="C259" s="217" t="s">
        <v>85</v>
      </c>
      <c r="D259" s="217" t="s">
        <v>84</v>
      </c>
      <c r="E259" s="217" t="s">
        <v>157</v>
      </c>
      <c r="F259" s="217" t="s">
        <v>156</v>
      </c>
      <c r="G259" s="217" t="s">
        <v>332</v>
      </c>
      <c r="H259" s="217" t="s">
        <v>1019</v>
      </c>
      <c r="I259" s="217" t="s">
        <v>29</v>
      </c>
      <c r="J259" s="217" t="s">
        <v>1856</v>
      </c>
      <c r="K259" s="217">
        <v>193</v>
      </c>
      <c r="L259" s="217">
        <v>967</v>
      </c>
      <c r="M259" s="217" t="s">
        <v>31</v>
      </c>
      <c r="N259" s="217" t="s">
        <v>32</v>
      </c>
      <c r="O259" s="217" t="s">
        <v>68</v>
      </c>
      <c r="P259" s="217" t="s">
        <v>34</v>
      </c>
      <c r="Q259" s="217" t="s">
        <v>35</v>
      </c>
      <c r="R259" s="217" t="s">
        <v>23</v>
      </c>
      <c r="S259" s="217" t="s">
        <v>22</v>
      </c>
      <c r="T259" s="217" t="s">
        <v>84</v>
      </c>
      <c r="U259" s="217" t="s">
        <v>85</v>
      </c>
      <c r="V259" s="217" t="s">
        <v>97</v>
      </c>
      <c r="W259" s="217" t="s">
        <v>98</v>
      </c>
    </row>
    <row r="260" spans="1:23" x14ac:dyDescent="0.25">
      <c r="A260" s="217" t="s">
        <v>22</v>
      </c>
      <c r="B260" s="217" t="s">
        <v>23</v>
      </c>
      <c r="C260" s="217" t="s">
        <v>85</v>
      </c>
      <c r="D260" s="217" t="s">
        <v>84</v>
      </c>
      <c r="E260" s="217" t="s">
        <v>157</v>
      </c>
      <c r="F260" s="217" t="s">
        <v>156</v>
      </c>
      <c r="G260" s="217" t="s">
        <v>332</v>
      </c>
      <c r="H260" s="217" t="s">
        <v>1019</v>
      </c>
      <c r="I260" s="217" t="s">
        <v>29</v>
      </c>
      <c r="J260" s="217" t="s">
        <v>1857</v>
      </c>
      <c r="K260" s="217">
        <v>3</v>
      </c>
      <c r="L260" s="217">
        <v>29</v>
      </c>
      <c r="M260" s="217" t="s">
        <v>31</v>
      </c>
      <c r="N260" s="217" t="s">
        <v>32</v>
      </c>
      <c r="O260" s="217" t="s">
        <v>68</v>
      </c>
      <c r="P260" s="217" t="s">
        <v>34</v>
      </c>
      <c r="Q260" s="217" t="s">
        <v>35</v>
      </c>
      <c r="R260" s="217" t="s">
        <v>23</v>
      </c>
      <c r="S260" s="217" t="s">
        <v>22</v>
      </c>
      <c r="T260" s="217" t="s">
        <v>84</v>
      </c>
      <c r="U260" s="217" t="s">
        <v>85</v>
      </c>
      <c r="V260" s="217" t="s">
        <v>97</v>
      </c>
      <c r="W260" s="217" t="s">
        <v>98</v>
      </c>
    </row>
    <row r="261" spans="1:23" x14ac:dyDescent="0.25">
      <c r="A261" s="217" t="s">
        <v>22</v>
      </c>
      <c r="B261" s="217" t="s">
        <v>23</v>
      </c>
      <c r="C261" s="217" t="s">
        <v>85</v>
      </c>
      <c r="D261" s="217" t="s">
        <v>84</v>
      </c>
      <c r="E261" s="217" t="s">
        <v>157</v>
      </c>
      <c r="F261" s="217" t="s">
        <v>156</v>
      </c>
      <c r="G261" s="217" t="s">
        <v>332</v>
      </c>
      <c r="H261" s="217" t="s">
        <v>1019</v>
      </c>
      <c r="I261" s="217" t="s">
        <v>29</v>
      </c>
      <c r="J261" s="217" t="s">
        <v>1858</v>
      </c>
      <c r="K261" s="217">
        <v>1</v>
      </c>
      <c r="L261" s="217">
        <v>3</v>
      </c>
      <c r="M261" s="217" t="s">
        <v>31</v>
      </c>
      <c r="N261" s="217" t="s">
        <v>32</v>
      </c>
      <c r="O261" s="217" t="s">
        <v>68</v>
      </c>
      <c r="P261" s="217" t="s">
        <v>34</v>
      </c>
      <c r="Q261" s="217" t="s">
        <v>35</v>
      </c>
      <c r="R261" s="217" t="s">
        <v>23</v>
      </c>
      <c r="S261" s="217" t="s">
        <v>22</v>
      </c>
      <c r="T261" s="217" t="s">
        <v>84</v>
      </c>
      <c r="U261" s="217" t="s">
        <v>85</v>
      </c>
      <c r="V261" s="217" t="s">
        <v>97</v>
      </c>
      <c r="W261" s="217" t="s">
        <v>98</v>
      </c>
    </row>
    <row r="262" spans="1:23" x14ac:dyDescent="0.25">
      <c r="A262" s="217" t="s">
        <v>22</v>
      </c>
      <c r="B262" s="217" t="s">
        <v>23</v>
      </c>
      <c r="C262" s="217" t="s">
        <v>85</v>
      </c>
      <c r="D262" s="217" t="s">
        <v>84</v>
      </c>
      <c r="E262" s="217" t="s">
        <v>157</v>
      </c>
      <c r="F262" s="217" t="s">
        <v>156</v>
      </c>
      <c r="G262" s="217" t="s">
        <v>333</v>
      </c>
      <c r="H262" s="217" t="s">
        <v>1020</v>
      </c>
      <c r="I262" s="217" t="s">
        <v>29</v>
      </c>
      <c r="J262" s="217" t="s">
        <v>1856</v>
      </c>
      <c r="K262" s="217">
        <v>44</v>
      </c>
      <c r="L262" s="217">
        <v>220</v>
      </c>
      <c r="M262" s="217" t="s">
        <v>31</v>
      </c>
      <c r="N262" s="217" t="s">
        <v>32</v>
      </c>
      <c r="O262" s="217" t="s">
        <v>68</v>
      </c>
      <c r="P262" s="217" t="s">
        <v>34</v>
      </c>
      <c r="Q262" s="217" t="s">
        <v>35</v>
      </c>
      <c r="R262" s="217" t="s">
        <v>23</v>
      </c>
      <c r="S262" s="217" t="s">
        <v>22</v>
      </c>
      <c r="T262" s="217" t="s">
        <v>84</v>
      </c>
      <c r="U262" s="217" t="s">
        <v>85</v>
      </c>
      <c r="V262" s="217" t="s">
        <v>91</v>
      </c>
      <c r="W262" s="217" t="s">
        <v>92</v>
      </c>
    </row>
    <row r="263" spans="1:23" x14ac:dyDescent="0.25">
      <c r="A263" s="217" t="s">
        <v>22</v>
      </c>
      <c r="B263" s="217" t="s">
        <v>23</v>
      </c>
      <c r="C263" s="217" t="s">
        <v>85</v>
      </c>
      <c r="D263" s="217" t="s">
        <v>84</v>
      </c>
      <c r="E263" s="217" t="s">
        <v>157</v>
      </c>
      <c r="F263" s="217" t="s">
        <v>156</v>
      </c>
      <c r="G263" s="217" t="s">
        <v>333</v>
      </c>
      <c r="H263" s="217" t="s">
        <v>1020</v>
      </c>
      <c r="I263" s="217" t="s">
        <v>29</v>
      </c>
      <c r="J263" s="217" t="s">
        <v>1857</v>
      </c>
      <c r="K263" s="217">
        <v>49</v>
      </c>
      <c r="L263" s="217">
        <v>244</v>
      </c>
      <c r="M263" s="217" t="s">
        <v>31</v>
      </c>
      <c r="N263" s="217" t="s">
        <v>32</v>
      </c>
      <c r="O263" s="217" t="s">
        <v>68</v>
      </c>
      <c r="P263" s="217" t="s">
        <v>34</v>
      </c>
      <c r="Q263" s="217" t="s">
        <v>35</v>
      </c>
      <c r="R263" s="217" t="s">
        <v>23</v>
      </c>
      <c r="S263" s="217" t="s">
        <v>22</v>
      </c>
      <c r="T263" s="217" t="s">
        <v>84</v>
      </c>
      <c r="U263" s="217" t="s">
        <v>85</v>
      </c>
      <c r="V263" s="217" t="s">
        <v>97</v>
      </c>
      <c r="W263" s="217" t="s">
        <v>98</v>
      </c>
    </row>
    <row r="264" spans="1:23" x14ac:dyDescent="0.25">
      <c r="A264" s="217" t="s">
        <v>22</v>
      </c>
      <c r="B264" s="217" t="s">
        <v>23</v>
      </c>
      <c r="C264" s="217" t="s">
        <v>85</v>
      </c>
      <c r="D264" s="217" t="s">
        <v>84</v>
      </c>
      <c r="E264" s="217" t="s">
        <v>157</v>
      </c>
      <c r="F264" s="217" t="s">
        <v>156</v>
      </c>
      <c r="G264" s="217" t="s">
        <v>333</v>
      </c>
      <c r="H264" s="217" t="s">
        <v>1020</v>
      </c>
      <c r="I264" s="217" t="s">
        <v>29</v>
      </c>
      <c r="J264" s="217" t="s">
        <v>1858</v>
      </c>
      <c r="K264" s="217">
        <v>3</v>
      </c>
      <c r="L264" s="217">
        <v>28</v>
      </c>
      <c r="M264" s="217" t="s">
        <v>31</v>
      </c>
      <c r="N264" s="217" t="s">
        <v>32</v>
      </c>
      <c r="O264" s="217" t="s">
        <v>68</v>
      </c>
      <c r="P264" s="217" t="s">
        <v>34</v>
      </c>
      <c r="Q264" s="217" t="s">
        <v>35</v>
      </c>
      <c r="R264" s="217" t="s">
        <v>23</v>
      </c>
      <c r="S264" s="217" t="s">
        <v>22</v>
      </c>
      <c r="T264" s="217" t="s">
        <v>84</v>
      </c>
      <c r="U264" s="217" t="s">
        <v>85</v>
      </c>
      <c r="V264" s="217" t="s">
        <v>97</v>
      </c>
      <c r="W264" s="217" t="s">
        <v>98</v>
      </c>
    </row>
    <row r="265" spans="1:23" x14ac:dyDescent="0.25">
      <c r="A265" s="217" t="s">
        <v>22</v>
      </c>
      <c r="B265" s="217" t="s">
        <v>23</v>
      </c>
      <c r="C265" s="217" t="s">
        <v>85</v>
      </c>
      <c r="D265" s="217" t="s">
        <v>84</v>
      </c>
      <c r="E265" s="217" t="s">
        <v>157</v>
      </c>
      <c r="F265" s="217" t="s">
        <v>156</v>
      </c>
      <c r="G265" s="217" t="s">
        <v>334</v>
      </c>
      <c r="H265" s="217" t="s">
        <v>1021</v>
      </c>
      <c r="I265" s="217" t="s">
        <v>29</v>
      </c>
      <c r="J265" s="217" t="s">
        <v>1856</v>
      </c>
      <c r="K265" s="217">
        <v>175</v>
      </c>
      <c r="L265" s="217">
        <v>875</v>
      </c>
      <c r="M265" s="217" t="s">
        <v>31</v>
      </c>
      <c r="N265" s="217" t="s">
        <v>32</v>
      </c>
      <c r="O265" s="217" t="s">
        <v>68</v>
      </c>
      <c r="P265" s="217" t="s">
        <v>34</v>
      </c>
      <c r="Q265" s="217" t="s">
        <v>35</v>
      </c>
      <c r="R265" s="217" t="s">
        <v>23</v>
      </c>
      <c r="S265" s="217" t="s">
        <v>22</v>
      </c>
      <c r="T265" s="217" t="s">
        <v>84</v>
      </c>
      <c r="U265" s="217" t="s">
        <v>85</v>
      </c>
      <c r="V265" s="217" t="s">
        <v>97</v>
      </c>
      <c r="W265" s="217" t="s">
        <v>98</v>
      </c>
    </row>
    <row r="266" spans="1:23" x14ac:dyDescent="0.25">
      <c r="A266" s="217" t="s">
        <v>22</v>
      </c>
      <c r="B266" s="217" t="s">
        <v>23</v>
      </c>
      <c r="C266" s="217" t="s">
        <v>85</v>
      </c>
      <c r="D266" s="217" t="s">
        <v>84</v>
      </c>
      <c r="E266" s="217" t="s">
        <v>157</v>
      </c>
      <c r="F266" s="217" t="s">
        <v>156</v>
      </c>
      <c r="G266" s="217" t="s">
        <v>334</v>
      </c>
      <c r="H266" s="217" t="s">
        <v>1021</v>
      </c>
      <c r="I266" s="217" t="s">
        <v>29</v>
      </c>
      <c r="J266" s="217" t="s">
        <v>1857</v>
      </c>
      <c r="K266" s="217">
        <v>75</v>
      </c>
      <c r="L266" s="217">
        <v>375</v>
      </c>
      <c r="M266" s="217" t="s">
        <v>31</v>
      </c>
      <c r="N266" s="217" t="s">
        <v>32</v>
      </c>
      <c r="O266" s="217" t="s">
        <v>68</v>
      </c>
      <c r="P266" s="217" t="s">
        <v>34</v>
      </c>
      <c r="Q266" s="217" t="s">
        <v>35</v>
      </c>
      <c r="R266" s="217" t="s">
        <v>23</v>
      </c>
      <c r="S266" s="217" t="s">
        <v>22</v>
      </c>
      <c r="T266" s="217" t="s">
        <v>84</v>
      </c>
      <c r="U266" s="217" t="s">
        <v>85</v>
      </c>
      <c r="V266" s="217" t="s">
        <v>97</v>
      </c>
      <c r="W266" s="217" t="s">
        <v>98</v>
      </c>
    </row>
    <row r="267" spans="1:23" x14ac:dyDescent="0.25">
      <c r="A267" s="217" t="s">
        <v>22</v>
      </c>
      <c r="B267" s="217" t="s">
        <v>23</v>
      </c>
      <c r="C267" s="217" t="s">
        <v>85</v>
      </c>
      <c r="D267" s="217" t="s">
        <v>84</v>
      </c>
      <c r="E267" s="217" t="s">
        <v>157</v>
      </c>
      <c r="F267" s="217" t="s">
        <v>156</v>
      </c>
      <c r="G267" s="217" t="s">
        <v>334</v>
      </c>
      <c r="H267" s="217" t="s">
        <v>1021</v>
      </c>
      <c r="I267" s="217" t="s">
        <v>29</v>
      </c>
      <c r="J267" s="217" t="s">
        <v>1858</v>
      </c>
      <c r="K267" s="217">
        <v>6</v>
      </c>
      <c r="L267" s="217">
        <v>24</v>
      </c>
      <c r="M267" s="217" t="s">
        <v>31</v>
      </c>
      <c r="N267" s="217" t="s">
        <v>32</v>
      </c>
      <c r="O267" s="217" t="s">
        <v>68</v>
      </c>
      <c r="P267" s="217" t="s">
        <v>34</v>
      </c>
      <c r="Q267" s="217" t="s">
        <v>35</v>
      </c>
      <c r="R267" s="217" t="s">
        <v>23</v>
      </c>
      <c r="S267" s="217" t="s">
        <v>22</v>
      </c>
      <c r="T267" s="217" t="s">
        <v>84</v>
      </c>
      <c r="U267" s="217" t="s">
        <v>85</v>
      </c>
      <c r="V267" s="217" t="s">
        <v>91</v>
      </c>
      <c r="W267" s="217" t="s">
        <v>92</v>
      </c>
    </row>
    <row r="268" spans="1:23" x14ac:dyDescent="0.25">
      <c r="A268" s="217" t="s">
        <v>22</v>
      </c>
      <c r="B268" s="217" t="s">
        <v>23</v>
      </c>
      <c r="C268" s="217" t="s">
        <v>85</v>
      </c>
      <c r="D268" s="217" t="s">
        <v>84</v>
      </c>
      <c r="E268" s="217" t="s">
        <v>157</v>
      </c>
      <c r="F268" s="217" t="s">
        <v>156</v>
      </c>
      <c r="G268" s="217" t="s">
        <v>335</v>
      </c>
      <c r="H268" s="217" t="s">
        <v>1022</v>
      </c>
      <c r="I268" s="217" t="s">
        <v>29</v>
      </c>
      <c r="J268" s="217" t="s">
        <v>1856</v>
      </c>
      <c r="K268" s="217">
        <v>375</v>
      </c>
      <c r="L268" s="217">
        <v>1875</v>
      </c>
      <c r="M268" s="217" t="s">
        <v>31</v>
      </c>
      <c r="N268" s="217" t="s">
        <v>32</v>
      </c>
      <c r="O268" s="217" t="s">
        <v>68</v>
      </c>
      <c r="P268" s="217" t="s">
        <v>34</v>
      </c>
      <c r="Q268" s="217" t="s">
        <v>35</v>
      </c>
      <c r="R268" s="217" t="s">
        <v>23</v>
      </c>
      <c r="S268" s="217" t="s">
        <v>22</v>
      </c>
      <c r="T268" s="217" t="s">
        <v>84</v>
      </c>
      <c r="U268" s="217" t="s">
        <v>85</v>
      </c>
      <c r="V268" s="217" t="s">
        <v>91</v>
      </c>
      <c r="W268" s="217" t="s">
        <v>92</v>
      </c>
    </row>
    <row r="269" spans="1:23" x14ac:dyDescent="0.25">
      <c r="A269" s="217" t="s">
        <v>22</v>
      </c>
      <c r="B269" s="217" t="s">
        <v>23</v>
      </c>
      <c r="C269" s="217" t="s">
        <v>85</v>
      </c>
      <c r="D269" s="217" t="s">
        <v>84</v>
      </c>
      <c r="E269" s="217" t="s">
        <v>157</v>
      </c>
      <c r="F269" s="217" t="s">
        <v>156</v>
      </c>
      <c r="G269" s="217" t="s">
        <v>335</v>
      </c>
      <c r="H269" s="217" t="s">
        <v>1022</v>
      </c>
      <c r="I269" s="217" t="s">
        <v>29</v>
      </c>
      <c r="J269" s="217" t="s">
        <v>1857</v>
      </c>
      <c r="K269" s="217">
        <v>64</v>
      </c>
      <c r="L269" s="217">
        <v>320</v>
      </c>
      <c r="M269" s="217" t="s">
        <v>31</v>
      </c>
      <c r="N269" s="217" t="s">
        <v>32</v>
      </c>
      <c r="O269" s="217" t="s">
        <v>68</v>
      </c>
      <c r="P269" s="217" t="s">
        <v>34</v>
      </c>
      <c r="Q269" s="217" t="s">
        <v>35</v>
      </c>
      <c r="R269" s="217" t="s">
        <v>23</v>
      </c>
      <c r="S269" s="217" t="s">
        <v>22</v>
      </c>
      <c r="T269" s="217" t="s">
        <v>84</v>
      </c>
      <c r="U269" s="217" t="s">
        <v>85</v>
      </c>
      <c r="V269" s="217" t="s">
        <v>91</v>
      </c>
      <c r="W269" s="217" t="s">
        <v>92</v>
      </c>
    </row>
    <row r="270" spans="1:23" x14ac:dyDescent="0.25">
      <c r="A270" s="217" t="s">
        <v>22</v>
      </c>
      <c r="B270" s="217" t="s">
        <v>23</v>
      </c>
      <c r="C270" s="217" t="s">
        <v>85</v>
      </c>
      <c r="D270" s="217" t="s">
        <v>84</v>
      </c>
      <c r="E270" s="217" t="s">
        <v>157</v>
      </c>
      <c r="F270" s="217" t="s">
        <v>156</v>
      </c>
      <c r="G270" s="217" t="s">
        <v>335</v>
      </c>
      <c r="H270" s="217" t="s">
        <v>1022</v>
      </c>
      <c r="I270" s="217" t="s">
        <v>29</v>
      </c>
      <c r="J270" s="217" t="s">
        <v>1858</v>
      </c>
      <c r="K270" s="217">
        <v>44</v>
      </c>
      <c r="L270" s="217">
        <v>205</v>
      </c>
      <c r="M270" s="217" t="s">
        <v>31</v>
      </c>
      <c r="N270" s="217" t="s">
        <v>32</v>
      </c>
      <c r="O270" s="217" t="s">
        <v>68</v>
      </c>
      <c r="P270" s="217" t="s">
        <v>34</v>
      </c>
      <c r="Q270" s="217" t="s">
        <v>35</v>
      </c>
      <c r="R270" s="217" t="s">
        <v>23</v>
      </c>
      <c r="S270" s="217" t="s">
        <v>22</v>
      </c>
      <c r="T270" s="217" t="s">
        <v>84</v>
      </c>
      <c r="U270" s="217" t="s">
        <v>85</v>
      </c>
      <c r="V270" s="217" t="s">
        <v>97</v>
      </c>
      <c r="W270" s="217" t="s">
        <v>98</v>
      </c>
    </row>
    <row r="271" spans="1:23" x14ac:dyDescent="0.25">
      <c r="A271" s="217" t="s">
        <v>22</v>
      </c>
      <c r="B271" s="217" t="s">
        <v>23</v>
      </c>
      <c r="C271" s="217" t="s">
        <v>85</v>
      </c>
      <c r="D271" s="217" t="s">
        <v>84</v>
      </c>
      <c r="E271" s="217" t="s">
        <v>157</v>
      </c>
      <c r="F271" s="217" t="s">
        <v>156</v>
      </c>
      <c r="G271" s="217" t="s">
        <v>336</v>
      </c>
      <c r="H271" s="217" t="s">
        <v>1023</v>
      </c>
      <c r="I271" s="217" t="s">
        <v>29</v>
      </c>
      <c r="J271" s="217" t="s">
        <v>1855</v>
      </c>
      <c r="K271" s="217">
        <v>100</v>
      </c>
      <c r="L271" s="217">
        <v>503</v>
      </c>
      <c r="M271" s="217" t="s">
        <v>31</v>
      </c>
      <c r="N271" s="217" t="s">
        <v>32</v>
      </c>
      <c r="O271" s="217" t="s">
        <v>68</v>
      </c>
      <c r="P271" s="217" t="s">
        <v>34</v>
      </c>
      <c r="Q271" s="217" t="s">
        <v>35</v>
      </c>
      <c r="R271" s="217" t="s">
        <v>23</v>
      </c>
      <c r="S271" s="217" t="s">
        <v>22</v>
      </c>
      <c r="T271" s="217" t="s">
        <v>84</v>
      </c>
      <c r="U271" s="217" t="s">
        <v>85</v>
      </c>
      <c r="V271" s="217" t="s">
        <v>91</v>
      </c>
      <c r="W271" s="217" t="s">
        <v>92</v>
      </c>
    </row>
    <row r="272" spans="1:23" x14ac:dyDescent="0.25">
      <c r="A272" s="217" t="s">
        <v>22</v>
      </c>
      <c r="B272" s="217" t="s">
        <v>23</v>
      </c>
      <c r="C272" s="217" t="s">
        <v>85</v>
      </c>
      <c r="D272" s="217" t="s">
        <v>84</v>
      </c>
      <c r="E272" s="217" t="s">
        <v>157</v>
      </c>
      <c r="F272" s="217" t="s">
        <v>156</v>
      </c>
      <c r="G272" s="217" t="s">
        <v>336</v>
      </c>
      <c r="H272" s="217" t="s">
        <v>1023</v>
      </c>
      <c r="I272" s="217" t="s">
        <v>29</v>
      </c>
      <c r="J272" s="217" t="s">
        <v>1856</v>
      </c>
      <c r="K272" s="217">
        <v>25</v>
      </c>
      <c r="L272" s="217">
        <v>132</v>
      </c>
      <c r="M272" s="217" t="s">
        <v>31</v>
      </c>
      <c r="N272" s="217" t="s">
        <v>32</v>
      </c>
      <c r="O272" s="217" t="s">
        <v>68</v>
      </c>
      <c r="P272" s="217" t="s">
        <v>34</v>
      </c>
      <c r="Q272" s="217" t="s">
        <v>35</v>
      </c>
      <c r="R272" s="217" t="s">
        <v>23</v>
      </c>
      <c r="S272" s="217" t="s">
        <v>22</v>
      </c>
      <c r="T272" s="217" t="s">
        <v>84</v>
      </c>
      <c r="U272" s="217" t="s">
        <v>85</v>
      </c>
      <c r="V272" s="217" t="s">
        <v>91</v>
      </c>
      <c r="W272" s="217" t="s">
        <v>92</v>
      </c>
    </row>
    <row r="273" spans="1:23" x14ac:dyDescent="0.25">
      <c r="A273" s="217" t="s">
        <v>22</v>
      </c>
      <c r="B273" s="217" t="s">
        <v>23</v>
      </c>
      <c r="C273" s="217" t="s">
        <v>85</v>
      </c>
      <c r="D273" s="217" t="s">
        <v>84</v>
      </c>
      <c r="E273" s="217" t="s">
        <v>157</v>
      </c>
      <c r="F273" s="217" t="s">
        <v>156</v>
      </c>
      <c r="G273" s="217" t="s">
        <v>336</v>
      </c>
      <c r="H273" s="217" t="s">
        <v>1023</v>
      </c>
      <c r="I273" s="217" t="s">
        <v>29</v>
      </c>
      <c r="J273" s="217" t="s">
        <v>1858</v>
      </c>
      <c r="K273" s="217">
        <v>1</v>
      </c>
      <c r="L273" s="217">
        <v>6</v>
      </c>
      <c r="M273" s="217" t="s">
        <v>31</v>
      </c>
      <c r="N273" s="217" t="s">
        <v>32</v>
      </c>
      <c r="O273" s="217" t="s">
        <v>68</v>
      </c>
      <c r="P273" s="217" t="s">
        <v>34</v>
      </c>
      <c r="Q273" s="217" t="s">
        <v>35</v>
      </c>
      <c r="R273" s="217" t="s">
        <v>23</v>
      </c>
      <c r="S273" s="217" t="s">
        <v>22</v>
      </c>
      <c r="T273" s="217" t="s">
        <v>84</v>
      </c>
      <c r="U273" s="217" t="s">
        <v>85</v>
      </c>
      <c r="V273" s="217" t="s">
        <v>97</v>
      </c>
      <c r="W273" s="217" t="s">
        <v>98</v>
      </c>
    </row>
    <row r="274" spans="1:23" x14ac:dyDescent="0.25">
      <c r="A274" s="217" t="s">
        <v>22</v>
      </c>
      <c r="B274" s="217" t="s">
        <v>23</v>
      </c>
      <c r="C274" s="217" t="s">
        <v>85</v>
      </c>
      <c r="D274" s="217" t="s">
        <v>84</v>
      </c>
      <c r="E274" s="217" t="s">
        <v>157</v>
      </c>
      <c r="F274" s="217" t="s">
        <v>156</v>
      </c>
      <c r="G274" s="217" t="s">
        <v>337</v>
      </c>
      <c r="H274" s="217" t="s">
        <v>1024</v>
      </c>
      <c r="I274" s="217" t="s">
        <v>29</v>
      </c>
      <c r="J274" s="217" t="s">
        <v>1856</v>
      </c>
      <c r="K274" s="217">
        <v>70</v>
      </c>
      <c r="L274" s="217">
        <v>350</v>
      </c>
      <c r="M274" s="217" t="s">
        <v>31</v>
      </c>
      <c r="N274" s="217" t="s">
        <v>32</v>
      </c>
      <c r="O274" s="217" t="s">
        <v>68</v>
      </c>
      <c r="P274" s="217" t="s">
        <v>34</v>
      </c>
      <c r="Q274" s="217" t="s">
        <v>35</v>
      </c>
      <c r="R274" s="217" t="s">
        <v>23</v>
      </c>
      <c r="S274" s="217" t="s">
        <v>22</v>
      </c>
      <c r="T274" s="217" t="s">
        <v>84</v>
      </c>
      <c r="U274" s="217" t="s">
        <v>85</v>
      </c>
      <c r="V274" s="217" t="s">
        <v>97</v>
      </c>
      <c r="W274" s="217" t="s">
        <v>98</v>
      </c>
    </row>
    <row r="275" spans="1:23" x14ac:dyDescent="0.25">
      <c r="A275" s="217" t="s">
        <v>22</v>
      </c>
      <c r="B275" s="217" t="s">
        <v>23</v>
      </c>
      <c r="C275" s="217" t="s">
        <v>85</v>
      </c>
      <c r="D275" s="217" t="s">
        <v>84</v>
      </c>
      <c r="E275" s="217" t="s">
        <v>157</v>
      </c>
      <c r="F275" s="217" t="s">
        <v>156</v>
      </c>
      <c r="G275" s="217" t="s">
        <v>337</v>
      </c>
      <c r="H275" s="217" t="s">
        <v>1024</v>
      </c>
      <c r="I275" s="217" t="s">
        <v>29</v>
      </c>
      <c r="J275" s="217" t="s">
        <v>1858</v>
      </c>
      <c r="K275" s="217">
        <v>4</v>
      </c>
      <c r="L275" s="217">
        <v>34</v>
      </c>
      <c r="M275" s="217" t="s">
        <v>31</v>
      </c>
      <c r="N275" s="217" t="s">
        <v>32</v>
      </c>
      <c r="O275" s="217" t="s">
        <v>68</v>
      </c>
      <c r="P275" s="217" t="s">
        <v>34</v>
      </c>
      <c r="Q275" s="217" t="s">
        <v>35</v>
      </c>
      <c r="R275" s="217" t="s">
        <v>23</v>
      </c>
      <c r="S275" s="217" t="s">
        <v>22</v>
      </c>
      <c r="T275" s="217" t="s">
        <v>84</v>
      </c>
      <c r="U275" s="217" t="s">
        <v>85</v>
      </c>
      <c r="V275" s="217" t="s">
        <v>97</v>
      </c>
      <c r="W275" s="217" t="s">
        <v>98</v>
      </c>
    </row>
    <row r="276" spans="1:23" x14ac:dyDescent="0.25">
      <c r="A276" s="217" t="s">
        <v>22</v>
      </c>
      <c r="B276" s="217" t="s">
        <v>23</v>
      </c>
      <c r="C276" s="217" t="s">
        <v>85</v>
      </c>
      <c r="D276" s="217" t="s">
        <v>84</v>
      </c>
      <c r="E276" s="217" t="s">
        <v>157</v>
      </c>
      <c r="F276" s="217" t="s">
        <v>156</v>
      </c>
      <c r="G276" s="217" t="s">
        <v>338</v>
      </c>
      <c r="H276" s="217" t="s">
        <v>1025</v>
      </c>
      <c r="I276" s="217" t="s">
        <v>29</v>
      </c>
      <c r="J276" s="217" t="s">
        <v>1856</v>
      </c>
      <c r="K276" s="217">
        <v>38</v>
      </c>
      <c r="L276" s="217">
        <v>190</v>
      </c>
      <c r="M276" s="217" t="s">
        <v>31</v>
      </c>
      <c r="N276" s="217" t="s">
        <v>32</v>
      </c>
      <c r="O276" s="217" t="s">
        <v>68</v>
      </c>
      <c r="P276" s="217" t="s">
        <v>34</v>
      </c>
      <c r="Q276" s="217" t="s">
        <v>35</v>
      </c>
      <c r="R276" s="217" t="s">
        <v>23</v>
      </c>
      <c r="S276" s="217" t="s">
        <v>22</v>
      </c>
      <c r="T276" s="217" t="s">
        <v>84</v>
      </c>
      <c r="U276" s="217" t="s">
        <v>85</v>
      </c>
      <c r="V276" s="217" t="s">
        <v>150</v>
      </c>
      <c r="W276" s="217" t="s">
        <v>151</v>
      </c>
    </row>
    <row r="277" spans="1:23" x14ac:dyDescent="0.25">
      <c r="A277" s="217" t="s">
        <v>22</v>
      </c>
      <c r="B277" s="217" t="s">
        <v>23</v>
      </c>
      <c r="C277" s="217" t="s">
        <v>85</v>
      </c>
      <c r="D277" s="217" t="s">
        <v>84</v>
      </c>
      <c r="E277" s="217" t="s">
        <v>157</v>
      </c>
      <c r="F277" s="217" t="s">
        <v>156</v>
      </c>
      <c r="G277" s="217" t="s">
        <v>338</v>
      </c>
      <c r="H277" s="217" t="s">
        <v>1025</v>
      </c>
      <c r="I277" s="217" t="s">
        <v>29</v>
      </c>
      <c r="J277" s="217" t="s">
        <v>1857</v>
      </c>
      <c r="K277" s="217">
        <v>3</v>
      </c>
      <c r="L277" s="217">
        <v>15</v>
      </c>
      <c r="M277" s="217" t="s">
        <v>31</v>
      </c>
      <c r="N277" s="217" t="s">
        <v>32</v>
      </c>
      <c r="O277" s="217" t="s">
        <v>68</v>
      </c>
      <c r="P277" s="217" t="s">
        <v>34</v>
      </c>
      <c r="Q277" s="217" t="s">
        <v>35</v>
      </c>
      <c r="R277" s="217" t="s">
        <v>23</v>
      </c>
      <c r="S277" s="217" t="s">
        <v>22</v>
      </c>
      <c r="T277" s="217" t="s">
        <v>84</v>
      </c>
      <c r="U277" s="217" t="s">
        <v>85</v>
      </c>
      <c r="V277" s="217" t="s">
        <v>150</v>
      </c>
      <c r="W277" s="217" t="s">
        <v>151</v>
      </c>
    </row>
    <row r="278" spans="1:23" x14ac:dyDescent="0.25">
      <c r="A278" s="217" t="s">
        <v>22</v>
      </c>
      <c r="B278" s="217" t="s">
        <v>23</v>
      </c>
      <c r="C278" s="217" t="s">
        <v>85</v>
      </c>
      <c r="D278" s="217" t="s">
        <v>84</v>
      </c>
      <c r="E278" s="217" t="s">
        <v>157</v>
      </c>
      <c r="F278" s="217" t="s">
        <v>156</v>
      </c>
      <c r="G278" s="217" t="s">
        <v>338</v>
      </c>
      <c r="H278" s="217" t="s">
        <v>1025</v>
      </c>
      <c r="I278" s="217" t="s">
        <v>29</v>
      </c>
      <c r="J278" s="217" t="s">
        <v>1858</v>
      </c>
      <c r="K278" s="217">
        <v>26</v>
      </c>
      <c r="L278" s="217">
        <v>215</v>
      </c>
      <c r="M278" s="217" t="s">
        <v>31</v>
      </c>
      <c r="N278" s="217" t="s">
        <v>32</v>
      </c>
      <c r="O278" s="217" t="s">
        <v>68</v>
      </c>
      <c r="P278" s="217" t="s">
        <v>34</v>
      </c>
      <c r="Q278" s="217" t="s">
        <v>35</v>
      </c>
      <c r="R278" s="217" t="s">
        <v>23</v>
      </c>
      <c r="S278" s="217" t="s">
        <v>22</v>
      </c>
      <c r="T278" s="217" t="s">
        <v>84</v>
      </c>
      <c r="U278" s="217" t="s">
        <v>85</v>
      </c>
      <c r="V278" s="217" t="s">
        <v>97</v>
      </c>
      <c r="W278" s="217" t="s">
        <v>98</v>
      </c>
    </row>
    <row r="279" spans="1:23" x14ac:dyDescent="0.25">
      <c r="A279" s="217" t="s">
        <v>22</v>
      </c>
      <c r="B279" s="217" t="s">
        <v>23</v>
      </c>
      <c r="C279" s="217" t="s">
        <v>85</v>
      </c>
      <c r="D279" s="217" t="s">
        <v>84</v>
      </c>
      <c r="E279" s="217" t="s">
        <v>157</v>
      </c>
      <c r="F279" s="217" t="s">
        <v>156</v>
      </c>
      <c r="G279" s="217" t="s">
        <v>339</v>
      </c>
      <c r="H279" s="217" t="s">
        <v>1026</v>
      </c>
      <c r="I279" s="217" t="s">
        <v>29</v>
      </c>
      <c r="J279" s="217" t="s">
        <v>1856</v>
      </c>
      <c r="K279" s="217">
        <v>13</v>
      </c>
      <c r="L279" s="217">
        <v>39</v>
      </c>
      <c r="M279" s="217" t="s">
        <v>31</v>
      </c>
      <c r="N279" s="217" t="s">
        <v>32</v>
      </c>
      <c r="O279" s="217" t="s">
        <v>68</v>
      </c>
      <c r="P279" s="217" t="s">
        <v>34</v>
      </c>
      <c r="Q279" s="217" t="s">
        <v>35</v>
      </c>
      <c r="R279" s="217" t="s">
        <v>23</v>
      </c>
      <c r="S279" s="217" t="s">
        <v>22</v>
      </c>
      <c r="T279" s="217" t="s">
        <v>84</v>
      </c>
      <c r="U279" s="217" t="s">
        <v>85</v>
      </c>
      <c r="V279" s="217" t="s">
        <v>97</v>
      </c>
      <c r="W279" s="217" t="s">
        <v>98</v>
      </c>
    </row>
    <row r="280" spans="1:23" x14ac:dyDescent="0.25">
      <c r="A280" s="217" t="s">
        <v>22</v>
      </c>
      <c r="B280" s="217" t="s">
        <v>23</v>
      </c>
      <c r="C280" s="217" t="s">
        <v>85</v>
      </c>
      <c r="D280" s="217" t="s">
        <v>84</v>
      </c>
      <c r="E280" s="217" t="s">
        <v>157</v>
      </c>
      <c r="F280" s="217" t="s">
        <v>156</v>
      </c>
      <c r="G280" s="217" t="s">
        <v>339</v>
      </c>
      <c r="H280" s="217" t="s">
        <v>1026</v>
      </c>
      <c r="I280" s="217" t="s">
        <v>29</v>
      </c>
      <c r="J280" s="217" t="s">
        <v>1858</v>
      </c>
      <c r="K280" s="217">
        <v>3</v>
      </c>
      <c r="L280" s="217">
        <v>25</v>
      </c>
      <c r="M280" s="217" t="s">
        <v>99</v>
      </c>
      <c r="N280" s="217" t="s">
        <v>32</v>
      </c>
      <c r="O280" s="217" t="s">
        <v>68</v>
      </c>
      <c r="P280" s="217" t="s">
        <v>34</v>
      </c>
      <c r="Q280" s="217" t="s">
        <v>35</v>
      </c>
      <c r="R280" s="217" t="s">
        <v>23</v>
      </c>
      <c r="S280" s="217" t="s">
        <v>22</v>
      </c>
      <c r="T280" s="217" t="s">
        <v>84</v>
      </c>
      <c r="U280" s="217" t="s">
        <v>85</v>
      </c>
      <c r="V280" s="217" t="s">
        <v>150</v>
      </c>
      <c r="W280" s="217" t="s">
        <v>151</v>
      </c>
    </row>
    <row r="281" spans="1:23" x14ac:dyDescent="0.25">
      <c r="A281" s="217" t="s">
        <v>22</v>
      </c>
      <c r="B281" s="217" t="s">
        <v>23</v>
      </c>
      <c r="C281" s="217" t="s">
        <v>85</v>
      </c>
      <c r="D281" s="217" t="s">
        <v>84</v>
      </c>
      <c r="E281" s="217" t="s">
        <v>157</v>
      </c>
      <c r="F281" s="217" t="s">
        <v>156</v>
      </c>
      <c r="G281" s="217" t="s">
        <v>340</v>
      </c>
      <c r="H281" s="217" t="s">
        <v>1027</v>
      </c>
      <c r="I281" s="217" t="s">
        <v>29</v>
      </c>
      <c r="J281" s="217" t="s">
        <v>1856</v>
      </c>
      <c r="K281" s="217">
        <v>9</v>
      </c>
      <c r="L281" s="217">
        <v>27</v>
      </c>
      <c r="M281" s="217" t="s">
        <v>31</v>
      </c>
      <c r="N281" s="217" t="s">
        <v>32</v>
      </c>
      <c r="O281" s="217" t="s">
        <v>68</v>
      </c>
      <c r="P281" s="217" t="s">
        <v>34</v>
      </c>
      <c r="Q281" s="217" t="s">
        <v>35</v>
      </c>
      <c r="R281" s="217" t="s">
        <v>23</v>
      </c>
      <c r="S281" s="217" t="s">
        <v>22</v>
      </c>
      <c r="T281" s="217" t="s">
        <v>84</v>
      </c>
      <c r="U281" s="217" t="s">
        <v>85</v>
      </c>
      <c r="V281" s="217" t="s">
        <v>109</v>
      </c>
      <c r="W281" s="217" t="s">
        <v>110</v>
      </c>
    </row>
    <row r="282" spans="1:23" x14ac:dyDescent="0.25">
      <c r="A282" s="217" t="s">
        <v>22</v>
      </c>
      <c r="B282" s="217" t="s">
        <v>23</v>
      </c>
      <c r="C282" s="217" t="s">
        <v>85</v>
      </c>
      <c r="D282" s="217" t="s">
        <v>84</v>
      </c>
      <c r="E282" s="217" t="s">
        <v>157</v>
      </c>
      <c r="F282" s="217" t="s">
        <v>156</v>
      </c>
      <c r="G282" s="217" t="s">
        <v>340</v>
      </c>
      <c r="H282" s="217" t="s">
        <v>1027</v>
      </c>
      <c r="I282" s="217" t="s">
        <v>29</v>
      </c>
      <c r="J282" s="217" t="s">
        <v>1858</v>
      </c>
      <c r="K282" s="217">
        <v>3</v>
      </c>
      <c r="L282" s="217">
        <v>15</v>
      </c>
      <c r="M282" s="217" t="s">
        <v>99</v>
      </c>
      <c r="N282" s="217" t="s">
        <v>32</v>
      </c>
      <c r="O282" s="217" t="s">
        <v>68</v>
      </c>
      <c r="P282" s="217" t="s">
        <v>34</v>
      </c>
      <c r="Q282" s="217" t="s">
        <v>35</v>
      </c>
      <c r="R282" s="217" t="s">
        <v>23</v>
      </c>
      <c r="S282" s="217" t="s">
        <v>22</v>
      </c>
      <c r="T282" s="217" t="s">
        <v>84</v>
      </c>
      <c r="U282" s="217" t="s">
        <v>85</v>
      </c>
      <c r="V282" s="217" t="s">
        <v>150</v>
      </c>
      <c r="W282" s="217" t="s">
        <v>151</v>
      </c>
    </row>
    <row r="283" spans="1:23" x14ac:dyDescent="0.25">
      <c r="A283" s="217" t="s">
        <v>22</v>
      </c>
      <c r="B283" s="217" t="s">
        <v>23</v>
      </c>
      <c r="C283" s="217" t="s">
        <v>85</v>
      </c>
      <c r="D283" s="217" t="s">
        <v>84</v>
      </c>
      <c r="E283" s="217" t="s">
        <v>157</v>
      </c>
      <c r="F283" s="217" t="s">
        <v>156</v>
      </c>
      <c r="G283" s="217" t="s">
        <v>341</v>
      </c>
      <c r="H283" s="217" t="s">
        <v>1028</v>
      </c>
      <c r="I283" s="217" t="s">
        <v>29</v>
      </c>
      <c r="J283" s="217" t="s">
        <v>1856</v>
      </c>
      <c r="K283" s="217">
        <v>260</v>
      </c>
      <c r="L283" s="217">
        <v>1300</v>
      </c>
      <c r="M283" s="217" t="s">
        <v>31</v>
      </c>
      <c r="N283" s="217" t="s">
        <v>32</v>
      </c>
      <c r="O283" s="217" t="s">
        <v>68</v>
      </c>
      <c r="P283" s="217" t="s">
        <v>34</v>
      </c>
      <c r="Q283" s="217" t="s">
        <v>35</v>
      </c>
      <c r="R283" s="217" t="s">
        <v>23</v>
      </c>
      <c r="S283" s="217" t="s">
        <v>22</v>
      </c>
      <c r="T283" s="217" t="s">
        <v>84</v>
      </c>
      <c r="U283" s="217" t="s">
        <v>85</v>
      </c>
      <c r="V283" s="217" t="s">
        <v>97</v>
      </c>
      <c r="W283" s="217" t="s">
        <v>98</v>
      </c>
    </row>
    <row r="284" spans="1:23" x14ac:dyDescent="0.25">
      <c r="A284" s="217" t="s">
        <v>22</v>
      </c>
      <c r="B284" s="217" t="s">
        <v>23</v>
      </c>
      <c r="C284" s="217" t="s">
        <v>85</v>
      </c>
      <c r="D284" s="217" t="s">
        <v>84</v>
      </c>
      <c r="E284" s="217" t="s">
        <v>157</v>
      </c>
      <c r="F284" s="217" t="s">
        <v>156</v>
      </c>
      <c r="G284" s="217" t="s">
        <v>341</v>
      </c>
      <c r="H284" s="217" t="s">
        <v>1028</v>
      </c>
      <c r="I284" s="217" t="s">
        <v>29</v>
      </c>
      <c r="J284" s="217" t="s">
        <v>1857</v>
      </c>
      <c r="K284" s="217">
        <v>80</v>
      </c>
      <c r="L284" s="217">
        <v>400</v>
      </c>
      <c r="M284" s="217" t="s">
        <v>31</v>
      </c>
      <c r="N284" s="217" t="s">
        <v>32</v>
      </c>
      <c r="O284" s="217" t="s">
        <v>68</v>
      </c>
      <c r="P284" s="217" t="s">
        <v>34</v>
      </c>
      <c r="Q284" s="217" t="s">
        <v>35</v>
      </c>
      <c r="R284" s="217" t="s">
        <v>23</v>
      </c>
      <c r="S284" s="217" t="s">
        <v>22</v>
      </c>
      <c r="T284" s="217" t="s">
        <v>84</v>
      </c>
      <c r="U284" s="217" t="s">
        <v>85</v>
      </c>
      <c r="V284" s="217" t="s">
        <v>97</v>
      </c>
      <c r="W284" s="217" t="s">
        <v>98</v>
      </c>
    </row>
    <row r="285" spans="1:23" x14ac:dyDescent="0.25">
      <c r="A285" s="217" t="s">
        <v>22</v>
      </c>
      <c r="B285" s="217" t="s">
        <v>23</v>
      </c>
      <c r="C285" s="217" t="s">
        <v>85</v>
      </c>
      <c r="D285" s="217" t="s">
        <v>84</v>
      </c>
      <c r="E285" s="217" t="s">
        <v>157</v>
      </c>
      <c r="F285" s="217" t="s">
        <v>156</v>
      </c>
      <c r="G285" s="217" t="s">
        <v>341</v>
      </c>
      <c r="H285" s="217" t="s">
        <v>1028</v>
      </c>
      <c r="I285" s="217" t="s">
        <v>29</v>
      </c>
      <c r="J285" s="217" t="s">
        <v>1858</v>
      </c>
      <c r="K285" s="217">
        <v>9</v>
      </c>
      <c r="L285" s="217">
        <v>76</v>
      </c>
      <c r="M285" s="217" t="s">
        <v>31</v>
      </c>
      <c r="N285" s="217" t="s">
        <v>32</v>
      </c>
      <c r="O285" s="217" t="s">
        <v>68</v>
      </c>
      <c r="P285" s="217" t="s">
        <v>34</v>
      </c>
      <c r="Q285" s="217" t="s">
        <v>35</v>
      </c>
      <c r="R285" s="217" t="s">
        <v>23</v>
      </c>
      <c r="S285" s="217" t="s">
        <v>22</v>
      </c>
      <c r="T285" s="217" t="s">
        <v>84</v>
      </c>
      <c r="U285" s="217" t="s">
        <v>85</v>
      </c>
      <c r="V285" s="217" t="s">
        <v>97</v>
      </c>
      <c r="W285" s="217" t="s">
        <v>98</v>
      </c>
    </row>
    <row r="286" spans="1:23" x14ac:dyDescent="0.25">
      <c r="A286" s="217" t="s">
        <v>22</v>
      </c>
      <c r="B286" s="217" t="s">
        <v>23</v>
      </c>
      <c r="C286" s="217" t="s">
        <v>85</v>
      </c>
      <c r="D286" s="217" t="s">
        <v>84</v>
      </c>
      <c r="E286" s="217" t="s">
        <v>157</v>
      </c>
      <c r="F286" s="217" t="s">
        <v>156</v>
      </c>
      <c r="G286" s="217" t="s">
        <v>342</v>
      </c>
      <c r="H286" s="217" t="s">
        <v>1029</v>
      </c>
      <c r="I286" s="217" t="s">
        <v>29</v>
      </c>
      <c r="J286" s="217" t="s">
        <v>1856</v>
      </c>
      <c r="K286" s="217">
        <v>78</v>
      </c>
      <c r="L286" s="217">
        <v>488</v>
      </c>
      <c r="M286" s="217" t="s">
        <v>31</v>
      </c>
      <c r="N286" s="217" t="s">
        <v>32</v>
      </c>
      <c r="O286" s="217" t="s">
        <v>68</v>
      </c>
      <c r="P286" s="217" t="s">
        <v>34</v>
      </c>
      <c r="Q286" s="217" t="s">
        <v>35</v>
      </c>
      <c r="R286" s="217" t="s">
        <v>23</v>
      </c>
      <c r="S286" s="217" t="s">
        <v>22</v>
      </c>
      <c r="T286" s="217" t="s">
        <v>84</v>
      </c>
      <c r="U286" s="217" t="s">
        <v>85</v>
      </c>
      <c r="V286" s="217" t="s">
        <v>91</v>
      </c>
      <c r="W286" s="217" t="s">
        <v>92</v>
      </c>
    </row>
    <row r="287" spans="1:23" x14ac:dyDescent="0.25">
      <c r="A287" s="217" t="s">
        <v>22</v>
      </c>
      <c r="B287" s="217" t="s">
        <v>23</v>
      </c>
      <c r="C287" s="217" t="s">
        <v>85</v>
      </c>
      <c r="D287" s="217" t="s">
        <v>84</v>
      </c>
      <c r="E287" s="217" t="s">
        <v>157</v>
      </c>
      <c r="F287" s="217" t="s">
        <v>156</v>
      </c>
      <c r="G287" s="217" t="s">
        <v>342</v>
      </c>
      <c r="H287" s="217" t="s">
        <v>1029</v>
      </c>
      <c r="I287" s="217" t="s">
        <v>29</v>
      </c>
      <c r="J287" s="217" t="s">
        <v>1857</v>
      </c>
      <c r="K287" s="217">
        <v>13</v>
      </c>
      <c r="L287" s="217">
        <v>68</v>
      </c>
      <c r="M287" s="217" t="s">
        <v>31</v>
      </c>
      <c r="N287" s="217" t="s">
        <v>32</v>
      </c>
      <c r="O287" s="217" t="s">
        <v>68</v>
      </c>
      <c r="P287" s="217" t="s">
        <v>34</v>
      </c>
      <c r="Q287" s="217" t="s">
        <v>35</v>
      </c>
      <c r="R287" s="217" t="s">
        <v>23</v>
      </c>
      <c r="S287" s="217" t="s">
        <v>22</v>
      </c>
      <c r="T287" s="217" t="s">
        <v>84</v>
      </c>
      <c r="U287" s="217" t="s">
        <v>85</v>
      </c>
      <c r="V287" s="217" t="s">
        <v>97</v>
      </c>
      <c r="W287" s="217" t="s">
        <v>98</v>
      </c>
    </row>
    <row r="288" spans="1:23" x14ac:dyDescent="0.25">
      <c r="A288" s="217" t="s">
        <v>22</v>
      </c>
      <c r="B288" s="217" t="s">
        <v>23</v>
      </c>
      <c r="C288" s="217" t="s">
        <v>85</v>
      </c>
      <c r="D288" s="217" t="s">
        <v>84</v>
      </c>
      <c r="E288" s="217" t="s">
        <v>157</v>
      </c>
      <c r="F288" s="217" t="s">
        <v>156</v>
      </c>
      <c r="G288" s="217" t="s">
        <v>342</v>
      </c>
      <c r="H288" s="217" t="s">
        <v>1029</v>
      </c>
      <c r="I288" s="217" t="s">
        <v>29</v>
      </c>
      <c r="J288" s="217" t="s">
        <v>1858</v>
      </c>
      <c r="K288" s="217">
        <v>8</v>
      </c>
      <c r="L288" s="217">
        <v>63</v>
      </c>
      <c r="M288" s="217" t="s">
        <v>31</v>
      </c>
      <c r="N288" s="217" t="s">
        <v>32</v>
      </c>
      <c r="O288" s="217" t="s">
        <v>68</v>
      </c>
      <c r="P288" s="217" t="s">
        <v>34</v>
      </c>
      <c r="Q288" s="217" t="s">
        <v>35</v>
      </c>
      <c r="R288" s="217" t="s">
        <v>23</v>
      </c>
      <c r="S288" s="217" t="s">
        <v>22</v>
      </c>
      <c r="T288" s="217" t="s">
        <v>84</v>
      </c>
      <c r="U288" s="217" t="s">
        <v>85</v>
      </c>
      <c r="V288" s="217" t="s">
        <v>97</v>
      </c>
      <c r="W288" s="217" t="s">
        <v>98</v>
      </c>
    </row>
    <row r="289" spans="1:23" x14ac:dyDescent="0.25">
      <c r="A289" s="217" t="s">
        <v>22</v>
      </c>
      <c r="B289" s="217" t="s">
        <v>23</v>
      </c>
      <c r="C289" s="217" t="s">
        <v>85</v>
      </c>
      <c r="D289" s="217" t="s">
        <v>84</v>
      </c>
      <c r="E289" s="217" t="s">
        <v>157</v>
      </c>
      <c r="F289" s="217" t="s">
        <v>156</v>
      </c>
      <c r="G289" s="217" t="s">
        <v>343</v>
      </c>
      <c r="H289" s="217" t="s">
        <v>1030</v>
      </c>
      <c r="I289" s="217" t="s">
        <v>29</v>
      </c>
      <c r="J289" s="217" t="s">
        <v>1856</v>
      </c>
      <c r="K289" s="217">
        <v>4</v>
      </c>
      <c r="L289" s="217">
        <v>40</v>
      </c>
      <c r="M289" s="217" t="s">
        <v>31</v>
      </c>
      <c r="N289" s="217" t="s">
        <v>32</v>
      </c>
      <c r="O289" s="217" t="s">
        <v>68</v>
      </c>
      <c r="P289" s="217" t="s">
        <v>34</v>
      </c>
      <c r="Q289" s="217" t="s">
        <v>35</v>
      </c>
      <c r="R289" s="217" t="s">
        <v>23</v>
      </c>
      <c r="S289" s="217" t="s">
        <v>22</v>
      </c>
      <c r="T289" s="217" t="s">
        <v>84</v>
      </c>
      <c r="U289" s="217" t="s">
        <v>85</v>
      </c>
      <c r="V289" s="217" t="s">
        <v>91</v>
      </c>
      <c r="W289" s="217" t="s">
        <v>92</v>
      </c>
    </row>
    <row r="290" spans="1:23" x14ac:dyDescent="0.25">
      <c r="A290" s="217" t="s">
        <v>22</v>
      </c>
      <c r="B290" s="217" t="s">
        <v>23</v>
      </c>
      <c r="C290" s="217" t="s">
        <v>85</v>
      </c>
      <c r="D290" s="217" t="s">
        <v>84</v>
      </c>
      <c r="E290" s="217" t="s">
        <v>157</v>
      </c>
      <c r="F290" s="217" t="s">
        <v>156</v>
      </c>
      <c r="G290" s="217" t="s">
        <v>343</v>
      </c>
      <c r="H290" s="217" t="s">
        <v>1030</v>
      </c>
      <c r="I290" s="217" t="s">
        <v>29</v>
      </c>
      <c r="J290" s="217" t="s">
        <v>1857</v>
      </c>
      <c r="K290" s="217">
        <v>3</v>
      </c>
      <c r="L290" s="217">
        <v>27</v>
      </c>
      <c r="M290" s="217" t="s">
        <v>31</v>
      </c>
      <c r="N290" s="217" t="s">
        <v>32</v>
      </c>
      <c r="O290" s="217" t="s">
        <v>68</v>
      </c>
      <c r="P290" s="217" t="s">
        <v>34</v>
      </c>
      <c r="Q290" s="217" t="s">
        <v>35</v>
      </c>
      <c r="R290" s="217" t="s">
        <v>23</v>
      </c>
      <c r="S290" s="217" t="s">
        <v>22</v>
      </c>
      <c r="T290" s="217" t="s">
        <v>84</v>
      </c>
      <c r="U290" s="217" t="s">
        <v>85</v>
      </c>
      <c r="V290" s="217" t="s">
        <v>91</v>
      </c>
      <c r="W290" s="217" t="s">
        <v>92</v>
      </c>
    </row>
    <row r="291" spans="1:23" x14ac:dyDescent="0.25">
      <c r="A291" s="217" t="s">
        <v>22</v>
      </c>
      <c r="B291" s="217" t="s">
        <v>23</v>
      </c>
      <c r="C291" s="217" t="s">
        <v>85</v>
      </c>
      <c r="D291" s="217" t="s">
        <v>84</v>
      </c>
      <c r="E291" s="217" t="s">
        <v>157</v>
      </c>
      <c r="F291" s="217" t="s">
        <v>156</v>
      </c>
      <c r="G291" s="217" t="s">
        <v>344</v>
      </c>
      <c r="H291" s="217" t="s">
        <v>1031</v>
      </c>
      <c r="I291" s="217" t="s">
        <v>29</v>
      </c>
      <c r="J291" s="217" t="s">
        <v>1855</v>
      </c>
      <c r="K291" s="217">
        <v>4</v>
      </c>
      <c r="L291" s="217">
        <v>31</v>
      </c>
      <c r="M291" s="217" t="s">
        <v>31</v>
      </c>
      <c r="N291" s="217" t="s">
        <v>32</v>
      </c>
      <c r="O291" s="217" t="s">
        <v>68</v>
      </c>
      <c r="P291" s="217" t="s">
        <v>34</v>
      </c>
      <c r="Q291" s="217" t="s">
        <v>35</v>
      </c>
      <c r="R291" s="217" t="s">
        <v>23</v>
      </c>
      <c r="S291" s="217" t="s">
        <v>22</v>
      </c>
      <c r="T291" s="217" t="s">
        <v>84</v>
      </c>
      <c r="U291" s="217" t="s">
        <v>85</v>
      </c>
      <c r="V291" s="217" t="s">
        <v>91</v>
      </c>
      <c r="W291" s="217" t="s">
        <v>92</v>
      </c>
    </row>
    <row r="292" spans="1:23" x14ac:dyDescent="0.25">
      <c r="A292" s="217" t="s">
        <v>22</v>
      </c>
      <c r="B292" s="217" t="s">
        <v>23</v>
      </c>
      <c r="C292" s="217" t="s">
        <v>85</v>
      </c>
      <c r="D292" s="217" t="s">
        <v>84</v>
      </c>
      <c r="E292" s="217" t="s">
        <v>157</v>
      </c>
      <c r="F292" s="217" t="s">
        <v>156</v>
      </c>
      <c r="G292" s="217" t="s">
        <v>344</v>
      </c>
      <c r="H292" s="217" t="s">
        <v>1031</v>
      </c>
      <c r="I292" s="217" t="s">
        <v>29</v>
      </c>
      <c r="J292" s="217" t="s">
        <v>1856</v>
      </c>
      <c r="K292" s="217">
        <v>7</v>
      </c>
      <c r="L292" s="217">
        <v>40</v>
      </c>
      <c r="M292" s="217" t="s">
        <v>31</v>
      </c>
      <c r="N292" s="217" t="s">
        <v>32</v>
      </c>
      <c r="O292" s="217" t="s">
        <v>68</v>
      </c>
      <c r="P292" s="217" t="s">
        <v>34</v>
      </c>
      <c r="Q292" s="217" t="s">
        <v>35</v>
      </c>
      <c r="R292" s="217" t="s">
        <v>23</v>
      </c>
      <c r="S292" s="217" t="s">
        <v>22</v>
      </c>
      <c r="T292" s="217" t="s">
        <v>84</v>
      </c>
      <c r="U292" s="217" t="s">
        <v>85</v>
      </c>
      <c r="V292" s="217" t="s">
        <v>91</v>
      </c>
      <c r="W292" s="217" t="s">
        <v>92</v>
      </c>
    </row>
    <row r="293" spans="1:23" x14ac:dyDescent="0.25">
      <c r="A293" s="217" t="s">
        <v>22</v>
      </c>
      <c r="B293" s="217" t="s">
        <v>23</v>
      </c>
      <c r="C293" s="217" t="s">
        <v>85</v>
      </c>
      <c r="D293" s="217" t="s">
        <v>84</v>
      </c>
      <c r="E293" s="217" t="s">
        <v>157</v>
      </c>
      <c r="F293" s="217" t="s">
        <v>156</v>
      </c>
      <c r="G293" s="217" t="s">
        <v>344</v>
      </c>
      <c r="H293" s="217" t="s">
        <v>1031</v>
      </c>
      <c r="I293" s="217" t="s">
        <v>29</v>
      </c>
      <c r="J293" s="217" t="s">
        <v>1857</v>
      </c>
      <c r="K293" s="217">
        <v>3</v>
      </c>
      <c r="L293" s="217">
        <v>12</v>
      </c>
      <c r="M293" s="217" t="s">
        <v>31</v>
      </c>
      <c r="N293" s="217" t="s">
        <v>32</v>
      </c>
      <c r="O293" s="217" t="s">
        <v>68</v>
      </c>
      <c r="P293" s="217" t="s">
        <v>34</v>
      </c>
      <c r="Q293" s="217" t="s">
        <v>35</v>
      </c>
      <c r="R293" s="217" t="s">
        <v>23</v>
      </c>
      <c r="S293" s="217" t="s">
        <v>22</v>
      </c>
      <c r="T293" s="217" t="s">
        <v>84</v>
      </c>
      <c r="U293" s="217" t="s">
        <v>85</v>
      </c>
      <c r="V293" s="217" t="s">
        <v>91</v>
      </c>
      <c r="W293" s="217" t="s">
        <v>92</v>
      </c>
    </row>
    <row r="294" spans="1:23" x14ac:dyDescent="0.25">
      <c r="A294" s="217" t="s">
        <v>22</v>
      </c>
      <c r="B294" s="217" t="s">
        <v>23</v>
      </c>
      <c r="C294" s="217" t="s">
        <v>85</v>
      </c>
      <c r="D294" s="217" t="s">
        <v>84</v>
      </c>
      <c r="E294" s="217" t="s">
        <v>157</v>
      </c>
      <c r="F294" s="217" t="s">
        <v>156</v>
      </c>
      <c r="G294" s="217" t="s">
        <v>345</v>
      </c>
      <c r="H294" s="217" t="s">
        <v>1032</v>
      </c>
      <c r="I294" s="217" t="s">
        <v>29</v>
      </c>
      <c r="J294" s="217" t="s">
        <v>1855</v>
      </c>
      <c r="K294" s="217">
        <v>400</v>
      </c>
      <c r="L294" s="217">
        <v>2000</v>
      </c>
      <c r="M294" s="217" t="s">
        <v>31</v>
      </c>
      <c r="N294" s="217" t="s">
        <v>32</v>
      </c>
      <c r="O294" s="217" t="s">
        <v>68</v>
      </c>
      <c r="P294" s="217" t="s">
        <v>34</v>
      </c>
      <c r="Q294" s="217" t="s">
        <v>35</v>
      </c>
      <c r="R294" s="217" t="s">
        <v>23</v>
      </c>
      <c r="S294" s="217" t="s">
        <v>22</v>
      </c>
      <c r="T294" s="217" t="s">
        <v>84</v>
      </c>
      <c r="U294" s="217" t="s">
        <v>85</v>
      </c>
      <c r="V294" s="217" t="s">
        <v>97</v>
      </c>
      <c r="W294" s="217" t="s">
        <v>98</v>
      </c>
    </row>
    <row r="295" spans="1:23" x14ac:dyDescent="0.25">
      <c r="A295" s="217" t="s">
        <v>22</v>
      </c>
      <c r="B295" s="217" t="s">
        <v>23</v>
      </c>
      <c r="C295" s="217" t="s">
        <v>85</v>
      </c>
      <c r="D295" s="217" t="s">
        <v>84</v>
      </c>
      <c r="E295" s="217" t="s">
        <v>157</v>
      </c>
      <c r="F295" s="217" t="s">
        <v>156</v>
      </c>
      <c r="G295" s="217" t="s">
        <v>345</v>
      </c>
      <c r="H295" s="217" t="s">
        <v>1032</v>
      </c>
      <c r="I295" s="217" t="s">
        <v>29</v>
      </c>
      <c r="J295" s="217" t="s">
        <v>1856</v>
      </c>
      <c r="K295" s="217">
        <v>87</v>
      </c>
      <c r="L295" s="217">
        <v>435</v>
      </c>
      <c r="M295" s="217" t="s">
        <v>31</v>
      </c>
      <c r="N295" s="217" t="s">
        <v>32</v>
      </c>
      <c r="O295" s="217" t="s">
        <v>68</v>
      </c>
      <c r="P295" s="217" t="s">
        <v>34</v>
      </c>
      <c r="Q295" s="217" t="s">
        <v>35</v>
      </c>
      <c r="R295" s="217" t="s">
        <v>23</v>
      </c>
      <c r="S295" s="217" t="s">
        <v>22</v>
      </c>
      <c r="T295" s="217" t="s">
        <v>84</v>
      </c>
      <c r="U295" s="217" t="s">
        <v>85</v>
      </c>
      <c r="V295" s="217" t="s">
        <v>97</v>
      </c>
      <c r="W295" s="217" t="s">
        <v>98</v>
      </c>
    </row>
    <row r="296" spans="1:23" x14ac:dyDescent="0.25">
      <c r="A296" s="217" t="s">
        <v>22</v>
      </c>
      <c r="B296" s="217" t="s">
        <v>23</v>
      </c>
      <c r="C296" s="217" t="s">
        <v>85</v>
      </c>
      <c r="D296" s="217" t="s">
        <v>84</v>
      </c>
      <c r="E296" s="217" t="s">
        <v>157</v>
      </c>
      <c r="F296" s="217" t="s">
        <v>156</v>
      </c>
      <c r="G296" s="217" t="s">
        <v>345</v>
      </c>
      <c r="H296" s="217" t="s">
        <v>1032</v>
      </c>
      <c r="I296" s="217" t="s">
        <v>29</v>
      </c>
      <c r="J296" s="217" t="s">
        <v>1857</v>
      </c>
      <c r="K296" s="217">
        <v>2</v>
      </c>
      <c r="L296" s="217">
        <v>10</v>
      </c>
      <c r="M296" s="217" t="s">
        <v>31</v>
      </c>
      <c r="N296" s="217" t="s">
        <v>32</v>
      </c>
      <c r="O296" s="217" t="s">
        <v>68</v>
      </c>
      <c r="P296" s="217" t="s">
        <v>34</v>
      </c>
      <c r="Q296" s="217" t="s">
        <v>35</v>
      </c>
      <c r="R296" s="217" t="s">
        <v>23</v>
      </c>
      <c r="S296" s="217" t="s">
        <v>22</v>
      </c>
      <c r="T296" s="217" t="s">
        <v>84</v>
      </c>
      <c r="U296" s="217" t="s">
        <v>85</v>
      </c>
      <c r="V296" s="217" t="s">
        <v>97</v>
      </c>
      <c r="W296" s="217" t="s">
        <v>98</v>
      </c>
    </row>
    <row r="297" spans="1:23" x14ac:dyDescent="0.25">
      <c r="A297" s="217" t="s">
        <v>22</v>
      </c>
      <c r="B297" s="217" t="s">
        <v>23</v>
      </c>
      <c r="C297" s="217" t="s">
        <v>85</v>
      </c>
      <c r="D297" s="217" t="s">
        <v>84</v>
      </c>
      <c r="E297" s="217" t="s">
        <v>157</v>
      </c>
      <c r="F297" s="217" t="s">
        <v>156</v>
      </c>
      <c r="G297" s="217" t="s">
        <v>345</v>
      </c>
      <c r="H297" s="217" t="s">
        <v>1032</v>
      </c>
      <c r="I297" s="217" t="s">
        <v>29</v>
      </c>
      <c r="J297" s="217" t="s">
        <v>1858</v>
      </c>
      <c r="K297" s="217">
        <v>15</v>
      </c>
      <c r="L297" s="217">
        <v>134</v>
      </c>
      <c r="M297" s="217" t="s">
        <v>31</v>
      </c>
      <c r="N297" s="217" t="s">
        <v>32</v>
      </c>
      <c r="O297" s="217" t="s">
        <v>68</v>
      </c>
      <c r="P297" s="217" t="s">
        <v>34</v>
      </c>
      <c r="Q297" s="217" t="s">
        <v>35</v>
      </c>
      <c r="R297" s="217" t="s">
        <v>23</v>
      </c>
      <c r="S297" s="217" t="s">
        <v>22</v>
      </c>
      <c r="T297" s="217" t="s">
        <v>84</v>
      </c>
      <c r="U297" s="217" t="s">
        <v>85</v>
      </c>
      <c r="V297" s="217" t="s">
        <v>97</v>
      </c>
      <c r="W297" s="217" t="s">
        <v>98</v>
      </c>
    </row>
    <row r="298" spans="1:23" x14ac:dyDescent="0.25">
      <c r="A298" s="217" t="s">
        <v>22</v>
      </c>
      <c r="B298" s="217" t="s">
        <v>23</v>
      </c>
      <c r="C298" s="217" t="s">
        <v>85</v>
      </c>
      <c r="D298" s="217" t="s">
        <v>84</v>
      </c>
      <c r="E298" s="217" t="s">
        <v>157</v>
      </c>
      <c r="F298" s="217" t="s">
        <v>156</v>
      </c>
      <c r="G298" s="217" t="s">
        <v>346</v>
      </c>
      <c r="H298" s="217" t="s">
        <v>1033</v>
      </c>
      <c r="I298" s="217" t="s">
        <v>29</v>
      </c>
      <c r="J298" s="217" t="s">
        <v>1855</v>
      </c>
      <c r="K298" s="217">
        <v>30</v>
      </c>
      <c r="L298" s="217">
        <v>150</v>
      </c>
      <c r="M298" s="217" t="s">
        <v>31</v>
      </c>
      <c r="N298" s="217" t="s">
        <v>32</v>
      </c>
      <c r="O298" s="217" t="s">
        <v>68</v>
      </c>
      <c r="P298" s="217" t="s">
        <v>34</v>
      </c>
      <c r="Q298" s="217" t="s">
        <v>35</v>
      </c>
      <c r="R298" s="217" t="s">
        <v>23</v>
      </c>
      <c r="S298" s="217" t="s">
        <v>22</v>
      </c>
      <c r="T298" s="217" t="s">
        <v>84</v>
      </c>
      <c r="U298" s="217" t="s">
        <v>85</v>
      </c>
      <c r="V298" s="217" t="s">
        <v>91</v>
      </c>
      <c r="W298" s="217" t="s">
        <v>92</v>
      </c>
    </row>
    <row r="299" spans="1:23" x14ac:dyDescent="0.25">
      <c r="A299" s="217" t="s">
        <v>22</v>
      </c>
      <c r="B299" s="217" t="s">
        <v>23</v>
      </c>
      <c r="C299" s="217" t="s">
        <v>85</v>
      </c>
      <c r="D299" s="217" t="s">
        <v>84</v>
      </c>
      <c r="E299" s="217" t="s">
        <v>157</v>
      </c>
      <c r="F299" s="217" t="s">
        <v>156</v>
      </c>
      <c r="G299" s="217" t="s">
        <v>346</v>
      </c>
      <c r="H299" s="217" t="s">
        <v>1033</v>
      </c>
      <c r="I299" s="217" t="s">
        <v>29</v>
      </c>
      <c r="J299" s="217" t="s">
        <v>1858</v>
      </c>
      <c r="K299" s="217">
        <v>24</v>
      </c>
      <c r="L299" s="217">
        <v>204</v>
      </c>
      <c r="M299" s="217" t="s">
        <v>31</v>
      </c>
      <c r="N299" s="217" t="s">
        <v>32</v>
      </c>
      <c r="O299" s="217" t="s">
        <v>68</v>
      </c>
      <c r="P299" s="217" t="s">
        <v>34</v>
      </c>
      <c r="Q299" s="217" t="s">
        <v>35</v>
      </c>
      <c r="R299" s="217" t="s">
        <v>23</v>
      </c>
      <c r="S299" s="217" t="s">
        <v>22</v>
      </c>
      <c r="T299" s="217" t="s">
        <v>84</v>
      </c>
      <c r="U299" s="217" t="s">
        <v>85</v>
      </c>
      <c r="V299" s="217" t="s">
        <v>97</v>
      </c>
      <c r="W299" s="217" t="s">
        <v>98</v>
      </c>
    </row>
    <row r="300" spans="1:23" x14ac:dyDescent="0.25">
      <c r="A300" s="217" t="s">
        <v>22</v>
      </c>
      <c r="B300" s="217" t="s">
        <v>23</v>
      </c>
      <c r="C300" s="217" t="s">
        <v>85</v>
      </c>
      <c r="D300" s="217" t="s">
        <v>84</v>
      </c>
      <c r="E300" s="217" t="s">
        <v>157</v>
      </c>
      <c r="F300" s="217" t="s">
        <v>156</v>
      </c>
      <c r="G300" s="217" t="s">
        <v>347</v>
      </c>
      <c r="H300" s="217" t="s">
        <v>1034</v>
      </c>
      <c r="I300" s="217" t="s">
        <v>29</v>
      </c>
      <c r="J300" s="217" t="s">
        <v>1855</v>
      </c>
      <c r="K300" s="217">
        <v>70</v>
      </c>
      <c r="L300" s="217">
        <v>350</v>
      </c>
      <c r="M300" s="217" t="s">
        <v>31</v>
      </c>
      <c r="N300" s="217" t="s">
        <v>32</v>
      </c>
      <c r="O300" s="217" t="s">
        <v>68</v>
      </c>
      <c r="P300" s="217" t="s">
        <v>34</v>
      </c>
      <c r="Q300" s="217" t="s">
        <v>35</v>
      </c>
      <c r="R300" s="217" t="s">
        <v>23</v>
      </c>
      <c r="S300" s="217" t="s">
        <v>22</v>
      </c>
      <c r="T300" s="217" t="s">
        <v>84</v>
      </c>
      <c r="U300" s="217" t="s">
        <v>85</v>
      </c>
      <c r="V300" s="217" t="s">
        <v>91</v>
      </c>
      <c r="W300" s="217" t="s">
        <v>92</v>
      </c>
    </row>
    <row r="301" spans="1:23" x14ac:dyDescent="0.25">
      <c r="A301" s="217" t="s">
        <v>22</v>
      </c>
      <c r="B301" s="217" t="s">
        <v>23</v>
      </c>
      <c r="C301" s="217" t="s">
        <v>85</v>
      </c>
      <c r="D301" s="217" t="s">
        <v>84</v>
      </c>
      <c r="E301" s="217" t="s">
        <v>157</v>
      </c>
      <c r="F301" s="217" t="s">
        <v>156</v>
      </c>
      <c r="G301" s="217" t="s">
        <v>347</v>
      </c>
      <c r="H301" s="217" t="s">
        <v>1034</v>
      </c>
      <c r="I301" s="217" t="s">
        <v>29</v>
      </c>
      <c r="J301" s="217" t="s">
        <v>1856</v>
      </c>
      <c r="K301" s="217">
        <v>30</v>
      </c>
      <c r="L301" s="217">
        <v>150</v>
      </c>
      <c r="M301" s="217" t="s">
        <v>31</v>
      </c>
      <c r="N301" s="217" t="s">
        <v>32</v>
      </c>
      <c r="O301" s="217" t="s">
        <v>68</v>
      </c>
      <c r="P301" s="217" t="s">
        <v>34</v>
      </c>
      <c r="Q301" s="217" t="s">
        <v>35</v>
      </c>
      <c r="R301" s="217" t="s">
        <v>23</v>
      </c>
      <c r="S301" s="217" t="s">
        <v>22</v>
      </c>
      <c r="T301" s="217" t="s">
        <v>84</v>
      </c>
      <c r="U301" s="217" t="s">
        <v>85</v>
      </c>
      <c r="V301" s="217" t="s">
        <v>97</v>
      </c>
      <c r="W301" s="217" t="s">
        <v>98</v>
      </c>
    </row>
    <row r="302" spans="1:23" x14ac:dyDescent="0.25">
      <c r="A302" s="217" t="s">
        <v>22</v>
      </c>
      <c r="B302" s="217" t="s">
        <v>23</v>
      </c>
      <c r="C302" s="217" t="s">
        <v>85</v>
      </c>
      <c r="D302" s="217" t="s">
        <v>84</v>
      </c>
      <c r="E302" s="217" t="s">
        <v>157</v>
      </c>
      <c r="F302" s="217" t="s">
        <v>156</v>
      </c>
      <c r="G302" s="217" t="s">
        <v>348</v>
      </c>
      <c r="H302" s="217" t="s">
        <v>1035</v>
      </c>
      <c r="I302" s="217" t="s">
        <v>29</v>
      </c>
      <c r="J302" s="217" t="s">
        <v>1855</v>
      </c>
      <c r="K302" s="217">
        <v>183</v>
      </c>
      <c r="L302" s="217">
        <v>915</v>
      </c>
      <c r="M302" s="217" t="s">
        <v>31</v>
      </c>
      <c r="N302" s="217" t="s">
        <v>32</v>
      </c>
      <c r="O302" s="217" t="s">
        <v>68</v>
      </c>
      <c r="P302" s="217" t="s">
        <v>34</v>
      </c>
      <c r="Q302" s="217" t="s">
        <v>35</v>
      </c>
      <c r="R302" s="217" t="s">
        <v>23</v>
      </c>
      <c r="S302" s="217" t="s">
        <v>22</v>
      </c>
      <c r="T302" s="217" t="s">
        <v>84</v>
      </c>
      <c r="U302" s="217" t="s">
        <v>85</v>
      </c>
      <c r="V302" s="217" t="s">
        <v>97</v>
      </c>
      <c r="W302" s="217" t="s">
        <v>98</v>
      </c>
    </row>
    <row r="303" spans="1:23" x14ac:dyDescent="0.25">
      <c r="A303" s="217" t="s">
        <v>22</v>
      </c>
      <c r="B303" s="217" t="s">
        <v>23</v>
      </c>
      <c r="C303" s="217" t="s">
        <v>85</v>
      </c>
      <c r="D303" s="217" t="s">
        <v>84</v>
      </c>
      <c r="E303" s="217" t="s">
        <v>157</v>
      </c>
      <c r="F303" s="217" t="s">
        <v>156</v>
      </c>
      <c r="G303" s="217" t="s">
        <v>348</v>
      </c>
      <c r="H303" s="217" t="s">
        <v>1035</v>
      </c>
      <c r="I303" s="217" t="s">
        <v>29</v>
      </c>
      <c r="J303" s="217" t="s">
        <v>1856</v>
      </c>
      <c r="K303" s="217">
        <v>117</v>
      </c>
      <c r="L303" s="217">
        <v>585</v>
      </c>
      <c r="M303" s="217" t="s">
        <v>31</v>
      </c>
      <c r="N303" s="217" t="s">
        <v>32</v>
      </c>
      <c r="O303" s="217" t="s">
        <v>68</v>
      </c>
      <c r="P303" s="217" t="s">
        <v>34</v>
      </c>
      <c r="Q303" s="217" t="s">
        <v>35</v>
      </c>
      <c r="R303" s="217" t="s">
        <v>23</v>
      </c>
      <c r="S303" s="217" t="s">
        <v>22</v>
      </c>
      <c r="T303" s="217" t="s">
        <v>84</v>
      </c>
      <c r="U303" s="217" t="s">
        <v>85</v>
      </c>
      <c r="V303" s="217" t="s">
        <v>97</v>
      </c>
      <c r="W303" s="217" t="s">
        <v>98</v>
      </c>
    </row>
    <row r="304" spans="1:23" x14ac:dyDescent="0.25">
      <c r="A304" s="217" t="s">
        <v>22</v>
      </c>
      <c r="B304" s="217" t="s">
        <v>23</v>
      </c>
      <c r="C304" s="217" t="s">
        <v>85</v>
      </c>
      <c r="D304" s="217" t="s">
        <v>84</v>
      </c>
      <c r="E304" s="217" t="s">
        <v>157</v>
      </c>
      <c r="F304" s="217" t="s">
        <v>156</v>
      </c>
      <c r="G304" s="217" t="s">
        <v>348</v>
      </c>
      <c r="H304" s="217" t="s">
        <v>1035</v>
      </c>
      <c r="I304" s="217" t="s">
        <v>29</v>
      </c>
      <c r="J304" s="217" t="s">
        <v>1857</v>
      </c>
      <c r="K304" s="217">
        <v>8</v>
      </c>
      <c r="L304" s="217">
        <v>68</v>
      </c>
      <c r="M304" s="217" t="s">
        <v>31</v>
      </c>
      <c r="N304" s="217" t="s">
        <v>32</v>
      </c>
      <c r="O304" s="217" t="s">
        <v>68</v>
      </c>
      <c r="P304" s="217" t="s">
        <v>34</v>
      </c>
      <c r="Q304" s="217" t="s">
        <v>35</v>
      </c>
      <c r="R304" s="217" t="s">
        <v>23</v>
      </c>
      <c r="S304" s="217" t="s">
        <v>22</v>
      </c>
      <c r="T304" s="217" t="s">
        <v>84</v>
      </c>
      <c r="U304" s="217" t="s">
        <v>85</v>
      </c>
      <c r="V304" s="217" t="s">
        <v>97</v>
      </c>
      <c r="W304" s="217" t="s">
        <v>98</v>
      </c>
    </row>
    <row r="305" spans="1:23" x14ac:dyDescent="0.25">
      <c r="A305" s="217" t="s">
        <v>22</v>
      </c>
      <c r="B305" s="217" t="s">
        <v>23</v>
      </c>
      <c r="C305" s="217" t="s">
        <v>85</v>
      </c>
      <c r="D305" s="217" t="s">
        <v>84</v>
      </c>
      <c r="E305" s="217" t="s">
        <v>157</v>
      </c>
      <c r="F305" s="217" t="s">
        <v>156</v>
      </c>
      <c r="G305" s="217" t="s">
        <v>348</v>
      </c>
      <c r="H305" s="217" t="s">
        <v>1035</v>
      </c>
      <c r="I305" s="217" t="s">
        <v>29</v>
      </c>
      <c r="J305" s="217" t="s">
        <v>1858</v>
      </c>
      <c r="K305" s="217">
        <v>8</v>
      </c>
      <c r="L305" s="217">
        <v>70</v>
      </c>
      <c r="M305" s="217" t="s">
        <v>637</v>
      </c>
      <c r="N305" s="217" t="s">
        <v>2136</v>
      </c>
      <c r="O305" s="217" t="s">
        <v>68</v>
      </c>
      <c r="P305" s="217" t="s">
        <v>34</v>
      </c>
      <c r="Q305" s="217" t="s">
        <v>35</v>
      </c>
      <c r="R305" s="217" t="s">
        <v>23</v>
      </c>
      <c r="S305" s="217" t="s">
        <v>22</v>
      </c>
      <c r="T305" s="217" t="s">
        <v>84</v>
      </c>
      <c r="U305" s="217" t="s">
        <v>85</v>
      </c>
      <c r="V305" s="217" t="s">
        <v>97</v>
      </c>
      <c r="W305" s="217" t="s">
        <v>98</v>
      </c>
    </row>
    <row r="306" spans="1:23" x14ac:dyDescent="0.25">
      <c r="A306" s="217" t="s">
        <v>22</v>
      </c>
      <c r="B306" s="217" t="s">
        <v>23</v>
      </c>
      <c r="C306" s="217" t="s">
        <v>85</v>
      </c>
      <c r="D306" s="217" t="s">
        <v>84</v>
      </c>
      <c r="E306" s="217" t="s">
        <v>157</v>
      </c>
      <c r="F306" s="217" t="s">
        <v>156</v>
      </c>
      <c r="G306" s="217" t="s">
        <v>349</v>
      </c>
      <c r="H306" s="217" t="s">
        <v>1036</v>
      </c>
      <c r="I306" s="217" t="s">
        <v>29</v>
      </c>
      <c r="J306" s="217" t="s">
        <v>1855</v>
      </c>
      <c r="K306" s="217">
        <v>7</v>
      </c>
      <c r="L306" s="217">
        <v>35</v>
      </c>
      <c r="M306" s="217" t="s">
        <v>31</v>
      </c>
      <c r="N306" s="217" t="s">
        <v>32</v>
      </c>
      <c r="O306" s="217" t="s">
        <v>68</v>
      </c>
      <c r="P306" s="217" t="s">
        <v>34</v>
      </c>
      <c r="Q306" s="217" t="s">
        <v>35</v>
      </c>
      <c r="R306" s="217" t="s">
        <v>23</v>
      </c>
      <c r="S306" s="217" t="s">
        <v>22</v>
      </c>
      <c r="T306" s="217" t="s">
        <v>84</v>
      </c>
      <c r="U306" s="217" t="s">
        <v>85</v>
      </c>
      <c r="V306" s="217" t="s">
        <v>91</v>
      </c>
      <c r="W306" s="217" t="s">
        <v>92</v>
      </c>
    </row>
    <row r="307" spans="1:23" x14ac:dyDescent="0.25">
      <c r="A307" s="217" t="s">
        <v>22</v>
      </c>
      <c r="B307" s="217" t="s">
        <v>23</v>
      </c>
      <c r="C307" s="217" t="s">
        <v>85</v>
      </c>
      <c r="D307" s="217" t="s">
        <v>84</v>
      </c>
      <c r="E307" s="217" t="s">
        <v>157</v>
      </c>
      <c r="F307" s="217" t="s">
        <v>156</v>
      </c>
      <c r="G307" s="217" t="s">
        <v>349</v>
      </c>
      <c r="H307" s="217" t="s">
        <v>1036</v>
      </c>
      <c r="I307" s="217" t="s">
        <v>29</v>
      </c>
      <c r="J307" s="217" t="s">
        <v>1856</v>
      </c>
      <c r="K307" s="217">
        <v>14</v>
      </c>
      <c r="L307" s="217">
        <v>70</v>
      </c>
      <c r="M307" s="217" t="s">
        <v>31</v>
      </c>
      <c r="N307" s="217" t="s">
        <v>32</v>
      </c>
      <c r="O307" s="217" t="s">
        <v>68</v>
      </c>
      <c r="P307" s="217" t="s">
        <v>34</v>
      </c>
      <c r="Q307" s="217" t="s">
        <v>35</v>
      </c>
      <c r="R307" s="217" t="s">
        <v>23</v>
      </c>
      <c r="S307" s="217" t="s">
        <v>22</v>
      </c>
      <c r="T307" s="217" t="s">
        <v>84</v>
      </c>
      <c r="U307" s="217" t="s">
        <v>85</v>
      </c>
      <c r="V307" s="217" t="s">
        <v>91</v>
      </c>
      <c r="W307" s="217" t="s">
        <v>92</v>
      </c>
    </row>
    <row r="308" spans="1:23" x14ac:dyDescent="0.25">
      <c r="A308" s="217" t="s">
        <v>22</v>
      </c>
      <c r="B308" s="217" t="s">
        <v>23</v>
      </c>
      <c r="C308" s="217" t="s">
        <v>85</v>
      </c>
      <c r="D308" s="217" t="s">
        <v>84</v>
      </c>
      <c r="E308" s="217" t="s">
        <v>157</v>
      </c>
      <c r="F308" s="217" t="s">
        <v>156</v>
      </c>
      <c r="G308" s="217" t="s">
        <v>350</v>
      </c>
      <c r="H308" s="217" t="s">
        <v>1037</v>
      </c>
      <c r="I308" s="217" t="s">
        <v>29</v>
      </c>
      <c r="J308" s="217" t="s">
        <v>1856</v>
      </c>
      <c r="K308" s="217">
        <v>10</v>
      </c>
      <c r="L308" s="217">
        <v>35</v>
      </c>
      <c r="M308" s="217" t="s">
        <v>31</v>
      </c>
      <c r="N308" s="217" t="s">
        <v>32</v>
      </c>
      <c r="O308" s="217" t="s">
        <v>68</v>
      </c>
      <c r="P308" s="217" t="s">
        <v>34</v>
      </c>
      <c r="Q308" s="217" t="s">
        <v>35</v>
      </c>
      <c r="R308" s="217" t="s">
        <v>23</v>
      </c>
      <c r="S308" s="217" t="s">
        <v>22</v>
      </c>
      <c r="T308" s="217" t="s">
        <v>84</v>
      </c>
      <c r="U308" s="217" t="s">
        <v>85</v>
      </c>
      <c r="V308" s="217" t="s">
        <v>91</v>
      </c>
      <c r="W308" s="217" t="s">
        <v>92</v>
      </c>
    </row>
    <row r="309" spans="1:23" x14ac:dyDescent="0.25">
      <c r="A309" s="217" t="s">
        <v>22</v>
      </c>
      <c r="B309" s="217" t="s">
        <v>23</v>
      </c>
      <c r="C309" s="217" t="s">
        <v>85</v>
      </c>
      <c r="D309" s="217" t="s">
        <v>84</v>
      </c>
      <c r="E309" s="217" t="s">
        <v>157</v>
      </c>
      <c r="F309" s="217" t="s">
        <v>156</v>
      </c>
      <c r="G309" s="217" t="s">
        <v>351</v>
      </c>
      <c r="H309" s="217" t="s">
        <v>1038</v>
      </c>
      <c r="I309" s="217" t="s">
        <v>29</v>
      </c>
      <c r="J309" s="217" t="s">
        <v>1855</v>
      </c>
      <c r="K309" s="217">
        <v>40</v>
      </c>
      <c r="L309" s="217">
        <v>200</v>
      </c>
      <c r="M309" s="217" t="s">
        <v>31</v>
      </c>
      <c r="N309" s="217" t="s">
        <v>32</v>
      </c>
      <c r="O309" s="217" t="s">
        <v>68</v>
      </c>
      <c r="P309" s="217" t="s">
        <v>34</v>
      </c>
      <c r="Q309" s="217" t="s">
        <v>35</v>
      </c>
      <c r="R309" s="217" t="s">
        <v>23</v>
      </c>
      <c r="S309" s="217" t="s">
        <v>22</v>
      </c>
      <c r="T309" s="217" t="s">
        <v>84</v>
      </c>
      <c r="U309" s="217" t="s">
        <v>85</v>
      </c>
      <c r="V309" s="217" t="s">
        <v>91</v>
      </c>
      <c r="W309" s="217" t="s">
        <v>92</v>
      </c>
    </row>
    <row r="310" spans="1:23" x14ac:dyDescent="0.25">
      <c r="A310" s="217" t="s">
        <v>22</v>
      </c>
      <c r="B310" s="217" t="s">
        <v>23</v>
      </c>
      <c r="C310" s="217" t="s">
        <v>85</v>
      </c>
      <c r="D310" s="217" t="s">
        <v>84</v>
      </c>
      <c r="E310" s="217" t="s">
        <v>157</v>
      </c>
      <c r="F310" s="217" t="s">
        <v>156</v>
      </c>
      <c r="G310" s="217" t="s">
        <v>351</v>
      </c>
      <c r="H310" s="217" t="s">
        <v>1038</v>
      </c>
      <c r="I310" s="217" t="s">
        <v>29</v>
      </c>
      <c r="J310" s="217" t="s">
        <v>1856</v>
      </c>
      <c r="K310" s="217">
        <v>80</v>
      </c>
      <c r="L310" s="217">
        <v>400</v>
      </c>
      <c r="M310" s="217" t="s">
        <v>31</v>
      </c>
      <c r="N310" s="217" t="s">
        <v>32</v>
      </c>
      <c r="O310" s="217" t="s">
        <v>68</v>
      </c>
      <c r="P310" s="217" t="s">
        <v>34</v>
      </c>
      <c r="Q310" s="217" t="s">
        <v>35</v>
      </c>
      <c r="R310" s="217" t="s">
        <v>23</v>
      </c>
      <c r="S310" s="217" t="s">
        <v>22</v>
      </c>
      <c r="T310" s="217" t="s">
        <v>84</v>
      </c>
      <c r="U310" s="217" t="s">
        <v>85</v>
      </c>
      <c r="V310" s="217" t="s">
        <v>91</v>
      </c>
      <c r="W310" s="217" t="s">
        <v>92</v>
      </c>
    </row>
    <row r="311" spans="1:23" x14ac:dyDescent="0.25">
      <c r="A311" s="217" t="s">
        <v>22</v>
      </c>
      <c r="B311" s="217" t="s">
        <v>23</v>
      </c>
      <c r="C311" s="217" t="s">
        <v>85</v>
      </c>
      <c r="D311" s="217" t="s">
        <v>84</v>
      </c>
      <c r="E311" s="217" t="s">
        <v>157</v>
      </c>
      <c r="F311" s="217" t="s">
        <v>156</v>
      </c>
      <c r="G311" s="217" t="s">
        <v>351</v>
      </c>
      <c r="H311" s="217" t="s">
        <v>1038</v>
      </c>
      <c r="I311" s="217" t="s">
        <v>29</v>
      </c>
      <c r="J311" s="217" t="s">
        <v>1857</v>
      </c>
      <c r="K311" s="217">
        <v>8</v>
      </c>
      <c r="L311" s="217">
        <v>53</v>
      </c>
      <c r="M311" s="217" t="s">
        <v>31</v>
      </c>
      <c r="N311" s="217" t="s">
        <v>32</v>
      </c>
      <c r="O311" s="217" t="s">
        <v>68</v>
      </c>
      <c r="P311" s="217" t="s">
        <v>34</v>
      </c>
      <c r="Q311" s="217" t="s">
        <v>35</v>
      </c>
      <c r="R311" s="217" t="s">
        <v>23</v>
      </c>
      <c r="S311" s="217" t="s">
        <v>22</v>
      </c>
      <c r="T311" s="217" t="s">
        <v>84</v>
      </c>
      <c r="U311" s="217" t="s">
        <v>85</v>
      </c>
      <c r="V311" s="217" t="s">
        <v>97</v>
      </c>
      <c r="W311" s="217" t="s">
        <v>98</v>
      </c>
    </row>
    <row r="312" spans="1:23" x14ac:dyDescent="0.25">
      <c r="A312" s="217" t="s">
        <v>22</v>
      </c>
      <c r="B312" s="217" t="s">
        <v>23</v>
      </c>
      <c r="C312" s="217" t="s">
        <v>85</v>
      </c>
      <c r="D312" s="217" t="s">
        <v>84</v>
      </c>
      <c r="E312" s="217" t="s">
        <v>157</v>
      </c>
      <c r="F312" s="217" t="s">
        <v>156</v>
      </c>
      <c r="G312" s="217" t="s">
        <v>351</v>
      </c>
      <c r="H312" s="217" t="s">
        <v>1038</v>
      </c>
      <c r="I312" s="217" t="s">
        <v>29</v>
      </c>
      <c r="J312" s="217" t="s">
        <v>1858</v>
      </c>
      <c r="K312" s="217">
        <v>7</v>
      </c>
      <c r="L312" s="217">
        <v>55</v>
      </c>
      <c r="M312" s="217" t="s">
        <v>31</v>
      </c>
      <c r="N312" s="217" t="s">
        <v>32</v>
      </c>
      <c r="O312" s="217" t="s">
        <v>68</v>
      </c>
      <c r="P312" s="217" t="s">
        <v>34</v>
      </c>
      <c r="Q312" s="217" t="s">
        <v>35</v>
      </c>
      <c r="R312" s="217" t="s">
        <v>23</v>
      </c>
      <c r="S312" s="217" t="s">
        <v>22</v>
      </c>
      <c r="T312" s="217" t="s">
        <v>84</v>
      </c>
      <c r="U312" s="217" t="s">
        <v>85</v>
      </c>
      <c r="V312" s="217" t="s">
        <v>97</v>
      </c>
      <c r="W312" s="217" t="s">
        <v>98</v>
      </c>
    </row>
    <row r="313" spans="1:23" x14ac:dyDescent="0.25">
      <c r="A313" s="217" t="s">
        <v>22</v>
      </c>
      <c r="B313" s="217" t="s">
        <v>23</v>
      </c>
      <c r="C313" s="217" t="s">
        <v>85</v>
      </c>
      <c r="D313" s="217" t="s">
        <v>84</v>
      </c>
      <c r="E313" s="217" t="s">
        <v>157</v>
      </c>
      <c r="F313" s="217" t="s">
        <v>156</v>
      </c>
      <c r="G313" s="217" t="s">
        <v>352</v>
      </c>
      <c r="H313" s="217" t="s">
        <v>1039</v>
      </c>
      <c r="I313" s="217" t="s">
        <v>29</v>
      </c>
      <c r="J313" s="217" t="s">
        <v>1855</v>
      </c>
      <c r="K313" s="217">
        <v>4</v>
      </c>
      <c r="L313" s="217">
        <v>25</v>
      </c>
      <c r="M313" s="217" t="s">
        <v>31</v>
      </c>
      <c r="N313" s="217" t="s">
        <v>32</v>
      </c>
      <c r="O313" s="217" t="s">
        <v>68</v>
      </c>
      <c r="P313" s="217" t="s">
        <v>34</v>
      </c>
      <c r="Q313" s="217" t="s">
        <v>35</v>
      </c>
      <c r="R313" s="217" t="s">
        <v>23</v>
      </c>
      <c r="S313" s="217" t="s">
        <v>22</v>
      </c>
      <c r="T313" s="217" t="s">
        <v>84</v>
      </c>
      <c r="U313" s="217" t="s">
        <v>85</v>
      </c>
      <c r="V313" s="217" t="s">
        <v>150</v>
      </c>
      <c r="W313" s="217" t="s">
        <v>151</v>
      </c>
    </row>
    <row r="314" spans="1:23" x14ac:dyDescent="0.25">
      <c r="A314" s="217" t="s">
        <v>22</v>
      </c>
      <c r="B314" s="217" t="s">
        <v>23</v>
      </c>
      <c r="C314" s="217" t="s">
        <v>85</v>
      </c>
      <c r="D314" s="217" t="s">
        <v>84</v>
      </c>
      <c r="E314" s="217" t="s">
        <v>157</v>
      </c>
      <c r="F314" s="217" t="s">
        <v>156</v>
      </c>
      <c r="G314" s="217" t="s">
        <v>352</v>
      </c>
      <c r="H314" s="217" t="s">
        <v>1039</v>
      </c>
      <c r="I314" s="217" t="s">
        <v>29</v>
      </c>
      <c r="J314" s="217" t="s">
        <v>1856</v>
      </c>
      <c r="K314" s="217">
        <v>6</v>
      </c>
      <c r="L314" s="217">
        <v>30</v>
      </c>
      <c r="M314" s="217" t="s">
        <v>31</v>
      </c>
      <c r="N314" s="217" t="s">
        <v>32</v>
      </c>
      <c r="O314" s="217" t="s">
        <v>68</v>
      </c>
      <c r="P314" s="217" t="s">
        <v>34</v>
      </c>
      <c r="Q314" s="217" t="s">
        <v>35</v>
      </c>
      <c r="R314" s="217" t="s">
        <v>23</v>
      </c>
      <c r="S314" s="217" t="s">
        <v>22</v>
      </c>
      <c r="T314" s="217" t="s">
        <v>84</v>
      </c>
      <c r="U314" s="217" t="s">
        <v>85</v>
      </c>
      <c r="V314" s="217" t="s">
        <v>150</v>
      </c>
      <c r="W314" s="217" t="s">
        <v>151</v>
      </c>
    </row>
    <row r="315" spans="1:23" x14ac:dyDescent="0.25">
      <c r="A315" s="217" t="s">
        <v>22</v>
      </c>
      <c r="B315" s="217" t="s">
        <v>23</v>
      </c>
      <c r="C315" s="217" t="s">
        <v>85</v>
      </c>
      <c r="D315" s="217" t="s">
        <v>84</v>
      </c>
      <c r="E315" s="217" t="s">
        <v>157</v>
      </c>
      <c r="F315" s="217" t="s">
        <v>156</v>
      </c>
      <c r="G315" s="217" t="s">
        <v>352</v>
      </c>
      <c r="H315" s="217" t="s">
        <v>1039</v>
      </c>
      <c r="I315" s="217" t="s">
        <v>29</v>
      </c>
      <c r="J315" s="217" t="s">
        <v>1857</v>
      </c>
      <c r="K315" s="217">
        <v>4</v>
      </c>
      <c r="L315" s="217">
        <v>34</v>
      </c>
      <c r="M315" s="217" t="s">
        <v>31</v>
      </c>
      <c r="N315" s="217" t="s">
        <v>32</v>
      </c>
      <c r="O315" s="217" t="s">
        <v>68</v>
      </c>
      <c r="P315" s="217" t="s">
        <v>34</v>
      </c>
      <c r="Q315" s="217" t="s">
        <v>35</v>
      </c>
      <c r="R315" s="217" t="s">
        <v>23</v>
      </c>
      <c r="S315" s="217" t="s">
        <v>22</v>
      </c>
      <c r="T315" s="217" t="s">
        <v>84</v>
      </c>
      <c r="U315" s="217" t="s">
        <v>85</v>
      </c>
      <c r="V315" s="217" t="s">
        <v>150</v>
      </c>
      <c r="W315" s="217" t="s">
        <v>151</v>
      </c>
    </row>
    <row r="316" spans="1:23" x14ac:dyDescent="0.25">
      <c r="A316" s="217" t="s">
        <v>22</v>
      </c>
      <c r="B316" s="217" t="s">
        <v>23</v>
      </c>
      <c r="C316" s="217" t="s">
        <v>85</v>
      </c>
      <c r="D316" s="217" t="s">
        <v>84</v>
      </c>
      <c r="E316" s="217" t="s">
        <v>157</v>
      </c>
      <c r="F316" s="217" t="s">
        <v>156</v>
      </c>
      <c r="G316" s="217" t="s">
        <v>352</v>
      </c>
      <c r="H316" s="217" t="s">
        <v>1039</v>
      </c>
      <c r="I316" s="217" t="s">
        <v>29</v>
      </c>
      <c r="J316" s="217" t="s">
        <v>1858</v>
      </c>
      <c r="K316" s="217">
        <v>11</v>
      </c>
      <c r="L316" s="217">
        <v>52</v>
      </c>
      <c r="M316" s="217" t="s">
        <v>31</v>
      </c>
      <c r="N316" s="217" t="s">
        <v>32</v>
      </c>
      <c r="O316" s="217" t="s">
        <v>68</v>
      </c>
      <c r="P316" s="217" t="s">
        <v>34</v>
      </c>
      <c r="Q316" s="217" t="s">
        <v>35</v>
      </c>
      <c r="R316" s="217" t="s">
        <v>23</v>
      </c>
      <c r="S316" s="217" t="s">
        <v>22</v>
      </c>
      <c r="T316" s="217" t="s">
        <v>84</v>
      </c>
      <c r="U316" s="217" t="s">
        <v>85</v>
      </c>
      <c r="V316" s="217" t="s">
        <v>150</v>
      </c>
      <c r="W316" s="217" t="s">
        <v>151</v>
      </c>
    </row>
    <row r="317" spans="1:23" x14ac:dyDescent="0.25">
      <c r="A317" s="217" t="s">
        <v>22</v>
      </c>
      <c r="B317" s="217" t="s">
        <v>23</v>
      </c>
      <c r="C317" s="217" t="s">
        <v>85</v>
      </c>
      <c r="D317" s="217" t="s">
        <v>84</v>
      </c>
      <c r="E317" s="217" t="s">
        <v>157</v>
      </c>
      <c r="F317" s="217" t="s">
        <v>156</v>
      </c>
      <c r="G317" s="217" t="s">
        <v>353</v>
      </c>
      <c r="H317" s="217" t="s">
        <v>1040</v>
      </c>
      <c r="I317" s="217" t="s">
        <v>29</v>
      </c>
      <c r="J317" s="217" t="s">
        <v>1855</v>
      </c>
      <c r="K317" s="217">
        <v>2</v>
      </c>
      <c r="L317" s="217">
        <v>12</v>
      </c>
      <c r="M317" s="217" t="s">
        <v>31</v>
      </c>
      <c r="N317" s="217" t="s">
        <v>32</v>
      </c>
      <c r="O317" s="217" t="s">
        <v>68</v>
      </c>
      <c r="P317" s="217" t="s">
        <v>34</v>
      </c>
      <c r="Q317" s="217" t="s">
        <v>35</v>
      </c>
      <c r="R317" s="217" t="s">
        <v>23</v>
      </c>
      <c r="S317" s="217" t="s">
        <v>22</v>
      </c>
      <c r="T317" s="217" t="s">
        <v>84</v>
      </c>
      <c r="U317" s="217" t="s">
        <v>85</v>
      </c>
      <c r="V317" s="217" t="s">
        <v>97</v>
      </c>
      <c r="W317" s="217" t="s">
        <v>98</v>
      </c>
    </row>
    <row r="318" spans="1:23" x14ac:dyDescent="0.25">
      <c r="A318" s="217" t="s">
        <v>22</v>
      </c>
      <c r="B318" s="217" t="s">
        <v>23</v>
      </c>
      <c r="C318" s="217" t="s">
        <v>85</v>
      </c>
      <c r="D318" s="217" t="s">
        <v>84</v>
      </c>
      <c r="E318" s="217" t="s">
        <v>157</v>
      </c>
      <c r="F318" s="217" t="s">
        <v>156</v>
      </c>
      <c r="G318" s="217" t="s">
        <v>353</v>
      </c>
      <c r="H318" s="217" t="s">
        <v>1040</v>
      </c>
      <c r="I318" s="217" t="s">
        <v>29</v>
      </c>
      <c r="J318" s="217" t="s">
        <v>1856</v>
      </c>
      <c r="K318" s="217">
        <v>8</v>
      </c>
      <c r="L318" s="217">
        <v>61</v>
      </c>
      <c r="M318" s="217" t="s">
        <v>31</v>
      </c>
      <c r="N318" s="217" t="s">
        <v>32</v>
      </c>
      <c r="O318" s="217" t="s">
        <v>68</v>
      </c>
      <c r="P318" s="217" t="s">
        <v>34</v>
      </c>
      <c r="Q318" s="217" t="s">
        <v>35</v>
      </c>
      <c r="R318" s="217" t="s">
        <v>23</v>
      </c>
      <c r="S318" s="217" t="s">
        <v>22</v>
      </c>
      <c r="T318" s="217" t="s">
        <v>84</v>
      </c>
      <c r="U318" s="217" t="s">
        <v>85</v>
      </c>
      <c r="V318" s="217" t="s">
        <v>97</v>
      </c>
      <c r="W318" s="217" t="s">
        <v>98</v>
      </c>
    </row>
    <row r="319" spans="1:23" x14ac:dyDescent="0.25">
      <c r="A319" s="217" t="s">
        <v>22</v>
      </c>
      <c r="B319" s="217" t="s">
        <v>23</v>
      </c>
      <c r="C319" s="217" t="s">
        <v>85</v>
      </c>
      <c r="D319" s="217" t="s">
        <v>84</v>
      </c>
      <c r="E319" s="217" t="s">
        <v>157</v>
      </c>
      <c r="F319" s="217" t="s">
        <v>156</v>
      </c>
      <c r="G319" s="217" t="s">
        <v>353</v>
      </c>
      <c r="H319" s="217" t="s">
        <v>1040</v>
      </c>
      <c r="I319" s="217" t="s">
        <v>29</v>
      </c>
      <c r="J319" s="217" t="s">
        <v>1857</v>
      </c>
      <c r="K319" s="217">
        <v>2</v>
      </c>
      <c r="L319" s="217">
        <v>9</v>
      </c>
      <c r="M319" s="217" t="s">
        <v>31</v>
      </c>
      <c r="N319" s="217" t="s">
        <v>32</v>
      </c>
      <c r="O319" s="217" t="s">
        <v>68</v>
      </c>
      <c r="P319" s="217" t="s">
        <v>34</v>
      </c>
      <c r="Q319" s="217" t="s">
        <v>35</v>
      </c>
      <c r="R319" s="217" t="s">
        <v>23</v>
      </c>
      <c r="S319" s="217" t="s">
        <v>22</v>
      </c>
      <c r="T319" s="217" t="s">
        <v>84</v>
      </c>
      <c r="U319" s="217" t="s">
        <v>85</v>
      </c>
      <c r="V319" s="217" t="s">
        <v>97</v>
      </c>
      <c r="W319" s="217" t="s">
        <v>98</v>
      </c>
    </row>
    <row r="320" spans="1:23" x14ac:dyDescent="0.25">
      <c r="A320" s="217" t="s">
        <v>22</v>
      </c>
      <c r="B320" s="217" t="s">
        <v>23</v>
      </c>
      <c r="C320" s="217" t="s">
        <v>85</v>
      </c>
      <c r="D320" s="217" t="s">
        <v>84</v>
      </c>
      <c r="E320" s="217" t="s">
        <v>157</v>
      </c>
      <c r="F320" s="217" t="s">
        <v>156</v>
      </c>
      <c r="G320" s="217" t="s">
        <v>353</v>
      </c>
      <c r="H320" s="217" t="s">
        <v>1040</v>
      </c>
      <c r="I320" s="217" t="s">
        <v>29</v>
      </c>
      <c r="J320" s="217" t="s">
        <v>1858</v>
      </c>
      <c r="K320" s="217">
        <v>7</v>
      </c>
      <c r="L320" s="217">
        <v>38</v>
      </c>
      <c r="M320" s="217" t="s">
        <v>31</v>
      </c>
      <c r="N320" s="217" t="s">
        <v>32</v>
      </c>
      <c r="O320" s="217" t="s">
        <v>68</v>
      </c>
      <c r="P320" s="217" t="s">
        <v>34</v>
      </c>
      <c r="Q320" s="217" t="s">
        <v>35</v>
      </c>
      <c r="R320" s="217" t="s">
        <v>23</v>
      </c>
      <c r="S320" s="217" t="s">
        <v>22</v>
      </c>
      <c r="T320" s="217" t="s">
        <v>84</v>
      </c>
      <c r="U320" s="217" t="s">
        <v>85</v>
      </c>
      <c r="V320" s="217" t="s">
        <v>97</v>
      </c>
      <c r="W320" s="217" t="s">
        <v>98</v>
      </c>
    </row>
    <row r="321" spans="1:23" x14ac:dyDescent="0.25">
      <c r="A321" s="217" t="s">
        <v>22</v>
      </c>
      <c r="B321" s="217" t="s">
        <v>23</v>
      </c>
      <c r="C321" s="217" t="s">
        <v>85</v>
      </c>
      <c r="D321" s="217" t="s">
        <v>84</v>
      </c>
      <c r="E321" s="217" t="s">
        <v>157</v>
      </c>
      <c r="F321" s="217" t="s">
        <v>156</v>
      </c>
      <c r="G321" s="217" t="s">
        <v>354</v>
      </c>
      <c r="H321" s="217" t="s">
        <v>1041</v>
      </c>
      <c r="I321" s="217" t="s">
        <v>29</v>
      </c>
      <c r="J321" s="217" t="s">
        <v>1855</v>
      </c>
      <c r="K321" s="217">
        <v>4</v>
      </c>
      <c r="L321" s="217">
        <v>31</v>
      </c>
      <c r="M321" s="217" t="s">
        <v>31</v>
      </c>
      <c r="N321" s="217" t="s">
        <v>32</v>
      </c>
      <c r="O321" s="217" t="s">
        <v>68</v>
      </c>
      <c r="P321" s="217" t="s">
        <v>34</v>
      </c>
      <c r="Q321" s="217" t="s">
        <v>35</v>
      </c>
      <c r="R321" s="217" t="s">
        <v>23</v>
      </c>
      <c r="S321" s="217" t="s">
        <v>22</v>
      </c>
      <c r="T321" s="217" t="s">
        <v>84</v>
      </c>
      <c r="U321" s="217" t="s">
        <v>85</v>
      </c>
      <c r="V321" s="217" t="s">
        <v>150</v>
      </c>
      <c r="W321" s="217" t="s">
        <v>151</v>
      </c>
    </row>
    <row r="322" spans="1:23" x14ac:dyDescent="0.25">
      <c r="A322" s="217" t="s">
        <v>22</v>
      </c>
      <c r="B322" s="217" t="s">
        <v>23</v>
      </c>
      <c r="C322" s="217" t="s">
        <v>85</v>
      </c>
      <c r="D322" s="217" t="s">
        <v>84</v>
      </c>
      <c r="E322" s="217" t="s">
        <v>157</v>
      </c>
      <c r="F322" s="217" t="s">
        <v>156</v>
      </c>
      <c r="G322" s="217" t="s">
        <v>354</v>
      </c>
      <c r="H322" s="217" t="s">
        <v>1041</v>
      </c>
      <c r="I322" s="217" t="s">
        <v>29</v>
      </c>
      <c r="J322" s="217" t="s">
        <v>1856</v>
      </c>
      <c r="K322" s="217">
        <v>10</v>
      </c>
      <c r="L322" s="217">
        <v>55</v>
      </c>
      <c r="M322" s="217" t="s">
        <v>31</v>
      </c>
      <c r="N322" s="217" t="s">
        <v>32</v>
      </c>
      <c r="O322" s="217" t="s">
        <v>68</v>
      </c>
      <c r="P322" s="217" t="s">
        <v>34</v>
      </c>
      <c r="Q322" s="217" t="s">
        <v>35</v>
      </c>
      <c r="R322" s="217" t="s">
        <v>23</v>
      </c>
      <c r="S322" s="217" t="s">
        <v>22</v>
      </c>
      <c r="T322" s="217" t="s">
        <v>84</v>
      </c>
      <c r="U322" s="217" t="s">
        <v>85</v>
      </c>
      <c r="V322" s="217" t="s">
        <v>150</v>
      </c>
      <c r="W322" s="217" t="s">
        <v>151</v>
      </c>
    </row>
    <row r="323" spans="1:23" x14ac:dyDescent="0.25">
      <c r="A323" s="217" t="s">
        <v>22</v>
      </c>
      <c r="B323" s="217" t="s">
        <v>23</v>
      </c>
      <c r="C323" s="217" t="s">
        <v>85</v>
      </c>
      <c r="D323" s="217" t="s">
        <v>84</v>
      </c>
      <c r="E323" s="217" t="s">
        <v>157</v>
      </c>
      <c r="F323" s="217" t="s">
        <v>156</v>
      </c>
      <c r="G323" s="217" t="s">
        <v>354</v>
      </c>
      <c r="H323" s="217" t="s">
        <v>1041</v>
      </c>
      <c r="I323" s="217" t="s">
        <v>29</v>
      </c>
      <c r="J323" s="217" t="s">
        <v>1857</v>
      </c>
      <c r="K323" s="217">
        <v>5</v>
      </c>
      <c r="L323" s="217">
        <v>41</v>
      </c>
      <c r="M323" s="217" t="s">
        <v>31</v>
      </c>
      <c r="N323" s="217" t="s">
        <v>32</v>
      </c>
      <c r="O323" s="217" t="s">
        <v>68</v>
      </c>
      <c r="P323" s="217" t="s">
        <v>34</v>
      </c>
      <c r="Q323" s="217" t="s">
        <v>35</v>
      </c>
      <c r="R323" s="217" t="s">
        <v>23</v>
      </c>
      <c r="S323" s="217" t="s">
        <v>22</v>
      </c>
      <c r="T323" s="217" t="s">
        <v>84</v>
      </c>
      <c r="U323" s="217" t="s">
        <v>85</v>
      </c>
      <c r="V323" s="217" t="s">
        <v>150</v>
      </c>
      <c r="W323" s="217" t="s">
        <v>151</v>
      </c>
    </row>
    <row r="324" spans="1:23" x14ac:dyDescent="0.25">
      <c r="A324" s="217" t="s">
        <v>22</v>
      </c>
      <c r="B324" s="217" t="s">
        <v>23</v>
      </c>
      <c r="C324" s="217" t="s">
        <v>85</v>
      </c>
      <c r="D324" s="217" t="s">
        <v>84</v>
      </c>
      <c r="E324" s="217" t="s">
        <v>157</v>
      </c>
      <c r="F324" s="217" t="s">
        <v>156</v>
      </c>
      <c r="G324" s="217" t="s">
        <v>355</v>
      </c>
      <c r="H324" s="217" t="s">
        <v>1042</v>
      </c>
      <c r="I324" s="217" t="s">
        <v>29</v>
      </c>
      <c r="J324" s="217" t="s">
        <v>1856</v>
      </c>
      <c r="K324" s="217">
        <v>4</v>
      </c>
      <c r="L324" s="217">
        <v>22</v>
      </c>
      <c r="M324" s="217" t="s">
        <v>31</v>
      </c>
      <c r="N324" s="217" t="s">
        <v>32</v>
      </c>
      <c r="O324" s="217" t="s">
        <v>68</v>
      </c>
      <c r="P324" s="217" t="s">
        <v>34</v>
      </c>
      <c r="Q324" s="217" t="s">
        <v>35</v>
      </c>
      <c r="R324" s="217" t="s">
        <v>23</v>
      </c>
      <c r="S324" s="217" t="s">
        <v>22</v>
      </c>
      <c r="T324" s="217" t="s">
        <v>84</v>
      </c>
      <c r="U324" s="217" t="s">
        <v>85</v>
      </c>
      <c r="V324" s="217" t="s">
        <v>150</v>
      </c>
      <c r="W324" s="217" t="s">
        <v>151</v>
      </c>
    </row>
    <row r="325" spans="1:23" x14ac:dyDescent="0.25">
      <c r="A325" s="217" t="s">
        <v>22</v>
      </c>
      <c r="B325" s="217" t="s">
        <v>23</v>
      </c>
      <c r="C325" s="217" t="s">
        <v>85</v>
      </c>
      <c r="D325" s="217" t="s">
        <v>84</v>
      </c>
      <c r="E325" s="217" t="s">
        <v>157</v>
      </c>
      <c r="F325" s="217" t="s">
        <v>156</v>
      </c>
      <c r="G325" s="217" t="s">
        <v>355</v>
      </c>
      <c r="H325" s="217" t="s">
        <v>1042</v>
      </c>
      <c r="I325" s="217" t="s">
        <v>29</v>
      </c>
      <c r="J325" s="217" t="s">
        <v>1857</v>
      </c>
      <c r="K325" s="217">
        <v>2</v>
      </c>
      <c r="L325" s="217">
        <v>15</v>
      </c>
      <c r="M325" s="217" t="s">
        <v>31</v>
      </c>
      <c r="N325" s="217" t="s">
        <v>32</v>
      </c>
      <c r="O325" s="217" t="s">
        <v>68</v>
      </c>
      <c r="P325" s="217" t="s">
        <v>34</v>
      </c>
      <c r="Q325" s="217" t="s">
        <v>35</v>
      </c>
      <c r="R325" s="217" t="s">
        <v>23</v>
      </c>
      <c r="S325" s="217" t="s">
        <v>22</v>
      </c>
      <c r="T325" s="217" t="s">
        <v>84</v>
      </c>
      <c r="U325" s="217" t="s">
        <v>85</v>
      </c>
      <c r="V325" s="217" t="s">
        <v>150</v>
      </c>
      <c r="W325" s="217" t="s">
        <v>151</v>
      </c>
    </row>
    <row r="326" spans="1:23" x14ac:dyDescent="0.25">
      <c r="A326" s="217" t="s">
        <v>22</v>
      </c>
      <c r="B326" s="217" t="s">
        <v>23</v>
      </c>
      <c r="C326" s="217" t="s">
        <v>85</v>
      </c>
      <c r="D326" s="217" t="s">
        <v>84</v>
      </c>
      <c r="E326" s="217" t="s">
        <v>157</v>
      </c>
      <c r="F326" s="217" t="s">
        <v>156</v>
      </c>
      <c r="G326" s="217" t="s">
        <v>356</v>
      </c>
      <c r="H326" s="217" t="s">
        <v>1043</v>
      </c>
      <c r="I326" s="217" t="s">
        <v>29</v>
      </c>
      <c r="J326" s="217" t="s">
        <v>1856</v>
      </c>
      <c r="K326" s="217">
        <v>55</v>
      </c>
      <c r="L326" s="217">
        <v>275</v>
      </c>
      <c r="M326" s="217" t="s">
        <v>31</v>
      </c>
      <c r="N326" s="217" t="s">
        <v>32</v>
      </c>
      <c r="O326" s="217" t="s">
        <v>68</v>
      </c>
      <c r="P326" s="217" t="s">
        <v>34</v>
      </c>
      <c r="Q326" s="217" t="s">
        <v>35</v>
      </c>
      <c r="R326" s="217" t="s">
        <v>23</v>
      </c>
      <c r="S326" s="217" t="s">
        <v>22</v>
      </c>
      <c r="T326" s="217" t="s">
        <v>84</v>
      </c>
      <c r="U326" s="217" t="s">
        <v>85</v>
      </c>
      <c r="V326" s="217" t="s">
        <v>97</v>
      </c>
      <c r="W326" s="217" t="s">
        <v>98</v>
      </c>
    </row>
    <row r="327" spans="1:23" x14ac:dyDescent="0.25">
      <c r="A327" s="217" t="s">
        <v>22</v>
      </c>
      <c r="B327" s="217" t="s">
        <v>23</v>
      </c>
      <c r="C327" s="217" t="s">
        <v>85</v>
      </c>
      <c r="D327" s="217" t="s">
        <v>84</v>
      </c>
      <c r="E327" s="217" t="s">
        <v>157</v>
      </c>
      <c r="F327" s="217" t="s">
        <v>156</v>
      </c>
      <c r="G327" s="217" t="s">
        <v>356</v>
      </c>
      <c r="H327" s="217" t="s">
        <v>1043</v>
      </c>
      <c r="I327" s="217" t="s">
        <v>29</v>
      </c>
      <c r="J327" s="217" t="s">
        <v>1857</v>
      </c>
      <c r="K327" s="217">
        <v>15</v>
      </c>
      <c r="L327" s="217">
        <v>75</v>
      </c>
      <c r="M327" s="217" t="s">
        <v>31</v>
      </c>
      <c r="N327" s="217" t="s">
        <v>32</v>
      </c>
      <c r="O327" s="217" t="s">
        <v>68</v>
      </c>
      <c r="P327" s="217" t="s">
        <v>34</v>
      </c>
      <c r="Q327" s="217" t="s">
        <v>35</v>
      </c>
      <c r="R327" s="217" t="s">
        <v>23</v>
      </c>
      <c r="S327" s="217" t="s">
        <v>22</v>
      </c>
      <c r="T327" s="217" t="s">
        <v>84</v>
      </c>
      <c r="U327" s="217" t="s">
        <v>85</v>
      </c>
      <c r="V327" s="217" t="s">
        <v>174</v>
      </c>
      <c r="W327" s="217" t="s">
        <v>175</v>
      </c>
    </row>
    <row r="328" spans="1:23" x14ac:dyDescent="0.25">
      <c r="A328" s="217" t="s">
        <v>22</v>
      </c>
      <c r="B328" s="217" t="s">
        <v>23</v>
      </c>
      <c r="C328" s="217" t="s">
        <v>85</v>
      </c>
      <c r="D328" s="217" t="s">
        <v>84</v>
      </c>
      <c r="E328" s="217" t="s">
        <v>157</v>
      </c>
      <c r="F328" s="217" t="s">
        <v>156</v>
      </c>
      <c r="G328" s="217" t="s">
        <v>356</v>
      </c>
      <c r="H328" s="217" t="s">
        <v>1043</v>
      </c>
      <c r="I328" s="217" t="s">
        <v>29</v>
      </c>
      <c r="J328" s="217" t="s">
        <v>1858</v>
      </c>
      <c r="K328" s="217">
        <v>6</v>
      </c>
      <c r="L328" s="217">
        <v>47</v>
      </c>
      <c r="M328" s="217" t="s">
        <v>31</v>
      </c>
      <c r="N328" s="217" t="s">
        <v>32</v>
      </c>
      <c r="O328" s="217" t="s">
        <v>68</v>
      </c>
      <c r="P328" s="217" t="s">
        <v>34</v>
      </c>
      <c r="Q328" s="217" t="s">
        <v>35</v>
      </c>
      <c r="R328" s="217" t="s">
        <v>23</v>
      </c>
      <c r="S328" s="217" t="s">
        <v>22</v>
      </c>
      <c r="T328" s="217" t="s">
        <v>84</v>
      </c>
      <c r="U328" s="217" t="s">
        <v>85</v>
      </c>
      <c r="V328" s="217" t="s">
        <v>97</v>
      </c>
      <c r="W328" s="217" t="s">
        <v>98</v>
      </c>
    </row>
    <row r="329" spans="1:23" x14ac:dyDescent="0.25">
      <c r="A329" s="217" t="s">
        <v>22</v>
      </c>
      <c r="B329" s="217" t="s">
        <v>23</v>
      </c>
      <c r="C329" s="217" t="s">
        <v>85</v>
      </c>
      <c r="D329" s="217" t="s">
        <v>84</v>
      </c>
      <c r="E329" s="217" t="s">
        <v>157</v>
      </c>
      <c r="F329" s="217" t="s">
        <v>156</v>
      </c>
      <c r="G329" s="217" t="s">
        <v>357</v>
      </c>
      <c r="H329" s="217" t="s">
        <v>1044</v>
      </c>
      <c r="I329" s="217" t="s">
        <v>29</v>
      </c>
      <c r="J329" s="217" t="s">
        <v>1855</v>
      </c>
      <c r="K329" s="217">
        <v>2</v>
      </c>
      <c r="L329" s="217">
        <v>9</v>
      </c>
      <c r="M329" s="217" t="s">
        <v>31</v>
      </c>
      <c r="N329" s="217" t="s">
        <v>32</v>
      </c>
      <c r="O329" s="217" t="s">
        <v>68</v>
      </c>
      <c r="P329" s="217" t="s">
        <v>34</v>
      </c>
      <c r="Q329" s="217" t="s">
        <v>35</v>
      </c>
      <c r="R329" s="217" t="s">
        <v>23</v>
      </c>
      <c r="S329" s="217" t="s">
        <v>22</v>
      </c>
      <c r="T329" s="217" t="s">
        <v>84</v>
      </c>
      <c r="U329" s="217" t="s">
        <v>85</v>
      </c>
      <c r="V329" s="217" t="s">
        <v>150</v>
      </c>
      <c r="W329" s="217" t="s">
        <v>151</v>
      </c>
    </row>
    <row r="330" spans="1:23" x14ac:dyDescent="0.25">
      <c r="A330" s="217" t="s">
        <v>22</v>
      </c>
      <c r="B330" s="217" t="s">
        <v>23</v>
      </c>
      <c r="C330" s="217" t="s">
        <v>85</v>
      </c>
      <c r="D330" s="217" t="s">
        <v>84</v>
      </c>
      <c r="E330" s="217" t="s">
        <v>157</v>
      </c>
      <c r="F330" s="217" t="s">
        <v>156</v>
      </c>
      <c r="G330" s="217" t="s">
        <v>357</v>
      </c>
      <c r="H330" s="217" t="s">
        <v>1044</v>
      </c>
      <c r="I330" s="217" t="s">
        <v>29</v>
      </c>
      <c r="J330" s="217" t="s">
        <v>1856</v>
      </c>
      <c r="K330" s="217">
        <v>6</v>
      </c>
      <c r="L330" s="217">
        <v>33</v>
      </c>
      <c r="M330" s="217" t="s">
        <v>31</v>
      </c>
      <c r="N330" s="217" t="s">
        <v>32</v>
      </c>
      <c r="O330" s="217" t="s">
        <v>68</v>
      </c>
      <c r="P330" s="217" t="s">
        <v>34</v>
      </c>
      <c r="Q330" s="217" t="s">
        <v>35</v>
      </c>
      <c r="R330" s="217" t="s">
        <v>23</v>
      </c>
      <c r="S330" s="217" t="s">
        <v>22</v>
      </c>
      <c r="T330" s="217" t="s">
        <v>84</v>
      </c>
      <c r="U330" s="217" t="s">
        <v>85</v>
      </c>
      <c r="V330" s="217" t="s">
        <v>150</v>
      </c>
      <c r="W330" s="217" t="s">
        <v>151</v>
      </c>
    </row>
    <row r="331" spans="1:23" x14ac:dyDescent="0.25">
      <c r="A331" s="217" t="s">
        <v>22</v>
      </c>
      <c r="B331" s="217" t="s">
        <v>23</v>
      </c>
      <c r="C331" s="217" t="s">
        <v>85</v>
      </c>
      <c r="D331" s="217" t="s">
        <v>84</v>
      </c>
      <c r="E331" s="217" t="s">
        <v>157</v>
      </c>
      <c r="F331" s="217" t="s">
        <v>156</v>
      </c>
      <c r="G331" s="217" t="s">
        <v>82</v>
      </c>
      <c r="H331" s="217" t="s">
        <v>1045</v>
      </c>
      <c r="I331" s="217" t="s">
        <v>29</v>
      </c>
      <c r="J331" s="217" t="s">
        <v>1855</v>
      </c>
      <c r="K331" s="217">
        <v>55</v>
      </c>
      <c r="L331" s="217">
        <v>275</v>
      </c>
      <c r="M331" s="217" t="s">
        <v>31</v>
      </c>
      <c r="N331" s="217" t="s">
        <v>32</v>
      </c>
      <c r="O331" s="217" t="s">
        <v>68</v>
      </c>
      <c r="P331" s="217" t="s">
        <v>34</v>
      </c>
      <c r="Q331" s="217" t="s">
        <v>35</v>
      </c>
      <c r="R331" s="217" t="s">
        <v>23</v>
      </c>
      <c r="S331" s="217" t="s">
        <v>22</v>
      </c>
      <c r="T331" s="217" t="s">
        <v>84</v>
      </c>
      <c r="U331" s="217" t="s">
        <v>85</v>
      </c>
      <c r="V331" s="217" t="s">
        <v>91</v>
      </c>
      <c r="W331" s="217" t="s">
        <v>92</v>
      </c>
    </row>
    <row r="332" spans="1:23" x14ac:dyDescent="0.25">
      <c r="A332" s="217" t="s">
        <v>22</v>
      </c>
      <c r="B332" s="217" t="s">
        <v>23</v>
      </c>
      <c r="C332" s="217" t="s">
        <v>85</v>
      </c>
      <c r="D332" s="217" t="s">
        <v>84</v>
      </c>
      <c r="E332" s="217" t="s">
        <v>157</v>
      </c>
      <c r="F332" s="217" t="s">
        <v>156</v>
      </c>
      <c r="G332" s="217" t="s">
        <v>82</v>
      </c>
      <c r="H332" s="217" t="s">
        <v>1045</v>
      </c>
      <c r="I332" s="217" t="s">
        <v>29</v>
      </c>
      <c r="J332" s="217" t="s">
        <v>1856</v>
      </c>
      <c r="K332" s="217">
        <v>20</v>
      </c>
      <c r="L332" s="217">
        <v>100</v>
      </c>
      <c r="M332" s="217" t="s">
        <v>31</v>
      </c>
      <c r="N332" s="217" t="s">
        <v>32</v>
      </c>
      <c r="O332" s="217" t="s">
        <v>68</v>
      </c>
      <c r="P332" s="217" t="s">
        <v>34</v>
      </c>
      <c r="Q332" s="217" t="s">
        <v>35</v>
      </c>
      <c r="R332" s="217" t="s">
        <v>23</v>
      </c>
      <c r="S332" s="217" t="s">
        <v>22</v>
      </c>
      <c r="T332" s="217" t="s">
        <v>84</v>
      </c>
      <c r="U332" s="217" t="s">
        <v>85</v>
      </c>
      <c r="V332" s="217" t="s">
        <v>97</v>
      </c>
      <c r="W332" s="217" t="s">
        <v>98</v>
      </c>
    </row>
    <row r="333" spans="1:23" x14ac:dyDescent="0.25">
      <c r="A333" s="217" t="s">
        <v>22</v>
      </c>
      <c r="B333" s="217" t="s">
        <v>23</v>
      </c>
      <c r="C333" s="217" t="s">
        <v>85</v>
      </c>
      <c r="D333" s="217" t="s">
        <v>84</v>
      </c>
      <c r="E333" s="217" t="s">
        <v>157</v>
      </c>
      <c r="F333" s="217" t="s">
        <v>156</v>
      </c>
      <c r="G333" s="217" t="s">
        <v>358</v>
      </c>
      <c r="H333" s="217" t="s">
        <v>1046</v>
      </c>
      <c r="I333" s="217" t="s">
        <v>29</v>
      </c>
      <c r="J333" s="217" t="s">
        <v>1856</v>
      </c>
      <c r="K333" s="217">
        <v>32</v>
      </c>
      <c r="L333" s="217">
        <v>160</v>
      </c>
      <c r="M333" s="217" t="s">
        <v>31</v>
      </c>
      <c r="N333" s="217" t="s">
        <v>32</v>
      </c>
      <c r="O333" s="217" t="s">
        <v>68</v>
      </c>
      <c r="P333" s="217" t="s">
        <v>34</v>
      </c>
      <c r="Q333" s="217" t="s">
        <v>35</v>
      </c>
      <c r="R333" s="217" t="s">
        <v>23</v>
      </c>
      <c r="S333" s="217" t="s">
        <v>22</v>
      </c>
      <c r="T333" s="217" t="s">
        <v>84</v>
      </c>
      <c r="U333" s="217" t="s">
        <v>85</v>
      </c>
      <c r="V333" s="217" t="s">
        <v>97</v>
      </c>
      <c r="W333" s="217" t="s">
        <v>98</v>
      </c>
    </row>
    <row r="334" spans="1:23" x14ac:dyDescent="0.25">
      <c r="A334" s="217" t="s">
        <v>22</v>
      </c>
      <c r="B334" s="217" t="s">
        <v>23</v>
      </c>
      <c r="C334" s="217" t="s">
        <v>85</v>
      </c>
      <c r="D334" s="217" t="s">
        <v>84</v>
      </c>
      <c r="E334" s="217" t="s">
        <v>157</v>
      </c>
      <c r="F334" s="217" t="s">
        <v>156</v>
      </c>
      <c r="G334" s="217" t="s">
        <v>358</v>
      </c>
      <c r="H334" s="217" t="s">
        <v>1046</v>
      </c>
      <c r="I334" s="217" t="s">
        <v>29</v>
      </c>
      <c r="J334" s="217" t="s">
        <v>1857</v>
      </c>
      <c r="K334" s="217">
        <v>34</v>
      </c>
      <c r="L334" s="217">
        <v>220</v>
      </c>
      <c r="M334" s="217" t="s">
        <v>31</v>
      </c>
      <c r="N334" s="217" t="s">
        <v>32</v>
      </c>
      <c r="O334" s="217" t="s">
        <v>68</v>
      </c>
      <c r="P334" s="217" t="s">
        <v>34</v>
      </c>
      <c r="Q334" s="217" t="s">
        <v>35</v>
      </c>
      <c r="R334" s="217" t="s">
        <v>23</v>
      </c>
      <c r="S334" s="217" t="s">
        <v>22</v>
      </c>
      <c r="T334" s="217" t="s">
        <v>84</v>
      </c>
      <c r="U334" s="217" t="s">
        <v>85</v>
      </c>
      <c r="V334" s="217" t="s">
        <v>97</v>
      </c>
      <c r="W334" s="217" t="s">
        <v>98</v>
      </c>
    </row>
    <row r="335" spans="1:23" x14ac:dyDescent="0.25">
      <c r="A335" s="217" t="s">
        <v>22</v>
      </c>
      <c r="B335" s="217" t="s">
        <v>23</v>
      </c>
      <c r="C335" s="217" t="s">
        <v>85</v>
      </c>
      <c r="D335" s="217" t="s">
        <v>84</v>
      </c>
      <c r="E335" s="217" t="s">
        <v>157</v>
      </c>
      <c r="F335" s="217" t="s">
        <v>156</v>
      </c>
      <c r="G335" s="217" t="s">
        <v>359</v>
      </c>
      <c r="H335" s="217" t="s">
        <v>1047</v>
      </c>
      <c r="I335" s="217" t="s">
        <v>29</v>
      </c>
      <c r="J335" s="217" t="s">
        <v>1855</v>
      </c>
      <c r="K335" s="217">
        <v>64</v>
      </c>
      <c r="L335" s="217">
        <v>317</v>
      </c>
      <c r="M335" s="217" t="s">
        <v>31</v>
      </c>
      <c r="N335" s="217" t="s">
        <v>32</v>
      </c>
      <c r="O335" s="217" t="s">
        <v>68</v>
      </c>
      <c r="P335" s="217" t="s">
        <v>34</v>
      </c>
      <c r="Q335" s="217" t="s">
        <v>35</v>
      </c>
      <c r="R335" s="217" t="s">
        <v>23</v>
      </c>
      <c r="S335" s="217" t="s">
        <v>22</v>
      </c>
      <c r="T335" s="217" t="s">
        <v>84</v>
      </c>
      <c r="U335" s="217" t="s">
        <v>85</v>
      </c>
      <c r="V335" s="217" t="s">
        <v>97</v>
      </c>
      <c r="W335" s="217" t="s">
        <v>98</v>
      </c>
    </row>
    <row r="336" spans="1:23" x14ac:dyDescent="0.25">
      <c r="A336" s="217" t="s">
        <v>22</v>
      </c>
      <c r="B336" s="217" t="s">
        <v>23</v>
      </c>
      <c r="C336" s="217" t="s">
        <v>85</v>
      </c>
      <c r="D336" s="217" t="s">
        <v>84</v>
      </c>
      <c r="E336" s="217" t="s">
        <v>157</v>
      </c>
      <c r="F336" s="217" t="s">
        <v>156</v>
      </c>
      <c r="G336" s="217" t="s">
        <v>359</v>
      </c>
      <c r="H336" s="217" t="s">
        <v>1047</v>
      </c>
      <c r="I336" s="217" t="s">
        <v>29</v>
      </c>
      <c r="J336" s="217" t="s">
        <v>1856</v>
      </c>
      <c r="K336" s="217">
        <v>35</v>
      </c>
      <c r="L336" s="217">
        <v>175</v>
      </c>
      <c r="M336" s="217" t="s">
        <v>31</v>
      </c>
      <c r="N336" s="217" t="s">
        <v>32</v>
      </c>
      <c r="O336" s="217" t="s">
        <v>68</v>
      </c>
      <c r="P336" s="217" t="s">
        <v>34</v>
      </c>
      <c r="Q336" s="217" t="s">
        <v>35</v>
      </c>
      <c r="R336" s="217" t="s">
        <v>23</v>
      </c>
      <c r="S336" s="217" t="s">
        <v>22</v>
      </c>
      <c r="T336" s="217" t="s">
        <v>84</v>
      </c>
      <c r="U336" s="217" t="s">
        <v>85</v>
      </c>
      <c r="V336" s="217" t="s">
        <v>97</v>
      </c>
      <c r="W336" s="217" t="s">
        <v>98</v>
      </c>
    </row>
    <row r="337" spans="1:23" x14ac:dyDescent="0.25">
      <c r="A337" s="217" t="s">
        <v>22</v>
      </c>
      <c r="B337" s="217" t="s">
        <v>23</v>
      </c>
      <c r="C337" s="217" t="s">
        <v>85</v>
      </c>
      <c r="D337" s="217" t="s">
        <v>84</v>
      </c>
      <c r="E337" s="217" t="s">
        <v>157</v>
      </c>
      <c r="F337" s="217" t="s">
        <v>156</v>
      </c>
      <c r="G337" s="217" t="s">
        <v>360</v>
      </c>
      <c r="H337" s="217" t="s">
        <v>1048</v>
      </c>
      <c r="I337" s="217" t="s">
        <v>29</v>
      </c>
      <c r="J337" s="217" t="s">
        <v>1855</v>
      </c>
      <c r="K337" s="217">
        <v>46</v>
      </c>
      <c r="L337" s="217">
        <v>225</v>
      </c>
      <c r="M337" s="217" t="s">
        <v>31</v>
      </c>
      <c r="N337" s="217" t="s">
        <v>32</v>
      </c>
      <c r="O337" s="217" t="s">
        <v>68</v>
      </c>
      <c r="P337" s="217" t="s">
        <v>34</v>
      </c>
      <c r="Q337" s="217" t="s">
        <v>35</v>
      </c>
      <c r="R337" s="217" t="s">
        <v>23</v>
      </c>
      <c r="S337" s="217" t="s">
        <v>22</v>
      </c>
      <c r="T337" s="217" t="s">
        <v>84</v>
      </c>
      <c r="U337" s="217" t="s">
        <v>85</v>
      </c>
      <c r="V337" s="217" t="s">
        <v>91</v>
      </c>
      <c r="W337" s="217" t="s">
        <v>92</v>
      </c>
    </row>
    <row r="338" spans="1:23" x14ac:dyDescent="0.25">
      <c r="A338" s="217" t="s">
        <v>22</v>
      </c>
      <c r="B338" s="217" t="s">
        <v>23</v>
      </c>
      <c r="C338" s="217" t="s">
        <v>85</v>
      </c>
      <c r="D338" s="217" t="s">
        <v>84</v>
      </c>
      <c r="E338" s="217" t="s">
        <v>157</v>
      </c>
      <c r="F338" s="217" t="s">
        <v>156</v>
      </c>
      <c r="G338" s="217" t="s">
        <v>360</v>
      </c>
      <c r="H338" s="217" t="s">
        <v>1048</v>
      </c>
      <c r="I338" s="217" t="s">
        <v>29</v>
      </c>
      <c r="J338" s="217" t="s">
        <v>1857</v>
      </c>
      <c r="K338" s="217">
        <v>7</v>
      </c>
      <c r="L338" s="217">
        <v>37</v>
      </c>
      <c r="M338" s="217" t="s">
        <v>31</v>
      </c>
      <c r="N338" s="217" t="s">
        <v>32</v>
      </c>
      <c r="O338" s="217" t="s">
        <v>68</v>
      </c>
      <c r="P338" s="217" t="s">
        <v>34</v>
      </c>
      <c r="Q338" s="217" t="s">
        <v>35</v>
      </c>
      <c r="R338" s="217" t="s">
        <v>23</v>
      </c>
      <c r="S338" s="217" t="s">
        <v>22</v>
      </c>
      <c r="T338" s="217" t="s">
        <v>84</v>
      </c>
      <c r="U338" s="217" t="s">
        <v>85</v>
      </c>
      <c r="V338" s="217" t="s">
        <v>97</v>
      </c>
      <c r="W338" s="217" t="s">
        <v>98</v>
      </c>
    </row>
    <row r="339" spans="1:23" x14ac:dyDescent="0.25">
      <c r="A339" s="217" t="s">
        <v>22</v>
      </c>
      <c r="B339" s="217" t="s">
        <v>23</v>
      </c>
      <c r="C339" s="217" t="s">
        <v>85</v>
      </c>
      <c r="D339" s="217" t="s">
        <v>84</v>
      </c>
      <c r="E339" s="217" t="s">
        <v>157</v>
      </c>
      <c r="F339" s="217" t="s">
        <v>156</v>
      </c>
      <c r="G339" s="217" t="s">
        <v>361</v>
      </c>
      <c r="H339" s="217" t="s">
        <v>1049</v>
      </c>
      <c r="I339" s="217" t="s">
        <v>29</v>
      </c>
      <c r="J339" s="217" t="s">
        <v>1856</v>
      </c>
      <c r="K339" s="217">
        <v>10</v>
      </c>
      <c r="L339" s="217">
        <v>60</v>
      </c>
      <c r="M339" s="217" t="s">
        <v>31</v>
      </c>
      <c r="N339" s="217" t="s">
        <v>32</v>
      </c>
      <c r="O339" s="217" t="s">
        <v>68</v>
      </c>
      <c r="P339" s="217" t="s">
        <v>34</v>
      </c>
      <c r="Q339" s="217" t="s">
        <v>35</v>
      </c>
      <c r="R339" s="217" t="s">
        <v>23</v>
      </c>
      <c r="S339" s="217" t="s">
        <v>22</v>
      </c>
      <c r="T339" s="217" t="s">
        <v>84</v>
      </c>
      <c r="U339" s="217" t="s">
        <v>85</v>
      </c>
      <c r="V339" s="217" t="s">
        <v>97</v>
      </c>
      <c r="W339" s="217" t="s">
        <v>98</v>
      </c>
    </row>
    <row r="340" spans="1:23" x14ac:dyDescent="0.25">
      <c r="A340" s="217" t="s">
        <v>22</v>
      </c>
      <c r="B340" s="217" t="s">
        <v>23</v>
      </c>
      <c r="C340" s="217" t="s">
        <v>85</v>
      </c>
      <c r="D340" s="217" t="s">
        <v>84</v>
      </c>
      <c r="E340" s="217" t="s">
        <v>157</v>
      </c>
      <c r="F340" s="217" t="s">
        <v>156</v>
      </c>
      <c r="G340" s="217" t="s">
        <v>362</v>
      </c>
      <c r="H340" s="217" t="s">
        <v>1050</v>
      </c>
      <c r="I340" s="217" t="s">
        <v>29</v>
      </c>
      <c r="J340" s="217" t="s">
        <v>1855</v>
      </c>
      <c r="K340" s="217">
        <v>1</v>
      </c>
      <c r="L340" s="217">
        <v>9</v>
      </c>
      <c r="M340" s="217" t="s">
        <v>31</v>
      </c>
      <c r="N340" s="217" t="s">
        <v>32</v>
      </c>
      <c r="O340" s="217" t="s">
        <v>68</v>
      </c>
      <c r="P340" s="217" t="s">
        <v>34</v>
      </c>
      <c r="Q340" s="217" t="s">
        <v>35</v>
      </c>
      <c r="R340" s="217" t="s">
        <v>23</v>
      </c>
      <c r="S340" s="217" t="s">
        <v>22</v>
      </c>
      <c r="T340" s="217" t="s">
        <v>84</v>
      </c>
      <c r="U340" s="217" t="s">
        <v>85</v>
      </c>
      <c r="V340" s="217" t="s">
        <v>97</v>
      </c>
      <c r="W340" s="217" t="s">
        <v>98</v>
      </c>
    </row>
    <row r="341" spans="1:23" x14ac:dyDescent="0.25">
      <c r="A341" s="217" t="s">
        <v>22</v>
      </c>
      <c r="B341" s="217" t="s">
        <v>23</v>
      </c>
      <c r="C341" s="217" t="s">
        <v>85</v>
      </c>
      <c r="D341" s="217" t="s">
        <v>84</v>
      </c>
      <c r="E341" s="217" t="s">
        <v>157</v>
      </c>
      <c r="F341" s="217" t="s">
        <v>156</v>
      </c>
      <c r="G341" s="217" t="s">
        <v>362</v>
      </c>
      <c r="H341" s="217" t="s">
        <v>1050</v>
      </c>
      <c r="I341" s="217" t="s">
        <v>29</v>
      </c>
      <c r="J341" s="217" t="s">
        <v>1856</v>
      </c>
      <c r="K341" s="217">
        <v>3</v>
      </c>
      <c r="L341" s="217">
        <v>41</v>
      </c>
      <c r="M341" s="217" t="s">
        <v>31</v>
      </c>
      <c r="N341" s="217" t="s">
        <v>32</v>
      </c>
      <c r="O341" s="217" t="s">
        <v>68</v>
      </c>
      <c r="P341" s="217" t="s">
        <v>34</v>
      </c>
      <c r="Q341" s="217" t="s">
        <v>35</v>
      </c>
      <c r="R341" s="217" t="s">
        <v>23</v>
      </c>
      <c r="S341" s="217" t="s">
        <v>22</v>
      </c>
      <c r="T341" s="217" t="s">
        <v>84</v>
      </c>
      <c r="U341" s="217" t="s">
        <v>85</v>
      </c>
      <c r="V341" s="217" t="s">
        <v>97</v>
      </c>
      <c r="W341" s="217" t="s">
        <v>98</v>
      </c>
    </row>
    <row r="342" spans="1:23" x14ac:dyDescent="0.25">
      <c r="A342" s="217" t="s">
        <v>22</v>
      </c>
      <c r="B342" s="217" t="s">
        <v>23</v>
      </c>
      <c r="C342" s="217" t="s">
        <v>85</v>
      </c>
      <c r="D342" s="217" t="s">
        <v>84</v>
      </c>
      <c r="E342" s="217" t="s">
        <v>157</v>
      </c>
      <c r="F342" s="217" t="s">
        <v>156</v>
      </c>
      <c r="G342" s="217" t="s">
        <v>363</v>
      </c>
      <c r="H342" s="217" t="s">
        <v>1051</v>
      </c>
      <c r="I342" s="217" t="s">
        <v>29</v>
      </c>
      <c r="J342" s="217" t="s">
        <v>1855</v>
      </c>
      <c r="K342" s="217">
        <v>31</v>
      </c>
      <c r="L342" s="217">
        <v>158</v>
      </c>
      <c r="M342" s="217" t="s">
        <v>31</v>
      </c>
      <c r="N342" s="217" t="s">
        <v>32</v>
      </c>
      <c r="O342" s="217" t="s">
        <v>68</v>
      </c>
      <c r="P342" s="217" t="s">
        <v>34</v>
      </c>
      <c r="Q342" s="217" t="s">
        <v>35</v>
      </c>
      <c r="R342" s="217" t="s">
        <v>23</v>
      </c>
      <c r="S342" s="217" t="s">
        <v>22</v>
      </c>
      <c r="T342" s="217" t="s">
        <v>84</v>
      </c>
      <c r="U342" s="217" t="s">
        <v>85</v>
      </c>
      <c r="V342" s="217" t="s">
        <v>91</v>
      </c>
      <c r="W342" s="217" t="s">
        <v>92</v>
      </c>
    </row>
    <row r="343" spans="1:23" x14ac:dyDescent="0.25">
      <c r="A343" s="217" t="s">
        <v>22</v>
      </c>
      <c r="B343" s="217" t="s">
        <v>23</v>
      </c>
      <c r="C343" s="217" t="s">
        <v>85</v>
      </c>
      <c r="D343" s="217" t="s">
        <v>84</v>
      </c>
      <c r="E343" s="217" t="s">
        <v>157</v>
      </c>
      <c r="F343" s="217" t="s">
        <v>156</v>
      </c>
      <c r="G343" s="217" t="s">
        <v>363</v>
      </c>
      <c r="H343" s="217" t="s">
        <v>1051</v>
      </c>
      <c r="I343" s="217" t="s">
        <v>29</v>
      </c>
      <c r="J343" s="217" t="s">
        <v>1856</v>
      </c>
      <c r="K343" s="217">
        <v>10</v>
      </c>
      <c r="L343" s="217">
        <v>59</v>
      </c>
      <c r="M343" s="217" t="s">
        <v>31</v>
      </c>
      <c r="N343" s="217" t="s">
        <v>32</v>
      </c>
      <c r="O343" s="217" t="s">
        <v>68</v>
      </c>
      <c r="P343" s="217" t="s">
        <v>34</v>
      </c>
      <c r="Q343" s="217" t="s">
        <v>35</v>
      </c>
      <c r="R343" s="217" t="s">
        <v>23</v>
      </c>
      <c r="S343" s="217" t="s">
        <v>22</v>
      </c>
      <c r="T343" s="217" t="s">
        <v>84</v>
      </c>
      <c r="U343" s="217" t="s">
        <v>85</v>
      </c>
      <c r="V343" s="217" t="s">
        <v>150</v>
      </c>
      <c r="W343" s="217" t="s">
        <v>151</v>
      </c>
    </row>
    <row r="344" spans="1:23" x14ac:dyDescent="0.25">
      <c r="A344" s="217" t="s">
        <v>22</v>
      </c>
      <c r="B344" s="217" t="s">
        <v>23</v>
      </c>
      <c r="C344" s="217" t="s">
        <v>85</v>
      </c>
      <c r="D344" s="217" t="s">
        <v>84</v>
      </c>
      <c r="E344" s="217" t="s">
        <v>157</v>
      </c>
      <c r="F344" s="217" t="s">
        <v>156</v>
      </c>
      <c r="G344" s="217" t="s">
        <v>363</v>
      </c>
      <c r="H344" s="217" t="s">
        <v>1051</v>
      </c>
      <c r="I344" s="217" t="s">
        <v>29</v>
      </c>
      <c r="J344" s="217" t="s">
        <v>1857</v>
      </c>
      <c r="K344" s="217">
        <v>3</v>
      </c>
      <c r="L344" s="217">
        <v>19</v>
      </c>
      <c r="M344" s="217" t="s">
        <v>31</v>
      </c>
      <c r="N344" s="217" t="s">
        <v>32</v>
      </c>
      <c r="O344" s="217" t="s">
        <v>68</v>
      </c>
      <c r="P344" s="217" t="s">
        <v>34</v>
      </c>
      <c r="Q344" s="217" t="s">
        <v>35</v>
      </c>
      <c r="R344" s="217" t="s">
        <v>23</v>
      </c>
      <c r="S344" s="217" t="s">
        <v>22</v>
      </c>
      <c r="T344" s="217" t="s">
        <v>84</v>
      </c>
      <c r="U344" s="217" t="s">
        <v>85</v>
      </c>
      <c r="V344" s="217" t="s">
        <v>97</v>
      </c>
      <c r="W344" s="217" t="s">
        <v>98</v>
      </c>
    </row>
    <row r="345" spans="1:23" x14ac:dyDescent="0.25">
      <c r="A345" s="217" t="s">
        <v>22</v>
      </c>
      <c r="B345" s="217" t="s">
        <v>23</v>
      </c>
      <c r="C345" s="217" t="s">
        <v>85</v>
      </c>
      <c r="D345" s="217" t="s">
        <v>84</v>
      </c>
      <c r="E345" s="217" t="s">
        <v>157</v>
      </c>
      <c r="F345" s="217" t="s">
        <v>156</v>
      </c>
      <c r="G345" s="217" t="s">
        <v>364</v>
      </c>
      <c r="H345" s="217" t="s">
        <v>1052</v>
      </c>
      <c r="I345" s="217" t="s">
        <v>29</v>
      </c>
      <c r="J345" s="217" t="s">
        <v>1856</v>
      </c>
      <c r="K345" s="217">
        <v>42</v>
      </c>
      <c r="L345" s="217">
        <v>235</v>
      </c>
      <c r="M345" s="217" t="s">
        <v>31</v>
      </c>
      <c r="N345" s="217" t="s">
        <v>32</v>
      </c>
      <c r="O345" s="217" t="s">
        <v>68</v>
      </c>
      <c r="P345" s="217" t="s">
        <v>34</v>
      </c>
      <c r="Q345" s="217" t="s">
        <v>35</v>
      </c>
      <c r="R345" s="217" t="s">
        <v>23</v>
      </c>
      <c r="S345" s="217" t="s">
        <v>22</v>
      </c>
      <c r="T345" s="217" t="s">
        <v>84</v>
      </c>
      <c r="U345" s="217" t="s">
        <v>85</v>
      </c>
      <c r="V345" s="217" t="s">
        <v>97</v>
      </c>
      <c r="W345" s="217" t="s">
        <v>98</v>
      </c>
    </row>
    <row r="346" spans="1:23" x14ac:dyDescent="0.25">
      <c r="A346" s="217" t="s">
        <v>22</v>
      </c>
      <c r="B346" s="217" t="s">
        <v>23</v>
      </c>
      <c r="C346" s="217" t="s">
        <v>85</v>
      </c>
      <c r="D346" s="217" t="s">
        <v>84</v>
      </c>
      <c r="E346" s="217" t="s">
        <v>157</v>
      </c>
      <c r="F346" s="217" t="s">
        <v>156</v>
      </c>
      <c r="G346" s="217" t="s">
        <v>364</v>
      </c>
      <c r="H346" s="217" t="s">
        <v>1052</v>
      </c>
      <c r="I346" s="217" t="s">
        <v>29</v>
      </c>
      <c r="J346" s="217" t="s">
        <v>1858</v>
      </c>
      <c r="K346" s="217">
        <v>5</v>
      </c>
      <c r="L346" s="217">
        <v>43</v>
      </c>
      <c r="M346" s="217" t="s">
        <v>31</v>
      </c>
      <c r="N346" s="217" t="s">
        <v>32</v>
      </c>
      <c r="O346" s="217" t="s">
        <v>68</v>
      </c>
      <c r="P346" s="217" t="s">
        <v>34</v>
      </c>
      <c r="Q346" s="217" t="s">
        <v>35</v>
      </c>
      <c r="R346" s="217" t="s">
        <v>23</v>
      </c>
      <c r="S346" s="217" t="s">
        <v>22</v>
      </c>
      <c r="T346" s="217" t="s">
        <v>84</v>
      </c>
      <c r="U346" s="217" t="s">
        <v>85</v>
      </c>
      <c r="V346" s="217" t="s">
        <v>97</v>
      </c>
      <c r="W346" s="217" t="s">
        <v>98</v>
      </c>
    </row>
    <row r="347" spans="1:23" x14ac:dyDescent="0.25">
      <c r="A347" s="217" t="s">
        <v>22</v>
      </c>
      <c r="B347" s="217" t="s">
        <v>23</v>
      </c>
      <c r="C347" s="217" t="s">
        <v>85</v>
      </c>
      <c r="D347" s="217" t="s">
        <v>84</v>
      </c>
      <c r="E347" s="217" t="s">
        <v>157</v>
      </c>
      <c r="F347" s="217" t="s">
        <v>156</v>
      </c>
      <c r="G347" s="217" t="s">
        <v>365</v>
      </c>
      <c r="H347" s="217" t="s">
        <v>1053</v>
      </c>
      <c r="I347" s="217" t="s">
        <v>29</v>
      </c>
      <c r="J347" s="217" t="s">
        <v>1856</v>
      </c>
      <c r="K347" s="217">
        <v>13</v>
      </c>
      <c r="L347" s="217">
        <v>80</v>
      </c>
      <c r="M347" s="217" t="s">
        <v>31</v>
      </c>
      <c r="N347" s="217" t="s">
        <v>32</v>
      </c>
      <c r="O347" s="217" t="s">
        <v>68</v>
      </c>
      <c r="P347" s="217" t="s">
        <v>34</v>
      </c>
      <c r="Q347" s="217" t="s">
        <v>35</v>
      </c>
      <c r="R347" s="217" t="s">
        <v>23</v>
      </c>
      <c r="S347" s="217" t="s">
        <v>22</v>
      </c>
      <c r="T347" s="217" t="s">
        <v>84</v>
      </c>
      <c r="U347" s="217" t="s">
        <v>85</v>
      </c>
      <c r="V347" s="217" t="s">
        <v>97</v>
      </c>
      <c r="W347" s="217" t="s">
        <v>98</v>
      </c>
    </row>
    <row r="348" spans="1:23" x14ac:dyDescent="0.25">
      <c r="A348" s="217" t="s">
        <v>22</v>
      </c>
      <c r="B348" s="217" t="s">
        <v>23</v>
      </c>
      <c r="C348" s="217" t="s">
        <v>85</v>
      </c>
      <c r="D348" s="217" t="s">
        <v>84</v>
      </c>
      <c r="E348" s="217" t="s">
        <v>157</v>
      </c>
      <c r="F348" s="217" t="s">
        <v>156</v>
      </c>
      <c r="G348" s="217" t="s">
        <v>365</v>
      </c>
      <c r="H348" s="217" t="s">
        <v>1053</v>
      </c>
      <c r="I348" s="217" t="s">
        <v>29</v>
      </c>
      <c r="J348" s="217" t="s">
        <v>1857</v>
      </c>
      <c r="K348" s="217">
        <v>5</v>
      </c>
      <c r="L348" s="217">
        <v>35</v>
      </c>
      <c r="M348" s="217" t="s">
        <v>31</v>
      </c>
      <c r="N348" s="217" t="s">
        <v>32</v>
      </c>
      <c r="O348" s="217" t="s">
        <v>68</v>
      </c>
      <c r="P348" s="217" t="s">
        <v>34</v>
      </c>
      <c r="Q348" s="217" t="s">
        <v>35</v>
      </c>
      <c r="R348" s="217" t="s">
        <v>23</v>
      </c>
      <c r="S348" s="217" t="s">
        <v>22</v>
      </c>
      <c r="T348" s="217" t="s">
        <v>84</v>
      </c>
      <c r="U348" s="217" t="s">
        <v>85</v>
      </c>
      <c r="V348" s="217" t="s">
        <v>97</v>
      </c>
      <c r="W348" s="217" t="s">
        <v>98</v>
      </c>
    </row>
    <row r="349" spans="1:23" x14ac:dyDescent="0.25">
      <c r="A349" s="217" t="s">
        <v>22</v>
      </c>
      <c r="B349" s="217" t="s">
        <v>23</v>
      </c>
      <c r="C349" s="217" t="s">
        <v>85</v>
      </c>
      <c r="D349" s="217" t="s">
        <v>84</v>
      </c>
      <c r="E349" s="217" t="s">
        <v>157</v>
      </c>
      <c r="F349" s="217" t="s">
        <v>156</v>
      </c>
      <c r="G349" s="217" t="s">
        <v>365</v>
      </c>
      <c r="H349" s="217" t="s">
        <v>1053</v>
      </c>
      <c r="I349" s="217" t="s">
        <v>29</v>
      </c>
      <c r="J349" s="217" t="s">
        <v>1858</v>
      </c>
      <c r="K349" s="217">
        <v>5</v>
      </c>
      <c r="L349" s="217">
        <v>42</v>
      </c>
      <c r="M349" s="217" t="s">
        <v>31</v>
      </c>
      <c r="N349" s="217" t="s">
        <v>32</v>
      </c>
      <c r="O349" s="217" t="s">
        <v>100</v>
      </c>
      <c r="P349" s="217" t="s">
        <v>34</v>
      </c>
      <c r="Q349" s="217" t="s">
        <v>35</v>
      </c>
      <c r="R349" s="217" t="s">
        <v>23</v>
      </c>
      <c r="S349" s="217" t="s">
        <v>22</v>
      </c>
      <c r="T349" s="217" t="s">
        <v>84</v>
      </c>
      <c r="U349" s="217" t="s">
        <v>85</v>
      </c>
      <c r="V349" s="217" t="s">
        <v>156</v>
      </c>
      <c r="W349" s="217" t="s">
        <v>157</v>
      </c>
    </row>
    <row r="350" spans="1:23" x14ac:dyDescent="0.25">
      <c r="A350" s="217" t="s">
        <v>22</v>
      </c>
      <c r="B350" s="217" t="s">
        <v>23</v>
      </c>
      <c r="C350" s="217" t="s">
        <v>85</v>
      </c>
      <c r="D350" s="217" t="s">
        <v>84</v>
      </c>
      <c r="E350" s="217" t="s">
        <v>151</v>
      </c>
      <c r="F350" s="217" t="s">
        <v>150</v>
      </c>
      <c r="G350" s="217" t="s">
        <v>1054</v>
      </c>
      <c r="H350" s="217" t="s">
        <v>1055</v>
      </c>
      <c r="I350" s="217" t="s">
        <v>29</v>
      </c>
      <c r="J350" s="217" t="s">
        <v>1858</v>
      </c>
      <c r="K350" s="217">
        <v>34</v>
      </c>
      <c r="L350" s="217">
        <v>98</v>
      </c>
      <c r="M350" s="217" t="s">
        <v>31</v>
      </c>
      <c r="N350" s="217" t="s">
        <v>32</v>
      </c>
      <c r="O350" s="217" t="s">
        <v>68</v>
      </c>
      <c r="P350" s="217" t="s">
        <v>34</v>
      </c>
      <c r="Q350" s="217" t="s">
        <v>35</v>
      </c>
      <c r="R350" s="217" t="s">
        <v>23</v>
      </c>
      <c r="S350" s="217" t="s">
        <v>22</v>
      </c>
      <c r="T350" s="217" t="s">
        <v>84</v>
      </c>
      <c r="U350" s="217" t="s">
        <v>85</v>
      </c>
      <c r="V350" s="217" t="s">
        <v>91</v>
      </c>
      <c r="W350" s="217" t="s">
        <v>92</v>
      </c>
    </row>
    <row r="351" spans="1:23" x14ac:dyDescent="0.25">
      <c r="A351" s="217" t="s">
        <v>22</v>
      </c>
      <c r="B351" s="217" t="s">
        <v>23</v>
      </c>
      <c r="C351" s="217" t="s">
        <v>85</v>
      </c>
      <c r="D351" s="217" t="s">
        <v>84</v>
      </c>
      <c r="E351" s="217" t="s">
        <v>151</v>
      </c>
      <c r="F351" s="217" t="s">
        <v>150</v>
      </c>
      <c r="G351" s="217" t="s">
        <v>1056</v>
      </c>
      <c r="H351" s="217" t="s">
        <v>1057</v>
      </c>
      <c r="I351" s="217" t="s">
        <v>29</v>
      </c>
      <c r="J351" s="217" t="s">
        <v>1858</v>
      </c>
      <c r="K351" s="217">
        <v>70</v>
      </c>
      <c r="L351" s="217">
        <v>150</v>
      </c>
      <c r="M351" s="217" t="s">
        <v>31</v>
      </c>
      <c r="N351" s="217" t="s">
        <v>32</v>
      </c>
      <c r="O351" s="217" t="s">
        <v>100</v>
      </c>
      <c r="P351" s="217" t="s">
        <v>34</v>
      </c>
      <c r="Q351" s="217" t="s">
        <v>35</v>
      </c>
      <c r="R351" s="217" t="s">
        <v>23</v>
      </c>
      <c r="S351" s="217" t="s">
        <v>22</v>
      </c>
      <c r="T351" s="217" t="s">
        <v>84</v>
      </c>
      <c r="U351" s="217" t="s">
        <v>85</v>
      </c>
      <c r="V351" s="217" t="s">
        <v>150</v>
      </c>
      <c r="W351" s="217" t="s">
        <v>151</v>
      </c>
    </row>
    <row r="352" spans="1:23" x14ac:dyDescent="0.25">
      <c r="A352" s="217" t="s">
        <v>22</v>
      </c>
      <c r="B352" s="217" t="s">
        <v>23</v>
      </c>
      <c r="C352" s="217" t="s">
        <v>85</v>
      </c>
      <c r="D352" s="217" t="s">
        <v>84</v>
      </c>
      <c r="E352" s="217" t="s">
        <v>151</v>
      </c>
      <c r="F352" s="217" t="s">
        <v>150</v>
      </c>
      <c r="G352" s="217" t="s">
        <v>1058</v>
      </c>
      <c r="H352" s="217" t="s">
        <v>1059</v>
      </c>
      <c r="I352" s="217" t="s">
        <v>29</v>
      </c>
      <c r="J352" s="217" t="s">
        <v>1858</v>
      </c>
      <c r="K352" s="217">
        <v>30</v>
      </c>
      <c r="L352" s="217">
        <v>150</v>
      </c>
      <c r="M352" s="217" t="s">
        <v>31</v>
      </c>
      <c r="N352" s="217" t="s">
        <v>32</v>
      </c>
      <c r="O352" s="217" t="s">
        <v>100</v>
      </c>
      <c r="P352" s="217" t="s">
        <v>34</v>
      </c>
      <c r="Q352" s="217" t="s">
        <v>35</v>
      </c>
      <c r="R352" s="217" t="s">
        <v>23</v>
      </c>
      <c r="S352" s="217" t="s">
        <v>22</v>
      </c>
      <c r="T352" s="217" t="s">
        <v>84</v>
      </c>
      <c r="U352" s="217" t="s">
        <v>85</v>
      </c>
      <c r="V352" s="217" t="s">
        <v>150</v>
      </c>
      <c r="W352" s="217" t="s">
        <v>151</v>
      </c>
    </row>
    <row r="353" spans="1:23" x14ac:dyDescent="0.25">
      <c r="A353" s="217" t="s">
        <v>22</v>
      </c>
      <c r="B353" s="217" t="s">
        <v>23</v>
      </c>
      <c r="C353" s="217" t="s">
        <v>85</v>
      </c>
      <c r="D353" s="217" t="s">
        <v>84</v>
      </c>
      <c r="E353" s="217" t="s">
        <v>151</v>
      </c>
      <c r="F353" s="217" t="s">
        <v>150</v>
      </c>
      <c r="G353" s="217" t="s">
        <v>774</v>
      </c>
      <c r="H353" s="217" t="s">
        <v>1061</v>
      </c>
      <c r="I353" s="217" t="s">
        <v>29</v>
      </c>
      <c r="J353" s="217" t="s">
        <v>1856</v>
      </c>
      <c r="K353" s="217">
        <v>33</v>
      </c>
      <c r="L353" s="217">
        <v>121</v>
      </c>
      <c r="M353" s="217" t="s">
        <v>31</v>
      </c>
      <c r="N353" s="217" t="s">
        <v>32</v>
      </c>
      <c r="O353" s="217" t="s">
        <v>100</v>
      </c>
      <c r="P353" s="217" t="s">
        <v>34</v>
      </c>
      <c r="Q353" s="217" t="s">
        <v>35</v>
      </c>
      <c r="R353" s="217" t="s">
        <v>23</v>
      </c>
      <c r="S353" s="217" t="s">
        <v>22</v>
      </c>
      <c r="T353" s="217" t="s">
        <v>84</v>
      </c>
      <c r="U353" s="217" t="s">
        <v>85</v>
      </c>
      <c r="V353" s="217" t="s">
        <v>150</v>
      </c>
      <c r="W353" s="217" t="s">
        <v>151</v>
      </c>
    </row>
    <row r="354" spans="1:23" x14ac:dyDescent="0.25">
      <c r="A354" s="217" t="s">
        <v>22</v>
      </c>
      <c r="B354" s="217" t="s">
        <v>23</v>
      </c>
      <c r="C354" s="217" t="s">
        <v>85</v>
      </c>
      <c r="D354" s="217" t="s">
        <v>84</v>
      </c>
      <c r="E354" s="217" t="s">
        <v>151</v>
      </c>
      <c r="F354" s="217" t="s">
        <v>150</v>
      </c>
      <c r="G354" s="217" t="s">
        <v>774</v>
      </c>
      <c r="H354" s="217" t="s">
        <v>1061</v>
      </c>
      <c r="I354" s="217" t="s">
        <v>29</v>
      </c>
      <c r="J354" s="217" t="s">
        <v>1857</v>
      </c>
      <c r="K354" s="217">
        <v>2</v>
      </c>
      <c r="L354" s="217">
        <v>21</v>
      </c>
      <c r="M354" s="217" t="s">
        <v>31</v>
      </c>
      <c r="N354" s="217" t="s">
        <v>32</v>
      </c>
      <c r="O354" s="217" t="s">
        <v>100</v>
      </c>
      <c r="P354" s="217" t="s">
        <v>34</v>
      </c>
      <c r="Q354" s="217" t="s">
        <v>35</v>
      </c>
      <c r="R354" s="217" t="s">
        <v>23</v>
      </c>
      <c r="S354" s="217" t="s">
        <v>22</v>
      </c>
      <c r="T354" s="217" t="s">
        <v>84</v>
      </c>
      <c r="U354" s="217" t="s">
        <v>85</v>
      </c>
      <c r="V354" s="217" t="s">
        <v>150</v>
      </c>
      <c r="W354" s="217" t="s">
        <v>151</v>
      </c>
    </row>
    <row r="355" spans="1:23" x14ac:dyDescent="0.25">
      <c r="A355" s="217" t="s">
        <v>22</v>
      </c>
      <c r="B355" s="217" t="s">
        <v>23</v>
      </c>
      <c r="C355" s="217" t="s">
        <v>85</v>
      </c>
      <c r="D355" s="217" t="s">
        <v>84</v>
      </c>
      <c r="E355" s="217" t="s">
        <v>151</v>
      </c>
      <c r="F355" s="217" t="s">
        <v>150</v>
      </c>
      <c r="G355" s="217" t="s">
        <v>366</v>
      </c>
      <c r="H355" s="217" t="s">
        <v>1062</v>
      </c>
      <c r="I355" s="217" t="s">
        <v>29</v>
      </c>
      <c r="J355" s="217" t="s">
        <v>1857</v>
      </c>
      <c r="K355" s="217">
        <v>96</v>
      </c>
      <c r="L355" s="217">
        <v>759</v>
      </c>
      <c r="M355" s="217" t="s">
        <v>31</v>
      </c>
      <c r="N355" s="217" t="s">
        <v>32</v>
      </c>
      <c r="O355" s="217" t="s">
        <v>100</v>
      </c>
      <c r="P355" s="217" t="s">
        <v>34</v>
      </c>
      <c r="Q355" s="217" t="s">
        <v>35</v>
      </c>
      <c r="R355" s="217" t="s">
        <v>23</v>
      </c>
      <c r="S355" s="217" t="s">
        <v>22</v>
      </c>
      <c r="T355" s="217" t="s">
        <v>84</v>
      </c>
      <c r="U355" s="217" t="s">
        <v>85</v>
      </c>
      <c r="V355" s="217" t="s">
        <v>150</v>
      </c>
      <c r="W355" s="217" t="s">
        <v>151</v>
      </c>
    </row>
    <row r="356" spans="1:23" x14ac:dyDescent="0.25">
      <c r="A356" s="217" t="s">
        <v>22</v>
      </c>
      <c r="B356" s="217" t="s">
        <v>23</v>
      </c>
      <c r="C356" s="217" t="s">
        <v>85</v>
      </c>
      <c r="D356" s="217" t="s">
        <v>84</v>
      </c>
      <c r="E356" s="217" t="s">
        <v>151</v>
      </c>
      <c r="F356" s="217" t="s">
        <v>150</v>
      </c>
      <c r="G356" s="217" t="s">
        <v>1063</v>
      </c>
      <c r="H356" s="217" t="s">
        <v>1064</v>
      </c>
      <c r="I356" s="217" t="s">
        <v>29</v>
      </c>
      <c r="J356" s="217" t="s">
        <v>1858</v>
      </c>
      <c r="K356" s="217">
        <v>53</v>
      </c>
      <c r="L356" s="217">
        <v>205</v>
      </c>
      <c r="M356" s="217" t="s">
        <v>31</v>
      </c>
      <c r="N356" s="217" t="s">
        <v>32</v>
      </c>
      <c r="O356" s="217" t="s">
        <v>100</v>
      </c>
      <c r="P356" s="217" t="s">
        <v>34</v>
      </c>
      <c r="Q356" s="217" t="s">
        <v>35</v>
      </c>
      <c r="R356" s="217" t="s">
        <v>23</v>
      </c>
      <c r="S356" s="217" t="s">
        <v>22</v>
      </c>
      <c r="T356" s="217" t="s">
        <v>84</v>
      </c>
      <c r="U356" s="217" t="s">
        <v>85</v>
      </c>
      <c r="V356" s="217" t="s">
        <v>150</v>
      </c>
      <c r="W356" s="217" t="s">
        <v>151</v>
      </c>
    </row>
    <row r="357" spans="1:23" x14ac:dyDescent="0.25">
      <c r="A357" s="217" t="s">
        <v>22</v>
      </c>
      <c r="B357" s="217" t="s">
        <v>23</v>
      </c>
      <c r="C357" s="217" t="s">
        <v>85</v>
      </c>
      <c r="D357" s="217" t="s">
        <v>84</v>
      </c>
      <c r="E357" s="217" t="s">
        <v>151</v>
      </c>
      <c r="F357" s="217" t="s">
        <v>150</v>
      </c>
      <c r="G357" s="217" t="s">
        <v>1065</v>
      </c>
      <c r="H357" s="217" t="s">
        <v>1066</v>
      </c>
      <c r="I357" s="217" t="s">
        <v>29</v>
      </c>
      <c r="J357" s="217" t="s">
        <v>1858</v>
      </c>
      <c r="K357" s="217">
        <v>22</v>
      </c>
      <c r="L357" s="217">
        <v>100</v>
      </c>
      <c r="M357" s="217" t="s">
        <v>31</v>
      </c>
      <c r="N357" s="217" t="s">
        <v>32</v>
      </c>
      <c r="O357" s="217" t="s">
        <v>68</v>
      </c>
      <c r="P357" s="217" t="s">
        <v>34</v>
      </c>
      <c r="Q357" s="217" t="s">
        <v>35</v>
      </c>
      <c r="R357" s="217" t="s">
        <v>23</v>
      </c>
      <c r="S357" s="217" t="s">
        <v>22</v>
      </c>
      <c r="T357" s="217" t="s">
        <v>84</v>
      </c>
      <c r="U357" s="217" t="s">
        <v>85</v>
      </c>
      <c r="V357" s="217" t="s">
        <v>174</v>
      </c>
      <c r="W357" s="217" t="s">
        <v>175</v>
      </c>
    </row>
    <row r="358" spans="1:23" x14ac:dyDescent="0.25">
      <c r="A358" s="217" t="s">
        <v>22</v>
      </c>
      <c r="B358" s="217" t="s">
        <v>23</v>
      </c>
      <c r="C358" s="217" t="s">
        <v>85</v>
      </c>
      <c r="D358" s="217" t="s">
        <v>84</v>
      </c>
      <c r="E358" s="217" t="s">
        <v>151</v>
      </c>
      <c r="F358" s="217" t="s">
        <v>150</v>
      </c>
      <c r="G358" s="217" t="s">
        <v>778</v>
      </c>
      <c r="H358" s="217" t="s">
        <v>1067</v>
      </c>
      <c r="I358" s="217" t="s">
        <v>29</v>
      </c>
      <c r="J358" s="217" t="s">
        <v>1856</v>
      </c>
      <c r="K358" s="217">
        <v>19</v>
      </c>
      <c r="L358" s="217">
        <v>100</v>
      </c>
      <c r="M358" s="217" t="s">
        <v>31</v>
      </c>
      <c r="N358" s="217" t="s">
        <v>32</v>
      </c>
      <c r="O358" s="217" t="s">
        <v>100</v>
      </c>
      <c r="P358" s="217" t="s">
        <v>34</v>
      </c>
      <c r="Q358" s="217" t="s">
        <v>35</v>
      </c>
      <c r="R358" s="217" t="s">
        <v>23</v>
      </c>
      <c r="S358" s="217" t="s">
        <v>22</v>
      </c>
      <c r="T358" s="217" t="s">
        <v>84</v>
      </c>
      <c r="U358" s="217" t="s">
        <v>85</v>
      </c>
      <c r="V358" s="217" t="s">
        <v>150</v>
      </c>
      <c r="W358" s="217" t="s">
        <v>151</v>
      </c>
    </row>
    <row r="359" spans="1:23" x14ac:dyDescent="0.25">
      <c r="A359" s="217" t="s">
        <v>22</v>
      </c>
      <c r="B359" s="217" t="s">
        <v>23</v>
      </c>
      <c r="C359" s="217" t="s">
        <v>85</v>
      </c>
      <c r="D359" s="217" t="s">
        <v>84</v>
      </c>
      <c r="E359" s="217" t="s">
        <v>151</v>
      </c>
      <c r="F359" s="217" t="s">
        <v>150</v>
      </c>
      <c r="G359" s="217" t="s">
        <v>780</v>
      </c>
      <c r="H359" s="217" t="s">
        <v>1068</v>
      </c>
      <c r="I359" s="217" t="s">
        <v>29</v>
      </c>
      <c r="J359" s="217" t="s">
        <v>1857</v>
      </c>
      <c r="K359" s="217">
        <v>60</v>
      </c>
      <c r="L359" s="217">
        <v>238</v>
      </c>
      <c r="M359" s="217" t="s">
        <v>31</v>
      </c>
      <c r="N359" s="217" t="s">
        <v>32</v>
      </c>
      <c r="O359" s="217" t="s">
        <v>100</v>
      </c>
      <c r="P359" s="217" t="s">
        <v>34</v>
      </c>
      <c r="Q359" s="217" t="s">
        <v>35</v>
      </c>
      <c r="R359" s="217" t="s">
        <v>23</v>
      </c>
      <c r="S359" s="217" t="s">
        <v>22</v>
      </c>
      <c r="T359" s="217" t="s">
        <v>84</v>
      </c>
      <c r="U359" s="217" t="s">
        <v>85</v>
      </c>
      <c r="V359" s="217" t="s">
        <v>150</v>
      </c>
      <c r="W359" s="217" t="s">
        <v>151</v>
      </c>
    </row>
    <row r="360" spans="1:23" x14ac:dyDescent="0.25">
      <c r="A360" s="217" t="s">
        <v>22</v>
      </c>
      <c r="B360" s="217" t="s">
        <v>23</v>
      </c>
      <c r="C360" s="217" t="s">
        <v>85</v>
      </c>
      <c r="D360" s="217" t="s">
        <v>84</v>
      </c>
      <c r="E360" s="217" t="s">
        <v>151</v>
      </c>
      <c r="F360" s="217" t="s">
        <v>150</v>
      </c>
      <c r="G360" s="217" t="s">
        <v>780</v>
      </c>
      <c r="H360" s="217" t="s">
        <v>1068</v>
      </c>
      <c r="I360" s="217" t="s">
        <v>29</v>
      </c>
      <c r="J360" s="217" t="s">
        <v>1858</v>
      </c>
      <c r="K360" s="217">
        <v>10</v>
      </c>
      <c r="L360" s="217">
        <v>60</v>
      </c>
      <c r="M360" s="217" t="s">
        <v>31</v>
      </c>
      <c r="N360" s="217" t="s">
        <v>32</v>
      </c>
      <c r="O360" s="217" t="s">
        <v>100</v>
      </c>
      <c r="P360" s="217" t="s">
        <v>34</v>
      </c>
      <c r="Q360" s="217" t="s">
        <v>35</v>
      </c>
      <c r="R360" s="217" t="s">
        <v>23</v>
      </c>
      <c r="S360" s="217" t="s">
        <v>22</v>
      </c>
      <c r="T360" s="217" t="s">
        <v>84</v>
      </c>
      <c r="U360" s="217" t="s">
        <v>85</v>
      </c>
      <c r="V360" s="217" t="s">
        <v>150</v>
      </c>
      <c r="W360" s="217" t="s">
        <v>151</v>
      </c>
    </row>
    <row r="361" spans="1:23" x14ac:dyDescent="0.25">
      <c r="A361" s="217" t="s">
        <v>22</v>
      </c>
      <c r="B361" s="217" t="s">
        <v>23</v>
      </c>
      <c r="C361" s="217" t="s">
        <v>85</v>
      </c>
      <c r="D361" s="217" t="s">
        <v>84</v>
      </c>
      <c r="E361" s="217" t="s">
        <v>151</v>
      </c>
      <c r="F361" s="217" t="s">
        <v>150</v>
      </c>
      <c r="G361" s="217" t="s">
        <v>1069</v>
      </c>
      <c r="H361" s="217" t="s">
        <v>1070</v>
      </c>
      <c r="I361" s="217" t="s">
        <v>29</v>
      </c>
      <c r="J361" s="217" t="s">
        <v>1858</v>
      </c>
      <c r="K361" s="217">
        <v>52</v>
      </c>
      <c r="L361" s="217">
        <v>150</v>
      </c>
      <c r="M361" s="217" t="s">
        <v>31</v>
      </c>
      <c r="N361" s="217" t="s">
        <v>32</v>
      </c>
      <c r="O361" s="217" t="s">
        <v>100</v>
      </c>
      <c r="P361" s="217" t="s">
        <v>34</v>
      </c>
      <c r="Q361" s="217" t="s">
        <v>35</v>
      </c>
      <c r="R361" s="217" t="s">
        <v>23</v>
      </c>
      <c r="S361" s="217" t="s">
        <v>22</v>
      </c>
      <c r="T361" s="217" t="s">
        <v>84</v>
      </c>
      <c r="U361" s="217" t="s">
        <v>85</v>
      </c>
      <c r="V361" s="217" t="s">
        <v>150</v>
      </c>
      <c r="W361" s="217" t="s">
        <v>151</v>
      </c>
    </row>
    <row r="362" spans="1:23" x14ac:dyDescent="0.25">
      <c r="A362" s="217" t="s">
        <v>22</v>
      </c>
      <c r="B362" s="217" t="s">
        <v>23</v>
      </c>
      <c r="C362" s="217" t="s">
        <v>85</v>
      </c>
      <c r="D362" s="217" t="s">
        <v>84</v>
      </c>
      <c r="E362" s="217" t="s">
        <v>151</v>
      </c>
      <c r="F362" s="217" t="s">
        <v>150</v>
      </c>
      <c r="G362" s="217" t="s">
        <v>781</v>
      </c>
      <c r="H362" s="217" t="s">
        <v>1071</v>
      </c>
      <c r="I362" s="217" t="s">
        <v>29</v>
      </c>
      <c r="J362" s="217" t="s">
        <v>1856</v>
      </c>
      <c r="K362" s="217">
        <v>50</v>
      </c>
      <c r="L362" s="217">
        <v>283</v>
      </c>
      <c r="M362" s="217" t="s">
        <v>31</v>
      </c>
      <c r="N362" s="217" t="s">
        <v>32</v>
      </c>
      <c r="O362" s="217" t="s">
        <v>100</v>
      </c>
      <c r="P362" s="217" t="s">
        <v>34</v>
      </c>
      <c r="Q362" s="217" t="s">
        <v>35</v>
      </c>
      <c r="R362" s="217" t="s">
        <v>23</v>
      </c>
      <c r="S362" s="217" t="s">
        <v>22</v>
      </c>
      <c r="T362" s="217" t="s">
        <v>84</v>
      </c>
      <c r="U362" s="217" t="s">
        <v>85</v>
      </c>
      <c r="V362" s="217" t="s">
        <v>150</v>
      </c>
      <c r="W362" s="217" t="s">
        <v>151</v>
      </c>
    </row>
    <row r="363" spans="1:23" x14ac:dyDescent="0.25">
      <c r="A363" s="217" t="s">
        <v>22</v>
      </c>
      <c r="B363" s="217" t="s">
        <v>23</v>
      </c>
      <c r="C363" s="217" t="s">
        <v>85</v>
      </c>
      <c r="D363" s="217" t="s">
        <v>84</v>
      </c>
      <c r="E363" s="217" t="s">
        <v>151</v>
      </c>
      <c r="F363" s="217" t="s">
        <v>150</v>
      </c>
      <c r="G363" s="217" t="s">
        <v>1072</v>
      </c>
      <c r="H363" s="217" t="s">
        <v>1073</v>
      </c>
      <c r="I363" s="217" t="s">
        <v>29</v>
      </c>
      <c r="J363" s="217" t="s">
        <v>1858</v>
      </c>
      <c r="K363" s="217">
        <v>17</v>
      </c>
      <c r="L363" s="217">
        <v>130</v>
      </c>
      <c r="M363" s="217" t="s">
        <v>31</v>
      </c>
      <c r="N363" s="217" t="s">
        <v>32</v>
      </c>
      <c r="O363" s="217" t="s">
        <v>68</v>
      </c>
      <c r="P363" s="217" t="s">
        <v>34</v>
      </c>
      <c r="Q363" s="217" t="s">
        <v>35</v>
      </c>
      <c r="R363" s="217" t="s">
        <v>23</v>
      </c>
      <c r="S363" s="217" t="s">
        <v>22</v>
      </c>
      <c r="T363" s="217" t="s">
        <v>84</v>
      </c>
      <c r="U363" s="217" t="s">
        <v>85</v>
      </c>
      <c r="V363" s="217" t="s">
        <v>174</v>
      </c>
      <c r="W363" s="217" t="s">
        <v>175</v>
      </c>
    </row>
    <row r="364" spans="1:23" x14ac:dyDescent="0.25">
      <c r="A364" s="217" t="s">
        <v>22</v>
      </c>
      <c r="B364" s="217" t="s">
        <v>23</v>
      </c>
      <c r="C364" s="217" t="s">
        <v>85</v>
      </c>
      <c r="D364" s="217" t="s">
        <v>84</v>
      </c>
      <c r="E364" s="217" t="s">
        <v>151</v>
      </c>
      <c r="F364" s="217" t="s">
        <v>150</v>
      </c>
      <c r="G364" s="217" t="s">
        <v>1074</v>
      </c>
      <c r="H364" s="217" t="s">
        <v>1075</v>
      </c>
      <c r="I364" s="217" t="s">
        <v>29</v>
      </c>
      <c r="J364" s="217" t="s">
        <v>1858</v>
      </c>
      <c r="K364" s="217">
        <v>18</v>
      </c>
      <c r="L364" s="217">
        <v>130</v>
      </c>
      <c r="M364" s="217" t="s">
        <v>31</v>
      </c>
      <c r="N364" s="217" t="s">
        <v>32</v>
      </c>
      <c r="O364" s="217" t="s">
        <v>68</v>
      </c>
      <c r="P364" s="217" t="s">
        <v>34</v>
      </c>
      <c r="Q364" s="217" t="s">
        <v>35</v>
      </c>
      <c r="R364" s="217" t="s">
        <v>23</v>
      </c>
      <c r="S364" s="217" t="s">
        <v>22</v>
      </c>
      <c r="T364" s="217" t="s">
        <v>84</v>
      </c>
      <c r="U364" s="217" t="s">
        <v>85</v>
      </c>
      <c r="V364" s="217" t="s">
        <v>174</v>
      </c>
      <c r="W364" s="217" t="s">
        <v>175</v>
      </c>
    </row>
    <row r="365" spans="1:23" x14ac:dyDescent="0.25">
      <c r="A365" s="217" t="s">
        <v>22</v>
      </c>
      <c r="B365" s="217" t="s">
        <v>23</v>
      </c>
      <c r="C365" s="217" t="s">
        <v>85</v>
      </c>
      <c r="D365" s="217" t="s">
        <v>84</v>
      </c>
      <c r="E365" s="217" t="s">
        <v>151</v>
      </c>
      <c r="F365" s="217" t="s">
        <v>150</v>
      </c>
      <c r="G365" s="217" t="s">
        <v>1076</v>
      </c>
      <c r="H365" s="217" t="s">
        <v>1077</v>
      </c>
      <c r="I365" s="217" t="s">
        <v>29</v>
      </c>
      <c r="J365" s="217" t="s">
        <v>1858</v>
      </c>
      <c r="K365" s="217">
        <v>22</v>
      </c>
      <c r="L365" s="217">
        <v>100</v>
      </c>
      <c r="M365" s="217" t="s">
        <v>31</v>
      </c>
      <c r="N365" s="217" t="s">
        <v>32</v>
      </c>
      <c r="O365" s="217" t="s">
        <v>68</v>
      </c>
      <c r="P365" s="217" t="s">
        <v>34</v>
      </c>
      <c r="Q365" s="217" t="s">
        <v>35</v>
      </c>
      <c r="R365" s="217" t="s">
        <v>23</v>
      </c>
      <c r="S365" s="217" t="s">
        <v>22</v>
      </c>
      <c r="T365" s="217" t="s">
        <v>84</v>
      </c>
      <c r="U365" s="217" t="s">
        <v>85</v>
      </c>
      <c r="V365" s="217" t="s">
        <v>174</v>
      </c>
      <c r="W365" s="217" t="s">
        <v>175</v>
      </c>
    </row>
    <row r="366" spans="1:23" x14ac:dyDescent="0.25">
      <c r="A366" s="217" t="s">
        <v>22</v>
      </c>
      <c r="B366" s="217" t="s">
        <v>23</v>
      </c>
      <c r="C366" s="217" t="s">
        <v>85</v>
      </c>
      <c r="D366" s="217" t="s">
        <v>84</v>
      </c>
      <c r="E366" s="217" t="s">
        <v>151</v>
      </c>
      <c r="F366" s="217" t="s">
        <v>150</v>
      </c>
      <c r="G366" s="217" t="s">
        <v>1078</v>
      </c>
      <c r="H366" s="217" t="s">
        <v>1079</v>
      </c>
      <c r="I366" s="217" t="s">
        <v>29</v>
      </c>
      <c r="J366" s="217" t="s">
        <v>1858</v>
      </c>
      <c r="K366" s="217">
        <v>100</v>
      </c>
      <c r="L366" s="217">
        <v>500</v>
      </c>
      <c r="M366" s="217" t="s">
        <v>31</v>
      </c>
      <c r="N366" s="217" t="s">
        <v>32</v>
      </c>
      <c r="O366" s="217" t="s">
        <v>100</v>
      </c>
      <c r="P366" s="217" t="s">
        <v>34</v>
      </c>
      <c r="Q366" s="217" t="s">
        <v>35</v>
      </c>
      <c r="R366" s="217" t="s">
        <v>23</v>
      </c>
      <c r="S366" s="217" t="s">
        <v>22</v>
      </c>
      <c r="T366" s="217" t="s">
        <v>84</v>
      </c>
      <c r="U366" s="217" t="s">
        <v>85</v>
      </c>
      <c r="V366" s="217" t="s">
        <v>150</v>
      </c>
      <c r="W366" s="217" t="s">
        <v>151</v>
      </c>
    </row>
    <row r="367" spans="1:23" x14ac:dyDescent="0.25">
      <c r="A367" s="217" t="s">
        <v>22</v>
      </c>
      <c r="B367" s="217" t="s">
        <v>23</v>
      </c>
      <c r="C367" s="217" t="s">
        <v>85</v>
      </c>
      <c r="D367" s="217" t="s">
        <v>84</v>
      </c>
      <c r="E367" s="217" t="s">
        <v>151</v>
      </c>
      <c r="F367" s="217" t="s">
        <v>150</v>
      </c>
      <c r="G367" s="217" t="s">
        <v>367</v>
      </c>
      <c r="H367" s="217" t="s">
        <v>1080</v>
      </c>
      <c r="I367" s="217" t="s">
        <v>29</v>
      </c>
      <c r="J367" s="217" t="s">
        <v>1856</v>
      </c>
      <c r="K367" s="217">
        <v>173</v>
      </c>
      <c r="L367" s="217">
        <v>1123</v>
      </c>
      <c r="M367" s="217" t="s">
        <v>31</v>
      </c>
      <c r="N367" s="217" t="s">
        <v>32</v>
      </c>
      <c r="O367" s="217" t="s">
        <v>100</v>
      </c>
      <c r="P367" s="217" t="s">
        <v>34</v>
      </c>
      <c r="Q367" s="217" t="s">
        <v>35</v>
      </c>
      <c r="R367" s="217" t="s">
        <v>23</v>
      </c>
      <c r="S367" s="217" t="s">
        <v>22</v>
      </c>
      <c r="T367" s="217" t="s">
        <v>84</v>
      </c>
      <c r="U367" s="217" t="s">
        <v>85</v>
      </c>
      <c r="V367" s="217" t="s">
        <v>150</v>
      </c>
      <c r="W367" s="217" t="s">
        <v>151</v>
      </c>
    </row>
    <row r="368" spans="1:23" x14ac:dyDescent="0.25">
      <c r="A368" s="217" t="s">
        <v>22</v>
      </c>
      <c r="B368" s="217" t="s">
        <v>23</v>
      </c>
      <c r="C368" s="217" t="s">
        <v>85</v>
      </c>
      <c r="D368" s="217" t="s">
        <v>84</v>
      </c>
      <c r="E368" s="217" t="s">
        <v>151</v>
      </c>
      <c r="F368" s="217" t="s">
        <v>150</v>
      </c>
      <c r="G368" s="217" t="s">
        <v>368</v>
      </c>
      <c r="H368" s="217" t="s">
        <v>1081</v>
      </c>
      <c r="I368" s="217" t="s">
        <v>29</v>
      </c>
      <c r="J368" s="217" t="s">
        <v>1856</v>
      </c>
      <c r="K368" s="217">
        <v>191</v>
      </c>
      <c r="L368" s="217">
        <v>950</v>
      </c>
      <c r="M368" s="217" t="s">
        <v>31</v>
      </c>
      <c r="N368" s="217" t="s">
        <v>32</v>
      </c>
      <c r="O368" s="217" t="s">
        <v>68</v>
      </c>
      <c r="P368" s="217" t="s">
        <v>34</v>
      </c>
      <c r="Q368" s="217" t="s">
        <v>35</v>
      </c>
      <c r="R368" s="217" t="s">
        <v>23</v>
      </c>
      <c r="S368" s="217" t="s">
        <v>22</v>
      </c>
      <c r="T368" s="217" t="s">
        <v>84</v>
      </c>
      <c r="U368" s="217" t="s">
        <v>85</v>
      </c>
      <c r="V368" s="217" t="s">
        <v>150</v>
      </c>
      <c r="W368" s="217" t="s">
        <v>151</v>
      </c>
    </row>
    <row r="369" spans="1:23" x14ac:dyDescent="0.25">
      <c r="A369" s="217" t="s">
        <v>22</v>
      </c>
      <c r="B369" s="217" t="s">
        <v>23</v>
      </c>
      <c r="C369" s="217" t="s">
        <v>85</v>
      </c>
      <c r="D369" s="217" t="s">
        <v>84</v>
      </c>
      <c r="E369" s="217" t="s">
        <v>151</v>
      </c>
      <c r="F369" s="217" t="s">
        <v>150</v>
      </c>
      <c r="G369" s="217" t="s">
        <v>852</v>
      </c>
      <c r="H369" s="217" t="s">
        <v>1082</v>
      </c>
      <c r="I369" s="217" t="s">
        <v>29</v>
      </c>
      <c r="J369" s="217" t="s">
        <v>1854</v>
      </c>
      <c r="K369" s="217">
        <v>18</v>
      </c>
      <c r="L369" s="217">
        <v>87</v>
      </c>
      <c r="M369" s="217" t="s">
        <v>31</v>
      </c>
      <c r="N369" s="217" t="s">
        <v>32</v>
      </c>
      <c r="O369" s="217" t="s">
        <v>68</v>
      </c>
      <c r="P369" s="217" t="s">
        <v>34</v>
      </c>
      <c r="Q369" s="217" t="s">
        <v>35</v>
      </c>
      <c r="R369" s="217" t="s">
        <v>23</v>
      </c>
      <c r="S369" s="217" t="s">
        <v>22</v>
      </c>
      <c r="T369" s="217" t="s">
        <v>84</v>
      </c>
      <c r="U369" s="217" t="s">
        <v>85</v>
      </c>
      <c r="V369" s="217" t="s">
        <v>174</v>
      </c>
      <c r="W369" s="217" t="s">
        <v>175</v>
      </c>
    </row>
    <row r="370" spans="1:23" x14ac:dyDescent="0.25">
      <c r="A370" s="217" t="s">
        <v>22</v>
      </c>
      <c r="B370" s="217" t="s">
        <v>23</v>
      </c>
      <c r="C370" s="217" t="s">
        <v>85</v>
      </c>
      <c r="D370" s="217" t="s">
        <v>84</v>
      </c>
      <c r="E370" s="217" t="s">
        <v>151</v>
      </c>
      <c r="F370" s="217" t="s">
        <v>150</v>
      </c>
      <c r="G370" s="217" t="s">
        <v>777</v>
      </c>
      <c r="H370" s="217" t="s">
        <v>1664</v>
      </c>
      <c r="I370" s="217" t="s">
        <v>29</v>
      </c>
      <c r="J370" s="217" t="s">
        <v>1857</v>
      </c>
      <c r="K370" s="217">
        <v>32</v>
      </c>
      <c r="L370" s="217">
        <v>128</v>
      </c>
      <c r="M370" s="217" t="s">
        <v>31</v>
      </c>
      <c r="N370" s="217" t="s">
        <v>32</v>
      </c>
      <c r="O370" s="217" t="s">
        <v>100</v>
      </c>
      <c r="P370" s="217" t="s">
        <v>34</v>
      </c>
      <c r="Q370" s="217" t="s">
        <v>35</v>
      </c>
      <c r="R370" s="217" t="s">
        <v>23</v>
      </c>
      <c r="S370" s="217" t="s">
        <v>22</v>
      </c>
      <c r="T370" s="217" t="s">
        <v>84</v>
      </c>
      <c r="U370" s="217" t="s">
        <v>85</v>
      </c>
      <c r="V370" s="217" t="s">
        <v>150</v>
      </c>
      <c r="W370" s="217" t="s">
        <v>151</v>
      </c>
    </row>
    <row r="371" spans="1:23" x14ac:dyDescent="0.25">
      <c r="A371" s="217" t="s">
        <v>22</v>
      </c>
      <c r="B371" s="217" t="s">
        <v>23</v>
      </c>
      <c r="C371" s="217" t="s">
        <v>85</v>
      </c>
      <c r="D371" s="217" t="s">
        <v>84</v>
      </c>
      <c r="E371" s="217" t="s">
        <v>151</v>
      </c>
      <c r="F371" s="217" t="s">
        <v>150</v>
      </c>
      <c r="G371" s="217" t="s">
        <v>697</v>
      </c>
      <c r="H371" s="217" t="s">
        <v>1083</v>
      </c>
      <c r="I371" s="217" t="s">
        <v>29</v>
      </c>
      <c r="J371" s="217" t="s">
        <v>1856</v>
      </c>
      <c r="K371" s="217">
        <v>35</v>
      </c>
      <c r="L371" s="217">
        <v>350</v>
      </c>
      <c r="M371" s="217" t="s">
        <v>31</v>
      </c>
      <c r="N371" s="217" t="s">
        <v>32</v>
      </c>
      <c r="O371" s="217" t="s">
        <v>68</v>
      </c>
      <c r="P371" s="217" t="s">
        <v>34</v>
      </c>
      <c r="Q371" s="217" t="s">
        <v>35</v>
      </c>
      <c r="R371" s="217" t="s">
        <v>23</v>
      </c>
      <c r="S371" s="217" t="s">
        <v>22</v>
      </c>
      <c r="T371" s="217" t="s">
        <v>84</v>
      </c>
      <c r="U371" s="217" t="s">
        <v>85</v>
      </c>
      <c r="V371" s="217" t="s">
        <v>150</v>
      </c>
      <c r="W371" s="217" t="s">
        <v>151</v>
      </c>
    </row>
    <row r="372" spans="1:23" x14ac:dyDescent="0.25">
      <c r="A372" s="217" t="s">
        <v>22</v>
      </c>
      <c r="B372" s="217" t="s">
        <v>23</v>
      </c>
      <c r="C372" s="217" t="s">
        <v>85</v>
      </c>
      <c r="D372" s="217" t="s">
        <v>84</v>
      </c>
      <c r="E372" s="217" t="s">
        <v>151</v>
      </c>
      <c r="F372" s="217" t="s">
        <v>150</v>
      </c>
      <c r="G372" s="217" t="s">
        <v>152</v>
      </c>
      <c r="H372" s="217" t="s">
        <v>1084</v>
      </c>
      <c r="I372" s="217" t="s">
        <v>29</v>
      </c>
      <c r="J372" s="217" t="s">
        <v>1854</v>
      </c>
      <c r="K372" s="217">
        <v>84</v>
      </c>
      <c r="L372" s="217">
        <v>519</v>
      </c>
      <c r="M372" s="217" t="s">
        <v>99</v>
      </c>
      <c r="N372" s="217" t="s">
        <v>32</v>
      </c>
      <c r="O372" s="217" t="s">
        <v>100</v>
      </c>
      <c r="P372" s="217" t="s">
        <v>34</v>
      </c>
      <c r="Q372" s="217" t="s">
        <v>35</v>
      </c>
      <c r="R372" s="217" t="s">
        <v>23</v>
      </c>
      <c r="S372" s="217" t="s">
        <v>22</v>
      </c>
      <c r="T372" s="217" t="s">
        <v>84</v>
      </c>
      <c r="U372" s="217" t="s">
        <v>85</v>
      </c>
      <c r="V372" s="217" t="s">
        <v>150</v>
      </c>
      <c r="W372" s="217" t="s">
        <v>151</v>
      </c>
    </row>
    <row r="373" spans="1:23" x14ac:dyDescent="0.25">
      <c r="A373" s="217" t="s">
        <v>22</v>
      </c>
      <c r="B373" s="217" t="s">
        <v>23</v>
      </c>
      <c r="C373" s="217" t="s">
        <v>85</v>
      </c>
      <c r="D373" s="217" t="s">
        <v>84</v>
      </c>
      <c r="E373" s="217" t="s">
        <v>151</v>
      </c>
      <c r="F373" s="217" t="s">
        <v>150</v>
      </c>
      <c r="G373" s="217" t="s">
        <v>152</v>
      </c>
      <c r="H373" s="217" t="s">
        <v>1084</v>
      </c>
      <c r="I373" s="217" t="s">
        <v>29</v>
      </c>
      <c r="J373" s="217" t="s">
        <v>1856</v>
      </c>
      <c r="K373" s="217">
        <v>53</v>
      </c>
      <c r="L373" s="217">
        <v>295</v>
      </c>
      <c r="M373" s="217" t="s">
        <v>31</v>
      </c>
      <c r="N373" s="217" t="s">
        <v>32</v>
      </c>
      <c r="O373" s="217" t="s">
        <v>100</v>
      </c>
      <c r="P373" s="217" t="s">
        <v>34</v>
      </c>
      <c r="Q373" s="217" t="s">
        <v>35</v>
      </c>
      <c r="R373" s="217" t="s">
        <v>23</v>
      </c>
      <c r="S373" s="217" t="s">
        <v>22</v>
      </c>
      <c r="T373" s="217" t="s">
        <v>84</v>
      </c>
      <c r="U373" s="217" t="s">
        <v>85</v>
      </c>
      <c r="V373" s="217" t="s">
        <v>150</v>
      </c>
      <c r="W373" s="217" t="s">
        <v>151</v>
      </c>
    </row>
    <row r="374" spans="1:23" x14ac:dyDescent="0.25">
      <c r="A374" s="217" t="s">
        <v>22</v>
      </c>
      <c r="B374" s="217" t="s">
        <v>23</v>
      </c>
      <c r="C374" s="217" t="s">
        <v>85</v>
      </c>
      <c r="D374" s="217" t="s">
        <v>84</v>
      </c>
      <c r="E374" s="217" t="s">
        <v>151</v>
      </c>
      <c r="F374" s="217" t="s">
        <v>150</v>
      </c>
      <c r="G374" s="217" t="s">
        <v>1085</v>
      </c>
      <c r="H374" s="217" t="s">
        <v>1086</v>
      </c>
      <c r="I374" s="217" t="s">
        <v>29</v>
      </c>
      <c r="J374" s="217" t="s">
        <v>1858</v>
      </c>
      <c r="K374" s="217">
        <v>7</v>
      </c>
      <c r="L374" s="217">
        <v>45</v>
      </c>
      <c r="M374" s="217" t="s">
        <v>31</v>
      </c>
      <c r="N374" s="217" t="s">
        <v>32</v>
      </c>
      <c r="O374" s="217" t="s">
        <v>100</v>
      </c>
      <c r="P374" s="217" t="s">
        <v>34</v>
      </c>
      <c r="Q374" s="217" t="s">
        <v>35</v>
      </c>
      <c r="R374" s="217" t="s">
        <v>23</v>
      </c>
      <c r="S374" s="217" t="s">
        <v>22</v>
      </c>
      <c r="T374" s="217" t="s">
        <v>84</v>
      </c>
      <c r="U374" s="217" t="s">
        <v>85</v>
      </c>
      <c r="V374" s="217" t="s">
        <v>150</v>
      </c>
      <c r="W374" s="217" t="s">
        <v>151</v>
      </c>
    </row>
    <row r="375" spans="1:23" x14ac:dyDescent="0.25">
      <c r="A375" s="217" t="s">
        <v>22</v>
      </c>
      <c r="B375" s="217" t="s">
        <v>23</v>
      </c>
      <c r="C375" s="217" t="s">
        <v>85</v>
      </c>
      <c r="D375" s="217" t="s">
        <v>84</v>
      </c>
      <c r="E375" s="217" t="s">
        <v>151</v>
      </c>
      <c r="F375" s="217" t="s">
        <v>150</v>
      </c>
      <c r="G375" s="217" t="s">
        <v>1087</v>
      </c>
      <c r="H375" s="217" t="s">
        <v>1088</v>
      </c>
      <c r="I375" s="217" t="s">
        <v>29</v>
      </c>
      <c r="J375" s="217" t="s">
        <v>1858</v>
      </c>
      <c r="K375" s="217">
        <v>4</v>
      </c>
      <c r="L375" s="217">
        <v>25</v>
      </c>
      <c r="M375" s="217" t="s">
        <v>31</v>
      </c>
      <c r="N375" s="217" t="s">
        <v>32</v>
      </c>
      <c r="O375" s="217" t="s">
        <v>100</v>
      </c>
      <c r="P375" s="217" t="s">
        <v>34</v>
      </c>
      <c r="Q375" s="217" t="s">
        <v>35</v>
      </c>
      <c r="R375" s="217" t="s">
        <v>23</v>
      </c>
      <c r="S375" s="217" t="s">
        <v>22</v>
      </c>
      <c r="T375" s="217" t="s">
        <v>84</v>
      </c>
      <c r="U375" s="217" t="s">
        <v>85</v>
      </c>
      <c r="V375" s="217" t="s">
        <v>150</v>
      </c>
      <c r="W375" s="217" t="s">
        <v>151</v>
      </c>
    </row>
    <row r="376" spans="1:23" x14ac:dyDescent="0.25">
      <c r="A376" s="217" t="s">
        <v>22</v>
      </c>
      <c r="B376" s="217" t="s">
        <v>23</v>
      </c>
      <c r="C376" s="217" t="s">
        <v>85</v>
      </c>
      <c r="D376" s="217" t="s">
        <v>84</v>
      </c>
      <c r="E376" s="217" t="s">
        <v>151</v>
      </c>
      <c r="F376" s="217" t="s">
        <v>150</v>
      </c>
      <c r="G376" s="217" t="s">
        <v>1089</v>
      </c>
      <c r="H376" s="217" t="s">
        <v>1090</v>
      </c>
      <c r="I376" s="217" t="s">
        <v>29</v>
      </c>
      <c r="J376" s="217" t="s">
        <v>1858</v>
      </c>
      <c r="K376" s="217">
        <v>22</v>
      </c>
      <c r="L376" s="217">
        <v>140</v>
      </c>
      <c r="M376" s="217" t="s">
        <v>31</v>
      </c>
      <c r="N376" s="217" t="s">
        <v>32</v>
      </c>
      <c r="O376" s="217" t="s">
        <v>68</v>
      </c>
      <c r="P376" s="217" t="s">
        <v>34</v>
      </c>
      <c r="Q376" s="217" t="s">
        <v>35</v>
      </c>
      <c r="R376" s="217" t="s">
        <v>23</v>
      </c>
      <c r="S376" s="217" t="s">
        <v>22</v>
      </c>
      <c r="T376" s="217" t="s">
        <v>84</v>
      </c>
      <c r="U376" s="217" t="s">
        <v>85</v>
      </c>
      <c r="V376" s="217" t="s">
        <v>174</v>
      </c>
      <c r="W376" s="217" t="s">
        <v>175</v>
      </c>
    </row>
    <row r="377" spans="1:23" x14ac:dyDescent="0.25">
      <c r="A377" s="217" t="s">
        <v>22</v>
      </c>
      <c r="B377" s="217" t="s">
        <v>23</v>
      </c>
      <c r="C377" s="217" t="s">
        <v>85</v>
      </c>
      <c r="D377" s="217" t="s">
        <v>84</v>
      </c>
      <c r="E377" s="217" t="s">
        <v>151</v>
      </c>
      <c r="F377" s="217" t="s">
        <v>150</v>
      </c>
      <c r="G377" s="217" t="s">
        <v>779</v>
      </c>
      <c r="H377" s="217" t="s">
        <v>1091</v>
      </c>
      <c r="I377" s="217" t="s">
        <v>29</v>
      </c>
      <c r="J377" s="217" t="s">
        <v>1856</v>
      </c>
      <c r="K377" s="217">
        <v>35</v>
      </c>
      <c r="L377" s="217">
        <v>147</v>
      </c>
      <c r="M377" s="217" t="s">
        <v>31</v>
      </c>
      <c r="N377" s="217" t="s">
        <v>32</v>
      </c>
      <c r="O377" s="217" t="s">
        <v>100</v>
      </c>
      <c r="P377" s="217" t="s">
        <v>34</v>
      </c>
      <c r="Q377" s="217" t="s">
        <v>35</v>
      </c>
      <c r="R377" s="217" t="s">
        <v>23</v>
      </c>
      <c r="S377" s="217" t="s">
        <v>22</v>
      </c>
      <c r="T377" s="217" t="s">
        <v>84</v>
      </c>
      <c r="U377" s="217" t="s">
        <v>85</v>
      </c>
      <c r="V377" s="217" t="s">
        <v>150</v>
      </c>
      <c r="W377" s="217" t="s">
        <v>151</v>
      </c>
    </row>
    <row r="378" spans="1:23" x14ac:dyDescent="0.25">
      <c r="A378" s="217" t="s">
        <v>22</v>
      </c>
      <c r="B378" s="217" t="s">
        <v>23</v>
      </c>
      <c r="C378" s="217" t="s">
        <v>85</v>
      </c>
      <c r="D378" s="217" t="s">
        <v>84</v>
      </c>
      <c r="E378" s="217" t="s">
        <v>151</v>
      </c>
      <c r="F378" s="217" t="s">
        <v>150</v>
      </c>
      <c r="G378" s="217" t="s">
        <v>783</v>
      </c>
      <c r="H378" s="217" t="s">
        <v>1092</v>
      </c>
      <c r="I378" s="217" t="s">
        <v>29</v>
      </c>
      <c r="J378" s="217" t="s">
        <v>1856</v>
      </c>
      <c r="K378" s="217">
        <v>10</v>
      </c>
      <c r="L378" s="217">
        <v>69</v>
      </c>
      <c r="M378" s="217" t="s">
        <v>31</v>
      </c>
      <c r="N378" s="217" t="s">
        <v>32</v>
      </c>
      <c r="O378" s="217" t="s">
        <v>100</v>
      </c>
      <c r="P378" s="217" t="s">
        <v>34</v>
      </c>
      <c r="Q378" s="217" t="s">
        <v>35</v>
      </c>
      <c r="R378" s="217" t="s">
        <v>23</v>
      </c>
      <c r="S378" s="217" t="s">
        <v>22</v>
      </c>
      <c r="T378" s="217" t="s">
        <v>84</v>
      </c>
      <c r="U378" s="217" t="s">
        <v>85</v>
      </c>
      <c r="V378" s="217" t="s">
        <v>150</v>
      </c>
      <c r="W378" s="217" t="s">
        <v>151</v>
      </c>
    </row>
    <row r="379" spans="1:23" x14ac:dyDescent="0.25">
      <c r="A379" s="217" t="s">
        <v>22</v>
      </c>
      <c r="B379" s="217" t="s">
        <v>23</v>
      </c>
      <c r="C379" s="217" t="s">
        <v>85</v>
      </c>
      <c r="D379" s="217" t="s">
        <v>84</v>
      </c>
      <c r="E379" s="217" t="s">
        <v>151</v>
      </c>
      <c r="F379" s="217" t="s">
        <v>150</v>
      </c>
      <c r="G379" s="217" t="s">
        <v>783</v>
      </c>
      <c r="H379" s="217" t="s">
        <v>1092</v>
      </c>
      <c r="I379" s="217" t="s">
        <v>29</v>
      </c>
      <c r="J379" s="217" t="s">
        <v>1858</v>
      </c>
      <c r="K379" s="217">
        <v>8</v>
      </c>
      <c r="L379" s="217">
        <v>56</v>
      </c>
      <c r="M379" s="217" t="s">
        <v>31</v>
      </c>
      <c r="N379" s="217" t="s">
        <v>32</v>
      </c>
      <c r="O379" s="217" t="s">
        <v>100</v>
      </c>
      <c r="P379" s="217" t="s">
        <v>34</v>
      </c>
      <c r="Q379" s="217" t="s">
        <v>35</v>
      </c>
      <c r="R379" s="217" t="s">
        <v>23</v>
      </c>
      <c r="S379" s="217" t="s">
        <v>22</v>
      </c>
      <c r="T379" s="217" t="s">
        <v>84</v>
      </c>
      <c r="U379" s="217" t="s">
        <v>85</v>
      </c>
      <c r="V379" s="217" t="s">
        <v>150</v>
      </c>
      <c r="W379" s="217" t="s">
        <v>151</v>
      </c>
    </row>
    <row r="380" spans="1:23" x14ac:dyDescent="0.25">
      <c r="A380" s="217" t="s">
        <v>22</v>
      </c>
      <c r="B380" s="217" t="s">
        <v>23</v>
      </c>
      <c r="C380" s="217" t="s">
        <v>85</v>
      </c>
      <c r="D380" s="217" t="s">
        <v>84</v>
      </c>
      <c r="E380" s="217" t="s">
        <v>151</v>
      </c>
      <c r="F380" s="217" t="s">
        <v>150</v>
      </c>
      <c r="G380" s="217" t="s">
        <v>784</v>
      </c>
      <c r="H380" s="217" t="s">
        <v>1093</v>
      </c>
      <c r="I380" s="217" t="s">
        <v>29</v>
      </c>
      <c r="J380" s="217" t="s">
        <v>1856</v>
      </c>
      <c r="K380" s="217">
        <v>29</v>
      </c>
      <c r="L380" s="217">
        <v>166</v>
      </c>
      <c r="M380" s="217" t="s">
        <v>31</v>
      </c>
      <c r="N380" s="217" t="s">
        <v>32</v>
      </c>
      <c r="O380" s="217" t="s">
        <v>100</v>
      </c>
      <c r="P380" s="217" t="s">
        <v>34</v>
      </c>
      <c r="Q380" s="217" t="s">
        <v>35</v>
      </c>
      <c r="R380" s="217" t="s">
        <v>23</v>
      </c>
      <c r="S380" s="217" t="s">
        <v>22</v>
      </c>
      <c r="T380" s="217" t="s">
        <v>84</v>
      </c>
      <c r="U380" s="217" t="s">
        <v>85</v>
      </c>
      <c r="V380" s="217" t="s">
        <v>150</v>
      </c>
      <c r="W380" s="217" t="s">
        <v>151</v>
      </c>
    </row>
    <row r="381" spans="1:23" x14ac:dyDescent="0.25">
      <c r="A381" s="217" t="s">
        <v>22</v>
      </c>
      <c r="B381" s="217" t="s">
        <v>23</v>
      </c>
      <c r="C381" s="217" t="s">
        <v>85</v>
      </c>
      <c r="D381" s="217" t="s">
        <v>84</v>
      </c>
      <c r="E381" s="217" t="s">
        <v>151</v>
      </c>
      <c r="F381" s="217" t="s">
        <v>150</v>
      </c>
      <c r="G381" s="217" t="s">
        <v>785</v>
      </c>
      <c r="H381" s="217" t="s">
        <v>1094</v>
      </c>
      <c r="I381" s="217" t="s">
        <v>29</v>
      </c>
      <c r="J381" s="217" t="s">
        <v>1856</v>
      </c>
      <c r="K381" s="217">
        <v>6</v>
      </c>
      <c r="L381" s="217">
        <v>56</v>
      </c>
      <c r="M381" s="217" t="s">
        <v>31</v>
      </c>
      <c r="N381" s="217" t="s">
        <v>32</v>
      </c>
      <c r="O381" s="217" t="s">
        <v>100</v>
      </c>
      <c r="P381" s="217" t="s">
        <v>34</v>
      </c>
      <c r="Q381" s="217" t="s">
        <v>35</v>
      </c>
      <c r="R381" s="217" t="s">
        <v>23</v>
      </c>
      <c r="S381" s="217" t="s">
        <v>22</v>
      </c>
      <c r="T381" s="217" t="s">
        <v>84</v>
      </c>
      <c r="U381" s="217" t="s">
        <v>85</v>
      </c>
      <c r="V381" s="217" t="s">
        <v>150</v>
      </c>
      <c r="W381" s="217" t="s">
        <v>151</v>
      </c>
    </row>
    <row r="382" spans="1:23" x14ac:dyDescent="0.25">
      <c r="A382" s="217" t="s">
        <v>22</v>
      </c>
      <c r="B382" s="217" t="s">
        <v>23</v>
      </c>
      <c r="C382" s="217" t="s">
        <v>85</v>
      </c>
      <c r="D382" s="217" t="s">
        <v>84</v>
      </c>
      <c r="E382" s="217" t="s">
        <v>151</v>
      </c>
      <c r="F382" s="217" t="s">
        <v>150</v>
      </c>
      <c r="G382" s="217" t="s">
        <v>786</v>
      </c>
      <c r="H382" s="217" t="s">
        <v>1095</v>
      </c>
      <c r="I382" s="217" t="s">
        <v>29</v>
      </c>
      <c r="J382" s="217" t="s">
        <v>1856</v>
      </c>
      <c r="K382" s="217">
        <v>7</v>
      </c>
      <c r="L382" s="217">
        <v>49</v>
      </c>
      <c r="M382" s="217" t="s">
        <v>31</v>
      </c>
      <c r="N382" s="217" t="s">
        <v>32</v>
      </c>
      <c r="O382" s="217" t="s">
        <v>100</v>
      </c>
      <c r="P382" s="217" t="s">
        <v>34</v>
      </c>
      <c r="Q382" s="217" t="s">
        <v>35</v>
      </c>
      <c r="R382" s="217" t="s">
        <v>23</v>
      </c>
      <c r="S382" s="217" t="s">
        <v>22</v>
      </c>
      <c r="T382" s="217" t="s">
        <v>84</v>
      </c>
      <c r="U382" s="217" t="s">
        <v>85</v>
      </c>
      <c r="V382" s="217" t="s">
        <v>150</v>
      </c>
      <c r="W382" s="217" t="s">
        <v>151</v>
      </c>
    </row>
    <row r="383" spans="1:23" x14ac:dyDescent="0.25">
      <c r="A383" s="217" t="s">
        <v>22</v>
      </c>
      <c r="B383" s="217" t="s">
        <v>23</v>
      </c>
      <c r="C383" s="217" t="s">
        <v>85</v>
      </c>
      <c r="D383" s="217" t="s">
        <v>84</v>
      </c>
      <c r="E383" s="217" t="s">
        <v>151</v>
      </c>
      <c r="F383" s="217" t="s">
        <v>150</v>
      </c>
      <c r="G383" s="217" t="s">
        <v>1096</v>
      </c>
      <c r="H383" s="217" t="s">
        <v>1097</v>
      </c>
      <c r="I383" s="217" t="s">
        <v>29</v>
      </c>
      <c r="J383" s="217" t="s">
        <v>1858</v>
      </c>
      <c r="K383" s="217">
        <v>6</v>
      </c>
      <c r="L383" s="217">
        <v>54</v>
      </c>
      <c r="M383" s="217" t="s">
        <v>31</v>
      </c>
      <c r="N383" s="217" t="s">
        <v>32</v>
      </c>
      <c r="O383" s="217" t="s">
        <v>100</v>
      </c>
      <c r="P383" s="217" t="s">
        <v>34</v>
      </c>
      <c r="Q383" s="217" t="s">
        <v>35</v>
      </c>
      <c r="R383" s="217" t="s">
        <v>23</v>
      </c>
      <c r="S383" s="217" t="s">
        <v>22</v>
      </c>
      <c r="T383" s="217" t="s">
        <v>84</v>
      </c>
      <c r="U383" s="217" t="s">
        <v>85</v>
      </c>
      <c r="V383" s="217" t="s">
        <v>150</v>
      </c>
      <c r="W383" s="217" t="s">
        <v>151</v>
      </c>
    </row>
    <row r="384" spans="1:23" x14ac:dyDescent="0.25">
      <c r="A384" s="217" t="s">
        <v>22</v>
      </c>
      <c r="B384" s="217" t="s">
        <v>23</v>
      </c>
      <c r="C384" s="217" t="s">
        <v>85</v>
      </c>
      <c r="D384" s="217" t="s">
        <v>84</v>
      </c>
      <c r="E384" s="217" t="s">
        <v>151</v>
      </c>
      <c r="F384" s="217" t="s">
        <v>150</v>
      </c>
      <c r="G384" s="217" t="s">
        <v>787</v>
      </c>
      <c r="H384" s="217" t="s">
        <v>1098</v>
      </c>
      <c r="I384" s="217" t="s">
        <v>29</v>
      </c>
      <c r="J384" s="217" t="s">
        <v>1856</v>
      </c>
      <c r="K384" s="217">
        <v>89</v>
      </c>
      <c r="L384" s="217">
        <v>440</v>
      </c>
      <c r="M384" s="217" t="s">
        <v>31</v>
      </c>
      <c r="N384" s="217" t="s">
        <v>32</v>
      </c>
      <c r="O384" s="217" t="s">
        <v>100</v>
      </c>
      <c r="P384" s="217" t="s">
        <v>34</v>
      </c>
      <c r="Q384" s="217" t="s">
        <v>35</v>
      </c>
      <c r="R384" s="217" t="s">
        <v>23</v>
      </c>
      <c r="S384" s="217" t="s">
        <v>22</v>
      </c>
      <c r="T384" s="217" t="s">
        <v>84</v>
      </c>
      <c r="U384" s="217" t="s">
        <v>85</v>
      </c>
      <c r="V384" s="217" t="s">
        <v>150</v>
      </c>
      <c r="W384" s="217" t="s">
        <v>151</v>
      </c>
    </row>
    <row r="385" spans="1:23" x14ac:dyDescent="0.25">
      <c r="A385" s="217" t="s">
        <v>22</v>
      </c>
      <c r="B385" s="217" t="s">
        <v>23</v>
      </c>
      <c r="C385" s="217" t="s">
        <v>85</v>
      </c>
      <c r="D385" s="217" t="s">
        <v>84</v>
      </c>
      <c r="E385" s="217" t="s">
        <v>151</v>
      </c>
      <c r="F385" s="217" t="s">
        <v>150</v>
      </c>
      <c r="G385" s="217" t="s">
        <v>1099</v>
      </c>
      <c r="H385" s="217" t="s">
        <v>1100</v>
      </c>
      <c r="I385" s="217" t="s">
        <v>29</v>
      </c>
      <c r="J385" s="217" t="s">
        <v>1858</v>
      </c>
      <c r="K385" s="217">
        <v>35</v>
      </c>
      <c r="L385" s="217">
        <v>150</v>
      </c>
      <c r="M385" s="217" t="s">
        <v>31</v>
      </c>
      <c r="N385" s="217" t="s">
        <v>32</v>
      </c>
      <c r="O385" s="217" t="s">
        <v>100</v>
      </c>
      <c r="P385" s="217" t="s">
        <v>34</v>
      </c>
      <c r="Q385" s="217" t="s">
        <v>35</v>
      </c>
      <c r="R385" s="217" t="s">
        <v>23</v>
      </c>
      <c r="S385" s="217" t="s">
        <v>22</v>
      </c>
      <c r="T385" s="217" t="s">
        <v>84</v>
      </c>
      <c r="U385" s="217" t="s">
        <v>85</v>
      </c>
      <c r="V385" s="217" t="s">
        <v>150</v>
      </c>
      <c r="W385" s="217" t="s">
        <v>151</v>
      </c>
    </row>
    <row r="386" spans="1:23" x14ac:dyDescent="0.25">
      <c r="A386" s="217" t="s">
        <v>22</v>
      </c>
      <c r="B386" s="217" t="s">
        <v>23</v>
      </c>
      <c r="C386" s="217" t="s">
        <v>85</v>
      </c>
      <c r="D386" s="217" t="s">
        <v>84</v>
      </c>
      <c r="E386" s="217" t="s">
        <v>151</v>
      </c>
      <c r="F386" s="217" t="s">
        <v>150</v>
      </c>
      <c r="G386" s="217" t="s">
        <v>788</v>
      </c>
      <c r="H386" s="217" t="s">
        <v>1101</v>
      </c>
      <c r="I386" s="217" t="s">
        <v>29</v>
      </c>
      <c r="J386" s="217" t="s">
        <v>1856</v>
      </c>
      <c r="K386" s="217">
        <v>100</v>
      </c>
      <c r="L386" s="217">
        <v>447</v>
      </c>
      <c r="M386" s="217" t="s">
        <v>31</v>
      </c>
      <c r="N386" s="217" t="s">
        <v>32</v>
      </c>
      <c r="O386" s="217" t="s">
        <v>100</v>
      </c>
      <c r="P386" s="217" t="s">
        <v>34</v>
      </c>
      <c r="Q386" s="217" t="s">
        <v>35</v>
      </c>
      <c r="R386" s="217" t="s">
        <v>23</v>
      </c>
      <c r="S386" s="217" t="s">
        <v>22</v>
      </c>
      <c r="T386" s="217" t="s">
        <v>84</v>
      </c>
      <c r="U386" s="217" t="s">
        <v>85</v>
      </c>
      <c r="V386" s="217" t="s">
        <v>150</v>
      </c>
      <c r="W386" s="217" t="s">
        <v>151</v>
      </c>
    </row>
    <row r="387" spans="1:23" x14ac:dyDescent="0.25">
      <c r="A387" s="217" t="s">
        <v>22</v>
      </c>
      <c r="B387" s="217" t="s">
        <v>23</v>
      </c>
      <c r="C387" s="217" t="s">
        <v>85</v>
      </c>
      <c r="D387" s="217" t="s">
        <v>84</v>
      </c>
      <c r="E387" s="217" t="s">
        <v>151</v>
      </c>
      <c r="F387" s="217" t="s">
        <v>150</v>
      </c>
      <c r="G387" s="217" t="s">
        <v>775</v>
      </c>
      <c r="H387" s="217" t="s">
        <v>1102</v>
      </c>
      <c r="I387" s="217" t="s">
        <v>29</v>
      </c>
      <c r="J387" s="217" t="s">
        <v>1858</v>
      </c>
      <c r="K387" s="217">
        <v>8</v>
      </c>
      <c r="L387" s="217">
        <v>71</v>
      </c>
      <c r="M387" s="217" t="s">
        <v>31</v>
      </c>
      <c r="N387" s="217" t="s">
        <v>32</v>
      </c>
      <c r="O387" s="217" t="s">
        <v>100</v>
      </c>
      <c r="P387" s="217" t="s">
        <v>34</v>
      </c>
      <c r="Q387" s="217" t="s">
        <v>35</v>
      </c>
      <c r="R387" s="217" t="s">
        <v>23</v>
      </c>
      <c r="S387" s="217" t="s">
        <v>22</v>
      </c>
      <c r="T387" s="217" t="s">
        <v>84</v>
      </c>
      <c r="U387" s="217" t="s">
        <v>85</v>
      </c>
      <c r="V387" s="217" t="s">
        <v>150</v>
      </c>
      <c r="W387" s="217" t="s">
        <v>151</v>
      </c>
    </row>
    <row r="388" spans="1:23" x14ac:dyDescent="0.25">
      <c r="A388" s="217" t="s">
        <v>22</v>
      </c>
      <c r="B388" s="217" t="s">
        <v>23</v>
      </c>
      <c r="C388" s="217" t="s">
        <v>85</v>
      </c>
      <c r="D388" s="217" t="s">
        <v>84</v>
      </c>
      <c r="E388" s="217" t="s">
        <v>151</v>
      </c>
      <c r="F388" s="217" t="s">
        <v>150</v>
      </c>
      <c r="G388" s="217" t="s">
        <v>789</v>
      </c>
      <c r="H388" s="217" t="s">
        <v>1103</v>
      </c>
      <c r="I388" s="217" t="s">
        <v>29</v>
      </c>
      <c r="J388" s="217" t="s">
        <v>1856</v>
      </c>
      <c r="K388" s="217">
        <v>84</v>
      </c>
      <c r="L388" s="217">
        <v>432</v>
      </c>
      <c r="M388" s="217" t="s">
        <v>31</v>
      </c>
      <c r="N388" s="217" t="s">
        <v>32</v>
      </c>
      <c r="O388" s="217" t="s">
        <v>100</v>
      </c>
      <c r="P388" s="217" t="s">
        <v>34</v>
      </c>
      <c r="Q388" s="217" t="s">
        <v>35</v>
      </c>
      <c r="R388" s="217" t="s">
        <v>23</v>
      </c>
      <c r="S388" s="217" t="s">
        <v>22</v>
      </c>
      <c r="T388" s="217" t="s">
        <v>84</v>
      </c>
      <c r="U388" s="217" t="s">
        <v>85</v>
      </c>
      <c r="V388" s="217" t="s">
        <v>150</v>
      </c>
      <c r="W388" s="217" t="s">
        <v>151</v>
      </c>
    </row>
    <row r="389" spans="1:23" x14ac:dyDescent="0.25">
      <c r="A389" s="217" t="s">
        <v>22</v>
      </c>
      <c r="B389" s="217" t="s">
        <v>23</v>
      </c>
      <c r="C389" s="217" t="s">
        <v>85</v>
      </c>
      <c r="D389" s="217" t="s">
        <v>84</v>
      </c>
      <c r="E389" s="217" t="s">
        <v>151</v>
      </c>
      <c r="F389" s="217" t="s">
        <v>150</v>
      </c>
      <c r="G389" s="217" t="s">
        <v>1104</v>
      </c>
      <c r="H389" s="217" t="s">
        <v>1105</v>
      </c>
      <c r="I389" s="217" t="s">
        <v>29</v>
      </c>
      <c r="J389" s="217" t="s">
        <v>1857</v>
      </c>
      <c r="K389" s="217">
        <v>82</v>
      </c>
      <c r="L389" s="217">
        <v>656</v>
      </c>
      <c r="M389" s="217" t="s">
        <v>31</v>
      </c>
      <c r="N389" s="217" t="s">
        <v>32</v>
      </c>
      <c r="O389" s="217" t="s">
        <v>100</v>
      </c>
      <c r="P389" s="217" t="s">
        <v>34</v>
      </c>
      <c r="Q389" s="217" t="s">
        <v>35</v>
      </c>
      <c r="R389" s="217" t="s">
        <v>23</v>
      </c>
      <c r="S389" s="217" t="s">
        <v>22</v>
      </c>
      <c r="T389" s="217" t="s">
        <v>84</v>
      </c>
      <c r="U389" s="217" t="s">
        <v>85</v>
      </c>
      <c r="V389" s="217" t="s">
        <v>150</v>
      </c>
      <c r="W389" s="217" t="s">
        <v>151</v>
      </c>
    </row>
    <row r="390" spans="1:23" x14ac:dyDescent="0.25">
      <c r="A390" s="217" t="s">
        <v>22</v>
      </c>
      <c r="B390" s="217" t="s">
        <v>23</v>
      </c>
      <c r="C390" s="217" t="s">
        <v>85</v>
      </c>
      <c r="D390" s="217" t="s">
        <v>84</v>
      </c>
      <c r="E390" s="217" t="s">
        <v>151</v>
      </c>
      <c r="F390" s="217" t="s">
        <v>150</v>
      </c>
      <c r="G390" s="217" t="s">
        <v>369</v>
      </c>
      <c r="H390" s="217" t="s">
        <v>1106</v>
      </c>
      <c r="I390" s="217" t="s">
        <v>29</v>
      </c>
      <c r="J390" s="217" t="s">
        <v>1856</v>
      </c>
      <c r="K390" s="217">
        <v>203</v>
      </c>
      <c r="L390" s="217">
        <v>1513</v>
      </c>
      <c r="M390" s="217" t="s">
        <v>31</v>
      </c>
      <c r="N390" s="217" t="s">
        <v>32</v>
      </c>
      <c r="O390" s="217" t="s">
        <v>100</v>
      </c>
      <c r="P390" s="217" t="s">
        <v>34</v>
      </c>
      <c r="Q390" s="217" t="s">
        <v>35</v>
      </c>
      <c r="R390" s="217" t="s">
        <v>23</v>
      </c>
      <c r="S390" s="217" t="s">
        <v>22</v>
      </c>
      <c r="T390" s="217" t="s">
        <v>84</v>
      </c>
      <c r="U390" s="217" t="s">
        <v>85</v>
      </c>
      <c r="V390" s="217" t="s">
        <v>150</v>
      </c>
      <c r="W390" s="217" t="s">
        <v>151</v>
      </c>
    </row>
    <row r="391" spans="1:23" x14ac:dyDescent="0.25">
      <c r="A391" s="217" t="s">
        <v>22</v>
      </c>
      <c r="B391" s="217" t="s">
        <v>23</v>
      </c>
      <c r="C391" s="217" t="s">
        <v>85</v>
      </c>
      <c r="D391" s="217" t="s">
        <v>84</v>
      </c>
      <c r="E391" s="217" t="s">
        <v>151</v>
      </c>
      <c r="F391" s="217" t="s">
        <v>150</v>
      </c>
      <c r="G391" s="217" t="s">
        <v>369</v>
      </c>
      <c r="H391" s="217" t="s">
        <v>1106</v>
      </c>
      <c r="I391" s="217" t="s">
        <v>29</v>
      </c>
      <c r="J391" s="217" t="s">
        <v>1858</v>
      </c>
      <c r="K391" s="217">
        <v>10</v>
      </c>
      <c r="L391" s="217">
        <v>85</v>
      </c>
      <c r="M391" s="217" t="s">
        <v>31</v>
      </c>
      <c r="N391" s="217" t="s">
        <v>32</v>
      </c>
      <c r="O391" s="217" t="s">
        <v>100</v>
      </c>
      <c r="P391" s="217" t="s">
        <v>34</v>
      </c>
      <c r="Q391" s="217" t="s">
        <v>35</v>
      </c>
      <c r="R391" s="217" t="s">
        <v>23</v>
      </c>
      <c r="S391" s="217" t="s">
        <v>22</v>
      </c>
      <c r="T391" s="217" t="s">
        <v>84</v>
      </c>
      <c r="U391" s="217" t="s">
        <v>85</v>
      </c>
      <c r="V391" s="217" t="s">
        <v>150</v>
      </c>
      <c r="W391" s="217" t="s">
        <v>151</v>
      </c>
    </row>
    <row r="392" spans="1:23" x14ac:dyDescent="0.25">
      <c r="A392" s="217" t="s">
        <v>22</v>
      </c>
      <c r="B392" s="217" t="s">
        <v>23</v>
      </c>
      <c r="C392" s="217" t="s">
        <v>85</v>
      </c>
      <c r="D392" s="217" t="s">
        <v>84</v>
      </c>
      <c r="E392" s="217" t="s">
        <v>151</v>
      </c>
      <c r="F392" s="217" t="s">
        <v>150</v>
      </c>
      <c r="G392" s="217" t="s">
        <v>790</v>
      </c>
      <c r="H392" s="217" t="s">
        <v>1107</v>
      </c>
      <c r="I392" s="217" t="s">
        <v>29</v>
      </c>
      <c r="J392" s="217" t="s">
        <v>1856</v>
      </c>
      <c r="K392" s="217">
        <v>17</v>
      </c>
      <c r="L392" s="217">
        <v>128</v>
      </c>
      <c r="M392" s="217" t="s">
        <v>31</v>
      </c>
      <c r="N392" s="217" t="s">
        <v>32</v>
      </c>
      <c r="O392" s="217" t="s">
        <v>100</v>
      </c>
      <c r="P392" s="217" t="s">
        <v>34</v>
      </c>
      <c r="Q392" s="217" t="s">
        <v>35</v>
      </c>
      <c r="R392" s="217" t="s">
        <v>23</v>
      </c>
      <c r="S392" s="217" t="s">
        <v>22</v>
      </c>
      <c r="T392" s="217" t="s">
        <v>84</v>
      </c>
      <c r="U392" s="217" t="s">
        <v>85</v>
      </c>
      <c r="V392" s="217" t="s">
        <v>150</v>
      </c>
      <c r="W392" s="217" t="s">
        <v>151</v>
      </c>
    </row>
    <row r="393" spans="1:23" x14ac:dyDescent="0.25">
      <c r="A393" s="217" t="s">
        <v>22</v>
      </c>
      <c r="B393" s="217" t="s">
        <v>23</v>
      </c>
      <c r="C393" s="217" t="s">
        <v>85</v>
      </c>
      <c r="D393" s="217" t="s">
        <v>84</v>
      </c>
      <c r="E393" s="217" t="s">
        <v>151</v>
      </c>
      <c r="F393" s="217" t="s">
        <v>150</v>
      </c>
      <c r="G393" s="217" t="s">
        <v>370</v>
      </c>
      <c r="H393" s="217" t="s">
        <v>1108</v>
      </c>
      <c r="I393" s="217" t="s">
        <v>29</v>
      </c>
      <c r="J393" s="217" t="s">
        <v>1856</v>
      </c>
      <c r="K393" s="217">
        <v>98</v>
      </c>
      <c r="L393" s="217">
        <v>869</v>
      </c>
      <c r="M393" s="217" t="s">
        <v>31</v>
      </c>
      <c r="N393" s="217" t="s">
        <v>32</v>
      </c>
      <c r="O393" s="217" t="s">
        <v>33</v>
      </c>
      <c r="P393" s="217" t="s">
        <v>34</v>
      </c>
      <c r="Q393" s="217" t="s">
        <v>35</v>
      </c>
      <c r="R393" s="217" t="s">
        <v>23</v>
      </c>
      <c r="S393" s="217" t="s">
        <v>22</v>
      </c>
      <c r="T393" s="217" t="s">
        <v>47</v>
      </c>
      <c r="U393" s="217" t="s">
        <v>48</v>
      </c>
      <c r="V393" s="217" t="s">
        <v>61</v>
      </c>
      <c r="W393" s="217" t="s">
        <v>62</v>
      </c>
    </row>
    <row r="394" spans="1:23" x14ac:dyDescent="0.25">
      <c r="A394" s="217" t="s">
        <v>22</v>
      </c>
      <c r="B394" s="217" t="s">
        <v>23</v>
      </c>
      <c r="C394" s="217" t="s">
        <v>85</v>
      </c>
      <c r="D394" s="217" t="s">
        <v>84</v>
      </c>
      <c r="E394" s="217" t="s">
        <v>98</v>
      </c>
      <c r="F394" s="217" t="s">
        <v>97</v>
      </c>
      <c r="G394" s="217" t="s">
        <v>1820</v>
      </c>
      <c r="H394" s="217" t="s">
        <v>1819</v>
      </c>
      <c r="I394" s="217" t="s">
        <v>29</v>
      </c>
      <c r="J394" s="217" t="s">
        <v>1855</v>
      </c>
      <c r="K394" s="217">
        <v>375</v>
      </c>
      <c r="L394" s="217">
        <v>3510</v>
      </c>
      <c r="M394" s="217" t="s">
        <v>31</v>
      </c>
      <c r="N394" s="217" t="s">
        <v>32</v>
      </c>
      <c r="O394" s="217" t="s">
        <v>100</v>
      </c>
      <c r="P394" s="217" t="s">
        <v>34</v>
      </c>
      <c r="Q394" s="217" t="s">
        <v>35</v>
      </c>
      <c r="R394" s="217" t="s">
        <v>23</v>
      </c>
      <c r="S394" s="217" t="s">
        <v>22</v>
      </c>
      <c r="T394" s="217" t="s">
        <v>84</v>
      </c>
      <c r="U394" s="217" t="s">
        <v>85</v>
      </c>
      <c r="V394" s="217" t="s">
        <v>97</v>
      </c>
      <c r="W394" s="217" t="s">
        <v>98</v>
      </c>
    </row>
    <row r="395" spans="1:23" x14ac:dyDescent="0.25">
      <c r="A395" s="217" t="s">
        <v>22</v>
      </c>
      <c r="B395" s="217" t="s">
        <v>23</v>
      </c>
      <c r="C395" s="217" t="s">
        <v>85</v>
      </c>
      <c r="D395" s="217" t="s">
        <v>84</v>
      </c>
      <c r="E395" s="217" t="s">
        <v>98</v>
      </c>
      <c r="F395" s="217" t="s">
        <v>97</v>
      </c>
      <c r="G395" s="217" t="s">
        <v>1820</v>
      </c>
      <c r="H395" s="217" t="s">
        <v>1819</v>
      </c>
      <c r="I395" s="217" t="s">
        <v>29</v>
      </c>
      <c r="J395" s="217" t="s">
        <v>1858</v>
      </c>
      <c r="K395" s="217">
        <v>20</v>
      </c>
      <c r="L395" s="217">
        <v>120</v>
      </c>
      <c r="M395" s="217" t="s">
        <v>31</v>
      </c>
      <c r="N395" s="217" t="s">
        <v>32</v>
      </c>
      <c r="O395" s="217" t="s">
        <v>68</v>
      </c>
      <c r="P395" s="217" t="s">
        <v>34</v>
      </c>
      <c r="Q395" s="217" t="s">
        <v>35</v>
      </c>
      <c r="R395" s="217" t="s">
        <v>23</v>
      </c>
      <c r="S395" s="217" t="s">
        <v>22</v>
      </c>
      <c r="T395" s="217" t="s">
        <v>84</v>
      </c>
      <c r="U395" s="217" t="s">
        <v>85</v>
      </c>
      <c r="V395" s="217" t="s">
        <v>109</v>
      </c>
      <c r="W395" s="217" t="s">
        <v>110</v>
      </c>
    </row>
    <row r="396" spans="1:23" x14ac:dyDescent="0.25">
      <c r="A396" s="217" t="s">
        <v>22</v>
      </c>
      <c r="B396" s="217" t="s">
        <v>23</v>
      </c>
      <c r="C396" s="217" t="s">
        <v>85</v>
      </c>
      <c r="D396" s="217" t="s">
        <v>84</v>
      </c>
      <c r="E396" s="217" t="s">
        <v>98</v>
      </c>
      <c r="F396" s="217" t="s">
        <v>97</v>
      </c>
      <c r="G396" s="217" t="s">
        <v>371</v>
      </c>
      <c r="H396" s="217" t="s">
        <v>1109</v>
      </c>
      <c r="I396" s="217" t="s">
        <v>29</v>
      </c>
      <c r="J396" s="217" t="s">
        <v>1855</v>
      </c>
      <c r="K396" s="217">
        <v>6</v>
      </c>
      <c r="L396" s="217">
        <v>36</v>
      </c>
      <c r="M396" s="217" t="s">
        <v>31</v>
      </c>
      <c r="N396" s="217" t="s">
        <v>32</v>
      </c>
      <c r="O396" s="217" t="s">
        <v>68</v>
      </c>
      <c r="P396" s="217" t="s">
        <v>34</v>
      </c>
      <c r="Q396" s="217" t="s">
        <v>35</v>
      </c>
      <c r="R396" s="217" t="s">
        <v>23</v>
      </c>
      <c r="S396" s="217" t="s">
        <v>22</v>
      </c>
      <c r="T396" s="217" t="s">
        <v>84</v>
      </c>
      <c r="U396" s="217" t="s">
        <v>85</v>
      </c>
      <c r="V396" s="217" t="s">
        <v>91</v>
      </c>
      <c r="W396" s="217" t="s">
        <v>92</v>
      </c>
    </row>
    <row r="397" spans="1:23" x14ac:dyDescent="0.25">
      <c r="A397" s="217" t="s">
        <v>22</v>
      </c>
      <c r="B397" s="217" t="s">
        <v>23</v>
      </c>
      <c r="C397" s="217" t="s">
        <v>85</v>
      </c>
      <c r="D397" s="217" t="s">
        <v>84</v>
      </c>
      <c r="E397" s="217" t="s">
        <v>98</v>
      </c>
      <c r="F397" s="217" t="s">
        <v>97</v>
      </c>
      <c r="G397" s="217" t="s">
        <v>371</v>
      </c>
      <c r="H397" s="217" t="s">
        <v>1109</v>
      </c>
      <c r="I397" s="217" t="s">
        <v>29</v>
      </c>
      <c r="J397" s="217" t="s">
        <v>1856</v>
      </c>
      <c r="K397" s="217">
        <v>8</v>
      </c>
      <c r="L397" s="217">
        <v>36</v>
      </c>
      <c r="M397" s="217" t="s">
        <v>31</v>
      </c>
      <c r="N397" s="217" t="s">
        <v>32</v>
      </c>
      <c r="O397" s="217" t="s">
        <v>68</v>
      </c>
      <c r="P397" s="217" t="s">
        <v>34</v>
      </c>
      <c r="Q397" s="217" t="s">
        <v>35</v>
      </c>
      <c r="R397" s="217" t="s">
        <v>23</v>
      </c>
      <c r="S397" s="217" t="s">
        <v>22</v>
      </c>
      <c r="T397" s="217" t="s">
        <v>84</v>
      </c>
      <c r="U397" s="217" t="s">
        <v>85</v>
      </c>
      <c r="V397" s="217" t="s">
        <v>94</v>
      </c>
      <c r="W397" s="217" t="s">
        <v>95</v>
      </c>
    </row>
    <row r="398" spans="1:23" x14ac:dyDescent="0.25">
      <c r="A398" s="217" t="s">
        <v>22</v>
      </c>
      <c r="B398" s="217" t="s">
        <v>23</v>
      </c>
      <c r="C398" s="217" t="s">
        <v>85</v>
      </c>
      <c r="D398" s="217" t="s">
        <v>84</v>
      </c>
      <c r="E398" s="217" t="s">
        <v>98</v>
      </c>
      <c r="F398" s="217" t="s">
        <v>97</v>
      </c>
      <c r="G398" s="217" t="s">
        <v>371</v>
      </c>
      <c r="H398" s="217" t="s">
        <v>1109</v>
      </c>
      <c r="I398" s="217" t="s">
        <v>29</v>
      </c>
      <c r="J398" s="217" t="s">
        <v>1858</v>
      </c>
      <c r="K398" s="217">
        <v>3</v>
      </c>
      <c r="L398" s="217">
        <v>14</v>
      </c>
      <c r="M398" s="217" t="s">
        <v>31</v>
      </c>
      <c r="N398" s="217" t="s">
        <v>32</v>
      </c>
      <c r="O398" s="217" t="s">
        <v>68</v>
      </c>
      <c r="P398" s="217" t="s">
        <v>34</v>
      </c>
      <c r="Q398" s="217" t="s">
        <v>35</v>
      </c>
      <c r="R398" s="217" t="s">
        <v>23</v>
      </c>
      <c r="S398" s="217" t="s">
        <v>22</v>
      </c>
      <c r="T398" s="217" t="s">
        <v>84</v>
      </c>
      <c r="U398" s="217" t="s">
        <v>85</v>
      </c>
      <c r="V398" s="217" t="s">
        <v>109</v>
      </c>
      <c r="W398" s="217" t="s">
        <v>110</v>
      </c>
    </row>
    <row r="399" spans="1:23" x14ac:dyDescent="0.25">
      <c r="A399" s="217" t="s">
        <v>22</v>
      </c>
      <c r="B399" s="217" t="s">
        <v>23</v>
      </c>
      <c r="C399" s="217" t="s">
        <v>85</v>
      </c>
      <c r="D399" s="217" t="s">
        <v>84</v>
      </c>
      <c r="E399" s="217" t="s">
        <v>98</v>
      </c>
      <c r="F399" s="217" t="s">
        <v>97</v>
      </c>
      <c r="G399" s="217" t="s">
        <v>1110</v>
      </c>
      <c r="H399" s="217" t="s">
        <v>1111</v>
      </c>
      <c r="I399" s="217" t="s">
        <v>29</v>
      </c>
      <c r="J399" s="217" t="s">
        <v>1858</v>
      </c>
      <c r="K399" s="217">
        <v>3</v>
      </c>
      <c r="L399" s="217">
        <v>9</v>
      </c>
      <c r="M399" s="217" t="s">
        <v>31</v>
      </c>
      <c r="N399" s="217" t="s">
        <v>32</v>
      </c>
      <c r="O399" s="217" t="s">
        <v>68</v>
      </c>
      <c r="P399" s="217" t="s">
        <v>34</v>
      </c>
      <c r="Q399" s="217" t="s">
        <v>35</v>
      </c>
      <c r="R399" s="217" t="s">
        <v>23</v>
      </c>
      <c r="S399" s="217" t="s">
        <v>22</v>
      </c>
      <c r="T399" s="217" t="s">
        <v>84</v>
      </c>
      <c r="U399" s="217" t="s">
        <v>85</v>
      </c>
      <c r="V399" s="217" t="s">
        <v>91</v>
      </c>
      <c r="W399" s="217" t="s">
        <v>92</v>
      </c>
    </row>
    <row r="400" spans="1:23" x14ac:dyDescent="0.25">
      <c r="A400" s="217" t="s">
        <v>22</v>
      </c>
      <c r="B400" s="217" t="s">
        <v>23</v>
      </c>
      <c r="C400" s="217" t="s">
        <v>85</v>
      </c>
      <c r="D400" s="217" t="s">
        <v>84</v>
      </c>
      <c r="E400" s="217" t="s">
        <v>98</v>
      </c>
      <c r="F400" s="217" t="s">
        <v>97</v>
      </c>
      <c r="G400" s="217" t="s">
        <v>1112</v>
      </c>
      <c r="H400" s="217" t="s">
        <v>1113</v>
      </c>
      <c r="I400" s="217" t="s">
        <v>29</v>
      </c>
      <c r="J400" s="217" t="s">
        <v>1858</v>
      </c>
      <c r="K400" s="217">
        <v>12</v>
      </c>
      <c r="L400" s="217">
        <v>87</v>
      </c>
      <c r="M400" s="217" t="s">
        <v>31</v>
      </c>
      <c r="N400" s="217" t="s">
        <v>32</v>
      </c>
      <c r="O400" s="217" t="s">
        <v>68</v>
      </c>
      <c r="P400" s="217" t="s">
        <v>34</v>
      </c>
      <c r="Q400" s="217" t="s">
        <v>35</v>
      </c>
      <c r="R400" s="217" t="s">
        <v>23</v>
      </c>
      <c r="S400" s="217" t="s">
        <v>22</v>
      </c>
      <c r="T400" s="217" t="s">
        <v>84</v>
      </c>
      <c r="U400" s="217" t="s">
        <v>85</v>
      </c>
      <c r="V400" s="217" t="s">
        <v>91</v>
      </c>
      <c r="W400" s="217" t="s">
        <v>92</v>
      </c>
    </row>
    <row r="401" spans="1:23" x14ac:dyDescent="0.25">
      <c r="A401" s="217" t="s">
        <v>22</v>
      </c>
      <c r="B401" s="217" t="s">
        <v>23</v>
      </c>
      <c r="C401" s="217" t="s">
        <v>85</v>
      </c>
      <c r="D401" s="217" t="s">
        <v>84</v>
      </c>
      <c r="E401" s="217" t="s">
        <v>98</v>
      </c>
      <c r="F401" s="217" t="s">
        <v>97</v>
      </c>
      <c r="G401" s="217" t="s">
        <v>1114</v>
      </c>
      <c r="H401" s="217" t="s">
        <v>1115</v>
      </c>
      <c r="I401" s="217" t="s">
        <v>29</v>
      </c>
      <c r="J401" s="217" t="s">
        <v>1858</v>
      </c>
      <c r="K401" s="217">
        <v>10</v>
      </c>
      <c r="L401" s="217">
        <v>50</v>
      </c>
      <c r="M401" s="217" t="s">
        <v>31</v>
      </c>
      <c r="N401" s="217" t="s">
        <v>32</v>
      </c>
      <c r="O401" s="217" t="s">
        <v>68</v>
      </c>
      <c r="P401" s="217" t="s">
        <v>34</v>
      </c>
      <c r="Q401" s="217" t="s">
        <v>35</v>
      </c>
      <c r="R401" s="217" t="s">
        <v>23</v>
      </c>
      <c r="S401" s="217" t="s">
        <v>22</v>
      </c>
      <c r="T401" s="217" t="s">
        <v>84</v>
      </c>
      <c r="U401" s="217" t="s">
        <v>85</v>
      </c>
      <c r="V401" s="217" t="s">
        <v>91</v>
      </c>
      <c r="W401" s="217" t="s">
        <v>92</v>
      </c>
    </row>
    <row r="402" spans="1:23" x14ac:dyDescent="0.25">
      <c r="A402" s="217" t="s">
        <v>22</v>
      </c>
      <c r="B402" s="217" t="s">
        <v>23</v>
      </c>
      <c r="C402" s="217" t="s">
        <v>85</v>
      </c>
      <c r="D402" s="217" t="s">
        <v>84</v>
      </c>
      <c r="E402" s="217" t="s">
        <v>98</v>
      </c>
      <c r="F402" s="217" t="s">
        <v>97</v>
      </c>
      <c r="G402" s="217" t="s">
        <v>372</v>
      </c>
      <c r="H402" s="217" t="s">
        <v>1116</v>
      </c>
      <c r="I402" s="217" t="s">
        <v>29</v>
      </c>
      <c r="J402" s="217" t="s">
        <v>1855</v>
      </c>
      <c r="K402" s="217">
        <v>7</v>
      </c>
      <c r="L402" s="217">
        <v>42</v>
      </c>
      <c r="M402" s="217" t="s">
        <v>31</v>
      </c>
      <c r="N402" s="217" t="s">
        <v>32</v>
      </c>
      <c r="O402" s="217" t="s">
        <v>68</v>
      </c>
      <c r="P402" s="217" t="s">
        <v>34</v>
      </c>
      <c r="Q402" s="217" t="s">
        <v>35</v>
      </c>
      <c r="R402" s="217" t="s">
        <v>23</v>
      </c>
      <c r="S402" s="217" t="s">
        <v>22</v>
      </c>
      <c r="T402" s="217" t="s">
        <v>84</v>
      </c>
      <c r="U402" s="217" t="s">
        <v>85</v>
      </c>
      <c r="V402" s="217" t="s">
        <v>91</v>
      </c>
      <c r="W402" s="217" t="s">
        <v>92</v>
      </c>
    </row>
    <row r="403" spans="1:23" x14ac:dyDescent="0.25">
      <c r="A403" s="217" t="s">
        <v>22</v>
      </c>
      <c r="B403" s="217" t="s">
        <v>23</v>
      </c>
      <c r="C403" s="217" t="s">
        <v>85</v>
      </c>
      <c r="D403" s="217" t="s">
        <v>84</v>
      </c>
      <c r="E403" s="217" t="s">
        <v>98</v>
      </c>
      <c r="F403" s="217" t="s">
        <v>97</v>
      </c>
      <c r="G403" s="217" t="s">
        <v>372</v>
      </c>
      <c r="H403" s="217" t="s">
        <v>1116</v>
      </c>
      <c r="I403" s="217" t="s">
        <v>29</v>
      </c>
      <c r="J403" s="217" t="s">
        <v>1856</v>
      </c>
      <c r="K403" s="217">
        <v>3</v>
      </c>
      <c r="L403" s="217">
        <v>18</v>
      </c>
      <c r="M403" s="217" t="s">
        <v>31</v>
      </c>
      <c r="N403" s="217" t="s">
        <v>32</v>
      </c>
      <c r="O403" s="217" t="s">
        <v>68</v>
      </c>
      <c r="P403" s="217" t="s">
        <v>34</v>
      </c>
      <c r="Q403" s="217" t="s">
        <v>35</v>
      </c>
      <c r="R403" s="217" t="s">
        <v>23</v>
      </c>
      <c r="S403" s="217" t="s">
        <v>22</v>
      </c>
      <c r="T403" s="217" t="s">
        <v>84</v>
      </c>
      <c r="U403" s="217" t="s">
        <v>85</v>
      </c>
      <c r="V403" s="217" t="s">
        <v>91</v>
      </c>
      <c r="W403" s="217" t="s">
        <v>92</v>
      </c>
    </row>
    <row r="404" spans="1:23" x14ac:dyDescent="0.25">
      <c r="A404" s="217" t="s">
        <v>22</v>
      </c>
      <c r="B404" s="217" t="s">
        <v>23</v>
      </c>
      <c r="C404" s="217" t="s">
        <v>85</v>
      </c>
      <c r="D404" s="217" t="s">
        <v>84</v>
      </c>
      <c r="E404" s="217" t="s">
        <v>98</v>
      </c>
      <c r="F404" s="217" t="s">
        <v>97</v>
      </c>
      <c r="G404" s="217" t="s">
        <v>153</v>
      </c>
      <c r="H404" s="217" t="s">
        <v>1117</v>
      </c>
      <c r="I404" s="217" t="s">
        <v>29</v>
      </c>
      <c r="J404" s="217" t="s">
        <v>1855</v>
      </c>
      <c r="K404" s="217">
        <v>155</v>
      </c>
      <c r="L404" s="217">
        <v>1318</v>
      </c>
      <c r="M404" s="217" t="s">
        <v>31</v>
      </c>
      <c r="N404" s="217" t="s">
        <v>32</v>
      </c>
      <c r="O404" s="217" t="s">
        <v>68</v>
      </c>
      <c r="P404" s="217" t="s">
        <v>34</v>
      </c>
      <c r="Q404" s="217" t="s">
        <v>35</v>
      </c>
      <c r="R404" s="217" t="s">
        <v>23</v>
      </c>
      <c r="S404" s="217" t="s">
        <v>22</v>
      </c>
      <c r="T404" s="217" t="s">
        <v>84</v>
      </c>
      <c r="U404" s="217" t="s">
        <v>85</v>
      </c>
      <c r="V404" s="217" t="s">
        <v>91</v>
      </c>
      <c r="W404" s="217" t="s">
        <v>92</v>
      </c>
    </row>
    <row r="405" spans="1:23" x14ac:dyDescent="0.25">
      <c r="A405" s="217" t="s">
        <v>22</v>
      </c>
      <c r="B405" s="217" t="s">
        <v>23</v>
      </c>
      <c r="C405" s="217" t="s">
        <v>85</v>
      </c>
      <c r="D405" s="217" t="s">
        <v>84</v>
      </c>
      <c r="E405" s="217" t="s">
        <v>98</v>
      </c>
      <c r="F405" s="217" t="s">
        <v>97</v>
      </c>
      <c r="G405" s="217" t="s">
        <v>153</v>
      </c>
      <c r="H405" s="217" t="s">
        <v>1117</v>
      </c>
      <c r="I405" s="217" t="s">
        <v>29</v>
      </c>
      <c r="J405" s="217" t="s">
        <v>1856</v>
      </c>
      <c r="K405" s="217">
        <v>388</v>
      </c>
      <c r="L405" s="217">
        <v>3298</v>
      </c>
      <c r="M405" s="217" t="s">
        <v>31</v>
      </c>
      <c r="N405" s="217" t="s">
        <v>32</v>
      </c>
      <c r="O405" s="217" t="s">
        <v>68</v>
      </c>
      <c r="P405" s="217" t="s">
        <v>34</v>
      </c>
      <c r="Q405" s="217" t="s">
        <v>35</v>
      </c>
      <c r="R405" s="217" t="s">
        <v>23</v>
      </c>
      <c r="S405" s="217" t="s">
        <v>22</v>
      </c>
      <c r="T405" s="217" t="s">
        <v>84</v>
      </c>
      <c r="U405" s="217" t="s">
        <v>85</v>
      </c>
      <c r="V405" s="217" t="s">
        <v>91</v>
      </c>
      <c r="W405" s="217" t="s">
        <v>92</v>
      </c>
    </row>
    <row r="406" spans="1:23" x14ac:dyDescent="0.25">
      <c r="A406" s="217" t="s">
        <v>22</v>
      </c>
      <c r="B406" s="217" t="s">
        <v>23</v>
      </c>
      <c r="C406" s="217" t="s">
        <v>85</v>
      </c>
      <c r="D406" s="217" t="s">
        <v>84</v>
      </c>
      <c r="E406" s="217" t="s">
        <v>98</v>
      </c>
      <c r="F406" s="217" t="s">
        <v>97</v>
      </c>
      <c r="G406" s="217" t="s">
        <v>153</v>
      </c>
      <c r="H406" s="217" t="s">
        <v>1117</v>
      </c>
      <c r="I406" s="217" t="s">
        <v>29</v>
      </c>
      <c r="J406" s="217" t="s">
        <v>1857</v>
      </c>
      <c r="K406" s="217">
        <v>435</v>
      </c>
      <c r="L406" s="217">
        <v>3698</v>
      </c>
      <c r="M406" s="217" t="s">
        <v>31</v>
      </c>
      <c r="N406" s="217" t="s">
        <v>32</v>
      </c>
      <c r="O406" s="217" t="s">
        <v>100</v>
      </c>
      <c r="P406" s="217" t="s">
        <v>34</v>
      </c>
      <c r="Q406" s="217" t="s">
        <v>35</v>
      </c>
      <c r="R406" s="217" t="s">
        <v>23</v>
      </c>
      <c r="S406" s="217" t="s">
        <v>22</v>
      </c>
      <c r="T406" s="217" t="s">
        <v>84</v>
      </c>
      <c r="U406" s="217" t="s">
        <v>85</v>
      </c>
      <c r="V406" s="217" t="s">
        <v>97</v>
      </c>
      <c r="W406" s="217" t="s">
        <v>98</v>
      </c>
    </row>
    <row r="407" spans="1:23" x14ac:dyDescent="0.25">
      <c r="A407" s="217" t="s">
        <v>22</v>
      </c>
      <c r="B407" s="217" t="s">
        <v>23</v>
      </c>
      <c r="C407" s="217" t="s">
        <v>85</v>
      </c>
      <c r="D407" s="217" t="s">
        <v>84</v>
      </c>
      <c r="E407" s="217" t="s">
        <v>98</v>
      </c>
      <c r="F407" s="217" t="s">
        <v>97</v>
      </c>
      <c r="G407" s="217" t="s">
        <v>373</v>
      </c>
      <c r="H407" s="217" t="s">
        <v>1118</v>
      </c>
      <c r="I407" s="217" t="s">
        <v>29</v>
      </c>
      <c r="J407" s="217" t="s">
        <v>1857</v>
      </c>
      <c r="K407" s="217">
        <v>154</v>
      </c>
      <c r="L407" s="217">
        <v>1309</v>
      </c>
      <c r="M407" s="217" t="s">
        <v>31</v>
      </c>
      <c r="N407" s="217" t="s">
        <v>32</v>
      </c>
      <c r="O407" s="217" t="s">
        <v>100</v>
      </c>
      <c r="P407" s="217" t="s">
        <v>34</v>
      </c>
      <c r="Q407" s="217" t="s">
        <v>35</v>
      </c>
      <c r="R407" s="217" t="s">
        <v>23</v>
      </c>
      <c r="S407" s="217" t="s">
        <v>22</v>
      </c>
      <c r="T407" s="217" t="s">
        <v>84</v>
      </c>
      <c r="U407" s="217" t="s">
        <v>85</v>
      </c>
      <c r="V407" s="217" t="s">
        <v>97</v>
      </c>
      <c r="W407" s="217" t="s">
        <v>98</v>
      </c>
    </row>
    <row r="408" spans="1:23" x14ac:dyDescent="0.25">
      <c r="A408" s="217" t="s">
        <v>22</v>
      </c>
      <c r="B408" s="217" t="s">
        <v>23</v>
      </c>
      <c r="C408" s="217" t="s">
        <v>85</v>
      </c>
      <c r="D408" s="217" t="s">
        <v>84</v>
      </c>
      <c r="E408" s="217" t="s">
        <v>98</v>
      </c>
      <c r="F408" s="217" t="s">
        <v>97</v>
      </c>
      <c r="G408" s="217" t="s">
        <v>373</v>
      </c>
      <c r="H408" s="217" t="s">
        <v>1118</v>
      </c>
      <c r="I408" s="217" t="s">
        <v>29</v>
      </c>
      <c r="J408" s="217" t="s">
        <v>1858</v>
      </c>
      <c r="K408" s="217">
        <v>222</v>
      </c>
      <c r="L408" s="217">
        <v>1893</v>
      </c>
      <c r="M408" s="217" t="s">
        <v>31</v>
      </c>
      <c r="N408" s="217" t="s">
        <v>32</v>
      </c>
      <c r="O408" s="217" t="s">
        <v>100</v>
      </c>
      <c r="P408" s="217" t="s">
        <v>34</v>
      </c>
      <c r="Q408" s="217" t="s">
        <v>35</v>
      </c>
      <c r="R408" s="217" t="s">
        <v>23</v>
      </c>
      <c r="S408" s="217" t="s">
        <v>22</v>
      </c>
      <c r="T408" s="217" t="s">
        <v>84</v>
      </c>
      <c r="U408" s="217" t="s">
        <v>85</v>
      </c>
      <c r="V408" s="217" t="s">
        <v>97</v>
      </c>
      <c r="W408" s="217" t="s">
        <v>98</v>
      </c>
    </row>
    <row r="409" spans="1:23" x14ac:dyDescent="0.25">
      <c r="A409" s="217" t="s">
        <v>22</v>
      </c>
      <c r="B409" s="217" t="s">
        <v>23</v>
      </c>
      <c r="C409" s="217" t="s">
        <v>85</v>
      </c>
      <c r="D409" s="217" t="s">
        <v>84</v>
      </c>
      <c r="E409" s="217" t="s">
        <v>98</v>
      </c>
      <c r="F409" s="217" t="s">
        <v>97</v>
      </c>
      <c r="G409" s="217" t="s">
        <v>1119</v>
      </c>
      <c r="H409" s="217" t="s">
        <v>1120</v>
      </c>
      <c r="I409" s="217" t="s">
        <v>29</v>
      </c>
      <c r="J409" s="217" t="s">
        <v>1858</v>
      </c>
      <c r="K409" s="217">
        <v>13</v>
      </c>
      <c r="L409" s="217">
        <v>87</v>
      </c>
      <c r="M409" s="217" t="s">
        <v>31</v>
      </c>
      <c r="N409" s="217" t="s">
        <v>32</v>
      </c>
      <c r="O409" s="217" t="s">
        <v>68</v>
      </c>
      <c r="P409" s="217" t="s">
        <v>34</v>
      </c>
      <c r="Q409" s="217" t="s">
        <v>35</v>
      </c>
      <c r="R409" s="217" t="s">
        <v>23</v>
      </c>
      <c r="S409" s="217" t="s">
        <v>22</v>
      </c>
      <c r="T409" s="217" t="s">
        <v>84</v>
      </c>
      <c r="U409" s="217" t="s">
        <v>85</v>
      </c>
      <c r="V409" s="217" t="s">
        <v>109</v>
      </c>
      <c r="W409" s="217" t="s">
        <v>110</v>
      </c>
    </row>
    <row r="410" spans="1:23" x14ac:dyDescent="0.25">
      <c r="A410" s="217" t="s">
        <v>22</v>
      </c>
      <c r="B410" s="217" t="s">
        <v>23</v>
      </c>
      <c r="C410" s="217" t="s">
        <v>85</v>
      </c>
      <c r="D410" s="217" t="s">
        <v>84</v>
      </c>
      <c r="E410" s="217" t="s">
        <v>98</v>
      </c>
      <c r="F410" s="217" t="s">
        <v>97</v>
      </c>
      <c r="G410" s="217" t="s">
        <v>374</v>
      </c>
      <c r="H410" s="217" t="s">
        <v>1121</v>
      </c>
      <c r="I410" s="217" t="s">
        <v>29</v>
      </c>
      <c r="J410" s="217" t="s">
        <v>1856</v>
      </c>
      <c r="K410" s="217">
        <v>22</v>
      </c>
      <c r="L410" s="217">
        <v>88</v>
      </c>
      <c r="M410" s="217" t="s">
        <v>31</v>
      </c>
      <c r="N410" s="217" t="s">
        <v>32</v>
      </c>
      <c r="O410" s="217" t="s">
        <v>68</v>
      </c>
      <c r="P410" s="217" t="s">
        <v>34</v>
      </c>
      <c r="Q410" s="217" t="s">
        <v>35</v>
      </c>
      <c r="R410" s="217" t="s">
        <v>23</v>
      </c>
      <c r="S410" s="217" t="s">
        <v>22</v>
      </c>
      <c r="T410" s="217" t="s">
        <v>84</v>
      </c>
      <c r="U410" s="217" t="s">
        <v>85</v>
      </c>
      <c r="V410" s="217" t="s">
        <v>91</v>
      </c>
      <c r="W410" s="217" t="s">
        <v>92</v>
      </c>
    </row>
    <row r="411" spans="1:23" x14ac:dyDescent="0.25">
      <c r="A411" s="217" t="s">
        <v>22</v>
      </c>
      <c r="B411" s="217" t="s">
        <v>23</v>
      </c>
      <c r="C411" s="217" t="s">
        <v>85</v>
      </c>
      <c r="D411" s="217" t="s">
        <v>84</v>
      </c>
      <c r="E411" s="217" t="s">
        <v>98</v>
      </c>
      <c r="F411" s="217" t="s">
        <v>97</v>
      </c>
      <c r="G411" s="217" t="s">
        <v>374</v>
      </c>
      <c r="H411" s="217" t="s">
        <v>1121</v>
      </c>
      <c r="I411" s="217" t="s">
        <v>29</v>
      </c>
      <c r="J411" s="217" t="s">
        <v>1857</v>
      </c>
      <c r="K411" s="217">
        <v>8</v>
      </c>
      <c r="L411" s="217">
        <v>32</v>
      </c>
      <c r="M411" s="217" t="s">
        <v>31</v>
      </c>
      <c r="N411" s="217" t="s">
        <v>32</v>
      </c>
      <c r="O411" s="217" t="s">
        <v>68</v>
      </c>
      <c r="P411" s="217" t="s">
        <v>34</v>
      </c>
      <c r="Q411" s="217" t="s">
        <v>35</v>
      </c>
      <c r="R411" s="217" t="s">
        <v>23</v>
      </c>
      <c r="S411" s="217" t="s">
        <v>22</v>
      </c>
      <c r="T411" s="217" t="s">
        <v>84</v>
      </c>
      <c r="U411" s="217" t="s">
        <v>85</v>
      </c>
      <c r="V411" s="217" t="s">
        <v>109</v>
      </c>
      <c r="W411" s="217" t="s">
        <v>110</v>
      </c>
    </row>
    <row r="412" spans="1:23" x14ac:dyDescent="0.25">
      <c r="A412" s="217" t="s">
        <v>22</v>
      </c>
      <c r="B412" s="217" t="s">
        <v>23</v>
      </c>
      <c r="C412" s="217" t="s">
        <v>85</v>
      </c>
      <c r="D412" s="217" t="s">
        <v>84</v>
      </c>
      <c r="E412" s="217" t="s">
        <v>98</v>
      </c>
      <c r="F412" s="217" t="s">
        <v>97</v>
      </c>
      <c r="G412" s="217" t="s">
        <v>374</v>
      </c>
      <c r="H412" s="217" t="s">
        <v>1121</v>
      </c>
      <c r="I412" s="217" t="s">
        <v>29</v>
      </c>
      <c r="J412" s="217" t="s">
        <v>1858</v>
      </c>
      <c r="K412" s="217">
        <v>6</v>
      </c>
      <c r="L412" s="217">
        <v>19</v>
      </c>
      <c r="M412" s="217" t="s">
        <v>31</v>
      </c>
      <c r="N412" s="217" t="s">
        <v>32</v>
      </c>
      <c r="O412" s="217" t="s">
        <v>68</v>
      </c>
      <c r="P412" s="217" t="s">
        <v>34</v>
      </c>
      <c r="Q412" s="217" t="s">
        <v>35</v>
      </c>
      <c r="R412" s="217" t="s">
        <v>23</v>
      </c>
      <c r="S412" s="217" t="s">
        <v>22</v>
      </c>
      <c r="T412" s="217" t="s">
        <v>84</v>
      </c>
      <c r="U412" s="217" t="s">
        <v>85</v>
      </c>
      <c r="V412" s="217" t="s">
        <v>94</v>
      </c>
      <c r="W412" s="217" t="s">
        <v>95</v>
      </c>
    </row>
    <row r="413" spans="1:23" x14ac:dyDescent="0.25">
      <c r="A413" s="217" t="s">
        <v>22</v>
      </c>
      <c r="B413" s="217" t="s">
        <v>23</v>
      </c>
      <c r="C413" s="217" t="s">
        <v>85</v>
      </c>
      <c r="D413" s="217" t="s">
        <v>84</v>
      </c>
      <c r="E413" s="217" t="s">
        <v>98</v>
      </c>
      <c r="F413" s="217" t="s">
        <v>97</v>
      </c>
      <c r="G413" s="217" t="s">
        <v>375</v>
      </c>
      <c r="H413" s="217" t="s">
        <v>1122</v>
      </c>
      <c r="I413" s="217" t="s">
        <v>29</v>
      </c>
      <c r="J413" s="217" t="s">
        <v>1856</v>
      </c>
      <c r="K413" s="217">
        <v>2</v>
      </c>
      <c r="L413" s="217">
        <v>6</v>
      </c>
      <c r="M413" s="217" t="s">
        <v>31</v>
      </c>
      <c r="N413" s="217" t="s">
        <v>32</v>
      </c>
      <c r="O413" s="217" t="s">
        <v>100</v>
      </c>
      <c r="P413" s="217" t="s">
        <v>34</v>
      </c>
      <c r="Q413" s="217" t="s">
        <v>35</v>
      </c>
      <c r="R413" s="217" t="s">
        <v>23</v>
      </c>
      <c r="S413" s="217" t="s">
        <v>22</v>
      </c>
      <c r="T413" s="217" t="s">
        <v>84</v>
      </c>
      <c r="U413" s="217" t="s">
        <v>85</v>
      </c>
      <c r="V413" s="217" t="s">
        <v>97</v>
      </c>
      <c r="W413" s="217" t="s">
        <v>98</v>
      </c>
    </row>
    <row r="414" spans="1:23" x14ac:dyDescent="0.25">
      <c r="A414" s="217" t="s">
        <v>22</v>
      </c>
      <c r="B414" s="217" t="s">
        <v>23</v>
      </c>
      <c r="C414" s="217" t="s">
        <v>85</v>
      </c>
      <c r="D414" s="217" t="s">
        <v>84</v>
      </c>
      <c r="E414" s="217" t="s">
        <v>98</v>
      </c>
      <c r="F414" s="217" t="s">
        <v>97</v>
      </c>
      <c r="G414" s="217" t="s">
        <v>375</v>
      </c>
      <c r="H414" s="217" t="s">
        <v>1122</v>
      </c>
      <c r="I414" s="217" t="s">
        <v>29</v>
      </c>
      <c r="J414" s="217" t="s">
        <v>1857</v>
      </c>
      <c r="K414" s="217">
        <v>6</v>
      </c>
      <c r="L414" s="217">
        <v>30</v>
      </c>
      <c r="M414" s="217" t="s">
        <v>31</v>
      </c>
      <c r="N414" s="217" t="s">
        <v>32</v>
      </c>
      <c r="O414" s="217" t="s">
        <v>100</v>
      </c>
      <c r="P414" s="217" t="s">
        <v>34</v>
      </c>
      <c r="Q414" s="217" t="s">
        <v>35</v>
      </c>
      <c r="R414" s="217" t="s">
        <v>23</v>
      </c>
      <c r="S414" s="217" t="s">
        <v>22</v>
      </c>
      <c r="T414" s="217" t="s">
        <v>84</v>
      </c>
      <c r="U414" s="217" t="s">
        <v>85</v>
      </c>
      <c r="V414" s="217" t="s">
        <v>97</v>
      </c>
      <c r="W414" s="217" t="s">
        <v>98</v>
      </c>
    </row>
    <row r="415" spans="1:23" x14ac:dyDescent="0.25">
      <c r="A415" s="217" t="s">
        <v>22</v>
      </c>
      <c r="B415" s="217" t="s">
        <v>23</v>
      </c>
      <c r="C415" s="217" t="s">
        <v>85</v>
      </c>
      <c r="D415" s="217" t="s">
        <v>84</v>
      </c>
      <c r="E415" s="217" t="s">
        <v>98</v>
      </c>
      <c r="F415" s="217" t="s">
        <v>97</v>
      </c>
      <c r="G415" s="217" t="s">
        <v>376</v>
      </c>
      <c r="H415" s="217" t="s">
        <v>1123</v>
      </c>
      <c r="I415" s="217" t="s">
        <v>29</v>
      </c>
      <c r="J415" s="217" t="s">
        <v>1855</v>
      </c>
      <c r="K415" s="217">
        <v>29</v>
      </c>
      <c r="L415" s="217">
        <v>247</v>
      </c>
      <c r="M415" s="217" t="s">
        <v>31</v>
      </c>
      <c r="N415" s="217" t="s">
        <v>32</v>
      </c>
      <c r="O415" s="217" t="s">
        <v>100</v>
      </c>
      <c r="P415" s="217" t="s">
        <v>34</v>
      </c>
      <c r="Q415" s="217" t="s">
        <v>35</v>
      </c>
      <c r="R415" s="217" t="s">
        <v>23</v>
      </c>
      <c r="S415" s="217" t="s">
        <v>22</v>
      </c>
      <c r="T415" s="217" t="s">
        <v>84</v>
      </c>
      <c r="U415" s="217" t="s">
        <v>85</v>
      </c>
      <c r="V415" s="217" t="s">
        <v>97</v>
      </c>
      <c r="W415" s="217" t="s">
        <v>98</v>
      </c>
    </row>
    <row r="416" spans="1:23" x14ac:dyDescent="0.25">
      <c r="A416" s="217" t="s">
        <v>22</v>
      </c>
      <c r="B416" s="217" t="s">
        <v>23</v>
      </c>
      <c r="C416" s="217" t="s">
        <v>85</v>
      </c>
      <c r="D416" s="217" t="s">
        <v>84</v>
      </c>
      <c r="E416" s="217" t="s">
        <v>98</v>
      </c>
      <c r="F416" s="217" t="s">
        <v>97</v>
      </c>
      <c r="G416" s="217" t="s">
        <v>376</v>
      </c>
      <c r="H416" s="217" t="s">
        <v>1123</v>
      </c>
      <c r="I416" s="217" t="s">
        <v>29</v>
      </c>
      <c r="J416" s="217" t="s">
        <v>1856</v>
      </c>
      <c r="K416" s="217">
        <v>13</v>
      </c>
      <c r="L416" s="217">
        <v>111</v>
      </c>
      <c r="M416" s="217" t="s">
        <v>31</v>
      </c>
      <c r="N416" s="217" t="s">
        <v>32</v>
      </c>
      <c r="O416" s="217" t="s">
        <v>100</v>
      </c>
      <c r="P416" s="217" t="s">
        <v>34</v>
      </c>
      <c r="Q416" s="217" t="s">
        <v>35</v>
      </c>
      <c r="R416" s="217" t="s">
        <v>23</v>
      </c>
      <c r="S416" s="217" t="s">
        <v>22</v>
      </c>
      <c r="T416" s="217" t="s">
        <v>84</v>
      </c>
      <c r="U416" s="217" t="s">
        <v>85</v>
      </c>
      <c r="V416" s="217" t="s">
        <v>97</v>
      </c>
      <c r="W416" s="217" t="s">
        <v>98</v>
      </c>
    </row>
    <row r="417" spans="1:23" x14ac:dyDescent="0.25">
      <c r="A417" s="217" t="s">
        <v>22</v>
      </c>
      <c r="B417" s="217" t="s">
        <v>23</v>
      </c>
      <c r="C417" s="217" t="s">
        <v>85</v>
      </c>
      <c r="D417" s="217" t="s">
        <v>84</v>
      </c>
      <c r="E417" s="217" t="s">
        <v>98</v>
      </c>
      <c r="F417" s="217" t="s">
        <v>97</v>
      </c>
      <c r="G417" s="217" t="s">
        <v>376</v>
      </c>
      <c r="H417" s="217" t="s">
        <v>1123</v>
      </c>
      <c r="I417" s="217" t="s">
        <v>29</v>
      </c>
      <c r="J417" s="217" t="s">
        <v>1857</v>
      </c>
      <c r="K417" s="217">
        <v>4</v>
      </c>
      <c r="L417" s="217">
        <v>34</v>
      </c>
      <c r="M417" s="217" t="s">
        <v>31</v>
      </c>
      <c r="N417" s="217" t="s">
        <v>32</v>
      </c>
      <c r="O417" s="217" t="s">
        <v>100</v>
      </c>
      <c r="P417" s="217" t="s">
        <v>34</v>
      </c>
      <c r="Q417" s="217" t="s">
        <v>35</v>
      </c>
      <c r="R417" s="217" t="s">
        <v>23</v>
      </c>
      <c r="S417" s="217" t="s">
        <v>22</v>
      </c>
      <c r="T417" s="217" t="s">
        <v>84</v>
      </c>
      <c r="U417" s="217" t="s">
        <v>85</v>
      </c>
      <c r="V417" s="217" t="s">
        <v>97</v>
      </c>
      <c r="W417" s="217" t="s">
        <v>98</v>
      </c>
    </row>
    <row r="418" spans="1:23" x14ac:dyDescent="0.25">
      <c r="A418" s="217" t="s">
        <v>22</v>
      </c>
      <c r="B418" s="217" t="s">
        <v>23</v>
      </c>
      <c r="C418" s="217" t="s">
        <v>85</v>
      </c>
      <c r="D418" s="217" t="s">
        <v>84</v>
      </c>
      <c r="E418" s="217" t="s">
        <v>98</v>
      </c>
      <c r="F418" s="217" t="s">
        <v>97</v>
      </c>
      <c r="G418" s="217" t="s">
        <v>377</v>
      </c>
      <c r="H418" s="217" t="s">
        <v>1124</v>
      </c>
      <c r="I418" s="217" t="s">
        <v>29</v>
      </c>
      <c r="J418" s="217" t="s">
        <v>1856</v>
      </c>
      <c r="K418" s="217">
        <v>5</v>
      </c>
      <c r="L418" s="217">
        <v>26</v>
      </c>
      <c r="M418" s="217" t="s">
        <v>31</v>
      </c>
      <c r="N418" s="217" t="s">
        <v>32</v>
      </c>
      <c r="O418" s="217" t="s">
        <v>100</v>
      </c>
      <c r="P418" s="217" t="s">
        <v>34</v>
      </c>
      <c r="Q418" s="217" t="s">
        <v>35</v>
      </c>
      <c r="R418" s="217" t="s">
        <v>23</v>
      </c>
      <c r="S418" s="217" t="s">
        <v>22</v>
      </c>
      <c r="T418" s="217" t="s">
        <v>84</v>
      </c>
      <c r="U418" s="217" t="s">
        <v>85</v>
      </c>
      <c r="V418" s="217" t="s">
        <v>97</v>
      </c>
      <c r="W418" s="217" t="s">
        <v>98</v>
      </c>
    </row>
    <row r="419" spans="1:23" x14ac:dyDescent="0.25">
      <c r="A419" s="217" t="s">
        <v>22</v>
      </c>
      <c r="B419" s="217" t="s">
        <v>23</v>
      </c>
      <c r="C419" s="217" t="s">
        <v>85</v>
      </c>
      <c r="D419" s="217" t="s">
        <v>84</v>
      </c>
      <c r="E419" s="217" t="s">
        <v>98</v>
      </c>
      <c r="F419" s="217" t="s">
        <v>97</v>
      </c>
      <c r="G419" s="217" t="s">
        <v>377</v>
      </c>
      <c r="H419" s="217" t="s">
        <v>1124</v>
      </c>
      <c r="I419" s="217" t="s">
        <v>29</v>
      </c>
      <c r="J419" s="217" t="s">
        <v>1857</v>
      </c>
      <c r="K419" s="217">
        <v>2</v>
      </c>
      <c r="L419" s="217">
        <v>9</v>
      </c>
      <c r="M419" s="217" t="s">
        <v>31</v>
      </c>
      <c r="N419" s="217" t="s">
        <v>32</v>
      </c>
      <c r="O419" s="217" t="s">
        <v>100</v>
      </c>
      <c r="P419" s="217" t="s">
        <v>34</v>
      </c>
      <c r="Q419" s="217" t="s">
        <v>35</v>
      </c>
      <c r="R419" s="217" t="s">
        <v>23</v>
      </c>
      <c r="S419" s="217" t="s">
        <v>22</v>
      </c>
      <c r="T419" s="217" t="s">
        <v>84</v>
      </c>
      <c r="U419" s="217" t="s">
        <v>85</v>
      </c>
      <c r="V419" s="217" t="s">
        <v>97</v>
      </c>
      <c r="W419" s="217" t="s">
        <v>98</v>
      </c>
    </row>
    <row r="420" spans="1:23" x14ac:dyDescent="0.25">
      <c r="A420" s="217" t="s">
        <v>22</v>
      </c>
      <c r="B420" s="217" t="s">
        <v>23</v>
      </c>
      <c r="C420" s="217" t="s">
        <v>85</v>
      </c>
      <c r="D420" s="217" t="s">
        <v>84</v>
      </c>
      <c r="E420" s="217" t="s">
        <v>98</v>
      </c>
      <c r="F420" s="217" t="s">
        <v>97</v>
      </c>
      <c r="G420" s="217" t="s">
        <v>1125</v>
      </c>
      <c r="H420" s="217" t="s">
        <v>1126</v>
      </c>
      <c r="I420" s="217" t="s">
        <v>29</v>
      </c>
      <c r="J420" s="217" t="s">
        <v>1858</v>
      </c>
      <c r="K420" s="217">
        <v>11</v>
      </c>
      <c r="L420" s="217">
        <v>90</v>
      </c>
      <c r="M420" s="217" t="s">
        <v>31</v>
      </c>
      <c r="N420" s="217" t="s">
        <v>32</v>
      </c>
      <c r="O420" s="217" t="s">
        <v>68</v>
      </c>
      <c r="P420" s="217" t="s">
        <v>34</v>
      </c>
      <c r="Q420" s="217" t="s">
        <v>35</v>
      </c>
      <c r="R420" s="217" t="s">
        <v>23</v>
      </c>
      <c r="S420" s="217" t="s">
        <v>22</v>
      </c>
      <c r="T420" s="217" t="s">
        <v>84</v>
      </c>
      <c r="U420" s="217" t="s">
        <v>85</v>
      </c>
      <c r="V420" s="217" t="s">
        <v>91</v>
      </c>
      <c r="W420" s="217" t="s">
        <v>92</v>
      </c>
    </row>
    <row r="421" spans="1:23" x14ac:dyDescent="0.25">
      <c r="A421" s="217" t="s">
        <v>22</v>
      </c>
      <c r="B421" s="217" t="s">
        <v>23</v>
      </c>
      <c r="C421" s="217" t="s">
        <v>85</v>
      </c>
      <c r="D421" s="217" t="s">
        <v>84</v>
      </c>
      <c r="E421" s="217" t="s">
        <v>98</v>
      </c>
      <c r="F421" s="217" t="s">
        <v>97</v>
      </c>
      <c r="G421" s="217" t="s">
        <v>1127</v>
      </c>
      <c r="H421" s="217" t="s">
        <v>1128</v>
      </c>
      <c r="I421" s="217" t="s">
        <v>29</v>
      </c>
      <c r="J421" s="217" t="s">
        <v>1858</v>
      </c>
      <c r="K421" s="217">
        <v>7</v>
      </c>
      <c r="L421" s="217">
        <v>32</v>
      </c>
      <c r="M421" s="217" t="s">
        <v>31</v>
      </c>
      <c r="N421" s="217" t="s">
        <v>32</v>
      </c>
      <c r="O421" s="217" t="s">
        <v>68</v>
      </c>
      <c r="P421" s="217" t="s">
        <v>34</v>
      </c>
      <c r="Q421" s="217" t="s">
        <v>35</v>
      </c>
      <c r="R421" s="217" t="s">
        <v>23</v>
      </c>
      <c r="S421" s="217" t="s">
        <v>22</v>
      </c>
      <c r="T421" s="217" t="s">
        <v>84</v>
      </c>
      <c r="U421" s="217" t="s">
        <v>85</v>
      </c>
      <c r="V421" s="217" t="s">
        <v>109</v>
      </c>
      <c r="W421" s="217" t="s">
        <v>110</v>
      </c>
    </row>
    <row r="422" spans="1:23" x14ac:dyDescent="0.25">
      <c r="A422" s="217" t="s">
        <v>22</v>
      </c>
      <c r="B422" s="217" t="s">
        <v>23</v>
      </c>
      <c r="C422" s="217" t="s">
        <v>85</v>
      </c>
      <c r="D422" s="217" t="s">
        <v>84</v>
      </c>
      <c r="E422" s="217" t="s">
        <v>98</v>
      </c>
      <c r="F422" s="217" t="s">
        <v>97</v>
      </c>
      <c r="G422" s="217" t="s">
        <v>1129</v>
      </c>
      <c r="H422" s="217" t="s">
        <v>1130</v>
      </c>
      <c r="I422" s="217" t="s">
        <v>29</v>
      </c>
      <c r="J422" s="217" t="s">
        <v>1857</v>
      </c>
      <c r="K422" s="217">
        <v>10</v>
      </c>
      <c r="L422" s="217">
        <v>85</v>
      </c>
      <c r="M422" s="217" t="s">
        <v>31</v>
      </c>
      <c r="N422" s="217" t="s">
        <v>32</v>
      </c>
      <c r="O422" s="217" t="s">
        <v>100</v>
      </c>
      <c r="P422" s="217" t="s">
        <v>34</v>
      </c>
      <c r="Q422" s="217" t="s">
        <v>35</v>
      </c>
      <c r="R422" s="217" t="s">
        <v>23</v>
      </c>
      <c r="S422" s="217" t="s">
        <v>22</v>
      </c>
      <c r="T422" s="217" t="s">
        <v>84</v>
      </c>
      <c r="U422" s="217" t="s">
        <v>85</v>
      </c>
      <c r="V422" s="217" t="s">
        <v>97</v>
      </c>
      <c r="W422" s="217" t="s">
        <v>98</v>
      </c>
    </row>
    <row r="423" spans="1:23" x14ac:dyDescent="0.25">
      <c r="A423" s="217" t="s">
        <v>22</v>
      </c>
      <c r="B423" s="217" t="s">
        <v>23</v>
      </c>
      <c r="C423" s="217" t="s">
        <v>85</v>
      </c>
      <c r="D423" s="217" t="s">
        <v>84</v>
      </c>
      <c r="E423" s="217" t="s">
        <v>98</v>
      </c>
      <c r="F423" s="217" t="s">
        <v>97</v>
      </c>
      <c r="G423" s="217" t="s">
        <v>1131</v>
      </c>
      <c r="H423" s="217" t="s">
        <v>1132</v>
      </c>
      <c r="I423" s="217" t="s">
        <v>29</v>
      </c>
      <c r="J423" s="217" t="s">
        <v>1858</v>
      </c>
      <c r="K423" s="217">
        <v>10</v>
      </c>
      <c r="L423" s="217">
        <v>45</v>
      </c>
      <c r="M423" s="217" t="s">
        <v>31</v>
      </c>
      <c r="N423" s="217" t="s">
        <v>32</v>
      </c>
      <c r="O423" s="217" t="s">
        <v>68</v>
      </c>
      <c r="P423" s="217" t="s">
        <v>34</v>
      </c>
      <c r="Q423" s="217" t="s">
        <v>35</v>
      </c>
      <c r="R423" s="217" t="s">
        <v>23</v>
      </c>
      <c r="S423" s="217" t="s">
        <v>22</v>
      </c>
      <c r="T423" s="217" t="s">
        <v>84</v>
      </c>
      <c r="U423" s="217" t="s">
        <v>85</v>
      </c>
      <c r="V423" s="217" t="s">
        <v>91</v>
      </c>
      <c r="W423" s="217" t="s">
        <v>92</v>
      </c>
    </row>
    <row r="424" spans="1:23" x14ac:dyDescent="0.25">
      <c r="A424" s="217" t="s">
        <v>22</v>
      </c>
      <c r="B424" s="217" t="s">
        <v>23</v>
      </c>
      <c r="C424" s="217" t="s">
        <v>85</v>
      </c>
      <c r="D424" s="217" t="s">
        <v>84</v>
      </c>
      <c r="E424" s="217" t="s">
        <v>98</v>
      </c>
      <c r="F424" s="217" t="s">
        <v>97</v>
      </c>
      <c r="G424" s="217" t="s">
        <v>378</v>
      </c>
      <c r="H424" s="217" t="s">
        <v>1133</v>
      </c>
      <c r="I424" s="217" t="s">
        <v>29</v>
      </c>
      <c r="J424" s="217" t="s">
        <v>1856</v>
      </c>
      <c r="K424" s="217">
        <v>6</v>
      </c>
      <c r="L424" s="217">
        <v>42</v>
      </c>
      <c r="M424" s="217" t="s">
        <v>31</v>
      </c>
      <c r="N424" s="217" t="s">
        <v>32</v>
      </c>
      <c r="O424" s="217" t="s">
        <v>100</v>
      </c>
      <c r="P424" s="217" t="s">
        <v>34</v>
      </c>
      <c r="Q424" s="217" t="s">
        <v>35</v>
      </c>
      <c r="R424" s="217" t="s">
        <v>23</v>
      </c>
      <c r="S424" s="217" t="s">
        <v>22</v>
      </c>
      <c r="T424" s="217" t="s">
        <v>84</v>
      </c>
      <c r="U424" s="217" t="s">
        <v>85</v>
      </c>
      <c r="V424" s="217" t="s">
        <v>97</v>
      </c>
      <c r="W424" s="217" t="s">
        <v>98</v>
      </c>
    </row>
    <row r="425" spans="1:23" x14ac:dyDescent="0.25">
      <c r="A425" s="217" t="s">
        <v>22</v>
      </c>
      <c r="B425" s="217" t="s">
        <v>23</v>
      </c>
      <c r="C425" s="217" t="s">
        <v>85</v>
      </c>
      <c r="D425" s="217" t="s">
        <v>84</v>
      </c>
      <c r="E425" s="217" t="s">
        <v>98</v>
      </c>
      <c r="F425" s="217" t="s">
        <v>97</v>
      </c>
      <c r="G425" s="217" t="s">
        <v>378</v>
      </c>
      <c r="H425" s="217" t="s">
        <v>1133</v>
      </c>
      <c r="I425" s="217" t="s">
        <v>29</v>
      </c>
      <c r="J425" s="217" t="s">
        <v>1857</v>
      </c>
      <c r="K425" s="217">
        <v>4</v>
      </c>
      <c r="L425" s="217">
        <v>18</v>
      </c>
      <c r="M425" s="217" t="s">
        <v>31</v>
      </c>
      <c r="N425" s="217" t="s">
        <v>32</v>
      </c>
      <c r="O425" s="217" t="s">
        <v>100</v>
      </c>
      <c r="P425" s="217" t="s">
        <v>34</v>
      </c>
      <c r="Q425" s="217" t="s">
        <v>35</v>
      </c>
      <c r="R425" s="217" t="s">
        <v>23</v>
      </c>
      <c r="S425" s="217" t="s">
        <v>22</v>
      </c>
      <c r="T425" s="217" t="s">
        <v>84</v>
      </c>
      <c r="U425" s="217" t="s">
        <v>85</v>
      </c>
      <c r="V425" s="217" t="s">
        <v>97</v>
      </c>
      <c r="W425" s="217" t="s">
        <v>98</v>
      </c>
    </row>
    <row r="426" spans="1:23" x14ac:dyDescent="0.25">
      <c r="A426" s="217" t="s">
        <v>22</v>
      </c>
      <c r="B426" s="217" t="s">
        <v>23</v>
      </c>
      <c r="C426" s="217" t="s">
        <v>85</v>
      </c>
      <c r="D426" s="217" t="s">
        <v>84</v>
      </c>
      <c r="E426" s="217" t="s">
        <v>98</v>
      </c>
      <c r="F426" s="217" t="s">
        <v>97</v>
      </c>
      <c r="G426" s="217" t="s">
        <v>819</v>
      </c>
      <c r="H426" s="217" t="s">
        <v>1134</v>
      </c>
      <c r="I426" s="217" t="s">
        <v>29</v>
      </c>
      <c r="J426" s="217" t="s">
        <v>1857</v>
      </c>
      <c r="K426" s="217">
        <v>3</v>
      </c>
      <c r="L426" s="217">
        <v>15</v>
      </c>
      <c r="M426" s="217" t="s">
        <v>31</v>
      </c>
      <c r="N426" s="217" t="s">
        <v>32</v>
      </c>
      <c r="O426" s="217" t="s">
        <v>68</v>
      </c>
      <c r="P426" s="217" t="s">
        <v>34</v>
      </c>
      <c r="Q426" s="217" t="s">
        <v>35</v>
      </c>
      <c r="R426" s="217" t="s">
        <v>23</v>
      </c>
      <c r="S426" s="217" t="s">
        <v>22</v>
      </c>
      <c r="T426" s="217" t="s">
        <v>84</v>
      </c>
      <c r="U426" s="217" t="s">
        <v>85</v>
      </c>
      <c r="V426" s="217" t="s">
        <v>91</v>
      </c>
      <c r="W426" s="217" t="s">
        <v>92</v>
      </c>
    </row>
    <row r="427" spans="1:23" x14ac:dyDescent="0.25">
      <c r="A427" s="217" t="s">
        <v>22</v>
      </c>
      <c r="B427" s="217" t="s">
        <v>23</v>
      </c>
      <c r="C427" s="217" t="s">
        <v>85</v>
      </c>
      <c r="D427" s="217" t="s">
        <v>84</v>
      </c>
      <c r="E427" s="217" t="s">
        <v>98</v>
      </c>
      <c r="F427" s="217" t="s">
        <v>97</v>
      </c>
      <c r="G427" s="217" t="s">
        <v>795</v>
      </c>
      <c r="H427" s="217" t="s">
        <v>1135</v>
      </c>
      <c r="I427" s="217" t="s">
        <v>29</v>
      </c>
      <c r="J427" s="217" t="s">
        <v>1857</v>
      </c>
      <c r="K427" s="217">
        <v>4</v>
      </c>
      <c r="L427" s="217">
        <v>18</v>
      </c>
      <c r="M427" s="217" t="s">
        <v>31</v>
      </c>
      <c r="N427" s="217" t="s">
        <v>32</v>
      </c>
      <c r="O427" s="217" t="s">
        <v>68</v>
      </c>
      <c r="P427" s="217" t="s">
        <v>34</v>
      </c>
      <c r="Q427" s="217" t="s">
        <v>35</v>
      </c>
      <c r="R427" s="217" t="s">
        <v>23</v>
      </c>
      <c r="S427" s="217" t="s">
        <v>22</v>
      </c>
      <c r="T427" s="217" t="s">
        <v>84</v>
      </c>
      <c r="U427" s="217" t="s">
        <v>85</v>
      </c>
      <c r="V427" s="217" t="s">
        <v>91</v>
      </c>
      <c r="W427" s="217" t="s">
        <v>92</v>
      </c>
    </row>
    <row r="428" spans="1:23" x14ac:dyDescent="0.25">
      <c r="A428" s="217" t="s">
        <v>22</v>
      </c>
      <c r="B428" s="217" t="s">
        <v>23</v>
      </c>
      <c r="C428" s="217" t="s">
        <v>85</v>
      </c>
      <c r="D428" s="217" t="s">
        <v>84</v>
      </c>
      <c r="E428" s="217" t="s">
        <v>98</v>
      </c>
      <c r="F428" s="217" t="s">
        <v>97</v>
      </c>
      <c r="G428" s="217" t="s">
        <v>295</v>
      </c>
      <c r="H428" s="217" t="s">
        <v>1136</v>
      </c>
      <c r="I428" s="217" t="s">
        <v>29</v>
      </c>
      <c r="J428" s="217" t="s">
        <v>1858</v>
      </c>
      <c r="K428" s="217">
        <v>13</v>
      </c>
      <c r="L428" s="217">
        <v>87</v>
      </c>
      <c r="M428" s="217" t="s">
        <v>31</v>
      </c>
      <c r="N428" s="217" t="s">
        <v>32</v>
      </c>
      <c r="O428" s="217" t="s">
        <v>68</v>
      </c>
      <c r="P428" s="217" t="s">
        <v>34</v>
      </c>
      <c r="Q428" s="217" t="s">
        <v>35</v>
      </c>
      <c r="R428" s="217" t="s">
        <v>23</v>
      </c>
      <c r="S428" s="217" t="s">
        <v>22</v>
      </c>
      <c r="T428" s="217" t="s">
        <v>84</v>
      </c>
      <c r="U428" s="217" t="s">
        <v>85</v>
      </c>
      <c r="V428" s="217" t="s">
        <v>109</v>
      </c>
      <c r="W428" s="217" t="s">
        <v>110</v>
      </c>
    </row>
    <row r="429" spans="1:23" x14ac:dyDescent="0.25">
      <c r="A429" s="217" t="s">
        <v>22</v>
      </c>
      <c r="B429" s="217" t="s">
        <v>23</v>
      </c>
      <c r="C429" s="217" t="s">
        <v>85</v>
      </c>
      <c r="D429" s="217" t="s">
        <v>84</v>
      </c>
      <c r="E429" s="217" t="s">
        <v>98</v>
      </c>
      <c r="F429" s="217" t="s">
        <v>97</v>
      </c>
      <c r="G429" s="217" t="s">
        <v>379</v>
      </c>
      <c r="H429" s="217" t="s">
        <v>1137</v>
      </c>
      <c r="I429" s="217" t="s">
        <v>29</v>
      </c>
      <c r="J429" s="217" t="s">
        <v>1855</v>
      </c>
      <c r="K429" s="217">
        <v>1</v>
      </c>
      <c r="L429" s="217">
        <v>6</v>
      </c>
      <c r="M429" s="217" t="s">
        <v>31</v>
      </c>
      <c r="N429" s="217" t="s">
        <v>32</v>
      </c>
      <c r="O429" s="217" t="s">
        <v>68</v>
      </c>
      <c r="P429" s="217" t="s">
        <v>34</v>
      </c>
      <c r="Q429" s="217" t="s">
        <v>35</v>
      </c>
      <c r="R429" s="217" t="s">
        <v>23</v>
      </c>
      <c r="S429" s="217" t="s">
        <v>22</v>
      </c>
      <c r="T429" s="217" t="s">
        <v>84</v>
      </c>
      <c r="U429" s="217" t="s">
        <v>85</v>
      </c>
      <c r="V429" s="217" t="s">
        <v>91</v>
      </c>
      <c r="W429" s="217" t="s">
        <v>92</v>
      </c>
    </row>
    <row r="430" spans="1:23" x14ac:dyDescent="0.25">
      <c r="A430" s="217" t="s">
        <v>22</v>
      </c>
      <c r="B430" s="217" t="s">
        <v>23</v>
      </c>
      <c r="C430" s="217" t="s">
        <v>85</v>
      </c>
      <c r="D430" s="217" t="s">
        <v>84</v>
      </c>
      <c r="E430" s="217" t="s">
        <v>98</v>
      </c>
      <c r="F430" s="217" t="s">
        <v>97</v>
      </c>
      <c r="G430" s="217" t="s">
        <v>379</v>
      </c>
      <c r="H430" s="217" t="s">
        <v>1137</v>
      </c>
      <c r="I430" s="217" t="s">
        <v>29</v>
      </c>
      <c r="J430" s="217" t="s">
        <v>1856</v>
      </c>
      <c r="K430" s="217">
        <v>3</v>
      </c>
      <c r="L430" s="217">
        <v>15</v>
      </c>
      <c r="M430" s="217" t="s">
        <v>31</v>
      </c>
      <c r="N430" s="217" t="s">
        <v>32</v>
      </c>
      <c r="O430" s="217" t="s">
        <v>68</v>
      </c>
      <c r="P430" s="217" t="s">
        <v>34</v>
      </c>
      <c r="Q430" s="217" t="s">
        <v>35</v>
      </c>
      <c r="R430" s="217" t="s">
        <v>23</v>
      </c>
      <c r="S430" s="217" t="s">
        <v>22</v>
      </c>
      <c r="T430" s="217" t="s">
        <v>84</v>
      </c>
      <c r="U430" s="217" t="s">
        <v>85</v>
      </c>
      <c r="V430" s="217" t="s">
        <v>91</v>
      </c>
      <c r="W430" s="217" t="s">
        <v>92</v>
      </c>
    </row>
    <row r="431" spans="1:23" x14ac:dyDescent="0.25">
      <c r="A431" s="217" t="s">
        <v>22</v>
      </c>
      <c r="B431" s="217" t="s">
        <v>23</v>
      </c>
      <c r="C431" s="217" t="s">
        <v>85</v>
      </c>
      <c r="D431" s="217" t="s">
        <v>84</v>
      </c>
      <c r="E431" s="217" t="s">
        <v>98</v>
      </c>
      <c r="F431" s="217" t="s">
        <v>97</v>
      </c>
      <c r="G431" s="217" t="s">
        <v>379</v>
      </c>
      <c r="H431" s="217" t="s">
        <v>1137</v>
      </c>
      <c r="I431" s="217" t="s">
        <v>29</v>
      </c>
      <c r="J431" s="217" t="s">
        <v>1857</v>
      </c>
      <c r="K431" s="217">
        <v>3</v>
      </c>
      <c r="L431" s="217">
        <v>16</v>
      </c>
      <c r="M431" s="217" t="s">
        <v>31</v>
      </c>
      <c r="N431" s="217" t="s">
        <v>32</v>
      </c>
      <c r="O431" s="217" t="s">
        <v>68</v>
      </c>
      <c r="P431" s="217" t="s">
        <v>34</v>
      </c>
      <c r="Q431" s="217" t="s">
        <v>35</v>
      </c>
      <c r="R431" s="217" t="s">
        <v>23</v>
      </c>
      <c r="S431" s="217" t="s">
        <v>22</v>
      </c>
      <c r="T431" s="217" t="s">
        <v>84</v>
      </c>
      <c r="U431" s="217" t="s">
        <v>85</v>
      </c>
      <c r="V431" s="217" t="s">
        <v>91</v>
      </c>
      <c r="W431" s="217" t="s">
        <v>92</v>
      </c>
    </row>
    <row r="432" spans="1:23" x14ac:dyDescent="0.25">
      <c r="A432" s="217" t="s">
        <v>22</v>
      </c>
      <c r="B432" s="217" t="s">
        <v>23</v>
      </c>
      <c r="C432" s="217" t="s">
        <v>85</v>
      </c>
      <c r="D432" s="217" t="s">
        <v>84</v>
      </c>
      <c r="E432" s="217" t="s">
        <v>98</v>
      </c>
      <c r="F432" s="217" t="s">
        <v>97</v>
      </c>
      <c r="G432" s="217" t="s">
        <v>380</v>
      </c>
      <c r="H432" s="217" t="s">
        <v>1138</v>
      </c>
      <c r="I432" s="217" t="s">
        <v>29</v>
      </c>
      <c r="J432" s="217" t="s">
        <v>1856</v>
      </c>
      <c r="K432" s="217">
        <v>2</v>
      </c>
      <c r="L432" s="217">
        <v>14</v>
      </c>
      <c r="M432" s="217" t="s">
        <v>31</v>
      </c>
      <c r="N432" s="217" t="s">
        <v>32</v>
      </c>
      <c r="O432" s="217" t="s">
        <v>68</v>
      </c>
      <c r="P432" s="217" t="s">
        <v>34</v>
      </c>
      <c r="Q432" s="217" t="s">
        <v>35</v>
      </c>
      <c r="R432" s="217" t="s">
        <v>23</v>
      </c>
      <c r="S432" s="217" t="s">
        <v>22</v>
      </c>
      <c r="T432" s="217" t="s">
        <v>84</v>
      </c>
      <c r="U432" s="217" t="s">
        <v>85</v>
      </c>
      <c r="V432" s="217" t="s">
        <v>97</v>
      </c>
      <c r="W432" s="217" t="s">
        <v>98</v>
      </c>
    </row>
    <row r="433" spans="1:23" x14ac:dyDescent="0.25">
      <c r="A433" s="217" t="s">
        <v>22</v>
      </c>
      <c r="B433" s="217" t="s">
        <v>23</v>
      </c>
      <c r="C433" s="217" t="s">
        <v>85</v>
      </c>
      <c r="D433" s="217" t="s">
        <v>84</v>
      </c>
      <c r="E433" s="217" t="s">
        <v>98</v>
      </c>
      <c r="F433" s="217" t="s">
        <v>97</v>
      </c>
      <c r="G433" s="217" t="s">
        <v>380</v>
      </c>
      <c r="H433" s="217" t="s">
        <v>1138</v>
      </c>
      <c r="I433" s="217" t="s">
        <v>29</v>
      </c>
      <c r="J433" s="217" t="s">
        <v>1857</v>
      </c>
      <c r="K433" s="217">
        <v>4</v>
      </c>
      <c r="L433" s="217">
        <v>20</v>
      </c>
      <c r="M433" s="217" t="s">
        <v>31</v>
      </c>
      <c r="N433" s="217" t="s">
        <v>32</v>
      </c>
      <c r="O433" s="217" t="s">
        <v>68</v>
      </c>
      <c r="P433" s="217" t="s">
        <v>34</v>
      </c>
      <c r="Q433" s="217" t="s">
        <v>35</v>
      </c>
      <c r="R433" s="217" t="s">
        <v>23</v>
      </c>
      <c r="S433" s="217" t="s">
        <v>22</v>
      </c>
      <c r="T433" s="217" t="s">
        <v>84</v>
      </c>
      <c r="U433" s="217" t="s">
        <v>85</v>
      </c>
      <c r="V433" s="217" t="s">
        <v>91</v>
      </c>
      <c r="W433" s="217" t="s">
        <v>92</v>
      </c>
    </row>
    <row r="434" spans="1:23" x14ac:dyDescent="0.25">
      <c r="A434" s="217" t="s">
        <v>22</v>
      </c>
      <c r="B434" s="217" t="s">
        <v>23</v>
      </c>
      <c r="C434" s="217" t="s">
        <v>85</v>
      </c>
      <c r="D434" s="217" t="s">
        <v>84</v>
      </c>
      <c r="E434" s="217" t="s">
        <v>98</v>
      </c>
      <c r="F434" s="217" t="s">
        <v>97</v>
      </c>
      <c r="G434" s="217" t="s">
        <v>381</v>
      </c>
      <c r="H434" s="217" t="s">
        <v>1139</v>
      </c>
      <c r="I434" s="217" t="s">
        <v>29</v>
      </c>
      <c r="J434" s="217" t="s">
        <v>1856</v>
      </c>
      <c r="K434" s="217">
        <v>4</v>
      </c>
      <c r="L434" s="217">
        <v>32</v>
      </c>
      <c r="M434" s="217" t="s">
        <v>31</v>
      </c>
      <c r="N434" s="217" t="s">
        <v>32</v>
      </c>
      <c r="O434" s="217" t="s">
        <v>100</v>
      </c>
      <c r="P434" s="217" t="s">
        <v>34</v>
      </c>
      <c r="Q434" s="217" t="s">
        <v>35</v>
      </c>
      <c r="R434" s="217" t="s">
        <v>23</v>
      </c>
      <c r="S434" s="217" t="s">
        <v>22</v>
      </c>
      <c r="T434" s="217" t="s">
        <v>84</v>
      </c>
      <c r="U434" s="217" t="s">
        <v>85</v>
      </c>
      <c r="V434" s="217" t="s">
        <v>97</v>
      </c>
      <c r="W434" s="217" t="s">
        <v>98</v>
      </c>
    </row>
    <row r="435" spans="1:23" x14ac:dyDescent="0.25">
      <c r="A435" s="217" t="s">
        <v>22</v>
      </c>
      <c r="B435" s="217" t="s">
        <v>23</v>
      </c>
      <c r="C435" s="217" t="s">
        <v>85</v>
      </c>
      <c r="D435" s="217" t="s">
        <v>84</v>
      </c>
      <c r="E435" s="217" t="s">
        <v>98</v>
      </c>
      <c r="F435" s="217" t="s">
        <v>97</v>
      </c>
      <c r="G435" s="217" t="s">
        <v>381</v>
      </c>
      <c r="H435" s="217" t="s">
        <v>1139</v>
      </c>
      <c r="I435" s="217" t="s">
        <v>29</v>
      </c>
      <c r="J435" s="217" t="s">
        <v>1857</v>
      </c>
      <c r="K435" s="217">
        <v>3</v>
      </c>
      <c r="L435" s="217">
        <v>20</v>
      </c>
      <c r="M435" s="217" t="s">
        <v>31</v>
      </c>
      <c r="N435" s="217" t="s">
        <v>32</v>
      </c>
      <c r="O435" s="217" t="s">
        <v>100</v>
      </c>
      <c r="P435" s="217" t="s">
        <v>34</v>
      </c>
      <c r="Q435" s="217" t="s">
        <v>35</v>
      </c>
      <c r="R435" s="217" t="s">
        <v>23</v>
      </c>
      <c r="S435" s="217" t="s">
        <v>22</v>
      </c>
      <c r="T435" s="217" t="s">
        <v>84</v>
      </c>
      <c r="U435" s="217" t="s">
        <v>85</v>
      </c>
      <c r="V435" s="217" t="s">
        <v>97</v>
      </c>
      <c r="W435" s="217" t="s">
        <v>98</v>
      </c>
    </row>
    <row r="436" spans="1:23" x14ac:dyDescent="0.25">
      <c r="A436" s="217" t="s">
        <v>22</v>
      </c>
      <c r="B436" s="217" t="s">
        <v>23</v>
      </c>
      <c r="C436" s="217" t="s">
        <v>85</v>
      </c>
      <c r="D436" s="217" t="s">
        <v>84</v>
      </c>
      <c r="E436" s="217" t="s">
        <v>98</v>
      </c>
      <c r="F436" s="217" t="s">
        <v>97</v>
      </c>
      <c r="G436" s="217" t="s">
        <v>382</v>
      </c>
      <c r="H436" s="217" t="s">
        <v>1140</v>
      </c>
      <c r="I436" s="217" t="s">
        <v>29</v>
      </c>
      <c r="J436" s="217" t="s">
        <v>1855</v>
      </c>
      <c r="K436" s="217">
        <v>2</v>
      </c>
      <c r="L436" s="217">
        <v>17</v>
      </c>
      <c r="M436" s="217" t="s">
        <v>31</v>
      </c>
      <c r="N436" s="217" t="s">
        <v>32</v>
      </c>
      <c r="O436" s="217" t="s">
        <v>100</v>
      </c>
      <c r="P436" s="217" t="s">
        <v>34</v>
      </c>
      <c r="Q436" s="217" t="s">
        <v>35</v>
      </c>
      <c r="R436" s="217" t="s">
        <v>23</v>
      </c>
      <c r="S436" s="217" t="s">
        <v>22</v>
      </c>
      <c r="T436" s="217" t="s">
        <v>84</v>
      </c>
      <c r="U436" s="217" t="s">
        <v>85</v>
      </c>
      <c r="V436" s="217" t="s">
        <v>97</v>
      </c>
      <c r="W436" s="217" t="s">
        <v>98</v>
      </c>
    </row>
    <row r="437" spans="1:23" x14ac:dyDescent="0.25">
      <c r="A437" s="217" t="s">
        <v>22</v>
      </c>
      <c r="B437" s="217" t="s">
        <v>23</v>
      </c>
      <c r="C437" s="217" t="s">
        <v>85</v>
      </c>
      <c r="D437" s="217" t="s">
        <v>84</v>
      </c>
      <c r="E437" s="217" t="s">
        <v>98</v>
      </c>
      <c r="F437" s="217" t="s">
        <v>97</v>
      </c>
      <c r="G437" s="217" t="s">
        <v>382</v>
      </c>
      <c r="H437" s="217" t="s">
        <v>1140</v>
      </c>
      <c r="I437" s="217" t="s">
        <v>29</v>
      </c>
      <c r="J437" s="217" t="s">
        <v>1856</v>
      </c>
      <c r="K437" s="217">
        <v>2</v>
      </c>
      <c r="L437" s="217">
        <v>2</v>
      </c>
      <c r="M437" s="217" t="s">
        <v>31</v>
      </c>
      <c r="N437" s="217" t="s">
        <v>32</v>
      </c>
      <c r="O437" s="217" t="s">
        <v>100</v>
      </c>
      <c r="P437" s="217" t="s">
        <v>34</v>
      </c>
      <c r="Q437" s="217" t="s">
        <v>35</v>
      </c>
      <c r="R437" s="217" t="s">
        <v>23</v>
      </c>
      <c r="S437" s="217" t="s">
        <v>22</v>
      </c>
      <c r="T437" s="217" t="s">
        <v>84</v>
      </c>
      <c r="U437" s="217" t="s">
        <v>85</v>
      </c>
      <c r="V437" s="217" t="s">
        <v>97</v>
      </c>
      <c r="W437" s="217" t="s">
        <v>98</v>
      </c>
    </row>
    <row r="438" spans="1:23" x14ac:dyDescent="0.25">
      <c r="A438" s="217" t="s">
        <v>22</v>
      </c>
      <c r="B438" s="217" t="s">
        <v>23</v>
      </c>
      <c r="C438" s="217" t="s">
        <v>85</v>
      </c>
      <c r="D438" s="217" t="s">
        <v>84</v>
      </c>
      <c r="E438" s="217" t="s">
        <v>98</v>
      </c>
      <c r="F438" s="217" t="s">
        <v>97</v>
      </c>
      <c r="G438" s="217" t="s">
        <v>383</v>
      </c>
      <c r="H438" s="217" t="s">
        <v>1141</v>
      </c>
      <c r="I438" s="217" t="s">
        <v>29</v>
      </c>
      <c r="J438" s="217" t="s">
        <v>1855</v>
      </c>
      <c r="K438" s="217">
        <v>2</v>
      </c>
      <c r="L438" s="217">
        <v>16</v>
      </c>
      <c r="M438" s="217" t="s">
        <v>31</v>
      </c>
      <c r="N438" s="217" t="s">
        <v>32</v>
      </c>
      <c r="O438" s="217" t="s">
        <v>68</v>
      </c>
      <c r="P438" s="217" t="s">
        <v>34</v>
      </c>
      <c r="Q438" s="217" t="s">
        <v>35</v>
      </c>
      <c r="R438" s="217" t="s">
        <v>23</v>
      </c>
      <c r="S438" s="217" t="s">
        <v>22</v>
      </c>
      <c r="T438" s="217" t="s">
        <v>84</v>
      </c>
      <c r="U438" s="217" t="s">
        <v>85</v>
      </c>
      <c r="V438" s="217" t="s">
        <v>109</v>
      </c>
      <c r="W438" s="217" t="s">
        <v>110</v>
      </c>
    </row>
    <row r="439" spans="1:23" x14ac:dyDescent="0.25">
      <c r="A439" s="217" t="s">
        <v>22</v>
      </c>
      <c r="B439" s="217" t="s">
        <v>23</v>
      </c>
      <c r="C439" s="217" t="s">
        <v>85</v>
      </c>
      <c r="D439" s="217" t="s">
        <v>84</v>
      </c>
      <c r="E439" s="217" t="s">
        <v>98</v>
      </c>
      <c r="F439" s="217" t="s">
        <v>97</v>
      </c>
      <c r="G439" s="217" t="s">
        <v>383</v>
      </c>
      <c r="H439" s="217" t="s">
        <v>1141</v>
      </c>
      <c r="I439" s="217" t="s">
        <v>29</v>
      </c>
      <c r="J439" s="217" t="s">
        <v>1856</v>
      </c>
      <c r="K439" s="217">
        <v>4</v>
      </c>
      <c r="L439" s="217">
        <v>20</v>
      </c>
      <c r="M439" s="217" t="s">
        <v>31</v>
      </c>
      <c r="N439" s="217" t="s">
        <v>32</v>
      </c>
      <c r="O439" s="217" t="s">
        <v>68</v>
      </c>
      <c r="P439" s="217" t="s">
        <v>34</v>
      </c>
      <c r="Q439" s="217" t="s">
        <v>35</v>
      </c>
      <c r="R439" s="217" t="s">
        <v>23</v>
      </c>
      <c r="S439" s="217" t="s">
        <v>22</v>
      </c>
      <c r="T439" s="217" t="s">
        <v>84</v>
      </c>
      <c r="U439" s="217" t="s">
        <v>85</v>
      </c>
      <c r="V439" s="217" t="s">
        <v>91</v>
      </c>
      <c r="W439" s="217" t="s">
        <v>92</v>
      </c>
    </row>
    <row r="440" spans="1:23" x14ac:dyDescent="0.25">
      <c r="A440" s="217" t="s">
        <v>22</v>
      </c>
      <c r="B440" s="217" t="s">
        <v>23</v>
      </c>
      <c r="C440" s="217" t="s">
        <v>85</v>
      </c>
      <c r="D440" s="217" t="s">
        <v>84</v>
      </c>
      <c r="E440" s="217" t="s">
        <v>98</v>
      </c>
      <c r="F440" s="217" t="s">
        <v>97</v>
      </c>
      <c r="G440" s="217" t="s">
        <v>383</v>
      </c>
      <c r="H440" s="217" t="s">
        <v>1141</v>
      </c>
      <c r="I440" s="217" t="s">
        <v>29</v>
      </c>
      <c r="J440" s="217" t="s">
        <v>1857</v>
      </c>
      <c r="K440" s="217">
        <v>6</v>
      </c>
      <c r="L440" s="217">
        <v>20</v>
      </c>
      <c r="M440" s="217" t="s">
        <v>31</v>
      </c>
      <c r="N440" s="217" t="s">
        <v>32</v>
      </c>
      <c r="O440" s="217" t="s">
        <v>68</v>
      </c>
      <c r="P440" s="217" t="s">
        <v>34</v>
      </c>
      <c r="Q440" s="217" t="s">
        <v>35</v>
      </c>
      <c r="R440" s="217" t="s">
        <v>23</v>
      </c>
      <c r="S440" s="217" t="s">
        <v>22</v>
      </c>
      <c r="T440" s="217" t="s">
        <v>84</v>
      </c>
      <c r="U440" s="217" t="s">
        <v>85</v>
      </c>
      <c r="V440" s="217" t="s">
        <v>91</v>
      </c>
      <c r="W440" s="217" t="s">
        <v>92</v>
      </c>
    </row>
    <row r="441" spans="1:23" x14ac:dyDescent="0.25">
      <c r="A441" s="217" t="s">
        <v>22</v>
      </c>
      <c r="B441" s="217" t="s">
        <v>23</v>
      </c>
      <c r="C441" s="217" t="s">
        <v>85</v>
      </c>
      <c r="D441" s="217" t="s">
        <v>84</v>
      </c>
      <c r="E441" s="217" t="s">
        <v>98</v>
      </c>
      <c r="F441" s="217" t="s">
        <v>97</v>
      </c>
      <c r="G441" s="217" t="s">
        <v>801</v>
      </c>
      <c r="H441" s="217" t="s">
        <v>1142</v>
      </c>
      <c r="I441" s="217" t="s">
        <v>29</v>
      </c>
      <c r="J441" s="217" t="s">
        <v>1857</v>
      </c>
      <c r="K441" s="217">
        <v>31</v>
      </c>
      <c r="L441" s="217">
        <v>262</v>
      </c>
      <c r="M441" s="217" t="s">
        <v>31</v>
      </c>
      <c r="N441" s="217" t="s">
        <v>32</v>
      </c>
      <c r="O441" s="217" t="s">
        <v>100</v>
      </c>
      <c r="P441" s="217" t="s">
        <v>34</v>
      </c>
      <c r="Q441" s="217" t="s">
        <v>35</v>
      </c>
      <c r="R441" s="217" t="s">
        <v>23</v>
      </c>
      <c r="S441" s="217" t="s">
        <v>22</v>
      </c>
      <c r="T441" s="217" t="s">
        <v>84</v>
      </c>
      <c r="U441" s="217" t="s">
        <v>85</v>
      </c>
      <c r="V441" s="217" t="s">
        <v>97</v>
      </c>
      <c r="W441" s="217" t="s">
        <v>98</v>
      </c>
    </row>
    <row r="442" spans="1:23" x14ac:dyDescent="0.25">
      <c r="A442" s="217" t="s">
        <v>22</v>
      </c>
      <c r="B442" s="217" t="s">
        <v>23</v>
      </c>
      <c r="C442" s="217" t="s">
        <v>85</v>
      </c>
      <c r="D442" s="217" t="s">
        <v>84</v>
      </c>
      <c r="E442" s="217" t="s">
        <v>98</v>
      </c>
      <c r="F442" s="217" t="s">
        <v>97</v>
      </c>
      <c r="G442" s="217" t="s">
        <v>801</v>
      </c>
      <c r="H442" s="217" t="s">
        <v>1142</v>
      </c>
      <c r="I442" s="217" t="s">
        <v>29</v>
      </c>
      <c r="J442" s="217" t="s">
        <v>1859</v>
      </c>
      <c r="K442" s="217">
        <v>34</v>
      </c>
      <c r="L442" s="217">
        <v>289</v>
      </c>
      <c r="M442" s="217" t="s">
        <v>31</v>
      </c>
      <c r="N442" s="217" t="s">
        <v>32</v>
      </c>
      <c r="O442" s="217" t="s">
        <v>100</v>
      </c>
      <c r="P442" s="217" t="s">
        <v>34</v>
      </c>
      <c r="Q442" s="217" t="s">
        <v>35</v>
      </c>
      <c r="R442" s="217" t="s">
        <v>23</v>
      </c>
      <c r="S442" s="217" t="s">
        <v>22</v>
      </c>
      <c r="T442" s="217" t="s">
        <v>84</v>
      </c>
      <c r="U442" s="217" t="s">
        <v>85</v>
      </c>
      <c r="V442" s="217" t="s">
        <v>97</v>
      </c>
      <c r="W442" s="217" t="s">
        <v>98</v>
      </c>
    </row>
    <row r="443" spans="1:23" x14ac:dyDescent="0.25">
      <c r="A443" s="217" t="s">
        <v>22</v>
      </c>
      <c r="B443" s="217" t="s">
        <v>23</v>
      </c>
      <c r="C443" s="217" t="s">
        <v>85</v>
      </c>
      <c r="D443" s="217" t="s">
        <v>84</v>
      </c>
      <c r="E443" s="217" t="s">
        <v>98</v>
      </c>
      <c r="F443" s="217" t="s">
        <v>97</v>
      </c>
      <c r="G443" s="217" t="s">
        <v>155</v>
      </c>
      <c r="H443" s="217" t="s">
        <v>1143</v>
      </c>
      <c r="I443" s="217" t="s">
        <v>29</v>
      </c>
      <c r="J443" s="217" t="s">
        <v>1856</v>
      </c>
      <c r="K443" s="217">
        <v>40</v>
      </c>
      <c r="L443" s="217">
        <v>200</v>
      </c>
      <c r="M443" s="217" t="s">
        <v>31</v>
      </c>
      <c r="N443" s="217" t="s">
        <v>32</v>
      </c>
      <c r="O443" s="217" t="s">
        <v>100</v>
      </c>
      <c r="P443" s="217" t="s">
        <v>34</v>
      </c>
      <c r="Q443" s="217" t="s">
        <v>35</v>
      </c>
      <c r="R443" s="217" t="s">
        <v>23</v>
      </c>
      <c r="S443" s="217" t="s">
        <v>22</v>
      </c>
      <c r="T443" s="217" t="s">
        <v>84</v>
      </c>
      <c r="U443" s="217" t="s">
        <v>85</v>
      </c>
      <c r="V443" s="217" t="s">
        <v>97</v>
      </c>
      <c r="W443" s="217" t="s">
        <v>98</v>
      </c>
    </row>
    <row r="444" spans="1:23" x14ac:dyDescent="0.25">
      <c r="A444" s="217" t="s">
        <v>22</v>
      </c>
      <c r="B444" s="217" t="s">
        <v>23</v>
      </c>
      <c r="C444" s="217" t="s">
        <v>85</v>
      </c>
      <c r="D444" s="217" t="s">
        <v>84</v>
      </c>
      <c r="E444" s="217" t="s">
        <v>98</v>
      </c>
      <c r="F444" s="217" t="s">
        <v>97</v>
      </c>
      <c r="G444" s="217" t="s">
        <v>155</v>
      </c>
      <c r="H444" s="217" t="s">
        <v>1143</v>
      </c>
      <c r="I444" s="217" t="s">
        <v>29</v>
      </c>
      <c r="J444" s="217" t="s">
        <v>1857</v>
      </c>
      <c r="K444" s="217">
        <v>52</v>
      </c>
      <c r="L444" s="217">
        <v>260</v>
      </c>
      <c r="M444" s="217" t="s">
        <v>31</v>
      </c>
      <c r="N444" s="217" t="s">
        <v>32</v>
      </c>
      <c r="O444" s="217" t="s">
        <v>100</v>
      </c>
      <c r="P444" s="217" t="s">
        <v>34</v>
      </c>
      <c r="Q444" s="217" t="s">
        <v>35</v>
      </c>
      <c r="R444" s="217" t="s">
        <v>23</v>
      </c>
      <c r="S444" s="217" t="s">
        <v>22</v>
      </c>
      <c r="T444" s="217" t="s">
        <v>84</v>
      </c>
      <c r="U444" s="217" t="s">
        <v>85</v>
      </c>
      <c r="V444" s="217" t="s">
        <v>97</v>
      </c>
      <c r="W444" s="217" t="s">
        <v>98</v>
      </c>
    </row>
    <row r="445" spans="1:23" x14ac:dyDescent="0.25">
      <c r="A445" s="217" t="s">
        <v>22</v>
      </c>
      <c r="B445" s="217" t="s">
        <v>23</v>
      </c>
      <c r="C445" s="217" t="s">
        <v>85</v>
      </c>
      <c r="D445" s="217" t="s">
        <v>84</v>
      </c>
      <c r="E445" s="217" t="s">
        <v>98</v>
      </c>
      <c r="F445" s="217" t="s">
        <v>97</v>
      </c>
      <c r="G445" s="217" t="s">
        <v>384</v>
      </c>
      <c r="H445" s="217" t="s">
        <v>1144</v>
      </c>
      <c r="I445" s="217" t="s">
        <v>29</v>
      </c>
      <c r="J445" s="217" t="s">
        <v>1856</v>
      </c>
      <c r="K445" s="217">
        <v>41</v>
      </c>
      <c r="L445" s="217">
        <v>205</v>
      </c>
      <c r="M445" s="217" t="s">
        <v>31</v>
      </c>
      <c r="N445" s="217" t="s">
        <v>32</v>
      </c>
      <c r="O445" s="217" t="s">
        <v>100</v>
      </c>
      <c r="P445" s="217" t="s">
        <v>34</v>
      </c>
      <c r="Q445" s="217" t="s">
        <v>35</v>
      </c>
      <c r="R445" s="217" t="s">
        <v>23</v>
      </c>
      <c r="S445" s="217" t="s">
        <v>22</v>
      </c>
      <c r="T445" s="217" t="s">
        <v>84</v>
      </c>
      <c r="U445" s="217" t="s">
        <v>85</v>
      </c>
      <c r="V445" s="217" t="s">
        <v>97</v>
      </c>
      <c r="W445" s="217" t="s">
        <v>98</v>
      </c>
    </row>
    <row r="446" spans="1:23" x14ac:dyDescent="0.25">
      <c r="A446" s="217" t="s">
        <v>22</v>
      </c>
      <c r="B446" s="217" t="s">
        <v>23</v>
      </c>
      <c r="C446" s="217" t="s">
        <v>85</v>
      </c>
      <c r="D446" s="217" t="s">
        <v>84</v>
      </c>
      <c r="E446" s="217" t="s">
        <v>98</v>
      </c>
      <c r="F446" s="217" t="s">
        <v>97</v>
      </c>
      <c r="G446" s="217" t="s">
        <v>384</v>
      </c>
      <c r="H446" s="217" t="s">
        <v>1144</v>
      </c>
      <c r="I446" s="217" t="s">
        <v>29</v>
      </c>
      <c r="J446" s="217" t="s">
        <v>1857</v>
      </c>
      <c r="K446" s="217">
        <v>31</v>
      </c>
      <c r="L446" s="217">
        <v>85</v>
      </c>
      <c r="M446" s="217" t="s">
        <v>31</v>
      </c>
      <c r="N446" s="217" t="s">
        <v>32</v>
      </c>
      <c r="O446" s="217" t="s">
        <v>100</v>
      </c>
      <c r="P446" s="217" t="s">
        <v>34</v>
      </c>
      <c r="Q446" s="217" t="s">
        <v>35</v>
      </c>
      <c r="R446" s="217" t="s">
        <v>23</v>
      </c>
      <c r="S446" s="217" t="s">
        <v>22</v>
      </c>
      <c r="T446" s="217" t="s">
        <v>84</v>
      </c>
      <c r="U446" s="217" t="s">
        <v>85</v>
      </c>
      <c r="V446" s="217" t="s">
        <v>97</v>
      </c>
      <c r="W446" s="217" t="s">
        <v>98</v>
      </c>
    </row>
    <row r="447" spans="1:23" x14ac:dyDescent="0.25">
      <c r="A447" s="217" t="s">
        <v>22</v>
      </c>
      <c r="B447" s="217" t="s">
        <v>23</v>
      </c>
      <c r="C447" s="217" t="s">
        <v>85</v>
      </c>
      <c r="D447" s="217" t="s">
        <v>84</v>
      </c>
      <c r="E447" s="217" t="s">
        <v>98</v>
      </c>
      <c r="F447" s="217" t="s">
        <v>97</v>
      </c>
      <c r="G447" s="217" t="s">
        <v>384</v>
      </c>
      <c r="H447" s="217" t="s">
        <v>1144</v>
      </c>
      <c r="I447" s="217" t="s">
        <v>29</v>
      </c>
      <c r="J447" s="217" t="s">
        <v>1858</v>
      </c>
      <c r="K447" s="217">
        <v>2</v>
      </c>
      <c r="L447" s="217">
        <v>17</v>
      </c>
      <c r="M447" s="217" t="s">
        <v>31</v>
      </c>
      <c r="N447" s="217" t="s">
        <v>32</v>
      </c>
      <c r="O447" s="217" t="s">
        <v>68</v>
      </c>
      <c r="P447" s="217" t="s">
        <v>34</v>
      </c>
      <c r="Q447" s="217" t="s">
        <v>35</v>
      </c>
      <c r="R447" s="217" t="s">
        <v>23</v>
      </c>
      <c r="S447" s="217" t="s">
        <v>22</v>
      </c>
      <c r="T447" s="217" t="s">
        <v>84</v>
      </c>
      <c r="U447" s="217" t="s">
        <v>85</v>
      </c>
      <c r="V447" s="217" t="s">
        <v>109</v>
      </c>
      <c r="W447" s="217" t="s">
        <v>110</v>
      </c>
    </row>
    <row r="448" spans="1:23" x14ac:dyDescent="0.25">
      <c r="A448" s="217" t="s">
        <v>22</v>
      </c>
      <c r="B448" s="217" t="s">
        <v>23</v>
      </c>
      <c r="C448" s="217" t="s">
        <v>85</v>
      </c>
      <c r="D448" s="217" t="s">
        <v>84</v>
      </c>
      <c r="E448" s="217" t="s">
        <v>98</v>
      </c>
      <c r="F448" s="217" t="s">
        <v>97</v>
      </c>
      <c r="G448" s="217" t="s">
        <v>1145</v>
      </c>
      <c r="H448" s="217" t="s">
        <v>1146</v>
      </c>
      <c r="I448" s="217" t="s">
        <v>29</v>
      </c>
      <c r="J448" s="217" t="s">
        <v>1855</v>
      </c>
      <c r="K448" s="217">
        <v>7</v>
      </c>
      <c r="L448" s="217">
        <v>55</v>
      </c>
      <c r="M448" s="217" t="s">
        <v>31</v>
      </c>
      <c r="N448" s="217" t="s">
        <v>32</v>
      </c>
      <c r="O448" s="217" t="s">
        <v>68</v>
      </c>
      <c r="P448" s="217" t="s">
        <v>34</v>
      </c>
      <c r="Q448" s="217" t="s">
        <v>35</v>
      </c>
      <c r="R448" s="217" t="s">
        <v>23</v>
      </c>
      <c r="S448" s="217" t="s">
        <v>22</v>
      </c>
      <c r="T448" s="217" t="s">
        <v>84</v>
      </c>
      <c r="U448" s="217" t="s">
        <v>85</v>
      </c>
      <c r="V448" s="217" t="s">
        <v>91</v>
      </c>
      <c r="W448" s="217" t="s">
        <v>92</v>
      </c>
    </row>
    <row r="449" spans="1:23" x14ac:dyDescent="0.25">
      <c r="A449" s="217" t="s">
        <v>22</v>
      </c>
      <c r="B449" s="217" t="s">
        <v>23</v>
      </c>
      <c r="C449" s="217" t="s">
        <v>85</v>
      </c>
      <c r="D449" s="217" t="s">
        <v>84</v>
      </c>
      <c r="E449" s="217" t="s">
        <v>98</v>
      </c>
      <c r="F449" s="217" t="s">
        <v>97</v>
      </c>
      <c r="G449" s="217" t="s">
        <v>385</v>
      </c>
      <c r="H449" s="217" t="s">
        <v>1147</v>
      </c>
      <c r="I449" s="217" t="s">
        <v>29</v>
      </c>
      <c r="J449" s="217" t="s">
        <v>1856</v>
      </c>
      <c r="K449" s="217">
        <v>10</v>
      </c>
      <c r="L449" s="217">
        <v>47</v>
      </c>
      <c r="M449" s="217" t="s">
        <v>31</v>
      </c>
      <c r="N449" s="217" t="s">
        <v>32</v>
      </c>
      <c r="O449" s="217" t="s">
        <v>100</v>
      </c>
      <c r="P449" s="217" t="s">
        <v>34</v>
      </c>
      <c r="Q449" s="217" t="s">
        <v>35</v>
      </c>
      <c r="R449" s="217" t="s">
        <v>23</v>
      </c>
      <c r="S449" s="217" t="s">
        <v>22</v>
      </c>
      <c r="T449" s="217" t="s">
        <v>84</v>
      </c>
      <c r="U449" s="217" t="s">
        <v>85</v>
      </c>
      <c r="V449" s="217" t="s">
        <v>97</v>
      </c>
      <c r="W449" s="217" t="s">
        <v>98</v>
      </c>
    </row>
    <row r="450" spans="1:23" x14ac:dyDescent="0.25">
      <c r="A450" s="217" t="s">
        <v>22</v>
      </c>
      <c r="B450" s="217" t="s">
        <v>23</v>
      </c>
      <c r="C450" s="217" t="s">
        <v>85</v>
      </c>
      <c r="D450" s="217" t="s">
        <v>84</v>
      </c>
      <c r="E450" s="217" t="s">
        <v>98</v>
      </c>
      <c r="F450" s="217" t="s">
        <v>97</v>
      </c>
      <c r="G450" s="217" t="s">
        <v>385</v>
      </c>
      <c r="H450" s="217" t="s">
        <v>1147</v>
      </c>
      <c r="I450" s="217" t="s">
        <v>29</v>
      </c>
      <c r="J450" s="217" t="s">
        <v>1857</v>
      </c>
      <c r="K450" s="217">
        <v>5</v>
      </c>
      <c r="L450" s="217">
        <v>48</v>
      </c>
      <c r="M450" s="217" t="s">
        <v>31</v>
      </c>
      <c r="N450" s="217" t="s">
        <v>32</v>
      </c>
      <c r="O450" s="217" t="s">
        <v>100</v>
      </c>
      <c r="P450" s="217" t="s">
        <v>34</v>
      </c>
      <c r="Q450" s="217" t="s">
        <v>35</v>
      </c>
      <c r="R450" s="217" t="s">
        <v>23</v>
      </c>
      <c r="S450" s="217" t="s">
        <v>22</v>
      </c>
      <c r="T450" s="217" t="s">
        <v>84</v>
      </c>
      <c r="U450" s="217" t="s">
        <v>85</v>
      </c>
      <c r="V450" s="217" t="s">
        <v>97</v>
      </c>
      <c r="W450" s="217" t="s">
        <v>98</v>
      </c>
    </row>
    <row r="451" spans="1:23" x14ac:dyDescent="0.25">
      <c r="A451" s="217" t="s">
        <v>22</v>
      </c>
      <c r="B451" s="217" t="s">
        <v>23</v>
      </c>
      <c r="C451" s="217" t="s">
        <v>85</v>
      </c>
      <c r="D451" s="217" t="s">
        <v>84</v>
      </c>
      <c r="E451" s="217" t="s">
        <v>98</v>
      </c>
      <c r="F451" s="217" t="s">
        <v>97</v>
      </c>
      <c r="G451" s="217" t="s">
        <v>385</v>
      </c>
      <c r="H451" s="217" t="s">
        <v>1147</v>
      </c>
      <c r="I451" s="217" t="s">
        <v>29</v>
      </c>
      <c r="J451" s="217" t="s">
        <v>1858</v>
      </c>
      <c r="K451" s="217">
        <v>1</v>
      </c>
      <c r="L451" s="217">
        <v>8</v>
      </c>
      <c r="M451" s="217" t="s">
        <v>31</v>
      </c>
      <c r="N451" s="217" t="s">
        <v>32</v>
      </c>
      <c r="O451" s="217" t="s">
        <v>68</v>
      </c>
      <c r="P451" s="217" t="s">
        <v>34</v>
      </c>
      <c r="Q451" s="217" t="s">
        <v>35</v>
      </c>
      <c r="R451" s="217" t="s">
        <v>23</v>
      </c>
      <c r="S451" s="217" t="s">
        <v>22</v>
      </c>
      <c r="T451" s="217" t="s">
        <v>84</v>
      </c>
      <c r="U451" s="217" t="s">
        <v>85</v>
      </c>
      <c r="V451" s="217" t="s">
        <v>91</v>
      </c>
      <c r="W451" s="217" t="s">
        <v>92</v>
      </c>
    </row>
    <row r="452" spans="1:23" x14ac:dyDescent="0.25">
      <c r="A452" s="217" t="s">
        <v>22</v>
      </c>
      <c r="B452" s="217" t="s">
        <v>23</v>
      </c>
      <c r="C452" s="217" t="s">
        <v>85</v>
      </c>
      <c r="D452" s="217" t="s">
        <v>84</v>
      </c>
      <c r="E452" s="217" t="s">
        <v>98</v>
      </c>
      <c r="F452" s="217" t="s">
        <v>97</v>
      </c>
      <c r="G452" s="217" t="s">
        <v>158</v>
      </c>
      <c r="H452" s="217" t="s">
        <v>1148</v>
      </c>
      <c r="I452" s="217" t="s">
        <v>29</v>
      </c>
      <c r="J452" s="217" t="s">
        <v>1856</v>
      </c>
      <c r="K452" s="217">
        <v>7</v>
      </c>
      <c r="L452" s="217">
        <v>36</v>
      </c>
      <c r="M452" s="217" t="s">
        <v>31</v>
      </c>
      <c r="N452" s="217" t="s">
        <v>32</v>
      </c>
      <c r="O452" s="217" t="s">
        <v>68</v>
      </c>
      <c r="P452" s="217" t="s">
        <v>34</v>
      </c>
      <c r="Q452" s="217" t="s">
        <v>35</v>
      </c>
      <c r="R452" s="217" t="s">
        <v>23</v>
      </c>
      <c r="S452" s="217" t="s">
        <v>22</v>
      </c>
      <c r="T452" s="217" t="s">
        <v>84</v>
      </c>
      <c r="U452" s="217" t="s">
        <v>85</v>
      </c>
      <c r="V452" s="217" t="s">
        <v>91</v>
      </c>
      <c r="W452" s="217" t="s">
        <v>92</v>
      </c>
    </row>
    <row r="453" spans="1:23" x14ac:dyDescent="0.25">
      <c r="A453" s="217" t="s">
        <v>22</v>
      </c>
      <c r="B453" s="217" t="s">
        <v>23</v>
      </c>
      <c r="C453" s="217" t="s">
        <v>85</v>
      </c>
      <c r="D453" s="217" t="s">
        <v>84</v>
      </c>
      <c r="E453" s="217" t="s">
        <v>98</v>
      </c>
      <c r="F453" s="217" t="s">
        <v>97</v>
      </c>
      <c r="G453" s="217" t="s">
        <v>158</v>
      </c>
      <c r="H453" s="217" t="s">
        <v>1148</v>
      </c>
      <c r="I453" s="217" t="s">
        <v>29</v>
      </c>
      <c r="J453" s="217" t="s">
        <v>1857</v>
      </c>
      <c r="K453" s="217">
        <v>200</v>
      </c>
      <c r="L453" s="217">
        <v>1700</v>
      </c>
      <c r="M453" s="217" t="s">
        <v>31</v>
      </c>
      <c r="N453" s="217" t="s">
        <v>32</v>
      </c>
      <c r="O453" s="217" t="s">
        <v>68</v>
      </c>
      <c r="P453" s="217" t="s">
        <v>34</v>
      </c>
      <c r="Q453" s="217" t="s">
        <v>35</v>
      </c>
      <c r="R453" s="217" t="s">
        <v>23</v>
      </c>
      <c r="S453" s="217" t="s">
        <v>22</v>
      </c>
      <c r="T453" s="217" t="s">
        <v>84</v>
      </c>
      <c r="U453" s="217" t="s">
        <v>85</v>
      </c>
      <c r="V453" s="217" t="s">
        <v>91</v>
      </c>
      <c r="W453" s="217" t="s">
        <v>92</v>
      </c>
    </row>
    <row r="454" spans="1:23" x14ac:dyDescent="0.25">
      <c r="A454" s="217" t="s">
        <v>22</v>
      </c>
      <c r="B454" s="217" t="s">
        <v>23</v>
      </c>
      <c r="C454" s="217" t="s">
        <v>85</v>
      </c>
      <c r="D454" s="217" t="s">
        <v>84</v>
      </c>
      <c r="E454" s="217" t="s">
        <v>98</v>
      </c>
      <c r="F454" s="217" t="s">
        <v>97</v>
      </c>
      <c r="G454" s="217" t="s">
        <v>159</v>
      </c>
      <c r="H454" s="217" t="s">
        <v>1149</v>
      </c>
      <c r="I454" s="217" t="s">
        <v>29</v>
      </c>
      <c r="J454" s="217" t="s">
        <v>1855</v>
      </c>
      <c r="K454" s="217">
        <v>3</v>
      </c>
      <c r="L454" s="217">
        <v>18</v>
      </c>
      <c r="M454" s="217" t="s">
        <v>31</v>
      </c>
      <c r="N454" s="217" t="s">
        <v>32</v>
      </c>
      <c r="O454" s="217" t="s">
        <v>68</v>
      </c>
      <c r="P454" s="217" t="s">
        <v>34</v>
      </c>
      <c r="Q454" s="217" t="s">
        <v>35</v>
      </c>
      <c r="R454" s="217" t="s">
        <v>23</v>
      </c>
      <c r="S454" s="217" t="s">
        <v>22</v>
      </c>
      <c r="T454" s="217" t="s">
        <v>84</v>
      </c>
      <c r="U454" s="217" t="s">
        <v>85</v>
      </c>
      <c r="V454" s="217" t="s">
        <v>91</v>
      </c>
      <c r="W454" s="217" t="s">
        <v>92</v>
      </c>
    </row>
    <row r="455" spans="1:23" x14ac:dyDescent="0.25">
      <c r="A455" s="217" t="s">
        <v>22</v>
      </c>
      <c r="B455" s="217" t="s">
        <v>23</v>
      </c>
      <c r="C455" s="217" t="s">
        <v>85</v>
      </c>
      <c r="D455" s="217" t="s">
        <v>84</v>
      </c>
      <c r="E455" s="217" t="s">
        <v>98</v>
      </c>
      <c r="F455" s="217" t="s">
        <v>97</v>
      </c>
      <c r="G455" s="217" t="s">
        <v>159</v>
      </c>
      <c r="H455" s="217" t="s">
        <v>1149</v>
      </c>
      <c r="I455" s="217" t="s">
        <v>29</v>
      </c>
      <c r="J455" s="217" t="s">
        <v>1856</v>
      </c>
      <c r="K455" s="217">
        <v>7</v>
      </c>
      <c r="L455" s="217">
        <v>22</v>
      </c>
      <c r="M455" s="217" t="s">
        <v>31</v>
      </c>
      <c r="N455" s="217" t="s">
        <v>32</v>
      </c>
      <c r="O455" s="217" t="s">
        <v>68</v>
      </c>
      <c r="P455" s="217" t="s">
        <v>34</v>
      </c>
      <c r="Q455" s="217" t="s">
        <v>35</v>
      </c>
      <c r="R455" s="217" t="s">
        <v>23</v>
      </c>
      <c r="S455" s="217" t="s">
        <v>22</v>
      </c>
      <c r="T455" s="217" t="s">
        <v>84</v>
      </c>
      <c r="U455" s="217" t="s">
        <v>85</v>
      </c>
      <c r="V455" s="217" t="s">
        <v>91</v>
      </c>
      <c r="W455" s="217" t="s">
        <v>92</v>
      </c>
    </row>
    <row r="456" spans="1:23" x14ac:dyDescent="0.25">
      <c r="A456" s="217" t="s">
        <v>22</v>
      </c>
      <c r="B456" s="217" t="s">
        <v>23</v>
      </c>
      <c r="C456" s="217" t="s">
        <v>85</v>
      </c>
      <c r="D456" s="217" t="s">
        <v>84</v>
      </c>
      <c r="E456" s="217" t="s">
        <v>98</v>
      </c>
      <c r="F456" s="217" t="s">
        <v>97</v>
      </c>
      <c r="G456" s="217" t="s">
        <v>159</v>
      </c>
      <c r="H456" s="217" t="s">
        <v>1149</v>
      </c>
      <c r="I456" s="217" t="s">
        <v>29</v>
      </c>
      <c r="J456" s="217" t="s">
        <v>1857</v>
      </c>
      <c r="K456" s="217">
        <v>4</v>
      </c>
      <c r="L456" s="217">
        <v>20</v>
      </c>
      <c r="M456" s="217" t="s">
        <v>31</v>
      </c>
      <c r="N456" s="217" t="s">
        <v>32</v>
      </c>
      <c r="O456" s="217" t="s">
        <v>68</v>
      </c>
      <c r="P456" s="217" t="s">
        <v>34</v>
      </c>
      <c r="Q456" s="217" t="s">
        <v>35</v>
      </c>
      <c r="R456" s="217" t="s">
        <v>23</v>
      </c>
      <c r="S456" s="217" t="s">
        <v>22</v>
      </c>
      <c r="T456" s="217" t="s">
        <v>84</v>
      </c>
      <c r="U456" s="217" t="s">
        <v>85</v>
      </c>
      <c r="V456" s="217" t="s">
        <v>91</v>
      </c>
      <c r="W456" s="217" t="s">
        <v>92</v>
      </c>
    </row>
    <row r="457" spans="1:23" x14ac:dyDescent="0.25">
      <c r="A457" s="217" t="s">
        <v>22</v>
      </c>
      <c r="B457" s="217" t="s">
        <v>23</v>
      </c>
      <c r="C457" s="217" t="s">
        <v>85</v>
      </c>
      <c r="D457" s="217" t="s">
        <v>84</v>
      </c>
      <c r="E457" s="217" t="s">
        <v>98</v>
      </c>
      <c r="F457" s="217" t="s">
        <v>97</v>
      </c>
      <c r="G457" s="217" t="s">
        <v>160</v>
      </c>
      <c r="H457" s="217" t="s">
        <v>1150</v>
      </c>
      <c r="I457" s="217" t="s">
        <v>29</v>
      </c>
      <c r="J457" s="217" t="s">
        <v>1855</v>
      </c>
      <c r="K457" s="217">
        <v>6</v>
      </c>
      <c r="L457" s="217">
        <v>27</v>
      </c>
      <c r="M457" s="217" t="s">
        <v>31</v>
      </c>
      <c r="N457" s="217" t="s">
        <v>32</v>
      </c>
      <c r="O457" s="217" t="s">
        <v>68</v>
      </c>
      <c r="P457" s="217" t="s">
        <v>34</v>
      </c>
      <c r="Q457" s="217" t="s">
        <v>35</v>
      </c>
      <c r="R457" s="217" t="s">
        <v>23</v>
      </c>
      <c r="S457" s="217" t="s">
        <v>22</v>
      </c>
      <c r="T457" s="217" t="s">
        <v>84</v>
      </c>
      <c r="U457" s="217" t="s">
        <v>85</v>
      </c>
      <c r="V457" s="217" t="s">
        <v>91</v>
      </c>
      <c r="W457" s="217" t="s">
        <v>92</v>
      </c>
    </row>
    <row r="458" spans="1:23" x14ac:dyDescent="0.25">
      <c r="A458" s="217" t="s">
        <v>22</v>
      </c>
      <c r="B458" s="217" t="s">
        <v>23</v>
      </c>
      <c r="C458" s="217" t="s">
        <v>85</v>
      </c>
      <c r="D458" s="217" t="s">
        <v>84</v>
      </c>
      <c r="E458" s="217" t="s">
        <v>98</v>
      </c>
      <c r="F458" s="217" t="s">
        <v>97</v>
      </c>
      <c r="G458" s="217" t="s">
        <v>161</v>
      </c>
      <c r="H458" s="217" t="s">
        <v>1151</v>
      </c>
      <c r="I458" s="217" t="s">
        <v>29</v>
      </c>
      <c r="J458" s="217" t="s">
        <v>1855</v>
      </c>
      <c r="K458" s="217">
        <v>27</v>
      </c>
      <c r="L458" s="217">
        <v>208</v>
      </c>
      <c r="M458" s="217" t="s">
        <v>31</v>
      </c>
      <c r="N458" s="217" t="s">
        <v>32</v>
      </c>
      <c r="O458" s="217" t="s">
        <v>68</v>
      </c>
      <c r="P458" s="217" t="s">
        <v>34</v>
      </c>
      <c r="Q458" s="217" t="s">
        <v>35</v>
      </c>
      <c r="R458" s="217" t="s">
        <v>23</v>
      </c>
      <c r="S458" s="217" t="s">
        <v>22</v>
      </c>
      <c r="T458" s="217" t="s">
        <v>84</v>
      </c>
      <c r="U458" s="217" t="s">
        <v>85</v>
      </c>
      <c r="V458" s="217" t="s">
        <v>91</v>
      </c>
      <c r="W458" s="217" t="s">
        <v>92</v>
      </c>
    </row>
    <row r="459" spans="1:23" x14ac:dyDescent="0.25">
      <c r="A459" s="217" t="s">
        <v>22</v>
      </c>
      <c r="B459" s="217" t="s">
        <v>23</v>
      </c>
      <c r="C459" s="217" t="s">
        <v>85</v>
      </c>
      <c r="D459" s="217" t="s">
        <v>84</v>
      </c>
      <c r="E459" s="217" t="s">
        <v>98</v>
      </c>
      <c r="F459" s="217" t="s">
        <v>97</v>
      </c>
      <c r="G459" s="217" t="s">
        <v>1152</v>
      </c>
      <c r="H459" s="217" t="s">
        <v>1153</v>
      </c>
      <c r="I459" s="217" t="s">
        <v>29</v>
      </c>
      <c r="J459" s="217" t="s">
        <v>1858</v>
      </c>
      <c r="K459" s="217">
        <v>85</v>
      </c>
      <c r="L459" s="217">
        <v>425</v>
      </c>
      <c r="M459" s="217" t="s">
        <v>31</v>
      </c>
      <c r="N459" s="217" t="s">
        <v>32</v>
      </c>
      <c r="O459" s="217" t="s">
        <v>68</v>
      </c>
      <c r="P459" s="217" t="s">
        <v>34</v>
      </c>
      <c r="Q459" s="217" t="s">
        <v>35</v>
      </c>
      <c r="R459" s="217" t="s">
        <v>23</v>
      </c>
      <c r="S459" s="217" t="s">
        <v>22</v>
      </c>
      <c r="T459" s="217" t="s">
        <v>84</v>
      </c>
      <c r="U459" s="217" t="s">
        <v>85</v>
      </c>
      <c r="V459" s="217" t="s">
        <v>97</v>
      </c>
      <c r="W459" s="217" t="s">
        <v>98</v>
      </c>
    </row>
    <row r="460" spans="1:23" x14ac:dyDescent="0.25">
      <c r="A460" s="217" t="s">
        <v>22</v>
      </c>
      <c r="B460" s="217" t="s">
        <v>23</v>
      </c>
      <c r="C460" s="217" t="s">
        <v>85</v>
      </c>
      <c r="D460" s="217" t="s">
        <v>84</v>
      </c>
      <c r="E460" s="217" t="s">
        <v>98</v>
      </c>
      <c r="F460" s="217" t="s">
        <v>97</v>
      </c>
      <c r="G460" s="217" t="s">
        <v>386</v>
      </c>
      <c r="H460" s="217" t="s">
        <v>1154</v>
      </c>
      <c r="I460" s="217" t="s">
        <v>29</v>
      </c>
      <c r="J460" s="217" t="s">
        <v>1856</v>
      </c>
      <c r="K460" s="217">
        <v>3</v>
      </c>
      <c r="L460" s="217">
        <v>19</v>
      </c>
      <c r="M460" s="217" t="s">
        <v>31</v>
      </c>
      <c r="N460" s="217" t="s">
        <v>32</v>
      </c>
      <c r="O460" s="217" t="s">
        <v>68</v>
      </c>
      <c r="P460" s="217" t="s">
        <v>34</v>
      </c>
      <c r="Q460" s="217" t="s">
        <v>35</v>
      </c>
      <c r="R460" s="217" t="s">
        <v>23</v>
      </c>
      <c r="S460" s="217" t="s">
        <v>22</v>
      </c>
      <c r="T460" s="217" t="s">
        <v>84</v>
      </c>
      <c r="U460" s="217" t="s">
        <v>85</v>
      </c>
      <c r="V460" s="217" t="s">
        <v>91</v>
      </c>
      <c r="W460" s="217" t="s">
        <v>92</v>
      </c>
    </row>
    <row r="461" spans="1:23" x14ac:dyDescent="0.25">
      <c r="A461" s="217" t="s">
        <v>22</v>
      </c>
      <c r="B461" s="217" t="s">
        <v>23</v>
      </c>
      <c r="C461" s="217" t="s">
        <v>85</v>
      </c>
      <c r="D461" s="217" t="s">
        <v>84</v>
      </c>
      <c r="E461" s="217" t="s">
        <v>98</v>
      </c>
      <c r="F461" s="217" t="s">
        <v>97</v>
      </c>
      <c r="G461" s="217" t="s">
        <v>386</v>
      </c>
      <c r="H461" s="217" t="s">
        <v>1154</v>
      </c>
      <c r="I461" s="217" t="s">
        <v>29</v>
      </c>
      <c r="J461" s="217" t="s">
        <v>1857</v>
      </c>
      <c r="K461" s="217">
        <v>10</v>
      </c>
      <c r="L461" s="217">
        <v>30</v>
      </c>
      <c r="M461" s="217" t="s">
        <v>31</v>
      </c>
      <c r="N461" s="217" t="s">
        <v>32</v>
      </c>
      <c r="O461" s="217" t="s">
        <v>68</v>
      </c>
      <c r="P461" s="217" t="s">
        <v>34</v>
      </c>
      <c r="Q461" s="217" t="s">
        <v>35</v>
      </c>
      <c r="R461" s="217" t="s">
        <v>23</v>
      </c>
      <c r="S461" s="217" t="s">
        <v>22</v>
      </c>
      <c r="T461" s="217" t="s">
        <v>84</v>
      </c>
      <c r="U461" s="217" t="s">
        <v>85</v>
      </c>
      <c r="V461" s="217" t="s">
        <v>91</v>
      </c>
      <c r="W461" s="217" t="s">
        <v>92</v>
      </c>
    </row>
    <row r="462" spans="1:23" x14ac:dyDescent="0.25">
      <c r="A462" s="217" t="s">
        <v>22</v>
      </c>
      <c r="B462" s="217" t="s">
        <v>23</v>
      </c>
      <c r="C462" s="217" t="s">
        <v>85</v>
      </c>
      <c r="D462" s="217" t="s">
        <v>84</v>
      </c>
      <c r="E462" s="217" t="s">
        <v>98</v>
      </c>
      <c r="F462" s="217" t="s">
        <v>97</v>
      </c>
      <c r="G462" s="217" t="s">
        <v>387</v>
      </c>
      <c r="H462" s="217" t="s">
        <v>1155</v>
      </c>
      <c r="I462" s="217" t="s">
        <v>29</v>
      </c>
      <c r="J462" s="217" t="s">
        <v>1855</v>
      </c>
      <c r="K462" s="217">
        <v>1</v>
      </c>
      <c r="L462" s="217">
        <v>4</v>
      </c>
      <c r="M462" s="217" t="s">
        <v>31</v>
      </c>
      <c r="N462" s="217" t="s">
        <v>32</v>
      </c>
      <c r="O462" s="217" t="s">
        <v>68</v>
      </c>
      <c r="P462" s="217" t="s">
        <v>34</v>
      </c>
      <c r="Q462" s="217" t="s">
        <v>35</v>
      </c>
      <c r="R462" s="217" t="s">
        <v>23</v>
      </c>
      <c r="S462" s="217" t="s">
        <v>22</v>
      </c>
      <c r="T462" s="217" t="s">
        <v>84</v>
      </c>
      <c r="U462" s="217" t="s">
        <v>85</v>
      </c>
      <c r="V462" s="217" t="s">
        <v>91</v>
      </c>
      <c r="W462" s="217" t="s">
        <v>92</v>
      </c>
    </row>
    <row r="463" spans="1:23" x14ac:dyDescent="0.25">
      <c r="A463" s="217" t="s">
        <v>22</v>
      </c>
      <c r="B463" s="217" t="s">
        <v>23</v>
      </c>
      <c r="C463" s="217" t="s">
        <v>85</v>
      </c>
      <c r="D463" s="217" t="s">
        <v>84</v>
      </c>
      <c r="E463" s="217" t="s">
        <v>98</v>
      </c>
      <c r="F463" s="217" t="s">
        <v>97</v>
      </c>
      <c r="G463" s="217" t="s">
        <v>387</v>
      </c>
      <c r="H463" s="217" t="s">
        <v>1155</v>
      </c>
      <c r="I463" s="217" t="s">
        <v>29</v>
      </c>
      <c r="J463" s="217" t="s">
        <v>1856</v>
      </c>
      <c r="K463" s="217">
        <v>2</v>
      </c>
      <c r="L463" s="217">
        <v>11</v>
      </c>
      <c r="M463" s="217" t="s">
        <v>31</v>
      </c>
      <c r="N463" s="217" t="s">
        <v>32</v>
      </c>
      <c r="O463" s="217" t="s">
        <v>68</v>
      </c>
      <c r="P463" s="217" t="s">
        <v>34</v>
      </c>
      <c r="Q463" s="217" t="s">
        <v>35</v>
      </c>
      <c r="R463" s="217" t="s">
        <v>23</v>
      </c>
      <c r="S463" s="217" t="s">
        <v>22</v>
      </c>
      <c r="T463" s="217" t="s">
        <v>84</v>
      </c>
      <c r="U463" s="217" t="s">
        <v>85</v>
      </c>
      <c r="V463" s="217" t="s">
        <v>91</v>
      </c>
      <c r="W463" s="217" t="s">
        <v>92</v>
      </c>
    </row>
    <row r="464" spans="1:23" x14ac:dyDescent="0.25">
      <c r="A464" s="217" t="s">
        <v>22</v>
      </c>
      <c r="B464" s="217" t="s">
        <v>23</v>
      </c>
      <c r="C464" s="217" t="s">
        <v>85</v>
      </c>
      <c r="D464" s="217" t="s">
        <v>84</v>
      </c>
      <c r="E464" s="217" t="s">
        <v>98</v>
      </c>
      <c r="F464" s="217" t="s">
        <v>97</v>
      </c>
      <c r="G464" s="217" t="s">
        <v>387</v>
      </c>
      <c r="H464" s="217" t="s">
        <v>1155</v>
      </c>
      <c r="I464" s="217" t="s">
        <v>29</v>
      </c>
      <c r="J464" s="217" t="s">
        <v>1857</v>
      </c>
      <c r="K464" s="217">
        <v>6</v>
      </c>
      <c r="L464" s="217">
        <v>20</v>
      </c>
      <c r="M464" s="217" t="s">
        <v>31</v>
      </c>
      <c r="N464" s="217" t="s">
        <v>32</v>
      </c>
      <c r="O464" s="217" t="s">
        <v>68</v>
      </c>
      <c r="P464" s="217" t="s">
        <v>34</v>
      </c>
      <c r="Q464" s="217" t="s">
        <v>35</v>
      </c>
      <c r="R464" s="217" t="s">
        <v>23</v>
      </c>
      <c r="S464" s="217" t="s">
        <v>22</v>
      </c>
      <c r="T464" s="217" t="s">
        <v>84</v>
      </c>
      <c r="U464" s="217" t="s">
        <v>85</v>
      </c>
      <c r="V464" s="217" t="s">
        <v>91</v>
      </c>
      <c r="W464" s="217" t="s">
        <v>92</v>
      </c>
    </row>
    <row r="465" spans="1:23" x14ac:dyDescent="0.25">
      <c r="A465" s="217" t="s">
        <v>22</v>
      </c>
      <c r="B465" s="217" t="s">
        <v>23</v>
      </c>
      <c r="C465" s="217" t="s">
        <v>85</v>
      </c>
      <c r="D465" s="217" t="s">
        <v>84</v>
      </c>
      <c r="E465" s="217" t="s">
        <v>98</v>
      </c>
      <c r="F465" s="217" t="s">
        <v>97</v>
      </c>
      <c r="G465" s="217" t="s">
        <v>1156</v>
      </c>
      <c r="H465" s="217" t="s">
        <v>1157</v>
      </c>
      <c r="I465" s="217" t="s">
        <v>29</v>
      </c>
      <c r="J465" s="217" t="s">
        <v>1858</v>
      </c>
      <c r="K465" s="217">
        <v>10</v>
      </c>
      <c r="L465" s="217">
        <v>81</v>
      </c>
      <c r="M465" s="217" t="s">
        <v>31</v>
      </c>
      <c r="N465" s="217" t="s">
        <v>32</v>
      </c>
      <c r="O465" s="217" t="s">
        <v>68</v>
      </c>
      <c r="P465" s="217" t="s">
        <v>34</v>
      </c>
      <c r="Q465" s="217" t="s">
        <v>35</v>
      </c>
      <c r="R465" s="217" t="s">
        <v>23</v>
      </c>
      <c r="S465" s="217" t="s">
        <v>22</v>
      </c>
      <c r="T465" s="217" t="s">
        <v>84</v>
      </c>
      <c r="U465" s="217" t="s">
        <v>85</v>
      </c>
      <c r="V465" s="217" t="s">
        <v>94</v>
      </c>
      <c r="W465" s="217" t="s">
        <v>95</v>
      </c>
    </row>
    <row r="466" spans="1:23" x14ac:dyDescent="0.25">
      <c r="A466" s="217" t="s">
        <v>22</v>
      </c>
      <c r="B466" s="217" t="s">
        <v>23</v>
      </c>
      <c r="C466" s="217" t="s">
        <v>85</v>
      </c>
      <c r="D466" s="217" t="s">
        <v>84</v>
      </c>
      <c r="E466" s="217" t="s">
        <v>98</v>
      </c>
      <c r="F466" s="217" t="s">
        <v>97</v>
      </c>
      <c r="G466" s="217" t="s">
        <v>162</v>
      </c>
      <c r="H466" s="217" t="s">
        <v>1158</v>
      </c>
      <c r="I466" s="217" t="s">
        <v>29</v>
      </c>
      <c r="J466" s="217" t="s">
        <v>1857</v>
      </c>
      <c r="K466" s="217">
        <v>39</v>
      </c>
      <c r="L466" s="217">
        <v>337</v>
      </c>
      <c r="M466" s="217" t="s">
        <v>31</v>
      </c>
      <c r="N466" s="217" t="s">
        <v>32</v>
      </c>
      <c r="O466" s="217" t="s">
        <v>100</v>
      </c>
      <c r="P466" s="217" t="s">
        <v>34</v>
      </c>
      <c r="Q466" s="217" t="s">
        <v>35</v>
      </c>
      <c r="R466" s="217" t="s">
        <v>23</v>
      </c>
      <c r="S466" s="217" t="s">
        <v>22</v>
      </c>
      <c r="T466" s="217" t="s">
        <v>84</v>
      </c>
      <c r="U466" s="217" t="s">
        <v>85</v>
      </c>
      <c r="V466" s="217" t="s">
        <v>97</v>
      </c>
      <c r="W466" s="217" t="s">
        <v>98</v>
      </c>
    </row>
    <row r="467" spans="1:23" x14ac:dyDescent="0.25">
      <c r="A467" s="217" t="s">
        <v>22</v>
      </c>
      <c r="B467" s="217" t="s">
        <v>23</v>
      </c>
      <c r="C467" s="217" t="s">
        <v>85</v>
      </c>
      <c r="D467" s="217" t="s">
        <v>84</v>
      </c>
      <c r="E467" s="217" t="s">
        <v>98</v>
      </c>
      <c r="F467" s="217" t="s">
        <v>97</v>
      </c>
      <c r="G467" s="217" t="s">
        <v>807</v>
      </c>
      <c r="H467" s="217" t="s">
        <v>1159</v>
      </c>
      <c r="I467" s="217" t="s">
        <v>29</v>
      </c>
      <c r="J467" s="217" t="s">
        <v>1857</v>
      </c>
      <c r="K467" s="217">
        <v>7</v>
      </c>
      <c r="L467" s="217">
        <v>20</v>
      </c>
      <c r="M467" s="217" t="s">
        <v>31</v>
      </c>
      <c r="N467" s="217" t="s">
        <v>32</v>
      </c>
      <c r="O467" s="217" t="s">
        <v>68</v>
      </c>
      <c r="P467" s="217" t="s">
        <v>34</v>
      </c>
      <c r="Q467" s="217" t="s">
        <v>35</v>
      </c>
      <c r="R467" s="217" t="s">
        <v>23</v>
      </c>
      <c r="S467" s="217" t="s">
        <v>22</v>
      </c>
      <c r="T467" s="217" t="s">
        <v>84</v>
      </c>
      <c r="U467" s="217" t="s">
        <v>85</v>
      </c>
      <c r="V467" s="217" t="s">
        <v>91</v>
      </c>
      <c r="W467" s="217" t="s">
        <v>92</v>
      </c>
    </row>
    <row r="468" spans="1:23" x14ac:dyDescent="0.25">
      <c r="A468" s="217" t="s">
        <v>22</v>
      </c>
      <c r="B468" s="217" t="s">
        <v>23</v>
      </c>
      <c r="C468" s="217" t="s">
        <v>85</v>
      </c>
      <c r="D468" s="217" t="s">
        <v>84</v>
      </c>
      <c r="E468" s="217" t="s">
        <v>98</v>
      </c>
      <c r="F468" s="217" t="s">
        <v>97</v>
      </c>
      <c r="G468" s="217" t="s">
        <v>807</v>
      </c>
      <c r="H468" s="217" t="s">
        <v>1159</v>
      </c>
      <c r="I468" s="217" t="s">
        <v>29</v>
      </c>
      <c r="J468" s="217" t="s">
        <v>1858</v>
      </c>
      <c r="K468" s="217">
        <v>6</v>
      </c>
      <c r="L468" s="217">
        <v>22</v>
      </c>
      <c r="M468" s="217" t="s">
        <v>31</v>
      </c>
      <c r="N468" s="217" t="s">
        <v>32</v>
      </c>
      <c r="O468" s="217" t="s">
        <v>68</v>
      </c>
      <c r="P468" s="217" t="s">
        <v>34</v>
      </c>
      <c r="Q468" s="217" t="s">
        <v>35</v>
      </c>
      <c r="R468" s="217" t="s">
        <v>23</v>
      </c>
      <c r="S468" s="217" t="s">
        <v>22</v>
      </c>
      <c r="T468" s="217" t="s">
        <v>84</v>
      </c>
      <c r="U468" s="217" t="s">
        <v>85</v>
      </c>
      <c r="V468" s="217" t="s">
        <v>109</v>
      </c>
      <c r="W468" s="217" t="s">
        <v>110</v>
      </c>
    </row>
    <row r="469" spans="1:23" x14ac:dyDescent="0.25">
      <c r="A469" s="217" t="s">
        <v>22</v>
      </c>
      <c r="B469" s="217" t="s">
        <v>23</v>
      </c>
      <c r="C469" s="217" t="s">
        <v>85</v>
      </c>
      <c r="D469" s="217" t="s">
        <v>84</v>
      </c>
      <c r="E469" s="217" t="s">
        <v>98</v>
      </c>
      <c r="F469" s="217" t="s">
        <v>97</v>
      </c>
      <c r="G469" s="217" t="s">
        <v>388</v>
      </c>
      <c r="H469" s="217" t="s">
        <v>1160</v>
      </c>
      <c r="I469" s="217" t="s">
        <v>29</v>
      </c>
      <c r="J469" s="217" t="s">
        <v>1856</v>
      </c>
      <c r="K469" s="217">
        <v>25</v>
      </c>
      <c r="L469" s="217">
        <v>200</v>
      </c>
      <c r="M469" s="217" t="s">
        <v>31</v>
      </c>
      <c r="N469" s="217" t="s">
        <v>32</v>
      </c>
      <c r="O469" s="217" t="s">
        <v>100</v>
      </c>
      <c r="P469" s="217" t="s">
        <v>34</v>
      </c>
      <c r="Q469" s="217" t="s">
        <v>35</v>
      </c>
      <c r="R469" s="217" t="s">
        <v>23</v>
      </c>
      <c r="S469" s="217" t="s">
        <v>22</v>
      </c>
      <c r="T469" s="217" t="s">
        <v>84</v>
      </c>
      <c r="U469" s="217" t="s">
        <v>85</v>
      </c>
      <c r="V469" s="217" t="s">
        <v>97</v>
      </c>
      <c r="W469" s="217" t="s">
        <v>98</v>
      </c>
    </row>
    <row r="470" spans="1:23" x14ac:dyDescent="0.25">
      <c r="A470" s="217" t="s">
        <v>22</v>
      </c>
      <c r="B470" s="217" t="s">
        <v>23</v>
      </c>
      <c r="C470" s="217" t="s">
        <v>85</v>
      </c>
      <c r="D470" s="217" t="s">
        <v>84</v>
      </c>
      <c r="E470" s="217" t="s">
        <v>98</v>
      </c>
      <c r="F470" s="217" t="s">
        <v>97</v>
      </c>
      <c r="G470" s="217" t="s">
        <v>388</v>
      </c>
      <c r="H470" s="217" t="s">
        <v>1160</v>
      </c>
      <c r="I470" s="217" t="s">
        <v>29</v>
      </c>
      <c r="J470" s="217" t="s">
        <v>1858</v>
      </c>
      <c r="K470" s="217">
        <v>5</v>
      </c>
      <c r="L470" s="217">
        <v>43</v>
      </c>
      <c r="M470" s="217" t="s">
        <v>31</v>
      </c>
      <c r="N470" s="217" t="s">
        <v>32</v>
      </c>
      <c r="O470" s="217" t="s">
        <v>100</v>
      </c>
      <c r="P470" s="217" t="s">
        <v>34</v>
      </c>
      <c r="Q470" s="217" t="s">
        <v>35</v>
      </c>
      <c r="R470" s="217" t="s">
        <v>23</v>
      </c>
      <c r="S470" s="217" t="s">
        <v>22</v>
      </c>
      <c r="T470" s="217" t="s">
        <v>84</v>
      </c>
      <c r="U470" s="217" t="s">
        <v>85</v>
      </c>
      <c r="V470" s="217" t="s">
        <v>97</v>
      </c>
      <c r="W470" s="217" t="s">
        <v>98</v>
      </c>
    </row>
    <row r="471" spans="1:23" x14ac:dyDescent="0.25">
      <c r="A471" s="217" t="s">
        <v>22</v>
      </c>
      <c r="B471" s="217" t="s">
        <v>23</v>
      </c>
      <c r="C471" s="217" t="s">
        <v>85</v>
      </c>
      <c r="D471" s="217" t="s">
        <v>84</v>
      </c>
      <c r="E471" s="217" t="s">
        <v>98</v>
      </c>
      <c r="F471" s="217" t="s">
        <v>97</v>
      </c>
      <c r="G471" s="217" t="s">
        <v>389</v>
      </c>
      <c r="H471" s="217" t="s">
        <v>1161</v>
      </c>
      <c r="I471" s="217" t="s">
        <v>29</v>
      </c>
      <c r="J471" s="217" t="s">
        <v>1856</v>
      </c>
      <c r="K471" s="217">
        <v>2</v>
      </c>
      <c r="L471" s="217">
        <v>12</v>
      </c>
      <c r="M471" s="217" t="s">
        <v>31</v>
      </c>
      <c r="N471" s="217" t="s">
        <v>32</v>
      </c>
      <c r="O471" s="217" t="s">
        <v>100</v>
      </c>
      <c r="P471" s="217" t="s">
        <v>34</v>
      </c>
      <c r="Q471" s="217" t="s">
        <v>35</v>
      </c>
      <c r="R471" s="217" t="s">
        <v>23</v>
      </c>
      <c r="S471" s="217" t="s">
        <v>22</v>
      </c>
      <c r="T471" s="217" t="s">
        <v>84</v>
      </c>
      <c r="U471" s="217" t="s">
        <v>85</v>
      </c>
      <c r="V471" s="217" t="s">
        <v>97</v>
      </c>
      <c r="W471" s="217" t="s">
        <v>98</v>
      </c>
    </row>
    <row r="472" spans="1:23" x14ac:dyDescent="0.25">
      <c r="A472" s="217" t="s">
        <v>22</v>
      </c>
      <c r="B472" s="217" t="s">
        <v>23</v>
      </c>
      <c r="C472" s="217" t="s">
        <v>85</v>
      </c>
      <c r="D472" s="217" t="s">
        <v>84</v>
      </c>
      <c r="E472" s="217" t="s">
        <v>98</v>
      </c>
      <c r="F472" s="217" t="s">
        <v>97</v>
      </c>
      <c r="G472" s="217" t="s">
        <v>389</v>
      </c>
      <c r="H472" s="217" t="s">
        <v>1161</v>
      </c>
      <c r="I472" s="217" t="s">
        <v>29</v>
      </c>
      <c r="J472" s="217" t="s">
        <v>1857</v>
      </c>
      <c r="K472" s="217">
        <v>3</v>
      </c>
      <c r="L472" s="217">
        <v>15</v>
      </c>
      <c r="M472" s="217" t="s">
        <v>31</v>
      </c>
      <c r="N472" s="217" t="s">
        <v>32</v>
      </c>
      <c r="O472" s="217" t="s">
        <v>100</v>
      </c>
      <c r="P472" s="217" t="s">
        <v>34</v>
      </c>
      <c r="Q472" s="217" t="s">
        <v>35</v>
      </c>
      <c r="R472" s="217" t="s">
        <v>23</v>
      </c>
      <c r="S472" s="217" t="s">
        <v>22</v>
      </c>
      <c r="T472" s="217" t="s">
        <v>84</v>
      </c>
      <c r="U472" s="217" t="s">
        <v>85</v>
      </c>
      <c r="V472" s="217" t="s">
        <v>97</v>
      </c>
      <c r="W472" s="217" t="s">
        <v>98</v>
      </c>
    </row>
    <row r="473" spans="1:23" x14ac:dyDescent="0.25">
      <c r="A473" s="217" t="s">
        <v>22</v>
      </c>
      <c r="B473" s="217" t="s">
        <v>23</v>
      </c>
      <c r="C473" s="217" t="s">
        <v>85</v>
      </c>
      <c r="D473" s="217" t="s">
        <v>84</v>
      </c>
      <c r="E473" s="217" t="s">
        <v>98</v>
      </c>
      <c r="F473" s="217" t="s">
        <v>97</v>
      </c>
      <c r="G473" s="217" t="s">
        <v>1162</v>
      </c>
      <c r="H473" s="217" t="s">
        <v>1163</v>
      </c>
      <c r="I473" s="217" t="s">
        <v>29</v>
      </c>
      <c r="J473" s="217" t="s">
        <v>1858</v>
      </c>
      <c r="K473" s="217">
        <v>5</v>
      </c>
      <c r="L473" s="217">
        <v>37</v>
      </c>
      <c r="M473" s="217" t="s">
        <v>31</v>
      </c>
      <c r="N473" s="217" t="s">
        <v>32</v>
      </c>
      <c r="O473" s="217" t="s">
        <v>100</v>
      </c>
      <c r="P473" s="217" t="s">
        <v>34</v>
      </c>
      <c r="Q473" s="217" t="s">
        <v>35</v>
      </c>
      <c r="R473" s="217" t="s">
        <v>23</v>
      </c>
      <c r="S473" s="217" t="s">
        <v>22</v>
      </c>
      <c r="T473" s="217" t="s">
        <v>84</v>
      </c>
      <c r="U473" s="217" t="s">
        <v>85</v>
      </c>
      <c r="V473" s="217" t="s">
        <v>97</v>
      </c>
      <c r="W473" s="217" t="s">
        <v>98</v>
      </c>
    </row>
    <row r="474" spans="1:23" x14ac:dyDescent="0.25">
      <c r="A474" s="217" t="s">
        <v>22</v>
      </c>
      <c r="B474" s="217" t="s">
        <v>23</v>
      </c>
      <c r="C474" s="217" t="s">
        <v>85</v>
      </c>
      <c r="D474" s="217" t="s">
        <v>84</v>
      </c>
      <c r="E474" s="217" t="s">
        <v>98</v>
      </c>
      <c r="F474" s="217" t="s">
        <v>97</v>
      </c>
      <c r="G474" s="217" t="s">
        <v>791</v>
      </c>
      <c r="H474" s="217" t="s">
        <v>1164</v>
      </c>
      <c r="I474" s="217" t="s">
        <v>29</v>
      </c>
      <c r="J474" s="217" t="s">
        <v>1856</v>
      </c>
      <c r="K474" s="217">
        <v>17</v>
      </c>
      <c r="L474" s="217">
        <v>68</v>
      </c>
      <c r="M474" s="217" t="s">
        <v>31</v>
      </c>
      <c r="N474" s="217" t="s">
        <v>32</v>
      </c>
      <c r="O474" s="217" t="s">
        <v>100</v>
      </c>
      <c r="P474" s="217" t="s">
        <v>34</v>
      </c>
      <c r="Q474" s="217" t="s">
        <v>35</v>
      </c>
      <c r="R474" s="217" t="s">
        <v>23</v>
      </c>
      <c r="S474" s="217" t="s">
        <v>22</v>
      </c>
      <c r="T474" s="217" t="s">
        <v>84</v>
      </c>
      <c r="U474" s="217" t="s">
        <v>85</v>
      </c>
      <c r="V474" s="217" t="s">
        <v>97</v>
      </c>
      <c r="W474" s="217" t="s">
        <v>98</v>
      </c>
    </row>
    <row r="475" spans="1:23" x14ac:dyDescent="0.25">
      <c r="A475" s="217" t="s">
        <v>22</v>
      </c>
      <c r="B475" s="217" t="s">
        <v>23</v>
      </c>
      <c r="C475" s="217" t="s">
        <v>85</v>
      </c>
      <c r="D475" s="217" t="s">
        <v>84</v>
      </c>
      <c r="E475" s="217" t="s">
        <v>98</v>
      </c>
      <c r="F475" s="217" t="s">
        <v>97</v>
      </c>
      <c r="G475" s="217" t="s">
        <v>791</v>
      </c>
      <c r="H475" s="217" t="s">
        <v>1164</v>
      </c>
      <c r="I475" s="217" t="s">
        <v>29</v>
      </c>
      <c r="J475" s="217" t="s">
        <v>1858</v>
      </c>
      <c r="K475" s="217">
        <v>5</v>
      </c>
      <c r="L475" s="217">
        <v>34</v>
      </c>
      <c r="M475" s="217" t="s">
        <v>31</v>
      </c>
      <c r="N475" s="217" t="s">
        <v>32</v>
      </c>
      <c r="O475" s="217" t="s">
        <v>100</v>
      </c>
      <c r="P475" s="217" t="s">
        <v>34</v>
      </c>
      <c r="Q475" s="217" t="s">
        <v>35</v>
      </c>
      <c r="R475" s="217" t="s">
        <v>23</v>
      </c>
      <c r="S475" s="217" t="s">
        <v>22</v>
      </c>
      <c r="T475" s="217" t="s">
        <v>84</v>
      </c>
      <c r="U475" s="217" t="s">
        <v>85</v>
      </c>
      <c r="V475" s="217" t="s">
        <v>97</v>
      </c>
      <c r="W475" s="217" t="s">
        <v>98</v>
      </c>
    </row>
    <row r="476" spans="1:23" x14ac:dyDescent="0.25">
      <c r="A476" s="217" t="s">
        <v>22</v>
      </c>
      <c r="B476" s="217" t="s">
        <v>23</v>
      </c>
      <c r="C476" s="217" t="s">
        <v>85</v>
      </c>
      <c r="D476" s="217" t="s">
        <v>84</v>
      </c>
      <c r="E476" s="217" t="s">
        <v>98</v>
      </c>
      <c r="F476" s="217" t="s">
        <v>97</v>
      </c>
      <c r="G476" s="217" t="s">
        <v>809</v>
      </c>
      <c r="H476" s="217" t="s">
        <v>1165</v>
      </c>
      <c r="I476" s="217" t="s">
        <v>29</v>
      </c>
      <c r="J476" s="217" t="s">
        <v>1856</v>
      </c>
      <c r="K476" s="217">
        <v>16</v>
      </c>
      <c r="L476" s="217">
        <v>70</v>
      </c>
      <c r="M476" s="217" t="s">
        <v>31</v>
      </c>
      <c r="N476" s="217" t="s">
        <v>32</v>
      </c>
      <c r="O476" s="217" t="s">
        <v>100</v>
      </c>
      <c r="P476" s="217" t="s">
        <v>34</v>
      </c>
      <c r="Q476" s="217" t="s">
        <v>35</v>
      </c>
      <c r="R476" s="217" t="s">
        <v>23</v>
      </c>
      <c r="S476" s="217" t="s">
        <v>22</v>
      </c>
      <c r="T476" s="217" t="s">
        <v>84</v>
      </c>
      <c r="U476" s="217" t="s">
        <v>85</v>
      </c>
      <c r="V476" s="217" t="s">
        <v>97</v>
      </c>
      <c r="W476" s="217" t="s">
        <v>98</v>
      </c>
    </row>
    <row r="477" spans="1:23" x14ac:dyDescent="0.25">
      <c r="A477" s="217" t="s">
        <v>22</v>
      </c>
      <c r="B477" s="217" t="s">
        <v>23</v>
      </c>
      <c r="C477" s="217" t="s">
        <v>85</v>
      </c>
      <c r="D477" s="217" t="s">
        <v>84</v>
      </c>
      <c r="E477" s="217" t="s">
        <v>98</v>
      </c>
      <c r="F477" s="217" t="s">
        <v>97</v>
      </c>
      <c r="G477" s="217" t="s">
        <v>809</v>
      </c>
      <c r="H477" s="217" t="s">
        <v>1165</v>
      </c>
      <c r="I477" s="217" t="s">
        <v>29</v>
      </c>
      <c r="J477" s="217" t="s">
        <v>1858</v>
      </c>
      <c r="K477" s="217">
        <v>4</v>
      </c>
      <c r="L477" s="217">
        <v>22</v>
      </c>
      <c r="M477" s="217" t="s">
        <v>31</v>
      </c>
      <c r="N477" s="217" t="s">
        <v>32</v>
      </c>
      <c r="O477" s="217" t="s">
        <v>100</v>
      </c>
      <c r="P477" s="217" t="s">
        <v>34</v>
      </c>
      <c r="Q477" s="217" t="s">
        <v>35</v>
      </c>
      <c r="R477" s="217" t="s">
        <v>23</v>
      </c>
      <c r="S477" s="217" t="s">
        <v>22</v>
      </c>
      <c r="T477" s="217" t="s">
        <v>84</v>
      </c>
      <c r="U477" s="217" t="s">
        <v>85</v>
      </c>
      <c r="V477" s="217" t="s">
        <v>97</v>
      </c>
      <c r="W477" s="217" t="s">
        <v>98</v>
      </c>
    </row>
    <row r="478" spans="1:23" x14ac:dyDescent="0.25">
      <c r="A478" s="217" t="s">
        <v>22</v>
      </c>
      <c r="B478" s="217" t="s">
        <v>23</v>
      </c>
      <c r="C478" s="217" t="s">
        <v>85</v>
      </c>
      <c r="D478" s="217" t="s">
        <v>84</v>
      </c>
      <c r="E478" s="217" t="s">
        <v>98</v>
      </c>
      <c r="F478" s="217" t="s">
        <v>97</v>
      </c>
      <c r="G478" s="217" t="s">
        <v>809</v>
      </c>
      <c r="H478" s="217" t="s">
        <v>1165</v>
      </c>
      <c r="I478" s="217" t="s">
        <v>29</v>
      </c>
      <c r="J478" s="217" t="s">
        <v>1859</v>
      </c>
      <c r="K478" s="217">
        <v>2</v>
      </c>
      <c r="L478" s="217">
        <v>14</v>
      </c>
      <c r="M478" s="217" t="s">
        <v>31</v>
      </c>
      <c r="N478" s="217" t="s">
        <v>32</v>
      </c>
      <c r="O478" s="217" t="s">
        <v>100</v>
      </c>
      <c r="P478" s="217" t="s">
        <v>34</v>
      </c>
      <c r="Q478" s="217" t="s">
        <v>35</v>
      </c>
      <c r="R478" s="217" t="s">
        <v>23</v>
      </c>
      <c r="S478" s="217" t="s">
        <v>22</v>
      </c>
      <c r="T478" s="217" t="s">
        <v>84</v>
      </c>
      <c r="U478" s="217" t="s">
        <v>85</v>
      </c>
      <c r="V478" s="217" t="s">
        <v>97</v>
      </c>
      <c r="W478" s="217" t="s">
        <v>98</v>
      </c>
    </row>
    <row r="479" spans="1:23" x14ac:dyDescent="0.25">
      <c r="A479" s="217" t="s">
        <v>22</v>
      </c>
      <c r="B479" s="217" t="s">
        <v>23</v>
      </c>
      <c r="C479" s="217" t="s">
        <v>85</v>
      </c>
      <c r="D479" s="217" t="s">
        <v>84</v>
      </c>
      <c r="E479" s="217" t="s">
        <v>98</v>
      </c>
      <c r="F479" s="217" t="s">
        <v>97</v>
      </c>
      <c r="G479" s="217" t="s">
        <v>390</v>
      </c>
      <c r="H479" s="217" t="s">
        <v>1166</v>
      </c>
      <c r="I479" s="217" t="s">
        <v>29</v>
      </c>
      <c r="J479" s="217" t="s">
        <v>1856</v>
      </c>
      <c r="K479" s="217">
        <v>8</v>
      </c>
      <c r="L479" s="217">
        <v>51</v>
      </c>
      <c r="M479" s="217" t="s">
        <v>31</v>
      </c>
      <c r="N479" s="217" t="s">
        <v>32</v>
      </c>
      <c r="O479" s="217" t="s">
        <v>100</v>
      </c>
      <c r="P479" s="217" t="s">
        <v>34</v>
      </c>
      <c r="Q479" s="217" t="s">
        <v>35</v>
      </c>
      <c r="R479" s="217" t="s">
        <v>23</v>
      </c>
      <c r="S479" s="217" t="s">
        <v>22</v>
      </c>
      <c r="T479" s="217" t="s">
        <v>84</v>
      </c>
      <c r="U479" s="217" t="s">
        <v>85</v>
      </c>
      <c r="V479" s="217" t="s">
        <v>97</v>
      </c>
      <c r="W479" s="217" t="s">
        <v>98</v>
      </c>
    </row>
    <row r="480" spans="1:23" x14ac:dyDescent="0.25">
      <c r="A480" s="217" t="s">
        <v>22</v>
      </c>
      <c r="B480" s="217" t="s">
        <v>23</v>
      </c>
      <c r="C480" s="217" t="s">
        <v>85</v>
      </c>
      <c r="D480" s="217" t="s">
        <v>84</v>
      </c>
      <c r="E480" s="217" t="s">
        <v>98</v>
      </c>
      <c r="F480" s="217" t="s">
        <v>97</v>
      </c>
      <c r="G480" s="217" t="s">
        <v>391</v>
      </c>
      <c r="H480" s="217" t="s">
        <v>1167</v>
      </c>
      <c r="I480" s="217" t="s">
        <v>29</v>
      </c>
      <c r="J480" s="217" t="s">
        <v>1856</v>
      </c>
      <c r="K480" s="217">
        <v>6</v>
      </c>
      <c r="L480" s="217">
        <v>42</v>
      </c>
      <c r="M480" s="217" t="s">
        <v>31</v>
      </c>
      <c r="N480" s="217" t="s">
        <v>32</v>
      </c>
      <c r="O480" s="217" t="s">
        <v>68</v>
      </c>
      <c r="P480" s="217" t="s">
        <v>34</v>
      </c>
      <c r="Q480" s="217" t="s">
        <v>35</v>
      </c>
      <c r="R480" s="217" t="s">
        <v>23</v>
      </c>
      <c r="S480" s="217" t="s">
        <v>22</v>
      </c>
      <c r="T480" s="217" t="s">
        <v>84</v>
      </c>
      <c r="U480" s="217" t="s">
        <v>85</v>
      </c>
      <c r="V480" s="217" t="s">
        <v>94</v>
      </c>
      <c r="W480" s="217" t="s">
        <v>95</v>
      </c>
    </row>
    <row r="481" spans="1:23" x14ac:dyDescent="0.25">
      <c r="A481" s="217" t="s">
        <v>22</v>
      </c>
      <c r="B481" s="217" t="s">
        <v>23</v>
      </c>
      <c r="C481" s="217" t="s">
        <v>85</v>
      </c>
      <c r="D481" s="217" t="s">
        <v>84</v>
      </c>
      <c r="E481" s="217" t="s">
        <v>98</v>
      </c>
      <c r="F481" s="217" t="s">
        <v>97</v>
      </c>
      <c r="G481" s="217" t="s">
        <v>802</v>
      </c>
      <c r="H481" s="217" t="s">
        <v>1168</v>
      </c>
      <c r="I481" s="217" t="s">
        <v>29</v>
      </c>
      <c r="J481" s="217" t="s">
        <v>1857</v>
      </c>
      <c r="K481" s="217">
        <v>2</v>
      </c>
      <c r="L481" s="217">
        <v>14</v>
      </c>
      <c r="M481" s="217" t="s">
        <v>31</v>
      </c>
      <c r="N481" s="217" t="s">
        <v>32</v>
      </c>
      <c r="O481" s="217" t="s">
        <v>68</v>
      </c>
      <c r="P481" s="217" t="s">
        <v>34</v>
      </c>
      <c r="Q481" s="217" t="s">
        <v>35</v>
      </c>
      <c r="R481" s="217" t="s">
        <v>23</v>
      </c>
      <c r="S481" s="217" t="s">
        <v>22</v>
      </c>
      <c r="T481" s="217" t="s">
        <v>84</v>
      </c>
      <c r="U481" s="217" t="s">
        <v>85</v>
      </c>
      <c r="V481" s="217" t="s">
        <v>91</v>
      </c>
      <c r="W481" s="217" t="s">
        <v>92</v>
      </c>
    </row>
    <row r="482" spans="1:23" x14ac:dyDescent="0.25">
      <c r="A482" s="217" t="s">
        <v>22</v>
      </c>
      <c r="B482" s="217" t="s">
        <v>23</v>
      </c>
      <c r="C482" s="217" t="s">
        <v>85</v>
      </c>
      <c r="D482" s="217" t="s">
        <v>84</v>
      </c>
      <c r="E482" s="217" t="s">
        <v>98</v>
      </c>
      <c r="F482" s="217" t="s">
        <v>97</v>
      </c>
      <c r="G482" s="217" t="s">
        <v>802</v>
      </c>
      <c r="H482" s="217" t="s">
        <v>1168</v>
      </c>
      <c r="I482" s="217" t="s">
        <v>29</v>
      </c>
      <c r="J482" s="217" t="s">
        <v>1858</v>
      </c>
      <c r="K482" s="217">
        <v>6</v>
      </c>
      <c r="L482" s="217">
        <v>33</v>
      </c>
      <c r="M482" s="217" t="s">
        <v>31</v>
      </c>
      <c r="N482" s="217" t="s">
        <v>32</v>
      </c>
      <c r="O482" s="217" t="s">
        <v>68</v>
      </c>
      <c r="P482" s="217" t="s">
        <v>34</v>
      </c>
      <c r="Q482" s="217" t="s">
        <v>35</v>
      </c>
      <c r="R482" s="217" t="s">
        <v>23</v>
      </c>
      <c r="S482" s="217" t="s">
        <v>22</v>
      </c>
      <c r="T482" s="217" t="s">
        <v>84</v>
      </c>
      <c r="U482" s="217" t="s">
        <v>85</v>
      </c>
      <c r="V482" s="217" t="s">
        <v>94</v>
      </c>
      <c r="W482" s="217" t="s">
        <v>95</v>
      </c>
    </row>
    <row r="483" spans="1:23" x14ac:dyDescent="0.25">
      <c r="A483" s="217" t="s">
        <v>22</v>
      </c>
      <c r="B483" s="217" t="s">
        <v>23</v>
      </c>
      <c r="C483" s="217" t="s">
        <v>85</v>
      </c>
      <c r="D483" s="217" t="s">
        <v>84</v>
      </c>
      <c r="E483" s="217" t="s">
        <v>98</v>
      </c>
      <c r="F483" s="217" t="s">
        <v>97</v>
      </c>
      <c r="G483" s="217" t="s">
        <v>392</v>
      </c>
      <c r="H483" s="217" t="s">
        <v>1169</v>
      </c>
      <c r="I483" s="217" t="s">
        <v>29</v>
      </c>
      <c r="J483" s="217" t="s">
        <v>1855</v>
      </c>
      <c r="K483" s="217">
        <v>14</v>
      </c>
      <c r="L483" s="217">
        <v>53</v>
      </c>
      <c r="M483" s="217" t="s">
        <v>31</v>
      </c>
      <c r="N483" s="217" t="s">
        <v>32</v>
      </c>
      <c r="O483" s="217" t="s">
        <v>68</v>
      </c>
      <c r="P483" s="217" t="s">
        <v>34</v>
      </c>
      <c r="Q483" s="217" t="s">
        <v>35</v>
      </c>
      <c r="R483" s="217" t="s">
        <v>23</v>
      </c>
      <c r="S483" s="217" t="s">
        <v>22</v>
      </c>
      <c r="T483" s="217" t="s">
        <v>84</v>
      </c>
      <c r="U483" s="217" t="s">
        <v>85</v>
      </c>
      <c r="V483" s="217" t="s">
        <v>91</v>
      </c>
      <c r="W483" s="217" t="s">
        <v>92</v>
      </c>
    </row>
    <row r="484" spans="1:23" x14ac:dyDescent="0.25">
      <c r="A484" s="217" t="s">
        <v>22</v>
      </c>
      <c r="B484" s="217" t="s">
        <v>23</v>
      </c>
      <c r="C484" s="217" t="s">
        <v>85</v>
      </c>
      <c r="D484" s="217" t="s">
        <v>84</v>
      </c>
      <c r="E484" s="217" t="s">
        <v>98</v>
      </c>
      <c r="F484" s="217" t="s">
        <v>97</v>
      </c>
      <c r="G484" s="217" t="s">
        <v>392</v>
      </c>
      <c r="H484" s="217" t="s">
        <v>1169</v>
      </c>
      <c r="I484" s="217" t="s">
        <v>29</v>
      </c>
      <c r="J484" s="217" t="s">
        <v>1856</v>
      </c>
      <c r="K484" s="217">
        <v>6</v>
      </c>
      <c r="L484" s="217">
        <v>30</v>
      </c>
      <c r="M484" s="217" t="s">
        <v>31</v>
      </c>
      <c r="N484" s="217" t="s">
        <v>32</v>
      </c>
      <c r="O484" s="217" t="s">
        <v>68</v>
      </c>
      <c r="P484" s="217" t="s">
        <v>34</v>
      </c>
      <c r="Q484" s="217" t="s">
        <v>35</v>
      </c>
      <c r="R484" s="217" t="s">
        <v>23</v>
      </c>
      <c r="S484" s="217" t="s">
        <v>22</v>
      </c>
      <c r="T484" s="217" t="s">
        <v>84</v>
      </c>
      <c r="U484" s="217" t="s">
        <v>85</v>
      </c>
      <c r="V484" s="217" t="s">
        <v>94</v>
      </c>
      <c r="W484" s="217" t="s">
        <v>95</v>
      </c>
    </row>
    <row r="485" spans="1:23" x14ac:dyDescent="0.25">
      <c r="A485" s="217" t="s">
        <v>22</v>
      </c>
      <c r="B485" s="217" t="s">
        <v>23</v>
      </c>
      <c r="C485" s="217" t="s">
        <v>85</v>
      </c>
      <c r="D485" s="217" t="s">
        <v>84</v>
      </c>
      <c r="E485" s="217" t="s">
        <v>98</v>
      </c>
      <c r="F485" s="217" t="s">
        <v>97</v>
      </c>
      <c r="G485" s="217" t="s">
        <v>792</v>
      </c>
      <c r="H485" s="217" t="s">
        <v>1170</v>
      </c>
      <c r="I485" s="217" t="s">
        <v>29</v>
      </c>
      <c r="J485" s="217" t="s">
        <v>1857</v>
      </c>
      <c r="K485" s="217">
        <v>6</v>
      </c>
      <c r="L485" s="217">
        <v>51</v>
      </c>
      <c r="M485" s="217" t="s">
        <v>31</v>
      </c>
      <c r="N485" s="217" t="s">
        <v>32</v>
      </c>
      <c r="O485" s="217" t="s">
        <v>100</v>
      </c>
      <c r="P485" s="217" t="s">
        <v>34</v>
      </c>
      <c r="Q485" s="217" t="s">
        <v>35</v>
      </c>
      <c r="R485" s="217" t="s">
        <v>23</v>
      </c>
      <c r="S485" s="217" t="s">
        <v>22</v>
      </c>
      <c r="T485" s="217" t="s">
        <v>84</v>
      </c>
      <c r="U485" s="217" t="s">
        <v>85</v>
      </c>
      <c r="V485" s="217" t="s">
        <v>97</v>
      </c>
      <c r="W485" s="217" t="s">
        <v>98</v>
      </c>
    </row>
    <row r="486" spans="1:23" x14ac:dyDescent="0.25">
      <c r="A486" s="217" t="s">
        <v>22</v>
      </c>
      <c r="B486" s="217" t="s">
        <v>23</v>
      </c>
      <c r="C486" s="217" t="s">
        <v>85</v>
      </c>
      <c r="D486" s="217" t="s">
        <v>84</v>
      </c>
      <c r="E486" s="217" t="s">
        <v>98</v>
      </c>
      <c r="F486" s="217" t="s">
        <v>97</v>
      </c>
      <c r="G486" s="217" t="s">
        <v>163</v>
      </c>
      <c r="H486" s="217" t="s">
        <v>1171</v>
      </c>
      <c r="I486" s="217" t="s">
        <v>29</v>
      </c>
      <c r="J486" s="217" t="s">
        <v>1855</v>
      </c>
      <c r="K486" s="217">
        <v>41</v>
      </c>
      <c r="L486" s="217">
        <v>205</v>
      </c>
      <c r="M486" s="217" t="s">
        <v>31</v>
      </c>
      <c r="N486" s="217" t="s">
        <v>32</v>
      </c>
      <c r="O486" s="217" t="s">
        <v>100</v>
      </c>
      <c r="P486" s="217" t="s">
        <v>34</v>
      </c>
      <c r="Q486" s="217" t="s">
        <v>35</v>
      </c>
      <c r="R486" s="217" t="s">
        <v>23</v>
      </c>
      <c r="S486" s="217" t="s">
        <v>22</v>
      </c>
      <c r="T486" s="217" t="s">
        <v>84</v>
      </c>
      <c r="U486" s="217" t="s">
        <v>85</v>
      </c>
      <c r="V486" s="217" t="s">
        <v>97</v>
      </c>
      <c r="W486" s="217" t="s">
        <v>98</v>
      </c>
    </row>
    <row r="487" spans="1:23" x14ac:dyDescent="0.25">
      <c r="A487" s="217" t="s">
        <v>22</v>
      </c>
      <c r="B487" s="217" t="s">
        <v>23</v>
      </c>
      <c r="C487" s="217" t="s">
        <v>85</v>
      </c>
      <c r="D487" s="217" t="s">
        <v>84</v>
      </c>
      <c r="E487" s="217" t="s">
        <v>98</v>
      </c>
      <c r="F487" s="217" t="s">
        <v>97</v>
      </c>
      <c r="G487" s="217" t="s">
        <v>163</v>
      </c>
      <c r="H487" s="217" t="s">
        <v>1171</v>
      </c>
      <c r="I487" s="217" t="s">
        <v>29</v>
      </c>
      <c r="J487" s="217" t="s">
        <v>1856</v>
      </c>
      <c r="K487" s="217">
        <v>45</v>
      </c>
      <c r="L487" s="217">
        <v>225</v>
      </c>
      <c r="M487" s="217" t="s">
        <v>31</v>
      </c>
      <c r="N487" s="217" t="s">
        <v>32</v>
      </c>
      <c r="O487" s="217" t="s">
        <v>100</v>
      </c>
      <c r="P487" s="217" t="s">
        <v>34</v>
      </c>
      <c r="Q487" s="217" t="s">
        <v>35</v>
      </c>
      <c r="R487" s="217" t="s">
        <v>23</v>
      </c>
      <c r="S487" s="217" t="s">
        <v>22</v>
      </c>
      <c r="T487" s="217" t="s">
        <v>84</v>
      </c>
      <c r="U487" s="217" t="s">
        <v>85</v>
      </c>
      <c r="V487" s="217" t="s">
        <v>97</v>
      </c>
      <c r="W487" s="217" t="s">
        <v>98</v>
      </c>
    </row>
    <row r="488" spans="1:23" x14ac:dyDescent="0.25">
      <c r="A488" s="217" t="s">
        <v>22</v>
      </c>
      <c r="B488" s="217" t="s">
        <v>23</v>
      </c>
      <c r="C488" s="217" t="s">
        <v>85</v>
      </c>
      <c r="D488" s="217" t="s">
        <v>84</v>
      </c>
      <c r="E488" s="217" t="s">
        <v>98</v>
      </c>
      <c r="F488" s="217" t="s">
        <v>97</v>
      </c>
      <c r="G488" s="217" t="s">
        <v>163</v>
      </c>
      <c r="H488" s="217" t="s">
        <v>1171</v>
      </c>
      <c r="I488" s="217" t="s">
        <v>29</v>
      </c>
      <c r="J488" s="217" t="s">
        <v>1857</v>
      </c>
      <c r="K488" s="217">
        <v>110</v>
      </c>
      <c r="L488" s="217">
        <v>935</v>
      </c>
      <c r="M488" s="217" t="s">
        <v>31</v>
      </c>
      <c r="N488" s="217" t="s">
        <v>32</v>
      </c>
      <c r="O488" s="217" t="s">
        <v>100</v>
      </c>
      <c r="P488" s="217" t="s">
        <v>34</v>
      </c>
      <c r="Q488" s="217" t="s">
        <v>35</v>
      </c>
      <c r="R488" s="217" t="s">
        <v>23</v>
      </c>
      <c r="S488" s="217" t="s">
        <v>22</v>
      </c>
      <c r="T488" s="217" t="s">
        <v>84</v>
      </c>
      <c r="U488" s="217" t="s">
        <v>85</v>
      </c>
      <c r="V488" s="217" t="s">
        <v>97</v>
      </c>
      <c r="W488" s="217" t="s">
        <v>98</v>
      </c>
    </row>
    <row r="489" spans="1:23" x14ac:dyDescent="0.25">
      <c r="A489" s="217" t="s">
        <v>22</v>
      </c>
      <c r="B489" s="217" t="s">
        <v>23</v>
      </c>
      <c r="C489" s="217" t="s">
        <v>85</v>
      </c>
      <c r="D489" s="217" t="s">
        <v>84</v>
      </c>
      <c r="E489" s="217" t="s">
        <v>98</v>
      </c>
      <c r="F489" s="217" t="s">
        <v>97</v>
      </c>
      <c r="G489" s="217" t="s">
        <v>393</v>
      </c>
      <c r="H489" s="217" t="s">
        <v>1172</v>
      </c>
      <c r="I489" s="217" t="s">
        <v>29</v>
      </c>
      <c r="J489" s="217" t="s">
        <v>1856</v>
      </c>
      <c r="K489" s="217">
        <v>2</v>
      </c>
      <c r="L489" s="217">
        <v>11</v>
      </c>
      <c r="M489" s="217" t="s">
        <v>31</v>
      </c>
      <c r="N489" s="217" t="s">
        <v>32</v>
      </c>
      <c r="O489" s="217" t="s">
        <v>100</v>
      </c>
      <c r="P489" s="217" t="s">
        <v>34</v>
      </c>
      <c r="Q489" s="217" t="s">
        <v>35</v>
      </c>
      <c r="R489" s="217" t="s">
        <v>23</v>
      </c>
      <c r="S489" s="217" t="s">
        <v>22</v>
      </c>
      <c r="T489" s="217" t="s">
        <v>84</v>
      </c>
      <c r="U489" s="217" t="s">
        <v>85</v>
      </c>
      <c r="V489" s="217" t="s">
        <v>97</v>
      </c>
      <c r="W489" s="217" t="s">
        <v>98</v>
      </c>
    </row>
    <row r="490" spans="1:23" x14ac:dyDescent="0.25">
      <c r="A490" s="217" t="s">
        <v>22</v>
      </c>
      <c r="B490" s="217" t="s">
        <v>23</v>
      </c>
      <c r="C490" s="217" t="s">
        <v>85</v>
      </c>
      <c r="D490" s="217" t="s">
        <v>84</v>
      </c>
      <c r="E490" s="217" t="s">
        <v>98</v>
      </c>
      <c r="F490" s="217" t="s">
        <v>97</v>
      </c>
      <c r="G490" s="217" t="s">
        <v>393</v>
      </c>
      <c r="H490" s="217" t="s">
        <v>1172</v>
      </c>
      <c r="I490" s="217" t="s">
        <v>29</v>
      </c>
      <c r="J490" s="217" t="s">
        <v>1857</v>
      </c>
      <c r="K490" s="217">
        <v>4</v>
      </c>
      <c r="L490" s="217">
        <v>24</v>
      </c>
      <c r="M490" s="217" t="s">
        <v>31</v>
      </c>
      <c r="N490" s="217" t="s">
        <v>32</v>
      </c>
      <c r="O490" s="217" t="s">
        <v>100</v>
      </c>
      <c r="P490" s="217" t="s">
        <v>34</v>
      </c>
      <c r="Q490" s="217" t="s">
        <v>35</v>
      </c>
      <c r="R490" s="217" t="s">
        <v>23</v>
      </c>
      <c r="S490" s="217" t="s">
        <v>22</v>
      </c>
      <c r="T490" s="217" t="s">
        <v>84</v>
      </c>
      <c r="U490" s="217" t="s">
        <v>85</v>
      </c>
      <c r="V490" s="217" t="s">
        <v>97</v>
      </c>
      <c r="W490" s="217" t="s">
        <v>98</v>
      </c>
    </row>
    <row r="491" spans="1:23" x14ac:dyDescent="0.25">
      <c r="A491" s="217" t="s">
        <v>22</v>
      </c>
      <c r="B491" s="217" t="s">
        <v>23</v>
      </c>
      <c r="C491" s="217" t="s">
        <v>85</v>
      </c>
      <c r="D491" s="217" t="s">
        <v>84</v>
      </c>
      <c r="E491" s="217" t="s">
        <v>98</v>
      </c>
      <c r="F491" s="217" t="s">
        <v>97</v>
      </c>
      <c r="G491" s="217" t="s">
        <v>394</v>
      </c>
      <c r="H491" s="217" t="s">
        <v>1173</v>
      </c>
      <c r="I491" s="217" t="s">
        <v>29</v>
      </c>
      <c r="J491" s="217" t="s">
        <v>1855</v>
      </c>
      <c r="K491" s="217">
        <v>5</v>
      </c>
      <c r="L491" s="217">
        <v>25</v>
      </c>
      <c r="M491" s="217" t="s">
        <v>31</v>
      </c>
      <c r="N491" s="217" t="s">
        <v>32</v>
      </c>
      <c r="O491" s="217" t="s">
        <v>68</v>
      </c>
      <c r="P491" s="217" t="s">
        <v>34</v>
      </c>
      <c r="Q491" s="217" t="s">
        <v>35</v>
      </c>
      <c r="R491" s="217" t="s">
        <v>23</v>
      </c>
      <c r="S491" s="217" t="s">
        <v>22</v>
      </c>
      <c r="T491" s="217" t="s">
        <v>84</v>
      </c>
      <c r="U491" s="217" t="s">
        <v>85</v>
      </c>
      <c r="V491" s="217" t="s">
        <v>91</v>
      </c>
      <c r="W491" s="217" t="s">
        <v>92</v>
      </c>
    </row>
    <row r="492" spans="1:23" x14ac:dyDescent="0.25">
      <c r="A492" s="217" t="s">
        <v>22</v>
      </c>
      <c r="B492" s="217" t="s">
        <v>23</v>
      </c>
      <c r="C492" s="217" t="s">
        <v>85</v>
      </c>
      <c r="D492" s="217" t="s">
        <v>84</v>
      </c>
      <c r="E492" s="217" t="s">
        <v>98</v>
      </c>
      <c r="F492" s="217" t="s">
        <v>97</v>
      </c>
      <c r="G492" s="217" t="s">
        <v>394</v>
      </c>
      <c r="H492" s="217" t="s">
        <v>1173</v>
      </c>
      <c r="I492" s="217" t="s">
        <v>29</v>
      </c>
      <c r="J492" s="217" t="s">
        <v>1856</v>
      </c>
      <c r="K492" s="217">
        <v>3</v>
      </c>
      <c r="L492" s="217">
        <v>22</v>
      </c>
      <c r="M492" s="217" t="s">
        <v>31</v>
      </c>
      <c r="N492" s="217" t="s">
        <v>32</v>
      </c>
      <c r="O492" s="217" t="s">
        <v>68</v>
      </c>
      <c r="P492" s="217" t="s">
        <v>34</v>
      </c>
      <c r="Q492" s="217" t="s">
        <v>35</v>
      </c>
      <c r="R492" s="217" t="s">
        <v>23</v>
      </c>
      <c r="S492" s="217" t="s">
        <v>22</v>
      </c>
      <c r="T492" s="217" t="s">
        <v>84</v>
      </c>
      <c r="U492" s="217" t="s">
        <v>85</v>
      </c>
      <c r="V492" s="217" t="s">
        <v>91</v>
      </c>
      <c r="W492" s="217" t="s">
        <v>92</v>
      </c>
    </row>
    <row r="493" spans="1:23" x14ac:dyDescent="0.25">
      <c r="A493" s="217" t="s">
        <v>22</v>
      </c>
      <c r="B493" s="217" t="s">
        <v>23</v>
      </c>
      <c r="C493" s="217" t="s">
        <v>85</v>
      </c>
      <c r="D493" s="217" t="s">
        <v>84</v>
      </c>
      <c r="E493" s="217" t="s">
        <v>98</v>
      </c>
      <c r="F493" s="217" t="s">
        <v>97</v>
      </c>
      <c r="G493" s="217" t="s">
        <v>394</v>
      </c>
      <c r="H493" s="217" t="s">
        <v>1173</v>
      </c>
      <c r="I493" s="217" t="s">
        <v>29</v>
      </c>
      <c r="J493" s="217" t="s">
        <v>1858</v>
      </c>
      <c r="K493" s="217">
        <v>1</v>
      </c>
      <c r="L493" s="217">
        <v>4</v>
      </c>
      <c r="M493" s="217" t="s">
        <v>31</v>
      </c>
      <c r="N493" s="217" t="s">
        <v>32</v>
      </c>
      <c r="O493" s="217" t="s">
        <v>68</v>
      </c>
      <c r="P493" s="217" t="s">
        <v>34</v>
      </c>
      <c r="Q493" s="217" t="s">
        <v>35</v>
      </c>
      <c r="R493" s="217" t="s">
        <v>23</v>
      </c>
      <c r="S493" s="217" t="s">
        <v>22</v>
      </c>
      <c r="T493" s="217" t="s">
        <v>84</v>
      </c>
      <c r="U493" s="217" t="s">
        <v>85</v>
      </c>
      <c r="V493" s="217" t="s">
        <v>109</v>
      </c>
      <c r="W493" s="217" t="s">
        <v>110</v>
      </c>
    </row>
    <row r="494" spans="1:23" x14ac:dyDescent="0.25">
      <c r="A494" s="217" t="s">
        <v>22</v>
      </c>
      <c r="B494" s="217" t="s">
        <v>23</v>
      </c>
      <c r="C494" s="217" t="s">
        <v>85</v>
      </c>
      <c r="D494" s="217" t="s">
        <v>84</v>
      </c>
      <c r="E494" s="217" t="s">
        <v>98</v>
      </c>
      <c r="F494" s="217" t="s">
        <v>97</v>
      </c>
      <c r="G494" s="217" t="s">
        <v>395</v>
      </c>
      <c r="H494" s="217" t="s">
        <v>1174</v>
      </c>
      <c r="I494" s="217" t="s">
        <v>29</v>
      </c>
      <c r="J494" s="217" t="s">
        <v>1856</v>
      </c>
      <c r="K494" s="217">
        <v>5</v>
      </c>
      <c r="L494" s="217">
        <v>45</v>
      </c>
      <c r="M494" s="217" t="s">
        <v>31</v>
      </c>
      <c r="N494" s="217" t="s">
        <v>32</v>
      </c>
      <c r="O494" s="217" t="s">
        <v>100</v>
      </c>
      <c r="P494" s="217" t="s">
        <v>34</v>
      </c>
      <c r="Q494" s="217" t="s">
        <v>35</v>
      </c>
      <c r="R494" s="217" t="s">
        <v>23</v>
      </c>
      <c r="S494" s="217" t="s">
        <v>22</v>
      </c>
      <c r="T494" s="217" t="s">
        <v>84</v>
      </c>
      <c r="U494" s="217" t="s">
        <v>85</v>
      </c>
      <c r="V494" s="217" t="s">
        <v>97</v>
      </c>
      <c r="W494" s="217" t="s">
        <v>98</v>
      </c>
    </row>
    <row r="495" spans="1:23" x14ac:dyDescent="0.25">
      <c r="A495" s="217" t="s">
        <v>22</v>
      </c>
      <c r="B495" s="217" t="s">
        <v>23</v>
      </c>
      <c r="C495" s="217" t="s">
        <v>85</v>
      </c>
      <c r="D495" s="217" t="s">
        <v>84</v>
      </c>
      <c r="E495" s="217" t="s">
        <v>98</v>
      </c>
      <c r="F495" s="217" t="s">
        <v>97</v>
      </c>
      <c r="G495" s="217" t="s">
        <v>396</v>
      </c>
      <c r="H495" s="217" t="s">
        <v>1175</v>
      </c>
      <c r="I495" s="217" t="s">
        <v>29</v>
      </c>
      <c r="J495" s="217" t="s">
        <v>1856</v>
      </c>
      <c r="K495" s="217">
        <v>13</v>
      </c>
      <c r="L495" s="217">
        <v>77</v>
      </c>
      <c r="M495" s="217" t="s">
        <v>31</v>
      </c>
      <c r="N495" s="217" t="s">
        <v>32</v>
      </c>
      <c r="O495" s="217" t="s">
        <v>68</v>
      </c>
      <c r="P495" s="217" t="s">
        <v>34</v>
      </c>
      <c r="Q495" s="217" t="s">
        <v>35</v>
      </c>
      <c r="R495" s="217" t="s">
        <v>23</v>
      </c>
      <c r="S495" s="217" t="s">
        <v>22</v>
      </c>
      <c r="T495" s="217" t="s">
        <v>84</v>
      </c>
      <c r="U495" s="217" t="s">
        <v>85</v>
      </c>
      <c r="V495" s="217" t="s">
        <v>109</v>
      </c>
      <c r="W495" s="217" t="s">
        <v>110</v>
      </c>
    </row>
    <row r="496" spans="1:23" x14ac:dyDescent="0.25">
      <c r="A496" s="217" t="s">
        <v>22</v>
      </c>
      <c r="B496" s="217" t="s">
        <v>23</v>
      </c>
      <c r="C496" s="217" t="s">
        <v>85</v>
      </c>
      <c r="D496" s="217" t="s">
        <v>84</v>
      </c>
      <c r="E496" s="217" t="s">
        <v>98</v>
      </c>
      <c r="F496" s="217" t="s">
        <v>97</v>
      </c>
      <c r="G496" s="217" t="s">
        <v>397</v>
      </c>
      <c r="H496" s="217" t="s">
        <v>1176</v>
      </c>
      <c r="I496" s="217" t="s">
        <v>29</v>
      </c>
      <c r="J496" s="217" t="s">
        <v>1855</v>
      </c>
      <c r="K496" s="217">
        <v>12</v>
      </c>
      <c r="L496" s="217">
        <v>65</v>
      </c>
      <c r="M496" s="217" t="s">
        <v>31</v>
      </c>
      <c r="N496" s="217" t="s">
        <v>32</v>
      </c>
      <c r="O496" s="217" t="s">
        <v>68</v>
      </c>
      <c r="P496" s="217" t="s">
        <v>34</v>
      </c>
      <c r="Q496" s="217" t="s">
        <v>35</v>
      </c>
      <c r="R496" s="217" t="s">
        <v>23</v>
      </c>
      <c r="S496" s="217" t="s">
        <v>22</v>
      </c>
      <c r="T496" s="217" t="s">
        <v>84</v>
      </c>
      <c r="U496" s="217" t="s">
        <v>85</v>
      </c>
      <c r="V496" s="217" t="s">
        <v>91</v>
      </c>
      <c r="W496" s="217" t="s">
        <v>92</v>
      </c>
    </row>
    <row r="497" spans="1:23" x14ac:dyDescent="0.25">
      <c r="A497" s="217" t="s">
        <v>22</v>
      </c>
      <c r="B497" s="217" t="s">
        <v>23</v>
      </c>
      <c r="C497" s="217" t="s">
        <v>85</v>
      </c>
      <c r="D497" s="217" t="s">
        <v>84</v>
      </c>
      <c r="E497" s="217" t="s">
        <v>98</v>
      </c>
      <c r="F497" s="217" t="s">
        <v>97</v>
      </c>
      <c r="G497" s="217" t="s">
        <v>397</v>
      </c>
      <c r="H497" s="217" t="s">
        <v>1176</v>
      </c>
      <c r="I497" s="217" t="s">
        <v>29</v>
      </c>
      <c r="J497" s="217" t="s">
        <v>1856</v>
      </c>
      <c r="K497" s="217">
        <v>3</v>
      </c>
      <c r="L497" s="217">
        <v>15</v>
      </c>
      <c r="M497" s="217" t="s">
        <v>31</v>
      </c>
      <c r="N497" s="217" t="s">
        <v>32</v>
      </c>
      <c r="O497" s="217" t="s">
        <v>68</v>
      </c>
      <c r="P497" s="217" t="s">
        <v>34</v>
      </c>
      <c r="Q497" s="217" t="s">
        <v>35</v>
      </c>
      <c r="R497" s="217" t="s">
        <v>23</v>
      </c>
      <c r="S497" s="217" t="s">
        <v>22</v>
      </c>
      <c r="T497" s="217" t="s">
        <v>84</v>
      </c>
      <c r="U497" s="217" t="s">
        <v>85</v>
      </c>
      <c r="V497" s="217" t="s">
        <v>91</v>
      </c>
      <c r="W497" s="217" t="s">
        <v>92</v>
      </c>
    </row>
    <row r="498" spans="1:23" x14ac:dyDescent="0.25">
      <c r="A498" s="217" t="s">
        <v>22</v>
      </c>
      <c r="B498" s="217" t="s">
        <v>23</v>
      </c>
      <c r="C498" s="217" t="s">
        <v>85</v>
      </c>
      <c r="D498" s="217" t="s">
        <v>84</v>
      </c>
      <c r="E498" s="217" t="s">
        <v>98</v>
      </c>
      <c r="F498" s="217" t="s">
        <v>97</v>
      </c>
      <c r="G498" s="217" t="s">
        <v>397</v>
      </c>
      <c r="H498" s="217" t="s">
        <v>1176</v>
      </c>
      <c r="I498" s="217" t="s">
        <v>29</v>
      </c>
      <c r="J498" s="217" t="s">
        <v>1857</v>
      </c>
      <c r="K498" s="217">
        <v>2</v>
      </c>
      <c r="L498" s="217">
        <v>10</v>
      </c>
      <c r="M498" s="217" t="s">
        <v>31</v>
      </c>
      <c r="N498" s="217" t="s">
        <v>32</v>
      </c>
      <c r="O498" s="217" t="s">
        <v>68</v>
      </c>
      <c r="P498" s="217" t="s">
        <v>34</v>
      </c>
      <c r="Q498" s="217" t="s">
        <v>35</v>
      </c>
      <c r="R498" s="217" t="s">
        <v>23</v>
      </c>
      <c r="S498" s="217" t="s">
        <v>22</v>
      </c>
      <c r="T498" s="217" t="s">
        <v>84</v>
      </c>
      <c r="U498" s="217" t="s">
        <v>85</v>
      </c>
      <c r="V498" s="217" t="s">
        <v>91</v>
      </c>
      <c r="W498" s="217" t="s">
        <v>92</v>
      </c>
    </row>
    <row r="499" spans="1:23" x14ac:dyDescent="0.25">
      <c r="A499" s="217" t="s">
        <v>22</v>
      </c>
      <c r="B499" s="217" t="s">
        <v>23</v>
      </c>
      <c r="C499" s="217" t="s">
        <v>85</v>
      </c>
      <c r="D499" s="217" t="s">
        <v>84</v>
      </c>
      <c r="E499" s="217" t="s">
        <v>98</v>
      </c>
      <c r="F499" s="217" t="s">
        <v>97</v>
      </c>
      <c r="G499" s="217" t="s">
        <v>398</v>
      </c>
      <c r="H499" s="217" t="s">
        <v>1177</v>
      </c>
      <c r="I499" s="217" t="s">
        <v>29</v>
      </c>
      <c r="J499" s="217" t="s">
        <v>1856</v>
      </c>
      <c r="K499" s="217">
        <v>6</v>
      </c>
      <c r="L499" s="217">
        <v>37</v>
      </c>
      <c r="M499" s="217" t="s">
        <v>31</v>
      </c>
      <c r="N499" s="217" t="s">
        <v>32</v>
      </c>
      <c r="O499" s="217" t="s">
        <v>68</v>
      </c>
      <c r="P499" s="217" t="s">
        <v>34</v>
      </c>
      <c r="Q499" s="217" t="s">
        <v>35</v>
      </c>
      <c r="R499" s="217" t="s">
        <v>23</v>
      </c>
      <c r="S499" s="217" t="s">
        <v>22</v>
      </c>
      <c r="T499" s="217" t="s">
        <v>84</v>
      </c>
      <c r="U499" s="217" t="s">
        <v>85</v>
      </c>
      <c r="V499" s="217" t="s">
        <v>91</v>
      </c>
      <c r="W499" s="217" t="s">
        <v>92</v>
      </c>
    </row>
    <row r="500" spans="1:23" x14ac:dyDescent="0.25">
      <c r="A500" s="217" t="s">
        <v>22</v>
      </c>
      <c r="B500" s="217" t="s">
        <v>23</v>
      </c>
      <c r="C500" s="217" t="s">
        <v>85</v>
      </c>
      <c r="D500" s="217" t="s">
        <v>84</v>
      </c>
      <c r="E500" s="217" t="s">
        <v>98</v>
      </c>
      <c r="F500" s="217" t="s">
        <v>97</v>
      </c>
      <c r="G500" s="217" t="s">
        <v>398</v>
      </c>
      <c r="H500" s="217" t="s">
        <v>1177</v>
      </c>
      <c r="I500" s="217" t="s">
        <v>29</v>
      </c>
      <c r="J500" s="217" t="s">
        <v>1857</v>
      </c>
      <c r="K500" s="217">
        <v>23</v>
      </c>
      <c r="L500" s="217">
        <v>115</v>
      </c>
      <c r="M500" s="217" t="s">
        <v>31</v>
      </c>
      <c r="N500" s="217" t="s">
        <v>32</v>
      </c>
      <c r="O500" s="217" t="s">
        <v>68</v>
      </c>
      <c r="P500" s="217" t="s">
        <v>34</v>
      </c>
      <c r="Q500" s="217" t="s">
        <v>35</v>
      </c>
      <c r="R500" s="217" t="s">
        <v>23</v>
      </c>
      <c r="S500" s="217" t="s">
        <v>22</v>
      </c>
      <c r="T500" s="217" t="s">
        <v>84</v>
      </c>
      <c r="U500" s="217" t="s">
        <v>85</v>
      </c>
      <c r="V500" s="217" t="s">
        <v>91</v>
      </c>
      <c r="W500" s="217" t="s">
        <v>92</v>
      </c>
    </row>
    <row r="501" spans="1:23" x14ac:dyDescent="0.25">
      <c r="A501" s="217" t="s">
        <v>22</v>
      </c>
      <c r="B501" s="217" t="s">
        <v>23</v>
      </c>
      <c r="C501" s="217" t="s">
        <v>85</v>
      </c>
      <c r="D501" s="217" t="s">
        <v>84</v>
      </c>
      <c r="E501" s="217" t="s">
        <v>98</v>
      </c>
      <c r="F501" s="217" t="s">
        <v>97</v>
      </c>
      <c r="G501" s="217" t="s">
        <v>399</v>
      </c>
      <c r="H501" s="217" t="s">
        <v>1178</v>
      </c>
      <c r="I501" s="217" t="s">
        <v>29</v>
      </c>
      <c r="J501" s="217" t="s">
        <v>1856</v>
      </c>
      <c r="K501" s="217">
        <v>33</v>
      </c>
      <c r="L501" s="217">
        <v>102</v>
      </c>
      <c r="M501" s="217" t="s">
        <v>31</v>
      </c>
      <c r="N501" s="217" t="s">
        <v>32</v>
      </c>
      <c r="O501" s="217" t="s">
        <v>100</v>
      </c>
      <c r="P501" s="217" t="s">
        <v>34</v>
      </c>
      <c r="Q501" s="217" t="s">
        <v>35</v>
      </c>
      <c r="R501" s="217" t="s">
        <v>23</v>
      </c>
      <c r="S501" s="217" t="s">
        <v>22</v>
      </c>
      <c r="T501" s="217" t="s">
        <v>84</v>
      </c>
      <c r="U501" s="217" t="s">
        <v>85</v>
      </c>
      <c r="V501" s="217" t="s">
        <v>97</v>
      </c>
      <c r="W501" s="217" t="s">
        <v>98</v>
      </c>
    </row>
    <row r="502" spans="1:23" x14ac:dyDescent="0.25">
      <c r="A502" s="217" t="s">
        <v>22</v>
      </c>
      <c r="B502" s="217" t="s">
        <v>23</v>
      </c>
      <c r="C502" s="217" t="s">
        <v>85</v>
      </c>
      <c r="D502" s="217" t="s">
        <v>84</v>
      </c>
      <c r="E502" s="217" t="s">
        <v>98</v>
      </c>
      <c r="F502" s="217" t="s">
        <v>97</v>
      </c>
      <c r="G502" s="217" t="s">
        <v>797</v>
      </c>
      <c r="H502" s="217" t="s">
        <v>1179</v>
      </c>
      <c r="I502" s="217" t="s">
        <v>29</v>
      </c>
      <c r="J502" s="217" t="s">
        <v>1856</v>
      </c>
      <c r="K502" s="217">
        <v>5</v>
      </c>
      <c r="L502" s="217">
        <v>52</v>
      </c>
      <c r="M502" s="217" t="s">
        <v>31</v>
      </c>
      <c r="N502" s="217" t="s">
        <v>32</v>
      </c>
      <c r="O502" s="217" t="s">
        <v>100</v>
      </c>
      <c r="P502" s="217" t="s">
        <v>34</v>
      </c>
      <c r="Q502" s="217" t="s">
        <v>35</v>
      </c>
      <c r="R502" s="217" t="s">
        <v>23</v>
      </c>
      <c r="S502" s="217" t="s">
        <v>22</v>
      </c>
      <c r="T502" s="217" t="s">
        <v>84</v>
      </c>
      <c r="U502" s="217" t="s">
        <v>85</v>
      </c>
      <c r="V502" s="217" t="s">
        <v>97</v>
      </c>
      <c r="W502" s="217" t="s">
        <v>98</v>
      </c>
    </row>
    <row r="503" spans="1:23" x14ac:dyDescent="0.25">
      <c r="A503" s="217" t="s">
        <v>22</v>
      </c>
      <c r="B503" s="217" t="s">
        <v>23</v>
      </c>
      <c r="C503" s="217" t="s">
        <v>85</v>
      </c>
      <c r="D503" s="217" t="s">
        <v>84</v>
      </c>
      <c r="E503" s="217" t="s">
        <v>98</v>
      </c>
      <c r="F503" s="217" t="s">
        <v>97</v>
      </c>
      <c r="G503" s="217" t="s">
        <v>797</v>
      </c>
      <c r="H503" s="217" t="s">
        <v>1179</v>
      </c>
      <c r="I503" s="217" t="s">
        <v>29</v>
      </c>
      <c r="J503" s="217" t="s">
        <v>1857</v>
      </c>
      <c r="K503" s="217">
        <v>2</v>
      </c>
      <c r="L503" s="217">
        <v>11</v>
      </c>
      <c r="M503" s="217" t="s">
        <v>31</v>
      </c>
      <c r="N503" s="217" t="s">
        <v>32</v>
      </c>
      <c r="O503" s="217" t="s">
        <v>100</v>
      </c>
      <c r="P503" s="217" t="s">
        <v>34</v>
      </c>
      <c r="Q503" s="217" t="s">
        <v>35</v>
      </c>
      <c r="R503" s="217" t="s">
        <v>23</v>
      </c>
      <c r="S503" s="217" t="s">
        <v>22</v>
      </c>
      <c r="T503" s="217" t="s">
        <v>84</v>
      </c>
      <c r="U503" s="217" t="s">
        <v>85</v>
      </c>
      <c r="V503" s="217" t="s">
        <v>97</v>
      </c>
      <c r="W503" s="217" t="s">
        <v>98</v>
      </c>
    </row>
    <row r="504" spans="1:23" x14ac:dyDescent="0.25">
      <c r="A504" s="217" t="s">
        <v>22</v>
      </c>
      <c r="B504" s="217" t="s">
        <v>23</v>
      </c>
      <c r="C504" s="217" t="s">
        <v>85</v>
      </c>
      <c r="D504" s="217" t="s">
        <v>84</v>
      </c>
      <c r="E504" s="217" t="s">
        <v>98</v>
      </c>
      <c r="F504" s="217" t="s">
        <v>97</v>
      </c>
      <c r="G504" s="217" t="s">
        <v>798</v>
      </c>
      <c r="H504" s="217" t="s">
        <v>1511</v>
      </c>
      <c r="I504" s="217" t="s">
        <v>29</v>
      </c>
      <c r="J504" s="217" t="s">
        <v>1856</v>
      </c>
      <c r="K504" s="217">
        <v>2</v>
      </c>
      <c r="L504" s="217">
        <v>17</v>
      </c>
      <c r="M504" s="217" t="s">
        <v>31</v>
      </c>
      <c r="N504" s="217" t="s">
        <v>32</v>
      </c>
      <c r="O504" s="217" t="s">
        <v>100</v>
      </c>
      <c r="P504" s="217" t="s">
        <v>34</v>
      </c>
      <c r="Q504" s="217" t="s">
        <v>35</v>
      </c>
      <c r="R504" s="217" t="s">
        <v>23</v>
      </c>
      <c r="S504" s="217" t="s">
        <v>22</v>
      </c>
      <c r="T504" s="217" t="s">
        <v>84</v>
      </c>
      <c r="U504" s="217" t="s">
        <v>85</v>
      </c>
      <c r="V504" s="217" t="s">
        <v>97</v>
      </c>
      <c r="W504" s="217" t="s">
        <v>98</v>
      </c>
    </row>
    <row r="505" spans="1:23" x14ac:dyDescent="0.25">
      <c r="A505" s="217" t="s">
        <v>22</v>
      </c>
      <c r="B505" s="217" t="s">
        <v>23</v>
      </c>
      <c r="C505" s="217" t="s">
        <v>85</v>
      </c>
      <c r="D505" s="217" t="s">
        <v>84</v>
      </c>
      <c r="E505" s="217" t="s">
        <v>98</v>
      </c>
      <c r="F505" s="217" t="s">
        <v>97</v>
      </c>
      <c r="G505" s="217" t="s">
        <v>400</v>
      </c>
      <c r="H505" s="217" t="s">
        <v>1180</v>
      </c>
      <c r="I505" s="217" t="s">
        <v>29</v>
      </c>
      <c r="J505" s="217" t="s">
        <v>1856</v>
      </c>
      <c r="K505" s="217">
        <v>6</v>
      </c>
      <c r="L505" s="217">
        <v>65</v>
      </c>
      <c r="M505" s="217" t="s">
        <v>31</v>
      </c>
      <c r="N505" s="217" t="s">
        <v>32</v>
      </c>
      <c r="O505" s="217" t="s">
        <v>100</v>
      </c>
      <c r="P505" s="217" t="s">
        <v>34</v>
      </c>
      <c r="Q505" s="217" t="s">
        <v>35</v>
      </c>
      <c r="R505" s="217" t="s">
        <v>23</v>
      </c>
      <c r="S505" s="217" t="s">
        <v>22</v>
      </c>
      <c r="T505" s="217" t="s">
        <v>84</v>
      </c>
      <c r="U505" s="217" t="s">
        <v>85</v>
      </c>
      <c r="V505" s="217" t="s">
        <v>97</v>
      </c>
      <c r="W505" s="217" t="s">
        <v>98</v>
      </c>
    </row>
    <row r="506" spans="1:23" x14ac:dyDescent="0.25">
      <c r="A506" s="217" t="s">
        <v>22</v>
      </c>
      <c r="B506" s="217" t="s">
        <v>23</v>
      </c>
      <c r="C506" s="217" t="s">
        <v>85</v>
      </c>
      <c r="D506" s="217" t="s">
        <v>84</v>
      </c>
      <c r="E506" s="217" t="s">
        <v>98</v>
      </c>
      <c r="F506" s="217" t="s">
        <v>97</v>
      </c>
      <c r="G506" s="217" t="s">
        <v>400</v>
      </c>
      <c r="H506" s="217" t="s">
        <v>1180</v>
      </c>
      <c r="I506" s="217" t="s">
        <v>29</v>
      </c>
      <c r="J506" s="217" t="s">
        <v>1857</v>
      </c>
      <c r="K506" s="217">
        <v>9</v>
      </c>
      <c r="L506" s="217">
        <v>69</v>
      </c>
      <c r="M506" s="217" t="s">
        <v>31</v>
      </c>
      <c r="N506" s="217" t="s">
        <v>32</v>
      </c>
      <c r="O506" s="217" t="s">
        <v>100</v>
      </c>
      <c r="P506" s="217" t="s">
        <v>34</v>
      </c>
      <c r="Q506" s="217" t="s">
        <v>35</v>
      </c>
      <c r="R506" s="217" t="s">
        <v>23</v>
      </c>
      <c r="S506" s="217" t="s">
        <v>22</v>
      </c>
      <c r="T506" s="217" t="s">
        <v>84</v>
      </c>
      <c r="U506" s="217" t="s">
        <v>85</v>
      </c>
      <c r="V506" s="217" t="s">
        <v>97</v>
      </c>
      <c r="W506" s="217" t="s">
        <v>98</v>
      </c>
    </row>
    <row r="507" spans="1:23" x14ac:dyDescent="0.25">
      <c r="A507" s="217" t="s">
        <v>22</v>
      </c>
      <c r="B507" s="217" t="s">
        <v>23</v>
      </c>
      <c r="C507" s="217" t="s">
        <v>85</v>
      </c>
      <c r="D507" s="217" t="s">
        <v>84</v>
      </c>
      <c r="E507" s="217" t="s">
        <v>98</v>
      </c>
      <c r="F507" s="217" t="s">
        <v>97</v>
      </c>
      <c r="G507" s="217" t="s">
        <v>298</v>
      </c>
      <c r="H507" s="217" t="s">
        <v>1181</v>
      </c>
      <c r="I507" s="217" t="s">
        <v>29</v>
      </c>
      <c r="J507" s="217" t="s">
        <v>1856</v>
      </c>
      <c r="K507" s="217">
        <v>2</v>
      </c>
      <c r="L507" s="217">
        <v>10</v>
      </c>
      <c r="M507" s="217" t="s">
        <v>31</v>
      </c>
      <c r="N507" s="217" t="s">
        <v>32</v>
      </c>
      <c r="O507" s="217" t="s">
        <v>100</v>
      </c>
      <c r="P507" s="217" t="s">
        <v>34</v>
      </c>
      <c r="Q507" s="217" t="s">
        <v>35</v>
      </c>
      <c r="R507" s="217" t="s">
        <v>23</v>
      </c>
      <c r="S507" s="217" t="s">
        <v>22</v>
      </c>
      <c r="T507" s="217" t="s">
        <v>84</v>
      </c>
      <c r="U507" s="217" t="s">
        <v>85</v>
      </c>
      <c r="V507" s="217" t="s">
        <v>97</v>
      </c>
      <c r="W507" s="217" t="s">
        <v>98</v>
      </c>
    </row>
    <row r="508" spans="1:23" x14ac:dyDescent="0.25">
      <c r="A508" s="217" t="s">
        <v>22</v>
      </c>
      <c r="B508" s="217" t="s">
        <v>23</v>
      </c>
      <c r="C508" s="217" t="s">
        <v>85</v>
      </c>
      <c r="D508" s="217" t="s">
        <v>84</v>
      </c>
      <c r="E508" s="217" t="s">
        <v>98</v>
      </c>
      <c r="F508" s="217" t="s">
        <v>97</v>
      </c>
      <c r="G508" s="217" t="s">
        <v>298</v>
      </c>
      <c r="H508" s="217" t="s">
        <v>1181</v>
      </c>
      <c r="I508" s="217" t="s">
        <v>29</v>
      </c>
      <c r="J508" s="217" t="s">
        <v>1857</v>
      </c>
      <c r="K508" s="217">
        <v>9</v>
      </c>
      <c r="L508" s="217">
        <v>50</v>
      </c>
      <c r="M508" s="217" t="s">
        <v>31</v>
      </c>
      <c r="N508" s="217" t="s">
        <v>32</v>
      </c>
      <c r="O508" s="217" t="s">
        <v>100</v>
      </c>
      <c r="P508" s="217" t="s">
        <v>34</v>
      </c>
      <c r="Q508" s="217" t="s">
        <v>35</v>
      </c>
      <c r="R508" s="217" t="s">
        <v>23</v>
      </c>
      <c r="S508" s="217" t="s">
        <v>22</v>
      </c>
      <c r="T508" s="217" t="s">
        <v>84</v>
      </c>
      <c r="U508" s="217" t="s">
        <v>85</v>
      </c>
      <c r="V508" s="217" t="s">
        <v>97</v>
      </c>
      <c r="W508" s="217" t="s">
        <v>98</v>
      </c>
    </row>
    <row r="509" spans="1:23" x14ac:dyDescent="0.25">
      <c r="A509" s="217" t="s">
        <v>22</v>
      </c>
      <c r="B509" s="217" t="s">
        <v>23</v>
      </c>
      <c r="C509" s="217" t="s">
        <v>85</v>
      </c>
      <c r="D509" s="217" t="s">
        <v>84</v>
      </c>
      <c r="E509" s="217" t="s">
        <v>98</v>
      </c>
      <c r="F509" s="217" t="s">
        <v>97</v>
      </c>
      <c r="G509" s="217" t="s">
        <v>1182</v>
      </c>
      <c r="H509" s="217" t="s">
        <v>1183</v>
      </c>
      <c r="I509" s="217" t="s">
        <v>29</v>
      </c>
      <c r="J509" s="217" t="s">
        <v>1858</v>
      </c>
      <c r="K509" s="217">
        <v>13</v>
      </c>
      <c r="L509" s="217">
        <v>85</v>
      </c>
      <c r="M509" s="217" t="s">
        <v>31</v>
      </c>
      <c r="N509" s="217" t="s">
        <v>32</v>
      </c>
      <c r="O509" s="217" t="s">
        <v>68</v>
      </c>
      <c r="P509" s="217" t="s">
        <v>34</v>
      </c>
      <c r="Q509" s="217" t="s">
        <v>35</v>
      </c>
      <c r="R509" s="217" t="s">
        <v>23</v>
      </c>
      <c r="S509" s="217" t="s">
        <v>22</v>
      </c>
      <c r="T509" s="217" t="s">
        <v>84</v>
      </c>
      <c r="U509" s="217" t="s">
        <v>85</v>
      </c>
      <c r="V509" s="217" t="s">
        <v>94</v>
      </c>
      <c r="W509" s="217" t="s">
        <v>95</v>
      </c>
    </row>
    <row r="510" spans="1:23" x14ac:dyDescent="0.25">
      <c r="A510" s="217" t="s">
        <v>22</v>
      </c>
      <c r="B510" s="217" t="s">
        <v>23</v>
      </c>
      <c r="C510" s="217" t="s">
        <v>85</v>
      </c>
      <c r="D510" s="217" t="s">
        <v>84</v>
      </c>
      <c r="E510" s="217" t="s">
        <v>98</v>
      </c>
      <c r="F510" s="217" t="s">
        <v>97</v>
      </c>
      <c r="G510" s="217" t="s">
        <v>401</v>
      </c>
      <c r="H510" s="217" t="s">
        <v>1184</v>
      </c>
      <c r="I510" s="217" t="s">
        <v>29</v>
      </c>
      <c r="J510" s="217" t="s">
        <v>1856</v>
      </c>
      <c r="K510" s="217">
        <v>6</v>
      </c>
      <c r="L510" s="217">
        <v>32</v>
      </c>
      <c r="M510" s="217" t="s">
        <v>31</v>
      </c>
      <c r="N510" s="217" t="s">
        <v>32</v>
      </c>
      <c r="O510" s="217" t="s">
        <v>68</v>
      </c>
      <c r="P510" s="217" t="s">
        <v>34</v>
      </c>
      <c r="Q510" s="217" t="s">
        <v>35</v>
      </c>
      <c r="R510" s="217" t="s">
        <v>23</v>
      </c>
      <c r="S510" s="217" t="s">
        <v>22</v>
      </c>
      <c r="T510" s="217" t="s">
        <v>84</v>
      </c>
      <c r="U510" s="217" t="s">
        <v>85</v>
      </c>
      <c r="V510" s="217" t="s">
        <v>91</v>
      </c>
      <c r="W510" s="217" t="s">
        <v>92</v>
      </c>
    </row>
    <row r="511" spans="1:23" x14ac:dyDescent="0.25">
      <c r="A511" s="217" t="s">
        <v>22</v>
      </c>
      <c r="B511" s="217" t="s">
        <v>23</v>
      </c>
      <c r="C511" s="217" t="s">
        <v>85</v>
      </c>
      <c r="D511" s="217" t="s">
        <v>84</v>
      </c>
      <c r="E511" s="217" t="s">
        <v>98</v>
      </c>
      <c r="F511" s="217" t="s">
        <v>97</v>
      </c>
      <c r="G511" s="217" t="s">
        <v>164</v>
      </c>
      <c r="H511" s="217" t="s">
        <v>1185</v>
      </c>
      <c r="I511" s="217" t="s">
        <v>29</v>
      </c>
      <c r="J511" s="217" t="s">
        <v>1856</v>
      </c>
      <c r="K511" s="217">
        <v>7</v>
      </c>
      <c r="L511" s="217">
        <v>26</v>
      </c>
      <c r="M511" s="217" t="s">
        <v>31</v>
      </c>
      <c r="N511" s="217" t="s">
        <v>32</v>
      </c>
      <c r="O511" s="217" t="s">
        <v>68</v>
      </c>
      <c r="P511" s="217" t="s">
        <v>34</v>
      </c>
      <c r="Q511" s="217" t="s">
        <v>35</v>
      </c>
      <c r="R511" s="217" t="s">
        <v>23</v>
      </c>
      <c r="S511" s="217" t="s">
        <v>22</v>
      </c>
      <c r="T511" s="217" t="s">
        <v>84</v>
      </c>
      <c r="U511" s="217" t="s">
        <v>85</v>
      </c>
      <c r="V511" s="217" t="s">
        <v>91</v>
      </c>
      <c r="W511" s="217" t="s">
        <v>92</v>
      </c>
    </row>
    <row r="512" spans="1:23" x14ac:dyDescent="0.25">
      <c r="A512" s="217" t="s">
        <v>22</v>
      </c>
      <c r="B512" s="217" t="s">
        <v>23</v>
      </c>
      <c r="C512" s="217" t="s">
        <v>85</v>
      </c>
      <c r="D512" s="217" t="s">
        <v>84</v>
      </c>
      <c r="E512" s="217" t="s">
        <v>98</v>
      </c>
      <c r="F512" s="217" t="s">
        <v>97</v>
      </c>
      <c r="G512" s="217" t="s">
        <v>823</v>
      </c>
      <c r="H512" s="217" t="s">
        <v>1186</v>
      </c>
      <c r="I512" s="217" t="s">
        <v>29</v>
      </c>
      <c r="J512" s="217" t="s">
        <v>1856</v>
      </c>
      <c r="K512" s="217">
        <v>5</v>
      </c>
      <c r="L512" s="217">
        <v>37</v>
      </c>
      <c r="M512" s="217" t="s">
        <v>31</v>
      </c>
      <c r="N512" s="217" t="s">
        <v>32</v>
      </c>
      <c r="O512" s="217" t="s">
        <v>100</v>
      </c>
      <c r="P512" s="217" t="s">
        <v>34</v>
      </c>
      <c r="Q512" s="217" t="s">
        <v>35</v>
      </c>
      <c r="R512" s="217" t="s">
        <v>23</v>
      </c>
      <c r="S512" s="217" t="s">
        <v>22</v>
      </c>
      <c r="T512" s="217" t="s">
        <v>84</v>
      </c>
      <c r="U512" s="217" t="s">
        <v>85</v>
      </c>
      <c r="V512" s="217" t="s">
        <v>97</v>
      </c>
      <c r="W512" s="217" t="s">
        <v>98</v>
      </c>
    </row>
    <row r="513" spans="1:23" x14ac:dyDescent="0.25">
      <c r="A513" s="217" t="s">
        <v>22</v>
      </c>
      <c r="B513" s="217" t="s">
        <v>23</v>
      </c>
      <c r="C513" s="217" t="s">
        <v>85</v>
      </c>
      <c r="D513" s="217" t="s">
        <v>84</v>
      </c>
      <c r="E513" s="217" t="s">
        <v>98</v>
      </c>
      <c r="F513" s="217" t="s">
        <v>97</v>
      </c>
      <c r="G513" s="217" t="s">
        <v>823</v>
      </c>
      <c r="H513" s="217" t="s">
        <v>1186</v>
      </c>
      <c r="I513" s="217" t="s">
        <v>29</v>
      </c>
      <c r="J513" s="217" t="s">
        <v>1858</v>
      </c>
      <c r="K513" s="217">
        <v>3</v>
      </c>
      <c r="L513" s="217">
        <v>10</v>
      </c>
      <c r="M513" s="217" t="s">
        <v>31</v>
      </c>
      <c r="N513" s="217" t="s">
        <v>32</v>
      </c>
      <c r="O513" s="217" t="s">
        <v>100</v>
      </c>
      <c r="P513" s="217" t="s">
        <v>34</v>
      </c>
      <c r="Q513" s="217" t="s">
        <v>35</v>
      </c>
      <c r="R513" s="217" t="s">
        <v>23</v>
      </c>
      <c r="S513" s="217" t="s">
        <v>22</v>
      </c>
      <c r="T513" s="217" t="s">
        <v>84</v>
      </c>
      <c r="U513" s="217" t="s">
        <v>85</v>
      </c>
      <c r="V513" s="217" t="s">
        <v>97</v>
      </c>
      <c r="W513" s="217" t="s">
        <v>98</v>
      </c>
    </row>
    <row r="514" spans="1:23" x14ac:dyDescent="0.25">
      <c r="A514" s="217" t="s">
        <v>22</v>
      </c>
      <c r="B514" s="217" t="s">
        <v>23</v>
      </c>
      <c r="C514" s="217" t="s">
        <v>85</v>
      </c>
      <c r="D514" s="217" t="s">
        <v>84</v>
      </c>
      <c r="E514" s="217" t="s">
        <v>98</v>
      </c>
      <c r="F514" s="217" t="s">
        <v>97</v>
      </c>
      <c r="G514" s="217" t="s">
        <v>402</v>
      </c>
      <c r="H514" s="217" t="s">
        <v>1187</v>
      </c>
      <c r="I514" s="217" t="s">
        <v>29</v>
      </c>
      <c r="J514" s="217" t="s">
        <v>1856</v>
      </c>
      <c r="K514" s="217">
        <v>6</v>
      </c>
      <c r="L514" s="217">
        <v>51</v>
      </c>
      <c r="M514" s="217" t="s">
        <v>31</v>
      </c>
      <c r="N514" s="217" t="s">
        <v>32</v>
      </c>
      <c r="O514" s="217" t="s">
        <v>100</v>
      </c>
      <c r="P514" s="217" t="s">
        <v>34</v>
      </c>
      <c r="Q514" s="217" t="s">
        <v>35</v>
      </c>
      <c r="R514" s="217" t="s">
        <v>23</v>
      </c>
      <c r="S514" s="217" t="s">
        <v>22</v>
      </c>
      <c r="T514" s="217" t="s">
        <v>84</v>
      </c>
      <c r="U514" s="217" t="s">
        <v>85</v>
      </c>
      <c r="V514" s="217" t="s">
        <v>97</v>
      </c>
      <c r="W514" s="217" t="s">
        <v>98</v>
      </c>
    </row>
    <row r="515" spans="1:23" x14ac:dyDescent="0.25">
      <c r="A515" s="217" t="s">
        <v>22</v>
      </c>
      <c r="B515" s="217" t="s">
        <v>23</v>
      </c>
      <c r="C515" s="217" t="s">
        <v>85</v>
      </c>
      <c r="D515" s="217" t="s">
        <v>84</v>
      </c>
      <c r="E515" s="217" t="s">
        <v>98</v>
      </c>
      <c r="F515" s="217" t="s">
        <v>97</v>
      </c>
      <c r="G515" s="217" t="s">
        <v>403</v>
      </c>
      <c r="H515" s="217" t="s">
        <v>1188</v>
      </c>
      <c r="I515" s="217" t="s">
        <v>29</v>
      </c>
      <c r="J515" s="217" t="s">
        <v>1856</v>
      </c>
      <c r="K515" s="217">
        <v>4</v>
      </c>
      <c r="L515" s="217">
        <v>18</v>
      </c>
      <c r="M515" s="217" t="s">
        <v>31</v>
      </c>
      <c r="N515" s="217" t="s">
        <v>32</v>
      </c>
      <c r="O515" s="217" t="s">
        <v>68</v>
      </c>
      <c r="P515" s="217" t="s">
        <v>34</v>
      </c>
      <c r="Q515" s="217" t="s">
        <v>35</v>
      </c>
      <c r="R515" s="217" t="s">
        <v>23</v>
      </c>
      <c r="S515" s="217" t="s">
        <v>22</v>
      </c>
      <c r="T515" s="217" t="s">
        <v>84</v>
      </c>
      <c r="U515" s="217" t="s">
        <v>85</v>
      </c>
      <c r="V515" s="217" t="s">
        <v>91</v>
      </c>
      <c r="W515" s="217" t="s">
        <v>92</v>
      </c>
    </row>
    <row r="516" spans="1:23" x14ac:dyDescent="0.25">
      <c r="A516" s="217" t="s">
        <v>22</v>
      </c>
      <c r="B516" s="217" t="s">
        <v>23</v>
      </c>
      <c r="C516" s="217" t="s">
        <v>85</v>
      </c>
      <c r="D516" s="217" t="s">
        <v>84</v>
      </c>
      <c r="E516" s="217" t="s">
        <v>98</v>
      </c>
      <c r="F516" s="217" t="s">
        <v>97</v>
      </c>
      <c r="G516" s="217" t="s">
        <v>403</v>
      </c>
      <c r="H516" s="217" t="s">
        <v>1188</v>
      </c>
      <c r="I516" s="217" t="s">
        <v>29</v>
      </c>
      <c r="J516" s="217" t="s">
        <v>1857</v>
      </c>
      <c r="K516" s="217">
        <v>2</v>
      </c>
      <c r="L516" s="217">
        <v>14</v>
      </c>
      <c r="M516" s="217" t="s">
        <v>31</v>
      </c>
      <c r="N516" s="217" t="s">
        <v>32</v>
      </c>
      <c r="O516" s="217" t="s">
        <v>68</v>
      </c>
      <c r="P516" s="217" t="s">
        <v>34</v>
      </c>
      <c r="Q516" s="217" t="s">
        <v>35</v>
      </c>
      <c r="R516" s="217" t="s">
        <v>23</v>
      </c>
      <c r="S516" s="217" t="s">
        <v>22</v>
      </c>
      <c r="T516" s="217" t="s">
        <v>84</v>
      </c>
      <c r="U516" s="217" t="s">
        <v>85</v>
      </c>
      <c r="V516" s="217" t="s">
        <v>91</v>
      </c>
      <c r="W516" s="217" t="s">
        <v>92</v>
      </c>
    </row>
    <row r="517" spans="1:23" x14ac:dyDescent="0.25">
      <c r="A517" s="217" t="s">
        <v>22</v>
      </c>
      <c r="B517" s="217" t="s">
        <v>23</v>
      </c>
      <c r="C517" s="217" t="s">
        <v>85</v>
      </c>
      <c r="D517" s="217" t="s">
        <v>84</v>
      </c>
      <c r="E517" s="217" t="s">
        <v>98</v>
      </c>
      <c r="F517" s="217" t="s">
        <v>97</v>
      </c>
      <c r="G517" s="217" t="s">
        <v>403</v>
      </c>
      <c r="H517" s="217" t="s">
        <v>1188</v>
      </c>
      <c r="I517" s="217" t="s">
        <v>29</v>
      </c>
      <c r="J517" s="217" t="s">
        <v>1858</v>
      </c>
      <c r="K517" s="217">
        <v>2</v>
      </c>
      <c r="L517" s="217">
        <v>15</v>
      </c>
      <c r="M517" s="217" t="s">
        <v>31</v>
      </c>
      <c r="N517" s="217" t="s">
        <v>32</v>
      </c>
      <c r="O517" s="217" t="s">
        <v>68</v>
      </c>
      <c r="P517" s="217" t="s">
        <v>34</v>
      </c>
      <c r="Q517" s="217" t="s">
        <v>35</v>
      </c>
      <c r="R517" s="217" t="s">
        <v>23</v>
      </c>
      <c r="S517" s="217" t="s">
        <v>22</v>
      </c>
      <c r="T517" s="217" t="s">
        <v>84</v>
      </c>
      <c r="U517" s="217" t="s">
        <v>85</v>
      </c>
      <c r="V517" s="217" t="s">
        <v>109</v>
      </c>
      <c r="W517" s="217" t="s">
        <v>110</v>
      </c>
    </row>
    <row r="518" spans="1:23" x14ac:dyDescent="0.25">
      <c r="A518" s="217" t="s">
        <v>22</v>
      </c>
      <c r="B518" s="217" t="s">
        <v>23</v>
      </c>
      <c r="C518" s="217" t="s">
        <v>85</v>
      </c>
      <c r="D518" s="217" t="s">
        <v>84</v>
      </c>
      <c r="E518" s="217" t="s">
        <v>98</v>
      </c>
      <c r="F518" s="217" t="s">
        <v>97</v>
      </c>
      <c r="G518" s="217" t="s">
        <v>1189</v>
      </c>
      <c r="H518" s="217" t="s">
        <v>1190</v>
      </c>
      <c r="I518" s="217" t="s">
        <v>29</v>
      </c>
      <c r="J518" s="217" t="s">
        <v>1858</v>
      </c>
      <c r="K518" s="217">
        <v>35</v>
      </c>
      <c r="L518" s="217">
        <v>175</v>
      </c>
      <c r="M518" s="217" t="s">
        <v>31</v>
      </c>
      <c r="N518" s="217" t="s">
        <v>32</v>
      </c>
      <c r="O518" s="217" t="s">
        <v>68</v>
      </c>
      <c r="P518" s="217" t="s">
        <v>34</v>
      </c>
      <c r="Q518" s="217" t="s">
        <v>35</v>
      </c>
      <c r="R518" s="217" t="s">
        <v>23</v>
      </c>
      <c r="S518" s="217" t="s">
        <v>22</v>
      </c>
      <c r="T518" s="217" t="s">
        <v>84</v>
      </c>
      <c r="U518" s="217" t="s">
        <v>85</v>
      </c>
      <c r="V518" s="217" t="s">
        <v>91</v>
      </c>
      <c r="W518" s="217" t="s">
        <v>92</v>
      </c>
    </row>
    <row r="519" spans="1:23" x14ac:dyDescent="0.25">
      <c r="A519" s="217" t="s">
        <v>22</v>
      </c>
      <c r="B519" s="217" t="s">
        <v>23</v>
      </c>
      <c r="C519" s="217" t="s">
        <v>85</v>
      </c>
      <c r="D519" s="217" t="s">
        <v>84</v>
      </c>
      <c r="E519" s="217" t="s">
        <v>98</v>
      </c>
      <c r="F519" s="217" t="s">
        <v>97</v>
      </c>
      <c r="G519" s="217" t="s">
        <v>404</v>
      </c>
      <c r="H519" s="217" t="s">
        <v>1191</v>
      </c>
      <c r="I519" s="217" t="s">
        <v>29</v>
      </c>
      <c r="J519" s="217" t="s">
        <v>1855</v>
      </c>
      <c r="K519" s="217">
        <v>1</v>
      </c>
      <c r="L519" s="217">
        <v>7</v>
      </c>
      <c r="M519" s="217" t="s">
        <v>31</v>
      </c>
      <c r="N519" s="217" t="s">
        <v>32</v>
      </c>
      <c r="O519" s="217" t="s">
        <v>68</v>
      </c>
      <c r="P519" s="217" t="s">
        <v>34</v>
      </c>
      <c r="Q519" s="217" t="s">
        <v>35</v>
      </c>
      <c r="R519" s="217" t="s">
        <v>23</v>
      </c>
      <c r="S519" s="217" t="s">
        <v>22</v>
      </c>
      <c r="T519" s="217" t="s">
        <v>84</v>
      </c>
      <c r="U519" s="217" t="s">
        <v>85</v>
      </c>
      <c r="V519" s="217" t="s">
        <v>91</v>
      </c>
      <c r="W519" s="217" t="s">
        <v>92</v>
      </c>
    </row>
    <row r="520" spans="1:23" x14ac:dyDescent="0.25">
      <c r="A520" s="217" t="s">
        <v>22</v>
      </c>
      <c r="B520" s="217" t="s">
        <v>23</v>
      </c>
      <c r="C520" s="217" t="s">
        <v>85</v>
      </c>
      <c r="D520" s="217" t="s">
        <v>84</v>
      </c>
      <c r="E520" s="217" t="s">
        <v>98</v>
      </c>
      <c r="F520" s="217" t="s">
        <v>97</v>
      </c>
      <c r="G520" s="217" t="s">
        <v>825</v>
      </c>
      <c r="H520" s="217" t="s">
        <v>1192</v>
      </c>
      <c r="I520" s="217" t="s">
        <v>29</v>
      </c>
      <c r="J520" s="217" t="s">
        <v>1856</v>
      </c>
      <c r="K520" s="217">
        <v>36</v>
      </c>
      <c r="L520" s="217">
        <v>298</v>
      </c>
      <c r="M520" s="217" t="s">
        <v>31</v>
      </c>
      <c r="N520" s="217" t="s">
        <v>32</v>
      </c>
      <c r="O520" s="217" t="s">
        <v>100</v>
      </c>
      <c r="P520" s="217" t="s">
        <v>34</v>
      </c>
      <c r="Q520" s="217" t="s">
        <v>35</v>
      </c>
      <c r="R520" s="217" t="s">
        <v>23</v>
      </c>
      <c r="S520" s="217" t="s">
        <v>22</v>
      </c>
      <c r="T520" s="217" t="s">
        <v>84</v>
      </c>
      <c r="U520" s="217" t="s">
        <v>85</v>
      </c>
      <c r="V520" s="217" t="s">
        <v>97</v>
      </c>
      <c r="W520" s="217" t="s">
        <v>98</v>
      </c>
    </row>
    <row r="521" spans="1:23" x14ac:dyDescent="0.25">
      <c r="A521" s="217" t="s">
        <v>22</v>
      </c>
      <c r="B521" s="217" t="s">
        <v>23</v>
      </c>
      <c r="C521" s="217" t="s">
        <v>85</v>
      </c>
      <c r="D521" s="217" t="s">
        <v>84</v>
      </c>
      <c r="E521" s="217" t="s">
        <v>98</v>
      </c>
      <c r="F521" s="217" t="s">
        <v>97</v>
      </c>
      <c r="G521" s="217" t="s">
        <v>826</v>
      </c>
      <c r="H521" s="217" t="s">
        <v>1193</v>
      </c>
      <c r="I521" s="217" t="s">
        <v>29</v>
      </c>
      <c r="J521" s="217" t="s">
        <v>1857</v>
      </c>
      <c r="K521" s="217">
        <v>7</v>
      </c>
      <c r="L521" s="217">
        <v>60</v>
      </c>
      <c r="M521" s="217" t="s">
        <v>31</v>
      </c>
      <c r="N521" s="217" t="s">
        <v>32</v>
      </c>
      <c r="O521" s="217" t="s">
        <v>100</v>
      </c>
      <c r="P521" s="217" t="s">
        <v>34</v>
      </c>
      <c r="Q521" s="217" t="s">
        <v>35</v>
      </c>
      <c r="R521" s="217" t="s">
        <v>23</v>
      </c>
      <c r="S521" s="217" t="s">
        <v>22</v>
      </c>
      <c r="T521" s="217" t="s">
        <v>84</v>
      </c>
      <c r="U521" s="217" t="s">
        <v>85</v>
      </c>
      <c r="V521" s="217" t="s">
        <v>97</v>
      </c>
      <c r="W521" s="217" t="s">
        <v>98</v>
      </c>
    </row>
    <row r="522" spans="1:23" x14ac:dyDescent="0.25">
      <c r="A522" s="217" t="s">
        <v>22</v>
      </c>
      <c r="B522" s="217" t="s">
        <v>23</v>
      </c>
      <c r="C522" s="217" t="s">
        <v>85</v>
      </c>
      <c r="D522" s="217" t="s">
        <v>84</v>
      </c>
      <c r="E522" s="217" t="s">
        <v>98</v>
      </c>
      <c r="F522" s="217" t="s">
        <v>97</v>
      </c>
      <c r="G522" s="217" t="s">
        <v>405</v>
      </c>
      <c r="H522" s="217" t="s">
        <v>1684</v>
      </c>
      <c r="I522" s="217" t="s">
        <v>29</v>
      </c>
      <c r="J522" s="217" t="s">
        <v>1856</v>
      </c>
      <c r="K522" s="217">
        <v>10</v>
      </c>
      <c r="L522" s="217">
        <v>55</v>
      </c>
      <c r="M522" s="217" t="s">
        <v>31</v>
      </c>
      <c r="N522" s="217" t="s">
        <v>32</v>
      </c>
      <c r="O522" s="217" t="s">
        <v>100</v>
      </c>
      <c r="P522" s="217" t="s">
        <v>34</v>
      </c>
      <c r="Q522" s="217" t="s">
        <v>35</v>
      </c>
      <c r="R522" s="217" t="s">
        <v>23</v>
      </c>
      <c r="S522" s="217" t="s">
        <v>22</v>
      </c>
      <c r="T522" s="217" t="s">
        <v>84</v>
      </c>
      <c r="U522" s="217" t="s">
        <v>85</v>
      </c>
      <c r="V522" s="217" t="s">
        <v>97</v>
      </c>
      <c r="W522" s="217" t="s">
        <v>98</v>
      </c>
    </row>
    <row r="523" spans="1:23" x14ac:dyDescent="0.25">
      <c r="A523" s="217" t="s">
        <v>22</v>
      </c>
      <c r="B523" s="217" t="s">
        <v>23</v>
      </c>
      <c r="C523" s="217" t="s">
        <v>85</v>
      </c>
      <c r="D523" s="217" t="s">
        <v>84</v>
      </c>
      <c r="E523" s="217" t="s">
        <v>98</v>
      </c>
      <c r="F523" s="217" t="s">
        <v>97</v>
      </c>
      <c r="G523" s="217" t="s">
        <v>405</v>
      </c>
      <c r="H523" s="217" t="s">
        <v>1684</v>
      </c>
      <c r="I523" s="217" t="s">
        <v>29</v>
      </c>
      <c r="J523" s="217" t="s">
        <v>1857</v>
      </c>
      <c r="K523" s="217">
        <v>3</v>
      </c>
      <c r="L523" s="217">
        <v>17</v>
      </c>
      <c r="M523" s="217" t="s">
        <v>31</v>
      </c>
      <c r="N523" s="217" t="s">
        <v>32</v>
      </c>
      <c r="O523" s="217" t="s">
        <v>100</v>
      </c>
      <c r="P523" s="217" t="s">
        <v>34</v>
      </c>
      <c r="Q523" s="217" t="s">
        <v>35</v>
      </c>
      <c r="R523" s="217" t="s">
        <v>23</v>
      </c>
      <c r="S523" s="217" t="s">
        <v>22</v>
      </c>
      <c r="T523" s="217" t="s">
        <v>84</v>
      </c>
      <c r="U523" s="217" t="s">
        <v>85</v>
      </c>
      <c r="V523" s="217" t="s">
        <v>97</v>
      </c>
      <c r="W523" s="217" t="s">
        <v>98</v>
      </c>
    </row>
    <row r="524" spans="1:23" x14ac:dyDescent="0.25">
      <c r="A524" s="217" t="s">
        <v>22</v>
      </c>
      <c r="B524" s="217" t="s">
        <v>23</v>
      </c>
      <c r="C524" s="217" t="s">
        <v>85</v>
      </c>
      <c r="D524" s="217" t="s">
        <v>84</v>
      </c>
      <c r="E524" s="217" t="s">
        <v>98</v>
      </c>
      <c r="F524" s="217" t="s">
        <v>97</v>
      </c>
      <c r="G524" s="217" t="s">
        <v>406</v>
      </c>
      <c r="H524" s="217" t="s">
        <v>1194</v>
      </c>
      <c r="I524" s="217" t="s">
        <v>29</v>
      </c>
      <c r="J524" s="217" t="s">
        <v>1856</v>
      </c>
      <c r="K524" s="217">
        <v>5</v>
      </c>
      <c r="L524" s="217">
        <v>42</v>
      </c>
      <c r="M524" s="217" t="s">
        <v>31</v>
      </c>
      <c r="N524" s="217" t="s">
        <v>32</v>
      </c>
      <c r="O524" s="217" t="s">
        <v>100</v>
      </c>
      <c r="P524" s="217" t="s">
        <v>34</v>
      </c>
      <c r="Q524" s="217" t="s">
        <v>35</v>
      </c>
      <c r="R524" s="217" t="s">
        <v>23</v>
      </c>
      <c r="S524" s="217" t="s">
        <v>22</v>
      </c>
      <c r="T524" s="217" t="s">
        <v>84</v>
      </c>
      <c r="U524" s="217" t="s">
        <v>85</v>
      </c>
      <c r="V524" s="217" t="s">
        <v>97</v>
      </c>
      <c r="W524" s="217" t="s">
        <v>98</v>
      </c>
    </row>
    <row r="525" spans="1:23" x14ac:dyDescent="0.25">
      <c r="A525" s="217" t="s">
        <v>22</v>
      </c>
      <c r="B525" s="217" t="s">
        <v>23</v>
      </c>
      <c r="C525" s="217" t="s">
        <v>85</v>
      </c>
      <c r="D525" s="217" t="s">
        <v>84</v>
      </c>
      <c r="E525" s="217" t="s">
        <v>98</v>
      </c>
      <c r="F525" s="217" t="s">
        <v>97</v>
      </c>
      <c r="G525" s="217" t="s">
        <v>406</v>
      </c>
      <c r="H525" s="217" t="s">
        <v>1194</v>
      </c>
      <c r="I525" s="217" t="s">
        <v>29</v>
      </c>
      <c r="J525" s="217" t="s">
        <v>1857</v>
      </c>
      <c r="K525" s="217">
        <v>11</v>
      </c>
      <c r="L525" s="217">
        <v>59</v>
      </c>
      <c r="M525" s="217" t="s">
        <v>31</v>
      </c>
      <c r="N525" s="217" t="s">
        <v>32</v>
      </c>
      <c r="O525" s="217" t="s">
        <v>100</v>
      </c>
      <c r="P525" s="217" t="s">
        <v>34</v>
      </c>
      <c r="Q525" s="217" t="s">
        <v>35</v>
      </c>
      <c r="R525" s="217" t="s">
        <v>23</v>
      </c>
      <c r="S525" s="217" t="s">
        <v>22</v>
      </c>
      <c r="T525" s="217" t="s">
        <v>84</v>
      </c>
      <c r="U525" s="217" t="s">
        <v>85</v>
      </c>
      <c r="V525" s="217" t="s">
        <v>97</v>
      </c>
      <c r="W525" s="217" t="s">
        <v>98</v>
      </c>
    </row>
    <row r="526" spans="1:23" x14ac:dyDescent="0.25">
      <c r="A526" s="217" t="s">
        <v>22</v>
      </c>
      <c r="B526" s="217" t="s">
        <v>23</v>
      </c>
      <c r="C526" s="217" t="s">
        <v>85</v>
      </c>
      <c r="D526" s="217" t="s">
        <v>84</v>
      </c>
      <c r="E526" s="217" t="s">
        <v>98</v>
      </c>
      <c r="F526" s="217" t="s">
        <v>97</v>
      </c>
      <c r="G526" s="217" t="s">
        <v>406</v>
      </c>
      <c r="H526" s="217" t="s">
        <v>1194</v>
      </c>
      <c r="I526" s="217" t="s">
        <v>29</v>
      </c>
      <c r="J526" s="217" t="s">
        <v>1858</v>
      </c>
      <c r="K526" s="217">
        <v>18</v>
      </c>
      <c r="L526" s="217">
        <v>101</v>
      </c>
      <c r="M526" s="217" t="s">
        <v>31</v>
      </c>
      <c r="N526" s="217" t="s">
        <v>32</v>
      </c>
      <c r="O526" s="217" t="s">
        <v>100</v>
      </c>
      <c r="P526" s="217" t="s">
        <v>34</v>
      </c>
      <c r="Q526" s="217" t="s">
        <v>35</v>
      </c>
      <c r="R526" s="217" t="s">
        <v>23</v>
      </c>
      <c r="S526" s="217" t="s">
        <v>22</v>
      </c>
      <c r="T526" s="217" t="s">
        <v>84</v>
      </c>
      <c r="U526" s="217" t="s">
        <v>85</v>
      </c>
      <c r="V526" s="217" t="s">
        <v>97</v>
      </c>
      <c r="W526" s="217" t="s">
        <v>98</v>
      </c>
    </row>
    <row r="527" spans="1:23" x14ac:dyDescent="0.25">
      <c r="A527" s="217" t="s">
        <v>22</v>
      </c>
      <c r="B527" s="217" t="s">
        <v>23</v>
      </c>
      <c r="C527" s="217" t="s">
        <v>85</v>
      </c>
      <c r="D527" s="217" t="s">
        <v>84</v>
      </c>
      <c r="E527" s="217" t="s">
        <v>98</v>
      </c>
      <c r="F527" s="217" t="s">
        <v>97</v>
      </c>
      <c r="G527" s="217" t="s">
        <v>1195</v>
      </c>
      <c r="H527" s="217" t="s">
        <v>1196</v>
      </c>
      <c r="I527" s="217" t="s">
        <v>29</v>
      </c>
      <c r="J527" s="217" t="s">
        <v>1858</v>
      </c>
      <c r="K527" s="217">
        <v>9</v>
      </c>
      <c r="L527" s="217">
        <v>27</v>
      </c>
      <c r="M527" s="217" t="s">
        <v>31</v>
      </c>
      <c r="N527" s="217" t="s">
        <v>32</v>
      </c>
      <c r="O527" s="217" t="s">
        <v>68</v>
      </c>
      <c r="P527" s="217" t="s">
        <v>34</v>
      </c>
      <c r="Q527" s="217" t="s">
        <v>35</v>
      </c>
      <c r="R527" s="217" t="s">
        <v>23</v>
      </c>
      <c r="S527" s="217" t="s">
        <v>22</v>
      </c>
      <c r="T527" s="217" t="s">
        <v>84</v>
      </c>
      <c r="U527" s="217" t="s">
        <v>85</v>
      </c>
      <c r="V527" s="217" t="s">
        <v>109</v>
      </c>
      <c r="W527" s="217" t="s">
        <v>110</v>
      </c>
    </row>
    <row r="528" spans="1:23" x14ac:dyDescent="0.25">
      <c r="A528" s="217" t="s">
        <v>22</v>
      </c>
      <c r="B528" s="217" t="s">
        <v>23</v>
      </c>
      <c r="C528" s="217" t="s">
        <v>85</v>
      </c>
      <c r="D528" s="217" t="s">
        <v>84</v>
      </c>
      <c r="E528" s="217" t="s">
        <v>98</v>
      </c>
      <c r="F528" s="217" t="s">
        <v>97</v>
      </c>
      <c r="G528" s="217" t="s">
        <v>407</v>
      </c>
      <c r="H528" s="217" t="s">
        <v>1197</v>
      </c>
      <c r="I528" s="217" t="s">
        <v>29</v>
      </c>
      <c r="J528" s="217" t="s">
        <v>1857</v>
      </c>
      <c r="K528" s="217">
        <v>4</v>
      </c>
      <c r="L528" s="217">
        <v>43</v>
      </c>
      <c r="M528" s="217" t="s">
        <v>31</v>
      </c>
      <c r="N528" s="217" t="s">
        <v>32</v>
      </c>
      <c r="O528" s="217" t="s">
        <v>100</v>
      </c>
      <c r="P528" s="217" t="s">
        <v>34</v>
      </c>
      <c r="Q528" s="217" t="s">
        <v>35</v>
      </c>
      <c r="R528" s="217" t="s">
        <v>23</v>
      </c>
      <c r="S528" s="217" t="s">
        <v>22</v>
      </c>
      <c r="T528" s="217" t="s">
        <v>84</v>
      </c>
      <c r="U528" s="217" t="s">
        <v>85</v>
      </c>
      <c r="V528" s="217" t="s">
        <v>97</v>
      </c>
      <c r="W528" s="217" t="s">
        <v>98</v>
      </c>
    </row>
    <row r="529" spans="1:23" x14ac:dyDescent="0.25">
      <c r="A529" s="217" t="s">
        <v>22</v>
      </c>
      <c r="B529" s="217" t="s">
        <v>23</v>
      </c>
      <c r="C529" s="217" t="s">
        <v>85</v>
      </c>
      <c r="D529" s="217" t="s">
        <v>84</v>
      </c>
      <c r="E529" s="217" t="s">
        <v>98</v>
      </c>
      <c r="F529" s="217" t="s">
        <v>97</v>
      </c>
      <c r="G529" s="217" t="s">
        <v>816</v>
      </c>
      <c r="H529" s="217" t="s">
        <v>1198</v>
      </c>
      <c r="I529" s="217" t="s">
        <v>29</v>
      </c>
      <c r="J529" s="217" t="s">
        <v>1856</v>
      </c>
      <c r="K529" s="217">
        <v>11</v>
      </c>
      <c r="L529" s="217">
        <v>94</v>
      </c>
      <c r="M529" s="217" t="s">
        <v>31</v>
      </c>
      <c r="N529" s="217" t="s">
        <v>32</v>
      </c>
      <c r="O529" s="217" t="s">
        <v>100</v>
      </c>
      <c r="P529" s="217" t="s">
        <v>34</v>
      </c>
      <c r="Q529" s="217" t="s">
        <v>35</v>
      </c>
      <c r="R529" s="217" t="s">
        <v>23</v>
      </c>
      <c r="S529" s="217" t="s">
        <v>22</v>
      </c>
      <c r="T529" s="217" t="s">
        <v>84</v>
      </c>
      <c r="U529" s="217" t="s">
        <v>85</v>
      </c>
      <c r="V529" s="217" t="s">
        <v>97</v>
      </c>
      <c r="W529" s="217" t="s">
        <v>98</v>
      </c>
    </row>
    <row r="530" spans="1:23" x14ac:dyDescent="0.25">
      <c r="A530" s="217" t="s">
        <v>22</v>
      </c>
      <c r="B530" s="217" t="s">
        <v>23</v>
      </c>
      <c r="C530" s="217" t="s">
        <v>85</v>
      </c>
      <c r="D530" s="217" t="s">
        <v>84</v>
      </c>
      <c r="E530" s="217" t="s">
        <v>98</v>
      </c>
      <c r="F530" s="217" t="s">
        <v>97</v>
      </c>
      <c r="G530" s="217" t="s">
        <v>408</v>
      </c>
      <c r="H530" s="217" t="s">
        <v>1199</v>
      </c>
      <c r="I530" s="217" t="s">
        <v>29</v>
      </c>
      <c r="J530" s="217" t="s">
        <v>1856</v>
      </c>
      <c r="K530" s="217">
        <v>1</v>
      </c>
      <c r="L530" s="217">
        <v>5</v>
      </c>
      <c r="M530" s="217" t="s">
        <v>31</v>
      </c>
      <c r="N530" s="217" t="s">
        <v>32</v>
      </c>
      <c r="O530" s="217" t="s">
        <v>68</v>
      </c>
      <c r="P530" s="217" t="s">
        <v>34</v>
      </c>
      <c r="Q530" s="217" t="s">
        <v>35</v>
      </c>
      <c r="R530" s="217" t="s">
        <v>23</v>
      </c>
      <c r="S530" s="217" t="s">
        <v>22</v>
      </c>
      <c r="T530" s="217" t="s">
        <v>84</v>
      </c>
      <c r="U530" s="217" t="s">
        <v>85</v>
      </c>
      <c r="V530" s="217" t="s">
        <v>91</v>
      </c>
      <c r="W530" s="217" t="s">
        <v>92</v>
      </c>
    </row>
    <row r="531" spans="1:23" x14ac:dyDescent="0.25">
      <c r="A531" s="217" t="s">
        <v>22</v>
      </c>
      <c r="B531" s="217" t="s">
        <v>23</v>
      </c>
      <c r="C531" s="217" t="s">
        <v>85</v>
      </c>
      <c r="D531" s="217" t="s">
        <v>84</v>
      </c>
      <c r="E531" s="217" t="s">
        <v>98</v>
      </c>
      <c r="F531" s="217" t="s">
        <v>97</v>
      </c>
      <c r="G531" s="217" t="s">
        <v>804</v>
      </c>
      <c r="H531" s="217" t="s">
        <v>1200</v>
      </c>
      <c r="I531" s="217" t="s">
        <v>29</v>
      </c>
      <c r="J531" s="217" t="s">
        <v>1856</v>
      </c>
      <c r="K531" s="217">
        <v>4</v>
      </c>
      <c r="L531" s="217">
        <v>36</v>
      </c>
      <c r="M531" s="217" t="s">
        <v>31</v>
      </c>
      <c r="N531" s="217" t="s">
        <v>32</v>
      </c>
      <c r="O531" s="217" t="s">
        <v>100</v>
      </c>
      <c r="P531" s="217" t="s">
        <v>34</v>
      </c>
      <c r="Q531" s="217" t="s">
        <v>35</v>
      </c>
      <c r="R531" s="217" t="s">
        <v>23</v>
      </c>
      <c r="S531" s="217" t="s">
        <v>22</v>
      </c>
      <c r="T531" s="217" t="s">
        <v>84</v>
      </c>
      <c r="U531" s="217" t="s">
        <v>85</v>
      </c>
      <c r="V531" s="217" t="s">
        <v>97</v>
      </c>
      <c r="W531" s="217" t="s">
        <v>98</v>
      </c>
    </row>
    <row r="532" spans="1:23" x14ac:dyDescent="0.25">
      <c r="A532" s="217" t="s">
        <v>22</v>
      </c>
      <c r="B532" s="217" t="s">
        <v>23</v>
      </c>
      <c r="C532" s="217" t="s">
        <v>85</v>
      </c>
      <c r="D532" s="217" t="s">
        <v>84</v>
      </c>
      <c r="E532" s="217" t="s">
        <v>98</v>
      </c>
      <c r="F532" s="217" t="s">
        <v>97</v>
      </c>
      <c r="G532" s="217" t="s">
        <v>814</v>
      </c>
      <c r="H532" s="217" t="s">
        <v>1201</v>
      </c>
      <c r="I532" s="217" t="s">
        <v>29</v>
      </c>
      <c r="J532" s="217" t="s">
        <v>1857</v>
      </c>
      <c r="K532" s="217">
        <v>13</v>
      </c>
      <c r="L532" s="217">
        <v>111</v>
      </c>
      <c r="M532" s="217" t="s">
        <v>31</v>
      </c>
      <c r="N532" s="217" t="s">
        <v>32</v>
      </c>
      <c r="O532" s="217" t="s">
        <v>100</v>
      </c>
      <c r="P532" s="217" t="s">
        <v>34</v>
      </c>
      <c r="Q532" s="217" t="s">
        <v>35</v>
      </c>
      <c r="R532" s="217" t="s">
        <v>23</v>
      </c>
      <c r="S532" s="217" t="s">
        <v>22</v>
      </c>
      <c r="T532" s="217" t="s">
        <v>84</v>
      </c>
      <c r="U532" s="217" t="s">
        <v>85</v>
      </c>
      <c r="V532" s="217" t="s">
        <v>97</v>
      </c>
      <c r="W532" s="217" t="s">
        <v>98</v>
      </c>
    </row>
    <row r="533" spans="1:23" x14ac:dyDescent="0.25">
      <c r="A533" s="217" t="s">
        <v>22</v>
      </c>
      <c r="B533" s="217" t="s">
        <v>23</v>
      </c>
      <c r="C533" s="217" t="s">
        <v>85</v>
      </c>
      <c r="D533" s="217" t="s">
        <v>84</v>
      </c>
      <c r="E533" s="217" t="s">
        <v>98</v>
      </c>
      <c r="F533" s="217" t="s">
        <v>97</v>
      </c>
      <c r="G533" s="217" t="s">
        <v>1823</v>
      </c>
      <c r="H533" s="217" t="s">
        <v>1822</v>
      </c>
      <c r="I533" s="217" t="s">
        <v>29</v>
      </c>
      <c r="J533" s="217" t="s">
        <v>1856</v>
      </c>
      <c r="K533" s="217">
        <v>8</v>
      </c>
      <c r="L533" s="217">
        <v>70</v>
      </c>
      <c r="M533" s="217" t="s">
        <v>31</v>
      </c>
      <c r="N533" s="217" t="s">
        <v>32</v>
      </c>
      <c r="O533" s="217" t="s">
        <v>68</v>
      </c>
      <c r="P533" s="217" t="s">
        <v>34</v>
      </c>
      <c r="Q533" s="217" t="s">
        <v>35</v>
      </c>
      <c r="R533" s="217" t="s">
        <v>23</v>
      </c>
      <c r="S533" s="217" t="s">
        <v>22</v>
      </c>
      <c r="T533" s="217" t="s">
        <v>84</v>
      </c>
      <c r="U533" s="217" t="s">
        <v>85</v>
      </c>
      <c r="V533" s="217" t="s">
        <v>91</v>
      </c>
      <c r="W533" s="217" t="s">
        <v>92</v>
      </c>
    </row>
    <row r="534" spans="1:23" x14ac:dyDescent="0.25">
      <c r="A534" s="217" t="s">
        <v>22</v>
      </c>
      <c r="B534" s="217" t="s">
        <v>23</v>
      </c>
      <c r="C534" s="217" t="s">
        <v>85</v>
      </c>
      <c r="D534" s="217" t="s">
        <v>84</v>
      </c>
      <c r="E534" s="217" t="s">
        <v>98</v>
      </c>
      <c r="F534" s="217" t="s">
        <v>97</v>
      </c>
      <c r="G534" s="217" t="s">
        <v>301</v>
      </c>
      <c r="H534" s="217" t="s">
        <v>1202</v>
      </c>
      <c r="I534" s="217" t="s">
        <v>29</v>
      </c>
      <c r="J534" s="217" t="s">
        <v>1858</v>
      </c>
      <c r="K534" s="217">
        <v>10</v>
      </c>
      <c r="L534" s="217">
        <v>57</v>
      </c>
      <c r="M534" s="217" t="s">
        <v>31</v>
      </c>
      <c r="N534" s="217" t="s">
        <v>32</v>
      </c>
      <c r="O534" s="217" t="s">
        <v>68</v>
      </c>
      <c r="P534" s="217" t="s">
        <v>34</v>
      </c>
      <c r="Q534" s="217" t="s">
        <v>35</v>
      </c>
      <c r="R534" s="217" t="s">
        <v>23</v>
      </c>
      <c r="S534" s="217" t="s">
        <v>22</v>
      </c>
      <c r="T534" s="217" t="s">
        <v>84</v>
      </c>
      <c r="U534" s="217" t="s">
        <v>85</v>
      </c>
      <c r="V534" s="217" t="s">
        <v>109</v>
      </c>
      <c r="W534" s="217" t="s">
        <v>110</v>
      </c>
    </row>
    <row r="535" spans="1:23" x14ac:dyDescent="0.25">
      <c r="A535" s="217" t="s">
        <v>22</v>
      </c>
      <c r="B535" s="217" t="s">
        <v>23</v>
      </c>
      <c r="C535" s="217" t="s">
        <v>85</v>
      </c>
      <c r="D535" s="217" t="s">
        <v>84</v>
      </c>
      <c r="E535" s="217" t="s">
        <v>98</v>
      </c>
      <c r="F535" s="217" t="s">
        <v>97</v>
      </c>
      <c r="G535" s="217" t="s">
        <v>818</v>
      </c>
      <c r="H535" s="217" t="s">
        <v>1203</v>
      </c>
      <c r="I535" s="217" t="s">
        <v>29</v>
      </c>
      <c r="J535" s="217" t="s">
        <v>1856</v>
      </c>
      <c r="K535" s="217">
        <v>2</v>
      </c>
      <c r="L535" s="217">
        <v>7</v>
      </c>
      <c r="M535" s="217" t="s">
        <v>31</v>
      </c>
      <c r="N535" s="217" t="s">
        <v>32</v>
      </c>
      <c r="O535" s="217" t="s">
        <v>68</v>
      </c>
      <c r="P535" s="217" t="s">
        <v>34</v>
      </c>
      <c r="Q535" s="217" t="s">
        <v>35</v>
      </c>
      <c r="R535" s="217" t="s">
        <v>23</v>
      </c>
      <c r="S535" s="217" t="s">
        <v>22</v>
      </c>
      <c r="T535" s="217" t="s">
        <v>84</v>
      </c>
      <c r="U535" s="217" t="s">
        <v>85</v>
      </c>
      <c r="V535" s="217" t="s">
        <v>91</v>
      </c>
      <c r="W535" s="217" t="s">
        <v>92</v>
      </c>
    </row>
    <row r="536" spans="1:23" x14ac:dyDescent="0.25">
      <c r="A536" s="217" t="s">
        <v>22</v>
      </c>
      <c r="B536" s="217" t="s">
        <v>23</v>
      </c>
      <c r="C536" s="217" t="s">
        <v>85</v>
      </c>
      <c r="D536" s="217" t="s">
        <v>84</v>
      </c>
      <c r="E536" s="217" t="s">
        <v>98</v>
      </c>
      <c r="F536" s="217" t="s">
        <v>97</v>
      </c>
      <c r="G536" s="217" t="s">
        <v>818</v>
      </c>
      <c r="H536" s="217" t="s">
        <v>1203</v>
      </c>
      <c r="I536" s="217" t="s">
        <v>29</v>
      </c>
      <c r="J536" s="217" t="s">
        <v>1857</v>
      </c>
      <c r="K536" s="217">
        <v>2</v>
      </c>
      <c r="L536" s="217">
        <v>8</v>
      </c>
      <c r="M536" s="217" t="s">
        <v>31</v>
      </c>
      <c r="N536" s="217" t="s">
        <v>32</v>
      </c>
      <c r="O536" s="217" t="s">
        <v>68</v>
      </c>
      <c r="P536" s="217" t="s">
        <v>34</v>
      </c>
      <c r="Q536" s="217" t="s">
        <v>35</v>
      </c>
      <c r="R536" s="217" t="s">
        <v>23</v>
      </c>
      <c r="S536" s="217" t="s">
        <v>22</v>
      </c>
      <c r="T536" s="217" t="s">
        <v>84</v>
      </c>
      <c r="U536" s="217" t="s">
        <v>85</v>
      </c>
      <c r="V536" s="217" t="s">
        <v>91</v>
      </c>
      <c r="W536" s="217" t="s">
        <v>92</v>
      </c>
    </row>
    <row r="537" spans="1:23" x14ac:dyDescent="0.25">
      <c r="A537" s="217" t="s">
        <v>22</v>
      </c>
      <c r="B537" s="217" t="s">
        <v>23</v>
      </c>
      <c r="C537" s="217" t="s">
        <v>85</v>
      </c>
      <c r="D537" s="217" t="s">
        <v>84</v>
      </c>
      <c r="E537" s="217" t="s">
        <v>98</v>
      </c>
      <c r="F537" s="217" t="s">
        <v>97</v>
      </c>
      <c r="G537" s="217" t="s">
        <v>701</v>
      </c>
      <c r="H537" s="217" t="s">
        <v>1204</v>
      </c>
      <c r="I537" s="217" t="s">
        <v>29</v>
      </c>
      <c r="J537" s="217" t="s">
        <v>1858</v>
      </c>
      <c r="K537" s="217">
        <v>7</v>
      </c>
      <c r="L537" s="217">
        <v>60</v>
      </c>
      <c r="M537" s="217" t="s">
        <v>31</v>
      </c>
      <c r="N537" s="217" t="s">
        <v>32</v>
      </c>
      <c r="O537" s="217" t="s">
        <v>100</v>
      </c>
      <c r="P537" s="217" t="s">
        <v>34</v>
      </c>
      <c r="Q537" s="217" t="s">
        <v>35</v>
      </c>
      <c r="R537" s="217" t="s">
        <v>23</v>
      </c>
      <c r="S537" s="217" t="s">
        <v>22</v>
      </c>
      <c r="T537" s="217" t="s">
        <v>84</v>
      </c>
      <c r="U537" s="217" t="s">
        <v>85</v>
      </c>
      <c r="V537" s="217" t="s">
        <v>97</v>
      </c>
      <c r="W537" s="217" t="s">
        <v>98</v>
      </c>
    </row>
    <row r="538" spans="1:23" x14ac:dyDescent="0.25">
      <c r="A538" s="217" t="s">
        <v>22</v>
      </c>
      <c r="B538" s="217" t="s">
        <v>23</v>
      </c>
      <c r="C538" s="217" t="s">
        <v>85</v>
      </c>
      <c r="D538" s="217" t="s">
        <v>84</v>
      </c>
      <c r="E538" s="217" t="s">
        <v>98</v>
      </c>
      <c r="F538" s="217" t="s">
        <v>97</v>
      </c>
      <c r="G538" s="217" t="s">
        <v>409</v>
      </c>
      <c r="H538" s="217" t="s">
        <v>1205</v>
      </c>
      <c r="I538" s="217" t="s">
        <v>29</v>
      </c>
      <c r="J538" s="217" t="s">
        <v>1856</v>
      </c>
      <c r="K538" s="217">
        <v>7</v>
      </c>
      <c r="L538" s="217">
        <v>49</v>
      </c>
      <c r="M538" s="217" t="s">
        <v>31</v>
      </c>
      <c r="N538" s="217" t="s">
        <v>32</v>
      </c>
      <c r="O538" s="217" t="s">
        <v>100</v>
      </c>
      <c r="P538" s="217" t="s">
        <v>34</v>
      </c>
      <c r="Q538" s="217" t="s">
        <v>35</v>
      </c>
      <c r="R538" s="217" t="s">
        <v>23</v>
      </c>
      <c r="S538" s="217" t="s">
        <v>22</v>
      </c>
      <c r="T538" s="217" t="s">
        <v>84</v>
      </c>
      <c r="U538" s="217" t="s">
        <v>85</v>
      </c>
      <c r="V538" s="217" t="s">
        <v>97</v>
      </c>
      <c r="W538" s="217" t="s">
        <v>98</v>
      </c>
    </row>
    <row r="539" spans="1:23" x14ac:dyDescent="0.25">
      <c r="A539" s="217" t="s">
        <v>22</v>
      </c>
      <c r="B539" s="217" t="s">
        <v>23</v>
      </c>
      <c r="C539" s="217" t="s">
        <v>85</v>
      </c>
      <c r="D539" s="217" t="s">
        <v>84</v>
      </c>
      <c r="E539" s="217" t="s">
        <v>98</v>
      </c>
      <c r="F539" s="217" t="s">
        <v>97</v>
      </c>
      <c r="G539" s="217" t="s">
        <v>409</v>
      </c>
      <c r="H539" s="217" t="s">
        <v>1205</v>
      </c>
      <c r="I539" s="217" t="s">
        <v>29</v>
      </c>
      <c r="J539" s="217" t="s">
        <v>1857</v>
      </c>
      <c r="K539" s="217">
        <v>12</v>
      </c>
      <c r="L539" s="217">
        <v>119</v>
      </c>
      <c r="M539" s="217" t="s">
        <v>31</v>
      </c>
      <c r="N539" s="217" t="s">
        <v>32</v>
      </c>
      <c r="O539" s="217" t="s">
        <v>100</v>
      </c>
      <c r="P539" s="217" t="s">
        <v>34</v>
      </c>
      <c r="Q539" s="217" t="s">
        <v>35</v>
      </c>
      <c r="R539" s="217" t="s">
        <v>23</v>
      </c>
      <c r="S539" s="217" t="s">
        <v>22</v>
      </c>
      <c r="T539" s="217" t="s">
        <v>84</v>
      </c>
      <c r="U539" s="217" t="s">
        <v>85</v>
      </c>
      <c r="V539" s="217" t="s">
        <v>97</v>
      </c>
      <c r="W539" s="217" t="s">
        <v>98</v>
      </c>
    </row>
    <row r="540" spans="1:23" x14ac:dyDescent="0.25">
      <c r="A540" s="217" t="s">
        <v>22</v>
      </c>
      <c r="B540" s="217" t="s">
        <v>23</v>
      </c>
      <c r="C540" s="217" t="s">
        <v>85</v>
      </c>
      <c r="D540" s="217" t="s">
        <v>84</v>
      </c>
      <c r="E540" s="217" t="s">
        <v>98</v>
      </c>
      <c r="F540" s="217" t="s">
        <v>97</v>
      </c>
      <c r="G540" s="217" t="s">
        <v>2137</v>
      </c>
      <c r="H540" s="217" t="s">
        <v>2138</v>
      </c>
      <c r="I540" s="217" t="s">
        <v>29</v>
      </c>
      <c r="J540" s="217" t="s">
        <v>1858</v>
      </c>
      <c r="K540" s="217">
        <v>5</v>
      </c>
      <c r="L540" s="217">
        <v>43</v>
      </c>
      <c r="M540" s="217" t="s">
        <v>31</v>
      </c>
      <c r="N540" s="217" t="s">
        <v>32</v>
      </c>
      <c r="O540" s="217" t="s">
        <v>100</v>
      </c>
      <c r="P540" s="217" t="s">
        <v>34</v>
      </c>
      <c r="Q540" s="217" t="s">
        <v>35</v>
      </c>
      <c r="R540" s="217" t="s">
        <v>23</v>
      </c>
      <c r="S540" s="217" t="s">
        <v>22</v>
      </c>
      <c r="T540" s="217" t="s">
        <v>84</v>
      </c>
      <c r="U540" s="217" t="s">
        <v>85</v>
      </c>
      <c r="V540" s="217" t="s">
        <v>97</v>
      </c>
      <c r="W540" s="217" t="s">
        <v>98</v>
      </c>
    </row>
    <row r="541" spans="1:23" x14ac:dyDescent="0.25">
      <c r="A541" s="217" t="s">
        <v>22</v>
      </c>
      <c r="B541" s="217" t="s">
        <v>23</v>
      </c>
      <c r="C541" s="217" t="s">
        <v>85</v>
      </c>
      <c r="D541" s="217" t="s">
        <v>84</v>
      </c>
      <c r="E541" s="217" t="s">
        <v>98</v>
      </c>
      <c r="F541" s="217" t="s">
        <v>97</v>
      </c>
      <c r="G541" s="217" t="s">
        <v>410</v>
      </c>
      <c r="H541" s="217" t="s">
        <v>1206</v>
      </c>
      <c r="I541" s="217" t="s">
        <v>29</v>
      </c>
      <c r="J541" s="217" t="s">
        <v>1856</v>
      </c>
      <c r="K541" s="217">
        <v>6</v>
      </c>
      <c r="L541" s="217">
        <v>25</v>
      </c>
      <c r="M541" s="217" t="s">
        <v>31</v>
      </c>
      <c r="N541" s="217" t="s">
        <v>32</v>
      </c>
      <c r="O541" s="217" t="s">
        <v>68</v>
      </c>
      <c r="P541" s="217" t="s">
        <v>34</v>
      </c>
      <c r="Q541" s="217" t="s">
        <v>35</v>
      </c>
      <c r="R541" s="217" t="s">
        <v>23</v>
      </c>
      <c r="S541" s="217" t="s">
        <v>22</v>
      </c>
      <c r="T541" s="217" t="s">
        <v>84</v>
      </c>
      <c r="U541" s="217" t="s">
        <v>85</v>
      </c>
      <c r="V541" s="217" t="s">
        <v>91</v>
      </c>
      <c r="W541" s="217" t="s">
        <v>92</v>
      </c>
    </row>
    <row r="542" spans="1:23" x14ac:dyDescent="0.25">
      <c r="A542" s="217" t="s">
        <v>22</v>
      </c>
      <c r="B542" s="217" t="s">
        <v>23</v>
      </c>
      <c r="C542" s="217" t="s">
        <v>85</v>
      </c>
      <c r="D542" s="217" t="s">
        <v>84</v>
      </c>
      <c r="E542" s="217" t="s">
        <v>98</v>
      </c>
      <c r="F542" s="217" t="s">
        <v>97</v>
      </c>
      <c r="G542" s="217" t="s">
        <v>410</v>
      </c>
      <c r="H542" s="217" t="s">
        <v>1206</v>
      </c>
      <c r="I542" s="217" t="s">
        <v>29</v>
      </c>
      <c r="J542" s="217" t="s">
        <v>1857</v>
      </c>
      <c r="K542" s="217">
        <v>4</v>
      </c>
      <c r="L542" s="217">
        <v>12</v>
      </c>
      <c r="M542" s="217" t="s">
        <v>31</v>
      </c>
      <c r="N542" s="217" t="s">
        <v>32</v>
      </c>
      <c r="O542" s="217" t="s">
        <v>68</v>
      </c>
      <c r="P542" s="217" t="s">
        <v>34</v>
      </c>
      <c r="Q542" s="217" t="s">
        <v>35</v>
      </c>
      <c r="R542" s="217" t="s">
        <v>23</v>
      </c>
      <c r="S542" s="217" t="s">
        <v>22</v>
      </c>
      <c r="T542" s="217" t="s">
        <v>84</v>
      </c>
      <c r="U542" s="217" t="s">
        <v>85</v>
      </c>
      <c r="V542" s="217" t="s">
        <v>109</v>
      </c>
      <c r="W542" s="217" t="s">
        <v>110</v>
      </c>
    </row>
    <row r="543" spans="1:23" x14ac:dyDescent="0.25">
      <c r="A543" s="217" t="s">
        <v>22</v>
      </c>
      <c r="B543" s="217" t="s">
        <v>23</v>
      </c>
      <c r="C543" s="217" t="s">
        <v>85</v>
      </c>
      <c r="D543" s="217" t="s">
        <v>84</v>
      </c>
      <c r="E543" s="217" t="s">
        <v>98</v>
      </c>
      <c r="F543" s="217" t="s">
        <v>97</v>
      </c>
      <c r="G543" s="217" t="s">
        <v>782</v>
      </c>
      <c r="H543" s="217" t="s">
        <v>1207</v>
      </c>
      <c r="I543" s="217" t="s">
        <v>29</v>
      </c>
      <c r="J543" s="217" t="s">
        <v>1857</v>
      </c>
      <c r="K543" s="217">
        <v>6</v>
      </c>
      <c r="L543" s="217">
        <v>41</v>
      </c>
      <c r="M543" s="217" t="s">
        <v>31</v>
      </c>
      <c r="N543" s="217" t="s">
        <v>32</v>
      </c>
      <c r="O543" s="217" t="s">
        <v>100</v>
      </c>
      <c r="P543" s="217" t="s">
        <v>34</v>
      </c>
      <c r="Q543" s="217" t="s">
        <v>35</v>
      </c>
      <c r="R543" s="217" t="s">
        <v>23</v>
      </c>
      <c r="S543" s="217" t="s">
        <v>22</v>
      </c>
      <c r="T543" s="217" t="s">
        <v>84</v>
      </c>
      <c r="U543" s="217" t="s">
        <v>85</v>
      </c>
      <c r="V543" s="217" t="s">
        <v>97</v>
      </c>
      <c r="W543" s="217" t="s">
        <v>98</v>
      </c>
    </row>
    <row r="544" spans="1:23" x14ac:dyDescent="0.25">
      <c r="A544" s="217" t="s">
        <v>22</v>
      </c>
      <c r="B544" s="217" t="s">
        <v>23</v>
      </c>
      <c r="C544" s="217" t="s">
        <v>85</v>
      </c>
      <c r="D544" s="217" t="s">
        <v>84</v>
      </c>
      <c r="E544" s="217" t="s">
        <v>98</v>
      </c>
      <c r="F544" s="217" t="s">
        <v>97</v>
      </c>
      <c r="G544" s="217" t="s">
        <v>782</v>
      </c>
      <c r="H544" s="217" t="s">
        <v>1207</v>
      </c>
      <c r="I544" s="217" t="s">
        <v>29</v>
      </c>
      <c r="J544" s="217" t="s">
        <v>1858</v>
      </c>
      <c r="K544" s="217">
        <v>5</v>
      </c>
      <c r="L544" s="217">
        <v>38</v>
      </c>
      <c r="M544" s="217" t="s">
        <v>31</v>
      </c>
      <c r="N544" s="217" t="s">
        <v>32</v>
      </c>
      <c r="O544" s="217" t="s">
        <v>100</v>
      </c>
      <c r="P544" s="217" t="s">
        <v>34</v>
      </c>
      <c r="Q544" s="217" t="s">
        <v>35</v>
      </c>
      <c r="R544" s="217" t="s">
        <v>23</v>
      </c>
      <c r="S544" s="217" t="s">
        <v>22</v>
      </c>
      <c r="T544" s="217" t="s">
        <v>84</v>
      </c>
      <c r="U544" s="217" t="s">
        <v>85</v>
      </c>
      <c r="V544" s="217" t="s">
        <v>97</v>
      </c>
      <c r="W544" s="217" t="s">
        <v>98</v>
      </c>
    </row>
    <row r="545" spans="1:23" x14ac:dyDescent="0.25">
      <c r="A545" s="217" t="s">
        <v>22</v>
      </c>
      <c r="B545" s="217" t="s">
        <v>23</v>
      </c>
      <c r="C545" s="217" t="s">
        <v>85</v>
      </c>
      <c r="D545" s="217" t="s">
        <v>84</v>
      </c>
      <c r="E545" s="217" t="s">
        <v>98</v>
      </c>
      <c r="F545" s="217" t="s">
        <v>97</v>
      </c>
      <c r="G545" s="217" t="s">
        <v>782</v>
      </c>
      <c r="H545" s="217" t="s">
        <v>1207</v>
      </c>
      <c r="I545" s="217" t="s">
        <v>29</v>
      </c>
      <c r="J545" s="217" t="s">
        <v>1859</v>
      </c>
      <c r="K545" s="217">
        <v>3</v>
      </c>
      <c r="L545" s="217">
        <v>25</v>
      </c>
      <c r="M545" s="217" t="s">
        <v>31</v>
      </c>
      <c r="N545" s="217" t="s">
        <v>32</v>
      </c>
      <c r="O545" s="217" t="s">
        <v>100</v>
      </c>
      <c r="P545" s="217" t="s">
        <v>34</v>
      </c>
      <c r="Q545" s="217" t="s">
        <v>35</v>
      </c>
      <c r="R545" s="217" t="s">
        <v>23</v>
      </c>
      <c r="S545" s="217" t="s">
        <v>22</v>
      </c>
      <c r="T545" s="217" t="s">
        <v>84</v>
      </c>
      <c r="U545" s="217" t="s">
        <v>85</v>
      </c>
      <c r="V545" s="217" t="s">
        <v>97</v>
      </c>
      <c r="W545" s="217" t="s">
        <v>98</v>
      </c>
    </row>
    <row r="546" spans="1:23" x14ac:dyDescent="0.25">
      <c r="A546" s="217" t="s">
        <v>22</v>
      </c>
      <c r="B546" s="217" t="s">
        <v>23</v>
      </c>
      <c r="C546" s="217" t="s">
        <v>85</v>
      </c>
      <c r="D546" s="217" t="s">
        <v>84</v>
      </c>
      <c r="E546" s="217" t="s">
        <v>98</v>
      </c>
      <c r="F546" s="217" t="s">
        <v>97</v>
      </c>
      <c r="G546" s="217" t="s">
        <v>165</v>
      </c>
      <c r="H546" s="217" t="s">
        <v>1208</v>
      </c>
      <c r="I546" s="217" t="s">
        <v>29</v>
      </c>
      <c r="J546" s="217" t="s">
        <v>1855</v>
      </c>
      <c r="K546" s="217">
        <v>4</v>
      </c>
      <c r="L546" s="217">
        <v>26</v>
      </c>
      <c r="M546" s="217" t="s">
        <v>31</v>
      </c>
      <c r="N546" s="217" t="s">
        <v>32</v>
      </c>
      <c r="O546" s="217" t="s">
        <v>68</v>
      </c>
      <c r="P546" s="217" t="s">
        <v>34</v>
      </c>
      <c r="Q546" s="217" t="s">
        <v>35</v>
      </c>
      <c r="R546" s="217" t="s">
        <v>23</v>
      </c>
      <c r="S546" s="217" t="s">
        <v>22</v>
      </c>
      <c r="T546" s="217" t="s">
        <v>84</v>
      </c>
      <c r="U546" s="217" t="s">
        <v>85</v>
      </c>
      <c r="V546" s="217" t="s">
        <v>91</v>
      </c>
      <c r="W546" s="217" t="s">
        <v>92</v>
      </c>
    </row>
    <row r="547" spans="1:23" x14ac:dyDescent="0.25">
      <c r="A547" s="217" t="s">
        <v>22</v>
      </c>
      <c r="B547" s="217" t="s">
        <v>23</v>
      </c>
      <c r="C547" s="217" t="s">
        <v>85</v>
      </c>
      <c r="D547" s="217" t="s">
        <v>84</v>
      </c>
      <c r="E547" s="217" t="s">
        <v>98</v>
      </c>
      <c r="F547" s="217" t="s">
        <v>97</v>
      </c>
      <c r="G547" s="217" t="s">
        <v>165</v>
      </c>
      <c r="H547" s="217" t="s">
        <v>1208</v>
      </c>
      <c r="I547" s="217" t="s">
        <v>29</v>
      </c>
      <c r="J547" s="217" t="s">
        <v>1856</v>
      </c>
      <c r="K547" s="217">
        <v>6</v>
      </c>
      <c r="L547" s="217">
        <v>35</v>
      </c>
      <c r="M547" s="217" t="s">
        <v>31</v>
      </c>
      <c r="N547" s="217" t="s">
        <v>32</v>
      </c>
      <c r="O547" s="217" t="s">
        <v>68</v>
      </c>
      <c r="P547" s="217" t="s">
        <v>34</v>
      </c>
      <c r="Q547" s="217" t="s">
        <v>35</v>
      </c>
      <c r="R547" s="217" t="s">
        <v>23</v>
      </c>
      <c r="S547" s="217" t="s">
        <v>22</v>
      </c>
      <c r="T547" s="217" t="s">
        <v>84</v>
      </c>
      <c r="U547" s="217" t="s">
        <v>85</v>
      </c>
      <c r="V547" s="217" t="s">
        <v>91</v>
      </c>
      <c r="W547" s="217" t="s">
        <v>92</v>
      </c>
    </row>
    <row r="548" spans="1:23" x14ac:dyDescent="0.25">
      <c r="A548" s="217" t="s">
        <v>22</v>
      </c>
      <c r="B548" s="217" t="s">
        <v>23</v>
      </c>
      <c r="C548" s="217" t="s">
        <v>85</v>
      </c>
      <c r="D548" s="217" t="s">
        <v>84</v>
      </c>
      <c r="E548" s="217" t="s">
        <v>98</v>
      </c>
      <c r="F548" s="217" t="s">
        <v>97</v>
      </c>
      <c r="G548" s="217" t="s">
        <v>411</v>
      </c>
      <c r="H548" s="217" t="s">
        <v>1209</v>
      </c>
      <c r="I548" s="217" t="s">
        <v>29</v>
      </c>
      <c r="J548" s="217" t="s">
        <v>1856</v>
      </c>
      <c r="K548" s="217">
        <v>3</v>
      </c>
      <c r="L548" s="217">
        <v>20</v>
      </c>
      <c r="M548" s="217" t="s">
        <v>31</v>
      </c>
      <c r="N548" s="217" t="s">
        <v>32</v>
      </c>
      <c r="O548" s="217" t="s">
        <v>68</v>
      </c>
      <c r="P548" s="217" t="s">
        <v>34</v>
      </c>
      <c r="Q548" s="217" t="s">
        <v>35</v>
      </c>
      <c r="R548" s="217" t="s">
        <v>23</v>
      </c>
      <c r="S548" s="217" t="s">
        <v>22</v>
      </c>
      <c r="T548" s="217" t="s">
        <v>84</v>
      </c>
      <c r="U548" s="217" t="s">
        <v>85</v>
      </c>
      <c r="V548" s="217" t="s">
        <v>91</v>
      </c>
      <c r="W548" s="217" t="s">
        <v>92</v>
      </c>
    </row>
    <row r="549" spans="1:23" x14ac:dyDescent="0.25">
      <c r="A549" s="217" t="s">
        <v>22</v>
      </c>
      <c r="B549" s="217" t="s">
        <v>23</v>
      </c>
      <c r="C549" s="217" t="s">
        <v>85</v>
      </c>
      <c r="D549" s="217" t="s">
        <v>84</v>
      </c>
      <c r="E549" s="217" t="s">
        <v>98</v>
      </c>
      <c r="F549" s="217" t="s">
        <v>97</v>
      </c>
      <c r="G549" s="217" t="s">
        <v>412</v>
      </c>
      <c r="H549" s="217" t="s">
        <v>1210</v>
      </c>
      <c r="I549" s="217" t="s">
        <v>29</v>
      </c>
      <c r="J549" s="217" t="s">
        <v>1855</v>
      </c>
      <c r="K549" s="217">
        <v>23</v>
      </c>
      <c r="L549" s="217">
        <v>77</v>
      </c>
      <c r="M549" s="217" t="s">
        <v>31</v>
      </c>
      <c r="N549" s="217" t="s">
        <v>32</v>
      </c>
      <c r="O549" s="217" t="s">
        <v>68</v>
      </c>
      <c r="P549" s="217" t="s">
        <v>34</v>
      </c>
      <c r="Q549" s="217" t="s">
        <v>35</v>
      </c>
      <c r="R549" s="217" t="s">
        <v>23</v>
      </c>
      <c r="S549" s="217" t="s">
        <v>22</v>
      </c>
      <c r="T549" s="217" t="s">
        <v>84</v>
      </c>
      <c r="U549" s="217" t="s">
        <v>85</v>
      </c>
      <c r="V549" s="217" t="s">
        <v>91</v>
      </c>
      <c r="W549" s="217" t="s">
        <v>92</v>
      </c>
    </row>
    <row r="550" spans="1:23" x14ac:dyDescent="0.25">
      <c r="A550" s="217" t="s">
        <v>22</v>
      </c>
      <c r="B550" s="217" t="s">
        <v>23</v>
      </c>
      <c r="C550" s="217" t="s">
        <v>85</v>
      </c>
      <c r="D550" s="217" t="s">
        <v>84</v>
      </c>
      <c r="E550" s="217" t="s">
        <v>98</v>
      </c>
      <c r="F550" s="217" t="s">
        <v>97</v>
      </c>
      <c r="G550" s="217" t="s">
        <v>413</v>
      </c>
      <c r="H550" s="217" t="s">
        <v>1211</v>
      </c>
      <c r="I550" s="217" t="s">
        <v>29</v>
      </c>
      <c r="J550" s="217" t="s">
        <v>1856</v>
      </c>
      <c r="K550" s="217">
        <v>18</v>
      </c>
      <c r="L550" s="217">
        <v>153</v>
      </c>
      <c r="M550" s="217" t="s">
        <v>31</v>
      </c>
      <c r="N550" s="217" t="s">
        <v>32</v>
      </c>
      <c r="O550" s="217" t="s">
        <v>100</v>
      </c>
      <c r="P550" s="217" t="s">
        <v>34</v>
      </c>
      <c r="Q550" s="217" t="s">
        <v>35</v>
      </c>
      <c r="R550" s="217" t="s">
        <v>23</v>
      </c>
      <c r="S550" s="217" t="s">
        <v>22</v>
      </c>
      <c r="T550" s="217" t="s">
        <v>84</v>
      </c>
      <c r="U550" s="217" t="s">
        <v>85</v>
      </c>
      <c r="V550" s="217" t="s">
        <v>97</v>
      </c>
      <c r="W550" s="217" t="s">
        <v>98</v>
      </c>
    </row>
    <row r="551" spans="1:23" x14ac:dyDescent="0.25">
      <c r="A551" s="217" t="s">
        <v>22</v>
      </c>
      <c r="B551" s="217" t="s">
        <v>23</v>
      </c>
      <c r="C551" s="217" t="s">
        <v>85</v>
      </c>
      <c r="D551" s="217" t="s">
        <v>84</v>
      </c>
      <c r="E551" s="217" t="s">
        <v>98</v>
      </c>
      <c r="F551" s="217" t="s">
        <v>97</v>
      </c>
      <c r="G551" s="217" t="s">
        <v>413</v>
      </c>
      <c r="H551" s="217" t="s">
        <v>1211</v>
      </c>
      <c r="I551" s="217" t="s">
        <v>29</v>
      </c>
      <c r="J551" s="217" t="s">
        <v>1857</v>
      </c>
      <c r="K551" s="217">
        <v>4</v>
      </c>
      <c r="L551" s="217">
        <v>34</v>
      </c>
      <c r="M551" s="217" t="s">
        <v>31</v>
      </c>
      <c r="N551" s="217" t="s">
        <v>32</v>
      </c>
      <c r="O551" s="217" t="s">
        <v>100</v>
      </c>
      <c r="P551" s="217" t="s">
        <v>34</v>
      </c>
      <c r="Q551" s="217" t="s">
        <v>35</v>
      </c>
      <c r="R551" s="217" t="s">
        <v>23</v>
      </c>
      <c r="S551" s="217" t="s">
        <v>22</v>
      </c>
      <c r="T551" s="217" t="s">
        <v>84</v>
      </c>
      <c r="U551" s="217" t="s">
        <v>85</v>
      </c>
      <c r="V551" s="217" t="s">
        <v>97</v>
      </c>
      <c r="W551" s="217" t="s">
        <v>98</v>
      </c>
    </row>
    <row r="552" spans="1:23" x14ac:dyDescent="0.25">
      <c r="A552" s="217" t="s">
        <v>22</v>
      </c>
      <c r="B552" s="217" t="s">
        <v>23</v>
      </c>
      <c r="C552" s="217" t="s">
        <v>85</v>
      </c>
      <c r="D552" s="217" t="s">
        <v>84</v>
      </c>
      <c r="E552" s="217" t="s">
        <v>98</v>
      </c>
      <c r="F552" s="217" t="s">
        <v>97</v>
      </c>
      <c r="G552" s="217" t="s">
        <v>414</v>
      </c>
      <c r="H552" s="217" t="s">
        <v>1212</v>
      </c>
      <c r="I552" s="217" t="s">
        <v>29</v>
      </c>
      <c r="J552" s="217" t="s">
        <v>1855</v>
      </c>
      <c r="K552" s="217">
        <v>32</v>
      </c>
      <c r="L552" s="217">
        <v>272</v>
      </c>
      <c r="M552" s="217" t="s">
        <v>31</v>
      </c>
      <c r="N552" s="217" t="s">
        <v>32</v>
      </c>
      <c r="O552" s="217" t="s">
        <v>100</v>
      </c>
      <c r="P552" s="217" t="s">
        <v>34</v>
      </c>
      <c r="Q552" s="217" t="s">
        <v>35</v>
      </c>
      <c r="R552" s="217" t="s">
        <v>23</v>
      </c>
      <c r="S552" s="217" t="s">
        <v>22</v>
      </c>
      <c r="T552" s="217" t="s">
        <v>84</v>
      </c>
      <c r="U552" s="217" t="s">
        <v>85</v>
      </c>
      <c r="V552" s="217" t="s">
        <v>97</v>
      </c>
      <c r="W552" s="217" t="s">
        <v>98</v>
      </c>
    </row>
    <row r="553" spans="1:23" x14ac:dyDescent="0.25">
      <c r="A553" s="217" t="s">
        <v>22</v>
      </c>
      <c r="B553" s="217" t="s">
        <v>23</v>
      </c>
      <c r="C553" s="217" t="s">
        <v>85</v>
      </c>
      <c r="D553" s="217" t="s">
        <v>84</v>
      </c>
      <c r="E553" s="217" t="s">
        <v>98</v>
      </c>
      <c r="F553" s="217" t="s">
        <v>97</v>
      </c>
      <c r="G553" s="217" t="s">
        <v>414</v>
      </c>
      <c r="H553" s="217" t="s">
        <v>1212</v>
      </c>
      <c r="I553" s="217" t="s">
        <v>29</v>
      </c>
      <c r="J553" s="217" t="s">
        <v>1856</v>
      </c>
      <c r="K553" s="217">
        <v>43</v>
      </c>
      <c r="L553" s="217">
        <v>366</v>
      </c>
      <c r="M553" s="217" t="s">
        <v>31</v>
      </c>
      <c r="N553" s="217" t="s">
        <v>32</v>
      </c>
      <c r="O553" s="217" t="s">
        <v>100</v>
      </c>
      <c r="P553" s="217" t="s">
        <v>34</v>
      </c>
      <c r="Q553" s="217" t="s">
        <v>35</v>
      </c>
      <c r="R553" s="217" t="s">
        <v>23</v>
      </c>
      <c r="S553" s="217" t="s">
        <v>22</v>
      </c>
      <c r="T553" s="217" t="s">
        <v>84</v>
      </c>
      <c r="U553" s="217" t="s">
        <v>85</v>
      </c>
      <c r="V553" s="217" t="s">
        <v>97</v>
      </c>
      <c r="W553" s="217" t="s">
        <v>98</v>
      </c>
    </row>
    <row r="554" spans="1:23" x14ac:dyDescent="0.25">
      <c r="A554" s="217" t="s">
        <v>22</v>
      </c>
      <c r="B554" s="217" t="s">
        <v>23</v>
      </c>
      <c r="C554" s="217" t="s">
        <v>85</v>
      </c>
      <c r="D554" s="217" t="s">
        <v>84</v>
      </c>
      <c r="E554" s="217" t="s">
        <v>98</v>
      </c>
      <c r="F554" s="217" t="s">
        <v>97</v>
      </c>
      <c r="G554" s="217" t="s">
        <v>414</v>
      </c>
      <c r="H554" s="217" t="s">
        <v>1212</v>
      </c>
      <c r="I554" s="217" t="s">
        <v>29</v>
      </c>
      <c r="J554" s="217" t="s">
        <v>1857</v>
      </c>
      <c r="K554" s="217">
        <v>63</v>
      </c>
      <c r="L554" s="217">
        <v>536</v>
      </c>
      <c r="M554" s="217" t="s">
        <v>31</v>
      </c>
      <c r="N554" s="217" t="s">
        <v>32</v>
      </c>
      <c r="O554" s="217" t="s">
        <v>100</v>
      </c>
      <c r="P554" s="217" t="s">
        <v>34</v>
      </c>
      <c r="Q554" s="217" t="s">
        <v>35</v>
      </c>
      <c r="R554" s="217" t="s">
        <v>23</v>
      </c>
      <c r="S554" s="217" t="s">
        <v>22</v>
      </c>
      <c r="T554" s="217" t="s">
        <v>84</v>
      </c>
      <c r="U554" s="217" t="s">
        <v>85</v>
      </c>
      <c r="V554" s="217" t="s">
        <v>97</v>
      </c>
      <c r="W554" s="217" t="s">
        <v>98</v>
      </c>
    </row>
    <row r="555" spans="1:23" x14ac:dyDescent="0.25">
      <c r="A555" s="217" t="s">
        <v>22</v>
      </c>
      <c r="B555" s="217" t="s">
        <v>23</v>
      </c>
      <c r="C555" s="217" t="s">
        <v>85</v>
      </c>
      <c r="D555" s="217" t="s">
        <v>84</v>
      </c>
      <c r="E555" s="217" t="s">
        <v>98</v>
      </c>
      <c r="F555" s="217" t="s">
        <v>97</v>
      </c>
      <c r="G555" s="217" t="s">
        <v>415</v>
      </c>
      <c r="H555" s="217" t="s">
        <v>1213</v>
      </c>
      <c r="I555" s="217" t="s">
        <v>29</v>
      </c>
      <c r="J555" s="217" t="s">
        <v>1856</v>
      </c>
      <c r="K555" s="217">
        <v>8</v>
      </c>
      <c r="L555" s="217">
        <v>43</v>
      </c>
      <c r="M555" s="217" t="s">
        <v>31</v>
      </c>
      <c r="N555" s="217" t="s">
        <v>32</v>
      </c>
      <c r="O555" s="217" t="s">
        <v>100</v>
      </c>
      <c r="P555" s="217" t="s">
        <v>34</v>
      </c>
      <c r="Q555" s="217" t="s">
        <v>35</v>
      </c>
      <c r="R555" s="217" t="s">
        <v>23</v>
      </c>
      <c r="S555" s="217" t="s">
        <v>22</v>
      </c>
      <c r="T555" s="217" t="s">
        <v>84</v>
      </c>
      <c r="U555" s="217" t="s">
        <v>85</v>
      </c>
      <c r="V555" s="217" t="s">
        <v>97</v>
      </c>
      <c r="W555" s="217" t="s">
        <v>98</v>
      </c>
    </row>
    <row r="556" spans="1:23" x14ac:dyDescent="0.25">
      <c r="A556" s="217" t="s">
        <v>22</v>
      </c>
      <c r="B556" s="217" t="s">
        <v>23</v>
      </c>
      <c r="C556" s="217" t="s">
        <v>85</v>
      </c>
      <c r="D556" s="217" t="s">
        <v>84</v>
      </c>
      <c r="E556" s="217" t="s">
        <v>98</v>
      </c>
      <c r="F556" s="217" t="s">
        <v>97</v>
      </c>
      <c r="G556" s="217" t="s">
        <v>415</v>
      </c>
      <c r="H556" s="217" t="s">
        <v>1213</v>
      </c>
      <c r="I556" s="217" t="s">
        <v>29</v>
      </c>
      <c r="J556" s="217" t="s">
        <v>1857</v>
      </c>
      <c r="K556" s="217">
        <v>11</v>
      </c>
      <c r="L556" s="217">
        <v>56</v>
      </c>
      <c r="M556" s="217" t="s">
        <v>31</v>
      </c>
      <c r="N556" s="217" t="s">
        <v>32</v>
      </c>
      <c r="O556" s="217" t="s">
        <v>100</v>
      </c>
      <c r="P556" s="217" t="s">
        <v>34</v>
      </c>
      <c r="Q556" s="217" t="s">
        <v>35</v>
      </c>
      <c r="R556" s="217" t="s">
        <v>23</v>
      </c>
      <c r="S556" s="217" t="s">
        <v>22</v>
      </c>
      <c r="T556" s="217" t="s">
        <v>84</v>
      </c>
      <c r="U556" s="217" t="s">
        <v>85</v>
      </c>
      <c r="V556" s="217" t="s">
        <v>97</v>
      </c>
      <c r="W556" s="217" t="s">
        <v>98</v>
      </c>
    </row>
    <row r="557" spans="1:23" x14ac:dyDescent="0.25">
      <c r="A557" s="217" t="s">
        <v>22</v>
      </c>
      <c r="B557" s="217" t="s">
        <v>23</v>
      </c>
      <c r="C557" s="217" t="s">
        <v>85</v>
      </c>
      <c r="D557" s="217" t="s">
        <v>84</v>
      </c>
      <c r="E557" s="217" t="s">
        <v>98</v>
      </c>
      <c r="F557" s="217" t="s">
        <v>97</v>
      </c>
      <c r="G557" s="217" t="s">
        <v>416</v>
      </c>
      <c r="H557" s="217" t="s">
        <v>1214</v>
      </c>
      <c r="I557" s="217" t="s">
        <v>29</v>
      </c>
      <c r="J557" s="217" t="s">
        <v>1856</v>
      </c>
      <c r="K557" s="217">
        <v>11</v>
      </c>
      <c r="L557" s="217">
        <v>48</v>
      </c>
      <c r="M557" s="217" t="s">
        <v>31</v>
      </c>
      <c r="N557" s="217" t="s">
        <v>32</v>
      </c>
      <c r="O557" s="217" t="s">
        <v>68</v>
      </c>
      <c r="P557" s="217" t="s">
        <v>34</v>
      </c>
      <c r="Q557" s="217" t="s">
        <v>35</v>
      </c>
      <c r="R557" s="217" t="s">
        <v>23</v>
      </c>
      <c r="S557" s="217" t="s">
        <v>22</v>
      </c>
      <c r="T557" s="217" t="s">
        <v>84</v>
      </c>
      <c r="U557" s="217" t="s">
        <v>85</v>
      </c>
      <c r="V557" s="217" t="s">
        <v>91</v>
      </c>
      <c r="W557" s="217" t="s">
        <v>92</v>
      </c>
    </row>
    <row r="558" spans="1:23" x14ac:dyDescent="0.25">
      <c r="A558" s="217" t="s">
        <v>22</v>
      </c>
      <c r="B558" s="217" t="s">
        <v>23</v>
      </c>
      <c r="C558" s="217" t="s">
        <v>85</v>
      </c>
      <c r="D558" s="217" t="s">
        <v>84</v>
      </c>
      <c r="E558" s="217" t="s">
        <v>98</v>
      </c>
      <c r="F558" s="217" t="s">
        <v>97</v>
      </c>
      <c r="G558" s="217" t="s">
        <v>416</v>
      </c>
      <c r="H558" s="217" t="s">
        <v>1214</v>
      </c>
      <c r="I558" s="217" t="s">
        <v>29</v>
      </c>
      <c r="J558" s="217" t="s">
        <v>1857</v>
      </c>
      <c r="K558" s="217">
        <v>15</v>
      </c>
      <c r="L558" s="217">
        <v>52</v>
      </c>
      <c r="M558" s="217" t="s">
        <v>31</v>
      </c>
      <c r="N558" s="217" t="s">
        <v>32</v>
      </c>
      <c r="O558" s="217" t="s">
        <v>68</v>
      </c>
      <c r="P558" s="217" t="s">
        <v>34</v>
      </c>
      <c r="Q558" s="217" t="s">
        <v>35</v>
      </c>
      <c r="R558" s="217" t="s">
        <v>23</v>
      </c>
      <c r="S558" s="217" t="s">
        <v>22</v>
      </c>
      <c r="T558" s="217" t="s">
        <v>84</v>
      </c>
      <c r="U558" s="217" t="s">
        <v>85</v>
      </c>
      <c r="V558" s="217" t="s">
        <v>91</v>
      </c>
      <c r="W558" s="217" t="s">
        <v>92</v>
      </c>
    </row>
    <row r="559" spans="1:23" x14ac:dyDescent="0.25">
      <c r="A559" s="217" t="s">
        <v>22</v>
      </c>
      <c r="B559" s="217" t="s">
        <v>23</v>
      </c>
      <c r="C559" s="217" t="s">
        <v>85</v>
      </c>
      <c r="D559" s="217" t="s">
        <v>84</v>
      </c>
      <c r="E559" s="217" t="s">
        <v>98</v>
      </c>
      <c r="F559" s="217" t="s">
        <v>97</v>
      </c>
      <c r="G559" s="217" t="s">
        <v>793</v>
      </c>
      <c r="H559" s="217" t="s">
        <v>1215</v>
      </c>
      <c r="I559" s="217" t="s">
        <v>29</v>
      </c>
      <c r="J559" s="217" t="s">
        <v>1856</v>
      </c>
      <c r="K559" s="217">
        <v>13</v>
      </c>
      <c r="L559" s="217">
        <v>111</v>
      </c>
      <c r="M559" s="217" t="s">
        <v>31</v>
      </c>
      <c r="N559" s="217" t="s">
        <v>32</v>
      </c>
      <c r="O559" s="217" t="s">
        <v>100</v>
      </c>
      <c r="P559" s="217" t="s">
        <v>34</v>
      </c>
      <c r="Q559" s="217" t="s">
        <v>35</v>
      </c>
      <c r="R559" s="217" t="s">
        <v>23</v>
      </c>
      <c r="S559" s="217" t="s">
        <v>22</v>
      </c>
      <c r="T559" s="217" t="s">
        <v>84</v>
      </c>
      <c r="U559" s="217" t="s">
        <v>85</v>
      </c>
      <c r="V559" s="217" t="s">
        <v>97</v>
      </c>
      <c r="W559" s="217" t="s">
        <v>98</v>
      </c>
    </row>
    <row r="560" spans="1:23" x14ac:dyDescent="0.25">
      <c r="A560" s="217" t="s">
        <v>22</v>
      </c>
      <c r="B560" s="217" t="s">
        <v>23</v>
      </c>
      <c r="C560" s="217" t="s">
        <v>85</v>
      </c>
      <c r="D560" s="217" t="s">
        <v>84</v>
      </c>
      <c r="E560" s="217" t="s">
        <v>98</v>
      </c>
      <c r="F560" s="217" t="s">
        <v>97</v>
      </c>
      <c r="G560" s="217" t="s">
        <v>417</v>
      </c>
      <c r="H560" s="217" t="s">
        <v>1217</v>
      </c>
      <c r="I560" s="217" t="s">
        <v>29</v>
      </c>
      <c r="J560" s="217" t="s">
        <v>1855</v>
      </c>
      <c r="K560" s="217">
        <v>5</v>
      </c>
      <c r="L560" s="217">
        <v>22</v>
      </c>
      <c r="M560" s="217" t="s">
        <v>31</v>
      </c>
      <c r="N560" s="217" t="s">
        <v>32</v>
      </c>
      <c r="O560" s="217" t="s">
        <v>68</v>
      </c>
      <c r="P560" s="217" t="s">
        <v>34</v>
      </c>
      <c r="Q560" s="217" t="s">
        <v>35</v>
      </c>
      <c r="R560" s="217" t="s">
        <v>23</v>
      </c>
      <c r="S560" s="217" t="s">
        <v>22</v>
      </c>
      <c r="T560" s="217" t="s">
        <v>84</v>
      </c>
      <c r="U560" s="217" t="s">
        <v>85</v>
      </c>
      <c r="V560" s="217" t="s">
        <v>91</v>
      </c>
      <c r="W560" s="217" t="s">
        <v>92</v>
      </c>
    </row>
    <row r="561" spans="1:23" x14ac:dyDescent="0.25">
      <c r="A561" s="217" t="s">
        <v>22</v>
      </c>
      <c r="B561" s="217" t="s">
        <v>23</v>
      </c>
      <c r="C561" s="217" t="s">
        <v>85</v>
      </c>
      <c r="D561" s="217" t="s">
        <v>84</v>
      </c>
      <c r="E561" s="217" t="s">
        <v>98</v>
      </c>
      <c r="F561" s="217" t="s">
        <v>97</v>
      </c>
      <c r="G561" s="217" t="s">
        <v>418</v>
      </c>
      <c r="H561" s="217" t="s">
        <v>1218</v>
      </c>
      <c r="I561" s="217" t="s">
        <v>29</v>
      </c>
      <c r="J561" s="217" t="s">
        <v>1856</v>
      </c>
      <c r="K561" s="217">
        <v>10</v>
      </c>
      <c r="L561" s="217">
        <v>56</v>
      </c>
      <c r="M561" s="217" t="s">
        <v>31</v>
      </c>
      <c r="N561" s="217" t="s">
        <v>32</v>
      </c>
      <c r="O561" s="217" t="s">
        <v>100</v>
      </c>
      <c r="P561" s="217" t="s">
        <v>34</v>
      </c>
      <c r="Q561" s="217" t="s">
        <v>35</v>
      </c>
      <c r="R561" s="217" t="s">
        <v>23</v>
      </c>
      <c r="S561" s="217" t="s">
        <v>22</v>
      </c>
      <c r="T561" s="217" t="s">
        <v>84</v>
      </c>
      <c r="U561" s="217" t="s">
        <v>85</v>
      </c>
      <c r="V561" s="217" t="s">
        <v>97</v>
      </c>
      <c r="W561" s="217" t="s">
        <v>98</v>
      </c>
    </row>
    <row r="562" spans="1:23" x14ac:dyDescent="0.25">
      <c r="A562" s="217" t="s">
        <v>22</v>
      </c>
      <c r="B562" s="217" t="s">
        <v>23</v>
      </c>
      <c r="C562" s="217" t="s">
        <v>85</v>
      </c>
      <c r="D562" s="217" t="s">
        <v>84</v>
      </c>
      <c r="E562" s="217" t="s">
        <v>98</v>
      </c>
      <c r="F562" s="217" t="s">
        <v>97</v>
      </c>
      <c r="G562" s="217" t="s">
        <v>418</v>
      </c>
      <c r="H562" s="217" t="s">
        <v>1218</v>
      </c>
      <c r="I562" s="217" t="s">
        <v>29</v>
      </c>
      <c r="J562" s="217" t="s">
        <v>1857</v>
      </c>
      <c r="K562" s="217">
        <v>5</v>
      </c>
      <c r="L562" s="217">
        <v>36</v>
      </c>
      <c r="M562" s="217" t="s">
        <v>31</v>
      </c>
      <c r="N562" s="217" t="s">
        <v>32</v>
      </c>
      <c r="O562" s="217" t="s">
        <v>68</v>
      </c>
      <c r="P562" s="217" t="s">
        <v>34</v>
      </c>
      <c r="Q562" s="217" t="s">
        <v>35</v>
      </c>
      <c r="R562" s="217" t="s">
        <v>23</v>
      </c>
      <c r="S562" s="217" t="s">
        <v>22</v>
      </c>
      <c r="T562" s="217" t="s">
        <v>84</v>
      </c>
      <c r="U562" s="217" t="s">
        <v>85</v>
      </c>
      <c r="V562" s="217" t="s">
        <v>91</v>
      </c>
      <c r="W562" s="217" t="s">
        <v>92</v>
      </c>
    </row>
    <row r="563" spans="1:23" x14ac:dyDescent="0.25">
      <c r="A563" s="217" t="s">
        <v>22</v>
      </c>
      <c r="B563" s="217" t="s">
        <v>23</v>
      </c>
      <c r="C563" s="217" t="s">
        <v>85</v>
      </c>
      <c r="D563" s="217" t="s">
        <v>84</v>
      </c>
      <c r="E563" s="217" t="s">
        <v>98</v>
      </c>
      <c r="F563" s="217" t="s">
        <v>97</v>
      </c>
      <c r="G563" s="217" t="s">
        <v>419</v>
      </c>
      <c r="H563" s="217" t="s">
        <v>1219</v>
      </c>
      <c r="I563" s="217" t="s">
        <v>29</v>
      </c>
      <c r="J563" s="217" t="s">
        <v>1856</v>
      </c>
      <c r="K563" s="217">
        <v>4</v>
      </c>
      <c r="L563" s="217">
        <v>10</v>
      </c>
      <c r="M563" s="217" t="s">
        <v>31</v>
      </c>
      <c r="N563" s="217" t="s">
        <v>32</v>
      </c>
      <c r="O563" s="217" t="s">
        <v>68</v>
      </c>
      <c r="P563" s="217" t="s">
        <v>34</v>
      </c>
      <c r="Q563" s="217" t="s">
        <v>35</v>
      </c>
      <c r="R563" s="217" t="s">
        <v>23</v>
      </c>
      <c r="S563" s="217" t="s">
        <v>22</v>
      </c>
      <c r="T563" s="217" t="s">
        <v>84</v>
      </c>
      <c r="U563" s="217" t="s">
        <v>85</v>
      </c>
      <c r="V563" s="217" t="s">
        <v>109</v>
      </c>
      <c r="W563" s="217" t="s">
        <v>110</v>
      </c>
    </row>
    <row r="564" spans="1:23" x14ac:dyDescent="0.25">
      <c r="A564" s="217" t="s">
        <v>22</v>
      </c>
      <c r="B564" s="217" t="s">
        <v>23</v>
      </c>
      <c r="C564" s="217" t="s">
        <v>85</v>
      </c>
      <c r="D564" s="217" t="s">
        <v>84</v>
      </c>
      <c r="E564" s="217" t="s">
        <v>98</v>
      </c>
      <c r="F564" s="217" t="s">
        <v>97</v>
      </c>
      <c r="G564" s="217" t="s">
        <v>419</v>
      </c>
      <c r="H564" s="217" t="s">
        <v>1219</v>
      </c>
      <c r="I564" s="217" t="s">
        <v>29</v>
      </c>
      <c r="J564" s="217" t="s">
        <v>1857</v>
      </c>
      <c r="K564" s="217">
        <v>8</v>
      </c>
      <c r="L564" s="217">
        <v>61</v>
      </c>
      <c r="M564" s="217" t="s">
        <v>31</v>
      </c>
      <c r="N564" s="217" t="s">
        <v>32</v>
      </c>
      <c r="O564" s="217" t="s">
        <v>68</v>
      </c>
      <c r="P564" s="217" t="s">
        <v>34</v>
      </c>
      <c r="Q564" s="217" t="s">
        <v>35</v>
      </c>
      <c r="R564" s="217" t="s">
        <v>23</v>
      </c>
      <c r="S564" s="217" t="s">
        <v>22</v>
      </c>
      <c r="T564" s="217" t="s">
        <v>84</v>
      </c>
      <c r="U564" s="217" t="s">
        <v>85</v>
      </c>
      <c r="V564" s="217" t="s">
        <v>109</v>
      </c>
      <c r="W564" s="217" t="s">
        <v>110</v>
      </c>
    </row>
    <row r="565" spans="1:23" x14ac:dyDescent="0.25">
      <c r="A565" s="217" t="s">
        <v>22</v>
      </c>
      <c r="B565" s="217" t="s">
        <v>23</v>
      </c>
      <c r="C565" s="217" t="s">
        <v>85</v>
      </c>
      <c r="D565" s="217" t="s">
        <v>84</v>
      </c>
      <c r="E565" s="217" t="s">
        <v>98</v>
      </c>
      <c r="F565" s="217" t="s">
        <v>97</v>
      </c>
      <c r="G565" s="217" t="s">
        <v>420</v>
      </c>
      <c r="H565" s="217" t="s">
        <v>1220</v>
      </c>
      <c r="I565" s="217" t="s">
        <v>29</v>
      </c>
      <c r="J565" s="217" t="s">
        <v>1856</v>
      </c>
      <c r="K565" s="217">
        <v>82</v>
      </c>
      <c r="L565" s="217">
        <v>300</v>
      </c>
      <c r="M565" s="217" t="s">
        <v>31</v>
      </c>
      <c r="N565" s="217" t="s">
        <v>32</v>
      </c>
      <c r="O565" s="217" t="s">
        <v>68</v>
      </c>
      <c r="P565" s="217" t="s">
        <v>34</v>
      </c>
      <c r="Q565" s="217" t="s">
        <v>35</v>
      </c>
      <c r="R565" s="217" t="s">
        <v>23</v>
      </c>
      <c r="S565" s="217" t="s">
        <v>22</v>
      </c>
      <c r="T565" s="217" t="s">
        <v>84</v>
      </c>
      <c r="U565" s="217" t="s">
        <v>85</v>
      </c>
      <c r="V565" s="217" t="s">
        <v>91</v>
      </c>
      <c r="W565" s="217" t="s">
        <v>92</v>
      </c>
    </row>
    <row r="566" spans="1:23" x14ac:dyDescent="0.25">
      <c r="A566" s="217" t="s">
        <v>22</v>
      </c>
      <c r="B566" s="217" t="s">
        <v>23</v>
      </c>
      <c r="C566" s="217" t="s">
        <v>85</v>
      </c>
      <c r="D566" s="217" t="s">
        <v>84</v>
      </c>
      <c r="E566" s="217" t="s">
        <v>98</v>
      </c>
      <c r="F566" s="217" t="s">
        <v>97</v>
      </c>
      <c r="G566" s="217" t="s">
        <v>420</v>
      </c>
      <c r="H566" s="217" t="s">
        <v>1220</v>
      </c>
      <c r="I566" s="217" t="s">
        <v>29</v>
      </c>
      <c r="J566" s="217" t="s">
        <v>1857</v>
      </c>
      <c r="K566" s="217">
        <v>103</v>
      </c>
      <c r="L566" s="217">
        <v>420</v>
      </c>
      <c r="M566" s="217" t="s">
        <v>31</v>
      </c>
      <c r="N566" s="217" t="s">
        <v>32</v>
      </c>
      <c r="O566" s="217" t="s">
        <v>68</v>
      </c>
      <c r="P566" s="217" t="s">
        <v>34</v>
      </c>
      <c r="Q566" s="217" t="s">
        <v>35</v>
      </c>
      <c r="R566" s="217" t="s">
        <v>23</v>
      </c>
      <c r="S566" s="217" t="s">
        <v>22</v>
      </c>
      <c r="T566" s="217" t="s">
        <v>84</v>
      </c>
      <c r="U566" s="217" t="s">
        <v>85</v>
      </c>
      <c r="V566" s="217" t="s">
        <v>94</v>
      </c>
      <c r="W566" s="217" t="s">
        <v>95</v>
      </c>
    </row>
    <row r="567" spans="1:23" x14ac:dyDescent="0.25">
      <c r="A567" s="217" t="s">
        <v>22</v>
      </c>
      <c r="B567" s="217" t="s">
        <v>23</v>
      </c>
      <c r="C567" s="217" t="s">
        <v>85</v>
      </c>
      <c r="D567" s="217" t="s">
        <v>84</v>
      </c>
      <c r="E567" s="217" t="s">
        <v>98</v>
      </c>
      <c r="F567" s="217" t="s">
        <v>97</v>
      </c>
      <c r="G567" s="217" t="s">
        <v>420</v>
      </c>
      <c r="H567" s="217" t="s">
        <v>1220</v>
      </c>
      <c r="I567" s="217" t="s">
        <v>29</v>
      </c>
      <c r="J567" s="217" t="s">
        <v>1858</v>
      </c>
      <c r="K567" s="217">
        <v>15</v>
      </c>
      <c r="L567" s="217">
        <v>75</v>
      </c>
      <c r="M567" s="217" t="s">
        <v>31</v>
      </c>
      <c r="N567" s="217" t="s">
        <v>32</v>
      </c>
      <c r="O567" s="217" t="s">
        <v>68</v>
      </c>
      <c r="P567" s="217" t="s">
        <v>34</v>
      </c>
      <c r="Q567" s="217" t="s">
        <v>35</v>
      </c>
      <c r="R567" s="217" t="s">
        <v>23</v>
      </c>
      <c r="S567" s="217" t="s">
        <v>22</v>
      </c>
      <c r="T567" s="217" t="s">
        <v>84</v>
      </c>
      <c r="U567" s="217" t="s">
        <v>85</v>
      </c>
      <c r="V567" s="217" t="s">
        <v>109</v>
      </c>
      <c r="W567" s="217" t="s">
        <v>110</v>
      </c>
    </row>
    <row r="568" spans="1:23" x14ac:dyDescent="0.25">
      <c r="A568" s="217" t="s">
        <v>22</v>
      </c>
      <c r="B568" s="217" t="s">
        <v>23</v>
      </c>
      <c r="C568" s="217" t="s">
        <v>85</v>
      </c>
      <c r="D568" s="217" t="s">
        <v>84</v>
      </c>
      <c r="E568" s="217" t="s">
        <v>98</v>
      </c>
      <c r="F568" s="217" t="s">
        <v>97</v>
      </c>
      <c r="G568" s="217" t="s">
        <v>421</v>
      </c>
      <c r="H568" s="217" t="s">
        <v>1221</v>
      </c>
      <c r="I568" s="217" t="s">
        <v>29</v>
      </c>
      <c r="J568" s="217" t="s">
        <v>1855</v>
      </c>
      <c r="K568" s="217">
        <v>5</v>
      </c>
      <c r="L568" s="217">
        <v>20</v>
      </c>
      <c r="M568" s="217" t="s">
        <v>31</v>
      </c>
      <c r="N568" s="217" t="s">
        <v>32</v>
      </c>
      <c r="O568" s="217" t="s">
        <v>68</v>
      </c>
      <c r="P568" s="217" t="s">
        <v>34</v>
      </c>
      <c r="Q568" s="217" t="s">
        <v>35</v>
      </c>
      <c r="R568" s="217" t="s">
        <v>23</v>
      </c>
      <c r="S568" s="217" t="s">
        <v>22</v>
      </c>
      <c r="T568" s="217" t="s">
        <v>84</v>
      </c>
      <c r="U568" s="217" t="s">
        <v>85</v>
      </c>
      <c r="V568" s="217" t="s">
        <v>91</v>
      </c>
      <c r="W568" s="217" t="s">
        <v>92</v>
      </c>
    </row>
    <row r="569" spans="1:23" x14ac:dyDescent="0.25">
      <c r="A569" s="217" t="s">
        <v>22</v>
      </c>
      <c r="B569" s="217" t="s">
        <v>23</v>
      </c>
      <c r="C569" s="217" t="s">
        <v>85</v>
      </c>
      <c r="D569" s="217" t="s">
        <v>84</v>
      </c>
      <c r="E569" s="217" t="s">
        <v>98</v>
      </c>
      <c r="F569" s="217" t="s">
        <v>97</v>
      </c>
      <c r="G569" s="217" t="s">
        <v>166</v>
      </c>
      <c r="H569" s="217" t="s">
        <v>1222</v>
      </c>
      <c r="I569" s="217" t="s">
        <v>29</v>
      </c>
      <c r="J569" s="217" t="s">
        <v>1855</v>
      </c>
      <c r="K569" s="217">
        <v>6</v>
      </c>
      <c r="L569" s="217">
        <v>27</v>
      </c>
      <c r="M569" s="217" t="s">
        <v>31</v>
      </c>
      <c r="N569" s="217" t="s">
        <v>32</v>
      </c>
      <c r="O569" s="217" t="s">
        <v>68</v>
      </c>
      <c r="P569" s="217" t="s">
        <v>34</v>
      </c>
      <c r="Q569" s="217" t="s">
        <v>35</v>
      </c>
      <c r="R569" s="217" t="s">
        <v>23</v>
      </c>
      <c r="S569" s="217" t="s">
        <v>22</v>
      </c>
      <c r="T569" s="217" t="s">
        <v>84</v>
      </c>
      <c r="U569" s="217" t="s">
        <v>85</v>
      </c>
      <c r="V569" s="217" t="s">
        <v>91</v>
      </c>
      <c r="W569" s="217" t="s">
        <v>92</v>
      </c>
    </row>
    <row r="570" spans="1:23" x14ac:dyDescent="0.25">
      <c r="A570" s="217" t="s">
        <v>22</v>
      </c>
      <c r="B570" s="217" t="s">
        <v>23</v>
      </c>
      <c r="C570" s="217" t="s">
        <v>85</v>
      </c>
      <c r="D570" s="217" t="s">
        <v>84</v>
      </c>
      <c r="E570" s="217" t="s">
        <v>98</v>
      </c>
      <c r="F570" s="217" t="s">
        <v>97</v>
      </c>
      <c r="G570" s="217" t="s">
        <v>422</v>
      </c>
      <c r="H570" s="217" t="s">
        <v>1223</v>
      </c>
      <c r="I570" s="217" t="s">
        <v>29</v>
      </c>
      <c r="J570" s="217" t="s">
        <v>1855</v>
      </c>
      <c r="K570" s="217">
        <v>3</v>
      </c>
      <c r="L570" s="217">
        <v>18</v>
      </c>
      <c r="M570" s="217" t="s">
        <v>31</v>
      </c>
      <c r="N570" s="217" t="s">
        <v>32</v>
      </c>
      <c r="O570" s="217" t="s">
        <v>68</v>
      </c>
      <c r="P570" s="217" t="s">
        <v>34</v>
      </c>
      <c r="Q570" s="217" t="s">
        <v>35</v>
      </c>
      <c r="R570" s="217" t="s">
        <v>23</v>
      </c>
      <c r="S570" s="217" t="s">
        <v>22</v>
      </c>
      <c r="T570" s="217" t="s">
        <v>84</v>
      </c>
      <c r="U570" s="217" t="s">
        <v>85</v>
      </c>
      <c r="V570" s="217" t="s">
        <v>91</v>
      </c>
      <c r="W570" s="217" t="s">
        <v>92</v>
      </c>
    </row>
    <row r="571" spans="1:23" x14ac:dyDescent="0.25">
      <c r="A571" s="217" t="s">
        <v>22</v>
      </c>
      <c r="B571" s="217" t="s">
        <v>23</v>
      </c>
      <c r="C571" s="217" t="s">
        <v>85</v>
      </c>
      <c r="D571" s="217" t="s">
        <v>84</v>
      </c>
      <c r="E571" s="217" t="s">
        <v>98</v>
      </c>
      <c r="F571" s="217" t="s">
        <v>97</v>
      </c>
      <c r="G571" s="217" t="s">
        <v>422</v>
      </c>
      <c r="H571" s="217" t="s">
        <v>1223</v>
      </c>
      <c r="I571" s="217" t="s">
        <v>29</v>
      </c>
      <c r="J571" s="217" t="s">
        <v>1856</v>
      </c>
      <c r="K571" s="217">
        <v>5</v>
      </c>
      <c r="L571" s="217">
        <v>30</v>
      </c>
      <c r="M571" s="217" t="s">
        <v>31</v>
      </c>
      <c r="N571" s="217" t="s">
        <v>32</v>
      </c>
      <c r="O571" s="217" t="s">
        <v>68</v>
      </c>
      <c r="P571" s="217" t="s">
        <v>34</v>
      </c>
      <c r="Q571" s="217" t="s">
        <v>35</v>
      </c>
      <c r="R571" s="217" t="s">
        <v>23</v>
      </c>
      <c r="S571" s="217" t="s">
        <v>22</v>
      </c>
      <c r="T571" s="217" t="s">
        <v>84</v>
      </c>
      <c r="U571" s="217" t="s">
        <v>85</v>
      </c>
      <c r="V571" s="217" t="s">
        <v>91</v>
      </c>
      <c r="W571" s="217" t="s">
        <v>92</v>
      </c>
    </row>
    <row r="572" spans="1:23" x14ac:dyDescent="0.25">
      <c r="A572" s="217" t="s">
        <v>22</v>
      </c>
      <c r="B572" s="217" t="s">
        <v>23</v>
      </c>
      <c r="C572" s="217" t="s">
        <v>85</v>
      </c>
      <c r="D572" s="217" t="s">
        <v>84</v>
      </c>
      <c r="E572" s="217" t="s">
        <v>98</v>
      </c>
      <c r="F572" s="217" t="s">
        <v>97</v>
      </c>
      <c r="G572" s="217" t="s">
        <v>422</v>
      </c>
      <c r="H572" s="217" t="s">
        <v>1223</v>
      </c>
      <c r="I572" s="217" t="s">
        <v>29</v>
      </c>
      <c r="J572" s="217" t="s">
        <v>1857</v>
      </c>
      <c r="K572" s="217">
        <v>2</v>
      </c>
      <c r="L572" s="217">
        <v>8</v>
      </c>
      <c r="M572" s="217" t="s">
        <v>31</v>
      </c>
      <c r="N572" s="217" t="s">
        <v>32</v>
      </c>
      <c r="O572" s="217" t="s">
        <v>68</v>
      </c>
      <c r="P572" s="217" t="s">
        <v>34</v>
      </c>
      <c r="Q572" s="217" t="s">
        <v>35</v>
      </c>
      <c r="R572" s="217" t="s">
        <v>23</v>
      </c>
      <c r="S572" s="217" t="s">
        <v>22</v>
      </c>
      <c r="T572" s="217" t="s">
        <v>84</v>
      </c>
      <c r="U572" s="217" t="s">
        <v>85</v>
      </c>
      <c r="V572" s="217" t="s">
        <v>91</v>
      </c>
      <c r="W572" s="217" t="s">
        <v>92</v>
      </c>
    </row>
    <row r="573" spans="1:23" x14ac:dyDescent="0.25">
      <c r="A573" s="217" t="s">
        <v>22</v>
      </c>
      <c r="B573" s="217" t="s">
        <v>23</v>
      </c>
      <c r="C573" s="217" t="s">
        <v>85</v>
      </c>
      <c r="D573" s="217" t="s">
        <v>84</v>
      </c>
      <c r="E573" s="217" t="s">
        <v>98</v>
      </c>
      <c r="F573" s="217" t="s">
        <v>97</v>
      </c>
      <c r="G573" s="217" t="s">
        <v>423</v>
      </c>
      <c r="H573" s="217" t="s">
        <v>1224</v>
      </c>
      <c r="I573" s="217" t="s">
        <v>29</v>
      </c>
      <c r="J573" s="217" t="s">
        <v>1856</v>
      </c>
      <c r="K573" s="217">
        <v>879</v>
      </c>
      <c r="L573" s="217">
        <v>3738</v>
      </c>
      <c r="M573" s="217" t="s">
        <v>31</v>
      </c>
      <c r="N573" s="217" t="s">
        <v>32</v>
      </c>
      <c r="O573" s="217" t="s">
        <v>68</v>
      </c>
      <c r="P573" s="217" t="s">
        <v>34</v>
      </c>
      <c r="Q573" s="217" t="s">
        <v>35</v>
      </c>
      <c r="R573" s="217" t="s">
        <v>23</v>
      </c>
      <c r="S573" s="217" t="s">
        <v>22</v>
      </c>
      <c r="T573" s="217" t="s">
        <v>84</v>
      </c>
      <c r="U573" s="217" t="s">
        <v>85</v>
      </c>
      <c r="V573" s="217" t="s">
        <v>91</v>
      </c>
      <c r="W573" s="217" t="s">
        <v>92</v>
      </c>
    </row>
    <row r="574" spans="1:23" x14ac:dyDescent="0.25">
      <c r="A574" s="217" t="s">
        <v>22</v>
      </c>
      <c r="B574" s="217" t="s">
        <v>23</v>
      </c>
      <c r="C574" s="217" t="s">
        <v>85</v>
      </c>
      <c r="D574" s="217" t="s">
        <v>84</v>
      </c>
      <c r="E574" s="217" t="s">
        <v>98</v>
      </c>
      <c r="F574" s="217" t="s">
        <v>97</v>
      </c>
      <c r="G574" s="217" t="s">
        <v>423</v>
      </c>
      <c r="H574" s="217" t="s">
        <v>1224</v>
      </c>
      <c r="I574" s="217" t="s">
        <v>29</v>
      </c>
      <c r="J574" s="217" t="s">
        <v>1857</v>
      </c>
      <c r="K574" s="217">
        <v>1000</v>
      </c>
      <c r="L574" s="217">
        <v>5539</v>
      </c>
      <c r="M574" s="217" t="s">
        <v>31</v>
      </c>
      <c r="N574" s="217" t="s">
        <v>32</v>
      </c>
      <c r="O574" s="217" t="s">
        <v>68</v>
      </c>
      <c r="P574" s="217" t="s">
        <v>34</v>
      </c>
      <c r="Q574" s="217" t="s">
        <v>35</v>
      </c>
      <c r="R574" s="217" t="s">
        <v>23</v>
      </c>
      <c r="S574" s="217" t="s">
        <v>22</v>
      </c>
      <c r="T574" s="217" t="s">
        <v>84</v>
      </c>
      <c r="U574" s="217" t="s">
        <v>85</v>
      </c>
      <c r="V574" s="217" t="s">
        <v>91</v>
      </c>
      <c r="W574" s="217" t="s">
        <v>92</v>
      </c>
    </row>
    <row r="575" spans="1:23" x14ac:dyDescent="0.25">
      <c r="A575" s="217" t="s">
        <v>22</v>
      </c>
      <c r="B575" s="217" t="s">
        <v>23</v>
      </c>
      <c r="C575" s="217" t="s">
        <v>85</v>
      </c>
      <c r="D575" s="217" t="s">
        <v>84</v>
      </c>
      <c r="E575" s="217" t="s">
        <v>98</v>
      </c>
      <c r="F575" s="217" t="s">
        <v>97</v>
      </c>
      <c r="G575" s="217" t="s">
        <v>423</v>
      </c>
      <c r="H575" s="217" t="s">
        <v>1224</v>
      </c>
      <c r="I575" s="217" t="s">
        <v>29</v>
      </c>
      <c r="J575" s="217" t="s">
        <v>1858</v>
      </c>
      <c r="K575" s="217">
        <v>187</v>
      </c>
      <c r="L575" s="217">
        <v>950</v>
      </c>
      <c r="M575" s="217" t="s">
        <v>31</v>
      </c>
      <c r="N575" s="217" t="s">
        <v>32</v>
      </c>
      <c r="O575" s="217" t="s">
        <v>68</v>
      </c>
      <c r="P575" s="217" t="s">
        <v>34</v>
      </c>
      <c r="Q575" s="217" t="s">
        <v>35</v>
      </c>
      <c r="R575" s="217" t="s">
        <v>23</v>
      </c>
      <c r="S575" s="217" t="s">
        <v>22</v>
      </c>
      <c r="T575" s="217" t="s">
        <v>84</v>
      </c>
      <c r="U575" s="217" t="s">
        <v>85</v>
      </c>
      <c r="V575" s="217" t="s">
        <v>91</v>
      </c>
      <c r="W575" s="217" t="s">
        <v>92</v>
      </c>
    </row>
    <row r="576" spans="1:23" x14ac:dyDescent="0.25">
      <c r="A576" s="217" t="s">
        <v>22</v>
      </c>
      <c r="B576" s="217" t="s">
        <v>23</v>
      </c>
      <c r="C576" s="217" t="s">
        <v>85</v>
      </c>
      <c r="D576" s="217" t="s">
        <v>84</v>
      </c>
      <c r="E576" s="217" t="s">
        <v>98</v>
      </c>
      <c r="F576" s="217" t="s">
        <v>97</v>
      </c>
      <c r="G576" s="217" t="s">
        <v>424</v>
      </c>
      <c r="H576" s="217" t="s">
        <v>1225</v>
      </c>
      <c r="I576" s="217" t="s">
        <v>29</v>
      </c>
      <c r="J576" s="217" t="s">
        <v>1856</v>
      </c>
      <c r="K576" s="217">
        <v>14</v>
      </c>
      <c r="L576" s="217">
        <v>72</v>
      </c>
      <c r="M576" s="217" t="s">
        <v>31</v>
      </c>
      <c r="N576" s="217" t="s">
        <v>32</v>
      </c>
      <c r="O576" s="217" t="s">
        <v>100</v>
      </c>
      <c r="P576" s="217" t="s">
        <v>34</v>
      </c>
      <c r="Q576" s="217" t="s">
        <v>35</v>
      </c>
      <c r="R576" s="217" t="s">
        <v>23</v>
      </c>
      <c r="S576" s="217" t="s">
        <v>22</v>
      </c>
      <c r="T576" s="217" t="s">
        <v>84</v>
      </c>
      <c r="U576" s="217" t="s">
        <v>85</v>
      </c>
      <c r="V576" s="217" t="s">
        <v>97</v>
      </c>
      <c r="W576" s="217" t="s">
        <v>98</v>
      </c>
    </row>
    <row r="577" spans="1:23" x14ac:dyDescent="0.25">
      <c r="A577" s="217" t="s">
        <v>22</v>
      </c>
      <c r="B577" s="217" t="s">
        <v>23</v>
      </c>
      <c r="C577" s="217" t="s">
        <v>85</v>
      </c>
      <c r="D577" s="217" t="s">
        <v>84</v>
      </c>
      <c r="E577" s="217" t="s">
        <v>98</v>
      </c>
      <c r="F577" s="217" t="s">
        <v>97</v>
      </c>
      <c r="G577" s="217" t="s">
        <v>424</v>
      </c>
      <c r="H577" s="217" t="s">
        <v>1225</v>
      </c>
      <c r="I577" s="217" t="s">
        <v>29</v>
      </c>
      <c r="J577" s="217" t="s">
        <v>1857</v>
      </c>
      <c r="K577" s="217">
        <v>16</v>
      </c>
      <c r="L577" s="217">
        <v>90</v>
      </c>
      <c r="M577" s="217" t="s">
        <v>31</v>
      </c>
      <c r="N577" s="217" t="s">
        <v>32</v>
      </c>
      <c r="O577" s="217" t="s">
        <v>100</v>
      </c>
      <c r="P577" s="217" t="s">
        <v>34</v>
      </c>
      <c r="Q577" s="217" t="s">
        <v>35</v>
      </c>
      <c r="R577" s="217" t="s">
        <v>23</v>
      </c>
      <c r="S577" s="217" t="s">
        <v>22</v>
      </c>
      <c r="T577" s="217" t="s">
        <v>84</v>
      </c>
      <c r="U577" s="217" t="s">
        <v>85</v>
      </c>
      <c r="V577" s="217" t="s">
        <v>97</v>
      </c>
      <c r="W577" s="217" t="s">
        <v>98</v>
      </c>
    </row>
    <row r="578" spans="1:23" x14ac:dyDescent="0.25">
      <c r="A578" s="217" t="s">
        <v>22</v>
      </c>
      <c r="B578" s="217" t="s">
        <v>23</v>
      </c>
      <c r="C578" s="217" t="s">
        <v>85</v>
      </c>
      <c r="D578" s="217" t="s">
        <v>84</v>
      </c>
      <c r="E578" s="217" t="s">
        <v>98</v>
      </c>
      <c r="F578" s="217" t="s">
        <v>97</v>
      </c>
      <c r="G578" s="217" t="s">
        <v>425</v>
      </c>
      <c r="H578" s="217" t="s">
        <v>1226</v>
      </c>
      <c r="I578" s="217" t="s">
        <v>29</v>
      </c>
      <c r="J578" s="217" t="s">
        <v>1856</v>
      </c>
      <c r="K578" s="217">
        <v>12</v>
      </c>
      <c r="L578" s="217">
        <v>58</v>
      </c>
      <c r="M578" s="217" t="s">
        <v>31</v>
      </c>
      <c r="N578" s="217" t="s">
        <v>32</v>
      </c>
      <c r="O578" s="217" t="s">
        <v>68</v>
      </c>
      <c r="P578" s="217" t="s">
        <v>34</v>
      </c>
      <c r="Q578" s="217" t="s">
        <v>35</v>
      </c>
      <c r="R578" s="217" t="s">
        <v>23</v>
      </c>
      <c r="S578" s="217" t="s">
        <v>22</v>
      </c>
      <c r="T578" s="217" t="s">
        <v>84</v>
      </c>
      <c r="U578" s="217" t="s">
        <v>85</v>
      </c>
      <c r="V578" s="217" t="s">
        <v>91</v>
      </c>
      <c r="W578" s="217" t="s">
        <v>92</v>
      </c>
    </row>
    <row r="579" spans="1:23" x14ac:dyDescent="0.25">
      <c r="A579" s="217" t="s">
        <v>22</v>
      </c>
      <c r="B579" s="217" t="s">
        <v>23</v>
      </c>
      <c r="C579" s="217" t="s">
        <v>85</v>
      </c>
      <c r="D579" s="217" t="s">
        <v>84</v>
      </c>
      <c r="E579" s="217" t="s">
        <v>98</v>
      </c>
      <c r="F579" s="217" t="s">
        <v>97</v>
      </c>
      <c r="G579" s="217" t="s">
        <v>426</v>
      </c>
      <c r="H579" s="217" t="s">
        <v>1227</v>
      </c>
      <c r="I579" s="217" t="s">
        <v>29</v>
      </c>
      <c r="J579" s="217" t="s">
        <v>1856</v>
      </c>
      <c r="K579" s="217">
        <v>49</v>
      </c>
      <c r="L579" s="217">
        <v>257</v>
      </c>
      <c r="M579" s="217" t="s">
        <v>31</v>
      </c>
      <c r="N579" s="217" t="s">
        <v>32</v>
      </c>
      <c r="O579" s="217" t="s">
        <v>100</v>
      </c>
      <c r="P579" s="217" t="s">
        <v>34</v>
      </c>
      <c r="Q579" s="217" t="s">
        <v>35</v>
      </c>
      <c r="R579" s="217" t="s">
        <v>23</v>
      </c>
      <c r="S579" s="217" t="s">
        <v>22</v>
      </c>
      <c r="T579" s="217" t="s">
        <v>84</v>
      </c>
      <c r="U579" s="217" t="s">
        <v>85</v>
      </c>
      <c r="V579" s="217" t="s">
        <v>97</v>
      </c>
      <c r="W579" s="217" t="s">
        <v>98</v>
      </c>
    </row>
    <row r="580" spans="1:23" x14ac:dyDescent="0.25">
      <c r="A580" s="217" t="s">
        <v>22</v>
      </c>
      <c r="B580" s="217" t="s">
        <v>23</v>
      </c>
      <c r="C580" s="217" t="s">
        <v>85</v>
      </c>
      <c r="D580" s="217" t="s">
        <v>84</v>
      </c>
      <c r="E580" s="217" t="s">
        <v>98</v>
      </c>
      <c r="F580" s="217" t="s">
        <v>97</v>
      </c>
      <c r="G580" s="217" t="s">
        <v>427</v>
      </c>
      <c r="H580" s="217" t="s">
        <v>1228</v>
      </c>
      <c r="I580" s="217" t="s">
        <v>29</v>
      </c>
      <c r="J580" s="217" t="s">
        <v>1855</v>
      </c>
      <c r="K580" s="217">
        <v>9</v>
      </c>
      <c r="L580" s="217">
        <v>100</v>
      </c>
      <c r="M580" s="217" t="s">
        <v>31</v>
      </c>
      <c r="N580" s="217" t="s">
        <v>32</v>
      </c>
      <c r="O580" s="217" t="s">
        <v>68</v>
      </c>
      <c r="P580" s="217" t="s">
        <v>34</v>
      </c>
      <c r="Q580" s="217" t="s">
        <v>35</v>
      </c>
      <c r="R580" s="217" t="s">
        <v>23</v>
      </c>
      <c r="S580" s="217" t="s">
        <v>22</v>
      </c>
      <c r="T580" s="217" t="s">
        <v>84</v>
      </c>
      <c r="U580" s="217" t="s">
        <v>85</v>
      </c>
      <c r="V580" s="217" t="s">
        <v>109</v>
      </c>
      <c r="W580" s="217" t="s">
        <v>110</v>
      </c>
    </row>
    <row r="581" spans="1:23" x14ac:dyDescent="0.25">
      <c r="A581" s="217" t="s">
        <v>22</v>
      </c>
      <c r="B581" s="217" t="s">
        <v>23</v>
      </c>
      <c r="C581" s="217" t="s">
        <v>85</v>
      </c>
      <c r="D581" s="217" t="s">
        <v>84</v>
      </c>
      <c r="E581" s="217" t="s">
        <v>98</v>
      </c>
      <c r="F581" s="217" t="s">
        <v>97</v>
      </c>
      <c r="G581" s="217" t="s">
        <v>427</v>
      </c>
      <c r="H581" s="217" t="s">
        <v>1228</v>
      </c>
      <c r="I581" s="217" t="s">
        <v>29</v>
      </c>
      <c r="J581" s="217" t="s">
        <v>1857</v>
      </c>
      <c r="K581" s="217">
        <v>6</v>
      </c>
      <c r="L581" s="217">
        <v>23</v>
      </c>
      <c r="M581" s="217" t="s">
        <v>31</v>
      </c>
      <c r="N581" s="217" t="s">
        <v>32</v>
      </c>
      <c r="O581" s="217" t="s">
        <v>68</v>
      </c>
      <c r="P581" s="217" t="s">
        <v>34</v>
      </c>
      <c r="Q581" s="217" t="s">
        <v>35</v>
      </c>
      <c r="R581" s="217" t="s">
        <v>23</v>
      </c>
      <c r="S581" s="217" t="s">
        <v>22</v>
      </c>
      <c r="T581" s="217" t="s">
        <v>84</v>
      </c>
      <c r="U581" s="217" t="s">
        <v>85</v>
      </c>
      <c r="V581" s="217" t="s">
        <v>109</v>
      </c>
      <c r="W581" s="217" t="s">
        <v>110</v>
      </c>
    </row>
    <row r="582" spans="1:23" x14ac:dyDescent="0.25">
      <c r="A582" s="217" t="s">
        <v>22</v>
      </c>
      <c r="B582" s="217" t="s">
        <v>23</v>
      </c>
      <c r="C582" s="217" t="s">
        <v>85</v>
      </c>
      <c r="D582" s="217" t="s">
        <v>84</v>
      </c>
      <c r="E582" s="217" t="s">
        <v>98</v>
      </c>
      <c r="F582" s="217" t="s">
        <v>97</v>
      </c>
      <c r="G582" s="217" t="s">
        <v>427</v>
      </c>
      <c r="H582" s="217" t="s">
        <v>1228</v>
      </c>
      <c r="I582" s="217" t="s">
        <v>29</v>
      </c>
      <c r="J582" s="217" t="s">
        <v>1858</v>
      </c>
      <c r="K582" s="217">
        <v>12</v>
      </c>
      <c r="L582" s="217">
        <v>70</v>
      </c>
      <c r="M582" s="217" t="s">
        <v>31</v>
      </c>
      <c r="N582" s="217" t="s">
        <v>32</v>
      </c>
      <c r="O582" s="217" t="s">
        <v>68</v>
      </c>
      <c r="P582" s="217" t="s">
        <v>34</v>
      </c>
      <c r="Q582" s="217" t="s">
        <v>35</v>
      </c>
      <c r="R582" s="217" t="s">
        <v>23</v>
      </c>
      <c r="S582" s="217" t="s">
        <v>22</v>
      </c>
      <c r="T582" s="217" t="s">
        <v>84</v>
      </c>
      <c r="U582" s="217" t="s">
        <v>85</v>
      </c>
      <c r="V582" s="217" t="s">
        <v>109</v>
      </c>
      <c r="W582" s="217" t="s">
        <v>110</v>
      </c>
    </row>
    <row r="583" spans="1:23" x14ac:dyDescent="0.25">
      <c r="A583" s="217" t="s">
        <v>22</v>
      </c>
      <c r="B583" s="217" t="s">
        <v>23</v>
      </c>
      <c r="C583" s="217" t="s">
        <v>85</v>
      </c>
      <c r="D583" s="217" t="s">
        <v>84</v>
      </c>
      <c r="E583" s="217" t="s">
        <v>98</v>
      </c>
      <c r="F583" s="217" t="s">
        <v>97</v>
      </c>
      <c r="G583" s="217" t="s">
        <v>428</v>
      </c>
      <c r="H583" s="217" t="s">
        <v>1229</v>
      </c>
      <c r="I583" s="217" t="s">
        <v>29</v>
      </c>
      <c r="J583" s="217" t="s">
        <v>1855</v>
      </c>
      <c r="K583" s="217">
        <v>10</v>
      </c>
      <c r="L583" s="217">
        <v>72</v>
      </c>
      <c r="M583" s="217" t="s">
        <v>31</v>
      </c>
      <c r="N583" s="217" t="s">
        <v>32</v>
      </c>
      <c r="O583" s="217" t="s">
        <v>68</v>
      </c>
      <c r="P583" s="217" t="s">
        <v>34</v>
      </c>
      <c r="Q583" s="217" t="s">
        <v>35</v>
      </c>
      <c r="R583" s="217" t="s">
        <v>23</v>
      </c>
      <c r="S583" s="217" t="s">
        <v>22</v>
      </c>
      <c r="T583" s="217" t="s">
        <v>84</v>
      </c>
      <c r="U583" s="217" t="s">
        <v>85</v>
      </c>
      <c r="V583" s="217" t="s">
        <v>109</v>
      </c>
      <c r="W583" s="217" t="s">
        <v>110</v>
      </c>
    </row>
    <row r="584" spans="1:23" x14ac:dyDescent="0.25">
      <c r="A584" s="217" t="s">
        <v>22</v>
      </c>
      <c r="B584" s="217" t="s">
        <v>23</v>
      </c>
      <c r="C584" s="217" t="s">
        <v>85</v>
      </c>
      <c r="D584" s="217" t="s">
        <v>84</v>
      </c>
      <c r="E584" s="217" t="s">
        <v>98</v>
      </c>
      <c r="F584" s="217" t="s">
        <v>97</v>
      </c>
      <c r="G584" s="217" t="s">
        <v>429</v>
      </c>
      <c r="H584" s="217" t="s">
        <v>1230</v>
      </c>
      <c r="I584" s="217" t="s">
        <v>29</v>
      </c>
      <c r="J584" s="217" t="s">
        <v>1855</v>
      </c>
      <c r="K584" s="217">
        <v>3</v>
      </c>
      <c r="L584" s="217">
        <v>37</v>
      </c>
      <c r="M584" s="217" t="s">
        <v>31</v>
      </c>
      <c r="N584" s="217" t="s">
        <v>32</v>
      </c>
      <c r="O584" s="217" t="s">
        <v>68</v>
      </c>
      <c r="P584" s="217" t="s">
        <v>34</v>
      </c>
      <c r="Q584" s="217" t="s">
        <v>35</v>
      </c>
      <c r="R584" s="217" t="s">
        <v>23</v>
      </c>
      <c r="S584" s="217" t="s">
        <v>22</v>
      </c>
      <c r="T584" s="217" t="s">
        <v>84</v>
      </c>
      <c r="U584" s="217" t="s">
        <v>85</v>
      </c>
      <c r="V584" s="217" t="s">
        <v>109</v>
      </c>
      <c r="W584" s="217" t="s">
        <v>110</v>
      </c>
    </row>
    <row r="585" spans="1:23" x14ac:dyDescent="0.25">
      <c r="A585" s="217" t="s">
        <v>22</v>
      </c>
      <c r="B585" s="217" t="s">
        <v>23</v>
      </c>
      <c r="C585" s="217" t="s">
        <v>85</v>
      </c>
      <c r="D585" s="217" t="s">
        <v>84</v>
      </c>
      <c r="E585" s="217" t="s">
        <v>98</v>
      </c>
      <c r="F585" s="217" t="s">
        <v>97</v>
      </c>
      <c r="G585" s="217" t="s">
        <v>429</v>
      </c>
      <c r="H585" s="217" t="s">
        <v>1230</v>
      </c>
      <c r="I585" s="217" t="s">
        <v>29</v>
      </c>
      <c r="J585" s="217" t="s">
        <v>1856</v>
      </c>
      <c r="K585" s="217">
        <v>2</v>
      </c>
      <c r="L585" s="217">
        <v>22</v>
      </c>
      <c r="M585" s="217" t="s">
        <v>31</v>
      </c>
      <c r="N585" s="217" t="s">
        <v>32</v>
      </c>
      <c r="O585" s="217" t="s">
        <v>68</v>
      </c>
      <c r="P585" s="217" t="s">
        <v>34</v>
      </c>
      <c r="Q585" s="217" t="s">
        <v>35</v>
      </c>
      <c r="R585" s="217" t="s">
        <v>23</v>
      </c>
      <c r="S585" s="217" t="s">
        <v>22</v>
      </c>
      <c r="T585" s="217" t="s">
        <v>84</v>
      </c>
      <c r="U585" s="217" t="s">
        <v>85</v>
      </c>
      <c r="V585" s="217" t="s">
        <v>94</v>
      </c>
      <c r="W585" s="217" t="s">
        <v>95</v>
      </c>
    </row>
    <row r="586" spans="1:23" x14ac:dyDescent="0.25">
      <c r="A586" s="217" t="s">
        <v>22</v>
      </c>
      <c r="B586" s="217" t="s">
        <v>23</v>
      </c>
      <c r="C586" s="217" t="s">
        <v>85</v>
      </c>
      <c r="D586" s="217" t="s">
        <v>84</v>
      </c>
      <c r="E586" s="217" t="s">
        <v>98</v>
      </c>
      <c r="F586" s="217" t="s">
        <v>97</v>
      </c>
      <c r="G586" s="217" t="s">
        <v>430</v>
      </c>
      <c r="H586" s="217" t="s">
        <v>1231</v>
      </c>
      <c r="I586" s="217" t="s">
        <v>29</v>
      </c>
      <c r="J586" s="217" t="s">
        <v>1856</v>
      </c>
      <c r="K586" s="217">
        <v>6</v>
      </c>
      <c r="L586" s="217">
        <v>32</v>
      </c>
      <c r="M586" s="217" t="s">
        <v>31</v>
      </c>
      <c r="N586" s="217" t="s">
        <v>32</v>
      </c>
      <c r="O586" s="217" t="s">
        <v>100</v>
      </c>
      <c r="P586" s="217" t="s">
        <v>34</v>
      </c>
      <c r="Q586" s="217" t="s">
        <v>35</v>
      </c>
      <c r="R586" s="217" t="s">
        <v>23</v>
      </c>
      <c r="S586" s="217" t="s">
        <v>22</v>
      </c>
      <c r="T586" s="217" t="s">
        <v>84</v>
      </c>
      <c r="U586" s="217" t="s">
        <v>85</v>
      </c>
      <c r="V586" s="217" t="s">
        <v>97</v>
      </c>
      <c r="W586" s="217" t="s">
        <v>98</v>
      </c>
    </row>
    <row r="587" spans="1:23" x14ac:dyDescent="0.25">
      <c r="A587" s="217" t="s">
        <v>22</v>
      </c>
      <c r="B587" s="217" t="s">
        <v>23</v>
      </c>
      <c r="C587" s="217" t="s">
        <v>85</v>
      </c>
      <c r="D587" s="217" t="s">
        <v>84</v>
      </c>
      <c r="E587" s="217" t="s">
        <v>98</v>
      </c>
      <c r="F587" s="217" t="s">
        <v>97</v>
      </c>
      <c r="G587" s="217" t="s">
        <v>430</v>
      </c>
      <c r="H587" s="217" t="s">
        <v>1231</v>
      </c>
      <c r="I587" s="217" t="s">
        <v>29</v>
      </c>
      <c r="J587" s="217" t="s">
        <v>1857</v>
      </c>
      <c r="K587" s="217">
        <v>21</v>
      </c>
      <c r="L587" s="217">
        <v>192</v>
      </c>
      <c r="M587" s="217" t="s">
        <v>31</v>
      </c>
      <c r="N587" s="217" t="s">
        <v>32</v>
      </c>
      <c r="O587" s="217" t="s">
        <v>100</v>
      </c>
      <c r="P587" s="217" t="s">
        <v>34</v>
      </c>
      <c r="Q587" s="217" t="s">
        <v>35</v>
      </c>
      <c r="R587" s="217" t="s">
        <v>23</v>
      </c>
      <c r="S587" s="217" t="s">
        <v>22</v>
      </c>
      <c r="T587" s="217" t="s">
        <v>84</v>
      </c>
      <c r="U587" s="217" t="s">
        <v>85</v>
      </c>
      <c r="V587" s="217" t="s">
        <v>97</v>
      </c>
      <c r="W587" s="217" t="s">
        <v>98</v>
      </c>
    </row>
    <row r="588" spans="1:23" x14ac:dyDescent="0.25">
      <c r="A588" s="217" t="s">
        <v>22</v>
      </c>
      <c r="B588" s="217" t="s">
        <v>23</v>
      </c>
      <c r="C588" s="217" t="s">
        <v>85</v>
      </c>
      <c r="D588" s="217" t="s">
        <v>84</v>
      </c>
      <c r="E588" s="217" t="s">
        <v>98</v>
      </c>
      <c r="F588" s="217" t="s">
        <v>97</v>
      </c>
      <c r="G588" s="217" t="s">
        <v>430</v>
      </c>
      <c r="H588" s="217" t="s">
        <v>1231</v>
      </c>
      <c r="I588" s="217" t="s">
        <v>29</v>
      </c>
      <c r="J588" s="217" t="s">
        <v>1858</v>
      </c>
      <c r="K588" s="217">
        <v>20</v>
      </c>
      <c r="L588" s="217">
        <v>210</v>
      </c>
      <c r="M588" s="217" t="s">
        <v>31</v>
      </c>
      <c r="N588" s="217" t="s">
        <v>32</v>
      </c>
      <c r="O588" s="217" t="s">
        <v>100</v>
      </c>
      <c r="P588" s="217" t="s">
        <v>34</v>
      </c>
      <c r="Q588" s="217" t="s">
        <v>35</v>
      </c>
      <c r="R588" s="217" t="s">
        <v>23</v>
      </c>
      <c r="S588" s="217" t="s">
        <v>22</v>
      </c>
      <c r="T588" s="217" t="s">
        <v>84</v>
      </c>
      <c r="U588" s="217" t="s">
        <v>85</v>
      </c>
      <c r="V588" s="217" t="s">
        <v>97</v>
      </c>
      <c r="W588" s="217" t="s">
        <v>98</v>
      </c>
    </row>
    <row r="589" spans="1:23" x14ac:dyDescent="0.25">
      <c r="A589" s="217" t="s">
        <v>22</v>
      </c>
      <c r="B589" s="217" t="s">
        <v>23</v>
      </c>
      <c r="C589" s="217" t="s">
        <v>85</v>
      </c>
      <c r="D589" s="217" t="s">
        <v>84</v>
      </c>
      <c r="E589" s="217" t="s">
        <v>98</v>
      </c>
      <c r="F589" s="217" t="s">
        <v>97</v>
      </c>
      <c r="G589" s="217" t="s">
        <v>167</v>
      </c>
      <c r="H589" s="217" t="s">
        <v>1232</v>
      </c>
      <c r="I589" s="217" t="s">
        <v>29</v>
      </c>
      <c r="J589" s="217" t="s">
        <v>1857</v>
      </c>
      <c r="K589" s="217">
        <v>24</v>
      </c>
      <c r="L589" s="217">
        <v>157</v>
      </c>
      <c r="M589" s="217" t="s">
        <v>31</v>
      </c>
      <c r="N589" s="217" t="s">
        <v>32</v>
      </c>
      <c r="O589" s="217" t="s">
        <v>100</v>
      </c>
      <c r="P589" s="217" t="s">
        <v>34</v>
      </c>
      <c r="Q589" s="217" t="s">
        <v>35</v>
      </c>
      <c r="R589" s="217" t="s">
        <v>23</v>
      </c>
      <c r="S589" s="217" t="s">
        <v>22</v>
      </c>
      <c r="T589" s="217" t="s">
        <v>84</v>
      </c>
      <c r="U589" s="217" t="s">
        <v>85</v>
      </c>
      <c r="V589" s="217" t="s">
        <v>97</v>
      </c>
      <c r="W589" s="217" t="s">
        <v>98</v>
      </c>
    </row>
    <row r="590" spans="1:23" x14ac:dyDescent="0.25">
      <c r="A590" s="217" t="s">
        <v>22</v>
      </c>
      <c r="B590" s="217" t="s">
        <v>23</v>
      </c>
      <c r="C590" s="217" t="s">
        <v>85</v>
      </c>
      <c r="D590" s="217" t="s">
        <v>84</v>
      </c>
      <c r="E590" s="217" t="s">
        <v>98</v>
      </c>
      <c r="F590" s="217" t="s">
        <v>97</v>
      </c>
      <c r="G590" s="217" t="s">
        <v>168</v>
      </c>
      <c r="H590" s="217" t="s">
        <v>1235</v>
      </c>
      <c r="I590" s="217" t="s">
        <v>29</v>
      </c>
      <c r="J590" s="217" t="s">
        <v>1856</v>
      </c>
      <c r="K590" s="217">
        <v>5</v>
      </c>
      <c r="L590" s="217">
        <v>36</v>
      </c>
      <c r="M590" s="217" t="s">
        <v>31</v>
      </c>
      <c r="N590" s="217" t="s">
        <v>32</v>
      </c>
      <c r="O590" s="217" t="s">
        <v>68</v>
      </c>
      <c r="P590" s="217" t="s">
        <v>34</v>
      </c>
      <c r="Q590" s="217" t="s">
        <v>35</v>
      </c>
      <c r="R590" s="217" t="s">
        <v>23</v>
      </c>
      <c r="S590" s="217" t="s">
        <v>22</v>
      </c>
      <c r="T590" s="217" t="s">
        <v>84</v>
      </c>
      <c r="U590" s="217" t="s">
        <v>85</v>
      </c>
      <c r="V590" s="217" t="s">
        <v>91</v>
      </c>
      <c r="W590" s="217" t="s">
        <v>92</v>
      </c>
    </row>
    <row r="591" spans="1:23" x14ac:dyDescent="0.25">
      <c r="A591" s="217" t="s">
        <v>22</v>
      </c>
      <c r="B591" s="217" t="s">
        <v>23</v>
      </c>
      <c r="C591" s="217" t="s">
        <v>85</v>
      </c>
      <c r="D591" s="217" t="s">
        <v>84</v>
      </c>
      <c r="E591" s="217" t="s">
        <v>98</v>
      </c>
      <c r="F591" s="217" t="s">
        <v>97</v>
      </c>
      <c r="G591" s="217" t="s">
        <v>168</v>
      </c>
      <c r="H591" s="217" t="s">
        <v>1235</v>
      </c>
      <c r="I591" s="217" t="s">
        <v>29</v>
      </c>
      <c r="J591" s="217" t="s">
        <v>1857</v>
      </c>
      <c r="K591" s="217">
        <v>3</v>
      </c>
      <c r="L591" s="217">
        <v>14</v>
      </c>
      <c r="M591" s="217" t="s">
        <v>31</v>
      </c>
      <c r="N591" s="217" t="s">
        <v>32</v>
      </c>
      <c r="O591" s="217" t="s">
        <v>68</v>
      </c>
      <c r="P591" s="217" t="s">
        <v>34</v>
      </c>
      <c r="Q591" s="217" t="s">
        <v>35</v>
      </c>
      <c r="R591" s="217" t="s">
        <v>23</v>
      </c>
      <c r="S591" s="217" t="s">
        <v>22</v>
      </c>
      <c r="T591" s="217" t="s">
        <v>84</v>
      </c>
      <c r="U591" s="217" t="s">
        <v>85</v>
      </c>
      <c r="V591" s="217" t="s">
        <v>91</v>
      </c>
      <c r="W591" s="217" t="s">
        <v>92</v>
      </c>
    </row>
    <row r="592" spans="1:23" x14ac:dyDescent="0.25">
      <c r="A592" s="217" t="s">
        <v>22</v>
      </c>
      <c r="B592" s="217" t="s">
        <v>23</v>
      </c>
      <c r="C592" s="217" t="s">
        <v>85</v>
      </c>
      <c r="D592" s="217" t="s">
        <v>84</v>
      </c>
      <c r="E592" s="217" t="s">
        <v>98</v>
      </c>
      <c r="F592" s="217" t="s">
        <v>97</v>
      </c>
      <c r="G592" s="217" t="s">
        <v>432</v>
      </c>
      <c r="H592" s="217" t="s">
        <v>1236</v>
      </c>
      <c r="I592" s="217" t="s">
        <v>29</v>
      </c>
      <c r="J592" s="217" t="s">
        <v>1856</v>
      </c>
      <c r="K592" s="217">
        <v>7</v>
      </c>
      <c r="L592" s="217">
        <v>46</v>
      </c>
      <c r="M592" s="217" t="s">
        <v>31</v>
      </c>
      <c r="N592" s="217" t="s">
        <v>32</v>
      </c>
      <c r="O592" s="217" t="s">
        <v>100</v>
      </c>
      <c r="P592" s="217" t="s">
        <v>34</v>
      </c>
      <c r="Q592" s="217" t="s">
        <v>35</v>
      </c>
      <c r="R592" s="217" t="s">
        <v>23</v>
      </c>
      <c r="S592" s="217" t="s">
        <v>22</v>
      </c>
      <c r="T592" s="217" t="s">
        <v>84</v>
      </c>
      <c r="U592" s="217" t="s">
        <v>85</v>
      </c>
      <c r="V592" s="217" t="s">
        <v>97</v>
      </c>
      <c r="W592" s="217" t="s">
        <v>98</v>
      </c>
    </row>
    <row r="593" spans="1:23" x14ac:dyDescent="0.25">
      <c r="A593" s="217" t="s">
        <v>22</v>
      </c>
      <c r="B593" s="217" t="s">
        <v>23</v>
      </c>
      <c r="C593" s="217" t="s">
        <v>85</v>
      </c>
      <c r="D593" s="217" t="s">
        <v>84</v>
      </c>
      <c r="E593" s="217" t="s">
        <v>98</v>
      </c>
      <c r="F593" s="217" t="s">
        <v>97</v>
      </c>
      <c r="G593" s="217" t="s">
        <v>1237</v>
      </c>
      <c r="H593" s="217" t="s">
        <v>1238</v>
      </c>
      <c r="I593" s="217" t="s">
        <v>29</v>
      </c>
      <c r="J593" s="217" t="s">
        <v>1858</v>
      </c>
      <c r="K593" s="217">
        <v>25</v>
      </c>
      <c r="L593" s="217">
        <v>100</v>
      </c>
      <c r="M593" s="217" t="s">
        <v>31</v>
      </c>
      <c r="N593" s="217" t="s">
        <v>32</v>
      </c>
      <c r="O593" s="217" t="s">
        <v>68</v>
      </c>
      <c r="P593" s="217" t="s">
        <v>34</v>
      </c>
      <c r="Q593" s="217" t="s">
        <v>35</v>
      </c>
      <c r="R593" s="217" t="s">
        <v>23</v>
      </c>
      <c r="S593" s="217" t="s">
        <v>22</v>
      </c>
      <c r="T593" s="217" t="s">
        <v>84</v>
      </c>
      <c r="U593" s="217" t="s">
        <v>85</v>
      </c>
      <c r="V593" s="217" t="s">
        <v>91</v>
      </c>
      <c r="W593" s="217" t="s">
        <v>92</v>
      </c>
    </row>
    <row r="594" spans="1:23" x14ac:dyDescent="0.25">
      <c r="A594" s="217" t="s">
        <v>22</v>
      </c>
      <c r="B594" s="217" t="s">
        <v>23</v>
      </c>
      <c r="C594" s="217" t="s">
        <v>85</v>
      </c>
      <c r="D594" s="217" t="s">
        <v>84</v>
      </c>
      <c r="E594" s="217" t="s">
        <v>98</v>
      </c>
      <c r="F594" s="217" t="s">
        <v>97</v>
      </c>
      <c r="G594" s="217" t="s">
        <v>1239</v>
      </c>
      <c r="H594" s="217" t="s">
        <v>1240</v>
      </c>
      <c r="I594" s="217" t="s">
        <v>29</v>
      </c>
      <c r="J594" s="217" t="s">
        <v>1858</v>
      </c>
      <c r="K594" s="217">
        <v>49</v>
      </c>
      <c r="L594" s="217">
        <v>195</v>
      </c>
      <c r="M594" s="217" t="s">
        <v>31</v>
      </c>
      <c r="N594" s="217" t="s">
        <v>32</v>
      </c>
      <c r="O594" s="217" t="s">
        <v>68</v>
      </c>
      <c r="P594" s="217" t="s">
        <v>34</v>
      </c>
      <c r="Q594" s="217" t="s">
        <v>35</v>
      </c>
      <c r="R594" s="217" t="s">
        <v>23</v>
      </c>
      <c r="S594" s="217" t="s">
        <v>22</v>
      </c>
      <c r="T594" s="217" t="s">
        <v>84</v>
      </c>
      <c r="U594" s="217" t="s">
        <v>85</v>
      </c>
      <c r="V594" s="217" t="s">
        <v>91</v>
      </c>
      <c r="W594" s="217" t="s">
        <v>92</v>
      </c>
    </row>
    <row r="595" spans="1:23" x14ac:dyDescent="0.25">
      <c r="A595" s="217" t="s">
        <v>22</v>
      </c>
      <c r="B595" s="217" t="s">
        <v>23</v>
      </c>
      <c r="C595" s="217" t="s">
        <v>85</v>
      </c>
      <c r="D595" s="217" t="s">
        <v>84</v>
      </c>
      <c r="E595" s="217" t="s">
        <v>98</v>
      </c>
      <c r="F595" s="217" t="s">
        <v>97</v>
      </c>
      <c r="G595" s="217" t="s">
        <v>433</v>
      </c>
      <c r="H595" s="217" t="s">
        <v>1241</v>
      </c>
      <c r="I595" s="217" t="s">
        <v>29</v>
      </c>
      <c r="J595" s="217" t="s">
        <v>1855</v>
      </c>
      <c r="K595" s="217">
        <v>10</v>
      </c>
      <c r="L595" s="217">
        <v>52</v>
      </c>
      <c r="M595" s="217" t="s">
        <v>31</v>
      </c>
      <c r="N595" s="217" t="s">
        <v>32</v>
      </c>
      <c r="O595" s="217" t="s">
        <v>68</v>
      </c>
      <c r="P595" s="217" t="s">
        <v>34</v>
      </c>
      <c r="Q595" s="217" t="s">
        <v>35</v>
      </c>
      <c r="R595" s="217" t="s">
        <v>23</v>
      </c>
      <c r="S595" s="217" t="s">
        <v>22</v>
      </c>
      <c r="T595" s="217" t="s">
        <v>84</v>
      </c>
      <c r="U595" s="217" t="s">
        <v>85</v>
      </c>
      <c r="V595" s="217" t="s">
        <v>91</v>
      </c>
      <c r="W595" s="217" t="s">
        <v>92</v>
      </c>
    </row>
    <row r="596" spans="1:23" x14ac:dyDescent="0.25">
      <c r="A596" s="217" t="s">
        <v>22</v>
      </c>
      <c r="B596" s="217" t="s">
        <v>23</v>
      </c>
      <c r="C596" s="217" t="s">
        <v>85</v>
      </c>
      <c r="D596" s="217" t="s">
        <v>84</v>
      </c>
      <c r="E596" s="217" t="s">
        <v>98</v>
      </c>
      <c r="F596" s="217" t="s">
        <v>97</v>
      </c>
      <c r="G596" s="217" t="s">
        <v>433</v>
      </c>
      <c r="H596" s="217" t="s">
        <v>1241</v>
      </c>
      <c r="I596" s="217" t="s">
        <v>29</v>
      </c>
      <c r="J596" s="217" t="s">
        <v>1858</v>
      </c>
      <c r="K596" s="217">
        <v>4</v>
      </c>
      <c r="L596" s="217">
        <v>25</v>
      </c>
      <c r="M596" s="217" t="s">
        <v>31</v>
      </c>
      <c r="N596" s="217" t="s">
        <v>32</v>
      </c>
      <c r="O596" s="217" t="s">
        <v>68</v>
      </c>
      <c r="P596" s="217" t="s">
        <v>34</v>
      </c>
      <c r="Q596" s="217" t="s">
        <v>35</v>
      </c>
      <c r="R596" s="217" t="s">
        <v>23</v>
      </c>
      <c r="S596" s="217" t="s">
        <v>22</v>
      </c>
      <c r="T596" s="217" t="s">
        <v>84</v>
      </c>
      <c r="U596" s="217" t="s">
        <v>85</v>
      </c>
      <c r="V596" s="217" t="s">
        <v>109</v>
      </c>
      <c r="W596" s="217" t="s">
        <v>110</v>
      </c>
    </row>
    <row r="597" spans="1:23" x14ac:dyDescent="0.25">
      <c r="A597" s="217" t="s">
        <v>22</v>
      </c>
      <c r="B597" s="217" t="s">
        <v>23</v>
      </c>
      <c r="C597" s="217" t="s">
        <v>85</v>
      </c>
      <c r="D597" s="217" t="s">
        <v>84</v>
      </c>
      <c r="E597" s="217" t="s">
        <v>98</v>
      </c>
      <c r="F597" s="217" t="s">
        <v>97</v>
      </c>
      <c r="G597" s="217" t="s">
        <v>702</v>
      </c>
      <c r="H597" s="217" t="s">
        <v>1520</v>
      </c>
      <c r="I597" s="217" t="s">
        <v>29</v>
      </c>
      <c r="J597" s="217" t="s">
        <v>1858</v>
      </c>
      <c r="K597" s="217">
        <v>3</v>
      </c>
      <c r="L597" s="217">
        <v>17</v>
      </c>
      <c r="M597" s="217" t="s">
        <v>31</v>
      </c>
      <c r="N597" s="217" t="s">
        <v>32</v>
      </c>
      <c r="O597" s="217" t="s">
        <v>100</v>
      </c>
      <c r="P597" s="217" t="s">
        <v>34</v>
      </c>
      <c r="Q597" s="217" t="s">
        <v>35</v>
      </c>
      <c r="R597" s="217" t="s">
        <v>23</v>
      </c>
      <c r="S597" s="217" t="s">
        <v>22</v>
      </c>
      <c r="T597" s="217" t="s">
        <v>84</v>
      </c>
      <c r="U597" s="217" t="s">
        <v>85</v>
      </c>
      <c r="V597" s="217" t="s">
        <v>97</v>
      </c>
      <c r="W597" s="217" t="s">
        <v>98</v>
      </c>
    </row>
    <row r="598" spans="1:23" x14ac:dyDescent="0.25">
      <c r="A598" s="217" t="s">
        <v>22</v>
      </c>
      <c r="B598" s="217" t="s">
        <v>23</v>
      </c>
      <c r="C598" s="217" t="s">
        <v>85</v>
      </c>
      <c r="D598" s="217" t="s">
        <v>84</v>
      </c>
      <c r="E598" s="217" t="s">
        <v>98</v>
      </c>
      <c r="F598" s="217" t="s">
        <v>97</v>
      </c>
      <c r="G598" s="217" t="s">
        <v>434</v>
      </c>
      <c r="H598" s="217" t="s">
        <v>1242</v>
      </c>
      <c r="I598" s="217" t="s">
        <v>29</v>
      </c>
      <c r="J598" s="217" t="s">
        <v>1856</v>
      </c>
      <c r="K598" s="217">
        <v>2</v>
      </c>
      <c r="L598" s="217">
        <v>25</v>
      </c>
      <c r="M598" s="217" t="s">
        <v>31</v>
      </c>
      <c r="N598" s="217" t="s">
        <v>32</v>
      </c>
      <c r="O598" s="217" t="s">
        <v>100</v>
      </c>
      <c r="P598" s="217" t="s">
        <v>34</v>
      </c>
      <c r="Q598" s="217" t="s">
        <v>35</v>
      </c>
      <c r="R598" s="217" t="s">
        <v>23</v>
      </c>
      <c r="S598" s="217" t="s">
        <v>22</v>
      </c>
      <c r="T598" s="217" t="s">
        <v>84</v>
      </c>
      <c r="U598" s="217" t="s">
        <v>85</v>
      </c>
      <c r="V598" s="217" t="s">
        <v>97</v>
      </c>
      <c r="W598" s="217" t="s">
        <v>98</v>
      </c>
    </row>
    <row r="599" spans="1:23" x14ac:dyDescent="0.25">
      <c r="A599" s="217" t="s">
        <v>22</v>
      </c>
      <c r="B599" s="217" t="s">
        <v>23</v>
      </c>
      <c r="C599" s="217" t="s">
        <v>85</v>
      </c>
      <c r="D599" s="217" t="s">
        <v>84</v>
      </c>
      <c r="E599" s="217" t="s">
        <v>98</v>
      </c>
      <c r="F599" s="217" t="s">
        <v>97</v>
      </c>
      <c r="G599" s="217" t="s">
        <v>434</v>
      </c>
      <c r="H599" s="217" t="s">
        <v>1242</v>
      </c>
      <c r="I599" s="217" t="s">
        <v>29</v>
      </c>
      <c r="J599" s="217" t="s">
        <v>1857</v>
      </c>
      <c r="K599" s="217">
        <v>82</v>
      </c>
      <c r="L599" s="217">
        <v>1075</v>
      </c>
      <c r="M599" s="217" t="s">
        <v>31</v>
      </c>
      <c r="N599" s="217" t="s">
        <v>32</v>
      </c>
      <c r="O599" s="217" t="s">
        <v>100</v>
      </c>
      <c r="P599" s="217" t="s">
        <v>34</v>
      </c>
      <c r="Q599" s="217" t="s">
        <v>35</v>
      </c>
      <c r="R599" s="217" t="s">
        <v>23</v>
      </c>
      <c r="S599" s="217" t="s">
        <v>22</v>
      </c>
      <c r="T599" s="217" t="s">
        <v>84</v>
      </c>
      <c r="U599" s="217" t="s">
        <v>85</v>
      </c>
      <c r="V599" s="217" t="s">
        <v>97</v>
      </c>
      <c r="W599" s="217" t="s">
        <v>98</v>
      </c>
    </row>
    <row r="600" spans="1:23" x14ac:dyDescent="0.25">
      <c r="A600" s="217" t="s">
        <v>22</v>
      </c>
      <c r="B600" s="217" t="s">
        <v>23</v>
      </c>
      <c r="C600" s="217" t="s">
        <v>85</v>
      </c>
      <c r="D600" s="217" t="s">
        <v>84</v>
      </c>
      <c r="E600" s="217" t="s">
        <v>98</v>
      </c>
      <c r="F600" s="217" t="s">
        <v>97</v>
      </c>
      <c r="G600" s="217" t="s">
        <v>434</v>
      </c>
      <c r="H600" s="217" t="s">
        <v>1242</v>
      </c>
      <c r="I600" s="217" t="s">
        <v>29</v>
      </c>
      <c r="J600" s="217" t="s">
        <v>1858</v>
      </c>
      <c r="K600" s="217">
        <v>39</v>
      </c>
      <c r="L600" s="217">
        <v>332</v>
      </c>
      <c r="M600" s="217" t="s">
        <v>31</v>
      </c>
      <c r="N600" s="217" t="s">
        <v>32</v>
      </c>
      <c r="O600" s="217" t="s">
        <v>100</v>
      </c>
      <c r="P600" s="217" t="s">
        <v>34</v>
      </c>
      <c r="Q600" s="217" t="s">
        <v>35</v>
      </c>
      <c r="R600" s="217" t="s">
        <v>23</v>
      </c>
      <c r="S600" s="217" t="s">
        <v>22</v>
      </c>
      <c r="T600" s="217" t="s">
        <v>84</v>
      </c>
      <c r="U600" s="217" t="s">
        <v>85</v>
      </c>
      <c r="V600" s="217" t="s">
        <v>97</v>
      </c>
      <c r="W600" s="217" t="s">
        <v>98</v>
      </c>
    </row>
    <row r="601" spans="1:23" x14ac:dyDescent="0.25">
      <c r="A601" s="217" t="s">
        <v>22</v>
      </c>
      <c r="B601" s="217" t="s">
        <v>23</v>
      </c>
      <c r="C601" s="217" t="s">
        <v>85</v>
      </c>
      <c r="D601" s="217" t="s">
        <v>84</v>
      </c>
      <c r="E601" s="217" t="s">
        <v>98</v>
      </c>
      <c r="F601" s="217" t="s">
        <v>97</v>
      </c>
      <c r="G601" s="217" t="s">
        <v>1243</v>
      </c>
      <c r="H601" s="217" t="s">
        <v>1244</v>
      </c>
      <c r="I601" s="217" t="s">
        <v>29</v>
      </c>
      <c r="J601" s="217" t="s">
        <v>1858</v>
      </c>
      <c r="K601" s="217">
        <v>3</v>
      </c>
      <c r="L601" s="217">
        <v>21</v>
      </c>
      <c r="M601" s="217" t="s">
        <v>31</v>
      </c>
      <c r="N601" s="217" t="s">
        <v>32</v>
      </c>
      <c r="O601" s="217" t="s">
        <v>68</v>
      </c>
      <c r="P601" s="217" t="s">
        <v>34</v>
      </c>
      <c r="Q601" s="217" t="s">
        <v>35</v>
      </c>
      <c r="R601" s="217" t="s">
        <v>23</v>
      </c>
      <c r="S601" s="217" t="s">
        <v>22</v>
      </c>
      <c r="T601" s="217" t="s">
        <v>84</v>
      </c>
      <c r="U601" s="217" t="s">
        <v>85</v>
      </c>
      <c r="V601" s="217" t="s">
        <v>91</v>
      </c>
      <c r="W601" s="217" t="s">
        <v>92</v>
      </c>
    </row>
    <row r="602" spans="1:23" x14ac:dyDescent="0.25">
      <c r="A602" s="217" t="s">
        <v>22</v>
      </c>
      <c r="B602" s="217" t="s">
        <v>23</v>
      </c>
      <c r="C602" s="217" t="s">
        <v>85</v>
      </c>
      <c r="D602" s="217" t="s">
        <v>84</v>
      </c>
      <c r="E602" s="217" t="s">
        <v>98</v>
      </c>
      <c r="F602" s="217" t="s">
        <v>97</v>
      </c>
      <c r="G602" s="217" t="s">
        <v>1245</v>
      </c>
      <c r="H602" s="217" t="s">
        <v>1246</v>
      </c>
      <c r="I602" s="217" t="s">
        <v>29</v>
      </c>
      <c r="J602" s="217" t="s">
        <v>1858</v>
      </c>
      <c r="K602" s="217">
        <v>16</v>
      </c>
      <c r="L602" s="217">
        <v>80</v>
      </c>
      <c r="M602" s="217" t="s">
        <v>31</v>
      </c>
      <c r="N602" s="217" t="s">
        <v>32</v>
      </c>
      <c r="O602" s="217" t="s">
        <v>100</v>
      </c>
      <c r="P602" s="217" t="s">
        <v>34</v>
      </c>
      <c r="Q602" s="217" t="s">
        <v>35</v>
      </c>
      <c r="R602" s="217" t="s">
        <v>23</v>
      </c>
      <c r="S602" s="217" t="s">
        <v>22</v>
      </c>
      <c r="T602" s="217" t="s">
        <v>84</v>
      </c>
      <c r="U602" s="217" t="s">
        <v>85</v>
      </c>
      <c r="V602" s="217" t="s">
        <v>97</v>
      </c>
      <c r="W602" s="217" t="s">
        <v>98</v>
      </c>
    </row>
    <row r="603" spans="1:23" x14ac:dyDescent="0.25">
      <c r="A603" s="217" t="s">
        <v>22</v>
      </c>
      <c r="B603" s="217" t="s">
        <v>23</v>
      </c>
      <c r="C603" s="217" t="s">
        <v>85</v>
      </c>
      <c r="D603" s="217" t="s">
        <v>84</v>
      </c>
      <c r="E603" s="217" t="s">
        <v>98</v>
      </c>
      <c r="F603" s="217" t="s">
        <v>97</v>
      </c>
      <c r="G603" s="217" t="s">
        <v>435</v>
      </c>
      <c r="H603" s="217" t="s">
        <v>1247</v>
      </c>
      <c r="I603" s="217" t="s">
        <v>29</v>
      </c>
      <c r="J603" s="217" t="s">
        <v>1856</v>
      </c>
      <c r="K603" s="217">
        <v>8</v>
      </c>
      <c r="L603" s="217">
        <v>47</v>
      </c>
      <c r="M603" s="217" t="s">
        <v>31</v>
      </c>
      <c r="N603" s="217" t="s">
        <v>32</v>
      </c>
      <c r="O603" s="217" t="s">
        <v>100</v>
      </c>
      <c r="P603" s="217" t="s">
        <v>34</v>
      </c>
      <c r="Q603" s="217" t="s">
        <v>35</v>
      </c>
      <c r="R603" s="217" t="s">
        <v>23</v>
      </c>
      <c r="S603" s="217" t="s">
        <v>22</v>
      </c>
      <c r="T603" s="217" t="s">
        <v>84</v>
      </c>
      <c r="U603" s="217" t="s">
        <v>85</v>
      </c>
      <c r="V603" s="217" t="s">
        <v>97</v>
      </c>
      <c r="W603" s="217" t="s">
        <v>98</v>
      </c>
    </row>
    <row r="604" spans="1:23" x14ac:dyDescent="0.25">
      <c r="A604" s="217" t="s">
        <v>22</v>
      </c>
      <c r="B604" s="217" t="s">
        <v>23</v>
      </c>
      <c r="C604" s="217" t="s">
        <v>85</v>
      </c>
      <c r="D604" s="217" t="s">
        <v>84</v>
      </c>
      <c r="E604" s="217" t="s">
        <v>98</v>
      </c>
      <c r="F604" s="217" t="s">
        <v>97</v>
      </c>
      <c r="G604" s="217" t="s">
        <v>435</v>
      </c>
      <c r="H604" s="217" t="s">
        <v>1247</v>
      </c>
      <c r="I604" s="217" t="s">
        <v>29</v>
      </c>
      <c r="J604" s="217" t="s">
        <v>1857</v>
      </c>
      <c r="K604" s="217">
        <v>4</v>
      </c>
      <c r="L604" s="217">
        <v>23</v>
      </c>
      <c r="M604" s="217" t="s">
        <v>31</v>
      </c>
      <c r="N604" s="217" t="s">
        <v>32</v>
      </c>
      <c r="O604" s="217" t="s">
        <v>100</v>
      </c>
      <c r="P604" s="217" t="s">
        <v>34</v>
      </c>
      <c r="Q604" s="217" t="s">
        <v>35</v>
      </c>
      <c r="R604" s="217" t="s">
        <v>23</v>
      </c>
      <c r="S604" s="217" t="s">
        <v>22</v>
      </c>
      <c r="T604" s="217" t="s">
        <v>84</v>
      </c>
      <c r="U604" s="217" t="s">
        <v>85</v>
      </c>
      <c r="V604" s="217" t="s">
        <v>97</v>
      </c>
      <c r="W604" s="217" t="s">
        <v>98</v>
      </c>
    </row>
    <row r="605" spans="1:23" x14ac:dyDescent="0.25">
      <c r="A605" s="217" t="s">
        <v>22</v>
      </c>
      <c r="B605" s="217" t="s">
        <v>23</v>
      </c>
      <c r="C605" s="217" t="s">
        <v>85</v>
      </c>
      <c r="D605" s="217" t="s">
        <v>84</v>
      </c>
      <c r="E605" s="217" t="s">
        <v>98</v>
      </c>
      <c r="F605" s="217" t="s">
        <v>97</v>
      </c>
      <c r="G605" s="217" t="s">
        <v>436</v>
      </c>
      <c r="H605" s="217" t="s">
        <v>1248</v>
      </c>
      <c r="I605" s="217" t="s">
        <v>29</v>
      </c>
      <c r="J605" s="217" t="s">
        <v>1856</v>
      </c>
      <c r="K605" s="217">
        <v>7</v>
      </c>
      <c r="L605" s="217">
        <v>68</v>
      </c>
      <c r="M605" s="217" t="s">
        <v>31</v>
      </c>
      <c r="N605" s="217" t="s">
        <v>32</v>
      </c>
      <c r="O605" s="217" t="s">
        <v>68</v>
      </c>
      <c r="P605" s="217" t="s">
        <v>34</v>
      </c>
      <c r="Q605" s="217" t="s">
        <v>35</v>
      </c>
      <c r="R605" s="217" t="s">
        <v>23</v>
      </c>
      <c r="S605" s="217" t="s">
        <v>22</v>
      </c>
      <c r="T605" s="217" t="s">
        <v>84</v>
      </c>
      <c r="U605" s="217" t="s">
        <v>85</v>
      </c>
      <c r="V605" s="217" t="s">
        <v>109</v>
      </c>
      <c r="W605" s="217" t="s">
        <v>110</v>
      </c>
    </row>
    <row r="606" spans="1:23" x14ac:dyDescent="0.25">
      <c r="A606" s="217" t="s">
        <v>22</v>
      </c>
      <c r="B606" s="217" t="s">
        <v>23</v>
      </c>
      <c r="C606" s="217" t="s">
        <v>85</v>
      </c>
      <c r="D606" s="217" t="s">
        <v>84</v>
      </c>
      <c r="E606" s="217" t="s">
        <v>98</v>
      </c>
      <c r="F606" s="217" t="s">
        <v>97</v>
      </c>
      <c r="G606" s="217" t="s">
        <v>436</v>
      </c>
      <c r="H606" s="217" t="s">
        <v>1248</v>
      </c>
      <c r="I606" s="217" t="s">
        <v>29</v>
      </c>
      <c r="J606" s="217" t="s">
        <v>1858</v>
      </c>
      <c r="K606" s="217">
        <v>9</v>
      </c>
      <c r="L606" s="217">
        <v>45</v>
      </c>
      <c r="M606" s="217" t="s">
        <v>31</v>
      </c>
      <c r="N606" s="217" t="s">
        <v>32</v>
      </c>
      <c r="O606" s="217" t="s">
        <v>68</v>
      </c>
      <c r="P606" s="217" t="s">
        <v>34</v>
      </c>
      <c r="Q606" s="217" t="s">
        <v>35</v>
      </c>
      <c r="R606" s="217" t="s">
        <v>23</v>
      </c>
      <c r="S606" s="217" t="s">
        <v>22</v>
      </c>
      <c r="T606" s="217" t="s">
        <v>84</v>
      </c>
      <c r="U606" s="217" t="s">
        <v>85</v>
      </c>
      <c r="V606" s="217" t="s">
        <v>109</v>
      </c>
      <c r="W606" s="217" t="s">
        <v>110</v>
      </c>
    </row>
    <row r="607" spans="1:23" x14ac:dyDescent="0.25">
      <c r="A607" s="217" t="s">
        <v>22</v>
      </c>
      <c r="B607" s="217" t="s">
        <v>23</v>
      </c>
      <c r="C607" s="217" t="s">
        <v>85</v>
      </c>
      <c r="D607" s="217" t="s">
        <v>84</v>
      </c>
      <c r="E607" s="217" t="s">
        <v>98</v>
      </c>
      <c r="F607" s="217" t="s">
        <v>97</v>
      </c>
      <c r="G607" s="217" t="s">
        <v>2139</v>
      </c>
      <c r="H607" s="217" t="s">
        <v>2140</v>
      </c>
      <c r="I607" s="217" t="s">
        <v>29</v>
      </c>
      <c r="J607" s="217" t="s">
        <v>1858</v>
      </c>
      <c r="K607" s="217">
        <v>20</v>
      </c>
      <c r="L607" s="217">
        <v>170</v>
      </c>
      <c r="M607" s="217" t="s">
        <v>31</v>
      </c>
      <c r="N607" s="217" t="s">
        <v>32</v>
      </c>
      <c r="O607" s="217" t="s">
        <v>100</v>
      </c>
      <c r="P607" s="217" t="s">
        <v>34</v>
      </c>
      <c r="Q607" s="217" t="s">
        <v>35</v>
      </c>
      <c r="R607" s="217" t="s">
        <v>23</v>
      </c>
      <c r="S607" s="217" t="s">
        <v>22</v>
      </c>
      <c r="T607" s="217" t="s">
        <v>84</v>
      </c>
      <c r="U607" s="217" t="s">
        <v>85</v>
      </c>
      <c r="V607" s="217" t="s">
        <v>97</v>
      </c>
      <c r="W607" s="217" t="s">
        <v>98</v>
      </c>
    </row>
    <row r="608" spans="1:23" x14ac:dyDescent="0.25">
      <c r="A608" s="217" t="s">
        <v>22</v>
      </c>
      <c r="B608" s="217" t="s">
        <v>23</v>
      </c>
      <c r="C608" s="217" t="s">
        <v>85</v>
      </c>
      <c r="D608" s="217" t="s">
        <v>84</v>
      </c>
      <c r="E608" s="217" t="s">
        <v>98</v>
      </c>
      <c r="F608" s="217" t="s">
        <v>97</v>
      </c>
      <c r="G608" s="217" t="s">
        <v>1249</v>
      </c>
      <c r="H608" s="217" t="s">
        <v>1250</v>
      </c>
      <c r="I608" s="217" t="s">
        <v>29</v>
      </c>
      <c r="J608" s="217" t="s">
        <v>1858</v>
      </c>
      <c r="K608" s="217">
        <v>6</v>
      </c>
      <c r="L608" s="217">
        <v>35</v>
      </c>
      <c r="M608" s="217" t="s">
        <v>31</v>
      </c>
      <c r="N608" s="217" t="s">
        <v>32</v>
      </c>
      <c r="O608" s="217" t="s">
        <v>68</v>
      </c>
      <c r="P608" s="217" t="s">
        <v>34</v>
      </c>
      <c r="Q608" s="217" t="s">
        <v>35</v>
      </c>
      <c r="R608" s="217" t="s">
        <v>23</v>
      </c>
      <c r="S608" s="217" t="s">
        <v>22</v>
      </c>
      <c r="T608" s="217" t="s">
        <v>84</v>
      </c>
      <c r="U608" s="217" t="s">
        <v>85</v>
      </c>
      <c r="V608" s="217" t="s">
        <v>91</v>
      </c>
      <c r="W608" s="217" t="s">
        <v>92</v>
      </c>
    </row>
    <row r="609" spans="1:23" x14ac:dyDescent="0.25">
      <c r="A609" s="217" t="s">
        <v>22</v>
      </c>
      <c r="B609" s="217" t="s">
        <v>23</v>
      </c>
      <c r="C609" s="217" t="s">
        <v>85</v>
      </c>
      <c r="D609" s="217" t="s">
        <v>84</v>
      </c>
      <c r="E609" s="217" t="s">
        <v>98</v>
      </c>
      <c r="F609" s="217" t="s">
        <v>97</v>
      </c>
      <c r="G609" s="217" t="s">
        <v>1251</v>
      </c>
      <c r="H609" s="217" t="s">
        <v>1252</v>
      </c>
      <c r="I609" s="217" t="s">
        <v>29</v>
      </c>
      <c r="J609" s="217" t="s">
        <v>1855</v>
      </c>
      <c r="K609" s="217">
        <v>7</v>
      </c>
      <c r="L609" s="217">
        <v>55</v>
      </c>
      <c r="M609" s="217" t="s">
        <v>31</v>
      </c>
      <c r="N609" s="217" t="s">
        <v>32</v>
      </c>
      <c r="O609" s="217" t="s">
        <v>100</v>
      </c>
      <c r="P609" s="217" t="s">
        <v>34</v>
      </c>
      <c r="Q609" s="217" t="s">
        <v>35</v>
      </c>
      <c r="R609" s="217" t="s">
        <v>23</v>
      </c>
      <c r="S609" s="217" t="s">
        <v>22</v>
      </c>
      <c r="T609" s="217" t="s">
        <v>84</v>
      </c>
      <c r="U609" s="217" t="s">
        <v>85</v>
      </c>
      <c r="V609" s="217" t="s">
        <v>97</v>
      </c>
      <c r="W609" s="217" t="s">
        <v>98</v>
      </c>
    </row>
    <row r="610" spans="1:23" x14ac:dyDescent="0.25">
      <c r="A610" s="217" t="s">
        <v>22</v>
      </c>
      <c r="B610" s="217" t="s">
        <v>23</v>
      </c>
      <c r="C610" s="217" t="s">
        <v>85</v>
      </c>
      <c r="D610" s="217" t="s">
        <v>84</v>
      </c>
      <c r="E610" s="217" t="s">
        <v>98</v>
      </c>
      <c r="F610" s="217" t="s">
        <v>97</v>
      </c>
      <c r="G610" s="217" t="s">
        <v>437</v>
      </c>
      <c r="H610" s="217" t="s">
        <v>1253</v>
      </c>
      <c r="I610" s="217" t="s">
        <v>29</v>
      </c>
      <c r="J610" s="217" t="s">
        <v>1855</v>
      </c>
      <c r="K610" s="217">
        <v>6</v>
      </c>
      <c r="L610" s="217">
        <v>32</v>
      </c>
      <c r="M610" s="217" t="s">
        <v>31</v>
      </c>
      <c r="N610" s="217" t="s">
        <v>32</v>
      </c>
      <c r="O610" s="217" t="s">
        <v>68</v>
      </c>
      <c r="P610" s="217" t="s">
        <v>34</v>
      </c>
      <c r="Q610" s="217" t="s">
        <v>35</v>
      </c>
      <c r="R610" s="217" t="s">
        <v>23</v>
      </c>
      <c r="S610" s="217" t="s">
        <v>22</v>
      </c>
      <c r="T610" s="217" t="s">
        <v>84</v>
      </c>
      <c r="U610" s="217" t="s">
        <v>85</v>
      </c>
      <c r="V610" s="217" t="s">
        <v>91</v>
      </c>
      <c r="W610" s="217" t="s">
        <v>92</v>
      </c>
    </row>
    <row r="611" spans="1:23" x14ac:dyDescent="0.25">
      <c r="A611" s="217" t="s">
        <v>22</v>
      </c>
      <c r="B611" s="217" t="s">
        <v>23</v>
      </c>
      <c r="C611" s="217" t="s">
        <v>85</v>
      </c>
      <c r="D611" s="217" t="s">
        <v>84</v>
      </c>
      <c r="E611" s="217" t="s">
        <v>98</v>
      </c>
      <c r="F611" s="217" t="s">
        <v>97</v>
      </c>
      <c r="G611" s="217" t="s">
        <v>438</v>
      </c>
      <c r="H611" s="217" t="s">
        <v>1254</v>
      </c>
      <c r="I611" s="217" t="s">
        <v>29</v>
      </c>
      <c r="J611" s="217" t="s">
        <v>1857</v>
      </c>
      <c r="K611" s="217">
        <v>7</v>
      </c>
      <c r="L611" s="217">
        <v>56</v>
      </c>
      <c r="M611" s="217" t="s">
        <v>31</v>
      </c>
      <c r="N611" s="217" t="s">
        <v>32</v>
      </c>
      <c r="O611" s="217" t="s">
        <v>68</v>
      </c>
      <c r="P611" s="217" t="s">
        <v>34</v>
      </c>
      <c r="Q611" s="217" t="s">
        <v>35</v>
      </c>
      <c r="R611" s="217" t="s">
        <v>23</v>
      </c>
      <c r="S611" s="217" t="s">
        <v>22</v>
      </c>
      <c r="T611" s="217" t="s">
        <v>84</v>
      </c>
      <c r="U611" s="217" t="s">
        <v>85</v>
      </c>
      <c r="V611" s="217" t="s">
        <v>109</v>
      </c>
      <c r="W611" s="217" t="s">
        <v>110</v>
      </c>
    </row>
    <row r="612" spans="1:23" x14ac:dyDescent="0.25">
      <c r="A612" s="217" t="s">
        <v>22</v>
      </c>
      <c r="B612" s="217" t="s">
        <v>23</v>
      </c>
      <c r="C612" s="217" t="s">
        <v>85</v>
      </c>
      <c r="D612" s="217" t="s">
        <v>84</v>
      </c>
      <c r="E612" s="217" t="s">
        <v>98</v>
      </c>
      <c r="F612" s="217" t="s">
        <v>97</v>
      </c>
      <c r="G612" s="217" t="s">
        <v>439</v>
      </c>
      <c r="H612" s="217" t="s">
        <v>1255</v>
      </c>
      <c r="I612" s="217" t="s">
        <v>29</v>
      </c>
      <c r="J612" s="217" t="s">
        <v>1855</v>
      </c>
      <c r="K612" s="217">
        <v>6</v>
      </c>
      <c r="L612" s="217">
        <v>30</v>
      </c>
      <c r="M612" s="217" t="s">
        <v>31</v>
      </c>
      <c r="N612" s="217" t="s">
        <v>32</v>
      </c>
      <c r="O612" s="217" t="s">
        <v>68</v>
      </c>
      <c r="P612" s="217" t="s">
        <v>34</v>
      </c>
      <c r="Q612" s="217" t="s">
        <v>35</v>
      </c>
      <c r="R612" s="217" t="s">
        <v>23</v>
      </c>
      <c r="S612" s="217" t="s">
        <v>22</v>
      </c>
      <c r="T612" s="217" t="s">
        <v>84</v>
      </c>
      <c r="U612" s="217" t="s">
        <v>85</v>
      </c>
      <c r="V612" s="217" t="s">
        <v>91</v>
      </c>
      <c r="W612" s="217" t="s">
        <v>92</v>
      </c>
    </row>
    <row r="613" spans="1:23" x14ac:dyDescent="0.25">
      <c r="A613" s="217" t="s">
        <v>22</v>
      </c>
      <c r="B613" s="217" t="s">
        <v>23</v>
      </c>
      <c r="C613" s="217" t="s">
        <v>85</v>
      </c>
      <c r="D613" s="217" t="s">
        <v>84</v>
      </c>
      <c r="E613" s="217" t="s">
        <v>98</v>
      </c>
      <c r="F613" s="217" t="s">
        <v>97</v>
      </c>
      <c r="G613" s="217" t="s">
        <v>439</v>
      </c>
      <c r="H613" s="217" t="s">
        <v>1255</v>
      </c>
      <c r="I613" s="217" t="s">
        <v>29</v>
      </c>
      <c r="J613" s="217" t="s">
        <v>1856</v>
      </c>
      <c r="K613" s="217">
        <v>7</v>
      </c>
      <c r="L613" s="217">
        <v>35</v>
      </c>
      <c r="M613" s="217" t="s">
        <v>31</v>
      </c>
      <c r="N613" s="217" t="s">
        <v>32</v>
      </c>
      <c r="O613" s="217" t="s">
        <v>68</v>
      </c>
      <c r="P613" s="217" t="s">
        <v>34</v>
      </c>
      <c r="Q613" s="217" t="s">
        <v>35</v>
      </c>
      <c r="R613" s="217" t="s">
        <v>23</v>
      </c>
      <c r="S613" s="217" t="s">
        <v>22</v>
      </c>
      <c r="T613" s="217" t="s">
        <v>84</v>
      </c>
      <c r="U613" s="217" t="s">
        <v>85</v>
      </c>
      <c r="V613" s="217" t="s">
        <v>91</v>
      </c>
      <c r="W613" s="217" t="s">
        <v>92</v>
      </c>
    </row>
    <row r="614" spans="1:23" x14ac:dyDescent="0.25">
      <c r="A614" s="217" t="s">
        <v>22</v>
      </c>
      <c r="B614" s="217" t="s">
        <v>23</v>
      </c>
      <c r="C614" s="217" t="s">
        <v>85</v>
      </c>
      <c r="D614" s="217" t="s">
        <v>84</v>
      </c>
      <c r="E614" s="217" t="s">
        <v>98</v>
      </c>
      <c r="F614" s="217" t="s">
        <v>97</v>
      </c>
      <c r="G614" s="217" t="s">
        <v>439</v>
      </c>
      <c r="H614" s="217" t="s">
        <v>1255</v>
      </c>
      <c r="I614" s="217" t="s">
        <v>29</v>
      </c>
      <c r="J614" s="217" t="s">
        <v>1858</v>
      </c>
      <c r="K614" s="217">
        <v>7</v>
      </c>
      <c r="L614" s="217">
        <v>30</v>
      </c>
      <c r="M614" s="217" t="s">
        <v>31</v>
      </c>
      <c r="N614" s="217" t="s">
        <v>32</v>
      </c>
      <c r="O614" s="217" t="s">
        <v>68</v>
      </c>
      <c r="P614" s="217" t="s">
        <v>34</v>
      </c>
      <c r="Q614" s="217" t="s">
        <v>35</v>
      </c>
      <c r="R614" s="217" t="s">
        <v>23</v>
      </c>
      <c r="S614" s="217" t="s">
        <v>22</v>
      </c>
      <c r="T614" s="217" t="s">
        <v>84</v>
      </c>
      <c r="U614" s="217" t="s">
        <v>85</v>
      </c>
      <c r="V614" s="217" t="s">
        <v>91</v>
      </c>
      <c r="W614" s="217" t="s">
        <v>92</v>
      </c>
    </row>
    <row r="615" spans="1:23" x14ac:dyDescent="0.25">
      <c r="A615" s="217" t="s">
        <v>22</v>
      </c>
      <c r="B615" s="217" t="s">
        <v>23</v>
      </c>
      <c r="C615" s="217" t="s">
        <v>85</v>
      </c>
      <c r="D615" s="217" t="s">
        <v>84</v>
      </c>
      <c r="E615" s="217" t="s">
        <v>98</v>
      </c>
      <c r="F615" s="217" t="s">
        <v>97</v>
      </c>
      <c r="G615" s="217" t="s">
        <v>821</v>
      </c>
      <c r="H615" s="217" t="s">
        <v>1256</v>
      </c>
      <c r="I615" s="217" t="s">
        <v>29</v>
      </c>
      <c r="J615" s="217" t="s">
        <v>1857</v>
      </c>
      <c r="K615" s="217">
        <v>4</v>
      </c>
      <c r="L615" s="217">
        <v>34</v>
      </c>
      <c r="M615" s="217" t="s">
        <v>31</v>
      </c>
      <c r="N615" s="217" t="s">
        <v>32</v>
      </c>
      <c r="O615" s="217" t="s">
        <v>68</v>
      </c>
      <c r="P615" s="217" t="s">
        <v>34</v>
      </c>
      <c r="Q615" s="217" t="s">
        <v>35</v>
      </c>
      <c r="R615" s="217" t="s">
        <v>23</v>
      </c>
      <c r="S615" s="217" t="s">
        <v>22</v>
      </c>
      <c r="T615" s="217" t="s">
        <v>84</v>
      </c>
      <c r="U615" s="217" t="s">
        <v>85</v>
      </c>
      <c r="V615" s="217" t="s">
        <v>91</v>
      </c>
      <c r="W615" s="217" t="s">
        <v>92</v>
      </c>
    </row>
    <row r="616" spans="1:23" x14ac:dyDescent="0.25">
      <c r="A616" s="217" t="s">
        <v>22</v>
      </c>
      <c r="B616" s="217" t="s">
        <v>23</v>
      </c>
      <c r="C616" s="217" t="s">
        <v>85</v>
      </c>
      <c r="D616" s="217" t="s">
        <v>84</v>
      </c>
      <c r="E616" s="217" t="s">
        <v>98</v>
      </c>
      <c r="F616" s="217" t="s">
        <v>97</v>
      </c>
      <c r="G616" s="217" t="s">
        <v>821</v>
      </c>
      <c r="H616" s="217" t="s">
        <v>1256</v>
      </c>
      <c r="I616" s="217" t="s">
        <v>29</v>
      </c>
      <c r="J616" s="217" t="s">
        <v>1858</v>
      </c>
      <c r="K616" s="217">
        <v>4</v>
      </c>
      <c r="L616" s="217">
        <v>34</v>
      </c>
      <c r="M616" s="217" t="s">
        <v>31</v>
      </c>
      <c r="N616" s="217" t="s">
        <v>32</v>
      </c>
      <c r="O616" s="217" t="s">
        <v>68</v>
      </c>
      <c r="P616" s="217" t="s">
        <v>34</v>
      </c>
      <c r="Q616" s="217" t="s">
        <v>35</v>
      </c>
      <c r="R616" s="217" t="s">
        <v>23</v>
      </c>
      <c r="S616" s="217" t="s">
        <v>22</v>
      </c>
      <c r="T616" s="217" t="s">
        <v>84</v>
      </c>
      <c r="U616" s="217" t="s">
        <v>85</v>
      </c>
      <c r="V616" s="217" t="s">
        <v>109</v>
      </c>
      <c r="W616" s="217" t="s">
        <v>110</v>
      </c>
    </row>
    <row r="617" spans="1:23" x14ac:dyDescent="0.25">
      <c r="A617" s="217" t="s">
        <v>22</v>
      </c>
      <c r="B617" s="217" t="s">
        <v>23</v>
      </c>
      <c r="C617" s="217" t="s">
        <v>85</v>
      </c>
      <c r="D617" s="217" t="s">
        <v>84</v>
      </c>
      <c r="E617" s="217" t="s">
        <v>98</v>
      </c>
      <c r="F617" s="217" t="s">
        <v>97</v>
      </c>
      <c r="G617" s="217" t="s">
        <v>440</v>
      </c>
      <c r="H617" s="217" t="s">
        <v>1257</v>
      </c>
      <c r="I617" s="217" t="s">
        <v>29</v>
      </c>
      <c r="J617" s="217" t="s">
        <v>1856</v>
      </c>
      <c r="K617" s="217">
        <v>8</v>
      </c>
      <c r="L617" s="217">
        <v>45</v>
      </c>
      <c r="M617" s="217" t="s">
        <v>31</v>
      </c>
      <c r="N617" s="217" t="s">
        <v>32</v>
      </c>
      <c r="O617" s="217" t="s">
        <v>68</v>
      </c>
      <c r="P617" s="217" t="s">
        <v>34</v>
      </c>
      <c r="Q617" s="217" t="s">
        <v>35</v>
      </c>
      <c r="R617" s="217" t="s">
        <v>23</v>
      </c>
      <c r="S617" s="217" t="s">
        <v>22</v>
      </c>
      <c r="T617" s="217" t="s">
        <v>84</v>
      </c>
      <c r="U617" s="217" t="s">
        <v>85</v>
      </c>
      <c r="V617" s="217" t="s">
        <v>91</v>
      </c>
      <c r="W617" s="217" t="s">
        <v>92</v>
      </c>
    </row>
    <row r="618" spans="1:23" x14ac:dyDescent="0.25">
      <c r="A618" s="217" t="s">
        <v>22</v>
      </c>
      <c r="B618" s="217" t="s">
        <v>23</v>
      </c>
      <c r="C618" s="217" t="s">
        <v>85</v>
      </c>
      <c r="D618" s="217" t="s">
        <v>84</v>
      </c>
      <c r="E618" s="217" t="s">
        <v>98</v>
      </c>
      <c r="F618" s="217" t="s">
        <v>97</v>
      </c>
      <c r="G618" s="217" t="s">
        <v>440</v>
      </c>
      <c r="H618" s="217" t="s">
        <v>1257</v>
      </c>
      <c r="I618" s="217" t="s">
        <v>29</v>
      </c>
      <c r="J618" s="217" t="s">
        <v>1858</v>
      </c>
      <c r="K618" s="217">
        <v>6</v>
      </c>
      <c r="L618" s="217">
        <v>33</v>
      </c>
      <c r="M618" s="217" t="s">
        <v>31</v>
      </c>
      <c r="N618" s="217" t="s">
        <v>32</v>
      </c>
      <c r="O618" s="217" t="s">
        <v>68</v>
      </c>
      <c r="P618" s="217" t="s">
        <v>34</v>
      </c>
      <c r="Q618" s="217" t="s">
        <v>35</v>
      </c>
      <c r="R618" s="217" t="s">
        <v>23</v>
      </c>
      <c r="S618" s="217" t="s">
        <v>22</v>
      </c>
      <c r="T618" s="217" t="s">
        <v>84</v>
      </c>
      <c r="U618" s="217" t="s">
        <v>85</v>
      </c>
      <c r="V618" s="217" t="s">
        <v>91</v>
      </c>
      <c r="W618" s="217" t="s">
        <v>92</v>
      </c>
    </row>
    <row r="619" spans="1:23" x14ac:dyDescent="0.25">
      <c r="A619" s="217" t="s">
        <v>22</v>
      </c>
      <c r="B619" s="217" t="s">
        <v>23</v>
      </c>
      <c r="C619" s="217" t="s">
        <v>85</v>
      </c>
      <c r="D619" s="217" t="s">
        <v>84</v>
      </c>
      <c r="E619" s="217" t="s">
        <v>98</v>
      </c>
      <c r="F619" s="217" t="s">
        <v>97</v>
      </c>
      <c r="G619" s="217" t="s">
        <v>441</v>
      </c>
      <c r="H619" s="217" t="s">
        <v>1258</v>
      </c>
      <c r="I619" s="217" t="s">
        <v>29</v>
      </c>
      <c r="J619" s="217" t="s">
        <v>1855</v>
      </c>
      <c r="K619" s="217">
        <v>7</v>
      </c>
      <c r="L619" s="217">
        <v>30</v>
      </c>
      <c r="M619" s="217" t="s">
        <v>31</v>
      </c>
      <c r="N619" s="217" t="s">
        <v>32</v>
      </c>
      <c r="O619" s="217" t="s">
        <v>68</v>
      </c>
      <c r="P619" s="217" t="s">
        <v>34</v>
      </c>
      <c r="Q619" s="217" t="s">
        <v>35</v>
      </c>
      <c r="R619" s="217" t="s">
        <v>23</v>
      </c>
      <c r="S619" s="217" t="s">
        <v>22</v>
      </c>
      <c r="T619" s="217" t="s">
        <v>84</v>
      </c>
      <c r="U619" s="217" t="s">
        <v>85</v>
      </c>
      <c r="V619" s="217" t="s">
        <v>109</v>
      </c>
      <c r="W619" s="217" t="s">
        <v>110</v>
      </c>
    </row>
    <row r="620" spans="1:23" x14ac:dyDescent="0.25">
      <c r="A620" s="217" t="s">
        <v>22</v>
      </c>
      <c r="B620" s="217" t="s">
        <v>23</v>
      </c>
      <c r="C620" s="217" t="s">
        <v>85</v>
      </c>
      <c r="D620" s="217" t="s">
        <v>84</v>
      </c>
      <c r="E620" s="217" t="s">
        <v>98</v>
      </c>
      <c r="F620" s="217" t="s">
        <v>97</v>
      </c>
      <c r="G620" s="217" t="s">
        <v>441</v>
      </c>
      <c r="H620" s="217" t="s">
        <v>1258</v>
      </c>
      <c r="I620" s="217" t="s">
        <v>29</v>
      </c>
      <c r="J620" s="217" t="s">
        <v>1858</v>
      </c>
      <c r="K620" s="217">
        <v>7</v>
      </c>
      <c r="L620" s="217">
        <v>28</v>
      </c>
      <c r="M620" s="217" t="s">
        <v>31</v>
      </c>
      <c r="N620" s="217" t="s">
        <v>32</v>
      </c>
      <c r="O620" s="217" t="s">
        <v>68</v>
      </c>
      <c r="P620" s="217" t="s">
        <v>34</v>
      </c>
      <c r="Q620" s="217" t="s">
        <v>35</v>
      </c>
      <c r="R620" s="217" t="s">
        <v>23</v>
      </c>
      <c r="S620" s="217" t="s">
        <v>22</v>
      </c>
      <c r="T620" s="217" t="s">
        <v>84</v>
      </c>
      <c r="U620" s="217" t="s">
        <v>85</v>
      </c>
      <c r="V620" s="217" t="s">
        <v>109</v>
      </c>
      <c r="W620" s="217" t="s">
        <v>110</v>
      </c>
    </row>
    <row r="621" spans="1:23" x14ac:dyDescent="0.25">
      <c r="A621" s="217" t="s">
        <v>22</v>
      </c>
      <c r="B621" s="217" t="s">
        <v>23</v>
      </c>
      <c r="C621" s="217" t="s">
        <v>85</v>
      </c>
      <c r="D621" s="217" t="s">
        <v>84</v>
      </c>
      <c r="E621" s="217" t="s">
        <v>98</v>
      </c>
      <c r="F621" s="217" t="s">
        <v>97</v>
      </c>
      <c r="G621" s="217" t="s">
        <v>442</v>
      </c>
      <c r="H621" s="217" t="s">
        <v>1259</v>
      </c>
      <c r="I621" s="217" t="s">
        <v>29</v>
      </c>
      <c r="J621" s="217" t="s">
        <v>1855</v>
      </c>
      <c r="K621" s="217">
        <v>11</v>
      </c>
      <c r="L621" s="217">
        <v>72</v>
      </c>
      <c r="M621" s="217" t="s">
        <v>31</v>
      </c>
      <c r="N621" s="217" t="s">
        <v>32</v>
      </c>
      <c r="O621" s="217" t="s">
        <v>68</v>
      </c>
      <c r="P621" s="217" t="s">
        <v>34</v>
      </c>
      <c r="Q621" s="217" t="s">
        <v>35</v>
      </c>
      <c r="R621" s="217" t="s">
        <v>23</v>
      </c>
      <c r="S621" s="217" t="s">
        <v>22</v>
      </c>
      <c r="T621" s="217" t="s">
        <v>84</v>
      </c>
      <c r="U621" s="217" t="s">
        <v>85</v>
      </c>
      <c r="V621" s="217" t="s">
        <v>91</v>
      </c>
      <c r="W621" s="217" t="s">
        <v>92</v>
      </c>
    </row>
    <row r="622" spans="1:23" x14ac:dyDescent="0.25">
      <c r="A622" s="217" t="s">
        <v>22</v>
      </c>
      <c r="B622" s="217" t="s">
        <v>23</v>
      </c>
      <c r="C622" s="217" t="s">
        <v>85</v>
      </c>
      <c r="D622" s="217" t="s">
        <v>84</v>
      </c>
      <c r="E622" s="217" t="s">
        <v>98</v>
      </c>
      <c r="F622" s="217" t="s">
        <v>97</v>
      </c>
      <c r="G622" s="217" t="s">
        <v>442</v>
      </c>
      <c r="H622" s="217" t="s">
        <v>1259</v>
      </c>
      <c r="I622" s="217" t="s">
        <v>29</v>
      </c>
      <c r="J622" s="217" t="s">
        <v>1858</v>
      </c>
      <c r="K622" s="217">
        <v>14</v>
      </c>
      <c r="L622" s="217">
        <v>56</v>
      </c>
      <c r="M622" s="217" t="s">
        <v>31</v>
      </c>
      <c r="N622" s="217" t="s">
        <v>32</v>
      </c>
      <c r="O622" s="217" t="s">
        <v>68</v>
      </c>
      <c r="P622" s="217" t="s">
        <v>34</v>
      </c>
      <c r="Q622" s="217" t="s">
        <v>35</v>
      </c>
      <c r="R622" s="217" t="s">
        <v>23</v>
      </c>
      <c r="S622" s="217" t="s">
        <v>22</v>
      </c>
      <c r="T622" s="217" t="s">
        <v>84</v>
      </c>
      <c r="U622" s="217" t="s">
        <v>85</v>
      </c>
      <c r="V622" s="217" t="s">
        <v>91</v>
      </c>
      <c r="W622" s="217" t="s">
        <v>92</v>
      </c>
    </row>
    <row r="623" spans="1:23" x14ac:dyDescent="0.25">
      <c r="A623" s="217" t="s">
        <v>22</v>
      </c>
      <c r="B623" s="217" t="s">
        <v>23</v>
      </c>
      <c r="C623" s="217" t="s">
        <v>85</v>
      </c>
      <c r="D623" s="217" t="s">
        <v>84</v>
      </c>
      <c r="E623" s="217" t="s">
        <v>98</v>
      </c>
      <c r="F623" s="217" t="s">
        <v>97</v>
      </c>
      <c r="G623" s="217" t="s">
        <v>443</v>
      </c>
      <c r="H623" s="217" t="s">
        <v>1260</v>
      </c>
      <c r="I623" s="217" t="s">
        <v>29</v>
      </c>
      <c r="J623" s="217" t="s">
        <v>1855</v>
      </c>
      <c r="K623" s="217">
        <v>11</v>
      </c>
      <c r="L623" s="217">
        <v>64</v>
      </c>
      <c r="M623" s="217" t="s">
        <v>31</v>
      </c>
      <c r="N623" s="217" t="s">
        <v>32</v>
      </c>
      <c r="O623" s="217" t="s">
        <v>100</v>
      </c>
      <c r="P623" s="217" t="s">
        <v>34</v>
      </c>
      <c r="Q623" s="217" t="s">
        <v>35</v>
      </c>
      <c r="R623" s="217" t="s">
        <v>23</v>
      </c>
      <c r="S623" s="217" t="s">
        <v>22</v>
      </c>
      <c r="T623" s="217" t="s">
        <v>84</v>
      </c>
      <c r="U623" s="217" t="s">
        <v>85</v>
      </c>
      <c r="V623" s="217" t="s">
        <v>97</v>
      </c>
      <c r="W623" s="217" t="s">
        <v>98</v>
      </c>
    </row>
    <row r="624" spans="1:23" x14ac:dyDescent="0.25">
      <c r="A624" s="217" t="s">
        <v>22</v>
      </c>
      <c r="B624" s="217" t="s">
        <v>23</v>
      </c>
      <c r="C624" s="217" t="s">
        <v>85</v>
      </c>
      <c r="D624" s="217" t="s">
        <v>84</v>
      </c>
      <c r="E624" s="217" t="s">
        <v>98</v>
      </c>
      <c r="F624" s="217" t="s">
        <v>97</v>
      </c>
      <c r="G624" s="217" t="s">
        <v>443</v>
      </c>
      <c r="H624" s="217" t="s">
        <v>1260</v>
      </c>
      <c r="I624" s="217" t="s">
        <v>29</v>
      </c>
      <c r="J624" s="217" t="s">
        <v>1856</v>
      </c>
      <c r="K624" s="217">
        <v>4</v>
      </c>
      <c r="L624" s="217">
        <v>20</v>
      </c>
      <c r="M624" s="217" t="s">
        <v>31</v>
      </c>
      <c r="N624" s="217" t="s">
        <v>32</v>
      </c>
      <c r="O624" s="217" t="s">
        <v>100</v>
      </c>
      <c r="P624" s="217" t="s">
        <v>34</v>
      </c>
      <c r="Q624" s="217" t="s">
        <v>35</v>
      </c>
      <c r="R624" s="217" t="s">
        <v>23</v>
      </c>
      <c r="S624" s="217" t="s">
        <v>22</v>
      </c>
      <c r="T624" s="217" t="s">
        <v>84</v>
      </c>
      <c r="U624" s="217" t="s">
        <v>85</v>
      </c>
      <c r="V624" s="217" t="s">
        <v>97</v>
      </c>
      <c r="W624" s="217" t="s">
        <v>98</v>
      </c>
    </row>
    <row r="625" spans="1:23" x14ac:dyDescent="0.25">
      <c r="A625" s="217" t="s">
        <v>22</v>
      </c>
      <c r="B625" s="217" t="s">
        <v>23</v>
      </c>
      <c r="C625" s="217" t="s">
        <v>85</v>
      </c>
      <c r="D625" s="217" t="s">
        <v>84</v>
      </c>
      <c r="E625" s="217" t="s">
        <v>98</v>
      </c>
      <c r="F625" s="217" t="s">
        <v>97</v>
      </c>
      <c r="G625" s="217" t="s">
        <v>443</v>
      </c>
      <c r="H625" s="217" t="s">
        <v>1260</v>
      </c>
      <c r="I625" s="217" t="s">
        <v>29</v>
      </c>
      <c r="J625" s="217" t="s">
        <v>1857</v>
      </c>
      <c r="K625" s="217">
        <v>8</v>
      </c>
      <c r="L625" s="217">
        <v>68</v>
      </c>
      <c r="M625" s="217" t="s">
        <v>31</v>
      </c>
      <c r="N625" s="217" t="s">
        <v>32</v>
      </c>
      <c r="O625" s="217" t="s">
        <v>100</v>
      </c>
      <c r="P625" s="217" t="s">
        <v>34</v>
      </c>
      <c r="Q625" s="217" t="s">
        <v>35</v>
      </c>
      <c r="R625" s="217" t="s">
        <v>23</v>
      </c>
      <c r="S625" s="217" t="s">
        <v>22</v>
      </c>
      <c r="T625" s="217" t="s">
        <v>84</v>
      </c>
      <c r="U625" s="217" t="s">
        <v>85</v>
      </c>
      <c r="V625" s="217" t="s">
        <v>97</v>
      </c>
      <c r="W625" s="217" t="s">
        <v>98</v>
      </c>
    </row>
    <row r="626" spans="1:23" x14ac:dyDescent="0.25">
      <c r="A626" s="217" t="s">
        <v>22</v>
      </c>
      <c r="B626" s="217" t="s">
        <v>23</v>
      </c>
      <c r="C626" s="217" t="s">
        <v>85</v>
      </c>
      <c r="D626" s="217" t="s">
        <v>84</v>
      </c>
      <c r="E626" s="217" t="s">
        <v>98</v>
      </c>
      <c r="F626" s="217" t="s">
        <v>97</v>
      </c>
      <c r="G626" s="217" t="s">
        <v>695</v>
      </c>
      <c r="H626" s="217" t="s">
        <v>1686</v>
      </c>
      <c r="I626" s="217" t="s">
        <v>29</v>
      </c>
      <c r="J626" s="217" t="s">
        <v>1858</v>
      </c>
      <c r="K626" s="217">
        <v>18</v>
      </c>
      <c r="L626" s="217">
        <v>90</v>
      </c>
      <c r="M626" s="217" t="s">
        <v>31</v>
      </c>
      <c r="N626" s="217" t="s">
        <v>32</v>
      </c>
      <c r="O626" s="217" t="s">
        <v>100</v>
      </c>
      <c r="P626" s="217" t="s">
        <v>34</v>
      </c>
      <c r="Q626" s="217" t="s">
        <v>35</v>
      </c>
      <c r="R626" s="217" t="s">
        <v>23</v>
      </c>
      <c r="S626" s="217" t="s">
        <v>22</v>
      </c>
      <c r="T626" s="217" t="s">
        <v>84</v>
      </c>
      <c r="U626" s="217" t="s">
        <v>85</v>
      </c>
      <c r="V626" s="217" t="s">
        <v>97</v>
      </c>
      <c r="W626" s="217" t="s">
        <v>98</v>
      </c>
    </row>
    <row r="627" spans="1:23" x14ac:dyDescent="0.25">
      <c r="A627" s="217" t="s">
        <v>22</v>
      </c>
      <c r="B627" s="217" t="s">
        <v>23</v>
      </c>
      <c r="C627" s="217" t="s">
        <v>85</v>
      </c>
      <c r="D627" s="217" t="s">
        <v>84</v>
      </c>
      <c r="E627" s="217" t="s">
        <v>98</v>
      </c>
      <c r="F627" s="217" t="s">
        <v>97</v>
      </c>
      <c r="G627" s="217" t="s">
        <v>444</v>
      </c>
      <c r="H627" s="217" t="s">
        <v>1261</v>
      </c>
      <c r="I627" s="217" t="s">
        <v>29</v>
      </c>
      <c r="J627" s="217" t="s">
        <v>1856</v>
      </c>
      <c r="K627" s="217">
        <v>3</v>
      </c>
      <c r="L627" s="217">
        <v>17</v>
      </c>
      <c r="M627" s="217" t="s">
        <v>31</v>
      </c>
      <c r="N627" s="217" t="s">
        <v>32</v>
      </c>
      <c r="O627" s="217" t="s">
        <v>68</v>
      </c>
      <c r="P627" s="217" t="s">
        <v>34</v>
      </c>
      <c r="Q627" s="217" t="s">
        <v>35</v>
      </c>
      <c r="R627" s="217" t="s">
        <v>23</v>
      </c>
      <c r="S627" s="217" t="s">
        <v>22</v>
      </c>
      <c r="T627" s="217" t="s">
        <v>84</v>
      </c>
      <c r="U627" s="217" t="s">
        <v>85</v>
      </c>
      <c r="V627" s="217" t="s">
        <v>91</v>
      </c>
      <c r="W627" s="217" t="s">
        <v>92</v>
      </c>
    </row>
    <row r="628" spans="1:23" x14ac:dyDescent="0.25">
      <c r="A628" s="217" t="s">
        <v>22</v>
      </c>
      <c r="B628" s="217" t="s">
        <v>23</v>
      </c>
      <c r="C628" s="217" t="s">
        <v>85</v>
      </c>
      <c r="D628" s="217" t="s">
        <v>84</v>
      </c>
      <c r="E628" s="217" t="s">
        <v>98</v>
      </c>
      <c r="F628" s="217" t="s">
        <v>97</v>
      </c>
      <c r="G628" s="217" t="s">
        <v>444</v>
      </c>
      <c r="H628" s="217" t="s">
        <v>1261</v>
      </c>
      <c r="I628" s="217" t="s">
        <v>29</v>
      </c>
      <c r="J628" s="217" t="s">
        <v>1857</v>
      </c>
      <c r="K628" s="217">
        <v>2</v>
      </c>
      <c r="L628" s="217">
        <v>13</v>
      </c>
      <c r="M628" s="217" t="s">
        <v>31</v>
      </c>
      <c r="N628" s="217" t="s">
        <v>32</v>
      </c>
      <c r="O628" s="217" t="s">
        <v>68</v>
      </c>
      <c r="P628" s="217" t="s">
        <v>34</v>
      </c>
      <c r="Q628" s="217" t="s">
        <v>35</v>
      </c>
      <c r="R628" s="217" t="s">
        <v>23</v>
      </c>
      <c r="S628" s="217" t="s">
        <v>22</v>
      </c>
      <c r="T628" s="217" t="s">
        <v>84</v>
      </c>
      <c r="U628" s="217" t="s">
        <v>85</v>
      </c>
      <c r="V628" s="217" t="s">
        <v>91</v>
      </c>
      <c r="W628" s="217" t="s">
        <v>92</v>
      </c>
    </row>
    <row r="629" spans="1:23" x14ac:dyDescent="0.25">
      <c r="A629" s="217" t="s">
        <v>22</v>
      </c>
      <c r="B629" s="217" t="s">
        <v>23</v>
      </c>
      <c r="C629" s="217" t="s">
        <v>85</v>
      </c>
      <c r="D629" s="217" t="s">
        <v>84</v>
      </c>
      <c r="E629" s="217" t="s">
        <v>98</v>
      </c>
      <c r="F629" s="217" t="s">
        <v>97</v>
      </c>
      <c r="G629" s="217" t="s">
        <v>444</v>
      </c>
      <c r="H629" s="217" t="s">
        <v>1261</v>
      </c>
      <c r="I629" s="217" t="s">
        <v>29</v>
      </c>
      <c r="J629" s="217" t="s">
        <v>1858</v>
      </c>
      <c r="K629" s="217">
        <v>1</v>
      </c>
      <c r="L629" s="217">
        <v>5</v>
      </c>
      <c r="M629" s="217" t="s">
        <v>31</v>
      </c>
      <c r="N629" s="217" t="s">
        <v>32</v>
      </c>
      <c r="O629" s="217" t="s">
        <v>68</v>
      </c>
      <c r="P629" s="217" t="s">
        <v>34</v>
      </c>
      <c r="Q629" s="217" t="s">
        <v>35</v>
      </c>
      <c r="R629" s="217" t="s">
        <v>23</v>
      </c>
      <c r="S629" s="217" t="s">
        <v>22</v>
      </c>
      <c r="T629" s="217" t="s">
        <v>84</v>
      </c>
      <c r="U629" s="217" t="s">
        <v>85</v>
      </c>
      <c r="V629" s="217" t="s">
        <v>91</v>
      </c>
      <c r="W629" s="217" t="s">
        <v>92</v>
      </c>
    </row>
    <row r="630" spans="1:23" x14ac:dyDescent="0.25">
      <c r="A630" s="217" t="s">
        <v>22</v>
      </c>
      <c r="B630" s="217" t="s">
        <v>23</v>
      </c>
      <c r="C630" s="217" t="s">
        <v>85</v>
      </c>
      <c r="D630" s="217" t="s">
        <v>84</v>
      </c>
      <c r="E630" s="217" t="s">
        <v>98</v>
      </c>
      <c r="F630" s="217" t="s">
        <v>97</v>
      </c>
      <c r="G630" s="217" t="s">
        <v>169</v>
      </c>
      <c r="H630" s="217" t="s">
        <v>1262</v>
      </c>
      <c r="I630" s="217" t="s">
        <v>29</v>
      </c>
      <c r="J630" s="217" t="s">
        <v>1856</v>
      </c>
      <c r="K630" s="217">
        <v>7</v>
      </c>
      <c r="L630" s="217">
        <v>40</v>
      </c>
      <c r="M630" s="217" t="s">
        <v>31</v>
      </c>
      <c r="N630" s="217" t="s">
        <v>32</v>
      </c>
      <c r="O630" s="217" t="s">
        <v>68</v>
      </c>
      <c r="P630" s="217" t="s">
        <v>34</v>
      </c>
      <c r="Q630" s="217" t="s">
        <v>35</v>
      </c>
      <c r="R630" s="217" t="s">
        <v>23</v>
      </c>
      <c r="S630" s="217" t="s">
        <v>22</v>
      </c>
      <c r="T630" s="217" t="s">
        <v>84</v>
      </c>
      <c r="U630" s="217" t="s">
        <v>85</v>
      </c>
      <c r="V630" s="217" t="s">
        <v>91</v>
      </c>
      <c r="W630" s="217" t="s">
        <v>92</v>
      </c>
    </row>
    <row r="631" spans="1:23" x14ac:dyDescent="0.25">
      <c r="A631" s="217" t="s">
        <v>22</v>
      </c>
      <c r="B631" s="217" t="s">
        <v>23</v>
      </c>
      <c r="C631" s="217" t="s">
        <v>85</v>
      </c>
      <c r="D631" s="217" t="s">
        <v>84</v>
      </c>
      <c r="E631" s="217" t="s">
        <v>98</v>
      </c>
      <c r="F631" s="217" t="s">
        <v>97</v>
      </c>
      <c r="G631" s="217" t="s">
        <v>169</v>
      </c>
      <c r="H631" s="217" t="s">
        <v>1262</v>
      </c>
      <c r="I631" s="217" t="s">
        <v>29</v>
      </c>
      <c r="J631" s="217" t="s">
        <v>1857</v>
      </c>
      <c r="K631" s="217">
        <v>8</v>
      </c>
      <c r="L631" s="217">
        <v>32</v>
      </c>
      <c r="M631" s="217" t="s">
        <v>31</v>
      </c>
      <c r="N631" s="217" t="s">
        <v>32</v>
      </c>
      <c r="O631" s="217" t="s">
        <v>68</v>
      </c>
      <c r="P631" s="217" t="s">
        <v>34</v>
      </c>
      <c r="Q631" s="217" t="s">
        <v>35</v>
      </c>
      <c r="R631" s="217" t="s">
        <v>23</v>
      </c>
      <c r="S631" s="217" t="s">
        <v>22</v>
      </c>
      <c r="T631" s="217" t="s">
        <v>84</v>
      </c>
      <c r="U631" s="217" t="s">
        <v>85</v>
      </c>
      <c r="V631" s="217" t="s">
        <v>91</v>
      </c>
      <c r="W631" s="217" t="s">
        <v>92</v>
      </c>
    </row>
    <row r="632" spans="1:23" x14ac:dyDescent="0.25">
      <c r="A632" s="217" t="s">
        <v>22</v>
      </c>
      <c r="B632" s="217" t="s">
        <v>23</v>
      </c>
      <c r="C632" s="217" t="s">
        <v>85</v>
      </c>
      <c r="D632" s="217" t="s">
        <v>84</v>
      </c>
      <c r="E632" s="217" t="s">
        <v>98</v>
      </c>
      <c r="F632" s="217" t="s">
        <v>97</v>
      </c>
      <c r="G632" s="217" t="s">
        <v>169</v>
      </c>
      <c r="H632" s="217" t="s">
        <v>1262</v>
      </c>
      <c r="I632" s="217" t="s">
        <v>29</v>
      </c>
      <c r="J632" s="217" t="s">
        <v>1858</v>
      </c>
      <c r="K632" s="217">
        <v>3</v>
      </c>
      <c r="L632" s="217">
        <v>15</v>
      </c>
      <c r="M632" s="217" t="s">
        <v>31</v>
      </c>
      <c r="N632" s="217" t="s">
        <v>32</v>
      </c>
      <c r="O632" s="217" t="s">
        <v>68</v>
      </c>
      <c r="P632" s="217" t="s">
        <v>34</v>
      </c>
      <c r="Q632" s="217" t="s">
        <v>35</v>
      </c>
      <c r="R632" s="217" t="s">
        <v>23</v>
      </c>
      <c r="S632" s="217" t="s">
        <v>22</v>
      </c>
      <c r="T632" s="217" t="s">
        <v>84</v>
      </c>
      <c r="U632" s="217" t="s">
        <v>85</v>
      </c>
      <c r="V632" s="217" t="s">
        <v>91</v>
      </c>
      <c r="W632" s="217" t="s">
        <v>92</v>
      </c>
    </row>
    <row r="633" spans="1:23" x14ac:dyDescent="0.25">
      <c r="A633" s="217" t="s">
        <v>22</v>
      </c>
      <c r="B633" s="217" t="s">
        <v>23</v>
      </c>
      <c r="C633" s="217" t="s">
        <v>85</v>
      </c>
      <c r="D633" s="217" t="s">
        <v>84</v>
      </c>
      <c r="E633" s="217" t="s">
        <v>98</v>
      </c>
      <c r="F633" s="217" t="s">
        <v>97</v>
      </c>
      <c r="G633" s="217" t="s">
        <v>445</v>
      </c>
      <c r="H633" s="217" t="s">
        <v>1263</v>
      </c>
      <c r="I633" s="217" t="s">
        <v>29</v>
      </c>
      <c r="J633" s="217" t="s">
        <v>1856</v>
      </c>
      <c r="K633" s="217">
        <v>11</v>
      </c>
      <c r="L633" s="217">
        <v>61</v>
      </c>
      <c r="M633" s="217" t="s">
        <v>31</v>
      </c>
      <c r="N633" s="217" t="s">
        <v>32</v>
      </c>
      <c r="O633" s="217" t="s">
        <v>100</v>
      </c>
      <c r="P633" s="217" t="s">
        <v>34</v>
      </c>
      <c r="Q633" s="217" t="s">
        <v>35</v>
      </c>
      <c r="R633" s="217" t="s">
        <v>23</v>
      </c>
      <c r="S633" s="217" t="s">
        <v>22</v>
      </c>
      <c r="T633" s="217" t="s">
        <v>84</v>
      </c>
      <c r="U633" s="217" t="s">
        <v>85</v>
      </c>
      <c r="V633" s="217" t="s">
        <v>97</v>
      </c>
      <c r="W633" s="217" t="s">
        <v>98</v>
      </c>
    </row>
    <row r="634" spans="1:23" x14ac:dyDescent="0.25">
      <c r="A634" s="217" t="s">
        <v>22</v>
      </c>
      <c r="B634" s="217" t="s">
        <v>23</v>
      </c>
      <c r="C634" s="217" t="s">
        <v>85</v>
      </c>
      <c r="D634" s="217" t="s">
        <v>84</v>
      </c>
      <c r="E634" s="217" t="s">
        <v>98</v>
      </c>
      <c r="F634" s="217" t="s">
        <v>97</v>
      </c>
      <c r="G634" s="217" t="s">
        <v>445</v>
      </c>
      <c r="H634" s="217" t="s">
        <v>1263</v>
      </c>
      <c r="I634" s="217" t="s">
        <v>29</v>
      </c>
      <c r="J634" s="217" t="s">
        <v>1857</v>
      </c>
      <c r="K634" s="217">
        <v>9</v>
      </c>
      <c r="L634" s="217">
        <v>46</v>
      </c>
      <c r="M634" s="217" t="s">
        <v>31</v>
      </c>
      <c r="N634" s="217" t="s">
        <v>32</v>
      </c>
      <c r="O634" s="217" t="s">
        <v>100</v>
      </c>
      <c r="P634" s="217" t="s">
        <v>34</v>
      </c>
      <c r="Q634" s="217" t="s">
        <v>35</v>
      </c>
      <c r="R634" s="217" t="s">
        <v>23</v>
      </c>
      <c r="S634" s="217" t="s">
        <v>22</v>
      </c>
      <c r="T634" s="217" t="s">
        <v>84</v>
      </c>
      <c r="U634" s="217" t="s">
        <v>85</v>
      </c>
      <c r="V634" s="217" t="s">
        <v>97</v>
      </c>
      <c r="W634" s="217" t="s">
        <v>98</v>
      </c>
    </row>
    <row r="635" spans="1:23" x14ac:dyDescent="0.25">
      <c r="A635" s="217" t="s">
        <v>22</v>
      </c>
      <c r="B635" s="217" t="s">
        <v>23</v>
      </c>
      <c r="C635" s="217" t="s">
        <v>85</v>
      </c>
      <c r="D635" s="217" t="s">
        <v>84</v>
      </c>
      <c r="E635" s="217" t="s">
        <v>98</v>
      </c>
      <c r="F635" s="217" t="s">
        <v>97</v>
      </c>
      <c r="G635" s="217" t="s">
        <v>822</v>
      </c>
      <c r="H635" s="217" t="s">
        <v>1264</v>
      </c>
      <c r="I635" s="217" t="s">
        <v>29</v>
      </c>
      <c r="J635" s="217" t="s">
        <v>1857</v>
      </c>
      <c r="K635" s="217">
        <v>3</v>
      </c>
      <c r="L635" s="217">
        <v>16</v>
      </c>
      <c r="M635" s="217" t="s">
        <v>31</v>
      </c>
      <c r="N635" s="217" t="s">
        <v>32</v>
      </c>
      <c r="O635" s="217" t="s">
        <v>68</v>
      </c>
      <c r="P635" s="217" t="s">
        <v>34</v>
      </c>
      <c r="Q635" s="217" t="s">
        <v>35</v>
      </c>
      <c r="R635" s="217" t="s">
        <v>23</v>
      </c>
      <c r="S635" s="217" t="s">
        <v>22</v>
      </c>
      <c r="T635" s="217" t="s">
        <v>84</v>
      </c>
      <c r="U635" s="217" t="s">
        <v>85</v>
      </c>
      <c r="V635" s="217" t="s">
        <v>91</v>
      </c>
      <c r="W635" s="217" t="s">
        <v>92</v>
      </c>
    </row>
    <row r="636" spans="1:23" x14ac:dyDescent="0.25">
      <c r="A636" s="217" t="s">
        <v>22</v>
      </c>
      <c r="B636" s="217" t="s">
        <v>23</v>
      </c>
      <c r="C636" s="217" t="s">
        <v>85</v>
      </c>
      <c r="D636" s="217" t="s">
        <v>84</v>
      </c>
      <c r="E636" s="217" t="s">
        <v>98</v>
      </c>
      <c r="F636" s="217" t="s">
        <v>97</v>
      </c>
      <c r="G636" s="217" t="s">
        <v>822</v>
      </c>
      <c r="H636" s="217" t="s">
        <v>1264</v>
      </c>
      <c r="I636" s="217" t="s">
        <v>29</v>
      </c>
      <c r="J636" s="217" t="s">
        <v>1858</v>
      </c>
      <c r="K636" s="217">
        <v>4</v>
      </c>
      <c r="L636" s="217">
        <v>21</v>
      </c>
      <c r="M636" s="217" t="s">
        <v>31</v>
      </c>
      <c r="N636" s="217" t="s">
        <v>32</v>
      </c>
      <c r="O636" s="217" t="s">
        <v>68</v>
      </c>
      <c r="P636" s="217" t="s">
        <v>34</v>
      </c>
      <c r="Q636" s="217" t="s">
        <v>35</v>
      </c>
      <c r="R636" s="217" t="s">
        <v>23</v>
      </c>
      <c r="S636" s="217" t="s">
        <v>22</v>
      </c>
      <c r="T636" s="217" t="s">
        <v>84</v>
      </c>
      <c r="U636" s="217" t="s">
        <v>85</v>
      </c>
      <c r="V636" s="217" t="s">
        <v>109</v>
      </c>
      <c r="W636" s="217" t="s">
        <v>110</v>
      </c>
    </row>
    <row r="637" spans="1:23" x14ac:dyDescent="0.25">
      <c r="A637" s="217" t="s">
        <v>22</v>
      </c>
      <c r="B637" s="217" t="s">
        <v>23</v>
      </c>
      <c r="C637" s="217" t="s">
        <v>85</v>
      </c>
      <c r="D637" s="217" t="s">
        <v>84</v>
      </c>
      <c r="E637" s="217" t="s">
        <v>98</v>
      </c>
      <c r="F637" s="217" t="s">
        <v>97</v>
      </c>
      <c r="G637" s="217" t="s">
        <v>831</v>
      </c>
      <c r="H637" s="217" t="s">
        <v>1265</v>
      </c>
      <c r="I637" s="217" t="s">
        <v>29</v>
      </c>
      <c r="J637" s="217" t="s">
        <v>1858</v>
      </c>
      <c r="K637" s="217">
        <v>6</v>
      </c>
      <c r="L637" s="217">
        <v>32</v>
      </c>
      <c r="M637" s="217" t="s">
        <v>31</v>
      </c>
      <c r="N637" s="217" t="s">
        <v>32</v>
      </c>
      <c r="O637" s="217" t="s">
        <v>100</v>
      </c>
      <c r="P637" s="217" t="s">
        <v>34</v>
      </c>
      <c r="Q637" s="217" t="s">
        <v>35</v>
      </c>
      <c r="R637" s="217" t="s">
        <v>23</v>
      </c>
      <c r="S637" s="217" t="s">
        <v>22</v>
      </c>
      <c r="T637" s="217" t="s">
        <v>84</v>
      </c>
      <c r="U637" s="217" t="s">
        <v>85</v>
      </c>
      <c r="V637" s="217" t="s">
        <v>97</v>
      </c>
      <c r="W637" s="217" t="s">
        <v>98</v>
      </c>
    </row>
    <row r="638" spans="1:23" x14ac:dyDescent="0.25">
      <c r="A638" s="217" t="s">
        <v>22</v>
      </c>
      <c r="B638" s="217" t="s">
        <v>23</v>
      </c>
      <c r="C638" s="217" t="s">
        <v>85</v>
      </c>
      <c r="D638" s="217" t="s">
        <v>84</v>
      </c>
      <c r="E638" s="217" t="s">
        <v>98</v>
      </c>
      <c r="F638" s="217" t="s">
        <v>97</v>
      </c>
      <c r="G638" s="217" t="s">
        <v>446</v>
      </c>
      <c r="H638" s="217" t="s">
        <v>1266</v>
      </c>
      <c r="I638" s="217" t="s">
        <v>29</v>
      </c>
      <c r="J638" s="217" t="s">
        <v>1855</v>
      </c>
      <c r="K638" s="217">
        <v>27</v>
      </c>
      <c r="L638" s="217">
        <v>230</v>
      </c>
      <c r="M638" s="217" t="s">
        <v>31</v>
      </c>
      <c r="N638" s="217" t="s">
        <v>32</v>
      </c>
      <c r="O638" s="217" t="s">
        <v>100</v>
      </c>
      <c r="P638" s="217" t="s">
        <v>34</v>
      </c>
      <c r="Q638" s="217" t="s">
        <v>35</v>
      </c>
      <c r="R638" s="217" t="s">
        <v>23</v>
      </c>
      <c r="S638" s="217" t="s">
        <v>22</v>
      </c>
      <c r="T638" s="217" t="s">
        <v>84</v>
      </c>
      <c r="U638" s="217" t="s">
        <v>85</v>
      </c>
      <c r="V638" s="217" t="s">
        <v>97</v>
      </c>
      <c r="W638" s="217" t="s">
        <v>98</v>
      </c>
    </row>
    <row r="639" spans="1:23" x14ac:dyDescent="0.25">
      <c r="A639" s="217" t="s">
        <v>22</v>
      </c>
      <c r="B639" s="217" t="s">
        <v>23</v>
      </c>
      <c r="C639" s="217" t="s">
        <v>85</v>
      </c>
      <c r="D639" s="217" t="s">
        <v>84</v>
      </c>
      <c r="E639" s="217" t="s">
        <v>98</v>
      </c>
      <c r="F639" s="217" t="s">
        <v>97</v>
      </c>
      <c r="G639" s="217" t="s">
        <v>446</v>
      </c>
      <c r="H639" s="217" t="s">
        <v>1266</v>
      </c>
      <c r="I639" s="217" t="s">
        <v>29</v>
      </c>
      <c r="J639" s="217" t="s">
        <v>1856</v>
      </c>
      <c r="K639" s="217">
        <v>5</v>
      </c>
      <c r="L639" s="217">
        <v>43</v>
      </c>
      <c r="M639" s="217" t="s">
        <v>31</v>
      </c>
      <c r="N639" s="217" t="s">
        <v>32</v>
      </c>
      <c r="O639" s="217" t="s">
        <v>100</v>
      </c>
      <c r="P639" s="217" t="s">
        <v>34</v>
      </c>
      <c r="Q639" s="217" t="s">
        <v>35</v>
      </c>
      <c r="R639" s="217" t="s">
        <v>23</v>
      </c>
      <c r="S639" s="217" t="s">
        <v>22</v>
      </c>
      <c r="T639" s="217" t="s">
        <v>84</v>
      </c>
      <c r="U639" s="217" t="s">
        <v>85</v>
      </c>
      <c r="V639" s="217" t="s">
        <v>97</v>
      </c>
      <c r="W639" s="217" t="s">
        <v>98</v>
      </c>
    </row>
    <row r="640" spans="1:23" x14ac:dyDescent="0.25">
      <c r="A640" s="217" t="s">
        <v>22</v>
      </c>
      <c r="B640" s="217" t="s">
        <v>23</v>
      </c>
      <c r="C640" s="217" t="s">
        <v>85</v>
      </c>
      <c r="D640" s="217" t="s">
        <v>84</v>
      </c>
      <c r="E640" s="217" t="s">
        <v>98</v>
      </c>
      <c r="F640" s="217" t="s">
        <v>97</v>
      </c>
      <c r="G640" s="217" t="s">
        <v>446</v>
      </c>
      <c r="H640" s="217" t="s">
        <v>1266</v>
      </c>
      <c r="I640" s="217" t="s">
        <v>29</v>
      </c>
      <c r="J640" s="217" t="s">
        <v>1858</v>
      </c>
      <c r="K640" s="217">
        <v>8</v>
      </c>
      <c r="L640" s="217">
        <v>67</v>
      </c>
      <c r="M640" s="217" t="s">
        <v>31</v>
      </c>
      <c r="N640" s="217" t="s">
        <v>32</v>
      </c>
      <c r="O640" s="217" t="s">
        <v>100</v>
      </c>
      <c r="P640" s="217" t="s">
        <v>34</v>
      </c>
      <c r="Q640" s="217" t="s">
        <v>35</v>
      </c>
      <c r="R640" s="217" t="s">
        <v>23</v>
      </c>
      <c r="S640" s="217" t="s">
        <v>22</v>
      </c>
      <c r="T640" s="217" t="s">
        <v>84</v>
      </c>
      <c r="U640" s="217" t="s">
        <v>85</v>
      </c>
      <c r="V640" s="217" t="s">
        <v>97</v>
      </c>
      <c r="W640" s="217" t="s">
        <v>98</v>
      </c>
    </row>
    <row r="641" spans="1:23" x14ac:dyDescent="0.25">
      <c r="A641" s="217" t="s">
        <v>22</v>
      </c>
      <c r="B641" s="217" t="s">
        <v>23</v>
      </c>
      <c r="C641" s="217" t="s">
        <v>85</v>
      </c>
      <c r="D641" s="217" t="s">
        <v>84</v>
      </c>
      <c r="E641" s="217" t="s">
        <v>98</v>
      </c>
      <c r="F641" s="217" t="s">
        <v>97</v>
      </c>
      <c r="G641" s="217" t="s">
        <v>447</v>
      </c>
      <c r="H641" s="217" t="s">
        <v>1267</v>
      </c>
      <c r="I641" s="217" t="s">
        <v>29</v>
      </c>
      <c r="J641" s="217" t="s">
        <v>1856</v>
      </c>
      <c r="K641" s="217">
        <v>7</v>
      </c>
      <c r="L641" s="217">
        <v>38</v>
      </c>
      <c r="M641" s="217" t="s">
        <v>31</v>
      </c>
      <c r="N641" s="217" t="s">
        <v>32</v>
      </c>
      <c r="O641" s="217" t="s">
        <v>100</v>
      </c>
      <c r="P641" s="217" t="s">
        <v>34</v>
      </c>
      <c r="Q641" s="217" t="s">
        <v>35</v>
      </c>
      <c r="R641" s="217" t="s">
        <v>23</v>
      </c>
      <c r="S641" s="217" t="s">
        <v>22</v>
      </c>
      <c r="T641" s="217" t="s">
        <v>84</v>
      </c>
      <c r="U641" s="217" t="s">
        <v>85</v>
      </c>
      <c r="V641" s="217" t="s">
        <v>97</v>
      </c>
      <c r="W641" s="217" t="s">
        <v>98</v>
      </c>
    </row>
    <row r="642" spans="1:23" x14ac:dyDescent="0.25">
      <c r="A642" s="217" t="s">
        <v>22</v>
      </c>
      <c r="B642" s="217" t="s">
        <v>23</v>
      </c>
      <c r="C642" s="217" t="s">
        <v>85</v>
      </c>
      <c r="D642" s="217" t="s">
        <v>84</v>
      </c>
      <c r="E642" s="217" t="s">
        <v>98</v>
      </c>
      <c r="F642" s="217" t="s">
        <v>97</v>
      </c>
      <c r="G642" s="217" t="s">
        <v>806</v>
      </c>
      <c r="H642" s="217" t="s">
        <v>1268</v>
      </c>
      <c r="I642" s="217" t="s">
        <v>29</v>
      </c>
      <c r="J642" s="217" t="s">
        <v>1856</v>
      </c>
      <c r="K642" s="217">
        <v>4</v>
      </c>
      <c r="L642" s="217">
        <v>34</v>
      </c>
      <c r="M642" s="217" t="s">
        <v>31</v>
      </c>
      <c r="N642" s="217" t="s">
        <v>32</v>
      </c>
      <c r="O642" s="217" t="s">
        <v>100</v>
      </c>
      <c r="P642" s="217" t="s">
        <v>34</v>
      </c>
      <c r="Q642" s="217" t="s">
        <v>35</v>
      </c>
      <c r="R642" s="217" t="s">
        <v>23</v>
      </c>
      <c r="S642" s="217" t="s">
        <v>22</v>
      </c>
      <c r="T642" s="217" t="s">
        <v>84</v>
      </c>
      <c r="U642" s="217" t="s">
        <v>85</v>
      </c>
      <c r="V642" s="217" t="s">
        <v>97</v>
      </c>
      <c r="W642" s="217" t="s">
        <v>98</v>
      </c>
    </row>
    <row r="643" spans="1:23" x14ac:dyDescent="0.25">
      <c r="A643" s="217" t="s">
        <v>22</v>
      </c>
      <c r="B643" s="217" t="s">
        <v>23</v>
      </c>
      <c r="C643" s="217" t="s">
        <v>85</v>
      </c>
      <c r="D643" s="217" t="s">
        <v>84</v>
      </c>
      <c r="E643" s="217" t="s">
        <v>98</v>
      </c>
      <c r="F643" s="217" t="s">
        <v>97</v>
      </c>
      <c r="G643" s="217" t="s">
        <v>448</v>
      </c>
      <c r="H643" s="217" t="s">
        <v>1269</v>
      </c>
      <c r="I643" s="217" t="s">
        <v>29</v>
      </c>
      <c r="J643" s="217" t="s">
        <v>1856</v>
      </c>
      <c r="K643" s="217">
        <v>15</v>
      </c>
      <c r="L643" s="217">
        <v>127</v>
      </c>
      <c r="M643" s="217" t="s">
        <v>31</v>
      </c>
      <c r="N643" s="217" t="s">
        <v>32</v>
      </c>
      <c r="O643" s="217" t="s">
        <v>100</v>
      </c>
      <c r="P643" s="217" t="s">
        <v>34</v>
      </c>
      <c r="Q643" s="217" t="s">
        <v>35</v>
      </c>
      <c r="R643" s="217" t="s">
        <v>23</v>
      </c>
      <c r="S643" s="217" t="s">
        <v>22</v>
      </c>
      <c r="T643" s="217" t="s">
        <v>84</v>
      </c>
      <c r="U643" s="217" t="s">
        <v>85</v>
      </c>
      <c r="V643" s="217" t="s">
        <v>97</v>
      </c>
      <c r="W643" s="217" t="s">
        <v>98</v>
      </c>
    </row>
    <row r="644" spans="1:23" x14ac:dyDescent="0.25">
      <c r="A644" s="217" t="s">
        <v>22</v>
      </c>
      <c r="B644" s="217" t="s">
        <v>23</v>
      </c>
      <c r="C644" s="217" t="s">
        <v>85</v>
      </c>
      <c r="D644" s="217" t="s">
        <v>84</v>
      </c>
      <c r="E644" s="217" t="s">
        <v>98</v>
      </c>
      <c r="F644" s="217" t="s">
        <v>97</v>
      </c>
      <c r="G644" s="217" t="s">
        <v>448</v>
      </c>
      <c r="H644" s="217" t="s">
        <v>1269</v>
      </c>
      <c r="I644" s="217" t="s">
        <v>29</v>
      </c>
      <c r="J644" s="217" t="s">
        <v>1857</v>
      </c>
      <c r="K644" s="217">
        <v>4</v>
      </c>
      <c r="L644" s="217">
        <v>51</v>
      </c>
      <c r="M644" s="217" t="s">
        <v>31</v>
      </c>
      <c r="N644" s="217" t="s">
        <v>32</v>
      </c>
      <c r="O644" s="217" t="s">
        <v>100</v>
      </c>
      <c r="P644" s="217" t="s">
        <v>34</v>
      </c>
      <c r="Q644" s="217" t="s">
        <v>35</v>
      </c>
      <c r="R644" s="217" t="s">
        <v>23</v>
      </c>
      <c r="S644" s="217" t="s">
        <v>22</v>
      </c>
      <c r="T644" s="217" t="s">
        <v>84</v>
      </c>
      <c r="U644" s="217" t="s">
        <v>85</v>
      </c>
      <c r="V644" s="217" t="s">
        <v>97</v>
      </c>
      <c r="W644" s="217" t="s">
        <v>98</v>
      </c>
    </row>
    <row r="645" spans="1:23" x14ac:dyDescent="0.25">
      <c r="A645" s="217" t="s">
        <v>22</v>
      </c>
      <c r="B645" s="217" t="s">
        <v>23</v>
      </c>
      <c r="C645" s="217" t="s">
        <v>85</v>
      </c>
      <c r="D645" s="217" t="s">
        <v>84</v>
      </c>
      <c r="E645" s="217" t="s">
        <v>98</v>
      </c>
      <c r="F645" s="217" t="s">
        <v>97</v>
      </c>
      <c r="G645" s="217" t="s">
        <v>449</v>
      </c>
      <c r="H645" s="217" t="s">
        <v>1270</v>
      </c>
      <c r="I645" s="217" t="s">
        <v>29</v>
      </c>
      <c r="J645" s="217" t="s">
        <v>1855</v>
      </c>
      <c r="K645" s="217">
        <v>6</v>
      </c>
      <c r="L645" s="217">
        <v>30</v>
      </c>
      <c r="M645" s="217" t="s">
        <v>31</v>
      </c>
      <c r="N645" s="217" t="s">
        <v>32</v>
      </c>
      <c r="O645" s="217" t="s">
        <v>100</v>
      </c>
      <c r="P645" s="217" t="s">
        <v>34</v>
      </c>
      <c r="Q645" s="217" t="s">
        <v>35</v>
      </c>
      <c r="R645" s="217" t="s">
        <v>23</v>
      </c>
      <c r="S645" s="217" t="s">
        <v>22</v>
      </c>
      <c r="T645" s="217" t="s">
        <v>84</v>
      </c>
      <c r="U645" s="217" t="s">
        <v>85</v>
      </c>
      <c r="V645" s="217" t="s">
        <v>97</v>
      </c>
      <c r="W645" s="217" t="s">
        <v>98</v>
      </c>
    </row>
    <row r="646" spans="1:23" x14ac:dyDescent="0.25">
      <c r="A646" s="217" t="s">
        <v>22</v>
      </c>
      <c r="B646" s="217" t="s">
        <v>23</v>
      </c>
      <c r="C646" s="217" t="s">
        <v>85</v>
      </c>
      <c r="D646" s="217" t="s">
        <v>84</v>
      </c>
      <c r="E646" s="217" t="s">
        <v>98</v>
      </c>
      <c r="F646" s="217" t="s">
        <v>97</v>
      </c>
      <c r="G646" s="217" t="s">
        <v>449</v>
      </c>
      <c r="H646" s="217" t="s">
        <v>1270</v>
      </c>
      <c r="I646" s="217" t="s">
        <v>29</v>
      </c>
      <c r="J646" s="217" t="s">
        <v>1856</v>
      </c>
      <c r="K646" s="217">
        <v>1</v>
      </c>
      <c r="L646" s="217">
        <v>6</v>
      </c>
      <c r="M646" s="217" t="s">
        <v>31</v>
      </c>
      <c r="N646" s="217" t="s">
        <v>32</v>
      </c>
      <c r="O646" s="217" t="s">
        <v>100</v>
      </c>
      <c r="P646" s="217" t="s">
        <v>34</v>
      </c>
      <c r="Q646" s="217" t="s">
        <v>35</v>
      </c>
      <c r="R646" s="217" t="s">
        <v>23</v>
      </c>
      <c r="S646" s="217" t="s">
        <v>22</v>
      </c>
      <c r="T646" s="217" t="s">
        <v>84</v>
      </c>
      <c r="U646" s="217" t="s">
        <v>85</v>
      </c>
      <c r="V646" s="217" t="s">
        <v>97</v>
      </c>
      <c r="W646" s="217" t="s">
        <v>98</v>
      </c>
    </row>
    <row r="647" spans="1:23" x14ac:dyDescent="0.25">
      <c r="A647" s="217" t="s">
        <v>22</v>
      </c>
      <c r="B647" s="217" t="s">
        <v>23</v>
      </c>
      <c r="C647" s="217" t="s">
        <v>85</v>
      </c>
      <c r="D647" s="217" t="s">
        <v>84</v>
      </c>
      <c r="E647" s="217" t="s">
        <v>98</v>
      </c>
      <c r="F647" s="217" t="s">
        <v>97</v>
      </c>
      <c r="G647" s="217" t="s">
        <v>450</v>
      </c>
      <c r="H647" s="217" t="s">
        <v>1271</v>
      </c>
      <c r="I647" s="217" t="s">
        <v>29</v>
      </c>
      <c r="J647" s="217" t="s">
        <v>1857</v>
      </c>
      <c r="K647" s="217">
        <v>8</v>
      </c>
      <c r="L647" s="217">
        <v>60</v>
      </c>
      <c r="M647" s="217" t="s">
        <v>31</v>
      </c>
      <c r="N647" s="217" t="s">
        <v>32</v>
      </c>
      <c r="O647" s="217" t="s">
        <v>100</v>
      </c>
      <c r="P647" s="217" t="s">
        <v>34</v>
      </c>
      <c r="Q647" s="217" t="s">
        <v>35</v>
      </c>
      <c r="R647" s="217" t="s">
        <v>23</v>
      </c>
      <c r="S647" s="217" t="s">
        <v>22</v>
      </c>
      <c r="T647" s="217" t="s">
        <v>84</v>
      </c>
      <c r="U647" s="217" t="s">
        <v>85</v>
      </c>
      <c r="V647" s="217" t="s">
        <v>97</v>
      </c>
      <c r="W647" s="217" t="s">
        <v>98</v>
      </c>
    </row>
    <row r="648" spans="1:23" x14ac:dyDescent="0.25">
      <c r="A648" s="217" t="s">
        <v>22</v>
      </c>
      <c r="B648" s="217" t="s">
        <v>23</v>
      </c>
      <c r="C648" s="217" t="s">
        <v>85</v>
      </c>
      <c r="D648" s="217" t="s">
        <v>84</v>
      </c>
      <c r="E648" s="217" t="s">
        <v>98</v>
      </c>
      <c r="F648" s="217" t="s">
        <v>97</v>
      </c>
      <c r="G648" s="217" t="s">
        <v>450</v>
      </c>
      <c r="H648" s="217" t="s">
        <v>1271</v>
      </c>
      <c r="I648" s="217" t="s">
        <v>29</v>
      </c>
      <c r="J648" s="217" t="s">
        <v>1858</v>
      </c>
      <c r="K648" s="217">
        <v>6</v>
      </c>
      <c r="L648" s="217">
        <v>35</v>
      </c>
      <c r="M648" s="217" t="s">
        <v>31</v>
      </c>
      <c r="N648" s="217" t="s">
        <v>32</v>
      </c>
      <c r="O648" s="217" t="s">
        <v>100</v>
      </c>
      <c r="P648" s="217" t="s">
        <v>34</v>
      </c>
      <c r="Q648" s="217" t="s">
        <v>35</v>
      </c>
      <c r="R648" s="217" t="s">
        <v>23</v>
      </c>
      <c r="S648" s="217" t="s">
        <v>22</v>
      </c>
      <c r="T648" s="217" t="s">
        <v>84</v>
      </c>
      <c r="U648" s="217" t="s">
        <v>85</v>
      </c>
      <c r="V648" s="217" t="s">
        <v>97</v>
      </c>
      <c r="W648" s="217" t="s">
        <v>98</v>
      </c>
    </row>
    <row r="649" spans="1:23" x14ac:dyDescent="0.25">
      <c r="A649" s="217" t="s">
        <v>22</v>
      </c>
      <c r="B649" s="217" t="s">
        <v>23</v>
      </c>
      <c r="C649" s="217" t="s">
        <v>85</v>
      </c>
      <c r="D649" s="217" t="s">
        <v>84</v>
      </c>
      <c r="E649" s="217" t="s">
        <v>98</v>
      </c>
      <c r="F649" s="217" t="s">
        <v>97</v>
      </c>
      <c r="G649" s="217" t="s">
        <v>451</v>
      </c>
      <c r="H649" s="217" t="s">
        <v>1272</v>
      </c>
      <c r="I649" s="217" t="s">
        <v>29</v>
      </c>
      <c r="J649" s="217" t="s">
        <v>1855</v>
      </c>
      <c r="K649" s="217">
        <v>22</v>
      </c>
      <c r="L649" s="217">
        <v>161</v>
      </c>
      <c r="M649" s="217" t="s">
        <v>31</v>
      </c>
      <c r="N649" s="217" t="s">
        <v>32</v>
      </c>
      <c r="O649" s="217" t="s">
        <v>68</v>
      </c>
      <c r="P649" s="217" t="s">
        <v>34</v>
      </c>
      <c r="Q649" s="217" t="s">
        <v>35</v>
      </c>
      <c r="R649" s="217" t="s">
        <v>23</v>
      </c>
      <c r="S649" s="217" t="s">
        <v>22</v>
      </c>
      <c r="T649" s="217" t="s">
        <v>84</v>
      </c>
      <c r="U649" s="217" t="s">
        <v>85</v>
      </c>
      <c r="V649" s="217" t="s">
        <v>91</v>
      </c>
      <c r="W649" s="217" t="s">
        <v>92</v>
      </c>
    </row>
    <row r="650" spans="1:23" x14ac:dyDescent="0.25">
      <c r="A650" s="217" t="s">
        <v>22</v>
      </c>
      <c r="B650" s="217" t="s">
        <v>23</v>
      </c>
      <c r="C650" s="217" t="s">
        <v>85</v>
      </c>
      <c r="D650" s="217" t="s">
        <v>84</v>
      </c>
      <c r="E650" s="217" t="s">
        <v>98</v>
      </c>
      <c r="F650" s="217" t="s">
        <v>97</v>
      </c>
      <c r="G650" s="217" t="s">
        <v>451</v>
      </c>
      <c r="H650" s="217" t="s">
        <v>1272</v>
      </c>
      <c r="I650" s="217" t="s">
        <v>29</v>
      </c>
      <c r="J650" s="217" t="s">
        <v>1856</v>
      </c>
      <c r="K650" s="217">
        <v>68</v>
      </c>
      <c r="L650" s="217">
        <v>448</v>
      </c>
      <c r="M650" s="217" t="s">
        <v>31</v>
      </c>
      <c r="N650" s="217" t="s">
        <v>32</v>
      </c>
      <c r="O650" s="217" t="s">
        <v>68</v>
      </c>
      <c r="P650" s="217" t="s">
        <v>34</v>
      </c>
      <c r="Q650" s="217" t="s">
        <v>35</v>
      </c>
      <c r="R650" s="217" t="s">
        <v>23</v>
      </c>
      <c r="S650" s="217" t="s">
        <v>22</v>
      </c>
      <c r="T650" s="217" t="s">
        <v>84</v>
      </c>
      <c r="U650" s="217" t="s">
        <v>85</v>
      </c>
      <c r="V650" s="217" t="s">
        <v>91</v>
      </c>
      <c r="W650" s="217" t="s">
        <v>92</v>
      </c>
    </row>
    <row r="651" spans="1:23" x14ac:dyDescent="0.25">
      <c r="A651" s="217" t="s">
        <v>22</v>
      </c>
      <c r="B651" s="217" t="s">
        <v>23</v>
      </c>
      <c r="C651" s="217" t="s">
        <v>85</v>
      </c>
      <c r="D651" s="217" t="s">
        <v>84</v>
      </c>
      <c r="E651" s="217" t="s">
        <v>98</v>
      </c>
      <c r="F651" s="217" t="s">
        <v>97</v>
      </c>
      <c r="G651" s="217" t="s">
        <v>451</v>
      </c>
      <c r="H651" s="217" t="s">
        <v>1272</v>
      </c>
      <c r="I651" s="217" t="s">
        <v>29</v>
      </c>
      <c r="J651" s="217" t="s">
        <v>1857</v>
      </c>
      <c r="K651" s="217">
        <v>6</v>
      </c>
      <c r="L651" s="217">
        <v>21</v>
      </c>
      <c r="M651" s="217" t="s">
        <v>31</v>
      </c>
      <c r="N651" s="217" t="s">
        <v>32</v>
      </c>
      <c r="O651" s="217" t="s">
        <v>68</v>
      </c>
      <c r="P651" s="217" t="s">
        <v>34</v>
      </c>
      <c r="Q651" s="217" t="s">
        <v>35</v>
      </c>
      <c r="R651" s="217" t="s">
        <v>23</v>
      </c>
      <c r="S651" s="217" t="s">
        <v>22</v>
      </c>
      <c r="T651" s="217" t="s">
        <v>84</v>
      </c>
      <c r="U651" s="217" t="s">
        <v>85</v>
      </c>
      <c r="V651" s="217" t="s">
        <v>91</v>
      </c>
      <c r="W651" s="217" t="s">
        <v>92</v>
      </c>
    </row>
    <row r="652" spans="1:23" x14ac:dyDescent="0.25">
      <c r="A652" s="217" t="s">
        <v>22</v>
      </c>
      <c r="B652" s="217" t="s">
        <v>23</v>
      </c>
      <c r="C652" s="217" t="s">
        <v>85</v>
      </c>
      <c r="D652" s="217" t="s">
        <v>84</v>
      </c>
      <c r="E652" s="217" t="s">
        <v>98</v>
      </c>
      <c r="F652" s="217" t="s">
        <v>97</v>
      </c>
      <c r="G652" s="217" t="s">
        <v>451</v>
      </c>
      <c r="H652" s="217" t="s">
        <v>1272</v>
      </c>
      <c r="I652" s="217" t="s">
        <v>29</v>
      </c>
      <c r="J652" s="217" t="s">
        <v>1858</v>
      </c>
      <c r="K652" s="217">
        <v>137</v>
      </c>
      <c r="L652" s="217">
        <v>440</v>
      </c>
      <c r="M652" s="217" t="s">
        <v>31</v>
      </c>
      <c r="N652" s="217" t="s">
        <v>32</v>
      </c>
      <c r="O652" s="217" t="s">
        <v>68</v>
      </c>
      <c r="P652" s="217" t="s">
        <v>34</v>
      </c>
      <c r="Q652" s="217" t="s">
        <v>35</v>
      </c>
      <c r="R652" s="217" t="s">
        <v>23</v>
      </c>
      <c r="S652" s="217" t="s">
        <v>22</v>
      </c>
      <c r="T652" s="217" t="s">
        <v>84</v>
      </c>
      <c r="U652" s="217" t="s">
        <v>85</v>
      </c>
      <c r="V652" s="217" t="s">
        <v>91</v>
      </c>
      <c r="W652" s="217" t="s">
        <v>92</v>
      </c>
    </row>
    <row r="653" spans="1:23" x14ac:dyDescent="0.25">
      <c r="A653" s="217" t="s">
        <v>22</v>
      </c>
      <c r="B653" s="217" t="s">
        <v>23</v>
      </c>
      <c r="C653" s="217" t="s">
        <v>85</v>
      </c>
      <c r="D653" s="217" t="s">
        <v>84</v>
      </c>
      <c r="E653" s="217" t="s">
        <v>98</v>
      </c>
      <c r="F653" s="217" t="s">
        <v>97</v>
      </c>
      <c r="G653" s="217" t="s">
        <v>808</v>
      </c>
      <c r="H653" s="217" t="s">
        <v>1273</v>
      </c>
      <c r="I653" s="217" t="s">
        <v>29</v>
      </c>
      <c r="J653" s="217" t="s">
        <v>1856</v>
      </c>
      <c r="K653" s="217">
        <v>10</v>
      </c>
      <c r="L653" s="217">
        <v>85</v>
      </c>
      <c r="M653" s="217" t="s">
        <v>31</v>
      </c>
      <c r="N653" s="217" t="s">
        <v>32</v>
      </c>
      <c r="O653" s="217" t="s">
        <v>33</v>
      </c>
      <c r="P653" s="217" t="s">
        <v>34</v>
      </c>
      <c r="Q653" s="217" t="s">
        <v>35</v>
      </c>
      <c r="R653" s="217" t="s">
        <v>23</v>
      </c>
      <c r="S653" s="217" t="s">
        <v>22</v>
      </c>
      <c r="T653" s="217" t="s">
        <v>47</v>
      </c>
      <c r="U653" s="217" t="s">
        <v>48</v>
      </c>
      <c r="V653" s="217" t="s">
        <v>231</v>
      </c>
      <c r="W653" s="217" t="s">
        <v>232</v>
      </c>
    </row>
    <row r="654" spans="1:23" x14ac:dyDescent="0.25">
      <c r="A654" s="217" t="s">
        <v>22</v>
      </c>
      <c r="B654" s="217" t="s">
        <v>23</v>
      </c>
      <c r="C654" s="217" t="s">
        <v>85</v>
      </c>
      <c r="D654" s="217" t="s">
        <v>84</v>
      </c>
      <c r="E654" s="217" t="s">
        <v>98</v>
      </c>
      <c r="F654" s="217" t="s">
        <v>97</v>
      </c>
      <c r="G654" s="217" t="s">
        <v>808</v>
      </c>
      <c r="H654" s="217" t="s">
        <v>1273</v>
      </c>
      <c r="I654" s="217" t="s">
        <v>29</v>
      </c>
      <c r="J654" s="217" t="s">
        <v>1857</v>
      </c>
      <c r="K654" s="217">
        <v>2</v>
      </c>
      <c r="L654" s="217">
        <v>24</v>
      </c>
      <c r="M654" s="217" t="s">
        <v>31</v>
      </c>
      <c r="N654" s="217" t="s">
        <v>32</v>
      </c>
      <c r="O654" s="217" t="s">
        <v>33</v>
      </c>
      <c r="P654" s="217" t="s">
        <v>34</v>
      </c>
      <c r="Q654" s="217" t="s">
        <v>35</v>
      </c>
      <c r="R654" s="217" t="s">
        <v>23</v>
      </c>
      <c r="S654" s="217" t="s">
        <v>22</v>
      </c>
      <c r="T654" s="217" t="s">
        <v>47</v>
      </c>
      <c r="U654" s="217" t="s">
        <v>48</v>
      </c>
      <c r="V654" s="217" t="s">
        <v>231</v>
      </c>
      <c r="W654" s="217" t="s">
        <v>232</v>
      </c>
    </row>
    <row r="655" spans="1:23" x14ac:dyDescent="0.25">
      <c r="A655" s="217" t="s">
        <v>22</v>
      </c>
      <c r="B655" s="217" t="s">
        <v>23</v>
      </c>
      <c r="C655" s="217" t="s">
        <v>85</v>
      </c>
      <c r="D655" s="217" t="s">
        <v>84</v>
      </c>
      <c r="E655" s="217" t="s">
        <v>98</v>
      </c>
      <c r="F655" s="217" t="s">
        <v>97</v>
      </c>
      <c r="G655" s="217" t="s">
        <v>170</v>
      </c>
      <c r="H655" s="217" t="s">
        <v>1274</v>
      </c>
      <c r="I655" s="217" t="s">
        <v>29</v>
      </c>
      <c r="J655" s="217" t="s">
        <v>1856</v>
      </c>
      <c r="K655" s="217">
        <v>10</v>
      </c>
      <c r="L655" s="217">
        <v>70</v>
      </c>
      <c r="M655" s="217" t="s">
        <v>31</v>
      </c>
      <c r="N655" s="217" t="s">
        <v>32</v>
      </c>
      <c r="O655" s="217" t="s">
        <v>100</v>
      </c>
      <c r="P655" s="217" t="s">
        <v>34</v>
      </c>
      <c r="Q655" s="217" t="s">
        <v>35</v>
      </c>
      <c r="R655" s="217" t="s">
        <v>23</v>
      </c>
      <c r="S655" s="217" t="s">
        <v>22</v>
      </c>
      <c r="T655" s="217" t="s">
        <v>84</v>
      </c>
      <c r="U655" s="217" t="s">
        <v>85</v>
      </c>
      <c r="V655" s="217" t="s">
        <v>97</v>
      </c>
      <c r="W655" s="217" t="s">
        <v>98</v>
      </c>
    </row>
    <row r="656" spans="1:23" x14ac:dyDescent="0.25">
      <c r="A656" s="217" t="s">
        <v>22</v>
      </c>
      <c r="B656" s="217" t="s">
        <v>23</v>
      </c>
      <c r="C656" s="217" t="s">
        <v>85</v>
      </c>
      <c r="D656" s="217" t="s">
        <v>84</v>
      </c>
      <c r="E656" s="217" t="s">
        <v>98</v>
      </c>
      <c r="F656" s="217" t="s">
        <v>97</v>
      </c>
      <c r="G656" s="217" t="s">
        <v>170</v>
      </c>
      <c r="H656" s="217" t="s">
        <v>1274</v>
      </c>
      <c r="I656" s="217" t="s">
        <v>29</v>
      </c>
      <c r="J656" s="217" t="s">
        <v>1857</v>
      </c>
      <c r="K656" s="217">
        <v>82</v>
      </c>
      <c r="L656" s="217">
        <v>685</v>
      </c>
      <c r="M656" s="217" t="s">
        <v>31</v>
      </c>
      <c r="N656" s="217" t="s">
        <v>32</v>
      </c>
      <c r="O656" s="217" t="s">
        <v>100</v>
      </c>
      <c r="P656" s="217" t="s">
        <v>34</v>
      </c>
      <c r="Q656" s="217" t="s">
        <v>35</v>
      </c>
      <c r="R656" s="217" t="s">
        <v>23</v>
      </c>
      <c r="S656" s="217" t="s">
        <v>22</v>
      </c>
      <c r="T656" s="217" t="s">
        <v>84</v>
      </c>
      <c r="U656" s="217" t="s">
        <v>85</v>
      </c>
      <c r="V656" s="217" t="s">
        <v>97</v>
      </c>
      <c r="W656" s="217" t="s">
        <v>98</v>
      </c>
    </row>
    <row r="657" spans="1:23" x14ac:dyDescent="0.25">
      <c r="A657" s="217" t="s">
        <v>22</v>
      </c>
      <c r="B657" s="217" t="s">
        <v>23</v>
      </c>
      <c r="C657" s="217" t="s">
        <v>85</v>
      </c>
      <c r="D657" s="217" t="s">
        <v>84</v>
      </c>
      <c r="E657" s="217" t="s">
        <v>98</v>
      </c>
      <c r="F657" s="217" t="s">
        <v>97</v>
      </c>
      <c r="G657" s="217" t="s">
        <v>170</v>
      </c>
      <c r="H657" s="217" t="s">
        <v>1274</v>
      </c>
      <c r="I657" s="217" t="s">
        <v>29</v>
      </c>
      <c r="J657" s="217" t="s">
        <v>1858</v>
      </c>
      <c r="K657" s="217">
        <v>38</v>
      </c>
      <c r="L657" s="217">
        <v>323</v>
      </c>
      <c r="M657" s="217" t="s">
        <v>31</v>
      </c>
      <c r="N657" s="217" t="s">
        <v>32</v>
      </c>
      <c r="O657" s="217" t="s">
        <v>100</v>
      </c>
      <c r="P657" s="217" t="s">
        <v>34</v>
      </c>
      <c r="Q657" s="217" t="s">
        <v>35</v>
      </c>
      <c r="R657" s="217" t="s">
        <v>23</v>
      </c>
      <c r="S657" s="217" t="s">
        <v>22</v>
      </c>
      <c r="T657" s="217" t="s">
        <v>84</v>
      </c>
      <c r="U657" s="217" t="s">
        <v>85</v>
      </c>
      <c r="V657" s="217" t="s">
        <v>97</v>
      </c>
      <c r="W657" s="217" t="s">
        <v>98</v>
      </c>
    </row>
    <row r="658" spans="1:23" x14ac:dyDescent="0.25">
      <c r="A658" s="217" t="s">
        <v>22</v>
      </c>
      <c r="B658" s="217" t="s">
        <v>23</v>
      </c>
      <c r="C658" s="217" t="s">
        <v>85</v>
      </c>
      <c r="D658" s="217" t="s">
        <v>84</v>
      </c>
      <c r="E658" s="217" t="s">
        <v>98</v>
      </c>
      <c r="F658" s="217" t="s">
        <v>97</v>
      </c>
      <c r="G658" s="217" t="s">
        <v>1275</v>
      </c>
      <c r="H658" s="217" t="s">
        <v>1276</v>
      </c>
      <c r="I658" s="217" t="s">
        <v>29</v>
      </c>
      <c r="J658" s="217" t="s">
        <v>1858</v>
      </c>
      <c r="K658" s="217">
        <v>4</v>
      </c>
      <c r="L658" s="217">
        <v>24</v>
      </c>
      <c r="M658" s="217" t="s">
        <v>31</v>
      </c>
      <c r="N658" s="217" t="s">
        <v>32</v>
      </c>
      <c r="O658" s="217" t="s">
        <v>100</v>
      </c>
      <c r="P658" s="217" t="s">
        <v>34</v>
      </c>
      <c r="Q658" s="217" t="s">
        <v>35</v>
      </c>
      <c r="R658" s="217" t="s">
        <v>23</v>
      </c>
      <c r="S658" s="217" t="s">
        <v>22</v>
      </c>
      <c r="T658" s="217" t="s">
        <v>84</v>
      </c>
      <c r="U658" s="217" t="s">
        <v>85</v>
      </c>
      <c r="V658" s="217" t="s">
        <v>97</v>
      </c>
      <c r="W658" s="217" t="s">
        <v>98</v>
      </c>
    </row>
    <row r="659" spans="1:23" x14ac:dyDescent="0.25">
      <c r="A659" s="217" t="s">
        <v>22</v>
      </c>
      <c r="B659" s="217" t="s">
        <v>23</v>
      </c>
      <c r="C659" s="217" t="s">
        <v>85</v>
      </c>
      <c r="D659" s="217" t="s">
        <v>84</v>
      </c>
      <c r="E659" s="217" t="s">
        <v>98</v>
      </c>
      <c r="F659" s="217" t="s">
        <v>97</v>
      </c>
      <c r="G659" s="217" t="s">
        <v>811</v>
      </c>
      <c r="H659" s="217" t="s">
        <v>1277</v>
      </c>
      <c r="I659" s="217" t="s">
        <v>29</v>
      </c>
      <c r="J659" s="217" t="s">
        <v>1857</v>
      </c>
      <c r="K659" s="217">
        <v>6</v>
      </c>
      <c r="L659" s="217">
        <v>37</v>
      </c>
      <c r="M659" s="217" t="s">
        <v>31</v>
      </c>
      <c r="N659" s="217" t="s">
        <v>32</v>
      </c>
      <c r="O659" s="217" t="s">
        <v>100</v>
      </c>
      <c r="P659" s="217" t="s">
        <v>34</v>
      </c>
      <c r="Q659" s="217" t="s">
        <v>35</v>
      </c>
      <c r="R659" s="217" t="s">
        <v>23</v>
      </c>
      <c r="S659" s="217" t="s">
        <v>22</v>
      </c>
      <c r="T659" s="217" t="s">
        <v>84</v>
      </c>
      <c r="U659" s="217" t="s">
        <v>85</v>
      </c>
      <c r="V659" s="217" t="s">
        <v>97</v>
      </c>
      <c r="W659" s="217" t="s">
        <v>98</v>
      </c>
    </row>
    <row r="660" spans="1:23" x14ac:dyDescent="0.25">
      <c r="A660" s="217" t="s">
        <v>22</v>
      </c>
      <c r="B660" s="217" t="s">
        <v>23</v>
      </c>
      <c r="C660" s="217" t="s">
        <v>85</v>
      </c>
      <c r="D660" s="217" t="s">
        <v>84</v>
      </c>
      <c r="E660" s="217" t="s">
        <v>98</v>
      </c>
      <c r="F660" s="217" t="s">
        <v>97</v>
      </c>
      <c r="G660" s="217" t="s">
        <v>811</v>
      </c>
      <c r="H660" s="217" t="s">
        <v>1277</v>
      </c>
      <c r="I660" s="217" t="s">
        <v>29</v>
      </c>
      <c r="J660" s="217" t="s">
        <v>1858</v>
      </c>
      <c r="K660" s="217">
        <v>8</v>
      </c>
      <c r="L660" s="217">
        <v>45</v>
      </c>
      <c r="M660" s="217" t="s">
        <v>31</v>
      </c>
      <c r="N660" s="217" t="s">
        <v>32</v>
      </c>
      <c r="O660" s="217" t="s">
        <v>100</v>
      </c>
      <c r="P660" s="217" t="s">
        <v>34</v>
      </c>
      <c r="Q660" s="217" t="s">
        <v>35</v>
      </c>
      <c r="R660" s="217" t="s">
        <v>23</v>
      </c>
      <c r="S660" s="217" t="s">
        <v>22</v>
      </c>
      <c r="T660" s="217" t="s">
        <v>84</v>
      </c>
      <c r="U660" s="217" t="s">
        <v>85</v>
      </c>
      <c r="V660" s="217" t="s">
        <v>97</v>
      </c>
      <c r="W660" s="217" t="s">
        <v>98</v>
      </c>
    </row>
    <row r="661" spans="1:23" x14ac:dyDescent="0.25">
      <c r="A661" s="217" t="s">
        <v>22</v>
      </c>
      <c r="B661" s="217" t="s">
        <v>23</v>
      </c>
      <c r="C661" s="217" t="s">
        <v>85</v>
      </c>
      <c r="D661" s="217" t="s">
        <v>84</v>
      </c>
      <c r="E661" s="217" t="s">
        <v>98</v>
      </c>
      <c r="F661" s="217" t="s">
        <v>97</v>
      </c>
      <c r="G661" s="217" t="s">
        <v>811</v>
      </c>
      <c r="H661" s="217" t="s">
        <v>1277</v>
      </c>
      <c r="I661" s="217" t="s">
        <v>29</v>
      </c>
      <c r="J661" s="217" t="s">
        <v>1859</v>
      </c>
      <c r="K661" s="217">
        <v>3</v>
      </c>
      <c r="L661" s="217">
        <v>13</v>
      </c>
      <c r="M661" s="217" t="s">
        <v>31</v>
      </c>
      <c r="N661" s="217" t="s">
        <v>32</v>
      </c>
      <c r="O661" s="217" t="s">
        <v>100</v>
      </c>
      <c r="P661" s="217" t="s">
        <v>34</v>
      </c>
      <c r="Q661" s="217" t="s">
        <v>35</v>
      </c>
      <c r="R661" s="217" t="s">
        <v>23</v>
      </c>
      <c r="S661" s="217" t="s">
        <v>22</v>
      </c>
      <c r="T661" s="217" t="s">
        <v>84</v>
      </c>
      <c r="U661" s="217" t="s">
        <v>85</v>
      </c>
      <c r="V661" s="217" t="s">
        <v>97</v>
      </c>
      <c r="W661" s="217" t="s">
        <v>98</v>
      </c>
    </row>
    <row r="662" spans="1:23" x14ac:dyDescent="0.25">
      <c r="A662" s="217" t="s">
        <v>22</v>
      </c>
      <c r="B662" s="217" t="s">
        <v>23</v>
      </c>
      <c r="C662" s="217" t="s">
        <v>85</v>
      </c>
      <c r="D662" s="217" t="s">
        <v>84</v>
      </c>
      <c r="E662" s="217" t="s">
        <v>98</v>
      </c>
      <c r="F662" s="217" t="s">
        <v>97</v>
      </c>
      <c r="G662" s="217" t="s">
        <v>452</v>
      </c>
      <c r="H662" s="217" t="s">
        <v>1278</v>
      </c>
      <c r="I662" s="217" t="s">
        <v>29</v>
      </c>
      <c r="J662" s="217" t="s">
        <v>1856</v>
      </c>
      <c r="K662" s="217">
        <v>28</v>
      </c>
      <c r="L662" s="217">
        <v>86</v>
      </c>
      <c r="M662" s="217" t="s">
        <v>31</v>
      </c>
      <c r="N662" s="217" t="s">
        <v>32</v>
      </c>
      <c r="O662" s="217" t="s">
        <v>68</v>
      </c>
      <c r="P662" s="217" t="s">
        <v>34</v>
      </c>
      <c r="Q662" s="217" t="s">
        <v>35</v>
      </c>
      <c r="R662" s="217" t="s">
        <v>23</v>
      </c>
      <c r="S662" s="217" t="s">
        <v>22</v>
      </c>
      <c r="T662" s="217" t="s">
        <v>84</v>
      </c>
      <c r="U662" s="217" t="s">
        <v>85</v>
      </c>
      <c r="V662" s="217" t="s">
        <v>150</v>
      </c>
      <c r="W662" s="217" t="s">
        <v>151</v>
      </c>
    </row>
    <row r="663" spans="1:23" x14ac:dyDescent="0.25">
      <c r="A663" s="217" t="s">
        <v>22</v>
      </c>
      <c r="B663" s="217" t="s">
        <v>23</v>
      </c>
      <c r="C663" s="217" t="s">
        <v>85</v>
      </c>
      <c r="D663" s="217" t="s">
        <v>84</v>
      </c>
      <c r="E663" s="217" t="s">
        <v>98</v>
      </c>
      <c r="F663" s="217" t="s">
        <v>97</v>
      </c>
      <c r="G663" s="217" t="s">
        <v>452</v>
      </c>
      <c r="H663" s="217" t="s">
        <v>1278</v>
      </c>
      <c r="I663" s="217" t="s">
        <v>29</v>
      </c>
      <c r="J663" s="217" t="s">
        <v>1858</v>
      </c>
      <c r="K663" s="217">
        <v>2</v>
      </c>
      <c r="L663" s="217">
        <v>14</v>
      </c>
      <c r="M663" s="217" t="s">
        <v>31</v>
      </c>
      <c r="N663" s="217" t="s">
        <v>32</v>
      </c>
      <c r="O663" s="217" t="s">
        <v>68</v>
      </c>
      <c r="P663" s="217" t="s">
        <v>34</v>
      </c>
      <c r="Q663" s="217" t="s">
        <v>35</v>
      </c>
      <c r="R663" s="217" t="s">
        <v>23</v>
      </c>
      <c r="S663" s="217" t="s">
        <v>22</v>
      </c>
      <c r="T663" s="217" t="s">
        <v>84</v>
      </c>
      <c r="U663" s="217" t="s">
        <v>85</v>
      </c>
      <c r="V663" s="217" t="s">
        <v>150</v>
      </c>
      <c r="W663" s="217" t="s">
        <v>151</v>
      </c>
    </row>
    <row r="664" spans="1:23" x14ac:dyDescent="0.25">
      <c r="A664" s="217" t="s">
        <v>22</v>
      </c>
      <c r="B664" s="217" t="s">
        <v>23</v>
      </c>
      <c r="C664" s="217" t="s">
        <v>85</v>
      </c>
      <c r="D664" s="217" t="s">
        <v>84</v>
      </c>
      <c r="E664" s="217" t="s">
        <v>98</v>
      </c>
      <c r="F664" s="217" t="s">
        <v>97</v>
      </c>
      <c r="G664" s="217" t="s">
        <v>453</v>
      </c>
      <c r="H664" s="217" t="s">
        <v>1279</v>
      </c>
      <c r="I664" s="217" t="s">
        <v>29</v>
      </c>
      <c r="J664" s="217" t="s">
        <v>1856</v>
      </c>
      <c r="K664" s="217">
        <v>4</v>
      </c>
      <c r="L664" s="217">
        <v>49</v>
      </c>
      <c r="M664" s="217" t="s">
        <v>31</v>
      </c>
      <c r="N664" s="217" t="s">
        <v>32</v>
      </c>
      <c r="O664" s="217" t="s">
        <v>68</v>
      </c>
      <c r="P664" s="217" t="s">
        <v>34</v>
      </c>
      <c r="Q664" s="217" t="s">
        <v>35</v>
      </c>
      <c r="R664" s="217" t="s">
        <v>23</v>
      </c>
      <c r="S664" s="217" t="s">
        <v>22</v>
      </c>
      <c r="T664" s="217" t="s">
        <v>84</v>
      </c>
      <c r="U664" s="217" t="s">
        <v>85</v>
      </c>
      <c r="V664" s="217" t="s">
        <v>150</v>
      </c>
      <c r="W664" s="217" t="s">
        <v>151</v>
      </c>
    </row>
    <row r="665" spans="1:23" x14ac:dyDescent="0.25">
      <c r="A665" s="217" t="s">
        <v>22</v>
      </c>
      <c r="B665" s="217" t="s">
        <v>23</v>
      </c>
      <c r="C665" s="217" t="s">
        <v>85</v>
      </c>
      <c r="D665" s="217" t="s">
        <v>84</v>
      </c>
      <c r="E665" s="217" t="s">
        <v>98</v>
      </c>
      <c r="F665" s="217" t="s">
        <v>97</v>
      </c>
      <c r="G665" s="217" t="s">
        <v>453</v>
      </c>
      <c r="H665" s="217" t="s">
        <v>1279</v>
      </c>
      <c r="I665" s="217" t="s">
        <v>29</v>
      </c>
      <c r="J665" s="217" t="s">
        <v>1857</v>
      </c>
      <c r="K665" s="217">
        <v>2</v>
      </c>
      <c r="L665" s="217">
        <v>17</v>
      </c>
      <c r="M665" s="217" t="s">
        <v>31</v>
      </c>
      <c r="N665" s="217" t="s">
        <v>32</v>
      </c>
      <c r="O665" s="217" t="s">
        <v>68</v>
      </c>
      <c r="P665" s="217" t="s">
        <v>34</v>
      </c>
      <c r="Q665" s="217" t="s">
        <v>35</v>
      </c>
      <c r="R665" s="217" t="s">
        <v>23</v>
      </c>
      <c r="S665" s="217" t="s">
        <v>22</v>
      </c>
      <c r="T665" s="217" t="s">
        <v>84</v>
      </c>
      <c r="U665" s="217" t="s">
        <v>85</v>
      </c>
      <c r="V665" s="217" t="s">
        <v>150</v>
      </c>
      <c r="W665" s="217" t="s">
        <v>151</v>
      </c>
    </row>
    <row r="666" spans="1:23" x14ac:dyDescent="0.25">
      <c r="A666" s="217" t="s">
        <v>22</v>
      </c>
      <c r="B666" s="217" t="s">
        <v>23</v>
      </c>
      <c r="C666" s="217" t="s">
        <v>85</v>
      </c>
      <c r="D666" s="217" t="s">
        <v>84</v>
      </c>
      <c r="E666" s="217" t="s">
        <v>98</v>
      </c>
      <c r="F666" s="217" t="s">
        <v>97</v>
      </c>
      <c r="G666" s="217" t="s">
        <v>453</v>
      </c>
      <c r="H666" s="217" t="s">
        <v>1279</v>
      </c>
      <c r="I666" s="217" t="s">
        <v>29</v>
      </c>
      <c r="J666" s="217" t="s">
        <v>1858</v>
      </c>
      <c r="K666" s="217">
        <v>12</v>
      </c>
      <c r="L666" s="217">
        <v>39</v>
      </c>
      <c r="M666" s="217" t="s">
        <v>31</v>
      </c>
      <c r="N666" s="217" t="s">
        <v>32</v>
      </c>
      <c r="O666" s="217" t="s">
        <v>68</v>
      </c>
      <c r="P666" s="217" t="s">
        <v>34</v>
      </c>
      <c r="Q666" s="217" t="s">
        <v>35</v>
      </c>
      <c r="R666" s="217" t="s">
        <v>23</v>
      </c>
      <c r="S666" s="217" t="s">
        <v>22</v>
      </c>
      <c r="T666" s="217" t="s">
        <v>84</v>
      </c>
      <c r="U666" s="217" t="s">
        <v>85</v>
      </c>
      <c r="V666" s="217" t="s">
        <v>150</v>
      </c>
      <c r="W666" s="217" t="s">
        <v>151</v>
      </c>
    </row>
    <row r="667" spans="1:23" x14ac:dyDescent="0.25">
      <c r="A667" s="217" t="s">
        <v>22</v>
      </c>
      <c r="B667" s="217" t="s">
        <v>23</v>
      </c>
      <c r="C667" s="217" t="s">
        <v>85</v>
      </c>
      <c r="D667" s="217" t="s">
        <v>84</v>
      </c>
      <c r="E667" s="217" t="s">
        <v>98</v>
      </c>
      <c r="F667" s="217" t="s">
        <v>97</v>
      </c>
      <c r="G667" s="217" t="s">
        <v>454</v>
      </c>
      <c r="H667" s="217" t="s">
        <v>1280</v>
      </c>
      <c r="I667" s="217" t="s">
        <v>29</v>
      </c>
      <c r="J667" s="217" t="s">
        <v>1855</v>
      </c>
      <c r="K667" s="217">
        <v>8</v>
      </c>
      <c r="L667" s="217">
        <v>29</v>
      </c>
      <c r="M667" s="217" t="s">
        <v>31</v>
      </c>
      <c r="N667" s="217" t="s">
        <v>32</v>
      </c>
      <c r="O667" s="217" t="s">
        <v>68</v>
      </c>
      <c r="P667" s="217" t="s">
        <v>34</v>
      </c>
      <c r="Q667" s="217" t="s">
        <v>35</v>
      </c>
      <c r="R667" s="217" t="s">
        <v>23</v>
      </c>
      <c r="S667" s="217" t="s">
        <v>22</v>
      </c>
      <c r="T667" s="217" t="s">
        <v>84</v>
      </c>
      <c r="U667" s="217" t="s">
        <v>85</v>
      </c>
      <c r="V667" s="217" t="s">
        <v>94</v>
      </c>
      <c r="W667" s="217" t="s">
        <v>95</v>
      </c>
    </row>
    <row r="668" spans="1:23" x14ac:dyDescent="0.25">
      <c r="A668" s="217" t="s">
        <v>22</v>
      </c>
      <c r="B668" s="217" t="s">
        <v>23</v>
      </c>
      <c r="C668" s="217" t="s">
        <v>85</v>
      </c>
      <c r="D668" s="217" t="s">
        <v>84</v>
      </c>
      <c r="E668" s="217" t="s">
        <v>98</v>
      </c>
      <c r="F668" s="217" t="s">
        <v>97</v>
      </c>
      <c r="G668" s="217" t="s">
        <v>454</v>
      </c>
      <c r="H668" s="217" t="s">
        <v>1280</v>
      </c>
      <c r="I668" s="217" t="s">
        <v>29</v>
      </c>
      <c r="J668" s="217" t="s">
        <v>1856</v>
      </c>
      <c r="K668" s="217">
        <v>3</v>
      </c>
      <c r="L668" s="217">
        <v>11</v>
      </c>
      <c r="M668" s="217" t="s">
        <v>31</v>
      </c>
      <c r="N668" s="217" t="s">
        <v>32</v>
      </c>
      <c r="O668" s="217" t="s">
        <v>68</v>
      </c>
      <c r="P668" s="217" t="s">
        <v>34</v>
      </c>
      <c r="Q668" s="217" t="s">
        <v>35</v>
      </c>
      <c r="R668" s="217" t="s">
        <v>23</v>
      </c>
      <c r="S668" s="217" t="s">
        <v>22</v>
      </c>
      <c r="T668" s="217" t="s">
        <v>84</v>
      </c>
      <c r="U668" s="217" t="s">
        <v>85</v>
      </c>
      <c r="V668" s="217" t="s">
        <v>91</v>
      </c>
      <c r="W668" s="217" t="s">
        <v>92</v>
      </c>
    </row>
    <row r="669" spans="1:23" x14ac:dyDescent="0.25">
      <c r="A669" s="217" t="s">
        <v>22</v>
      </c>
      <c r="B669" s="217" t="s">
        <v>23</v>
      </c>
      <c r="C669" s="217" t="s">
        <v>85</v>
      </c>
      <c r="D669" s="217" t="s">
        <v>84</v>
      </c>
      <c r="E669" s="217" t="s">
        <v>98</v>
      </c>
      <c r="F669" s="217" t="s">
        <v>97</v>
      </c>
      <c r="G669" s="217" t="s">
        <v>820</v>
      </c>
      <c r="H669" s="217" t="s">
        <v>1281</v>
      </c>
      <c r="I669" s="217" t="s">
        <v>29</v>
      </c>
      <c r="J669" s="217" t="s">
        <v>1856</v>
      </c>
      <c r="K669" s="217">
        <v>26</v>
      </c>
      <c r="L669" s="217">
        <v>179</v>
      </c>
      <c r="M669" s="217" t="s">
        <v>31</v>
      </c>
      <c r="N669" s="217" t="s">
        <v>32</v>
      </c>
      <c r="O669" s="217" t="s">
        <v>100</v>
      </c>
      <c r="P669" s="217" t="s">
        <v>34</v>
      </c>
      <c r="Q669" s="217" t="s">
        <v>35</v>
      </c>
      <c r="R669" s="217" t="s">
        <v>23</v>
      </c>
      <c r="S669" s="217" t="s">
        <v>22</v>
      </c>
      <c r="T669" s="217" t="s">
        <v>84</v>
      </c>
      <c r="U669" s="217" t="s">
        <v>85</v>
      </c>
      <c r="V669" s="217" t="s">
        <v>97</v>
      </c>
      <c r="W669" s="217" t="s">
        <v>98</v>
      </c>
    </row>
    <row r="670" spans="1:23" x14ac:dyDescent="0.25">
      <c r="A670" s="217" t="s">
        <v>22</v>
      </c>
      <c r="B670" s="217" t="s">
        <v>23</v>
      </c>
      <c r="C670" s="217" t="s">
        <v>85</v>
      </c>
      <c r="D670" s="217" t="s">
        <v>84</v>
      </c>
      <c r="E670" s="217" t="s">
        <v>98</v>
      </c>
      <c r="F670" s="217" t="s">
        <v>97</v>
      </c>
      <c r="G670" s="217" t="s">
        <v>820</v>
      </c>
      <c r="H670" s="217" t="s">
        <v>1281</v>
      </c>
      <c r="I670" s="217" t="s">
        <v>29</v>
      </c>
      <c r="J670" s="217" t="s">
        <v>1858</v>
      </c>
      <c r="K670" s="217">
        <v>8</v>
      </c>
      <c r="L670" s="217">
        <v>39</v>
      </c>
      <c r="M670" s="217" t="s">
        <v>31</v>
      </c>
      <c r="N670" s="217" t="s">
        <v>32</v>
      </c>
      <c r="O670" s="217" t="s">
        <v>100</v>
      </c>
      <c r="P670" s="217" t="s">
        <v>34</v>
      </c>
      <c r="Q670" s="217" t="s">
        <v>35</v>
      </c>
      <c r="R670" s="217" t="s">
        <v>23</v>
      </c>
      <c r="S670" s="217" t="s">
        <v>22</v>
      </c>
      <c r="T670" s="217" t="s">
        <v>84</v>
      </c>
      <c r="U670" s="217" t="s">
        <v>85</v>
      </c>
      <c r="V670" s="217" t="s">
        <v>97</v>
      </c>
      <c r="W670" s="217" t="s">
        <v>98</v>
      </c>
    </row>
    <row r="671" spans="1:23" x14ac:dyDescent="0.25">
      <c r="A671" s="217" t="s">
        <v>22</v>
      </c>
      <c r="B671" s="217" t="s">
        <v>23</v>
      </c>
      <c r="C671" s="217" t="s">
        <v>85</v>
      </c>
      <c r="D671" s="217" t="s">
        <v>84</v>
      </c>
      <c r="E671" s="217" t="s">
        <v>98</v>
      </c>
      <c r="F671" s="217" t="s">
        <v>97</v>
      </c>
      <c r="G671" s="217" t="s">
        <v>455</v>
      </c>
      <c r="H671" s="217" t="s">
        <v>1282</v>
      </c>
      <c r="I671" s="217" t="s">
        <v>29</v>
      </c>
      <c r="J671" s="217" t="s">
        <v>1855</v>
      </c>
      <c r="K671" s="217">
        <v>5</v>
      </c>
      <c r="L671" s="217">
        <v>30</v>
      </c>
      <c r="M671" s="217" t="s">
        <v>31</v>
      </c>
      <c r="N671" s="217" t="s">
        <v>32</v>
      </c>
      <c r="O671" s="217" t="s">
        <v>68</v>
      </c>
      <c r="P671" s="217" t="s">
        <v>34</v>
      </c>
      <c r="Q671" s="217" t="s">
        <v>35</v>
      </c>
      <c r="R671" s="217" t="s">
        <v>23</v>
      </c>
      <c r="S671" s="217" t="s">
        <v>22</v>
      </c>
      <c r="T671" s="217" t="s">
        <v>84</v>
      </c>
      <c r="U671" s="217" t="s">
        <v>85</v>
      </c>
      <c r="V671" s="217" t="s">
        <v>91</v>
      </c>
      <c r="W671" s="217" t="s">
        <v>92</v>
      </c>
    </row>
    <row r="672" spans="1:23" x14ac:dyDescent="0.25">
      <c r="A672" s="217" t="s">
        <v>22</v>
      </c>
      <c r="B672" s="217" t="s">
        <v>23</v>
      </c>
      <c r="C672" s="217" t="s">
        <v>85</v>
      </c>
      <c r="D672" s="217" t="s">
        <v>84</v>
      </c>
      <c r="E672" s="217" t="s">
        <v>98</v>
      </c>
      <c r="F672" s="217" t="s">
        <v>97</v>
      </c>
      <c r="G672" s="217" t="s">
        <v>455</v>
      </c>
      <c r="H672" s="217" t="s">
        <v>1282</v>
      </c>
      <c r="I672" s="217" t="s">
        <v>29</v>
      </c>
      <c r="J672" s="217" t="s">
        <v>1856</v>
      </c>
      <c r="K672" s="217">
        <v>4</v>
      </c>
      <c r="L672" s="217">
        <v>20</v>
      </c>
      <c r="M672" s="217" t="s">
        <v>31</v>
      </c>
      <c r="N672" s="217" t="s">
        <v>32</v>
      </c>
      <c r="O672" s="217" t="s">
        <v>68</v>
      </c>
      <c r="P672" s="217" t="s">
        <v>34</v>
      </c>
      <c r="Q672" s="217" t="s">
        <v>35</v>
      </c>
      <c r="R672" s="217" t="s">
        <v>23</v>
      </c>
      <c r="S672" s="217" t="s">
        <v>22</v>
      </c>
      <c r="T672" s="217" t="s">
        <v>84</v>
      </c>
      <c r="U672" s="217" t="s">
        <v>85</v>
      </c>
      <c r="V672" s="217" t="s">
        <v>91</v>
      </c>
      <c r="W672" s="217" t="s">
        <v>92</v>
      </c>
    </row>
    <row r="673" spans="1:23" x14ac:dyDescent="0.25">
      <c r="A673" s="217" t="s">
        <v>22</v>
      </c>
      <c r="B673" s="217" t="s">
        <v>23</v>
      </c>
      <c r="C673" s="217" t="s">
        <v>85</v>
      </c>
      <c r="D673" s="217" t="s">
        <v>84</v>
      </c>
      <c r="E673" s="217" t="s">
        <v>98</v>
      </c>
      <c r="F673" s="217" t="s">
        <v>97</v>
      </c>
      <c r="G673" s="217" t="s">
        <v>455</v>
      </c>
      <c r="H673" s="217" t="s">
        <v>1282</v>
      </c>
      <c r="I673" s="217" t="s">
        <v>29</v>
      </c>
      <c r="J673" s="217" t="s">
        <v>1857</v>
      </c>
      <c r="K673" s="217">
        <v>8</v>
      </c>
      <c r="L673" s="217">
        <v>30</v>
      </c>
      <c r="M673" s="217" t="s">
        <v>31</v>
      </c>
      <c r="N673" s="217" t="s">
        <v>32</v>
      </c>
      <c r="O673" s="217" t="s">
        <v>68</v>
      </c>
      <c r="P673" s="217" t="s">
        <v>34</v>
      </c>
      <c r="Q673" s="217" t="s">
        <v>35</v>
      </c>
      <c r="R673" s="217" t="s">
        <v>23</v>
      </c>
      <c r="S673" s="217" t="s">
        <v>22</v>
      </c>
      <c r="T673" s="217" t="s">
        <v>84</v>
      </c>
      <c r="U673" s="217" t="s">
        <v>85</v>
      </c>
      <c r="V673" s="217" t="s">
        <v>91</v>
      </c>
      <c r="W673" s="217" t="s">
        <v>92</v>
      </c>
    </row>
    <row r="674" spans="1:23" x14ac:dyDescent="0.25">
      <c r="A674" s="217" t="s">
        <v>22</v>
      </c>
      <c r="B674" s="217" t="s">
        <v>23</v>
      </c>
      <c r="C674" s="217" t="s">
        <v>85</v>
      </c>
      <c r="D674" s="217" t="s">
        <v>84</v>
      </c>
      <c r="E674" s="217" t="s">
        <v>98</v>
      </c>
      <c r="F674" s="217" t="s">
        <v>97</v>
      </c>
      <c r="G674" s="217" t="s">
        <v>455</v>
      </c>
      <c r="H674" s="217" t="s">
        <v>1282</v>
      </c>
      <c r="I674" s="217" t="s">
        <v>29</v>
      </c>
      <c r="J674" s="217" t="s">
        <v>1858</v>
      </c>
      <c r="K674" s="217">
        <v>2</v>
      </c>
      <c r="L674" s="217">
        <v>2</v>
      </c>
      <c r="M674" s="217" t="s">
        <v>31</v>
      </c>
      <c r="N674" s="217" t="s">
        <v>32</v>
      </c>
      <c r="O674" s="217" t="s">
        <v>68</v>
      </c>
      <c r="P674" s="217" t="s">
        <v>34</v>
      </c>
      <c r="Q674" s="217" t="s">
        <v>35</v>
      </c>
      <c r="R674" s="217" t="s">
        <v>23</v>
      </c>
      <c r="S674" s="217" t="s">
        <v>22</v>
      </c>
      <c r="T674" s="217" t="s">
        <v>84</v>
      </c>
      <c r="U674" s="217" t="s">
        <v>85</v>
      </c>
      <c r="V674" s="217" t="s">
        <v>109</v>
      </c>
      <c r="W674" s="217" t="s">
        <v>110</v>
      </c>
    </row>
    <row r="675" spans="1:23" x14ac:dyDescent="0.25">
      <c r="A675" s="217" t="s">
        <v>22</v>
      </c>
      <c r="B675" s="217" t="s">
        <v>23</v>
      </c>
      <c r="C675" s="217" t="s">
        <v>85</v>
      </c>
      <c r="D675" s="217" t="s">
        <v>84</v>
      </c>
      <c r="E675" s="217" t="s">
        <v>98</v>
      </c>
      <c r="F675" s="217" t="s">
        <v>97</v>
      </c>
      <c r="G675" s="217" t="s">
        <v>813</v>
      </c>
      <c r="H675" s="217" t="s">
        <v>1283</v>
      </c>
      <c r="I675" s="217" t="s">
        <v>29</v>
      </c>
      <c r="J675" s="217" t="s">
        <v>1857</v>
      </c>
      <c r="K675" s="217">
        <v>8</v>
      </c>
      <c r="L675" s="217">
        <v>68</v>
      </c>
      <c r="M675" s="217" t="s">
        <v>31</v>
      </c>
      <c r="N675" s="217" t="s">
        <v>32</v>
      </c>
      <c r="O675" s="217" t="s">
        <v>100</v>
      </c>
      <c r="P675" s="217" t="s">
        <v>34</v>
      </c>
      <c r="Q675" s="217" t="s">
        <v>35</v>
      </c>
      <c r="R675" s="217" t="s">
        <v>23</v>
      </c>
      <c r="S675" s="217" t="s">
        <v>22</v>
      </c>
      <c r="T675" s="217" t="s">
        <v>84</v>
      </c>
      <c r="U675" s="217" t="s">
        <v>85</v>
      </c>
      <c r="V675" s="217" t="s">
        <v>97</v>
      </c>
      <c r="W675" s="217" t="s">
        <v>98</v>
      </c>
    </row>
    <row r="676" spans="1:23" x14ac:dyDescent="0.25">
      <c r="A676" s="217" t="s">
        <v>22</v>
      </c>
      <c r="B676" s="217" t="s">
        <v>23</v>
      </c>
      <c r="C676" s="217" t="s">
        <v>85</v>
      </c>
      <c r="D676" s="217" t="s">
        <v>84</v>
      </c>
      <c r="E676" s="217" t="s">
        <v>98</v>
      </c>
      <c r="F676" s="217" t="s">
        <v>97</v>
      </c>
      <c r="G676" s="217" t="s">
        <v>813</v>
      </c>
      <c r="H676" s="217" t="s">
        <v>1283</v>
      </c>
      <c r="I676" s="217" t="s">
        <v>29</v>
      </c>
      <c r="J676" s="217" t="s">
        <v>1858</v>
      </c>
      <c r="K676" s="217">
        <v>8</v>
      </c>
      <c r="L676" s="217">
        <v>43</v>
      </c>
      <c r="M676" s="217" t="s">
        <v>31</v>
      </c>
      <c r="N676" s="217" t="s">
        <v>32</v>
      </c>
      <c r="O676" s="217" t="s">
        <v>100</v>
      </c>
      <c r="P676" s="217" t="s">
        <v>34</v>
      </c>
      <c r="Q676" s="217" t="s">
        <v>35</v>
      </c>
      <c r="R676" s="217" t="s">
        <v>23</v>
      </c>
      <c r="S676" s="217" t="s">
        <v>22</v>
      </c>
      <c r="T676" s="217" t="s">
        <v>84</v>
      </c>
      <c r="U676" s="217" t="s">
        <v>85</v>
      </c>
      <c r="V676" s="217" t="s">
        <v>97</v>
      </c>
      <c r="W676" s="217" t="s">
        <v>98</v>
      </c>
    </row>
    <row r="677" spans="1:23" x14ac:dyDescent="0.25">
      <c r="A677" s="217" t="s">
        <v>22</v>
      </c>
      <c r="B677" s="217" t="s">
        <v>23</v>
      </c>
      <c r="C677" s="217" t="s">
        <v>85</v>
      </c>
      <c r="D677" s="217" t="s">
        <v>84</v>
      </c>
      <c r="E677" s="217" t="s">
        <v>98</v>
      </c>
      <c r="F677" s="217" t="s">
        <v>97</v>
      </c>
      <c r="G677" s="217" t="s">
        <v>1284</v>
      </c>
      <c r="H677" s="217" t="s">
        <v>1285</v>
      </c>
      <c r="I677" s="217" t="s">
        <v>29</v>
      </c>
      <c r="J677" s="217" t="s">
        <v>1858</v>
      </c>
      <c r="K677" s="217">
        <v>35</v>
      </c>
      <c r="L677" s="217">
        <v>135</v>
      </c>
      <c r="M677" s="217" t="s">
        <v>31</v>
      </c>
      <c r="N677" s="217" t="s">
        <v>32</v>
      </c>
      <c r="O677" s="217" t="s">
        <v>100</v>
      </c>
      <c r="P677" s="217" t="s">
        <v>34</v>
      </c>
      <c r="Q677" s="217" t="s">
        <v>35</v>
      </c>
      <c r="R677" s="217" t="s">
        <v>23</v>
      </c>
      <c r="S677" s="217" t="s">
        <v>22</v>
      </c>
      <c r="T677" s="217" t="s">
        <v>84</v>
      </c>
      <c r="U677" s="217" t="s">
        <v>85</v>
      </c>
      <c r="V677" s="217" t="s">
        <v>97</v>
      </c>
      <c r="W677" s="217" t="s">
        <v>98</v>
      </c>
    </row>
    <row r="678" spans="1:23" x14ac:dyDescent="0.25">
      <c r="A678" s="217" t="s">
        <v>22</v>
      </c>
      <c r="B678" s="217" t="s">
        <v>23</v>
      </c>
      <c r="C678" s="217" t="s">
        <v>85</v>
      </c>
      <c r="D678" s="217" t="s">
        <v>84</v>
      </c>
      <c r="E678" s="217" t="s">
        <v>98</v>
      </c>
      <c r="F678" s="217" t="s">
        <v>97</v>
      </c>
      <c r="G678" s="217" t="s">
        <v>1286</v>
      </c>
      <c r="H678" s="217" t="s">
        <v>1287</v>
      </c>
      <c r="I678" s="217" t="s">
        <v>29</v>
      </c>
      <c r="J678" s="217" t="s">
        <v>1856</v>
      </c>
      <c r="K678" s="217">
        <v>7</v>
      </c>
      <c r="L678" s="217">
        <v>41</v>
      </c>
      <c r="M678" s="217" t="s">
        <v>31</v>
      </c>
      <c r="N678" s="217" t="s">
        <v>32</v>
      </c>
      <c r="O678" s="217" t="s">
        <v>100</v>
      </c>
      <c r="P678" s="217" t="s">
        <v>34</v>
      </c>
      <c r="Q678" s="217" t="s">
        <v>35</v>
      </c>
      <c r="R678" s="217" t="s">
        <v>23</v>
      </c>
      <c r="S678" s="217" t="s">
        <v>22</v>
      </c>
      <c r="T678" s="217" t="s">
        <v>84</v>
      </c>
      <c r="U678" s="217" t="s">
        <v>85</v>
      </c>
      <c r="V678" s="217" t="s">
        <v>97</v>
      </c>
      <c r="W678" s="217" t="s">
        <v>98</v>
      </c>
    </row>
    <row r="679" spans="1:23" x14ac:dyDescent="0.25">
      <c r="A679" s="217" t="s">
        <v>22</v>
      </c>
      <c r="B679" s="217" t="s">
        <v>23</v>
      </c>
      <c r="C679" s="217" t="s">
        <v>85</v>
      </c>
      <c r="D679" s="217" t="s">
        <v>84</v>
      </c>
      <c r="E679" s="217" t="s">
        <v>98</v>
      </c>
      <c r="F679" s="217" t="s">
        <v>97</v>
      </c>
      <c r="G679" s="217" t="s">
        <v>456</v>
      </c>
      <c r="H679" s="217" t="s">
        <v>1288</v>
      </c>
      <c r="I679" s="217" t="s">
        <v>29</v>
      </c>
      <c r="J679" s="217" t="s">
        <v>1856</v>
      </c>
      <c r="K679" s="217">
        <v>80</v>
      </c>
      <c r="L679" s="217">
        <v>377</v>
      </c>
      <c r="M679" s="217" t="s">
        <v>31</v>
      </c>
      <c r="N679" s="217" t="s">
        <v>32</v>
      </c>
      <c r="O679" s="217" t="s">
        <v>100</v>
      </c>
      <c r="P679" s="217" t="s">
        <v>34</v>
      </c>
      <c r="Q679" s="217" t="s">
        <v>35</v>
      </c>
      <c r="R679" s="217" t="s">
        <v>23</v>
      </c>
      <c r="S679" s="217" t="s">
        <v>22</v>
      </c>
      <c r="T679" s="217" t="s">
        <v>84</v>
      </c>
      <c r="U679" s="217" t="s">
        <v>85</v>
      </c>
      <c r="V679" s="217" t="s">
        <v>97</v>
      </c>
      <c r="W679" s="217" t="s">
        <v>98</v>
      </c>
    </row>
    <row r="680" spans="1:23" x14ac:dyDescent="0.25">
      <c r="A680" s="217" t="s">
        <v>22</v>
      </c>
      <c r="B680" s="217" t="s">
        <v>23</v>
      </c>
      <c r="C680" s="217" t="s">
        <v>85</v>
      </c>
      <c r="D680" s="217" t="s">
        <v>84</v>
      </c>
      <c r="E680" s="217" t="s">
        <v>98</v>
      </c>
      <c r="F680" s="217" t="s">
        <v>97</v>
      </c>
      <c r="G680" s="217" t="s">
        <v>456</v>
      </c>
      <c r="H680" s="217" t="s">
        <v>1288</v>
      </c>
      <c r="I680" s="217" t="s">
        <v>29</v>
      </c>
      <c r="J680" s="217" t="s">
        <v>1857</v>
      </c>
      <c r="K680" s="217">
        <v>8</v>
      </c>
      <c r="L680" s="217">
        <v>43</v>
      </c>
      <c r="M680" s="217" t="s">
        <v>31</v>
      </c>
      <c r="N680" s="217" t="s">
        <v>32</v>
      </c>
      <c r="O680" s="217" t="s">
        <v>100</v>
      </c>
      <c r="P680" s="217" t="s">
        <v>34</v>
      </c>
      <c r="Q680" s="217" t="s">
        <v>35</v>
      </c>
      <c r="R680" s="217" t="s">
        <v>23</v>
      </c>
      <c r="S680" s="217" t="s">
        <v>22</v>
      </c>
      <c r="T680" s="217" t="s">
        <v>84</v>
      </c>
      <c r="U680" s="217" t="s">
        <v>85</v>
      </c>
      <c r="V680" s="217" t="s">
        <v>97</v>
      </c>
      <c r="W680" s="217" t="s">
        <v>98</v>
      </c>
    </row>
    <row r="681" spans="1:23" x14ac:dyDescent="0.25">
      <c r="A681" s="217" t="s">
        <v>22</v>
      </c>
      <c r="B681" s="217" t="s">
        <v>23</v>
      </c>
      <c r="C681" s="217" t="s">
        <v>85</v>
      </c>
      <c r="D681" s="217" t="s">
        <v>84</v>
      </c>
      <c r="E681" s="217" t="s">
        <v>98</v>
      </c>
      <c r="F681" s="217" t="s">
        <v>97</v>
      </c>
      <c r="G681" s="217" t="s">
        <v>456</v>
      </c>
      <c r="H681" s="217" t="s">
        <v>1288</v>
      </c>
      <c r="I681" s="217" t="s">
        <v>29</v>
      </c>
      <c r="J681" s="217" t="s">
        <v>1858</v>
      </c>
      <c r="K681" s="217">
        <v>7</v>
      </c>
      <c r="L681" s="217">
        <v>48</v>
      </c>
      <c r="M681" s="217" t="s">
        <v>31</v>
      </c>
      <c r="N681" s="217" t="s">
        <v>32</v>
      </c>
      <c r="O681" s="217" t="s">
        <v>100</v>
      </c>
      <c r="P681" s="217" t="s">
        <v>34</v>
      </c>
      <c r="Q681" s="217" t="s">
        <v>35</v>
      </c>
      <c r="R681" s="217" t="s">
        <v>23</v>
      </c>
      <c r="S681" s="217" t="s">
        <v>22</v>
      </c>
      <c r="T681" s="217" t="s">
        <v>84</v>
      </c>
      <c r="U681" s="217" t="s">
        <v>85</v>
      </c>
      <c r="V681" s="217" t="s">
        <v>97</v>
      </c>
      <c r="W681" s="217" t="s">
        <v>98</v>
      </c>
    </row>
    <row r="682" spans="1:23" x14ac:dyDescent="0.25">
      <c r="A682" s="217" t="s">
        <v>22</v>
      </c>
      <c r="B682" s="217" t="s">
        <v>23</v>
      </c>
      <c r="C682" s="217" t="s">
        <v>85</v>
      </c>
      <c r="D682" s="217" t="s">
        <v>84</v>
      </c>
      <c r="E682" s="217" t="s">
        <v>98</v>
      </c>
      <c r="F682" s="217" t="s">
        <v>97</v>
      </c>
      <c r="G682" s="217" t="s">
        <v>457</v>
      </c>
      <c r="H682" s="217" t="s">
        <v>1289</v>
      </c>
      <c r="I682" s="217" t="s">
        <v>29</v>
      </c>
      <c r="J682" s="217" t="s">
        <v>1856</v>
      </c>
      <c r="K682" s="217">
        <v>23</v>
      </c>
      <c r="L682" s="217">
        <v>256</v>
      </c>
      <c r="M682" s="217" t="s">
        <v>31</v>
      </c>
      <c r="N682" s="217" t="s">
        <v>32</v>
      </c>
      <c r="O682" s="217" t="s">
        <v>100</v>
      </c>
      <c r="P682" s="217" t="s">
        <v>34</v>
      </c>
      <c r="Q682" s="217" t="s">
        <v>35</v>
      </c>
      <c r="R682" s="217" t="s">
        <v>23</v>
      </c>
      <c r="S682" s="217" t="s">
        <v>22</v>
      </c>
      <c r="T682" s="217" t="s">
        <v>84</v>
      </c>
      <c r="U682" s="217" t="s">
        <v>85</v>
      </c>
      <c r="V682" s="217" t="s">
        <v>97</v>
      </c>
      <c r="W682" s="217" t="s">
        <v>98</v>
      </c>
    </row>
    <row r="683" spans="1:23" x14ac:dyDescent="0.25">
      <c r="A683" s="217" t="s">
        <v>22</v>
      </c>
      <c r="B683" s="217" t="s">
        <v>23</v>
      </c>
      <c r="C683" s="217" t="s">
        <v>85</v>
      </c>
      <c r="D683" s="217" t="s">
        <v>84</v>
      </c>
      <c r="E683" s="217" t="s">
        <v>98</v>
      </c>
      <c r="F683" s="217" t="s">
        <v>97</v>
      </c>
      <c r="G683" s="217" t="s">
        <v>457</v>
      </c>
      <c r="H683" s="217" t="s">
        <v>1289</v>
      </c>
      <c r="I683" s="217" t="s">
        <v>29</v>
      </c>
      <c r="J683" s="217" t="s">
        <v>1857</v>
      </c>
      <c r="K683" s="217">
        <v>19</v>
      </c>
      <c r="L683" s="217">
        <v>123</v>
      </c>
      <c r="M683" s="217" t="s">
        <v>31</v>
      </c>
      <c r="N683" s="217" t="s">
        <v>32</v>
      </c>
      <c r="O683" s="217" t="s">
        <v>100</v>
      </c>
      <c r="P683" s="217" t="s">
        <v>34</v>
      </c>
      <c r="Q683" s="217" t="s">
        <v>35</v>
      </c>
      <c r="R683" s="217" t="s">
        <v>23</v>
      </c>
      <c r="S683" s="217" t="s">
        <v>22</v>
      </c>
      <c r="T683" s="217" t="s">
        <v>84</v>
      </c>
      <c r="U683" s="217" t="s">
        <v>85</v>
      </c>
      <c r="V683" s="217" t="s">
        <v>97</v>
      </c>
      <c r="W683" s="217" t="s">
        <v>98</v>
      </c>
    </row>
    <row r="684" spans="1:23" x14ac:dyDescent="0.25">
      <c r="A684" s="217" t="s">
        <v>22</v>
      </c>
      <c r="B684" s="217" t="s">
        <v>23</v>
      </c>
      <c r="C684" s="217" t="s">
        <v>85</v>
      </c>
      <c r="D684" s="217" t="s">
        <v>84</v>
      </c>
      <c r="E684" s="217" t="s">
        <v>98</v>
      </c>
      <c r="F684" s="217" t="s">
        <v>97</v>
      </c>
      <c r="G684" s="217" t="s">
        <v>457</v>
      </c>
      <c r="H684" s="217" t="s">
        <v>1289</v>
      </c>
      <c r="I684" s="217" t="s">
        <v>29</v>
      </c>
      <c r="J684" s="217" t="s">
        <v>1858</v>
      </c>
      <c r="K684" s="217">
        <v>8</v>
      </c>
      <c r="L684" s="217">
        <v>39</v>
      </c>
      <c r="M684" s="217" t="s">
        <v>31</v>
      </c>
      <c r="N684" s="217" t="s">
        <v>32</v>
      </c>
      <c r="O684" s="217" t="s">
        <v>100</v>
      </c>
      <c r="P684" s="217" t="s">
        <v>34</v>
      </c>
      <c r="Q684" s="217" t="s">
        <v>35</v>
      </c>
      <c r="R684" s="217" t="s">
        <v>23</v>
      </c>
      <c r="S684" s="217" t="s">
        <v>22</v>
      </c>
      <c r="T684" s="217" t="s">
        <v>84</v>
      </c>
      <c r="U684" s="217" t="s">
        <v>85</v>
      </c>
      <c r="V684" s="217" t="s">
        <v>97</v>
      </c>
      <c r="W684" s="217" t="s">
        <v>98</v>
      </c>
    </row>
    <row r="685" spans="1:23" x14ac:dyDescent="0.25">
      <c r="A685" s="217" t="s">
        <v>22</v>
      </c>
      <c r="B685" s="217" t="s">
        <v>23</v>
      </c>
      <c r="C685" s="217" t="s">
        <v>85</v>
      </c>
      <c r="D685" s="217" t="s">
        <v>84</v>
      </c>
      <c r="E685" s="217" t="s">
        <v>98</v>
      </c>
      <c r="F685" s="217" t="s">
        <v>97</v>
      </c>
      <c r="G685" s="217" t="s">
        <v>457</v>
      </c>
      <c r="H685" s="217" t="s">
        <v>1289</v>
      </c>
      <c r="I685" s="217" t="s">
        <v>29</v>
      </c>
      <c r="J685" s="217" t="s">
        <v>1859</v>
      </c>
      <c r="K685" s="217">
        <v>11</v>
      </c>
      <c r="L685" s="217">
        <v>47</v>
      </c>
      <c r="M685" s="217" t="s">
        <v>31</v>
      </c>
      <c r="N685" s="217" t="s">
        <v>32</v>
      </c>
      <c r="O685" s="217" t="s">
        <v>100</v>
      </c>
      <c r="P685" s="217" t="s">
        <v>34</v>
      </c>
      <c r="Q685" s="217" t="s">
        <v>35</v>
      </c>
      <c r="R685" s="217" t="s">
        <v>23</v>
      </c>
      <c r="S685" s="217" t="s">
        <v>22</v>
      </c>
      <c r="T685" s="217" t="s">
        <v>84</v>
      </c>
      <c r="U685" s="217" t="s">
        <v>85</v>
      </c>
      <c r="V685" s="217" t="s">
        <v>97</v>
      </c>
      <c r="W685" s="217" t="s">
        <v>98</v>
      </c>
    </row>
    <row r="686" spans="1:23" x14ac:dyDescent="0.25">
      <c r="A686" s="217" t="s">
        <v>22</v>
      </c>
      <c r="B686" s="217" t="s">
        <v>23</v>
      </c>
      <c r="C686" s="217" t="s">
        <v>85</v>
      </c>
      <c r="D686" s="217" t="s">
        <v>84</v>
      </c>
      <c r="E686" s="217" t="s">
        <v>98</v>
      </c>
      <c r="F686" s="217" t="s">
        <v>97</v>
      </c>
      <c r="G686" s="217" t="s">
        <v>458</v>
      </c>
      <c r="H686" s="217" t="s">
        <v>1290</v>
      </c>
      <c r="I686" s="217" t="s">
        <v>29</v>
      </c>
      <c r="J686" s="217" t="s">
        <v>1855</v>
      </c>
      <c r="K686" s="217">
        <v>16</v>
      </c>
      <c r="L686" s="217">
        <v>260</v>
      </c>
      <c r="M686" s="217" t="s">
        <v>31</v>
      </c>
      <c r="N686" s="217" t="s">
        <v>32</v>
      </c>
      <c r="O686" s="217" t="s">
        <v>100</v>
      </c>
      <c r="P686" s="217" t="s">
        <v>34</v>
      </c>
      <c r="Q686" s="217" t="s">
        <v>35</v>
      </c>
      <c r="R686" s="217" t="s">
        <v>23</v>
      </c>
      <c r="S686" s="217" t="s">
        <v>22</v>
      </c>
      <c r="T686" s="217" t="s">
        <v>84</v>
      </c>
      <c r="U686" s="217" t="s">
        <v>85</v>
      </c>
      <c r="V686" s="217" t="s">
        <v>97</v>
      </c>
      <c r="W686" s="217" t="s">
        <v>98</v>
      </c>
    </row>
    <row r="687" spans="1:23" x14ac:dyDescent="0.25">
      <c r="A687" s="217" t="s">
        <v>22</v>
      </c>
      <c r="B687" s="217" t="s">
        <v>23</v>
      </c>
      <c r="C687" s="217" t="s">
        <v>85</v>
      </c>
      <c r="D687" s="217" t="s">
        <v>84</v>
      </c>
      <c r="E687" s="217" t="s">
        <v>98</v>
      </c>
      <c r="F687" s="217" t="s">
        <v>97</v>
      </c>
      <c r="G687" s="217" t="s">
        <v>458</v>
      </c>
      <c r="H687" s="217" t="s">
        <v>1290</v>
      </c>
      <c r="I687" s="217" t="s">
        <v>29</v>
      </c>
      <c r="J687" s="217" t="s">
        <v>1856</v>
      </c>
      <c r="K687" s="217">
        <v>4</v>
      </c>
      <c r="L687" s="217">
        <v>59</v>
      </c>
      <c r="M687" s="217" t="s">
        <v>31</v>
      </c>
      <c r="N687" s="217" t="s">
        <v>32</v>
      </c>
      <c r="O687" s="217" t="s">
        <v>100</v>
      </c>
      <c r="P687" s="217" t="s">
        <v>34</v>
      </c>
      <c r="Q687" s="217" t="s">
        <v>35</v>
      </c>
      <c r="R687" s="217" t="s">
        <v>23</v>
      </c>
      <c r="S687" s="217" t="s">
        <v>22</v>
      </c>
      <c r="T687" s="217" t="s">
        <v>84</v>
      </c>
      <c r="U687" s="217" t="s">
        <v>85</v>
      </c>
      <c r="V687" s="217" t="s">
        <v>97</v>
      </c>
      <c r="W687" s="217" t="s">
        <v>98</v>
      </c>
    </row>
    <row r="688" spans="1:23" x14ac:dyDescent="0.25">
      <c r="A688" s="217" t="s">
        <v>22</v>
      </c>
      <c r="B688" s="217" t="s">
        <v>23</v>
      </c>
      <c r="C688" s="217" t="s">
        <v>85</v>
      </c>
      <c r="D688" s="217" t="s">
        <v>84</v>
      </c>
      <c r="E688" s="217" t="s">
        <v>98</v>
      </c>
      <c r="F688" s="217" t="s">
        <v>97</v>
      </c>
      <c r="G688" s="217" t="s">
        <v>458</v>
      </c>
      <c r="H688" s="217" t="s">
        <v>1290</v>
      </c>
      <c r="I688" s="217" t="s">
        <v>29</v>
      </c>
      <c r="J688" s="217" t="s">
        <v>1857</v>
      </c>
      <c r="K688" s="217">
        <v>7</v>
      </c>
      <c r="L688" s="217">
        <v>86</v>
      </c>
      <c r="M688" s="217" t="s">
        <v>31</v>
      </c>
      <c r="N688" s="217" t="s">
        <v>32</v>
      </c>
      <c r="O688" s="217" t="s">
        <v>100</v>
      </c>
      <c r="P688" s="217" t="s">
        <v>34</v>
      </c>
      <c r="Q688" s="217" t="s">
        <v>35</v>
      </c>
      <c r="R688" s="217" t="s">
        <v>23</v>
      </c>
      <c r="S688" s="217" t="s">
        <v>22</v>
      </c>
      <c r="T688" s="217" t="s">
        <v>84</v>
      </c>
      <c r="U688" s="217" t="s">
        <v>85</v>
      </c>
      <c r="V688" s="217" t="s">
        <v>97</v>
      </c>
      <c r="W688" s="217" t="s">
        <v>98</v>
      </c>
    </row>
    <row r="689" spans="1:23" x14ac:dyDescent="0.25">
      <c r="A689" s="217" t="s">
        <v>22</v>
      </c>
      <c r="B689" s="217" t="s">
        <v>23</v>
      </c>
      <c r="C689" s="217" t="s">
        <v>85</v>
      </c>
      <c r="D689" s="217" t="s">
        <v>84</v>
      </c>
      <c r="E689" s="217" t="s">
        <v>98</v>
      </c>
      <c r="F689" s="217" t="s">
        <v>97</v>
      </c>
      <c r="G689" s="217" t="s">
        <v>458</v>
      </c>
      <c r="H689" s="217" t="s">
        <v>1290</v>
      </c>
      <c r="I689" s="217" t="s">
        <v>29</v>
      </c>
      <c r="J689" s="217" t="s">
        <v>1858</v>
      </c>
      <c r="K689" s="217">
        <v>32</v>
      </c>
      <c r="L689" s="217">
        <v>97</v>
      </c>
      <c r="M689" s="217" t="s">
        <v>31</v>
      </c>
      <c r="N689" s="217" t="s">
        <v>32</v>
      </c>
      <c r="O689" s="217" t="s">
        <v>100</v>
      </c>
      <c r="P689" s="217" t="s">
        <v>34</v>
      </c>
      <c r="Q689" s="217" t="s">
        <v>35</v>
      </c>
      <c r="R689" s="217" t="s">
        <v>23</v>
      </c>
      <c r="S689" s="217" t="s">
        <v>22</v>
      </c>
      <c r="T689" s="217" t="s">
        <v>84</v>
      </c>
      <c r="U689" s="217" t="s">
        <v>85</v>
      </c>
      <c r="V689" s="217" t="s">
        <v>97</v>
      </c>
      <c r="W689" s="217" t="s">
        <v>98</v>
      </c>
    </row>
    <row r="690" spans="1:23" x14ac:dyDescent="0.25">
      <c r="A690" s="217" t="s">
        <v>22</v>
      </c>
      <c r="B690" s="217" t="s">
        <v>23</v>
      </c>
      <c r="C690" s="217" t="s">
        <v>85</v>
      </c>
      <c r="D690" s="217" t="s">
        <v>84</v>
      </c>
      <c r="E690" s="217" t="s">
        <v>98</v>
      </c>
      <c r="F690" s="217" t="s">
        <v>97</v>
      </c>
      <c r="G690" s="217" t="s">
        <v>1291</v>
      </c>
      <c r="H690" s="217" t="s">
        <v>1292</v>
      </c>
      <c r="I690" s="217" t="s">
        <v>29</v>
      </c>
      <c r="J690" s="217" t="s">
        <v>1858</v>
      </c>
      <c r="K690" s="217">
        <v>32</v>
      </c>
      <c r="L690" s="217">
        <v>160</v>
      </c>
      <c r="M690" s="217" t="s">
        <v>31</v>
      </c>
      <c r="N690" s="217" t="s">
        <v>32</v>
      </c>
      <c r="O690" s="217" t="s">
        <v>100</v>
      </c>
      <c r="P690" s="217" t="s">
        <v>34</v>
      </c>
      <c r="Q690" s="217" t="s">
        <v>35</v>
      </c>
      <c r="R690" s="217" t="s">
        <v>23</v>
      </c>
      <c r="S690" s="217" t="s">
        <v>22</v>
      </c>
      <c r="T690" s="217" t="s">
        <v>84</v>
      </c>
      <c r="U690" s="217" t="s">
        <v>85</v>
      </c>
      <c r="V690" s="217" t="s">
        <v>97</v>
      </c>
      <c r="W690" s="217" t="s">
        <v>98</v>
      </c>
    </row>
    <row r="691" spans="1:23" x14ac:dyDescent="0.25">
      <c r="A691" s="217" t="s">
        <v>22</v>
      </c>
      <c r="B691" s="217" t="s">
        <v>23</v>
      </c>
      <c r="C691" s="217" t="s">
        <v>85</v>
      </c>
      <c r="D691" s="217" t="s">
        <v>84</v>
      </c>
      <c r="E691" s="217" t="s">
        <v>98</v>
      </c>
      <c r="F691" s="217" t="s">
        <v>97</v>
      </c>
      <c r="G691" s="217" t="s">
        <v>1293</v>
      </c>
      <c r="H691" s="217" t="s">
        <v>1294</v>
      </c>
      <c r="I691" s="217" t="s">
        <v>29</v>
      </c>
      <c r="J691" s="217" t="s">
        <v>1858</v>
      </c>
      <c r="K691" s="217">
        <v>36</v>
      </c>
      <c r="L691" s="217">
        <v>100</v>
      </c>
      <c r="M691" s="217" t="s">
        <v>31</v>
      </c>
      <c r="N691" s="217" t="s">
        <v>32</v>
      </c>
      <c r="O691" s="217" t="s">
        <v>68</v>
      </c>
      <c r="P691" s="217" t="s">
        <v>34</v>
      </c>
      <c r="Q691" s="217" t="s">
        <v>35</v>
      </c>
      <c r="R691" s="217" t="s">
        <v>23</v>
      </c>
      <c r="S691" s="217" t="s">
        <v>22</v>
      </c>
      <c r="T691" s="217" t="s">
        <v>84</v>
      </c>
      <c r="U691" s="217" t="s">
        <v>85</v>
      </c>
      <c r="V691" s="217" t="s">
        <v>109</v>
      </c>
      <c r="W691" s="217" t="s">
        <v>110</v>
      </c>
    </row>
    <row r="692" spans="1:23" x14ac:dyDescent="0.25">
      <c r="A692" s="217" t="s">
        <v>22</v>
      </c>
      <c r="B692" s="217" t="s">
        <v>23</v>
      </c>
      <c r="C692" s="217" t="s">
        <v>85</v>
      </c>
      <c r="D692" s="217" t="s">
        <v>84</v>
      </c>
      <c r="E692" s="217" t="s">
        <v>98</v>
      </c>
      <c r="F692" s="217" t="s">
        <v>97</v>
      </c>
      <c r="G692" s="217" t="s">
        <v>459</v>
      </c>
      <c r="H692" s="217" t="s">
        <v>1295</v>
      </c>
      <c r="I692" s="217" t="s">
        <v>29</v>
      </c>
      <c r="J692" s="217" t="s">
        <v>1856</v>
      </c>
      <c r="K692" s="217">
        <v>13</v>
      </c>
      <c r="L692" s="217">
        <v>73</v>
      </c>
      <c r="M692" s="217" t="s">
        <v>31</v>
      </c>
      <c r="N692" s="217" t="s">
        <v>32</v>
      </c>
      <c r="O692" s="217" t="s">
        <v>68</v>
      </c>
      <c r="P692" s="217" t="s">
        <v>34</v>
      </c>
      <c r="Q692" s="217" t="s">
        <v>35</v>
      </c>
      <c r="R692" s="217" t="s">
        <v>23</v>
      </c>
      <c r="S692" s="217" t="s">
        <v>22</v>
      </c>
      <c r="T692" s="217" t="s">
        <v>84</v>
      </c>
      <c r="U692" s="217" t="s">
        <v>85</v>
      </c>
      <c r="V692" s="217" t="s">
        <v>91</v>
      </c>
      <c r="W692" s="217" t="s">
        <v>92</v>
      </c>
    </row>
    <row r="693" spans="1:23" x14ac:dyDescent="0.25">
      <c r="A693" s="217" t="s">
        <v>22</v>
      </c>
      <c r="B693" s="217" t="s">
        <v>23</v>
      </c>
      <c r="C693" s="217" t="s">
        <v>85</v>
      </c>
      <c r="D693" s="217" t="s">
        <v>84</v>
      </c>
      <c r="E693" s="217" t="s">
        <v>98</v>
      </c>
      <c r="F693" s="217" t="s">
        <v>97</v>
      </c>
      <c r="G693" s="217" t="s">
        <v>459</v>
      </c>
      <c r="H693" s="217" t="s">
        <v>1295</v>
      </c>
      <c r="I693" s="217" t="s">
        <v>29</v>
      </c>
      <c r="J693" s="217" t="s">
        <v>1857</v>
      </c>
      <c r="K693" s="217">
        <v>1</v>
      </c>
      <c r="L693" s="217">
        <v>7</v>
      </c>
      <c r="M693" s="217" t="s">
        <v>31</v>
      </c>
      <c r="N693" s="217" t="s">
        <v>32</v>
      </c>
      <c r="O693" s="217" t="s">
        <v>68</v>
      </c>
      <c r="P693" s="217" t="s">
        <v>34</v>
      </c>
      <c r="Q693" s="217" t="s">
        <v>35</v>
      </c>
      <c r="R693" s="217" t="s">
        <v>23</v>
      </c>
      <c r="S693" s="217" t="s">
        <v>22</v>
      </c>
      <c r="T693" s="217" t="s">
        <v>84</v>
      </c>
      <c r="U693" s="217" t="s">
        <v>85</v>
      </c>
      <c r="V693" s="217" t="s">
        <v>109</v>
      </c>
      <c r="W693" s="217" t="s">
        <v>110</v>
      </c>
    </row>
    <row r="694" spans="1:23" x14ac:dyDescent="0.25">
      <c r="A694" s="217" t="s">
        <v>22</v>
      </c>
      <c r="B694" s="217" t="s">
        <v>23</v>
      </c>
      <c r="C694" s="217" t="s">
        <v>85</v>
      </c>
      <c r="D694" s="217" t="s">
        <v>84</v>
      </c>
      <c r="E694" s="217" t="s">
        <v>98</v>
      </c>
      <c r="F694" s="217" t="s">
        <v>97</v>
      </c>
      <c r="G694" s="217" t="s">
        <v>459</v>
      </c>
      <c r="H694" s="217" t="s">
        <v>1295</v>
      </c>
      <c r="I694" s="217" t="s">
        <v>29</v>
      </c>
      <c r="J694" s="217" t="s">
        <v>1858</v>
      </c>
      <c r="K694" s="217">
        <v>9</v>
      </c>
      <c r="L694" s="217">
        <v>54</v>
      </c>
      <c r="M694" s="217" t="s">
        <v>31</v>
      </c>
      <c r="N694" s="217" t="s">
        <v>32</v>
      </c>
      <c r="O694" s="217" t="s">
        <v>68</v>
      </c>
      <c r="P694" s="217" t="s">
        <v>34</v>
      </c>
      <c r="Q694" s="217" t="s">
        <v>35</v>
      </c>
      <c r="R694" s="217" t="s">
        <v>23</v>
      </c>
      <c r="S694" s="217" t="s">
        <v>22</v>
      </c>
      <c r="T694" s="217" t="s">
        <v>84</v>
      </c>
      <c r="U694" s="217" t="s">
        <v>85</v>
      </c>
      <c r="V694" s="217" t="s">
        <v>94</v>
      </c>
      <c r="W694" s="217" t="s">
        <v>95</v>
      </c>
    </row>
    <row r="695" spans="1:23" x14ac:dyDescent="0.25">
      <c r="A695" s="217" t="s">
        <v>22</v>
      </c>
      <c r="B695" s="217" t="s">
        <v>23</v>
      </c>
      <c r="C695" s="217" t="s">
        <v>85</v>
      </c>
      <c r="D695" s="217" t="s">
        <v>84</v>
      </c>
      <c r="E695" s="217" t="s">
        <v>98</v>
      </c>
      <c r="F695" s="217" t="s">
        <v>97</v>
      </c>
      <c r="G695" s="217" t="s">
        <v>812</v>
      </c>
      <c r="H695" s="217" t="s">
        <v>1296</v>
      </c>
      <c r="I695" s="217" t="s">
        <v>29</v>
      </c>
      <c r="J695" s="217" t="s">
        <v>1856</v>
      </c>
      <c r="K695" s="217">
        <v>25</v>
      </c>
      <c r="L695" s="217">
        <v>213</v>
      </c>
      <c r="M695" s="217" t="s">
        <v>31</v>
      </c>
      <c r="N695" s="217" t="s">
        <v>32</v>
      </c>
      <c r="O695" s="217" t="s">
        <v>100</v>
      </c>
      <c r="P695" s="217" t="s">
        <v>34</v>
      </c>
      <c r="Q695" s="217" t="s">
        <v>35</v>
      </c>
      <c r="R695" s="217" t="s">
        <v>23</v>
      </c>
      <c r="S695" s="217" t="s">
        <v>22</v>
      </c>
      <c r="T695" s="217" t="s">
        <v>84</v>
      </c>
      <c r="U695" s="217" t="s">
        <v>85</v>
      </c>
      <c r="V695" s="217" t="s">
        <v>97</v>
      </c>
      <c r="W695" s="217" t="s">
        <v>98</v>
      </c>
    </row>
    <row r="696" spans="1:23" x14ac:dyDescent="0.25">
      <c r="A696" s="217" t="s">
        <v>22</v>
      </c>
      <c r="B696" s="217" t="s">
        <v>23</v>
      </c>
      <c r="C696" s="217" t="s">
        <v>85</v>
      </c>
      <c r="D696" s="217" t="s">
        <v>84</v>
      </c>
      <c r="E696" s="217" t="s">
        <v>98</v>
      </c>
      <c r="F696" s="217" t="s">
        <v>97</v>
      </c>
      <c r="G696" s="217" t="s">
        <v>171</v>
      </c>
      <c r="H696" s="217" t="s">
        <v>1297</v>
      </c>
      <c r="I696" s="217" t="s">
        <v>29</v>
      </c>
      <c r="J696" s="217" t="s">
        <v>1855</v>
      </c>
      <c r="K696" s="217">
        <v>4</v>
      </c>
      <c r="L696" s="217">
        <v>28</v>
      </c>
      <c r="M696" s="217" t="s">
        <v>31</v>
      </c>
      <c r="N696" s="217" t="s">
        <v>32</v>
      </c>
      <c r="O696" s="217" t="s">
        <v>100</v>
      </c>
      <c r="P696" s="217" t="s">
        <v>34</v>
      </c>
      <c r="Q696" s="217" t="s">
        <v>35</v>
      </c>
      <c r="R696" s="217" t="s">
        <v>23</v>
      </c>
      <c r="S696" s="217" t="s">
        <v>22</v>
      </c>
      <c r="T696" s="217" t="s">
        <v>84</v>
      </c>
      <c r="U696" s="217" t="s">
        <v>85</v>
      </c>
      <c r="V696" s="217" t="s">
        <v>97</v>
      </c>
      <c r="W696" s="217" t="s">
        <v>98</v>
      </c>
    </row>
    <row r="697" spans="1:23" x14ac:dyDescent="0.25">
      <c r="A697" s="217" t="s">
        <v>22</v>
      </c>
      <c r="B697" s="217" t="s">
        <v>23</v>
      </c>
      <c r="C697" s="217" t="s">
        <v>85</v>
      </c>
      <c r="D697" s="217" t="s">
        <v>84</v>
      </c>
      <c r="E697" s="217" t="s">
        <v>98</v>
      </c>
      <c r="F697" s="217" t="s">
        <v>97</v>
      </c>
      <c r="G697" s="217" t="s">
        <v>171</v>
      </c>
      <c r="H697" s="217" t="s">
        <v>1297</v>
      </c>
      <c r="I697" s="217" t="s">
        <v>29</v>
      </c>
      <c r="J697" s="217" t="s">
        <v>1856</v>
      </c>
      <c r="K697" s="217">
        <v>5</v>
      </c>
      <c r="L697" s="217">
        <v>25</v>
      </c>
      <c r="M697" s="217" t="s">
        <v>31</v>
      </c>
      <c r="N697" s="217" t="s">
        <v>32</v>
      </c>
      <c r="O697" s="217" t="s">
        <v>100</v>
      </c>
      <c r="P697" s="217" t="s">
        <v>34</v>
      </c>
      <c r="Q697" s="217" t="s">
        <v>35</v>
      </c>
      <c r="R697" s="217" t="s">
        <v>23</v>
      </c>
      <c r="S697" s="217" t="s">
        <v>22</v>
      </c>
      <c r="T697" s="217" t="s">
        <v>84</v>
      </c>
      <c r="U697" s="217" t="s">
        <v>85</v>
      </c>
      <c r="V697" s="217" t="s">
        <v>97</v>
      </c>
      <c r="W697" s="217" t="s">
        <v>98</v>
      </c>
    </row>
    <row r="698" spans="1:23" x14ac:dyDescent="0.25">
      <c r="A698" s="217" t="s">
        <v>22</v>
      </c>
      <c r="B698" s="217" t="s">
        <v>23</v>
      </c>
      <c r="C698" s="217" t="s">
        <v>85</v>
      </c>
      <c r="D698" s="217" t="s">
        <v>84</v>
      </c>
      <c r="E698" s="217" t="s">
        <v>98</v>
      </c>
      <c r="F698" s="217" t="s">
        <v>97</v>
      </c>
      <c r="G698" s="217" t="s">
        <v>171</v>
      </c>
      <c r="H698" s="217" t="s">
        <v>1297</v>
      </c>
      <c r="I698" s="217" t="s">
        <v>29</v>
      </c>
      <c r="J698" s="217" t="s">
        <v>1857</v>
      </c>
      <c r="K698" s="217">
        <v>4</v>
      </c>
      <c r="L698" s="217">
        <v>22</v>
      </c>
      <c r="M698" s="217" t="s">
        <v>31</v>
      </c>
      <c r="N698" s="217" t="s">
        <v>32</v>
      </c>
      <c r="O698" s="217" t="s">
        <v>100</v>
      </c>
      <c r="P698" s="217" t="s">
        <v>34</v>
      </c>
      <c r="Q698" s="217" t="s">
        <v>35</v>
      </c>
      <c r="R698" s="217" t="s">
        <v>23</v>
      </c>
      <c r="S698" s="217" t="s">
        <v>22</v>
      </c>
      <c r="T698" s="217" t="s">
        <v>84</v>
      </c>
      <c r="U698" s="217" t="s">
        <v>85</v>
      </c>
      <c r="V698" s="217" t="s">
        <v>97</v>
      </c>
      <c r="W698" s="217" t="s">
        <v>98</v>
      </c>
    </row>
    <row r="699" spans="1:23" x14ac:dyDescent="0.25">
      <c r="A699" s="217" t="s">
        <v>22</v>
      </c>
      <c r="B699" s="217" t="s">
        <v>23</v>
      </c>
      <c r="C699" s="217" t="s">
        <v>85</v>
      </c>
      <c r="D699" s="217" t="s">
        <v>84</v>
      </c>
      <c r="E699" s="217" t="s">
        <v>98</v>
      </c>
      <c r="F699" s="217" t="s">
        <v>97</v>
      </c>
      <c r="G699" s="217" t="s">
        <v>460</v>
      </c>
      <c r="H699" s="217" t="s">
        <v>1298</v>
      </c>
      <c r="I699" s="217" t="s">
        <v>29</v>
      </c>
      <c r="J699" s="217" t="s">
        <v>1856</v>
      </c>
      <c r="K699" s="217">
        <v>7</v>
      </c>
      <c r="L699" s="217">
        <v>60</v>
      </c>
      <c r="M699" s="217" t="s">
        <v>31</v>
      </c>
      <c r="N699" s="217" t="s">
        <v>32</v>
      </c>
      <c r="O699" s="217" t="s">
        <v>68</v>
      </c>
      <c r="P699" s="217" t="s">
        <v>34</v>
      </c>
      <c r="Q699" s="217" t="s">
        <v>35</v>
      </c>
      <c r="R699" s="217" t="s">
        <v>23</v>
      </c>
      <c r="S699" s="217" t="s">
        <v>22</v>
      </c>
      <c r="T699" s="217" t="s">
        <v>84</v>
      </c>
      <c r="U699" s="217" t="s">
        <v>85</v>
      </c>
      <c r="V699" s="217" t="s">
        <v>91</v>
      </c>
      <c r="W699" s="217" t="s">
        <v>92</v>
      </c>
    </row>
    <row r="700" spans="1:23" x14ac:dyDescent="0.25">
      <c r="A700" s="217" t="s">
        <v>22</v>
      </c>
      <c r="B700" s="217" t="s">
        <v>23</v>
      </c>
      <c r="C700" s="217" t="s">
        <v>85</v>
      </c>
      <c r="D700" s="217" t="s">
        <v>84</v>
      </c>
      <c r="E700" s="217" t="s">
        <v>98</v>
      </c>
      <c r="F700" s="217" t="s">
        <v>97</v>
      </c>
      <c r="G700" s="217" t="s">
        <v>461</v>
      </c>
      <c r="H700" s="217" t="s">
        <v>1299</v>
      </c>
      <c r="I700" s="217" t="s">
        <v>29</v>
      </c>
      <c r="J700" s="217" t="s">
        <v>1856</v>
      </c>
      <c r="K700" s="217">
        <v>15</v>
      </c>
      <c r="L700" s="217">
        <v>91</v>
      </c>
      <c r="M700" s="217" t="s">
        <v>31</v>
      </c>
      <c r="N700" s="217" t="s">
        <v>32</v>
      </c>
      <c r="O700" s="217" t="s">
        <v>100</v>
      </c>
      <c r="P700" s="217" t="s">
        <v>34</v>
      </c>
      <c r="Q700" s="217" t="s">
        <v>35</v>
      </c>
      <c r="R700" s="217" t="s">
        <v>23</v>
      </c>
      <c r="S700" s="217" t="s">
        <v>22</v>
      </c>
      <c r="T700" s="217" t="s">
        <v>84</v>
      </c>
      <c r="U700" s="217" t="s">
        <v>85</v>
      </c>
      <c r="V700" s="217" t="s">
        <v>97</v>
      </c>
      <c r="W700" s="217" t="s">
        <v>98</v>
      </c>
    </row>
    <row r="701" spans="1:23" x14ac:dyDescent="0.25">
      <c r="A701" s="217" t="s">
        <v>22</v>
      </c>
      <c r="B701" s="217" t="s">
        <v>23</v>
      </c>
      <c r="C701" s="217" t="s">
        <v>85</v>
      </c>
      <c r="D701" s="217" t="s">
        <v>84</v>
      </c>
      <c r="E701" s="217" t="s">
        <v>98</v>
      </c>
      <c r="F701" s="217" t="s">
        <v>97</v>
      </c>
      <c r="G701" s="217" t="s">
        <v>462</v>
      </c>
      <c r="H701" s="217" t="s">
        <v>1300</v>
      </c>
      <c r="I701" s="217" t="s">
        <v>29</v>
      </c>
      <c r="J701" s="217" t="s">
        <v>1856</v>
      </c>
      <c r="K701" s="217">
        <v>7</v>
      </c>
      <c r="L701" s="217">
        <v>30</v>
      </c>
      <c r="M701" s="217" t="s">
        <v>31</v>
      </c>
      <c r="N701" s="217" t="s">
        <v>32</v>
      </c>
      <c r="O701" s="217" t="s">
        <v>68</v>
      </c>
      <c r="P701" s="217" t="s">
        <v>34</v>
      </c>
      <c r="Q701" s="217" t="s">
        <v>35</v>
      </c>
      <c r="R701" s="217" t="s">
        <v>23</v>
      </c>
      <c r="S701" s="217" t="s">
        <v>22</v>
      </c>
      <c r="T701" s="217" t="s">
        <v>84</v>
      </c>
      <c r="U701" s="217" t="s">
        <v>85</v>
      </c>
      <c r="V701" s="217" t="s">
        <v>91</v>
      </c>
      <c r="W701" s="217" t="s">
        <v>92</v>
      </c>
    </row>
    <row r="702" spans="1:23" x14ac:dyDescent="0.25">
      <c r="A702" s="217" t="s">
        <v>22</v>
      </c>
      <c r="B702" s="217" t="s">
        <v>23</v>
      </c>
      <c r="C702" s="217" t="s">
        <v>85</v>
      </c>
      <c r="D702" s="217" t="s">
        <v>84</v>
      </c>
      <c r="E702" s="217" t="s">
        <v>98</v>
      </c>
      <c r="F702" s="217" t="s">
        <v>97</v>
      </c>
      <c r="G702" s="217" t="s">
        <v>462</v>
      </c>
      <c r="H702" s="217" t="s">
        <v>1300</v>
      </c>
      <c r="I702" s="217" t="s">
        <v>29</v>
      </c>
      <c r="J702" s="217" t="s">
        <v>1857</v>
      </c>
      <c r="K702" s="217">
        <v>3</v>
      </c>
      <c r="L702" s="217">
        <v>6</v>
      </c>
      <c r="M702" s="217" t="s">
        <v>31</v>
      </c>
      <c r="N702" s="217" t="s">
        <v>32</v>
      </c>
      <c r="O702" s="217" t="s">
        <v>68</v>
      </c>
      <c r="P702" s="217" t="s">
        <v>34</v>
      </c>
      <c r="Q702" s="217" t="s">
        <v>35</v>
      </c>
      <c r="R702" s="217" t="s">
        <v>23</v>
      </c>
      <c r="S702" s="217" t="s">
        <v>22</v>
      </c>
      <c r="T702" s="217" t="s">
        <v>84</v>
      </c>
      <c r="U702" s="217" t="s">
        <v>85</v>
      </c>
      <c r="V702" s="217" t="s">
        <v>94</v>
      </c>
      <c r="W702" s="217" t="s">
        <v>95</v>
      </c>
    </row>
    <row r="703" spans="1:23" x14ac:dyDescent="0.25">
      <c r="A703" s="217" t="s">
        <v>22</v>
      </c>
      <c r="B703" s="217" t="s">
        <v>23</v>
      </c>
      <c r="C703" s="217" t="s">
        <v>85</v>
      </c>
      <c r="D703" s="217" t="s">
        <v>84</v>
      </c>
      <c r="E703" s="217" t="s">
        <v>98</v>
      </c>
      <c r="F703" s="217" t="s">
        <v>97</v>
      </c>
      <c r="G703" s="217" t="s">
        <v>462</v>
      </c>
      <c r="H703" s="217" t="s">
        <v>1300</v>
      </c>
      <c r="I703" s="217" t="s">
        <v>29</v>
      </c>
      <c r="J703" s="217" t="s">
        <v>1858</v>
      </c>
      <c r="K703" s="217">
        <v>2</v>
      </c>
      <c r="L703" s="217">
        <v>12</v>
      </c>
      <c r="M703" s="217" t="s">
        <v>31</v>
      </c>
      <c r="N703" s="217" t="s">
        <v>32</v>
      </c>
      <c r="O703" s="217" t="s">
        <v>68</v>
      </c>
      <c r="P703" s="217" t="s">
        <v>34</v>
      </c>
      <c r="Q703" s="217" t="s">
        <v>35</v>
      </c>
      <c r="R703" s="217" t="s">
        <v>23</v>
      </c>
      <c r="S703" s="217" t="s">
        <v>22</v>
      </c>
      <c r="T703" s="217" t="s">
        <v>84</v>
      </c>
      <c r="U703" s="217" t="s">
        <v>85</v>
      </c>
      <c r="V703" s="217" t="s">
        <v>109</v>
      </c>
      <c r="W703" s="217" t="s">
        <v>110</v>
      </c>
    </row>
    <row r="704" spans="1:23" x14ac:dyDescent="0.25">
      <c r="A704" s="217" t="s">
        <v>22</v>
      </c>
      <c r="B704" s="217" t="s">
        <v>23</v>
      </c>
      <c r="C704" s="217" t="s">
        <v>85</v>
      </c>
      <c r="D704" s="217" t="s">
        <v>84</v>
      </c>
      <c r="E704" s="217" t="s">
        <v>175</v>
      </c>
      <c r="F704" s="217" t="s">
        <v>174</v>
      </c>
      <c r="G704" s="217" t="s">
        <v>295</v>
      </c>
      <c r="H704" s="217" t="s">
        <v>1301</v>
      </c>
      <c r="I704" s="217" t="s">
        <v>29</v>
      </c>
      <c r="J704" s="217" t="s">
        <v>1855</v>
      </c>
      <c r="K704" s="217">
        <v>5</v>
      </c>
      <c r="L704" s="217">
        <v>20</v>
      </c>
      <c r="M704" s="217" t="s">
        <v>31</v>
      </c>
      <c r="N704" s="217" t="s">
        <v>32</v>
      </c>
      <c r="O704" s="217" t="s">
        <v>100</v>
      </c>
      <c r="P704" s="217" t="s">
        <v>34</v>
      </c>
      <c r="Q704" s="217" t="s">
        <v>35</v>
      </c>
      <c r="R704" s="217" t="s">
        <v>23</v>
      </c>
      <c r="S704" s="217" t="s">
        <v>22</v>
      </c>
      <c r="T704" s="217" t="s">
        <v>84</v>
      </c>
      <c r="U704" s="217" t="s">
        <v>85</v>
      </c>
      <c r="V704" s="217" t="s">
        <v>174</v>
      </c>
      <c r="W704" s="217" t="s">
        <v>175</v>
      </c>
    </row>
    <row r="705" spans="1:23" x14ac:dyDescent="0.25">
      <c r="A705" s="217" t="s">
        <v>22</v>
      </c>
      <c r="B705" s="217" t="s">
        <v>23</v>
      </c>
      <c r="C705" s="217" t="s">
        <v>85</v>
      </c>
      <c r="D705" s="217" t="s">
        <v>84</v>
      </c>
      <c r="E705" s="217" t="s">
        <v>175</v>
      </c>
      <c r="F705" s="217" t="s">
        <v>174</v>
      </c>
      <c r="G705" s="217" t="s">
        <v>463</v>
      </c>
      <c r="H705" s="217" t="s">
        <v>1302</v>
      </c>
      <c r="I705" s="217" t="s">
        <v>29</v>
      </c>
      <c r="J705" s="217" t="s">
        <v>1859</v>
      </c>
      <c r="K705" s="217">
        <v>37</v>
      </c>
      <c r="L705" s="217">
        <v>310</v>
      </c>
      <c r="M705" s="217" t="s">
        <v>31</v>
      </c>
      <c r="N705" s="217" t="s">
        <v>32</v>
      </c>
      <c r="O705" s="217" t="s">
        <v>100</v>
      </c>
      <c r="P705" s="217" t="s">
        <v>34</v>
      </c>
      <c r="Q705" s="217" t="s">
        <v>35</v>
      </c>
      <c r="R705" s="217" t="s">
        <v>23</v>
      </c>
      <c r="S705" s="217" t="s">
        <v>22</v>
      </c>
      <c r="T705" s="217" t="s">
        <v>84</v>
      </c>
      <c r="U705" s="217" t="s">
        <v>85</v>
      </c>
      <c r="V705" s="217" t="s">
        <v>174</v>
      </c>
      <c r="W705" s="217" t="s">
        <v>175</v>
      </c>
    </row>
    <row r="706" spans="1:23" x14ac:dyDescent="0.25">
      <c r="A706" s="217" t="s">
        <v>22</v>
      </c>
      <c r="B706" s="217" t="s">
        <v>23</v>
      </c>
      <c r="C706" s="217" t="s">
        <v>85</v>
      </c>
      <c r="D706" s="217" t="s">
        <v>84</v>
      </c>
      <c r="E706" s="217" t="s">
        <v>175</v>
      </c>
      <c r="F706" s="217" t="s">
        <v>174</v>
      </c>
      <c r="G706" s="217" t="s">
        <v>464</v>
      </c>
      <c r="H706" s="217" t="s">
        <v>1303</v>
      </c>
      <c r="I706" s="217" t="s">
        <v>29</v>
      </c>
      <c r="J706" s="217" t="s">
        <v>1857</v>
      </c>
      <c r="K706" s="217">
        <v>6</v>
      </c>
      <c r="L706" s="217">
        <v>20</v>
      </c>
      <c r="M706" s="217" t="s">
        <v>31</v>
      </c>
      <c r="N706" s="217" t="s">
        <v>32</v>
      </c>
      <c r="O706" s="217" t="s">
        <v>100</v>
      </c>
      <c r="P706" s="217" t="s">
        <v>34</v>
      </c>
      <c r="Q706" s="217" t="s">
        <v>35</v>
      </c>
      <c r="R706" s="217" t="s">
        <v>23</v>
      </c>
      <c r="S706" s="217" t="s">
        <v>22</v>
      </c>
      <c r="T706" s="217" t="s">
        <v>84</v>
      </c>
      <c r="U706" s="217" t="s">
        <v>85</v>
      </c>
      <c r="V706" s="217" t="s">
        <v>174</v>
      </c>
      <c r="W706" s="217" t="s">
        <v>175</v>
      </c>
    </row>
    <row r="707" spans="1:23" x14ac:dyDescent="0.25">
      <c r="A707" s="217" t="s">
        <v>22</v>
      </c>
      <c r="B707" s="217" t="s">
        <v>23</v>
      </c>
      <c r="C707" s="217" t="s">
        <v>85</v>
      </c>
      <c r="D707" s="217" t="s">
        <v>84</v>
      </c>
      <c r="E707" s="217" t="s">
        <v>175</v>
      </c>
      <c r="F707" s="217" t="s">
        <v>174</v>
      </c>
      <c r="G707" s="217" t="s">
        <v>465</v>
      </c>
      <c r="H707" s="217" t="s">
        <v>1304</v>
      </c>
      <c r="I707" s="217" t="s">
        <v>29</v>
      </c>
      <c r="J707" s="217" t="s">
        <v>1856</v>
      </c>
      <c r="K707" s="217">
        <v>4</v>
      </c>
      <c r="L707" s="217">
        <v>13</v>
      </c>
      <c r="M707" s="217" t="s">
        <v>31</v>
      </c>
      <c r="N707" s="217" t="s">
        <v>32</v>
      </c>
      <c r="O707" s="217" t="s">
        <v>100</v>
      </c>
      <c r="P707" s="217" t="s">
        <v>34</v>
      </c>
      <c r="Q707" s="217" t="s">
        <v>35</v>
      </c>
      <c r="R707" s="217" t="s">
        <v>23</v>
      </c>
      <c r="S707" s="217" t="s">
        <v>22</v>
      </c>
      <c r="T707" s="217" t="s">
        <v>84</v>
      </c>
      <c r="U707" s="217" t="s">
        <v>85</v>
      </c>
      <c r="V707" s="217" t="s">
        <v>174</v>
      </c>
      <c r="W707" s="217" t="s">
        <v>175</v>
      </c>
    </row>
    <row r="708" spans="1:23" x14ac:dyDescent="0.25">
      <c r="A708" s="217" t="s">
        <v>22</v>
      </c>
      <c r="B708" s="217" t="s">
        <v>23</v>
      </c>
      <c r="C708" s="217" t="s">
        <v>85</v>
      </c>
      <c r="D708" s="217" t="s">
        <v>84</v>
      </c>
      <c r="E708" s="217" t="s">
        <v>175</v>
      </c>
      <c r="F708" s="217" t="s">
        <v>174</v>
      </c>
      <c r="G708" s="217" t="s">
        <v>465</v>
      </c>
      <c r="H708" s="217" t="s">
        <v>1304</v>
      </c>
      <c r="I708" s="217" t="s">
        <v>29</v>
      </c>
      <c r="J708" s="217" t="s">
        <v>1857</v>
      </c>
      <c r="K708" s="217">
        <v>6</v>
      </c>
      <c r="L708" s="217">
        <v>31</v>
      </c>
      <c r="M708" s="217" t="s">
        <v>31</v>
      </c>
      <c r="N708" s="217" t="s">
        <v>32</v>
      </c>
      <c r="O708" s="217" t="s">
        <v>100</v>
      </c>
      <c r="P708" s="217" t="s">
        <v>34</v>
      </c>
      <c r="Q708" s="217" t="s">
        <v>35</v>
      </c>
      <c r="R708" s="217" t="s">
        <v>23</v>
      </c>
      <c r="S708" s="217" t="s">
        <v>22</v>
      </c>
      <c r="T708" s="217" t="s">
        <v>84</v>
      </c>
      <c r="U708" s="217" t="s">
        <v>85</v>
      </c>
      <c r="V708" s="217" t="s">
        <v>174</v>
      </c>
      <c r="W708" s="217" t="s">
        <v>175</v>
      </c>
    </row>
    <row r="709" spans="1:23" x14ac:dyDescent="0.25">
      <c r="A709" s="217" t="s">
        <v>22</v>
      </c>
      <c r="B709" s="217" t="s">
        <v>23</v>
      </c>
      <c r="C709" s="217" t="s">
        <v>85</v>
      </c>
      <c r="D709" s="217" t="s">
        <v>84</v>
      </c>
      <c r="E709" s="217" t="s">
        <v>175</v>
      </c>
      <c r="F709" s="217" t="s">
        <v>174</v>
      </c>
      <c r="G709" s="217" t="s">
        <v>830</v>
      </c>
      <c r="H709" s="217" t="s">
        <v>1306</v>
      </c>
      <c r="I709" s="217" t="s">
        <v>29</v>
      </c>
      <c r="J709" s="217" t="s">
        <v>1856</v>
      </c>
      <c r="K709" s="217">
        <v>7</v>
      </c>
      <c r="L709" s="217">
        <v>87</v>
      </c>
      <c r="M709" s="217" t="s">
        <v>31</v>
      </c>
      <c r="N709" s="217" t="s">
        <v>32</v>
      </c>
      <c r="O709" s="217" t="s">
        <v>100</v>
      </c>
      <c r="P709" s="217" t="s">
        <v>34</v>
      </c>
      <c r="Q709" s="217" t="s">
        <v>35</v>
      </c>
      <c r="R709" s="217" t="s">
        <v>23</v>
      </c>
      <c r="S709" s="217" t="s">
        <v>22</v>
      </c>
      <c r="T709" s="217" t="s">
        <v>84</v>
      </c>
      <c r="U709" s="217" t="s">
        <v>85</v>
      </c>
      <c r="V709" s="217" t="s">
        <v>174</v>
      </c>
      <c r="W709" s="217" t="s">
        <v>175</v>
      </c>
    </row>
    <row r="710" spans="1:23" x14ac:dyDescent="0.25">
      <c r="A710" s="217" t="s">
        <v>22</v>
      </c>
      <c r="B710" s="217" t="s">
        <v>23</v>
      </c>
      <c r="C710" s="217" t="s">
        <v>85</v>
      </c>
      <c r="D710" s="217" t="s">
        <v>84</v>
      </c>
      <c r="E710" s="217" t="s">
        <v>175</v>
      </c>
      <c r="F710" s="217" t="s">
        <v>174</v>
      </c>
      <c r="G710" s="217" t="s">
        <v>466</v>
      </c>
      <c r="H710" s="217" t="s">
        <v>1307</v>
      </c>
      <c r="I710" s="217" t="s">
        <v>29</v>
      </c>
      <c r="J710" s="217" t="s">
        <v>1856</v>
      </c>
      <c r="K710" s="217">
        <v>3</v>
      </c>
      <c r="L710" s="217">
        <v>16</v>
      </c>
      <c r="M710" s="217" t="s">
        <v>31</v>
      </c>
      <c r="N710" s="217" t="s">
        <v>32</v>
      </c>
      <c r="O710" s="217" t="s">
        <v>100</v>
      </c>
      <c r="P710" s="217" t="s">
        <v>34</v>
      </c>
      <c r="Q710" s="217" t="s">
        <v>35</v>
      </c>
      <c r="R710" s="217" t="s">
        <v>23</v>
      </c>
      <c r="S710" s="217" t="s">
        <v>22</v>
      </c>
      <c r="T710" s="217" t="s">
        <v>84</v>
      </c>
      <c r="U710" s="217" t="s">
        <v>85</v>
      </c>
      <c r="V710" s="217" t="s">
        <v>174</v>
      </c>
      <c r="W710" s="217" t="s">
        <v>175</v>
      </c>
    </row>
    <row r="711" spans="1:23" x14ac:dyDescent="0.25">
      <c r="A711" s="217" t="s">
        <v>22</v>
      </c>
      <c r="B711" s="217" t="s">
        <v>23</v>
      </c>
      <c r="C711" s="217" t="s">
        <v>85</v>
      </c>
      <c r="D711" s="217" t="s">
        <v>84</v>
      </c>
      <c r="E711" s="217" t="s">
        <v>175</v>
      </c>
      <c r="F711" s="217" t="s">
        <v>174</v>
      </c>
      <c r="G711" s="217" t="s">
        <v>467</v>
      </c>
      <c r="H711" s="217" t="s">
        <v>1308</v>
      </c>
      <c r="I711" s="217" t="s">
        <v>29</v>
      </c>
      <c r="J711" s="217" t="s">
        <v>1855</v>
      </c>
      <c r="K711" s="217">
        <v>5</v>
      </c>
      <c r="L711" s="217">
        <v>36</v>
      </c>
      <c r="M711" s="217" t="s">
        <v>31</v>
      </c>
      <c r="N711" s="217" t="s">
        <v>32</v>
      </c>
      <c r="O711" s="217" t="s">
        <v>100</v>
      </c>
      <c r="P711" s="217" t="s">
        <v>34</v>
      </c>
      <c r="Q711" s="217" t="s">
        <v>35</v>
      </c>
      <c r="R711" s="217" t="s">
        <v>23</v>
      </c>
      <c r="S711" s="217" t="s">
        <v>22</v>
      </c>
      <c r="T711" s="217" t="s">
        <v>84</v>
      </c>
      <c r="U711" s="217" t="s">
        <v>85</v>
      </c>
      <c r="V711" s="217" t="s">
        <v>174</v>
      </c>
      <c r="W711" s="217" t="s">
        <v>175</v>
      </c>
    </row>
    <row r="712" spans="1:23" x14ac:dyDescent="0.25">
      <c r="A712" s="217" t="s">
        <v>22</v>
      </c>
      <c r="B712" s="217" t="s">
        <v>23</v>
      </c>
      <c r="C712" s="217" t="s">
        <v>85</v>
      </c>
      <c r="D712" s="217" t="s">
        <v>84</v>
      </c>
      <c r="E712" s="217" t="s">
        <v>175</v>
      </c>
      <c r="F712" s="217" t="s">
        <v>174</v>
      </c>
      <c r="G712" s="217" t="s">
        <v>468</v>
      </c>
      <c r="H712" s="217" t="s">
        <v>1309</v>
      </c>
      <c r="I712" s="217" t="s">
        <v>29</v>
      </c>
      <c r="J712" s="217" t="s">
        <v>1856</v>
      </c>
      <c r="K712" s="217">
        <v>12</v>
      </c>
      <c r="L712" s="217">
        <v>90</v>
      </c>
      <c r="M712" s="217" t="s">
        <v>31</v>
      </c>
      <c r="N712" s="217" t="s">
        <v>32</v>
      </c>
      <c r="O712" s="217" t="s">
        <v>100</v>
      </c>
      <c r="P712" s="217" t="s">
        <v>34</v>
      </c>
      <c r="Q712" s="217" t="s">
        <v>35</v>
      </c>
      <c r="R712" s="217" t="s">
        <v>23</v>
      </c>
      <c r="S712" s="217" t="s">
        <v>22</v>
      </c>
      <c r="T712" s="217" t="s">
        <v>84</v>
      </c>
      <c r="U712" s="217" t="s">
        <v>85</v>
      </c>
      <c r="V712" s="217" t="s">
        <v>174</v>
      </c>
      <c r="W712" s="217" t="s">
        <v>175</v>
      </c>
    </row>
    <row r="713" spans="1:23" x14ac:dyDescent="0.25">
      <c r="A713" s="217" t="s">
        <v>22</v>
      </c>
      <c r="B713" s="217" t="s">
        <v>23</v>
      </c>
      <c r="C713" s="217" t="s">
        <v>85</v>
      </c>
      <c r="D713" s="217" t="s">
        <v>84</v>
      </c>
      <c r="E713" s="217" t="s">
        <v>175</v>
      </c>
      <c r="F713" s="217" t="s">
        <v>174</v>
      </c>
      <c r="G713" s="217" t="s">
        <v>469</v>
      </c>
      <c r="H713" s="217" t="s">
        <v>1531</v>
      </c>
      <c r="I713" s="217" t="s">
        <v>29</v>
      </c>
      <c r="J713" s="217" t="s">
        <v>1855</v>
      </c>
      <c r="K713" s="217">
        <v>2</v>
      </c>
      <c r="L713" s="217">
        <v>17</v>
      </c>
      <c r="M713" s="217" t="s">
        <v>31</v>
      </c>
      <c r="N713" s="217" t="s">
        <v>32</v>
      </c>
      <c r="O713" s="217" t="s">
        <v>100</v>
      </c>
      <c r="P713" s="217" t="s">
        <v>34</v>
      </c>
      <c r="Q713" s="217" t="s">
        <v>35</v>
      </c>
      <c r="R713" s="217" t="s">
        <v>23</v>
      </c>
      <c r="S713" s="217" t="s">
        <v>22</v>
      </c>
      <c r="T713" s="217" t="s">
        <v>84</v>
      </c>
      <c r="U713" s="217" t="s">
        <v>85</v>
      </c>
      <c r="V713" s="217" t="s">
        <v>174</v>
      </c>
      <c r="W713" s="217" t="s">
        <v>175</v>
      </c>
    </row>
    <row r="714" spans="1:23" x14ac:dyDescent="0.25">
      <c r="A714" s="217" t="s">
        <v>22</v>
      </c>
      <c r="B714" s="217" t="s">
        <v>23</v>
      </c>
      <c r="C714" s="217" t="s">
        <v>85</v>
      </c>
      <c r="D714" s="217" t="s">
        <v>84</v>
      </c>
      <c r="E714" s="217" t="s">
        <v>175</v>
      </c>
      <c r="F714" s="217" t="s">
        <v>174</v>
      </c>
      <c r="G714" s="217" t="s">
        <v>469</v>
      </c>
      <c r="H714" s="217" t="s">
        <v>1531</v>
      </c>
      <c r="I714" s="217" t="s">
        <v>29</v>
      </c>
      <c r="J714" s="217" t="s">
        <v>1856</v>
      </c>
      <c r="K714" s="217">
        <v>9</v>
      </c>
      <c r="L714" s="217">
        <v>49</v>
      </c>
      <c r="M714" s="217" t="s">
        <v>31</v>
      </c>
      <c r="N714" s="217" t="s">
        <v>32</v>
      </c>
      <c r="O714" s="217" t="s">
        <v>100</v>
      </c>
      <c r="P714" s="217" t="s">
        <v>34</v>
      </c>
      <c r="Q714" s="217" t="s">
        <v>35</v>
      </c>
      <c r="R714" s="217" t="s">
        <v>23</v>
      </c>
      <c r="S714" s="217" t="s">
        <v>22</v>
      </c>
      <c r="T714" s="217" t="s">
        <v>84</v>
      </c>
      <c r="U714" s="217" t="s">
        <v>85</v>
      </c>
      <c r="V714" s="217" t="s">
        <v>174</v>
      </c>
      <c r="W714" s="217" t="s">
        <v>175</v>
      </c>
    </row>
    <row r="715" spans="1:23" x14ac:dyDescent="0.25">
      <c r="A715" s="217" t="s">
        <v>22</v>
      </c>
      <c r="B715" s="217" t="s">
        <v>23</v>
      </c>
      <c r="C715" s="217" t="s">
        <v>85</v>
      </c>
      <c r="D715" s="217" t="s">
        <v>84</v>
      </c>
      <c r="E715" s="217" t="s">
        <v>175</v>
      </c>
      <c r="F715" s="217" t="s">
        <v>174</v>
      </c>
      <c r="G715" s="217" t="s">
        <v>469</v>
      </c>
      <c r="H715" s="217" t="s">
        <v>1531</v>
      </c>
      <c r="I715" s="217" t="s">
        <v>29</v>
      </c>
      <c r="J715" s="217" t="s">
        <v>1858</v>
      </c>
      <c r="K715" s="217">
        <v>1</v>
      </c>
      <c r="L715" s="217">
        <v>2</v>
      </c>
      <c r="M715" s="217" t="s">
        <v>31</v>
      </c>
      <c r="N715" s="217" t="s">
        <v>32</v>
      </c>
      <c r="O715" s="217" t="s">
        <v>100</v>
      </c>
      <c r="P715" s="217" t="s">
        <v>34</v>
      </c>
      <c r="Q715" s="217" t="s">
        <v>35</v>
      </c>
      <c r="R715" s="217" t="s">
        <v>23</v>
      </c>
      <c r="S715" s="217" t="s">
        <v>22</v>
      </c>
      <c r="T715" s="217" t="s">
        <v>84</v>
      </c>
      <c r="U715" s="217" t="s">
        <v>85</v>
      </c>
      <c r="V715" s="217" t="s">
        <v>174</v>
      </c>
      <c r="W715" s="217" t="s">
        <v>175</v>
      </c>
    </row>
    <row r="716" spans="1:23" x14ac:dyDescent="0.25">
      <c r="A716" s="217" t="s">
        <v>22</v>
      </c>
      <c r="B716" s="217" t="s">
        <v>23</v>
      </c>
      <c r="C716" s="217" t="s">
        <v>85</v>
      </c>
      <c r="D716" s="217" t="s">
        <v>84</v>
      </c>
      <c r="E716" s="217" t="s">
        <v>175</v>
      </c>
      <c r="F716" s="217" t="s">
        <v>174</v>
      </c>
      <c r="G716" s="217" t="s">
        <v>833</v>
      </c>
      <c r="H716" s="217" t="s">
        <v>1310</v>
      </c>
      <c r="I716" s="217" t="s">
        <v>29</v>
      </c>
      <c r="J716" s="217" t="s">
        <v>1856</v>
      </c>
      <c r="K716" s="217">
        <v>3</v>
      </c>
      <c r="L716" s="217">
        <v>16</v>
      </c>
      <c r="M716" s="217" t="s">
        <v>31</v>
      </c>
      <c r="N716" s="217" t="s">
        <v>32</v>
      </c>
      <c r="O716" s="217" t="s">
        <v>100</v>
      </c>
      <c r="P716" s="217" t="s">
        <v>34</v>
      </c>
      <c r="Q716" s="217" t="s">
        <v>35</v>
      </c>
      <c r="R716" s="217" t="s">
        <v>23</v>
      </c>
      <c r="S716" s="217" t="s">
        <v>22</v>
      </c>
      <c r="T716" s="217" t="s">
        <v>84</v>
      </c>
      <c r="U716" s="217" t="s">
        <v>85</v>
      </c>
      <c r="V716" s="217" t="s">
        <v>174</v>
      </c>
      <c r="W716" s="217" t="s">
        <v>175</v>
      </c>
    </row>
    <row r="717" spans="1:23" x14ac:dyDescent="0.25">
      <c r="A717" s="217" t="s">
        <v>22</v>
      </c>
      <c r="B717" s="217" t="s">
        <v>23</v>
      </c>
      <c r="C717" s="217" t="s">
        <v>85</v>
      </c>
      <c r="D717" s="217" t="s">
        <v>84</v>
      </c>
      <c r="E717" s="217" t="s">
        <v>175</v>
      </c>
      <c r="F717" s="217" t="s">
        <v>174</v>
      </c>
      <c r="G717" s="217" t="s">
        <v>470</v>
      </c>
      <c r="H717" s="217" t="s">
        <v>1311</v>
      </c>
      <c r="I717" s="217" t="s">
        <v>29</v>
      </c>
      <c r="J717" s="217" t="s">
        <v>1856</v>
      </c>
      <c r="K717" s="217">
        <v>97</v>
      </c>
      <c r="L717" s="217">
        <v>490</v>
      </c>
      <c r="M717" s="217" t="s">
        <v>31</v>
      </c>
      <c r="N717" s="217" t="s">
        <v>32</v>
      </c>
      <c r="O717" s="217" t="s">
        <v>100</v>
      </c>
      <c r="P717" s="217" t="s">
        <v>34</v>
      </c>
      <c r="Q717" s="217" t="s">
        <v>35</v>
      </c>
      <c r="R717" s="217" t="s">
        <v>23</v>
      </c>
      <c r="S717" s="217" t="s">
        <v>22</v>
      </c>
      <c r="T717" s="217" t="s">
        <v>84</v>
      </c>
      <c r="U717" s="217" t="s">
        <v>85</v>
      </c>
      <c r="V717" s="217" t="s">
        <v>174</v>
      </c>
      <c r="W717" s="217" t="s">
        <v>175</v>
      </c>
    </row>
    <row r="718" spans="1:23" x14ac:dyDescent="0.25">
      <c r="A718" s="217" t="s">
        <v>22</v>
      </c>
      <c r="B718" s="217" t="s">
        <v>23</v>
      </c>
      <c r="C718" s="217" t="s">
        <v>85</v>
      </c>
      <c r="D718" s="217" t="s">
        <v>84</v>
      </c>
      <c r="E718" s="217" t="s">
        <v>175</v>
      </c>
      <c r="F718" s="217" t="s">
        <v>174</v>
      </c>
      <c r="G718" s="217" t="s">
        <v>470</v>
      </c>
      <c r="H718" s="217" t="s">
        <v>1311</v>
      </c>
      <c r="I718" s="217" t="s">
        <v>29</v>
      </c>
      <c r="J718" s="217" t="s">
        <v>1857</v>
      </c>
      <c r="K718" s="217">
        <v>138</v>
      </c>
      <c r="L718" s="217">
        <v>725</v>
      </c>
      <c r="M718" s="217" t="s">
        <v>31</v>
      </c>
      <c r="N718" s="217" t="s">
        <v>32</v>
      </c>
      <c r="O718" s="217" t="s">
        <v>100</v>
      </c>
      <c r="P718" s="217" t="s">
        <v>34</v>
      </c>
      <c r="Q718" s="217" t="s">
        <v>35</v>
      </c>
      <c r="R718" s="217" t="s">
        <v>23</v>
      </c>
      <c r="S718" s="217" t="s">
        <v>22</v>
      </c>
      <c r="T718" s="217" t="s">
        <v>84</v>
      </c>
      <c r="U718" s="217" t="s">
        <v>85</v>
      </c>
      <c r="V718" s="217" t="s">
        <v>174</v>
      </c>
      <c r="W718" s="217" t="s">
        <v>175</v>
      </c>
    </row>
    <row r="719" spans="1:23" x14ac:dyDescent="0.25">
      <c r="A719" s="217" t="s">
        <v>22</v>
      </c>
      <c r="B719" s="217" t="s">
        <v>23</v>
      </c>
      <c r="C719" s="217" t="s">
        <v>85</v>
      </c>
      <c r="D719" s="217" t="s">
        <v>84</v>
      </c>
      <c r="E719" s="217" t="s">
        <v>175</v>
      </c>
      <c r="F719" s="217" t="s">
        <v>174</v>
      </c>
      <c r="G719" s="217" t="s">
        <v>470</v>
      </c>
      <c r="H719" s="217" t="s">
        <v>1311</v>
      </c>
      <c r="I719" s="217" t="s">
        <v>29</v>
      </c>
      <c r="J719" s="217" t="s">
        <v>1858</v>
      </c>
      <c r="K719" s="217">
        <v>183</v>
      </c>
      <c r="L719" s="217">
        <v>936</v>
      </c>
      <c r="M719" s="217" t="s">
        <v>31</v>
      </c>
      <c r="N719" s="217" t="s">
        <v>32</v>
      </c>
      <c r="O719" s="217" t="s">
        <v>100</v>
      </c>
      <c r="P719" s="217" t="s">
        <v>34</v>
      </c>
      <c r="Q719" s="217" t="s">
        <v>35</v>
      </c>
      <c r="R719" s="217" t="s">
        <v>23</v>
      </c>
      <c r="S719" s="217" t="s">
        <v>22</v>
      </c>
      <c r="T719" s="217" t="s">
        <v>84</v>
      </c>
      <c r="U719" s="217" t="s">
        <v>85</v>
      </c>
      <c r="V719" s="217" t="s">
        <v>174</v>
      </c>
      <c r="W719" s="217" t="s">
        <v>175</v>
      </c>
    </row>
    <row r="720" spans="1:23" x14ac:dyDescent="0.25">
      <c r="A720" s="217" t="s">
        <v>22</v>
      </c>
      <c r="B720" s="217" t="s">
        <v>23</v>
      </c>
      <c r="C720" s="217" t="s">
        <v>85</v>
      </c>
      <c r="D720" s="217" t="s">
        <v>84</v>
      </c>
      <c r="E720" s="217" t="s">
        <v>175</v>
      </c>
      <c r="F720" s="217" t="s">
        <v>174</v>
      </c>
      <c r="G720" s="217" t="s">
        <v>815</v>
      </c>
      <c r="H720" s="217" t="s">
        <v>2141</v>
      </c>
      <c r="I720" s="217" t="s">
        <v>29</v>
      </c>
      <c r="J720" s="217" t="s">
        <v>1859</v>
      </c>
      <c r="K720" s="217">
        <v>58</v>
      </c>
      <c r="L720" s="217">
        <v>483</v>
      </c>
      <c r="M720" s="217" t="s">
        <v>31</v>
      </c>
      <c r="N720" s="217" t="s">
        <v>32</v>
      </c>
      <c r="O720" s="217" t="s">
        <v>100</v>
      </c>
      <c r="P720" s="217" t="s">
        <v>34</v>
      </c>
      <c r="Q720" s="217" t="s">
        <v>35</v>
      </c>
      <c r="R720" s="217" t="s">
        <v>23</v>
      </c>
      <c r="S720" s="217" t="s">
        <v>22</v>
      </c>
      <c r="T720" s="217" t="s">
        <v>84</v>
      </c>
      <c r="U720" s="217" t="s">
        <v>85</v>
      </c>
      <c r="V720" s="217" t="s">
        <v>174</v>
      </c>
      <c r="W720" s="217" t="s">
        <v>175</v>
      </c>
    </row>
    <row r="721" spans="1:23" x14ac:dyDescent="0.25">
      <c r="A721" s="217" t="s">
        <v>22</v>
      </c>
      <c r="B721" s="217" t="s">
        <v>23</v>
      </c>
      <c r="C721" s="217" t="s">
        <v>85</v>
      </c>
      <c r="D721" s="217" t="s">
        <v>84</v>
      </c>
      <c r="E721" s="217" t="s">
        <v>175</v>
      </c>
      <c r="F721" s="217" t="s">
        <v>174</v>
      </c>
      <c r="G721" s="217" t="s">
        <v>179</v>
      </c>
      <c r="H721" s="217" t="s">
        <v>1312</v>
      </c>
      <c r="I721" s="217" t="s">
        <v>29</v>
      </c>
      <c r="J721" s="217" t="s">
        <v>1855</v>
      </c>
      <c r="K721" s="217">
        <v>21</v>
      </c>
      <c r="L721" s="217">
        <v>122</v>
      </c>
      <c r="M721" s="217" t="s">
        <v>31</v>
      </c>
      <c r="N721" s="217" t="s">
        <v>32</v>
      </c>
      <c r="O721" s="217" t="s">
        <v>100</v>
      </c>
      <c r="P721" s="217" t="s">
        <v>34</v>
      </c>
      <c r="Q721" s="217" t="s">
        <v>35</v>
      </c>
      <c r="R721" s="217" t="s">
        <v>23</v>
      </c>
      <c r="S721" s="217" t="s">
        <v>22</v>
      </c>
      <c r="T721" s="217" t="s">
        <v>84</v>
      </c>
      <c r="U721" s="217" t="s">
        <v>85</v>
      </c>
      <c r="V721" s="217" t="s">
        <v>174</v>
      </c>
      <c r="W721" s="217" t="s">
        <v>175</v>
      </c>
    </row>
    <row r="722" spans="1:23" x14ac:dyDescent="0.25">
      <c r="A722" s="217" t="s">
        <v>22</v>
      </c>
      <c r="B722" s="217" t="s">
        <v>23</v>
      </c>
      <c r="C722" s="217" t="s">
        <v>85</v>
      </c>
      <c r="D722" s="217" t="s">
        <v>84</v>
      </c>
      <c r="E722" s="217" t="s">
        <v>175</v>
      </c>
      <c r="F722" s="217" t="s">
        <v>174</v>
      </c>
      <c r="G722" s="217" t="s">
        <v>179</v>
      </c>
      <c r="H722" s="217" t="s">
        <v>1312</v>
      </c>
      <c r="I722" s="217" t="s">
        <v>29</v>
      </c>
      <c r="J722" s="217" t="s">
        <v>1856</v>
      </c>
      <c r="K722" s="217">
        <v>22</v>
      </c>
      <c r="L722" s="217">
        <v>124</v>
      </c>
      <c r="M722" s="217" t="s">
        <v>31</v>
      </c>
      <c r="N722" s="217" t="s">
        <v>32</v>
      </c>
      <c r="O722" s="217" t="s">
        <v>100</v>
      </c>
      <c r="P722" s="217" t="s">
        <v>34</v>
      </c>
      <c r="Q722" s="217" t="s">
        <v>35</v>
      </c>
      <c r="R722" s="217" t="s">
        <v>23</v>
      </c>
      <c r="S722" s="217" t="s">
        <v>22</v>
      </c>
      <c r="T722" s="217" t="s">
        <v>84</v>
      </c>
      <c r="U722" s="217" t="s">
        <v>85</v>
      </c>
      <c r="V722" s="217" t="s">
        <v>174</v>
      </c>
      <c r="W722" s="217" t="s">
        <v>175</v>
      </c>
    </row>
    <row r="723" spans="1:23" x14ac:dyDescent="0.25">
      <c r="A723" s="217" t="s">
        <v>22</v>
      </c>
      <c r="B723" s="217" t="s">
        <v>23</v>
      </c>
      <c r="C723" s="217" t="s">
        <v>85</v>
      </c>
      <c r="D723" s="217" t="s">
        <v>84</v>
      </c>
      <c r="E723" s="217" t="s">
        <v>175</v>
      </c>
      <c r="F723" s="217" t="s">
        <v>174</v>
      </c>
      <c r="G723" s="217" t="s">
        <v>179</v>
      </c>
      <c r="H723" s="217" t="s">
        <v>1312</v>
      </c>
      <c r="I723" s="217" t="s">
        <v>29</v>
      </c>
      <c r="J723" s="217" t="s">
        <v>1857</v>
      </c>
      <c r="K723" s="217">
        <v>14</v>
      </c>
      <c r="L723" s="217">
        <v>92</v>
      </c>
      <c r="M723" s="217" t="s">
        <v>31</v>
      </c>
      <c r="N723" s="217" t="s">
        <v>32</v>
      </c>
      <c r="O723" s="217" t="s">
        <v>100</v>
      </c>
      <c r="P723" s="217" t="s">
        <v>34</v>
      </c>
      <c r="Q723" s="217" t="s">
        <v>35</v>
      </c>
      <c r="R723" s="217" t="s">
        <v>23</v>
      </c>
      <c r="S723" s="217" t="s">
        <v>22</v>
      </c>
      <c r="T723" s="217" t="s">
        <v>84</v>
      </c>
      <c r="U723" s="217" t="s">
        <v>85</v>
      </c>
      <c r="V723" s="217" t="s">
        <v>174</v>
      </c>
      <c r="W723" s="217" t="s">
        <v>175</v>
      </c>
    </row>
    <row r="724" spans="1:23" x14ac:dyDescent="0.25">
      <c r="A724" s="217" t="s">
        <v>22</v>
      </c>
      <c r="B724" s="217" t="s">
        <v>23</v>
      </c>
      <c r="C724" s="217" t="s">
        <v>85</v>
      </c>
      <c r="D724" s="217" t="s">
        <v>84</v>
      </c>
      <c r="E724" s="217" t="s">
        <v>175</v>
      </c>
      <c r="F724" s="217" t="s">
        <v>174</v>
      </c>
      <c r="G724" s="217" t="s">
        <v>636</v>
      </c>
      <c r="H724" s="217" t="s">
        <v>1532</v>
      </c>
      <c r="I724" s="217" t="s">
        <v>29</v>
      </c>
      <c r="J724" s="217" t="s">
        <v>1858</v>
      </c>
      <c r="K724" s="217">
        <v>3</v>
      </c>
      <c r="L724" s="217">
        <v>29</v>
      </c>
      <c r="M724" s="217" t="s">
        <v>31</v>
      </c>
      <c r="N724" s="217" t="s">
        <v>32</v>
      </c>
      <c r="O724" s="217" t="s">
        <v>100</v>
      </c>
      <c r="P724" s="217" t="s">
        <v>34</v>
      </c>
      <c r="Q724" s="217" t="s">
        <v>35</v>
      </c>
      <c r="R724" s="217" t="s">
        <v>23</v>
      </c>
      <c r="S724" s="217" t="s">
        <v>22</v>
      </c>
      <c r="T724" s="217" t="s">
        <v>84</v>
      </c>
      <c r="U724" s="217" t="s">
        <v>85</v>
      </c>
      <c r="V724" s="217" t="s">
        <v>174</v>
      </c>
      <c r="W724" s="217" t="s">
        <v>175</v>
      </c>
    </row>
    <row r="725" spans="1:23" x14ac:dyDescent="0.25">
      <c r="A725" s="217" t="s">
        <v>22</v>
      </c>
      <c r="B725" s="217" t="s">
        <v>23</v>
      </c>
      <c r="C725" s="217" t="s">
        <v>85</v>
      </c>
      <c r="D725" s="217" t="s">
        <v>84</v>
      </c>
      <c r="E725" s="217" t="s">
        <v>181</v>
      </c>
      <c r="F725" s="217" t="s">
        <v>180</v>
      </c>
      <c r="G725" s="217" t="s">
        <v>182</v>
      </c>
      <c r="H725" s="217" t="s">
        <v>1313</v>
      </c>
      <c r="I725" s="217" t="s">
        <v>29</v>
      </c>
      <c r="J725" s="217" t="s">
        <v>1857</v>
      </c>
      <c r="K725" s="217">
        <v>33</v>
      </c>
      <c r="L725" s="217">
        <v>171</v>
      </c>
      <c r="M725" s="217" t="s">
        <v>99</v>
      </c>
      <c r="N725" s="217" t="s">
        <v>32</v>
      </c>
      <c r="O725" s="217" t="s">
        <v>100</v>
      </c>
      <c r="P725" s="217" t="s">
        <v>34</v>
      </c>
      <c r="Q725" s="217" t="s">
        <v>35</v>
      </c>
      <c r="R725" s="217" t="s">
        <v>23</v>
      </c>
      <c r="S725" s="217" t="s">
        <v>22</v>
      </c>
      <c r="T725" s="217" t="s">
        <v>84</v>
      </c>
      <c r="U725" s="217" t="s">
        <v>85</v>
      </c>
      <c r="V725" s="217" t="s">
        <v>180</v>
      </c>
      <c r="W725" s="217" t="s">
        <v>181</v>
      </c>
    </row>
    <row r="726" spans="1:23" x14ac:dyDescent="0.25">
      <c r="A726" s="217" t="s">
        <v>22</v>
      </c>
      <c r="B726" s="217" t="s">
        <v>23</v>
      </c>
      <c r="C726" s="217" t="s">
        <v>85</v>
      </c>
      <c r="D726" s="217" t="s">
        <v>84</v>
      </c>
      <c r="E726" s="217" t="s">
        <v>181</v>
      </c>
      <c r="F726" s="217" t="s">
        <v>180</v>
      </c>
      <c r="G726" s="217" t="s">
        <v>185</v>
      </c>
      <c r="H726" s="217" t="s">
        <v>1314</v>
      </c>
      <c r="I726" s="217" t="s">
        <v>29</v>
      </c>
      <c r="J726" s="217" t="s">
        <v>1857</v>
      </c>
      <c r="K726" s="217">
        <v>103</v>
      </c>
      <c r="L726" s="217">
        <v>595</v>
      </c>
      <c r="M726" s="217" t="s">
        <v>99</v>
      </c>
      <c r="N726" s="217" t="s">
        <v>32</v>
      </c>
      <c r="O726" s="217" t="s">
        <v>100</v>
      </c>
      <c r="P726" s="217" t="s">
        <v>34</v>
      </c>
      <c r="Q726" s="217" t="s">
        <v>35</v>
      </c>
      <c r="R726" s="217" t="s">
        <v>23</v>
      </c>
      <c r="S726" s="217" t="s">
        <v>22</v>
      </c>
      <c r="T726" s="217" t="s">
        <v>84</v>
      </c>
      <c r="U726" s="217" t="s">
        <v>85</v>
      </c>
      <c r="V726" s="217" t="s">
        <v>180</v>
      </c>
      <c r="W726" s="217" t="s">
        <v>181</v>
      </c>
    </row>
    <row r="727" spans="1:23" x14ac:dyDescent="0.25">
      <c r="A727" s="217" t="s">
        <v>22</v>
      </c>
      <c r="B727" s="217" t="s">
        <v>23</v>
      </c>
      <c r="C727" s="217" t="s">
        <v>85</v>
      </c>
      <c r="D727" s="217" t="s">
        <v>84</v>
      </c>
      <c r="E727" s="217" t="s">
        <v>181</v>
      </c>
      <c r="F727" s="217" t="s">
        <v>180</v>
      </c>
      <c r="G727" s="217" t="s">
        <v>186</v>
      </c>
      <c r="H727" s="217" t="s">
        <v>1315</v>
      </c>
      <c r="I727" s="217" t="s">
        <v>29</v>
      </c>
      <c r="J727" s="217" t="s">
        <v>1857</v>
      </c>
      <c r="K727" s="217">
        <v>41</v>
      </c>
      <c r="L727" s="217">
        <v>208</v>
      </c>
      <c r="M727" s="217" t="s">
        <v>99</v>
      </c>
      <c r="N727" s="217" t="s">
        <v>32</v>
      </c>
      <c r="O727" s="217" t="s">
        <v>100</v>
      </c>
      <c r="P727" s="217" t="s">
        <v>34</v>
      </c>
      <c r="Q727" s="217" t="s">
        <v>35</v>
      </c>
      <c r="R727" s="217" t="s">
        <v>23</v>
      </c>
      <c r="S727" s="217" t="s">
        <v>22</v>
      </c>
      <c r="T727" s="217" t="s">
        <v>84</v>
      </c>
      <c r="U727" s="217" t="s">
        <v>85</v>
      </c>
      <c r="V727" s="217" t="s">
        <v>180</v>
      </c>
      <c r="W727" s="217" t="s">
        <v>181</v>
      </c>
    </row>
    <row r="728" spans="1:23" x14ac:dyDescent="0.25">
      <c r="A728" s="217" t="s">
        <v>22</v>
      </c>
      <c r="B728" s="217" t="s">
        <v>23</v>
      </c>
      <c r="C728" s="217" t="s">
        <v>85</v>
      </c>
      <c r="D728" s="217" t="s">
        <v>84</v>
      </c>
      <c r="E728" s="217" t="s">
        <v>181</v>
      </c>
      <c r="F728" s="217" t="s">
        <v>180</v>
      </c>
      <c r="G728" s="217" t="s">
        <v>187</v>
      </c>
      <c r="H728" s="217" t="s">
        <v>1316</v>
      </c>
      <c r="I728" s="217" t="s">
        <v>29</v>
      </c>
      <c r="J728" s="217" t="s">
        <v>1857</v>
      </c>
      <c r="K728" s="217">
        <v>91</v>
      </c>
      <c r="L728" s="217">
        <v>459</v>
      </c>
      <c r="M728" s="217" t="s">
        <v>99</v>
      </c>
      <c r="N728" s="217" t="s">
        <v>32</v>
      </c>
      <c r="O728" s="217" t="s">
        <v>100</v>
      </c>
      <c r="P728" s="217" t="s">
        <v>34</v>
      </c>
      <c r="Q728" s="217" t="s">
        <v>35</v>
      </c>
      <c r="R728" s="217" t="s">
        <v>23</v>
      </c>
      <c r="S728" s="217" t="s">
        <v>22</v>
      </c>
      <c r="T728" s="217" t="s">
        <v>84</v>
      </c>
      <c r="U728" s="217" t="s">
        <v>85</v>
      </c>
      <c r="V728" s="217" t="s">
        <v>180</v>
      </c>
      <c r="W728" s="217" t="s">
        <v>181</v>
      </c>
    </row>
    <row r="729" spans="1:23" x14ac:dyDescent="0.25">
      <c r="A729" s="217" t="s">
        <v>22</v>
      </c>
      <c r="B729" s="217" t="s">
        <v>23</v>
      </c>
      <c r="C729" s="217" t="s">
        <v>85</v>
      </c>
      <c r="D729" s="217" t="s">
        <v>84</v>
      </c>
      <c r="E729" s="217" t="s">
        <v>181</v>
      </c>
      <c r="F729" s="217" t="s">
        <v>180</v>
      </c>
      <c r="G729" s="217" t="s">
        <v>188</v>
      </c>
      <c r="H729" s="217" t="s">
        <v>1317</v>
      </c>
      <c r="I729" s="217" t="s">
        <v>29</v>
      </c>
      <c r="J729" s="217" t="s">
        <v>1857</v>
      </c>
      <c r="K729" s="217">
        <v>102</v>
      </c>
      <c r="L729" s="217">
        <v>520</v>
      </c>
      <c r="M729" s="217" t="s">
        <v>99</v>
      </c>
      <c r="N729" s="217" t="s">
        <v>32</v>
      </c>
      <c r="O729" s="217" t="s">
        <v>100</v>
      </c>
      <c r="P729" s="217" t="s">
        <v>34</v>
      </c>
      <c r="Q729" s="217" t="s">
        <v>35</v>
      </c>
      <c r="R729" s="217" t="s">
        <v>23</v>
      </c>
      <c r="S729" s="217" t="s">
        <v>22</v>
      </c>
      <c r="T729" s="217" t="s">
        <v>84</v>
      </c>
      <c r="U729" s="217" t="s">
        <v>85</v>
      </c>
      <c r="V729" s="217" t="s">
        <v>180</v>
      </c>
      <c r="W729" s="217" t="s">
        <v>181</v>
      </c>
    </row>
    <row r="730" spans="1:23" x14ac:dyDescent="0.25">
      <c r="A730" s="217" t="s">
        <v>22</v>
      </c>
      <c r="B730" s="217" t="s">
        <v>23</v>
      </c>
      <c r="C730" s="217" t="s">
        <v>85</v>
      </c>
      <c r="D730" s="217" t="s">
        <v>84</v>
      </c>
      <c r="E730" s="217" t="s">
        <v>181</v>
      </c>
      <c r="F730" s="217" t="s">
        <v>180</v>
      </c>
      <c r="G730" s="217" t="s">
        <v>189</v>
      </c>
      <c r="H730" s="217" t="s">
        <v>1318</v>
      </c>
      <c r="I730" s="217" t="s">
        <v>29</v>
      </c>
      <c r="J730" s="217" t="s">
        <v>1857</v>
      </c>
      <c r="K730" s="217">
        <v>89</v>
      </c>
      <c r="L730" s="217">
        <v>455</v>
      </c>
      <c r="M730" s="217" t="s">
        <v>99</v>
      </c>
      <c r="N730" s="217" t="s">
        <v>32</v>
      </c>
      <c r="O730" s="217" t="s">
        <v>100</v>
      </c>
      <c r="P730" s="217" t="s">
        <v>34</v>
      </c>
      <c r="Q730" s="217" t="s">
        <v>35</v>
      </c>
      <c r="R730" s="217" t="s">
        <v>23</v>
      </c>
      <c r="S730" s="217" t="s">
        <v>22</v>
      </c>
      <c r="T730" s="217" t="s">
        <v>84</v>
      </c>
      <c r="U730" s="217" t="s">
        <v>85</v>
      </c>
      <c r="V730" s="217" t="s">
        <v>180</v>
      </c>
      <c r="W730" s="217" t="s">
        <v>181</v>
      </c>
    </row>
    <row r="731" spans="1:23" x14ac:dyDescent="0.25">
      <c r="A731" s="217" t="s">
        <v>22</v>
      </c>
      <c r="B731" s="217" t="s">
        <v>23</v>
      </c>
      <c r="C731" s="217" t="s">
        <v>85</v>
      </c>
      <c r="D731" s="217" t="s">
        <v>84</v>
      </c>
      <c r="E731" s="217" t="s">
        <v>181</v>
      </c>
      <c r="F731" s="217" t="s">
        <v>180</v>
      </c>
      <c r="G731" s="217" t="s">
        <v>190</v>
      </c>
      <c r="H731" s="217" t="s">
        <v>1319</v>
      </c>
      <c r="I731" s="217" t="s">
        <v>29</v>
      </c>
      <c r="J731" s="217" t="s">
        <v>1857</v>
      </c>
      <c r="K731" s="217">
        <v>90</v>
      </c>
      <c r="L731" s="217">
        <v>460</v>
      </c>
      <c r="M731" s="217" t="s">
        <v>99</v>
      </c>
      <c r="N731" s="217" t="s">
        <v>32</v>
      </c>
      <c r="O731" s="217" t="s">
        <v>100</v>
      </c>
      <c r="P731" s="217" t="s">
        <v>34</v>
      </c>
      <c r="Q731" s="217" t="s">
        <v>35</v>
      </c>
      <c r="R731" s="217" t="s">
        <v>23</v>
      </c>
      <c r="S731" s="217" t="s">
        <v>22</v>
      </c>
      <c r="T731" s="217" t="s">
        <v>84</v>
      </c>
      <c r="U731" s="217" t="s">
        <v>85</v>
      </c>
      <c r="V731" s="217" t="s">
        <v>180</v>
      </c>
      <c r="W731" s="217" t="s">
        <v>181</v>
      </c>
    </row>
    <row r="732" spans="1:23" x14ac:dyDescent="0.25">
      <c r="A732" s="217" t="s">
        <v>22</v>
      </c>
      <c r="B732" s="217" t="s">
        <v>23</v>
      </c>
      <c r="C732" s="217" t="s">
        <v>85</v>
      </c>
      <c r="D732" s="217" t="s">
        <v>84</v>
      </c>
      <c r="E732" s="217" t="s">
        <v>181</v>
      </c>
      <c r="F732" s="217" t="s">
        <v>180</v>
      </c>
      <c r="G732" s="217" t="s">
        <v>191</v>
      </c>
      <c r="H732" s="217" t="s">
        <v>1320</v>
      </c>
      <c r="I732" s="217" t="s">
        <v>29</v>
      </c>
      <c r="J732" s="217" t="s">
        <v>1857</v>
      </c>
      <c r="K732" s="217">
        <v>99</v>
      </c>
      <c r="L732" s="217">
        <v>505</v>
      </c>
      <c r="M732" s="217" t="s">
        <v>99</v>
      </c>
      <c r="N732" s="217" t="s">
        <v>32</v>
      </c>
      <c r="O732" s="217" t="s">
        <v>100</v>
      </c>
      <c r="P732" s="217" t="s">
        <v>34</v>
      </c>
      <c r="Q732" s="217" t="s">
        <v>35</v>
      </c>
      <c r="R732" s="217" t="s">
        <v>23</v>
      </c>
      <c r="S732" s="217" t="s">
        <v>22</v>
      </c>
      <c r="T732" s="217" t="s">
        <v>84</v>
      </c>
      <c r="U732" s="217" t="s">
        <v>85</v>
      </c>
      <c r="V732" s="217" t="s">
        <v>180</v>
      </c>
      <c r="W732" s="217" t="s">
        <v>181</v>
      </c>
    </row>
    <row r="733" spans="1:23" x14ac:dyDescent="0.25">
      <c r="A733" s="217" t="s">
        <v>22</v>
      </c>
      <c r="B733" s="217" t="s">
        <v>23</v>
      </c>
      <c r="C733" s="217" t="s">
        <v>85</v>
      </c>
      <c r="D733" s="217" t="s">
        <v>84</v>
      </c>
      <c r="E733" s="217" t="s">
        <v>181</v>
      </c>
      <c r="F733" s="217" t="s">
        <v>180</v>
      </c>
      <c r="G733" s="217" t="s">
        <v>192</v>
      </c>
      <c r="H733" s="217" t="s">
        <v>1321</v>
      </c>
      <c r="I733" s="217" t="s">
        <v>29</v>
      </c>
      <c r="J733" s="217" t="s">
        <v>1857</v>
      </c>
      <c r="K733" s="217">
        <v>95</v>
      </c>
      <c r="L733" s="217">
        <v>480</v>
      </c>
      <c r="M733" s="217" t="s">
        <v>99</v>
      </c>
      <c r="N733" s="217" t="s">
        <v>32</v>
      </c>
      <c r="O733" s="217" t="s">
        <v>100</v>
      </c>
      <c r="P733" s="217" t="s">
        <v>34</v>
      </c>
      <c r="Q733" s="217" t="s">
        <v>35</v>
      </c>
      <c r="R733" s="217" t="s">
        <v>23</v>
      </c>
      <c r="S733" s="217" t="s">
        <v>22</v>
      </c>
      <c r="T733" s="217" t="s">
        <v>84</v>
      </c>
      <c r="U733" s="217" t="s">
        <v>85</v>
      </c>
      <c r="V733" s="217" t="s">
        <v>180</v>
      </c>
      <c r="W733" s="217" t="s">
        <v>181</v>
      </c>
    </row>
    <row r="734" spans="1:23" x14ac:dyDescent="0.25">
      <c r="A734" s="217" t="s">
        <v>22</v>
      </c>
      <c r="B734" s="217" t="s">
        <v>23</v>
      </c>
      <c r="C734" s="217" t="s">
        <v>85</v>
      </c>
      <c r="D734" s="217" t="s">
        <v>84</v>
      </c>
      <c r="E734" s="217" t="s">
        <v>181</v>
      </c>
      <c r="F734" s="217" t="s">
        <v>180</v>
      </c>
      <c r="G734" s="217" t="s">
        <v>194</v>
      </c>
      <c r="H734" s="217" t="s">
        <v>1322</v>
      </c>
      <c r="I734" s="217" t="s">
        <v>29</v>
      </c>
      <c r="J734" s="217" t="s">
        <v>1857</v>
      </c>
      <c r="K734" s="217">
        <v>72</v>
      </c>
      <c r="L734" s="217">
        <v>389</v>
      </c>
      <c r="M734" s="217" t="s">
        <v>99</v>
      </c>
      <c r="N734" s="217" t="s">
        <v>32</v>
      </c>
      <c r="O734" s="217" t="s">
        <v>100</v>
      </c>
      <c r="P734" s="217" t="s">
        <v>34</v>
      </c>
      <c r="Q734" s="217" t="s">
        <v>35</v>
      </c>
      <c r="R734" s="217" t="s">
        <v>23</v>
      </c>
      <c r="S734" s="217" t="s">
        <v>22</v>
      </c>
      <c r="T734" s="217" t="s">
        <v>84</v>
      </c>
      <c r="U734" s="217" t="s">
        <v>85</v>
      </c>
      <c r="V734" s="217" t="s">
        <v>180</v>
      </c>
      <c r="W734" s="217" t="s">
        <v>181</v>
      </c>
    </row>
    <row r="735" spans="1:23" x14ac:dyDescent="0.25">
      <c r="A735" s="217" t="s">
        <v>22</v>
      </c>
      <c r="B735" s="217" t="s">
        <v>23</v>
      </c>
      <c r="C735" s="217" t="s">
        <v>184</v>
      </c>
      <c r="D735" s="217" t="s">
        <v>183</v>
      </c>
      <c r="E735" s="217" t="s">
        <v>471</v>
      </c>
      <c r="F735" s="217" t="s">
        <v>472</v>
      </c>
      <c r="G735" s="217" t="s">
        <v>473</v>
      </c>
      <c r="H735" s="217" t="s">
        <v>1323</v>
      </c>
      <c r="I735" s="217" t="s">
        <v>29</v>
      </c>
      <c r="J735" s="217" t="s">
        <v>1854</v>
      </c>
      <c r="K735" s="217">
        <v>10</v>
      </c>
      <c r="L735" s="217">
        <v>62</v>
      </c>
      <c r="M735" s="217" t="s">
        <v>99</v>
      </c>
      <c r="N735" s="217" t="s">
        <v>32</v>
      </c>
      <c r="O735" s="217" t="s">
        <v>100</v>
      </c>
      <c r="P735" s="217" t="s">
        <v>34</v>
      </c>
      <c r="Q735" s="217" t="s">
        <v>35</v>
      </c>
      <c r="R735" s="217" t="s">
        <v>23</v>
      </c>
      <c r="S735" s="217" t="s">
        <v>22</v>
      </c>
      <c r="T735" s="217" t="s">
        <v>183</v>
      </c>
      <c r="U735" s="217" t="s">
        <v>184</v>
      </c>
      <c r="V735" s="217" t="s">
        <v>472</v>
      </c>
      <c r="W735" s="217" t="s">
        <v>471</v>
      </c>
    </row>
    <row r="736" spans="1:23" x14ac:dyDescent="0.25">
      <c r="A736" s="217" t="s">
        <v>22</v>
      </c>
      <c r="B736" s="217" t="s">
        <v>23</v>
      </c>
      <c r="C736" s="217" t="s">
        <v>184</v>
      </c>
      <c r="D736" s="217" t="s">
        <v>183</v>
      </c>
      <c r="E736" s="217" t="s">
        <v>471</v>
      </c>
      <c r="F736" s="217" t="s">
        <v>472</v>
      </c>
      <c r="G736" s="217" t="s">
        <v>473</v>
      </c>
      <c r="H736" s="217" t="s">
        <v>1323</v>
      </c>
      <c r="I736" s="217" t="s">
        <v>29</v>
      </c>
      <c r="J736" s="217" t="s">
        <v>1858</v>
      </c>
      <c r="K736" s="217">
        <v>34</v>
      </c>
      <c r="L736" s="217">
        <v>251</v>
      </c>
      <c r="M736" s="217" t="s">
        <v>99</v>
      </c>
      <c r="N736" s="217" t="s">
        <v>32</v>
      </c>
      <c r="O736" s="217" t="s">
        <v>100</v>
      </c>
      <c r="P736" s="217" t="s">
        <v>34</v>
      </c>
      <c r="Q736" s="217" t="s">
        <v>35</v>
      </c>
      <c r="R736" s="217" t="s">
        <v>23</v>
      </c>
      <c r="S736" s="217" t="s">
        <v>22</v>
      </c>
      <c r="T736" s="217" t="s">
        <v>183</v>
      </c>
      <c r="U736" s="217" t="s">
        <v>184</v>
      </c>
      <c r="V736" s="217" t="s">
        <v>472</v>
      </c>
      <c r="W736" s="217" t="s">
        <v>471</v>
      </c>
    </row>
    <row r="737" spans="1:23" x14ac:dyDescent="0.25">
      <c r="A737" s="217" t="s">
        <v>22</v>
      </c>
      <c r="B737" s="217" t="s">
        <v>23</v>
      </c>
      <c r="C737" s="217" t="s">
        <v>184</v>
      </c>
      <c r="D737" s="217" t="s">
        <v>183</v>
      </c>
      <c r="E737" s="217" t="s">
        <v>471</v>
      </c>
      <c r="F737" s="217" t="s">
        <v>472</v>
      </c>
      <c r="G737" s="217" t="s">
        <v>474</v>
      </c>
      <c r="H737" s="217" t="s">
        <v>1324</v>
      </c>
      <c r="I737" s="217" t="s">
        <v>29</v>
      </c>
      <c r="J737" s="217" t="s">
        <v>1854</v>
      </c>
      <c r="K737" s="217">
        <v>9</v>
      </c>
      <c r="L737" s="217">
        <v>40</v>
      </c>
      <c r="M737" s="217" t="s">
        <v>99</v>
      </c>
      <c r="N737" s="217" t="s">
        <v>32</v>
      </c>
      <c r="O737" s="217" t="s">
        <v>100</v>
      </c>
      <c r="P737" s="217" t="s">
        <v>34</v>
      </c>
      <c r="Q737" s="217" t="s">
        <v>35</v>
      </c>
      <c r="R737" s="217" t="s">
        <v>23</v>
      </c>
      <c r="S737" s="217" t="s">
        <v>22</v>
      </c>
      <c r="T737" s="217" t="s">
        <v>183</v>
      </c>
      <c r="U737" s="217" t="s">
        <v>184</v>
      </c>
      <c r="V737" s="217" t="s">
        <v>472</v>
      </c>
      <c r="W737" s="217" t="s">
        <v>471</v>
      </c>
    </row>
    <row r="738" spans="1:23" x14ac:dyDescent="0.25">
      <c r="A738" s="217" t="s">
        <v>22</v>
      </c>
      <c r="B738" s="217" t="s">
        <v>23</v>
      </c>
      <c r="C738" s="217" t="s">
        <v>184</v>
      </c>
      <c r="D738" s="217" t="s">
        <v>183</v>
      </c>
      <c r="E738" s="217" t="s">
        <v>471</v>
      </c>
      <c r="F738" s="217" t="s">
        <v>472</v>
      </c>
      <c r="G738" s="217" t="s">
        <v>474</v>
      </c>
      <c r="H738" s="217" t="s">
        <v>1324</v>
      </c>
      <c r="I738" s="217" t="s">
        <v>29</v>
      </c>
      <c r="J738" s="217" t="s">
        <v>1855</v>
      </c>
      <c r="K738" s="217">
        <v>4</v>
      </c>
      <c r="L738" s="217">
        <v>27</v>
      </c>
      <c r="M738" s="217" t="s">
        <v>99</v>
      </c>
      <c r="N738" s="217" t="s">
        <v>32</v>
      </c>
      <c r="O738" s="217" t="s">
        <v>100</v>
      </c>
      <c r="P738" s="217" t="s">
        <v>34</v>
      </c>
      <c r="Q738" s="217" t="s">
        <v>35</v>
      </c>
      <c r="R738" s="217" t="s">
        <v>23</v>
      </c>
      <c r="S738" s="217" t="s">
        <v>22</v>
      </c>
      <c r="T738" s="217" t="s">
        <v>183</v>
      </c>
      <c r="U738" s="217" t="s">
        <v>184</v>
      </c>
      <c r="V738" s="217" t="s">
        <v>472</v>
      </c>
      <c r="W738" s="217" t="s">
        <v>471</v>
      </c>
    </row>
    <row r="739" spans="1:23" x14ac:dyDescent="0.25">
      <c r="A739" s="217" t="s">
        <v>22</v>
      </c>
      <c r="B739" s="217" t="s">
        <v>23</v>
      </c>
      <c r="C739" s="217" t="s">
        <v>184</v>
      </c>
      <c r="D739" s="217" t="s">
        <v>183</v>
      </c>
      <c r="E739" s="217" t="s">
        <v>471</v>
      </c>
      <c r="F739" s="217" t="s">
        <v>472</v>
      </c>
      <c r="G739" s="217" t="s">
        <v>474</v>
      </c>
      <c r="H739" s="217" t="s">
        <v>1324</v>
      </c>
      <c r="I739" s="217" t="s">
        <v>29</v>
      </c>
      <c r="J739" s="217" t="s">
        <v>1858</v>
      </c>
      <c r="K739" s="217">
        <v>18</v>
      </c>
      <c r="L739" s="217">
        <v>86</v>
      </c>
      <c r="M739" s="217" t="s">
        <v>99</v>
      </c>
      <c r="N739" s="217" t="s">
        <v>32</v>
      </c>
      <c r="O739" s="217" t="s">
        <v>100</v>
      </c>
      <c r="P739" s="217" t="s">
        <v>34</v>
      </c>
      <c r="Q739" s="217" t="s">
        <v>35</v>
      </c>
      <c r="R739" s="217" t="s">
        <v>23</v>
      </c>
      <c r="S739" s="217" t="s">
        <v>22</v>
      </c>
      <c r="T739" s="217" t="s">
        <v>183</v>
      </c>
      <c r="U739" s="217" t="s">
        <v>184</v>
      </c>
      <c r="V739" s="217" t="s">
        <v>472</v>
      </c>
      <c r="W739" s="217" t="s">
        <v>471</v>
      </c>
    </row>
    <row r="740" spans="1:23" x14ac:dyDescent="0.25">
      <c r="A740" s="217" t="s">
        <v>22</v>
      </c>
      <c r="B740" s="217" t="s">
        <v>23</v>
      </c>
      <c r="C740" s="217" t="s">
        <v>184</v>
      </c>
      <c r="D740" s="217" t="s">
        <v>183</v>
      </c>
      <c r="E740" s="217" t="s">
        <v>471</v>
      </c>
      <c r="F740" s="217" t="s">
        <v>472</v>
      </c>
      <c r="G740" s="217" t="s">
        <v>475</v>
      </c>
      <c r="H740" s="217" t="s">
        <v>1325</v>
      </c>
      <c r="I740" s="217" t="s">
        <v>29</v>
      </c>
      <c r="J740" s="217" t="s">
        <v>1854</v>
      </c>
      <c r="K740" s="217">
        <v>18</v>
      </c>
      <c r="L740" s="217">
        <v>104</v>
      </c>
      <c r="M740" s="217" t="s">
        <v>99</v>
      </c>
      <c r="N740" s="217" t="s">
        <v>32</v>
      </c>
      <c r="O740" s="217" t="s">
        <v>100</v>
      </c>
      <c r="P740" s="217" t="s">
        <v>34</v>
      </c>
      <c r="Q740" s="217" t="s">
        <v>35</v>
      </c>
      <c r="R740" s="217" t="s">
        <v>23</v>
      </c>
      <c r="S740" s="217" t="s">
        <v>22</v>
      </c>
      <c r="T740" s="217" t="s">
        <v>183</v>
      </c>
      <c r="U740" s="217" t="s">
        <v>184</v>
      </c>
      <c r="V740" s="217" t="s">
        <v>472</v>
      </c>
      <c r="W740" s="217" t="s">
        <v>471</v>
      </c>
    </row>
    <row r="741" spans="1:23" x14ac:dyDescent="0.25">
      <c r="A741" s="217" t="s">
        <v>22</v>
      </c>
      <c r="B741" s="217" t="s">
        <v>23</v>
      </c>
      <c r="C741" s="217" t="s">
        <v>184</v>
      </c>
      <c r="D741" s="217" t="s">
        <v>183</v>
      </c>
      <c r="E741" s="217" t="s">
        <v>471</v>
      </c>
      <c r="F741" s="217" t="s">
        <v>472</v>
      </c>
      <c r="G741" s="217" t="s">
        <v>476</v>
      </c>
      <c r="H741" s="217" t="s">
        <v>1326</v>
      </c>
      <c r="I741" s="217" t="s">
        <v>29</v>
      </c>
      <c r="J741" s="217" t="s">
        <v>1854</v>
      </c>
      <c r="K741" s="217">
        <v>18</v>
      </c>
      <c r="L741" s="217">
        <v>112</v>
      </c>
      <c r="M741" s="217" t="s">
        <v>99</v>
      </c>
      <c r="N741" s="217" t="s">
        <v>32</v>
      </c>
      <c r="O741" s="217" t="s">
        <v>100</v>
      </c>
      <c r="P741" s="217" t="s">
        <v>34</v>
      </c>
      <c r="Q741" s="217" t="s">
        <v>35</v>
      </c>
      <c r="R741" s="217" t="s">
        <v>23</v>
      </c>
      <c r="S741" s="217" t="s">
        <v>22</v>
      </c>
      <c r="T741" s="217" t="s">
        <v>183</v>
      </c>
      <c r="U741" s="217" t="s">
        <v>184</v>
      </c>
      <c r="V741" s="217" t="s">
        <v>472</v>
      </c>
      <c r="W741" s="217" t="s">
        <v>471</v>
      </c>
    </row>
    <row r="742" spans="1:23" x14ac:dyDescent="0.25">
      <c r="A742" s="217" t="s">
        <v>22</v>
      </c>
      <c r="B742" s="217" t="s">
        <v>23</v>
      </c>
      <c r="C742" s="217" t="s">
        <v>184</v>
      </c>
      <c r="D742" s="217" t="s">
        <v>183</v>
      </c>
      <c r="E742" s="217" t="s">
        <v>471</v>
      </c>
      <c r="F742" s="217" t="s">
        <v>472</v>
      </c>
      <c r="G742" s="217" t="s">
        <v>476</v>
      </c>
      <c r="H742" s="217" t="s">
        <v>1326</v>
      </c>
      <c r="I742" s="217" t="s">
        <v>29</v>
      </c>
      <c r="J742" s="217" t="s">
        <v>1857</v>
      </c>
      <c r="K742" s="217">
        <v>4</v>
      </c>
      <c r="L742" s="217">
        <v>32</v>
      </c>
      <c r="M742" s="217" t="s">
        <v>99</v>
      </c>
      <c r="N742" s="217" t="s">
        <v>32</v>
      </c>
      <c r="O742" s="217" t="s">
        <v>100</v>
      </c>
      <c r="P742" s="217" t="s">
        <v>34</v>
      </c>
      <c r="Q742" s="217" t="s">
        <v>35</v>
      </c>
      <c r="R742" s="217" t="s">
        <v>23</v>
      </c>
      <c r="S742" s="217" t="s">
        <v>22</v>
      </c>
      <c r="T742" s="217" t="s">
        <v>183</v>
      </c>
      <c r="U742" s="217" t="s">
        <v>184</v>
      </c>
      <c r="V742" s="217" t="s">
        <v>472</v>
      </c>
      <c r="W742" s="217" t="s">
        <v>471</v>
      </c>
    </row>
    <row r="743" spans="1:23" x14ac:dyDescent="0.25">
      <c r="A743" s="217" t="s">
        <v>22</v>
      </c>
      <c r="B743" s="217" t="s">
        <v>23</v>
      </c>
      <c r="C743" s="217" t="s">
        <v>184</v>
      </c>
      <c r="D743" s="217" t="s">
        <v>183</v>
      </c>
      <c r="E743" s="217" t="s">
        <v>471</v>
      </c>
      <c r="F743" s="217" t="s">
        <v>472</v>
      </c>
      <c r="G743" s="217" t="s">
        <v>476</v>
      </c>
      <c r="H743" s="217" t="s">
        <v>1326</v>
      </c>
      <c r="I743" s="217" t="s">
        <v>29</v>
      </c>
      <c r="J743" s="217" t="s">
        <v>1858</v>
      </c>
      <c r="K743" s="217">
        <v>15</v>
      </c>
      <c r="L743" s="217">
        <v>52</v>
      </c>
      <c r="M743" s="217" t="s">
        <v>99</v>
      </c>
      <c r="N743" s="217" t="s">
        <v>32</v>
      </c>
      <c r="O743" s="217" t="s">
        <v>100</v>
      </c>
      <c r="P743" s="217" t="s">
        <v>34</v>
      </c>
      <c r="Q743" s="217" t="s">
        <v>35</v>
      </c>
      <c r="R743" s="217" t="s">
        <v>23</v>
      </c>
      <c r="S743" s="217" t="s">
        <v>22</v>
      </c>
      <c r="T743" s="217" t="s">
        <v>183</v>
      </c>
      <c r="U743" s="217" t="s">
        <v>184</v>
      </c>
      <c r="V743" s="217" t="s">
        <v>472</v>
      </c>
      <c r="W743" s="217" t="s">
        <v>471</v>
      </c>
    </row>
    <row r="744" spans="1:23" x14ac:dyDescent="0.25">
      <c r="A744" s="217" t="s">
        <v>22</v>
      </c>
      <c r="B744" s="217" t="s">
        <v>23</v>
      </c>
      <c r="C744" s="217" t="s">
        <v>184</v>
      </c>
      <c r="D744" s="217" t="s">
        <v>183</v>
      </c>
      <c r="E744" s="217" t="s">
        <v>471</v>
      </c>
      <c r="F744" s="217" t="s">
        <v>472</v>
      </c>
      <c r="G744" s="217" t="s">
        <v>477</v>
      </c>
      <c r="H744" s="217" t="s">
        <v>1327</v>
      </c>
      <c r="I744" s="217" t="s">
        <v>29</v>
      </c>
      <c r="J744" s="217" t="s">
        <v>1854</v>
      </c>
      <c r="K744" s="217">
        <v>12</v>
      </c>
      <c r="L744" s="217">
        <v>99</v>
      </c>
      <c r="M744" s="217" t="s">
        <v>99</v>
      </c>
      <c r="N744" s="217" t="s">
        <v>32</v>
      </c>
      <c r="O744" s="217" t="s">
        <v>100</v>
      </c>
      <c r="P744" s="217" t="s">
        <v>34</v>
      </c>
      <c r="Q744" s="217" t="s">
        <v>35</v>
      </c>
      <c r="R744" s="217" t="s">
        <v>23</v>
      </c>
      <c r="S744" s="217" t="s">
        <v>22</v>
      </c>
      <c r="T744" s="217" t="s">
        <v>183</v>
      </c>
      <c r="U744" s="217" t="s">
        <v>184</v>
      </c>
      <c r="V744" s="217" t="s">
        <v>472</v>
      </c>
      <c r="W744" s="217" t="s">
        <v>471</v>
      </c>
    </row>
    <row r="745" spans="1:23" x14ac:dyDescent="0.25">
      <c r="A745" s="217" t="s">
        <v>22</v>
      </c>
      <c r="B745" s="217" t="s">
        <v>23</v>
      </c>
      <c r="C745" s="217" t="s">
        <v>184</v>
      </c>
      <c r="D745" s="217" t="s">
        <v>183</v>
      </c>
      <c r="E745" s="217" t="s">
        <v>471</v>
      </c>
      <c r="F745" s="217" t="s">
        <v>472</v>
      </c>
      <c r="G745" s="217" t="s">
        <v>477</v>
      </c>
      <c r="H745" s="217" t="s">
        <v>1327</v>
      </c>
      <c r="I745" s="217" t="s">
        <v>29</v>
      </c>
      <c r="J745" s="217" t="s">
        <v>1855</v>
      </c>
      <c r="K745" s="217">
        <v>8</v>
      </c>
      <c r="L745" s="217">
        <v>29</v>
      </c>
      <c r="M745" s="217" t="s">
        <v>99</v>
      </c>
      <c r="N745" s="217" t="s">
        <v>32</v>
      </c>
      <c r="O745" s="217" t="s">
        <v>100</v>
      </c>
      <c r="P745" s="217" t="s">
        <v>34</v>
      </c>
      <c r="Q745" s="217" t="s">
        <v>35</v>
      </c>
      <c r="R745" s="217" t="s">
        <v>23</v>
      </c>
      <c r="S745" s="217" t="s">
        <v>22</v>
      </c>
      <c r="T745" s="217" t="s">
        <v>183</v>
      </c>
      <c r="U745" s="217" t="s">
        <v>184</v>
      </c>
      <c r="V745" s="217" t="s">
        <v>472</v>
      </c>
      <c r="W745" s="217" t="s">
        <v>471</v>
      </c>
    </row>
    <row r="746" spans="1:23" x14ac:dyDescent="0.25">
      <c r="A746" s="217" t="s">
        <v>22</v>
      </c>
      <c r="B746" s="217" t="s">
        <v>23</v>
      </c>
      <c r="C746" s="217" t="s">
        <v>184</v>
      </c>
      <c r="D746" s="217" t="s">
        <v>183</v>
      </c>
      <c r="E746" s="217" t="s">
        <v>471</v>
      </c>
      <c r="F746" s="217" t="s">
        <v>472</v>
      </c>
      <c r="G746" s="217" t="s">
        <v>477</v>
      </c>
      <c r="H746" s="217" t="s">
        <v>1327</v>
      </c>
      <c r="I746" s="217" t="s">
        <v>29</v>
      </c>
      <c r="J746" s="217" t="s">
        <v>1857</v>
      </c>
      <c r="K746" s="217">
        <v>6</v>
      </c>
      <c r="L746" s="217">
        <v>50</v>
      </c>
      <c r="M746" s="217" t="s">
        <v>99</v>
      </c>
      <c r="N746" s="217" t="s">
        <v>32</v>
      </c>
      <c r="O746" s="217" t="s">
        <v>100</v>
      </c>
      <c r="P746" s="217" t="s">
        <v>34</v>
      </c>
      <c r="Q746" s="217" t="s">
        <v>35</v>
      </c>
      <c r="R746" s="217" t="s">
        <v>23</v>
      </c>
      <c r="S746" s="217" t="s">
        <v>22</v>
      </c>
      <c r="T746" s="217" t="s">
        <v>183</v>
      </c>
      <c r="U746" s="217" t="s">
        <v>184</v>
      </c>
      <c r="V746" s="217" t="s">
        <v>472</v>
      </c>
      <c r="W746" s="217" t="s">
        <v>471</v>
      </c>
    </row>
    <row r="747" spans="1:23" x14ac:dyDescent="0.25">
      <c r="A747" s="217" t="s">
        <v>22</v>
      </c>
      <c r="B747" s="217" t="s">
        <v>23</v>
      </c>
      <c r="C747" s="217" t="s">
        <v>184</v>
      </c>
      <c r="D747" s="217" t="s">
        <v>183</v>
      </c>
      <c r="E747" s="217" t="s">
        <v>471</v>
      </c>
      <c r="F747" s="217" t="s">
        <v>472</v>
      </c>
      <c r="G747" s="217" t="s">
        <v>477</v>
      </c>
      <c r="H747" s="217" t="s">
        <v>1327</v>
      </c>
      <c r="I747" s="217" t="s">
        <v>29</v>
      </c>
      <c r="J747" s="217" t="s">
        <v>1858</v>
      </c>
      <c r="K747" s="217">
        <v>25</v>
      </c>
      <c r="L747" s="217">
        <v>146</v>
      </c>
      <c r="M747" s="217" t="s">
        <v>99</v>
      </c>
      <c r="N747" s="217" t="s">
        <v>32</v>
      </c>
      <c r="O747" s="217" t="s">
        <v>100</v>
      </c>
      <c r="P747" s="217" t="s">
        <v>34</v>
      </c>
      <c r="Q747" s="217" t="s">
        <v>35</v>
      </c>
      <c r="R747" s="217" t="s">
        <v>23</v>
      </c>
      <c r="S747" s="217" t="s">
        <v>22</v>
      </c>
      <c r="T747" s="217" t="s">
        <v>183</v>
      </c>
      <c r="U747" s="217" t="s">
        <v>184</v>
      </c>
      <c r="V747" s="217" t="s">
        <v>472</v>
      </c>
      <c r="W747" s="217" t="s">
        <v>471</v>
      </c>
    </row>
    <row r="748" spans="1:23" x14ac:dyDescent="0.25">
      <c r="A748" s="217" t="s">
        <v>22</v>
      </c>
      <c r="B748" s="217" t="s">
        <v>23</v>
      </c>
      <c r="C748" s="217" t="s">
        <v>184</v>
      </c>
      <c r="D748" s="217" t="s">
        <v>183</v>
      </c>
      <c r="E748" s="217" t="s">
        <v>471</v>
      </c>
      <c r="F748" s="217" t="s">
        <v>472</v>
      </c>
      <c r="G748" s="217" t="s">
        <v>478</v>
      </c>
      <c r="H748" s="217" t="s">
        <v>1328</v>
      </c>
      <c r="I748" s="217" t="s">
        <v>29</v>
      </c>
      <c r="J748" s="217" t="s">
        <v>1854</v>
      </c>
      <c r="K748" s="217">
        <v>19</v>
      </c>
      <c r="L748" s="217">
        <v>114</v>
      </c>
      <c r="M748" s="217" t="s">
        <v>99</v>
      </c>
      <c r="N748" s="217" t="s">
        <v>32</v>
      </c>
      <c r="O748" s="217" t="s">
        <v>100</v>
      </c>
      <c r="P748" s="217" t="s">
        <v>34</v>
      </c>
      <c r="Q748" s="217" t="s">
        <v>35</v>
      </c>
      <c r="R748" s="217" t="s">
        <v>23</v>
      </c>
      <c r="S748" s="217" t="s">
        <v>22</v>
      </c>
      <c r="T748" s="217" t="s">
        <v>183</v>
      </c>
      <c r="U748" s="217" t="s">
        <v>184</v>
      </c>
      <c r="V748" s="217" t="s">
        <v>472</v>
      </c>
      <c r="W748" s="217" t="s">
        <v>471</v>
      </c>
    </row>
    <row r="749" spans="1:23" x14ac:dyDescent="0.25">
      <c r="A749" s="217" t="s">
        <v>22</v>
      </c>
      <c r="B749" s="217" t="s">
        <v>23</v>
      </c>
      <c r="C749" s="217" t="s">
        <v>184</v>
      </c>
      <c r="D749" s="217" t="s">
        <v>183</v>
      </c>
      <c r="E749" s="217" t="s">
        <v>471</v>
      </c>
      <c r="F749" s="217" t="s">
        <v>472</v>
      </c>
      <c r="G749" s="217" t="s">
        <v>478</v>
      </c>
      <c r="H749" s="217" t="s">
        <v>1328</v>
      </c>
      <c r="I749" s="217" t="s">
        <v>29</v>
      </c>
      <c r="J749" s="217" t="s">
        <v>1857</v>
      </c>
      <c r="K749" s="217">
        <v>5</v>
      </c>
      <c r="L749" s="217">
        <v>38</v>
      </c>
      <c r="M749" s="217" t="s">
        <v>99</v>
      </c>
      <c r="N749" s="217" t="s">
        <v>32</v>
      </c>
      <c r="O749" s="217" t="s">
        <v>100</v>
      </c>
      <c r="P749" s="217" t="s">
        <v>34</v>
      </c>
      <c r="Q749" s="217" t="s">
        <v>35</v>
      </c>
      <c r="R749" s="217" t="s">
        <v>23</v>
      </c>
      <c r="S749" s="217" t="s">
        <v>22</v>
      </c>
      <c r="T749" s="217" t="s">
        <v>183</v>
      </c>
      <c r="U749" s="217" t="s">
        <v>184</v>
      </c>
      <c r="V749" s="217" t="s">
        <v>472</v>
      </c>
      <c r="W749" s="217" t="s">
        <v>471</v>
      </c>
    </row>
    <row r="750" spans="1:23" x14ac:dyDescent="0.25">
      <c r="A750" s="217" t="s">
        <v>22</v>
      </c>
      <c r="B750" s="217" t="s">
        <v>23</v>
      </c>
      <c r="C750" s="217" t="s">
        <v>184</v>
      </c>
      <c r="D750" s="217" t="s">
        <v>183</v>
      </c>
      <c r="E750" s="217" t="s">
        <v>471</v>
      </c>
      <c r="F750" s="217" t="s">
        <v>472</v>
      </c>
      <c r="G750" s="217" t="s">
        <v>478</v>
      </c>
      <c r="H750" s="217" t="s">
        <v>1328</v>
      </c>
      <c r="I750" s="217" t="s">
        <v>29</v>
      </c>
      <c r="J750" s="217" t="s">
        <v>1858</v>
      </c>
      <c r="K750" s="217">
        <v>2</v>
      </c>
      <c r="L750" s="217">
        <v>12</v>
      </c>
      <c r="M750" s="217" t="s">
        <v>99</v>
      </c>
      <c r="N750" s="217" t="s">
        <v>32</v>
      </c>
      <c r="O750" s="217" t="s">
        <v>100</v>
      </c>
      <c r="P750" s="217" t="s">
        <v>34</v>
      </c>
      <c r="Q750" s="217" t="s">
        <v>35</v>
      </c>
      <c r="R750" s="217" t="s">
        <v>23</v>
      </c>
      <c r="S750" s="217" t="s">
        <v>22</v>
      </c>
      <c r="T750" s="217" t="s">
        <v>183</v>
      </c>
      <c r="U750" s="217" t="s">
        <v>184</v>
      </c>
      <c r="V750" s="217" t="s">
        <v>472</v>
      </c>
      <c r="W750" s="217" t="s">
        <v>471</v>
      </c>
    </row>
    <row r="751" spans="1:23" x14ac:dyDescent="0.25">
      <c r="A751" s="217" t="s">
        <v>22</v>
      </c>
      <c r="B751" s="217" t="s">
        <v>23</v>
      </c>
      <c r="C751" s="217" t="s">
        <v>184</v>
      </c>
      <c r="D751" s="217" t="s">
        <v>183</v>
      </c>
      <c r="E751" s="217" t="s">
        <v>471</v>
      </c>
      <c r="F751" s="217" t="s">
        <v>472</v>
      </c>
      <c r="G751" s="217" t="s">
        <v>479</v>
      </c>
      <c r="H751" s="217" t="s">
        <v>1329</v>
      </c>
      <c r="I751" s="217" t="s">
        <v>29</v>
      </c>
      <c r="J751" s="217" t="s">
        <v>1854</v>
      </c>
      <c r="K751" s="217">
        <v>19</v>
      </c>
      <c r="L751" s="217">
        <v>129</v>
      </c>
      <c r="M751" s="217" t="s">
        <v>99</v>
      </c>
      <c r="N751" s="217" t="s">
        <v>32</v>
      </c>
      <c r="O751" s="217" t="s">
        <v>100</v>
      </c>
      <c r="P751" s="217" t="s">
        <v>34</v>
      </c>
      <c r="Q751" s="217" t="s">
        <v>35</v>
      </c>
      <c r="R751" s="217" t="s">
        <v>23</v>
      </c>
      <c r="S751" s="217" t="s">
        <v>22</v>
      </c>
      <c r="T751" s="217" t="s">
        <v>183</v>
      </c>
      <c r="U751" s="217" t="s">
        <v>184</v>
      </c>
      <c r="V751" s="217" t="s">
        <v>472</v>
      </c>
      <c r="W751" s="217" t="s">
        <v>471</v>
      </c>
    </row>
    <row r="752" spans="1:23" x14ac:dyDescent="0.25">
      <c r="A752" s="217" t="s">
        <v>22</v>
      </c>
      <c r="B752" s="217" t="s">
        <v>23</v>
      </c>
      <c r="C752" s="217" t="s">
        <v>184</v>
      </c>
      <c r="D752" s="217" t="s">
        <v>183</v>
      </c>
      <c r="E752" s="217" t="s">
        <v>471</v>
      </c>
      <c r="F752" s="217" t="s">
        <v>472</v>
      </c>
      <c r="G752" s="217" t="s">
        <v>479</v>
      </c>
      <c r="H752" s="217" t="s">
        <v>1329</v>
      </c>
      <c r="I752" s="217" t="s">
        <v>29</v>
      </c>
      <c r="J752" s="217" t="s">
        <v>1858</v>
      </c>
      <c r="K752" s="217">
        <v>9</v>
      </c>
      <c r="L752" s="217">
        <v>43</v>
      </c>
      <c r="M752" s="217" t="s">
        <v>99</v>
      </c>
      <c r="N752" s="217" t="s">
        <v>32</v>
      </c>
      <c r="O752" s="217" t="s">
        <v>100</v>
      </c>
      <c r="P752" s="217" t="s">
        <v>34</v>
      </c>
      <c r="Q752" s="217" t="s">
        <v>35</v>
      </c>
      <c r="R752" s="217" t="s">
        <v>23</v>
      </c>
      <c r="S752" s="217" t="s">
        <v>22</v>
      </c>
      <c r="T752" s="217" t="s">
        <v>183</v>
      </c>
      <c r="U752" s="217" t="s">
        <v>184</v>
      </c>
      <c r="V752" s="217" t="s">
        <v>472</v>
      </c>
      <c r="W752" s="217" t="s">
        <v>471</v>
      </c>
    </row>
    <row r="753" spans="1:23" x14ac:dyDescent="0.25">
      <c r="A753" s="217" t="s">
        <v>22</v>
      </c>
      <c r="B753" s="217" t="s">
        <v>23</v>
      </c>
      <c r="C753" s="217" t="s">
        <v>184</v>
      </c>
      <c r="D753" s="217" t="s">
        <v>183</v>
      </c>
      <c r="E753" s="217" t="s">
        <v>471</v>
      </c>
      <c r="F753" s="217" t="s">
        <v>472</v>
      </c>
      <c r="G753" s="217" t="s">
        <v>480</v>
      </c>
      <c r="H753" s="217" t="s">
        <v>1330</v>
      </c>
      <c r="I753" s="217" t="s">
        <v>29</v>
      </c>
      <c r="J753" s="217" t="s">
        <v>1854</v>
      </c>
      <c r="K753" s="217">
        <v>12</v>
      </c>
      <c r="L753" s="217">
        <v>73</v>
      </c>
      <c r="M753" s="217" t="s">
        <v>99</v>
      </c>
      <c r="N753" s="217" t="s">
        <v>32</v>
      </c>
      <c r="O753" s="217" t="s">
        <v>100</v>
      </c>
      <c r="P753" s="217" t="s">
        <v>34</v>
      </c>
      <c r="Q753" s="217" t="s">
        <v>35</v>
      </c>
      <c r="R753" s="217" t="s">
        <v>23</v>
      </c>
      <c r="S753" s="217" t="s">
        <v>22</v>
      </c>
      <c r="T753" s="217" t="s">
        <v>183</v>
      </c>
      <c r="U753" s="217" t="s">
        <v>184</v>
      </c>
      <c r="V753" s="217" t="s">
        <v>472</v>
      </c>
      <c r="W753" s="217" t="s">
        <v>471</v>
      </c>
    </row>
    <row r="754" spans="1:23" x14ac:dyDescent="0.25">
      <c r="A754" s="217" t="s">
        <v>22</v>
      </c>
      <c r="B754" s="217" t="s">
        <v>23</v>
      </c>
      <c r="C754" s="217" t="s">
        <v>184</v>
      </c>
      <c r="D754" s="217" t="s">
        <v>183</v>
      </c>
      <c r="E754" s="217" t="s">
        <v>471</v>
      </c>
      <c r="F754" s="217" t="s">
        <v>472</v>
      </c>
      <c r="G754" s="217" t="s">
        <v>480</v>
      </c>
      <c r="H754" s="217" t="s">
        <v>1330</v>
      </c>
      <c r="I754" s="217" t="s">
        <v>29</v>
      </c>
      <c r="J754" s="217" t="s">
        <v>1857</v>
      </c>
      <c r="K754" s="217">
        <v>2</v>
      </c>
      <c r="L754" s="217">
        <v>7</v>
      </c>
      <c r="M754" s="217" t="s">
        <v>99</v>
      </c>
      <c r="N754" s="217" t="s">
        <v>32</v>
      </c>
      <c r="O754" s="217" t="s">
        <v>100</v>
      </c>
      <c r="P754" s="217" t="s">
        <v>34</v>
      </c>
      <c r="Q754" s="217" t="s">
        <v>35</v>
      </c>
      <c r="R754" s="217" t="s">
        <v>23</v>
      </c>
      <c r="S754" s="217" t="s">
        <v>22</v>
      </c>
      <c r="T754" s="217" t="s">
        <v>183</v>
      </c>
      <c r="U754" s="217" t="s">
        <v>184</v>
      </c>
      <c r="V754" s="217" t="s">
        <v>472</v>
      </c>
      <c r="W754" s="217" t="s">
        <v>471</v>
      </c>
    </row>
    <row r="755" spans="1:23" x14ac:dyDescent="0.25">
      <c r="A755" s="217" t="s">
        <v>22</v>
      </c>
      <c r="B755" s="217" t="s">
        <v>23</v>
      </c>
      <c r="C755" s="217" t="s">
        <v>184</v>
      </c>
      <c r="D755" s="217" t="s">
        <v>183</v>
      </c>
      <c r="E755" s="217" t="s">
        <v>471</v>
      </c>
      <c r="F755" s="217" t="s">
        <v>472</v>
      </c>
      <c r="G755" s="217" t="s">
        <v>480</v>
      </c>
      <c r="H755" s="217" t="s">
        <v>1330</v>
      </c>
      <c r="I755" s="217" t="s">
        <v>29</v>
      </c>
      <c r="J755" s="217" t="s">
        <v>1858</v>
      </c>
      <c r="K755" s="217">
        <v>3</v>
      </c>
      <c r="L755" s="217">
        <v>17</v>
      </c>
      <c r="M755" s="217" t="s">
        <v>99</v>
      </c>
      <c r="N755" s="217" t="s">
        <v>32</v>
      </c>
      <c r="O755" s="217" t="s">
        <v>100</v>
      </c>
      <c r="P755" s="217" t="s">
        <v>34</v>
      </c>
      <c r="Q755" s="217" t="s">
        <v>35</v>
      </c>
      <c r="R755" s="217" t="s">
        <v>23</v>
      </c>
      <c r="S755" s="217" t="s">
        <v>22</v>
      </c>
      <c r="T755" s="217" t="s">
        <v>183</v>
      </c>
      <c r="U755" s="217" t="s">
        <v>184</v>
      </c>
      <c r="V755" s="217" t="s">
        <v>472</v>
      </c>
      <c r="W755" s="217" t="s">
        <v>471</v>
      </c>
    </row>
    <row r="756" spans="1:23" x14ac:dyDescent="0.25">
      <c r="A756" s="217" t="s">
        <v>22</v>
      </c>
      <c r="B756" s="217" t="s">
        <v>23</v>
      </c>
      <c r="C756" s="217" t="s">
        <v>184</v>
      </c>
      <c r="D756" s="217" t="s">
        <v>183</v>
      </c>
      <c r="E756" s="217" t="s">
        <v>196</v>
      </c>
      <c r="F756" s="217" t="s">
        <v>195</v>
      </c>
      <c r="G756" s="217" t="s">
        <v>481</v>
      </c>
      <c r="H756" s="217" t="s">
        <v>1331</v>
      </c>
      <c r="I756" s="217" t="s">
        <v>29</v>
      </c>
      <c r="J756" s="217" t="s">
        <v>1854</v>
      </c>
      <c r="K756" s="217">
        <v>35</v>
      </c>
      <c r="L756" s="217">
        <v>280</v>
      </c>
      <c r="M756" s="217" t="s">
        <v>99</v>
      </c>
      <c r="N756" s="217" t="s">
        <v>32</v>
      </c>
      <c r="O756" s="217" t="s">
        <v>100</v>
      </c>
      <c r="P756" s="217" t="s">
        <v>34</v>
      </c>
      <c r="Q756" s="217" t="s">
        <v>35</v>
      </c>
      <c r="R756" s="217" t="s">
        <v>23</v>
      </c>
      <c r="S756" s="217" t="s">
        <v>22</v>
      </c>
      <c r="T756" s="217" t="s">
        <v>183</v>
      </c>
      <c r="U756" s="217" t="s">
        <v>184</v>
      </c>
      <c r="V756" s="217" t="s">
        <v>195</v>
      </c>
      <c r="W756" s="217" t="s">
        <v>196</v>
      </c>
    </row>
    <row r="757" spans="1:23" x14ac:dyDescent="0.25">
      <c r="A757" s="217" t="s">
        <v>22</v>
      </c>
      <c r="B757" s="217" t="s">
        <v>23</v>
      </c>
      <c r="C757" s="217" t="s">
        <v>184</v>
      </c>
      <c r="D757" s="217" t="s">
        <v>183</v>
      </c>
      <c r="E757" s="217" t="s">
        <v>196</v>
      </c>
      <c r="F757" s="217" t="s">
        <v>195</v>
      </c>
      <c r="G757" s="217" t="s">
        <v>197</v>
      </c>
      <c r="H757" s="217" t="s">
        <v>1332</v>
      </c>
      <c r="I757" s="217" t="s">
        <v>29</v>
      </c>
      <c r="J757" s="217" t="s">
        <v>1854</v>
      </c>
      <c r="K757" s="217">
        <v>40</v>
      </c>
      <c r="L757" s="217">
        <v>420</v>
      </c>
      <c r="M757" s="217" t="s">
        <v>99</v>
      </c>
      <c r="N757" s="217" t="s">
        <v>32</v>
      </c>
      <c r="O757" s="217" t="s">
        <v>100</v>
      </c>
      <c r="P757" s="217" t="s">
        <v>34</v>
      </c>
      <c r="Q757" s="217" t="s">
        <v>35</v>
      </c>
      <c r="R757" s="217" t="s">
        <v>23</v>
      </c>
      <c r="S757" s="217" t="s">
        <v>22</v>
      </c>
      <c r="T757" s="217" t="s">
        <v>183</v>
      </c>
      <c r="U757" s="217" t="s">
        <v>184</v>
      </c>
      <c r="V757" s="217" t="s">
        <v>195</v>
      </c>
      <c r="W757" s="217" t="s">
        <v>196</v>
      </c>
    </row>
    <row r="758" spans="1:23" x14ac:dyDescent="0.25">
      <c r="A758" s="217" t="s">
        <v>22</v>
      </c>
      <c r="B758" s="217" t="s">
        <v>23</v>
      </c>
      <c r="C758" s="217" t="s">
        <v>184</v>
      </c>
      <c r="D758" s="217" t="s">
        <v>183</v>
      </c>
      <c r="E758" s="217" t="s">
        <v>196</v>
      </c>
      <c r="F758" s="217" t="s">
        <v>195</v>
      </c>
      <c r="G758" s="217" t="s">
        <v>198</v>
      </c>
      <c r="H758" s="217" t="s">
        <v>1333</v>
      </c>
      <c r="I758" s="217" t="s">
        <v>29</v>
      </c>
      <c r="J758" s="217" t="s">
        <v>1854</v>
      </c>
      <c r="K758" s="217">
        <v>50</v>
      </c>
      <c r="L758" s="217">
        <v>320</v>
      </c>
      <c r="M758" s="217" t="s">
        <v>99</v>
      </c>
      <c r="N758" s="217" t="s">
        <v>32</v>
      </c>
      <c r="O758" s="217" t="s">
        <v>100</v>
      </c>
      <c r="P758" s="217" t="s">
        <v>34</v>
      </c>
      <c r="Q758" s="217" t="s">
        <v>35</v>
      </c>
      <c r="R758" s="217" t="s">
        <v>23</v>
      </c>
      <c r="S758" s="217" t="s">
        <v>22</v>
      </c>
      <c r="T758" s="217" t="s">
        <v>183</v>
      </c>
      <c r="U758" s="217" t="s">
        <v>184</v>
      </c>
      <c r="V758" s="217" t="s">
        <v>195</v>
      </c>
      <c r="W758" s="217" t="s">
        <v>196</v>
      </c>
    </row>
    <row r="759" spans="1:23" x14ac:dyDescent="0.25">
      <c r="A759" s="217" t="s">
        <v>22</v>
      </c>
      <c r="B759" s="217" t="s">
        <v>23</v>
      </c>
      <c r="C759" s="217" t="s">
        <v>184</v>
      </c>
      <c r="D759" s="217" t="s">
        <v>183</v>
      </c>
      <c r="E759" s="217" t="s">
        <v>196</v>
      </c>
      <c r="F759" s="217" t="s">
        <v>195</v>
      </c>
      <c r="G759" s="217" t="s">
        <v>198</v>
      </c>
      <c r="H759" s="217" t="s">
        <v>1333</v>
      </c>
      <c r="I759" s="217" t="s">
        <v>29</v>
      </c>
      <c r="J759" s="217" t="s">
        <v>1856</v>
      </c>
      <c r="K759" s="217">
        <v>6</v>
      </c>
      <c r="L759" s="217">
        <v>50</v>
      </c>
      <c r="M759" s="217" t="s">
        <v>99</v>
      </c>
      <c r="N759" s="217" t="s">
        <v>32</v>
      </c>
      <c r="O759" s="217" t="s">
        <v>100</v>
      </c>
      <c r="P759" s="217" t="s">
        <v>34</v>
      </c>
      <c r="Q759" s="217" t="s">
        <v>35</v>
      </c>
      <c r="R759" s="217" t="s">
        <v>23</v>
      </c>
      <c r="S759" s="217" t="s">
        <v>22</v>
      </c>
      <c r="T759" s="217" t="s">
        <v>183</v>
      </c>
      <c r="U759" s="217" t="s">
        <v>184</v>
      </c>
      <c r="V759" s="217" t="s">
        <v>195</v>
      </c>
      <c r="W759" s="217" t="s">
        <v>196</v>
      </c>
    </row>
    <row r="760" spans="1:23" x14ac:dyDescent="0.25">
      <c r="A760" s="217" t="s">
        <v>22</v>
      </c>
      <c r="B760" s="217" t="s">
        <v>23</v>
      </c>
      <c r="C760" s="217" t="s">
        <v>184</v>
      </c>
      <c r="D760" s="217" t="s">
        <v>183</v>
      </c>
      <c r="E760" s="217" t="s">
        <v>196</v>
      </c>
      <c r="F760" s="217" t="s">
        <v>195</v>
      </c>
      <c r="G760" s="217" t="s">
        <v>201</v>
      </c>
      <c r="H760" s="217" t="s">
        <v>1334</v>
      </c>
      <c r="I760" s="217" t="s">
        <v>29</v>
      </c>
      <c r="J760" s="217" t="s">
        <v>1854</v>
      </c>
      <c r="K760" s="217">
        <v>100</v>
      </c>
      <c r="L760" s="217">
        <v>500</v>
      </c>
      <c r="M760" s="217" t="s">
        <v>99</v>
      </c>
      <c r="N760" s="217" t="s">
        <v>32</v>
      </c>
      <c r="O760" s="217" t="s">
        <v>100</v>
      </c>
      <c r="P760" s="217" t="s">
        <v>34</v>
      </c>
      <c r="Q760" s="217" t="s">
        <v>35</v>
      </c>
      <c r="R760" s="217" t="s">
        <v>23</v>
      </c>
      <c r="S760" s="217" t="s">
        <v>22</v>
      </c>
      <c r="T760" s="217" t="s">
        <v>183</v>
      </c>
      <c r="U760" s="217" t="s">
        <v>184</v>
      </c>
      <c r="V760" s="217" t="s">
        <v>195</v>
      </c>
      <c r="W760" s="217" t="s">
        <v>196</v>
      </c>
    </row>
    <row r="761" spans="1:23" x14ac:dyDescent="0.25">
      <c r="A761" s="217" t="s">
        <v>22</v>
      </c>
      <c r="B761" s="217" t="s">
        <v>23</v>
      </c>
      <c r="C761" s="217" t="s">
        <v>184</v>
      </c>
      <c r="D761" s="217" t="s">
        <v>183</v>
      </c>
      <c r="E761" s="217" t="s">
        <v>196</v>
      </c>
      <c r="F761" s="217" t="s">
        <v>195</v>
      </c>
      <c r="G761" s="217" t="s">
        <v>482</v>
      </c>
      <c r="H761" s="217" t="s">
        <v>1335</v>
      </c>
      <c r="I761" s="217" t="s">
        <v>29</v>
      </c>
      <c r="J761" s="217" t="s">
        <v>1854</v>
      </c>
      <c r="K761" s="217">
        <v>6</v>
      </c>
      <c r="L761" s="217">
        <v>48</v>
      </c>
      <c r="M761" s="217" t="s">
        <v>99</v>
      </c>
      <c r="N761" s="217" t="s">
        <v>32</v>
      </c>
      <c r="O761" s="217" t="s">
        <v>100</v>
      </c>
      <c r="P761" s="217" t="s">
        <v>34</v>
      </c>
      <c r="Q761" s="217" t="s">
        <v>35</v>
      </c>
      <c r="R761" s="217" t="s">
        <v>23</v>
      </c>
      <c r="S761" s="217" t="s">
        <v>22</v>
      </c>
      <c r="T761" s="217" t="s">
        <v>183</v>
      </c>
      <c r="U761" s="217" t="s">
        <v>184</v>
      </c>
      <c r="V761" s="217" t="s">
        <v>195</v>
      </c>
      <c r="W761" s="217" t="s">
        <v>196</v>
      </c>
    </row>
    <row r="762" spans="1:23" x14ac:dyDescent="0.25">
      <c r="A762" s="217" t="s">
        <v>22</v>
      </c>
      <c r="B762" s="217" t="s">
        <v>23</v>
      </c>
      <c r="C762" s="217" t="s">
        <v>184</v>
      </c>
      <c r="D762" s="217" t="s">
        <v>183</v>
      </c>
      <c r="E762" s="217" t="s">
        <v>203</v>
      </c>
      <c r="F762" s="217" t="s">
        <v>202</v>
      </c>
      <c r="G762" s="217" t="s">
        <v>204</v>
      </c>
      <c r="H762" s="217" t="s">
        <v>1336</v>
      </c>
      <c r="I762" s="217" t="s">
        <v>29</v>
      </c>
      <c r="J762" s="217" t="s">
        <v>1854</v>
      </c>
      <c r="K762" s="217">
        <v>7</v>
      </c>
      <c r="L762" s="217">
        <v>33</v>
      </c>
      <c r="M762" s="217" t="s">
        <v>99</v>
      </c>
      <c r="N762" s="217" t="s">
        <v>32</v>
      </c>
      <c r="O762" s="217" t="s">
        <v>100</v>
      </c>
      <c r="P762" s="217" t="s">
        <v>34</v>
      </c>
      <c r="Q762" s="217" t="s">
        <v>35</v>
      </c>
      <c r="R762" s="217" t="s">
        <v>23</v>
      </c>
      <c r="S762" s="217" t="s">
        <v>22</v>
      </c>
      <c r="T762" s="217" t="s">
        <v>183</v>
      </c>
      <c r="U762" s="217" t="s">
        <v>184</v>
      </c>
      <c r="V762" s="217" t="s">
        <v>202</v>
      </c>
      <c r="W762" s="217" t="s">
        <v>203</v>
      </c>
    </row>
    <row r="763" spans="1:23" x14ac:dyDescent="0.25">
      <c r="A763" s="217" t="s">
        <v>22</v>
      </c>
      <c r="B763" s="217" t="s">
        <v>23</v>
      </c>
      <c r="C763" s="217" t="s">
        <v>184</v>
      </c>
      <c r="D763" s="217" t="s">
        <v>183</v>
      </c>
      <c r="E763" s="217" t="s">
        <v>206</v>
      </c>
      <c r="F763" s="217" t="s">
        <v>205</v>
      </c>
      <c r="G763" s="217" t="s">
        <v>208</v>
      </c>
      <c r="H763" s="217" t="s">
        <v>1337</v>
      </c>
      <c r="I763" s="217" t="s">
        <v>29</v>
      </c>
      <c r="J763" s="217" t="s">
        <v>1854</v>
      </c>
      <c r="K763" s="217">
        <v>14</v>
      </c>
      <c r="L763" s="217">
        <v>78</v>
      </c>
      <c r="M763" s="217" t="s">
        <v>99</v>
      </c>
      <c r="N763" s="217" t="s">
        <v>32</v>
      </c>
      <c r="O763" s="217" t="s">
        <v>100</v>
      </c>
      <c r="P763" s="217" t="s">
        <v>34</v>
      </c>
      <c r="Q763" s="217" t="s">
        <v>35</v>
      </c>
      <c r="R763" s="217" t="s">
        <v>23</v>
      </c>
      <c r="S763" s="217" t="s">
        <v>22</v>
      </c>
      <c r="T763" s="217" t="s">
        <v>183</v>
      </c>
      <c r="U763" s="217" t="s">
        <v>184</v>
      </c>
      <c r="V763" s="217" t="s">
        <v>205</v>
      </c>
      <c r="W763" s="217" t="s">
        <v>206</v>
      </c>
    </row>
    <row r="764" spans="1:23" x14ac:dyDescent="0.25">
      <c r="A764" s="217" t="s">
        <v>22</v>
      </c>
      <c r="B764" s="217" t="s">
        <v>23</v>
      </c>
      <c r="C764" s="217" t="s">
        <v>184</v>
      </c>
      <c r="D764" s="217" t="s">
        <v>183</v>
      </c>
      <c r="E764" s="217" t="s">
        <v>206</v>
      </c>
      <c r="F764" s="217" t="s">
        <v>205</v>
      </c>
      <c r="G764" s="217" t="s">
        <v>208</v>
      </c>
      <c r="H764" s="217" t="s">
        <v>1337</v>
      </c>
      <c r="I764" s="217" t="s">
        <v>29</v>
      </c>
      <c r="J764" s="217" t="s">
        <v>1855</v>
      </c>
      <c r="K764" s="217">
        <v>1</v>
      </c>
      <c r="L764" s="217">
        <v>4</v>
      </c>
      <c r="M764" s="217" t="s">
        <v>99</v>
      </c>
      <c r="N764" s="217" t="s">
        <v>32</v>
      </c>
      <c r="O764" s="217" t="s">
        <v>100</v>
      </c>
      <c r="P764" s="217" t="s">
        <v>34</v>
      </c>
      <c r="Q764" s="217" t="s">
        <v>35</v>
      </c>
      <c r="R764" s="217" t="s">
        <v>23</v>
      </c>
      <c r="S764" s="217" t="s">
        <v>22</v>
      </c>
      <c r="T764" s="217" t="s">
        <v>183</v>
      </c>
      <c r="U764" s="217" t="s">
        <v>184</v>
      </c>
      <c r="V764" s="217" t="s">
        <v>205</v>
      </c>
      <c r="W764" s="217" t="s">
        <v>206</v>
      </c>
    </row>
    <row r="765" spans="1:23" x14ac:dyDescent="0.25">
      <c r="A765" s="217" t="s">
        <v>22</v>
      </c>
      <c r="B765" s="217" t="s">
        <v>23</v>
      </c>
      <c r="C765" s="217" t="s">
        <v>184</v>
      </c>
      <c r="D765" s="217" t="s">
        <v>183</v>
      </c>
      <c r="E765" s="217" t="s">
        <v>206</v>
      </c>
      <c r="F765" s="217" t="s">
        <v>205</v>
      </c>
      <c r="G765" s="217" t="s">
        <v>483</v>
      </c>
      <c r="H765" s="217" t="s">
        <v>1338</v>
      </c>
      <c r="I765" s="217" t="s">
        <v>29</v>
      </c>
      <c r="J765" s="217" t="s">
        <v>1855</v>
      </c>
      <c r="K765" s="217">
        <v>27</v>
      </c>
      <c r="L765" s="217">
        <v>185</v>
      </c>
      <c r="M765" s="217" t="s">
        <v>99</v>
      </c>
      <c r="N765" s="217" t="s">
        <v>32</v>
      </c>
      <c r="O765" s="217" t="s">
        <v>100</v>
      </c>
      <c r="P765" s="217" t="s">
        <v>34</v>
      </c>
      <c r="Q765" s="217" t="s">
        <v>35</v>
      </c>
      <c r="R765" s="217" t="s">
        <v>23</v>
      </c>
      <c r="S765" s="217" t="s">
        <v>22</v>
      </c>
      <c r="T765" s="217" t="s">
        <v>183</v>
      </c>
      <c r="U765" s="217" t="s">
        <v>184</v>
      </c>
      <c r="V765" s="217" t="s">
        <v>205</v>
      </c>
      <c r="W765" s="217" t="s">
        <v>206</v>
      </c>
    </row>
    <row r="766" spans="1:23" x14ac:dyDescent="0.25">
      <c r="A766" s="217" t="s">
        <v>22</v>
      </c>
      <c r="B766" s="217" t="s">
        <v>23</v>
      </c>
      <c r="C766" s="217" t="s">
        <v>184</v>
      </c>
      <c r="D766" s="217" t="s">
        <v>183</v>
      </c>
      <c r="E766" s="217" t="s">
        <v>206</v>
      </c>
      <c r="F766" s="217" t="s">
        <v>205</v>
      </c>
      <c r="G766" s="217" t="s">
        <v>210</v>
      </c>
      <c r="H766" s="217" t="s">
        <v>1339</v>
      </c>
      <c r="I766" s="217" t="s">
        <v>29</v>
      </c>
      <c r="J766" s="217" t="s">
        <v>1854</v>
      </c>
      <c r="K766" s="217">
        <v>33</v>
      </c>
      <c r="L766" s="217">
        <v>198</v>
      </c>
      <c r="M766" s="217" t="s">
        <v>99</v>
      </c>
      <c r="N766" s="217" t="s">
        <v>32</v>
      </c>
      <c r="O766" s="217" t="s">
        <v>100</v>
      </c>
      <c r="P766" s="217" t="s">
        <v>34</v>
      </c>
      <c r="Q766" s="217" t="s">
        <v>35</v>
      </c>
      <c r="R766" s="217" t="s">
        <v>23</v>
      </c>
      <c r="S766" s="217" t="s">
        <v>22</v>
      </c>
      <c r="T766" s="217" t="s">
        <v>183</v>
      </c>
      <c r="U766" s="217" t="s">
        <v>184</v>
      </c>
      <c r="V766" s="217" t="s">
        <v>205</v>
      </c>
      <c r="W766" s="217" t="s">
        <v>206</v>
      </c>
    </row>
    <row r="767" spans="1:23" x14ac:dyDescent="0.25">
      <c r="A767" s="217" t="s">
        <v>22</v>
      </c>
      <c r="B767" s="217" t="s">
        <v>23</v>
      </c>
      <c r="C767" s="217" t="s">
        <v>184</v>
      </c>
      <c r="D767" s="217" t="s">
        <v>183</v>
      </c>
      <c r="E767" s="217" t="s">
        <v>206</v>
      </c>
      <c r="F767" s="217" t="s">
        <v>205</v>
      </c>
      <c r="G767" s="217" t="s">
        <v>210</v>
      </c>
      <c r="H767" s="217" t="s">
        <v>1339</v>
      </c>
      <c r="I767" s="217" t="s">
        <v>29</v>
      </c>
      <c r="J767" s="217" t="s">
        <v>1856</v>
      </c>
      <c r="K767" s="217">
        <v>8</v>
      </c>
      <c r="L767" s="217">
        <v>48</v>
      </c>
      <c r="M767" s="217" t="s">
        <v>99</v>
      </c>
      <c r="N767" s="217" t="s">
        <v>32</v>
      </c>
      <c r="O767" s="217" t="s">
        <v>100</v>
      </c>
      <c r="P767" s="217" t="s">
        <v>34</v>
      </c>
      <c r="Q767" s="217" t="s">
        <v>35</v>
      </c>
      <c r="R767" s="217" t="s">
        <v>23</v>
      </c>
      <c r="S767" s="217" t="s">
        <v>22</v>
      </c>
      <c r="T767" s="217" t="s">
        <v>183</v>
      </c>
      <c r="U767" s="217" t="s">
        <v>184</v>
      </c>
      <c r="V767" s="217" t="s">
        <v>205</v>
      </c>
      <c r="W767" s="217" t="s">
        <v>206</v>
      </c>
    </row>
    <row r="768" spans="1:23" x14ac:dyDescent="0.25">
      <c r="A768" s="217" t="s">
        <v>22</v>
      </c>
      <c r="B768" s="217" t="s">
        <v>23</v>
      </c>
      <c r="C768" s="217" t="s">
        <v>184</v>
      </c>
      <c r="D768" s="217" t="s">
        <v>183</v>
      </c>
      <c r="E768" s="217" t="s">
        <v>206</v>
      </c>
      <c r="F768" s="217" t="s">
        <v>205</v>
      </c>
      <c r="G768" s="217" t="s">
        <v>210</v>
      </c>
      <c r="H768" s="217" t="s">
        <v>1339</v>
      </c>
      <c r="I768" s="217" t="s">
        <v>29</v>
      </c>
      <c r="J768" s="217" t="s">
        <v>1858</v>
      </c>
      <c r="K768" s="217">
        <v>1</v>
      </c>
      <c r="L768" s="217">
        <v>8</v>
      </c>
      <c r="M768" s="217" t="s">
        <v>99</v>
      </c>
      <c r="N768" s="217" t="s">
        <v>32</v>
      </c>
      <c r="O768" s="217" t="s">
        <v>100</v>
      </c>
      <c r="P768" s="217" t="s">
        <v>34</v>
      </c>
      <c r="Q768" s="217" t="s">
        <v>35</v>
      </c>
      <c r="R768" s="217" t="s">
        <v>23</v>
      </c>
      <c r="S768" s="217" t="s">
        <v>22</v>
      </c>
      <c r="T768" s="217" t="s">
        <v>183</v>
      </c>
      <c r="U768" s="217" t="s">
        <v>184</v>
      </c>
      <c r="V768" s="217" t="s">
        <v>205</v>
      </c>
      <c r="W768" s="217" t="s">
        <v>206</v>
      </c>
    </row>
    <row r="769" spans="1:23" x14ac:dyDescent="0.25">
      <c r="A769" s="217" t="s">
        <v>22</v>
      </c>
      <c r="B769" s="217" t="s">
        <v>23</v>
      </c>
      <c r="C769" s="217" t="s">
        <v>184</v>
      </c>
      <c r="D769" s="217" t="s">
        <v>183</v>
      </c>
      <c r="E769" s="217" t="s">
        <v>206</v>
      </c>
      <c r="F769" s="217" t="s">
        <v>205</v>
      </c>
      <c r="G769" s="217" t="s">
        <v>484</v>
      </c>
      <c r="H769" s="217" t="s">
        <v>1340</v>
      </c>
      <c r="I769" s="217" t="s">
        <v>29</v>
      </c>
      <c r="J769" s="217" t="s">
        <v>1854</v>
      </c>
      <c r="K769" s="217">
        <v>2</v>
      </c>
      <c r="L769" s="217">
        <v>15</v>
      </c>
      <c r="M769" s="217" t="s">
        <v>99</v>
      </c>
      <c r="N769" s="217" t="s">
        <v>32</v>
      </c>
      <c r="O769" s="217" t="s">
        <v>100</v>
      </c>
      <c r="P769" s="217" t="s">
        <v>34</v>
      </c>
      <c r="Q769" s="217" t="s">
        <v>35</v>
      </c>
      <c r="R769" s="217" t="s">
        <v>23</v>
      </c>
      <c r="S769" s="217" t="s">
        <v>22</v>
      </c>
      <c r="T769" s="217" t="s">
        <v>183</v>
      </c>
      <c r="U769" s="217" t="s">
        <v>184</v>
      </c>
      <c r="V769" s="217" t="s">
        <v>205</v>
      </c>
      <c r="W769" s="217" t="s">
        <v>206</v>
      </c>
    </row>
    <row r="770" spans="1:23" x14ac:dyDescent="0.25">
      <c r="A770" s="217" t="s">
        <v>22</v>
      </c>
      <c r="B770" s="217" t="s">
        <v>23</v>
      </c>
      <c r="C770" s="217" t="s">
        <v>184</v>
      </c>
      <c r="D770" s="217" t="s">
        <v>183</v>
      </c>
      <c r="E770" s="217" t="s">
        <v>206</v>
      </c>
      <c r="F770" s="217" t="s">
        <v>205</v>
      </c>
      <c r="G770" s="217" t="s">
        <v>211</v>
      </c>
      <c r="H770" s="217" t="s">
        <v>1341</v>
      </c>
      <c r="I770" s="217" t="s">
        <v>29</v>
      </c>
      <c r="J770" s="217" t="s">
        <v>1854</v>
      </c>
      <c r="K770" s="217">
        <v>6</v>
      </c>
      <c r="L770" s="217">
        <v>38</v>
      </c>
      <c r="M770" s="217" t="s">
        <v>99</v>
      </c>
      <c r="N770" s="217" t="s">
        <v>32</v>
      </c>
      <c r="O770" s="217" t="s">
        <v>100</v>
      </c>
      <c r="P770" s="217" t="s">
        <v>34</v>
      </c>
      <c r="Q770" s="217" t="s">
        <v>35</v>
      </c>
      <c r="R770" s="217" t="s">
        <v>23</v>
      </c>
      <c r="S770" s="217" t="s">
        <v>22</v>
      </c>
      <c r="T770" s="217" t="s">
        <v>183</v>
      </c>
      <c r="U770" s="217" t="s">
        <v>184</v>
      </c>
      <c r="V770" s="217" t="s">
        <v>205</v>
      </c>
      <c r="W770" s="217" t="s">
        <v>206</v>
      </c>
    </row>
    <row r="771" spans="1:23" x14ac:dyDescent="0.25">
      <c r="A771" s="217" t="s">
        <v>22</v>
      </c>
      <c r="B771" s="217" t="s">
        <v>23</v>
      </c>
      <c r="C771" s="217" t="s">
        <v>184</v>
      </c>
      <c r="D771" s="217" t="s">
        <v>183</v>
      </c>
      <c r="E771" s="217" t="s">
        <v>215</v>
      </c>
      <c r="F771" s="217" t="s">
        <v>214</v>
      </c>
      <c r="G771" s="217" t="s">
        <v>216</v>
      </c>
      <c r="H771" s="217" t="s">
        <v>1342</v>
      </c>
      <c r="I771" s="217" t="s">
        <v>29</v>
      </c>
      <c r="J771" s="217" t="s">
        <v>1854</v>
      </c>
      <c r="K771" s="217">
        <v>36</v>
      </c>
      <c r="L771" s="217">
        <v>190</v>
      </c>
      <c r="M771" s="217" t="s">
        <v>99</v>
      </c>
      <c r="N771" s="217" t="s">
        <v>32</v>
      </c>
      <c r="O771" s="217" t="s">
        <v>100</v>
      </c>
      <c r="P771" s="217" t="s">
        <v>34</v>
      </c>
      <c r="Q771" s="217" t="s">
        <v>35</v>
      </c>
      <c r="R771" s="217" t="s">
        <v>23</v>
      </c>
      <c r="S771" s="217" t="s">
        <v>22</v>
      </c>
      <c r="T771" s="217" t="s">
        <v>183</v>
      </c>
      <c r="U771" s="217" t="s">
        <v>184</v>
      </c>
      <c r="V771" s="217" t="s">
        <v>214</v>
      </c>
      <c r="W771" s="217" t="s">
        <v>215</v>
      </c>
    </row>
    <row r="772" spans="1:23" x14ac:dyDescent="0.25">
      <c r="A772" s="217" t="s">
        <v>22</v>
      </c>
      <c r="B772" s="217" t="s">
        <v>23</v>
      </c>
      <c r="C772" s="217" t="s">
        <v>184</v>
      </c>
      <c r="D772" s="217" t="s">
        <v>183</v>
      </c>
      <c r="E772" s="217" t="s">
        <v>215</v>
      </c>
      <c r="F772" s="217" t="s">
        <v>214</v>
      </c>
      <c r="G772" s="217" t="s">
        <v>485</v>
      </c>
      <c r="H772" s="217" t="s">
        <v>1343</v>
      </c>
      <c r="I772" s="217" t="s">
        <v>29</v>
      </c>
      <c r="J772" s="217" t="s">
        <v>1854</v>
      </c>
      <c r="K772" s="217">
        <v>102</v>
      </c>
      <c r="L772" s="217">
        <v>1528</v>
      </c>
      <c r="M772" s="217" t="s">
        <v>99</v>
      </c>
      <c r="N772" s="217" t="s">
        <v>32</v>
      </c>
      <c r="O772" s="217" t="s">
        <v>100</v>
      </c>
      <c r="P772" s="217" t="s">
        <v>34</v>
      </c>
      <c r="Q772" s="217" t="s">
        <v>35</v>
      </c>
      <c r="R772" s="217" t="s">
        <v>23</v>
      </c>
      <c r="S772" s="217" t="s">
        <v>22</v>
      </c>
      <c r="T772" s="217" t="s">
        <v>183</v>
      </c>
      <c r="U772" s="217" t="s">
        <v>184</v>
      </c>
      <c r="V772" s="217" t="s">
        <v>214</v>
      </c>
      <c r="W772" s="217" t="s">
        <v>215</v>
      </c>
    </row>
    <row r="773" spans="1:23" x14ac:dyDescent="0.25">
      <c r="A773" s="217" t="s">
        <v>22</v>
      </c>
      <c r="B773" s="217" t="s">
        <v>23</v>
      </c>
      <c r="C773" s="217" t="s">
        <v>184</v>
      </c>
      <c r="D773" s="217" t="s">
        <v>183</v>
      </c>
      <c r="E773" s="217" t="s">
        <v>215</v>
      </c>
      <c r="F773" s="217" t="s">
        <v>214</v>
      </c>
      <c r="G773" s="217" t="s">
        <v>486</v>
      </c>
      <c r="H773" s="217" t="s">
        <v>1344</v>
      </c>
      <c r="I773" s="217" t="s">
        <v>29</v>
      </c>
      <c r="J773" s="217" t="s">
        <v>1855</v>
      </c>
      <c r="K773" s="217">
        <v>68</v>
      </c>
      <c r="L773" s="217">
        <v>578</v>
      </c>
      <c r="M773" s="217" t="s">
        <v>31</v>
      </c>
      <c r="N773" s="217" t="s">
        <v>32</v>
      </c>
      <c r="O773" s="217" t="s">
        <v>33</v>
      </c>
      <c r="P773" s="217" t="s">
        <v>34</v>
      </c>
      <c r="Q773" s="217" t="s">
        <v>35</v>
      </c>
      <c r="R773" s="217" t="s">
        <v>23</v>
      </c>
      <c r="S773" s="217" t="s">
        <v>22</v>
      </c>
      <c r="T773" s="217" t="s">
        <v>47</v>
      </c>
      <c r="U773" s="217" t="s">
        <v>48</v>
      </c>
      <c r="V773" s="217" t="s">
        <v>231</v>
      </c>
      <c r="W773" s="217" t="s">
        <v>232</v>
      </c>
    </row>
    <row r="774" spans="1:23" x14ac:dyDescent="0.25">
      <c r="A774" s="217" t="s">
        <v>22</v>
      </c>
      <c r="B774" s="217" t="s">
        <v>23</v>
      </c>
      <c r="C774" s="217" t="s">
        <v>184</v>
      </c>
      <c r="D774" s="217" t="s">
        <v>183</v>
      </c>
      <c r="E774" s="217" t="s">
        <v>215</v>
      </c>
      <c r="F774" s="217" t="s">
        <v>214</v>
      </c>
      <c r="G774" s="217" t="s">
        <v>487</v>
      </c>
      <c r="H774" s="217" t="s">
        <v>1345</v>
      </c>
      <c r="I774" s="217" t="s">
        <v>29</v>
      </c>
      <c r="J774" s="217" t="s">
        <v>1854</v>
      </c>
      <c r="K774" s="217">
        <v>52</v>
      </c>
      <c r="L774" s="217">
        <v>364</v>
      </c>
      <c r="M774" s="217" t="s">
        <v>99</v>
      </c>
      <c r="N774" s="217" t="s">
        <v>32</v>
      </c>
      <c r="O774" s="217" t="s">
        <v>100</v>
      </c>
      <c r="P774" s="217" t="s">
        <v>34</v>
      </c>
      <c r="Q774" s="217" t="s">
        <v>35</v>
      </c>
      <c r="R774" s="217" t="s">
        <v>23</v>
      </c>
      <c r="S774" s="217" t="s">
        <v>22</v>
      </c>
      <c r="T774" s="217" t="s">
        <v>183</v>
      </c>
      <c r="U774" s="217" t="s">
        <v>184</v>
      </c>
      <c r="V774" s="217" t="s">
        <v>214</v>
      </c>
      <c r="W774" s="217" t="s">
        <v>215</v>
      </c>
    </row>
    <row r="775" spans="1:23" x14ac:dyDescent="0.25">
      <c r="A775" s="217" t="s">
        <v>22</v>
      </c>
      <c r="B775" s="217" t="s">
        <v>23</v>
      </c>
      <c r="C775" s="217" t="s">
        <v>184</v>
      </c>
      <c r="D775" s="217" t="s">
        <v>183</v>
      </c>
      <c r="E775" s="217" t="s">
        <v>215</v>
      </c>
      <c r="F775" s="217" t="s">
        <v>214</v>
      </c>
      <c r="G775" s="217" t="s">
        <v>488</v>
      </c>
      <c r="H775" s="217" t="s">
        <v>1346</v>
      </c>
      <c r="I775" s="217" t="s">
        <v>29</v>
      </c>
      <c r="J775" s="217" t="s">
        <v>1854</v>
      </c>
      <c r="K775" s="217">
        <v>324</v>
      </c>
      <c r="L775" s="217">
        <v>2417</v>
      </c>
      <c r="M775" s="217" t="s">
        <v>99</v>
      </c>
      <c r="N775" s="217" t="s">
        <v>32</v>
      </c>
      <c r="O775" s="217" t="s">
        <v>100</v>
      </c>
      <c r="P775" s="217" t="s">
        <v>34</v>
      </c>
      <c r="Q775" s="217" t="s">
        <v>35</v>
      </c>
      <c r="R775" s="217" t="s">
        <v>23</v>
      </c>
      <c r="S775" s="217" t="s">
        <v>22</v>
      </c>
      <c r="T775" s="217" t="s">
        <v>183</v>
      </c>
      <c r="U775" s="217" t="s">
        <v>184</v>
      </c>
      <c r="V775" s="217" t="s">
        <v>214</v>
      </c>
      <c r="W775" s="217" t="s">
        <v>215</v>
      </c>
    </row>
    <row r="776" spans="1:23" x14ac:dyDescent="0.25">
      <c r="A776" s="217" t="s">
        <v>22</v>
      </c>
      <c r="B776" s="217" t="s">
        <v>23</v>
      </c>
      <c r="C776" s="217" t="s">
        <v>184</v>
      </c>
      <c r="D776" s="217" t="s">
        <v>183</v>
      </c>
      <c r="E776" s="217" t="s">
        <v>215</v>
      </c>
      <c r="F776" s="217" t="s">
        <v>214</v>
      </c>
      <c r="G776" s="217" t="s">
        <v>1838</v>
      </c>
      <c r="H776" s="217" t="s">
        <v>1347</v>
      </c>
      <c r="I776" s="217" t="s">
        <v>29</v>
      </c>
      <c r="J776" s="217" t="s">
        <v>1854</v>
      </c>
      <c r="K776" s="217">
        <v>33</v>
      </c>
      <c r="L776" s="217">
        <v>179</v>
      </c>
      <c r="M776" s="217" t="s">
        <v>99</v>
      </c>
      <c r="N776" s="217" t="s">
        <v>32</v>
      </c>
      <c r="O776" s="217" t="s">
        <v>100</v>
      </c>
      <c r="P776" s="217" t="s">
        <v>34</v>
      </c>
      <c r="Q776" s="217" t="s">
        <v>35</v>
      </c>
      <c r="R776" s="217" t="s">
        <v>23</v>
      </c>
      <c r="S776" s="217" t="s">
        <v>22</v>
      </c>
      <c r="T776" s="217" t="s">
        <v>183</v>
      </c>
      <c r="U776" s="217" t="s">
        <v>184</v>
      </c>
      <c r="V776" s="217" t="s">
        <v>214</v>
      </c>
      <c r="W776" s="217" t="s">
        <v>215</v>
      </c>
    </row>
    <row r="777" spans="1:23" x14ac:dyDescent="0.25">
      <c r="A777" s="217" t="s">
        <v>22</v>
      </c>
      <c r="B777" s="217" t="s">
        <v>23</v>
      </c>
      <c r="C777" s="217" t="s">
        <v>184</v>
      </c>
      <c r="D777" s="217" t="s">
        <v>183</v>
      </c>
      <c r="E777" s="217" t="s">
        <v>213</v>
      </c>
      <c r="F777" s="217" t="s">
        <v>212</v>
      </c>
      <c r="G777" s="217" t="s">
        <v>489</v>
      </c>
      <c r="H777" s="217" t="s">
        <v>1348</v>
      </c>
      <c r="I777" s="217" t="s">
        <v>29</v>
      </c>
      <c r="J777" s="217" t="s">
        <v>1855</v>
      </c>
      <c r="K777" s="217">
        <v>101</v>
      </c>
      <c r="L777" s="217">
        <v>281</v>
      </c>
      <c r="M777" s="217" t="s">
        <v>99</v>
      </c>
      <c r="N777" s="217" t="s">
        <v>32</v>
      </c>
      <c r="O777" s="217" t="s">
        <v>68</v>
      </c>
      <c r="P777" s="217" t="s">
        <v>34</v>
      </c>
      <c r="Q777" s="217" t="s">
        <v>35</v>
      </c>
      <c r="R777" s="217" t="s">
        <v>23</v>
      </c>
      <c r="S777" s="217" t="s">
        <v>22</v>
      </c>
      <c r="T777" s="217" t="s">
        <v>183</v>
      </c>
      <c r="U777" s="217" t="s">
        <v>184</v>
      </c>
      <c r="V777" s="217" t="s">
        <v>214</v>
      </c>
      <c r="W777" s="217" t="s">
        <v>215</v>
      </c>
    </row>
    <row r="778" spans="1:23" x14ac:dyDescent="0.25">
      <c r="A778" s="217" t="s">
        <v>22</v>
      </c>
      <c r="B778" s="217" t="s">
        <v>23</v>
      </c>
      <c r="C778" s="217" t="s">
        <v>184</v>
      </c>
      <c r="D778" s="217" t="s">
        <v>183</v>
      </c>
      <c r="E778" s="217" t="s">
        <v>213</v>
      </c>
      <c r="F778" s="217" t="s">
        <v>212</v>
      </c>
      <c r="G778" s="217" t="s">
        <v>489</v>
      </c>
      <c r="H778" s="217" t="s">
        <v>1348</v>
      </c>
      <c r="I778" s="217" t="s">
        <v>29</v>
      </c>
      <c r="J778" s="217" t="s">
        <v>1856</v>
      </c>
      <c r="K778" s="217">
        <v>53</v>
      </c>
      <c r="L778" s="217">
        <v>212</v>
      </c>
      <c r="M778" s="217" t="s">
        <v>99</v>
      </c>
      <c r="N778" s="217" t="s">
        <v>32</v>
      </c>
      <c r="O778" s="217" t="s">
        <v>68</v>
      </c>
      <c r="P778" s="217" t="s">
        <v>34</v>
      </c>
      <c r="Q778" s="217" t="s">
        <v>35</v>
      </c>
      <c r="R778" s="217" t="s">
        <v>23</v>
      </c>
      <c r="S778" s="217" t="s">
        <v>22</v>
      </c>
      <c r="T778" s="217" t="s">
        <v>183</v>
      </c>
      <c r="U778" s="217" t="s">
        <v>184</v>
      </c>
      <c r="V778" s="217" t="s">
        <v>214</v>
      </c>
      <c r="W778" s="217" t="s">
        <v>215</v>
      </c>
    </row>
    <row r="779" spans="1:23" x14ac:dyDescent="0.25">
      <c r="A779" s="217" t="s">
        <v>22</v>
      </c>
      <c r="B779" s="217" t="s">
        <v>23</v>
      </c>
      <c r="C779" s="217" t="s">
        <v>184</v>
      </c>
      <c r="D779" s="217" t="s">
        <v>183</v>
      </c>
      <c r="E779" s="217" t="s">
        <v>213</v>
      </c>
      <c r="F779" s="217" t="s">
        <v>212</v>
      </c>
      <c r="G779" s="217" t="s">
        <v>489</v>
      </c>
      <c r="H779" s="217" t="s">
        <v>1348</v>
      </c>
      <c r="I779" s="217" t="s">
        <v>29</v>
      </c>
      <c r="J779" s="217" t="s">
        <v>1857</v>
      </c>
      <c r="K779" s="217">
        <v>23</v>
      </c>
      <c r="L779" s="217">
        <v>138</v>
      </c>
      <c r="M779" s="217" t="s">
        <v>99</v>
      </c>
      <c r="N779" s="217" t="s">
        <v>32</v>
      </c>
      <c r="O779" s="217" t="s">
        <v>68</v>
      </c>
      <c r="P779" s="217" t="s">
        <v>34</v>
      </c>
      <c r="Q779" s="217" t="s">
        <v>35</v>
      </c>
      <c r="R779" s="217" t="s">
        <v>23</v>
      </c>
      <c r="S779" s="217" t="s">
        <v>22</v>
      </c>
      <c r="T779" s="217" t="s">
        <v>183</v>
      </c>
      <c r="U779" s="217" t="s">
        <v>184</v>
      </c>
      <c r="V779" s="217" t="s">
        <v>214</v>
      </c>
      <c r="W779" s="217" t="s">
        <v>215</v>
      </c>
    </row>
    <row r="780" spans="1:23" x14ac:dyDescent="0.25">
      <c r="A780" s="217" t="s">
        <v>22</v>
      </c>
      <c r="B780" s="217" t="s">
        <v>23</v>
      </c>
      <c r="C780" s="217" t="s">
        <v>184</v>
      </c>
      <c r="D780" s="217" t="s">
        <v>183</v>
      </c>
      <c r="E780" s="217" t="s">
        <v>213</v>
      </c>
      <c r="F780" s="217" t="s">
        <v>212</v>
      </c>
      <c r="G780" s="217" t="s">
        <v>489</v>
      </c>
      <c r="H780" s="217" t="s">
        <v>1348</v>
      </c>
      <c r="I780" s="217" t="s">
        <v>29</v>
      </c>
      <c r="J780" s="217" t="s">
        <v>1858</v>
      </c>
      <c r="K780" s="217">
        <v>85</v>
      </c>
      <c r="L780" s="217">
        <v>569</v>
      </c>
      <c r="M780" s="217" t="s">
        <v>99</v>
      </c>
      <c r="N780" s="217" t="s">
        <v>32</v>
      </c>
      <c r="O780" s="217" t="s">
        <v>100</v>
      </c>
      <c r="P780" s="217" t="s">
        <v>34</v>
      </c>
      <c r="Q780" s="217" t="s">
        <v>35</v>
      </c>
      <c r="R780" s="217" t="s">
        <v>23</v>
      </c>
      <c r="S780" s="217" t="s">
        <v>22</v>
      </c>
      <c r="T780" s="217" t="s">
        <v>183</v>
      </c>
      <c r="U780" s="217" t="s">
        <v>184</v>
      </c>
      <c r="V780" s="217" t="s">
        <v>212</v>
      </c>
      <c r="W780" s="217" t="s">
        <v>213</v>
      </c>
    </row>
    <row r="781" spans="1:23" x14ac:dyDescent="0.25">
      <c r="A781" s="217" t="s">
        <v>22</v>
      </c>
      <c r="B781" s="217" t="s">
        <v>23</v>
      </c>
      <c r="C781" s="217" t="s">
        <v>184</v>
      </c>
      <c r="D781" s="217" t="s">
        <v>183</v>
      </c>
      <c r="E781" s="217" t="s">
        <v>213</v>
      </c>
      <c r="F781" s="217" t="s">
        <v>212</v>
      </c>
      <c r="G781" s="217" t="s">
        <v>2032</v>
      </c>
      <c r="H781" s="217" t="s">
        <v>2031</v>
      </c>
      <c r="I781" s="217" t="s">
        <v>29</v>
      </c>
      <c r="J781" s="217" t="s">
        <v>1854</v>
      </c>
      <c r="K781" s="217">
        <v>12</v>
      </c>
      <c r="L781" s="217">
        <v>60</v>
      </c>
      <c r="M781" s="217" t="s">
        <v>99</v>
      </c>
      <c r="N781" s="217" t="s">
        <v>32</v>
      </c>
      <c r="O781" s="217" t="s">
        <v>68</v>
      </c>
      <c r="P781" s="217" t="s">
        <v>34</v>
      </c>
      <c r="Q781" s="217" t="s">
        <v>35</v>
      </c>
      <c r="R781" s="217" t="s">
        <v>23</v>
      </c>
      <c r="S781" s="217" t="s">
        <v>22</v>
      </c>
      <c r="T781" s="217" t="s">
        <v>183</v>
      </c>
      <c r="U781" s="217" t="s">
        <v>184</v>
      </c>
      <c r="V781" s="217" t="s">
        <v>202</v>
      </c>
      <c r="W781" s="217" t="s">
        <v>203</v>
      </c>
    </row>
    <row r="782" spans="1:23" x14ac:dyDescent="0.25">
      <c r="A782" s="217" t="s">
        <v>22</v>
      </c>
      <c r="B782" s="217" t="s">
        <v>23</v>
      </c>
      <c r="C782" s="217" t="s">
        <v>184</v>
      </c>
      <c r="D782" s="217" t="s">
        <v>183</v>
      </c>
      <c r="E782" s="217" t="s">
        <v>213</v>
      </c>
      <c r="F782" s="217" t="s">
        <v>212</v>
      </c>
      <c r="G782" s="217" t="s">
        <v>2034</v>
      </c>
      <c r="H782" s="217" t="s">
        <v>2033</v>
      </c>
      <c r="I782" s="217" t="s">
        <v>29</v>
      </c>
      <c r="J782" s="217" t="s">
        <v>1854</v>
      </c>
      <c r="K782" s="217">
        <v>10</v>
      </c>
      <c r="L782" s="217">
        <v>50</v>
      </c>
      <c r="M782" s="217" t="s">
        <v>99</v>
      </c>
      <c r="N782" s="217" t="s">
        <v>32</v>
      </c>
      <c r="O782" s="217" t="s">
        <v>100</v>
      </c>
      <c r="P782" s="217" t="s">
        <v>34</v>
      </c>
      <c r="Q782" s="217" t="s">
        <v>35</v>
      </c>
      <c r="R782" s="217" t="s">
        <v>23</v>
      </c>
      <c r="S782" s="217" t="s">
        <v>22</v>
      </c>
      <c r="T782" s="217" t="s">
        <v>183</v>
      </c>
      <c r="U782" s="217" t="s">
        <v>184</v>
      </c>
      <c r="V782" s="217" t="s">
        <v>212</v>
      </c>
      <c r="W782" s="217" t="s">
        <v>213</v>
      </c>
    </row>
    <row r="783" spans="1:23" x14ac:dyDescent="0.25">
      <c r="A783" s="217" t="s">
        <v>22</v>
      </c>
      <c r="B783" s="217" t="s">
        <v>23</v>
      </c>
      <c r="C783" s="217" t="s">
        <v>218</v>
      </c>
      <c r="D783" s="217" t="s">
        <v>217</v>
      </c>
      <c r="E783" s="217" t="s">
        <v>224</v>
      </c>
      <c r="F783" s="217" t="s">
        <v>223</v>
      </c>
      <c r="G783" s="217" t="s">
        <v>491</v>
      </c>
      <c r="H783" s="217" t="s">
        <v>1350</v>
      </c>
      <c r="I783" s="217" t="s">
        <v>29</v>
      </c>
      <c r="J783" s="217" t="s">
        <v>1855</v>
      </c>
      <c r="K783" s="217">
        <v>2</v>
      </c>
      <c r="L783" s="217">
        <v>18</v>
      </c>
      <c r="M783" s="217" t="s">
        <v>31</v>
      </c>
      <c r="N783" s="217" t="s">
        <v>32</v>
      </c>
      <c r="O783" s="217" t="s">
        <v>100</v>
      </c>
      <c r="P783" s="217" t="s">
        <v>34</v>
      </c>
      <c r="Q783" s="217" t="s">
        <v>35</v>
      </c>
      <c r="R783" s="217" t="s">
        <v>23</v>
      </c>
      <c r="S783" s="217" t="s">
        <v>22</v>
      </c>
      <c r="T783" s="217" t="s">
        <v>217</v>
      </c>
      <c r="U783" s="217" t="s">
        <v>218</v>
      </c>
      <c r="V783" s="217" t="s">
        <v>223</v>
      </c>
      <c r="W783" s="217" t="s">
        <v>224</v>
      </c>
    </row>
    <row r="784" spans="1:23" x14ac:dyDescent="0.25">
      <c r="A784" s="217" t="s">
        <v>22</v>
      </c>
      <c r="B784" s="217" t="s">
        <v>23</v>
      </c>
      <c r="C784" s="217" t="s">
        <v>218</v>
      </c>
      <c r="D784" s="217" t="s">
        <v>217</v>
      </c>
      <c r="E784" s="217" t="s">
        <v>224</v>
      </c>
      <c r="F784" s="217" t="s">
        <v>223</v>
      </c>
      <c r="G784" s="217" t="s">
        <v>493</v>
      </c>
      <c r="H784" s="217" t="s">
        <v>1352</v>
      </c>
      <c r="I784" s="217" t="s">
        <v>29</v>
      </c>
      <c r="J784" s="217" t="s">
        <v>1854</v>
      </c>
      <c r="K784" s="217">
        <v>1</v>
      </c>
      <c r="L784" s="217">
        <v>9</v>
      </c>
      <c r="M784" s="217" t="s">
        <v>31</v>
      </c>
      <c r="N784" s="217" t="s">
        <v>32</v>
      </c>
      <c r="O784" s="217" t="s">
        <v>100</v>
      </c>
      <c r="P784" s="217" t="s">
        <v>34</v>
      </c>
      <c r="Q784" s="217" t="s">
        <v>35</v>
      </c>
      <c r="R784" s="217" t="s">
        <v>23</v>
      </c>
      <c r="S784" s="217" t="s">
        <v>22</v>
      </c>
      <c r="T784" s="217" t="s">
        <v>217</v>
      </c>
      <c r="U784" s="217" t="s">
        <v>218</v>
      </c>
      <c r="V784" s="217" t="s">
        <v>223</v>
      </c>
      <c r="W784" s="217" t="s">
        <v>224</v>
      </c>
    </row>
    <row r="785" spans="1:23" x14ac:dyDescent="0.25">
      <c r="A785" s="217" t="s">
        <v>22</v>
      </c>
      <c r="B785" s="217" t="s">
        <v>23</v>
      </c>
      <c r="C785" s="217" t="s">
        <v>218</v>
      </c>
      <c r="D785" s="217" t="s">
        <v>217</v>
      </c>
      <c r="E785" s="217" t="s">
        <v>224</v>
      </c>
      <c r="F785" s="217" t="s">
        <v>223</v>
      </c>
      <c r="G785" s="217" t="s">
        <v>493</v>
      </c>
      <c r="H785" s="217" t="s">
        <v>1352</v>
      </c>
      <c r="I785" s="217" t="s">
        <v>29</v>
      </c>
      <c r="J785" s="217" t="s">
        <v>1855</v>
      </c>
      <c r="K785" s="217">
        <v>1</v>
      </c>
      <c r="L785" s="217">
        <v>6</v>
      </c>
      <c r="M785" s="217" t="s">
        <v>31</v>
      </c>
      <c r="N785" s="217" t="s">
        <v>32</v>
      </c>
      <c r="O785" s="217" t="s">
        <v>100</v>
      </c>
      <c r="P785" s="217" t="s">
        <v>34</v>
      </c>
      <c r="Q785" s="217" t="s">
        <v>35</v>
      </c>
      <c r="R785" s="217" t="s">
        <v>23</v>
      </c>
      <c r="S785" s="217" t="s">
        <v>22</v>
      </c>
      <c r="T785" s="217" t="s">
        <v>217</v>
      </c>
      <c r="U785" s="217" t="s">
        <v>218</v>
      </c>
      <c r="V785" s="217" t="s">
        <v>223</v>
      </c>
      <c r="W785" s="217" t="s">
        <v>224</v>
      </c>
    </row>
    <row r="786" spans="1:23" x14ac:dyDescent="0.25">
      <c r="A786" s="217" t="s">
        <v>22</v>
      </c>
      <c r="B786" s="217" t="s">
        <v>23</v>
      </c>
      <c r="C786" s="217" t="s">
        <v>218</v>
      </c>
      <c r="D786" s="217" t="s">
        <v>217</v>
      </c>
      <c r="E786" s="217" t="s">
        <v>224</v>
      </c>
      <c r="F786" s="217" t="s">
        <v>223</v>
      </c>
      <c r="G786" s="217" t="s">
        <v>493</v>
      </c>
      <c r="H786" s="217" t="s">
        <v>1352</v>
      </c>
      <c r="I786" s="217" t="s">
        <v>29</v>
      </c>
      <c r="J786" s="217" t="s">
        <v>1856</v>
      </c>
      <c r="K786" s="217">
        <v>4</v>
      </c>
      <c r="L786" s="217">
        <v>22</v>
      </c>
      <c r="M786" s="217" t="s">
        <v>31</v>
      </c>
      <c r="N786" s="217" t="s">
        <v>32</v>
      </c>
      <c r="O786" s="217" t="s">
        <v>100</v>
      </c>
      <c r="P786" s="217" t="s">
        <v>34</v>
      </c>
      <c r="Q786" s="217" t="s">
        <v>35</v>
      </c>
      <c r="R786" s="217" t="s">
        <v>23</v>
      </c>
      <c r="S786" s="217" t="s">
        <v>22</v>
      </c>
      <c r="T786" s="217" t="s">
        <v>217</v>
      </c>
      <c r="U786" s="217" t="s">
        <v>218</v>
      </c>
      <c r="V786" s="217" t="s">
        <v>223</v>
      </c>
      <c r="W786" s="217" t="s">
        <v>224</v>
      </c>
    </row>
    <row r="787" spans="1:23" x14ac:dyDescent="0.25">
      <c r="A787" s="217" t="s">
        <v>22</v>
      </c>
      <c r="B787" s="217" t="s">
        <v>23</v>
      </c>
      <c r="C787" s="217" t="s">
        <v>218</v>
      </c>
      <c r="D787" s="217" t="s">
        <v>217</v>
      </c>
      <c r="E787" s="217" t="s">
        <v>224</v>
      </c>
      <c r="F787" s="217" t="s">
        <v>223</v>
      </c>
      <c r="G787" s="217" t="s">
        <v>494</v>
      </c>
      <c r="H787" s="217" t="s">
        <v>1353</v>
      </c>
      <c r="I787" s="217" t="s">
        <v>29</v>
      </c>
      <c r="J787" s="217" t="s">
        <v>1854</v>
      </c>
      <c r="K787" s="217">
        <v>1</v>
      </c>
      <c r="L787" s="217">
        <v>8</v>
      </c>
      <c r="M787" s="217" t="s">
        <v>31</v>
      </c>
      <c r="N787" s="217" t="s">
        <v>32</v>
      </c>
      <c r="O787" s="217" t="s">
        <v>100</v>
      </c>
      <c r="P787" s="217" t="s">
        <v>34</v>
      </c>
      <c r="Q787" s="217" t="s">
        <v>35</v>
      </c>
      <c r="R787" s="217" t="s">
        <v>23</v>
      </c>
      <c r="S787" s="217" t="s">
        <v>22</v>
      </c>
      <c r="T787" s="217" t="s">
        <v>217</v>
      </c>
      <c r="U787" s="217" t="s">
        <v>218</v>
      </c>
      <c r="V787" s="217" t="s">
        <v>223</v>
      </c>
      <c r="W787" s="217" t="s">
        <v>224</v>
      </c>
    </row>
    <row r="788" spans="1:23" x14ac:dyDescent="0.25">
      <c r="A788" s="217" t="s">
        <v>22</v>
      </c>
      <c r="B788" s="217" t="s">
        <v>23</v>
      </c>
      <c r="C788" s="217" t="s">
        <v>218</v>
      </c>
      <c r="D788" s="217" t="s">
        <v>217</v>
      </c>
      <c r="E788" s="217" t="s">
        <v>224</v>
      </c>
      <c r="F788" s="217" t="s">
        <v>223</v>
      </c>
      <c r="G788" s="217" t="s">
        <v>494</v>
      </c>
      <c r="H788" s="217" t="s">
        <v>1353</v>
      </c>
      <c r="I788" s="217" t="s">
        <v>29</v>
      </c>
      <c r="J788" s="217" t="s">
        <v>1855</v>
      </c>
      <c r="K788" s="217">
        <v>3</v>
      </c>
      <c r="L788" s="217">
        <v>14</v>
      </c>
      <c r="M788" s="217" t="s">
        <v>31</v>
      </c>
      <c r="N788" s="217" t="s">
        <v>32</v>
      </c>
      <c r="O788" s="217" t="s">
        <v>100</v>
      </c>
      <c r="P788" s="217" t="s">
        <v>34</v>
      </c>
      <c r="Q788" s="217" t="s">
        <v>35</v>
      </c>
      <c r="R788" s="217" t="s">
        <v>23</v>
      </c>
      <c r="S788" s="217" t="s">
        <v>22</v>
      </c>
      <c r="T788" s="217" t="s">
        <v>217</v>
      </c>
      <c r="U788" s="217" t="s">
        <v>218</v>
      </c>
      <c r="V788" s="217" t="s">
        <v>223</v>
      </c>
      <c r="W788" s="217" t="s">
        <v>224</v>
      </c>
    </row>
    <row r="789" spans="1:23" x14ac:dyDescent="0.25">
      <c r="A789" s="217" t="s">
        <v>22</v>
      </c>
      <c r="B789" s="217" t="s">
        <v>23</v>
      </c>
      <c r="C789" s="217" t="s">
        <v>218</v>
      </c>
      <c r="D789" s="217" t="s">
        <v>217</v>
      </c>
      <c r="E789" s="217" t="s">
        <v>497</v>
      </c>
      <c r="F789" s="217" t="s">
        <v>498</v>
      </c>
      <c r="G789" s="217" t="s">
        <v>499</v>
      </c>
      <c r="H789" s="217" t="s">
        <v>1356</v>
      </c>
      <c r="I789" s="217" t="s">
        <v>29</v>
      </c>
      <c r="J789" s="217" t="s">
        <v>1855</v>
      </c>
      <c r="K789" s="217">
        <v>1</v>
      </c>
      <c r="L789" s="217">
        <v>8</v>
      </c>
      <c r="M789" s="217" t="s">
        <v>31</v>
      </c>
      <c r="N789" s="217" t="s">
        <v>32</v>
      </c>
      <c r="O789" s="217" t="s">
        <v>33</v>
      </c>
      <c r="P789" s="217" t="s">
        <v>34</v>
      </c>
      <c r="Q789" s="217" t="s">
        <v>35</v>
      </c>
      <c r="R789" s="217" t="s">
        <v>23</v>
      </c>
      <c r="S789" s="217" t="s">
        <v>22</v>
      </c>
      <c r="T789" s="217" t="s">
        <v>47</v>
      </c>
      <c r="U789" s="217" t="s">
        <v>48</v>
      </c>
      <c r="V789" s="217" t="s">
        <v>231</v>
      </c>
      <c r="W789" s="217" t="s">
        <v>232</v>
      </c>
    </row>
    <row r="790" spans="1:23" x14ac:dyDescent="0.25">
      <c r="A790" s="217" t="s">
        <v>22</v>
      </c>
      <c r="B790" s="217" t="s">
        <v>23</v>
      </c>
      <c r="C790" s="217" t="s">
        <v>218</v>
      </c>
      <c r="D790" s="217" t="s">
        <v>217</v>
      </c>
      <c r="E790" s="217" t="s">
        <v>497</v>
      </c>
      <c r="F790" s="217" t="s">
        <v>498</v>
      </c>
      <c r="G790" s="217" t="s">
        <v>499</v>
      </c>
      <c r="H790" s="217" t="s">
        <v>1356</v>
      </c>
      <c r="I790" s="217" t="s">
        <v>29</v>
      </c>
      <c r="J790" s="217" t="s">
        <v>1856</v>
      </c>
      <c r="K790" s="217">
        <v>2</v>
      </c>
      <c r="L790" s="217">
        <v>8</v>
      </c>
      <c r="M790" s="217" t="s">
        <v>31</v>
      </c>
      <c r="N790" s="217" t="s">
        <v>32</v>
      </c>
      <c r="O790" s="217" t="s">
        <v>33</v>
      </c>
      <c r="P790" s="217" t="s">
        <v>34</v>
      </c>
      <c r="Q790" s="217" t="s">
        <v>35</v>
      </c>
      <c r="R790" s="217" t="s">
        <v>23</v>
      </c>
      <c r="S790" s="217" t="s">
        <v>22</v>
      </c>
      <c r="T790" s="217" t="s">
        <v>47</v>
      </c>
      <c r="U790" s="217" t="s">
        <v>48</v>
      </c>
      <c r="V790" s="217" t="s">
        <v>231</v>
      </c>
      <c r="W790" s="217" t="s">
        <v>232</v>
      </c>
    </row>
    <row r="791" spans="1:23" x14ac:dyDescent="0.25">
      <c r="A791" s="217" t="s">
        <v>22</v>
      </c>
      <c r="B791" s="217" t="s">
        <v>23</v>
      </c>
      <c r="C791" s="217" t="s">
        <v>218</v>
      </c>
      <c r="D791" s="217" t="s">
        <v>217</v>
      </c>
      <c r="E791" s="217" t="s">
        <v>497</v>
      </c>
      <c r="F791" s="217" t="s">
        <v>498</v>
      </c>
      <c r="G791" s="217" t="s">
        <v>500</v>
      </c>
      <c r="H791" s="217" t="s">
        <v>1357</v>
      </c>
      <c r="I791" s="217" t="s">
        <v>29</v>
      </c>
      <c r="J791" s="217" t="s">
        <v>1855</v>
      </c>
      <c r="K791" s="217">
        <v>3</v>
      </c>
      <c r="L791" s="217">
        <v>14</v>
      </c>
      <c r="M791" s="217" t="s">
        <v>31</v>
      </c>
      <c r="N791" s="217" t="s">
        <v>32</v>
      </c>
      <c r="O791" s="217" t="s">
        <v>33</v>
      </c>
      <c r="P791" s="217" t="s">
        <v>34</v>
      </c>
      <c r="Q791" s="217" t="s">
        <v>35</v>
      </c>
      <c r="R791" s="217" t="s">
        <v>23</v>
      </c>
      <c r="S791" s="217" t="s">
        <v>22</v>
      </c>
      <c r="T791" s="217" t="s">
        <v>84</v>
      </c>
      <c r="U791" s="217" t="s">
        <v>85</v>
      </c>
      <c r="V791" s="217" t="s">
        <v>174</v>
      </c>
      <c r="W791" s="217" t="s">
        <v>175</v>
      </c>
    </row>
    <row r="792" spans="1:23" x14ac:dyDescent="0.25">
      <c r="A792" s="217" t="s">
        <v>22</v>
      </c>
      <c r="B792" s="217" t="s">
        <v>23</v>
      </c>
      <c r="C792" s="217" t="s">
        <v>218</v>
      </c>
      <c r="D792" s="217" t="s">
        <v>217</v>
      </c>
      <c r="E792" s="217" t="s">
        <v>497</v>
      </c>
      <c r="F792" s="217" t="s">
        <v>498</v>
      </c>
      <c r="G792" s="217" t="s">
        <v>500</v>
      </c>
      <c r="H792" s="217" t="s">
        <v>1357</v>
      </c>
      <c r="I792" s="217" t="s">
        <v>29</v>
      </c>
      <c r="J792" s="217" t="s">
        <v>1856</v>
      </c>
      <c r="K792" s="217">
        <v>1</v>
      </c>
      <c r="L792" s="217">
        <v>22</v>
      </c>
      <c r="M792" s="217" t="s">
        <v>31</v>
      </c>
      <c r="N792" s="217" t="s">
        <v>32</v>
      </c>
      <c r="O792" s="217" t="s">
        <v>33</v>
      </c>
      <c r="P792" s="217" t="s">
        <v>34</v>
      </c>
      <c r="Q792" s="217" t="s">
        <v>35</v>
      </c>
      <c r="R792" s="217" t="s">
        <v>23</v>
      </c>
      <c r="S792" s="217" t="s">
        <v>22</v>
      </c>
      <c r="T792" s="217" t="s">
        <v>84</v>
      </c>
      <c r="U792" s="217" t="s">
        <v>85</v>
      </c>
      <c r="V792" s="217" t="s">
        <v>91</v>
      </c>
      <c r="W792" s="217" t="s">
        <v>92</v>
      </c>
    </row>
    <row r="793" spans="1:23" x14ac:dyDescent="0.25">
      <c r="A793" s="217" t="s">
        <v>22</v>
      </c>
      <c r="B793" s="217" t="s">
        <v>23</v>
      </c>
      <c r="C793" s="217" t="s">
        <v>48</v>
      </c>
      <c r="D793" s="217" t="s">
        <v>47</v>
      </c>
      <c r="E793" s="217" t="s">
        <v>232</v>
      </c>
      <c r="F793" s="217" t="s">
        <v>231</v>
      </c>
      <c r="G793" s="217" t="s">
        <v>233</v>
      </c>
      <c r="H793" s="217" t="s">
        <v>1358</v>
      </c>
      <c r="I793" s="217" t="s">
        <v>29</v>
      </c>
      <c r="J793" s="217" t="s">
        <v>1856</v>
      </c>
      <c r="K793" s="217">
        <v>292</v>
      </c>
      <c r="L793" s="217">
        <v>2095</v>
      </c>
      <c r="M793" s="217" t="s">
        <v>99</v>
      </c>
      <c r="N793" s="217" t="s">
        <v>32</v>
      </c>
      <c r="O793" s="217" t="s">
        <v>68</v>
      </c>
      <c r="P793" s="217" t="s">
        <v>34</v>
      </c>
      <c r="Q793" s="217" t="s">
        <v>35</v>
      </c>
      <c r="R793" s="217" t="s">
        <v>23</v>
      </c>
      <c r="S793" s="217" t="s">
        <v>22</v>
      </c>
      <c r="T793" s="217" t="s">
        <v>47</v>
      </c>
      <c r="U793" s="217" t="s">
        <v>48</v>
      </c>
      <c r="V793" s="217" t="s">
        <v>231</v>
      </c>
      <c r="W793" s="217" t="s">
        <v>232</v>
      </c>
    </row>
    <row r="794" spans="1:23" x14ac:dyDescent="0.25">
      <c r="A794" s="217" t="s">
        <v>22</v>
      </c>
      <c r="B794" s="217" t="s">
        <v>23</v>
      </c>
      <c r="C794" s="217" t="s">
        <v>48</v>
      </c>
      <c r="D794" s="217" t="s">
        <v>47</v>
      </c>
      <c r="E794" s="217" t="s">
        <v>232</v>
      </c>
      <c r="F794" s="217" t="s">
        <v>231</v>
      </c>
      <c r="G794" s="217" t="s">
        <v>233</v>
      </c>
      <c r="H794" s="217" t="s">
        <v>1358</v>
      </c>
      <c r="I794" s="217" t="s">
        <v>29</v>
      </c>
      <c r="J794" s="217" t="s">
        <v>1857</v>
      </c>
      <c r="K794" s="217">
        <v>131</v>
      </c>
      <c r="L794" s="217">
        <v>904</v>
      </c>
      <c r="M794" s="217" t="s">
        <v>31</v>
      </c>
      <c r="N794" s="217" t="s">
        <v>32</v>
      </c>
      <c r="O794" s="217" t="s">
        <v>68</v>
      </c>
      <c r="P794" s="217" t="s">
        <v>34</v>
      </c>
      <c r="Q794" s="217" t="s">
        <v>35</v>
      </c>
      <c r="R794" s="217" t="s">
        <v>23</v>
      </c>
      <c r="S794" s="217" t="s">
        <v>22</v>
      </c>
      <c r="T794" s="217" t="s">
        <v>47</v>
      </c>
      <c r="U794" s="217" t="s">
        <v>48</v>
      </c>
      <c r="V794" s="217" t="s">
        <v>231</v>
      </c>
      <c r="W794" s="217" t="s">
        <v>232</v>
      </c>
    </row>
    <row r="795" spans="1:23" x14ac:dyDescent="0.25">
      <c r="A795" s="217" t="s">
        <v>22</v>
      </c>
      <c r="B795" s="217" t="s">
        <v>23</v>
      </c>
      <c r="C795" s="217" t="s">
        <v>48</v>
      </c>
      <c r="D795" s="217" t="s">
        <v>47</v>
      </c>
      <c r="E795" s="217" t="s">
        <v>232</v>
      </c>
      <c r="F795" s="217" t="s">
        <v>231</v>
      </c>
      <c r="G795" s="217" t="s">
        <v>233</v>
      </c>
      <c r="H795" s="217" t="s">
        <v>1358</v>
      </c>
      <c r="I795" s="217" t="s">
        <v>29</v>
      </c>
      <c r="J795" s="217" t="s">
        <v>1858</v>
      </c>
      <c r="K795" s="217">
        <v>143</v>
      </c>
      <c r="L795" s="217">
        <v>889</v>
      </c>
      <c r="M795" s="217" t="s">
        <v>31</v>
      </c>
      <c r="N795" s="217" t="s">
        <v>32</v>
      </c>
      <c r="O795" s="217" t="s">
        <v>68</v>
      </c>
      <c r="P795" s="217" t="s">
        <v>34</v>
      </c>
      <c r="Q795" s="217" t="s">
        <v>35</v>
      </c>
      <c r="R795" s="217" t="s">
        <v>23</v>
      </c>
      <c r="S795" s="217" t="s">
        <v>22</v>
      </c>
      <c r="T795" s="217" t="s">
        <v>47</v>
      </c>
      <c r="U795" s="217" t="s">
        <v>48</v>
      </c>
      <c r="V795" s="217" t="s">
        <v>231</v>
      </c>
      <c r="W795" s="217" t="s">
        <v>232</v>
      </c>
    </row>
    <row r="796" spans="1:23" x14ac:dyDescent="0.25">
      <c r="A796" s="217" t="s">
        <v>22</v>
      </c>
      <c r="B796" s="217" t="s">
        <v>23</v>
      </c>
      <c r="C796" s="217" t="s">
        <v>48</v>
      </c>
      <c r="D796" s="217" t="s">
        <v>47</v>
      </c>
      <c r="E796" s="217" t="s">
        <v>232</v>
      </c>
      <c r="F796" s="217" t="s">
        <v>231</v>
      </c>
      <c r="G796" s="217" t="s">
        <v>834</v>
      </c>
      <c r="H796" s="217" t="s">
        <v>1359</v>
      </c>
      <c r="I796" s="217" t="s">
        <v>29</v>
      </c>
      <c r="J796" s="217" t="s">
        <v>1855</v>
      </c>
      <c r="K796" s="217">
        <v>23</v>
      </c>
      <c r="L796" s="217">
        <v>182</v>
      </c>
      <c r="M796" s="217" t="s">
        <v>31</v>
      </c>
      <c r="N796" s="217" t="s">
        <v>32</v>
      </c>
      <c r="O796" s="217" t="s">
        <v>100</v>
      </c>
      <c r="P796" s="217" t="s">
        <v>34</v>
      </c>
      <c r="Q796" s="217" t="s">
        <v>35</v>
      </c>
      <c r="R796" s="217" t="s">
        <v>23</v>
      </c>
      <c r="S796" s="217" t="s">
        <v>22</v>
      </c>
      <c r="T796" s="217" t="s">
        <v>47</v>
      </c>
      <c r="U796" s="217" t="s">
        <v>48</v>
      </c>
      <c r="V796" s="217" t="s">
        <v>231</v>
      </c>
      <c r="W796" s="217" t="s">
        <v>232</v>
      </c>
    </row>
    <row r="797" spans="1:23" x14ac:dyDescent="0.25">
      <c r="A797" s="217" t="s">
        <v>22</v>
      </c>
      <c r="B797" s="217" t="s">
        <v>23</v>
      </c>
      <c r="C797" s="217" t="s">
        <v>48</v>
      </c>
      <c r="D797" s="217" t="s">
        <v>47</v>
      </c>
      <c r="E797" s="217" t="s">
        <v>232</v>
      </c>
      <c r="F797" s="217" t="s">
        <v>231</v>
      </c>
      <c r="G797" s="217" t="s">
        <v>1360</v>
      </c>
      <c r="H797" s="217" t="s">
        <v>1361</v>
      </c>
      <c r="I797" s="217" t="s">
        <v>29</v>
      </c>
      <c r="J797" s="217" t="s">
        <v>1855</v>
      </c>
      <c r="K797" s="217">
        <v>137</v>
      </c>
      <c r="L797" s="217">
        <v>1096</v>
      </c>
      <c r="M797" s="217" t="s">
        <v>31</v>
      </c>
      <c r="N797" s="217" t="s">
        <v>32</v>
      </c>
      <c r="O797" s="217" t="s">
        <v>100</v>
      </c>
      <c r="P797" s="217" t="s">
        <v>34</v>
      </c>
      <c r="Q797" s="217" t="s">
        <v>35</v>
      </c>
      <c r="R797" s="217" t="s">
        <v>23</v>
      </c>
      <c r="S797" s="217" t="s">
        <v>22</v>
      </c>
      <c r="T797" s="217" t="s">
        <v>47</v>
      </c>
      <c r="U797" s="217" t="s">
        <v>48</v>
      </c>
      <c r="V797" s="217" t="s">
        <v>231</v>
      </c>
      <c r="W797" s="217" t="s">
        <v>232</v>
      </c>
    </row>
    <row r="798" spans="1:23" x14ac:dyDescent="0.25">
      <c r="A798" s="217" t="s">
        <v>22</v>
      </c>
      <c r="B798" s="217" t="s">
        <v>23</v>
      </c>
      <c r="C798" s="217" t="s">
        <v>48</v>
      </c>
      <c r="D798" s="217" t="s">
        <v>47</v>
      </c>
      <c r="E798" s="217" t="s">
        <v>232</v>
      </c>
      <c r="F798" s="217" t="s">
        <v>231</v>
      </c>
      <c r="G798" s="217" t="s">
        <v>1360</v>
      </c>
      <c r="H798" s="217" t="s">
        <v>1361</v>
      </c>
      <c r="I798" s="217" t="s">
        <v>29</v>
      </c>
      <c r="J798" s="217" t="s">
        <v>1856</v>
      </c>
      <c r="K798" s="217">
        <v>186</v>
      </c>
      <c r="L798" s="217">
        <v>1488</v>
      </c>
      <c r="M798" s="217" t="s">
        <v>31</v>
      </c>
      <c r="N798" s="217" t="s">
        <v>32</v>
      </c>
      <c r="O798" s="217" t="s">
        <v>100</v>
      </c>
      <c r="P798" s="217" t="s">
        <v>34</v>
      </c>
      <c r="Q798" s="217" t="s">
        <v>35</v>
      </c>
      <c r="R798" s="217" t="s">
        <v>23</v>
      </c>
      <c r="S798" s="217" t="s">
        <v>22</v>
      </c>
      <c r="T798" s="217" t="s">
        <v>47</v>
      </c>
      <c r="U798" s="217" t="s">
        <v>48</v>
      </c>
      <c r="V798" s="217" t="s">
        <v>231</v>
      </c>
      <c r="W798" s="217" t="s">
        <v>232</v>
      </c>
    </row>
    <row r="799" spans="1:23" x14ac:dyDescent="0.25">
      <c r="A799" s="217" t="s">
        <v>22</v>
      </c>
      <c r="B799" s="217" t="s">
        <v>23</v>
      </c>
      <c r="C799" s="217" t="s">
        <v>48</v>
      </c>
      <c r="D799" s="217" t="s">
        <v>47</v>
      </c>
      <c r="E799" s="217" t="s">
        <v>232</v>
      </c>
      <c r="F799" s="217" t="s">
        <v>231</v>
      </c>
      <c r="G799" s="217" t="s">
        <v>1360</v>
      </c>
      <c r="H799" s="217" t="s">
        <v>1361</v>
      </c>
      <c r="I799" s="217" t="s">
        <v>29</v>
      </c>
      <c r="J799" s="217" t="s">
        <v>1857</v>
      </c>
      <c r="K799" s="217">
        <v>8</v>
      </c>
      <c r="L799" s="217">
        <v>64</v>
      </c>
      <c r="M799" s="217" t="s">
        <v>31</v>
      </c>
      <c r="N799" s="217" t="s">
        <v>32</v>
      </c>
      <c r="O799" s="217" t="s">
        <v>100</v>
      </c>
      <c r="P799" s="217" t="s">
        <v>34</v>
      </c>
      <c r="Q799" s="217" t="s">
        <v>35</v>
      </c>
      <c r="R799" s="217" t="s">
        <v>23</v>
      </c>
      <c r="S799" s="217" t="s">
        <v>22</v>
      </c>
      <c r="T799" s="217" t="s">
        <v>47</v>
      </c>
      <c r="U799" s="217" t="s">
        <v>48</v>
      </c>
      <c r="V799" s="217" t="s">
        <v>231</v>
      </c>
      <c r="W799" s="217" t="s">
        <v>232</v>
      </c>
    </row>
    <row r="800" spans="1:23" x14ac:dyDescent="0.25">
      <c r="A800" s="217" t="s">
        <v>22</v>
      </c>
      <c r="B800" s="217" t="s">
        <v>23</v>
      </c>
      <c r="C800" s="217" t="s">
        <v>48</v>
      </c>
      <c r="D800" s="217" t="s">
        <v>47</v>
      </c>
      <c r="E800" s="217" t="s">
        <v>232</v>
      </c>
      <c r="F800" s="217" t="s">
        <v>231</v>
      </c>
      <c r="G800" s="217" t="s">
        <v>1360</v>
      </c>
      <c r="H800" s="217" t="s">
        <v>1361</v>
      </c>
      <c r="I800" s="217" t="s">
        <v>29</v>
      </c>
      <c r="J800" s="217" t="s">
        <v>1858</v>
      </c>
      <c r="K800" s="217">
        <v>248</v>
      </c>
      <c r="L800" s="217">
        <v>1976</v>
      </c>
      <c r="M800" s="217" t="s">
        <v>31</v>
      </c>
      <c r="N800" s="217" t="s">
        <v>32</v>
      </c>
      <c r="O800" s="217" t="s">
        <v>100</v>
      </c>
      <c r="P800" s="217" t="s">
        <v>34</v>
      </c>
      <c r="Q800" s="217" t="s">
        <v>35</v>
      </c>
      <c r="R800" s="217" t="s">
        <v>23</v>
      </c>
      <c r="S800" s="217" t="s">
        <v>22</v>
      </c>
      <c r="T800" s="217" t="s">
        <v>47</v>
      </c>
      <c r="U800" s="217" t="s">
        <v>48</v>
      </c>
      <c r="V800" s="217" t="s">
        <v>231</v>
      </c>
      <c r="W800" s="217" t="s">
        <v>232</v>
      </c>
    </row>
    <row r="801" spans="1:23" x14ac:dyDescent="0.25">
      <c r="A801" s="217" t="s">
        <v>22</v>
      </c>
      <c r="B801" s="217" t="s">
        <v>23</v>
      </c>
      <c r="C801" s="217" t="s">
        <v>48</v>
      </c>
      <c r="D801" s="217" t="s">
        <v>47</v>
      </c>
      <c r="E801" s="217" t="s">
        <v>232</v>
      </c>
      <c r="F801" s="217" t="s">
        <v>231</v>
      </c>
      <c r="G801" s="217" t="s">
        <v>234</v>
      </c>
      <c r="H801" s="217" t="s">
        <v>1362</v>
      </c>
      <c r="I801" s="217" t="s">
        <v>29</v>
      </c>
      <c r="J801" s="217" t="s">
        <v>1855</v>
      </c>
      <c r="K801" s="217">
        <v>76</v>
      </c>
      <c r="L801" s="217">
        <v>427</v>
      </c>
      <c r="M801" s="217" t="s">
        <v>31</v>
      </c>
      <c r="N801" s="217" t="s">
        <v>32</v>
      </c>
      <c r="O801" s="217" t="s">
        <v>100</v>
      </c>
      <c r="P801" s="217" t="s">
        <v>34</v>
      </c>
      <c r="Q801" s="217" t="s">
        <v>35</v>
      </c>
      <c r="R801" s="217" t="s">
        <v>23</v>
      </c>
      <c r="S801" s="217" t="s">
        <v>22</v>
      </c>
      <c r="T801" s="217" t="s">
        <v>47</v>
      </c>
      <c r="U801" s="217" t="s">
        <v>48</v>
      </c>
      <c r="V801" s="217" t="s">
        <v>231</v>
      </c>
      <c r="W801" s="217" t="s">
        <v>232</v>
      </c>
    </row>
    <row r="802" spans="1:23" x14ac:dyDescent="0.25">
      <c r="A802" s="217" t="s">
        <v>22</v>
      </c>
      <c r="B802" s="217" t="s">
        <v>23</v>
      </c>
      <c r="C802" s="217" t="s">
        <v>48</v>
      </c>
      <c r="D802" s="217" t="s">
        <v>47</v>
      </c>
      <c r="E802" s="217" t="s">
        <v>232</v>
      </c>
      <c r="F802" s="217" t="s">
        <v>231</v>
      </c>
      <c r="G802" s="217" t="s">
        <v>234</v>
      </c>
      <c r="H802" s="217" t="s">
        <v>1362</v>
      </c>
      <c r="I802" s="217" t="s">
        <v>29</v>
      </c>
      <c r="J802" s="217" t="s">
        <v>1856</v>
      </c>
      <c r="K802" s="217">
        <v>527</v>
      </c>
      <c r="L802" s="217">
        <v>2876</v>
      </c>
      <c r="M802" s="217" t="s">
        <v>31</v>
      </c>
      <c r="N802" s="217" t="s">
        <v>32</v>
      </c>
      <c r="O802" s="217" t="s">
        <v>100</v>
      </c>
      <c r="P802" s="217" t="s">
        <v>34</v>
      </c>
      <c r="Q802" s="217" t="s">
        <v>35</v>
      </c>
      <c r="R802" s="217" t="s">
        <v>23</v>
      </c>
      <c r="S802" s="217" t="s">
        <v>22</v>
      </c>
      <c r="T802" s="217" t="s">
        <v>47</v>
      </c>
      <c r="U802" s="217" t="s">
        <v>48</v>
      </c>
      <c r="V802" s="217" t="s">
        <v>231</v>
      </c>
      <c r="W802" s="217" t="s">
        <v>232</v>
      </c>
    </row>
    <row r="803" spans="1:23" x14ac:dyDescent="0.25">
      <c r="A803" s="217" t="s">
        <v>22</v>
      </c>
      <c r="B803" s="217" t="s">
        <v>23</v>
      </c>
      <c r="C803" s="217" t="s">
        <v>48</v>
      </c>
      <c r="D803" s="217" t="s">
        <v>47</v>
      </c>
      <c r="E803" s="217" t="s">
        <v>232</v>
      </c>
      <c r="F803" s="217" t="s">
        <v>231</v>
      </c>
      <c r="G803" s="217" t="s">
        <v>234</v>
      </c>
      <c r="H803" s="217" t="s">
        <v>1362</v>
      </c>
      <c r="I803" s="217" t="s">
        <v>29</v>
      </c>
      <c r="J803" s="217" t="s">
        <v>1857</v>
      </c>
      <c r="K803" s="217">
        <v>211</v>
      </c>
      <c r="L803" s="217">
        <v>1497</v>
      </c>
      <c r="M803" s="217" t="s">
        <v>31</v>
      </c>
      <c r="N803" s="217" t="s">
        <v>32</v>
      </c>
      <c r="O803" s="217" t="s">
        <v>100</v>
      </c>
      <c r="P803" s="217" t="s">
        <v>34</v>
      </c>
      <c r="Q803" s="217" t="s">
        <v>35</v>
      </c>
      <c r="R803" s="217" t="s">
        <v>23</v>
      </c>
      <c r="S803" s="217" t="s">
        <v>22</v>
      </c>
      <c r="T803" s="217" t="s">
        <v>47</v>
      </c>
      <c r="U803" s="217" t="s">
        <v>48</v>
      </c>
      <c r="V803" s="217" t="s">
        <v>231</v>
      </c>
      <c r="W803" s="217" t="s">
        <v>232</v>
      </c>
    </row>
    <row r="804" spans="1:23" x14ac:dyDescent="0.25">
      <c r="A804" s="217" t="s">
        <v>22</v>
      </c>
      <c r="B804" s="217" t="s">
        <v>23</v>
      </c>
      <c r="C804" s="217" t="s">
        <v>48</v>
      </c>
      <c r="D804" s="217" t="s">
        <v>47</v>
      </c>
      <c r="E804" s="217" t="s">
        <v>232</v>
      </c>
      <c r="F804" s="217" t="s">
        <v>231</v>
      </c>
      <c r="G804" s="217" t="s">
        <v>234</v>
      </c>
      <c r="H804" s="217" t="s">
        <v>1362</v>
      </c>
      <c r="I804" s="217" t="s">
        <v>29</v>
      </c>
      <c r="J804" s="217" t="s">
        <v>1858</v>
      </c>
      <c r="K804" s="217">
        <v>147</v>
      </c>
      <c r="L804" s="217">
        <v>1027</v>
      </c>
      <c r="M804" s="217" t="s">
        <v>31</v>
      </c>
      <c r="N804" s="217" t="s">
        <v>32</v>
      </c>
      <c r="O804" s="217" t="s">
        <v>100</v>
      </c>
      <c r="P804" s="217" t="s">
        <v>34</v>
      </c>
      <c r="Q804" s="217" t="s">
        <v>35</v>
      </c>
      <c r="R804" s="217" t="s">
        <v>23</v>
      </c>
      <c r="S804" s="217" t="s">
        <v>22</v>
      </c>
      <c r="T804" s="217" t="s">
        <v>47</v>
      </c>
      <c r="U804" s="217" t="s">
        <v>48</v>
      </c>
      <c r="V804" s="217" t="s">
        <v>231</v>
      </c>
      <c r="W804" s="217" t="s">
        <v>232</v>
      </c>
    </row>
    <row r="805" spans="1:23" x14ac:dyDescent="0.25">
      <c r="A805" s="217" t="s">
        <v>22</v>
      </c>
      <c r="B805" s="217" t="s">
        <v>23</v>
      </c>
      <c r="C805" s="217" t="s">
        <v>48</v>
      </c>
      <c r="D805" s="217" t="s">
        <v>47</v>
      </c>
      <c r="E805" s="217" t="s">
        <v>62</v>
      </c>
      <c r="F805" s="217" t="s">
        <v>61</v>
      </c>
      <c r="G805" s="217" t="s">
        <v>502</v>
      </c>
      <c r="H805" s="217" t="s">
        <v>1363</v>
      </c>
      <c r="I805" s="217" t="s">
        <v>29</v>
      </c>
      <c r="J805" s="217" t="s">
        <v>1854</v>
      </c>
      <c r="K805" s="217">
        <v>39</v>
      </c>
      <c r="L805" s="217">
        <v>162</v>
      </c>
      <c r="M805" s="217" t="s">
        <v>31</v>
      </c>
      <c r="N805" s="217" t="s">
        <v>32</v>
      </c>
      <c r="O805" s="217" t="s">
        <v>68</v>
      </c>
      <c r="P805" s="217" t="s">
        <v>34</v>
      </c>
      <c r="Q805" s="217" t="s">
        <v>35</v>
      </c>
      <c r="R805" s="217" t="s">
        <v>23</v>
      </c>
      <c r="S805" s="217" t="s">
        <v>22</v>
      </c>
      <c r="T805" s="217" t="s">
        <v>47</v>
      </c>
      <c r="U805" s="217" t="s">
        <v>48</v>
      </c>
      <c r="V805" s="217" t="s">
        <v>231</v>
      </c>
      <c r="W805" s="217" t="s">
        <v>232</v>
      </c>
    </row>
    <row r="806" spans="1:23" x14ac:dyDescent="0.25">
      <c r="A806" s="217" t="s">
        <v>22</v>
      </c>
      <c r="B806" s="217" t="s">
        <v>23</v>
      </c>
      <c r="C806" s="217" t="s">
        <v>48</v>
      </c>
      <c r="D806" s="217" t="s">
        <v>47</v>
      </c>
      <c r="E806" s="217" t="s">
        <v>62</v>
      </c>
      <c r="F806" s="217" t="s">
        <v>61</v>
      </c>
      <c r="G806" s="217" t="s">
        <v>502</v>
      </c>
      <c r="H806" s="217" t="s">
        <v>1363</v>
      </c>
      <c r="I806" s="217" t="s">
        <v>29</v>
      </c>
      <c r="J806" s="217" t="s">
        <v>1855</v>
      </c>
      <c r="K806" s="217">
        <v>50</v>
      </c>
      <c r="L806" s="217">
        <v>201</v>
      </c>
      <c r="M806" s="217" t="s">
        <v>31</v>
      </c>
      <c r="N806" s="217" t="s">
        <v>32</v>
      </c>
      <c r="O806" s="217" t="s">
        <v>68</v>
      </c>
      <c r="P806" s="217" t="s">
        <v>34</v>
      </c>
      <c r="Q806" s="217" t="s">
        <v>35</v>
      </c>
      <c r="R806" s="217" t="s">
        <v>23</v>
      </c>
      <c r="S806" s="217" t="s">
        <v>22</v>
      </c>
      <c r="T806" s="217" t="s">
        <v>47</v>
      </c>
      <c r="U806" s="217" t="s">
        <v>48</v>
      </c>
      <c r="V806" s="217" t="s">
        <v>231</v>
      </c>
      <c r="W806" s="217" t="s">
        <v>232</v>
      </c>
    </row>
    <row r="807" spans="1:23" x14ac:dyDescent="0.25">
      <c r="A807" s="217" t="s">
        <v>22</v>
      </c>
      <c r="B807" s="217" t="s">
        <v>23</v>
      </c>
      <c r="C807" s="217" t="s">
        <v>48</v>
      </c>
      <c r="D807" s="217" t="s">
        <v>47</v>
      </c>
      <c r="E807" s="217" t="s">
        <v>62</v>
      </c>
      <c r="F807" s="217" t="s">
        <v>61</v>
      </c>
      <c r="G807" s="217" t="s">
        <v>502</v>
      </c>
      <c r="H807" s="217" t="s">
        <v>1363</v>
      </c>
      <c r="I807" s="217" t="s">
        <v>29</v>
      </c>
      <c r="J807" s="217" t="s">
        <v>1856</v>
      </c>
      <c r="K807" s="217">
        <v>44</v>
      </c>
      <c r="L807" s="217">
        <v>199</v>
      </c>
      <c r="M807" s="217" t="s">
        <v>31</v>
      </c>
      <c r="N807" s="217" t="s">
        <v>32</v>
      </c>
      <c r="O807" s="217" t="s">
        <v>68</v>
      </c>
      <c r="P807" s="217" t="s">
        <v>34</v>
      </c>
      <c r="Q807" s="217" t="s">
        <v>35</v>
      </c>
      <c r="R807" s="217" t="s">
        <v>23</v>
      </c>
      <c r="S807" s="217" t="s">
        <v>22</v>
      </c>
      <c r="T807" s="217" t="s">
        <v>47</v>
      </c>
      <c r="U807" s="217" t="s">
        <v>48</v>
      </c>
      <c r="V807" s="217" t="s">
        <v>231</v>
      </c>
      <c r="W807" s="217" t="s">
        <v>232</v>
      </c>
    </row>
    <row r="808" spans="1:23" x14ac:dyDescent="0.25">
      <c r="A808" s="217" t="s">
        <v>22</v>
      </c>
      <c r="B808" s="217" t="s">
        <v>23</v>
      </c>
      <c r="C808" s="217" t="s">
        <v>48</v>
      </c>
      <c r="D808" s="217" t="s">
        <v>47</v>
      </c>
      <c r="E808" s="217" t="s">
        <v>62</v>
      </c>
      <c r="F808" s="217" t="s">
        <v>61</v>
      </c>
      <c r="G808" s="217" t="s">
        <v>502</v>
      </c>
      <c r="H808" s="217" t="s">
        <v>1363</v>
      </c>
      <c r="I808" s="217" t="s">
        <v>29</v>
      </c>
      <c r="J808" s="217" t="s">
        <v>1857</v>
      </c>
      <c r="K808" s="217">
        <v>54</v>
      </c>
      <c r="L808" s="217">
        <v>274</v>
      </c>
      <c r="M808" s="217" t="s">
        <v>31</v>
      </c>
      <c r="N808" s="217" t="s">
        <v>32</v>
      </c>
      <c r="O808" s="217" t="s">
        <v>68</v>
      </c>
      <c r="P808" s="217" t="s">
        <v>34</v>
      </c>
      <c r="Q808" s="217" t="s">
        <v>35</v>
      </c>
      <c r="R808" s="217" t="s">
        <v>23</v>
      </c>
      <c r="S808" s="217" t="s">
        <v>22</v>
      </c>
      <c r="T808" s="217" t="s">
        <v>47</v>
      </c>
      <c r="U808" s="217" t="s">
        <v>48</v>
      </c>
      <c r="V808" s="217" t="s">
        <v>231</v>
      </c>
      <c r="W808" s="217" t="s">
        <v>232</v>
      </c>
    </row>
    <row r="809" spans="1:23" x14ac:dyDescent="0.25">
      <c r="A809" s="217" t="s">
        <v>22</v>
      </c>
      <c r="B809" s="217" t="s">
        <v>23</v>
      </c>
      <c r="C809" s="217" t="s">
        <v>48</v>
      </c>
      <c r="D809" s="217" t="s">
        <v>47</v>
      </c>
      <c r="E809" s="217" t="s">
        <v>62</v>
      </c>
      <c r="F809" s="217" t="s">
        <v>61</v>
      </c>
      <c r="G809" s="217" t="s">
        <v>503</v>
      </c>
      <c r="H809" s="217" t="s">
        <v>1364</v>
      </c>
      <c r="I809" s="217" t="s">
        <v>29</v>
      </c>
      <c r="J809" s="217" t="s">
        <v>1854</v>
      </c>
      <c r="K809" s="217">
        <v>10</v>
      </c>
      <c r="L809" s="217">
        <v>53</v>
      </c>
      <c r="M809" s="217" t="s">
        <v>31</v>
      </c>
      <c r="N809" s="217" t="s">
        <v>32</v>
      </c>
      <c r="O809" s="217" t="s">
        <v>68</v>
      </c>
      <c r="P809" s="217" t="s">
        <v>34</v>
      </c>
      <c r="Q809" s="217" t="s">
        <v>35</v>
      </c>
      <c r="R809" s="217" t="s">
        <v>23</v>
      </c>
      <c r="S809" s="217" t="s">
        <v>22</v>
      </c>
      <c r="T809" s="217" t="s">
        <v>47</v>
      </c>
      <c r="U809" s="217" t="s">
        <v>48</v>
      </c>
      <c r="V809" s="217" t="s">
        <v>231</v>
      </c>
      <c r="W809" s="217" t="s">
        <v>232</v>
      </c>
    </row>
    <row r="810" spans="1:23" x14ac:dyDescent="0.25">
      <c r="A810" s="217" t="s">
        <v>22</v>
      </c>
      <c r="B810" s="217" t="s">
        <v>23</v>
      </c>
      <c r="C810" s="217" t="s">
        <v>48</v>
      </c>
      <c r="D810" s="217" t="s">
        <v>47</v>
      </c>
      <c r="E810" s="217" t="s">
        <v>62</v>
      </c>
      <c r="F810" s="217" t="s">
        <v>61</v>
      </c>
      <c r="G810" s="217" t="s">
        <v>503</v>
      </c>
      <c r="H810" s="217" t="s">
        <v>1364</v>
      </c>
      <c r="I810" s="217" t="s">
        <v>29</v>
      </c>
      <c r="J810" s="217" t="s">
        <v>1855</v>
      </c>
      <c r="K810" s="217">
        <v>21</v>
      </c>
      <c r="L810" s="217">
        <v>89</v>
      </c>
      <c r="M810" s="217" t="s">
        <v>31</v>
      </c>
      <c r="N810" s="217" t="s">
        <v>32</v>
      </c>
      <c r="O810" s="217" t="s">
        <v>68</v>
      </c>
      <c r="P810" s="217" t="s">
        <v>34</v>
      </c>
      <c r="Q810" s="217" t="s">
        <v>35</v>
      </c>
      <c r="R810" s="217" t="s">
        <v>23</v>
      </c>
      <c r="S810" s="217" t="s">
        <v>22</v>
      </c>
      <c r="T810" s="217" t="s">
        <v>47</v>
      </c>
      <c r="U810" s="217" t="s">
        <v>48</v>
      </c>
      <c r="V810" s="217" t="s">
        <v>231</v>
      </c>
      <c r="W810" s="217" t="s">
        <v>232</v>
      </c>
    </row>
    <row r="811" spans="1:23" x14ac:dyDescent="0.25">
      <c r="A811" s="217" t="s">
        <v>22</v>
      </c>
      <c r="B811" s="217" t="s">
        <v>23</v>
      </c>
      <c r="C811" s="217" t="s">
        <v>48</v>
      </c>
      <c r="D811" s="217" t="s">
        <v>47</v>
      </c>
      <c r="E811" s="217" t="s">
        <v>62</v>
      </c>
      <c r="F811" s="217" t="s">
        <v>61</v>
      </c>
      <c r="G811" s="217" t="s">
        <v>503</v>
      </c>
      <c r="H811" s="217" t="s">
        <v>1364</v>
      </c>
      <c r="I811" s="217" t="s">
        <v>29</v>
      </c>
      <c r="J811" s="217" t="s">
        <v>1856</v>
      </c>
      <c r="K811" s="217">
        <v>12</v>
      </c>
      <c r="L811" s="217">
        <v>50</v>
      </c>
      <c r="M811" s="217" t="s">
        <v>31</v>
      </c>
      <c r="N811" s="217" t="s">
        <v>32</v>
      </c>
      <c r="O811" s="217" t="s">
        <v>68</v>
      </c>
      <c r="P811" s="217" t="s">
        <v>34</v>
      </c>
      <c r="Q811" s="217" t="s">
        <v>35</v>
      </c>
      <c r="R811" s="217" t="s">
        <v>23</v>
      </c>
      <c r="S811" s="217" t="s">
        <v>22</v>
      </c>
      <c r="T811" s="217" t="s">
        <v>47</v>
      </c>
      <c r="U811" s="217" t="s">
        <v>48</v>
      </c>
      <c r="V811" s="217" t="s">
        <v>231</v>
      </c>
      <c r="W811" s="217" t="s">
        <v>232</v>
      </c>
    </row>
    <row r="812" spans="1:23" x14ac:dyDescent="0.25">
      <c r="A812" s="217" t="s">
        <v>22</v>
      </c>
      <c r="B812" s="217" t="s">
        <v>23</v>
      </c>
      <c r="C812" s="217" t="s">
        <v>48</v>
      </c>
      <c r="D812" s="217" t="s">
        <v>47</v>
      </c>
      <c r="E812" s="217" t="s">
        <v>62</v>
      </c>
      <c r="F812" s="217" t="s">
        <v>61</v>
      </c>
      <c r="G812" s="217" t="s">
        <v>503</v>
      </c>
      <c r="H812" s="217" t="s">
        <v>1364</v>
      </c>
      <c r="I812" s="217" t="s">
        <v>29</v>
      </c>
      <c r="J812" s="217" t="s">
        <v>1857</v>
      </c>
      <c r="K812" s="217">
        <v>7</v>
      </c>
      <c r="L812" s="217">
        <v>67</v>
      </c>
      <c r="M812" s="217" t="s">
        <v>31</v>
      </c>
      <c r="N812" s="217" t="s">
        <v>32</v>
      </c>
      <c r="O812" s="217" t="s">
        <v>68</v>
      </c>
      <c r="P812" s="217" t="s">
        <v>34</v>
      </c>
      <c r="Q812" s="217" t="s">
        <v>35</v>
      </c>
      <c r="R812" s="217" t="s">
        <v>23</v>
      </c>
      <c r="S812" s="217" t="s">
        <v>22</v>
      </c>
      <c r="T812" s="217" t="s">
        <v>47</v>
      </c>
      <c r="U812" s="217" t="s">
        <v>48</v>
      </c>
      <c r="V812" s="217" t="s">
        <v>231</v>
      </c>
      <c r="W812" s="217" t="s">
        <v>232</v>
      </c>
    </row>
    <row r="813" spans="1:23" x14ac:dyDescent="0.25">
      <c r="A813" s="217" t="s">
        <v>22</v>
      </c>
      <c r="B813" s="217" t="s">
        <v>23</v>
      </c>
      <c r="C813" s="217" t="s">
        <v>48</v>
      </c>
      <c r="D813" s="217" t="s">
        <v>47</v>
      </c>
      <c r="E813" s="217" t="s">
        <v>62</v>
      </c>
      <c r="F813" s="217" t="s">
        <v>61</v>
      </c>
      <c r="G813" s="217" t="s">
        <v>836</v>
      </c>
      <c r="H813" s="217" t="s">
        <v>1365</v>
      </c>
      <c r="I813" s="217" t="s">
        <v>29</v>
      </c>
      <c r="J813" s="217" t="s">
        <v>1856</v>
      </c>
      <c r="K813" s="217">
        <v>19</v>
      </c>
      <c r="L813" s="217">
        <v>71</v>
      </c>
      <c r="M813" s="217" t="s">
        <v>31</v>
      </c>
      <c r="N813" s="217" t="s">
        <v>32</v>
      </c>
      <c r="O813" s="217" t="s">
        <v>68</v>
      </c>
      <c r="P813" s="217" t="s">
        <v>34</v>
      </c>
      <c r="Q813" s="217" t="s">
        <v>35</v>
      </c>
      <c r="R813" s="217" t="s">
        <v>23</v>
      </c>
      <c r="S813" s="217" t="s">
        <v>22</v>
      </c>
      <c r="T813" s="217" t="s">
        <v>47</v>
      </c>
      <c r="U813" s="217" t="s">
        <v>48</v>
      </c>
      <c r="V813" s="217" t="s">
        <v>231</v>
      </c>
      <c r="W813" s="217" t="s">
        <v>232</v>
      </c>
    </row>
    <row r="814" spans="1:23" x14ac:dyDescent="0.25">
      <c r="A814" s="217" t="s">
        <v>22</v>
      </c>
      <c r="B814" s="217" t="s">
        <v>23</v>
      </c>
      <c r="C814" s="217" t="s">
        <v>48</v>
      </c>
      <c r="D814" s="217" t="s">
        <v>47</v>
      </c>
      <c r="E814" s="217" t="s">
        <v>62</v>
      </c>
      <c r="F814" s="217" t="s">
        <v>61</v>
      </c>
      <c r="G814" s="217" t="s">
        <v>836</v>
      </c>
      <c r="H814" s="217" t="s">
        <v>1365</v>
      </c>
      <c r="I814" s="217" t="s">
        <v>29</v>
      </c>
      <c r="J814" s="217" t="s">
        <v>1857</v>
      </c>
      <c r="K814" s="217">
        <v>37</v>
      </c>
      <c r="L814" s="217">
        <v>214</v>
      </c>
      <c r="M814" s="217" t="s">
        <v>31</v>
      </c>
      <c r="N814" s="217" t="s">
        <v>32</v>
      </c>
      <c r="O814" s="217" t="s">
        <v>68</v>
      </c>
      <c r="P814" s="217" t="s">
        <v>34</v>
      </c>
      <c r="Q814" s="217" t="s">
        <v>35</v>
      </c>
      <c r="R814" s="217" t="s">
        <v>23</v>
      </c>
      <c r="S814" s="217" t="s">
        <v>22</v>
      </c>
      <c r="T814" s="217" t="s">
        <v>47</v>
      </c>
      <c r="U814" s="217" t="s">
        <v>48</v>
      </c>
      <c r="V814" s="217" t="s">
        <v>231</v>
      </c>
      <c r="W814" s="217" t="s">
        <v>232</v>
      </c>
    </row>
    <row r="815" spans="1:23" x14ac:dyDescent="0.25">
      <c r="A815" s="217" t="s">
        <v>22</v>
      </c>
      <c r="B815" s="217" t="s">
        <v>23</v>
      </c>
      <c r="C815" s="217" t="s">
        <v>48</v>
      </c>
      <c r="D815" s="217" t="s">
        <v>47</v>
      </c>
      <c r="E815" s="217" t="s">
        <v>62</v>
      </c>
      <c r="F815" s="217" t="s">
        <v>61</v>
      </c>
      <c r="G815" s="217" t="s">
        <v>504</v>
      </c>
      <c r="H815" s="217" t="s">
        <v>1366</v>
      </c>
      <c r="I815" s="217" t="s">
        <v>29</v>
      </c>
      <c r="J815" s="217" t="s">
        <v>1854</v>
      </c>
      <c r="K815" s="217">
        <v>9</v>
      </c>
      <c r="L815" s="217">
        <v>62</v>
      </c>
      <c r="M815" s="217" t="s">
        <v>31</v>
      </c>
      <c r="N815" s="217" t="s">
        <v>32</v>
      </c>
      <c r="O815" s="217" t="s">
        <v>68</v>
      </c>
      <c r="P815" s="217" t="s">
        <v>34</v>
      </c>
      <c r="Q815" s="217" t="s">
        <v>35</v>
      </c>
      <c r="R815" s="217" t="s">
        <v>23</v>
      </c>
      <c r="S815" s="217" t="s">
        <v>22</v>
      </c>
      <c r="T815" s="217" t="s">
        <v>47</v>
      </c>
      <c r="U815" s="217" t="s">
        <v>48</v>
      </c>
      <c r="V815" s="217" t="s">
        <v>231</v>
      </c>
      <c r="W815" s="217" t="s">
        <v>232</v>
      </c>
    </row>
    <row r="816" spans="1:23" x14ac:dyDescent="0.25">
      <c r="A816" s="217" t="s">
        <v>22</v>
      </c>
      <c r="B816" s="217" t="s">
        <v>23</v>
      </c>
      <c r="C816" s="217" t="s">
        <v>48</v>
      </c>
      <c r="D816" s="217" t="s">
        <v>47</v>
      </c>
      <c r="E816" s="217" t="s">
        <v>62</v>
      </c>
      <c r="F816" s="217" t="s">
        <v>61</v>
      </c>
      <c r="G816" s="217" t="s">
        <v>504</v>
      </c>
      <c r="H816" s="217" t="s">
        <v>1366</v>
      </c>
      <c r="I816" s="217" t="s">
        <v>29</v>
      </c>
      <c r="J816" s="217" t="s">
        <v>1855</v>
      </c>
      <c r="K816" s="217">
        <v>13</v>
      </c>
      <c r="L816" s="217">
        <v>109</v>
      </c>
      <c r="M816" s="217" t="s">
        <v>31</v>
      </c>
      <c r="N816" s="217" t="s">
        <v>32</v>
      </c>
      <c r="O816" s="217" t="s">
        <v>68</v>
      </c>
      <c r="P816" s="217" t="s">
        <v>34</v>
      </c>
      <c r="Q816" s="217" t="s">
        <v>35</v>
      </c>
      <c r="R816" s="217" t="s">
        <v>23</v>
      </c>
      <c r="S816" s="217" t="s">
        <v>22</v>
      </c>
      <c r="T816" s="217" t="s">
        <v>47</v>
      </c>
      <c r="U816" s="217" t="s">
        <v>48</v>
      </c>
      <c r="V816" s="217" t="s">
        <v>231</v>
      </c>
      <c r="W816" s="217" t="s">
        <v>232</v>
      </c>
    </row>
    <row r="817" spans="1:23" x14ac:dyDescent="0.25">
      <c r="A817" s="217" t="s">
        <v>22</v>
      </c>
      <c r="B817" s="217" t="s">
        <v>23</v>
      </c>
      <c r="C817" s="217" t="s">
        <v>48</v>
      </c>
      <c r="D817" s="217" t="s">
        <v>47</v>
      </c>
      <c r="E817" s="217" t="s">
        <v>62</v>
      </c>
      <c r="F817" s="217" t="s">
        <v>61</v>
      </c>
      <c r="G817" s="217" t="s">
        <v>504</v>
      </c>
      <c r="H817" s="217" t="s">
        <v>1366</v>
      </c>
      <c r="I817" s="217" t="s">
        <v>29</v>
      </c>
      <c r="J817" s="217" t="s">
        <v>1856</v>
      </c>
      <c r="K817" s="217">
        <v>12</v>
      </c>
      <c r="L817" s="217">
        <v>83</v>
      </c>
      <c r="M817" s="217" t="s">
        <v>31</v>
      </c>
      <c r="N817" s="217" t="s">
        <v>32</v>
      </c>
      <c r="O817" s="217" t="s">
        <v>68</v>
      </c>
      <c r="P817" s="217" t="s">
        <v>34</v>
      </c>
      <c r="Q817" s="217" t="s">
        <v>35</v>
      </c>
      <c r="R817" s="217" t="s">
        <v>23</v>
      </c>
      <c r="S817" s="217" t="s">
        <v>22</v>
      </c>
      <c r="T817" s="217" t="s">
        <v>47</v>
      </c>
      <c r="U817" s="217" t="s">
        <v>48</v>
      </c>
      <c r="V817" s="217" t="s">
        <v>231</v>
      </c>
      <c r="W817" s="217" t="s">
        <v>232</v>
      </c>
    </row>
    <row r="818" spans="1:23" x14ac:dyDescent="0.25">
      <c r="A818" s="217" t="s">
        <v>22</v>
      </c>
      <c r="B818" s="217" t="s">
        <v>23</v>
      </c>
      <c r="C818" s="217" t="s">
        <v>48</v>
      </c>
      <c r="D818" s="217" t="s">
        <v>47</v>
      </c>
      <c r="E818" s="217" t="s">
        <v>62</v>
      </c>
      <c r="F818" s="217" t="s">
        <v>61</v>
      </c>
      <c r="G818" s="217" t="s">
        <v>504</v>
      </c>
      <c r="H818" s="217" t="s">
        <v>1366</v>
      </c>
      <c r="I818" s="217" t="s">
        <v>29</v>
      </c>
      <c r="J818" s="217" t="s">
        <v>1857</v>
      </c>
      <c r="K818" s="217">
        <v>14</v>
      </c>
      <c r="L818" s="217">
        <v>63</v>
      </c>
      <c r="M818" s="217" t="s">
        <v>31</v>
      </c>
      <c r="N818" s="217" t="s">
        <v>32</v>
      </c>
      <c r="O818" s="217" t="s">
        <v>68</v>
      </c>
      <c r="P818" s="217" t="s">
        <v>34</v>
      </c>
      <c r="Q818" s="217" t="s">
        <v>35</v>
      </c>
      <c r="R818" s="217" t="s">
        <v>23</v>
      </c>
      <c r="S818" s="217" t="s">
        <v>22</v>
      </c>
      <c r="T818" s="217" t="s">
        <v>47</v>
      </c>
      <c r="U818" s="217" t="s">
        <v>48</v>
      </c>
      <c r="V818" s="217" t="s">
        <v>231</v>
      </c>
      <c r="W818" s="217" t="s">
        <v>232</v>
      </c>
    </row>
    <row r="819" spans="1:23" x14ac:dyDescent="0.25">
      <c r="A819" s="217" t="s">
        <v>22</v>
      </c>
      <c r="B819" s="217" t="s">
        <v>23</v>
      </c>
      <c r="C819" s="217" t="s">
        <v>48</v>
      </c>
      <c r="D819" s="217" t="s">
        <v>47</v>
      </c>
      <c r="E819" s="217" t="s">
        <v>62</v>
      </c>
      <c r="F819" s="217" t="s">
        <v>61</v>
      </c>
      <c r="G819" s="217" t="s">
        <v>504</v>
      </c>
      <c r="H819" s="217" t="s">
        <v>1366</v>
      </c>
      <c r="I819" s="217" t="s">
        <v>29</v>
      </c>
      <c r="J819" s="217" t="s">
        <v>1858</v>
      </c>
      <c r="K819" s="217">
        <v>11</v>
      </c>
      <c r="L819" s="217">
        <v>48</v>
      </c>
      <c r="M819" s="217" t="s">
        <v>31</v>
      </c>
      <c r="N819" s="217" t="s">
        <v>32</v>
      </c>
      <c r="O819" s="217" t="s">
        <v>68</v>
      </c>
      <c r="P819" s="217" t="s">
        <v>34</v>
      </c>
      <c r="Q819" s="217" t="s">
        <v>35</v>
      </c>
      <c r="R819" s="217" t="s">
        <v>23</v>
      </c>
      <c r="S819" s="217" t="s">
        <v>22</v>
      </c>
      <c r="T819" s="217" t="s">
        <v>47</v>
      </c>
      <c r="U819" s="217" t="s">
        <v>48</v>
      </c>
      <c r="V819" s="217" t="s">
        <v>231</v>
      </c>
      <c r="W819" s="217" t="s">
        <v>232</v>
      </c>
    </row>
    <row r="820" spans="1:23" x14ac:dyDescent="0.25">
      <c r="A820" s="217" t="s">
        <v>22</v>
      </c>
      <c r="B820" s="217" t="s">
        <v>23</v>
      </c>
      <c r="C820" s="217" t="s">
        <v>48</v>
      </c>
      <c r="D820" s="217" t="s">
        <v>47</v>
      </c>
      <c r="E820" s="217" t="s">
        <v>62</v>
      </c>
      <c r="F820" s="217" t="s">
        <v>61</v>
      </c>
      <c r="G820" s="217" t="s">
        <v>505</v>
      </c>
      <c r="H820" s="217" t="s">
        <v>1367</v>
      </c>
      <c r="I820" s="217" t="s">
        <v>29</v>
      </c>
      <c r="J820" s="217" t="s">
        <v>1854</v>
      </c>
      <c r="K820" s="217">
        <v>38</v>
      </c>
      <c r="L820" s="217">
        <v>121</v>
      </c>
      <c r="M820" s="217" t="s">
        <v>31</v>
      </c>
      <c r="N820" s="217" t="s">
        <v>32</v>
      </c>
      <c r="O820" s="217" t="s">
        <v>68</v>
      </c>
      <c r="P820" s="217" t="s">
        <v>34</v>
      </c>
      <c r="Q820" s="217" t="s">
        <v>35</v>
      </c>
      <c r="R820" s="217" t="s">
        <v>23</v>
      </c>
      <c r="S820" s="217" t="s">
        <v>22</v>
      </c>
      <c r="T820" s="217" t="s">
        <v>47</v>
      </c>
      <c r="U820" s="217" t="s">
        <v>48</v>
      </c>
      <c r="V820" s="217" t="s">
        <v>231</v>
      </c>
      <c r="W820" s="217" t="s">
        <v>232</v>
      </c>
    </row>
    <row r="821" spans="1:23" x14ac:dyDescent="0.25">
      <c r="A821" s="217" t="s">
        <v>22</v>
      </c>
      <c r="B821" s="217" t="s">
        <v>23</v>
      </c>
      <c r="C821" s="217" t="s">
        <v>48</v>
      </c>
      <c r="D821" s="217" t="s">
        <v>47</v>
      </c>
      <c r="E821" s="217" t="s">
        <v>62</v>
      </c>
      <c r="F821" s="217" t="s">
        <v>61</v>
      </c>
      <c r="G821" s="217" t="s">
        <v>505</v>
      </c>
      <c r="H821" s="217" t="s">
        <v>1367</v>
      </c>
      <c r="I821" s="217" t="s">
        <v>29</v>
      </c>
      <c r="J821" s="217" t="s">
        <v>1855</v>
      </c>
      <c r="K821" s="217">
        <v>59</v>
      </c>
      <c r="L821" s="217">
        <v>142</v>
      </c>
      <c r="M821" s="217" t="s">
        <v>31</v>
      </c>
      <c r="N821" s="217" t="s">
        <v>32</v>
      </c>
      <c r="O821" s="217" t="s">
        <v>68</v>
      </c>
      <c r="P821" s="217" t="s">
        <v>34</v>
      </c>
      <c r="Q821" s="217" t="s">
        <v>35</v>
      </c>
      <c r="R821" s="217" t="s">
        <v>23</v>
      </c>
      <c r="S821" s="217" t="s">
        <v>22</v>
      </c>
      <c r="T821" s="217" t="s">
        <v>47</v>
      </c>
      <c r="U821" s="217" t="s">
        <v>48</v>
      </c>
      <c r="V821" s="217" t="s">
        <v>231</v>
      </c>
      <c r="W821" s="217" t="s">
        <v>232</v>
      </c>
    </row>
    <row r="822" spans="1:23" x14ac:dyDescent="0.25">
      <c r="A822" s="217" t="s">
        <v>22</v>
      </c>
      <c r="B822" s="217" t="s">
        <v>23</v>
      </c>
      <c r="C822" s="217" t="s">
        <v>48</v>
      </c>
      <c r="D822" s="217" t="s">
        <v>47</v>
      </c>
      <c r="E822" s="217" t="s">
        <v>62</v>
      </c>
      <c r="F822" s="217" t="s">
        <v>61</v>
      </c>
      <c r="G822" s="217" t="s">
        <v>505</v>
      </c>
      <c r="H822" s="217" t="s">
        <v>1367</v>
      </c>
      <c r="I822" s="217" t="s">
        <v>29</v>
      </c>
      <c r="J822" s="217" t="s">
        <v>1856</v>
      </c>
      <c r="K822" s="217">
        <v>89</v>
      </c>
      <c r="L822" s="217">
        <v>164</v>
      </c>
      <c r="M822" s="217" t="s">
        <v>31</v>
      </c>
      <c r="N822" s="217" t="s">
        <v>32</v>
      </c>
      <c r="O822" s="217" t="s">
        <v>68</v>
      </c>
      <c r="P822" s="217" t="s">
        <v>34</v>
      </c>
      <c r="Q822" s="217" t="s">
        <v>35</v>
      </c>
      <c r="R822" s="217" t="s">
        <v>23</v>
      </c>
      <c r="S822" s="217" t="s">
        <v>22</v>
      </c>
      <c r="T822" s="217" t="s">
        <v>47</v>
      </c>
      <c r="U822" s="217" t="s">
        <v>48</v>
      </c>
      <c r="V822" s="217" t="s">
        <v>231</v>
      </c>
      <c r="W822" s="217" t="s">
        <v>232</v>
      </c>
    </row>
    <row r="823" spans="1:23" x14ac:dyDescent="0.25">
      <c r="A823" s="217" t="s">
        <v>22</v>
      </c>
      <c r="B823" s="217" t="s">
        <v>23</v>
      </c>
      <c r="C823" s="217" t="s">
        <v>48</v>
      </c>
      <c r="D823" s="217" t="s">
        <v>47</v>
      </c>
      <c r="E823" s="217" t="s">
        <v>62</v>
      </c>
      <c r="F823" s="217" t="s">
        <v>61</v>
      </c>
      <c r="G823" s="217" t="s">
        <v>505</v>
      </c>
      <c r="H823" s="217" t="s">
        <v>1367</v>
      </c>
      <c r="I823" s="217" t="s">
        <v>29</v>
      </c>
      <c r="J823" s="217" t="s">
        <v>1857</v>
      </c>
      <c r="K823" s="217">
        <v>299</v>
      </c>
      <c r="L823" s="217">
        <v>1170</v>
      </c>
      <c r="M823" s="217" t="s">
        <v>31</v>
      </c>
      <c r="N823" s="217" t="s">
        <v>32</v>
      </c>
      <c r="O823" s="217" t="s">
        <v>68</v>
      </c>
      <c r="P823" s="217" t="s">
        <v>34</v>
      </c>
      <c r="Q823" s="217" t="s">
        <v>35</v>
      </c>
      <c r="R823" s="217" t="s">
        <v>23</v>
      </c>
      <c r="S823" s="217" t="s">
        <v>22</v>
      </c>
      <c r="T823" s="217" t="s">
        <v>47</v>
      </c>
      <c r="U823" s="217" t="s">
        <v>48</v>
      </c>
      <c r="V823" s="217" t="s">
        <v>231</v>
      </c>
      <c r="W823" s="217" t="s">
        <v>232</v>
      </c>
    </row>
    <row r="824" spans="1:23" x14ac:dyDescent="0.25">
      <c r="A824" s="217" t="s">
        <v>22</v>
      </c>
      <c r="B824" s="217" t="s">
        <v>23</v>
      </c>
      <c r="C824" s="217" t="s">
        <v>48</v>
      </c>
      <c r="D824" s="217" t="s">
        <v>47</v>
      </c>
      <c r="E824" s="217" t="s">
        <v>62</v>
      </c>
      <c r="F824" s="217" t="s">
        <v>61</v>
      </c>
      <c r="G824" s="217" t="s">
        <v>505</v>
      </c>
      <c r="H824" s="217" t="s">
        <v>1367</v>
      </c>
      <c r="I824" s="217" t="s">
        <v>29</v>
      </c>
      <c r="J824" s="217" t="s">
        <v>1858</v>
      </c>
      <c r="K824" s="217">
        <v>33</v>
      </c>
      <c r="L824" s="217">
        <v>183</v>
      </c>
      <c r="M824" s="217" t="s">
        <v>31</v>
      </c>
      <c r="N824" s="217" t="s">
        <v>32</v>
      </c>
      <c r="O824" s="217" t="s">
        <v>68</v>
      </c>
      <c r="P824" s="217" t="s">
        <v>34</v>
      </c>
      <c r="Q824" s="217" t="s">
        <v>35</v>
      </c>
      <c r="R824" s="217" t="s">
        <v>23</v>
      </c>
      <c r="S824" s="217" t="s">
        <v>22</v>
      </c>
      <c r="T824" s="217" t="s">
        <v>47</v>
      </c>
      <c r="U824" s="217" t="s">
        <v>48</v>
      </c>
      <c r="V824" s="217" t="s">
        <v>231</v>
      </c>
      <c r="W824" s="217" t="s">
        <v>232</v>
      </c>
    </row>
    <row r="825" spans="1:23" x14ac:dyDescent="0.25">
      <c r="A825" s="217" t="s">
        <v>22</v>
      </c>
      <c r="B825" s="217" t="s">
        <v>23</v>
      </c>
      <c r="C825" s="217" t="s">
        <v>48</v>
      </c>
      <c r="D825" s="217" t="s">
        <v>47</v>
      </c>
      <c r="E825" s="217" t="s">
        <v>62</v>
      </c>
      <c r="F825" s="217" t="s">
        <v>61</v>
      </c>
      <c r="G825" s="217" t="s">
        <v>506</v>
      </c>
      <c r="H825" s="217" t="s">
        <v>1368</v>
      </c>
      <c r="I825" s="217" t="s">
        <v>29</v>
      </c>
      <c r="J825" s="217" t="s">
        <v>1854</v>
      </c>
      <c r="K825" s="217">
        <v>30</v>
      </c>
      <c r="L825" s="217">
        <v>69</v>
      </c>
      <c r="M825" s="217" t="s">
        <v>31</v>
      </c>
      <c r="N825" s="217" t="s">
        <v>32</v>
      </c>
      <c r="O825" s="217" t="s">
        <v>68</v>
      </c>
      <c r="P825" s="217" t="s">
        <v>34</v>
      </c>
      <c r="Q825" s="217" t="s">
        <v>35</v>
      </c>
      <c r="R825" s="217" t="s">
        <v>23</v>
      </c>
      <c r="S825" s="217" t="s">
        <v>22</v>
      </c>
      <c r="T825" s="217" t="s">
        <v>47</v>
      </c>
      <c r="U825" s="217" t="s">
        <v>48</v>
      </c>
      <c r="V825" s="217" t="s">
        <v>231</v>
      </c>
      <c r="W825" s="217" t="s">
        <v>232</v>
      </c>
    </row>
    <row r="826" spans="1:23" x14ac:dyDescent="0.25">
      <c r="A826" s="217" t="s">
        <v>22</v>
      </c>
      <c r="B826" s="217" t="s">
        <v>23</v>
      </c>
      <c r="C826" s="217" t="s">
        <v>48</v>
      </c>
      <c r="D826" s="217" t="s">
        <v>47</v>
      </c>
      <c r="E826" s="217" t="s">
        <v>62</v>
      </c>
      <c r="F826" s="217" t="s">
        <v>61</v>
      </c>
      <c r="G826" s="217" t="s">
        <v>506</v>
      </c>
      <c r="H826" s="217" t="s">
        <v>1368</v>
      </c>
      <c r="I826" s="217" t="s">
        <v>29</v>
      </c>
      <c r="J826" s="217" t="s">
        <v>1855</v>
      </c>
      <c r="K826" s="217">
        <v>39</v>
      </c>
      <c r="L826" s="217">
        <v>142</v>
      </c>
      <c r="M826" s="217" t="s">
        <v>31</v>
      </c>
      <c r="N826" s="217" t="s">
        <v>32</v>
      </c>
      <c r="O826" s="217" t="s">
        <v>68</v>
      </c>
      <c r="P826" s="217" t="s">
        <v>34</v>
      </c>
      <c r="Q826" s="217" t="s">
        <v>35</v>
      </c>
      <c r="R826" s="217" t="s">
        <v>23</v>
      </c>
      <c r="S826" s="217" t="s">
        <v>22</v>
      </c>
      <c r="T826" s="217" t="s">
        <v>47</v>
      </c>
      <c r="U826" s="217" t="s">
        <v>48</v>
      </c>
      <c r="V826" s="217" t="s">
        <v>61</v>
      </c>
      <c r="W826" s="217" t="s">
        <v>62</v>
      </c>
    </row>
    <row r="827" spans="1:23" x14ac:dyDescent="0.25">
      <c r="A827" s="217" t="s">
        <v>22</v>
      </c>
      <c r="B827" s="217" t="s">
        <v>23</v>
      </c>
      <c r="C827" s="217" t="s">
        <v>48</v>
      </c>
      <c r="D827" s="217" t="s">
        <v>47</v>
      </c>
      <c r="E827" s="217" t="s">
        <v>62</v>
      </c>
      <c r="F827" s="217" t="s">
        <v>61</v>
      </c>
      <c r="G827" s="217" t="s">
        <v>506</v>
      </c>
      <c r="H827" s="217" t="s">
        <v>1368</v>
      </c>
      <c r="I827" s="217" t="s">
        <v>29</v>
      </c>
      <c r="J827" s="217" t="s">
        <v>1856</v>
      </c>
      <c r="K827" s="217">
        <v>36</v>
      </c>
      <c r="L827" s="217">
        <v>99</v>
      </c>
      <c r="M827" s="217" t="s">
        <v>31</v>
      </c>
      <c r="N827" s="217" t="s">
        <v>32</v>
      </c>
      <c r="O827" s="217" t="s">
        <v>100</v>
      </c>
      <c r="P827" s="217" t="s">
        <v>34</v>
      </c>
      <c r="Q827" s="217" t="s">
        <v>35</v>
      </c>
      <c r="R827" s="217" t="s">
        <v>23</v>
      </c>
      <c r="S827" s="217" t="s">
        <v>22</v>
      </c>
      <c r="T827" s="217" t="s">
        <v>47</v>
      </c>
      <c r="U827" s="217" t="s">
        <v>48</v>
      </c>
      <c r="V827" s="217" t="s">
        <v>61</v>
      </c>
      <c r="W827" s="217" t="s">
        <v>62</v>
      </c>
    </row>
    <row r="828" spans="1:23" x14ac:dyDescent="0.25">
      <c r="A828" s="217" t="s">
        <v>22</v>
      </c>
      <c r="B828" s="217" t="s">
        <v>23</v>
      </c>
      <c r="C828" s="217" t="s">
        <v>48</v>
      </c>
      <c r="D828" s="217" t="s">
        <v>47</v>
      </c>
      <c r="E828" s="217" t="s">
        <v>62</v>
      </c>
      <c r="F828" s="217" t="s">
        <v>61</v>
      </c>
      <c r="G828" s="217" t="s">
        <v>506</v>
      </c>
      <c r="H828" s="217" t="s">
        <v>1368</v>
      </c>
      <c r="I828" s="217" t="s">
        <v>29</v>
      </c>
      <c r="J828" s="217" t="s">
        <v>1857</v>
      </c>
      <c r="K828" s="217">
        <v>13</v>
      </c>
      <c r="L828" s="217">
        <v>36</v>
      </c>
      <c r="M828" s="217" t="s">
        <v>31</v>
      </c>
      <c r="N828" s="217" t="s">
        <v>32</v>
      </c>
      <c r="O828" s="217" t="s">
        <v>100</v>
      </c>
      <c r="P828" s="217" t="s">
        <v>34</v>
      </c>
      <c r="Q828" s="217" t="s">
        <v>35</v>
      </c>
      <c r="R828" s="217" t="s">
        <v>23</v>
      </c>
      <c r="S828" s="217" t="s">
        <v>22</v>
      </c>
      <c r="T828" s="217" t="s">
        <v>47</v>
      </c>
      <c r="U828" s="217" t="s">
        <v>48</v>
      </c>
      <c r="V828" s="217" t="s">
        <v>61</v>
      </c>
      <c r="W828" s="217" t="s">
        <v>62</v>
      </c>
    </row>
    <row r="829" spans="1:23" x14ac:dyDescent="0.25">
      <c r="A829" s="217" t="s">
        <v>22</v>
      </c>
      <c r="B829" s="217" t="s">
        <v>23</v>
      </c>
      <c r="C829" s="217" t="s">
        <v>48</v>
      </c>
      <c r="D829" s="217" t="s">
        <v>47</v>
      </c>
      <c r="E829" s="217" t="s">
        <v>62</v>
      </c>
      <c r="F829" s="217" t="s">
        <v>61</v>
      </c>
      <c r="G829" s="217" t="s">
        <v>506</v>
      </c>
      <c r="H829" s="217" t="s">
        <v>1368</v>
      </c>
      <c r="I829" s="217" t="s">
        <v>29</v>
      </c>
      <c r="J829" s="217" t="s">
        <v>1858</v>
      </c>
      <c r="K829" s="217">
        <v>9</v>
      </c>
      <c r="L829" s="217">
        <v>66</v>
      </c>
      <c r="M829" s="217" t="s">
        <v>31</v>
      </c>
      <c r="N829" s="217" t="s">
        <v>32</v>
      </c>
      <c r="O829" s="217" t="s">
        <v>68</v>
      </c>
      <c r="P829" s="217" t="s">
        <v>34</v>
      </c>
      <c r="Q829" s="217" t="s">
        <v>35</v>
      </c>
      <c r="R829" s="217" t="s">
        <v>23</v>
      </c>
      <c r="S829" s="217" t="s">
        <v>22</v>
      </c>
      <c r="T829" s="217" t="s">
        <v>47</v>
      </c>
      <c r="U829" s="217" t="s">
        <v>48</v>
      </c>
      <c r="V829" s="217" t="s">
        <v>231</v>
      </c>
      <c r="W829" s="217" t="s">
        <v>232</v>
      </c>
    </row>
    <row r="830" spans="1:23" x14ac:dyDescent="0.25">
      <c r="A830" s="217" t="s">
        <v>22</v>
      </c>
      <c r="B830" s="217" t="s">
        <v>23</v>
      </c>
      <c r="C830" s="217" t="s">
        <v>48</v>
      </c>
      <c r="D830" s="217" t="s">
        <v>47</v>
      </c>
      <c r="E830" s="217" t="s">
        <v>62</v>
      </c>
      <c r="F830" s="217" t="s">
        <v>61</v>
      </c>
      <c r="G830" s="217" t="s">
        <v>507</v>
      </c>
      <c r="H830" s="217" t="s">
        <v>1369</v>
      </c>
      <c r="I830" s="217" t="s">
        <v>29</v>
      </c>
      <c r="J830" s="217" t="s">
        <v>1854</v>
      </c>
      <c r="K830" s="217">
        <v>18</v>
      </c>
      <c r="L830" s="217">
        <v>69</v>
      </c>
      <c r="M830" s="217" t="s">
        <v>31</v>
      </c>
      <c r="N830" s="217" t="s">
        <v>32</v>
      </c>
      <c r="O830" s="217" t="s">
        <v>68</v>
      </c>
      <c r="P830" s="217" t="s">
        <v>34</v>
      </c>
      <c r="Q830" s="217" t="s">
        <v>35</v>
      </c>
      <c r="R830" s="217" t="s">
        <v>23</v>
      </c>
      <c r="S830" s="217" t="s">
        <v>22</v>
      </c>
      <c r="T830" s="217" t="s">
        <v>47</v>
      </c>
      <c r="U830" s="217" t="s">
        <v>48</v>
      </c>
      <c r="V830" s="217" t="s">
        <v>231</v>
      </c>
      <c r="W830" s="217" t="s">
        <v>232</v>
      </c>
    </row>
    <row r="831" spans="1:23" x14ac:dyDescent="0.25">
      <c r="A831" s="217" t="s">
        <v>22</v>
      </c>
      <c r="B831" s="217" t="s">
        <v>23</v>
      </c>
      <c r="C831" s="217" t="s">
        <v>48</v>
      </c>
      <c r="D831" s="217" t="s">
        <v>47</v>
      </c>
      <c r="E831" s="217" t="s">
        <v>62</v>
      </c>
      <c r="F831" s="217" t="s">
        <v>61</v>
      </c>
      <c r="G831" s="217" t="s">
        <v>507</v>
      </c>
      <c r="H831" s="217" t="s">
        <v>1369</v>
      </c>
      <c r="I831" s="217" t="s">
        <v>29</v>
      </c>
      <c r="J831" s="217" t="s">
        <v>1855</v>
      </c>
      <c r="K831" s="217">
        <v>29</v>
      </c>
      <c r="L831" s="217">
        <v>129</v>
      </c>
      <c r="M831" s="217" t="s">
        <v>31</v>
      </c>
      <c r="N831" s="217" t="s">
        <v>32</v>
      </c>
      <c r="O831" s="217" t="s">
        <v>68</v>
      </c>
      <c r="P831" s="217" t="s">
        <v>34</v>
      </c>
      <c r="Q831" s="217" t="s">
        <v>35</v>
      </c>
      <c r="R831" s="217" t="s">
        <v>23</v>
      </c>
      <c r="S831" s="217" t="s">
        <v>22</v>
      </c>
      <c r="T831" s="217" t="s">
        <v>47</v>
      </c>
      <c r="U831" s="217" t="s">
        <v>48</v>
      </c>
      <c r="V831" s="217" t="s">
        <v>231</v>
      </c>
      <c r="W831" s="217" t="s">
        <v>232</v>
      </c>
    </row>
    <row r="832" spans="1:23" x14ac:dyDescent="0.25">
      <c r="A832" s="217" t="s">
        <v>22</v>
      </c>
      <c r="B832" s="217" t="s">
        <v>23</v>
      </c>
      <c r="C832" s="217" t="s">
        <v>48</v>
      </c>
      <c r="D832" s="217" t="s">
        <v>47</v>
      </c>
      <c r="E832" s="217" t="s">
        <v>62</v>
      </c>
      <c r="F832" s="217" t="s">
        <v>61</v>
      </c>
      <c r="G832" s="217" t="s">
        <v>507</v>
      </c>
      <c r="H832" s="217" t="s">
        <v>1369</v>
      </c>
      <c r="I832" s="217" t="s">
        <v>29</v>
      </c>
      <c r="J832" s="217" t="s">
        <v>1856</v>
      </c>
      <c r="K832" s="217">
        <v>26</v>
      </c>
      <c r="L832" s="217">
        <v>115</v>
      </c>
      <c r="M832" s="217" t="s">
        <v>31</v>
      </c>
      <c r="N832" s="217" t="s">
        <v>32</v>
      </c>
      <c r="O832" s="217" t="s">
        <v>68</v>
      </c>
      <c r="P832" s="217" t="s">
        <v>34</v>
      </c>
      <c r="Q832" s="217" t="s">
        <v>35</v>
      </c>
      <c r="R832" s="217" t="s">
        <v>23</v>
      </c>
      <c r="S832" s="217" t="s">
        <v>22</v>
      </c>
      <c r="T832" s="217" t="s">
        <v>47</v>
      </c>
      <c r="U832" s="217" t="s">
        <v>48</v>
      </c>
      <c r="V832" s="217" t="s">
        <v>231</v>
      </c>
      <c r="W832" s="217" t="s">
        <v>232</v>
      </c>
    </row>
    <row r="833" spans="1:23" x14ac:dyDescent="0.25">
      <c r="A833" s="217" t="s">
        <v>22</v>
      </c>
      <c r="B833" s="217" t="s">
        <v>23</v>
      </c>
      <c r="C833" s="217" t="s">
        <v>48</v>
      </c>
      <c r="D833" s="217" t="s">
        <v>47</v>
      </c>
      <c r="E833" s="217" t="s">
        <v>62</v>
      </c>
      <c r="F833" s="217" t="s">
        <v>61</v>
      </c>
      <c r="G833" s="217" t="s">
        <v>507</v>
      </c>
      <c r="H833" s="217" t="s">
        <v>1369</v>
      </c>
      <c r="I833" s="217" t="s">
        <v>29</v>
      </c>
      <c r="J833" s="217" t="s">
        <v>1857</v>
      </c>
      <c r="K833" s="217">
        <v>40</v>
      </c>
      <c r="L833" s="217">
        <v>218</v>
      </c>
      <c r="M833" s="217" t="s">
        <v>31</v>
      </c>
      <c r="N833" s="217" t="s">
        <v>32</v>
      </c>
      <c r="O833" s="217" t="s">
        <v>68</v>
      </c>
      <c r="P833" s="217" t="s">
        <v>34</v>
      </c>
      <c r="Q833" s="217" t="s">
        <v>35</v>
      </c>
      <c r="R833" s="217" t="s">
        <v>23</v>
      </c>
      <c r="S833" s="217" t="s">
        <v>22</v>
      </c>
      <c r="T833" s="217" t="s">
        <v>47</v>
      </c>
      <c r="U833" s="217" t="s">
        <v>48</v>
      </c>
      <c r="V833" s="217" t="s">
        <v>231</v>
      </c>
      <c r="W833" s="217" t="s">
        <v>232</v>
      </c>
    </row>
    <row r="834" spans="1:23" x14ac:dyDescent="0.25">
      <c r="A834" s="217" t="s">
        <v>22</v>
      </c>
      <c r="B834" s="217" t="s">
        <v>23</v>
      </c>
      <c r="C834" s="217" t="s">
        <v>48</v>
      </c>
      <c r="D834" s="217" t="s">
        <v>47</v>
      </c>
      <c r="E834" s="217" t="s">
        <v>62</v>
      </c>
      <c r="F834" s="217" t="s">
        <v>61</v>
      </c>
      <c r="G834" s="217" t="s">
        <v>507</v>
      </c>
      <c r="H834" s="217" t="s">
        <v>1369</v>
      </c>
      <c r="I834" s="217" t="s">
        <v>29</v>
      </c>
      <c r="J834" s="217" t="s">
        <v>1858</v>
      </c>
      <c r="K834" s="217">
        <v>6</v>
      </c>
      <c r="L834" s="217">
        <v>24</v>
      </c>
      <c r="M834" s="217" t="s">
        <v>31</v>
      </c>
      <c r="N834" s="217" t="s">
        <v>32</v>
      </c>
      <c r="O834" s="217" t="s">
        <v>68</v>
      </c>
      <c r="P834" s="217" t="s">
        <v>34</v>
      </c>
      <c r="Q834" s="217" t="s">
        <v>35</v>
      </c>
      <c r="R834" s="217" t="s">
        <v>23</v>
      </c>
      <c r="S834" s="217" t="s">
        <v>22</v>
      </c>
      <c r="T834" s="217" t="s">
        <v>47</v>
      </c>
      <c r="U834" s="217" t="s">
        <v>48</v>
      </c>
      <c r="V834" s="217" t="s">
        <v>231</v>
      </c>
      <c r="W834" s="217" t="s">
        <v>232</v>
      </c>
    </row>
    <row r="835" spans="1:23" x14ac:dyDescent="0.25">
      <c r="A835" s="217" t="s">
        <v>22</v>
      </c>
      <c r="B835" s="217" t="s">
        <v>23</v>
      </c>
      <c r="C835" s="217" t="s">
        <v>48</v>
      </c>
      <c r="D835" s="217" t="s">
        <v>47</v>
      </c>
      <c r="E835" s="217" t="s">
        <v>62</v>
      </c>
      <c r="F835" s="217" t="s">
        <v>61</v>
      </c>
      <c r="G835" s="217" t="s">
        <v>508</v>
      </c>
      <c r="H835" s="217" t="s">
        <v>1370</v>
      </c>
      <c r="I835" s="217" t="s">
        <v>29</v>
      </c>
      <c r="J835" s="217" t="s">
        <v>1854</v>
      </c>
      <c r="K835" s="217">
        <v>25</v>
      </c>
      <c r="L835" s="217">
        <v>96</v>
      </c>
      <c r="M835" s="217" t="s">
        <v>31</v>
      </c>
      <c r="N835" s="217" t="s">
        <v>32</v>
      </c>
      <c r="O835" s="217" t="s">
        <v>68</v>
      </c>
      <c r="P835" s="217" t="s">
        <v>34</v>
      </c>
      <c r="Q835" s="217" t="s">
        <v>35</v>
      </c>
      <c r="R835" s="217" t="s">
        <v>23</v>
      </c>
      <c r="S835" s="217" t="s">
        <v>22</v>
      </c>
      <c r="T835" s="217" t="s">
        <v>47</v>
      </c>
      <c r="U835" s="217" t="s">
        <v>48</v>
      </c>
      <c r="V835" s="217" t="s">
        <v>231</v>
      </c>
      <c r="W835" s="217" t="s">
        <v>232</v>
      </c>
    </row>
    <row r="836" spans="1:23" x14ac:dyDescent="0.25">
      <c r="A836" s="217" t="s">
        <v>22</v>
      </c>
      <c r="B836" s="217" t="s">
        <v>23</v>
      </c>
      <c r="C836" s="217" t="s">
        <v>48</v>
      </c>
      <c r="D836" s="217" t="s">
        <v>47</v>
      </c>
      <c r="E836" s="217" t="s">
        <v>62</v>
      </c>
      <c r="F836" s="217" t="s">
        <v>61</v>
      </c>
      <c r="G836" s="217" t="s">
        <v>508</v>
      </c>
      <c r="H836" s="217" t="s">
        <v>1370</v>
      </c>
      <c r="I836" s="217" t="s">
        <v>29</v>
      </c>
      <c r="J836" s="217" t="s">
        <v>1855</v>
      </c>
      <c r="K836" s="217">
        <v>38</v>
      </c>
      <c r="L836" s="217">
        <v>158</v>
      </c>
      <c r="M836" s="217" t="s">
        <v>31</v>
      </c>
      <c r="N836" s="217" t="s">
        <v>32</v>
      </c>
      <c r="O836" s="217" t="s">
        <v>68</v>
      </c>
      <c r="P836" s="217" t="s">
        <v>34</v>
      </c>
      <c r="Q836" s="217" t="s">
        <v>35</v>
      </c>
      <c r="R836" s="217" t="s">
        <v>23</v>
      </c>
      <c r="S836" s="217" t="s">
        <v>22</v>
      </c>
      <c r="T836" s="217" t="s">
        <v>47</v>
      </c>
      <c r="U836" s="217" t="s">
        <v>48</v>
      </c>
      <c r="V836" s="217" t="s">
        <v>231</v>
      </c>
      <c r="W836" s="217" t="s">
        <v>232</v>
      </c>
    </row>
    <row r="837" spans="1:23" x14ac:dyDescent="0.25">
      <c r="A837" s="217" t="s">
        <v>22</v>
      </c>
      <c r="B837" s="217" t="s">
        <v>23</v>
      </c>
      <c r="C837" s="217" t="s">
        <v>48</v>
      </c>
      <c r="D837" s="217" t="s">
        <v>47</v>
      </c>
      <c r="E837" s="217" t="s">
        <v>62</v>
      </c>
      <c r="F837" s="217" t="s">
        <v>61</v>
      </c>
      <c r="G837" s="217" t="s">
        <v>508</v>
      </c>
      <c r="H837" s="217" t="s">
        <v>1370</v>
      </c>
      <c r="I837" s="217" t="s">
        <v>29</v>
      </c>
      <c r="J837" s="217" t="s">
        <v>1856</v>
      </c>
      <c r="K837" s="217">
        <v>27</v>
      </c>
      <c r="L837" s="217">
        <v>110</v>
      </c>
      <c r="M837" s="217" t="s">
        <v>31</v>
      </c>
      <c r="N837" s="217" t="s">
        <v>32</v>
      </c>
      <c r="O837" s="217" t="s">
        <v>68</v>
      </c>
      <c r="P837" s="217" t="s">
        <v>34</v>
      </c>
      <c r="Q837" s="217" t="s">
        <v>35</v>
      </c>
      <c r="R837" s="217" t="s">
        <v>23</v>
      </c>
      <c r="S837" s="217" t="s">
        <v>22</v>
      </c>
      <c r="T837" s="217" t="s">
        <v>47</v>
      </c>
      <c r="U837" s="217" t="s">
        <v>48</v>
      </c>
      <c r="V837" s="217" t="s">
        <v>61</v>
      </c>
      <c r="W837" s="217" t="s">
        <v>62</v>
      </c>
    </row>
    <row r="838" spans="1:23" x14ac:dyDescent="0.25">
      <c r="A838" s="217" t="s">
        <v>22</v>
      </c>
      <c r="B838" s="217" t="s">
        <v>23</v>
      </c>
      <c r="C838" s="217" t="s">
        <v>48</v>
      </c>
      <c r="D838" s="217" t="s">
        <v>47</v>
      </c>
      <c r="E838" s="217" t="s">
        <v>62</v>
      </c>
      <c r="F838" s="217" t="s">
        <v>61</v>
      </c>
      <c r="G838" s="217" t="s">
        <v>508</v>
      </c>
      <c r="H838" s="217" t="s">
        <v>1370</v>
      </c>
      <c r="I838" s="217" t="s">
        <v>29</v>
      </c>
      <c r="J838" s="217" t="s">
        <v>1857</v>
      </c>
      <c r="K838" s="217">
        <v>32</v>
      </c>
      <c r="L838" s="217">
        <v>136</v>
      </c>
      <c r="M838" s="217" t="s">
        <v>31</v>
      </c>
      <c r="N838" s="217" t="s">
        <v>32</v>
      </c>
      <c r="O838" s="217" t="s">
        <v>68</v>
      </c>
      <c r="P838" s="217" t="s">
        <v>34</v>
      </c>
      <c r="Q838" s="217" t="s">
        <v>35</v>
      </c>
      <c r="R838" s="217" t="s">
        <v>23</v>
      </c>
      <c r="S838" s="217" t="s">
        <v>22</v>
      </c>
      <c r="T838" s="217" t="s">
        <v>47</v>
      </c>
      <c r="U838" s="217" t="s">
        <v>48</v>
      </c>
      <c r="V838" s="217" t="s">
        <v>231</v>
      </c>
      <c r="W838" s="217" t="s">
        <v>232</v>
      </c>
    </row>
    <row r="839" spans="1:23" x14ac:dyDescent="0.25">
      <c r="A839" s="217" t="s">
        <v>22</v>
      </c>
      <c r="B839" s="217" t="s">
        <v>23</v>
      </c>
      <c r="C839" s="217" t="s">
        <v>48</v>
      </c>
      <c r="D839" s="217" t="s">
        <v>47</v>
      </c>
      <c r="E839" s="217" t="s">
        <v>62</v>
      </c>
      <c r="F839" s="217" t="s">
        <v>61</v>
      </c>
      <c r="G839" s="217" t="s">
        <v>508</v>
      </c>
      <c r="H839" s="217" t="s">
        <v>1370</v>
      </c>
      <c r="I839" s="217" t="s">
        <v>29</v>
      </c>
      <c r="J839" s="217" t="s">
        <v>1858</v>
      </c>
      <c r="K839" s="217">
        <v>7</v>
      </c>
      <c r="L839" s="217">
        <v>30</v>
      </c>
      <c r="M839" s="217" t="s">
        <v>31</v>
      </c>
      <c r="N839" s="217" t="s">
        <v>32</v>
      </c>
      <c r="O839" s="217" t="s">
        <v>68</v>
      </c>
      <c r="P839" s="217" t="s">
        <v>34</v>
      </c>
      <c r="Q839" s="217" t="s">
        <v>35</v>
      </c>
      <c r="R839" s="217" t="s">
        <v>23</v>
      </c>
      <c r="S839" s="217" t="s">
        <v>22</v>
      </c>
      <c r="T839" s="217" t="s">
        <v>47</v>
      </c>
      <c r="U839" s="217" t="s">
        <v>48</v>
      </c>
      <c r="V839" s="217" t="s">
        <v>61</v>
      </c>
      <c r="W839" s="217" t="s">
        <v>62</v>
      </c>
    </row>
    <row r="840" spans="1:23" x14ac:dyDescent="0.25">
      <c r="A840" s="217" t="s">
        <v>22</v>
      </c>
      <c r="B840" s="217" t="s">
        <v>23</v>
      </c>
      <c r="C840" s="217" t="s">
        <v>48</v>
      </c>
      <c r="D840" s="217" t="s">
        <v>47</v>
      </c>
      <c r="E840" s="217" t="s">
        <v>62</v>
      </c>
      <c r="F840" s="217" t="s">
        <v>61</v>
      </c>
      <c r="G840" s="217" t="s">
        <v>509</v>
      </c>
      <c r="H840" s="217" t="s">
        <v>1371</v>
      </c>
      <c r="I840" s="217" t="s">
        <v>29</v>
      </c>
      <c r="J840" s="217" t="s">
        <v>1854</v>
      </c>
      <c r="K840" s="217">
        <v>12</v>
      </c>
      <c r="L840" s="217">
        <v>61</v>
      </c>
      <c r="M840" s="217" t="s">
        <v>31</v>
      </c>
      <c r="N840" s="217" t="s">
        <v>32</v>
      </c>
      <c r="O840" s="217" t="s">
        <v>68</v>
      </c>
      <c r="P840" s="217" t="s">
        <v>34</v>
      </c>
      <c r="Q840" s="217" t="s">
        <v>35</v>
      </c>
      <c r="R840" s="217" t="s">
        <v>23</v>
      </c>
      <c r="S840" s="217" t="s">
        <v>22</v>
      </c>
      <c r="T840" s="217" t="s">
        <v>47</v>
      </c>
      <c r="U840" s="217" t="s">
        <v>48</v>
      </c>
      <c r="V840" s="217" t="s">
        <v>231</v>
      </c>
      <c r="W840" s="217" t="s">
        <v>232</v>
      </c>
    </row>
    <row r="841" spans="1:23" x14ac:dyDescent="0.25">
      <c r="A841" s="217" t="s">
        <v>22</v>
      </c>
      <c r="B841" s="217" t="s">
        <v>23</v>
      </c>
      <c r="C841" s="217" t="s">
        <v>48</v>
      </c>
      <c r="D841" s="217" t="s">
        <v>47</v>
      </c>
      <c r="E841" s="217" t="s">
        <v>62</v>
      </c>
      <c r="F841" s="217" t="s">
        <v>61</v>
      </c>
      <c r="G841" s="217" t="s">
        <v>509</v>
      </c>
      <c r="H841" s="217" t="s">
        <v>1371</v>
      </c>
      <c r="I841" s="217" t="s">
        <v>29</v>
      </c>
      <c r="J841" s="217" t="s">
        <v>1855</v>
      </c>
      <c r="K841" s="217">
        <v>19</v>
      </c>
      <c r="L841" s="217">
        <v>82</v>
      </c>
      <c r="M841" s="217" t="s">
        <v>31</v>
      </c>
      <c r="N841" s="217" t="s">
        <v>32</v>
      </c>
      <c r="O841" s="217" t="s">
        <v>68</v>
      </c>
      <c r="P841" s="217" t="s">
        <v>34</v>
      </c>
      <c r="Q841" s="217" t="s">
        <v>35</v>
      </c>
      <c r="R841" s="217" t="s">
        <v>23</v>
      </c>
      <c r="S841" s="217" t="s">
        <v>22</v>
      </c>
      <c r="T841" s="217" t="s">
        <v>47</v>
      </c>
      <c r="U841" s="217" t="s">
        <v>48</v>
      </c>
      <c r="V841" s="217" t="s">
        <v>231</v>
      </c>
      <c r="W841" s="217" t="s">
        <v>232</v>
      </c>
    </row>
    <row r="842" spans="1:23" x14ac:dyDescent="0.25">
      <c r="A842" s="217" t="s">
        <v>22</v>
      </c>
      <c r="B842" s="217" t="s">
        <v>23</v>
      </c>
      <c r="C842" s="217" t="s">
        <v>48</v>
      </c>
      <c r="D842" s="217" t="s">
        <v>47</v>
      </c>
      <c r="E842" s="217" t="s">
        <v>62</v>
      </c>
      <c r="F842" s="217" t="s">
        <v>61</v>
      </c>
      <c r="G842" s="217" t="s">
        <v>509</v>
      </c>
      <c r="H842" s="217" t="s">
        <v>1371</v>
      </c>
      <c r="I842" s="217" t="s">
        <v>29</v>
      </c>
      <c r="J842" s="217" t="s">
        <v>1856</v>
      </c>
      <c r="K842" s="217">
        <v>9</v>
      </c>
      <c r="L842" s="217">
        <v>48</v>
      </c>
      <c r="M842" s="217" t="s">
        <v>31</v>
      </c>
      <c r="N842" s="217" t="s">
        <v>32</v>
      </c>
      <c r="O842" s="217" t="s">
        <v>68</v>
      </c>
      <c r="P842" s="217" t="s">
        <v>34</v>
      </c>
      <c r="Q842" s="217" t="s">
        <v>35</v>
      </c>
      <c r="R842" s="217" t="s">
        <v>23</v>
      </c>
      <c r="S842" s="217" t="s">
        <v>22</v>
      </c>
      <c r="T842" s="217" t="s">
        <v>47</v>
      </c>
      <c r="U842" s="217" t="s">
        <v>48</v>
      </c>
      <c r="V842" s="217" t="s">
        <v>231</v>
      </c>
      <c r="W842" s="217" t="s">
        <v>232</v>
      </c>
    </row>
    <row r="843" spans="1:23" x14ac:dyDescent="0.25">
      <c r="A843" s="217" t="s">
        <v>22</v>
      </c>
      <c r="B843" s="217" t="s">
        <v>23</v>
      </c>
      <c r="C843" s="217" t="s">
        <v>48</v>
      </c>
      <c r="D843" s="217" t="s">
        <v>47</v>
      </c>
      <c r="E843" s="217" t="s">
        <v>62</v>
      </c>
      <c r="F843" s="217" t="s">
        <v>61</v>
      </c>
      <c r="G843" s="217" t="s">
        <v>509</v>
      </c>
      <c r="H843" s="217" t="s">
        <v>1371</v>
      </c>
      <c r="I843" s="217" t="s">
        <v>29</v>
      </c>
      <c r="J843" s="217" t="s">
        <v>1857</v>
      </c>
      <c r="K843" s="217">
        <v>6</v>
      </c>
      <c r="L843" s="217">
        <v>45</v>
      </c>
      <c r="M843" s="217" t="s">
        <v>31</v>
      </c>
      <c r="N843" s="217" t="s">
        <v>32</v>
      </c>
      <c r="O843" s="217" t="s">
        <v>68</v>
      </c>
      <c r="P843" s="217" t="s">
        <v>34</v>
      </c>
      <c r="Q843" s="217" t="s">
        <v>35</v>
      </c>
      <c r="R843" s="217" t="s">
        <v>23</v>
      </c>
      <c r="S843" s="217" t="s">
        <v>22</v>
      </c>
      <c r="T843" s="217" t="s">
        <v>47</v>
      </c>
      <c r="U843" s="217" t="s">
        <v>48</v>
      </c>
      <c r="V843" s="217" t="s">
        <v>231</v>
      </c>
      <c r="W843" s="217" t="s">
        <v>232</v>
      </c>
    </row>
    <row r="844" spans="1:23" x14ac:dyDescent="0.25">
      <c r="A844" s="217" t="s">
        <v>22</v>
      </c>
      <c r="B844" s="217" t="s">
        <v>23</v>
      </c>
      <c r="C844" s="217" t="s">
        <v>48</v>
      </c>
      <c r="D844" s="217" t="s">
        <v>47</v>
      </c>
      <c r="E844" s="217" t="s">
        <v>62</v>
      </c>
      <c r="F844" s="217" t="s">
        <v>61</v>
      </c>
      <c r="G844" s="217" t="s">
        <v>835</v>
      </c>
      <c r="H844" s="217" t="s">
        <v>1372</v>
      </c>
      <c r="I844" s="217" t="s">
        <v>29</v>
      </c>
      <c r="J844" s="217" t="s">
        <v>1855</v>
      </c>
      <c r="K844" s="217">
        <v>7</v>
      </c>
      <c r="L844" s="217">
        <v>29</v>
      </c>
      <c r="M844" s="217" t="s">
        <v>31</v>
      </c>
      <c r="N844" s="217" t="s">
        <v>32</v>
      </c>
      <c r="O844" s="217" t="s">
        <v>68</v>
      </c>
      <c r="P844" s="217" t="s">
        <v>34</v>
      </c>
      <c r="Q844" s="217" t="s">
        <v>35</v>
      </c>
      <c r="R844" s="217" t="s">
        <v>23</v>
      </c>
      <c r="S844" s="217" t="s">
        <v>22</v>
      </c>
      <c r="T844" s="217" t="s">
        <v>47</v>
      </c>
      <c r="U844" s="217" t="s">
        <v>48</v>
      </c>
      <c r="V844" s="217" t="s">
        <v>231</v>
      </c>
      <c r="W844" s="217" t="s">
        <v>232</v>
      </c>
    </row>
    <row r="845" spans="1:23" x14ac:dyDescent="0.25">
      <c r="A845" s="217" t="s">
        <v>22</v>
      </c>
      <c r="B845" s="217" t="s">
        <v>23</v>
      </c>
      <c r="C845" s="217" t="s">
        <v>48</v>
      </c>
      <c r="D845" s="217" t="s">
        <v>47</v>
      </c>
      <c r="E845" s="217" t="s">
        <v>62</v>
      </c>
      <c r="F845" s="217" t="s">
        <v>61</v>
      </c>
      <c r="G845" s="217" t="s">
        <v>835</v>
      </c>
      <c r="H845" s="217" t="s">
        <v>1372</v>
      </c>
      <c r="I845" s="217" t="s">
        <v>29</v>
      </c>
      <c r="J845" s="217" t="s">
        <v>1856</v>
      </c>
      <c r="K845" s="217">
        <v>5</v>
      </c>
      <c r="L845" s="217">
        <v>20</v>
      </c>
      <c r="M845" s="217" t="s">
        <v>31</v>
      </c>
      <c r="N845" s="217" t="s">
        <v>32</v>
      </c>
      <c r="O845" s="217" t="s">
        <v>68</v>
      </c>
      <c r="P845" s="217" t="s">
        <v>34</v>
      </c>
      <c r="Q845" s="217" t="s">
        <v>35</v>
      </c>
      <c r="R845" s="217" t="s">
        <v>23</v>
      </c>
      <c r="S845" s="217" t="s">
        <v>22</v>
      </c>
      <c r="T845" s="217" t="s">
        <v>47</v>
      </c>
      <c r="U845" s="217" t="s">
        <v>48</v>
      </c>
      <c r="V845" s="217" t="s">
        <v>231</v>
      </c>
      <c r="W845" s="217" t="s">
        <v>232</v>
      </c>
    </row>
    <row r="846" spans="1:23" x14ac:dyDescent="0.25">
      <c r="A846" s="217" t="s">
        <v>22</v>
      </c>
      <c r="B846" s="217" t="s">
        <v>23</v>
      </c>
      <c r="C846" s="217" t="s">
        <v>48</v>
      </c>
      <c r="D846" s="217" t="s">
        <v>47</v>
      </c>
      <c r="E846" s="217" t="s">
        <v>62</v>
      </c>
      <c r="F846" s="217" t="s">
        <v>61</v>
      </c>
      <c r="G846" s="217" t="s">
        <v>835</v>
      </c>
      <c r="H846" s="217" t="s">
        <v>1372</v>
      </c>
      <c r="I846" s="217" t="s">
        <v>29</v>
      </c>
      <c r="J846" s="217" t="s">
        <v>1857</v>
      </c>
      <c r="K846" s="217">
        <v>3</v>
      </c>
      <c r="L846" s="217">
        <v>7</v>
      </c>
      <c r="M846" s="217" t="s">
        <v>31</v>
      </c>
      <c r="N846" s="217" t="s">
        <v>32</v>
      </c>
      <c r="O846" s="217" t="s">
        <v>68</v>
      </c>
      <c r="P846" s="217" t="s">
        <v>34</v>
      </c>
      <c r="Q846" s="217" t="s">
        <v>35</v>
      </c>
      <c r="R846" s="217" t="s">
        <v>23</v>
      </c>
      <c r="S846" s="217" t="s">
        <v>22</v>
      </c>
      <c r="T846" s="217" t="s">
        <v>47</v>
      </c>
      <c r="U846" s="217" t="s">
        <v>48</v>
      </c>
      <c r="V846" s="217" t="s">
        <v>231</v>
      </c>
      <c r="W846" s="217" t="s">
        <v>232</v>
      </c>
    </row>
    <row r="847" spans="1:23" x14ac:dyDescent="0.25">
      <c r="A847" s="217" t="s">
        <v>22</v>
      </c>
      <c r="B847" s="217" t="s">
        <v>23</v>
      </c>
      <c r="C847" s="217" t="s">
        <v>48</v>
      </c>
      <c r="D847" s="217" t="s">
        <v>47</v>
      </c>
      <c r="E847" s="217" t="s">
        <v>62</v>
      </c>
      <c r="F847" s="217" t="s">
        <v>61</v>
      </c>
      <c r="G847" s="217" t="s">
        <v>835</v>
      </c>
      <c r="H847" s="217" t="s">
        <v>1372</v>
      </c>
      <c r="I847" s="217" t="s">
        <v>29</v>
      </c>
      <c r="J847" s="217" t="s">
        <v>1858</v>
      </c>
      <c r="K847" s="217">
        <v>6</v>
      </c>
      <c r="L847" s="217">
        <v>29</v>
      </c>
      <c r="M847" s="217" t="s">
        <v>31</v>
      </c>
      <c r="N847" s="217" t="s">
        <v>32</v>
      </c>
      <c r="O847" s="217" t="s">
        <v>68</v>
      </c>
      <c r="P847" s="217" t="s">
        <v>34</v>
      </c>
      <c r="Q847" s="217" t="s">
        <v>35</v>
      </c>
      <c r="R847" s="217" t="s">
        <v>23</v>
      </c>
      <c r="S847" s="217" t="s">
        <v>22</v>
      </c>
      <c r="T847" s="217" t="s">
        <v>47</v>
      </c>
      <c r="U847" s="217" t="s">
        <v>48</v>
      </c>
      <c r="V847" s="217" t="s">
        <v>231</v>
      </c>
      <c r="W847" s="217" t="s">
        <v>232</v>
      </c>
    </row>
    <row r="848" spans="1:23" x14ac:dyDescent="0.25">
      <c r="A848" s="217" t="s">
        <v>22</v>
      </c>
      <c r="B848" s="217" t="s">
        <v>23</v>
      </c>
      <c r="C848" s="217" t="s">
        <v>48</v>
      </c>
      <c r="D848" s="217" t="s">
        <v>47</v>
      </c>
      <c r="E848" s="217" t="s">
        <v>62</v>
      </c>
      <c r="F848" s="217" t="s">
        <v>61</v>
      </c>
      <c r="G848" s="217" t="s">
        <v>510</v>
      </c>
      <c r="H848" s="217" t="s">
        <v>1373</v>
      </c>
      <c r="I848" s="217" t="s">
        <v>29</v>
      </c>
      <c r="J848" s="217" t="s">
        <v>1854</v>
      </c>
      <c r="K848" s="217">
        <v>22</v>
      </c>
      <c r="L848" s="217">
        <v>67</v>
      </c>
      <c r="M848" s="217" t="s">
        <v>31</v>
      </c>
      <c r="N848" s="217" t="s">
        <v>32</v>
      </c>
      <c r="O848" s="217" t="s">
        <v>68</v>
      </c>
      <c r="P848" s="217" t="s">
        <v>34</v>
      </c>
      <c r="Q848" s="217" t="s">
        <v>35</v>
      </c>
      <c r="R848" s="217" t="s">
        <v>23</v>
      </c>
      <c r="S848" s="217" t="s">
        <v>22</v>
      </c>
      <c r="T848" s="217" t="s">
        <v>47</v>
      </c>
      <c r="U848" s="217" t="s">
        <v>48</v>
      </c>
      <c r="V848" s="217" t="s">
        <v>231</v>
      </c>
      <c r="W848" s="217" t="s">
        <v>232</v>
      </c>
    </row>
    <row r="849" spans="1:23" x14ac:dyDescent="0.25">
      <c r="A849" s="217" t="s">
        <v>22</v>
      </c>
      <c r="B849" s="217" t="s">
        <v>23</v>
      </c>
      <c r="C849" s="217" t="s">
        <v>48</v>
      </c>
      <c r="D849" s="217" t="s">
        <v>47</v>
      </c>
      <c r="E849" s="217" t="s">
        <v>62</v>
      </c>
      <c r="F849" s="217" t="s">
        <v>61</v>
      </c>
      <c r="G849" s="217" t="s">
        <v>510</v>
      </c>
      <c r="H849" s="217" t="s">
        <v>1373</v>
      </c>
      <c r="I849" s="217" t="s">
        <v>29</v>
      </c>
      <c r="J849" s="217" t="s">
        <v>1855</v>
      </c>
      <c r="K849" s="217">
        <v>37</v>
      </c>
      <c r="L849" s="217">
        <v>102</v>
      </c>
      <c r="M849" s="217" t="s">
        <v>31</v>
      </c>
      <c r="N849" s="217" t="s">
        <v>32</v>
      </c>
      <c r="O849" s="217" t="s">
        <v>68</v>
      </c>
      <c r="P849" s="217" t="s">
        <v>34</v>
      </c>
      <c r="Q849" s="217" t="s">
        <v>35</v>
      </c>
      <c r="R849" s="217" t="s">
        <v>23</v>
      </c>
      <c r="S849" s="217" t="s">
        <v>22</v>
      </c>
      <c r="T849" s="217" t="s">
        <v>47</v>
      </c>
      <c r="U849" s="217" t="s">
        <v>48</v>
      </c>
      <c r="V849" s="217" t="s">
        <v>231</v>
      </c>
      <c r="W849" s="217" t="s">
        <v>232</v>
      </c>
    </row>
    <row r="850" spans="1:23" x14ac:dyDescent="0.25">
      <c r="A850" s="217" t="s">
        <v>22</v>
      </c>
      <c r="B850" s="217" t="s">
        <v>23</v>
      </c>
      <c r="C850" s="217" t="s">
        <v>48</v>
      </c>
      <c r="D850" s="217" t="s">
        <v>47</v>
      </c>
      <c r="E850" s="217" t="s">
        <v>62</v>
      </c>
      <c r="F850" s="217" t="s">
        <v>61</v>
      </c>
      <c r="G850" s="217" t="s">
        <v>510</v>
      </c>
      <c r="H850" s="217" t="s">
        <v>1373</v>
      </c>
      <c r="I850" s="217" t="s">
        <v>29</v>
      </c>
      <c r="J850" s="217" t="s">
        <v>1856</v>
      </c>
      <c r="K850" s="217">
        <v>27</v>
      </c>
      <c r="L850" s="217">
        <v>81</v>
      </c>
      <c r="M850" s="217" t="s">
        <v>31</v>
      </c>
      <c r="N850" s="217" t="s">
        <v>32</v>
      </c>
      <c r="O850" s="217" t="s">
        <v>68</v>
      </c>
      <c r="P850" s="217" t="s">
        <v>34</v>
      </c>
      <c r="Q850" s="217" t="s">
        <v>35</v>
      </c>
      <c r="R850" s="217" t="s">
        <v>23</v>
      </c>
      <c r="S850" s="217" t="s">
        <v>22</v>
      </c>
      <c r="T850" s="217" t="s">
        <v>47</v>
      </c>
      <c r="U850" s="217" t="s">
        <v>48</v>
      </c>
      <c r="V850" s="217" t="s">
        <v>231</v>
      </c>
      <c r="W850" s="217" t="s">
        <v>232</v>
      </c>
    </row>
    <row r="851" spans="1:23" x14ac:dyDescent="0.25">
      <c r="A851" s="217" t="s">
        <v>22</v>
      </c>
      <c r="B851" s="217" t="s">
        <v>23</v>
      </c>
      <c r="C851" s="217" t="s">
        <v>48</v>
      </c>
      <c r="D851" s="217" t="s">
        <v>47</v>
      </c>
      <c r="E851" s="217" t="s">
        <v>62</v>
      </c>
      <c r="F851" s="217" t="s">
        <v>61</v>
      </c>
      <c r="G851" s="217" t="s">
        <v>510</v>
      </c>
      <c r="H851" s="217" t="s">
        <v>1373</v>
      </c>
      <c r="I851" s="217" t="s">
        <v>29</v>
      </c>
      <c r="J851" s="217" t="s">
        <v>1857</v>
      </c>
      <c r="K851" s="217">
        <v>93</v>
      </c>
      <c r="L851" s="217">
        <v>273</v>
      </c>
      <c r="M851" s="217" t="s">
        <v>31</v>
      </c>
      <c r="N851" s="217" t="s">
        <v>32</v>
      </c>
      <c r="O851" s="217" t="s">
        <v>68</v>
      </c>
      <c r="P851" s="217" t="s">
        <v>34</v>
      </c>
      <c r="Q851" s="217" t="s">
        <v>35</v>
      </c>
      <c r="R851" s="217" t="s">
        <v>23</v>
      </c>
      <c r="S851" s="217" t="s">
        <v>22</v>
      </c>
      <c r="T851" s="217" t="s">
        <v>47</v>
      </c>
      <c r="U851" s="217" t="s">
        <v>48</v>
      </c>
      <c r="V851" s="217" t="s">
        <v>231</v>
      </c>
      <c r="W851" s="217" t="s">
        <v>232</v>
      </c>
    </row>
    <row r="852" spans="1:23" x14ac:dyDescent="0.25">
      <c r="A852" s="217" t="s">
        <v>22</v>
      </c>
      <c r="B852" s="217" t="s">
        <v>23</v>
      </c>
      <c r="C852" s="217" t="s">
        <v>48</v>
      </c>
      <c r="D852" s="217" t="s">
        <v>47</v>
      </c>
      <c r="E852" s="217" t="s">
        <v>62</v>
      </c>
      <c r="F852" s="217" t="s">
        <v>61</v>
      </c>
      <c r="G852" s="217" t="s">
        <v>511</v>
      </c>
      <c r="H852" s="217" t="s">
        <v>1374</v>
      </c>
      <c r="I852" s="217" t="s">
        <v>29</v>
      </c>
      <c r="J852" s="217" t="s">
        <v>1854</v>
      </c>
      <c r="K852" s="217">
        <v>19</v>
      </c>
      <c r="L852" s="217">
        <v>94</v>
      </c>
      <c r="M852" s="217" t="s">
        <v>31</v>
      </c>
      <c r="N852" s="217" t="s">
        <v>32</v>
      </c>
      <c r="O852" s="217" t="s">
        <v>68</v>
      </c>
      <c r="P852" s="217" t="s">
        <v>34</v>
      </c>
      <c r="Q852" s="217" t="s">
        <v>35</v>
      </c>
      <c r="R852" s="217" t="s">
        <v>23</v>
      </c>
      <c r="S852" s="217" t="s">
        <v>22</v>
      </c>
      <c r="T852" s="217" t="s">
        <v>47</v>
      </c>
      <c r="U852" s="217" t="s">
        <v>48</v>
      </c>
      <c r="V852" s="217" t="s">
        <v>231</v>
      </c>
      <c r="W852" s="217" t="s">
        <v>232</v>
      </c>
    </row>
    <row r="853" spans="1:23" x14ac:dyDescent="0.25">
      <c r="A853" s="217" t="s">
        <v>22</v>
      </c>
      <c r="B853" s="217" t="s">
        <v>23</v>
      </c>
      <c r="C853" s="217" t="s">
        <v>48</v>
      </c>
      <c r="D853" s="217" t="s">
        <v>47</v>
      </c>
      <c r="E853" s="217" t="s">
        <v>62</v>
      </c>
      <c r="F853" s="217" t="s">
        <v>61</v>
      </c>
      <c r="G853" s="217" t="s">
        <v>511</v>
      </c>
      <c r="H853" s="217" t="s">
        <v>1374</v>
      </c>
      <c r="I853" s="217" t="s">
        <v>29</v>
      </c>
      <c r="J853" s="217" t="s">
        <v>1855</v>
      </c>
      <c r="K853" s="217">
        <v>25</v>
      </c>
      <c r="L853" s="217">
        <v>97</v>
      </c>
      <c r="M853" s="217" t="s">
        <v>31</v>
      </c>
      <c r="N853" s="217" t="s">
        <v>32</v>
      </c>
      <c r="O853" s="217" t="s">
        <v>68</v>
      </c>
      <c r="P853" s="217" t="s">
        <v>34</v>
      </c>
      <c r="Q853" s="217" t="s">
        <v>35</v>
      </c>
      <c r="R853" s="217" t="s">
        <v>23</v>
      </c>
      <c r="S853" s="217" t="s">
        <v>22</v>
      </c>
      <c r="T853" s="217" t="s">
        <v>47</v>
      </c>
      <c r="U853" s="217" t="s">
        <v>48</v>
      </c>
      <c r="V853" s="217" t="s">
        <v>231</v>
      </c>
      <c r="W853" s="217" t="s">
        <v>232</v>
      </c>
    </row>
    <row r="854" spans="1:23" x14ac:dyDescent="0.25">
      <c r="A854" s="217" t="s">
        <v>22</v>
      </c>
      <c r="B854" s="217" t="s">
        <v>23</v>
      </c>
      <c r="C854" s="217" t="s">
        <v>48</v>
      </c>
      <c r="D854" s="217" t="s">
        <v>47</v>
      </c>
      <c r="E854" s="217" t="s">
        <v>62</v>
      </c>
      <c r="F854" s="217" t="s">
        <v>61</v>
      </c>
      <c r="G854" s="217" t="s">
        <v>511</v>
      </c>
      <c r="H854" s="217" t="s">
        <v>1374</v>
      </c>
      <c r="I854" s="217" t="s">
        <v>29</v>
      </c>
      <c r="J854" s="217" t="s">
        <v>1856</v>
      </c>
      <c r="K854" s="217">
        <v>25</v>
      </c>
      <c r="L854" s="217">
        <v>103</v>
      </c>
      <c r="M854" s="217" t="s">
        <v>31</v>
      </c>
      <c r="N854" s="217" t="s">
        <v>32</v>
      </c>
      <c r="O854" s="217" t="s">
        <v>68</v>
      </c>
      <c r="P854" s="217" t="s">
        <v>34</v>
      </c>
      <c r="Q854" s="217" t="s">
        <v>35</v>
      </c>
      <c r="R854" s="217" t="s">
        <v>23</v>
      </c>
      <c r="S854" s="217" t="s">
        <v>22</v>
      </c>
      <c r="T854" s="217" t="s">
        <v>47</v>
      </c>
      <c r="U854" s="217" t="s">
        <v>48</v>
      </c>
      <c r="V854" s="217" t="s">
        <v>231</v>
      </c>
      <c r="W854" s="217" t="s">
        <v>232</v>
      </c>
    </row>
    <row r="855" spans="1:23" x14ac:dyDescent="0.25">
      <c r="A855" s="217" t="s">
        <v>22</v>
      </c>
      <c r="B855" s="217" t="s">
        <v>23</v>
      </c>
      <c r="C855" s="217" t="s">
        <v>48</v>
      </c>
      <c r="D855" s="217" t="s">
        <v>47</v>
      </c>
      <c r="E855" s="217" t="s">
        <v>62</v>
      </c>
      <c r="F855" s="217" t="s">
        <v>61</v>
      </c>
      <c r="G855" s="217" t="s">
        <v>511</v>
      </c>
      <c r="H855" s="217" t="s">
        <v>1374</v>
      </c>
      <c r="I855" s="217" t="s">
        <v>29</v>
      </c>
      <c r="J855" s="217" t="s">
        <v>1857</v>
      </c>
      <c r="K855" s="217">
        <v>31</v>
      </c>
      <c r="L855" s="217">
        <v>171</v>
      </c>
      <c r="M855" s="217" t="s">
        <v>31</v>
      </c>
      <c r="N855" s="217" t="s">
        <v>32</v>
      </c>
      <c r="O855" s="217" t="s">
        <v>68</v>
      </c>
      <c r="P855" s="217" t="s">
        <v>34</v>
      </c>
      <c r="Q855" s="217" t="s">
        <v>35</v>
      </c>
      <c r="R855" s="217" t="s">
        <v>23</v>
      </c>
      <c r="S855" s="217" t="s">
        <v>22</v>
      </c>
      <c r="T855" s="217" t="s">
        <v>47</v>
      </c>
      <c r="U855" s="217" t="s">
        <v>48</v>
      </c>
      <c r="V855" s="217" t="s">
        <v>231</v>
      </c>
      <c r="W855" s="217" t="s">
        <v>232</v>
      </c>
    </row>
    <row r="856" spans="1:23" x14ac:dyDescent="0.25">
      <c r="A856" s="217" t="s">
        <v>22</v>
      </c>
      <c r="B856" s="217" t="s">
        <v>23</v>
      </c>
      <c r="C856" s="217" t="s">
        <v>48</v>
      </c>
      <c r="D856" s="217" t="s">
        <v>47</v>
      </c>
      <c r="E856" s="217" t="s">
        <v>62</v>
      </c>
      <c r="F856" s="217" t="s">
        <v>61</v>
      </c>
      <c r="G856" s="217" t="s">
        <v>512</v>
      </c>
      <c r="H856" s="217" t="s">
        <v>1375</v>
      </c>
      <c r="I856" s="217" t="s">
        <v>29</v>
      </c>
      <c r="J856" s="217" t="s">
        <v>1854</v>
      </c>
      <c r="K856" s="217">
        <v>59</v>
      </c>
      <c r="L856" s="217">
        <v>291</v>
      </c>
      <c r="M856" s="217" t="s">
        <v>31</v>
      </c>
      <c r="N856" s="217" t="s">
        <v>32</v>
      </c>
      <c r="O856" s="217" t="s">
        <v>68</v>
      </c>
      <c r="P856" s="217" t="s">
        <v>34</v>
      </c>
      <c r="Q856" s="217" t="s">
        <v>35</v>
      </c>
      <c r="R856" s="217" t="s">
        <v>23</v>
      </c>
      <c r="S856" s="217" t="s">
        <v>22</v>
      </c>
      <c r="T856" s="217" t="s">
        <v>47</v>
      </c>
      <c r="U856" s="217" t="s">
        <v>48</v>
      </c>
      <c r="V856" s="217" t="s">
        <v>231</v>
      </c>
      <c r="W856" s="217" t="s">
        <v>232</v>
      </c>
    </row>
    <row r="857" spans="1:23" x14ac:dyDescent="0.25">
      <c r="A857" s="217" t="s">
        <v>22</v>
      </c>
      <c r="B857" s="217" t="s">
        <v>23</v>
      </c>
      <c r="C857" s="217" t="s">
        <v>48</v>
      </c>
      <c r="D857" s="217" t="s">
        <v>47</v>
      </c>
      <c r="E857" s="217" t="s">
        <v>62</v>
      </c>
      <c r="F857" s="217" t="s">
        <v>61</v>
      </c>
      <c r="G857" s="217" t="s">
        <v>512</v>
      </c>
      <c r="H857" s="217" t="s">
        <v>1375</v>
      </c>
      <c r="I857" s="217" t="s">
        <v>29</v>
      </c>
      <c r="J857" s="217" t="s">
        <v>1855</v>
      </c>
      <c r="K857" s="217">
        <v>192</v>
      </c>
      <c r="L857" s="217">
        <v>314</v>
      </c>
      <c r="M857" s="217" t="s">
        <v>31</v>
      </c>
      <c r="N857" s="217" t="s">
        <v>32</v>
      </c>
      <c r="O857" s="217" t="s">
        <v>68</v>
      </c>
      <c r="P857" s="217" t="s">
        <v>34</v>
      </c>
      <c r="Q857" s="217" t="s">
        <v>35</v>
      </c>
      <c r="R857" s="217" t="s">
        <v>23</v>
      </c>
      <c r="S857" s="217" t="s">
        <v>22</v>
      </c>
      <c r="T857" s="217" t="s">
        <v>47</v>
      </c>
      <c r="U857" s="217" t="s">
        <v>48</v>
      </c>
      <c r="V857" s="217" t="s">
        <v>231</v>
      </c>
      <c r="W857" s="217" t="s">
        <v>232</v>
      </c>
    </row>
    <row r="858" spans="1:23" x14ac:dyDescent="0.25">
      <c r="A858" s="217" t="s">
        <v>22</v>
      </c>
      <c r="B858" s="217" t="s">
        <v>23</v>
      </c>
      <c r="C858" s="217" t="s">
        <v>48</v>
      </c>
      <c r="D858" s="217" t="s">
        <v>47</v>
      </c>
      <c r="E858" s="217" t="s">
        <v>62</v>
      </c>
      <c r="F858" s="217" t="s">
        <v>61</v>
      </c>
      <c r="G858" s="217" t="s">
        <v>512</v>
      </c>
      <c r="H858" s="217" t="s">
        <v>1375</v>
      </c>
      <c r="I858" s="217" t="s">
        <v>29</v>
      </c>
      <c r="J858" s="217" t="s">
        <v>1856</v>
      </c>
      <c r="K858" s="217">
        <v>243</v>
      </c>
      <c r="L858" s="217">
        <v>491</v>
      </c>
      <c r="M858" s="217" t="s">
        <v>31</v>
      </c>
      <c r="N858" s="217" t="s">
        <v>32</v>
      </c>
      <c r="O858" s="217" t="s">
        <v>68</v>
      </c>
      <c r="P858" s="217" t="s">
        <v>34</v>
      </c>
      <c r="Q858" s="217" t="s">
        <v>35</v>
      </c>
      <c r="R858" s="217" t="s">
        <v>23</v>
      </c>
      <c r="S858" s="217" t="s">
        <v>22</v>
      </c>
      <c r="T858" s="217" t="s">
        <v>47</v>
      </c>
      <c r="U858" s="217" t="s">
        <v>48</v>
      </c>
      <c r="V858" s="217" t="s">
        <v>231</v>
      </c>
      <c r="W858" s="217" t="s">
        <v>232</v>
      </c>
    </row>
    <row r="859" spans="1:23" x14ac:dyDescent="0.25">
      <c r="A859" s="217" t="s">
        <v>22</v>
      </c>
      <c r="B859" s="217" t="s">
        <v>23</v>
      </c>
      <c r="C859" s="217" t="s">
        <v>48</v>
      </c>
      <c r="D859" s="217" t="s">
        <v>47</v>
      </c>
      <c r="E859" s="217" t="s">
        <v>62</v>
      </c>
      <c r="F859" s="217" t="s">
        <v>61</v>
      </c>
      <c r="G859" s="217" t="s">
        <v>512</v>
      </c>
      <c r="H859" s="217" t="s">
        <v>1375</v>
      </c>
      <c r="I859" s="217" t="s">
        <v>29</v>
      </c>
      <c r="J859" s="217" t="s">
        <v>1857</v>
      </c>
      <c r="K859" s="217">
        <v>174</v>
      </c>
      <c r="L859" s="217">
        <v>416</v>
      </c>
      <c r="M859" s="217" t="s">
        <v>31</v>
      </c>
      <c r="N859" s="217" t="s">
        <v>32</v>
      </c>
      <c r="O859" s="217" t="s">
        <v>68</v>
      </c>
      <c r="P859" s="217" t="s">
        <v>34</v>
      </c>
      <c r="Q859" s="217" t="s">
        <v>35</v>
      </c>
      <c r="R859" s="217" t="s">
        <v>23</v>
      </c>
      <c r="S859" s="217" t="s">
        <v>22</v>
      </c>
      <c r="T859" s="217" t="s">
        <v>47</v>
      </c>
      <c r="U859" s="217" t="s">
        <v>48</v>
      </c>
      <c r="V859" s="217" t="s">
        <v>231</v>
      </c>
      <c r="W859" s="217" t="s">
        <v>232</v>
      </c>
    </row>
    <row r="860" spans="1:23" x14ac:dyDescent="0.25">
      <c r="A860" s="217" t="s">
        <v>22</v>
      </c>
      <c r="B860" s="217" t="s">
        <v>23</v>
      </c>
      <c r="C860" s="217" t="s">
        <v>48</v>
      </c>
      <c r="D860" s="217" t="s">
        <v>47</v>
      </c>
      <c r="E860" s="217" t="s">
        <v>62</v>
      </c>
      <c r="F860" s="217" t="s">
        <v>61</v>
      </c>
      <c r="G860" s="217" t="s">
        <v>837</v>
      </c>
      <c r="H860" s="217" t="s">
        <v>1376</v>
      </c>
      <c r="I860" s="217" t="s">
        <v>29</v>
      </c>
      <c r="J860" s="217" t="s">
        <v>1855</v>
      </c>
      <c r="K860" s="217">
        <v>412</v>
      </c>
      <c r="L860" s="217">
        <v>2021</v>
      </c>
      <c r="M860" s="217" t="s">
        <v>31</v>
      </c>
      <c r="N860" s="217" t="s">
        <v>32</v>
      </c>
      <c r="O860" s="217" t="s">
        <v>68</v>
      </c>
      <c r="P860" s="217" t="s">
        <v>34</v>
      </c>
      <c r="Q860" s="217" t="s">
        <v>35</v>
      </c>
      <c r="R860" s="217" t="s">
        <v>23</v>
      </c>
      <c r="S860" s="217" t="s">
        <v>22</v>
      </c>
      <c r="T860" s="217" t="s">
        <v>47</v>
      </c>
      <c r="U860" s="217" t="s">
        <v>48</v>
      </c>
      <c r="V860" s="217" t="s">
        <v>231</v>
      </c>
      <c r="W860" s="217" t="s">
        <v>232</v>
      </c>
    </row>
    <row r="861" spans="1:23" x14ac:dyDescent="0.25">
      <c r="A861" s="217" t="s">
        <v>22</v>
      </c>
      <c r="B861" s="217" t="s">
        <v>23</v>
      </c>
      <c r="C861" s="217" t="s">
        <v>48</v>
      </c>
      <c r="D861" s="217" t="s">
        <v>47</v>
      </c>
      <c r="E861" s="217" t="s">
        <v>62</v>
      </c>
      <c r="F861" s="217" t="s">
        <v>61</v>
      </c>
      <c r="G861" s="217" t="s">
        <v>837</v>
      </c>
      <c r="H861" s="217" t="s">
        <v>1376</v>
      </c>
      <c r="I861" s="217" t="s">
        <v>29</v>
      </c>
      <c r="J861" s="217" t="s">
        <v>1856</v>
      </c>
      <c r="K861" s="217">
        <v>719</v>
      </c>
      <c r="L861" s="217">
        <v>5671</v>
      </c>
      <c r="M861" s="217" t="s">
        <v>31</v>
      </c>
      <c r="N861" s="217" t="s">
        <v>32</v>
      </c>
      <c r="O861" s="217" t="s">
        <v>68</v>
      </c>
      <c r="P861" s="217" t="s">
        <v>34</v>
      </c>
      <c r="Q861" s="217" t="s">
        <v>35</v>
      </c>
      <c r="R861" s="217" t="s">
        <v>23</v>
      </c>
      <c r="S861" s="217" t="s">
        <v>22</v>
      </c>
      <c r="T861" s="217" t="s">
        <v>47</v>
      </c>
      <c r="U861" s="217" t="s">
        <v>48</v>
      </c>
      <c r="V861" s="217" t="s">
        <v>231</v>
      </c>
      <c r="W861" s="217" t="s">
        <v>232</v>
      </c>
    </row>
    <row r="862" spans="1:23" x14ac:dyDescent="0.25">
      <c r="A862" s="217" t="s">
        <v>22</v>
      </c>
      <c r="B862" s="217" t="s">
        <v>23</v>
      </c>
      <c r="C862" s="217" t="s">
        <v>48</v>
      </c>
      <c r="D862" s="217" t="s">
        <v>47</v>
      </c>
      <c r="E862" s="217" t="s">
        <v>62</v>
      </c>
      <c r="F862" s="217" t="s">
        <v>61</v>
      </c>
      <c r="G862" s="217" t="s">
        <v>837</v>
      </c>
      <c r="H862" s="217" t="s">
        <v>1376</v>
      </c>
      <c r="I862" s="217" t="s">
        <v>29</v>
      </c>
      <c r="J862" s="217" t="s">
        <v>1857</v>
      </c>
      <c r="K862" s="217">
        <v>525</v>
      </c>
      <c r="L862" s="217">
        <v>2199</v>
      </c>
      <c r="M862" s="217" t="s">
        <v>31</v>
      </c>
      <c r="N862" s="217" t="s">
        <v>32</v>
      </c>
      <c r="O862" s="217" t="s">
        <v>100</v>
      </c>
      <c r="P862" s="217" t="s">
        <v>34</v>
      </c>
      <c r="Q862" s="217" t="s">
        <v>35</v>
      </c>
      <c r="R862" s="217" t="s">
        <v>23</v>
      </c>
      <c r="S862" s="217" t="s">
        <v>22</v>
      </c>
      <c r="T862" s="217" t="s">
        <v>47</v>
      </c>
      <c r="U862" s="217" t="s">
        <v>48</v>
      </c>
      <c r="V862" s="217" t="s">
        <v>61</v>
      </c>
      <c r="W862" s="217" t="s">
        <v>62</v>
      </c>
    </row>
    <row r="863" spans="1:23" x14ac:dyDescent="0.25">
      <c r="A863" s="217" t="s">
        <v>22</v>
      </c>
      <c r="B863" s="217" t="s">
        <v>23</v>
      </c>
      <c r="C863" s="217" t="s">
        <v>48</v>
      </c>
      <c r="D863" s="217" t="s">
        <v>47</v>
      </c>
      <c r="E863" s="217" t="s">
        <v>62</v>
      </c>
      <c r="F863" s="217" t="s">
        <v>61</v>
      </c>
      <c r="G863" s="217" t="s">
        <v>837</v>
      </c>
      <c r="H863" s="217" t="s">
        <v>1376</v>
      </c>
      <c r="I863" s="217" t="s">
        <v>29</v>
      </c>
      <c r="J863" s="217" t="s">
        <v>1858</v>
      </c>
      <c r="K863" s="217">
        <v>60</v>
      </c>
      <c r="L863" s="217">
        <v>512</v>
      </c>
      <c r="M863" s="217" t="s">
        <v>31</v>
      </c>
      <c r="N863" s="217" t="s">
        <v>32</v>
      </c>
      <c r="O863" s="217" t="s">
        <v>33</v>
      </c>
      <c r="P863" s="217" t="s">
        <v>34</v>
      </c>
      <c r="Q863" s="217" t="s">
        <v>35</v>
      </c>
      <c r="R863" s="217" t="s">
        <v>23</v>
      </c>
      <c r="S863" s="217" t="s">
        <v>22</v>
      </c>
      <c r="T863" s="217" t="s">
        <v>84</v>
      </c>
      <c r="U863" s="217" t="s">
        <v>85</v>
      </c>
      <c r="V863" s="217" t="s">
        <v>174</v>
      </c>
      <c r="W863" s="217" t="s">
        <v>175</v>
      </c>
    </row>
    <row r="864" spans="1:23" x14ac:dyDescent="0.25">
      <c r="A864" s="217" t="s">
        <v>22</v>
      </c>
      <c r="B864" s="217" t="s">
        <v>23</v>
      </c>
      <c r="C864" s="217" t="s">
        <v>48</v>
      </c>
      <c r="D864" s="217" t="s">
        <v>47</v>
      </c>
      <c r="E864" s="217" t="s">
        <v>62</v>
      </c>
      <c r="F864" s="217" t="s">
        <v>61</v>
      </c>
      <c r="G864" s="217" t="s">
        <v>513</v>
      </c>
      <c r="H864" s="217" t="s">
        <v>1377</v>
      </c>
      <c r="I864" s="217" t="s">
        <v>29</v>
      </c>
      <c r="J864" s="217" t="s">
        <v>1854</v>
      </c>
      <c r="K864" s="217">
        <v>32</v>
      </c>
      <c r="L864" s="217">
        <v>192</v>
      </c>
      <c r="M864" s="217" t="s">
        <v>31</v>
      </c>
      <c r="N864" s="217" t="s">
        <v>32</v>
      </c>
      <c r="O864" s="217" t="s">
        <v>68</v>
      </c>
      <c r="P864" s="217" t="s">
        <v>34</v>
      </c>
      <c r="Q864" s="217" t="s">
        <v>35</v>
      </c>
      <c r="R864" s="217" t="s">
        <v>23</v>
      </c>
      <c r="S864" s="217" t="s">
        <v>22</v>
      </c>
      <c r="T864" s="217" t="s">
        <v>47</v>
      </c>
      <c r="U864" s="217" t="s">
        <v>48</v>
      </c>
      <c r="V864" s="217" t="s">
        <v>231</v>
      </c>
      <c r="W864" s="217" t="s">
        <v>232</v>
      </c>
    </row>
    <row r="865" spans="1:23" x14ac:dyDescent="0.25">
      <c r="A865" s="217" t="s">
        <v>22</v>
      </c>
      <c r="B865" s="217" t="s">
        <v>23</v>
      </c>
      <c r="C865" s="217" t="s">
        <v>48</v>
      </c>
      <c r="D865" s="217" t="s">
        <v>47</v>
      </c>
      <c r="E865" s="217" t="s">
        <v>62</v>
      </c>
      <c r="F865" s="217" t="s">
        <v>61</v>
      </c>
      <c r="G865" s="217" t="s">
        <v>513</v>
      </c>
      <c r="H865" s="217" t="s">
        <v>1377</v>
      </c>
      <c r="I865" s="217" t="s">
        <v>29</v>
      </c>
      <c r="J865" s="217" t="s">
        <v>1855</v>
      </c>
      <c r="K865" s="217">
        <v>88</v>
      </c>
      <c r="L865" s="217">
        <v>439</v>
      </c>
      <c r="M865" s="217" t="s">
        <v>31</v>
      </c>
      <c r="N865" s="217" t="s">
        <v>32</v>
      </c>
      <c r="O865" s="217" t="s">
        <v>68</v>
      </c>
      <c r="P865" s="217" t="s">
        <v>34</v>
      </c>
      <c r="Q865" s="217" t="s">
        <v>35</v>
      </c>
      <c r="R865" s="217" t="s">
        <v>23</v>
      </c>
      <c r="S865" s="217" t="s">
        <v>22</v>
      </c>
      <c r="T865" s="217" t="s">
        <v>47</v>
      </c>
      <c r="U865" s="217" t="s">
        <v>48</v>
      </c>
      <c r="V865" s="217" t="s">
        <v>231</v>
      </c>
      <c r="W865" s="217" t="s">
        <v>232</v>
      </c>
    </row>
    <row r="866" spans="1:23" x14ac:dyDescent="0.25">
      <c r="A866" s="217" t="s">
        <v>22</v>
      </c>
      <c r="B866" s="217" t="s">
        <v>23</v>
      </c>
      <c r="C866" s="217" t="s">
        <v>48</v>
      </c>
      <c r="D866" s="217" t="s">
        <v>47</v>
      </c>
      <c r="E866" s="217" t="s">
        <v>62</v>
      </c>
      <c r="F866" s="217" t="s">
        <v>61</v>
      </c>
      <c r="G866" s="217" t="s">
        <v>513</v>
      </c>
      <c r="H866" s="217" t="s">
        <v>1377</v>
      </c>
      <c r="I866" s="217" t="s">
        <v>29</v>
      </c>
      <c r="J866" s="217" t="s">
        <v>1856</v>
      </c>
      <c r="K866" s="217">
        <v>78</v>
      </c>
      <c r="L866" s="217">
        <v>254</v>
      </c>
      <c r="M866" s="217" t="s">
        <v>31</v>
      </c>
      <c r="N866" s="217" t="s">
        <v>32</v>
      </c>
      <c r="O866" s="217" t="s">
        <v>68</v>
      </c>
      <c r="P866" s="217" t="s">
        <v>34</v>
      </c>
      <c r="Q866" s="217" t="s">
        <v>35</v>
      </c>
      <c r="R866" s="217" t="s">
        <v>23</v>
      </c>
      <c r="S866" s="217" t="s">
        <v>22</v>
      </c>
      <c r="T866" s="217" t="s">
        <v>47</v>
      </c>
      <c r="U866" s="217" t="s">
        <v>48</v>
      </c>
      <c r="V866" s="217" t="s">
        <v>61</v>
      </c>
      <c r="W866" s="217" t="s">
        <v>62</v>
      </c>
    </row>
    <row r="867" spans="1:23" x14ac:dyDescent="0.25">
      <c r="A867" s="217" t="s">
        <v>22</v>
      </c>
      <c r="B867" s="217" t="s">
        <v>23</v>
      </c>
      <c r="C867" s="217" t="s">
        <v>48</v>
      </c>
      <c r="D867" s="217" t="s">
        <v>47</v>
      </c>
      <c r="E867" s="217" t="s">
        <v>62</v>
      </c>
      <c r="F867" s="217" t="s">
        <v>61</v>
      </c>
      <c r="G867" s="217" t="s">
        <v>513</v>
      </c>
      <c r="H867" s="217" t="s">
        <v>1377</v>
      </c>
      <c r="I867" s="217" t="s">
        <v>29</v>
      </c>
      <c r="J867" s="217" t="s">
        <v>1857</v>
      </c>
      <c r="K867" s="217">
        <v>347</v>
      </c>
      <c r="L867" s="217">
        <v>2167</v>
      </c>
      <c r="M867" s="217" t="s">
        <v>31</v>
      </c>
      <c r="N867" s="217" t="s">
        <v>32</v>
      </c>
      <c r="O867" s="217" t="s">
        <v>68</v>
      </c>
      <c r="P867" s="217" t="s">
        <v>34</v>
      </c>
      <c r="Q867" s="217" t="s">
        <v>35</v>
      </c>
      <c r="R867" s="217" t="s">
        <v>23</v>
      </c>
      <c r="S867" s="217" t="s">
        <v>22</v>
      </c>
      <c r="T867" s="217" t="s">
        <v>47</v>
      </c>
      <c r="U867" s="217" t="s">
        <v>48</v>
      </c>
      <c r="V867" s="217" t="s">
        <v>231</v>
      </c>
      <c r="W867" s="217" t="s">
        <v>232</v>
      </c>
    </row>
    <row r="868" spans="1:23" x14ac:dyDescent="0.25">
      <c r="A868" s="217" t="s">
        <v>22</v>
      </c>
      <c r="B868" s="217" t="s">
        <v>23</v>
      </c>
      <c r="C868" s="217" t="s">
        <v>48</v>
      </c>
      <c r="D868" s="217" t="s">
        <v>47</v>
      </c>
      <c r="E868" s="217" t="s">
        <v>62</v>
      </c>
      <c r="F868" s="217" t="s">
        <v>61</v>
      </c>
      <c r="G868" s="217" t="s">
        <v>513</v>
      </c>
      <c r="H868" s="217" t="s">
        <v>1377</v>
      </c>
      <c r="I868" s="217" t="s">
        <v>29</v>
      </c>
      <c r="J868" s="217" t="s">
        <v>1858</v>
      </c>
      <c r="K868" s="217">
        <v>9</v>
      </c>
      <c r="L868" s="217">
        <v>37</v>
      </c>
      <c r="M868" s="217" t="s">
        <v>31</v>
      </c>
      <c r="N868" s="217" t="s">
        <v>32</v>
      </c>
      <c r="O868" s="217" t="s">
        <v>68</v>
      </c>
      <c r="P868" s="217" t="s">
        <v>34</v>
      </c>
      <c r="Q868" s="217" t="s">
        <v>35</v>
      </c>
      <c r="R868" s="217" t="s">
        <v>23</v>
      </c>
      <c r="S868" s="217" t="s">
        <v>22</v>
      </c>
      <c r="T868" s="217" t="s">
        <v>47</v>
      </c>
      <c r="U868" s="217" t="s">
        <v>48</v>
      </c>
      <c r="V868" s="217" t="s">
        <v>231</v>
      </c>
      <c r="W868" s="217" t="s">
        <v>232</v>
      </c>
    </row>
    <row r="869" spans="1:23" x14ac:dyDescent="0.25">
      <c r="A869" s="217" t="s">
        <v>22</v>
      </c>
      <c r="B869" s="217" t="s">
        <v>23</v>
      </c>
      <c r="C869" s="217" t="s">
        <v>48</v>
      </c>
      <c r="D869" s="217" t="s">
        <v>47</v>
      </c>
      <c r="E869" s="217" t="s">
        <v>62</v>
      </c>
      <c r="F869" s="217" t="s">
        <v>61</v>
      </c>
      <c r="G869" s="217" t="s">
        <v>838</v>
      </c>
      <c r="H869" s="217" t="s">
        <v>1586</v>
      </c>
      <c r="I869" s="217" t="s">
        <v>29</v>
      </c>
      <c r="J869" s="217" t="s">
        <v>1857</v>
      </c>
      <c r="K869" s="217">
        <v>2</v>
      </c>
      <c r="L869" s="217">
        <v>17</v>
      </c>
      <c r="M869" s="217" t="s">
        <v>31</v>
      </c>
      <c r="N869" s="217" t="s">
        <v>32</v>
      </c>
      <c r="O869" s="217" t="s">
        <v>68</v>
      </c>
      <c r="P869" s="217" t="s">
        <v>34</v>
      </c>
      <c r="Q869" s="217" t="s">
        <v>35</v>
      </c>
      <c r="R869" s="217" t="s">
        <v>23</v>
      </c>
      <c r="S869" s="217" t="s">
        <v>22</v>
      </c>
      <c r="T869" s="217" t="s">
        <v>47</v>
      </c>
      <c r="U869" s="217" t="s">
        <v>48</v>
      </c>
      <c r="V869" s="217" t="s">
        <v>231</v>
      </c>
      <c r="W869" s="217" t="s">
        <v>232</v>
      </c>
    </row>
    <row r="870" spans="1:23" x14ac:dyDescent="0.25">
      <c r="A870" s="217" t="s">
        <v>22</v>
      </c>
      <c r="B870" s="217" t="s">
        <v>23</v>
      </c>
      <c r="C870" s="217" t="s">
        <v>48</v>
      </c>
      <c r="D870" s="217" t="s">
        <v>47</v>
      </c>
      <c r="E870" s="217" t="s">
        <v>62</v>
      </c>
      <c r="F870" s="217" t="s">
        <v>61</v>
      </c>
      <c r="G870" s="217" t="s">
        <v>840</v>
      </c>
      <c r="H870" s="217" t="s">
        <v>1378</v>
      </c>
      <c r="I870" s="217" t="s">
        <v>29</v>
      </c>
      <c r="J870" s="217" t="s">
        <v>1855</v>
      </c>
      <c r="K870" s="217">
        <v>6</v>
      </c>
      <c r="L870" s="217">
        <v>34</v>
      </c>
      <c r="M870" s="217" t="s">
        <v>31</v>
      </c>
      <c r="N870" s="217" t="s">
        <v>32</v>
      </c>
      <c r="O870" s="217" t="s">
        <v>68</v>
      </c>
      <c r="P870" s="217" t="s">
        <v>34</v>
      </c>
      <c r="Q870" s="217" t="s">
        <v>35</v>
      </c>
      <c r="R870" s="217" t="s">
        <v>23</v>
      </c>
      <c r="S870" s="217" t="s">
        <v>22</v>
      </c>
      <c r="T870" s="217" t="s">
        <v>47</v>
      </c>
      <c r="U870" s="217" t="s">
        <v>48</v>
      </c>
      <c r="V870" s="217" t="s">
        <v>61</v>
      </c>
      <c r="W870" s="217" t="s">
        <v>62</v>
      </c>
    </row>
    <row r="871" spans="1:23" x14ac:dyDescent="0.25">
      <c r="A871" s="217" t="s">
        <v>22</v>
      </c>
      <c r="B871" s="217" t="s">
        <v>23</v>
      </c>
      <c r="C871" s="217" t="s">
        <v>48</v>
      </c>
      <c r="D871" s="217" t="s">
        <v>47</v>
      </c>
      <c r="E871" s="217" t="s">
        <v>62</v>
      </c>
      <c r="F871" s="217" t="s">
        <v>61</v>
      </c>
      <c r="G871" s="217" t="s">
        <v>840</v>
      </c>
      <c r="H871" s="217" t="s">
        <v>1378</v>
      </c>
      <c r="I871" s="217" t="s">
        <v>29</v>
      </c>
      <c r="J871" s="217" t="s">
        <v>1856</v>
      </c>
      <c r="K871" s="217">
        <v>15</v>
      </c>
      <c r="L871" s="217">
        <v>131</v>
      </c>
      <c r="M871" s="217" t="s">
        <v>31</v>
      </c>
      <c r="N871" s="217" t="s">
        <v>32</v>
      </c>
      <c r="O871" s="217" t="s">
        <v>68</v>
      </c>
      <c r="P871" s="217" t="s">
        <v>34</v>
      </c>
      <c r="Q871" s="217" t="s">
        <v>35</v>
      </c>
      <c r="R871" s="217" t="s">
        <v>23</v>
      </c>
      <c r="S871" s="217" t="s">
        <v>22</v>
      </c>
      <c r="T871" s="217" t="s">
        <v>47</v>
      </c>
      <c r="U871" s="217" t="s">
        <v>48</v>
      </c>
      <c r="V871" s="217" t="s">
        <v>231</v>
      </c>
      <c r="W871" s="217" t="s">
        <v>232</v>
      </c>
    </row>
    <row r="872" spans="1:23" x14ac:dyDescent="0.25">
      <c r="A872" s="217" t="s">
        <v>22</v>
      </c>
      <c r="B872" s="217" t="s">
        <v>23</v>
      </c>
      <c r="C872" s="217" t="s">
        <v>48</v>
      </c>
      <c r="D872" s="217" t="s">
        <v>47</v>
      </c>
      <c r="E872" s="217" t="s">
        <v>62</v>
      </c>
      <c r="F872" s="217" t="s">
        <v>61</v>
      </c>
      <c r="G872" s="217" t="s">
        <v>840</v>
      </c>
      <c r="H872" s="217" t="s">
        <v>1378</v>
      </c>
      <c r="I872" s="217" t="s">
        <v>29</v>
      </c>
      <c r="J872" s="217" t="s">
        <v>1857</v>
      </c>
      <c r="K872" s="217">
        <v>10</v>
      </c>
      <c r="L872" s="217">
        <v>79</v>
      </c>
      <c r="M872" s="217" t="s">
        <v>31</v>
      </c>
      <c r="N872" s="217" t="s">
        <v>32</v>
      </c>
      <c r="O872" s="217" t="s">
        <v>68</v>
      </c>
      <c r="P872" s="217" t="s">
        <v>34</v>
      </c>
      <c r="Q872" s="217" t="s">
        <v>35</v>
      </c>
      <c r="R872" s="217" t="s">
        <v>23</v>
      </c>
      <c r="S872" s="217" t="s">
        <v>22</v>
      </c>
      <c r="T872" s="217" t="s">
        <v>47</v>
      </c>
      <c r="U872" s="217" t="s">
        <v>48</v>
      </c>
      <c r="V872" s="217" t="s">
        <v>61</v>
      </c>
      <c r="W872" s="217" t="s">
        <v>62</v>
      </c>
    </row>
    <row r="873" spans="1:23" x14ac:dyDescent="0.25">
      <c r="A873" s="217" t="s">
        <v>22</v>
      </c>
      <c r="B873" s="217" t="s">
        <v>23</v>
      </c>
      <c r="C873" s="217" t="s">
        <v>48</v>
      </c>
      <c r="D873" s="217" t="s">
        <v>47</v>
      </c>
      <c r="E873" s="217" t="s">
        <v>62</v>
      </c>
      <c r="F873" s="217" t="s">
        <v>61</v>
      </c>
      <c r="G873" s="217" t="s">
        <v>840</v>
      </c>
      <c r="H873" s="217" t="s">
        <v>1378</v>
      </c>
      <c r="I873" s="217" t="s">
        <v>29</v>
      </c>
      <c r="J873" s="217" t="s">
        <v>1858</v>
      </c>
      <c r="K873" s="217">
        <v>32</v>
      </c>
      <c r="L873" s="217">
        <v>277</v>
      </c>
      <c r="M873" s="217" t="s">
        <v>31</v>
      </c>
      <c r="N873" s="217" t="s">
        <v>32</v>
      </c>
      <c r="O873" s="217" t="s">
        <v>68</v>
      </c>
      <c r="P873" s="217" t="s">
        <v>34</v>
      </c>
      <c r="Q873" s="217" t="s">
        <v>35</v>
      </c>
      <c r="R873" s="217" t="s">
        <v>23</v>
      </c>
      <c r="S873" s="217" t="s">
        <v>22</v>
      </c>
      <c r="T873" s="217" t="s">
        <v>47</v>
      </c>
      <c r="U873" s="217" t="s">
        <v>48</v>
      </c>
      <c r="V873" s="217" t="s">
        <v>61</v>
      </c>
      <c r="W873" s="217" t="s">
        <v>62</v>
      </c>
    </row>
    <row r="874" spans="1:23" x14ac:dyDescent="0.25">
      <c r="A874" s="217" t="s">
        <v>22</v>
      </c>
      <c r="B874" s="217" t="s">
        <v>23</v>
      </c>
      <c r="C874" s="217" t="s">
        <v>48</v>
      </c>
      <c r="D874" s="217" t="s">
        <v>47</v>
      </c>
      <c r="E874" s="217" t="s">
        <v>62</v>
      </c>
      <c r="F874" s="217" t="s">
        <v>61</v>
      </c>
      <c r="G874" s="217" t="s">
        <v>514</v>
      </c>
      <c r="H874" s="217" t="s">
        <v>1379</v>
      </c>
      <c r="I874" s="217" t="s">
        <v>29</v>
      </c>
      <c r="J874" s="217" t="s">
        <v>1854</v>
      </c>
      <c r="K874" s="217">
        <v>9</v>
      </c>
      <c r="L874" s="217">
        <v>49</v>
      </c>
      <c r="M874" s="217" t="s">
        <v>31</v>
      </c>
      <c r="N874" s="217" t="s">
        <v>32</v>
      </c>
      <c r="O874" s="217" t="s">
        <v>68</v>
      </c>
      <c r="P874" s="217" t="s">
        <v>34</v>
      </c>
      <c r="Q874" s="217" t="s">
        <v>35</v>
      </c>
      <c r="R874" s="217" t="s">
        <v>23</v>
      </c>
      <c r="S874" s="217" t="s">
        <v>22</v>
      </c>
      <c r="T874" s="217" t="s">
        <v>47</v>
      </c>
      <c r="U874" s="217" t="s">
        <v>48</v>
      </c>
      <c r="V874" s="217" t="s">
        <v>231</v>
      </c>
      <c r="W874" s="217" t="s">
        <v>232</v>
      </c>
    </row>
    <row r="875" spans="1:23" x14ac:dyDescent="0.25">
      <c r="A875" s="217" t="s">
        <v>22</v>
      </c>
      <c r="B875" s="217" t="s">
        <v>23</v>
      </c>
      <c r="C875" s="217" t="s">
        <v>48</v>
      </c>
      <c r="D875" s="217" t="s">
        <v>47</v>
      </c>
      <c r="E875" s="217" t="s">
        <v>62</v>
      </c>
      <c r="F875" s="217" t="s">
        <v>61</v>
      </c>
      <c r="G875" s="217" t="s">
        <v>514</v>
      </c>
      <c r="H875" s="217" t="s">
        <v>1379</v>
      </c>
      <c r="I875" s="217" t="s">
        <v>29</v>
      </c>
      <c r="J875" s="217" t="s">
        <v>1855</v>
      </c>
      <c r="K875" s="217">
        <v>19</v>
      </c>
      <c r="L875" s="217">
        <v>119</v>
      </c>
      <c r="M875" s="217" t="s">
        <v>31</v>
      </c>
      <c r="N875" s="217" t="s">
        <v>32</v>
      </c>
      <c r="O875" s="217" t="s">
        <v>68</v>
      </c>
      <c r="P875" s="217" t="s">
        <v>34</v>
      </c>
      <c r="Q875" s="217" t="s">
        <v>35</v>
      </c>
      <c r="R875" s="217" t="s">
        <v>23</v>
      </c>
      <c r="S875" s="217" t="s">
        <v>22</v>
      </c>
      <c r="T875" s="217" t="s">
        <v>47</v>
      </c>
      <c r="U875" s="217" t="s">
        <v>48</v>
      </c>
      <c r="V875" s="217" t="s">
        <v>231</v>
      </c>
      <c r="W875" s="217" t="s">
        <v>232</v>
      </c>
    </row>
    <row r="876" spans="1:23" x14ac:dyDescent="0.25">
      <c r="A876" s="217" t="s">
        <v>22</v>
      </c>
      <c r="B876" s="217" t="s">
        <v>23</v>
      </c>
      <c r="C876" s="217" t="s">
        <v>48</v>
      </c>
      <c r="D876" s="217" t="s">
        <v>47</v>
      </c>
      <c r="E876" s="217" t="s">
        <v>62</v>
      </c>
      <c r="F876" s="217" t="s">
        <v>61</v>
      </c>
      <c r="G876" s="217" t="s">
        <v>514</v>
      </c>
      <c r="H876" s="217" t="s">
        <v>1379</v>
      </c>
      <c r="I876" s="217" t="s">
        <v>29</v>
      </c>
      <c r="J876" s="217" t="s">
        <v>1856</v>
      </c>
      <c r="K876" s="217">
        <v>12</v>
      </c>
      <c r="L876" s="217">
        <v>82</v>
      </c>
      <c r="M876" s="217" t="s">
        <v>31</v>
      </c>
      <c r="N876" s="217" t="s">
        <v>32</v>
      </c>
      <c r="O876" s="217" t="s">
        <v>100</v>
      </c>
      <c r="P876" s="217" t="s">
        <v>34</v>
      </c>
      <c r="Q876" s="217" t="s">
        <v>35</v>
      </c>
      <c r="R876" s="217" t="s">
        <v>23</v>
      </c>
      <c r="S876" s="217" t="s">
        <v>22</v>
      </c>
      <c r="T876" s="217" t="s">
        <v>47</v>
      </c>
      <c r="U876" s="217" t="s">
        <v>48</v>
      </c>
      <c r="V876" s="217" t="s">
        <v>61</v>
      </c>
      <c r="W876" s="217" t="s">
        <v>62</v>
      </c>
    </row>
    <row r="877" spans="1:23" x14ac:dyDescent="0.25">
      <c r="A877" s="217" t="s">
        <v>22</v>
      </c>
      <c r="B877" s="217" t="s">
        <v>23</v>
      </c>
      <c r="C877" s="217" t="s">
        <v>48</v>
      </c>
      <c r="D877" s="217" t="s">
        <v>47</v>
      </c>
      <c r="E877" s="217" t="s">
        <v>62</v>
      </c>
      <c r="F877" s="217" t="s">
        <v>61</v>
      </c>
      <c r="G877" s="217" t="s">
        <v>514</v>
      </c>
      <c r="H877" s="217" t="s">
        <v>1379</v>
      </c>
      <c r="I877" s="217" t="s">
        <v>29</v>
      </c>
      <c r="J877" s="217" t="s">
        <v>1857</v>
      </c>
      <c r="K877" s="217">
        <v>8</v>
      </c>
      <c r="L877" s="217">
        <v>39</v>
      </c>
      <c r="M877" s="217" t="s">
        <v>31</v>
      </c>
      <c r="N877" s="217" t="s">
        <v>32</v>
      </c>
      <c r="O877" s="217" t="s">
        <v>68</v>
      </c>
      <c r="P877" s="217" t="s">
        <v>34</v>
      </c>
      <c r="Q877" s="217" t="s">
        <v>35</v>
      </c>
      <c r="R877" s="217" t="s">
        <v>23</v>
      </c>
      <c r="S877" s="217" t="s">
        <v>22</v>
      </c>
      <c r="T877" s="217" t="s">
        <v>47</v>
      </c>
      <c r="U877" s="217" t="s">
        <v>48</v>
      </c>
      <c r="V877" s="217" t="s">
        <v>231</v>
      </c>
      <c r="W877" s="217" t="s">
        <v>232</v>
      </c>
    </row>
    <row r="878" spans="1:23" x14ac:dyDescent="0.25">
      <c r="A878" s="217" t="s">
        <v>22</v>
      </c>
      <c r="B878" s="217" t="s">
        <v>23</v>
      </c>
      <c r="C878" s="217" t="s">
        <v>48</v>
      </c>
      <c r="D878" s="217" t="s">
        <v>47</v>
      </c>
      <c r="E878" s="217" t="s">
        <v>62</v>
      </c>
      <c r="F878" s="217" t="s">
        <v>61</v>
      </c>
      <c r="G878" s="217" t="s">
        <v>515</v>
      </c>
      <c r="H878" s="217" t="s">
        <v>1380</v>
      </c>
      <c r="I878" s="217" t="s">
        <v>29</v>
      </c>
      <c r="J878" s="217" t="s">
        <v>1854</v>
      </c>
      <c r="K878" s="217">
        <v>28</v>
      </c>
      <c r="L878" s="217">
        <v>102</v>
      </c>
      <c r="M878" s="217" t="s">
        <v>31</v>
      </c>
      <c r="N878" s="217" t="s">
        <v>32</v>
      </c>
      <c r="O878" s="217" t="s">
        <v>68</v>
      </c>
      <c r="P878" s="217" t="s">
        <v>34</v>
      </c>
      <c r="Q878" s="217" t="s">
        <v>35</v>
      </c>
      <c r="R878" s="217" t="s">
        <v>23</v>
      </c>
      <c r="S878" s="217" t="s">
        <v>22</v>
      </c>
      <c r="T878" s="217" t="s">
        <v>47</v>
      </c>
      <c r="U878" s="217" t="s">
        <v>48</v>
      </c>
      <c r="V878" s="217" t="s">
        <v>231</v>
      </c>
      <c r="W878" s="217" t="s">
        <v>232</v>
      </c>
    </row>
    <row r="879" spans="1:23" x14ac:dyDescent="0.25">
      <c r="A879" s="217" t="s">
        <v>22</v>
      </c>
      <c r="B879" s="217" t="s">
        <v>23</v>
      </c>
      <c r="C879" s="217" t="s">
        <v>48</v>
      </c>
      <c r="D879" s="217" t="s">
        <v>47</v>
      </c>
      <c r="E879" s="217" t="s">
        <v>62</v>
      </c>
      <c r="F879" s="217" t="s">
        <v>61</v>
      </c>
      <c r="G879" s="217" t="s">
        <v>515</v>
      </c>
      <c r="H879" s="217" t="s">
        <v>1380</v>
      </c>
      <c r="I879" s="217" t="s">
        <v>29</v>
      </c>
      <c r="J879" s="217" t="s">
        <v>1855</v>
      </c>
      <c r="K879" s="217">
        <v>36</v>
      </c>
      <c r="L879" s="217">
        <v>129</v>
      </c>
      <c r="M879" s="217" t="s">
        <v>31</v>
      </c>
      <c r="N879" s="217" t="s">
        <v>32</v>
      </c>
      <c r="O879" s="217" t="s">
        <v>68</v>
      </c>
      <c r="P879" s="217" t="s">
        <v>34</v>
      </c>
      <c r="Q879" s="217" t="s">
        <v>35</v>
      </c>
      <c r="R879" s="217" t="s">
        <v>23</v>
      </c>
      <c r="S879" s="217" t="s">
        <v>22</v>
      </c>
      <c r="T879" s="217" t="s">
        <v>47</v>
      </c>
      <c r="U879" s="217" t="s">
        <v>48</v>
      </c>
      <c r="V879" s="217" t="s">
        <v>231</v>
      </c>
      <c r="W879" s="217" t="s">
        <v>232</v>
      </c>
    </row>
    <row r="880" spans="1:23" x14ac:dyDescent="0.25">
      <c r="A880" s="217" t="s">
        <v>22</v>
      </c>
      <c r="B880" s="217" t="s">
        <v>23</v>
      </c>
      <c r="C880" s="217" t="s">
        <v>48</v>
      </c>
      <c r="D880" s="217" t="s">
        <v>47</v>
      </c>
      <c r="E880" s="217" t="s">
        <v>62</v>
      </c>
      <c r="F880" s="217" t="s">
        <v>61</v>
      </c>
      <c r="G880" s="217" t="s">
        <v>515</v>
      </c>
      <c r="H880" s="217" t="s">
        <v>1380</v>
      </c>
      <c r="I880" s="217" t="s">
        <v>29</v>
      </c>
      <c r="J880" s="217" t="s">
        <v>1856</v>
      </c>
      <c r="K880" s="217">
        <v>34</v>
      </c>
      <c r="L880" s="217">
        <v>113</v>
      </c>
      <c r="M880" s="217" t="s">
        <v>31</v>
      </c>
      <c r="N880" s="217" t="s">
        <v>32</v>
      </c>
      <c r="O880" s="217" t="s">
        <v>68</v>
      </c>
      <c r="P880" s="217" t="s">
        <v>34</v>
      </c>
      <c r="Q880" s="217" t="s">
        <v>35</v>
      </c>
      <c r="R880" s="217" t="s">
        <v>23</v>
      </c>
      <c r="S880" s="217" t="s">
        <v>22</v>
      </c>
      <c r="T880" s="217" t="s">
        <v>47</v>
      </c>
      <c r="U880" s="217" t="s">
        <v>48</v>
      </c>
      <c r="V880" s="217" t="s">
        <v>231</v>
      </c>
      <c r="W880" s="217" t="s">
        <v>232</v>
      </c>
    </row>
    <row r="881" spans="1:23" x14ac:dyDescent="0.25">
      <c r="A881" s="217" t="s">
        <v>22</v>
      </c>
      <c r="B881" s="217" t="s">
        <v>23</v>
      </c>
      <c r="C881" s="217" t="s">
        <v>48</v>
      </c>
      <c r="D881" s="217" t="s">
        <v>47</v>
      </c>
      <c r="E881" s="217" t="s">
        <v>62</v>
      </c>
      <c r="F881" s="217" t="s">
        <v>61</v>
      </c>
      <c r="G881" s="217" t="s">
        <v>515</v>
      </c>
      <c r="H881" s="217" t="s">
        <v>1380</v>
      </c>
      <c r="I881" s="217" t="s">
        <v>29</v>
      </c>
      <c r="J881" s="217" t="s">
        <v>1857</v>
      </c>
      <c r="K881" s="217">
        <v>38</v>
      </c>
      <c r="L881" s="217">
        <v>55</v>
      </c>
      <c r="M881" s="217" t="s">
        <v>31</v>
      </c>
      <c r="N881" s="217" t="s">
        <v>32</v>
      </c>
      <c r="O881" s="217" t="s">
        <v>68</v>
      </c>
      <c r="P881" s="217" t="s">
        <v>34</v>
      </c>
      <c r="Q881" s="217" t="s">
        <v>35</v>
      </c>
      <c r="R881" s="217" t="s">
        <v>23</v>
      </c>
      <c r="S881" s="217" t="s">
        <v>22</v>
      </c>
      <c r="T881" s="217" t="s">
        <v>47</v>
      </c>
      <c r="U881" s="217" t="s">
        <v>48</v>
      </c>
      <c r="V881" s="217" t="s">
        <v>231</v>
      </c>
      <c r="W881" s="217" t="s">
        <v>232</v>
      </c>
    </row>
    <row r="882" spans="1:23" x14ac:dyDescent="0.25">
      <c r="A882" s="217" t="s">
        <v>22</v>
      </c>
      <c r="B882" s="217" t="s">
        <v>23</v>
      </c>
      <c r="C882" s="217" t="s">
        <v>48</v>
      </c>
      <c r="D882" s="217" t="s">
        <v>47</v>
      </c>
      <c r="E882" s="217" t="s">
        <v>62</v>
      </c>
      <c r="F882" s="217" t="s">
        <v>61</v>
      </c>
      <c r="G882" s="217" t="s">
        <v>515</v>
      </c>
      <c r="H882" s="217" t="s">
        <v>1380</v>
      </c>
      <c r="I882" s="217" t="s">
        <v>29</v>
      </c>
      <c r="J882" s="217" t="s">
        <v>1858</v>
      </c>
      <c r="K882" s="217">
        <v>4</v>
      </c>
      <c r="L882" s="217">
        <v>10</v>
      </c>
      <c r="M882" s="217" t="s">
        <v>31</v>
      </c>
      <c r="N882" s="217" t="s">
        <v>32</v>
      </c>
      <c r="O882" s="217" t="s">
        <v>68</v>
      </c>
      <c r="P882" s="217" t="s">
        <v>34</v>
      </c>
      <c r="Q882" s="217" t="s">
        <v>35</v>
      </c>
      <c r="R882" s="217" t="s">
        <v>23</v>
      </c>
      <c r="S882" s="217" t="s">
        <v>22</v>
      </c>
      <c r="T882" s="217" t="s">
        <v>47</v>
      </c>
      <c r="U882" s="217" t="s">
        <v>48</v>
      </c>
      <c r="V882" s="217" t="s">
        <v>231</v>
      </c>
      <c r="W882" s="217" t="s">
        <v>232</v>
      </c>
    </row>
    <row r="883" spans="1:23" x14ac:dyDescent="0.25">
      <c r="A883" s="217" t="s">
        <v>22</v>
      </c>
      <c r="B883" s="217" t="s">
        <v>23</v>
      </c>
      <c r="C883" s="217" t="s">
        <v>48</v>
      </c>
      <c r="D883" s="217" t="s">
        <v>47</v>
      </c>
      <c r="E883" s="217" t="s">
        <v>62</v>
      </c>
      <c r="F883" s="217" t="s">
        <v>61</v>
      </c>
      <c r="G883" s="217" t="s">
        <v>516</v>
      </c>
      <c r="H883" s="217" t="s">
        <v>1381</v>
      </c>
      <c r="I883" s="217" t="s">
        <v>29</v>
      </c>
      <c r="J883" s="217" t="s">
        <v>1854</v>
      </c>
      <c r="K883" s="217">
        <v>27</v>
      </c>
      <c r="L883" s="217">
        <v>69</v>
      </c>
      <c r="M883" s="217" t="s">
        <v>31</v>
      </c>
      <c r="N883" s="217" t="s">
        <v>32</v>
      </c>
      <c r="O883" s="217" t="s">
        <v>68</v>
      </c>
      <c r="P883" s="217" t="s">
        <v>34</v>
      </c>
      <c r="Q883" s="217" t="s">
        <v>35</v>
      </c>
      <c r="R883" s="217" t="s">
        <v>23</v>
      </c>
      <c r="S883" s="217" t="s">
        <v>22</v>
      </c>
      <c r="T883" s="217" t="s">
        <v>47</v>
      </c>
      <c r="U883" s="217" t="s">
        <v>48</v>
      </c>
      <c r="V883" s="217" t="s">
        <v>231</v>
      </c>
      <c r="W883" s="217" t="s">
        <v>232</v>
      </c>
    </row>
    <row r="884" spans="1:23" x14ac:dyDescent="0.25">
      <c r="A884" s="217" t="s">
        <v>22</v>
      </c>
      <c r="B884" s="217" t="s">
        <v>23</v>
      </c>
      <c r="C884" s="217" t="s">
        <v>48</v>
      </c>
      <c r="D884" s="217" t="s">
        <v>47</v>
      </c>
      <c r="E884" s="217" t="s">
        <v>62</v>
      </c>
      <c r="F884" s="217" t="s">
        <v>61</v>
      </c>
      <c r="G884" s="217" t="s">
        <v>516</v>
      </c>
      <c r="H884" s="217" t="s">
        <v>1381</v>
      </c>
      <c r="I884" s="217" t="s">
        <v>29</v>
      </c>
      <c r="J884" s="217" t="s">
        <v>1855</v>
      </c>
      <c r="K884" s="217">
        <v>78</v>
      </c>
      <c r="L884" s="217">
        <v>149</v>
      </c>
      <c r="M884" s="217" t="s">
        <v>31</v>
      </c>
      <c r="N884" s="217" t="s">
        <v>32</v>
      </c>
      <c r="O884" s="217" t="s">
        <v>68</v>
      </c>
      <c r="P884" s="217" t="s">
        <v>34</v>
      </c>
      <c r="Q884" s="217" t="s">
        <v>35</v>
      </c>
      <c r="R884" s="217" t="s">
        <v>23</v>
      </c>
      <c r="S884" s="217" t="s">
        <v>22</v>
      </c>
      <c r="T884" s="217" t="s">
        <v>47</v>
      </c>
      <c r="U884" s="217" t="s">
        <v>48</v>
      </c>
      <c r="V884" s="217" t="s">
        <v>231</v>
      </c>
      <c r="W884" s="217" t="s">
        <v>232</v>
      </c>
    </row>
    <row r="885" spans="1:23" x14ac:dyDescent="0.25">
      <c r="A885" s="217" t="s">
        <v>22</v>
      </c>
      <c r="B885" s="217" t="s">
        <v>23</v>
      </c>
      <c r="C885" s="217" t="s">
        <v>48</v>
      </c>
      <c r="D885" s="217" t="s">
        <v>47</v>
      </c>
      <c r="E885" s="217" t="s">
        <v>62</v>
      </c>
      <c r="F885" s="217" t="s">
        <v>61</v>
      </c>
      <c r="G885" s="217" t="s">
        <v>516</v>
      </c>
      <c r="H885" s="217" t="s">
        <v>1381</v>
      </c>
      <c r="I885" s="217" t="s">
        <v>29</v>
      </c>
      <c r="J885" s="217" t="s">
        <v>1856</v>
      </c>
      <c r="K885" s="217">
        <v>31</v>
      </c>
      <c r="L885" s="217">
        <v>76</v>
      </c>
      <c r="M885" s="217" t="s">
        <v>31</v>
      </c>
      <c r="N885" s="217" t="s">
        <v>32</v>
      </c>
      <c r="O885" s="217" t="s">
        <v>68</v>
      </c>
      <c r="P885" s="217" t="s">
        <v>34</v>
      </c>
      <c r="Q885" s="217" t="s">
        <v>35</v>
      </c>
      <c r="R885" s="217" t="s">
        <v>23</v>
      </c>
      <c r="S885" s="217" t="s">
        <v>22</v>
      </c>
      <c r="T885" s="217" t="s">
        <v>47</v>
      </c>
      <c r="U885" s="217" t="s">
        <v>48</v>
      </c>
      <c r="V885" s="217" t="s">
        <v>231</v>
      </c>
      <c r="W885" s="217" t="s">
        <v>232</v>
      </c>
    </row>
    <row r="886" spans="1:23" x14ac:dyDescent="0.25">
      <c r="A886" s="217" t="s">
        <v>22</v>
      </c>
      <c r="B886" s="217" t="s">
        <v>23</v>
      </c>
      <c r="C886" s="217" t="s">
        <v>48</v>
      </c>
      <c r="D886" s="217" t="s">
        <v>47</v>
      </c>
      <c r="E886" s="217" t="s">
        <v>62</v>
      </c>
      <c r="F886" s="217" t="s">
        <v>61</v>
      </c>
      <c r="G886" s="217" t="s">
        <v>516</v>
      </c>
      <c r="H886" s="217" t="s">
        <v>1381</v>
      </c>
      <c r="I886" s="217" t="s">
        <v>29</v>
      </c>
      <c r="J886" s="217" t="s">
        <v>1857</v>
      </c>
      <c r="K886" s="217">
        <v>43</v>
      </c>
      <c r="L886" s="217">
        <v>71</v>
      </c>
      <c r="M886" s="217" t="s">
        <v>31</v>
      </c>
      <c r="N886" s="217" t="s">
        <v>32</v>
      </c>
      <c r="O886" s="217" t="s">
        <v>68</v>
      </c>
      <c r="P886" s="217" t="s">
        <v>34</v>
      </c>
      <c r="Q886" s="217" t="s">
        <v>35</v>
      </c>
      <c r="R886" s="217" t="s">
        <v>23</v>
      </c>
      <c r="S886" s="217" t="s">
        <v>22</v>
      </c>
      <c r="T886" s="217" t="s">
        <v>47</v>
      </c>
      <c r="U886" s="217" t="s">
        <v>48</v>
      </c>
      <c r="V886" s="217" t="s">
        <v>61</v>
      </c>
      <c r="W886" s="217" t="s">
        <v>62</v>
      </c>
    </row>
    <row r="887" spans="1:23" x14ac:dyDescent="0.25">
      <c r="A887" s="217" t="s">
        <v>22</v>
      </c>
      <c r="B887" s="217" t="s">
        <v>23</v>
      </c>
      <c r="C887" s="217" t="s">
        <v>48</v>
      </c>
      <c r="D887" s="217" t="s">
        <v>47</v>
      </c>
      <c r="E887" s="217" t="s">
        <v>62</v>
      </c>
      <c r="F887" s="217" t="s">
        <v>61</v>
      </c>
      <c r="G887" s="217" t="s">
        <v>516</v>
      </c>
      <c r="H887" s="217" t="s">
        <v>1381</v>
      </c>
      <c r="I887" s="217" t="s">
        <v>29</v>
      </c>
      <c r="J887" s="217" t="s">
        <v>1858</v>
      </c>
      <c r="K887" s="217">
        <v>9</v>
      </c>
      <c r="L887" s="217">
        <v>35</v>
      </c>
      <c r="M887" s="217" t="s">
        <v>31</v>
      </c>
      <c r="N887" s="217" t="s">
        <v>32</v>
      </c>
      <c r="O887" s="217" t="s">
        <v>68</v>
      </c>
      <c r="P887" s="217" t="s">
        <v>34</v>
      </c>
      <c r="Q887" s="217" t="s">
        <v>35</v>
      </c>
      <c r="R887" s="217" t="s">
        <v>23</v>
      </c>
      <c r="S887" s="217" t="s">
        <v>22</v>
      </c>
      <c r="T887" s="217" t="s">
        <v>47</v>
      </c>
      <c r="U887" s="217" t="s">
        <v>48</v>
      </c>
      <c r="V887" s="217" t="s">
        <v>231</v>
      </c>
      <c r="W887" s="217" t="s">
        <v>232</v>
      </c>
    </row>
    <row r="888" spans="1:23" x14ac:dyDescent="0.25">
      <c r="A888" s="217" t="s">
        <v>22</v>
      </c>
      <c r="B888" s="217" t="s">
        <v>23</v>
      </c>
      <c r="C888" s="217" t="s">
        <v>48</v>
      </c>
      <c r="D888" s="217" t="s">
        <v>47</v>
      </c>
      <c r="E888" s="217" t="s">
        <v>62</v>
      </c>
      <c r="F888" s="217" t="s">
        <v>61</v>
      </c>
      <c r="G888" s="217" t="s">
        <v>517</v>
      </c>
      <c r="H888" s="217" t="s">
        <v>1382</v>
      </c>
      <c r="I888" s="217" t="s">
        <v>29</v>
      </c>
      <c r="J888" s="217" t="s">
        <v>1854</v>
      </c>
      <c r="K888" s="217">
        <v>12</v>
      </c>
      <c r="L888" s="217">
        <v>100</v>
      </c>
      <c r="M888" s="217" t="s">
        <v>31</v>
      </c>
      <c r="N888" s="217" t="s">
        <v>32</v>
      </c>
      <c r="O888" s="217" t="s">
        <v>68</v>
      </c>
      <c r="P888" s="217" t="s">
        <v>34</v>
      </c>
      <c r="Q888" s="217" t="s">
        <v>35</v>
      </c>
      <c r="R888" s="217" t="s">
        <v>23</v>
      </c>
      <c r="S888" s="217" t="s">
        <v>22</v>
      </c>
      <c r="T888" s="217" t="s">
        <v>47</v>
      </c>
      <c r="U888" s="217" t="s">
        <v>48</v>
      </c>
      <c r="V888" s="217" t="s">
        <v>231</v>
      </c>
      <c r="W888" s="217" t="s">
        <v>232</v>
      </c>
    </row>
    <row r="889" spans="1:23" x14ac:dyDescent="0.25">
      <c r="A889" s="217" t="s">
        <v>22</v>
      </c>
      <c r="B889" s="217" t="s">
        <v>23</v>
      </c>
      <c r="C889" s="217" t="s">
        <v>48</v>
      </c>
      <c r="D889" s="217" t="s">
        <v>47</v>
      </c>
      <c r="E889" s="217" t="s">
        <v>62</v>
      </c>
      <c r="F889" s="217" t="s">
        <v>61</v>
      </c>
      <c r="G889" s="217" t="s">
        <v>517</v>
      </c>
      <c r="H889" s="217" t="s">
        <v>1382</v>
      </c>
      <c r="I889" s="217" t="s">
        <v>29</v>
      </c>
      <c r="J889" s="217" t="s">
        <v>1855</v>
      </c>
      <c r="K889" s="217">
        <v>19</v>
      </c>
      <c r="L889" s="217">
        <v>162</v>
      </c>
      <c r="M889" s="217" t="s">
        <v>31</v>
      </c>
      <c r="N889" s="217" t="s">
        <v>32</v>
      </c>
      <c r="O889" s="217" t="s">
        <v>68</v>
      </c>
      <c r="P889" s="217" t="s">
        <v>34</v>
      </c>
      <c r="Q889" s="217" t="s">
        <v>35</v>
      </c>
      <c r="R889" s="217" t="s">
        <v>23</v>
      </c>
      <c r="S889" s="217" t="s">
        <v>22</v>
      </c>
      <c r="T889" s="217" t="s">
        <v>47</v>
      </c>
      <c r="U889" s="217" t="s">
        <v>48</v>
      </c>
      <c r="V889" s="217" t="s">
        <v>231</v>
      </c>
      <c r="W889" s="217" t="s">
        <v>232</v>
      </c>
    </row>
    <row r="890" spans="1:23" x14ac:dyDescent="0.25">
      <c r="A890" s="217" t="s">
        <v>22</v>
      </c>
      <c r="B890" s="217" t="s">
        <v>23</v>
      </c>
      <c r="C890" s="217" t="s">
        <v>48</v>
      </c>
      <c r="D890" s="217" t="s">
        <v>47</v>
      </c>
      <c r="E890" s="217" t="s">
        <v>62</v>
      </c>
      <c r="F890" s="217" t="s">
        <v>61</v>
      </c>
      <c r="G890" s="217" t="s">
        <v>517</v>
      </c>
      <c r="H890" s="217" t="s">
        <v>1382</v>
      </c>
      <c r="I890" s="217" t="s">
        <v>29</v>
      </c>
      <c r="J890" s="217" t="s">
        <v>1856</v>
      </c>
      <c r="K890" s="217">
        <v>36</v>
      </c>
      <c r="L890" s="217">
        <v>119</v>
      </c>
      <c r="M890" s="217" t="s">
        <v>31</v>
      </c>
      <c r="N890" s="217" t="s">
        <v>32</v>
      </c>
      <c r="O890" s="217" t="s">
        <v>68</v>
      </c>
      <c r="P890" s="217" t="s">
        <v>34</v>
      </c>
      <c r="Q890" s="217" t="s">
        <v>35</v>
      </c>
      <c r="R890" s="217" t="s">
        <v>23</v>
      </c>
      <c r="S890" s="217" t="s">
        <v>22</v>
      </c>
      <c r="T890" s="217" t="s">
        <v>47</v>
      </c>
      <c r="U890" s="217" t="s">
        <v>48</v>
      </c>
      <c r="V890" s="217" t="s">
        <v>231</v>
      </c>
      <c r="W890" s="217" t="s">
        <v>232</v>
      </c>
    </row>
    <row r="891" spans="1:23" x14ac:dyDescent="0.25">
      <c r="A891" s="217" t="s">
        <v>22</v>
      </c>
      <c r="B891" s="217" t="s">
        <v>23</v>
      </c>
      <c r="C891" s="217" t="s">
        <v>48</v>
      </c>
      <c r="D891" s="217" t="s">
        <v>47</v>
      </c>
      <c r="E891" s="217" t="s">
        <v>62</v>
      </c>
      <c r="F891" s="217" t="s">
        <v>61</v>
      </c>
      <c r="G891" s="217" t="s">
        <v>517</v>
      </c>
      <c r="H891" s="217" t="s">
        <v>1382</v>
      </c>
      <c r="I891" s="217" t="s">
        <v>29</v>
      </c>
      <c r="J891" s="217" t="s">
        <v>1857</v>
      </c>
      <c r="K891" s="217">
        <v>35</v>
      </c>
      <c r="L891" s="217">
        <v>126</v>
      </c>
      <c r="M891" s="217" t="s">
        <v>31</v>
      </c>
      <c r="N891" s="217" t="s">
        <v>32</v>
      </c>
      <c r="O891" s="217" t="s">
        <v>68</v>
      </c>
      <c r="P891" s="217" t="s">
        <v>34</v>
      </c>
      <c r="Q891" s="217" t="s">
        <v>35</v>
      </c>
      <c r="R891" s="217" t="s">
        <v>23</v>
      </c>
      <c r="S891" s="217" t="s">
        <v>22</v>
      </c>
      <c r="T891" s="217" t="s">
        <v>47</v>
      </c>
      <c r="U891" s="217" t="s">
        <v>48</v>
      </c>
      <c r="V891" s="217" t="s">
        <v>231</v>
      </c>
      <c r="W891" s="217" t="s">
        <v>232</v>
      </c>
    </row>
    <row r="892" spans="1:23" x14ac:dyDescent="0.25">
      <c r="A892" s="217" t="s">
        <v>22</v>
      </c>
      <c r="B892" s="217" t="s">
        <v>23</v>
      </c>
      <c r="C892" s="217" t="s">
        <v>48</v>
      </c>
      <c r="D892" s="217" t="s">
        <v>47</v>
      </c>
      <c r="E892" s="217" t="s">
        <v>62</v>
      </c>
      <c r="F892" s="217" t="s">
        <v>61</v>
      </c>
      <c r="G892" s="217" t="s">
        <v>518</v>
      </c>
      <c r="H892" s="217" t="s">
        <v>1383</v>
      </c>
      <c r="I892" s="217" t="s">
        <v>29</v>
      </c>
      <c r="J892" s="217" t="s">
        <v>1854</v>
      </c>
      <c r="K892" s="217">
        <v>145</v>
      </c>
      <c r="L892" s="217">
        <v>639</v>
      </c>
      <c r="M892" s="217" t="s">
        <v>31</v>
      </c>
      <c r="N892" s="217" t="s">
        <v>32</v>
      </c>
      <c r="O892" s="217" t="s">
        <v>68</v>
      </c>
      <c r="P892" s="217" t="s">
        <v>34</v>
      </c>
      <c r="Q892" s="217" t="s">
        <v>35</v>
      </c>
      <c r="R892" s="217" t="s">
        <v>23</v>
      </c>
      <c r="S892" s="217" t="s">
        <v>22</v>
      </c>
      <c r="T892" s="217" t="s">
        <v>47</v>
      </c>
      <c r="U892" s="217" t="s">
        <v>48</v>
      </c>
      <c r="V892" s="217" t="s">
        <v>231</v>
      </c>
      <c r="W892" s="217" t="s">
        <v>232</v>
      </c>
    </row>
    <row r="893" spans="1:23" x14ac:dyDescent="0.25">
      <c r="A893" s="217" t="s">
        <v>22</v>
      </c>
      <c r="B893" s="217" t="s">
        <v>23</v>
      </c>
      <c r="C893" s="217" t="s">
        <v>48</v>
      </c>
      <c r="D893" s="217" t="s">
        <v>47</v>
      </c>
      <c r="E893" s="217" t="s">
        <v>62</v>
      </c>
      <c r="F893" s="217" t="s">
        <v>61</v>
      </c>
      <c r="G893" s="217" t="s">
        <v>518</v>
      </c>
      <c r="H893" s="217" t="s">
        <v>1383</v>
      </c>
      <c r="I893" s="217" t="s">
        <v>29</v>
      </c>
      <c r="J893" s="217" t="s">
        <v>1855</v>
      </c>
      <c r="K893" s="217">
        <v>190</v>
      </c>
      <c r="L893" s="217">
        <v>954</v>
      </c>
      <c r="M893" s="217" t="s">
        <v>31</v>
      </c>
      <c r="N893" s="217" t="s">
        <v>32</v>
      </c>
      <c r="O893" s="217" t="s">
        <v>68</v>
      </c>
      <c r="P893" s="217" t="s">
        <v>34</v>
      </c>
      <c r="Q893" s="217" t="s">
        <v>35</v>
      </c>
      <c r="R893" s="217" t="s">
        <v>23</v>
      </c>
      <c r="S893" s="217" t="s">
        <v>22</v>
      </c>
      <c r="T893" s="217" t="s">
        <v>47</v>
      </c>
      <c r="U893" s="217" t="s">
        <v>48</v>
      </c>
      <c r="V893" s="217" t="s">
        <v>231</v>
      </c>
      <c r="W893" s="217" t="s">
        <v>232</v>
      </c>
    </row>
    <row r="894" spans="1:23" x14ac:dyDescent="0.25">
      <c r="A894" s="217" t="s">
        <v>22</v>
      </c>
      <c r="B894" s="217" t="s">
        <v>23</v>
      </c>
      <c r="C894" s="217" t="s">
        <v>48</v>
      </c>
      <c r="D894" s="217" t="s">
        <v>47</v>
      </c>
      <c r="E894" s="217" t="s">
        <v>62</v>
      </c>
      <c r="F894" s="217" t="s">
        <v>61</v>
      </c>
      <c r="G894" s="217" t="s">
        <v>518</v>
      </c>
      <c r="H894" s="217" t="s">
        <v>1383</v>
      </c>
      <c r="I894" s="217" t="s">
        <v>29</v>
      </c>
      <c r="J894" s="217" t="s">
        <v>1856</v>
      </c>
      <c r="K894" s="217">
        <v>275</v>
      </c>
      <c r="L894" s="217">
        <v>1461</v>
      </c>
      <c r="M894" s="217" t="s">
        <v>31</v>
      </c>
      <c r="N894" s="217" t="s">
        <v>32</v>
      </c>
      <c r="O894" s="217" t="s">
        <v>68</v>
      </c>
      <c r="P894" s="217" t="s">
        <v>34</v>
      </c>
      <c r="Q894" s="217" t="s">
        <v>35</v>
      </c>
      <c r="R894" s="217" t="s">
        <v>23</v>
      </c>
      <c r="S894" s="217" t="s">
        <v>22</v>
      </c>
      <c r="T894" s="217" t="s">
        <v>47</v>
      </c>
      <c r="U894" s="217" t="s">
        <v>48</v>
      </c>
      <c r="V894" s="217" t="s">
        <v>231</v>
      </c>
      <c r="W894" s="217" t="s">
        <v>232</v>
      </c>
    </row>
    <row r="895" spans="1:23" x14ac:dyDescent="0.25">
      <c r="A895" s="217" t="s">
        <v>22</v>
      </c>
      <c r="B895" s="217" t="s">
        <v>23</v>
      </c>
      <c r="C895" s="217" t="s">
        <v>48</v>
      </c>
      <c r="D895" s="217" t="s">
        <v>47</v>
      </c>
      <c r="E895" s="217" t="s">
        <v>62</v>
      </c>
      <c r="F895" s="217" t="s">
        <v>61</v>
      </c>
      <c r="G895" s="217" t="s">
        <v>518</v>
      </c>
      <c r="H895" s="217" t="s">
        <v>1383</v>
      </c>
      <c r="I895" s="217" t="s">
        <v>29</v>
      </c>
      <c r="J895" s="217" t="s">
        <v>1857</v>
      </c>
      <c r="K895" s="217">
        <v>1452</v>
      </c>
      <c r="L895" s="217">
        <v>13190</v>
      </c>
      <c r="M895" s="217" t="s">
        <v>31</v>
      </c>
      <c r="N895" s="217" t="s">
        <v>32</v>
      </c>
      <c r="O895" s="217" t="s">
        <v>68</v>
      </c>
      <c r="P895" s="217" t="s">
        <v>34</v>
      </c>
      <c r="Q895" s="217" t="s">
        <v>35</v>
      </c>
      <c r="R895" s="217" t="s">
        <v>23</v>
      </c>
      <c r="S895" s="217" t="s">
        <v>22</v>
      </c>
      <c r="T895" s="217" t="s">
        <v>47</v>
      </c>
      <c r="U895" s="217" t="s">
        <v>48</v>
      </c>
      <c r="V895" s="217" t="s">
        <v>231</v>
      </c>
      <c r="W895" s="217" t="s">
        <v>232</v>
      </c>
    </row>
    <row r="896" spans="1:23" x14ac:dyDescent="0.25">
      <c r="A896" s="217" t="s">
        <v>22</v>
      </c>
      <c r="B896" s="217" t="s">
        <v>23</v>
      </c>
      <c r="C896" s="217" t="s">
        <v>48</v>
      </c>
      <c r="D896" s="217" t="s">
        <v>47</v>
      </c>
      <c r="E896" s="217" t="s">
        <v>62</v>
      </c>
      <c r="F896" s="217" t="s">
        <v>61</v>
      </c>
      <c r="G896" s="217" t="s">
        <v>518</v>
      </c>
      <c r="H896" s="217" t="s">
        <v>1383</v>
      </c>
      <c r="I896" s="217" t="s">
        <v>29</v>
      </c>
      <c r="J896" s="217" t="s">
        <v>1858</v>
      </c>
      <c r="K896" s="217">
        <v>62</v>
      </c>
      <c r="L896" s="217">
        <v>297</v>
      </c>
      <c r="M896" s="217" t="s">
        <v>31</v>
      </c>
      <c r="N896" s="217" t="s">
        <v>32</v>
      </c>
      <c r="O896" s="217" t="s">
        <v>68</v>
      </c>
      <c r="P896" s="217" t="s">
        <v>34</v>
      </c>
      <c r="Q896" s="217" t="s">
        <v>35</v>
      </c>
      <c r="R896" s="217" t="s">
        <v>23</v>
      </c>
      <c r="S896" s="217" t="s">
        <v>22</v>
      </c>
      <c r="T896" s="217" t="s">
        <v>47</v>
      </c>
      <c r="U896" s="217" t="s">
        <v>48</v>
      </c>
      <c r="V896" s="217" t="s">
        <v>231</v>
      </c>
      <c r="W896" s="217" t="s">
        <v>232</v>
      </c>
    </row>
    <row r="897" spans="1:23" x14ac:dyDescent="0.25">
      <c r="A897" s="217" t="s">
        <v>22</v>
      </c>
      <c r="B897" s="217" t="s">
        <v>23</v>
      </c>
      <c r="C897" s="217" t="s">
        <v>48</v>
      </c>
      <c r="D897" s="217" t="s">
        <v>47</v>
      </c>
      <c r="E897" s="217" t="s">
        <v>62</v>
      </c>
      <c r="F897" s="217" t="s">
        <v>61</v>
      </c>
      <c r="G897" s="217" t="s">
        <v>519</v>
      </c>
      <c r="H897" s="217" t="s">
        <v>1384</v>
      </c>
      <c r="I897" s="217" t="s">
        <v>29</v>
      </c>
      <c r="J897" s="217" t="s">
        <v>1854</v>
      </c>
      <c r="K897" s="217">
        <v>17</v>
      </c>
      <c r="L897" s="217">
        <v>29</v>
      </c>
      <c r="M897" s="217" t="s">
        <v>31</v>
      </c>
      <c r="N897" s="217" t="s">
        <v>32</v>
      </c>
      <c r="O897" s="217" t="s">
        <v>68</v>
      </c>
      <c r="P897" s="217" t="s">
        <v>34</v>
      </c>
      <c r="Q897" s="217" t="s">
        <v>35</v>
      </c>
      <c r="R897" s="217" t="s">
        <v>23</v>
      </c>
      <c r="S897" s="217" t="s">
        <v>22</v>
      </c>
      <c r="T897" s="217" t="s">
        <v>47</v>
      </c>
      <c r="U897" s="217" t="s">
        <v>48</v>
      </c>
      <c r="V897" s="217" t="s">
        <v>231</v>
      </c>
      <c r="W897" s="217" t="s">
        <v>232</v>
      </c>
    </row>
    <row r="898" spans="1:23" x14ac:dyDescent="0.25">
      <c r="A898" s="217" t="s">
        <v>22</v>
      </c>
      <c r="B898" s="217" t="s">
        <v>23</v>
      </c>
      <c r="C898" s="217" t="s">
        <v>48</v>
      </c>
      <c r="D898" s="217" t="s">
        <v>47</v>
      </c>
      <c r="E898" s="217" t="s">
        <v>62</v>
      </c>
      <c r="F898" s="217" t="s">
        <v>61</v>
      </c>
      <c r="G898" s="217" t="s">
        <v>519</v>
      </c>
      <c r="H898" s="217" t="s">
        <v>1384</v>
      </c>
      <c r="I898" s="217" t="s">
        <v>29</v>
      </c>
      <c r="J898" s="217" t="s">
        <v>1855</v>
      </c>
      <c r="K898" s="217">
        <v>15</v>
      </c>
      <c r="L898" s="217">
        <v>29</v>
      </c>
      <c r="M898" s="217" t="s">
        <v>31</v>
      </c>
      <c r="N898" s="217" t="s">
        <v>32</v>
      </c>
      <c r="O898" s="217" t="s">
        <v>68</v>
      </c>
      <c r="P898" s="217" t="s">
        <v>34</v>
      </c>
      <c r="Q898" s="217" t="s">
        <v>35</v>
      </c>
      <c r="R898" s="217" t="s">
        <v>23</v>
      </c>
      <c r="S898" s="217" t="s">
        <v>22</v>
      </c>
      <c r="T898" s="217" t="s">
        <v>47</v>
      </c>
      <c r="U898" s="217" t="s">
        <v>48</v>
      </c>
      <c r="V898" s="217" t="s">
        <v>231</v>
      </c>
      <c r="W898" s="217" t="s">
        <v>232</v>
      </c>
    </row>
    <row r="899" spans="1:23" x14ac:dyDescent="0.25">
      <c r="A899" s="217" t="s">
        <v>22</v>
      </c>
      <c r="B899" s="217" t="s">
        <v>23</v>
      </c>
      <c r="C899" s="217" t="s">
        <v>48</v>
      </c>
      <c r="D899" s="217" t="s">
        <v>47</v>
      </c>
      <c r="E899" s="217" t="s">
        <v>62</v>
      </c>
      <c r="F899" s="217" t="s">
        <v>61</v>
      </c>
      <c r="G899" s="217" t="s">
        <v>519</v>
      </c>
      <c r="H899" s="217" t="s">
        <v>1384</v>
      </c>
      <c r="I899" s="217" t="s">
        <v>29</v>
      </c>
      <c r="J899" s="217" t="s">
        <v>1856</v>
      </c>
      <c r="K899" s="217">
        <v>9</v>
      </c>
      <c r="L899" s="217">
        <v>23</v>
      </c>
      <c r="M899" s="217" t="s">
        <v>31</v>
      </c>
      <c r="N899" s="217" t="s">
        <v>32</v>
      </c>
      <c r="O899" s="217" t="s">
        <v>68</v>
      </c>
      <c r="P899" s="217" t="s">
        <v>34</v>
      </c>
      <c r="Q899" s="217" t="s">
        <v>35</v>
      </c>
      <c r="R899" s="217" t="s">
        <v>23</v>
      </c>
      <c r="S899" s="217" t="s">
        <v>22</v>
      </c>
      <c r="T899" s="217" t="s">
        <v>47</v>
      </c>
      <c r="U899" s="217" t="s">
        <v>48</v>
      </c>
      <c r="V899" s="217" t="s">
        <v>231</v>
      </c>
      <c r="W899" s="217" t="s">
        <v>232</v>
      </c>
    </row>
    <row r="900" spans="1:23" x14ac:dyDescent="0.25">
      <c r="A900" s="217" t="s">
        <v>22</v>
      </c>
      <c r="B900" s="217" t="s">
        <v>23</v>
      </c>
      <c r="C900" s="217" t="s">
        <v>48</v>
      </c>
      <c r="D900" s="217" t="s">
        <v>47</v>
      </c>
      <c r="E900" s="217" t="s">
        <v>62</v>
      </c>
      <c r="F900" s="217" t="s">
        <v>61</v>
      </c>
      <c r="G900" s="217" t="s">
        <v>519</v>
      </c>
      <c r="H900" s="217" t="s">
        <v>1384</v>
      </c>
      <c r="I900" s="217" t="s">
        <v>29</v>
      </c>
      <c r="J900" s="217" t="s">
        <v>1857</v>
      </c>
      <c r="K900" s="217">
        <v>10</v>
      </c>
      <c r="L900" s="217">
        <v>29</v>
      </c>
      <c r="M900" s="217" t="s">
        <v>31</v>
      </c>
      <c r="N900" s="217" t="s">
        <v>32</v>
      </c>
      <c r="O900" s="217" t="s">
        <v>68</v>
      </c>
      <c r="P900" s="217" t="s">
        <v>34</v>
      </c>
      <c r="Q900" s="217" t="s">
        <v>35</v>
      </c>
      <c r="R900" s="217" t="s">
        <v>23</v>
      </c>
      <c r="S900" s="217" t="s">
        <v>22</v>
      </c>
      <c r="T900" s="217" t="s">
        <v>47</v>
      </c>
      <c r="U900" s="217" t="s">
        <v>48</v>
      </c>
      <c r="V900" s="217" t="s">
        <v>231</v>
      </c>
      <c r="W900" s="217" t="s">
        <v>232</v>
      </c>
    </row>
    <row r="901" spans="1:23" x14ac:dyDescent="0.25">
      <c r="A901" s="217" t="s">
        <v>22</v>
      </c>
      <c r="B901" s="217" t="s">
        <v>23</v>
      </c>
      <c r="C901" s="217" t="s">
        <v>48</v>
      </c>
      <c r="D901" s="217" t="s">
        <v>47</v>
      </c>
      <c r="E901" s="217" t="s">
        <v>62</v>
      </c>
      <c r="F901" s="217" t="s">
        <v>61</v>
      </c>
      <c r="G901" s="217" t="s">
        <v>519</v>
      </c>
      <c r="H901" s="217" t="s">
        <v>1384</v>
      </c>
      <c r="I901" s="217" t="s">
        <v>29</v>
      </c>
      <c r="J901" s="217" t="s">
        <v>1858</v>
      </c>
      <c r="K901" s="217">
        <v>25</v>
      </c>
      <c r="L901" s="217">
        <v>58</v>
      </c>
      <c r="M901" s="217" t="s">
        <v>31</v>
      </c>
      <c r="N901" s="217" t="s">
        <v>32</v>
      </c>
      <c r="O901" s="217" t="s">
        <v>68</v>
      </c>
      <c r="P901" s="217" t="s">
        <v>34</v>
      </c>
      <c r="Q901" s="217" t="s">
        <v>35</v>
      </c>
      <c r="R901" s="217" t="s">
        <v>23</v>
      </c>
      <c r="S901" s="217" t="s">
        <v>22</v>
      </c>
      <c r="T901" s="217" t="s">
        <v>47</v>
      </c>
      <c r="U901" s="217" t="s">
        <v>48</v>
      </c>
      <c r="V901" s="217" t="s">
        <v>231</v>
      </c>
      <c r="W901" s="217" t="s">
        <v>232</v>
      </c>
    </row>
    <row r="902" spans="1:23" x14ac:dyDescent="0.25">
      <c r="A902" s="217" t="s">
        <v>22</v>
      </c>
      <c r="B902" s="217" t="s">
        <v>23</v>
      </c>
      <c r="C902" s="217" t="s">
        <v>48</v>
      </c>
      <c r="D902" s="217" t="s">
        <v>47</v>
      </c>
      <c r="E902" s="217" t="s">
        <v>62</v>
      </c>
      <c r="F902" s="217" t="s">
        <v>61</v>
      </c>
      <c r="G902" s="217" t="s">
        <v>520</v>
      </c>
      <c r="H902" s="217" t="s">
        <v>1385</v>
      </c>
      <c r="I902" s="217" t="s">
        <v>29</v>
      </c>
      <c r="J902" s="217" t="s">
        <v>1854</v>
      </c>
      <c r="K902" s="217">
        <v>11</v>
      </c>
      <c r="L902" s="217">
        <v>70</v>
      </c>
      <c r="M902" s="217" t="s">
        <v>31</v>
      </c>
      <c r="N902" s="217" t="s">
        <v>32</v>
      </c>
      <c r="O902" s="217" t="s">
        <v>68</v>
      </c>
      <c r="P902" s="217" t="s">
        <v>34</v>
      </c>
      <c r="Q902" s="217" t="s">
        <v>35</v>
      </c>
      <c r="R902" s="217" t="s">
        <v>23</v>
      </c>
      <c r="S902" s="217" t="s">
        <v>22</v>
      </c>
      <c r="T902" s="217" t="s">
        <v>47</v>
      </c>
      <c r="U902" s="217" t="s">
        <v>48</v>
      </c>
      <c r="V902" s="217" t="s">
        <v>231</v>
      </c>
      <c r="W902" s="217" t="s">
        <v>232</v>
      </c>
    </row>
    <row r="903" spans="1:23" x14ac:dyDescent="0.25">
      <c r="A903" s="217" t="s">
        <v>22</v>
      </c>
      <c r="B903" s="217" t="s">
        <v>23</v>
      </c>
      <c r="C903" s="217" t="s">
        <v>48</v>
      </c>
      <c r="D903" s="217" t="s">
        <v>47</v>
      </c>
      <c r="E903" s="217" t="s">
        <v>62</v>
      </c>
      <c r="F903" s="217" t="s">
        <v>61</v>
      </c>
      <c r="G903" s="217" t="s">
        <v>520</v>
      </c>
      <c r="H903" s="217" t="s">
        <v>1385</v>
      </c>
      <c r="I903" s="217" t="s">
        <v>29</v>
      </c>
      <c r="J903" s="217" t="s">
        <v>1855</v>
      </c>
      <c r="K903" s="217">
        <v>25</v>
      </c>
      <c r="L903" s="217">
        <v>159</v>
      </c>
      <c r="M903" s="217" t="s">
        <v>31</v>
      </c>
      <c r="N903" s="217" t="s">
        <v>32</v>
      </c>
      <c r="O903" s="217" t="s">
        <v>68</v>
      </c>
      <c r="P903" s="217" t="s">
        <v>34</v>
      </c>
      <c r="Q903" s="217" t="s">
        <v>35</v>
      </c>
      <c r="R903" s="217" t="s">
        <v>23</v>
      </c>
      <c r="S903" s="217" t="s">
        <v>22</v>
      </c>
      <c r="T903" s="217" t="s">
        <v>47</v>
      </c>
      <c r="U903" s="217" t="s">
        <v>48</v>
      </c>
      <c r="V903" s="217" t="s">
        <v>231</v>
      </c>
      <c r="W903" s="217" t="s">
        <v>232</v>
      </c>
    </row>
    <row r="904" spans="1:23" x14ac:dyDescent="0.25">
      <c r="A904" s="217" t="s">
        <v>22</v>
      </c>
      <c r="B904" s="217" t="s">
        <v>23</v>
      </c>
      <c r="C904" s="217" t="s">
        <v>48</v>
      </c>
      <c r="D904" s="217" t="s">
        <v>47</v>
      </c>
      <c r="E904" s="217" t="s">
        <v>62</v>
      </c>
      <c r="F904" s="217" t="s">
        <v>61</v>
      </c>
      <c r="G904" s="217" t="s">
        <v>520</v>
      </c>
      <c r="H904" s="217" t="s">
        <v>1385</v>
      </c>
      <c r="I904" s="217" t="s">
        <v>29</v>
      </c>
      <c r="J904" s="217" t="s">
        <v>1856</v>
      </c>
      <c r="K904" s="217">
        <v>18</v>
      </c>
      <c r="L904" s="217">
        <v>106</v>
      </c>
      <c r="M904" s="217" t="s">
        <v>31</v>
      </c>
      <c r="N904" s="217" t="s">
        <v>32</v>
      </c>
      <c r="O904" s="217" t="s">
        <v>68</v>
      </c>
      <c r="P904" s="217" t="s">
        <v>34</v>
      </c>
      <c r="Q904" s="217" t="s">
        <v>35</v>
      </c>
      <c r="R904" s="217" t="s">
        <v>23</v>
      </c>
      <c r="S904" s="217" t="s">
        <v>22</v>
      </c>
      <c r="T904" s="217" t="s">
        <v>47</v>
      </c>
      <c r="U904" s="217" t="s">
        <v>48</v>
      </c>
      <c r="V904" s="217" t="s">
        <v>231</v>
      </c>
      <c r="W904" s="217" t="s">
        <v>232</v>
      </c>
    </row>
    <row r="905" spans="1:23" x14ac:dyDescent="0.25">
      <c r="A905" s="217" t="s">
        <v>22</v>
      </c>
      <c r="B905" s="217" t="s">
        <v>23</v>
      </c>
      <c r="C905" s="217" t="s">
        <v>48</v>
      </c>
      <c r="D905" s="217" t="s">
        <v>47</v>
      </c>
      <c r="E905" s="217" t="s">
        <v>62</v>
      </c>
      <c r="F905" s="217" t="s">
        <v>61</v>
      </c>
      <c r="G905" s="217" t="s">
        <v>520</v>
      </c>
      <c r="H905" s="217" t="s">
        <v>1385</v>
      </c>
      <c r="I905" s="217" t="s">
        <v>29</v>
      </c>
      <c r="J905" s="217" t="s">
        <v>1857</v>
      </c>
      <c r="K905" s="217">
        <v>4</v>
      </c>
      <c r="L905" s="217">
        <v>14</v>
      </c>
      <c r="M905" s="217" t="s">
        <v>31</v>
      </c>
      <c r="N905" s="217" t="s">
        <v>32</v>
      </c>
      <c r="O905" s="217" t="s">
        <v>68</v>
      </c>
      <c r="P905" s="217" t="s">
        <v>34</v>
      </c>
      <c r="Q905" s="217" t="s">
        <v>35</v>
      </c>
      <c r="R905" s="217" t="s">
        <v>23</v>
      </c>
      <c r="S905" s="217" t="s">
        <v>22</v>
      </c>
      <c r="T905" s="217" t="s">
        <v>47</v>
      </c>
      <c r="U905" s="217" t="s">
        <v>48</v>
      </c>
      <c r="V905" s="217" t="s">
        <v>231</v>
      </c>
      <c r="W905" s="217" t="s">
        <v>232</v>
      </c>
    </row>
    <row r="906" spans="1:23" x14ac:dyDescent="0.25">
      <c r="A906" s="217" t="s">
        <v>22</v>
      </c>
      <c r="B906" s="217" t="s">
        <v>23</v>
      </c>
      <c r="C906" s="217" t="s">
        <v>48</v>
      </c>
      <c r="D906" s="217" t="s">
        <v>47</v>
      </c>
      <c r="E906" s="217" t="s">
        <v>62</v>
      </c>
      <c r="F906" s="217" t="s">
        <v>61</v>
      </c>
      <c r="G906" s="217" t="s">
        <v>521</v>
      </c>
      <c r="H906" s="217" t="s">
        <v>1386</v>
      </c>
      <c r="I906" s="217" t="s">
        <v>29</v>
      </c>
      <c r="J906" s="217" t="s">
        <v>1854</v>
      </c>
      <c r="K906" s="217">
        <v>16</v>
      </c>
      <c r="L906" s="217">
        <v>123</v>
      </c>
      <c r="M906" s="217" t="s">
        <v>31</v>
      </c>
      <c r="N906" s="217" t="s">
        <v>32</v>
      </c>
      <c r="O906" s="217" t="s">
        <v>68</v>
      </c>
      <c r="P906" s="217" t="s">
        <v>34</v>
      </c>
      <c r="Q906" s="217" t="s">
        <v>35</v>
      </c>
      <c r="R906" s="217" t="s">
        <v>23</v>
      </c>
      <c r="S906" s="217" t="s">
        <v>22</v>
      </c>
      <c r="T906" s="217" t="s">
        <v>47</v>
      </c>
      <c r="U906" s="217" t="s">
        <v>48</v>
      </c>
      <c r="V906" s="217" t="s">
        <v>231</v>
      </c>
      <c r="W906" s="217" t="s">
        <v>232</v>
      </c>
    </row>
    <row r="907" spans="1:23" x14ac:dyDescent="0.25">
      <c r="A907" s="217" t="s">
        <v>22</v>
      </c>
      <c r="B907" s="217" t="s">
        <v>23</v>
      </c>
      <c r="C907" s="217" t="s">
        <v>48</v>
      </c>
      <c r="D907" s="217" t="s">
        <v>47</v>
      </c>
      <c r="E907" s="217" t="s">
        <v>62</v>
      </c>
      <c r="F907" s="217" t="s">
        <v>61</v>
      </c>
      <c r="G907" s="217" t="s">
        <v>521</v>
      </c>
      <c r="H907" s="217" t="s">
        <v>1386</v>
      </c>
      <c r="I907" s="217" t="s">
        <v>29</v>
      </c>
      <c r="J907" s="217" t="s">
        <v>1855</v>
      </c>
      <c r="K907" s="217">
        <v>16</v>
      </c>
      <c r="L907" s="217">
        <v>115</v>
      </c>
      <c r="M907" s="217" t="s">
        <v>31</v>
      </c>
      <c r="N907" s="217" t="s">
        <v>32</v>
      </c>
      <c r="O907" s="217" t="s">
        <v>68</v>
      </c>
      <c r="P907" s="217" t="s">
        <v>34</v>
      </c>
      <c r="Q907" s="217" t="s">
        <v>35</v>
      </c>
      <c r="R907" s="217" t="s">
        <v>23</v>
      </c>
      <c r="S907" s="217" t="s">
        <v>22</v>
      </c>
      <c r="T907" s="217" t="s">
        <v>47</v>
      </c>
      <c r="U907" s="217" t="s">
        <v>48</v>
      </c>
      <c r="V907" s="217" t="s">
        <v>61</v>
      </c>
      <c r="W907" s="217" t="s">
        <v>62</v>
      </c>
    </row>
    <row r="908" spans="1:23" x14ac:dyDescent="0.25">
      <c r="A908" s="217" t="s">
        <v>22</v>
      </c>
      <c r="B908" s="217" t="s">
        <v>23</v>
      </c>
      <c r="C908" s="217" t="s">
        <v>48</v>
      </c>
      <c r="D908" s="217" t="s">
        <v>47</v>
      </c>
      <c r="E908" s="217" t="s">
        <v>62</v>
      </c>
      <c r="F908" s="217" t="s">
        <v>61</v>
      </c>
      <c r="G908" s="217" t="s">
        <v>521</v>
      </c>
      <c r="H908" s="217" t="s">
        <v>1386</v>
      </c>
      <c r="I908" s="217" t="s">
        <v>29</v>
      </c>
      <c r="J908" s="217" t="s">
        <v>1856</v>
      </c>
      <c r="K908" s="217">
        <v>11</v>
      </c>
      <c r="L908" s="217">
        <v>109</v>
      </c>
      <c r="M908" s="217" t="s">
        <v>31</v>
      </c>
      <c r="N908" s="217" t="s">
        <v>32</v>
      </c>
      <c r="O908" s="217" t="s">
        <v>68</v>
      </c>
      <c r="P908" s="217" t="s">
        <v>34</v>
      </c>
      <c r="Q908" s="217" t="s">
        <v>35</v>
      </c>
      <c r="R908" s="217" t="s">
        <v>23</v>
      </c>
      <c r="S908" s="217" t="s">
        <v>22</v>
      </c>
      <c r="T908" s="217" t="s">
        <v>47</v>
      </c>
      <c r="U908" s="217" t="s">
        <v>48</v>
      </c>
      <c r="V908" s="217" t="s">
        <v>61</v>
      </c>
      <c r="W908" s="217" t="s">
        <v>62</v>
      </c>
    </row>
    <row r="909" spans="1:23" x14ac:dyDescent="0.25">
      <c r="A909" s="217" t="s">
        <v>22</v>
      </c>
      <c r="B909" s="217" t="s">
        <v>23</v>
      </c>
      <c r="C909" s="217" t="s">
        <v>48</v>
      </c>
      <c r="D909" s="217" t="s">
        <v>47</v>
      </c>
      <c r="E909" s="217" t="s">
        <v>62</v>
      </c>
      <c r="F909" s="217" t="s">
        <v>61</v>
      </c>
      <c r="G909" s="217" t="s">
        <v>521</v>
      </c>
      <c r="H909" s="217" t="s">
        <v>1386</v>
      </c>
      <c r="I909" s="217" t="s">
        <v>29</v>
      </c>
      <c r="J909" s="217" t="s">
        <v>1857</v>
      </c>
      <c r="K909" s="217">
        <v>7</v>
      </c>
      <c r="L909" s="217">
        <v>66</v>
      </c>
      <c r="M909" s="217" t="s">
        <v>31</v>
      </c>
      <c r="N909" s="217" t="s">
        <v>32</v>
      </c>
      <c r="O909" s="217" t="s">
        <v>68</v>
      </c>
      <c r="P909" s="217" t="s">
        <v>34</v>
      </c>
      <c r="Q909" s="217" t="s">
        <v>35</v>
      </c>
      <c r="R909" s="217" t="s">
        <v>23</v>
      </c>
      <c r="S909" s="217" t="s">
        <v>22</v>
      </c>
      <c r="T909" s="217" t="s">
        <v>47</v>
      </c>
      <c r="U909" s="217" t="s">
        <v>48</v>
      </c>
      <c r="V909" s="217" t="s">
        <v>231</v>
      </c>
      <c r="W909" s="217" t="s">
        <v>232</v>
      </c>
    </row>
    <row r="910" spans="1:23" x14ac:dyDescent="0.25">
      <c r="A910" s="217" t="s">
        <v>22</v>
      </c>
      <c r="B910" s="217" t="s">
        <v>23</v>
      </c>
      <c r="C910" s="217" t="s">
        <v>48</v>
      </c>
      <c r="D910" s="217" t="s">
        <v>47</v>
      </c>
      <c r="E910" s="217" t="s">
        <v>62</v>
      </c>
      <c r="F910" s="217" t="s">
        <v>61</v>
      </c>
      <c r="G910" s="217" t="s">
        <v>522</v>
      </c>
      <c r="H910" s="217" t="s">
        <v>1387</v>
      </c>
      <c r="I910" s="217" t="s">
        <v>29</v>
      </c>
      <c r="J910" s="217" t="s">
        <v>1854</v>
      </c>
      <c r="K910" s="217">
        <v>11</v>
      </c>
      <c r="L910" s="217">
        <v>79</v>
      </c>
      <c r="M910" s="217" t="s">
        <v>31</v>
      </c>
      <c r="N910" s="217" t="s">
        <v>32</v>
      </c>
      <c r="O910" s="217" t="s">
        <v>68</v>
      </c>
      <c r="P910" s="217" t="s">
        <v>34</v>
      </c>
      <c r="Q910" s="217" t="s">
        <v>35</v>
      </c>
      <c r="R910" s="217" t="s">
        <v>23</v>
      </c>
      <c r="S910" s="217" t="s">
        <v>22</v>
      </c>
      <c r="T910" s="217" t="s">
        <v>47</v>
      </c>
      <c r="U910" s="217" t="s">
        <v>48</v>
      </c>
      <c r="V910" s="217" t="s">
        <v>231</v>
      </c>
      <c r="W910" s="217" t="s">
        <v>232</v>
      </c>
    </row>
    <row r="911" spans="1:23" x14ac:dyDescent="0.25">
      <c r="A911" s="217" t="s">
        <v>22</v>
      </c>
      <c r="B911" s="217" t="s">
        <v>23</v>
      </c>
      <c r="C911" s="217" t="s">
        <v>48</v>
      </c>
      <c r="D911" s="217" t="s">
        <v>47</v>
      </c>
      <c r="E911" s="217" t="s">
        <v>62</v>
      </c>
      <c r="F911" s="217" t="s">
        <v>61</v>
      </c>
      <c r="G911" s="217" t="s">
        <v>522</v>
      </c>
      <c r="H911" s="217" t="s">
        <v>1387</v>
      </c>
      <c r="I911" s="217" t="s">
        <v>29</v>
      </c>
      <c r="J911" s="217" t="s">
        <v>1855</v>
      </c>
      <c r="K911" s="217">
        <v>21</v>
      </c>
      <c r="L911" s="217">
        <v>126</v>
      </c>
      <c r="M911" s="217" t="s">
        <v>31</v>
      </c>
      <c r="N911" s="217" t="s">
        <v>32</v>
      </c>
      <c r="O911" s="217" t="s">
        <v>68</v>
      </c>
      <c r="P911" s="217" t="s">
        <v>34</v>
      </c>
      <c r="Q911" s="217" t="s">
        <v>35</v>
      </c>
      <c r="R911" s="217" t="s">
        <v>23</v>
      </c>
      <c r="S911" s="217" t="s">
        <v>22</v>
      </c>
      <c r="T911" s="217" t="s">
        <v>47</v>
      </c>
      <c r="U911" s="217" t="s">
        <v>48</v>
      </c>
      <c r="V911" s="217" t="s">
        <v>61</v>
      </c>
      <c r="W911" s="217" t="s">
        <v>62</v>
      </c>
    </row>
    <row r="912" spans="1:23" x14ac:dyDescent="0.25">
      <c r="A912" s="217" t="s">
        <v>22</v>
      </c>
      <c r="B912" s="217" t="s">
        <v>23</v>
      </c>
      <c r="C912" s="217" t="s">
        <v>48</v>
      </c>
      <c r="D912" s="217" t="s">
        <v>47</v>
      </c>
      <c r="E912" s="217" t="s">
        <v>62</v>
      </c>
      <c r="F912" s="217" t="s">
        <v>61</v>
      </c>
      <c r="G912" s="217" t="s">
        <v>522</v>
      </c>
      <c r="H912" s="217" t="s">
        <v>1387</v>
      </c>
      <c r="I912" s="217" t="s">
        <v>29</v>
      </c>
      <c r="J912" s="217" t="s">
        <v>1856</v>
      </c>
      <c r="K912" s="217">
        <v>39</v>
      </c>
      <c r="L912" s="217">
        <v>234</v>
      </c>
      <c r="M912" s="217" t="s">
        <v>31</v>
      </c>
      <c r="N912" s="217" t="s">
        <v>32</v>
      </c>
      <c r="O912" s="217" t="s">
        <v>68</v>
      </c>
      <c r="P912" s="217" t="s">
        <v>34</v>
      </c>
      <c r="Q912" s="217" t="s">
        <v>35</v>
      </c>
      <c r="R912" s="217" t="s">
        <v>23</v>
      </c>
      <c r="S912" s="217" t="s">
        <v>22</v>
      </c>
      <c r="T912" s="217" t="s">
        <v>47</v>
      </c>
      <c r="U912" s="217" t="s">
        <v>48</v>
      </c>
      <c r="V912" s="217" t="s">
        <v>231</v>
      </c>
      <c r="W912" s="217" t="s">
        <v>232</v>
      </c>
    </row>
    <row r="913" spans="1:23" x14ac:dyDescent="0.25">
      <c r="A913" s="217" t="s">
        <v>22</v>
      </c>
      <c r="B913" s="217" t="s">
        <v>23</v>
      </c>
      <c r="C913" s="217" t="s">
        <v>48</v>
      </c>
      <c r="D913" s="217" t="s">
        <v>47</v>
      </c>
      <c r="E913" s="217" t="s">
        <v>62</v>
      </c>
      <c r="F913" s="217" t="s">
        <v>61</v>
      </c>
      <c r="G913" s="217" t="s">
        <v>522</v>
      </c>
      <c r="H913" s="217" t="s">
        <v>1387</v>
      </c>
      <c r="I913" s="217" t="s">
        <v>29</v>
      </c>
      <c r="J913" s="217" t="s">
        <v>1857</v>
      </c>
      <c r="K913" s="217">
        <v>32</v>
      </c>
      <c r="L913" s="217">
        <v>201</v>
      </c>
      <c r="M913" s="217" t="s">
        <v>31</v>
      </c>
      <c r="N913" s="217" t="s">
        <v>32</v>
      </c>
      <c r="O913" s="217" t="s">
        <v>68</v>
      </c>
      <c r="P913" s="217" t="s">
        <v>34</v>
      </c>
      <c r="Q913" s="217" t="s">
        <v>35</v>
      </c>
      <c r="R913" s="217" t="s">
        <v>23</v>
      </c>
      <c r="S913" s="217" t="s">
        <v>22</v>
      </c>
      <c r="T913" s="217" t="s">
        <v>47</v>
      </c>
      <c r="U913" s="217" t="s">
        <v>48</v>
      </c>
      <c r="V913" s="217" t="s">
        <v>231</v>
      </c>
      <c r="W913" s="217" t="s">
        <v>232</v>
      </c>
    </row>
    <row r="914" spans="1:23" x14ac:dyDescent="0.25">
      <c r="A914" s="217" t="s">
        <v>22</v>
      </c>
      <c r="B914" s="217" t="s">
        <v>23</v>
      </c>
      <c r="C914" s="217" t="s">
        <v>48</v>
      </c>
      <c r="D914" s="217" t="s">
        <v>47</v>
      </c>
      <c r="E914" s="217" t="s">
        <v>62</v>
      </c>
      <c r="F914" s="217" t="s">
        <v>61</v>
      </c>
      <c r="G914" s="217" t="s">
        <v>522</v>
      </c>
      <c r="H914" s="217" t="s">
        <v>1387</v>
      </c>
      <c r="I914" s="217" t="s">
        <v>29</v>
      </c>
      <c r="J914" s="217" t="s">
        <v>1858</v>
      </c>
      <c r="K914" s="217">
        <v>15</v>
      </c>
      <c r="L914" s="217">
        <v>25</v>
      </c>
      <c r="M914" s="217" t="s">
        <v>31</v>
      </c>
      <c r="N914" s="217" t="s">
        <v>32</v>
      </c>
      <c r="O914" s="217" t="s">
        <v>68</v>
      </c>
      <c r="P914" s="217" t="s">
        <v>34</v>
      </c>
      <c r="Q914" s="217" t="s">
        <v>35</v>
      </c>
      <c r="R914" s="217" t="s">
        <v>23</v>
      </c>
      <c r="S914" s="217" t="s">
        <v>22</v>
      </c>
      <c r="T914" s="217" t="s">
        <v>47</v>
      </c>
      <c r="U914" s="217" t="s">
        <v>48</v>
      </c>
      <c r="V914" s="217" t="s">
        <v>61</v>
      </c>
      <c r="W914" s="217" t="s">
        <v>62</v>
      </c>
    </row>
    <row r="915" spans="1:23" x14ac:dyDescent="0.25">
      <c r="A915" s="217" t="s">
        <v>22</v>
      </c>
      <c r="B915" s="217" t="s">
        <v>23</v>
      </c>
      <c r="C915" s="217" t="s">
        <v>48</v>
      </c>
      <c r="D915" s="217" t="s">
        <v>47</v>
      </c>
      <c r="E915" s="217" t="s">
        <v>62</v>
      </c>
      <c r="F915" s="217" t="s">
        <v>61</v>
      </c>
      <c r="G915" s="217" t="s">
        <v>523</v>
      </c>
      <c r="H915" s="217" t="s">
        <v>1388</v>
      </c>
      <c r="I915" s="217" t="s">
        <v>29</v>
      </c>
      <c r="J915" s="217" t="s">
        <v>1854</v>
      </c>
      <c r="K915" s="217">
        <v>31</v>
      </c>
      <c r="L915" s="217">
        <v>78</v>
      </c>
      <c r="M915" s="217" t="s">
        <v>31</v>
      </c>
      <c r="N915" s="217" t="s">
        <v>32</v>
      </c>
      <c r="O915" s="217" t="s">
        <v>68</v>
      </c>
      <c r="P915" s="217" t="s">
        <v>34</v>
      </c>
      <c r="Q915" s="217" t="s">
        <v>35</v>
      </c>
      <c r="R915" s="217" t="s">
        <v>23</v>
      </c>
      <c r="S915" s="217" t="s">
        <v>22</v>
      </c>
      <c r="T915" s="217" t="s">
        <v>47</v>
      </c>
      <c r="U915" s="217" t="s">
        <v>48</v>
      </c>
      <c r="V915" s="217" t="s">
        <v>231</v>
      </c>
      <c r="W915" s="217" t="s">
        <v>232</v>
      </c>
    </row>
    <row r="916" spans="1:23" x14ac:dyDescent="0.25">
      <c r="A916" s="217" t="s">
        <v>22</v>
      </c>
      <c r="B916" s="217" t="s">
        <v>23</v>
      </c>
      <c r="C916" s="217" t="s">
        <v>48</v>
      </c>
      <c r="D916" s="217" t="s">
        <v>47</v>
      </c>
      <c r="E916" s="217" t="s">
        <v>62</v>
      </c>
      <c r="F916" s="217" t="s">
        <v>61</v>
      </c>
      <c r="G916" s="217" t="s">
        <v>523</v>
      </c>
      <c r="H916" s="217" t="s">
        <v>1388</v>
      </c>
      <c r="I916" s="217" t="s">
        <v>29</v>
      </c>
      <c r="J916" s="217" t="s">
        <v>1855</v>
      </c>
      <c r="K916" s="217">
        <v>36</v>
      </c>
      <c r="L916" s="217">
        <v>102</v>
      </c>
      <c r="M916" s="217" t="s">
        <v>31</v>
      </c>
      <c r="N916" s="217" t="s">
        <v>32</v>
      </c>
      <c r="O916" s="217" t="s">
        <v>68</v>
      </c>
      <c r="P916" s="217" t="s">
        <v>34</v>
      </c>
      <c r="Q916" s="217" t="s">
        <v>35</v>
      </c>
      <c r="R916" s="217" t="s">
        <v>23</v>
      </c>
      <c r="S916" s="217" t="s">
        <v>22</v>
      </c>
      <c r="T916" s="217" t="s">
        <v>47</v>
      </c>
      <c r="U916" s="217" t="s">
        <v>48</v>
      </c>
      <c r="V916" s="217" t="s">
        <v>231</v>
      </c>
      <c r="W916" s="217" t="s">
        <v>232</v>
      </c>
    </row>
    <row r="917" spans="1:23" x14ac:dyDescent="0.25">
      <c r="A917" s="217" t="s">
        <v>22</v>
      </c>
      <c r="B917" s="217" t="s">
        <v>23</v>
      </c>
      <c r="C917" s="217" t="s">
        <v>48</v>
      </c>
      <c r="D917" s="217" t="s">
        <v>47</v>
      </c>
      <c r="E917" s="217" t="s">
        <v>62</v>
      </c>
      <c r="F917" s="217" t="s">
        <v>61</v>
      </c>
      <c r="G917" s="217" t="s">
        <v>523</v>
      </c>
      <c r="H917" s="217" t="s">
        <v>1388</v>
      </c>
      <c r="I917" s="217" t="s">
        <v>29</v>
      </c>
      <c r="J917" s="217" t="s">
        <v>1856</v>
      </c>
      <c r="K917" s="217">
        <v>33</v>
      </c>
      <c r="L917" s="217">
        <v>91</v>
      </c>
      <c r="M917" s="217" t="s">
        <v>31</v>
      </c>
      <c r="N917" s="217" t="s">
        <v>32</v>
      </c>
      <c r="O917" s="217" t="s">
        <v>68</v>
      </c>
      <c r="P917" s="217" t="s">
        <v>34</v>
      </c>
      <c r="Q917" s="217" t="s">
        <v>35</v>
      </c>
      <c r="R917" s="217" t="s">
        <v>23</v>
      </c>
      <c r="S917" s="217" t="s">
        <v>22</v>
      </c>
      <c r="T917" s="217" t="s">
        <v>47</v>
      </c>
      <c r="U917" s="217" t="s">
        <v>48</v>
      </c>
      <c r="V917" s="217" t="s">
        <v>231</v>
      </c>
      <c r="W917" s="217" t="s">
        <v>232</v>
      </c>
    </row>
    <row r="918" spans="1:23" x14ac:dyDescent="0.25">
      <c r="A918" s="217" t="s">
        <v>22</v>
      </c>
      <c r="B918" s="217" t="s">
        <v>23</v>
      </c>
      <c r="C918" s="217" t="s">
        <v>48</v>
      </c>
      <c r="D918" s="217" t="s">
        <v>47</v>
      </c>
      <c r="E918" s="217" t="s">
        <v>62</v>
      </c>
      <c r="F918" s="217" t="s">
        <v>61</v>
      </c>
      <c r="G918" s="217" t="s">
        <v>523</v>
      </c>
      <c r="H918" s="217" t="s">
        <v>1388</v>
      </c>
      <c r="I918" s="217" t="s">
        <v>29</v>
      </c>
      <c r="J918" s="217" t="s">
        <v>1857</v>
      </c>
      <c r="K918" s="217">
        <v>37</v>
      </c>
      <c r="L918" s="217">
        <v>105</v>
      </c>
      <c r="M918" s="217" t="s">
        <v>31</v>
      </c>
      <c r="N918" s="217" t="s">
        <v>32</v>
      </c>
      <c r="O918" s="217" t="s">
        <v>68</v>
      </c>
      <c r="P918" s="217" t="s">
        <v>34</v>
      </c>
      <c r="Q918" s="217" t="s">
        <v>35</v>
      </c>
      <c r="R918" s="217" t="s">
        <v>23</v>
      </c>
      <c r="S918" s="217" t="s">
        <v>22</v>
      </c>
      <c r="T918" s="217" t="s">
        <v>47</v>
      </c>
      <c r="U918" s="217" t="s">
        <v>48</v>
      </c>
      <c r="V918" s="217" t="s">
        <v>231</v>
      </c>
      <c r="W918" s="217" t="s">
        <v>232</v>
      </c>
    </row>
    <row r="919" spans="1:23" x14ac:dyDescent="0.25">
      <c r="A919" s="217" t="s">
        <v>22</v>
      </c>
      <c r="B919" s="217" t="s">
        <v>23</v>
      </c>
      <c r="C919" s="217" t="s">
        <v>48</v>
      </c>
      <c r="D919" s="217" t="s">
        <v>47</v>
      </c>
      <c r="E919" s="217" t="s">
        <v>62</v>
      </c>
      <c r="F919" s="217" t="s">
        <v>61</v>
      </c>
      <c r="G919" s="217" t="s">
        <v>523</v>
      </c>
      <c r="H919" s="217" t="s">
        <v>1388</v>
      </c>
      <c r="I919" s="217" t="s">
        <v>29</v>
      </c>
      <c r="J919" s="217" t="s">
        <v>1858</v>
      </c>
      <c r="K919" s="217">
        <v>3</v>
      </c>
      <c r="L919" s="217">
        <v>10</v>
      </c>
      <c r="M919" s="217" t="s">
        <v>31</v>
      </c>
      <c r="N919" s="217" t="s">
        <v>32</v>
      </c>
      <c r="O919" s="217" t="s">
        <v>68</v>
      </c>
      <c r="P919" s="217" t="s">
        <v>34</v>
      </c>
      <c r="Q919" s="217" t="s">
        <v>35</v>
      </c>
      <c r="R919" s="217" t="s">
        <v>23</v>
      </c>
      <c r="S919" s="217" t="s">
        <v>22</v>
      </c>
      <c r="T919" s="217" t="s">
        <v>47</v>
      </c>
      <c r="U919" s="217" t="s">
        <v>48</v>
      </c>
      <c r="V919" s="217" t="s">
        <v>231</v>
      </c>
      <c r="W919" s="217" t="s">
        <v>232</v>
      </c>
    </row>
    <row r="920" spans="1:23" x14ac:dyDescent="0.25">
      <c r="A920" s="217" t="s">
        <v>22</v>
      </c>
      <c r="B920" s="217" t="s">
        <v>23</v>
      </c>
      <c r="C920" s="217" t="s">
        <v>48</v>
      </c>
      <c r="D920" s="217" t="s">
        <v>47</v>
      </c>
      <c r="E920" s="217" t="s">
        <v>62</v>
      </c>
      <c r="F920" s="217" t="s">
        <v>61</v>
      </c>
      <c r="G920" s="217" t="s">
        <v>524</v>
      </c>
      <c r="H920" s="217" t="s">
        <v>1389</v>
      </c>
      <c r="I920" s="217" t="s">
        <v>29</v>
      </c>
      <c r="J920" s="217" t="s">
        <v>1854</v>
      </c>
      <c r="K920" s="217">
        <v>16</v>
      </c>
      <c r="L920" s="217">
        <v>117</v>
      </c>
      <c r="M920" s="217" t="s">
        <v>31</v>
      </c>
      <c r="N920" s="217" t="s">
        <v>32</v>
      </c>
      <c r="O920" s="217" t="s">
        <v>68</v>
      </c>
      <c r="P920" s="217" t="s">
        <v>34</v>
      </c>
      <c r="Q920" s="217" t="s">
        <v>35</v>
      </c>
      <c r="R920" s="217" t="s">
        <v>23</v>
      </c>
      <c r="S920" s="217" t="s">
        <v>22</v>
      </c>
      <c r="T920" s="217" t="s">
        <v>47</v>
      </c>
      <c r="U920" s="217" t="s">
        <v>48</v>
      </c>
      <c r="V920" s="217" t="s">
        <v>231</v>
      </c>
      <c r="W920" s="217" t="s">
        <v>232</v>
      </c>
    </row>
    <row r="921" spans="1:23" x14ac:dyDescent="0.25">
      <c r="A921" s="217" t="s">
        <v>22</v>
      </c>
      <c r="B921" s="217" t="s">
        <v>23</v>
      </c>
      <c r="C921" s="217" t="s">
        <v>48</v>
      </c>
      <c r="D921" s="217" t="s">
        <v>47</v>
      </c>
      <c r="E921" s="217" t="s">
        <v>62</v>
      </c>
      <c r="F921" s="217" t="s">
        <v>61</v>
      </c>
      <c r="G921" s="217" t="s">
        <v>524</v>
      </c>
      <c r="H921" s="217" t="s">
        <v>1389</v>
      </c>
      <c r="I921" s="217" t="s">
        <v>29</v>
      </c>
      <c r="J921" s="217" t="s">
        <v>1855</v>
      </c>
      <c r="K921" s="217">
        <v>11</v>
      </c>
      <c r="L921" s="217">
        <v>53</v>
      </c>
      <c r="M921" s="217" t="s">
        <v>31</v>
      </c>
      <c r="N921" s="217" t="s">
        <v>32</v>
      </c>
      <c r="O921" s="217" t="s">
        <v>68</v>
      </c>
      <c r="P921" s="217" t="s">
        <v>34</v>
      </c>
      <c r="Q921" s="217" t="s">
        <v>35</v>
      </c>
      <c r="R921" s="217" t="s">
        <v>23</v>
      </c>
      <c r="S921" s="217" t="s">
        <v>22</v>
      </c>
      <c r="T921" s="217" t="s">
        <v>47</v>
      </c>
      <c r="U921" s="217" t="s">
        <v>48</v>
      </c>
      <c r="V921" s="217" t="s">
        <v>231</v>
      </c>
      <c r="W921" s="217" t="s">
        <v>232</v>
      </c>
    </row>
    <row r="922" spans="1:23" x14ac:dyDescent="0.25">
      <c r="A922" s="217" t="s">
        <v>22</v>
      </c>
      <c r="B922" s="217" t="s">
        <v>23</v>
      </c>
      <c r="C922" s="217" t="s">
        <v>48</v>
      </c>
      <c r="D922" s="217" t="s">
        <v>47</v>
      </c>
      <c r="E922" s="217" t="s">
        <v>62</v>
      </c>
      <c r="F922" s="217" t="s">
        <v>61</v>
      </c>
      <c r="G922" s="217" t="s">
        <v>524</v>
      </c>
      <c r="H922" s="217" t="s">
        <v>1389</v>
      </c>
      <c r="I922" s="217" t="s">
        <v>29</v>
      </c>
      <c r="J922" s="217" t="s">
        <v>1856</v>
      </c>
      <c r="K922" s="217">
        <v>14</v>
      </c>
      <c r="L922" s="217">
        <v>89</v>
      </c>
      <c r="M922" s="217" t="s">
        <v>31</v>
      </c>
      <c r="N922" s="217" t="s">
        <v>32</v>
      </c>
      <c r="O922" s="217" t="s">
        <v>68</v>
      </c>
      <c r="P922" s="217" t="s">
        <v>34</v>
      </c>
      <c r="Q922" s="217" t="s">
        <v>35</v>
      </c>
      <c r="R922" s="217" t="s">
        <v>23</v>
      </c>
      <c r="S922" s="217" t="s">
        <v>22</v>
      </c>
      <c r="T922" s="217" t="s">
        <v>47</v>
      </c>
      <c r="U922" s="217" t="s">
        <v>48</v>
      </c>
      <c r="V922" s="217" t="s">
        <v>231</v>
      </c>
      <c r="W922" s="217" t="s">
        <v>232</v>
      </c>
    </row>
    <row r="923" spans="1:23" x14ac:dyDescent="0.25">
      <c r="A923" s="217" t="s">
        <v>22</v>
      </c>
      <c r="B923" s="217" t="s">
        <v>23</v>
      </c>
      <c r="C923" s="217" t="s">
        <v>48</v>
      </c>
      <c r="D923" s="217" t="s">
        <v>47</v>
      </c>
      <c r="E923" s="217" t="s">
        <v>62</v>
      </c>
      <c r="F923" s="217" t="s">
        <v>61</v>
      </c>
      <c r="G923" s="217" t="s">
        <v>524</v>
      </c>
      <c r="H923" s="217" t="s">
        <v>1389</v>
      </c>
      <c r="I923" s="217" t="s">
        <v>29</v>
      </c>
      <c r="J923" s="217" t="s">
        <v>1857</v>
      </c>
      <c r="K923" s="217">
        <v>10</v>
      </c>
      <c r="L923" s="217">
        <v>41</v>
      </c>
      <c r="M923" s="217" t="s">
        <v>31</v>
      </c>
      <c r="N923" s="217" t="s">
        <v>32</v>
      </c>
      <c r="O923" s="217" t="s">
        <v>68</v>
      </c>
      <c r="P923" s="217" t="s">
        <v>34</v>
      </c>
      <c r="Q923" s="217" t="s">
        <v>35</v>
      </c>
      <c r="R923" s="217" t="s">
        <v>23</v>
      </c>
      <c r="S923" s="217" t="s">
        <v>22</v>
      </c>
      <c r="T923" s="217" t="s">
        <v>47</v>
      </c>
      <c r="U923" s="217" t="s">
        <v>48</v>
      </c>
      <c r="V923" s="217" t="s">
        <v>231</v>
      </c>
      <c r="W923" s="217" t="s">
        <v>232</v>
      </c>
    </row>
    <row r="924" spans="1:23" x14ac:dyDescent="0.25">
      <c r="A924" s="217" t="s">
        <v>22</v>
      </c>
      <c r="B924" s="217" t="s">
        <v>23</v>
      </c>
      <c r="C924" s="217" t="s">
        <v>48</v>
      </c>
      <c r="D924" s="217" t="s">
        <v>47</v>
      </c>
      <c r="E924" s="217" t="s">
        <v>62</v>
      </c>
      <c r="F924" s="217" t="s">
        <v>61</v>
      </c>
      <c r="G924" s="217" t="s">
        <v>525</v>
      </c>
      <c r="H924" s="217" t="s">
        <v>1390</v>
      </c>
      <c r="I924" s="217" t="s">
        <v>29</v>
      </c>
      <c r="J924" s="217" t="s">
        <v>1854</v>
      </c>
      <c r="K924" s="217">
        <v>25</v>
      </c>
      <c r="L924" s="217">
        <v>87</v>
      </c>
      <c r="M924" s="217" t="s">
        <v>31</v>
      </c>
      <c r="N924" s="217" t="s">
        <v>32</v>
      </c>
      <c r="O924" s="217" t="s">
        <v>68</v>
      </c>
      <c r="P924" s="217" t="s">
        <v>34</v>
      </c>
      <c r="Q924" s="217" t="s">
        <v>35</v>
      </c>
      <c r="R924" s="217" t="s">
        <v>23</v>
      </c>
      <c r="S924" s="217" t="s">
        <v>22</v>
      </c>
      <c r="T924" s="217" t="s">
        <v>47</v>
      </c>
      <c r="U924" s="217" t="s">
        <v>48</v>
      </c>
      <c r="V924" s="217" t="s">
        <v>231</v>
      </c>
      <c r="W924" s="217" t="s">
        <v>232</v>
      </c>
    </row>
    <row r="925" spans="1:23" x14ac:dyDescent="0.25">
      <c r="A925" s="217" t="s">
        <v>22</v>
      </c>
      <c r="B925" s="217" t="s">
        <v>23</v>
      </c>
      <c r="C925" s="217" t="s">
        <v>48</v>
      </c>
      <c r="D925" s="217" t="s">
        <v>47</v>
      </c>
      <c r="E925" s="217" t="s">
        <v>62</v>
      </c>
      <c r="F925" s="217" t="s">
        <v>61</v>
      </c>
      <c r="G925" s="217" t="s">
        <v>525</v>
      </c>
      <c r="H925" s="217" t="s">
        <v>1390</v>
      </c>
      <c r="I925" s="217" t="s">
        <v>29</v>
      </c>
      <c r="J925" s="217" t="s">
        <v>1855</v>
      </c>
      <c r="K925" s="217">
        <v>36</v>
      </c>
      <c r="L925" s="217">
        <v>135</v>
      </c>
      <c r="M925" s="217" t="s">
        <v>31</v>
      </c>
      <c r="N925" s="217" t="s">
        <v>32</v>
      </c>
      <c r="O925" s="217" t="s">
        <v>68</v>
      </c>
      <c r="P925" s="217" t="s">
        <v>34</v>
      </c>
      <c r="Q925" s="217" t="s">
        <v>35</v>
      </c>
      <c r="R925" s="217" t="s">
        <v>23</v>
      </c>
      <c r="S925" s="217" t="s">
        <v>22</v>
      </c>
      <c r="T925" s="217" t="s">
        <v>47</v>
      </c>
      <c r="U925" s="217" t="s">
        <v>48</v>
      </c>
      <c r="V925" s="217" t="s">
        <v>231</v>
      </c>
      <c r="W925" s="217" t="s">
        <v>232</v>
      </c>
    </row>
    <row r="926" spans="1:23" x14ac:dyDescent="0.25">
      <c r="A926" s="217" t="s">
        <v>22</v>
      </c>
      <c r="B926" s="217" t="s">
        <v>23</v>
      </c>
      <c r="C926" s="217" t="s">
        <v>48</v>
      </c>
      <c r="D926" s="217" t="s">
        <v>47</v>
      </c>
      <c r="E926" s="217" t="s">
        <v>62</v>
      </c>
      <c r="F926" s="217" t="s">
        <v>61</v>
      </c>
      <c r="G926" s="217" t="s">
        <v>525</v>
      </c>
      <c r="H926" s="217" t="s">
        <v>1390</v>
      </c>
      <c r="I926" s="217" t="s">
        <v>29</v>
      </c>
      <c r="J926" s="217" t="s">
        <v>1856</v>
      </c>
      <c r="K926" s="217">
        <v>25</v>
      </c>
      <c r="L926" s="217">
        <v>85</v>
      </c>
      <c r="M926" s="217" t="s">
        <v>31</v>
      </c>
      <c r="N926" s="217" t="s">
        <v>32</v>
      </c>
      <c r="O926" s="217" t="s">
        <v>68</v>
      </c>
      <c r="P926" s="217" t="s">
        <v>34</v>
      </c>
      <c r="Q926" s="217" t="s">
        <v>35</v>
      </c>
      <c r="R926" s="217" t="s">
        <v>23</v>
      </c>
      <c r="S926" s="217" t="s">
        <v>22</v>
      </c>
      <c r="T926" s="217" t="s">
        <v>47</v>
      </c>
      <c r="U926" s="217" t="s">
        <v>48</v>
      </c>
      <c r="V926" s="217" t="s">
        <v>231</v>
      </c>
      <c r="W926" s="217" t="s">
        <v>232</v>
      </c>
    </row>
    <row r="927" spans="1:23" x14ac:dyDescent="0.25">
      <c r="A927" s="217" t="s">
        <v>22</v>
      </c>
      <c r="B927" s="217" t="s">
        <v>23</v>
      </c>
      <c r="C927" s="217" t="s">
        <v>48</v>
      </c>
      <c r="D927" s="217" t="s">
        <v>47</v>
      </c>
      <c r="E927" s="217" t="s">
        <v>62</v>
      </c>
      <c r="F927" s="217" t="s">
        <v>61</v>
      </c>
      <c r="G927" s="217" t="s">
        <v>525</v>
      </c>
      <c r="H927" s="217" t="s">
        <v>1390</v>
      </c>
      <c r="I927" s="217" t="s">
        <v>29</v>
      </c>
      <c r="J927" s="217" t="s">
        <v>1857</v>
      </c>
      <c r="K927" s="217">
        <v>30</v>
      </c>
      <c r="L927" s="217">
        <v>104</v>
      </c>
      <c r="M927" s="217" t="s">
        <v>31</v>
      </c>
      <c r="N927" s="217" t="s">
        <v>32</v>
      </c>
      <c r="O927" s="217" t="s">
        <v>68</v>
      </c>
      <c r="P927" s="217" t="s">
        <v>34</v>
      </c>
      <c r="Q927" s="217" t="s">
        <v>35</v>
      </c>
      <c r="R927" s="217" t="s">
        <v>23</v>
      </c>
      <c r="S927" s="217" t="s">
        <v>22</v>
      </c>
      <c r="T927" s="217" t="s">
        <v>47</v>
      </c>
      <c r="U927" s="217" t="s">
        <v>48</v>
      </c>
      <c r="V927" s="217" t="s">
        <v>231</v>
      </c>
      <c r="W927" s="217" t="s">
        <v>232</v>
      </c>
    </row>
    <row r="928" spans="1:23" x14ac:dyDescent="0.25">
      <c r="A928" s="217" t="s">
        <v>22</v>
      </c>
      <c r="B928" s="217" t="s">
        <v>23</v>
      </c>
      <c r="C928" s="217" t="s">
        <v>48</v>
      </c>
      <c r="D928" s="217" t="s">
        <v>47</v>
      </c>
      <c r="E928" s="217" t="s">
        <v>62</v>
      </c>
      <c r="F928" s="217" t="s">
        <v>61</v>
      </c>
      <c r="G928" s="217" t="s">
        <v>525</v>
      </c>
      <c r="H928" s="217" t="s">
        <v>1390</v>
      </c>
      <c r="I928" s="217" t="s">
        <v>29</v>
      </c>
      <c r="J928" s="217" t="s">
        <v>1858</v>
      </c>
      <c r="K928" s="217">
        <v>2</v>
      </c>
      <c r="L928" s="217">
        <v>6</v>
      </c>
      <c r="M928" s="217" t="s">
        <v>31</v>
      </c>
      <c r="N928" s="217" t="s">
        <v>32</v>
      </c>
      <c r="O928" s="217" t="s">
        <v>68</v>
      </c>
      <c r="P928" s="217" t="s">
        <v>34</v>
      </c>
      <c r="Q928" s="217" t="s">
        <v>35</v>
      </c>
      <c r="R928" s="217" t="s">
        <v>23</v>
      </c>
      <c r="S928" s="217" t="s">
        <v>22</v>
      </c>
      <c r="T928" s="217" t="s">
        <v>47</v>
      </c>
      <c r="U928" s="217" t="s">
        <v>48</v>
      </c>
      <c r="V928" s="217" t="s">
        <v>231</v>
      </c>
      <c r="W928" s="217" t="s">
        <v>232</v>
      </c>
    </row>
    <row r="929" spans="1:23" x14ac:dyDescent="0.25">
      <c r="A929" s="217" t="s">
        <v>22</v>
      </c>
      <c r="B929" s="217" t="s">
        <v>23</v>
      </c>
      <c r="C929" s="217" t="s">
        <v>48</v>
      </c>
      <c r="D929" s="217" t="s">
        <v>47</v>
      </c>
      <c r="E929" s="217" t="s">
        <v>62</v>
      </c>
      <c r="F929" s="217" t="s">
        <v>61</v>
      </c>
      <c r="G929" s="217" t="s">
        <v>526</v>
      </c>
      <c r="H929" s="217" t="s">
        <v>1391</v>
      </c>
      <c r="I929" s="217" t="s">
        <v>29</v>
      </c>
      <c r="J929" s="217" t="s">
        <v>1854</v>
      </c>
      <c r="K929" s="217">
        <v>20</v>
      </c>
      <c r="L929" s="217">
        <v>92</v>
      </c>
      <c r="M929" s="217" t="s">
        <v>31</v>
      </c>
      <c r="N929" s="217" t="s">
        <v>32</v>
      </c>
      <c r="O929" s="217" t="s">
        <v>68</v>
      </c>
      <c r="P929" s="217" t="s">
        <v>34</v>
      </c>
      <c r="Q929" s="217" t="s">
        <v>35</v>
      </c>
      <c r="R929" s="217" t="s">
        <v>23</v>
      </c>
      <c r="S929" s="217" t="s">
        <v>22</v>
      </c>
      <c r="T929" s="217" t="s">
        <v>47</v>
      </c>
      <c r="U929" s="217" t="s">
        <v>48</v>
      </c>
      <c r="V929" s="217" t="s">
        <v>231</v>
      </c>
      <c r="W929" s="217" t="s">
        <v>232</v>
      </c>
    </row>
    <row r="930" spans="1:23" x14ac:dyDescent="0.25">
      <c r="A930" s="217" t="s">
        <v>22</v>
      </c>
      <c r="B930" s="217" t="s">
        <v>23</v>
      </c>
      <c r="C930" s="217" t="s">
        <v>48</v>
      </c>
      <c r="D930" s="217" t="s">
        <v>47</v>
      </c>
      <c r="E930" s="217" t="s">
        <v>62</v>
      </c>
      <c r="F930" s="217" t="s">
        <v>61</v>
      </c>
      <c r="G930" s="217" t="s">
        <v>526</v>
      </c>
      <c r="H930" s="217" t="s">
        <v>1391</v>
      </c>
      <c r="I930" s="217" t="s">
        <v>29</v>
      </c>
      <c r="J930" s="217" t="s">
        <v>1855</v>
      </c>
      <c r="K930" s="217">
        <v>40</v>
      </c>
      <c r="L930" s="217">
        <v>148</v>
      </c>
      <c r="M930" s="217" t="s">
        <v>31</v>
      </c>
      <c r="N930" s="217" t="s">
        <v>32</v>
      </c>
      <c r="O930" s="217" t="s">
        <v>68</v>
      </c>
      <c r="P930" s="217" t="s">
        <v>34</v>
      </c>
      <c r="Q930" s="217" t="s">
        <v>35</v>
      </c>
      <c r="R930" s="217" t="s">
        <v>23</v>
      </c>
      <c r="S930" s="217" t="s">
        <v>22</v>
      </c>
      <c r="T930" s="217" t="s">
        <v>47</v>
      </c>
      <c r="U930" s="217" t="s">
        <v>48</v>
      </c>
      <c r="V930" s="217" t="s">
        <v>231</v>
      </c>
      <c r="W930" s="217" t="s">
        <v>232</v>
      </c>
    </row>
    <row r="931" spans="1:23" x14ac:dyDescent="0.25">
      <c r="A931" s="217" t="s">
        <v>22</v>
      </c>
      <c r="B931" s="217" t="s">
        <v>23</v>
      </c>
      <c r="C931" s="217" t="s">
        <v>48</v>
      </c>
      <c r="D931" s="217" t="s">
        <v>47</v>
      </c>
      <c r="E931" s="217" t="s">
        <v>62</v>
      </c>
      <c r="F931" s="217" t="s">
        <v>61</v>
      </c>
      <c r="G931" s="217" t="s">
        <v>526</v>
      </c>
      <c r="H931" s="217" t="s">
        <v>1391</v>
      </c>
      <c r="I931" s="217" t="s">
        <v>29</v>
      </c>
      <c r="J931" s="217" t="s">
        <v>1856</v>
      </c>
      <c r="K931" s="217">
        <v>30</v>
      </c>
      <c r="L931" s="217">
        <v>110</v>
      </c>
      <c r="M931" s="217" t="s">
        <v>31</v>
      </c>
      <c r="N931" s="217" t="s">
        <v>32</v>
      </c>
      <c r="O931" s="217" t="s">
        <v>100</v>
      </c>
      <c r="P931" s="217" t="s">
        <v>34</v>
      </c>
      <c r="Q931" s="217" t="s">
        <v>35</v>
      </c>
      <c r="R931" s="217" t="s">
        <v>23</v>
      </c>
      <c r="S931" s="217" t="s">
        <v>22</v>
      </c>
      <c r="T931" s="217" t="s">
        <v>47</v>
      </c>
      <c r="U931" s="217" t="s">
        <v>48</v>
      </c>
      <c r="V931" s="217" t="s">
        <v>61</v>
      </c>
      <c r="W931" s="217" t="s">
        <v>62</v>
      </c>
    </row>
    <row r="932" spans="1:23" x14ac:dyDescent="0.25">
      <c r="A932" s="217" t="s">
        <v>22</v>
      </c>
      <c r="B932" s="217" t="s">
        <v>23</v>
      </c>
      <c r="C932" s="217" t="s">
        <v>48</v>
      </c>
      <c r="D932" s="217" t="s">
        <v>47</v>
      </c>
      <c r="E932" s="217" t="s">
        <v>62</v>
      </c>
      <c r="F932" s="217" t="s">
        <v>61</v>
      </c>
      <c r="G932" s="217" t="s">
        <v>526</v>
      </c>
      <c r="H932" s="217" t="s">
        <v>1391</v>
      </c>
      <c r="I932" s="217" t="s">
        <v>29</v>
      </c>
      <c r="J932" s="217" t="s">
        <v>1857</v>
      </c>
      <c r="K932" s="217">
        <v>36</v>
      </c>
      <c r="L932" s="217">
        <v>150</v>
      </c>
      <c r="M932" s="217" t="s">
        <v>31</v>
      </c>
      <c r="N932" s="217" t="s">
        <v>32</v>
      </c>
      <c r="O932" s="217" t="s">
        <v>68</v>
      </c>
      <c r="P932" s="217" t="s">
        <v>34</v>
      </c>
      <c r="Q932" s="217" t="s">
        <v>35</v>
      </c>
      <c r="R932" s="217" t="s">
        <v>23</v>
      </c>
      <c r="S932" s="217" t="s">
        <v>22</v>
      </c>
      <c r="T932" s="217" t="s">
        <v>47</v>
      </c>
      <c r="U932" s="217" t="s">
        <v>48</v>
      </c>
      <c r="V932" s="217" t="s">
        <v>231</v>
      </c>
      <c r="W932" s="217" t="s">
        <v>232</v>
      </c>
    </row>
    <row r="933" spans="1:23" x14ac:dyDescent="0.25">
      <c r="A933" s="217" t="s">
        <v>22</v>
      </c>
      <c r="B933" s="217" t="s">
        <v>23</v>
      </c>
      <c r="C933" s="217" t="s">
        <v>48</v>
      </c>
      <c r="D933" s="217" t="s">
        <v>47</v>
      </c>
      <c r="E933" s="217" t="s">
        <v>62</v>
      </c>
      <c r="F933" s="217" t="s">
        <v>61</v>
      </c>
      <c r="G933" s="217" t="s">
        <v>526</v>
      </c>
      <c r="H933" s="217" t="s">
        <v>1391</v>
      </c>
      <c r="I933" s="217" t="s">
        <v>29</v>
      </c>
      <c r="J933" s="217" t="s">
        <v>1858</v>
      </c>
      <c r="K933" s="217">
        <v>7</v>
      </c>
      <c r="L933" s="217">
        <v>40</v>
      </c>
      <c r="M933" s="217" t="s">
        <v>31</v>
      </c>
      <c r="N933" s="217" t="s">
        <v>32</v>
      </c>
      <c r="O933" s="217" t="s">
        <v>68</v>
      </c>
      <c r="P933" s="217" t="s">
        <v>34</v>
      </c>
      <c r="Q933" s="217" t="s">
        <v>35</v>
      </c>
      <c r="R933" s="217" t="s">
        <v>23</v>
      </c>
      <c r="S933" s="217" t="s">
        <v>22</v>
      </c>
      <c r="T933" s="217" t="s">
        <v>47</v>
      </c>
      <c r="U933" s="217" t="s">
        <v>48</v>
      </c>
      <c r="V933" s="217" t="s">
        <v>231</v>
      </c>
      <c r="W933" s="217" t="s">
        <v>232</v>
      </c>
    </row>
    <row r="934" spans="1:23" x14ac:dyDescent="0.25">
      <c r="A934" s="217" t="s">
        <v>22</v>
      </c>
      <c r="B934" s="217" t="s">
        <v>23</v>
      </c>
      <c r="C934" s="217" t="s">
        <v>48</v>
      </c>
      <c r="D934" s="217" t="s">
        <v>47</v>
      </c>
      <c r="E934" s="217" t="s">
        <v>527</v>
      </c>
      <c r="F934" s="217" t="s">
        <v>528</v>
      </c>
      <c r="G934" s="217" t="s">
        <v>529</v>
      </c>
      <c r="H934" s="217" t="s">
        <v>1393</v>
      </c>
      <c r="I934" s="217" t="s">
        <v>29</v>
      </c>
      <c r="J934" s="217" t="s">
        <v>1855</v>
      </c>
      <c r="K934" s="217">
        <v>3</v>
      </c>
      <c r="L934" s="217">
        <v>12</v>
      </c>
      <c r="M934" s="217" t="s">
        <v>31</v>
      </c>
      <c r="N934" s="217" t="s">
        <v>32</v>
      </c>
      <c r="O934" s="217" t="s">
        <v>68</v>
      </c>
      <c r="P934" s="217" t="s">
        <v>34</v>
      </c>
      <c r="Q934" s="217" t="s">
        <v>35</v>
      </c>
      <c r="R934" s="217" t="s">
        <v>23</v>
      </c>
      <c r="S934" s="217" t="s">
        <v>22</v>
      </c>
      <c r="T934" s="217" t="s">
        <v>47</v>
      </c>
      <c r="U934" s="217" t="s">
        <v>48</v>
      </c>
      <c r="V934" s="217" t="s">
        <v>231</v>
      </c>
      <c r="W934" s="217" t="s">
        <v>232</v>
      </c>
    </row>
    <row r="935" spans="1:23" x14ac:dyDescent="0.25">
      <c r="A935" s="217" t="s">
        <v>22</v>
      </c>
      <c r="B935" s="217" t="s">
        <v>23</v>
      </c>
      <c r="C935" s="217" t="s">
        <v>48</v>
      </c>
      <c r="D935" s="217" t="s">
        <v>47</v>
      </c>
      <c r="E935" s="217" t="s">
        <v>527</v>
      </c>
      <c r="F935" s="217" t="s">
        <v>528</v>
      </c>
      <c r="G935" s="217" t="s">
        <v>529</v>
      </c>
      <c r="H935" s="217" t="s">
        <v>1393</v>
      </c>
      <c r="I935" s="217" t="s">
        <v>29</v>
      </c>
      <c r="J935" s="217" t="s">
        <v>1856</v>
      </c>
      <c r="K935" s="217">
        <v>2</v>
      </c>
      <c r="L935" s="217">
        <v>6</v>
      </c>
      <c r="M935" s="217" t="s">
        <v>31</v>
      </c>
      <c r="N935" s="217" t="s">
        <v>32</v>
      </c>
      <c r="O935" s="217" t="s">
        <v>68</v>
      </c>
      <c r="P935" s="217" t="s">
        <v>34</v>
      </c>
      <c r="Q935" s="217" t="s">
        <v>35</v>
      </c>
      <c r="R935" s="217" t="s">
        <v>23</v>
      </c>
      <c r="S935" s="217" t="s">
        <v>22</v>
      </c>
      <c r="T935" s="217" t="s">
        <v>47</v>
      </c>
      <c r="U935" s="217" t="s">
        <v>48</v>
      </c>
      <c r="V935" s="217" t="s">
        <v>231</v>
      </c>
      <c r="W935" s="217" t="s">
        <v>232</v>
      </c>
    </row>
    <row r="936" spans="1:23" x14ac:dyDescent="0.25">
      <c r="A936" s="217" t="s">
        <v>22</v>
      </c>
      <c r="B936" s="217" t="s">
        <v>23</v>
      </c>
      <c r="C936" s="217" t="s">
        <v>48</v>
      </c>
      <c r="D936" s="217" t="s">
        <v>47</v>
      </c>
      <c r="E936" s="217" t="s">
        <v>527</v>
      </c>
      <c r="F936" s="217" t="s">
        <v>528</v>
      </c>
      <c r="G936" s="217" t="s">
        <v>529</v>
      </c>
      <c r="H936" s="217" t="s">
        <v>1393</v>
      </c>
      <c r="I936" s="217" t="s">
        <v>29</v>
      </c>
      <c r="J936" s="217" t="s">
        <v>1857</v>
      </c>
      <c r="K936" s="217">
        <v>1</v>
      </c>
      <c r="L936" s="217">
        <v>5</v>
      </c>
      <c r="M936" s="217" t="s">
        <v>31</v>
      </c>
      <c r="N936" s="217" t="s">
        <v>32</v>
      </c>
      <c r="O936" s="217" t="s">
        <v>68</v>
      </c>
      <c r="P936" s="217" t="s">
        <v>34</v>
      </c>
      <c r="Q936" s="217" t="s">
        <v>35</v>
      </c>
      <c r="R936" s="217" t="s">
        <v>23</v>
      </c>
      <c r="S936" s="217" t="s">
        <v>22</v>
      </c>
      <c r="T936" s="217" t="s">
        <v>47</v>
      </c>
      <c r="U936" s="217" t="s">
        <v>48</v>
      </c>
      <c r="V936" s="217" t="s">
        <v>231</v>
      </c>
      <c r="W936" s="217" t="s">
        <v>232</v>
      </c>
    </row>
    <row r="937" spans="1:23" x14ac:dyDescent="0.25">
      <c r="A937" s="217" t="s">
        <v>22</v>
      </c>
      <c r="B937" s="217" t="s">
        <v>23</v>
      </c>
      <c r="C937" s="217" t="s">
        <v>48</v>
      </c>
      <c r="D937" s="217" t="s">
        <v>47</v>
      </c>
      <c r="E937" s="217" t="s">
        <v>527</v>
      </c>
      <c r="F937" s="217" t="s">
        <v>528</v>
      </c>
      <c r="G937" s="217" t="s">
        <v>530</v>
      </c>
      <c r="H937" s="217" t="s">
        <v>1394</v>
      </c>
      <c r="I937" s="217" t="s">
        <v>29</v>
      </c>
      <c r="J937" s="217" t="s">
        <v>1855</v>
      </c>
      <c r="K937" s="217">
        <v>94</v>
      </c>
      <c r="L937" s="217">
        <v>190</v>
      </c>
      <c r="M937" s="217" t="s">
        <v>31</v>
      </c>
      <c r="N937" s="217" t="s">
        <v>32</v>
      </c>
      <c r="O937" s="217" t="s">
        <v>68</v>
      </c>
      <c r="P937" s="217" t="s">
        <v>34</v>
      </c>
      <c r="Q937" s="217" t="s">
        <v>35</v>
      </c>
      <c r="R937" s="217" t="s">
        <v>23</v>
      </c>
      <c r="S937" s="217" t="s">
        <v>22</v>
      </c>
      <c r="T937" s="217" t="s">
        <v>47</v>
      </c>
      <c r="U937" s="217" t="s">
        <v>48</v>
      </c>
      <c r="V937" s="217" t="s">
        <v>231</v>
      </c>
      <c r="W937" s="217" t="s">
        <v>232</v>
      </c>
    </row>
    <row r="938" spans="1:23" x14ac:dyDescent="0.25">
      <c r="A938" s="217" t="s">
        <v>22</v>
      </c>
      <c r="B938" s="217" t="s">
        <v>23</v>
      </c>
      <c r="C938" s="217" t="s">
        <v>48</v>
      </c>
      <c r="D938" s="217" t="s">
        <v>47</v>
      </c>
      <c r="E938" s="217" t="s">
        <v>527</v>
      </c>
      <c r="F938" s="217" t="s">
        <v>528</v>
      </c>
      <c r="G938" s="217" t="s">
        <v>530</v>
      </c>
      <c r="H938" s="217" t="s">
        <v>1394</v>
      </c>
      <c r="I938" s="217" t="s">
        <v>29</v>
      </c>
      <c r="J938" s="217" t="s">
        <v>1856</v>
      </c>
      <c r="K938" s="217">
        <v>50</v>
      </c>
      <c r="L938" s="217">
        <v>101</v>
      </c>
      <c r="M938" s="217" t="s">
        <v>31</v>
      </c>
      <c r="N938" s="217" t="s">
        <v>32</v>
      </c>
      <c r="O938" s="217" t="s">
        <v>68</v>
      </c>
      <c r="P938" s="217" t="s">
        <v>34</v>
      </c>
      <c r="Q938" s="217" t="s">
        <v>35</v>
      </c>
      <c r="R938" s="217" t="s">
        <v>23</v>
      </c>
      <c r="S938" s="217" t="s">
        <v>22</v>
      </c>
      <c r="T938" s="217" t="s">
        <v>47</v>
      </c>
      <c r="U938" s="217" t="s">
        <v>48</v>
      </c>
      <c r="V938" s="217" t="s">
        <v>231</v>
      </c>
      <c r="W938" s="217" t="s">
        <v>232</v>
      </c>
    </row>
    <row r="939" spans="1:23" x14ac:dyDescent="0.25">
      <c r="A939" s="217" t="s">
        <v>22</v>
      </c>
      <c r="B939" s="217" t="s">
        <v>23</v>
      </c>
      <c r="C939" s="217" t="s">
        <v>48</v>
      </c>
      <c r="D939" s="217" t="s">
        <v>47</v>
      </c>
      <c r="E939" s="217" t="s">
        <v>527</v>
      </c>
      <c r="F939" s="217" t="s">
        <v>528</v>
      </c>
      <c r="G939" s="217" t="s">
        <v>530</v>
      </c>
      <c r="H939" s="217" t="s">
        <v>1394</v>
      </c>
      <c r="I939" s="217" t="s">
        <v>29</v>
      </c>
      <c r="J939" s="217" t="s">
        <v>1857</v>
      </c>
      <c r="K939" s="217">
        <v>9</v>
      </c>
      <c r="L939" s="217">
        <v>29</v>
      </c>
      <c r="M939" s="217" t="s">
        <v>31</v>
      </c>
      <c r="N939" s="217" t="s">
        <v>32</v>
      </c>
      <c r="O939" s="217" t="s">
        <v>68</v>
      </c>
      <c r="P939" s="217" t="s">
        <v>34</v>
      </c>
      <c r="Q939" s="217" t="s">
        <v>35</v>
      </c>
      <c r="R939" s="217" t="s">
        <v>23</v>
      </c>
      <c r="S939" s="217" t="s">
        <v>22</v>
      </c>
      <c r="T939" s="217" t="s">
        <v>47</v>
      </c>
      <c r="U939" s="217" t="s">
        <v>48</v>
      </c>
      <c r="V939" s="217" t="s">
        <v>61</v>
      </c>
      <c r="W939" s="217" t="s">
        <v>62</v>
      </c>
    </row>
    <row r="940" spans="1:23" x14ac:dyDescent="0.25">
      <c r="A940" s="217" t="s">
        <v>22</v>
      </c>
      <c r="B940" s="217" t="s">
        <v>23</v>
      </c>
      <c r="C940" s="217" t="s">
        <v>48</v>
      </c>
      <c r="D940" s="217" t="s">
        <v>47</v>
      </c>
      <c r="E940" s="217" t="s">
        <v>527</v>
      </c>
      <c r="F940" s="217" t="s">
        <v>528</v>
      </c>
      <c r="G940" s="217" t="s">
        <v>531</v>
      </c>
      <c r="H940" s="217" t="s">
        <v>1395</v>
      </c>
      <c r="I940" s="217" t="s">
        <v>29</v>
      </c>
      <c r="J940" s="217" t="s">
        <v>1855</v>
      </c>
      <c r="K940" s="217">
        <v>20</v>
      </c>
      <c r="L940" s="217">
        <v>197</v>
      </c>
      <c r="M940" s="217" t="s">
        <v>31</v>
      </c>
      <c r="N940" s="217" t="s">
        <v>32</v>
      </c>
      <c r="O940" s="217" t="s">
        <v>68</v>
      </c>
      <c r="P940" s="217" t="s">
        <v>34</v>
      </c>
      <c r="Q940" s="217" t="s">
        <v>35</v>
      </c>
      <c r="R940" s="217" t="s">
        <v>23</v>
      </c>
      <c r="S940" s="217" t="s">
        <v>22</v>
      </c>
      <c r="T940" s="217" t="s">
        <v>47</v>
      </c>
      <c r="U940" s="217" t="s">
        <v>48</v>
      </c>
      <c r="V940" s="217" t="s">
        <v>231</v>
      </c>
      <c r="W940" s="217" t="s">
        <v>232</v>
      </c>
    </row>
    <row r="941" spans="1:23" x14ac:dyDescent="0.25">
      <c r="A941" s="217" t="s">
        <v>22</v>
      </c>
      <c r="B941" s="217" t="s">
        <v>23</v>
      </c>
      <c r="C941" s="217" t="s">
        <v>48</v>
      </c>
      <c r="D941" s="217" t="s">
        <v>47</v>
      </c>
      <c r="E941" s="217" t="s">
        <v>527</v>
      </c>
      <c r="F941" s="217" t="s">
        <v>528</v>
      </c>
      <c r="G941" s="217" t="s">
        <v>531</v>
      </c>
      <c r="H941" s="217" t="s">
        <v>1395</v>
      </c>
      <c r="I941" s="217" t="s">
        <v>29</v>
      </c>
      <c r="J941" s="217" t="s">
        <v>1856</v>
      </c>
      <c r="K941" s="217">
        <v>9</v>
      </c>
      <c r="L941" s="217">
        <v>98</v>
      </c>
      <c r="M941" s="217" t="s">
        <v>31</v>
      </c>
      <c r="N941" s="217" t="s">
        <v>32</v>
      </c>
      <c r="O941" s="217" t="s">
        <v>68</v>
      </c>
      <c r="P941" s="217" t="s">
        <v>34</v>
      </c>
      <c r="Q941" s="217" t="s">
        <v>35</v>
      </c>
      <c r="R941" s="217" t="s">
        <v>23</v>
      </c>
      <c r="S941" s="217" t="s">
        <v>22</v>
      </c>
      <c r="T941" s="217" t="s">
        <v>47</v>
      </c>
      <c r="U941" s="217" t="s">
        <v>48</v>
      </c>
      <c r="V941" s="217" t="s">
        <v>61</v>
      </c>
      <c r="W941" s="217" t="s">
        <v>62</v>
      </c>
    </row>
    <row r="942" spans="1:23" x14ac:dyDescent="0.25">
      <c r="A942" s="217" t="s">
        <v>22</v>
      </c>
      <c r="B942" s="217" t="s">
        <v>23</v>
      </c>
      <c r="C942" s="217" t="s">
        <v>48</v>
      </c>
      <c r="D942" s="217" t="s">
        <v>47</v>
      </c>
      <c r="E942" s="217" t="s">
        <v>527</v>
      </c>
      <c r="F942" s="217" t="s">
        <v>528</v>
      </c>
      <c r="G942" s="217" t="s">
        <v>531</v>
      </c>
      <c r="H942" s="217" t="s">
        <v>1395</v>
      </c>
      <c r="I942" s="217" t="s">
        <v>29</v>
      </c>
      <c r="J942" s="217" t="s">
        <v>1857</v>
      </c>
      <c r="K942" s="217">
        <v>4</v>
      </c>
      <c r="L942" s="217">
        <v>61</v>
      </c>
      <c r="M942" s="217" t="s">
        <v>31</v>
      </c>
      <c r="N942" s="217" t="s">
        <v>32</v>
      </c>
      <c r="O942" s="217" t="s">
        <v>68</v>
      </c>
      <c r="P942" s="217" t="s">
        <v>34</v>
      </c>
      <c r="Q942" s="217" t="s">
        <v>35</v>
      </c>
      <c r="R942" s="217" t="s">
        <v>23</v>
      </c>
      <c r="S942" s="217" t="s">
        <v>22</v>
      </c>
      <c r="T942" s="217" t="s">
        <v>47</v>
      </c>
      <c r="U942" s="217" t="s">
        <v>48</v>
      </c>
      <c r="V942" s="217" t="s">
        <v>231</v>
      </c>
      <c r="W942" s="217" t="s">
        <v>232</v>
      </c>
    </row>
    <row r="943" spans="1:23" x14ac:dyDescent="0.25">
      <c r="A943" s="217" t="s">
        <v>22</v>
      </c>
      <c r="B943" s="217" t="s">
        <v>23</v>
      </c>
      <c r="C943" s="217" t="s">
        <v>48</v>
      </c>
      <c r="D943" s="217" t="s">
        <v>47</v>
      </c>
      <c r="E943" s="217" t="s">
        <v>527</v>
      </c>
      <c r="F943" s="217" t="s">
        <v>528</v>
      </c>
      <c r="G943" s="217" t="s">
        <v>532</v>
      </c>
      <c r="H943" s="217" t="s">
        <v>1396</v>
      </c>
      <c r="I943" s="217" t="s">
        <v>29</v>
      </c>
      <c r="J943" s="217" t="s">
        <v>1855</v>
      </c>
      <c r="K943" s="217">
        <v>23</v>
      </c>
      <c r="L943" s="217">
        <v>47</v>
      </c>
      <c r="M943" s="217" t="s">
        <v>31</v>
      </c>
      <c r="N943" s="217" t="s">
        <v>32</v>
      </c>
      <c r="O943" s="217" t="s">
        <v>68</v>
      </c>
      <c r="P943" s="217" t="s">
        <v>34</v>
      </c>
      <c r="Q943" s="217" t="s">
        <v>35</v>
      </c>
      <c r="R943" s="217" t="s">
        <v>23</v>
      </c>
      <c r="S943" s="217" t="s">
        <v>22</v>
      </c>
      <c r="T943" s="217" t="s">
        <v>47</v>
      </c>
      <c r="U943" s="217" t="s">
        <v>48</v>
      </c>
      <c r="V943" s="217" t="s">
        <v>231</v>
      </c>
      <c r="W943" s="217" t="s">
        <v>232</v>
      </c>
    </row>
    <row r="944" spans="1:23" x14ac:dyDescent="0.25">
      <c r="A944" s="217" t="s">
        <v>22</v>
      </c>
      <c r="B944" s="217" t="s">
        <v>23</v>
      </c>
      <c r="C944" s="217" t="s">
        <v>48</v>
      </c>
      <c r="D944" s="217" t="s">
        <v>47</v>
      </c>
      <c r="E944" s="217" t="s">
        <v>527</v>
      </c>
      <c r="F944" s="217" t="s">
        <v>528</v>
      </c>
      <c r="G944" s="217" t="s">
        <v>532</v>
      </c>
      <c r="H944" s="217" t="s">
        <v>1396</v>
      </c>
      <c r="I944" s="217" t="s">
        <v>29</v>
      </c>
      <c r="J944" s="217" t="s">
        <v>1856</v>
      </c>
      <c r="K944" s="217">
        <v>10</v>
      </c>
      <c r="L944" s="217">
        <v>31</v>
      </c>
      <c r="M944" s="217" t="s">
        <v>31</v>
      </c>
      <c r="N944" s="217" t="s">
        <v>32</v>
      </c>
      <c r="O944" s="217" t="s">
        <v>68</v>
      </c>
      <c r="P944" s="217" t="s">
        <v>34</v>
      </c>
      <c r="Q944" s="217" t="s">
        <v>35</v>
      </c>
      <c r="R944" s="217" t="s">
        <v>23</v>
      </c>
      <c r="S944" s="217" t="s">
        <v>22</v>
      </c>
      <c r="T944" s="217" t="s">
        <v>47</v>
      </c>
      <c r="U944" s="217" t="s">
        <v>48</v>
      </c>
      <c r="V944" s="217" t="s">
        <v>231</v>
      </c>
      <c r="W944" s="217" t="s">
        <v>232</v>
      </c>
    </row>
    <row r="945" spans="1:23" x14ac:dyDescent="0.25">
      <c r="A945" s="217" t="s">
        <v>22</v>
      </c>
      <c r="B945" s="217" t="s">
        <v>23</v>
      </c>
      <c r="C945" s="217" t="s">
        <v>48</v>
      </c>
      <c r="D945" s="217" t="s">
        <v>47</v>
      </c>
      <c r="E945" s="217" t="s">
        <v>527</v>
      </c>
      <c r="F945" s="217" t="s">
        <v>528</v>
      </c>
      <c r="G945" s="217" t="s">
        <v>532</v>
      </c>
      <c r="H945" s="217" t="s">
        <v>1396</v>
      </c>
      <c r="I945" s="217" t="s">
        <v>29</v>
      </c>
      <c r="J945" s="217" t="s">
        <v>1857</v>
      </c>
      <c r="K945" s="217">
        <v>4</v>
      </c>
      <c r="L945" s="217">
        <v>13</v>
      </c>
      <c r="M945" s="217" t="s">
        <v>31</v>
      </c>
      <c r="N945" s="217" t="s">
        <v>32</v>
      </c>
      <c r="O945" s="217" t="s">
        <v>68</v>
      </c>
      <c r="P945" s="217" t="s">
        <v>34</v>
      </c>
      <c r="Q945" s="217" t="s">
        <v>35</v>
      </c>
      <c r="R945" s="217" t="s">
        <v>23</v>
      </c>
      <c r="S945" s="217" t="s">
        <v>22</v>
      </c>
      <c r="T945" s="217" t="s">
        <v>47</v>
      </c>
      <c r="U945" s="217" t="s">
        <v>48</v>
      </c>
      <c r="V945" s="217" t="s">
        <v>61</v>
      </c>
      <c r="W945" s="217" t="s">
        <v>62</v>
      </c>
    </row>
    <row r="946" spans="1:23" x14ac:dyDescent="0.25">
      <c r="A946" s="217" t="s">
        <v>22</v>
      </c>
      <c r="B946" s="217" t="s">
        <v>23</v>
      </c>
      <c r="C946" s="217" t="s">
        <v>48</v>
      </c>
      <c r="D946" s="217" t="s">
        <v>47</v>
      </c>
      <c r="E946" s="217" t="s">
        <v>527</v>
      </c>
      <c r="F946" s="217" t="s">
        <v>528</v>
      </c>
      <c r="G946" s="217" t="s">
        <v>532</v>
      </c>
      <c r="H946" s="217" t="s">
        <v>1396</v>
      </c>
      <c r="I946" s="217" t="s">
        <v>29</v>
      </c>
      <c r="J946" s="217" t="s">
        <v>1858</v>
      </c>
      <c r="K946" s="217">
        <v>1</v>
      </c>
      <c r="L946" s="217">
        <v>2</v>
      </c>
      <c r="M946" s="217" t="s">
        <v>31</v>
      </c>
      <c r="N946" s="217" t="s">
        <v>32</v>
      </c>
      <c r="O946" s="217" t="s">
        <v>68</v>
      </c>
      <c r="P946" s="217" t="s">
        <v>34</v>
      </c>
      <c r="Q946" s="217" t="s">
        <v>35</v>
      </c>
      <c r="R946" s="217" t="s">
        <v>23</v>
      </c>
      <c r="S946" s="217" t="s">
        <v>22</v>
      </c>
      <c r="T946" s="217" t="s">
        <v>47</v>
      </c>
      <c r="U946" s="217" t="s">
        <v>48</v>
      </c>
      <c r="V946" s="217" t="s">
        <v>231</v>
      </c>
      <c r="W946" s="217" t="s">
        <v>232</v>
      </c>
    </row>
    <row r="947" spans="1:23" x14ac:dyDescent="0.25">
      <c r="A947" s="217" t="s">
        <v>22</v>
      </c>
      <c r="B947" s="217" t="s">
        <v>23</v>
      </c>
      <c r="C947" s="217" t="s">
        <v>48</v>
      </c>
      <c r="D947" s="217" t="s">
        <v>47</v>
      </c>
      <c r="E947" s="217" t="s">
        <v>527</v>
      </c>
      <c r="F947" s="217" t="s">
        <v>528</v>
      </c>
      <c r="G947" s="217" t="s">
        <v>533</v>
      </c>
      <c r="H947" s="217" t="s">
        <v>1397</v>
      </c>
      <c r="I947" s="217" t="s">
        <v>29</v>
      </c>
      <c r="J947" s="217" t="s">
        <v>1855</v>
      </c>
      <c r="K947" s="217">
        <v>9</v>
      </c>
      <c r="L947" s="217">
        <v>88</v>
      </c>
      <c r="M947" s="217" t="s">
        <v>31</v>
      </c>
      <c r="N947" s="217" t="s">
        <v>32</v>
      </c>
      <c r="O947" s="217" t="s">
        <v>68</v>
      </c>
      <c r="P947" s="217" t="s">
        <v>34</v>
      </c>
      <c r="Q947" s="217" t="s">
        <v>35</v>
      </c>
      <c r="R947" s="217" t="s">
        <v>23</v>
      </c>
      <c r="S947" s="217" t="s">
        <v>22</v>
      </c>
      <c r="T947" s="217" t="s">
        <v>47</v>
      </c>
      <c r="U947" s="217" t="s">
        <v>48</v>
      </c>
      <c r="V947" s="217" t="s">
        <v>231</v>
      </c>
      <c r="W947" s="217" t="s">
        <v>232</v>
      </c>
    </row>
    <row r="948" spans="1:23" x14ac:dyDescent="0.25">
      <c r="A948" s="217" t="s">
        <v>22</v>
      </c>
      <c r="B948" s="217" t="s">
        <v>23</v>
      </c>
      <c r="C948" s="217" t="s">
        <v>48</v>
      </c>
      <c r="D948" s="217" t="s">
        <v>47</v>
      </c>
      <c r="E948" s="217" t="s">
        <v>527</v>
      </c>
      <c r="F948" s="217" t="s">
        <v>528</v>
      </c>
      <c r="G948" s="217" t="s">
        <v>533</v>
      </c>
      <c r="H948" s="217" t="s">
        <v>1397</v>
      </c>
      <c r="I948" s="217" t="s">
        <v>29</v>
      </c>
      <c r="J948" s="217" t="s">
        <v>1856</v>
      </c>
      <c r="K948" s="217">
        <v>3</v>
      </c>
      <c r="L948" s="217">
        <v>30</v>
      </c>
      <c r="M948" s="217" t="s">
        <v>31</v>
      </c>
      <c r="N948" s="217" t="s">
        <v>32</v>
      </c>
      <c r="O948" s="217" t="s">
        <v>68</v>
      </c>
      <c r="P948" s="217" t="s">
        <v>34</v>
      </c>
      <c r="Q948" s="217" t="s">
        <v>35</v>
      </c>
      <c r="R948" s="217" t="s">
        <v>23</v>
      </c>
      <c r="S948" s="217" t="s">
        <v>22</v>
      </c>
      <c r="T948" s="217" t="s">
        <v>47</v>
      </c>
      <c r="U948" s="217" t="s">
        <v>48</v>
      </c>
      <c r="V948" s="217" t="s">
        <v>231</v>
      </c>
      <c r="W948" s="217" t="s">
        <v>232</v>
      </c>
    </row>
    <row r="949" spans="1:23" x14ac:dyDescent="0.25">
      <c r="A949" s="217" t="s">
        <v>22</v>
      </c>
      <c r="B949" s="217" t="s">
        <v>23</v>
      </c>
      <c r="C949" s="217" t="s">
        <v>48</v>
      </c>
      <c r="D949" s="217" t="s">
        <v>47</v>
      </c>
      <c r="E949" s="217" t="s">
        <v>527</v>
      </c>
      <c r="F949" s="217" t="s">
        <v>528</v>
      </c>
      <c r="G949" s="217" t="s">
        <v>534</v>
      </c>
      <c r="H949" s="217" t="s">
        <v>1398</v>
      </c>
      <c r="I949" s="217" t="s">
        <v>29</v>
      </c>
      <c r="J949" s="217" t="s">
        <v>1855</v>
      </c>
      <c r="K949" s="217">
        <v>13</v>
      </c>
      <c r="L949" s="217">
        <v>60</v>
      </c>
      <c r="M949" s="217" t="s">
        <v>31</v>
      </c>
      <c r="N949" s="217" t="s">
        <v>32</v>
      </c>
      <c r="O949" s="217" t="s">
        <v>68</v>
      </c>
      <c r="P949" s="217" t="s">
        <v>34</v>
      </c>
      <c r="Q949" s="217" t="s">
        <v>35</v>
      </c>
      <c r="R949" s="217" t="s">
        <v>23</v>
      </c>
      <c r="S949" s="217" t="s">
        <v>22</v>
      </c>
      <c r="T949" s="217" t="s">
        <v>47</v>
      </c>
      <c r="U949" s="217" t="s">
        <v>48</v>
      </c>
      <c r="V949" s="217" t="s">
        <v>231</v>
      </c>
      <c r="W949" s="217" t="s">
        <v>232</v>
      </c>
    </row>
    <row r="950" spans="1:23" x14ac:dyDescent="0.25">
      <c r="A950" s="217" t="s">
        <v>22</v>
      </c>
      <c r="B950" s="217" t="s">
        <v>23</v>
      </c>
      <c r="C950" s="217" t="s">
        <v>48</v>
      </c>
      <c r="D950" s="217" t="s">
        <v>47</v>
      </c>
      <c r="E950" s="217" t="s">
        <v>527</v>
      </c>
      <c r="F950" s="217" t="s">
        <v>528</v>
      </c>
      <c r="G950" s="217" t="s">
        <v>534</v>
      </c>
      <c r="H950" s="217" t="s">
        <v>1398</v>
      </c>
      <c r="I950" s="217" t="s">
        <v>29</v>
      </c>
      <c r="J950" s="217" t="s">
        <v>1856</v>
      </c>
      <c r="K950" s="217">
        <v>14</v>
      </c>
      <c r="L950" s="217">
        <v>41</v>
      </c>
      <c r="M950" s="217" t="s">
        <v>31</v>
      </c>
      <c r="N950" s="217" t="s">
        <v>32</v>
      </c>
      <c r="O950" s="217" t="s">
        <v>68</v>
      </c>
      <c r="P950" s="217" t="s">
        <v>34</v>
      </c>
      <c r="Q950" s="217" t="s">
        <v>35</v>
      </c>
      <c r="R950" s="217" t="s">
        <v>23</v>
      </c>
      <c r="S950" s="217" t="s">
        <v>22</v>
      </c>
      <c r="T950" s="217" t="s">
        <v>47</v>
      </c>
      <c r="U950" s="217" t="s">
        <v>48</v>
      </c>
      <c r="V950" s="217" t="s">
        <v>231</v>
      </c>
      <c r="W950" s="217" t="s">
        <v>232</v>
      </c>
    </row>
    <row r="951" spans="1:23" x14ac:dyDescent="0.25">
      <c r="A951" s="217" t="s">
        <v>22</v>
      </c>
      <c r="B951" s="217" t="s">
        <v>23</v>
      </c>
      <c r="C951" s="217" t="s">
        <v>48</v>
      </c>
      <c r="D951" s="217" t="s">
        <v>47</v>
      </c>
      <c r="E951" s="217" t="s">
        <v>527</v>
      </c>
      <c r="F951" s="217" t="s">
        <v>528</v>
      </c>
      <c r="G951" s="217" t="s">
        <v>534</v>
      </c>
      <c r="H951" s="217" t="s">
        <v>1398</v>
      </c>
      <c r="I951" s="217" t="s">
        <v>29</v>
      </c>
      <c r="J951" s="217" t="s">
        <v>1857</v>
      </c>
      <c r="K951" s="217">
        <v>2</v>
      </c>
      <c r="L951" s="217">
        <v>12</v>
      </c>
      <c r="M951" s="217" t="s">
        <v>31</v>
      </c>
      <c r="N951" s="217" t="s">
        <v>32</v>
      </c>
      <c r="O951" s="217" t="s">
        <v>68</v>
      </c>
      <c r="P951" s="217" t="s">
        <v>34</v>
      </c>
      <c r="Q951" s="217" t="s">
        <v>35</v>
      </c>
      <c r="R951" s="217" t="s">
        <v>23</v>
      </c>
      <c r="S951" s="217" t="s">
        <v>22</v>
      </c>
      <c r="T951" s="217" t="s">
        <v>47</v>
      </c>
      <c r="U951" s="217" t="s">
        <v>48</v>
      </c>
      <c r="V951" s="217" t="s">
        <v>231</v>
      </c>
      <c r="W951" s="217" t="s">
        <v>232</v>
      </c>
    </row>
    <row r="952" spans="1:23" x14ac:dyDescent="0.25">
      <c r="A952" s="217" t="s">
        <v>22</v>
      </c>
      <c r="B952" s="217" t="s">
        <v>23</v>
      </c>
      <c r="C952" s="217" t="s">
        <v>48</v>
      </c>
      <c r="D952" s="217" t="s">
        <v>47</v>
      </c>
      <c r="E952" s="217" t="s">
        <v>527</v>
      </c>
      <c r="F952" s="217" t="s">
        <v>528</v>
      </c>
      <c r="G952" s="217" t="s">
        <v>535</v>
      </c>
      <c r="H952" s="217" t="s">
        <v>1399</v>
      </c>
      <c r="I952" s="217" t="s">
        <v>29</v>
      </c>
      <c r="J952" s="217" t="s">
        <v>1855</v>
      </c>
      <c r="K952" s="217">
        <v>26</v>
      </c>
      <c r="L952" s="217">
        <v>97</v>
      </c>
      <c r="M952" s="217" t="s">
        <v>31</v>
      </c>
      <c r="N952" s="217" t="s">
        <v>32</v>
      </c>
      <c r="O952" s="217" t="s">
        <v>68</v>
      </c>
      <c r="P952" s="217" t="s">
        <v>34</v>
      </c>
      <c r="Q952" s="217" t="s">
        <v>35</v>
      </c>
      <c r="R952" s="217" t="s">
        <v>23</v>
      </c>
      <c r="S952" s="217" t="s">
        <v>22</v>
      </c>
      <c r="T952" s="217" t="s">
        <v>47</v>
      </c>
      <c r="U952" s="217" t="s">
        <v>48</v>
      </c>
      <c r="V952" s="217" t="s">
        <v>61</v>
      </c>
      <c r="W952" s="217" t="s">
        <v>62</v>
      </c>
    </row>
    <row r="953" spans="1:23" x14ac:dyDescent="0.25">
      <c r="A953" s="217" t="s">
        <v>22</v>
      </c>
      <c r="B953" s="217" t="s">
        <v>23</v>
      </c>
      <c r="C953" s="217" t="s">
        <v>48</v>
      </c>
      <c r="D953" s="217" t="s">
        <v>47</v>
      </c>
      <c r="E953" s="217" t="s">
        <v>527</v>
      </c>
      <c r="F953" s="217" t="s">
        <v>528</v>
      </c>
      <c r="G953" s="217" t="s">
        <v>535</v>
      </c>
      <c r="H953" s="217" t="s">
        <v>1399</v>
      </c>
      <c r="I953" s="217" t="s">
        <v>29</v>
      </c>
      <c r="J953" s="217" t="s">
        <v>1856</v>
      </c>
      <c r="K953" s="217">
        <v>9</v>
      </c>
      <c r="L953" s="217">
        <v>67</v>
      </c>
      <c r="M953" s="217" t="s">
        <v>31</v>
      </c>
      <c r="N953" s="217" t="s">
        <v>32</v>
      </c>
      <c r="O953" s="217" t="s">
        <v>68</v>
      </c>
      <c r="P953" s="217" t="s">
        <v>34</v>
      </c>
      <c r="Q953" s="217" t="s">
        <v>35</v>
      </c>
      <c r="R953" s="217" t="s">
        <v>23</v>
      </c>
      <c r="S953" s="217" t="s">
        <v>22</v>
      </c>
      <c r="T953" s="217" t="s">
        <v>47</v>
      </c>
      <c r="U953" s="217" t="s">
        <v>48</v>
      </c>
      <c r="V953" s="217" t="s">
        <v>231</v>
      </c>
      <c r="W953" s="217" t="s">
        <v>232</v>
      </c>
    </row>
    <row r="954" spans="1:23" x14ac:dyDescent="0.25">
      <c r="A954" s="217" t="s">
        <v>22</v>
      </c>
      <c r="B954" s="217" t="s">
        <v>23</v>
      </c>
      <c r="C954" s="217" t="s">
        <v>48</v>
      </c>
      <c r="D954" s="217" t="s">
        <v>47</v>
      </c>
      <c r="E954" s="217" t="s">
        <v>527</v>
      </c>
      <c r="F954" s="217" t="s">
        <v>528</v>
      </c>
      <c r="G954" s="217" t="s">
        <v>535</v>
      </c>
      <c r="H954" s="217" t="s">
        <v>1399</v>
      </c>
      <c r="I954" s="217" t="s">
        <v>29</v>
      </c>
      <c r="J954" s="217" t="s">
        <v>1857</v>
      </c>
      <c r="K954" s="217">
        <v>7</v>
      </c>
      <c r="L954" s="217">
        <v>27</v>
      </c>
      <c r="M954" s="217" t="s">
        <v>31</v>
      </c>
      <c r="N954" s="217" t="s">
        <v>32</v>
      </c>
      <c r="O954" s="217" t="s">
        <v>68</v>
      </c>
      <c r="P954" s="217" t="s">
        <v>34</v>
      </c>
      <c r="Q954" s="217" t="s">
        <v>35</v>
      </c>
      <c r="R954" s="217" t="s">
        <v>23</v>
      </c>
      <c r="S954" s="217" t="s">
        <v>22</v>
      </c>
      <c r="T954" s="217" t="s">
        <v>47</v>
      </c>
      <c r="U954" s="217" t="s">
        <v>48</v>
      </c>
      <c r="V954" s="217" t="s">
        <v>61</v>
      </c>
      <c r="W954" s="217" t="s">
        <v>62</v>
      </c>
    </row>
    <row r="955" spans="1:23" x14ac:dyDescent="0.25">
      <c r="A955" s="217" t="s">
        <v>22</v>
      </c>
      <c r="B955" s="217" t="s">
        <v>23</v>
      </c>
      <c r="C955" s="217" t="s">
        <v>48</v>
      </c>
      <c r="D955" s="217" t="s">
        <v>47</v>
      </c>
      <c r="E955" s="217" t="s">
        <v>527</v>
      </c>
      <c r="F955" s="217" t="s">
        <v>528</v>
      </c>
      <c r="G955" s="217" t="s">
        <v>536</v>
      </c>
      <c r="H955" s="217" t="s">
        <v>1400</v>
      </c>
      <c r="I955" s="217" t="s">
        <v>29</v>
      </c>
      <c r="J955" s="217" t="s">
        <v>1855</v>
      </c>
      <c r="K955" s="217">
        <v>34</v>
      </c>
      <c r="L955" s="217">
        <v>41</v>
      </c>
      <c r="M955" s="217" t="s">
        <v>31</v>
      </c>
      <c r="N955" s="217" t="s">
        <v>32</v>
      </c>
      <c r="O955" s="217" t="s">
        <v>68</v>
      </c>
      <c r="P955" s="217" t="s">
        <v>34</v>
      </c>
      <c r="Q955" s="217" t="s">
        <v>35</v>
      </c>
      <c r="R955" s="217" t="s">
        <v>23</v>
      </c>
      <c r="S955" s="217" t="s">
        <v>22</v>
      </c>
      <c r="T955" s="217" t="s">
        <v>47</v>
      </c>
      <c r="U955" s="217" t="s">
        <v>48</v>
      </c>
      <c r="V955" s="217" t="s">
        <v>231</v>
      </c>
      <c r="W955" s="217" t="s">
        <v>232</v>
      </c>
    </row>
    <row r="956" spans="1:23" x14ac:dyDescent="0.25">
      <c r="A956" s="217" t="s">
        <v>22</v>
      </c>
      <c r="B956" s="217" t="s">
        <v>23</v>
      </c>
      <c r="C956" s="217" t="s">
        <v>48</v>
      </c>
      <c r="D956" s="217" t="s">
        <v>47</v>
      </c>
      <c r="E956" s="217" t="s">
        <v>527</v>
      </c>
      <c r="F956" s="217" t="s">
        <v>528</v>
      </c>
      <c r="G956" s="217" t="s">
        <v>536</v>
      </c>
      <c r="H956" s="217" t="s">
        <v>1400</v>
      </c>
      <c r="I956" s="217" t="s">
        <v>29</v>
      </c>
      <c r="J956" s="217" t="s">
        <v>1856</v>
      </c>
      <c r="K956" s="217">
        <v>9</v>
      </c>
      <c r="L956" s="217">
        <v>14</v>
      </c>
      <c r="M956" s="217" t="s">
        <v>31</v>
      </c>
      <c r="N956" s="217" t="s">
        <v>32</v>
      </c>
      <c r="O956" s="217" t="s">
        <v>68</v>
      </c>
      <c r="P956" s="217" t="s">
        <v>34</v>
      </c>
      <c r="Q956" s="217" t="s">
        <v>35</v>
      </c>
      <c r="R956" s="217" t="s">
        <v>23</v>
      </c>
      <c r="S956" s="217" t="s">
        <v>22</v>
      </c>
      <c r="T956" s="217" t="s">
        <v>47</v>
      </c>
      <c r="U956" s="217" t="s">
        <v>48</v>
      </c>
      <c r="V956" s="217" t="s">
        <v>231</v>
      </c>
      <c r="W956" s="217" t="s">
        <v>232</v>
      </c>
    </row>
    <row r="957" spans="1:23" x14ac:dyDescent="0.25">
      <c r="A957" s="217" t="s">
        <v>22</v>
      </c>
      <c r="B957" s="217" t="s">
        <v>23</v>
      </c>
      <c r="C957" s="217" t="s">
        <v>48</v>
      </c>
      <c r="D957" s="217" t="s">
        <v>47</v>
      </c>
      <c r="E957" s="217" t="s">
        <v>527</v>
      </c>
      <c r="F957" s="217" t="s">
        <v>528</v>
      </c>
      <c r="G957" s="217" t="s">
        <v>536</v>
      </c>
      <c r="H957" s="217" t="s">
        <v>1400</v>
      </c>
      <c r="I957" s="217" t="s">
        <v>29</v>
      </c>
      <c r="J957" s="217" t="s">
        <v>1857</v>
      </c>
      <c r="K957" s="217">
        <v>6</v>
      </c>
      <c r="L957" s="217">
        <v>16</v>
      </c>
      <c r="M957" s="217" t="s">
        <v>31</v>
      </c>
      <c r="N957" s="217" t="s">
        <v>32</v>
      </c>
      <c r="O957" s="217" t="s">
        <v>68</v>
      </c>
      <c r="P957" s="217" t="s">
        <v>34</v>
      </c>
      <c r="Q957" s="217" t="s">
        <v>35</v>
      </c>
      <c r="R957" s="217" t="s">
        <v>23</v>
      </c>
      <c r="S957" s="217" t="s">
        <v>22</v>
      </c>
      <c r="T957" s="217" t="s">
        <v>47</v>
      </c>
      <c r="U957" s="217" t="s">
        <v>48</v>
      </c>
      <c r="V957" s="217" t="s">
        <v>231</v>
      </c>
      <c r="W957" s="217" t="s">
        <v>232</v>
      </c>
    </row>
    <row r="958" spans="1:23" x14ac:dyDescent="0.25">
      <c r="A958" s="217" t="s">
        <v>22</v>
      </c>
      <c r="B958" s="217" t="s">
        <v>23</v>
      </c>
      <c r="C958" s="217" t="s">
        <v>48</v>
      </c>
      <c r="D958" s="217" t="s">
        <v>47</v>
      </c>
      <c r="E958" s="217" t="s">
        <v>527</v>
      </c>
      <c r="F958" s="217" t="s">
        <v>528</v>
      </c>
      <c r="G958" s="217" t="s">
        <v>537</v>
      </c>
      <c r="H958" s="217" t="s">
        <v>1401</v>
      </c>
      <c r="I958" s="217" t="s">
        <v>29</v>
      </c>
      <c r="J958" s="217" t="s">
        <v>1855</v>
      </c>
      <c r="K958" s="217">
        <v>5</v>
      </c>
      <c r="L958" s="217">
        <v>31</v>
      </c>
      <c r="M958" s="217" t="s">
        <v>31</v>
      </c>
      <c r="N958" s="217" t="s">
        <v>32</v>
      </c>
      <c r="O958" s="217" t="s">
        <v>68</v>
      </c>
      <c r="P958" s="217" t="s">
        <v>34</v>
      </c>
      <c r="Q958" s="217" t="s">
        <v>35</v>
      </c>
      <c r="R958" s="217" t="s">
        <v>23</v>
      </c>
      <c r="S958" s="217" t="s">
        <v>22</v>
      </c>
      <c r="T958" s="217" t="s">
        <v>47</v>
      </c>
      <c r="U958" s="217" t="s">
        <v>48</v>
      </c>
      <c r="V958" s="217" t="s">
        <v>231</v>
      </c>
      <c r="W958" s="217" t="s">
        <v>232</v>
      </c>
    </row>
    <row r="959" spans="1:23" x14ac:dyDescent="0.25">
      <c r="A959" s="217" t="s">
        <v>22</v>
      </c>
      <c r="B959" s="217" t="s">
        <v>23</v>
      </c>
      <c r="C959" s="217" t="s">
        <v>48</v>
      </c>
      <c r="D959" s="217" t="s">
        <v>47</v>
      </c>
      <c r="E959" s="217" t="s">
        <v>527</v>
      </c>
      <c r="F959" s="217" t="s">
        <v>528</v>
      </c>
      <c r="G959" s="217" t="s">
        <v>537</v>
      </c>
      <c r="H959" s="217" t="s">
        <v>1401</v>
      </c>
      <c r="I959" s="217" t="s">
        <v>29</v>
      </c>
      <c r="J959" s="217" t="s">
        <v>1856</v>
      </c>
      <c r="K959" s="217">
        <v>2</v>
      </c>
      <c r="L959" s="217">
        <v>12</v>
      </c>
      <c r="M959" s="217" t="s">
        <v>31</v>
      </c>
      <c r="N959" s="217" t="s">
        <v>32</v>
      </c>
      <c r="O959" s="217" t="s">
        <v>68</v>
      </c>
      <c r="P959" s="217" t="s">
        <v>34</v>
      </c>
      <c r="Q959" s="217" t="s">
        <v>35</v>
      </c>
      <c r="R959" s="217" t="s">
        <v>23</v>
      </c>
      <c r="S959" s="217" t="s">
        <v>22</v>
      </c>
      <c r="T959" s="217" t="s">
        <v>47</v>
      </c>
      <c r="U959" s="217" t="s">
        <v>48</v>
      </c>
      <c r="V959" s="217" t="s">
        <v>61</v>
      </c>
      <c r="W959" s="217" t="s">
        <v>62</v>
      </c>
    </row>
    <row r="960" spans="1:23" x14ac:dyDescent="0.25">
      <c r="A960" s="217" t="s">
        <v>22</v>
      </c>
      <c r="B960" s="217" t="s">
        <v>23</v>
      </c>
      <c r="C960" s="217" t="s">
        <v>48</v>
      </c>
      <c r="D960" s="217" t="s">
        <v>47</v>
      </c>
      <c r="E960" s="217" t="s">
        <v>527</v>
      </c>
      <c r="F960" s="217" t="s">
        <v>528</v>
      </c>
      <c r="G960" s="217" t="s">
        <v>537</v>
      </c>
      <c r="H960" s="217" t="s">
        <v>1401</v>
      </c>
      <c r="I960" s="217" t="s">
        <v>29</v>
      </c>
      <c r="J960" s="217" t="s">
        <v>1857</v>
      </c>
      <c r="K960" s="217">
        <v>1</v>
      </c>
      <c r="L960" s="217">
        <v>8</v>
      </c>
      <c r="M960" s="217" t="s">
        <v>31</v>
      </c>
      <c r="N960" s="217" t="s">
        <v>32</v>
      </c>
      <c r="O960" s="217" t="s">
        <v>68</v>
      </c>
      <c r="P960" s="217" t="s">
        <v>34</v>
      </c>
      <c r="Q960" s="217" t="s">
        <v>35</v>
      </c>
      <c r="R960" s="217" t="s">
        <v>23</v>
      </c>
      <c r="S960" s="217" t="s">
        <v>22</v>
      </c>
      <c r="T960" s="217" t="s">
        <v>47</v>
      </c>
      <c r="U960" s="217" t="s">
        <v>48</v>
      </c>
      <c r="V960" s="217" t="s">
        <v>61</v>
      </c>
      <c r="W960" s="217" t="s">
        <v>62</v>
      </c>
    </row>
    <row r="961" spans="1:23" x14ac:dyDescent="0.25">
      <c r="A961" s="217" t="s">
        <v>22</v>
      </c>
      <c r="B961" s="217" t="s">
        <v>23</v>
      </c>
      <c r="C961" s="217" t="s">
        <v>48</v>
      </c>
      <c r="D961" s="217" t="s">
        <v>47</v>
      </c>
      <c r="E961" s="217" t="s">
        <v>527</v>
      </c>
      <c r="F961" s="217" t="s">
        <v>528</v>
      </c>
      <c r="G961" s="217" t="s">
        <v>538</v>
      </c>
      <c r="H961" s="217" t="s">
        <v>1402</v>
      </c>
      <c r="I961" s="217" t="s">
        <v>29</v>
      </c>
      <c r="J961" s="217" t="s">
        <v>1856</v>
      </c>
      <c r="K961" s="217">
        <v>10</v>
      </c>
      <c r="L961" s="217">
        <v>60</v>
      </c>
      <c r="M961" s="217" t="s">
        <v>31</v>
      </c>
      <c r="N961" s="217" t="s">
        <v>32</v>
      </c>
      <c r="O961" s="217" t="s">
        <v>68</v>
      </c>
      <c r="P961" s="217" t="s">
        <v>34</v>
      </c>
      <c r="Q961" s="217" t="s">
        <v>35</v>
      </c>
      <c r="R961" s="217" t="s">
        <v>23</v>
      </c>
      <c r="S961" s="217" t="s">
        <v>22</v>
      </c>
      <c r="T961" s="217" t="s">
        <v>47</v>
      </c>
      <c r="U961" s="217" t="s">
        <v>48</v>
      </c>
      <c r="V961" s="217" t="s">
        <v>231</v>
      </c>
      <c r="W961" s="217" t="s">
        <v>232</v>
      </c>
    </row>
    <row r="962" spans="1:23" x14ac:dyDescent="0.25">
      <c r="A962" s="217" t="s">
        <v>22</v>
      </c>
      <c r="B962" s="217" t="s">
        <v>23</v>
      </c>
      <c r="C962" s="217" t="s">
        <v>48</v>
      </c>
      <c r="D962" s="217" t="s">
        <v>47</v>
      </c>
      <c r="E962" s="217" t="s">
        <v>527</v>
      </c>
      <c r="F962" s="217" t="s">
        <v>528</v>
      </c>
      <c r="G962" s="217" t="s">
        <v>538</v>
      </c>
      <c r="H962" s="217" t="s">
        <v>1402</v>
      </c>
      <c r="I962" s="217" t="s">
        <v>29</v>
      </c>
      <c r="J962" s="217" t="s">
        <v>1857</v>
      </c>
      <c r="K962" s="217">
        <v>6</v>
      </c>
      <c r="L962" s="217">
        <v>37</v>
      </c>
      <c r="M962" s="217" t="s">
        <v>31</v>
      </c>
      <c r="N962" s="217" t="s">
        <v>32</v>
      </c>
      <c r="O962" s="217" t="s">
        <v>68</v>
      </c>
      <c r="P962" s="217" t="s">
        <v>34</v>
      </c>
      <c r="Q962" s="217" t="s">
        <v>35</v>
      </c>
      <c r="R962" s="217" t="s">
        <v>23</v>
      </c>
      <c r="S962" s="217" t="s">
        <v>22</v>
      </c>
      <c r="T962" s="217" t="s">
        <v>47</v>
      </c>
      <c r="U962" s="217" t="s">
        <v>48</v>
      </c>
      <c r="V962" s="217" t="s">
        <v>231</v>
      </c>
      <c r="W962" s="217" t="s">
        <v>232</v>
      </c>
    </row>
    <row r="963" spans="1:23" x14ac:dyDescent="0.25">
      <c r="A963" s="217" t="s">
        <v>22</v>
      </c>
      <c r="B963" s="217" t="s">
        <v>23</v>
      </c>
      <c r="C963" s="217" t="s">
        <v>48</v>
      </c>
      <c r="D963" s="217" t="s">
        <v>47</v>
      </c>
      <c r="E963" s="217" t="s">
        <v>527</v>
      </c>
      <c r="F963" s="217" t="s">
        <v>528</v>
      </c>
      <c r="G963" s="217" t="s">
        <v>538</v>
      </c>
      <c r="H963" s="217" t="s">
        <v>1402</v>
      </c>
      <c r="I963" s="217" t="s">
        <v>29</v>
      </c>
      <c r="J963" s="217" t="s">
        <v>1858</v>
      </c>
      <c r="K963" s="217">
        <v>5</v>
      </c>
      <c r="L963" s="217">
        <v>35</v>
      </c>
      <c r="M963" s="217" t="s">
        <v>31</v>
      </c>
      <c r="N963" s="217" t="s">
        <v>32</v>
      </c>
      <c r="O963" s="217" t="s">
        <v>68</v>
      </c>
      <c r="P963" s="217" t="s">
        <v>34</v>
      </c>
      <c r="Q963" s="217" t="s">
        <v>35</v>
      </c>
      <c r="R963" s="217" t="s">
        <v>23</v>
      </c>
      <c r="S963" s="217" t="s">
        <v>22</v>
      </c>
      <c r="T963" s="217" t="s">
        <v>47</v>
      </c>
      <c r="U963" s="217" t="s">
        <v>48</v>
      </c>
      <c r="V963" s="217" t="s">
        <v>231</v>
      </c>
      <c r="W963" s="217" t="s">
        <v>232</v>
      </c>
    </row>
    <row r="964" spans="1:23" x14ac:dyDescent="0.25">
      <c r="A964" s="217" t="s">
        <v>22</v>
      </c>
      <c r="B964" s="217" t="s">
        <v>23</v>
      </c>
      <c r="C964" s="217" t="s">
        <v>48</v>
      </c>
      <c r="D964" s="217" t="s">
        <v>47</v>
      </c>
      <c r="E964" s="217" t="s">
        <v>527</v>
      </c>
      <c r="F964" s="217" t="s">
        <v>528</v>
      </c>
      <c r="G964" s="217" t="s">
        <v>539</v>
      </c>
      <c r="H964" s="217" t="s">
        <v>1403</v>
      </c>
      <c r="I964" s="217" t="s">
        <v>29</v>
      </c>
      <c r="J964" s="217" t="s">
        <v>1855</v>
      </c>
      <c r="K964" s="217">
        <v>37</v>
      </c>
      <c r="L964" s="217">
        <v>165</v>
      </c>
      <c r="M964" s="217" t="s">
        <v>31</v>
      </c>
      <c r="N964" s="217" t="s">
        <v>32</v>
      </c>
      <c r="O964" s="217" t="s">
        <v>68</v>
      </c>
      <c r="P964" s="217" t="s">
        <v>34</v>
      </c>
      <c r="Q964" s="217" t="s">
        <v>35</v>
      </c>
      <c r="R964" s="217" t="s">
        <v>23</v>
      </c>
      <c r="S964" s="217" t="s">
        <v>22</v>
      </c>
      <c r="T964" s="217" t="s">
        <v>47</v>
      </c>
      <c r="U964" s="217" t="s">
        <v>48</v>
      </c>
      <c r="V964" s="217" t="s">
        <v>231</v>
      </c>
      <c r="W964" s="217" t="s">
        <v>232</v>
      </c>
    </row>
    <row r="965" spans="1:23" x14ac:dyDescent="0.25">
      <c r="A965" s="217" t="s">
        <v>22</v>
      </c>
      <c r="B965" s="217" t="s">
        <v>23</v>
      </c>
      <c r="C965" s="217" t="s">
        <v>48</v>
      </c>
      <c r="D965" s="217" t="s">
        <v>47</v>
      </c>
      <c r="E965" s="217" t="s">
        <v>527</v>
      </c>
      <c r="F965" s="217" t="s">
        <v>528</v>
      </c>
      <c r="G965" s="217" t="s">
        <v>539</v>
      </c>
      <c r="H965" s="217" t="s">
        <v>1403</v>
      </c>
      <c r="I965" s="217" t="s">
        <v>29</v>
      </c>
      <c r="J965" s="217" t="s">
        <v>1856</v>
      </c>
      <c r="K965" s="217">
        <v>13</v>
      </c>
      <c r="L965" s="217">
        <v>80</v>
      </c>
      <c r="M965" s="217" t="s">
        <v>31</v>
      </c>
      <c r="N965" s="217" t="s">
        <v>32</v>
      </c>
      <c r="O965" s="217" t="s">
        <v>68</v>
      </c>
      <c r="P965" s="217" t="s">
        <v>34</v>
      </c>
      <c r="Q965" s="217" t="s">
        <v>35</v>
      </c>
      <c r="R965" s="217" t="s">
        <v>23</v>
      </c>
      <c r="S965" s="217" t="s">
        <v>22</v>
      </c>
      <c r="T965" s="217" t="s">
        <v>47</v>
      </c>
      <c r="U965" s="217" t="s">
        <v>48</v>
      </c>
      <c r="V965" s="217" t="s">
        <v>231</v>
      </c>
      <c r="W965" s="217" t="s">
        <v>232</v>
      </c>
    </row>
    <row r="966" spans="1:23" x14ac:dyDescent="0.25">
      <c r="A966" s="217" t="s">
        <v>22</v>
      </c>
      <c r="B966" s="217" t="s">
        <v>23</v>
      </c>
      <c r="C966" s="217" t="s">
        <v>48</v>
      </c>
      <c r="D966" s="217" t="s">
        <v>47</v>
      </c>
      <c r="E966" s="217" t="s">
        <v>527</v>
      </c>
      <c r="F966" s="217" t="s">
        <v>528</v>
      </c>
      <c r="G966" s="217" t="s">
        <v>539</v>
      </c>
      <c r="H966" s="217" t="s">
        <v>1403</v>
      </c>
      <c r="I966" s="217" t="s">
        <v>29</v>
      </c>
      <c r="J966" s="217" t="s">
        <v>1857</v>
      </c>
      <c r="K966" s="217">
        <v>2</v>
      </c>
      <c r="L966" s="217">
        <v>15</v>
      </c>
      <c r="M966" s="217" t="s">
        <v>31</v>
      </c>
      <c r="N966" s="217" t="s">
        <v>32</v>
      </c>
      <c r="O966" s="217" t="s">
        <v>68</v>
      </c>
      <c r="P966" s="217" t="s">
        <v>34</v>
      </c>
      <c r="Q966" s="217" t="s">
        <v>35</v>
      </c>
      <c r="R966" s="217" t="s">
        <v>23</v>
      </c>
      <c r="S966" s="217" t="s">
        <v>22</v>
      </c>
      <c r="T966" s="217" t="s">
        <v>47</v>
      </c>
      <c r="U966" s="217" t="s">
        <v>48</v>
      </c>
      <c r="V966" s="217" t="s">
        <v>231</v>
      </c>
      <c r="W966" s="217" t="s">
        <v>232</v>
      </c>
    </row>
    <row r="967" spans="1:23" x14ac:dyDescent="0.25">
      <c r="A967" s="217" t="s">
        <v>22</v>
      </c>
      <c r="B967" s="217" t="s">
        <v>23</v>
      </c>
      <c r="C967" s="217" t="s">
        <v>37</v>
      </c>
      <c r="D967" s="217" t="s">
        <v>36</v>
      </c>
      <c r="E967" s="217" t="s">
        <v>236</v>
      </c>
      <c r="F967" s="217" t="s">
        <v>235</v>
      </c>
      <c r="G967" s="217" t="s">
        <v>237</v>
      </c>
      <c r="H967" s="217" t="s">
        <v>1588</v>
      </c>
      <c r="I967" s="217" t="s">
        <v>29</v>
      </c>
      <c r="J967" s="217" t="s">
        <v>1858</v>
      </c>
      <c r="K967" s="217">
        <v>10</v>
      </c>
      <c r="L967" s="217">
        <v>78</v>
      </c>
      <c r="M967" s="217" t="s">
        <v>31</v>
      </c>
      <c r="N967" s="217" t="s">
        <v>32</v>
      </c>
      <c r="O967" s="217" t="s">
        <v>68</v>
      </c>
      <c r="P967" s="217" t="s">
        <v>34</v>
      </c>
      <c r="Q967" s="217" t="s">
        <v>35</v>
      </c>
      <c r="R967" s="217" t="s">
        <v>23</v>
      </c>
      <c r="S967" s="217" t="s">
        <v>22</v>
      </c>
      <c r="T967" s="217" t="s">
        <v>36</v>
      </c>
      <c r="U967" s="217" t="s">
        <v>37</v>
      </c>
      <c r="V967" s="217" t="s">
        <v>246</v>
      </c>
      <c r="W967" s="217" t="s">
        <v>247</v>
      </c>
    </row>
    <row r="968" spans="1:23" x14ac:dyDescent="0.25">
      <c r="A968" s="217" t="s">
        <v>22</v>
      </c>
      <c r="B968" s="217" t="s">
        <v>23</v>
      </c>
      <c r="C968" s="217" t="s">
        <v>37</v>
      </c>
      <c r="D968" s="217" t="s">
        <v>36</v>
      </c>
      <c r="E968" s="217" t="s">
        <v>236</v>
      </c>
      <c r="F968" s="217" t="s">
        <v>235</v>
      </c>
      <c r="G968" s="217" t="s">
        <v>242</v>
      </c>
      <c r="H968" s="217" t="s">
        <v>1404</v>
      </c>
      <c r="I968" s="217" t="s">
        <v>29</v>
      </c>
      <c r="J968" s="217" t="s">
        <v>1855</v>
      </c>
      <c r="K968" s="217">
        <v>16</v>
      </c>
      <c r="L968" s="217">
        <v>82</v>
      </c>
      <c r="M968" s="217" t="s">
        <v>31</v>
      </c>
      <c r="N968" s="217" t="s">
        <v>32</v>
      </c>
      <c r="O968" s="217" t="s">
        <v>68</v>
      </c>
      <c r="P968" s="217" t="s">
        <v>34</v>
      </c>
      <c r="Q968" s="217" t="s">
        <v>35</v>
      </c>
      <c r="R968" s="217" t="s">
        <v>23</v>
      </c>
      <c r="S968" s="217" t="s">
        <v>22</v>
      </c>
      <c r="T968" s="217" t="s">
        <v>36</v>
      </c>
      <c r="U968" s="217" t="s">
        <v>37</v>
      </c>
      <c r="V968" s="217" t="s">
        <v>249</v>
      </c>
      <c r="W968" s="217" t="s">
        <v>250</v>
      </c>
    </row>
    <row r="969" spans="1:23" x14ac:dyDescent="0.25">
      <c r="A969" s="217" t="s">
        <v>22</v>
      </c>
      <c r="B969" s="217" t="s">
        <v>23</v>
      </c>
      <c r="C969" s="217" t="s">
        <v>37</v>
      </c>
      <c r="D969" s="217" t="s">
        <v>36</v>
      </c>
      <c r="E969" s="217" t="s">
        <v>236</v>
      </c>
      <c r="F969" s="217" t="s">
        <v>235</v>
      </c>
      <c r="G969" s="217" t="s">
        <v>242</v>
      </c>
      <c r="H969" s="217" t="s">
        <v>1404</v>
      </c>
      <c r="I969" s="217" t="s">
        <v>29</v>
      </c>
      <c r="J969" s="217" t="s">
        <v>1857</v>
      </c>
      <c r="K969" s="217">
        <v>4</v>
      </c>
      <c r="L969" s="217">
        <v>33</v>
      </c>
      <c r="M969" s="217" t="s">
        <v>31</v>
      </c>
      <c r="N969" s="217" t="s">
        <v>32</v>
      </c>
      <c r="O969" s="217" t="s">
        <v>68</v>
      </c>
      <c r="P969" s="217" t="s">
        <v>34</v>
      </c>
      <c r="Q969" s="217" t="s">
        <v>35</v>
      </c>
      <c r="R969" s="217" t="s">
        <v>23</v>
      </c>
      <c r="S969" s="217" t="s">
        <v>22</v>
      </c>
      <c r="T969" s="217" t="s">
        <v>36</v>
      </c>
      <c r="U969" s="217" t="s">
        <v>37</v>
      </c>
      <c r="V969" s="217" t="s">
        <v>249</v>
      </c>
      <c r="W969" s="217" t="s">
        <v>250</v>
      </c>
    </row>
    <row r="970" spans="1:23" x14ac:dyDescent="0.25">
      <c r="A970" s="217" t="s">
        <v>22</v>
      </c>
      <c r="B970" s="217" t="s">
        <v>23</v>
      </c>
      <c r="C970" s="217" t="s">
        <v>37</v>
      </c>
      <c r="D970" s="217" t="s">
        <v>36</v>
      </c>
      <c r="E970" s="217" t="s">
        <v>236</v>
      </c>
      <c r="F970" s="217" t="s">
        <v>235</v>
      </c>
      <c r="G970" s="217" t="s">
        <v>242</v>
      </c>
      <c r="H970" s="217" t="s">
        <v>1404</v>
      </c>
      <c r="I970" s="217" t="s">
        <v>29</v>
      </c>
      <c r="J970" s="217" t="s">
        <v>1858</v>
      </c>
      <c r="K970" s="217">
        <v>3</v>
      </c>
      <c r="L970" s="217">
        <v>8</v>
      </c>
      <c r="M970" s="217" t="s">
        <v>31</v>
      </c>
      <c r="N970" s="217" t="s">
        <v>32</v>
      </c>
      <c r="O970" s="217" t="s">
        <v>68</v>
      </c>
      <c r="P970" s="217" t="s">
        <v>34</v>
      </c>
      <c r="Q970" s="217" t="s">
        <v>35</v>
      </c>
      <c r="R970" s="217" t="s">
        <v>23</v>
      </c>
      <c r="S970" s="217" t="s">
        <v>22</v>
      </c>
      <c r="T970" s="217" t="s">
        <v>36</v>
      </c>
      <c r="U970" s="217" t="s">
        <v>37</v>
      </c>
      <c r="V970" s="217" t="s">
        <v>249</v>
      </c>
      <c r="W970" s="217" t="s">
        <v>250</v>
      </c>
    </row>
    <row r="971" spans="1:23" x14ac:dyDescent="0.25">
      <c r="A971" s="217" t="s">
        <v>22</v>
      </c>
      <c r="B971" s="217" t="s">
        <v>23</v>
      </c>
      <c r="C971" s="217" t="s">
        <v>37</v>
      </c>
      <c r="D971" s="217" t="s">
        <v>36</v>
      </c>
      <c r="E971" s="217" t="s">
        <v>540</v>
      </c>
      <c r="F971" s="217" t="s">
        <v>541</v>
      </c>
      <c r="G971" s="217" t="s">
        <v>542</v>
      </c>
      <c r="H971" s="217" t="s">
        <v>1405</v>
      </c>
      <c r="I971" s="217" t="s">
        <v>29</v>
      </c>
      <c r="J971" s="217" t="s">
        <v>1855</v>
      </c>
      <c r="K971" s="217">
        <v>4</v>
      </c>
      <c r="L971" s="217">
        <v>18</v>
      </c>
      <c r="M971" s="217" t="s">
        <v>31</v>
      </c>
      <c r="N971" s="217" t="s">
        <v>32</v>
      </c>
      <c r="O971" s="217" t="s">
        <v>68</v>
      </c>
      <c r="P971" s="217" t="s">
        <v>34</v>
      </c>
      <c r="Q971" s="217" t="s">
        <v>35</v>
      </c>
      <c r="R971" s="217" t="s">
        <v>23</v>
      </c>
      <c r="S971" s="217" t="s">
        <v>22</v>
      </c>
      <c r="T971" s="217" t="s">
        <v>36</v>
      </c>
      <c r="U971" s="217" t="s">
        <v>37</v>
      </c>
      <c r="V971" s="217" t="s">
        <v>548</v>
      </c>
      <c r="W971" s="217" t="s">
        <v>547</v>
      </c>
    </row>
    <row r="972" spans="1:23" x14ac:dyDescent="0.25">
      <c r="A972" s="217" t="s">
        <v>22</v>
      </c>
      <c r="B972" s="217" t="s">
        <v>23</v>
      </c>
      <c r="C972" s="217" t="s">
        <v>37</v>
      </c>
      <c r="D972" s="217" t="s">
        <v>36</v>
      </c>
      <c r="E972" s="217" t="s">
        <v>540</v>
      </c>
      <c r="F972" s="217" t="s">
        <v>541</v>
      </c>
      <c r="G972" s="217" t="s">
        <v>542</v>
      </c>
      <c r="H972" s="217" t="s">
        <v>1405</v>
      </c>
      <c r="I972" s="217" t="s">
        <v>29</v>
      </c>
      <c r="J972" s="217" t="s">
        <v>1856</v>
      </c>
      <c r="K972" s="217">
        <v>1</v>
      </c>
      <c r="L972" s="217">
        <v>15</v>
      </c>
      <c r="M972" s="217" t="s">
        <v>31</v>
      </c>
      <c r="N972" s="217" t="s">
        <v>32</v>
      </c>
      <c r="O972" s="217" t="s">
        <v>68</v>
      </c>
      <c r="P972" s="217" t="s">
        <v>34</v>
      </c>
      <c r="Q972" s="217" t="s">
        <v>35</v>
      </c>
      <c r="R972" s="217" t="s">
        <v>23</v>
      </c>
      <c r="S972" s="217" t="s">
        <v>22</v>
      </c>
      <c r="T972" s="217" t="s">
        <v>36</v>
      </c>
      <c r="U972" s="217" t="s">
        <v>37</v>
      </c>
      <c r="V972" s="217" t="s">
        <v>249</v>
      </c>
      <c r="W972" s="217" t="s">
        <v>250</v>
      </c>
    </row>
    <row r="973" spans="1:23" x14ac:dyDescent="0.25">
      <c r="A973" s="217" t="s">
        <v>22</v>
      </c>
      <c r="B973" s="217" t="s">
        <v>23</v>
      </c>
      <c r="C973" s="217" t="s">
        <v>37</v>
      </c>
      <c r="D973" s="217" t="s">
        <v>36</v>
      </c>
      <c r="E973" s="217" t="s">
        <v>540</v>
      </c>
      <c r="F973" s="217" t="s">
        <v>541</v>
      </c>
      <c r="G973" s="217" t="s">
        <v>542</v>
      </c>
      <c r="H973" s="217" t="s">
        <v>1405</v>
      </c>
      <c r="I973" s="217" t="s">
        <v>29</v>
      </c>
      <c r="J973" s="217" t="s">
        <v>1857</v>
      </c>
      <c r="K973" s="217">
        <v>2</v>
      </c>
      <c r="L973" s="217">
        <v>22</v>
      </c>
      <c r="M973" s="217" t="s">
        <v>31</v>
      </c>
      <c r="N973" s="217" t="s">
        <v>32</v>
      </c>
      <c r="O973" s="217" t="s">
        <v>33</v>
      </c>
      <c r="P973" s="217" t="s">
        <v>34</v>
      </c>
      <c r="Q973" s="217" t="s">
        <v>35</v>
      </c>
      <c r="R973" s="217" t="s">
        <v>23</v>
      </c>
      <c r="S973" s="217" t="s">
        <v>22</v>
      </c>
      <c r="T973" s="217" t="s">
        <v>47</v>
      </c>
      <c r="U973" s="217" t="s">
        <v>48</v>
      </c>
      <c r="V973" s="217" t="s">
        <v>231</v>
      </c>
      <c r="W973" s="217" t="s">
        <v>232</v>
      </c>
    </row>
    <row r="974" spans="1:23" x14ac:dyDescent="0.25">
      <c r="A974" s="217" t="s">
        <v>22</v>
      </c>
      <c r="B974" s="217" t="s">
        <v>23</v>
      </c>
      <c r="C974" s="217" t="s">
        <v>37</v>
      </c>
      <c r="D974" s="217" t="s">
        <v>36</v>
      </c>
      <c r="E974" s="217" t="s">
        <v>540</v>
      </c>
      <c r="F974" s="217" t="s">
        <v>541</v>
      </c>
      <c r="G974" s="217" t="s">
        <v>543</v>
      </c>
      <c r="H974" s="217" t="s">
        <v>1406</v>
      </c>
      <c r="I974" s="217" t="s">
        <v>29</v>
      </c>
      <c r="J974" s="217" t="s">
        <v>1855</v>
      </c>
      <c r="K974" s="217">
        <v>8</v>
      </c>
      <c r="L974" s="217">
        <v>54</v>
      </c>
      <c r="M974" s="217" t="s">
        <v>31</v>
      </c>
      <c r="N974" s="217" t="s">
        <v>32</v>
      </c>
      <c r="O974" s="217" t="s">
        <v>68</v>
      </c>
      <c r="P974" s="217" t="s">
        <v>34</v>
      </c>
      <c r="Q974" s="217" t="s">
        <v>35</v>
      </c>
      <c r="R974" s="217" t="s">
        <v>23</v>
      </c>
      <c r="S974" s="217" t="s">
        <v>22</v>
      </c>
      <c r="T974" s="217" t="s">
        <v>36</v>
      </c>
      <c r="U974" s="217" t="s">
        <v>37</v>
      </c>
      <c r="V974" s="217" t="s">
        <v>609</v>
      </c>
      <c r="W974" s="217" t="s">
        <v>608</v>
      </c>
    </row>
    <row r="975" spans="1:23" x14ac:dyDescent="0.25">
      <c r="A975" s="217" t="s">
        <v>22</v>
      </c>
      <c r="B975" s="217" t="s">
        <v>23</v>
      </c>
      <c r="C975" s="217" t="s">
        <v>37</v>
      </c>
      <c r="D975" s="217" t="s">
        <v>36</v>
      </c>
      <c r="E975" s="217" t="s">
        <v>540</v>
      </c>
      <c r="F975" s="217" t="s">
        <v>541</v>
      </c>
      <c r="G975" s="217" t="s">
        <v>543</v>
      </c>
      <c r="H975" s="217" t="s">
        <v>1406</v>
      </c>
      <c r="I975" s="217" t="s">
        <v>29</v>
      </c>
      <c r="J975" s="217" t="s">
        <v>1856</v>
      </c>
      <c r="K975" s="217">
        <v>6</v>
      </c>
      <c r="L975" s="217">
        <v>40</v>
      </c>
      <c r="M975" s="217" t="s">
        <v>31</v>
      </c>
      <c r="N975" s="217" t="s">
        <v>32</v>
      </c>
      <c r="O975" s="217" t="s">
        <v>68</v>
      </c>
      <c r="P975" s="217" t="s">
        <v>34</v>
      </c>
      <c r="Q975" s="217" t="s">
        <v>35</v>
      </c>
      <c r="R975" s="217" t="s">
        <v>23</v>
      </c>
      <c r="S975" s="217" t="s">
        <v>22</v>
      </c>
      <c r="T975" s="217" t="s">
        <v>36</v>
      </c>
      <c r="U975" s="217" t="s">
        <v>37</v>
      </c>
      <c r="V975" s="217" t="s">
        <v>609</v>
      </c>
      <c r="W975" s="217" t="s">
        <v>608</v>
      </c>
    </row>
    <row r="976" spans="1:23" x14ac:dyDescent="0.25">
      <c r="A976" s="217" t="s">
        <v>22</v>
      </c>
      <c r="B976" s="217" t="s">
        <v>23</v>
      </c>
      <c r="C976" s="217" t="s">
        <v>37</v>
      </c>
      <c r="D976" s="217" t="s">
        <v>36</v>
      </c>
      <c r="E976" s="217" t="s">
        <v>540</v>
      </c>
      <c r="F976" s="217" t="s">
        <v>541</v>
      </c>
      <c r="G976" s="217" t="s">
        <v>543</v>
      </c>
      <c r="H976" s="217" t="s">
        <v>1406</v>
      </c>
      <c r="I976" s="217" t="s">
        <v>29</v>
      </c>
      <c r="J976" s="217" t="s">
        <v>1857</v>
      </c>
      <c r="K976" s="217">
        <v>5</v>
      </c>
      <c r="L976" s="217">
        <v>35</v>
      </c>
      <c r="M976" s="217" t="s">
        <v>31</v>
      </c>
      <c r="N976" s="217" t="s">
        <v>32</v>
      </c>
      <c r="O976" s="217" t="s">
        <v>68</v>
      </c>
      <c r="P976" s="217" t="s">
        <v>34</v>
      </c>
      <c r="Q976" s="217" t="s">
        <v>35</v>
      </c>
      <c r="R976" s="217" t="s">
        <v>23</v>
      </c>
      <c r="S976" s="217" t="s">
        <v>22</v>
      </c>
      <c r="T976" s="217" t="s">
        <v>36</v>
      </c>
      <c r="U976" s="217" t="s">
        <v>37</v>
      </c>
      <c r="V976" s="217" t="s">
        <v>249</v>
      </c>
      <c r="W976" s="217" t="s">
        <v>250</v>
      </c>
    </row>
    <row r="977" spans="1:23" x14ac:dyDescent="0.25">
      <c r="A977" s="217" t="s">
        <v>22</v>
      </c>
      <c r="B977" s="217" t="s">
        <v>23</v>
      </c>
      <c r="C977" s="217" t="s">
        <v>37</v>
      </c>
      <c r="D977" s="217" t="s">
        <v>36</v>
      </c>
      <c r="E977" s="217" t="s">
        <v>540</v>
      </c>
      <c r="F977" s="217" t="s">
        <v>541</v>
      </c>
      <c r="G977" s="217" t="s">
        <v>544</v>
      </c>
      <c r="H977" s="217" t="s">
        <v>1407</v>
      </c>
      <c r="I977" s="217" t="s">
        <v>29</v>
      </c>
      <c r="J977" s="217" t="s">
        <v>1855</v>
      </c>
      <c r="K977" s="217">
        <v>8</v>
      </c>
      <c r="L977" s="217">
        <v>55</v>
      </c>
      <c r="M977" s="217" t="s">
        <v>31</v>
      </c>
      <c r="N977" s="217" t="s">
        <v>32</v>
      </c>
      <c r="O977" s="217" t="s">
        <v>68</v>
      </c>
      <c r="P977" s="217" t="s">
        <v>34</v>
      </c>
      <c r="Q977" s="217" t="s">
        <v>35</v>
      </c>
      <c r="R977" s="217" t="s">
        <v>23</v>
      </c>
      <c r="S977" s="217" t="s">
        <v>22</v>
      </c>
      <c r="T977" s="217" t="s">
        <v>36</v>
      </c>
      <c r="U977" s="217" t="s">
        <v>37</v>
      </c>
      <c r="V977" s="217" t="s">
        <v>243</v>
      </c>
      <c r="W977" s="217" t="s">
        <v>244</v>
      </c>
    </row>
    <row r="978" spans="1:23" x14ac:dyDescent="0.25">
      <c r="A978" s="217" t="s">
        <v>22</v>
      </c>
      <c r="B978" s="217" t="s">
        <v>23</v>
      </c>
      <c r="C978" s="217" t="s">
        <v>37</v>
      </c>
      <c r="D978" s="217" t="s">
        <v>36</v>
      </c>
      <c r="E978" s="217" t="s">
        <v>540</v>
      </c>
      <c r="F978" s="217" t="s">
        <v>541</v>
      </c>
      <c r="G978" s="217" t="s">
        <v>545</v>
      </c>
      <c r="H978" s="217" t="s">
        <v>1408</v>
      </c>
      <c r="I978" s="217" t="s">
        <v>29</v>
      </c>
      <c r="J978" s="217" t="s">
        <v>1855</v>
      </c>
      <c r="K978" s="217">
        <v>16</v>
      </c>
      <c r="L978" s="217">
        <v>85</v>
      </c>
      <c r="M978" s="217" t="s">
        <v>31</v>
      </c>
      <c r="N978" s="217" t="s">
        <v>32</v>
      </c>
      <c r="O978" s="217" t="s">
        <v>68</v>
      </c>
      <c r="P978" s="217" t="s">
        <v>34</v>
      </c>
      <c r="Q978" s="217" t="s">
        <v>35</v>
      </c>
      <c r="R978" s="217" t="s">
        <v>23</v>
      </c>
      <c r="S978" s="217" t="s">
        <v>22</v>
      </c>
      <c r="T978" s="217" t="s">
        <v>36</v>
      </c>
      <c r="U978" s="217" t="s">
        <v>37</v>
      </c>
      <c r="V978" s="217" t="s">
        <v>235</v>
      </c>
      <c r="W978" s="217" t="s">
        <v>236</v>
      </c>
    </row>
    <row r="979" spans="1:23" x14ac:dyDescent="0.25">
      <c r="A979" s="217" t="s">
        <v>22</v>
      </c>
      <c r="B979" s="217" t="s">
        <v>23</v>
      </c>
      <c r="C979" s="217" t="s">
        <v>37</v>
      </c>
      <c r="D979" s="217" t="s">
        <v>36</v>
      </c>
      <c r="E979" s="217" t="s">
        <v>540</v>
      </c>
      <c r="F979" s="217" t="s">
        <v>541</v>
      </c>
      <c r="G979" s="217" t="s">
        <v>545</v>
      </c>
      <c r="H979" s="217" t="s">
        <v>1408</v>
      </c>
      <c r="I979" s="217" t="s">
        <v>29</v>
      </c>
      <c r="J979" s="217" t="s">
        <v>1857</v>
      </c>
      <c r="K979" s="217">
        <v>10</v>
      </c>
      <c r="L979" s="217">
        <v>63</v>
      </c>
      <c r="M979" s="217" t="s">
        <v>31</v>
      </c>
      <c r="N979" s="217" t="s">
        <v>32</v>
      </c>
      <c r="O979" s="217" t="s">
        <v>68</v>
      </c>
      <c r="P979" s="217" t="s">
        <v>34</v>
      </c>
      <c r="Q979" s="217" t="s">
        <v>35</v>
      </c>
      <c r="R979" s="217" t="s">
        <v>23</v>
      </c>
      <c r="S979" s="217" t="s">
        <v>22</v>
      </c>
      <c r="T979" s="217" t="s">
        <v>36</v>
      </c>
      <c r="U979" s="217" t="s">
        <v>37</v>
      </c>
      <c r="V979" s="217" t="s">
        <v>609</v>
      </c>
      <c r="W979" s="217" t="s">
        <v>608</v>
      </c>
    </row>
    <row r="980" spans="1:23" x14ac:dyDescent="0.25">
      <c r="A980" s="217" t="s">
        <v>22</v>
      </c>
      <c r="B980" s="217" t="s">
        <v>23</v>
      </c>
      <c r="C980" s="217" t="s">
        <v>37</v>
      </c>
      <c r="D980" s="217" t="s">
        <v>36</v>
      </c>
      <c r="E980" s="217" t="s">
        <v>540</v>
      </c>
      <c r="F980" s="217" t="s">
        <v>541</v>
      </c>
      <c r="G980" s="217" t="s">
        <v>285</v>
      </c>
      <c r="H980" s="217" t="s">
        <v>1409</v>
      </c>
      <c r="I980" s="217" t="s">
        <v>29</v>
      </c>
      <c r="J980" s="217" t="s">
        <v>1855</v>
      </c>
      <c r="K980" s="217">
        <v>3</v>
      </c>
      <c r="L980" s="217">
        <v>15</v>
      </c>
      <c r="M980" s="217" t="s">
        <v>31</v>
      </c>
      <c r="N980" s="217" t="s">
        <v>32</v>
      </c>
      <c r="O980" s="217" t="s">
        <v>68</v>
      </c>
      <c r="P980" s="217" t="s">
        <v>34</v>
      </c>
      <c r="Q980" s="217" t="s">
        <v>35</v>
      </c>
      <c r="R980" s="217" t="s">
        <v>23</v>
      </c>
      <c r="S980" s="217" t="s">
        <v>22</v>
      </c>
      <c r="T980" s="217" t="s">
        <v>36</v>
      </c>
      <c r="U980" s="217" t="s">
        <v>37</v>
      </c>
      <c r="V980" s="217" t="s">
        <v>548</v>
      </c>
      <c r="W980" s="217" t="s">
        <v>547</v>
      </c>
    </row>
    <row r="981" spans="1:23" x14ac:dyDescent="0.25">
      <c r="A981" s="217" t="s">
        <v>22</v>
      </c>
      <c r="B981" s="217" t="s">
        <v>23</v>
      </c>
      <c r="C981" s="217" t="s">
        <v>37</v>
      </c>
      <c r="D981" s="217" t="s">
        <v>36</v>
      </c>
      <c r="E981" s="217" t="s">
        <v>540</v>
      </c>
      <c r="F981" s="217" t="s">
        <v>541</v>
      </c>
      <c r="G981" s="217" t="s">
        <v>285</v>
      </c>
      <c r="H981" s="217" t="s">
        <v>1409</v>
      </c>
      <c r="I981" s="217" t="s">
        <v>29</v>
      </c>
      <c r="J981" s="217" t="s">
        <v>1858</v>
      </c>
      <c r="K981" s="217">
        <v>1</v>
      </c>
      <c r="L981" s="217">
        <v>2</v>
      </c>
      <c r="M981" s="217" t="s">
        <v>31</v>
      </c>
      <c r="N981" s="217" t="s">
        <v>32</v>
      </c>
      <c r="O981" s="217" t="s">
        <v>68</v>
      </c>
      <c r="P981" s="217" t="s">
        <v>34</v>
      </c>
      <c r="Q981" s="217" t="s">
        <v>35</v>
      </c>
      <c r="R981" s="217" t="s">
        <v>23</v>
      </c>
      <c r="S981" s="217" t="s">
        <v>22</v>
      </c>
      <c r="T981" s="217" t="s">
        <v>36</v>
      </c>
      <c r="U981" s="217" t="s">
        <v>37</v>
      </c>
      <c r="V981" s="217" t="s">
        <v>243</v>
      </c>
      <c r="W981" s="217" t="s">
        <v>244</v>
      </c>
    </row>
    <row r="982" spans="1:23" x14ac:dyDescent="0.25">
      <c r="A982" s="217" t="s">
        <v>22</v>
      </c>
      <c r="B982" s="217" t="s">
        <v>23</v>
      </c>
      <c r="C982" s="217" t="s">
        <v>37</v>
      </c>
      <c r="D982" s="217" t="s">
        <v>36</v>
      </c>
      <c r="E982" s="217" t="s">
        <v>547</v>
      </c>
      <c r="F982" s="217" t="s">
        <v>548</v>
      </c>
      <c r="G982" s="217" t="s">
        <v>549</v>
      </c>
      <c r="H982" s="217" t="s">
        <v>1411</v>
      </c>
      <c r="I982" s="217" t="s">
        <v>29</v>
      </c>
      <c r="J982" s="217" t="s">
        <v>1855</v>
      </c>
      <c r="K982" s="217">
        <v>9</v>
      </c>
      <c r="L982" s="217">
        <v>49</v>
      </c>
      <c r="M982" s="217" t="s">
        <v>31</v>
      </c>
      <c r="N982" s="217" t="s">
        <v>32</v>
      </c>
      <c r="O982" s="217" t="s">
        <v>68</v>
      </c>
      <c r="P982" s="217" t="s">
        <v>34</v>
      </c>
      <c r="Q982" s="217" t="s">
        <v>35</v>
      </c>
      <c r="R982" s="217" t="s">
        <v>23</v>
      </c>
      <c r="S982" s="217" t="s">
        <v>22</v>
      </c>
      <c r="T982" s="217" t="s">
        <v>36</v>
      </c>
      <c r="U982" s="217" t="s">
        <v>37</v>
      </c>
      <c r="V982" s="217" t="s">
        <v>249</v>
      </c>
      <c r="W982" s="217" t="s">
        <v>250</v>
      </c>
    </row>
    <row r="983" spans="1:23" x14ac:dyDescent="0.25">
      <c r="A983" s="217" t="s">
        <v>22</v>
      </c>
      <c r="B983" s="217" t="s">
        <v>23</v>
      </c>
      <c r="C983" s="217" t="s">
        <v>37</v>
      </c>
      <c r="D983" s="217" t="s">
        <v>36</v>
      </c>
      <c r="E983" s="217" t="s">
        <v>547</v>
      </c>
      <c r="F983" s="217" t="s">
        <v>548</v>
      </c>
      <c r="G983" s="217" t="s">
        <v>549</v>
      </c>
      <c r="H983" s="217" t="s">
        <v>1411</v>
      </c>
      <c r="I983" s="217" t="s">
        <v>29</v>
      </c>
      <c r="J983" s="217" t="s">
        <v>1856</v>
      </c>
      <c r="K983" s="217">
        <v>6</v>
      </c>
      <c r="L983" s="217">
        <v>31</v>
      </c>
      <c r="M983" s="217" t="s">
        <v>31</v>
      </c>
      <c r="N983" s="217" t="s">
        <v>32</v>
      </c>
      <c r="O983" s="217" t="s">
        <v>68</v>
      </c>
      <c r="P983" s="217" t="s">
        <v>34</v>
      </c>
      <c r="Q983" s="217" t="s">
        <v>35</v>
      </c>
      <c r="R983" s="217" t="s">
        <v>23</v>
      </c>
      <c r="S983" s="217" t="s">
        <v>22</v>
      </c>
      <c r="T983" s="217" t="s">
        <v>36</v>
      </c>
      <c r="U983" s="217" t="s">
        <v>37</v>
      </c>
      <c r="V983" s="217" t="s">
        <v>249</v>
      </c>
      <c r="W983" s="217" t="s">
        <v>250</v>
      </c>
    </row>
    <row r="984" spans="1:23" x14ac:dyDescent="0.25">
      <c r="A984" s="217" t="s">
        <v>22</v>
      </c>
      <c r="B984" s="217" t="s">
        <v>23</v>
      </c>
      <c r="C984" s="217" t="s">
        <v>37</v>
      </c>
      <c r="D984" s="217" t="s">
        <v>36</v>
      </c>
      <c r="E984" s="217" t="s">
        <v>547</v>
      </c>
      <c r="F984" s="217" t="s">
        <v>548</v>
      </c>
      <c r="G984" s="217" t="s">
        <v>549</v>
      </c>
      <c r="H984" s="217" t="s">
        <v>1411</v>
      </c>
      <c r="I984" s="217" t="s">
        <v>29</v>
      </c>
      <c r="J984" s="217" t="s">
        <v>1857</v>
      </c>
      <c r="K984" s="217">
        <v>14</v>
      </c>
      <c r="L984" s="217">
        <v>78</v>
      </c>
      <c r="M984" s="217" t="s">
        <v>31</v>
      </c>
      <c r="N984" s="217" t="s">
        <v>32</v>
      </c>
      <c r="O984" s="217" t="s">
        <v>68</v>
      </c>
      <c r="P984" s="217" t="s">
        <v>34</v>
      </c>
      <c r="Q984" s="217" t="s">
        <v>35</v>
      </c>
      <c r="R984" s="217" t="s">
        <v>23</v>
      </c>
      <c r="S984" s="217" t="s">
        <v>22</v>
      </c>
      <c r="T984" s="217" t="s">
        <v>36</v>
      </c>
      <c r="U984" s="217" t="s">
        <v>37</v>
      </c>
      <c r="V984" s="217" t="s">
        <v>249</v>
      </c>
      <c r="W984" s="217" t="s">
        <v>250</v>
      </c>
    </row>
    <row r="985" spans="1:23" x14ac:dyDescent="0.25">
      <c r="A985" s="217" t="s">
        <v>22</v>
      </c>
      <c r="B985" s="217" t="s">
        <v>23</v>
      </c>
      <c r="C985" s="217" t="s">
        <v>37</v>
      </c>
      <c r="D985" s="217" t="s">
        <v>36</v>
      </c>
      <c r="E985" s="217" t="s">
        <v>547</v>
      </c>
      <c r="F985" s="217" t="s">
        <v>548</v>
      </c>
      <c r="G985" s="217" t="s">
        <v>549</v>
      </c>
      <c r="H985" s="217" t="s">
        <v>1411</v>
      </c>
      <c r="I985" s="217" t="s">
        <v>29</v>
      </c>
      <c r="J985" s="217" t="s">
        <v>1858</v>
      </c>
      <c r="K985" s="217">
        <v>8</v>
      </c>
      <c r="L985" s="217">
        <v>34</v>
      </c>
      <c r="M985" s="217" t="s">
        <v>31</v>
      </c>
      <c r="N985" s="217" t="s">
        <v>32</v>
      </c>
      <c r="O985" s="217" t="s">
        <v>68</v>
      </c>
      <c r="P985" s="217" t="s">
        <v>34</v>
      </c>
      <c r="Q985" s="217" t="s">
        <v>35</v>
      </c>
      <c r="R985" s="217" t="s">
        <v>23</v>
      </c>
      <c r="S985" s="217" t="s">
        <v>22</v>
      </c>
      <c r="T985" s="217" t="s">
        <v>36</v>
      </c>
      <c r="U985" s="217" t="s">
        <v>37</v>
      </c>
      <c r="V985" s="217" t="s">
        <v>249</v>
      </c>
      <c r="W985" s="217" t="s">
        <v>250</v>
      </c>
    </row>
    <row r="986" spans="1:23" x14ac:dyDescent="0.25">
      <c r="A986" s="217" t="s">
        <v>22</v>
      </c>
      <c r="B986" s="217" t="s">
        <v>23</v>
      </c>
      <c r="C986" s="217" t="s">
        <v>37</v>
      </c>
      <c r="D986" s="217" t="s">
        <v>36</v>
      </c>
      <c r="E986" s="217" t="s">
        <v>547</v>
      </c>
      <c r="F986" s="217" t="s">
        <v>548</v>
      </c>
      <c r="G986" s="217" t="s">
        <v>550</v>
      </c>
      <c r="H986" s="217" t="s">
        <v>1412</v>
      </c>
      <c r="I986" s="217" t="s">
        <v>29</v>
      </c>
      <c r="J986" s="217" t="s">
        <v>1855</v>
      </c>
      <c r="K986" s="217">
        <v>14</v>
      </c>
      <c r="L986" s="217">
        <v>88</v>
      </c>
      <c r="M986" s="217" t="s">
        <v>31</v>
      </c>
      <c r="N986" s="217" t="s">
        <v>32</v>
      </c>
      <c r="O986" s="217" t="s">
        <v>68</v>
      </c>
      <c r="P986" s="217" t="s">
        <v>34</v>
      </c>
      <c r="Q986" s="217" t="s">
        <v>35</v>
      </c>
      <c r="R986" s="217" t="s">
        <v>23</v>
      </c>
      <c r="S986" s="217" t="s">
        <v>22</v>
      </c>
      <c r="T986" s="217" t="s">
        <v>36</v>
      </c>
      <c r="U986" s="217" t="s">
        <v>37</v>
      </c>
      <c r="V986" s="217" t="s">
        <v>249</v>
      </c>
      <c r="W986" s="217" t="s">
        <v>250</v>
      </c>
    </row>
    <row r="987" spans="1:23" x14ac:dyDescent="0.25">
      <c r="A987" s="217" t="s">
        <v>22</v>
      </c>
      <c r="B987" s="217" t="s">
        <v>23</v>
      </c>
      <c r="C987" s="217" t="s">
        <v>37</v>
      </c>
      <c r="D987" s="217" t="s">
        <v>36</v>
      </c>
      <c r="E987" s="217" t="s">
        <v>547</v>
      </c>
      <c r="F987" s="217" t="s">
        <v>548</v>
      </c>
      <c r="G987" s="217" t="s">
        <v>550</v>
      </c>
      <c r="H987" s="217" t="s">
        <v>1412</v>
      </c>
      <c r="I987" s="217" t="s">
        <v>29</v>
      </c>
      <c r="J987" s="217" t="s">
        <v>1856</v>
      </c>
      <c r="K987" s="217">
        <v>11</v>
      </c>
      <c r="L987" s="217">
        <v>76</v>
      </c>
      <c r="M987" s="217" t="s">
        <v>31</v>
      </c>
      <c r="N987" s="217" t="s">
        <v>32</v>
      </c>
      <c r="O987" s="217" t="s">
        <v>68</v>
      </c>
      <c r="P987" s="217" t="s">
        <v>34</v>
      </c>
      <c r="Q987" s="217" t="s">
        <v>35</v>
      </c>
      <c r="R987" s="217" t="s">
        <v>23</v>
      </c>
      <c r="S987" s="217" t="s">
        <v>22</v>
      </c>
      <c r="T987" s="217" t="s">
        <v>36</v>
      </c>
      <c r="U987" s="217" t="s">
        <v>37</v>
      </c>
      <c r="V987" s="217" t="s">
        <v>249</v>
      </c>
      <c r="W987" s="217" t="s">
        <v>250</v>
      </c>
    </row>
    <row r="988" spans="1:23" x14ac:dyDescent="0.25">
      <c r="A988" s="217" t="s">
        <v>22</v>
      </c>
      <c r="B988" s="217" t="s">
        <v>23</v>
      </c>
      <c r="C988" s="217" t="s">
        <v>37</v>
      </c>
      <c r="D988" s="217" t="s">
        <v>36</v>
      </c>
      <c r="E988" s="217" t="s">
        <v>547</v>
      </c>
      <c r="F988" s="217" t="s">
        <v>548</v>
      </c>
      <c r="G988" s="217" t="s">
        <v>550</v>
      </c>
      <c r="H988" s="217" t="s">
        <v>1412</v>
      </c>
      <c r="I988" s="217" t="s">
        <v>29</v>
      </c>
      <c r="J988" s="217" t="s">
        <v>1857</v>
      </c>
      <c r="K988" s="217">
        <v>7</v>
      </c>
      <c r="L988" s="217">
        <v>32</v>
      </c>
      <c r="M988" s="217" t="s">
        <v>31</v>
      </c>
      <c r="N988" s="217" t="s">
        <v>32</v>
      </c>
      <c r="O988" s="217" t="s">
        <v>68</v>
      </c>
      <c r="P988" s="217" t="s">
        <v>34</v>
      </c>
      <c r="Q988" s="217" t="s">
        <v>35</v>
      </c>
      <c r="R988" s="217" t="s">
        <v>23</v>
      </c>
      <c r="S988" s="217" t="s">
        <v>22</v>
      </c>
      <c r="T988" s="217" t="s">
        <v>36</v>
      </c>
      <c r="U988" s="217" t="s">
        <v>37</v>
      </c>
      <c r="V988" s="217" t="s">
        <v>249</v>
      </c>
      <c r="W988" s="217" t="s">
        <v>250</v>
      </c>
    </row>
    <row r="989" spans="1:23" x14ac:dyDescent="0.25">
      <c r="A989" s="217" t="s">
        <v>22</v>
      </c>
      <c r="B989" s="217" t="s">
        <v>23</v>
      </c>
      <c r="C989" s="217" t="s">
        <v>37</v>
      </c>
      <c r="D989" s="217" t="s">
        <v>36</v>
      </c>
      <c r="E989" s="217" t="s">
        <v>547</v>
      </c>
      <c r="F989" s="217" t="s">
        <v>548</v>
      </c>
      <c r="G989" s="217" t="s">
        <v>550</v>
      </c>
      <c r="H989" s="217" t="s">
        <v>1412</v>
      </c>
      <c r="I989" s="217" t="s">
        <v>29</v>
      </c>
      <c r="J989" s="217" t="s">
        <v>1858</v>
      </c>
      <c r="K989" s="217">
        <v>10</v>
      </c>
      <c r="L989" s="217">
        <v>30</v>
      </c>
      <c r="M989" s="217" t="s">
        <v>31</v>
      </c>
      <c r="N989" s="217" t="s">
        <v>32</v>
      </c>
      <c r="O989" s="217" t="s">
        <v>68</v>
      </c>
      <c r="P989" s="217" t="s">
        <v>34</v>
      </c>
      <c r="Q989" s="217" t="s">
        <v>35</v>
      </c>
      <c r="R989" s="217" t="s">
        <v>23</v>
      </c>
      <c r="S989" s="217" t="s">
        <v>22</v>
      </c>
      <c r="T989" s="217" t="s">
        <v>36</v>
      </c>
      <c r="U989" s="217" t="s">
        <v>37</v>
      </c>
      <c r="V989" s="217" t="s">
        <v>249</v>
      </c>
      <c r="W989" s="217" t="s">
        <v>250</v>
      </c>
    </row>
    <row r="990" spans="1:23" x14ac:dyDescent="0.25">
      <c r="A990" s="217" t="s">
        <v>22</v>
      </c>
      <c r="B990" s="217" t="s">
        <v>23</v>
      </c>
      <c r="C990" s="217" t="s">
        <v>37</v>
      </c>
      <c r="D990" s="217" t="s">
        <v>36</v>
      </c>
      <c r="E990" s="217" t="s">
        <v>547</v>
      </c>
      <c r="F990" s="217" t="s">
        <v>548</v>
      </c>
      <c r="G990" s="217" t="s">
        <v>551</v>
      </c>
      <c r="H990" s="217" t="s">
        <v>1413</v>
      </c>
      <c r="I990" s="217" t="s">
        <v>29</v>
      </c>
      <c r="J990" s="217" t="s">
        <v>1855</v>
      </c>
      <c r="K990" s="217">
        <v>9</v>
      </c>
      <c r="L990" s="217">
        <v>78</v>
      </c>
      <c r="M990" s="217" t="s">
        <v>31</v>
      </c>
      <c r="N990" s="217" t="s">
        <v>32</v>
      </c>
      <c r="O990" s="217" t="s">
        <v>68</v>
      </c>
      <c r="P990" s="217" t="s">
        <v>34</v>
      </c>
      <c r="Q990" s="217" t="s">
        <v>35</v>
      </c>
      <c r="R990" s="217" t="s">
        <v>23</v>
      </c>
      <c r="S990" s="217" t="s">
        <v>22</v>
      </c>
      <c r="T990" s="217" t="s">
        <v>36</v>
      </c>
      <c r="U990" s="217" t="s">
        <v>37</v>
      </c>
      <c r="V990" s="217" t="s">
        <v>243</v>
      </c>
      <c r="W990" s="217" t="s">
        <v>244</v>
      </c>
    </row>
    <row r="991" spans="1:23" x14ac:dyDescent="0.25">
      <c r="A991" s="217" t="s">
        <v>22</v>
      </c>
      <c r="B991" s="217" t="s">
        <v>23</v>
      </c>
      <c r="C991" s="217" t="s">
        <v>37</v>
      </c>
      <c r="D991" s="217" t="s">
        <v>36</v>
      </c>
      <c r="E991" s="217" t="s">
        <v>547</v>
      </c>
      <c r="F991" s="217" t="s">
        <v>548</v>
      </c>
      <c r="G991" s="217" t="s">
        <v>551</v>
      </c>
      <c r="H991" s="217" t="s">
        <v>1413</v>
      </c>
      <c r="I991" s="217" t="s">
        <v>29</v>
      </c>
      <c r="J991" s="217" t="s">
        <v>1856</v>
      </c>
      <c r="K991" s="217">
        <v>8</v>
      </c>
      <c r="L991" s="217">
        <v>65</v>
      </c>
      <c r="M991" s="217" t="s">
        <v>31</v>
      </c>
      <c r="N991" s="217" t="s">
        <v>32</v>
      </c>
      <c r="O991" s="217" t="s">
        <v>68</v>
      </c>
      <c r="P991" s="217" t="s">
        <v>34</v>
      </c>
      <c r="Q991" s="217" t="s">
        <v>35</v>
      </c>
      <c r="R991" s="217" t="s">
        <v>23</v>
      </c>
      <c r="S991" s="217" t="s">
        <v>22</v>
      </c>
      <c r="T991" s="217" t="s">
        <v>36</v>
      </c>
      <c r="U991" s="217" t="s">
        <v>37</v>
      </c>
      <c r="V991" s="217" t="s">
        <v>243</v>
      </c>
      <c r="W991" s="217" t="s">
        <v>244</v>
      </c>
    </row>
    <row r="992" spans="1:23" x14ac:dyDescent="0.25">
      <c r="A992" s="217" t="s">
        <v>22</v>
      </c>
      <c r="B992" s="217" t="s">
        <v>23</v>
      </c>
      <c r="C992" s="217" t="s">
        <v>37</v>
      </c>
      <c r="D992" s="217" t="s">
        <v>36</v>
      </c>
      <c r="E992" s="217" t="s">
        <v>547</v>
      </c>
      <c r="F992" s="217" t="s">
        <v>548</v>
      </c>
      <c r="G992" s="217" t="s">
        <v>551</v>
      </c>
      <c r="H992" s="217" t="s">
        <v>1413</v>
      </c>
      <c r="I992" s="217" t="s">
        <v>29</v>
      </c>
      <c r="J992" s="217" t="s">
        <v>1857</v>
      </c>
      <c r="K992" s="217">
        <v>6</v>
      </c>
      <c r="L992" s="217">
        <v>51</v>
      </c>
      <c r="M992" s="217" t="s">
        <v>31</v>
      </c>
      <c r="N992" s="217" t="s">
        <v>32</v>
      </c>
      <c r="O992" s="217" t="s">
        <v>68</v>
      </c>
      <c r="P992" s="217" t="s">
        <v>34</v>
      </c>
      <c r="Q992" s="217" t="s">
        <v>35</v>
      </c>
      <c r="R992" s="217" t="s">
        <v>23</v>
      </c>
      <c r="S992" s="217" t="s">
        <v>22</v>
      </c>
      <c r="T992" s="217" t="s">
        <v>36</v>
      </c>
      <c r="U992" s="217" t="s">
        <v>37</v>
      </c>
      <c r="V992" s="217" t="s">
        <v>243</v>
      </c>
      <c r="W992" s="217" t="s">
        <v>244</v>
      </c>
    </row>
    <row r="993" spans="1:23" x14ac:dyDescent="0.25">
      <c r="A993" s="217" t="s">
        <v>22</v>
      </c>
      <c r="B993" s="217" t="s">
        <v>23</v>
      </c>
      <c r="C993" s="217" t="s">
        <v>37</v>
      </c>
      <c r="D993" s="217" t="s">
        <v>36</v>
      </c>
      <c r="E993" s="217" t="s">
        <v>547</v>
      </c>
      <c r="F993" s="217" t="s">
        <v>548</v>
      </c>
      <c r="G993" s="217" t="s">
        <v>551</v>
      </c>
      <c r="H993" s="217" t="s">
        <v>1413</v>
      </c>
      <c r="I993" s="217" t="s">
        <v>29</v>
      </c>
      <c r="J993" s="217" t="s">
        <v>1858</v>
      </c>
      <c r="K993" s="217">
        <v>13</v>
      </c>
      <c r="L993" s="217">
        <v>66</v>
      </c>
      <c r="M993" s="217" t="s">
        <v>31</v>
      </c>
      <c r="N993" s="217" t="s">
        <v>32</v>
      </c>
      <c r="O993" s="217" t="s">
        <v>68</v>
      </c>
      <c r="P993" s="217" t="s">
        <v>34</v>
      </c>
      <c r="Q993" s="217" t="s">
        <v>35</v>
      </c>
      <c r="R993" s="217" t="s">
        <v>23</v>
      </c>
      <c r="S993" s="217" t="s">
        <v>22</v>
      </c>
      <c r="T993" s="217" t="s">
        <v>36</v>
      </c>
      <c r="U993" s="217" t="s">
        <v>37</v>
      </c>
      <c r="V993" s="217" t="s">
        <v>249</v>
      </c>
      <c r="W993" s="217" t="s">
        <v>250</v>
      </c>
    </row>
    <row r="994" spans="1:23" x14ac:dyDescent="0.25">
      <c r="A994" s="217" t="s">
        <v>22</v>
      </c>
      <c r="B994" s="217" t="s">
        <v>23</v>
      </c>
      <c r="C994" s="217" t="s">
        <v>37</v>
      </c>
      <c r="D994" s="217" t="s">
        <v>36</v>
      </c>
      <c r="E994" s="217" t="s">
        <v>547</v>
      </c>
      <c r="F994" s="217" t="s">
        <v>548</v>
      </c>
      <c r="G994" s="217" t="s">
        <v>552</v>
      </c>
      <c r="H994" s="217" t="s">
        <v>1414</v>
      </c>
      <c r="I994" s="217" t="s">
        <v>29</v>
      </c>
      <c r="J994" s="217" t="s">
        <v>1855</v>
      </c>
      <c r="K994" s="217">
        <v>8</v>
      </c>
      <c r="L994" s="217">
        <v>48</v>
      </c>
      <c r="M994" s="217" t="s">
        <v>31</v>
      </c>
      <c r="N994" s="217" t="s">
        <v>32</v>
      </c>
      <c r="O994" s="217" t="s">
        <v>68</v>
      </c>
      <c r="P994" s="217" t="s">
        <v>34</v>
      </c>
      <c r="Q994" s="217" t="s">
        <v>35</v>
      </c>
      <c r="R994" s="217" t="s">
        <v>23</v>
      </c>
      <c r="S994" s="217" t="s">
        <v>22</v>
      </c>
      <c r="T994" s="217" t="s">
        <v>36</v>
      </c>
      <c r="U994" s="217" t="s">
        <v>37</v>
      </c>
      <c r="V994" s="217" t="s">
        <v>249</v>
      </c>
      <c r="W994" s="217" t="s">
        <v>250</v>
      </c>
    </row>
    <row r="995" spans="1:23" x14ac:dyDescent="0.25">
      <c r="A995" s="217" t="s">
        <v>22</v>
      </c>
      <c r="B995" s="217" t="s">
        <v>23</v>
      </c>
      <c r="C995" s="217" t="s">
        <v>37</v>
      </c>
      <c r="D995" s="217" t="s">
        <v>36</v>
      </c>
      <c r="E995" s="217" t="s">
        <v>547</v>
      </c>
      <c r="F995" s="217" t="s">
        <v>548</v>
      </c>
      <c r="G995" s="217" t="s">
        <v>552</v>
      </c>
      <c r="H995" s="217" t="s">
        <v>1414</v>
      </c>
      <c r="I995" s="217" t="s">
        <v>29</v>
      </c>
      <c r="J995" s="217" t="s">
        <v>1856</v>
      </c>
      <c r="K995" s="217">
        <v>5</v>
      </c>
      <c r="L995" s="217">
        <v>38</v>
      </c>
      <c r="M995" s="217" t="s">
        <v>31</v>
      </c>
      <c r="N995" s="217" t="s">
        <v>32</v>
      </c>
      <c r="O995" s="217" t="s">
        <v>68</v>
      </c>
      <c r="P995" s="217" t="s">
        <v>34</v>
      </c>
      <c r="Q995" s="217" t="s">
        <v>35</v>
      </c>
      <c r="R995" s="217" t="s">
        <v>23</v>
      </c>
      <c r="S995" s="217" t="s">
        <v>22</v>
      </c>
      <c r="T995" s="217" t="s">
        <v>36</v>
      </c>
      <c r="U995" s="217" t="s">
        <v>37</v>
      </c>
      <c r="V995" s="217" t="s">
        <v>249</v>
      </c>
      <c r="W995" s="217" t="s">
        <v>250</v>
      </c>
    </row>
    <row r="996" spans="1:23" x14ac:dyDescent="0.25">
      <c r="A996" s="217" t="s">
        <v>22</v>
      </c>
      <c r="B996" s="217" t="s">
        <v>23</v>
      </c>
      <c r="C996" s="217" t="s">
        <v>37</v>
      </c>
      <c r="D996" s="217" t="s">
        <v>36</v>
      </c>
      <c r="E996" s="217" t="s">
        <v>547</v>
      </c>
      <c r="F996" s="217" t="s">
        <v>548</v>
      </c>
      <c r="G996" s="217" t="s">
        <v>552</v>
      </c>
      <c r="H996" s="217" t="s">
        <v>1414</v>
      </c>
      <c r="I996" s="217" t="s">
        <v>29</v>
      </c>
      <c r="J996" s="217" t="s">
        <v>1857</v>
      </c>
      <c r="K996" s="217">
        <v>7</v>
      </c>
      <c r="L996" s="217">
        <v>43</v>
      </c>
      <c r="M996" s="217" t="s">
        <v>31</v>
      </c>
      <c r="N996" s="217" t="s">
        <v>32</v>
      </c>
      <c r="O996" s="217" t="s">
        <v>68</v>
      </c>
      <c r="P996" s="217" t="s">
        <v>34</v>
      </c>
      <c r="Q996" s="217" t="s">
        <v>35</v>
      </c>
      <c r="R996" s="217" t="s">
        <v>23</v>
      </c>
      <c r="S996" s="217" t="s">
        <v>22</v>
      </c>
      <c r="T996" s="217" t="s">
        <v>36</v>
      </c>
      <c r="U996" s="217" t="s">
        <v>37</v>
      </c>
      <c r="V996" s="217" t="s">
        <v>249</v>
      </c>
      <c r="W996" s="217" t="s">
        <v>250</v>
      </c>
    </row>
    <row r="997" spans="1:23" x14ac:dyDescent="0.25">
      <c r="A997" s="217" t="s">
        <v>22</v>
      </c>
      <c r="B997" s="217" t="s">
        <v>23</v>
      </c>
      <c r="C997" s="217" t="s">
        <v>37</v>
      </c>
      <c r="D997" s="217" t="s">
        <v>36</v>
      </c>
      <c r="E997" s="217" t="s">
        <v>547</v>
      </c>
      <c r="F997" s="217" t="s">
        <v>548</v>
      </c>
      <c r="G997" s="217" t="s">
        <v>552</v>
      </c>
      <c r="H997" s="217" t="s">
        <v>1414</v>
      </c>
      <c r="I997" s="217" t="s">
        <v>29</v>
      </c>
      <c r="J997" s="217" t="s">
        <v>1858</v>
      </c>
      <c r="K997" s="217">
        <v>18</v>
      </c>
      <c r="L997" s="217">
        <v>109</v>
      </c>
      <c r="M997" s="217" t="s">
        <v>31</v>
      </c>
      <c r="N997" s="217" t="s">
        <v>32</v>
      </c>
      <c r="O997" s="217" t="s">
        <v>68</v>
      </c>
      <c r="P997" s="217" t="s">
        <v>34</v>
      </c>
      <c r="Q997" s="217" t="s">
        <v>35</v>
      </c>
      <c r="R997" s="217" t="s">
        <v>23</v>
      </c>
      <c r="S997" s="217" t="s">
        <v>22</v>
      </c>
      <c r="T997" s="217" t="s">
        <v>36</v>
      </c>
      <c r="U997" s="217" t="s">
        <v>37</v>
      </c>
      <c r="V997" s="217" t="s">
        <v>249</v>
      </c>
      <c r="W997" s="217" t="s">
        <v>250</v>
      </c>
    </row>
    <row r="998" spans="1:23" x14ac:dyDescent="0.25">
      <c r="A998" s="217" t="s">
        <v>22</v>
      </c>
      <c r="B998" s="217" t="s">
        <v>23</v>
      </c>
      <c r="C998" s="217" t="s">
        <v>37</v>
      </c>
      <c r="D998" s="217" t="s">
        <v>36</v>
      </c>
      <c r="E998" s="217" t="s">
        <v>547</v>
      </c>
      <c r="F998" s="217" t="s">
        <v>548</v>
      </c>
      <c r="G998" s="217" t="s">
        <v>553</v>
      </c>
      <c r="H998" s="217" t="s">
        <v>1415</v>
      </c>
      <c r="I998" s="217" t="s">
        <v>29</v>
      </c>
      <c r="J998" s="217" t="s">
        <v>1855</v>
      </c>
      <c r="K998" s="217">
        <v>13</v>
      </c>
      <c r="L998" s="217">
        <v>71</v>
      </c>
      <c r="M998" s="217" t="s">
        <v>31</v>
      </c>
      <c r="N998" s="217" t="s">
        <v>32</v>
      </c>
      <c r="O998" s="217" t="s">
        <v>68</v>
      </c>
      <c r="P998" s="217" t="s">
        <v>34</v>
      </c>
      <c r="Q998" s="217" t="s">
        <v>35</v>
      </c>
      <c r="R998" s="217" t="s">
        <v>23</v>
      </c>
      <c r="S998" s="217" t="s">
        <v>22</v>
      </c>
      <c r="T998" s="217" t="s">
        <v>36</v>
      </c>
      <c r="U998" s="217" t="s">
        <v>37</v>
      </c>
      <c r="V998" s="217" t="s">
        <v>249</v>
      </c>
      <c r="W998" s="217" t="s">
        <v>250</v>
      </c>
    </row>
    <row r="999" spans="1:23" x14ac:dyDescent="0.25">
      <c r="A999" s="217" t="s">
        <v>22</v>
      </c>
      <c r="B999" s="217" t="s">
        <v>23</v>
      </c>
      <c r="C999" s="217" t="s">
        <v>37</v>
      </c>
      <c r="D999" s="217" t="s">
        <v>36</v>
      </c>
      <c r="E999" s="217" t="s">
        <v>547</v>
      </c>
      <c r="F999" s="217" t="s">
        <v>548</v>
      </c>
      <c r="G999" s="217" t="s">
        <v>553</v>
      </c>
      <c r="H999" s="217" t="s">
        <v>1415</v>
      </c>
      <c r="I999" s="217" t="s">
        <v>29</v>
      </c>
      <c r="J999" s="217" t="s">
        <v>1856</v>
      </c>
      <c r="K999" s="217">
        <v>6</v>
      </c>
      <c r="L999" s="217">
        <v>33</v>
      </c>
      <c r="M999" s="217" t="s">
        <v>31</v>
      </c>
      <c r="N999" s="217" t="s">
        <v>32</v>
      </c>
      <c r="O999" s="217" t="s">
        <v>68</v>
      </c>
      <c r="P999" s="217" t="s">
        <v>34</v>
      </c>
      <c r="Q999" s="217" t="s">
        <v>35</v>
      </c>
      <c r="R999" s="217" t="s">
        <v>23</v>
      </c>
      <c r="S999" s="217" t="s">
        <v>22</v>
      </c>
      <c r="T999" s="217" t="s">
        <v>36</v>
      </c>
      <c r="U999" s="217" t="s">
        <v>37</v>
      </c>
      <c r="V999" s="217" t="s">
        <v>249</v>
      </c>
      <c r="W999" s="217" t="s">
        <v>250</v>
      </c>
    </row>
    <row r="1000" spans="1:23" x14ac:dyDescent="0.25">
      <c r="A1000" s="217" t="s">
        <v>22</v>
      </c>
      <c r="B1000" s="217" t="s">
        <v>23</v>
      </c>
      <c r="C1000" s="217" t="s">
        <v>37</v>
      </c>
      <c r="D1000" s="217" t="s">
        <v>36</v>
      </c>
      <c r="E1000" s="217" t="s">
        <v>547</v>
      </c>
      <c r="F1000" s="217" t="s">
        <v>548</v>
      </c>
      <c r="G1000" s="217" t="s">
        <v>553</v>
      </c>
      <c r="H1000" s="217" t="s">
        <v>1415</v>
      </c>
      <c r="I1000" s="217" t="s">
        <v>29</v>
      </c>
      <c r="J1000" s="217" t="s">
        <v>1857</v>
      </c>
      <c r="K1000" s="217">
        <v>10</v>
      </c>
      <c r="L1000" s="217">
        <v>66</v>
      </c>
      <c r="M1000" s="217" t="s">
        <v>31</v>
      </c>
      <c r="N1000" s="217" t="s">
        <v>32</v>
      </c>
      <c r="O1000" s="217" t="s">
        <v>68</v>
      </c>
      <c r="P1000" s="217" t="s">
        <v>34</v>
      </c>
      <c r="Q1000" s="217" t="s">
        <v>35</v>
      </c>
      <c r="R1000" s="217" t="s">
        <v>23</v>
      </c>
      <c r="S1000" s="217" t="s">
        <v>22</v>
      </c>
      <c r="T1000" s="217" t="s">
        <v>36</v>
      </c>
      <c r="U1000" s="217" t="s">
        <v>37</v>
      </c>
      <c r="V1000" s="217" t="s">
        <v>249</v>
      </c>
      <c r="W1000" s="217" t="s">
        <v>250</v>
      </c>
    </row>
    <row r="1001" spans="1:23" x14ac:dyDescent="0.25">
      <c r="A1001" s="217" t="s">
        <v>22</v>
      </c>
      <c r="B1001" s="217" t="s">
        <v>23</v>
      </c>
      <c r="C1001" s="217" t="s">
        <v>37</v>
      </c>
      <c r="D1001" s="217" t="s">
        <v>36</v>
      </c>
      <c r="E1001" s="217" t="s">
        <v>547</v>
      </c>
      <c r="F1001" s="217" t="s">
        <v>548</v>
      </c>
      <c r="G1001" s="217" t="s">
        <v>553</v>
      </c>
      <c r="H1001" s="217" t="s">
        <v>1415</v>
      </c>
      <c r="I1001" s="217" t="s">
        <v>29</v>
      </c>
      <c r="J1001" s="217" t="s">
        <v>1858</v>
      </c>
      <c r="K1001" s="217">
        <v>3</v>
      </c>
      <c r="L1001" s="217">
        <v>15</v>
      </c>
      <c r="M1001" s="217" t="s">
        <v>31</v>
      </c>
      <c r="N1001" s="217" t="s">
        <v>32</v>
      </c>
      <c r="O1001" s="217" t="s">
        <v>68</v>
      </c>
      <c r="P1001" s="217" t="s">
        <v>34</v>
      </c>
      <c r="Q1001" s="217" t="s">
        <v>35</v>
      </c>
      <c r="R1001" s="217" t="s">
        <v>23</v>
      </c>
      <c r="S1001" s="217" t="s">
        <v>22</v>
      </c>
      <c r="T1001" s="217" t="s">
        <v>36</v>
      </c>
      <c r="U1001" s="217" t="s">
        <v>37</v>
      </c>
      <c r="V1001" s="217" t="s">
        <v>249</v>
      </c>
      <c r="W1001" s="217" t="s">
        <v>250</v>
      </c>
    </row>
    <row r="1002" spans="1:23" x14ac:dyDescent="0.25">
      <c r="A1002" s="217" t="s">
        <v>22</v>
      </c>
      <c r="B1002" s="217" t="s">
        <v>23</v>
      </c>
      <c r="C1002" s="217" t="s">
        <v>37</v>
      </c>
      <c r="D1002" s="217" t="s">
        <v>36</v>
      </c>
      <c r="E1002" s="217" t="s">
        <v>547</v>
      </c>
      <c r="F1002" s="217" t="s">
        <v>548</v>
      </c>
      <c r="G1002" s="217" t="s">
        <v>553</v>
      </c>
      <c r="H1002" s="217" t="s">
        <v>1415</v>
      </c>
      <c r="I1002" s="217" t="s">
        <v>29</v>
      </c>
      <c r="J1002" s="217" t="s">
        <v>1859</v>
      </c>
      <c r="K1002" s="217">
        <v>1</v>
      </c>
      <c r="L1002" s="217">
        <v>4</v>
      </c>
      <c r="M1002" s="217" t="s">
        <v>31</v>
      </c>
      <c r="N1002" s="217" t="s">
        <v>32</v>
      </c>
      <c r="O1002" s="217" t="s">
        <v>68</v>
      </c>
      <c r="P1002" s="217" t="s">
        <v>34</v>
      </c>
      <c r="Q1002" s="217" t="s">
        <v>35</v>
      </c>
      <c r="R1002" s="217" t="s">
        <v>23</v>
      </c>
      <c r="S1002" s="217" t="s">
        <v>22</v>
      </c>
      <c r="T1002" s="217" t="s">
        <v>36</v>
      </c>
      <c r="U1002" s="217" t="s">
        <v>37</v>
      </c>
      <c r="V1002" s="217" t="s">
        <v>249</v>
      </c>
      <c r="W1002" s="217" t="s">
        <v>250</v>
      </c>
    </row>
    <row r="1003" spans="1:23" x14ac:dyDescent="0.25">
      <c r="A1003" s="217" t="s">
        <v>22</v>
      </c>
      <c r="B1003" s="217" t="s">
        <v>23</v>
      </c>
      <c r="C1003" s="217" t="s">
        <v>37</v>
      </c>
      <c r="D1003" s="217" t="s">
        <v>36</v>
      </c>
      <c r="E1003" s="217" t="s">
        <v>547</v>
      </c>
      <c r="F1003" s="217" t="s">
        <v>548</v>
      </c>
      <c r="G1003" s="217" t="s">
        <v>554</v>
      </c>
      <c r="H1003" s="217" t="s">
        <v>1416</v>
      </c>
      <c r="I1003" s="217" t="s">
        <v>29</v>
      </c>
      <c r="J1003" s="217" t="s">
        <v>1855</v>
      </c>
      <c r="K1003" s="217">
        <v>22</v>
      </c>
      <c r="L1003" s="217">
        <v>159</v>
      </c>
      <c r="M1003" s="217" t="s">
        <v>31</v>
      </c>
      <c r="N1003" s="217" t="s">
        <v>32</v>
      </c>
      <c r="O1003" s="217" t="s">
        <v>68</v>
      </c>
      <c r="P1003" s="217" t="s">
        <v>34</v>
      </c>
      <c r="Q1003" s="217" t="s">
        <v>35</v>
      </c>
      <c r="R1003" s="217" t="s">
        <v>23</v>
      </c>
      <c r="S1003" s="217" t="s">
        <v>22</v>
      </c>
      <c r="T1003" s="217" t="s">
        <v>36</v>
      </c>
      <c r="U1003" s="217" t="s">
        <v>37</v>
      </c>
      <c r="V1003" s="217" t="s">
        <v>249</v>
      </c>
      <c r="W1003" s="217" t="s">
        <v>250</v>
      </c>
    </row>
    <row r="1004" spans="1:23" x14ac:dyDescent="0.25">
      <c r="A1004" s="217" t="s">
        <v>22</v>
      </c>
      <c r="B1004" s="217" t="s">
        <v>23</v>
      </c>
      <c r="C1004" s="217" t="s">
        <v>37</v>
      </c>
      <c r="D1004" s="217" t="s">
        <v>36</v>
      </c>
      <c r="E1004" s="217" t="s">
        <v>547</v>
      </c>
      <c r="F1004" s="217" t="s">
        <v>548</v>
      </c>
      <c r="G1004" s="217" t="s">
        <v>554</v>
      </c>
      <c r="H1004" s="217" t="s">
        <v>1416</v>
      </c>
      <c r="I1004" s="217" t="s">
        <v>29</v>
      </c>
      <c r="J1004" s="217" t="s">
        <v>1856</v>
      </c>
      <c r="K1004" s="217">
        <v>25</v>
      </c>
      <c r="L1004" s="217">
        <v>171</v>
      </c>
      <c r="M1004" s="217" t="s">
        <v>31</v>
      </c>
      <c r="N1004" s="217" t="s">
        <v>32</v>
      </c>
      <c r="O1004" s="217" t="s">
        <v>68</v>
      </c>
      <c r="P1004" s="217" t="s">
        <v>34</v>
      </c>
      <c r="Q1004" s="217" t="s">
        <v>35</v>
      </c>
      <c r="R1004" s="217" t="s">
        <v>23</v>
      </c>
      <c r="S1004" s="217" t="s">
        <v>22</v>
      </c>
      <c r="T1004" s="217" t="s">
        <v>36</v>
      </c>
      <c r="U1004" s="217" t="s">
        <v>37</v>
      </c>
      <c r="V1004" s="217" t="s">
        <v>249</v>
      </c>
      <c r="W1004" s="217" t="s">
        <v>250</v>
      </c>
    </row>
    <row r="1005" spans="1:23" x14ac:dyDescent="0.25">
      <c r="A1005" s="217" t="s">
        <v>22</v>
      </c>
      <c r="B1005" s="217" t="s">
        <v>23</v>
      </c>
      <c r="C1005" s="217" t="s">
        <v>37</v>
      </c>
      <c r="D1005" s="217" t="s">
        <v>36</v>
      </c>
      <c r="E1005" s="217" t="s">
        <v>547</v>
      </c>
      <c r="F1005" s="217" t="s">
        <v>548</v>
      </c>
      <c r="G1005" s="217" t="s">
        <v>554</v>
      </c>
      <c r="H1005" s="217" t="s">
        <v>1416</v>
      </c>
      <c r="I1005" s="217" t="s">
        <v>29</v>
      </c>
      <c r="J1005" s="217" t="s">
        <v>1857</v>
      </c>
      <c r="K1005" s="217">
        <v>27</v>
      </c>
      <c r="L1005" s="217">
        <v>136</v>
      </c>
      <c r="M1005" s="217" t="s">
        <v>31</v>
      </c>
      <c r="N1005" s="217" t="s">
        <v>32</v>
      </c>
      <c r="O1005" s="217" t="s">
        <v>68</v>
      </c>
      <c r="P1005" s="217" t="s">
        <v>34</v>
      </c>
      <c r="Q1005" s="217" t="s">
        <v>35</v>
      </c>
      <c r="R1005" s="217" t="s">
        <v>23</v>
      </c>
      <c r="S1005" s="217" t="s">
        <v>22</v>
      </c>
      <c r="T1005" s="217" t="s">
        <v>36</v>
      </c>
      <c r="U1005" s="217" t="s">
        <v>37</v>
      </c>
      <c r="V1005" s="217" t="s">
        <v>249</v>
      </c>
      <c r="W1005" s="217" t="s">
        <v>250</v>
      </c>
    </row>
    <row r="1006" spans="1:23" x14ac:dyDescent="0.25">
      <c r="A1006" s="217" t="s">
        <v>22</v>
      </c>
      <c r="B1006" s="217" t="s">
        <v>23</v>
      </c>
      <c r="C1006" s="217" t="s">
        <v>37</v>
      </c>
      <c r="D1006" s="217" t="s">
        <v>36</v>
      </c>
      <c r="E1006" s="217" t="s">
        <v>547</v>
      </c>
      <c r="F1006" s="217" t="s">
        <v>548</v>
      </c>
      <c r="G1006" s="217" t="s">
        <v>554</v>
      </c>
      <c r="H1006" s="217" t="s">
        <v>1416</v>
      </c>
      <c r="I1006" s="217" t="s">
        <v>29</v>
      </c>
      <c r="J1006" s="217" t="s">
        <v>1858</v>
      </c>
      <c r="K1006" s="217">
        <v>24</v>
      </c>
      <c r="L1006" s="217">
        <v>180</v>
      </c>
      <c r="M1006" s="217" t="s">
        <v>31</v>
      </c>
      <c r="N1006" s="217" t="s">
        <v>32</v>
      </c>
      <c r="O1006" s="217" t="s">
        <v>68</v>
      </c>
      <c r="P1006" s="217" t="s">
        <v>34</v>
      </c>
      <c r="Q1006" s="217" t="s">
        <v>35</v>
      </c>
      <c r="R1006" s="217" t="s">
        <v>23</v>
      </c>
      <c r="S1006" s="217" t="s">
        <v>22</v>
      </c>
      <c r="T1006" s="217" t="s">
        <v>36</v>
      </c>
      <c r="U1006" s="217" t="s">
        <v>37</v>
      </c>
      <c r="V1006" s="217" t="s">
        <v>249</v>
      </c>
      <c r="W1006" s="217" t="s">
        <v>250</v>
      </c>
    </row>
    <row r="1007" spans="1:23" x14ac:dyDescent="0.25">
      <c r="A1007" s="217" t="s">
        <v>22</v>
      </c>
      <c r="B1007" s="217" t="s">
        <v>23</v>
      </c>
      <c r="C1007" s="217" t="s">
        <v>37</v>
      </c>
      <c r="D1007" s="217" t="s">
        <v>36</v>
      </c>
      <c r="E1007" s="217" t="s">
        <v>547</v>
      </c>
      <c r="F1007" s="217" t="s">
        <v>548</v>
      </c>
      <c r="G1007" s="217" t="s">
        <v>555</v>
      </c>
      <c r="H1007" s="217" t="s">
        <v>1417</v>
      </c>
      <c r="I1007" s="217" t="s">
        <v>29</v>
      </c>
      <c r="J1007" s="217" t="s">
        <v>1855</v>
      </c>
      <c r="K1007" s="217">
        <v>9</v>
      </c>
      <c r="L1007" s="217">
        <v>59</v>
      </c>
      <c r="M1007" s="217" t="s">
        <v>31</v>
      </c>
      <c r="N1007" s="217" t="s">
        <v>32</v>
      </c>
      <c r="O1007" s="217" t="s">
        <v>68</v>
      </c>
      <c r="P1007" s="217" t="s">
        <v>34</v>
      </c>
      <c r="Q1007" s="217" t="s">
        <v>35</v>
      </c>
      <c r="R1007" s="217" t="s">
        <v>23</v>
      </c>
      <c r="S1007" s="217" t="s">
        <v>22</v>
      </c>
      <c r="T1007" s="217" t="s">
        <v>36</v>
      </c>
      <c r="U1007" s="217" t="s">
        <v>37</v>
      </c>
      <c r="V1007" s="217" t="s">
        <v>249</v>
      </c>
      <c r="W1007" s="217" t="s">
        <v>250</v>
      </c>
    </row>
    <row r="1008" spans="1:23" x14ac:dyDescent="0.25">
      <c r="A1008" s="217" t="s">
        <v>22</v>
      </c>
      <c r="B1008" s="217" t="s">
        <v>23</v>
      </c>
      <c r="C1008" s="217" t="s">
        <v>37</v>
      </c>
      <c r="D1008" s="217" t="s">
        <v>36</v>
      </c>
      <c r="E1008" s="217" t="s">
        <v>547</v>
      </c>
      <c r="F1008" s="217" t="s">
        <v>548</v>
      </c>
      <c r="G1008" s="217" t="s">
        <v>555</v>
      </c>
      <c r="H1008" s="217" t="s">
        <v>1417</v>
      </c>
      <c r="I1008" s="217" t="s">
        <v>29</v>
      </c>
      <c r="J1008" s="217" t="s">
        <v>1856</v>
      </c>
      <c r="K1008" s="217">
        <v>4</v>
      </c>
      <c r="L1008" s="217">
        <v>23</v>
      </c>
      <c r="M1008" s="217" t="s">
        <v>31</v>
      </c>
      <c r="N1008" s="217" t="s">
        <v>32</v>
      </c>
      <c r="O1008" s="217" t="s">
        <v>33</v>
      </c>
      <c r="P1008" s="217" t="s">
        <v>34</v>
      </c>
      <c r="Q1008" s="217" t="s">
        <v>35</v>
      </c>
      <c r="R1008" s="217" t="s">
        <v>23</v>
      </c>
      <c r="S1008" s="217" t="s">
        <v>22</v>
      </c>
      <c r="T1008" s="217" t="s">
        <v>47</v>
      </c>
      <c r="U1008" s="217" t="s">
        <v>48</v>
      </c>
      <c r="V1008" s="217" t="s">
        <v>231</v>
      </c>
      <c r="W1008" s="217" t="s">
        <v>232</v>
      </c>
    </row>
    <row r="1009" spans="1:23" x14ac:dyDescent="0.25">
      <c r="A1009" s="217" t="s">
        <v>22</v>
      </c>
      <c r="B1009" s="217" t="s">
        <v>23</v>
      </c>
      <c r="C1009" s="217" t="s">
        <v>37</v>
      </c>
      <c r="D1009" s="217" t="s">
        <v>36</v>
      </c>
      <c r="E1009" s="217" t="s">
        <v>547</v>
      </c>
      <c r="F1009" s="217" t="s">
        <v>548</v>
      </c>
      <c r="G1009" s="217" t="s">
        <v>555</v>
      </c>
      <c r="H1009" s="217" t="s">
        <v>1417</v>
      </c>
      <c r="I1009" s="217" t="s">
        <v>29</v>
      </c>
      <c r="J1009" s="217" t="s">
        <v>1857</v>
      </c>
      <c r="K1009" s="217">
        <v>51</v>
      </c>
      <c r="L1009" s="217">
        <v>369</v>
      </c>
      <c r="M1009" s="217" t="s">
        <v>31</v>
      </c>
      <c r="N1009" s="217" t="s">
        <v>32</v>
      </c>
      <c r="O1009" s="217" t="s">
        <v>68</v>
      </c>
      <c r="P1009" s="217" t="s">
        <v>34</v>
      </c>
      <c r="Q1009" s="217" t="s">
        <v>35</v>
      </c>
      <c r="R1009" s="217" t="s">
        <v>23</v>
      </c>
      <c r="S1009" s="217" t="s">
        <v>22</v>
      </c>
      <c r="T1009" s="217" t="s">
        <v>36</v>
      </c>
      <c r="U1009" s="217" t="s">
        <v>37</v>
      </c>
      <c r="V1009" s="217" t="s">
        <v>249</v>
      </c>
      <c r="W1009" s="217" t="s">
        <v>250</v>
      </c>
    </row>
    <row r="1010" spans="1:23" x14ac:dyDescent="0.25">
      <c r="A1010" s="217" t="s">
        <v>22</v>
      </c>
      <c r="B1010" s="217" t="s">
        <v>23</v>
      </c>
      <c r="C1010" s="217" t="s">
        <v>37</v>
      </c>
      <c r="D1010" s="217" t="s">
        <v>36</v>
      </c>
      <c r="E1010" s="217" t="s">
        <v>547</v>
      </c>
      <c r="F1010" s="217" t="s">
        <v>548</v>
      </c>
      <c r="G1010" s="217" t="s">
        <v>555</v>
      </c>
      <c r="H1010" s="217" t="s">
        <v>1417</v>
      </c>
      <c r="I1010" s="217" t="s">
        <v>29</v>
      </c>
      <c r="J1010" s="217" t="s">
        <v>1858</v>
      </c>
      <c r="K1010" s="217">
        <v>9</v>
      </c>
      <c r="L1010" s="217">
        <v>47</v>
      </c>
      <c r="M1010" s="217" t="s">
        <v>31</v>
      </c>
      <c r="N1010" s="217" t="s">
        <v>32</v>
      </c>
      <c r="O1010" s="217" t="s">
        <v>68</v>
      </c>
      <c r="P1010" s="217" t="s">
        <v>34</v>
      </c>
      <c r="Q1010" s="217" t="s">
        <v>35</v>
      </c>
      <c r="R1010" s="217" t="s">
        <v>23</v>
      </c>
      <c r="S1010" s="217" t="s">
        <v>22</v>
      </c>
      <c r="T1010" s="217" t="s">
        <v>36</v>
      </c>
      <c r="U1010" s="217" t="s">
        <v>37</v>
      </c>
      <c r="V1010" s="217" t="s">
        <v>249</v>
      </c>
      <c r="W1010" s="217" t="s">
        <v>250</v>
      </c>
    </row>
    <row r="1011" spans="1:23" x14ac:dyDescent="0.25">
      <c r="A1011" s="217" t="s">
        <v>22</v>
      </c>
      <c r="B1011" s="217" t="s">
        <v>23</v>
      </c>
      <c r="C1011" s="217" t="s">
        <v>37</v>
      </c>
      <c r="D1011" s="217" t="s">
        <v>36</v>
      </c>
      <c r="E1011" s="217" t="s">
        <v>547</v>
      </c>
      <c r="F1011" s="217" t="s">
        <v>548</v>
      </c>
      <c r="G1011" s="217" t="s">
        <v>556</v>
      </c>
      <c r="H1011" s="217" t="s">
        <v>1418</v>
      </c>
      <c r="I1011" s="217" t="s">
        <v>29</v>
      </c>
      <c r="J1011" s="217" t="s">
        <v>1855</v>
      </c>
      <c r="K1011" s="217">
        <v>8</v>
      </c>
      <c r="L1011" s="217">
        <v>42</v>
      </c>
      <c r="M1011" s="217" t="s">
        <v>31</v>
      </c>
      <c r="N1011" s="217" t="s">
        <v>32</v>
      </c>
      <c r="O1011" s="217" t="s">
        <v>68</v>
      </c>
      <c r="P1011" s="217" t="s">
        <v>34</v>
      </c>
      <c r="Q1011" s="217" t="s">
        <v>35</v>
      </c>
      <c r="R1011" s="217" t="s">
        <v>23</v>
      </c>
      <c r="S1011" s="217" t="s">
        <v>22</v>
      </c>
      <c r="T1011" s="217" t="s">
        <v>36</v>
      </c>
      <c r="U1011" s="217" t="s">
        <v>37</v>
      </c>
      <c r="V1011" s="217" t="s">
        <v>249</v>
      </c>
      <c r="W1011" s="217" t="s">
        <v>250</v>
      </c>
    </row>
    <row r="1012" spans="1:23" x14ac:dyDescent="0.25">
      <c r="A1012" s="217" t="s">
        <v>22</v>
      </c>
      <c r="B1012" s="217" t="s">
        <v>23</v>
      </c>
      <c r="C1012" s="217" t="s">
        <v>37</v>
      </c>
      <c r="D1012" s="217" t="s">
        <v>36</v>
      </c>
      <c r="E1012" s="217" t="s">
        <v>547</v>
      </c>
      <c r="F1012" s="217" t="s">
        <v>548</v>
      </c>
      <c r="G1012" s="217" t="s">
        <v>556</v>
      </c>
      <c r="H1012" s="217" t="s">
        <v>1418</v>
      </c>
      <c r="I1012" s="217" t="s">
        <v>29</v>
      </c>
      <c r="J1012" s="217" t="s">
        <v>1856</v>
      </c>
      <c r="K1012" s="217">
        <v>10</v>
      </c>
      <c r="L1012" s="217">
        <v>67</v>
      </c>
      <c r="M1012" s="217" t="s">
        <v>31</v>
      </c>
      <c r="N1012" s="217" t="s">
        <v>32</v>
      </c>
      <c r="O1012" s="217" t="s">
        <v>68</v>
      </c>
      <c r="P1012" s="217" t="s">
        <v>34</v>
      </c>
      <c r="Q1012" s="217" t="s">
        <v>35</v>
      </c>
      <c r="R1012" s="217" t="s">
        <v>23</v>
      </c>
      <c r="S1012" s="217" t="s">
        <v>22</v>
      </c>
      <c r="T1012" s="217" t="s">
        <v>36</v>
      </c>
      <c r="U1012" s="217" t="s">
        <v>37</v>
      </c>
      <c r="V1012" s="217" t="s">
        <v>249</v>
      </c>
      <c r="W1012" s="217" t="s">
        <v>250</v>
      </c>
    </row>
    <row r="1013" spans="1:23" x14ac:dyDescent="0.25">
      <c r="A1013" s="217" t="s">
        <v>22</v>
      </c>
      <c r="B1013" s="217" t="s">
        <v>23</v>
      </c>
      <c r="C1013" s="217" t="s">
        <v>37</v>
      </c>
      <c r="D1013" s="217" t="s">
        <v>36</v>
      </c>
      <c r="E1013" s="217" t="s">
        <v>547</v>
      </c>
      <c r="F1013" s="217" t="s">
        <v>548</v>
      </c>
      <c r="G1013" s="217" t="s">
        <v>556</v>
      </c>
      <c r="H1013" s="217" t="s">
        <v>1418</v>
      </c>
      <c r="I1013" s="217" t="s">
        <v>29</v>
      </c>
      <c r="J1013" s="217" t="s">
        <v>1857</v>
      </c>
      <c r="K1013" s="217">
        <v>11</v>
      </c>
      <c r="L1013" s="217">
        <v>69</v>
      </c>
      <c r="M1013" s="217" t="s">
        <v>31</v>
      </c>
      <c r="N1013" s="217" t="s">
        <v>32</v>
      </c>
      <c r="O1013" s="217" t="s">
        <v>68</v>
      </c>
      <c r="P1013" s="217" t="s">
        <v>34</v>
      </c>
      <c r="Q1013" s="217" t="s">
        <v>35</v>
      </c>
      <c r="R1013" s="217" t="s">
        <v>23</v>
      </c>
      <c r="S1013" s="217" t="s">
        <v>22</v>
      </c>
      <c r="T1013" s="217" t="s">
        <v>36</v>
      </c>
      <c r="U1013" s="217" t="s">
        <v>37</v>
      </c>
      <c r="V1013" s="217" t="s">
        <v>249</v>
      </c>
      <c r="W1013" s="217" t="s">
        <v>250</v>
      </c>
    </row>
    <row r="1014" spans="1:23" x14ac:dyDescent="0.25">
      <c r="A1014" s="217" t="s">
        <v>22</v>
      </c>
      <c r="B1014" s="217" t="s">
        <v>23</v>
      </c>
      <c r="C1014" s="217" t="s">
        <v>37</v>
      </c>
      <c r="D1014" s="217" t="s">
        <v>36</v>
      </c>
      <c r="E1014" s="217" t="s">
        <v>547</v>
      </c>
      <c r="F1014" s="217" t="s">
        <v>548</v>
      </c>
      <c r="G1014" s="217" t="s">
        <v>556</v>
      </c>
      <c r="H1014" s="217" t="s">
        <v>1418</v>
      </c>
      <c r="I1014" s="217" t="s">
        <v>29</v>
      </c>
      <c r="J1014" s="217" t="s">
        <v>1858</v>
      </c>
      <c r="K1014" s="217">
        <v>5</v>
      </c>
      <c r="L1014" s="217">
        <v>27</v>
      </c>
      <c r="M1014" s="217" t="s">
        <v>31</v>
      </c>
      <c r="N1014" s="217" t="s">
        <v>32</v>
      </c>
      <c r="O1014" s="217" t="s">
        <v>68</v>
      </c>
      <c r="P1014" s="217" t="s">
        <v>34</v>
      </c>
      <c r="Q1014" s="217" t="s">
        <v>35</v>
      </c>
      <c r="R1014" s="217" t="s">
        <v>23</v>
      </c>
      <c r="S1014" s="217" t="s">
        <v>22</v>
      </c>
      <c r="T1014" s="217" t="s">
        <v>36</v>
      </c>
      <c r="U1014" s="217" t="s">
        <v>37</v>
      </c>
      <c r="V1014" s="217" t="s">
        <v>249</v>
      </c>
      <c r="W1014" s="217" t="s">
        <v>250</v>
      </c>
    </row>
    <row r="1015" spans="1:23" x14ac:dyDescent="0.25">
      <c r="A1015" s="217" t="s">
        <v>22</v>
      </c>
      <c r="B1015" s="217" t="s">
        <v>23</v>
      </c>
      <c r="C1015" s="217" t="s">
        <v>37</v>
      </c>
      <c r="D1015" s="217" t="s">
        <v>36</v>
      </c>
      <c r="E1015" s="217" t="s">
        <v>547</v>
      </c>
      <c r="F1015" s="217" t="s">
        <v>548</v>
      </c>
      <c r="G1015" s="217" t="s">
        <v>557</v>
      </c>
      <c r="H1015" s="217" t="s">
        <v>1419</v>
      </c>
      <c r="I1015" s="217" t="s">
        <v>29</v>
      </c>
      <c r="J1015" s="217" t="s">
        <v>1855</v>
      </c>
      <c r="K1015" s="217">
        <v>17</v>
      </c>
      <c r="L1015" s="217">
        <v>120</v>
      </c>
      <c r="M1015" s="217" t="s">
        <v>31</v>
      </c>
      <c r="N1015" s="217" t="s">
        <v>32</v>
      </c>
      <c r="O1015" s="217" t="s">
        <v>68</v>
      </c>
      <c r="P1015" s="217" t="s">
        <v>34</v>
      </c>
      <c r="Q1015" s="217" t="s">
        <v>35</v>
      </c>
      <c r="R1015" s="217" t="s">
        <v>23</v>
      </c>
      <c r="S1015" s="217" t="s">
        <v>22</v>
      </c>
      <c r="T1015" s="217" t="s">
        <v>36</v>
      </c>
      <c r="U1015" s="217" t="s">
        <v>37</v>
      </c>
      <c r="V1015" s="217" t="s">
        <v>249</v>
      </c>
      <c r="W1015" s="217" t="s">
        <v>250</v>
      </c>
    </row>
    <row r="1016" spans="1:23" x14ac:dyDescent="0.25">
      <c r="A1016" s="217" t="s">
        <v>22</v>
      </c>
      <c r="B1016" s="217" t="s">
        <v>23</v>
      </c>
      <c r="C1016" s="217" t="s">
        <v>37</v>
      </c>
      <c r="D1016" s="217" t="s">
        <v>36</v>
      </c>
      <c r="E1016" s="217" t="s">
        <v>547</v>
      </c>
      <c r="F1016" s="217" t="s">
        <v>548</v>
      </c>
      <c r="G1016" s="217" t="s">
        <v>557</v>
      </c>
      <c r="H1016" s="217" t="s">
        <v>1419</v>
      </c>
      <c r="I1016" s="217" t="s">
        <v>29</v>
      </c>
      <c r="J1016" s="217" t="s">
        <v>1856</v>
      </c>
      <c r="K1016" s="217">
        <v>7</v>
      </c>
      <c r="L1016" s="217">
        <v>48</v>
      </c>
      <c r="M1016" s="217" t="s">
        <v>31</v>
      </c>
      <c r="N1016" s="217" t="s">
        <v>32</v>
      </c>
      <c r="O1016" s="217" t="s">
        <v>68</v>
      </c>
      <c r="P1016" s="217" t="s">
        <v>34</v>
      </c>
      <c r="Q1016" s="217" t="s">
        <v>35</v>
      </c>
      <c r="R1016" s="217" t="s">
        <v>23</v>
      </c>
      <c r="S1016" s="217" t="s">
        <v>22</v>
      </c>
      <c r="T1016" s="217" t="s">
        <v>36</v>
      </c>
      <c r="U1016" s="217" t="s">
        <v>37</v>
      </c>
      <c r="V1016" s="217" t="s">
        <v>249</v>
      </c>
      <c r="W1016" s="217" t="s">
        <v>250</v>
      </c>
    </row>
    <row r="1017" spans="1:23" x14ac:dyDescent="0.25">
      <c r="A1017" s="217" t="s">
        <v>22</v>
      </c>
      <c r="B1017" s="217" t="s">
        <v>23</v>
      </c>
      <c r="C1017" s="217" t="s">
        <v>37</v>
      </c>
      <c r="D1017" s="217" t="s">
        <v>36</v>
      </c>
      <c r="E1017" s="217" t="s">
        <v>547</v>
      </c>
      <c r="F1017" s="217" t="s">
        <v>548</v>
      </c>
      <c r="G1017" s="217" t="s">
        <v>557</v>
      </c>
      <c r="H1017" s="217" t="s">
        <v>1419</v>
      </c>
      <c r="I1017" s="217" t="s">
        <v>29</v>
      </c>
      <c r="J1017" s="217" t="s">
        <v>1857</v>
      </c>
      <c r="K1017" s="217">
        <v>81</v>
      </c>
      <c r="L1017" s="217">
        <v>650</v>
      </c>
      <c r="M1017" s="217" t="s">
        <v>31</v>
      </c>
      <c r="N1017" s="217" t="s">
        <v>32</v>
      </c>
      <c r="O1017" s="217" t="s">
        <v>33</v>
      </c>
      <c r="P1017" s="217" t="s">
        <v>34</v>
      </c>
      <c r="Q1017" s="217" t="s">
        <v>35</v>
      </c>
      <c r="R1017" s="217" t="s">
        <v>23</v>
      </c>
      <c r="S1017" s="217" t="s">
        <v>22</v>
      </c>
      <c r="T1017" s="217" t="s">
        <v>47</v>
      </c>
      <c r="U1017" s="217" t="s">
        <v>48</v>
      </c>
      <c r="V1017" s="217" t="s">
        <v>231</v>
      </c>
      <c r="W1017" s="217" t="s">
        <v>232</v>
      </c>
    </row>
    <row r="1018" spans="1:23" x14ac:dyDescent="0.25">
      <c r="A1018" s="217" t="s">
        <v>22</v>
      </c>
      <c r="B1018" s="217" t="s">
        <v>23</v>
      </c>
      <c r="C1018" s="217" t="s">
        <v>37</v>
      </c>
      <c r="D1018" s="217" t="s">
        <v>36</v>
      </c>
      <c r="E1018" s="217" t="s">
        <v>547</v>
      </c>
      <c r="F1018" s="217" t="s">
        <v>548</v>
      </c>
      <c r="G1018" s="217" t="s">
        <v>557</v>
      </c>
      <c r="H1018" s="217" t="s">
        <v>1419</v>
      </c>
      <c r="I1018" s="217" t="s">
        <v>29</v>
      </c>
      <c r="J1018" s="217" t="s">
        <v>1858</v>
      </c>
      <c r="K1018" s="217">
        <v>6</v>
      </c>
      <c r="L1018" s="217">
        <v>18</v>
      </c>
      <c r="M1018" s="217" t="s">
        <v>31</v>
      </c>
      <c r="N1018" s="217" t="s">
        <v>32</v>
      </c>
      <c r="O1018" s="217" t="s">
        <v>68</v>
      </c>
      <c r="P1018" s="217" t="s">
        <v>34</v>
      </c>
      <c r="Q1018" s="217" t="s">
        <v>35</v>
      </c>
      <c r="R1018" s="217" t="s">
        <v>23</v>
      </c>
      <c r="S1018" s="217" t="s">
        <v>22</v>
      </c>
      <c r="T1018" s="217" t="s">
        <v>36</v>
      </c>
      <c r="U1018" s="217" t="s">
        <v>37</v>
      </c>
      <c r="V1018" s="217" t="s">
        <v>249</v>
      </c>
      <c r="W1018" s="217" t="s">
        <v>250</v>
      </c>
    </row>
    <row r="1019" spans="1:23" x14ac:dyDescent="0.25">
      <c r="A1019" s="217" t="s">
        <v>22</v>
      </c>
      <c r="B1019" s="217" t="s">
        <v>23</v>
      </c>
      <c r="C1019" s="217" t="s">
        <v>37</v>
      </c>
      <c r="D1019" s="217" t="s">
        <v>36</v>
      </c>
      <c r="E1019" s="217" t="s">
        <v>547</v>
      </c>
      <c r="F1019" s="217" t="s">
        <v>548</v>
      </c>
      <c r="G1019" s="217" t="s">
        <v>845</v>
      </c>
      <c r="H1019" s="217" t="s">
        <v>1840</v>
      </c>
      <c r="I1019" s="217" t="s">
        <v>29</v>
      </c>
      <c r="J1019" s="217" t="s">
        <v>1857</v>
      </c>
      <c r="K1019" s="217">
        <v>7</v>
      </c>
      <c r="L1019" s="217">
        <v>44</v>
      </c>
      <c r="M1019" s="217" t="s">
        <v>31</v>
      </c>
      <c r="N1019" s="217" t="s">
        <v>32</v>
      </c>
      <c r="O1019" s="217" t="s">
        <v>68</v>
      </c>
      <c r="P1019" s="217" t="s">
        <v>34</v>
      </c>
      <c r="Q1019" s="217" t="s">
        <v>35</v>
      </c>
      <c r="R1019" s="217" t="s">
        <v>23</v>
      </c>
      <c r="S1019" s="217" t="s">
        <v>22</v>
      </c>
      <c r="T1019" s="217" t="s">
        <v>36</v>
      </c>
      <c r="U1019" s="217" t="s">
        <v>37</v>
      </c>
      <c r="V1019" s="217" t="s">
        <v>249</v>
      </c>
      <c r="W1019" s="217" t="s">
        <v>250</v>
      </c>
    </row>
    <row r="1020" spans="1:23" x14ac:dyDescent="0.25">
      <c r="A1020" s="217" t="s">
        <v>22</v>
      </c>
      <c r="B1020" s="217" t="s">
        <v>23</v>
      </c>
      <c r="C1020" s="217" t="s">
        <v>37</v>
      </c>
      <c r="D1020" s="217" t="s">
        <v>36</v>
      </c>
      <c r="E1020" s="217" t="s">
        <v>547</v>
      </c>
      <c r="F1020" s="217" t="s">
        <v>548</v>
      </c>
      <c r="G1020" s="217" t="s">
        <v>845</v>
      </c>
      <c r="H1020" s="217" t="s">
        <v>1840</v>
      </c>
      <c r="I1020" s="217" t="s">
        <v>29</v>
      </c>
      <c r="J1020" s="217" t="s">
        <v>1858</v>
      </c>
      <c r="K1020" s="217">
        <v>3</v>
      </c>
      <c r="L1020" s="217">
        <v>5</v>
      </c>
      <c r="M1020" s="217" t="s">
        <v>31</v>
      </c>
      <c r="N1020" s="217" t="s">
        <v>32</v>
      </c>
      <c r="O1020" s="217" t="s">
        <v>33</v>
      </c>
      <c r="P1020" s="217" t="s">
        <v>34</v>
      </c>
      <c r="Q1020" s="217" t="s">
        <v>35</v>
      </c>
      <c r="R1020" s="217" t="s">
        <v>23</v>
      </c>
      <c r="S1020" s="217" t="s">
        <v>22</v>
      </c>
      <c r="T1020" s="217" t="s">
        <v>47</v>
      </c>
      <c r="U1020" s="217" t="s">
        <v>48</v>
      </c>
      <c r="V1020" s="217" t="s">
        <v>231</v>
      </c>
      <c r="W1020" s="217" t="s">
        <v>232</v>
      </c>
    </row>
    <row r="1021" spans="1:23" x14ac:dyDescent="0.25">
      <c r="A1021" s="217" t="s">
        <v>22</v>
      </c>
      <c r="B1021" s="217" t="s">
        <v>23</v>
      </c>
      <c r="C1021" s="217" t="s">
        <v>37</v>
      </c>
      <c r="D1021" s="217" t="s">
        <v>36</v>
      </c>
      <c r="E1021" s="217" t="s">
        <v>547</v>
      </c>
      <c r="F1021" s="217" t="s">
        <v>548</v>
      </c>
      <c r="G1021" s="217" t="s">
        <v>558</v>
      </c>
      <c r="H1021" s="217" t="s">
        <v>1420</v>
      </c>
      <c r="I1021" s="217" t="s">
        <v>29</v>
      </c>
      <c r="J1021" s="217" t="s">
        <v>1855</v>
      </c>
      <c r="K1021" s="217">
        <v>9</v>
      </c>
      <c r="L1021" s="217">
        <v>78</v>
      </c>
      <c r="M1021" s="217" t="s">
        <v>31</v>
      </c>
      <c r="N1021" s="217" t="s">
        <v>32</v>
      </c>
      <c r="O1021" s="217" t="s">
        <v>68</v>
      </c>
      <c r="P1021" s="217" t="s">
        <v>34</v>
      </c>
      <c r="Q1021" s="217" t="s">
        <v>35</v>
      </c>
      <c r="R1021" s="217" t="s">
        <v>23</v>
      </c>
      <c r="S1021" s="217" t="s">
        <v>22</v>
      </c>
      <c r="T1021" s="217" t="s">
        <v>36</v>
      </c>
      <c r="U1021" s="217" t="s">
        <v>37</v>
      </c>
      <c r="V1021" s="217" t="s">
        <v>249</v>
      </c>
      <c r="W1021" s="217" t="s">
        <v>250</v>
      </c>
    </row>
    <row r="1022" spans="1:23" x14ac:dyDescent="0.25">
      <c r="A1022" s="217" t="s">
        <v>22</v>
      </c>
      <c r="B1022" s="217" t="s">
        <v>23</v>
      </c>
      <c r="C1022" s="217" t="s">
        <v>37</v>
      </c>
      <c r="D1022" s="217" t="s">
        <v>36</v>
      </c>
      <c r="E1022" s="217" t="s">
        <v>547</v>
      </c>
      <c r="F1022" s="217" t="s">
        <v>548</v>
      </c>
      <c r="G1022" s="217" t="s">
        <v>558</v>
      </c>
      <c r="H1022" s="217" t="s">
        <v>1420</v>
      </c>
      <c r="I1022" s="217" t="s">
        <v>29</v>
      </c>
      <c r="J1022" s="217" t="s">
        <v>1856</v>
      </c>
      <c r="K1022" s="217">
        <v>8</v>
      </c>
      <c r="L1022" s="217">
        <v>65</v>
      </c>
      <c r="M1022" s="217" t="s">
        <v>31</v>
      </c>
      <c r="N1022" s="217" t="s">
        <v>32</v>
      </c>
      <c r="O1022" s="217" t="s">
        <v>68</v>
      </c>
      <c r="P1022" s="217" t="s">
        <v>34</v>
      </c>
      <c r="Q1022" s="217" t="s">
        <v>35</v>
      </c>
      <c r="R1022" s="217" t="s">
        <v>23</v>
      </c>
      <c r="S1022" s="217" t="s">
        <v>22</v>
      </c>
      <c r="T1022" s="217" t="s">
        <v>36</v>
      </c>
      <c r="U1022" s="217" t="s">
        <v>37</v>
      </c>
      <c r="V1022" s="217" t="s">
        <v>249</v>
      </c>
      <c r="W1022" s="217" t="s">
        <v>250</v>
      </c>
    </row>
    <row r="1023" spans="1:23" x14ac:dyDescent="0.25">
      <c r="A1023" s="217" t="s">
        <v>22</v>
      </c>
      <c r="B1023" s="217" t="s">
        <v>23</v>
      </c>
      <c r="C1023" s="217" t="s">
        <v>37</v>
      </c>
      <c r="D1023" s="217" t="s">
        <v>36</v>
      </c>
      <c r="E1023" s="217" t="s">
        <v>547</v>
      </c>
      <c r="F1023" s="217" t="s">
        <v>548</v>
      </c>
      <c r="G1023" s="217" t="s">
        <v>558</v>
      </c>
      <c r="H1023" s="217" t="s">
        <v>1420</v>
      </c>
      <c r="I1023" s="217" t="s">
        <v>29</v>
      </c>
      <c r="J1023" s="217" t="s">
        <v>1857</v>
      </c>
      <c r="K1023" s="217">
        <v>6</v>
      </c>
      <c r="L1023" s="217">
        <v>51</v>
      </c>
      <c r="M1023" s="217" t="s">
        <v>31</v>
      </c>
      <c r="N1023" s="217" t="s">
        <v>32</v>
      </c>
      <c r="O1023" s="217" t="s">
        <v>68</v>
      </c>
      <c r="P1023" s="217" t="s">
        <v>34</v>
      </c>
      <c r="Q1023" s="217" t="s">
        <v>35</v>
      </c>
      <c r="R1023" s="217" t="s">
        <v>23</v>
      </c>
      <c r="S1023" s="217" t="s">
        <v>22</v>
      </c>
      <c r="T1023" s="217" t="s">
        <v>36</v>
      </c>
      <c r="U1023" s="217" t="s">
        <v>37</v>
      </c>
      <c r="V1023" s="217" t="s">
        <v>249</v>
      </c>
      <c r="W1023" s="217" t="s">
        <v>250</v>
      </c>
    </row>
    <row r="1024" spans="1:23" x14ac:dyDescent="0.25">
      <c r="A1024" s="217" t="s">
        <v>22</v>
      </c>
      <c r="B1024" s="217" t="s">
        <v>23</v>
      </c>
      <c r="C1024" s="217" t="s">
        <v>37</v>
      </c>
      <c r="D1024" s="217" t="s">
        <v>36</v>
      </c>
      <c r="E1024" s="217" t="s">
        <v>547</v>
      </c>
      <c r="F1024" s="217" t="s">
        <v>548</v>
      </c>
      <c r="G1024" s="217" t="s">
        <v>558</v>
      </c>
      <c r="H1024" s="217" t="s">
        <v>1420</v>
      </c>
      <c r="I1024" s="217" t="s">
        <v>29</v>
      </c>
      <c r="J1024" s="217" t="s">
        <v>1858</v>
      </c>
      <c r="K1024" s="217">
        <v>7</v>
      </c>
      <c r="L1024" s="217">
        <v>27</v>
      </c>
      <c r="M1024" s="217" t="s">
        <v>31</v>
      </c>
      <c r="N1024" s="217" t="s">
        <v>32</v>
      </c>
      <c r="O1024" s="217" t="s">
        <v>68</v>
      </c>
      <c r="P1024" s="217" t="s">
        <v>34</v>
      </c>
      <c r="Q1024" s="217" t="s">
        <v>35</v>
      </c>
      <c r="R1024" s="217" t="s">
        <v>23</v>
      </c>
      <c r="S1024" s="217" t="s">
        <v>22</v>
      </c>
      <c r="T1024" s="217" t="s">
        <v>36</v>
      </c>
      <c r="U1024" s="217" t="s">
        <v>37</v>
      </c>
      <c r="V1024" s="217" t="s">
        <v>249</v>
      </c>
      <c r="W1024" s="217" t="s">
        <v>250</v>
      </c>
    </row>
    <row r="1025" spans="1:23" x14ac:dyDescent="0.25">
      <c r="A1025" s="217" t="s">
        <v>22</v>
      </c>
      <c r="B1025" s="217" t="s">
        <v>23</v>
      </c>
      <c r="C1025" s="217" t="s">
        <v>37</v>
      </c>
      <c r="D1025" s="217" t="s">
        <v>36</v>
      </c>
      <c r="E1025" s="217" t="s">
        <v>547</v>
      </c>
      <c r="F1025" s="217" t="s">
        <v>548</v>
      </c>
      <c r="G1025" s="217" t="s">
        <v>559</v>
      </c>
      <c r="H1025" s="217" t="s">
        <v>1421</v>
      </c>
      <c r="I1025" s="217" t="s">
        <v>29</v>
      </c>
      <c r="J1025" s="217" t="s">
        <v>1855</v>
      </c>
      <c r="K1025" s="217">
        <v>42</v>
      </c>
      <c r="L1025" s="217">
        <v>289</v>
      </c>
      <c r="M1025" s="217" t="s">
        <v>31</v>
      </c>
      <c r="N1025" s="217" t="s">
        <v>32</v>
      </c>
      <c r="O1025" s="217" t="s">
        <v>68</v>
      </c>
      <c r="P1025" s="217" t="s">
        <v>34</v>
      </c>
      <c r="Q1025" s="217" t="s">
        <v>35</v>
      </c>
      <c r="R1025" s="217" t="s">
        <v>23</v>
      </c>
      <c r="S1025" s="217" t="s">
        <v>22</v>
      </c>
      <c r="T1025" s="217" t="s">
        <v>36</v>
      </c>
      <c r="U1025" s="217" t="s">
        <v>37</v>
      </c>
      <c r="V1025" s="217" t="s">
        <v>249</v>
      </c>
      <c r="W1025" s="217" t="s">
        <v>250</v>
      </c>
    </row>
    <row r="1026" spans="1:23" x14ac:dyDescent="0.25">
      <c r="A1026" s="217" t="s">
        <v>22</v>
      </c>
      <c r="B1026" s="217" t="s">
        <v>23</v>
      </c>
      <c r="C1026" s="217" t="s">
        <v>37</v>
      </c>
      <c r="D1026" s="217" t="s">
        <v>36</v>
      </c>
      <c r="E1026" s="217" t="s">
        <v>547</v>
      </c>
      <c r="F1026" s="217" t="s">
        <v>548</v>
      </c>
      <c r="G1026" s="217" t="s">
        <v>559</v>
      </c>
      <c r="H1026" s="217" t="s">
        <v>1421</v>
      </c>
      <c r="I1026" s="217" t="s">
        <v>29</v>
      </c>
      <c r="J1026" s="217" t="s">
        <v>1856</v>
      </c>
      <c r="K1026" s="217">
        <v>47</v>
      </c>
      <c r="L1026" s="217">
        <v>358</v>
      </c>
      <c r="M1026" s="217" t="s">
        <v>31</v>
      </c>
      <c r="N1026" s="217" t="s">
        <v>32</v>
      </c>
      <c r="O1026" s="217" t="s">
        <v>68</v>
      </c>
      <c r="P1026" s="217" t="s">
        <v>34</v>
      </c>
      <c r="Q1026" s="217" t="s">
        <v>35</v>
      </c>
      <c r="R1026" s="217" t="s">
        <v>23</v>
      </c>
      <c r="S1026" s="217" t="s">
        <v>22</v>
      </c>
      <c r="T1026" s="217" t="s">
        <v>36</v>
      </c>
      <c r="U1026" s="217" t="s">
        <v>37</v>
      </c>
      <c r="V1026" s="217" t="s">
        <v>249</v>
      </c>
      <c r="W1026" s="217" t="s">
        <v>250</v>
      </c>
    </row>
    <row r="1027" spans="1:23" x14ac:dyDescent="0.25">
      <c r="A1027" s="217" t="s">
        <v>22</v>
      </c>
      <c r="B1027" s="217" t="s">
        <v>23</v>
      </c>
      <c r="C1027" s="217" t="s">
        <v>37</v>
      </c>
      <c r="D1027" s="217" t="s">
        <v>36</v>
      </c>
      <c r="E1027" s="217" t="s">
        <v>547</v>
      </c>
      <c r="F1027" s="217" t="s">
        <v>548</v>
      </c>
      <c r="G1027" s="217" t="s">
        <v>559</v>
      </c>
      <c r="H1027" s="217" t="s">
        <v>1421</v>
      </c>
      <c r="I1027" s="217" t="s">
        <v>29</v>
      </c>
      <c r="J1027" s="217" t="s">
        <v>1857</v>
      </c>
      <c r="K1027" s="217">
        <v>109</v>
      </c>
      <c r="L1027" s="217">
        <v>733</v>
      </c>
      <c r="M1027" s="217" t="s">
        <v>31</v>
      </c>
      <c r="N1027" s="217" t="s">
        <v>32</v>
      </c>
      <c r="O1027" s="217" t="s">
        <v>68</v>
      </c>
      <c r="P1027" s="217" t="s">
        <v>34</v>
      </c>
      <c r="Q1027" s="217" t="s">
        <v>35</v>
      </c>
      <c r="R1027" s="217" t="s">
        <v>23</v>
      </c>
      <c r="S1027" s="217" t="s">
        <v>22</v>
      </c>
      <c r="T1027" s="217" t="s">
        <v>36</v>
      </c>
      <c r="U1027" s="217" t="s">
        <v>37</v>
      </c>
      <c r="V1027" s="217" t="s">
        <v>249</v>
      </c>
      <c r="W1027" s="217" t="s">
        <v>250</v>
      </c>
    </row>
    <row r="1028" spans="1:23" x14ac:dyDescent="0.25">
      <c r="A1028" s="217" t="s">
        <v>22</v>
      </c>
      <c r="B1028" s="217" t="s">
        <v>23</v>
      </c>
      <c r="C1028" s="217" t="s">
        <v>37</v>
      </c>
      <c r="D1028" s="217" t="s">
        <v>36</v>
      </c>
      <c r="E1028" s="217" t="s">
        <v>547</v>
      </c>
      <c r="F1028" s="217" t="s">
        <v>548</v>
      </c>
      <c r="G1028" s="217" t="s">
        <v>559</v>
      </c>
      <c r="H1028" s="217" t="s">
        <v>1421</v>
      </c>
      <c r="I1028" s="217" t="s">
        <v>29</v>
      </c>
      <c r="J1028" s="217" t="s">
        <v>1858</v>
      </c>
      <c r="K1028" s="217">
        <v>26</v>
      </c>
      <c r="L1028" s="217">
        <v>54</v>
      </c>
      <c r="M1028" s="217" t="s">
        <v>31</v>
      </c>
      <c r="N1028" s="217" t="s">
        <v>32</v>
      </c>
      <c r="O1028" s="217" t="s">
        <v>68</v>
      </c>
      <c r="P1028" s="217" t="s">
        <v>34</v>
      </c>
      <c r="Q1028" s="217" t="s">
        <v>35</v>
      </c>
      <c r="R1028" s="217" t="s">
        <v>23</v>
      </c>
      <c r="S1028" s="217" t="s">
        <v>22</v>
      </c>
      <c r="T1028" s="217" t="s">
        <v>36</v>
      </c>
      <c r="U1028" s="217" t="s">
        <v>37</v>
      </c>
      <c r="V1028" s="217" t="s">
        <v>249</v>
      </c>
      <c r="W1028" s="217" t="s">
        <v>250</v>
      </c>
    </row>
    <row r="1029" spans="1:23" x14ac:dyDescent="0.25">
      <c r="A1029" s="217" t="s">
        <v>22</v>
      </c>
      <c r="B1029" s="217" t="s">
        <v>23</v>
      </c>
      <c r="C1029" s="217" t="s">
        <v>37</v>
      </c>
      <c r="D1029" s="217" t="s">
        <v>36</v>
      </c>
      <c r="E1029" s="217" t="s">
        <v>547</v>
      </c>
      <c r="F1029" s="217" t="s">
        <v>548</v>
      </c>
      <c r="G1029" s="217" t="s">
        <v>560</v>
      </c>
      <c r="H1029" s="217" t="s">
        <v>1422</v>
      </c>
      <c r="I1029" s="217" t="s">
        <v>29</v>
      </c>
      <c r="J1029" s="217" t="s">
        <v>1855</v>
      </c>
      <c r="K1029" s="217">
        <v>6</v>
      </c>
      <c r="L1029" s="217">
        <v>49</v>
      </c>
      <c r="M1029" s="217" t="s">
        <v>31</v>
      </c>
      <c r="N1029" s="217" t="s">
        <v>32</v>
      </c>
      <c r="O1029" s="217" t="s">
        <v>68</v>
      </c>
      <c r="P1029" s="217" t="s">
        <v>34</v>
      </c>
      <c r="Q1029" s="217" t="s">
        <v>35</v>
      </c>
      <c r="R1029" s="217" t="s">
        <v>23</v>
      </c>
      <c r="S1029" s="217" t="s">
        <v>22</v>
      </c>
      <c r="T1029" s="217" t="s">
        <v>36</v>
      </c>
      <c r="U1029" s="217" t="s">
        <v>37</v>
      </c>
      <c r="V1029" s="217" t="s">
        <v>249</v>
      </c>
      <c r="W1029" s="217" t="s">
        <v>250</v>
      </c>
    </row>
    <row r="1030" spans="1:23" x14ac:dyDescent="0.25">
      <c r="A1030" s="217" t="s">
        <v>22</v>
      </c>
      <c r="B1030" s="217" t="s">
        <v>23</v>
      </c>
      <c r="C1030" s="217" t="s">
        <v>37</v>
      </c>
      <c r="D1030" s="217" t="s">
        <v>36</v>
      </c>
      <c r="E1030" s="217" t="s">
        <v>547</v>
      </c>
      <c r="F1030" s="217" t="s">
        <v>548</v>
      </c>
      <c r="G1030" s="217" t="s">
        <v>560</v>
      </c>
      <c r="H1030" s="217" t="s">
        <v>1422</v>
      </c>
      <c r="I1030" s="217" t="s">
        <v>29</v>
      </c>
      <c r="J1030" s="217" t="s">
        <v>1856</v>
      </c>
      <c r="K1030" s="217">
        <v>4</v>
      </c>
      <c r="L1030" s="217">
        <v>35</v>
      </c>
      <c r="M1030" s="217" t="s">
        <v>31</v>
      </c>
      <c r="N1030" s="217" t="s">
        <v>32</v>
      </c>
      <c r="O1030" s="217" t="s">
        <v>33</v>
      </c>
      <c r="P1030" s="217" t="s">
        <v>34</v>
      </c>
      <c r="Q1030" s="217" t="s">
        <v>35</v>
      </c>
      <c r="R1030" s="217" t="s">
        <v>23</v>
      </c>
      <c r="S1030" s="217" t="s">
        <v>22</v>
      </c>
      <c r="T1030" s="217" t="s">
        <v>47</v>
      </c>
      <c r="U1030" s="217" t="s">
        <v>48</v>
      </c>
      <c r="V1030" s="217" t="s">
        <v>231</v>
      </c>
      <c r="W1030" s="217" t="s">
        <v>232</v>
      </c>
    </row>
    <row r="1031" spans="1:23" x14ac:dyDescent="0.25">
      <c r="A1031" s="217" t="s">
        <v>22</v>
      </c>
      <c r="B1031" s="217" t="s">
        <v>23</v>
      </c>
      <c r="C1031" s="217" t="s">
        <v>37</v>
      </c>
      <c r="D1031" s="217" t="s">
        <v>36</v>
      </c>
      <c r="E1031" s="217" t="s">
        <v>547</v>
      </c>
      <c r="F1031" s="217" t="s">
        <v>548</v>
      </c>
      <c r="G1031" s="217" t="s">
        <v>560</v>
      </c>
      <c r="H1031" s="217" t="s">
        <v>1422</v>
      </c>
      <c r="I1031" s="217" t="s">
        <v>29</v>
      </c>
      <c r="J1031" s="217" t="s">
        <v>1857</v>
      </c>
      <c r="K1031" s="217">
        <v>10</v>
      </c>
      <c r="L1031" s="217">
        <v>94</v>
      </c>
      <c r="M1031" s="217" t="s">
        <v>31</v>
      </c>
      <c r="N1031" s="217" t="s">
        <v>32</v>
      </c>
      <c r="O1031" s="217" t="s">
        <v>68</v>
      </c>
      <c r="P1031" s="217" t="s">
        <v>34</v>
      </c>
      <c r="Q1031" s="217" t="s">
        <v>35</v>
      </c>
      <c r="R1031" s="217" t="s">
        <v>23</v>
      </c>
      <c r="S1031" s="217" t="s">
        <v>22</v>
      </c>
      <c r="T1031" s="217" t="s">
        <v>36</v>
      </c>
      <c r="U1031" s="217" t="s">
        <v>37</v>
      </c>
      <c r="V1031" s="217" t="s">
        <v>249</v>
      </c>
      <c r="W1031" s="217" t="s">
        <v>250</v>
      </c>
    </row>
    <row r="1032" spans="1:23" x14ac:dyDescent="0.25">
      <c r="A1032" s="217" t="s">
        <v>22</v>
      </c>
      <c r="B1032" s="217" t="s">
        <v>23</v>
      </c>
      <c r="C1032" s="217" t="s">
        <v>37</v>
      </c>
      <c r="D1032" s="217" t="s">
        <v>36</v>
      </c>
      <c r="E1032" s="217" t="s">
        <v>547</v>
      </c>
      <c r="F1032" s="217" t="s">
        <v>548</v>
      </c>
      <c r="G1032" s="217" t="s">
        <v>560</v>
      </c>
      <c r="H1032" s="217" t="s">
        <v>1422</v>
      </c>
      <c r="I1032" s="217" t="s">
        <v>29</v>
      </c>
      <c r="J1032" s="217" t="s">
        <v>1858</v>
      </c>
      <c r="K1032" s="217">
        <v>20</v>
      </c>
      <c r="L1032" s="217">
        <v>109</v>
      </c>
      <c r="M1032" s="217" t="s">
        <v>31</v>
      </c>
      <c r="N1032" s="217" t="s">
        <v>32</v>
      </c>
      <c r="O1032" s="217" t="s">
        <v>68</v>
      </c>
      <c r="P1032" s="217" t="s">
        <v>34</v>
      </c>
      <c r="Q1032" s="217" t="s">
        <v>35</v>
      </c>
      <c r="R1032" s="217" t="s">
        <v>23</v>
      </c>
      <c r="S1032" s="217" t="s">
        <v>22</v>
      </c>
      <c r="T1032" s="217" t="s">
        <v>36</v>
      </c>
      <c r="U1032" s="217" t="s">
        <v>37</v>
      </c>
      <c r="V1032" s="217" t="s">
        <v>249</v>
      </c>
      <c r="W1032" s="217" t="s">
        <v>250</v>
      </c>
    </row>
    <row r="1033" spans="1:23" x14ac:dyDescent="0.25">
      <c r="A1033" s="217" t="s">
        <v>22</v>
      </c>
      <c r="B1033" s="217" t="s">
        <v>23</v>
      </c>
      <c r="C1033" s="217" t="s">
        <v>37</v>
      </c>
      <c r="D1033" s="217" t="s">
        <v>36</v>
      </c>
      <c r="E1033" s="217" t="s">
        <v>547</v>
      </c>
      <c r="F1033" s="217" t="s">
        <v>548</v>
      </c>
      <c r="G1033" s="217" t="s">
        <v>561</v>
      </c>
      <c r="H1033" s="217" t="s">
        <v>1423</v>
      </c>
      <c r="I1033" s="217" t="s">
        <v>29</v>
      </c>
      <c r="J1033" s="217" t="s">
        <v>1855</v>
      </c>
      <c r="K1033" s="217">
        <v>15</v>
      </c>
      <c r="L1033" s="217">
        <v>117</v>
      </c>
      <c r="M1033" s="217" t="s">
        <v>31</v>
      </c>
      <c r="N1033" s="217" t="s">
        <v>32</v>
      </c>
      <c r="O1033" s="217" t="s">
        <v>68</v>
      </c>
      <c r="P1033" s="217" t="s">
        <v>34</v>
      </c>
      <c r="Q1033" s="217" t="s">
        <v>35</v>
      </c>
      <c r="R1033" s="217" t="s">
        <v>23</v>
      </c>
      <c r="S1033" s="217" t="s">
        <v>22</v>
      </c>
      <c r="T1033" s="217" t="s">
        <v>36</v>
      </c>
      <c r="U1033" s="217" t="s">
        <v>37</v>
      </c>
      <c r="V1033" s="217" t="s">
        <v>249</v>
      </c>
      <c r="W1033" s="217" t="s">
        <v>250</v>
      </c>
    </row>
    <row r="1034" spans="1:23" x14ac:dyDescent="0.25">
      <c r="A1034" s="217" t="s">
        <v>22</v>
      </c>
      <c r="B1034" s="217" t="s">
        <v>23</v>
      </c>
      <c r="C1034" s="217" t="s">
        <v>37</v>
      </c>
      <c r="D1034" s="217" t="s">
        <v>36</v>
      </c>
      <c r="E1034" s="217" t="s">
        <v>547</v>
      </c>
      <c r="F1034" s="217" t="s">
        <v>548</v>
      </c>
      <c r="G1034" s="217" t="s">
        <v>561</v>
      </c>
      <c r="H1034" s="217" t="s">
        <v>1423</v>
      </c>
      <c r="I1034" s="217" t="s">
        <v>29</v>
      </c>
      <c r="J1034" s="217" t="s">
        <v>1856</v>
      </c>
      <c r="K1034" s="217">
        <v>17</v>
      </c>
      <c r="L1034" s="217">
        <v>139</v>
      </c>
      <c r="M1034" s="217" t="s">
        <v>31</v>
      </c>
      <c r="N1034" s="217" t="s">
        <v>32</v>
      </c>
      <c r="O1034" s="217" t="s">
        <v>68</v>
      </c>
      <c r="P1034" s="217" t="s">
        <v>34</v>
      </c>
      <c r="Q1034" s="217" t="s">
        <v>35</v>
      </c>
      <c r="R1034" s="217" t="s">
        <v>23</v>
      </c>
      <c r="S1034" s="217" t="s">
        <v>22</v>
      </c>
      <c r="T1034" s="217" t="s">
        <v>36</v>
      </c>
      <c r="U1034" s="217" t="s">
        <v>37</v>
      </c>
      <c r="V1034" s="217" t="s">
        <v>249</v>
      </c>
      <c r="W1034" s="217" t="s">
        <v>250</v>
      </c>
    </row>
    <row r="1035" spans="1:23" x14ac:dyDescent="0.25">
      <c r="A1035" s="217" t="s">
        <v>22</v>
      </c>
      <c r="B1035" s="217" t="s">
        <v>23</v>
      </c>
      <c r="C1035" s="217" t="s">
        <v>37</v>
      </c>
      <c r="D1035" s="217" t="s">
        <v>36</v>
      </c>
      <c r="E1035" s="217" t="s">
        <v>547</v>
      </c>
      <c r="F1035" s="217" t="s">
        <v>548</v>
      </c>
      <c r="G1035" s="217" t="s">
        <v>561</v>
      </c>
      <c r="H1035" s="217" t="s">
        <v>1423</v>
      </c>
      <c r="I1035" s="217" t="s">
        <v>29</v>
      </c>
      <c r="J1035" s="217" t="s">
        <v>1857</v>
      </c>
      <c r="K1035" s="217">
        <v>16</v>
      </c>
      <c r="L1035" s="217">
        <v>122</v>
      </c>
      <c r="M1035" s="217" t="s">
        <v>31</v>
      </c>
      <c r="N1035" s="217" t="s">
        <v>32</v>
      </c>
      <c r="O1035" s="217" t="s">
        <v>68</v>
      </c>
      <c r="P1035" s="217" t="s">
        <v>34</v>
      </c>
      <c r="Q1035" s="217" t="s">
        <v>35</v>
      </c>
      <c r="R1035" s="217" t="s">
        <v>23</v>
      </c>
      <c r="S1035" s="217" t="s">
        <v>22</v>
      </c>
      <c r="T1035" s="217" t="s">
        <v>36</v>
      </c>
      <c r="U1035" s="217" t="s">
        <v>37</v>
      </c>
      <c r="V1035" s="217" t="s">
        <v>249</v>
      </c>
      <c r="W1035" s="217" t="s">
        <v>250</v>
      </c>
    </row>
    <row r="1036" spans="1:23" x14ac:dyDescent="0.25">
      <c r="A1036" s="217" t="s">
        <v>22</v>
      </c>
      <c r="B1036" s="217" t="s">
        <v>23</v>
      </c>
      <c r="C1036" s="217" t="s">
        <v>37</v>
      </c>
      <c r="D1036" s="217" t="s">
        <v>36</v>
      </c>
      <c r="E1036" s="217" t="s">
        <v>547</v>
      </c>
      <c r="F1036" s="217" t="s">
        <v>548</v>
      </c>
      <c r="G1036" s="217" t="s">
        <v>561</v>
      </c>
      <c r="H1036" s="217" t="s">
        <v>1423</v>
      </c>
      <c r="I1036" s="217" t="s">
        <v>29</v>
      </c>
      <c r="J1036" s="217" t="s">
        <v>1858</v>
      </c>
      <c r="K1036" s="217">
        <v>6</v>
      </c>
      <c r="L1036" s="217">
        <v>38</v>
      </c>
      <c r="M1036" s="217" t="s">
        <v>31</v>
      </c>
      <c r="N1036" s="217" t="s">
        <v>32</v>
      </c>
      <c r="O1036" s="217" t="s">
        <v>68</v>
      </c>
      <c r="P1036" s="217" t="s">
        <v>34</v>
      </c>
      <c r="Q1036" s="217" t="s">
        <v>35</v>
      </c>
      <c r="R1036" s="217" t="s">
        <v>23</v>
      </c>
      <c r="S1036" s="217" t="s">
        <v>22</v>
      </c>
      <c r="T1036" s="217" t="s">
        <v>36</v>
      </c>
      <c r="U1036" s="217" t="s">
        <v>37</v>
      </c>
      <c r="V1036" s="217" t="s">
        <v>249</v>
      </c>
      <c r="W1036" s="217" t="s">
        <v>250</v>
      </c>
    </row>
    <row r="1037" spans="1:23" x14ac:dyDescent="0.25">
      <c r="A1037" s="217" t="s">
        <v>22</v>
      </c>
      <c r="B1037" s="217" t="s">
        <v>23</v>
      </c>
      <c r="C1037" s="217" t="s">
        <v>37</v>
      </c>
      <c r="D1037" s="217" t="s">
        <v>36</v>
      </c>
      <c r="E1037" s="217" t="s">
        <v>547</v>
      </c>
      <c r="F1037" s="217" t="s">
        <v>548</v>
      </c>
      <c r="G1037" s="217" t="s">
        <v>562</v>
      </c>
      <c r="H1037" s="217" t="s">
        <v>1424</v>
      </c>
      <c r="I1037" s="217" t="s">
        <v>29</v>
      </c>
      <c r="J1037" s="217" t="s">
        <v>1855</v>
      </c>
      <c r="K1037" s="217">
        <v>8</v>
      </c>
      <c r="L1037" s="217">
        <v>70</v>
      </c>
      <c r="M1037" s="217" t="s">
        <v>31</v>
      </c>
      <c r="N1037" s="217" t="s">
        <v>32</v>
      </c>
      <c r="O1037" s="217" t="s">
        <v>68</v>
      </c>
      <c r="P1037" s="217" t="s">
        <v>34</v>
      </c>
      <c r="Q1037" s="217" t="s">
        <v>35</v>
      </c>
      <c r="R1037" s="217" t="s">
        <v>23</v>
      </c>
      <c r="S1037" s="217" t="s">
        <v>22</v>
      </c>
      <c r="T1037" s="217" t="s">
        <v>36</v>
      </c>
      <c r="U1037" s="217" t="s">
        <v>37</v>
      </c>
      <c r="V1037" s="217" t="s">
        <v>249</v>
      </c>
      <c r="W1037" s="217" t="s">
        <v>250</v>
      </c>
    </row>
    <row r="1038" spans="1:23" x14ac:dyDescent="0.25">
      <c r="A1038" s="217" t="s">
        <v>22</v>
      </c>
      <c r="B1038" s="217" t="s">
        <v>23</v>
      </c>
      <c r="C1038" s="217" t="s">
        <v>37</v>
      </c>
      <c r="D1038" s="217" t="s">
        <v>36</v>
      </c>
      <c r="E1038" s="217" t="s">
        <v>547</v>
      </c>
      <c r="F1038" s="217" t="s">
        <v>548</v>
      </c>
      <c r="G1038" s="217" t="s">
        <v>562</v>
      </c>
      <c r="H1038" s="217" t="s">
        <v>1424</v>
      </c>
      <c r="I1038" s="217" t="s">
        <v>29</v>
      </c>
      <c r="J1038" s="217" t="s">
        <v>1856</v>
      </c>
      <c r="K1038" s="217">
        <v>11</v>
      </c>
      <c r="L1038" s="217">
        <v>106</v>
      </c>
      <c r="M1038" s="217" t="s">
        <v>31</v>
      </c>
      <c r="N1038" s="217" t="s">
        <v>32</v>
      </c>
      <c r="O1038" s="217" t="s">
        <v>68</v>
      </c>
      <c r="P1038" s="217" t="s">
        <v>34</v>
      </c>
      <c r="Q1038" s="217" t="s">
        <v>35</v>
      </c>
      <c r="R1038" s="217" t="s">
        <v>23</v>
      </c>
      <c r="S1038" s="217" t="s">
        <v>22</v>
      </c>
      <c r="T1038" s="217" t="s">
        <v>36</v>
      </c>
      <c r="U1038" s="217" t="s">
        <v>37</v>
      </c>
      <c r="V1038" s="217" t="s">
        <v>249</v>
      </c>
      <c r="W1038" s="217" t="s">
        <v>250</v>
      </c>
    </row>
    <row r="1039" spans="1:23" x14ac:dyDescent="0.25">
      <c r="A1039" s="217" t="s">
        <v>22</v>
      </c>
      <c r="B1039" s="217" t="s">
        <v>23</v>
      </c>
      <c r="C1039" s="217" t="s">
        <v>37</v>
      </c>
      <c r="D1039" s="217" t="s">
        <v>36</v>
      </c>
      <c r="E1039" s="217" t="s">
        <v>547</v>
      </c>
      <c r="F1039" s="217" t="s">
        <v>548</v>
      </c>
      <c r="G1039" s="217" t="s">
        <v>562</v>
      </c>
      <c r="H1039" s="217" t="s">
        <v>1424</v>
      </c>
      <c r="I1039" s="217" t="s">
        <v>29</v>
      </c>
      <c r="J1039" s="217" t="s">
        <v>1857</v>
      </c>
      <c r="K1039" s="217">
        <v>25</v>
      </c>
      <c r="L1039" s="217">
        <v>218</v>
      </c>
      <c r="M1039" s="217" t="s">
        <v>31</v>
      </c>
      <c r="N1039" s="217" t="s">
        <v>32</v>
      </c>
      <c r="O1039" s="217" t="s">
        <v>68</v>
      </c>
      <c r="P1039" s="217" t="s">
        <v>34</v>
      </c>
      <c r="Q1039" s="217" t="s">
        <v>35</v>
      </c>
      <c r="R1039" s="217" t="s">
        <v>23</v>
      </c>
      <c r="S1039" s="217" t="s">
        <v>22</v>
      </c>
      <c r="T1039" s="217" t="s">
        <v>36</v>
      </c>
      <c r="U1039" s="217" t="s">
        <v>37</v>
      </c>
      <c r="V1039" s="217" t="s">
        <v>249</v>
      </c>
      <c r="W1039" s="217" t="s">
        <v>250</v>
      </c>
    </row>
    <row r="1040" spans="1:23" x14ac:dyDescent="0.25">
      <c r="A1040" s="217" t="s">
        <v>22</v>
      </c>
      <c r="B1040" s="217" t="s">
        <v>23</v>
      </c>
      <c r="C1040" s="217" t="s">
        <v>37</v>
      </c>
      <c r="D1040" s="217" t="s">
        <v>36</v>
      </c>
      <c r="E1040" s="217" t="s">
        <v>547</v>
      </c>
      <c r="F1040" s="217" t="s">
        <v>548</v>
      </c>
      <c r="G1040" s="217" t="s">
        <v>562</v>
      </c>
      <c r="H1040" s="217" t="s">
        <v>1424</v>
      </c>
      <c r="I1040" s="217" t="s">
        <v>29</v>
      </c>
      <c r="J1040" s="217" t="s">
        <v>1858</v>
      </c>
      <c r="K1040" s="217">
        <v>7</v>
      </c>
      <c r="L1040" s="217">
        <v>44</v>
      </c>
      <c r="M1040" s="217" t="s">
        <v>31</v>
      </c>
      <c r="N1040" s="217" t="s">
        <v>32</v>
      </c>
      <c r="O1040" s="217" t="s">
        <v>68</v>
      </c>
      <c r="P1040" s="217" t="s">
        <v>34</v>
      </c>
      <c r="Q1040" s="217" t="s">
        <v>35</v>
      </c>
      <c r="R1040" s="217" t="s">
        <v>23</v>
      </c>
      <c r="S1040" s="217" t="s">
        <v>22</v>
      </c>
      <c r="T1040" s="217" t="s">
        <v>36</v>
      </c>
      <c r="U1040" s="217" t="s">
        <v>37</v>
      </c>
      <c r="V1040" s="217" t="s">
        <v>249</v>
      </c>
      <c r="W1040" s="217" t="s">
        <v>250</v>
      </c>
    </row>
    <row r="1041" spans="1:23" x14ac:dyDescent="0.25">
      <c r="A1041" s="217" t="s">
        <v>22</v>
      </c>
      <c r="B1041" s="217" t="s">
        <v>23</v>
      </c>
      <c r="C1041" s="217" t="s">
        <v>37</v>
      </c>
      <c r="D1041" s="217" t="s">
        <v>36</v>
      </c>
      <c r="E1041" s="217" t="s">
        <v>547</v>
      </c>
      <c r="F1041" s="217" t="s">
        <v>548</v>
      </c>
      <c r="G1041" s="217" t="s">
        <v>563</v>
      </c>
      <c r="H1041" s="217" t="s">
        <v>1425</v>
      </c>
      <c r="I1041" s="217" t="s">
        <v>29</v>
      </c>
      <c r="J1041" s="217" t="s">
        <v>1855</v>
      </c>
      <c r="K1041" s="217">
        <v>26</v>
      </c>
      <c r="L1041" s="217">
        <v>290</v>
      </c>
      <c r="M1041" s="217" t="s">
        <v>31</v>
      </c>
      <c r="N1041" s="217" t="s">
        <v>32</v>
      </c>
      <c r="O1041" s="217" t="s">
        <v>33</v>
      </c>
      <c r="P1041" s="217" t="s">
        <v>34</v>
      </c>
      <c r="Q1041" s="217" t="s">
        <v>35</v>
      </c>
      <c r="R1041" s="217" t="s">
        <v>23</v>
      </c>
      <c r="S1041" s="217" t="s">
        <v>22</v>
      </c>
      <c r="T1041" s="217" t="s">
        <v>47</v>
      </c>
      <c r="U1041" s="217" t="s">
        <v>48</v>
      </c>
      <c r="V1041" s="217" t="s">
        <v>231</v>
      </c>
      <c r="W1041" s="217" t="s">
        <v>232</v>
      </c>
    </row>
    <row r="1042" spans="1:23" x14ac:dyDescent="0.25">
      <c r="A1042" s="217" t="s">
        <v>22</v>
      </c>
      <c r="B1042" s="217" t="s">
        <v>23</v>
      </c>
      <c r="C1042" s="217" t="s">
        <v>37</v>
      </c>
      <c r="D1042" s="217" t="s">
        <v>36</v>
      </c>
      <c r="E1042" s="217" t="s">
        <v>547</v>
      </c>
      <c r="F1042" s="217" t="s">
        <v>548</v>
      </c>
      <c r="G1042" s="217" t="s">
        <v>563</v>
      </c>
      <c r="H1042" s="217" t="s">
        <v>1425</v>
      </c>
      <c r="I1042" s="217" t="s">
        <v>29</v>
      </c>
      <c r="J1042" s="217" t="s">
        <v>1856</v>
      </c>
      <c r="K1042" s="217">
        <v>56</v>
      </c>
      <c r="L1042" s="217">
        <v>420</v>
      </c>
      <c r="M1042" s="217" t="s">
        <v>31</v>
      </c>
      <c r="N1042" s="217" t="s">
        <v>32</v>
      </c>
      <c r="O1042" s="217" t="s">
        <v>33</v>
      </c>
      <c r="P1042" s="217" t="s">
        <v>34</v>
      </c>
      <c r="Q1042" s="217" t="s">
        <v>35</v>
      </c>
      <c r="R1042" s="217" t="s">
        <v>23</v>
      </c>
      <c r="S1042" s="217" t="s">
        <v>22</v>
      </c>
      <c r="T1042" s="217" t="s">
        <v>47</v>
      </c>
      <c r="U1042" s="217" t="s">
        <v>48</v>
      </c>
      <c r="V1042" s="217" t="s">
        <v>231</v>
      </c>
      <c r="W1042" s="217" t="s">
        <v>232</v>
      </c>
    </row>
    <row r="1043" spans="1:23" x14ac:dyDescent="0.25">
      <c r="A1043" s="217" t="s">
        <v>22</v>
      </c>
      <c r="B1043" s="217" t="s">
        <v>23</v>
      </c>
      <c r="C1043" s="217" t="s">
        <v>37</v>
      </c>
      <c r="D1043" s="217" t="s">
        <v>36</v>
      </c>
      <c r="E1043" s="217" t="s">
        <v>547</v>
      </c>
      <c r="F1043" s="217" t="s">
        <v>548</v>
      </c>
      <c r="G1043" s="217" t="s">
        <v>563</v>
      </c>
      <c r="H1043" s="217" t="s">
        <v>1425</v>
      </c>
      <c r="I1043" s="217" t="s">
        <v>29</v>
      </c>
      <c r="J1043" s="217" t="s">
        <v>1857</v>
      </c>
      <c r="K1043" s="217">
        <v>117</v>
      </c>
      <c r="L1043" s="217">
        <v>870</v>
      </c>
      <c r="M1043" s="217" t="s">
        <v>31</v>
      </c>
      <c r="N1043" s="217" t="s">
        <v>32</v>
      </c>
      <c r="O1043" s="217" t="s">
        <v>33</v>
      </c>
      <c r="P1043" s="217" t="s">
        <v>34</v>
      </c>
      <c r="Q1043" s="217" t="s">
        <v>35</v>
      </c>
      <c r="R1043" s="217" t="s">
        <v>23</v>
      </c>
      <c r="S1043" s="217" t="s">
        <v>22</v>
      </c>
      <c r="T1043" s="217" t="s">
        <v>47</v>
      </c>
      <c r="U1043" s="217" t="s">
        <v>48</v>
      </c>
      <c r="V1043" s="217" t="s">
        <v>231</v>
      </c>
      <c r="W1043" s="217" t="s">
        <v>232</v>
      </c>
    </row>
    <row r="1044" spans="1:23" x14ac:dyDescent="0.25">
      <c r="A1044" s="217" t="s">
        <v>22</v>
      </c>
      <c r="B1044" s="217" t="s">
        <v>23</v>
      </c>
      <c r="C1044" s="217" t="s">
        <v>37</v>
      </c>
      <c r="D1044" s="217" t="s">
        <v>36</v>
      </c>
      <c r="E1044" s="217" t="s">
        <v>547</v>
      </c>
      <c r="F1044" s="217" t="s">
        <v>548</v>
      </c>
      <c r="G1044" s="217" t="s">
        <v>563</v>
      </c>
      <c r="H1044" s="217" t="s">
        <v>1425</v>
      </c>
      <c r="I1044" s="217" t="s">
        <v>29</v>
      </c>
      <c r="J1044" s="217" t="s">
        <v>1858</v>
      </c>
      <c r="K1044" s="217">
        <v>3</v>
      </c>
      <c r="L1044" s="217">
        <v>12</v>
      </c>
      <c r="M1044" s="217" t="s">
        <v>31</v>
      </c>
      <c r="N1044" s="217" t="s">
        <v>32</v>
      </c>
      <c r="O1044" s="217" t="s">
        <v>33</v>
      </c>
      <c r="P1044" s="217" t="s">
        <v>34</v>
      </c>
      <c r="Q1044" s="217" t="s">
        <v>35</v>
      </c>
      <c r="R1044" s="217" t="s">
        <v>23</v>
      </c>
      <c r="S1044" s="217" t="s">
        <v>22</v>
      </c>
      <c r="T1044" s="217" t="s">
        <v>47</v>
      </c>
      <c r="U1044" s="217" t="s">
        <v>48</v>
      </c>
      <c r="V1044" s="217" t="s">
        <v>231</v>
      </c>
      <c r="W1044" s="217" t="s">
        <v>232</v>
      </c>
    </row>
    <row r="1045" spans="1:23" x14ac:dyDescent="0.25">
      <c r="A1045" s="217" t="s">
        <v>22</v>
      </c>
      <c r="B1045" s="217" t="s">
        <v>23</v>
      </c>
      <c r="C1045" s="217" t="s">
        <v>37</v>
      </c>
      <c r="D1045" s="217" t="s">
        <v>36</v>
      </c>
      <c r="E1045" s="217" t="s">
        <v>547</v>
      </c>
      <c r="F1045" s="217" t="s">
        <v>548</v>
      </c>
      <c r="G1045" s="217" t="s">
        <v>2038</v>
      </c>
      <c r="H1045" s="217" t="s">
        <v>2037</v>
      </c>
      <c r="I1045" s="217" t="s">
        <v>29</v>
      </c>
      <c r="J1045" s="217" t="s">
        <v>1855</v>
      </c>
      <c r="K1045" s="217">
        <v>1</v>
      </c>
      <c r="L1045" s="217">
        <v>7</v>
      </c>
      <c r="M1045" s="217" t="s">
        <v>31</v>
      </c>
      <c r="N1045" s="217" t="s">
        <v>32</v>
      </c>
      <c r="O1045" s="217" t="s">
        <v>68</v>
      </c>
      <c r="P1045" s="217" t="s">
        <v>34</v>
      </c>
      <c r="Q1045" s="217" t="s">
        <v>35</v>
      </c>
      <c r="R1045" s="217" t="s">
        <v>23</v>
      </c>
      <c r="S1045" s="217" t="s">
        <v>22</v>
      </c>
      <c r="T1045" s="217" t="s">
        <v>36</v>
      </c>
      <c r="U1045" s="217" t="s">
        <v>37</v>
      </c>
      <c r="V1045" s="217" t="s">
        <v>249</v>
      </c>
      <c r="W1045" s="217" t="s">
        <v>250</v>
      </c>
    </row>
    <row r="1046" spans="1:23" x14ac:dyDescent="0.25">
      <c r="A1046" s="217" t="s">
        <v>22</v>
      </c>
      <c r="B1046" s="217" t="s">
        <v>23</v>
      </c>
      <c r="C1046" s="217" t="s">
        <v>37</v>
      </c>
      <c r="D1046" s="217" t="s">
        <v>36</v>
      </c>
      <c r="E1046" s="217" t="s">
        <v>547</v>
      </c>
      <c r="F1046" s="217" t="s">
        <v>548</v>
      </c>
      <c r="G1046" s="217" t="s">
        <v>2038</v>
      </c>
      <c r="H1046" s="217" t="s">
        <v>2037</v>
      </c>
      <c r="I1046" s="217" t="s">
        <v>29</v>
      </c>
      <c r="J1046" s="217" t="s">
        <v>1856</v>
      </c>
      <c r="K1046" s="217">
        <v>4</v>
      </c>
      <c r="L1046" s="217">
        <v>34</v>
      </c>
      <c r="M1046" s="217" t="s">
        <v>31</v>
      </c>
      <c r="N1046" s="217" t="s">
        <v>32</v>
      </c>
      <c r="O1046" s="217" t="s">
        <v>68</v>
      </c>
      <c r="P1046" s="217" t="s">
        <v>34</v>
      </c>
      <c r="Q1046" s="217" t="s">
        <v>35</v>
      </c>
      <c r="R1046" s="217" t="s">
        <v>23</v>
      </c>
      <c r="S1046" s="217" t="s">
        <v>22</v>
      </c>
      <c r="T1046" s="217" t="s">
        <v>36</v>
      </c>
      <c r="U1046" s="217" t="s">
        <v>37</v>
      </c>
      <c r="V1046" s="217" t="s">
        <v>249</v>
      </c>
      <c r="W1046" s="217" t="s">
        <v>250</v>
      </c>
    </row>
    <row r="1047" spans="1:23" x14ac:dyDescent="0.25">
      <c r="A1047" s="217" t="s">
        <v>22</v>
      </c>
      <c r="B1047" s="217" t="s">
        <v>23</v>
      </c>
      <c r="C1047" s="217" t="s">
        <v>37</v>
      </c>
      <c r="D1047" s="217" t="s">
        <v>36</v>
      </c>
      <c r="E1047" s="217" t="s">
        <v>547</v>
      </c>
      <c r="F1047" s="217" t="s">
        <v>548</v>
      </c>
      <c r="G1047" s="217" t="s">
        <v>2038</v>
      </c>
      <c r="H1047" s="217" t="s">
        <v>2037</v>
      </c>
      <c r="I1047" s="217" t="s">
        <v>29</v>
      </c>
      <c r="J1047" s="217" t="s">
        <v>1857</v>
      </c>
      <c r="K1047" s="217">
        <v>3</v>
      </c>
      <c r="L1047" s="217">
        <v>27</v>
      </c>
      <c r="M1047" s="217" t="s">
        <v>31</v>
      </c>
      <c r="N1047" s="217" t="s">
        <v>32</v>
      </c>
      <c r="O1047" s="217" t="s">
        <v>68</v>
      </c>
      <c r="P1047" s="217" t="s">
        <v>34</v>
      </c>
      <c r="Q1047" s="217" t="s">
        <v>35</v>
      </c>
      <c r="R1047" s="217" t="s">
        <v>23</v>
      </c>
      <c r="S1047" s="217" t="s">
        <v>22</v>
      </c>
      <c r="T1047" s="217" t="s">
        <v>36</v>
      </c>
      <c r="U1047" s="217" t="s">
        <v>37</v>
      </c>
      <c r="V1047" s="217" t="s">
        <v>249</v>
      </c>
      <c r="W1047" s="217" t="s">
        <v>250</v>
      </c>
    </row>
    <row r="1048" spans="1:23" x14ac:dyDescent="0.25">
      <c r="A1048" s="217" t="s">
        <v>22</v>
      </c>
      <c r="B1048" s="217" t="s">
        <v>23</v>
      </c>
      <c r="C1048" s="217" t="s">
        <v>37</v>
      </c>
      <c r="D1048" s="217" t="s">
        <v>36</v>
      </c>
      <c r="E1048" s="217" t="s">
        <v>547</v>
      </c>
      <c r="F1048" s="217" t="s">
        <v>548</v>
      </c>
      <c r="G1048" s="217" t="s">
        <v>2038</v>
      </c>
      <c r="H1048" s="217" t="s">
        <v>2037</v>
      </c>
      <c r="I1048" s="217" t="s">
        <v>29</v>
      </c>
      <c r="J1048" s="217" t="s">
        <v>1858</v>
      </c>
      <c r="K1048" s="217">
        <v>3</v>
      </c>
      <c r="L1048" s="217">
        <v>14</v>
      </c>
      <c r="M1048" s="217" t="s">
        <v>31</v>
      </c>
      <c r="N1048" s="217" t="s">
        <v>32</v>
      </c>
      <c r="O1048" s="217" t="s">
        <v>68</v>
      </c>
      <c r="P1048" s="217" t="s">
        <v>34</v>
      </c>
      <c r="Q1048" s="217" t="s">
        <v>35</v>
      </c>
      <c r="R1048" s="217" t="s">
        <v>23</v>
      </c>
      <c r="S1048" s="217" t="s">
        <v>22</v>
      </c>
      <c r="T1048" s="217" t="s">
        <v>36</v>
      </c>
      <c r="U1048" s="217" t="s">
        <v>37</v>
      </c>
      <c r="V1048" s="217" t="s">
        <v>249</v>
      </c>
      <c r="W1048" s="217" t="s">
        <v>250</v>
      </c>
    </row>
    <row r="1049" spans="1:23" x14ac:dyDescent="0.25">
      <c r="A1049" s="217" t="s">
        <v>22</v>
      </c>
      <c r="B1049" s="217" t="s">
        <v>23</v>
      </c>
      <c r="C1049" s="217" t="s">
        <v>37</v>
      </c>
      <c r="D1049" s="217" t="s">
        <v>36</v>
      </c>
      <c r="E1049" s="217" t="s">
        <v>547</v>
      </c>
      <c r="F1049" s="217" t="s">
        <v>548</v>
      </c>
      <c r="G1049" s="217" t="s">
        <v>564</v>
      </c>
      <c r="H1049" s="217" t="s">
        <v>1426</v>
      </c>
      <c r="I1049" s="217" t="s">
        <v>29</v>
      </c>
      <c r="J1049" s="217" t="s">
        <v>1855</v>
      </c>
      <c r="K1049" s="217">
        <v>6</v>
      </c>
      <c r="L1049" s="217">
        <v>42</v>
      </c>
      <c r="M1049" s="217" t="s">
        <v>31</v>
      </c>
      <c r="N1049" s="217" t="s">
        <v>32</v>
      </c>
      <c r="O1049" s="217" t="s">
        <v>68</v>
      </c>
      <c r="P1049" s="217" t="s">
        <v>34</v>
      </c>
      <c r="Q1049" s="217" t="s">
        <v>35</v>
      </c>
      <c r="R1049" s="217" t="s">
        <v>23</v>
      </c>
      <c r="S1049" s="217" t="s">
        <v>22</v>
      </c>
      <c r="T1049" s="217" t="s">
        <v>36</v>
      </c>
      <c r="U1049" s="217" t="s">
        <v>37</v>
      </c>
      <c r="V1049" s="217" t="s">
        <v>249</v>
      </c>
      <c r="W1049" s="217" t="s">
        <v>250</v>
      </c>
    </row>
    <row r="1050" spans="1:23" x14ac:dyDescent="0.25">
      <c r="A1050" s="217" t="s">
        <v>22</v>
      </c>
      <c r="B1050" s="217" t="s">
        <v>23</v>
      </c>
      <c r="C1050" s="217" t="s">
        <v>37</v>
      </c>
      <c r="D1050" s="217" t="s">
        <v>36</v>
      </c>
      <c r="E1050" s="217" t="s">
        <v>547</v>
      </c>
      <c r="F1050" s="217" t="s">
        <v>548</v>
      </c>
      <c r="G1050" s="217" t="s">
        <v>564</v>
      </c>
      <c r="H1050" s="217" t="s">
        <v>1426</v>
      </c>
      <c r="I1050" s="217" t="s">
        <v>29</v>
      </c>
      <c r="J1050" s="217" t="s">
        <v>1856</v>
      </c>
      <c r="K1050" s="217">
        <v>4</v>
      </c>
      <c r="L1050" s="217">
        <v>28</v>
      </c>
      <c r="M1050" s="217" t="s">
        <v>31</v>
      </c>
      <c r="N1050" s="217" t="s">
        <v>32</v>
      </c>
      <c r="O1050" s="217" t="s">
        <v>68</v>
      </c>
      <c r="P1050" s="217" t="s">
        <v>34</v>
      </c>
      <c r="Q1050" s="217" t="s">
        <v>35</v>
      </c>
      <c r="R1050" s="217" t="s">
        <v>23</v>
      </c>
      <c r="S1050" s="217" t="s">
        <v>22</v>
      </c>
      <c r="T1050" s="217" t="s">
        <v>36</v>
      </c>
      <c r="U1050" s="217" t="s">
        <v>37</v>
      </c>
      <c r="V1050" s="217" t="s">
        <v>249</v>
      </c>
      <c r="W1050" s="217" t="s">
        <v>250</v>
      </c>
    </row>
    <row r="1051" spans="1:23" x14ac:dyDescent="0.25">
      <c r="A1051" s="217" t="s">
        <v>22</v>
      </c>
      <c r="B1051" s="217" t="s">
        <v>23</v>
      </c>
      <c r="C1051" s="217" t="s">
        <v>37</v>
      </c>
      <c r="D1051" s="217" t="s">
        <v>36</v>
      </c>
      <c r="E1051" s="217" t="s">
        <v>547</v>
      </c>
      <c r="F1051" s="217" t="s">
        <v>548</v>
      </c>
      <c r="G1051" s="217" t="s">
        <v>564</v>
      </c>
      <c r="H1051" s="217" t="s">
        <v>1426</v>
      </c>
      <c r="I1051" s="217" t="s">
        <v>29</v>
      </c>
      <c r="J1051" s="217" t="s">
        <v>1857</v>
      </c>
      <c r="K1051" s="217">
        <v>12</v>
      </c>
      <c r="L1051" s="217">
        <v>105</v>
      </c>
      <c r="M1051" s="217" t="s">
        <v>31</v>
      </c>
      <c r="N1051" s="217" t="s">
        <v>32</v>
      </c>
      <c r="O1051" s="217" t="s">
        <v>68</v>
      </c>
      <c r="P1051" s="217" t="s">
        <v>34</v>
      </c>
      <c r="Q1051" s="217" t="s">
        <v>35</v>
      </c>
      <c r="R1051" s="217" t="s">
        <v>23</v>
      </c>
      <c r="S1051" s="217" t="s">
        <v>22</v>
      </c>
      <c r="T1051" s="217" t="s">
        <v>36</v>
      </c>
      <c r="U1051" s="217" t="s">
        <v>37</v>
      </c>
      <c r="V1051" s="217" t="s">
        <v>249</v>
      </c>
      <c r="W1051" s="217" t="s">
        <v>250</v>
      </c>
    </row>
    <row r="1052" spans="1:23" x14ac:dyDescent="0.25">
      <c r="A1052" s="217" t="s">
        <v>22</v>
      </c>
      <c r="B1052" s="217" t="s">
        <v>23</v>
      </c>
      <c r="C1052" s="217" t="s">
        <v>37</v>
      </c>
      <c r="D1052" s="217" t="s">
        <v>36</v>
      </c>
      <c r="E1052" s="217" t="s">
        <v>547</v>
      </c>
      <c r="F1052" s="217" t="s">
        <v>548</v>
      </c>
      <c r="G1052" s="217" t="s">
        <v>564</v>
      </c>
      <c r="H1052" s="217" t="s">
        <v>1426</v>
      </c>
      <c r="I1052" s="217" t="s">
        <v>29</v>
      </c>
      <c r="J1052" s="217" t="s">
        <v>1858</v>
      </c>
      <c r="K1052" s="217">
        <v>7</v>
      </c>
      <c r="L1052" s="217">
        <v>17</v>
      </c>
      <c r="M1052" s="217" t="s">
        <v>31</v>
      </c>
      <c r="N1052" s="217" t="s">
        <v>32</v>
      </c>
      <c r="O1052" s="217" t="s">
        <v>68</v>
      </c>
      <c r="P1052" s="217" t="s">
        <v>34</v>
      </c>
      <c r="Q1052" s="217" t="s">
        <v>35</v>
      </c>
      <c r="R1052" s="217" t="s">
        <v>23</v>
      </c>
      <c r="S1052" s="217" t="s">
        <v>22</v>
      </c>
      <c r="T1052" s="217" t="s">
        <v>36</v>
      </c>
      <c r="U1052" s="217" t="s">
        <v>37</v>
      </c>
      <c r="V1052" s="217" t="s">
        <v>249</v>
      </c>
      <c r="W1052" s="217" t="s">
        <v>250</v>
      </c>
    </row>
    <row r="1053" spans="1:23" x14ac:dyDescent="0.25">
      <c r="A1053" s="217" t="s">
        <v>22</v>
      </c>
      <c r="B1053" s="217" t="s">
        <v>23</v>
      </c>
      <c r="C1053" s="217" t="s">
        <v>37</v>
      </c>
      <c r="D1053" s="217" t="s">
        <v>36</v>
      </c>
      <c r="E1053" s="217" t="s">
        <v>547</v>
      </c>
      <c r="F1053" s="217" t="s">
        <v>548</v>
      </c>
      <c r="G1053" s="217" t="s">
        <v>565</v>
      </c>
      <c r="H1053" s="217" t="s">
        <v>1427</v>
      </c>
      <c r="I1053" s="217" t="s">
        <v>29</v>
      </c>
      <c r="J1053" s="217" t="s">
        <v>1855</v>
      </c>
      <c r="K1053" s="217">
        <v>11</v>
      </c>
      <c r="L1053" s="217">
        <v>83</v>
      </c>
      <c r="M1053" s="217" t="s">
        <v>31</v>
      </c>
      <c r="N1053" s="217" t="s">
        <v>32</v>
      </c>
      <c r="O1053" s="217" t="s">
        <v>33</v>
      </c>
      <c r="P1053" s="217" t="s">
        <v>34</v>
      </c>
      <c r="Q1053" s="217" t="s">
        <v>35</v>
      </c>
      <c r="R1053" s="217" t="s">
        <v>23</v>
      </c>
      <c r="S1053" s="217" t="s">
        <v>22</v>
      </c>
      <c r="T1053" s="217" t="s">
        <v>47</v>
      </c>
      <c r="U1053" s="217" t="s">
        <v>48</v>
      </c>
      <c r="V1053" s="217" t="s">
        <v>231</v>
      </c>
      <c r="W1053" s="217" t="s">
        <v>232</v>
      </c>
    </row>
    <row r="1054" spans="1:23" x14ac:dyDescent="0.25">
      <c r="A1054" s="217" t="s">
        <v>22</v>
      </c>
      <c r="B1054" s="217" t="s">
        <v>23</v>
      </c>
      <c r="C1054" s="217" t="s">
        <v>37</v>
      </c>
      <c r="D1054" s="217" t="s">
        <v>36</v>
      </c>
      <c r="E1054" s="217" t="s">
        <v>547</v>
      </c>
      <c r="F1054" s="217" t="s">
        <v>548</v>
      </c>
      <c r="G1054" s="217" t="s">
        <v>565</v>
      </c>
      <c r="H1054" s="217" t="s">
        <v>1427</v>
      </c>
      <c r="I1054" s="217" t="s">
        <v>29</v>
      </c>
      <c r="J1054" s="217" t="s">
        <v>1856</v>
      </c>
      <c r="K1054" s="217">
        <v>9</v>
      </c>
      <c r="L1054" s="217">
        <v>79</v>
      </c>
      <c r="M1054" s="217" t="s">
        <v>31</v>
      </c>
      <c r="N1054" s="217" t="s">
        <v>32</v>
      </c>
      <c r="O1054" s="217" t="s">
        <v>33</v>
      </c>
      <c r="P1054" s="217" t="s">
        <v>34</v>
      </c>
      <c r="Q1054" s="217" t="s">
        <v>35</v>
      </c>
      <c r="R1054" s="217" t="s">
        <v>23</v>
      </c>
      <c r="S1054" s="217" t="s">
        <v>22</v>
      </c>
      <c r="T1054" s="217" t="s">
        <v>47</v>
      </c>
      <c r="U1054" s="217" t="s">
        <v>48</v>
      </c>
      <c r="V1054" s="217" t="s">
        <v>231</v>
      </c>
      <c r="W1054" s="217" t="s">
        <v>232</v>
      </c>
    </row>
    <row r="1055" spans="1:23" x14ac:dyDescent="0.25">
      <c r="A1055" s="217" t="s">
        <v>22</v>
      </c>
      <c r="B1055" s="217" t="s">
        <v>23</v>
      </c>
      <c r="C1055" s="217" t="s">
        <v>37</v>
      </c>
      <c r="D1055" s="217" t="s">
        <v>36</v>
      </c>
      <c r="E1055" s="217" t="s">
        <v>547</v>
      </c>
      <c r="F1055" s="217" t="s">
        <v>548</v>
      </c>
      <c r="G1055" s="217" t="s">
        <v>565</v>
      </c>
      <c r="H1055" s="217" t="s">
        <v>1427</v>
      </c>
      <c r="I1055" s="217" t="s">
        <v>29</v>
      </c>
      <c r="J1055" s="217" t="s">
        <v>1857</v>
      </c>
      <c r="K1055" s="217">
        <v>35</v>
      </c>
      <c r="L1055" s="217">
        <v>283</v>
      </c>
      <c r="M1055" s="217" t="s">
        <v>31</v>
      </c>
      <c r="N1055" s="217" t="s">
        <v>32</v>
      </c>
      <c r="O1055" s="217" t="s">
        <v>68</v>
      </c>
      <c r="P1055" s="217" t="s">
        <v>34</v>
      </c>
      <c r="Q1055" s="217" t="s">
        <v>35</v>
      </c>
      <c r="R1055" s="217" t="s">
        <v>23</v>
      </c>
      <c r="S1055" s="217" t="s">
        <v>22</v>
      </c>
      <c r="T1055" s="217" t="s">
        <v>36</v>
      </c>
      <c r="U1055" s="217" t="s">
        <v>37</v>
      </c>
      <c r="V1055" s="217" t="s">
        <v>249</v>
      </c>
      <c r="W1055" s="217" t="s">
        <v>250</v>
      </c>
    </row>
    <row r="1056" spans="1:23" x14ac:dyDescent="0.25">
      <c r="A1056" s="217" t="s">
        <v>22</v>
      </c>
      <c r="B1056" s="217" t="s">
        <v>23</v>
      </c>
      <c r="C1056" s="217" t="s">
        <v>37</v>
      </c>
      <c r="D1056" s="217" t="s">
        <v>36</v>
      </c>
      <c r="E1056" s="217" t="s">
        <v>547</v>
      </c>
      <c r="F1056" s="217" t="s">
        <v>548</v>
      </c>
      <c r="G1056" s="217" t="s">
        <v>565</v>
      </c>
      <c r="H1056" s="217" t="s">
        <v>1427</v>
      </c>
      <c r="I1056" s="217" t="s">
        <v>29</v>
      </c>
      <c r="J1056" s="217" t="s">
        <v>1858</v>
      </c>
      <c r="K1056" s="217">
        <v>6</v>
      </c>
      <c r="L1056" s="217">
        <v>26</v>
      </c>
      <c r="M1056" s="217" t="s">
        <v>31</v>
      </c>
      <c r="N1056" s="217" t="s">
        <v>32</v>
      </c>
      <c r="O1056" s="217" t="s">
        <v>68</v>
      </c>
      <c r="P1056" s="217" t="s">
        <v>34</v>
      </c>
      <c r="Q1056" s="217" t="s">
        <v>35</v>
      </c>
      <c r="R1056" s="217" t="s">
        <v>23</v>
      </c>
      <c r="S1056" s="217" t="s">
        <v>22</v>
      </c>
      <c r="T1056" s="217" t="s">
        <v>36</v>
      </c>
      <c r="U1056" s="217" t="s">
        <v>37</v>
      </c>
      <c r="V1056" s="217" t="s">
        <v>249</v>
      </c>
      <c r="W1056" s="217" t="s">
        <v>250</v>
      </c>
    </row>
    <row r="1057" spans="1:23" x14ac:dyDescent="0.25">
      <c r="A1057" s="217" t="s">
        <v>22</v>
      </c>
      <c r="B1057" s="217" t="s">
        <v>23</v>
      </c>
      <c r="C1057" s="217" t="s">
        <v>37</v>
      </c>
      <c r="D1057" s="217" t="s">
        <v>36</v>
      </c>
      <c r="E1057" s="217" t="s">
        <v>547</v>
      </c>
      <c r="F1057" s="217" t="s">
        <v>548</v>
      </c>
      <c r="G1057" s="217" t="s">
        <v>242</v>
      </c>
      <c r="H1057" s="217" t="s">
        <v>1428</v>
      </c>
      <c r="I1057" s="217" t="s">
        <v>29</v>
      </c>
      <c r="J1057" s="217" t="s">
        <v>1855</v>
      </c>
      <c r="K1057" s="217">
        <v>68</v>
      </c>
      <c r="L1057" s="217">
        <v>506</v>
      </c>
      <c r="M1057" s="217" t="s">
        <v>31</v>
      </c>
      <c r="N1057" s="217" t="s">
        <v>32</v>
      </c>
      <c r="O1057" s="217" t="s">
        <v>100</v>
      </c>
      <c r="P1057" s="217" t="s">
        <v>34</v>
      </c>
      <c r="Q1057" s="217" t="s">
        <v>35</v>
      </c>
      <c r="R1057" s="217" t="s">
        <v>23</v>
      </c>
      <c r="S1057" s="217" t="s">
        <v>22</v>
      </c>
      <c r="T1057" s="217" t="s">
        <v>36</v>
      </c>
      <c r="U1057" s="217" t="s">
        <v>37</v>
      </c>
      <c r="V1057" s="217" t="s">
        <v>548</v>
      </c>
      <c r="W1057" s="217" t="s">
        <v>547</v>
      </c>
    </row>
    <row r="1058" spans="1:23" x14ac:dyDescent="0.25">
      <c r="A1058" s="217" t="s">
        <v>22</v>
      </c>
      <c r="B1058" s="217" t="s">
        <v>23</v>
      </c>
      <c r="C1058" s="217" t="s">
        <v>37</v>
      </c>
      <c r="D1058" s="217" t="s">
        <v>36</v>
      </c>
      <c r="E1058" s="217" t="s">
        <v>547</v>
      </c>
      <c r="F1058" s="217" t="s">
        <v>548</v>
      </c>
      <c r="G1058" s="217" t="s">
        <v>242</v>
      </c>
      <c r="H1058" s="217" t="s">
        <v>1428</v>
      </c>
      <c r="I1058" s="217" t="s">
        <v>29</v>
      </c>
      <c r="J1058" s="217" t="s">
        <v>1856</v>
      </c>
      <c r="K1058" s="217">
        <v>36</v>
      </c>
      <c r="L1058" s="217">
        <v>272</v>
      </c>
      <c r="M1058" s="217" t="s">
        <v>31</v>
      </c>
      <c r="N1058" s="217" t="s">
        <v>32</v>
      </c>
      <c r="O1058" s="217" t="s">
        <v>100</v>
      </c>
      <c r="P1058" s="217" t="s">
        <v>34</v>
      </c>
      <c r="Q1058" s="217" t="s">
        <v>35</v>
      </c>
      <c r="R1058" s="217" t="s">
        <v>23</v>
      </c>
      <c r="S1058" s="217" t="s">
        <v>22</v>
      </c>
      <c r="T1058" s="217" t="s">
        <v>36</v>
      </c>
      <c r="U1058" s="217" t="s">
        <v>37</v>
      </c>
      <c r="V1058" s="217" t="s">
        <v>548</v>
      </c>
      <c r="W1058" s="217" t="s">
        <v>547</v>
      </c>
    </row>
    <row r="1059" spans="1:23" x14ac:dyDescent="0.25">
      <c r="A1059" s="217" t="s">
        <v>22</v>
      </c>
      <c r="B1059" s="217" t="s">
        <v>23</v>
      </c>
      <c r="C1059" s="217" t="s">
        <v>37</v>
      </c>
      <c r="D1059" s="217" t="s">
        <v>36</v>
      </c>
      <c r="E1059" s="217" t="s">
        <v>547</v>
      </c>
      <c r="F1059" s="217" t="s">
        <v>548</v>
      </c>
      <c r="G1059" s="217" t="s">
        <v>242</v>
      </c>
      <c r="H1059" s="217" t="s">
        <v>1428</v>
      </c>
      <c r="I1059" s="217" t="s">
        <v>29</v>
      </c>
      <c r="J1059" s="217" t="s">
        <v>1857</v>
      </c>
      <c r="K1059" s="217">
        <v>21</v>
      </c>
      <c r="L1059" s="217">
        <v>150</v>
      </c>
      <c r="M1059" s="217" t="s">
        <v>31</v>
      </c>
      <c r="N1059" s="217" t="s">
        <v>32</v>
      </c>
      <c r="O1059" s="217" t="s">
        <v>100</v>
      </c>
      <c r="P1059" s="217" t="s">
        <v>34</v>
      </c>
      <c r="Q1059" s="217" t="s">
        <v>35</v>
      </c>
      <c r="R1059" s="217" t="s">
        <v>23</v>
      </c>
      <c r="S1059" s="217" t="s">
        <v>22</v>
      </c>
      <c r="T1059" s="217" t="s">
        <v>36</v>
      </c>
      <c r="U1059" s="217" t="s">
        <v>37</v>
      </c>
      <c r="V1059" s="217" t="s">
        <v>548</v>
      </c>
      <c r="W1059" s="217" t="s">
        <v>547</v>
      </c>
    </row>
    <row r="1060" spans="1:23" x14ac:dyDescent="0.25">
      <c r="A1060" s="217" t="s">
        <v>22</v>
      </c>
      <c r="B1060" s="217" t="s">
        <v>23</v>
      </c>
      <c r="C1060" s="217" t="s">
        <v>37</v>
      </c>
      <c r="D1060" s="217" t="s">
        <v>36</v>
      </c>
      <c r="E1060" s="217" t="s">
        <v>547</v>
      </c>
      <c r="F1060" s="217" t="s">
        <v>548</v>
      </c>
      <c r="G1060" s="217" t="s">
        <v>242</v>
      </c>
      <c r="H1060" s="217" t="s">
        <v>1428</v>
      </c>
      <c r="I1060" s="217" t="s">
        <v>29</v>
      </c>
      <c r="J1060" s="217" t="s">
        <v>1858</v>
      </c>
      <c r="K1060" s="217">
        <v>6</v>
      </c>
      <c r="L1060" s="217">
        <v>20</v>
      </c>
      <c r="M1060" s="217" t="s">
        <v>31</v>
      </c>
      <c r="N1060" s="217" t="s">
        <v>32</v>
      </c>
      <c r="O1060" s="217" t="s">
        <v>100</v>
      </c>
      <c r="P1060" s="217" t="s">
        <v>34</v>
      </c>
      <c r="Q1060" s="217" t="s">
        <v>35</v>
      </c>
      <c r="R1060" s="217" t="s">
        <v>23</v>
      </c>
      <c r="S1060" s="217" t="s">
        <v>22</v>
      </c>
      <c r="T1060" s="217" t="s">
        <v>36</v>
      </c>
      <c r="U1060" s="217" t="s">
        <v>37</v>
      </c>
      <c r="V1060" s="217" t="s">
        <v>548</v>
      </c>
      <c r="W1060" s="217" t="s">
        <v>547</v>
      </c>
    </row>
    <row r="1061" spans="1:23" x14ac:dyDescent="0.25">
      <c r="A1061" s="217" t="s">
        <v>22</v>
      </c>
      <c r="B1061" s="217" t="s">
        <v>23</v>
      </c>
      <c r="C1061" s="217" t="s">
        <v>37</v>
      </c>
      <c r="D1061" s="217" t="s">
        <v>36</v>
      </c>
      <c r="E1061" s="217" t="s">
        <v>547</v>
      </c>
      <c r="F1061" s="217" t="s">
        <v>548</v>
      </c>
      <c r="G1061" s="217" t="s">
        <v>566</v>
      </c>
      <c r="H1061" s="217" t="s">
        <v>1429</v>
      </c>
      <c r="I1061" s="217" t="s">
        <v>29</v>
      </c>
      <c r="J1061" s="217" t="s">
        <v>1855</v>
      </c>
      <c r="K1061" s="217">
        <v>12</v>
      </c>
      <c r="L1061" s="217">
        <v>82</v>
      </c>
      <c r="M1061" s="217" t="s">
        <v>31</v>
      </c>
      <c r="N1061" s="217" t="s">
        <v>32</v>
      </c>
      <c r="O1061" s="217" t="s">
        <v>33</v>
      </c>
      <c r="P1061" s="217" t="s">
        <v>34</v>
      </c>
      <c r="Q1061" s="217" t="s">
        <v>35</v>
      </c>
      <c r="R1061" s="217" t="s">
        <v>23</v>
      </c>
      <c r="S1061" s="217" t="s">
        <v>22</v>
      </c>
      <c r="T1061" s="217" t="s">
        <v>47</v>
      </c>
      <c r="U1061" s="217" t="s">
        <v>48</v>
      </c>
      <c r="V1061" s="217" t="s">
        <v>231</v>
      </c>
      <c r="W1061" s="217" t="s">
        <v>232</v>
      </c>
    </row>
    <row r="1062" spans="1:23" x14ac:dyDescent="0.25">
      <c r="A1062" s="217" t="s">
        <v>22</v>
      </c>
      <c r="B1062" s="217" t="s">
        <v>23</v>
      </c>
      <c r="C1062" s="217" t="s">
        <v>37</v>
      </c>
      <c r="D1062" s="217" t="s">
        <v>36</v>
      </c>
      <c r="E1062" s="217" t="s">
        <v>547</v>
      </c>
      <c r="F1062" s="217" t="s">
        <v>548</v>
      </c>
      <c r="G1062" s="217" t="s">
        <v>566</v>
      </c>
      <c r="H1062" s="217" t="s">
        <v>1429</v>
      </c>
      <c r="I1062" s="217" t="s">
        <v>29</v>
      </c>
      <c r="J1062" s="217" t="s">
        <v>1856</v>
      </c>
      <c r="K1062" s="217">
        <v>9</v>
      </c>
      <c r="L1062" s="217">
        <v>63</v>
      </c>
      <c r="M1062" s="217" t="s">
        <v>31</v>
      </c>
      <c r="N1062" s="217" t="s">
        <v>32</v>
      </c>
      <c r="O1062" s="217" t="s">
        <v>33</v>
      </c>
      <c r="P1062" s="217" t="s">
        <v>34</v>
      </c>
      <c r="Q1062" s="217" t="s">
        <v>35</v>
      </c>
      <c r="R1062" s="217" t="s">
        <v>23</v>
      </c>
      <c r="S1062" s="217" t="s">
        <v>22</v>
      </c>
      <c r="T1062" s="217" t="s">
        <v>47</v>
      </c>
      <c r="U1062" s="217" t="s">
        <v>48</v>
      </c>
      <c r="V1062" s="217" t="s">
        <v>231</v>
      </c>
      <c r="W1062" s="217" t="s">
        <v>232</v>
      </c>
    </row>
    <row r="1063" spans="1:23" x14ac:dyDescent="0.25">
      <c r="A1063" s="217" t="s">
        <v>22</v>
      </c>
      <c r="B1063" s="217" t="s">
        <v>23</v>
      </c>
      <c r="C1063" s="217" t="s">
        <v>37</v>
      </c>
      <c r="D1063" s="217" t="s">
        <v>36</v>
      </c>
      <c r="E1063" s="217" t="s">
        <v>547</v>
      </c>
      <c r="F1063" s="217" t="s">
        <v>548</v>
      </c>
      <c r="G1063" s="217" t="s">
        <v>566</v>
      </c>
      <c r="H1063" s="217" t="s">
        <v>1429</v>
      </c>
      <c r="I1063" s="217" t="s">
        <v>29</v>
      </c>
      <c r="J1063" s="217" t="s">
        <v>1857</v>
      </c>
      <c r="K1063" s="217">
        <v>33</v>
      </c>
      <c r="L1063" s="217">
        <v>190</v>
      </c>
      <c r="M1063" s="217" t="s">
        <v>31</v>
      </c>
      <c r="N1063" s="217" t="s">
        <v>32</v>
      </c>
      <c r="O1063" s="217" t="s">
        <v>33</v>
      </c>
      <c r="P1063" s="217" t="s">
        <v>34</v>
      </c>
      <c r="Q1063" s="217" t="s">
        <v>35</v>
      </c>
      <c r="R1063" s="217" t="s">
        <v>23</v>
      </c>
      <c r="S1063" s="217" t="s">
        <v>22</v>
      </c>
      <c r="T1063" s="217" t="s">
        <v>47</v>
      </c>
      <c r="U1063" s="217" t="s">
        <v>48</v>
      </c>
      <c r="V1063" s="217" t="s">
        <v>231</v>
      </c>
      <c r="W1063" s="217" t="s">
        <v>232</v>
      </c>
    </row>
    <row r="1064" spans="1:23" x14ac:dyDescent="0.25">
      <c r="A1064" s="217" t="s">
        <v>22</v>
      </c>
      <c r="B1064" s="217" t="s">
        <v>23</v>
      </c>
      <c r="C1064" s="217" t="s">
        <v>37</v>
      </c>
      <c r="D1064" s="217" t="s">
        <v>36</v>
      </c>
      <c r="E1064" s="217" t="s">
        <v>547</v>
      </c>
      <c r="F1064" s="217" t="s">
        <v>548</v>
      </c>
      <c r="G1064" s="217" t="s">
        <v>566</v>
      </c>
      <c r="H1064" s="217" t="s">
        <v>1429</v>
      </c>
      <c r="I1064" s="217" t="s">
        <v>29</v>
      </c>
      <c r="J1064" s="217" t="s">
        <v>1858</v>
      </c>
      <c r="K1064" s="217">
        <v>5</v>
      </c>
      <c r="L1064" s="217">
        <v>25</v>
      </c>
      <c r="M1064" s="217" t="s">
        <v>31</v>
      </c>
      <c r="N1064" s="217" t="s">
        <v>32</v>
      </c>
      <c r="O1064" s="217" t="s">
        <v>33</v>
      </c>
      <c r="P1064" s="217" t="s">
        <v>34</v>
      </c>
      <c r="Q1064" s="217" t="s">
        <v>35</v>
      </c>
      <c r="R1064" s="217" t="s">
        <v>23</v>
      </c>
      <c r="S1064" s="217" t="s">
        <v>22</v>
      </c>
      <c r="T1064" s="217" t="s">
        <v>47</v>
      </c>
      <c r="U1064" s="217" t="s">
        <v>48</v>
      </c>
      <c r="V1064" s="217" t="s">
        <v>231</v>
      </c>
      <c r="W1064" s="217" t="s">
        <v>232</v>
      </c>
    </row>
    <row r="1065" spans="1:23" x14ac:dyDescent="0.25">
      <c r="A1065" s="217" t="s">
        <v>22</v>
      </c>
      <c r="B1065" s="217" t="s">
        <v>23</v>
      </c>
      <c r="C1065" s="217" t="s">
        <v>37</v>
      </c>
      <c r="D1065" s="217" t="s">
        <v>36</v>
      </c>
      <c r="E1065" s="217" t="s">
        <v>547</v>
      </c>
      <c r="F1065" s="217" t="s">
        <v>548</v>
      </c>
      <c r="G1065" s="217" t="s">
        <v>567</v>
      </c>
      <c r="H1065" s="217" t="s">
        <v>1430</v>
      </c>
      <c r="I1065" s="217" t="s">
        <v>29</v>
      </c>
      <c r="J1065" s="217" t="s">
        <v>1856</v>
      </c>
      <c r="K1065" s="217">
        <v>11</v>
      </c>
      <c r="L1065" s="217">
        <v>80</v>
      </c>
      <c r="M1065" s="217" t="s">
        <v>31</v>
      </c>
      <c r="N1065" s="217" t="s">
        <v>32</v>
      </c>
      <c r="O1065" s="217" t="s">
        <v>68</v>
      </c>
      <c r="P1065" s="217" t="s">
        <v>34</v>
      </c>
      <c r="Q1065" s="217" t="s">
        <v>35</v>
      </c>
      <c r="R1065" s="217" t="s">
        <v>23</v>
      </c>
      <c r="S1065" s="217" t="s">
        <v>22</v>
      </c>
      <c r="T1065" s="217" t="s">
        <v>36</v>
      </c>
      <c r="U1065" s="217" t="s">
        <v>37</v>
      </c>
      <c r="V1065" s="217" t="s">
        <v>249</v>
      </c>
      <c r="W1065" s="217" t="s">
        <v>250</v>
      </c>
    </row>
    <row r="1066" spans="1:23" x14ac:dyDescent="0.25">
      <c r="A1066" s="217" t="s">
        <v>22</v>
      </c>
      <c r="B1066" s="217" t="s">
        <v>23</v>
      </c>
      <c r="C1066" s="217" t="s">
        <v>37</v>
      </c>
      <c r="D1066" s="217" t="s">
        <v>36</v>
      </c>
      <c r="E1066" s="217" t="s">
        <v>547</v>
      </c>
      <c r="F1066" s="217" t="s">
        <v>548</v>
      </c>
      <c r="G1066" s="217" t="s">
        <v>567</v>
      </c>
      <c r="H1066" s="217" t="s">
        <v>1430</v>
      </c>
      <c r="I1066" s="217" t="s">
        <v>29</v>
      </c>
      <c r="J1066" s="217" t="s">
        <v>1857</v>
      </c>
      <c r="K1066" s="217">
        <v>13</v>
      </c>
      <c r="L1066" s="217">
        <v>72</v>
      </c>
      <c r="M1066" s="217" t="s">
        <v>31</v>
      </c>
      <c r="N1066" s="217" t="s">
        <v>32</v>
      </c>
      <c r="O1066" s="217" t="s">
        <v>68</v>
      </c>
      <c r="P1066" s="217" t="s">
        <v>34</v>
      </c>
      <c r="Q1066" s="217" t="s">
        <v>35</v>
      </c>
      <c r="R1066" s="217" t="s">
        <v>23</v>
      </c>
      <c r="S1066" s="217" t="s">
        <v>22</v>
      </c>
      <c r="T1066" s="217" t="s">
        <v>36</v>
      </c>
      <c r="U1066" s="217" t="s">
        <v>37</v>
      </c>
      <c r="V1066" s="217" t="s">
        <v>249</v>
      </c>
      <c r="W1066" s="217" t="s">
        <v>250</v>
      </c>
    </row>
    <row r="1067" spans="1:23" x14ac:dyDescent="0.25">
      <c r="A1067" s="217" t="s">
        <v>22</v>
      </c>
      <c r="B1067" s="217" t="s">
        <v>23</v>
      </c>
      <c r="C1067" s="217" t="s">
        <v>37</v>
      </c>
      <c r="D1067" s="217" t="s">
        <v>36</v>
      </c>
      <c r="E1067" s="217" t="s">
        <v>547</v>
      </c>
      <c r="F1067" s="217" t="s">
        <v>548</v>
      </c>
      <c r="G1067" s="217" t="s">
        <v>567</v>
      </c>
      <c r="H1067" s="217" t="s">
        <v>1430</v>
      </c>
      <c r="I1067" s="217" t="s">
        <v>29</v>
      </c>
      <c r="J1067" s="217" t="s">
        <v>1858</v>
      </c>
      <c r="K1067" s="217">
        <v>8</v>
      </c>
      <c r="L1067" s="217">
        <v>28</v>
      </c>
      <c r="M1067" s="217" t="s">
        <v>31</v>
      </c>
      <c r="N1067" s="217" t="s">
        <v>32</v>
      </c>
      <c r="O1067" s="217" t="s">
        <v>68</v>
      </c>
      <c r="P1067" s="217" t="s">
        <v>34</v>
      </c>
      <c r="Q1067" s="217" t="s">
        <v>35</v>
      </c>
      <c r="R1067" s="217" t="s">
        <v>23</v>
      </c>
      <c r="S1067" s="217" t="s">
        <v>22</v>
      </c>
      <c r="T1067" s="217" t="s">
        <v>36</v>
      </c>
      <c r="U1067" s="217" t="s">
        <v>37</v>
      </c>
      <c r="V1067" s="217" t="s">
        <v>249</v>
      </c>
      <c r="W1067" s="217" t="s">
        <v>250</v>
      </c>
    </row>
    <row r="1068" spans="1:23" x14ac:dyDescent="0.25">
      <c r="A1068" s="217" t="s">
        <v>22</v>
      </c>
      <c r="B1068" s="217" t="s">
        <v>23</v>
      </c>
      <c r="C1068" s="217" t="s">
        <v>37</v>
      </c>
      <c r="D1068" s="217" t="s">
        <v>36</v>
      </c>
      <c r="E1068" s="217" t="s">
        <v>547</v>
      </c>
      <c r="F1068" s="217" t="s">
        <v>548</v>
      </c>
      <c r="G1068" s="217" t="s">
        <v>586</v>
      </c>
      <c r="H1068" s="217" t="s">
        <v>2039</v>
      </c>
      <c r="I1068" s="217" t="s">
        <v>29</v>
      </c>
      <c r="J1068" s="217" t="s">
        <v>1858</v>
      </c>
      <c r="K1068" s="217">
        <v>21</v>
      </c>
      <c r="L1068" s="217">
        <v>142</v>
      </c>
      <c r="M1068" s="217" t="s">
        <v>31</v>
      </c>
      <c r="N1068" s="217" t="s">
        <v>32</v>
      </c>
      <c r="O1068" s="217" t="s">
        <v>68</v>
      </c>
      <c r="P1068" s="217" t="s">
        <v>34</v>
      </c>
      <c r="Q1068" s="217" t="s">
        <v>35</v>
      </c>
      <c r="R1068" s="217" t="s">
        <v>23</v>
      </c>
      <c r="S1068" s="217" t="s">
        <v>22</v>
      </c>
      <c r="T1068" s="217" t="s">
        <v>36</v>
      </c>
      <c r="U1068" s="217" t="s">
        <v>37</v>
      </c>
      <c r="V1068" s="217" t="s">
        <v>249</v>
      </c>
      <c r="W1068" s="217" t="s">
        <v>250</v>
      </c>
    </row>
    <row r="1069" spans="1:23" x14ac:dyDescent="0.25">
      <c r="A1069" s="217" t="s">
        <v>22</v>
      </c>
      <c r="B1069" s="217" t="s">
        <v>23</v>
      </c>
      <c r="C1069" s="217" t="s">
        <v>37</v>
      </c>
      <c r="D1069" s="217" t="s">
        <v>36</v>
      </c>
      <c r="E1069" s="217" t="s">
        <v>547</v>
      </c>
      <c r="F1069" s="217" t="s">
        <v>548</v>
      </c>
      <c r="G1069" s="217" t="s">
        <v>599</v>
      </c>
      <c r="H1069" s="217" t="s">
        <v>1431</v>
      </c>
      <c r="I1069" s="217" t="s">
        <v>29</v>
      </c>
      <c r="J1069" s="217" t="s">
        <v>1855</v>
      </c>
      <c r="K1069" s="217">
        <v>29</v>
      </c>
      <c r="L1069" s="217">
        <v>224</v>
      </c>
      <c r="M1069" s="217" t="s">
        <v>31</v>
      </c>
      <c r="N1069" s="217" t="s">
        <v>32</v>
      </c>
      <c r="O1069" s="217" t="s">
        <v>68</v>
      </c>
      <c r="P1069" s="217" t="s">
        <v>34</v>
      </c>
      <c r="Q1069" s="217" t="s">
        <v>35</v>
      </c>
      <c r="R1069" s="217" t="s">
        <v>23</v>
      </c>
      <c r="S1069" s="217" t="s">
        <v>22</v>
      </c>
      <c r="T1069" s="217" t="s">
        <v>36</v>
      </c>
      <c r="U1069" s="217" t="s">
        <v>37</v>
      </c>
      <c r="V1069" s="217" t="s">
        <v>249</v>
      </c>
      <c r="W1069" s="217" t="s">
        <v>250</v>
      </c>
    </row>
    <row r="1070" spans="1:23" x14ac:dyDescent="0.25">
      <c r="A1070" s="217" t="s">
        <v>22</v>
      </c>
      <c r="B1070" s="217" t="s">
        <v>23</v>
      </c>
      <c r="C1070" s="217" t="s">
        <v>37</v>
      </c>
      <c r="D1070" s="217" t="s">
        <v>36</v>
      </c>
      <c r="E1070" s="217" t="s">
        <v>547</v>
      </c>
      <c r="F1070" s="217" t="s">
        <v>548</v>
      </c>
      <c r="G1070" s="217" t="s">
        <v>599</v>
      </c>
      <c r="H1070" s="217" t="s">
        <v>1431</v>
      </c>
      <c r="I1070" s="217" t="s">
        <v>29</v>
      </c>
      <c r="J1070" s="217" t="s">
        <v>1856</v>
      </c>
      <c r="K1070" s="217">
        <v>23</v>
      </c>
      <c r="L1070" s="217">
        <v>176</v>
      </c>
      <c r="M1070" s="217" t="s">
        <v>31</v>
      </c>
      <c r="N1070" s="217" t="s">
        <v>32</v>
      </c>
      <c r="O1070" s="217" t="s">
        <v>68</v>
      </c>
      <c r="P1070" s="217" t="s">
        <v>34</v>
      </c>
      <c r="Q1070" s="217" t="s">
        <v>35</v>
      </c>
      <c r="R1070" s="217" t="s">
        <v>23</v>
      </c>
      <c r="S1070" s="217" t="s">
        <v>22</v>
      </c>
      <c r="T1070" s="217" t="s">
        <v>36</v>
      </c>
      <c r="U1070" s="217" t="s">
        <v>37</v>
      </c>
      <c r="V1070" s="217" t="s">
        <v>249</v>
      </c>
      <c r="W1070" s="217" t="s">
        <v>250</v>
      </c>
    </row>
    <row r="1071" spans="1:23" x14ac:dyDescent="0.25">
      <c r="A1071" s="217" t="s">
        <v>22</v>
      </c>
      <c r="B1071" s="217" t="s">
        <v>23</v>
      </c>
      <c r="C1071" s="217" t="s">
        <v>37</v>
      </c>
      <c r="D1071" s="217" t="s">
        <v>36</v>
      </c>
      <c r="E1071" s="217" t="s">
        <v>547</v>
      </c>
      <c r="F1071" s="217" t="s">
        <v>548</v>
      </c>
      <c r="G1071" s="217" t="s">
        <v>599</v>
      </c>
      <c r="H1071" s="217" t="s">
        <v>1431</v>
      </c>
      <c r="I1071" s="217" t="s">
        <v>29</v>
      </c>
      <c r="J1071" s="217" t="s">
        <v>1857</v>
      </c>
      <c r="K1071" s="217">
        <v>42</v>
      </c>
      <c r="L1071" s="217">
        <v>380</v>
      </c>
      <c r="M1071" s="217" t="s">
        <v>31</v>
      </c>
      <c r="N1071" s="217" t="s">
        <v>32</v>
      </c>
      <c r="O1071" s="217" t="s">
        <v>68</v>
      </c>
      <c r="P1071" s="217" t="s">
        <v>34</v>
      </c>
      <c r="Q1071" s="217" t="s">
        <v>35</v>
      </c>
      <c r="R1071" s="217" t="s">
        <v>23</v>
      </c>
      <c r="S1071" s="217" t="s">
        <v>22</v>
      </c>
      <c r="T1071" s="217" t="s">
        <v>36</v>
      </c>
      <c r="U1071" s="217" t="s">
        <v>37</v>
      </c>
      <c r="V1071" s="217" t="s">
        <v>249</v>
      </c>
      <c r="W1071" s="217" t="s">
        <v>250</v>
      </c>
    </row>
    <row r="1072" spans="1:23" x14ac:dyDescent="0.25">
      <c r="A1072" s="217" t="s">
        <v>22</v>
      </c>
      <c r="B1072" s="217" t="s">
        <v>23</v>
      </c>
      <c r="C1072" s="217" t="s">
        <v>37</v>
      </c>
      <c r="D1072" s="217" t="s">
        <v>36</v>
      </c>
      <c r="E1072" s="217" t="s">
        <v>547</v>
      </c>
      <c r="F1072" s="217" t="s">
        <v>548</v>
      </c>
      <c r="G1072" s="217" t="s">
        <v>599</v>
      </c>
      <c r="H1072" s="217" t="s">
        <v>1431</v>
      </c>
      <c r="I1072" s="217" t="s">
        <v>29</v>
      </c>
      <c r="J1072" s="217" t="s">
        <v>1858</v>
      </c>
      <c r="K1072" s="217">
        <v>15</v>
      </c>
      <c r="L1072" s="217">
        <v>116</v>
      </c>
      <c r="M1072" s="217" t="s">
        <v>31</v>
      </c>
      <c r="N1072" s="217" t="s">
        <v>32</v>
      </c>
      <c r="O1072" s="217" t="s">
        <v>68</v>
      </c>
      <c r="P1072" s="217" t="s">
        <v>34</v>
      </c>
      <c r="Q1072" s="217" t="s">
        <v>35</v>
      </c>
      <c r="R1072" s="217" t="s">
        <v>23</v>
      </c>
      <c r="S1072" s="217" t="s">
        <v>22</v>
      </c>
      <c r="T1072" s="217" t="s">
        <v>36</v>
      </c>
      <c r="U1072" s="217" t="s">
        <v>37</v>
      </c>
      <c r="V1072" s="217" t="s">
        <v>249</v>
      </c>
      <c r="W1072" s="217" t="s">
        <v>250</v>
      </c>
    </row>
    <row r="1073" spans="1:23" x14ac:dyDescent="0.25">
      <c r="A1073" s="217" t="s">
        <v>22</v>
      </c>
      <c r="B1073" s="217" t="s">
        <v>23</v>
      </c>
      <c r="C1073" s="217" t="s">
        <v>37</v>
      </c>
      <c r="D1073" s="217" t="s">
        <v>36</v>
      </c>
      <c r="E1073" s="217" t="s">
        <v>547</v>
      </c>
      <c r="F1073" s="217" t="s">
        <v>548</v>
      </c>
      <c r="G1073" s="217" t="s">
        <v>568</v>
      </c>
      <c r="H1073" s="217" t="s">
        <v>1432</v>
      </c>
      <c r="I1073" s="217" t="s">
        <v>29</v>
      </c>
      <c r="J1073" s="217" t="s">
        <v>1855</v>
      </c>
      <c r="K1073" s="217">
        <v>17</v>
      </c>
      <c r="L1073" s="217">
        <v>113</v>
      </c>
      <c r="M1073" s="217" t="s">
        <v>31</v>
      </c>
      <c r="N1073" s="217" t="s">
        <v>32</v>
      </c>
      <c r="O1073" s="217" t="s">
        <v>68</v>
      </c>
      <c r="P1073" s="217" t="s">
        <v>34</v>
      </c>
      <c r="Q1073" s="217" t="s">
        <v>35</v>
      </c>
      <c r="R1073" s="217" t="s">
        <v>23</v>
      </c>
      <c r="S1073" s="217" t="s">
        <v>22</v>
      </c>
      <c r="T1073" s="217" t="s">
        <v>36</v>
      </c>
      <c r="U1073" s="217" t="s">
        <v>37</v>
      </c>
      <c r="V1073" s="217" t="s">
        <v>249</v>
      </c>
      <c r="W1073" s="217" t="s">
        <v>250</v>
      </c>
    </row>
    <row r="1074" spans="1:23" x14ac:dyDescent="0.25">
      <c r="A1074" s="217" t="s">
        <v>22</v>
      </c>
      <c r="B1074" s="217" t="s">
        <v>23</v>
      </c>
      <c r="C1074" s="217" t="s">
        <v>37</v>
      </c>
      <c r="D1074" s="217" t="s">
        <v>36</v>
      </c>
      <c r="E1074" s="217" t="s">
        <v>547</v>
      </c>
      <c r="F1074" s="217" t="s">
        <v>548</v>
      </c>
      <c r="G1074" s="217" t="s">
        <v>568</v>
      </c>
      <c r="H1074" s="217" t="s">
        <v>1432</v>
      </c>
      <c r="I1074" s="217" t="s">
        <v>29</v>
      </c>
      <c r="J1074" s="217" t="s">
        <v>1856</v>
      </c>
      <c r="K1074" s="217">
        <v>12</v>
      </c>
      <c r="L1074" s="217">
        <v>91</v>
      </c>
      <c r="M1074" s="217" t="s">
        <v>31</v>
      </c>
      <c r="N1074" s="217" t="s">
        <v>32</v>
      </c>
      <c r="O1074" s="217" t="s">
        <v>68</v>
      </c>
      <c r="P1074" s="217" t="s">
        <v>34</v>
      </c>
      <c r="Q1074" s="217" t="s">
        <v>35</v>
      </c>
      <c r="R1074" s="217" t="s">
        <v>23</v>
      </c>
      <c r="S1074" s="217" t="s">
        <v>22</v>
      </c>
      <c r="T1074" s="217" t="s">
        <v>36</v>
      </c>
      <c r="U1074" s="217" t="s">
        <v>37</v>
      </c>
      <c r="V1074" s="217" t="s">
        <v>249</v>
      </c>
      <c r="W1074" s="217" t="s">
        <v>250</v>
      </c>
    </row>
    <row r="1075" spans="1:23" x14ac:dyDescent="0.25">
      <c r="A1075" s="217" t="s">
        <v>22</v>
      </c>
      <c r="B1075" s="217" t="s">
        <v>23</v>
      </c>
      <c r="C1075" s="217" t="s">
        <v>37</v>
      </c>
      <c r="D1075" s="217" t="s">
        <v>36</v>
      </c>
      <c r="E1075" s="217" t="s">
        <v>547</v>
      </c>
      <c r="F1075" s="217" t="s">
        <v>548</v>
      </c>
      <c r="G1075" s="217" t="s">
        <v>568</v>
      </c>
      <c r="H1075" s="217" t="s">
        <v>1432</v>
      </c>
      <c r="I1075" s="217" t="s">
        <v>29</v>
      </c>
      <c r="J1075" s="217" t="s">
        <v>1857</v>
      </c>
      <c r="K1075" s="217">
        <v>10</v>
      </c>
      <c r="L1075" s="217">
        <v>82</v>
      </c>
      <c r="M1075" s="217" t="s">
        <v>31</v>
      </c>
      <c r="N1075" s="217" t="s">
        <v>32</v>
      </c>
      <c r="O1075" s="217" t="s">
        <v>68</v>
      </c>
      <c r="P1075" s="217" t="s">
        <v>34</v>
      </c>
      <c r="Q1075" s="217" t="s">
        <v>35</v>
      </c>
      <c r="R1075" s="217" t="s">
        <v>23</v>
      </c>
      <c r="S1075" s="217" t="s">
        <v>22</v>
      </c>
      <c r="T1075" s="217" t="s">
        <v>36</v>
      </c>
      <c r="U1075" s="217" t="s">
        <v>37</v>
      </c>
      <c r="V1075" s="217" t="s">
        <v>249</v>
      </c>
      <c r="W1075" s="217" t="s">
        <v>250</v>
      </c>
    </row>
    <row r="1076" spans="1:23" x14ac:dyDescent="0.25">
      <c r="A1076" s="217" t="s">
        <v>22</v>
      </c>
      <c r="B1076" s="217" t="s">
        <v>23</v>
      </c>
      <c r="C1076" s="217" t="s">
        <v>37</v>
      </c>
      <c r="D1076" s="217" t="s">
        <v>36</v>
      </c>
      <c r="E1076" s="217" t="s">
        <v>547</v>
      </c>
      <c r="F1076" s="217" t="s">
        <v>548</v>
      </c>
      <c r="G1076" s="217" t="s">
        <v>568</v>
      </c>
      <c r="H1076" s="217" t="s">
        <v>1432</v>
      </c>
      <c r="I1076" s="217" t="s">
        <v>29</v>
      </c>
      <c r="J1076" s="217" t="s">
        <v>1858</v>
      </c>
      <c r="K1076" s="217">
        <v>4</v>
      </c>
      <c r="L1076" s="217">
        <v>16</v>
      </c>
      <c r="M1076" s="217" t="s">
        <v>31</v>
      </c>
      <c r="N1076" s="217" t="s">
        <v>32</v>
      </c>
      <c r="O1076" s="217" t="s">
        <v>68</v>
      </c>
      <c r="P1076" s="217" t="s">
        <v>34</v>
      </c>
      <c r="Q1076" s="217" t="s">
        <v>35</v>
      </c>
      <c r="R1076" s="217" t="s">
        <v>23</v>
      </c>
      <c r="S1076" s="217" t="s">
        <v>22</v>
      </c>
      <c r="T1076" s="217" t="s">
        <v>36</v>
      </c>
      <c r="U1076" s="217" t="s">
        <v>37</v>
      </c>
      <c r="V1076" s="217" t="s">
        <v>249</v>
      </c>
      <c r="W1076" s="217" t="s">
        <v>250</v>
      </c>
    </row>
    <row r="1077" spans="1:23" x14ac:dyDescent="0.25">
      <c r="A1077" s="217" t="s">
        <v>22</v>
      </c>
      <c r="B1077" s="217" t="s">
        <v>23</v>
      </c>
      <c r="C1077" s="217" t="s">
        <v>37</v>
      </c>
      <c r="D1077" s="217" t="s">
        <v>36</v>
      </c>
      <c r="E1077" s="217" t="s">
        <v>547</v>
      </c>
      <c r="F1077" s="217" t="s">
        <v>548</v>
      </c>
      <c r="G1077" s="217" t="s">
        <v>569</v>
      </c>
      <c r="H1077" s="217" t="s">
        <v>1433</v>
      </c>
      <c r="I1077" s="217" t="s">
        <v>29</v>
      </c>
      <c r="J1077" s="217" t="s">
        <v>1855</v>
      </c>
      <c r="K1077" s="217">
        <v>7</v>
      </c>
      <c r="L1077" s="217">
        <v>52</v>
      </c>
      <c r="M1077" s="217" t="s">
        <v>31</v>
      </c>
      <c r="N1077" s="217" t="s">
        <v>32</v>
      </c>
      <c r="O1077" s="217" t="s">
        <v>68</v>
      </c>
      <c r="P1077" s="217" t="s">
        <v>34</v>
      </c>
      <c r="Q1077" s="217" t="s">
        <v>35</v>
      </c>
      <c r="R1077" s="217" t="s">
        <v>23</v>
      </c>
      <c r="S1077" s="217" t="s">
        <v>22</v>
      </c>
      <c r="T1077" s="217" t="s">
        <v>36</v>
      </c>
      <c r="U1077" s="217" t="s">
        <v>37</v>
      </c>
      <c r="V1077" s="217" t="s">
        <v>249</v>
      </c>
      <c r="W1077" s="217" t="s">
        <v>250</v>
      </c>
    </row>
    <row r="1078" spans="1:23" x14ac:dyDescent="0.25">
      <c r="A1078" s="217" t="s">
        <v>22</v>
      </c>
      <c r="B1078" s="217" t="s">
        <v>23</v>
      </c>
      <c r="C1078" s="217" t="s">
        <v>37</v>
      </c>
      <c r="D1078" s="217" t="s">
        <v>36</v>
      </c>
      <c r="E1078" s="217" t="s">
        <v>547</v>
      </c>
      <c r="F1078" s="217" t="s">
        <v>548</v>
      </c>
      <c r="G1078" s="217" t="s">
        <v>569</v>
      </c>
      <c r="H1078" s="217" t="s">
        <v>1433</v>
      </c>
      <c r="I1078" s="217" t="s">
        <v>29</v>
      </c>
      <c r="J1078" s="217" t="s">
        <v>1856</v>
      </c>
      <c r="K1078" s="217">
        <v>4</v>
      </c>
      <c r="L1078" s="217">
        <v>34</v>
      </c>
      <c r="M1078" s="217" t="s">
        <v>31</v>
      </c>
      <c r="N1078" s="217" t="s">
        <v>32</v>
      </c>
      <c r="O1078" s="217" t="s">
        <v>33</v>
      </c>
      <c r="P1078" s="217" t="s">
        <v>34</v>
      </c>
      <c r="Q1078" s="217" t="s">
        <v>35</v>
      </c>
      <c r="R1078" s="217" t="s">
        <v>23</v>
      </c>
      <c r="S1078" s="217" t="s">
        <v>22</v>
      </c>
      <c r="T1078" s="217" t="s">
        <v>47</v>
      </c>
      <c r="U1078" s="217" t="s">
        <v>48</v>
      </c>
      <c r="V1078" s="217" t="s">
        <v>231</v>
      </c>
      <c r="W1078" s="217" t="s">
        <v>232</v>
      </c>
    </row>
    <row r="1079" spans="1:23" x14ac:dyDescent="0.25">
      <c r="A1079" s="217" t="s">
        <v>22</v>
      </c>
      <c r="B1079" s="217" t="s">
        <v>23</v>
      </c>
      <c r="C1079" s="217" t="s">
        <v>37</v>
      </c>
      <c r="D1079" s="217" t="s">
        <v>36</v>
      </c>
      <c r="E1079" s="217" t="s">
        <v>547</v>
      </c>
      <c r="F1079" s="217" t="s">
        <v>548</v>
      </c>
      <c r="G1079" s="217" t="s">
        <v>569</v>
      </c>
      <c r="H1079" s="217" t="s">
        <v>1433</v>
      </c>
      <c r="I1079" s="217" t="s">
        <v>29</v>
      </c>
      <c r="J1079" s="217" t="s">
        <v>1857</v>
      </c>
      <c r="K1079" s="217">
        <v>3</v>
      </c>
      <c r="L1079" s="217">
        <v>14</v>
      </c>
      <c r="M1079" s="217" t="s">
        <v>31</v>
      </c>
      <c r="N1079" s="217" t="s">
        <v>32</v>
      </c>
      <c r="O1079" s="217" t="s">
        <v>68</v>
      </c>
      <c r="P1079" s="217" t="s">
        <v>34</v>
      </c>
      <c r="Q1079" s="217" t="s">
        <v>35</v>
      </c>
      <c r="R1079" s="217" t="s">
        <v>23</v>
      </c>
      <c r="S1079" s="217" t="s">
        <v>22</v>
      </c>
      <c r="T1079" s="217" t="s">
        <v>36</v>
      </c>
      <c r="U1079" s="217" t="s">
        <v>37</v>
      </c>
      <c r="V1079" s="217" t="s">
        <v>249</v>
      </c>
      <c r="W1079" s="217" t="s">
        <v>250</v>
      </c>
    </row>
    <row r="1080" spans="1:23" x14ac:dyDescent="0.25">
      <c r="A1080" s="217" t="s">
        <v>22</v>
      </c>
      <c r="B1080" s="217" t="s">
        <v>23</v>
      </c>
      <c r="C1080" s="217" t="s">
        <v>37</v>
      </c>
      <c r="D1080" s="217" t="s">
        <v>36</v>
      </c>
      <c r="E1080" s="217" t="s">
        <v>547</v>
      </c>
      <c r="F1080" s="217" t="s">
        <v>548</v>
      </c>
      <c r="G1080" s="217" t="s">
        <v>569</v>
      </c>
      <c r="H1080" s="217" t="s">
        <v>1433</v>
      </c>
      <c r="I1080" s="217" t="s">
        <v>29</v>
      </c>
      <c r="J1080" s="217" t="s">
        <v>1858</v>
      </c>
      <c r="K1080" s="217">
        <v>7</v>
      </c>
      <c r="L1080" s="217">
        <v>29</v>
      </c>
      <c r="M1080" s="217" t="s">
        <v>31</v>
      </c>
      <c r="N1080" s="217" t="s">
        <v>32</v>
      </c>
      <c r="O1080" s="217" t="s">
        <v>68</v>
      </c>
      <c r="P1080" s="217" t="s">
        <v>34</v>
      </c>
      <c r="Q1080" s="217" t="s">
        <v>35</v>
      </c>
      <c r="R1080" s="217" t="s">
        <v>23</v>
      </c>
      <c r="S1080" s="217" t="s">
        <v>22</v>
      </c>
      <c r="T1080" s="217" t="s">
        <v>36</v>
      </c>
      <c r="U1080" s="217" t="s">
        <v>37</v>
      </c>
      <c r="V1080" s="217" t="s">
        <v>249</v>
      </c>
      <c r="W1080" s="217" t="s">
        <v>250</v>
      </c>
    </row>
    <row r="1081" spans="1:23" x14ac:dyDescent="0.25">
      <c r="A1081" s="217" t="s">
        <v>22</v>
      </c>
      <c r="B1081" s="217" t="s">
        <v>23</v>
      </c>
      <c r="C1081" s="217" t="s">
        <v>37</v>
      </c>
      <c r="D1081" s="217" t="s">
        <v>36</v>
      </c>
      <c r="E1081" s="217" t="s">
        <v>547</v>
      </c>
      <c r="F1081" s="217" t="s">
        <v>548</v>
      </c>
      <c r="G1081" s="217" t="s">
        <v>570</v>
      </c>
      <c r="H1081" s="217" t="s">
        <v>1434</v>
      </c>
      <c r="I1081" s="217" t="s">
        <v>29</v>
      </c>
      <c r="J1081" s="217" t="s">
        <v>1855</v>
      </c>
      <c r="K1081" s="217">
        <v>16</v>
      </c>
      <c r="L1081" s="217">
        <v>109</v>
      </c>
      <c r="M1081" s="217" t="s">
        <v>31</v>
      </c>
      <c r="N1081" s="217" t="s">
        <v>32</v>
      </c>
      <c r="O1081" s="217" t="s">
        <v>68</v>
      </c>
      <c r="P1081" s="217" t="s">
        <v>34</v>
      </c>
      <c r="Q1081" s="217" t="s">
        <v>35</v>
      </c>
      <c r="R1081" s="217" t="s">
        <v>23</v>
      </c>
      <c r="S1081" s="217" t="s">
        <v>22</v>
      </c>
      <c r="T1081" s="217" t="s">
        <v>36</v>
      </c>
      <c r="U1081" s="217" t="s">
        <v>37</v>
      </c>
      <c r="V1081" s="217" t="s">
        <v>249</v>
      </c>
      <c r="W1081" s="217" t="s">
        <v>250</v>
      </c>
    </row>
    <row r="1082" spans="1:23" x14ac:dyDescent="0.25">
      <c r="A1082" s="217" t="s">
        <v>22</v>
      </c>
      <c r="B1082" s="217" t="s">
        <v>23</v>
      </c>
      <c r="C1082" s="217" t="s">
        <v>37</v>
      </c>
      <c r="D1082" s="217" t="s">
        <v>36</v>
      </c>
      <c r="E1082" s="217" t="s">
        <v>547</v>
      </c>
      <c r="F1082" s="217" t="s">
        <v>548</v>
      </c>
      <c r="G1082" s="217" t="s">
        <v>570</v>
      </c>
      <c r="H1082" s="217" t="s">
        <v>1434</v>
      </c>
      <c r="I1082" s="217" t="s">
        <v>29</v>
      </c>
      <c r="J1082" s="217" t="s">
        <v>1856</v>
      </c>
      <c r="K1082" s="217">
        <v>30</v>
      </c>
      <c r="L1082" s="217">
        <v>212</v>
      </c>
      <c r="M1082" s="217" t="s">
        <v>31</v>
      </c>
      <c r="N1082" s="217" t="s">
        <v>32</v>
      </c>
      <c r="O1082" s="217" t="s">
        <v>68</v>
      </c>
      <c r="P1082" s="217" t="s">
        <v>34</v>
      </c>
      <c r="Q1082" s="217" t="s">
        <v>35</v>
      </c>
      <c r="R1082" s="217" t="s">
        <v>23</v>
      </c>
      <c r="S1082" s="217" t="s">
        <v>22</v>
      </c>
      <c r="T1082" s="217" t="s">
        <v>36</v>
      </c>
      <c r="U1082" s="217" t="s">
        <v>37</v>
      </c>
      <c r="V1082" s="217" t="s">
        <v>249</v>
      </c>
      <c r="W1082" s="217" t="s">
        <v>250</v>
      </c>
    </row>
    <row r="1083" spans="1:23" x14ac:dyDescent="0.25">
      <c r="A1083" s="217" t="s">
        <v>22</v>
      </c>
      <c r="B1083" s="217" t="s">
        <v>23</v>
      </c>
      <c r="C1083" s="217" t="s">
        <v>37</v>
      </c>
      <c r="D1083" s="217" t="s">
        <v>36</v>
      </c>
      <c r="E1083" s="217" t="s">
        <v>547</v>
      </c>
      <c r="F1083" s="217" t="s">
        <v>548</v>
      </c>
      <c r="G1083" s="217" t="s">
        <v>570</v>
      </c>
      <c r="H1083" s="217" t="s">
        <v>1434</v>
      </c>
      <c r="I1083" s="217" t="s">
        <v>29</v>
      </c>
      <c r="J1083" s="217" t="s">
        <v>1857</v>
      </c>
      <c r="K1083" s="217">
        <v>23</v>
      </c>
      <c r="L1083" s="217">
        <v>155</v>
      </c>
      <c r="M1083" s="217" t="s">
        <v>31</v>
      </c>
      <c r="N1083" s="217" t="s">
        <v>32</v>
      </c>
      <c r="O1083" s="217" t="s">
        <v>68</v>
      </c>
      <c r="P1083" s="217" t="s">
        <v>34</v>
      </c>
      <c r="Q1083" s="217" t="s">
        <v>35</v>
      </c>
      <c r="R1083" s="217" t="s">
        <v>23</v>
      </c>
      <c r="S1083" s="217" t="s">
        <v>22</v>
      </c>
      <c r="T1083" s="217" t="s">
        <v>36</v>
      </c>
      <c r="U1083" s="217" t="s">
        <v>37</v>
      </c>
      <c r="V1083" s="217" t="s">
        <v>249</v>
      </c>
      <c r="W1083" s="217" t="s">
        <v>250</v>
      </c>
    </row>
    <row r="1084" spans="1:23" x14ac:dyDescent="0.25">
      <c r="A1084" s="217" t="s">
        <v>22</v>
      </c>
      <c r="B1084" s="217" t="s">
        <v>23</v>
      </c>
      <c r="C1084" s="217" t="s">
        <v>37</v>
      </c>
      <c r="D1084" s="217" t="s">
        <v>36</v>
      </c>
      <c r="E1084" s="217" t="s">
        <v>547</v>
      </c>
      <c r="F1084" s="217" t="s">
        <v>548</v>
      </c>
      <c r="G1084" s="217" t="s">
        <v>570</v>
      </c>
      <c r="H1084" s="217" t="s">
        <v>1434</v>
      </c>
      <c r="I1084" s="217" t="s">
        <v>29</v>
      </c>
      <c r="J1084" s="217" t="s">
        <v>1858</v>
      </c>
      <c r="K1084" s="217">
        <v>4</v>
      </c>
      <c r="L1084" s="217">
        <v>17</v>
      </c>
      <c r="M1084" s="217" t="s">
        <v>31</v>
      </c>
      <c r="N1084" s="217" t="s">
        <v>32</v>
      </c>
      <c r="O1084" s="217" t="s">
        <v>68</v>
      </c>
      <c r="P1084" s="217" t="s">
        <v>34</v>
      </c>
      <c r="Q1084" s="217" t="s">
        <v>35</v>
      </c>
      <c r="R1084" s="217" t="s">
        <v>23</v>
      </c>
      <c r="S1084" s="217" t="s">
        <v>22</v>
      </c>
      <c r="T1084" s="217" t="s">
        <v>36</v>
      </c>
      <c r="U1084" s="217" t="s">
        <v>37</v>
      </c>
      <c r="V1084" s="217" t="s">
        <v>249</v>
      </c>
      <c r="W1084" s="217" t="s">
        <v>250</v>
      </c>
    </row>
    <row r="1085" spans="1:23" x14ac:dyDescent="0.25">
      <c r="A1085" s="217" t="s">
        <v>22</v>
      </c>
      <c r="B1085" s="217" t="s">
        <v>23</v>
      </c>
      <c r="C1085" s="217" t="s">
        <v>37</v>
      </c>
      <c r="D1085" s="217" t="s">
        <v>36</v>
      </c>
      <c r="E1085" s="217" t="s">
        <v>547</v>
      </c>
      <c r="F1085" s="217" t="s">
        <v>548</v>
      </c>
      <c r="G1085" s="217" t="s">
        <v>571</v>
      </c>
      <c r="H1085" s="217" t="s">
        <v>1435</v>
      </c>
      <c r="I1085" s="217" t="s">
        <v>29</v>
      </c>
      <c r="J1085" s="217" t="s">
        <v>1855</v>
      </c>
      <c r="K1085" s="217">
        <v>20</v>
      </c>
      <c r="L1085" s="217">
        <v>154</v>
      </c>
      <c r="M1085" s="217" t="s">
        <v>31</v>
      </c>
      <c r="N1085" s="217" t="s">
        <v>32</v>
      </c>
      <c r="O1085" s="217" t="s">
        <v>33</v>
      </c>
      <c r="P1085" s="217" t="s">
        <v>34</v>
      </c>
      <c r="Q1085" s="217" t="s">
        <v>35</v>
      </c>
      <c r="R1085" s="217" t="s">
        <v>23</v>
      </c>
      <c r="S1085" s="217" t="s">
        <v>22</v>
      </c>
      <c r="T1085" s="217" t="s">
        <v>47</v>
      </c>
      <c r="U1085" s="217" t="s">
        <v>48</v>
      </c>
      <c r="V1085" s="217" t="s">
        <v>231</v>
      </c>
      <c r="W1085" s="217" t="s">
        <v>232</v>
      </c>
    </row>
    <row r="1086" spans="1:23" x14ac:dyDescent="0.25">
      <c r="A1086" s="217" t="s">
        <v>22</v>
      </c>
      <c r="B1086" s="217" t="s">
        <v>23</v>
      </c>
      <c r="C1086" s="217" t="s">
        <v>37</v>
      </c>
      <c r="D1086" s="217" t="s">
        <v>36</v>
      </c>
      <c r="E1086" s="217" t="s">
        <v>547</v>
      </c>
      <c r="F1086" s="217" t="s">
        <v>548</v>
      </c>
      <c r="G1086" s="217" t="s">
        <v>571</v>
      </c>
      <c r="H1086" s="217" t="s">
        <v>1435</v>
      </c>
      <c r="I1086" s="217" t="s">
        <v>29</v>
      </c>
      <c r="J1086" s="217" t="s">
        <v>1856</v>
      </c>
      <c r="K1086" s="217">
        <v>33</v>
      </c>
      <c r="L1086" s="217">
        <v>246</v>
      </c>
      <c r="M1086" s="217" t="s">
        <v>31</v>
      </c>
      <c r="N1086" s="217" t="s">
        <v>32</v>
      </c>
      <c r="O1086" s="217" t="s">
        <v>33</v>
      </c>
      <c r="P1086" s="217" t="s">
        <v>34</v>
      </c>
      <c r="Q1086" s="217" t="s">
        <v>35</v>
      </c>
      <c r="R1086" s="217" t="s">
        <v>23</v>
      </c>
      <c r="S1086" s="217" t="s">
        <v>22</v>
      </c>
      <c r="T1086" s="217" t="s">
        <v>47</v>
      </c>
      <c r="U1086" s="217" t="s">
        <v>48</v>
      </c>
      <c r="V1086" s="217" t="s">
        <v>231</v>
      </c>
      <c r="W1086" s="217" t="s">
        <v>232</v>
      </c>
    </row>
    <row r="1087" spans="1:23" x14ac:dyDescent="0.25">
      <c r="A1087" s="217" t="s">
        <v>22</v>
      </c>
      <c r="B1087" s="217" t="s">
        <v>23</v>
      </c>
      <c r="C1087" s="217" t="s">
        <v>37</v>
      </c>
      <c r="D1087" s="217" t="s">
        <v>36</v>
      </c>
      <c r="E1087" s="217" t="s">
        <v>547</v>
      </c>
      <c r="F1087" s="217" t="s">
        <v>548</v>
      </c>
      <c r="G1087" s="217" t="s">
        <v>571</v>
      </c>
      <c r="H1087" s="217" t="s">
        <v>1435</v>
      </c>
      <c r="I1087" s="217" t="s">
        <v>29</v>
      </c>
      <c r="J1087" s="217" t="s">
        <v>1857</v>
      </c>
      <c r="K1087" s="217">
        <v>97</v>
      </c>
      <c r="L1087" s="217">
        <v>783</v>
      </c>
      <c r="M1087" s="217" t="s">
        <v>31</v>
      </c>
      <c r="N1087" s="217" t="s">
        <v>32</v>
      </c>
      <c r="O1087" s="217" t="s">
        <v>33</v>
      </c>
      <c r="P1087" s="217" t="s">
        <v>34</v>
      </c>
      <c r="Q1087" s="217" t="s">
        <v>35</v>
      </c>
      <c r="R1087" s="217" t="s">
        <v>23</v>
      </c>
      <c r="S1087" s="217" t="s">
        <v>22</v>
      </c>
      <c r="T1087" s="217" t="s">
        <v>47</v>
      </c>
      <c r="U1087" s="217" t="s">
        <v>48</v>
      </c>
      <c r="V1087" s="217" t="s">
        <v>231</v>
      </c>
      <c r="W1087" s="217" t="s">
        <v>232</v>
      </c>
    </row>
    <row r="1088" spans="1:23" x14ac:dyDescent="0.25">
      <c r="A1088" s="217" t="s">
        <v>22</v>
      </c>
      <c r="B1088" s="217" t="s">
        <v>23</v>
      </c>
      <c r="C1088" s="217" t="s">
        <v>37</v>
      </c>
      <c r="D1088" s="217" t="s">
        <v>36</v>
      </c>
      <c r="E1088" s="217" t="s">
        <v>547</v>
      </c>
      <c r="F1088" s="217" t="s">
        <v>548</v>
      </c>
      <c r="G1088" s="217" t="s">
        <v>571</v>
      </c>
      <c r="H1088" s="217" t="s">
        <v>1435</v>
      </c>
      <c r="I1088" s="217" t="s">
        <v>29</v>
      </c>
      <c r="J1088" s="217" t="s">
        <v>1858</v>
      </c>
      <c r="K1088" s="217">
        <v>23</v>
      </c>
      <c r="L1088" s="217">
        <v>137</v>
      </c>
      <c r="M1088" s="217" t="s">
        <v>31</v>
      </c>
      <c r="N1088" s="217" t="s">
        <v>32</v>
      </c>
      <c r="O1088" s="217" t="s">
        <v>33</v>
      </c>
      <c r="P1088" s="217" t="s">
        <v>34</v>
      </c>
      <c r="Q1088" s="217" t="s">
        <v>35</v>
      </c>
      <c r="R1088" s="217" t="s">
        <v>23</v>
      </c>
      <c r="S1088" s="217" t="s">
        <v>22</v>
      </c>
      <c r="T1088" s="217" t="s">
        <v>47</v>
      </c>
      <c r="U1088" s="217" t="s">
        <v>48</v>
      </c>
      <c r="V1088" s="217" t="s">
        <v>231</v>
      </c>
      <c r="W1088" s="217" t="s">
        <v>232</v>
      </c>
    </row>
    <row r="1089" spans="1:23" x14ac:dyDescent="0.25">
      <c r="A1089" s="217" t="s">
        <v>22</v>
      </c>
      <c r="B1089" s="217" t="s">
        <v>23</v>
      </c>
      <c r="C1089" s="217" t="s">
        <v>37</v>
      </c>
      <c r="D1089" s="217" t="s">
        <v>36</v>
      </c>
      <c r="E1089" s="217" t="s">
        <v>547</v>
      </c>
      <c r="F1089" s="217" t="s">
        <v>548</v>
      </c>
      <c r="G1089" s="217" t="s">
        <v>572</v>
      </c>
      <c r="H1089" s="217" t="s">
        <v>1436</v>
      </c>
      <c r="I1089" s="217" t="s">
        <v>29</v>
      </c>
      <c r="J1089" s="217" t="s">
        <v>1855</v>
      </c>
      <c r="K1089" s="217">
        <v>60</v>
      </c>
      <c r="L1089" s="217">
        <v>450</v>
      </c>
      <c r="M1089" s="217" t="s">
        <v>31</v>
      </c>
      <c r="N1089" s="217" t="s">
        <v>32</v>
      </c>
      <c r="O1089" s="217" t="s">
        <v>68</v>
      </c>
      <c r="P1089" s="217" t="s">
        <v>34</v>
      </c>
      <c r="Q1089" s="217" t="s">
        <v>35</v>
      </c>
      <c r="R1089" s="217" t="s">
        <v>23</v>
      </c>
      <c r="S1089" s="217" t="s">
        <v>22</v>
      </c>
      <c r="T1089" s="217" t="s">
        <v>36</v>
      </c>
      <c r="U1089" s="217" t="s">
        <v>37</v>
      </c>
      <c r="V1089" s="217" t="s">
        <v>249</v>
      </c>
      <c r="W1089" s="217" t="s">
        <v>250</v>
      </c>
    </row>
    <row r="1090" spans="1:23" x14ac:dyDescent="0.25">
      <c r="A1090" s="217" t="s">
        <v>22</v>
      </c>
      <c r="B1090" s="217" t="s">
        <v>23</v>
      </c>
      <c r="C1090" s="217" t="s">
        <v>37</v>
      </c>
      <c r="D1090" s="217" t="s">
        <v>36</v>
      </c>
      <c r="E1090" s="217" t="s">
        <v>547</v>
      </c>
      <c r="F1090" s="217" t="s">
        <v>548</v>
      </c>
      <c r="G1090" s="217" t="s">
        <v>572</v>
      </c>
      <c r="H1090" s="217" t="s">
        <v>1436</v>
      </c>
      <c r="I1090" s="217" t="s">
        <v>29</v>
      </c>
      <c r="J1090" s="217" t="s">
        <v>1856</v>
      </c>
      <c r="K1090" s="217">
        <v>39</v>
      </c>
      <c r="L1090" s="217">
        <v>300</v>
      </c>
      <c r="M1090" s="217" t="s">
        <v>31</v>
      </c>
      <c r="N1090" s="217" t="s">
        <v>32</v>
      </c>
      <c r="O1090" s="217" t="s">
        <v>68</v>
      </c>
      <c r="P1090" s="217" t="s">
        <v>34</v>
      </c>
      <c r="Q1090" s="217" t="s">
        <v>35</v>
      </c>
      <c r="R1090" s="217" t="s">
        <v>23</v>
      </c>
      <c r="S1090" s="217" t="s">
        <v>22</v>
      </c>
      <c r="T1090" s="217" t="s">
        <v>36</v>
      </c>
      <c r="U1090" s="217" t="s">
        <v>37</v>
      </c>
      <c r="V1090" s="217" t="s">
        <v>249</v>
      </c>
      <c r="W1090" s="217" t="s">
        <v>250</v>
      </c>
    </row>
    <row r="1091" spans="1:23" x14ac:dyDescent="0.25">
      <c r="A1091" s="217" t="s">
        <v>22</v>
      </c>
      <c r="B1091" s="217" t="s">
        <v>23</v>
      </c>
      <c r="C1091" s="217" t="s">
        <v>37</v>
      </c>
      <c r="D1091" s="217" t="s">
        <v>36</v>
      </c>
      <c r="E1091" s="217" t="s">
        <v>547</v>
      </c>
      <c r="F1091" s="217" t="s">
        <v>548</v>
      </c>
      <c r="G1091" s="217" t="s">
        <v>572</v>
      </c>
      <c r="H1091" s="217" t="s">
        <v>1436</v>
      </c>
      <c r="I1091" s="217" t="s">
        <v>29</v>
      </c>
      <c r="J1091" s="217" t="s">
        <v>1857</v>
      </c>
      <c r="K1091" s="217">
        <v>36</v>
      </c>
      <c r="L1091" s="217">
        <v>268</v>
      </c>
      <c r="M1091" s="217" t="s">
        <v>31</v>
      </c>
      <c r="N1091" s="217" t="s">
        <v>32</v>
      </c>
      <c r="O1091" s="217" t="s">
        <v>68</v>
      </c>
      <c r="P1091" s="217" t="s">
        <v>34</v>
      </c>
      <c r="Q1091" s="217" t="s">
        <v>35</v>
      </c>
      <c r="R1091" s="217" t="s">
        <v>23</v>
      </c>
      <c r="S1091" s="217" t="s">
        <v>22</v>
      </c>
      <c r="T1091" s="217" t="s">
        <v>36</v>
      </c>
      <c r="U1091" s="217" t="s">
        <v>37</v>
      </c>
      <c r="V1091" s="217" t="s">
        <v>249</v>
      </c>
      <c r="W1091" s="217" t="s">
        <v>250</v>
      </c>
    </row>
    <row r="1092" spans="1:23" x14ac:dyDescent="0.25">
      <c r="A1092" s="217" t="s">
        <v>22</v>
      </c>
      <c r="B1092" s="217" t="s">
        <v>23</v>
      </c>
      <c r="C1092" s="217" t="s">
        <v>37</v>
      </c>
      <c r="D1092" s="217" t="s">
        <v>36</v>
      </c>
      <c r="E1092" s="217" t="s">
        <v>547</v>
      </c>
      <c r="F1092" s="217" t="s">
        <v>548</v>
      </c>
      <c r="G1092" s="217" t="s">
        <v>572</v>
      </c>
      <c r="H1092" s="217" t="s">
        <v>1436</v>
      </c>
      <c r="I1092" s="217" t="s">
        <v>29</v>
      </c>
      <c r="J1092" s="217" t="s">
        <v>1858</v>
      </c>
      <c r="K1092" s="217">
        <v>17</v>
      </c>
      <c r="L1092" s="217">
        <v>120</v>
      </c>
      <c r="M1092" s="217" t="s">
        <v>31</v>
      </c>
      <c r="N1092" s="217" t="s">
        <v>32</v>
      </c>
      <c r="O1092" s="217" t="s">
        <v>68</v>
      </c>
      <c r="P1092" s="217" t="s">
        <v>34</v>
      </c>
      <c r="Q1092" s="217" t="s">
        <v>35</v>
      </c>
      <c r="R1092" s="217" t="s">
        <v>23</v>
      </c>
      <c r="S1092" s="217" t="s">
        <v>22</v>
      </c>
      <c r="T1092" s="217" t="s">
        <v>36</v>
      </c>
      <c r="U1092" s="217" t="s">
        <v>37</v>
      </c>
      <c r="V1092" s="217" t="s">
        <v>249</v>
      </c>
      <c r="W1092" s="217" t="s">
        <v>250</v>
      </c>
    </row>
    <row r="1093" spans="1:23" x14ac:dyDescent="0.25">
      <c r="A1093" s="217" t="s">
        <v>22</v>
      </c>
      <c r="B1093" s="217" t="s">
        <v>23</v>
      </c>
      <c r="C1093" s="217" t="s">
        <v>37</v>
      </c>
      <c r="D1093" s="217" t="s">
        <v>36</v>
      </c>
      <c r="E1093" s="217" t="s">
        <v>547</v>
      </c>
      <c r="F1093" s="217" t="s">
        <v>548</v>
      </c>
      <c r="G1093" s="217" t="s">
        <v>573</v>
      </c>
      <c r="H1093" s="217" t="s">
        <v>1437</v>
      </c>
      <c r="I1093" s="217" t="s">
        <v>29</v>
      </c>
      <c r="J1093" s="217" t="s">
        <v>1855</v>
      </c>
      <c r="K1093" s="217">
        <v>12</v>
      </c>
      <c r="L1093" s="217">
        <v>88</v>
      </c>
      <c r="M1093" s="217" t="s">
        <v>31</v>
      </c>
      <c r="N1093" s="217" t="s">
        <v>32</v>
      </c>
      <c r="O1093" s="217" t="s">
        <v>68</v>
      </c>
      <c r="P1093" s="217" t="s">
        <v>34</v>
      </c>
      <c r="Q1093" s="217" t="s">
        <v>35</v>
      </c>
      <c r="R1093" s="217" t="s">
        <v>23</v>
      </c>
      <c r="S1093" s="217" t="s">
        <v>22</v>
      </c>
      <c r="T1093" s="217" t="s">
        <v>36</v>
      </c>
      <c r="U1093" s="217" t="s">
        <v>37</v>
      </c>
      <c r="V1093" s="217" t="s">
        <v>249</v>
      </c>
      <c r="W1093" s="217" t="s">
        <v>250</v>
      </c>
    </row>
    <row r="1094" spans="1:23" x14ac:dyDescent="0.25">
      <c r="A1094" s="217" t="s">
        <v>22</v>
      </c>
      <c r="B1094" s="217" t="s">
        <v>23</v>
      </c>
      <c r="C1094" s="217" t="s">
        <v>37</v>
      </c>
      <c r="D1094" s="217" t="s">
        <v>36</v>
      </c>
      <c r="E1094" s="217" t="s">
        <v>547</v>
      </c>
      <c r="F1094" s="217" t="s">
        <v>548</v>
      </c>
      <c r="G1094" s="217" t="s">
        <v>573</v>
      </c>
      <c r="H1094" s="217" t="s">
        <v>1437</v>
      </c>
      <c r="I1094" s="217" t="s">
        <v>29</v>
      </c>
      <c r="J1094" s="217" t="s">
        <v>1856</v>
      </c>
      <c r="K1094" s="217">
        <v>8</v>
      </c>
      <c r="L1094" s="217">
        <v>52</v>
      </c>
      <c r="M1094" s="217" t="s">
        <v>31</v>
      </c>
      <c r="N1094" s="217" t="s">
        <v>32</v>
      </c>
      <c r="O1094" s="217" t="s">
        <v>68</v>
      </c>
      <c r="P1094" s="217" t="s">
        <v>34</v>
      </c>
      <c r="Q1094" s="217" t="s">
        <v>35</v>
      </c>
      <c r="R1094" s="217" t="s">
        <v>23</v>
      </c>
      <c r="S1094" s="217" t="s">
        <v>22</v>
      </c>
      <c r="T1094" s="217" t="s">
        <v>36</v>
      </c>
      <c r="U1094" s="217" t="s">
        <v>37</v>
      </c>
      <c r="V1094" s="217" t="s">
        <v>249</v>
      </c>
      <c r="W1094" s="217" t="s">
        <v>250</v>
      </c>
    </row>
    <row r="1095" spans="1:23" x14ac:dyDescent="0.25">
      <c r="A1095" s="217" t="s">
        <v>22</v>
      </c>
      <c r="B1095" s="217" t="s">
        <v>23</v>
      </c>
      <c r="C1095" s="217" t="s">
        <v>37</v>
      </c>
      <c r="D1095" s="217" t="s">
        <v>36</v>
      </c>
      <c r="E1095" s="217" t="s">
        <v>547</v>
      </c>
      <c r="F1095" s="217" t="s">
        <v>548</v>
      </c>
      <c r="G1095" s="217" t="s">
        <v>573</v>
      </c>
      <c r="H1095" s="217" t="s">
        <v>1437</v>
      </c>
      <c r="I1095" s="217" t="s">
        <v>29</v>
      </c>
      <c r="J1095" s="217" t="s">
        <v>1857</v>
      </c>
      <c r="K1095" s="217">
        <v>23</v>
      </c>
      <c r="L1095" s="217">
        <v>184</v>
      </c>
      <c r="M1095" s="217" t="s">
        <v>31</v>
      </c>
      <c r="N1095" s="217" t="s">
        <v>32</v>
      </c>
      <c r="O1095" s="217" t="s">
        <v>68</v>
      </c>
      <c r="P1095" s="217" t="s">
        <v>34</v>
      </c>
      <c r="Q1095" s="217" t="s">
        <v>35</v>
      </c>
      <c r="R1095" s="217" t="s">
        <v>23</v>
      </c>
      <c r="S1095" s="217" t="s">
        <v>22</v>
      </c>
      <c r="T1095" s="217" t="s">
        <v>36</v>
      </c>
      <c r="U1095" s="217" t="s">
        <v>37</v>
      </c>
      <c r="V1095" s="217" t="s">
        <v>249</v>
      </c>
      <c r="W1095" s="217" t="s">
        <v>250</v>
      </c>
    </row>
    <row r="1096" spans="1:23" x14ac:dyDescent="0.25">
      <c r="A1096" s="217" t="s">
        <v>22</v>
      </c>
      <c r="B1096" s="217" t="s">
        <v>23</v>
      </c>
      <c r="C1096" s="217" t="s">
        <v>37</v>
      </c>
      <c r="D1096" s="217" t="s">
        <v>36</v>
      </c>
      <c r="E1096" s="217" t="s">
        <v>547</v>
      </c>
      <c r="F1096" s="217" t="s">
        <v>548</v>
      </c>
      <c r="G1096" s="217" t="s">
        <v>573</v>
      </c>
      <c r="H1096" s="217" t="s">
        <v>1437</v>
      </c>
      <c r="I1096" s="217" t="s">
        <v>29</v>
      </c>
      <c r="J1096" s="217" t="s">
        <v>1858</v>
      </c>
      <c r="K1096" s="217">
        <v>4</v>
      </c>
      <c r="L1096" s="217">
        <v>16</v>
      </c>
      <c r="M1096" s="217" t="s">
        <v>31</v>
      </c>
      <c r="N1096" s="217" t="s">
        <v>32</v>
      </c>
      <c r="O1096" s="217" t="s">
        <v>68</v>
      </c>
      <c r="P1096" s="217" t="s">
        <v>34</v>
      </c>
      <c r="Q1096" s="217" t="s">
        <v>35</v>
      </c>
      <c r="R1096" s="217" t="s">
        <v>23</v>
      </c>
      <c r="S1096" s="217" t="s">
        <v>22</v>
      </c>
      <c r="T1096" s="217" t="s">
        <v>36</v>
      </c>
      <c r="U1096" s="217" t="s">
        <v>37</v>
      </c>
      <c r="V1096" s="217" t="s">
        <v>249</v>
      </c>
      <c r="W1096" s="217" t="s">
        <v>250</v>
      </c>
    </row>
    <row r="1097" spans="1:23" x14ac:dyDescent="0.25">
      <c r="A1097" s="217" t="s">
        <v>22</v>
      </c>
      <c r="B1097" s="217" t="s">
        <v>23</v>
      </c>
      <c r="C1097" s="217" t="s">
        <v>37</v>
      </c>
      <c r="D1097" s="217" t="s">
        <v>36</v>
      </c>
      <c r="E1097" s="217" t="s">
        <v>547</v>
      </c>
      <c r="F1097" s="217" t="s">
        <v>548</v>
      </c>
      <c r="G1097" s="217" t="s">
        <v>574</v>
      </c>
      <c r="H1097" s="217" t="s">
        <v>1438</v>
      </c>
      <c r="I1097" s="217" t="s">
        <v>29</v>
      </c>
      <c r="J1097" s="217" t="s">
        <v>1855</v>
      </c>
      <c r="K1097" s="217">
        <v>44</v>
      </c>
      <c r="L1097" s="217">
        <v>319</v>
      </c>
      <c r="M1097" s="217" t="s">
        <v>31</v>
      </c>
      <c r="N1097" s="217" t="s">
        <v>32</v>
      </c>
      <c r="O1097" s="217" t="s">
        <v>100</v>
      </c>
      <c r="P1097" s="217" t="s">
        <v>34</v>
      </c>
      <c r="Q1097" s="217" t="s">
        <v>35</v>
      </c>
      <c r="R1097" s="217" t="s">
        <v>23</v>
      </c>
      <c r="S1097" s="217" t="s">
        <v>22</v>
      </c>
      <c r="T1097" s="217" t="s">
        <v>36</v>
      </c>
      <c r="U1097" s="217" t="s">
        <v>37</v>
      </c>
      <c r="V1097" s="217" t="s">
        <v>548</v>
      </c>
      <c r="W1097" s="217" t="s">
        <v>547</v>
      </c>
    </row>
    <row r="1098" spans="1:23" x14ac:dyDescent="0.25">
      <c r="A1098" s="217" t="s">
        <v>22</v>
      </c>
      <c r="B1098" s="217" t="s">
        <v>23</v>
      </c>
      <c r="C1098" s="217" t="s">
        <v>37</v>
      </c>
      <c r="D1098" s="217" t="s">
        <v>36</v>
      </c>
      <c r="E1098" s="217" t="s">
        <v>547</v>
      </c>
      <c r="F1098" s="217" t="s">
        <v>548</v>
      </c>
      <c r="G1098" s="217" t="s">
        <v>574</v>
      </c>
      <c r="H1098" s="217" t="s">
        <v>1438</v>
      </c>
      <c r="I1098" s="217" t="s">
        <v>29</v>
      </c>
      <c r="J1098" s="217" t="s">
        <v>1856</v>
      </c>
      <c r="K1098" s="217">
        <v>36</v>
      </c>
      <c r="L1098" s="217">
        <v>274</v>
      </c>
      <c r="M1098" s="217" t="s">
        <v>31</v>
      </c>
      <c r="N1098" s="217" t="s">
        <v>32</v>
      </c>
      <c r="O1098" s="217" t="s">
        <v>100</v>
      </c>
      <c r="P1098" s="217" t="s">
        <v>34</v>
      </c>
      <c r="Q1098" s="217" t="s">
        <v>35</v>
      </c>
      <c r="R1098" s="217" t="s">
        <v>23</v>
      </c>
      <c r="S1098" s="217" t="s">
        <v>22</v>
      </c>
      <c r="T1098" s="217" t="s">
        <v>36</v>
      </c>
      <c r="U1098" s="217" t="s">
        <v>37</v>
      </c>
      <c r="V1098" s="217" t="s">
        <v>548</v>
      </c>
      <c r="W1098" s="217" t="s">
        <v>547</v>
      </c>
    </row>
    <row r="1099" spans="1:23" x14ac:dyDescent="0.25">
      <c r="A1099" s="217" t="s">
        <v>22</v>
      </c>
      <c r="B1099" s="217" t="s">
        <v>23</v>
      </c>
      <c r="C1099" s="217" t="s">
        <v>37</v>
      </c>
      <c r="D1099" s="217" t="s">
        <v>36</v>
      </c>
      <c r="E1099" s="217" t="s">
        <v>547</v>
      </c>
      <c r="F1099" s="217" t="s">
        <v>548</v>
      </c>
      <c r="G1099" s="217" t="s">
        <v>574</v>
      </c>
      <c r="H1099" s="217" t="s">
        <v>1438</v>
      </c>
      <c r="I1099" s="217" t="s">
        <v>29</v>
      </c>
      <c r="J1099" s="217" t="s">
        <v>1857</v>
      </c>
      <c r="K1099" s="217">
        <v>9</v>
      </c>
      <c r="L1099" s="217">
        <v>46</v>
      </c>
      <c r="M1099" s="217" t="s">
        <v>31</v>
      </c>
      <c r="N1099" s="217" t="s">
        <v>32</v>
      </c>
      <c r="O1099" s="217" t="s">
        <v>100</v>
      </c>
      <c r="P1099" s="217" t="s">
        <v>34</v>
      </c>
      <c r="Q1099" s="217" t="s">
        <v>35</v>
      </c>
      <c r="R1099" s="217" t="s">
        <v>23</v>
      </c>
      <c r="S1099" s="217" t="s">
        <v>22</v>
      </c>
      <c r="T1099" s="217" t="s">
        <v>36</v>
      </c>
      <c r="U1099" s="217" t="s">
        <v>37</v>
      </c>
      <c r="V1099" s="217" t="s">
        <v>548</v>
      </c>
      <c r="W1099" s="217" t="s">
        <v>547</v>
      </c>
    </row>
    <row r="1100" spans="1:23" x14ac:dyDescent="0.25">
      <c r="A1100" s="217" t="s">
        <v>22</v>
      </c>
      <c r="B1100" s="217" t="s">
        <v>23</v>
      </c>
      <c r="C1100" s="217" t="s">
        <v>37</v>
      </c>
      <c r="D1100" s="217" t="s">
        <v>36</v>
      </c>
      <c r="E1100" s="217" t="s">
        <v>547</v>
      </c>
      <c r="F1100" s="217" t="s">
        <v>548</v>
      </c>
      <c r="G1100" s="217" t="s">
        <v>574</v>
      </c>
      <c r="H1100" s="217" t="s">
        <v>1438</v>
      </c>
      <c r="I1100" s="217" t="s">
        <v>29</v>
      </c>
      <c r="J1100" s="217" t="s">
        <v>1858</v>
      </c>
      <c r="K1100" s="217">
        <v>3</v>
      </c>
      <c r="L1100" s="217">
        <v>7</v>
      </c>
      <c r="M1100" s="217" t="s">
        <v>31</v>
      </c>
      <c r="N1100" s="217" t="s">
        <v>32</v>
      </c>
      <c r="O1100" s="217" t="s">
        <v>100</v>
      </c>
      <c r="P1100" s="217" t="s">
        <v>34</v>
      </c>
      <c r="Q1100" s="217" t="s">
        <v>35</v>
      </c>
      <c r="R1100" s="217" t="s">
        <v>23</v>
      </c>
      <c r="S1100" s="217" t="s">
        <v>22</v>
      </c>
      <c r="T1100" s="217" t="s">
        <v>36</v>
      </c>
      <c r="U1100" s="217" t="s">
        <v>37</v>
      </c>
      <c r="V1100" s="217" t="s">
        <v>548</v>
      </c>
      <c r="W1100" s="217" t="s">
        <v>547</v>
      </c>
    </row>
    <row r="1101" spans="1:23" x14ac:dyDescent="0.25">
      <c r="A1101" s="217" t="s">
        <v>22</v>
      </c>
      <c r="B1101" s="217" t="s">
        <v>23</v>
      </c>
      <c r="C1101" s="217" t="s">
        <v>37</v>
      </c>
      <c r="D1101" s="217" t="s">
        <v>36</v>
      </c>
      <c r="E1101" s="217" t="s">
        <v>547</v>
      </c>
      <c r="F1101" s="217" t="s">
        <v>548</v>
      </c>
      <c r="G1101" s="217" t="s">
        <v>575</v>
      </c>
      <c r="H1101" s="217" t="s">
        <v>1439</v>
      </c>
      <c r="I1101" s="217" t="s">
        <v>29</v>
      </c>
      <c r="J1101" s="217" t="s">
        <v>1855</v>
      </c>
      <c r="K1101" s="217">
        <v>18</v>
      </c>
      <c r="L1101" s="217">
        <v>121</v>
      </c>
      <c r="M1101" s="217" t="s">
        <v>31</v>
      </c>
      <c r="N1101" s="217" t="s">
        <v>32</v>
      </c>
      <c r="O1101" s="217" t="s">
        <v>68</v>
      </c>
      <c r="P1101" s="217" t="s">
        <v>34</v>
      </c>
      <c r="Q1101" s="217" t="s">
        <v>35</v>
      </c>
      <c r="R1101" s="217" t="s">
        <v>23</v>
      </c>
      <c r="S1101" s="217" t="s">
        <v>22</v>
      </c>
      <c r="T1101" s="217" t="s">
        <v>36</v>
      </c>
      <c r="U1101" s="217" t="s">
        <v>37</v>
      </c>
      <c r="V1101" s="217" t="s">
        <v>249</v>
      </c>
      <c r="W1101" s="217" t="s">
        <v>250</v>
      </c>
    </row>
    <row r="1102" spans="1:23" x14ac:dyDescent="0.25">
      <c r="A1102" s="217" t="s">
        <v>22</v>
      </c>
      <c r="B1102" s="217" t="s">
        <v>23</v>
      </c>
      <c r="C1102" s="217" t="s">
        <v>37</v>
      </c>
      <c r="D1102" s="217" t="s">
        <v>36</v>
      </c>
      <c r="E1102" s="217" t="s">
        <v>547</v>
      </c>
      <c r="F1102" s="217" t="s">
        <v>548</v>
      </c>
      <c r="G1102" s="217" t="s">
        <v>575</v>
      </c>
      <c r="H1102" s="217" t="s">
        <v>1439</v>
      </c>
      <c r="I1102" s="217" t="s">
        <v>29</v>
      </c>
      <c r="J1102" s="217" t="s">
        <v>1856</v>
      </c>
      <c r="K1102" s="217">
        <v>11</v>
      </c>
      <c r="L1102" s="217">
        <v>83</v>
      </c>
      <c r="M1102" s="217" t="s">
        <v>31</v>
      </c>
      <c r="N1102" s="217" t="s">
        <v>32</v>
      </c>
      <c r="O1102" s="217" t="s">
        <v>68</v>
      </c>
      <c r="P1102" s="217" t="s">
        <v>34</v>
      </c>
      <c r="Q1102" s="217" t="s">
        <v>35</v>
      </c>
      <c r="R1102" s="217" t="s">
        <v>23</v>
      </c>
      <c r="S1102" s="217" t="s">
        <v>22</v>
      </c>
      <c r="T1102" s="217" t="s">
        <v>36</v>
      </c>
      <c r="U1102" s="217" t="s">
        <v>37</v>
      </c>
      <c r="V1102" s="217" t="s">
        <v>249</v>
      </c>
      <c r="W1102" s="217" t="s">
        <v>250</v>
      </c>
    </row>
    <row r="1103" spans="1:23" x14ac:dyDescent="0.25">
      <c r="A1103" s="217" t="s">
        <v>22</v>
      </c>
      <c r="B1103" s="217" t="s">
        <v>23</v>
      </c>
      <c r="C1103" s="217" t="s">
        <v>37</v>
      </c>
      <c r="D1103" s="217" t="s">
        <v>36</v>
      </c>
      <c r="E1103" s="217" t="s">
        <v>547</v>
      </c>
      <c r="F1103" s="217" t="s">
        <v>548</v>
      </c>
      <c r="G1103" s="217" t="s">
        <v>575</v>
      </c>
      <c r="H1103" s="217" t="s">
        <v>1439</v>
      </c>
      <c r="I1103" s="217" t="s">
        <v>29</v>
      </c>
      <c r="J1103" s="217" t="s">
        <v>1857</v>
      </c>
      <c r="K1103" s="217">
        <v>15</v>
      </c>
      <c r="L1103" s="217">
        <v>106</v>
      </c>
      <c r="M1103" s="217" t="s">
        <v>31</v>
      </c>
      <c r="N1103" s="217" t="s">
        <v>32</v>
      </c>
      <c r="O1103" s="217" t="s">
        <v>68</v>
      </c>
      <c r="P1103" s="217" t="s">
        <v>34</v>
      </c>
      <c r="Q1103" s="217" t="s">
        <v>35</v>
      </c>
      <c r="R1103" s="217" t="s">
        <v>23</v>
      </c>
      <c r="S1103" s="217" t="s">
        <v>22</v>
      </c>
      <c r="T1103" s="217" t="s">
        <v>36</v>
      </c>
      <c r="U1103" s="217" t="s">
        <v>37</v>
      </c>
      <c r="V1103" s="217" t="s">
        <v>249</v>
      </c>
      <c r="W1103" s="217" t="s">
        <v>250</v>
      </c>
    </row>
    <row r="1104" spans="1:23" x14ac:dyDescent="0.25">
      <c r="A1104" s="217" t="s">
        <v>22</v>
      </c>
      <c r="B1104" s="217" t="s">
        <v>23</v>
      </c>
      <c r="C1104" s="217" t="s">
        <v>37</v>
      </c>
      <c r="D1104" s="217" t="s">
        <v>36</v>
      </c>
      <c r="E1104" s="217" t="s">
        <v>547</v>
      </c>
      <c r="F1104" s="217" t="s">
        <v>548</v>
      </c>
      <c r="G1104" s="217" t="s">
        <v>575</v>
      </c>
      <c r="H1104" s="217" t="s">
        <v>1439</v>
      </c>
      <c r="I1104" s="217" t="s">
        <v>29</v>
      </c>
      <c r="J1104" s="217" t="s">
        <v>1858</v>
      </c>
      <c r="K1104" s="217">
        <v>5</v>
      </c>
      <c r="L1104" s="217">
        <v>26</v>
      </c>
      <c r="M1104" s="217" t="s">
        <v>31</v>
      </c>
      <c r="N1104" s="217" t="s">
        <v>32</v>
      </c>
      <c r="O1104" s="217" t="s">
        <v>68</v>
      </c>
      <c r="P1104" s="217" t="s">
        <v>34</v>
      </c>
      <c r="Q1104" s="217" t="s">
        <v>35</v>
      </c>
      <c r="R1104" s="217" t="s">
        <v>23</v>
      </c>
      <c r="S1104" s="217" t="s">
        <v>22</v>
      </c>
      <c r="T1104" s="217" t="s">
        <v>36</v>
      </c>
      <c r="U1104" s="217" t="s">
        <v>37</v>
      </c>
      <c r="V1104" s="217" t="s">
        <v>249</v>
      </c>
      <c r="W1104" s="217" t="s">
        <v>250</v>
      </c>
    </row>
    <row r="1105" spans="1:23" x14ac:dyDescent="0.25">
      <c r="A1105" s="217" t="s">
        <v>22</v>
      </c>
      <c r="B1105" s="217" t="s">
        <v>23</v>
      </c>
      <c r="C1105" s="217" t="s">
        <v>37</v>
      </c>
      <c r="D1105" s="217" t="s">
        <v>36</v>
      </c>
      <c r="E1105" s="217" t="s">
        <v>547</v>
      </c>
      <c r="F1105" s="217" t="s">
        <v>548</v>
      </c>
      <c r="G1105" s="217" t="s">
        <v>2041</v>
      </c>
      <c r="H1105" s="217" t="s">
        <v>2040</v>
      </c>
      <c r="I1105" s="217" t="s">
        <v>29</v>
      </c>
      <c r="J1105" s="217" t="s">
        <v>1855</v>
      </c>
      <c r="K1105" s="217">
        <v>1</v>
      </c>
      <c r="L1105" s="217">
        <v>8</v>
      </c>
      <c r="M1105" s="217" t="s">
        <v>31</v>
      </c>
      <c r="N1105" s="217" t="s">
        <v>32</v>
      </c>
      <c r="O1105" s="217" t="s">
        <v>33</v>
      </c>
      <c r="P1105" s="217" t="s">
        <v>34</v>
      </c>
      <c r="Q1105" s="217" t="s">
        <v>35</v>
      </c>
      <c r="R1105" s="217" t="s">
        <v>23</v>
      </c>
      <c r="S1105" s="217" t="s">
        <v>22</v>
      </c>
      <c r="T1105" s="217" t="s">
        <v>47</v>
      </c>
      <c r="U1105" s="217" t="s">
        <v>48</v>
      </c>
      <c r="V1105" s="217" t="s">
        <v>231</v>
      </c>
      <c r="W1105" s="217" t="s">
        <v>232</v>
      </c>
    </row>
    <row r="1106" spans="1:23" x14ac:dyDescent="0.25">
      <c r="A1106" s="217" t="s">
        <v>22</v>
      </c>
      <c r="B1106" s="217" t="s">
        <v>23</v>
      </c>
      <c r="C1106" s="217" t="s">
        <v>37</v>
      </c>
      <c r="D1106" s="217" t="s">
        <v>36</v>
      </c>
      <c r="E1106" s="217" t="s">
        <v>547</v>
      </c>
      <c r="F1106" s="217" t="s">
        <v>548</v>
      </c>
      <c r="G1106" s="217" t="s">
        <v>2041</v>
      </c>
      <c r="H1106" s="217" t="s">
        <v>2040</v>
      </c>
      <c r="I1106" s="217" t="s">
        <v>29</v>
      </c>
      <c r="J1106" s="217" t="s">
        <v>1856</v>
      </c>
      <c r="K1106" s="217">
        <v>3</v>
      </c>
      <c r="L1106" s="217">
        <v>14</v>
      </c>
      <c r="M1106" s="217" t="s">
        <v>31</v>
      </c>
      <c r="N1106" s="217" t="s">
        <v>32</v>
      </c>
      <c r="O1106" s="217" t="s">
        <v>33</v>
      </c>
      <c r="P1106" s="217" t="s">
        <v>34</v>
      </c>
      <c r="Q1106" s="217" t="s">
        <v>35</v>
      </c>
      <c r="R1106" s="217" t="s">
        <v>23</v>
      </c>
      <c r="S1106" s="217" t="s">
        <v>22</v>
      </c>
      <c r="T1106" s="217" t="s">
        <v>47</v>
      </c>
      <c r="U1106" s="217" t="s">
        <v>48</v>
      </c>
      <c r="V1106" s="217" t="s">
        <v>231</v>
      </c>
      <c r="W1106" s="217" t="s">
        <v>232</v>
      </c>
    </row>
    <row r="1107" spans="1:23" x14ac:dyDescent="0.25">
      <c r="A1107" s="217" t="s">
        <v>22</v>
      </c>
      <c r="B1107" s="217" t="s">
        <v>23</v>
      </c>
      <c r="C1107" s="217" t="s">
        <v>37</v>
      </c>
      <c r="D1107" s="217" t="s">
        <v>36</v>
      </c>
      <c r="E1107" s="217" t="s">
        <v>547</v>
      </c>
      <c r="F1107" s="217" t="s">
        <v>548</v>
      </c>
      <c r="G1107" s="217" t="s">
        <v>2041</v>
      </c>
      <c r="H1107" s="217" t="s">
        <v>2040</v>
      </c>
      <c r="I1107" s="217" t="s">
        <v>29</v>
      </c>
      <c r="J1107" s="217" t="s">
        <v>1857</v>
      </c>
      <c r="K1107" s="217">
        <v>6</v>
      </c>
      <c r="L1107" s="217">
        <v>34</v>
      </c>
      <c r="M1107" s="217" t="s">
        <v>31</v>
      </c>
      <c r="N1107" s="217" t="s">
        <v>32</v>
      </c>
      <c r="O1107" s="217" t="s">
        <v>33</v>
      </c>
      <c r="P1107" s="217" t="s">
        <v>34</v>
      </c>
      <c r="Q1107" s="217" t="s">
        <v>35</v>
      </c>
      <c r="R1107" s="217" t="s">
        <v>23</v>
      </c>
      <c r="S1107" s="217" t="s">
        <v>22</v>
      </c>
      <c r="T1107" s="217" t="s">
        <v>47</v>
      </c>
      <c r="U1107" s="217" t="s">
        <v>48</v>
      </c>
      <c r="V1107" s="217" t="s">
        <v>231</v>
      </c>
      <c r="W1107" s="217" t="s">
        <v>232</v>
      </c>
    </row>
    <row r="1108" spans="1:23" x14ac:dyDescent="0.25">
      <c r="A1108" s="217" t="s">
        <v>22</v>
      </c>
      <c r="B1108" s="217" t="s">
        <v>23</v>
      </c>
      <c r="C1108" s="217" t="s">
        <v>37</v>
      </c>
      <c r="D1108" s="217" t="s">
        <v>36</v>
      </c>
      <c r="E1108" s="217" t="s">
        <v>547</v>
      </c>
      <c r="F1108" s="217" t="s">
        <v>548</v>
      </c>
      <c r="G1108" s="217" t="s">
        <v>2041</v>
      </c>
      <c r="H1108" s="217" t="s">
        <v>2040</v>
      </c>
      <c r="I1108" s="217" t="s">
        <v>29</v>
      </c>
      <c r="J1108" s="217" t="s">
        <v>1858</v>
      </c>
      <c r="K1108" s="217">
        <v>2</v>
      </c>
      <c r="L1108" s="217">
        <v>7</v>
      </c>
      <c r="M1108" s="217" t="s">
        <v>31</v>
      </c>
      <c r="N1108" s="217" t="s">
        <v>32</v>
      </c>
      <c r="O1108" s="217" t="s">
        <v>33</v>
      </c>
      <c r="P1108" s="217" t="s">
        <v>34</v>
      </c>
      <c r="Q1108" s="217" t="s">
        <v>35</v>
      </c>
      <c r="R1108" s="217" t="s">
        <v>23</v>
      </c>
      <c r="S1108" s="217" t="s">
        <v>22</v>
      </c>
      <c r="T1108" s="217" t="s">
        <v>47</v>
      </c>
      <c r="U1108" s="217" t="s">
        <v>48</v>
      </c>
      <c r="V1108" s="217" t="s">
        <v>231</v>
      </c>
      <c r="W1108" s="217" t="s">
        <v>232</v>
      </c>
    </row>
    <row r="1109" spans="1:23" x14ac:dyDescent="0.25">
      <c r="A1109" s="217" t="s">
        <v>22</v>
      </c>
      <c r="B1109" s="217" t="s">
        <v>23</v>
      </c>
      <c r="C1109" s="217" t="s">
        <v>37</v>
      </c>
      <c r="D1109" s="217" t="s">
        <v>36</v>
      </c>
      <c r="E1109" s="217" t="s">
        <v>547</v>
      </c>
      <c r="F1109" s="217" t="s">
        <v>548</v>
      </c>
      <c r="G1109" s="217" t="s">
        <v>576</v>
      </c>
      <c r="H1109" s="217" t="s">
        <v>1440</v>
      </c>
      <c r="I1109" s="217" t="s">
        <v>29</v>
      </c>
      <c r="J1109" s="217" t="s">
        <v>1855</v>
      </c>
      <c r="K1109" s="217">
        <v>24</v>
      </c>
      <c r="L1109" s="217">
        <v>177</v>
      </c>
      <c r="M1109" s="217" t="s">
        <v>31</v>
      </c>
      <c r="N1109" s="217" t="s">
        <v>32</v>
      </c>
      <c r="O1109" s="217" t="s">
        <v>68</v>
      </c>
      <c r="P1109" s="217" t="s">
        <v>34</v>
      </c>
      <c r="Q1109" s="217" t="s">
        <v>35</v>
      </c>
      <c r="R1109" s="217" t="s">
        <v>23</v>
      </c>
      <c r="S1109" s="217" t="s">
        <v>22</v>
      </c>
      <c r="T1109" s="217" t="s">
        <v>36</v>
      </c>
      <c r="U1109" s="217" t="s">
        <v>37</v>
      </c>
      <c r="V1109" s="217" t="s">
        <v>249</v>
      </c>
      <c r="W1109" s="217" t="s">
        <v>250</v>
      </c>
    </row>
    <row r="1110" spans="1:23" x14ac:dyDescent="0.25">
      <c r="A1110" s="217" t="s">
        <v>22</v>
      </c>
      <c r="B1110" s="217" t="s">
        <v>23</v>
      </c>
      <c r="C1110" s="217" t="s">
        <v>37</v>
      </c>
      <c r="D1110" s="217" t="s">
        <v>36</v>
      </c>
      <c r="E1110" s="217" t="s">
        <v>547</v>
      </c>
      <c r="F1110" s="217" t="s">
        <v>548</v>
      </c>
      <c r="G1110" s="217" t="s">
        <v>576</v>
      </c>
      <c r="H1110" s="217" t="s">
        <v>1440</v>
      </c>
      <c r="I1110" s="217" t="s">
        <v>29</v>
      </c>
      <c r="J1110" s="217" t="s">
        <v>1856</v>
      </c>
      <c r="K1110" s="217">
        <v>12</v>
      </c>
      <c r="L1110" s="217">
        <v>90</v>
      </c>
      <c r="M1110" s="217" t="s">
        <v>31</v>
      </c>
      <c r="N1110" s="217" t="s">
        <v>32</v>
      </c>
      <c r="O1110" s="217" t="s">
        <v>68</v>
      </c>
      <c r="P1110" s="217" t="s">
        <v>34</v>
      </c>
      <c r="Q1110" s="217" t="s">
        <v>35</v>
      </c>
      <c r="R1110" s="217" t="s">
        <v>23</v>
      </c>
      <c r="S1110" s="217" t="s">
        <v>22</v>
      </c>
      <c r="T1110" s="217" t="s">
        <v>36</v>
      </c>
      <c r="U1110" s="217" t="s">
        <v>37</v>
      </c>
      <c r="V1110" s="217" t="s">
        <v>249</v>
      </c>
      <c r="W1110" s="217" t="s">
        <v>250</v>
      </c>
    </row>
    <row r="1111" spans="1:23" x14ac:dyDescent="0.25">
      <c r="A1111" s="217" t="s">
        <v>22</v>
      </c>
      <c r="B1111" s="217" t="s">
        <v>23</v>
      </c>
      <c r="C1111" s="217" t="s">
        <v>37</v>
      </c>
      <c r="D1111" s="217" t="s">
        <v>36</v>
      </c>
      <c r="E1111" s="217" t="s">
        <v>547</v>
      </c>
      <c r="F1111" s="217" t="s">
        <v>548</v>
      </c>
      <c r="G1111" s="217" t="s">
        <v>576</v>
      </c>
      <c r="H1111" s="217" t="s">
        <v>1440</v>
      </c>
      <c r="I1111" s="217" t="s">
        <v>29</v>
      </c>
      <c r="J1111" s="217" t="s">
        <v>1857</v>
      </c>
      <c r="K1111" s="217">
        <v>34</v>
      </c>
      <c r="L1111" s="217">
        <v>265</v>
      </c>
      <c r="M1111" s="217" t="s">
        <v>31</v>
      </c>
      <c r="N1111" s="217" t="s">
        <v>32</v>
      </c>
      <c r="O1111" s="217" t="s">
        <v>68</v>
      </c>
      <c r="P1111" s="217" t="s">
        <v>34</v>
      </c>
      <c r="Q1111" s="217" t="s">
        <v>35</v>
      </c>
      <c r="R1111" s="217" t="s">
        <v>23</v>
      </c>
      <c r="S1111" s="217" t="s">
        <v>22</v>
      </c>
      <c r="T1111" s="217" t="s">
        <v>36</v>
      </c>
      <c r="U1111" s="217" t="s">
        <v>37</v>
      </c>
      <c r="V1111" s="217" t="s">
        <v>249</v>
      </c>
      <c r="W1111" s="217" t="s">
        <v>250</v>
      </c>
    </row>
    <row r="1112" spans="1:23" x14ac:dyDescent="0.25">
      <c r="A1112" s="217" t="s">
        <v>22</v>
      </c>
      <c r="B1112" s="217" t="s">
        <v>23</v>
      </c>
      <c r="C1112" s="217" t="s">
        <v>37</v>
      </c>
      <c r="D1112" s="217" t="s">
        <v>36</v>
      </c>
      <c r="E1112" s="217" t="s">
        <v>547</v>
      </c>
      <c r="F1112" s="217" t="s">
        <v>548</v>
      </c>
      <c r="G1112" s="217" t="s">
        <v>576</v>
      </c>
      <c r="H1112" s="217" t="s">
        <v>1440</v>
      </c>
      <c r="I1112" s="217" t="s">
        <v>29</v>
      </c>
      <c r="J1112" s="217" t="s">
        <v>1858</v>
      </c>
      <c r="K1112" s="217">
        <v>3</v>
      </c>
      <c r="L1112" s="217">
        <v>17</v>
      </c>
      <c r="M1112" s="217" t="s">
        <v>31</v>
      </c>
      <c r="N1112" s="217" t="s">
        <v>32</v>
      </c>
      <c r="O1112" s="217" t="s">
        <v>68</v>
      </c>
      <c r="P1112" s="217" t="s">
        <v>34</v>
      </c>
      <c r="Q1112" s="217" t="s">
        <v>35</v>
      </c>
      <c r="R1112" s="217" t="s">
        <v>23</v>
      </c>
      <c r="S1112" s="217" t="s">
        <v>22</v>
      </c>
      <c r="T1112" s="217" t="s">
        <v>36</v>
      </c>
      <c r="U1112" s="217" t="s">
        <v>37</v>
      </c>
      <c r="V1112" s="217" t="s">
        <v>249</v>
      </c>
      <c r="W1112" s="217" t="s">
        <v>250</v>
      </c>
    </row>
    <row r="1113" spans="1:23" x14ac:dyDescent="0.25">
      <c r="A1113" s="217" t="s">
        <v>22</v>
      </c>
      <c r="B1113" s="217" t="s">
        <v>23</v>
      </c>
      <c r="C1113" s="217" t="s">
        <v>37</v>
      </c>
      <c r="D1113" s="217" t="s">
        <v>36</v>
      </c>
      <c r="E1113" s="217" t="s">
        <v>247</v>
      </c>
      <c r="F1113" s="217" t="s">
        <v>246</v>
      </c>
      <c r="G1113" s="217" t="s">
        <v>2045</v>
      </c>
      <c r="H1113" s="217" t="s">
        <v>2044</v>
      </c>
      <c r="I1113" s="217" t="s">
        <v>29</v>
      </c>
      <c r="J1113" s="217" t="s">
        <v>1856</v>
      </c>
      <c r="K1113" s="217">
        <v>9</v>
      </c>
      <c r="L1113" s="217">
        <v>45</v>
      </c>
      <c r="M1113" s="217" t="s">
        <v>31</v>
      </c>
      <c r="N1113" s="217" t="s">
        <v>32</v>
      </c>
      <c r="O1113" s="217" t="s">
        <v>33</v>
      </c>
      <c r="P1113" s="217" t="s">
        <v>34</v>
      </c>
      <c r="Q1113" s="217" t="s">
        <v>35</v>
      </c>
      <c r="R1113" s="217" t="s">
        <v>23</v>
      </c>
      <c r="S1113" s="217" t="s">
        <v>22</v>
      </c>
      <c r="T1113" s="217" t="s">
        <v>47</v>
      </c>
      <c r="U1113" s="217" t="s">
        <v>48</v>
      </c>
      <c r="V1113" s="217" t="s">
        <v>231</v>
      </c>
      <c r="W1113" s="217" t="s">
        <v>232</v>
      </c>
    </row>
    <row r="1114" spans="1:23" x14ac:dyDescent="0.25">
      <c r="A1114" s="217" t="s">
        <v>22</v>
      </c>
      <c r="B1114" s="217" t="s">
        <v>23</v>
      </c>
      <c r="C1114" s="217" t="s">
        <v>37</v>
      </c>
      <c r="D1114" s="217" t="s">
        <v>36</v>
      </c>
      <c r="E1114" s="217" t="s">
        <v>247</v>
      </c>
      <c r="F1114" s="217" t="s">
        <v>246</v>
      </c>
      <c r="G1114" s="217" t="s">
        <v>577</v>
      </c>
      <c r="H1114" s="217" t="s">
        <v>1441</v>
      </c>
      <c r="I1114" s="217" t="s">
        <v>29</v>
      </c>
      <c r="J1114" s="217" t="s">
        <v>1856</v>
      </c>
      <c r="K1114" s="217">
        <v>19</v>
      </c>
      <c r="L1114" s="217">
        <v>112</v>
      </c>
      <c r="M1114" s="217" t="s">
        <v>31</v>
      </c>
      <c r="N1114" s="217" t="s">
        <v>32</v>
      </c>
      <c r="O1114" s="217" t="s">
        <v>68</v>
      </c>
      <c r="P1114" s="217" t="s">
        <v>34</v>
      </c>
      <c r="Q1114" s="217" t="s">
        <v>35</v>
      </c>
      <c r="R1114" s="217" t="s">
        <v>23</v>
      </c>
      <c r="S1114" s="217" t="s">
        <v>22</v>
      </c>
      <c r="T1114" s="217" t="s">
        <v>36</v>
      </c>
      <c r="U1114" s="217" t="s">
        <v>37</v>
      </c>
      <c r="V1114" s="217" t="s">
        <v>249</v>
      </c>
      <c r="W1114" s="217" t="s">
        <v>250</v>
      </c>
    </row>
    <row r="1115" spans="1:23" x14ac:dyDescent="0.25">
      <c r="A1115" s="217" t="s">
        <v>22</v>
      </c>
      <c r="B1115" s="217" t="s">
        <v>23</v>
      </c>
      <c r="C1115" s="217" t="s">
        <v>37</v>
      </c>
      <c r="D1115" s="217" t="s">
        <v>36</v>
      </c>
      <c r="E1115" s="217" t="s">
        <v>247</v>
      </c>
      <c r="F1115" s="217" t="s">
        <v>246</v>
      </c>
      <c r="G1115" s="217" t="s">
        <v>577</v>
      </c>
      <c r="H1115" s="217" t="s">
        <v>1441</v>
      </c>
      <c r="I1115" s="217" t="s">
        <v>29</v>
      </c>
      <c r="J1115" s="217" t="s">
        <v>1857</v>
      </c>
      <c r="K1115" s="217">
        <v>5</v>
      </c>
      <c r="L1115" s="217">
        <v>40</v>
      </c>
      <c r="M1115" s="217" t="s">
        <v>31</v>
      </c>
      <c r="N1115" s="217" t="s">
        <v>32</v>
      </c>
      <c r="O1115" s="217" t="s">
        <v>68</v>
      </c>
      <c r="P1115" s="217" t="s">
        <v>34</v>
      </c>
      <c r="Q1115" s="217" t="s">
        <v>35</v>
      </c>
      <c r="R1115" s="217" t="s">
        <v>23</v>
      </c>
      <c r="S1115" s="217" t="s">
        <v>22</v>
      </c>
      <c r="T1115" s="217" t="s">
        <v>36</v>
      </c>
      <c r="U1115" s="217" t="s">
        <v>37</v>
      </c>
      <c r="V1115" s="217" t="s">
        <v>249</v>
      </c>
      <c r="W1115" s="217" t="s">
        <v>250</v>
      </c>
    </row>
    <row r="1116" spans="1:23" x14ac:dyDescent="0.25">
      <c r="A1116" s="217" t="s">
        <v>22</v>
      </c>
      <c r="B1116" s="217" t="s">
        <v>23</v>
      </c>
      <c r="C1116" s="217" t="s">
        <v>37</v>
      </c>
      <c r="D1116" s="217" t="s">
        <v>36</v>
      </c>
      <c r="E1116" s="217" t="s">
        <v>247</v>
      </c>
      <c r="F1116" s="217" t="s">
        <v>246</v>
      </c>
      <c r="G1116" s="217" t="s">
        <v>578</v>
      </c>
      <c r="H1116" s="217" t="s">
        <v>1442</v>
      </c>
      <c r="I1116" s="217" t="s">
        <v>29</v>
      </c>
      <c r="J1116" s="217" t="s">
        <v>1857</v>
      </c>
      <c r="K1116" s="217">
        <v>2</v>
      </c>
      <c r="L1116" s="217">
        <v>14</v>
      </c>
      <c r="M1116" s="217" t="s">
        <v>31</v>
      </c>
      <c r="N1116" s="217" t="s">
        <v>32</v>
      </c>
      <c r="O1116" s="217" t="s">
        <v>68</v>
      </c>
      <c r="P1116" s="217" t="s">
        <v>34</v>
      </c>
      <c r="Q1116" s="217" t="s">
        <v>35</v>
      </c>
      <c r="R1116" s="217" t="s">
        <v>23</v>
      </c>
      <c r="S1116" s="217" t="s">
        <v>22</v>
      </c>
      <c r="T1116" s="217" t="s">
        <v>36</v>
      </c>
      <c r="U1116" s="217" t="s">
        <v>37</v>
      </c>
      <c r="V1116" s="217" t="s">
        <v>249</v>
      </c>
      <c r="W1116" s="217" t="s">
        <v>250</v>
      </c>
    </row>
    <row r="1117" spans="1:23" x14ac:dyDescent="0.25">
      <c r="A1117" s="217" t="s">
        <v>22</v>
      </c>
      <c r="B1117" s="217" t="s">
        <v>23</v>
      </c>
      <c r="C1117" s="217" t="s">
        <v>37</v>
      </c>
      <c r="D1117" s="217" t="s">
        <v>36</v>
      </c>
      <c r="E1117" s="217" t="s">
        <v>247</v>
      </c>
      <c r="F1117" s="217" t="s">
        <v>246</v>
      </c>
      <c r="G1117" s="217" t="s">
        <v>579</v>
      </c>
      <c r="H1117" s="217" t="s">
        <v>1443</v>
      </c>
      <c r="I1117" s="217" t="s">
        <v>29</v>
      </c>
      <c r="J1117" s="217" t="s">
        <v>1855</v>
      </c>
      <c r="K1117" s="217">
        <v>27</v>
      </c>
      <c r="L1117" s="217">
        <v>216</v>
      </c>
      <c r="M1117" s="217" t="s">
        <v>31</v>
      </c>
      <c r="N1117" s="217" t="s">
        <v>32</v>
      </c>
      <c r="O1117" s="217" t="s">
        <v>100</v>
      </c>
      <c r="P1117" s="217" t="s">
        <v>34</v>
      </c>
      <c r="Q1117" s="217" t="s">
        <v>35</v>
      </c>
      <c r="R1117" s="217" t="s">
        <v>23</v>
      </c>
      <c r="S1117" s="217" t="s">
        <v>22</v>
      </c>
      <c r="T1117" s="217" t="s">
        <v>36</v>
      </c>
      <c r="U1117" s="217" t="s">
        <v>37</v>
      </c>
      <c r="V1117" s="217" t="s">
        <v>246</v>
      </c>
      <c r="W1117" s="217" t="s">
        <v>247</v>
      </c>
    </row>
    <row r="1118" spans="1:23" x14ac:dyDescent="0.25">
      <c r="A1118" s="217" t="s">
        <v>22</v>
      </c>
      <c r="B1118" s="217" t="s">
        <v>23</v>
      </c>
      <c r="C1118" s="217" t="s">
        <v>37</v>
      </c>
      <c r="D1118" s="217" t="s">
        <v>36</v>
      </c>
      <c r="E1118" s="217" t="s">
        <v>247</v>
      </c>
      <c r="F1118" s="217" t="s">
        <v>246</v>
      </c>
      <c r="G1118" s="217" t="s">
        <v>579</v>
      </c>
      <c r="H1118" s="217" t="s">
        <v>1443</v>
      </c>
      <c r="I1118" s="217" t="s">
        <v>29</v>
      </c>
      <c r="J1118" s="217" t="s">
        <v>1856</v>
      </c>
      <c r="K1118" s="217">
        <v>9</v>
      </c>
      <c r="L1118" s="217">
        <v>72</v>
      </c>
      <c r="M1118" s="217" t="s">
        <v>31</v>
      </c>
      <c r="N1118" s="217" t="s">
        <v>32</v>
      </c>
      <c r="O1118" s="217" t="s">
        <v>100</v>
      </c>
      <c r="P1118" s="217" t="s">
        <v>34</v>
      </c>
      <c r="Q1118" s="217" t="s">
        <v>35</v>
      </c>
      <c r="R1118" s="217" t="s">
        <v>23</v>
      </c>
      <c r="S1118" s="217" t="s">
        <v>22</v>
      </c>
      <c r="T1118" s="217" t="s">
        <v>36</v>
      </c>
      <c r="U1118" s="217" t="s">
        <v>37</v>
      </c>
      <c r="V1118" s="217" t="s">
        <v>246</v>
      </c>
      <c r="W1118" s="217" t="s">
        <v>247</v>
      </c>
    </row>
    <row r="1119" spans="1:23" x14ac:dyDescent="0.25">
      <c r="A1119" s="217" t="s">
        <v>22</v>
      </c>
      <c r="B1119" s="217" t="s">
        <v>23</v>
      </c>
      <c r="C1119" s="217" t="s">
        <v>37</v>
      </c>
      <c r="D1119" s="217" t="s">
        <v>36</v>
      </c>
      <c r="E1119" s="217" t="s">
        <v>247</v>
      </c>
      <c r="F1119" s="217" t="s">
        <v>246</v>
      </c>
      <c r="G1119" s="217" t="s">
        <v>579</v>
      </c>
      <c r="H1119" s="217" t="s">
        <v>1443</v>
      </c>
      <c r="I1119" s="217" t="s">
        <v>29</v>
      </c>
      <c r="J1119" s="217" t="s">
        <v>1857</v>
      </c>
      <c r="K1119" s="217">
        <v>1</v>
      </c>
      <c r="L1119" s="217">
        <v>16</v>
      </c>
      <c r="M1119" s="217" t="s">
        <v>31</v>
      </c>
      <c r="N1119" s="217" t="s">
        <v>32</v>
      </c>
      <c r="O1119" s="217" t="s">
        <v>100</v>
      </c>
      <c r="P1119" s="217" t="s">
        <v>34</v>
      </c>
      <c r="Q1119" s="217" t="s">
        <v>35</v>
      </c>
      <c r="R1119" s="217" t="s">
        <v>23</v>
      </c>
      <c r="S1119" s="217" t="s">
        <v>22</v>
      </c>
      <c r="T1119" s="217" t="s">
        <v>36</v>
      </c>
      <c r="U1119" s="217" t="s">
        <v>37</v>
      </c>
      <c r="V1119" s="217" t="s">
        <v>246</v>
      </c>
      <c r="W1119" s="217" t="s">
        <v>247</v>
      </c>
    </row>
    <row r="1120" spans="1:23" x14ac:dyDescent="0.25">
      <c r="A1120" s="217" t="s">
        <v>22</v>
      </c>
      <c r="B1120" s="217" t="s">
        <v>23</v>
      </c>
      <c r="C1120" s="217" t="s">
        <v>37</v>
      </c>
      <c r="D1120" s="217" t="s">
        <v>36</v>
      </c>
      <c r="E1120" s="217" t="s">
        <v>247</v>
      </c>
      <c r="F1120" s="217" t="s">
        <v>246</v>
      </c>
      <c r="G1120" s="217" t="s">
        <v>580</v>
      </c>
      <c r="H1120" s="217" t="s">
        <v>1444</v>
      </c>
      <c r="I1120" s="217" t="s">
        <v>29</v>
      </c>
      <c r="J1120" s="217" t="s">
        <v>1855</v>
      </c>
      <c r="K1120" s="217">
        <v>50</v>
      </c>
      <c r="L1120" s="217">
        <v>250</v>
      </c>
      <c r="M1120" s="217" t="s">
        <v>31</v>
      </c>
      <c r="N1120" s="217" t="s">
        <v>32</v>
      </c>
      <c r="O1120" s="217" t="s">
        <v>68</v>
      </c>
      <c r="P1120" s="217" t="s">
        <v>34</v>
      </c>
      <c r="Q1120" s="217" t="s">
        <v>35</v>
      </c>
      <c r="R1120" s="217" t="s">
        <v>23</v>
      </c>
      <c r="S1120" s="217" t="s">
        <v>22</v>
      </c>
      <c r="T1120" s="217" t="s">
        <v>36</v>
      </c>
      <c r="U1120" s="217" t="s">
        <v>37</v>
      </c>
      <c r="V1120" s="217" t="s">
        <v>249</v>
      </c>
      <c r="W1120" s="217" t="s">
        <v>250</v>
      </c>
    </row>
    <row r="1121" spans="1:23" x14ac:dyDescent="0.25">
      <c r="A1121" s="217" t="s">
        <v>22</v>
      </c>
      <c r="B1121" s="217" t="s">
        <v>23</v>
      </c>
      <c r="C1121" s="217" t="s">
        <v>37</v>
      </c>
      <c r="D1121" s="217" t="s">
        <v>36</v>
      </c>
      <c r="E1121" s="217" t="s">
        <v>247</v>
      </c>
      <c r="F1121" s="217" t="s">
        <v>246</v>
      </c>
      <c r="G1121" s="217" t="s">
        <v>580</v>
      </c>
      <c r="H1121" s="217" t="s">
        <v>1444</v>
      </c>
      <c r="I1121" s="217" t="s">
        <v>29</v>
      </c>
      <c r="J1121" s="217" t="s">
        <v>1856</v>
      </c>
      <c r="K1121" s="217">
        <v>10</v>
      </c>
      <c r="L1121" s="217">
        <v>50</v>
      </c>
      <c r="M1121" s="217" t="s">
        <v>31</v>
      </c>
      <c r="N1121" s="217" t="s">
        <v>32</v>
      </c>
      <c r="O1121" s="217" t="s">
        <v>68</v>
      </c>
      <c r="P1121" s="217" t="s">
        <v>34</v>
      </c>
      <c r="Q1121" s="217" t="s">
        <v>35</v>
      </c>
      <c r="R1121" s="217" t="s">
        <v>23</v>
      </c>
      <c r="S1121" s="217" t="s">
        <v>22</v>
      </c>
      <c r="T1121" s="217" t="s">
        <v>36</v>
      </c>
      <c r="U1121" s="217" t="s">
        <v>37</v>
      </c>
      <c r="V1121" s="217" t="s">
        <v>249</v>
      </c>
      <c r="W1121" s="217" t="s">
        <v>250</v>
      </c>
    </row>
    <row r="1122" spans="1:23" x14ac:dyDescent="0.25">
      <c r="A1122" s="217" t="s">
        <v>22</v>
      </c>
      <c r="B1122" s="217" t="s">
        <v>23</v>
      </c>
      <c r="C1122" s="217" t="s">
        <v>37</v>
      </c>
      <c r="D1122" s="217" t="s">
        <v>36</v>
      </c>
      <c r="E1122" s="217" t="s">
        <v>247</v>
      </c>
      <c r="F1122" s="217" t="s">
        <v>246</v>
      </c>
      <c r="G1122" s="217" t="s">
        <v>580</v>
      </c>
      <c r="H1122" s="217" t="s">
        <v>1444</v>
      </c>
      <c r="I1122" s="217" t="s">
        <v>29</v>
      </c>
      <c r="J1122" s="217" t="s">
        <v>1857</v>
      </c>
      <c r="K1122" s="217">
        <v>10</v>
      </c>
      <c r="L1122" s="217">
        <v>50</v>
      </c>
      <c r="M1122" s="217" t="s">
        <v>31</v>
      </c>
      <c r="N1122" s="217" t="s">
        <v>32</v>
      </c>
      <c r="O1122" s="217" t="s">
        <v>68</v>
      </c>
      <c r="P1122" s="217" t="s">
        <v>34</v>
      </c>
      <c r="Q1122" s="217" t="s">
        <v>35</v>
      </c>
      <c r="R1122" s="217" t="s">
        <v>23</v>
      </c>
      <c r="S1122" s="217" t="s">
        <v>22</v>
      </c>
      <c r="T1122" s="217" t="s">
        <v>36</v>
      </c>
      <c r="U1122" s="217" t="s">
        <v>37</v>
      </c>
      <c r="V1122" s="217" t="s">
        <v>249</v>
      </c>
      <c r="W1122" s="217" t="s">
        <v>250</v>
      </c>
    </row>
    <row r="1123" spans="1:23" x14ac:dyDescent="0.25">
      <c r="A1123" s="217" t="s">
        <v>22</v>
      </c>
      <c r="B1123" s="217" t="s">
        <v>23</v>
      </c>
      <c r="C1123" s="217" t="s">
        <v>37</v>
      </c>
      <c r="D1123" s="217" t="s">
        <v>36</v>
      </c>
      <c r="E1123" s="217" t="s">
        <v>247</v>
      </c>
      <c r="F1123" s="217" t="s">
        <v>246</v>
      </c>
      <c r="G1123" s="217" t="s">
        <v>581</v>
      </c>
      <c r="H1123" s="217" t="s">
        <v>1445</v>
      </c>
      <c r="I1123" s="217" t="s">
        <v>29</v>
      </c>
      <c r="J1123" s="217" t="s">
        <v>1855</v>
      </c>
      <c r="K1123" s="217">
        <v>6</v>
      </c>
      <c r="L1123" s="217">
        <v>22</v>
      </c>
      <c r="M1123" s="217" t="s">
        <v>31</v>
      </c>
      <c r="N1123" s="217" t="s">
        <v>32</v>
      </c>
      <c r="O1123" s="217" t="s">
        <v>68</v>
      </c>
      <c r="P1123" s="217" t="s">
        <v>34</v>
      </c>
      <c r="Q1123" s="217" t="s">
        <v>35</v>
      </c>
      <c r="R1123" s="217" t="s">
        <v>23</v>
      </c>
      <c r="S1123" s="217" t="s">
        <v>22</v>
      </c>
      <c r="T1123" s="217" t="s">
        <v>36</v>
      </c>
      <c r="U1123" s="217" t="s">
        <v>37</v>
      </c>
      <c r="V1123" s="217" t="s">
        <v>249</v>
      </c>
      <c r="W1123" s="217" t="s">
        <v>250</v>
      </c>
    </row>
    <row r="1124" spans="1:23" x14ac:dyDescent="0.25">
      <c r="A1124" s="217" t="s">
        <v>22</v>
      </c>
      <c r="B1124" s="217" t="s">
        <v>23</v>
      </c>
      <c r="C1124" s="217" t="s">
        <v>37</v>
      </c>
      <c r="D1124" s="217" t="s">
        <v>36</v>
      </c>
      <c r="E1124" s="217" t="s">
        <v>247</v>
      </c>
      <c r="F1124" s="217" t="s">
        <v>246</v>
      </c>
      <c r="G1124" s="217" t="s">
        <v>581</v>
      </c>
      <c r="H1124" s="217" t="s">
        <v>1445</v>
      </c>
      <c r="I1124" s="217" t="s">
        <v>29</v>
      </c>
      <c r="J1124" s="217" t="s">
        <v>1856</v>
      </c>
      <c r="K1124" s="217">
        <v>3</v>
      </c>
      <c r="L1124" s="217">
        <v>23</v>
      </c>
      <c r="M1124" s="217" t="s">
        <v>31</v>
      </c>
      <c r="N1124" s="217" t="s">
        <v>32</v>
      </c>
      <c r="O1124" s="217" t="s">
        <v>68</v>
      </c>
      <c r="P1124" s="217" t="s">
        <v>34</v>
      </c>
      <c r="Q1124" s="217" t="s">
        <v>35</v>
      </c>
      <c r="R1124" s="217" t="s">
        <v>23</v>
      </c>
      <c r="S1124" s="217" t="s">
        <v>22</v>
      </c>
      <c r="T1124" s="217" t="s">
        <v>36</v>
      </c>
      <c r="U1124" s="217" t="s">
        <v>37</v>
      </c>
      <c r="V1124" s="217" t="s">
        <v>249</v>
      </c>
      <c r="W1124" s="217" t="s">
        <v>250</v>
      </c>
    </row>
    <row r="1125" spans="1:23" x14ac:dyDescent="0.25">
      <c r="A1125" s="217" t="s">
        <v>22</v>
      </c>
      <c r="B1125" s="217" t="s">
        <v>23</v>
      </c>
      <c r="C1125" s="217" t="s">
        <v>37</v>
      </c>
      <c r="D1125" s="217" t="s">
        <v>36</v>
      </c>
      <c r="E1125" s="217" t="s">
        <v>247</v>
      </c>
      <c r="F1125" s="217" t="s">
        <v>246</v>
      </c>
      <c r="G1125" s="217" t="s">
        <v>2047</v>
      </c>
      <c r="H1125" s="217" t="s">
        <v>2046</v>
      </c>
      <c r="I1125" s="217" t="s">
        <v>29</v>
      </c>
      <c r="J1125" s="217" t="s">
        <v>1858</v>
      </c>
      <c r="K1125" s="217">
        <v>256</v>
      </c>
      <c r="L1125" s="217">
        <v>1709</v>
      </c>
      <c r="M1125" s="217" t="s">
        <v>31</v>
      </c>
      <c r="N1125" s="217" t="s">
        <v>32</v>
      </c>
      <c r="O1125" s="217" t="s">
        <v>100</v>
      </c>
      <c r="P1125" s="217" t="s">
        <v>34</v>
      </c>
      <c r="Q1125" s="217" t="s">
        <v>35</v>
      </c>
      <c r="R1125" s="217" t="s">
        <v>23</v>
      </c>
      <c r="S1125" s="217" t="s">
        <v>22</v>
      </c>
      <c r="T1125" s="217" t="s">
        <v>36</v>
      </c>
      <c r="U1125" s="217" t="s">
        <v>37</v>
      </c>
      <c r="V1125" s="217" t="s">
        <v>246</v>
      </c>
      <c r="W1125" s="217" t="s">
        <v>247</v>
      </c>
    </row>
    <row r="1126" spans="1:23" x14ac:dyDescent="0.25">
      <c r="A1126" s="217" t="s">
        <v>22</v>
      </c>
      <c r="B1126" s="217" t="s">
        <v>23</v>
      </c>
      <c r="C1126" s="217" t="s">
        <v>37</v>
      </c>
      <c r="D1126" s="217" t="s">
        <v>36</v>
      </c>
      <c r="E1126" s="217" t="s">
        <v>247</v>
      </c>
      <c r="F1126" s="217" t="s">
        <v>246</v>
      </c>
      <c r="G1126" s="217" t="s">
        <v>582</v>
      </c>
      <c r="H1126" s="217" t="s">
        <v>1446</v>
      </c>
      <c r="I1126" s="217" t="s">
        <v>29</v>
      </c>
      <c r="J1126" s="217" t="s">
        <v>1855</v>
      </c>
      <c r="K1126" s="217">
        <v>103</v>
      </c>
      <c r="L1126" s="217">
        <v>515</v>
      </c>
      <c r="M1126" s="217" t="s">
        <v>31</v>
      </c>
      <c r="N1126" s="217" t="s">
        <v>32</v>
      </c>
      <c r="O1126" s="217" t="s">
        <v>68</v>
      </c>
      <c r="P1126" s="217" t="s">
        <v>34</v>
      </c>
      <c r="Q1126" s="217" t="s">
        <v>35</v>
      </c>
      <c r="R1126" s="217" t="s">
        <v>23</v>
      </c>
      <c r="S1126" s="217" t="s">
        <v>22</v>
      </c>
      <c r="T1126" s="217" t="s">
        <v>36</v>
      </c>
      <c r="U1126" s="217" t="s">
        <v>37</v>
      </c>
      <c r="V1126" s="217" t="s">
        <v>249</v>
      </c>
      <c r="W1126" s="217" t="s">
        <v>250</v>
      </c>
    </row>
    <row r="1127" spans="1:23" x14ac:dyDescent="0.25">
      <c r="A1127" s="217" t="s">
        <v>22</v>
      </c>
      <c r="B1127" s="217" t="s">
        <v>23</v>
      </c>
      <c r="C1127" s="217" t="s">
        <v>37</v>
      </c>
      <c r="D1127" s="217" t="s">
        <v>36</v>
      </c>
      <c r="E1127" s="217" t="s">
        <v>247</v>
      </c>
      <c r="F1127" s="217" t="s">
        <v>246</v>
      </c>
      <c r="G1127" s="217" t="s">
        <v>582</v>
      </c>
      <c r="H1127" s="217" t="s">
        <v>1446</v>
      </c>
      <c r="I1127" s="217" t="s">
        <v>29</v>
      </c>
      <c r="J1127" s="217" t="s">
        <v>1856</v>
      </c>
      <c r="K1127" s="217">
        <v>40</v>
      </c>
      <c r="L1127" s="217">
        <v>200</v>
      </c>
      <c r="M1127" s="217" t="s">
        <v>31</v>
      </c>
      <c r="N1127" s="217" t="s">
        <v>32</v>
      </c>
      <c r="O1127" s="217" t="s">
        <v>68</v>
      </c>
      <c r="P1127" s="217" t="s">
        <v>34</v>
      </c>
      <c r="Q1127" s="217" t="s">
        <v>35</v>
      </c>
      <c r="R1127" s="217" t="s">
        <v>23</v>
      </c>
      <c r="S1127" s="217" t="s">
        <v>22</v>
      </c>
      <c r="T1127" s="217" t="s">
        <v>36</v>
      </c>
      <c r="U1127" s="217" t="s">
        <v>37</v>
      </c>
      <c r="V1127" s="217" t="s">
        <v>249</v>
      </c>
      <c r="W1127" s="217" t="s">
        <v>250</v>
      </c>
    </row>
    <row r="1128" spans="1:23" x14ac:dyDescent="0.25">
      <c r="A1128" s="217" t="s">
        <v>22</v>
      </c>
      <c r="B1128" s="217" t="s">
        <v>23</v>
      </c>
      <c r="C1128" s="217" t="s">
        <v>37</v>
      </c>
      <c r="D1128" s="217" t="s">
        <v>36</v>
      </c>
      <c r="E1128" s="217" t="s">
        <v>247</v>
      </c>
      <c r="F1128" s="217" t="s">
        <v>246</v>
      </c>
      <c r="G1128" s="217" t="s">
        <v>582</v>
      </c>
      <c r="H1128" s="217" t="s">
        <v>1446</v>
      </c>
      <c r="I1128" s="217" t="s">
        <v>29</v>
      </c>
      <c r="J1128" s="217" t="s">
        <v>1857</v>
      </c>
      <c r="K1128" s="217">
        <v>10</v>
      </c>
      <c r="L1128" s="217">
        <v>50</v>
      </c>
      <c r="M1128" s="217" t="s">
        <v>31</v>
      </c>
      <c r="N1128" s="217" t="s">
        <v>32</v>
      </c>
      <c r="O1128" s="217" t="s">
        <v>68</v>
      </c>
      <c r="P1128" s="217" t="s">
        <v>34</v>
      </c>
      <c r="Q1128" s="217" t="s">
        <v>35</v>
      </c>
      <c r="R1128" s="217" t="s">
        <v>23</v>
      </c>
      <c r="S1128" s="217" t="s">
        <v>22</v>
      </c>
      <c r="T1128" s="217" t="s">
        <v>36</v>
      </c>
      <c r="U1128" s="217" t="s">
        <v>37</v>
      </c>
      <c r="V1128" s="217" t="s">
        <v>249</v>
      </c>
      <c r="W1128" s="217" t="s">
        <v>250</v>
      </c>
    </row>
    <row r="1129" spans="1:23" x14ac:dyDescent="0.25">
      <c r="A1129" s="217" t="s">
        <v>22</v>
      </c>
      <c r="B1129" s="217" t="s">
        <v>23</v>
      </c>
      <c r="C1129" s="217" t="s">
        <v>37</v>
      </c>
      <c r="D1129" s="217" t="s">
        <v>36</v>
      </c>
      <c r="E1129" s="217" t="s">
        <v>247</v>
      </c>
      <c r="F1129" s="217" t="s">
        <v>246</v>
      </c>
      <c r="G1129" s="217" t="s">
        <v>582</v>
      </c>
      <c r="H1129" s="217" t="s">
        <v>1446</v>
      </c>
      <c r="I1129" s="217" t="s">
        <v>29</v>
      </c>
      <c r="J1129" s="217" t="s">
        <v>1858</v>
      </c>
      <c r="K1129" s="217">
        <v>63</v>
      </c>
      <c r="L1129" s="217">
        <v>315</v>
      </c>
      <c r="M1129" s="217" t="s">
        <v>31</v>
      </c>
      <c r="N1129" s="217" t="s">
        <v>32</v>
      </c>
      <c r="O1129" s="217" t="s">
        <v>68</v>
      </c>
      <c r="P1129" s="217" t="s">
        <v>34</v>
      </c>
      <c r="Q1129" s="217" t="s">
        <v>35</v>
      </c>
      <c r="R1129" s="217" t="s">
        <v>23</v>
      </c>
      <c r="S1129" s="217" t="s">
        <v>22</v>
      </c>
      <c r="T1129" s="217" t="s">
        <v>36</v>
      </c>
      <c r="U1129" s="217" t="s">
        <v>37</v>
      </c>
      <c r="V1129" s="217" t="s">
        <v>249</v>
      </c>
      <c r="W1129" s="217" t="s">
        <v>250</v>
      </c>
    </row>
    <row r="1130" spans="1:23" x14ac:dyDescent="0.25">
      <c r="A1130" s="217" t="s">
        <v>22</v>
      </c>
      <c r="B1130" s="217" t="s">
        <v>23</v>
      </c>
      <c r="C1130" s="217" t="s">
        <v>37</v>
      </c>
      <c r="D1130" s="217" t="s">
        <v>36</v>
      </c>
      <c r="E1130" s="217" t="s">
        <v>247</v>
      </c>
      <c r="F1130" s="217" t="s">
        <v>246</v>
      </c>
      <c r="G1130" s="217" t="s">
        <v>242</v>
      </c>
      <c r="H1130" s="217" t="s">
        <v>1448</v>
      </c>
      <c r="I1130" s="217" t="s">
        <v>29</v>
      </c>
      <c r="J1130" s="217" t="s">
        <v>1856</v>
      </c>
      <c r="K1130" s="217">
        <v>56</v>
      </c>
      <c r="L1130" s="217">
        <v>448</v>
      </c>
      <c r="M1130" s="217" t="s">
        <v>31</v>
      </c>
      <c r="N1130" s="217" t="s">
        <v>32</v>
      </c>
      <c r="O1130" s="217" t="s">
        <v>33</v>
      </c>
      <c r="P1130" s="217" t="s">
        <v>34</v>
      </c>
      <c r="Q1130" s="217" t="s">
        <v>35</v>
      </c>
      <c r="R1130" s="217" t="s">
        <v>23</v>
      </c>
      <c r="S1130" s="217" t="s">
        <v>22</v>
      </c>
      <c r="T1130" s="217" t="s">
        <v>47</v>
      </c>
      <c r="U1130" s="217" t="s">
        <v>48</v>
      </c>
      <c r="V1130" s="217" t="s">
        <v>231</v>
      </c>
      <c r="W1130" s="217" t="s">
        <v>232</v>
      </c>
    </row>
    <row r="1131" spans="1:23" x14ac:dyDescent="0.25">
      <c r="A1131" s="217" t="s">
        <v>22</v>
      </c>
      <c r="B1131" s="217" t="s">
        <v>23</v>
      </c>
      <c r="C1131" s="217" t="s">
        <v>37</v>
      </c>
      <c r="D1131" s="217" t="s">
        <v>36</v>
      </c>
      <c r="E1131" s="217" t="s">
        <v>247</v>
      </c>
      <c r="F1131" s="217" t="s">
        <v>246</v>
      </c>
      <c r="G1131" s="217" t="s">
        <v>242</v>
      </c>
      <c r="H1131" s="217" t="s">
        <v>1448</v>
      </c>
      <c r="I1131" s="217" t="s">
        <v>29</v>
      </c>
      <c r="J1131" s="217" t="s">
        <v>1857</v>
      </c>
      <c r="K1131" s="217">
        <v>52</v>
      </c>
      <c r="L1131" s="217">
        <v>416</v>
      </c>
      <c r="M1131" s="217" t="s">
        <v>31</v>
      </c>
      <c r="N1131" s="217" t="s">
        <v>32</v>
      </c>
      <c r="O1131" s="217" t="s">
        <v>68</v>
      </c>
      <c r="P1131" s="217" t="s">
        <v>34</v>
      </c>
      <c r="Q1131" s="217" t="s">
        <v>35</v>
      </c>
      <c r="R1131" s="217" t="s">
        <v>23</v>
      </c>
      <c r="S1131" s="217" t="s">
        <v>22</v>
      </c>
      <c r="T1131" s="217" t="s">
        <v>36</v>
      </c>
      <c r="U1131" s="217" t="s">
        <v>37</v>
      </c>
      <c r="V1131" s="217" t="s">
        <v>609</v>
      </c>
      <c r="W1131" s="217" t="s">
        <v>608</v>
      </c>
    </row>
    <row r="1132" spans="1:23" x14ac:dyDescent="0.25">
      <c r="A1132" s="217" t="s">
        <v>22</v>
      </c>
      <c r="B1132" s="217" t="s">
        <v>23</v>
      </c>
      <c r="C1132" s="217" t="s">
        <v>37</v>
      </c>
      <c r="D1132" s="217" t="s">
        <v>36</v>
      </c>
      <c r="E1132" s="217" t="s">
        <v>247</v>
      </c>
      <c r="F1132" s="217" t="s">
        <v>246</v>
      </c>
      <c r="G1132" s="217" t="s">
        <v>242</v>
      </c>
      <c r="H1132" s="217" t="s">
        <v>1448</v>
      </c>
      <c r="I1132" s="217" t="s">
        <v>29</v>
      </c>
      <c r="J1132" s="217" t="s">
        <v>1858</v>
      </c>
      <c r="K1132" s="217">
        <v>5</v>
      </c>
      <c r="L1132" s="217">
        <v>32</v>
      </c>
      <c r="M1132" s="217" t="s">
        <v>31</v>
      </c>
      <c r="N1132" s="217" t="s">
        <v>32</v>
      </c>
      <c r="O1132" s="217" t="s">
        <v>33</v>
      </c>
      <c r="P1132" s="217" t="s">
        <v>34</v>
      </c>
      <c r="Q1132" s="217" t="s">
        <v>35</v>
      </c>
      <c r="R1132" s="217" t="s">
        <v>23</v>
      </c>
      <c r="S1132" s="217" t="s">
        <v>22</v>
      </c>
      <c r="T1132" s="217" t="s">
        <v>47</v>
      </c>
      <c r="U1132" s="217" t="s">
        <v>48</v>
      </c>
      <c r="V1132" s="217" t="s">
        <v>61</v>
      </c>
      <c r="W1132" s="217" t="s">
        <v>62</v>
      </c>
    </row>
    <row r="1133" spans="1:23" x14ac:dyDescent="0.25">
      <c r="A1133" s="217" t="s">
        <v>22</v>
      </c>
      <c r="B1133" s="217" t="s">
        <v>23</v>
      </c>
      <c r="C1133" s="217" t="s">
        <v>37</v>
      </c>
      <c r="D1133" s="217" t="s">
        <v>36</v>
      </c>
      <c r="E1133" s="217" t="s">
        <v>247</v>
      </c>
      <c r="F1133" s="217" t="s">
        <v>246</v>
      </c>
      <c r="G1133" s="217" t="s">
        <v>242</v>
      </c>
      <c r="H1133" s="217" t="s">
        <v>1448</v>
      </c>
      <c r="I1133" s="217" t="s">
        <v>29</v>
      </c>
      <c r="J1133" s="217" t="s">
        <v>1859</v>
      </c>
      <c r="K1133" s="217">
        <v>7</v>
      </c>
      <c r="L1133" s="217">
        <v>56</v>
      </c>
      <c r="M1133" s="217" t="s">
        <v>31</v>
      </c>
      <c r="N1133" s="217" t="s">
        <v>32</v>
      </c>
      <c r="O1133" s="217" t="s">
        <v>33</v>
      </c>
      <c r="P1133" s="217" t="s">
        <v>34</v>
      </c>
      <c r="Q1133" s="217" t="s">
        <v>35</v>
      </c>
      <c r="R1133" s="217" t="s">
        <v>23</v>
      </c>
      <c r="S1133" s="217" t="s">
        <v>22</v>
      </c>
      <c r="T1133" s="217" t="s">
        <v>47</v>
      </c>
      <c r="U1133" s="217" t="s">
        <v>48</v>
      </c>
      <c r="V1133" s="217" t="s">
        <v>61</v>
      </c>
      <c r="W1133" s="217" t="s">
        <v>62</v>
      </c>
    </row>
    <row r="1134" spans="1:23" x14ac:dyDescent="0.25">
      <c r="A1134" s="217" t="s">
        <v>22</v>
      </c>
      <c r="B1134" s="217" t="s">
        <v>23</v>
      </c>
      <c r="C1134" s="217" t="s">
        <v>37</v>
      </c>
      <c r="D1134" s="217" t="s">
        <v>36</v>
      </c>
      <c r="E1134" s="217" t="s">
        <v>247</v>
      </c>
      <c r="F1134" s="217" t="s">
        <v>246</v>
      </c>
      <c r="G1134" s="217" t="s">
        <v>584</v>
      </c>
      <c r="H1134" s="217" t="s">
        <v>1449</v>
      </c>
      <c r="I1134" s="217" t="s">
        <v>29</v>
      </c>
      <c r="J1134" s="217" t="s">
        <v>1856</v>
      </c>
      <c r="K1134" s="217">
        <v>50</v>
      </c>
      <c r="L1134" s="217">
        <v>300</v>
      </c>
      <c r="M1134" s="217" t="s">
        <v>31</v>
      </c>
      <c r="N1134" s="217" t="s">
        <v>32</v>
      </c>
      <c r="O1134" s="217" t="s">
        <v>68</v>
      </c>
      <c r="P1134" s="217" t="s">
        <v>34</v>
      </c>
      <c r="Q1134" s="217" t="s">
        <v>35</v>
      </c>
      <c r="R1134" s="217" t="s">
        <v>23</v>
      </c>
      <c r="S1134" s="217" t="s">
        <v>22</v>
      </c>
      <c r="T1134" s="217" t="s">
        <v>36</v>
      </c>
      <c r="U1134" s="217" t="s">
        <v>37</v>
      </c>
      <c r="V1134" s="217" t="s">
        <v>249</v>
      </c>
      <c r="W1134" s="217" t="s">
        <v>250</v>
      </c>
    </row>
    <row r="1135" spans="1:23" x14ac:dyDescent="0.25">
      <c r="A1135" s="217" t="s">
        <v>22</v>
      </c>
      <c r="B1135" s="217" t="s">
        <v>23</v>
      </c>
      <c r="C1135" s="217" t="s">
        <v>37</v>
      </c>
      <c r="D1135" s="217" t="s">
        <v>36</v>
      </c>
      <c r="E1135" s="217" t="s">
        <v>247</v>
      </c>
      <c r="F1135" s="217" t="s">
        <v>246</v>
      </c>
      <c r="G1135" s="217" t="s">
        <v>584</v>
      </c>
      <c r="H1135" s="217" t="s">
        <v>1449</v>
      </c>
      <c r="I1135" s="217" t="s">
        <v>29</v>
      </c>
      <c r="J1135" s="217" t="s">
        <v>1857</v>
      </c>
      <c r="K1135" s="217">
        <v>41</v>
      </c>
      <c r="L1135" s="217">
        <v>245</v>
      </c>
      <c r="M1135" s="217" t="s">
        <v>31</v>
      </c>
      <c r="N1135" s="217" t="s">
        <v>32</v>
      </c>
      <c r="O1135" s="217" t="s">
        <v>68</v>
      </c>
      <c r="P1135" s="217" t="s">
        <v>34</v>
      </c>
      <c r="Q1135" s="217" t="s">
        <v>35</v>
      </c>
      <c r="R1135" s="217" t="s">
        <v>23</v>
      </c>
      <c r="S1135" s="217" t="s">
        <v>22</v>
      </c>
      <c r="T1135" s="217" t="s">
        <v>36</v>
      </c>
      <c r="U1135" s="217" t="s">
        <v>37</v>
      </c>
      <c r="V1135" s="217" t="s">
        <v>249</v>
      </c>
      <c r="W1135" s="217" t="s">
        <v>250</v>
      </c>
    </row>
    <row r="1136" spans="1:23" x14ac:dyDescent="0.25">
      <c r="A1136" s="217" t="s">
        <v>22</v>
      </c>
      <c r="B1136" s="217" t="s">
        <v>23</v>
      </c>
      <c r="C1136" s="217" t="s">
        <v>37</v>
      </c>
      <c r="D1136" s="217" t="s">
        <v>36</v>
      </c>
      <c r="E1136" s="217" t="s">
        <v>247</v>
      </c>
      <c r="F1136" s="217" t="s">
        <v>246</v>
      </c>
      <c r="G1136" s="217" t="s">
        <v>584</v>
      </c>
      <c r="H1136" s="217" t="s">
        <v>1449</v>
      </c>
      <c r="I1136" s="217" t="s">
        <v>29</v>
      </c>
      <c r="J1136" s="217" t="s">
        <v>1858</v>
      </c>
      <c r="K1136" s="217">
        <v>1</v>
      </c>
      <c r="L1136" s="217">
        <v>6</v>
      </c>
      <c r="M1136" s="217" t="s">
        <v>31</v>
      </c>
      <c r="N1136" s="217" t="s">
        <v>32</v>
      </c>
      <c r="O1136" s="217" t="s">
        <v>68</v>
      </c>
      <c r="P1136" s="217" t="s">
        <v>34</v>
      </c>
      <c r="Q1136" s="217" t="s">
        <v>35</v>
      </c>
      <c r="R1136" s="217" t="s">
        <v>23</v>
      </c>
      <c r="S1136" s="217" t="s">
        <v>22</v>
      </c>
      <c r="T1136" s="217" t="s">
        <v>36</v>
      </c>
      <c r="U1136" s="217" t="s">
        <v>37</v>
      </c>
      <c r="V1136" s="217" t="s">
        <v>249</v>
      </c>
      <c r="W1136" s="217" t="s">
        <v>250</v>
      </c>
    </row>
    <row r="1137" spans="1:23" x14ac:dyDescent="0.25">
      <c r="A1137" s="217" t="s">
        <v>22</v>
      </c>
      <c r="B1137" s="217" t="s">
        <v>23</v>
      </c>
      <c r="C1137" s="217" t="s">
        <v>37</v>
      </c>
      <c r="D1137" s="217" t="s">
        <v>36</v>
      </c>
      <c r="E1137" s="217" t="s">
        <v>247</v>
      </c>
      <c r="F1137" s="217" t="s">
        <v>246</v>
      </c>
      <c r="G1137" s="217" t="s">
        <v>585</v>
      </c>
      <c r="H1137" s="217" t="s">
        <v>1450</v>
      </c>
      <c r="I1137" s="217" t="s">
        <v>29</v>
      </c>
      <c r="J1137" s="217" t="s">
        <v>1855</v>
      </c>
      <c r="K1137" s="217">
        <v>5</v>
      </c>
      <c r="L1137" s="217">
        <v>34</v>
      </c>
      <c r="M1137" s="217" t="s">
        <v>31</v>
      </c>
      <c r="N1137" s="217" t="s">
        <v>32</v>
      </c>
      <c r="O1137" s="217" t="s">
        <v>68</v>
      </c>
      <c r="P1137" s="217" t="s">
        <v>34</v>
      </c>
      <c r="Q1137" s="217" t="s">
        <v>35</v>
      </c>
      <c r="R1137" s="217" t="s">
        <v>23</v>
      </c>
      <c r="S1137" s="217" t="s">
        <v>22</v>
      </c>
      <c r="T1137" s="217" t="s">
        <v>36</v>
      </c>
      <c r="U1137" s="217" t="s">
        <v>37</v>
      </c>
      <c r="V1137" s="217" t="s">
        <v>249</v>
      </c>
      <c r="W1137" s="217" t="s">
        <v>250</v>
      </c>
    </row>
    <row r="1138" spans="1:23" x14ac:dyDescent="0.25">
      <c r="A1138" s="217" t="s">
        <v>22</v>
      </c>
      <c r="B1138" s="217" t="s">
        <v>23</v>
      </c>
      <c r="C1138" s="217" t="s">
        <v>37</v>
      </c>
      <c r="D1138" s="217" t="s">
        <v>36</v>
      </c>
      <c r="E1138" s="217" t="s">
        <v>247</v>
      </c>
      <c r="F1138" s="217" t="s">
        <v>246</v>
      </c>
      <c r="G1138" s="217" t="s">
        <v>585</v>
      </c>
      <c r="H1138" s="217" t="s">
        <v>1450</v>
      </c>
      <c r="I1138" s="217" t="s">
        <v>29</v>
      </c>
      <c r="J1138" s="217" t="s">
        <v>1856</v>
      </c>
      <c r="K1138" s="217">
        <v>3</v>
      </c>
      <c r="L1138" s="217">
        <v>22</v>
      </c>
      <c r="M1138" s="217" t="s">
        <v>31</v>
      </c>
      <c r="N1138" s="217" t="s">
        <v>32</v>
      </c>
      <c r="O1138" s="217" t="s">
        <v>68</v>
      </c>
      <c r="P1138" s="217" t="s">
        <v>34</v>
      </c>
      <c r="Q1138" s="217" t="s">
        <v>35</v>
      </c>
      <c r="R1138" s="217" t="s">
        <v>23</v>
      </c>
      <c r="S1138" s="217" t="s">
        <v>22</v>
      </c>
      <c r="T1138" s="217" t="s">
        <v>36</v>
      </c>
      <c r="U1138" s="217" t="s">
        <v>37</v>
      </c>
      <c r="V1138" s="217" t="s">
        <v>249</v>
      </c>
      <c r="W1138" s="217" t="s">
        <v>250</v>
      </c>
    </row>
    <row r="1139" spans="1:23" x14ac:dyDescent="0.25">
      <c r="A1139" s="217" t="s">
        <v>22</v>
      </c>
      <c r="B1139" s="217" t="s">
        <v>23</v>
      </c>
      <c r="C1139" s="217" t="s">
        <v>37</v>
      </c>
      <c r="D1139" s="217" t="s">
        <v>36</v>
      </c>
      <c r="E1139" s="217" t="s">
        <v>247</v>
      </c>
      <c r="F1139" s="217" t="s">
        <v>246</v>
      </c>
      <c r="G1139" s="217" t="s">
        <v>585</v>
      </c>
      <c r="H1139" s="217" t="s">
        <v>1450</v>
      </c>
      <c r="I1139" s="217" t="s">
        <v>29</v>
      </c>
      <c r="J1139" s="217" t="s">
        <v>1857</v>
      </c>
      <c r="K1139" s="217">
        <v>2</v>
      </c>
      <c r="L1139" s="217">
        <v>14</v>
      </c>
      <c r="M1139" s="217" t="s">
        <v>31</v>
      </c>
      <c r="N1139" s="217" t="s">
        <v>32</v>
      </c>
      <c r="O1139" s="217" t="s">
        <v>68</v>
      </c>
      <c r="P1139" s="217" t="s">
        <v>34</v>
      </c>
      <c r="Q1139" s="217" t="s">
        <v>35</v>
      </c>
      <c r="R1139" s="217" t="s">
        <v>23</v>
      </c>
      <c r="S1139" s="217" t="s">
        <v>22</v>
      </c>
      <c r="T1139" s="217" t="s">
        <v>36</v>
      </c>
      <c r="U1139" s="217" t="s">
        <v>37</v>
      </c>
      <c r="V1139" s="217" t="s">
        <v>249</v>
      </c>
      <c r="W1139" s="217" t="s">
        <v>250</v>
      </c>
    </row>
    <row r="1140" spans="1:23" x14ac:dyDescent="0.25">
      <c r="A1140" s="217" t="s">
        <v>22</v>
      </c>
      <c r="B1140" s="217" t="s">
        <v>23</v>
      </c>
      <c r="C1140" s="217" t="s">
        <v>37</v>
      </c>
      <c r="D1140" s="217" t="s">
        <v>36</v>
      </c>
      <c r="E1140" s="217" t="s">
        <v>247</v>
      </c>
      <c r="F1140" s="217" t="s">
        <v>246</v>
      </c>
      <c r="G1140" s="217" t="s">
        <v>585</v>
      </c>
      <c r="H1140" s="217" t="s">
        <v>1450</v>
      </c>
      <c r="I1140" s="217" t="s">
        <v>29</v>
      </c>
      <c r="J1140" s="217" t="s">
        <v>1858</v>
      </c>
      <c r="K1140" s="217">
        <v>2</v>
      </c>
      <c r="L1140" s="217">
        <v>10</v>
      </c>
      <c r="M1140" s="217" t="s">
        <v>31</v>
      </c>
      <c r="N1140" s="217" t="s">
        <v>32</v>
      </c>
      <c r="O1140" s="217" t="s">
        <v>68</v>
      </c>
      <c r="P1140" s="217" t="s">
        <v>34</v>
      </c>
      <c r="Q1140" s="217" t="s">
        <v>35</v>
      </c>
      <c r="R1140" s="217" t="s">
        <v>23</v>
      </c>
      <c r="S1140" s="217" t="s">
        <v>22</v>
      </c>
      <c r="T1140" s="217" t="s">
        <v>36</v>
      </c>
      <c r="U1140" s="217" t="s">
        <v>37</v>
      </c>
      <c r="V1140" s="217" t="s">
        <v>249</v>
      </c>
      <c r="W1140" s="217" t="s">
        <v>250</v>
      </c>
    </row>
    <row r="1141" spans="1:23" x14ac:dyDescent="0.25">
      <c r="A1141" s="217" t="s">
        <v>22</v>
      </c>
      <c r="B1141" s="217" t="s">
        <v>23</v>
      </c>
      <c r="C1141" s="217" t="s">
        <v>37</v>
      </c>
      <c r="D1141" s="217" t="s">
        <v>36</v>
      </c>
      <c r="E1141" s="217" t="s">
        <v>247</v>
      </c>
      <c r="F1141" s="217" t="s">
        <v>246</v>
      </c>
      <c r="G1141" s="217" t="s">
        <v>586</v>
      </c>
      <c r="H1141" s="217" t="s">
        <v>1451</v>
      </c>
      <c r="I1141" s="217" t="s">
        <v>29</v>
      </c>
      <c r="J1141" s="217" t="s">
        <v>1855</v>
      </c>
      <c r="K1141" s="217">
        <v>15</v>
      </c>
      <c r="L1141" s="217">
        <v>75</v>
      </c>
      <c r="M1141" s="217" t="s">
        <v>31</v>
      </c>
      <c r="N1141" s="217" t="s">
        <v>32</v>
      </c>
      <c r="O1141" s="217" t="s">
        <v>68</v>
      </c>
      <c r="P1141" s="217" t="s">
        <v>34</v>
      </c>
      <c r="Q1141" s="217" t="s">
        <v>35</v>
      </c>
      <c r="R1141" s="217" t="s">
        <v>23</v>
      </c>
      <c r="S1141" s="217" t="s">
        <v>22</v>
      </c>
      <c r="T1141" s="217" t="s">
        <v>36</v>
      </c>
      <c r="U1141" s="217" t="s">
        <v>37</v>
      </c>
      <c r="V1141" s="217" t="s">
        <v>249</v>
      </c>
      <c r="W1141" s="217" t="s">
        <v>250</v>
      </c>
    </row>
    <row r="1142" spans="1:23" x14ac:dyDescent="0.25">
      <c r="A1142" s="217" t="s">
        <v>22</v>
      </c>
      <c r="B1142" s="217" t="s">
        <v>23</v>
      </c>
      <c r="C1142" s="217" t="s">
        <v>37</v>
      </c>
      <c r="D1142" s="217" t="s">
        <v>36</v>
      </c>
      <c r="E1142" s="217" t="s">
        <v>247</v>
      </c>
      <c r="F1142" s="217" t="s">
        <v>246</v>
      </c>
      <c r="G1142" s="217" t="s">
        <v>586</v>
      </c>
      <c r="H1142" s="217" t="s">
        <v>1451</v>
      </c>
      <c r="I1142" s="217" t="s">
        <v>29</v>
      </c>
      <c r="J1142" s="217" t="s">
        <v>1856</v>
      </c>
      <c r="K1142" s="217">
        <v>8</v>
      </c>
      <c r="L1142" s="217">
        <v>40</v>
      </c>
      <c r="M1142" s="217" t="s">
        <v>31</v>
      </c>
      <c r="N1142" s="217" t="s">
        <v>32</v>
      </c>
      <c r="O1142" s="217" t="s">
        <v>68</v>
      </c>
      <c r="P1142" s="217" t="s">
        <v>34</v>
      </c>
      <c r="Q1142" s="217" t="s">
        <v>35</v>
      </c>
      <c r="R1142" s="217" t="s">
        <v>23</v>
      </c>
      <c r="S1142" s="217" t="s">
        <v>22</v>
      </c>
      <c r="T1142" s="217" t="s">
        <v>36</v>
      </c>
      <c r="U1142" s="217" t="s">
        <v>37</v>
      </c>
      <c r="V1142" s="217" t="s">
        <v>249</v>
      </c>
      <c r="W1142" s="217" t="s">
        <v>250</v>
      </c>
    </row>
    <row r="1143" spans="1:23" x14ac:dyDescent="0.25">
      <c r="A1143" s="217" t="s">
        <v>22</v>
      </c>
      <c r="B1143" s="217" t="s">
        <v>23</v>
      </c>
      <c r="C1143" s="217" t="s">
        <v>37</v>
      </c>
      <c r="D1143" s="217" t="s">
        <v>36</v>
      </c>
      <c r="E1143" s="217" t="s">
        <v>247</v>
      </c>
      <c r="F1143" s="217" t="s">
        <v>246</v>
      </c>
      <c r="G1143" s="217" t="s">
        <v>586</v>
      </c>
      <c r="H1143" s="217" t="s">
        <v>1451</v>
      </c>
      <c r="I1143" s="217" t="s">
        <v>29</v>
      </c>
      <c r="J1143" s="217" t="s">
        <v>1857</v>
      </c>
      <c r="K1143" s="217">
        <v>1</v>
      </c>
      <c r="L1143" s="217">
        <v>5</v>
      </c>
      <c r="M1143" s="217" t="s">
        <v>31</v>
      </c>
      <c r="N1143" s="217" t="s">
        <v>32</v>
      </c>
      <c r="O1143" s="217" t="s">
        <v>68</v>
      </c>
      <c r="P1143" s="217" t="s">
        <v>34</v>
      </c>
      <c r="Q1143" s="217" t="s">
        <v>35</v>
      </c>
      <c r="R1143" s="217" t="s">
        <v>23</v>
      </c>
      <c r="S1143" s="217" t="s">
        <v>22</v>
      </c>
      <c r="T1143" s="217" t="s">
        <v>36</v>
      </c>
      <c r="U1143" s="217" t="s">
        <v>37</v>
      </c>
      <c r="V1143" s="217" t="s">
        <v>249</v>
      </c>
      <c r="W1143" s="217" t="s">
        <v>250</v>
      </c>
    </row>
    <row r="1144" spans="1:23" x14ac:dyDescent="0.25">
      <c r="A1144" s="217" t="s">
        <v>22</v>
      </c>
      <c r="B1144" s="217" t="s">
        <v>23</v>
      </c>
      <c r="C1144" s="217" t="s">
        <v>37</v>
      </c>
      <c r="D1144" s="217" t="s">
        <v>36</v>
      </c>
      <c r="E1144" s="217" t="s">
        <v>247</v>
      </c>
      <c r="F1144" s="217" t="s">
        <v>246</v>
      </c>
      <c r="G1144" s="217" t="s">
        <v>248</v>
      </c>
      <c r="H1144" s="217" t="s">
        <v>1452</v>
      </c>
      <c r="I1144" s="217" t="s">
        <v>29</v>
      </c>
      <c r="J1144" s="217" t="s">
        <v>1855</v>
      </c>
      <c r="K1144" s="217">
        <v>97</v>
      </c>
      <c r="L1144" s="217">
        <v>485</v>
      </c>
      <c r="M1144" s="217" t="s">
        <v>31</v>
      </c>
      <c r="N1144" s="217" t="s">
        <v>32</v>
      </c>
      <c r="O1144" s="217" t="s">
        <v>68</v>
      </c>
      <c r="P1144" s="217" t="s">
        <v>34</v>
      </c>
      <c r="Q1144" s="217" t="s">
        <v>35</v>
      </c>
      <c r="R1144" s="217" t="s">
        <v>23</v>
      </c>
      <c r="S1144" s="217" t="s">
        <v>22</v>
      </c>
      <c r="T1144" s="217" t="s">
        <v>36</v>
      </c>
      <c r="U1144" s="217" t="s">
        <v>37</v>
      </c>
      <c r="V1144" s="217" t="s">
        <v>249</v>
      </c>
      <c r="W1144" s="217" t="s">
        <v>250</v>
      </c>
    </row>
    <row r="1145" spans="1:23" x14ac:dyDescent="0.25">
      <c r="A1145" s="217" t="s">
        <v>22</v>
      </c>
      <c r="B1145" s="217" t="s">
        <v>23</v>
      </c>
      <c r="C1145" s="217" t="s">
        <v>37</v>
      </c>
      <c r="D1145" s="217" t="s">
        <v>36</v>
      </c>
      <c r="E1145" s="217" t="s">
        <v>247</v>
      </c>
      <c r="F1145" s="217" t="s">
        <v>246</v>
      </c>
      <c r="G1145" s="217" t="s">
        <v>248</v>
      </c>
      <c r="H1145" s="217" t="s">
        <v>1452</v>
      </c>
      <c r="I1145" s="217" t="s">
        <v>29</v>
      </c>
      <c r="J1145" s="217" t="s">
        <v>1856</v>
      </c>
      <c r="K1145" s="217">
        <v>27</v>
      </c>
      <c r="L1145" s="217">
        <v>130</v>
      </c>
      <c r="M1145" s="217" t="s">
        <v>31</v>
      </c>
      <c r="N1145" s="217" t="s">
        <v>32</v>
      </c>
      <c r="O1145" s="217" t="s">
        <v>100</v>
      </c>
      <c r="P1145" s="217" t="s">
        <v>34</v>
      </c>
      <c r="Q1145" s="217" t="s">
        <v>35</v>
      </c>
      <c r="R1145" s="217" t="s">
        <v>23</v>
      </c>
      <c r="S1145" s="217" t="s">
        <v>22</v>
      </c>
      <c r="T1145" s="217" t="s">
        <v>36</v>
      </c>
      <c r="U1145" s="217" t="s">
        <v>37</v>
      </c>
      <c r="V1145" s="217" t="s">
        <v>246</v>
      </c>
      <c r="W1145" s="217" t="s">
        <v>247</v>
      </c>
    </row>
    <row r="1146" spans="1:23" x14ac:dyDescent="0.25">
      <c r="A1146" s="217" t="s">
        <v>22</v>
      </c>
      <c r="B1146" s="217" t="s">
        <v>23</v>
      </c>
      <c r="C1146" s="217" t="s">
        <v>37</v>
      </c>
      <c r="D1146" s="217" t="s">
        <v>36</v>
      </c>
      <c r="E1146" s="217" t="s">
        <v>247</v>
      </c>
      <c r="F1146" s="217" t="s">
        <v>246</v>
      </c>
      <c r="G1146" s="217" t="s">
        <v>248</v>
      </c>
      <c r="H1146" s="217" t="s">
        <v>1452</v>
      </c>
      <c r="I1146" s="217" t="s">
        <v>29</v>
      </c>
      <c r="J1146" s="217" t="s">
        <v>1857</v>
      </c>
      <c r="K1146" s="217">
        <v>18</v>
      </c>
      <c r="L1146" s="217">
        <v>90</v>
      </c>
      <c r="M1146" s="217" t="s">
        <v>31</v>
      </c>
      <c r="N1146" s="217" t="s">
        <v>32</v>
      </c>
      <c r="O1146" s="217" t="s">
        <v>68</v>
      </c>
      <c r="P1146" s="217" t="s">
        <v>34</v>
      </c>
      <c r="Q1146" s="217" t="s">
        <v>35</v>
      </c>
      <c r="R1146" s="217" t="s">
        <v>23</v>
      </c>
      <c r="S1146" s="217" t="s">
        <v>22</v>
      </c>
      <c r="T1146" s="217" t="s">
        <v>36</v>
      </c>
      <c r="U1146" s="217" t="s">
        <v>37</v>
      </c>
      <c r="V1146" s="217" t="s">
        <v>249</v>
      </c>
      <c r="W1146" s="217" t="s">
        <v>250</v>
      </c>
    </row>
    <row r="1147" spans="1:23" x14ac:dyDescent="0.25">
      <c r="A1147" s="217" t="s">
        <v>22</v>
      </c>
      <c r="B1147" s="217" t="s">
        <v>23</v>
      </c>
      <c r="C1147" s="217" t="s">
        <v>37</v>
      </c>
      <c r="D1147" s="217" t="s">
        <v>36</v>
      </c>
      <c r="E1147" s="217" t="s">
        <v>247</v>
      </c>
      <c r="F1147" s="217" t="s">
        <v>246</v>
      </c>
      <c r="G1147" s="217" t="s">
        <v>587</v>
      </c>
      <c r="H1147" s="217" t="s">
        <v>1453</v>
      </c>
      <c r="I1147" s="217" t="s">
        <v>29</v>
      </c>
      <c r="J1147" s="217" t="s">
        <v>1855</v>
      </c>
      <c r="K1147" s="217">
        <v>22</v>
      </c>
      <c r="L1147" s="217">
        <v>132</v>
      </c>
      <c r="M1147" s="217" t="s">
        <v>31</v>
      </c>
      <c r="N1147" s="217" t="s">
        <v>32</v>
      </c>
      <c r="O1147" s="217" t="s">
        <v>68</v>
      </c>
      <c r="P1147" s="217" t="s">
        <v>34</v>
      </c>
      <c r="Q1147" s="217" t="s">
        <v>35</v>
      </c>
      <c r="R1147" s="217" t="s">
        <v>23</v>
      </c>
      <c r="S1147" s="217" t="s">
        <v>22</v>
      </c>
      <c r="T1147" s="217" t="s">
        <v>36</v>
      </c>
      <c r="U1147" s="217" t="s">
        <v>37</v>
      </c>
      <c r="V1147" s="217" t="s">
        <v>249</v>
      </c>
      <c r="W1147" s="217" t="s">
        <v>250</v>
      </c>
    </row>
    <row r="1148" spans="1:23" x14ac:dyDescent="0.25">
      <c r="A1148" s="217" t="s">
        <v>22</v>
      </c>
      <c r="B1148" s="217" t="s">
        <v>23</v>
      </c>
      <c r="C1148" s="217" t="s">
        <v>37</v>
      </c>
      <c r="D1148" s="217" t="s">
        <v>36</v>
      </c>
      <c r="E1148" s="217" t="s">
        <v>247</v>
      </c>
      <c r="F1148" s="217" t="s">
        <v>246</v>
      </c>
      <c r="G1148" s="217" t="s">
        <v>587</v>
      </c>
      <c r="H1148" s="217" t="s">
        <v>1453</v>
      </c>
      <c r="I1148" s="217" t="s">
        <v>29</v>
      </c>
      <c r="J1148" s="217" t="s">
        <v>1856</v>
      </c>
      <c r="K1148" s="217">
        <v>12</v>
      </c>
      <c r="L1148" s="217">
        <v>60</v>
      </c>
      <c r="M1148" s="217" t="s">
        <v>31</v>
      </c>
      <c r="N1148" s="217" t="s">
        <v>32</v>
      </c>
      <c r="O1148" s="217" t="s">
        <v>68</v>
      </c>
      <c r="P1148" s="217" t="s">
        <v>34</v>
      </c>
      <c r="Q1148" s="217" t="s">
        <v>35</v>
      </c>
      <c r="R1148" s="217" t="s">
        <v>23</v>
      </c>
      <c r="S1148" s="217" t="s">
        <v>22</v>
      </c>
      <c r="T1148" s="217" t="s">
        <v>36</v>
      </c>
      <c r="U1148" s="217" t="s">
        <v>37</v>
      </c>
      <c r="V1148" s="217" t="s">
        <v>249</v>
      </c>
      <c r="W1148" s="217" t="s">
        <v>250</v>
      </c>
    </row>
    <row r="1149" spans="1:23" x14ac:dyDescent="0.25">
      <c r="A1149" s="217" t="s">
        <v>22</v>
      </c>
      <c r="B1149" s="217" t="s">
        <v>23</v>
      </c>
      <c r="C1149" s="217" t="s">
        <v>37</v>
      </c>
      <c r="D1149" s="217" t="s">
        <v>36</v>
      </c>
      <c r="E1149" s="217" t="s">
        <v>247</v>
      </c>
      <c r="F1149" s="217" t="s">
        <v>246</v>
      </c>
      <c r="G1149" s="217" t="s">
        <v>587</v>
      </c>
      <c r="H1149" s="217" t="s">
        <v>1453</v>
      </c>
      <c r="I1149" s="217" t="s">
        <v>29</v>
      </c>
      <c r="J1149" s="217" t="s">
        <v>1857</v>
      </c>
      <c r="K1149" s="217">
        <v>6</v>
      </c>
      <c r="L1149" s="217">
        <v>36</v>
      </c>
      <c r="M1149" s="217" t="s">
        <v>31</v>
      </c>
      <c r="N1149" s="217" t="s">
        <v>32</v>
      </c>
      <c r="O1149" s="217" t="s">
        <v>68</v>
      </c>
      <c r="P1149" s="217" t="s">
        <v>34</v>
      </c>
      <c r="Q1149" s="217" t="s">
        <v>35</v>
      </c>
      <c r="R1149" s="217" t="s">
        <v>23</v>
      </c>
      <c r="S1149" s="217" t="s">
        <v>22</v>
      </c>
      <c r="T1149" s="217" t="s">
        <v>36</v>
      </c>
      <c r="U1149" s="217" t="s">
        <v>37</v>
      </c>
      <c r="V1149" s="217" t="s">
        <v>249</v>
      </c>
      <c r="W1149" s="217" t="s">
        <v>250</v>
      </c>
    </row>
    <row r="1150" spans="1:23" x14ac:dyDescent="0.25">
      <c r="A1150" s="217" t="s">
        <v>22</v>
      </c>
      <c r="B1150" s="217" t="s">
        <v>23</v>
      </c>
      <c r="C1150" s="217" t="s">
        <v>37</v>
      </c>
      <c r="D1150" s="217" t="s">
        <v>36</v>
      </c>
      <c r="E1150" s="217" t="s">
        <v>247</v>
      </c>
      <c r="F1150" s="217" t="s">
        <v>246</v>
      </c>
      <c r="G1150" s="217" t="s">
        <v>251</v>
      </c>
      <c r="H1150" s="217" t="s">
        <v>1454</v>
      </c>
      <c r="I1150" s="217" t="s">
        <v>29</v>
      </c>
      <c r="J1150" s="217" t="s">
        <v>1855</v>
      </c>
      <c r="K1150" s="217">
        <v>2</v>
      </c>
      <c r="L1150" s="217">
        <v>10</v>
      </c>
      <c r="M1150" s="217" t="s">
        <v>31</v>
      </c>
      <c r="N1150" s="217" t="s">
        <v>32</v>
      </c>
      <c r="O1150" s="217" t="s">
        <v>68</v>
      </c>
      <c r="P1150" s="217" t="s">
        <v>34</v>
      </c>
      <c r="Q1150" s="217" t="s">
        <v>35</v>
      </c>
      <c r="R1150" s="217" t="s">
        <v>23</v>
      </c>
      <c r="S1150" s="217" t="s">
        <v>22</v>
      </c>
      <c r="T1150" s="217" t="s">
        <v>36</v>
      </c>
      <c r="U1150" s="217" t="s">
        <v>37</v>
      </c>
      <c r="V1150" s="217" t="s">
        <v>249</v>
      </c>
      <c r="W1150" s="217" t="s">
        <v>250</v>
      </c>
    </row>
    <row r="1151" spans="1:23" x14ac:dyDescent="0.25">
      <c r="A1151" s="217" t="s">
        <v>22</v>
      </c>
      <c r="B1151" s="217" t="s">
        <v>23</v>
      </c>
      <c r="C1151" s="217" t="s">
        <v>37</v>
      </c>
      <c r="D1151" s="217" t="s">
        <v>36</v>
      </c>
      <c r="E1151" s="217" t="s">
        <v>247</v>
      </c>
      <c r="F1151" s="217" t="s">
        <v>246</v>
      </c>
      <c r="G1151" s="217" t="s">
        <v>251</v>
      </c>
      <c r="H1151" s="217" t="s">
        <v>1454</v>
      </c>
      <c r="I1151" s="217" t="s">
        <v>29</v>
      </c>
      <c r="J1151" s="217" t="s">
        <v>1856</v>
      </c>
      <c r="K1151" s="217">
        <v>8</v>
      </c>
      <c r="L1151" s="217">
        <v>40</v>
      </c>
      <c r="M1151" s="217" t="s">
        <v>31</v>
      </c>
      <c r="N1151" s="217" t="s">
        <v>32</v>
      </c>
      <c r="O1151" s="217" t="s">
        <v>33</v>
      </c>
      <c r="P1151" s="217" t="s">
        <v>34</v>
      </c>
      <c r="Q1151" s="217" t="s">
        <v>35</v>
      </c>
      <c r="R1151" s="217" t="s">
        <v>23</v>
      </c>
      <c r="S1151" s="217" t="s">
        <v>22</v>
      </c>
      <c r="T1151" s="217" t="s">
        <v>47</v>
      </c>
      <c r="U1151" s="217" t="s">
        <v>48</v>
      </c>
      <c r="V1151" s="217" t="s">
        <v>231</v>
      </c>
      <c r="W1151" s="217" t="s">
        <v>232</v>
      </c>
    </row>
    <row r="1152" spans="1:23" x14ac:dyDescent="0.25">
      <c r="A1152" s="217" t="s">
        <v>22</v>
      </c>
      <c r="B1152" s="217" t="s">
        <v>23</v>
      </c>
      <c r="C1152" s="217" t="s">
        <v>37</v>
      </c>
      <c r="D1152" s="217" t="s">
        <v>36</v>
      </c>
      <c r="E1152" s="217" t="s">
        <v>247</v>
      </c>
      <c r="F1152" s="217" t="s">
        <v>246</v>
      </c>
      <c r="G1152" s="217" t="s">
        <v>251</v>
      </c>
      <c r="H1152" s="217" t="s">
        <v>1454</v>
      </c>
      <c r="I1152" s="217" t="s">
        <v>29</v>
      </c>
      <c r="J1152" s="217" t="s">
        <v>1857</v>
      </c>
      <c r="K1152" s="217">
        <v>4</v>
      </c>
      <c r="L1152" s="217">
        <v>20</v>
      </c>
      <c r="M1152" s="217" t="s">
        <v>31</v>
      </c>
      <c r="N1152" s="217" t="s">
        <v>32</v>
      </c>
      <c r="O1152" s="217" t="s">
        <v>68</v>
      </c>
      <c r="P1152" s="217" t="s">
        <v>34</v>
      </c>
      <c r="Q1152" s="217" t="s">
        <v>35</v>
      </c>
      <c r="R1152" s="217" t="s">
        <v>23</v>
      </c>
      <c r="S1152" s="217" t="s">
        <v>22</v>
      </c>
      <c r="T1152" s="217" t="s">
        <v>36</v>
      </c>
      <c r="U1152" s="217" t="s">
        <v>37</v>
      </c>
      <c r="V1152" s="217" t="s">
        <v>249</v>
      </c>
      <c r="W1152" s="217" t="s">
        <v>250</v>
      </c>
    </row>
    <row r="1153" spans="1:23" x14ac:dyDescent="0.25">
      <c r="A1153" s="217" t="s">
        <v>22</v>
      </c>
      <c r="B1153" s="217" t="s">
        <v>23</v>
      </c>
      <c r="C1153" s="217" t="s">
        <v>37</v>
      </c>
      <c r="D1153" s="217" t="s">
        <v>36</v>
      </c>
      <c r="E1153" s="217" t="s">
        <v>247</v>
      </c>
      <c r="F1153" s="217" t="s">
        <v>246</v>
      </c>
      <c r="G1153" s="217" t="s">
        <v>588</v>
      </c>
      <c r="H1153" s="217" t="s">
        <v>1455</v>
      </c>
      <c r="I1153" s="217" t="s">
        <v>29</v>
      </c>
      <c r="J1153" s="217" t="s">
        <v>1856</v>
      </c>
      <c r="K1153" s="217">
        <v>17</v>
      </c>
      <c r="L1153" s="217">
        <v>102</v>
      </c>
      <c r="M1153" s="217" t="s">
        <v>31</v>
      </c>
      <c r="N1153" s="217" t="s">
        <v>32</v>
      </c>
      <c r="O1153" s="217" t="s">
        <v>100</v>
      </c>
      <c r="P1153" s="217" t="s">
        <v>34</v>
      </c>
      <c r="Q1153" s="217" t="s">
        <v>35</v>
      </c>
      <c r="R1153" s="217" t="s">
        <v>23</v>
      </c>
      <c r="S1153" s="217" t="s">
        <v>22</v>
      </c>
      <c r="T1153" s="217" t="s">
        <v>36</v>
      </c>
      <c r="U1153" s="217" t="s">
        <v>37</v>
      </c>
      <c r="V1153" s="217" t="s">
        <v>246</v>
      </c>
      <c r="W1153" s="217" t="s">
        <v>247</v>
      </c>
    </row>
    <row r="1154" spans="1:23" x14ac:dyDescent="0.25">
      <c r="A1154" s="217" t="s">
        <v>22</v>
      </c>
      <c r="B1154" s="217" t="s">
        <v>23</v>
      </c>
      <c r="C1154" s="217" t="s">
        <v>37</v>
      </c>
      <c r="D1154" s="217" t="s">
        <v>36</v>
      </c>
      <c r="E1154" s="217" t="s">
        <v>247</v>
      </c>
      <c r="F1154" s="217" t="s">
        <v>246</v>
      </c>
      <c r="G1154" s="217" t="s">
        <v>589</v>
      </c>
      <c r="H1154" s="217" t="s">
        <v>1456</v>
      </c>
      <c r="I1154" s="217" t="s">
        <v>29</v>
      </c>
      <c r="J1154" s="217" t="s">
        <v>1856</v>
      </c>
      <c r="K1154" s="217">
        <v>3</v>
      </c>
      <c r="L1154" s="217">
        <v>15</v>
      </c>
      <c r="M1154" s="217" t="s">
        <v>31</v>
      </c>
      <c r="N1154" s="217" t="s">
        <v>32</v>
      </c>
      <c r="O1154" s="217" t="s">
        <v>68</v>
      </c>
      <c r="P1154" s="217" t="s">
        <v>34</v>
      </c>
      <c r="Q1154" s="217" t="s">
        <v>35</v>
      </c>
      <c r="R1154" s="217" t="s">
        <v>23</v>
      </c>
      <c r="S1154" s="217" t="s">
        <v>22</v>
      </c>
      <c r="T1154" s="217" t="s">
        <v>36</v>
      </c>
      <c r="U1154" s="217" t="s">
        <v>37</v>
      </c>
      <c r="V1154" s="217" t="s">
        <v>249</v>
      </c>
      <c r="W1154" s="217" t="s">
        <v>250</v>
      </c>
    </row>
    <row r="1155" spans="1:23" x14ac:dyDescent="0.25">
      <c r="A1155" s="217" t="s">
        <v>22</v>
      </c>
      <c r="B1155" s="217" t="s">
        <v>23</v>
      </c>
      <c r="C1155" s="217" t="s">
        <v>37</v>
      </c>
      <c r="D1155" s="217" t="s">
        <v>36</v>
      </c>
      <c r="E1155" s="217" t="s">
        <v>247</v>
      </c>
      <c r="F1155" s="217" t="s">
        <v>246</v>
      </c>
      <c r="G1155" s="217" t="s">
        <v>1968</v>
      </c>
      <c r="H1155" s="217" t="s">
        <v>1457</v>
      </c>
      <c r="I1155" s="217" t="s">
        <v>29</v>
      </c>
      <c r="J1155" s="217" t="s">
        <v>1855</v>
      </c>
      <c r="K1155" s="217">
        <v>30</v>
      </c>
      <c r="L1155" s="217">
        <v>180</v>
      </c>
      <c r="M1155" s="217" t="s">
        <v>31</v>
      </c>
      <c r="N1155" s="217" t="s">
        <v>32</v>
      </c>
      <c r="O1155" s="217" t="s">
        <v>68</v>
      </c>
      <c r="P1155" s="217" t="s">
        <v>34</v>
      </c>
      <c r="Q1155" s="217" t="s">
        <v>35</v>
      </c>
      <c r="R1155" s="217" t="s">
        <v>23</v>
      </c>
      <c r="S1155" s="217" t="s">
        <v>22</v>
      </c>
      <c r="T1155" s="217" t="s">
        <v>36</v>
      </c>
      <c r="U1155" s="217" t="s">
        <v>37</v>
      </c>
      <c r="V1155" s="217" t="s">
        <v>249</v>
      </c>
      <c r="W1155" s="217" t="s">
        <v>250</v>
      </c>
    </row>
    <row r="1156" spans="1:23" x14ac:dyDescent="0.25">
      <c r="A1156" s="217" t="s">
        <v>22</v>
      </c>
      <c r="B1156" s="217" t="s">
        <v>23</v>
      </c>
      <c r="C1156" s="217" t="s">
        <v>37</v>
      </c>
      <c r="D1156" s="217" t="s">
        <v>36</v>
      </c>
      <c r="E1156" s="217" t="s">
        <v>247</v>
      </c>
      <c r="F1156" s="217" t="s">
        <v>246</v>
      </c>
      <c r="G1156" s="217" t="s">
        <v>1968</v>
      </c>
      <c r="H1156" s="217" t="s">
        <v>1457</v>
      </c>
      <c r="I1156" s="217" t="s">
        <v>29</v>
      </c>
      <c r="J1156" s="217" t="s">
        <v>1856</v>
      </c>
      <c r="K1156" s="217">
        <v>25</v>
      </c>
      <c r="L1156" s="217">
        <v>150</v>
      </c>
      <c r="M1156" s="217" t="s">
        <v>31</v>
      </c>
      <c r="N1156" s="217" t="s">
        <v>32</v>
      </c>
      <c r="O1156" s="217" t="s">
        <v>68</v>
      </c>
      <c r="P1156" s="217" t="s">
        <v>34</v>
      </c>
      <c r="Q1156" s="217" t="s">
        <v>35</v>
      </c>
      <c r="R1156" s="217" t="s">
        <v>23</v>
      </c>
      <c r="S1156" s="217" t="s">
        <v>22</v>
      </c>
      <c r="T1156" s="217" t="s">
        <v>36</v>
      </c>
      <c r="U1156" s="217" t="s">
        <v>37</v>
      </c>
      <c r="V1156" s="217" t="s">
        <v>249</v>
      </c>
      <c r="W1156" s="217" t="s">
        <v>250</v>
      </c>
    </row>
    <row r="1157" spans="1:23" x14ac:dyDescent="0.25">
      <c r="A1157" s="217" t="s">
        <v>22</v>
      </c>
      <c r="B1157" s="217" t="s">
        <v>23</v>
      </c>
      <c r="C1157" s="217" t="s">
        <v>37</v>
      </c>
      <c r="D1157" s="217" t="s">
        <v>36</v>
      </c>
      <c r="E1157" s="217" t="s">
        <v>247</v>
      </c>
      <c r="F1157" s="217" t="s">
        <v>246</v>
      </c>
      <c r="G1157" s="217" t="s">
        <v>1968</v>
      </c>
      <c r="H1157" s="217" t="s">
        <v>1457</v>
      </c>
      <c r="I1157" s="217" t="s">
        <v>29</v>
      </c>
      <c r="J1157" s="217" t="s">
        <v>1857</v>
      </c>
      <c r="K1157" s="217">
        <v>5</v>
      </c>
      <c r="L1157" s="217">
        <v>30</v>
      </c>
      <c r="M1157" s="217" t="s">
        <v>31</v>
      </c>
      <c r="N1157" s="217" t="s">
        <v>32</v>
      </c>
      <c r="O1157" s="217" t="s">
        <v>68</v>
      </c>
      <c r="P1157" s="217" t="s">
        <v>34</v>
      </c>
      <c r="Q1157" s="217" t="s">
        <v>35</v>
      </c>
      <c r="R1157" s="217" t="s">
        <v>23</v>
      </c>
      <c r="S1157" s="217" t="s">
        <v>22</v>
      </c>
      <c r="T1157" s="217" t="s">
        <v>36</v>
      </c>
      <c r="U1157" s="217" t="s">
        <v>37</v>
      </c>
      <c r="V1157" s="217" t="s">
        <v>249</v>
      </c>
      <c r="W1157" s="217" t="s">
        <v>250</v>
      </c>
    </row>
    <row r="1158" spans="1:23" x14ac:dyDescent="0.25">
      <c r="A1158" s="217" t="s">
        <v>22</v>
      </c>
      <c r="B1158" s="217" t="s">
        <v>23</v>
      </c>
      <c r="C1158" s="217" t="s">
        <v>37</v>
      </c>
      <c r="D1158" s="217" t="s">
        <v>36</v>
      </c>
      <c r="E1158" s="217" t="s">
        <v>247</v>
      </c>
      <c r="F1158" s="217" t="s">
        <v>246</v>
      </c>
      <c r="G1158" s="217" t="s">
        <v>1968</v>
      </c>
      <c r="H1158" s="217" t="s">
        <v>1457</v>
      </c>
      <c r="I1158" s="217" t="s">
        <v>29</v>
      </c>
      <c r="J1158" s="217" t="s">
        <v>1858</v>
      </c>
      <c r="K1158" s="217">
        <v>2</v>
      </c>
      <c r="L1158" s="217">
        <v>15</v>
      </c>
      <c r="M1158" s="217" t="s">
        <v>31</v>
      </c>
      <c r="N1158" s="217" t="s">
        <v>32</v>
      </c>
      <c r="O1158" s="217" t="s">
        <v>68</v>
      </c>
      <c r="P1158" s="217" t="s">
        <v>34</v>
      </c>
      <c r="Q1158" s="217" t="s">
        <v>35</v>
      </c>
      <c r="R1158" s="217" t="s">
        <v>23</v>
      </c>
      <c r="S1158" s="217" t="s">
        <v>22</v>
      </c>
      <c r="T1158" s="217" t="s">
        <v>36</v>
      </c>
      <c r="U1158" s="217" t="s">
        <v>37</v>
      </c>
      <c r="V1158" s="217" t="s">
        <v>249</v>
      </c>
      <c r="W1158" s="217" t="s">
        <v>250</v>
      </c>
    </row>
    <row r="1159" spans="1:23" x14ac:dyDescent="0.25">
      <c r="A1159" s="217" t="s">
        <v>22</v>
      </c>
      <c r="B1159" s="217" t="s">
        <v>23</v>
      </c>
      <c r="C1159" s="217" t="s">
        <v>37</v>
      </c>
      <c r="D1159" s="217" t="s">
        <v>36</v>
      </c>
      <c r="E1159" s="217" t="s">
        <v>247</v>
      </c>
      <c r="F1159" s="217" t="s">
        <v>246</v>
      </c>
      <c r="G1159" s="217" t="s">
        <v>590</v>
      </c>
      <c r="H1159" s="217" t="s">
        <v>1458</v>
      </c>
      <c r="I1159" s="217" t="s">
        <v>29</v>
      </c>
      <c r="J1159" s="217" t="s">
        <v>1855</v>
      </c>
      <c r="K1159" s="217">
        <v>6</v>
      </c>
      <c r="L1159" s="217">
        <v>48</v>
      </c>
      <c r="M1159" s="217" t="s">
        <v>31</v>
      </c>
      <c r="N1159" s="217" t="s">
        <v>32</v>
      </c>
      <c r="O1159" s="217" t="s">
        <v>33</v>
      </c>
      <c r="P1159" s="217" t="s">
        <v>34</v>
      </c>
      <c r="Q1159" s="217" t="s">
        <v>35</v>
      </c>
      <c r="R1159" s="217" t="s">
        <v>23</v>
      </c>
      <c r="S1159" s="217" t="s">
        <v>22</v>
      </c>
      <c r="T1159" s="217" t="s">
        <v>47</v>
      </c>
      <c r="U1159" s="217" t="s">
        <v>48</v>
      </c>
      <c r="V1159" s="217" t="s">
        <v>231</v>
      </c>
      <c r="W1159" s="217" t="s">
        <v>232</v>
      </c>
    </row>
    <row r="1160" spans="1:23" x14ac:dyDescent="0.25">
      <c r="A1160" s="217" t="s">
        <v>22</v>
      </c>
      <c r="B1160" s="217" t="s">
        <v>23</v>
      </c>
      <c r="C1160" s="217" t="s">
        <v>37</v>
      </c>
      <c r="D1160" s="217" t="s">
        <v>36</v>
      </c>
      <c r="E1160" s="217" t="s">
        <v>247</v>
      </c>
      <c r="F1160" s="217" t="s">
        <v>246</v>
      </c>
      <c r="G1160" s="217" t="s">
        <v>590</v>
      </c>
      <c r="H1160" s="217" t="s">
        <v>1458</v>
      </c>
      <c r="I1160" s="217" t="s">
        <v>29</v>
      </c>
      <c r="J1160" s="217" t="s">
        <v>1856</v>
      </c>
      <c r="K1160" s="217">
        <v>16</v>
      </c>
      <c r="L1160" s="217">
        <v>128</v>
      </c>
      <c r="M1160" s="217" t="s">
        <v>31</v>
      </c>
      <c r="N1160" s="217" t="s">
        <v>32</v>
      </c>
      <c r="O1160" s="217" t="s">
        <v>33</v>
      </c>
      <c r="P1160" s="217" t="s">
        <v>34</v>
      </c>
      <c r="Q1160" s="217" t="s">
        <v>35</v>
      </c>
      <c r="R1160" s="217" t="s">
        <v>23</v>
      </c>
      <c r="S1160" s="217" t="s">
        <v>22</v>
      </c>
      <c r="T1160" s="217" t="s">
        <v>47</v>
      </c>
      <c r="U1160" s="217" t="s">
        <v>48</v>
      </c>
      <c r="V1160" s="217" t="s">
        <v>231</v>
      </c>
      <c r="W1160" s="217" t="s">
        <v>232</v>
      </c>
    </row>
    <row r="1161" spans="1:23" x14ac:dyDescent="0.25">
      <c r="A1161" s="217" t="s">
        <v>22</v>
      </c>
      <c r="B1161" s="217" t="s">
        <v>23</v>
      </c>
      <c r="C1161" s="217" t="s">
        <v>37</v>
      </c>
      <c r="D1161" s="217" t="s">
        <v>36</v>
      </c>
      <c r="E1161" s="217" t="s">
        <v>247</v>
      </c>
      <c r="F1161" s="217" t="s">
        <v>246</v>
      </c>
      <c r="G1161" s="217" t="s">
        <v>590</v>
      </c>
      <c r="H1161" s="217" t="s">
        <v>1458</v>
      </c>
      <c r="I1161" s="217" t="s">
        <v>29</v>
      </c>
      <c r="J1161" s="217" t="s">
        <v>1857</v>
      </c>
      <c r="K1161" s="217">
        <v>17</v>
      </c>
      <c r="L1161" s="217">
        <v>136</v>
      </c>
      <c r="M1161" s="217" t="s">
        <v>31</v>
      </c>
      <c r="N1161" s="217" t="s">
        <v>32</v>
      </c>
      <c r="O1161" s="217" t="s">
        <v>33</v>
      </c>
      <c r="P1161" s="217" t="s">
        <v>34</v>
      </c>
      <c r="Q1161" s="217" t="s">
        <v>35</v>
      </c>
      <c r="R1161" s="217" t="s">
        <v>23</v>
      </c>
      <c r="S1161" s="217" t="s">
        <v>22</v>
      </c>
      <c r="T1161" s="217" t="s">
        <v>47</v>
      </c>
      <c r="U1161" s="217" t="s">
        <v>48</v>
      </c>
      <c r="V1161" s="217" t="s">
        <v>231</v>
      </c>
      <c r="W1161" s="217" t="s">
        <v>232</v>
      </c>
    </row>
    <row r="1162" spans="1:23" x14ac:dyDescent="0.25">
      <c r="A1162" s="217" t="s">
        <v>22</v>
      </c>
      <c r="B1162" s="217" t="s">
        <v>23</v>
      </c>
      <c r="C1162" s="217" t="s">
        <v>37</v>
      </c>
      <c r="D1162" s="217" t="s">
        <v>36</v>
      </c>
      <c r="E1162" s="217" t="s">
        <v>247</v>
      </c>
      <c r="F1162" s="217" t="s">
        <v>246</v>
      </c>
      <c r="G1162" s="217" t="s">
        <v>591</v>
      </c>
      <c r="H1162" s="217" t="s">
        <v>1459</v>
      </c>
      <c r="I1162" s="217" t="s">
        <v>29</v>
      </c>
      <c r="J1162" s="217" t="s">
        <v>1855</v>
      </c>
      <c r="K1162" s="217">
        <v>27</v>
      </c>
      <c r="L1162" s="217">
        <v>135</v>
      </c>
      <c r="M1162" s="217" t="s">
        <v>31</v>
      </c>
      <c r="N1162" s="217" t="s">
        <v>32</v>
      </c>
      <c r="O1162" s="217" t="s">
        <v>68</v>
      </c>
      <c r="P1162" s="217" t="s">
        <v>34</v>
      </c>
      <c r="Q1162" s="217" t="s">
        <v>35</v>
      </c>
      <c r="R1162" s="217" t="s">
        <v>23</v>
      </c>
      <c r="S1162" s="217" t="s">
        <v>22</v>
      </c>
      <c r="T1162" s="217" t="s">
        <v>36</v>
      </c>
      <c r="U1162" s="217" t="s">
        <v>37</v>
      </c>
      <c r="V1162" s="217" t="s">
        <v>249</v>
      </c>
      <c r="W1162" s="217" t="s">
        <v>250</v>
      </c>
    </row>
    <row r="1163" spans="1:23" x14ac:dyDescent="0.25">
      <c r="A1163" s="217" t="s">
        <v>22</v>
      </c>
      <c r="B1163" s="217" t="s">
        <v>23</v>
      </c>
      <c r="C1163" s="217" t="s">
        <v>37</v>
      </c>
      <c r="D1163" s="217" t="s">
        <v>36</v>
      </c>
      <c r="E1163" s="217" t="s">
        <v>247</v>
      </c>
      <c r="F1163" s="217" t="s">
        <v>246</v>
      </c>
      <c r="G1163" s="217" t="s">
        <v>591</v>
      </c>
      <c r="H1163" s="217" t="s">
        <v>1459</v>
      </c>
      <c r="I1163" s="217" t="s">
        <v>29</v>
      </c>
      <c r="J1163" s="217" t="s">
        <v>1856</v>
      </c>
      <c r="K1163" s="217">
        <v>9</v>
      </c>
      <c r="L1163" s="217">
        <v>45</v>
      </c>
      <c r="M1163" s="217" t="s">
        <v>31</v>
      </c>
      <c r="N1163" s="217" t="s">
        <v>32</v>
      </c>
      <c r="O1163" s="217" t="s">
        <v>68</v>
      </c>
      <c r="P1163" s="217" t="s">
        <v>34</v>
      </c>
      <c r="Q1163" s="217" t="s">
        <v>35</v>
      </c>
      <c r="R1163" s="217" t="s">
        <v>23</v>
      </c>
      <c r="S1163" s="217" t="s">
        <v>22</v>
      </c>
      <c r="T1163" s="217" t="s">
        <v>36</v>
      </c>
      <c r="U1163" s="217" t="s">
        <v>37</v>
      </c>
      <c r="V1163" s="217" t="s">
        <v>249</v>
      </c>
      <c r="W1163" s="217" t="s">
        <v>250</v>
      </c>
    </row>
    <row r="1164" spans="1:23" x14ac:dyDescent="0.25">
      <c r="A1164" s="217" t="s">
        <v>22</v>
      </c>
      <c r="B1164" s="217" t="s">
        <v>23</v>
      </c>
      <c r="C1164" s="217" t="s">
        <v>37</v>
      </c>
      <c r="D1164" s="217" t="s">
        <v>36</v>
      </c>
      <c r="E1164" s="217" t="s">
        <v>247</v>
      </c>
      <c r="F1164" s="217" t="s">
        <v>246</v>
      </c>
      <c r="G1164" s="217" t="s">
        <v>592</v>
      </c>
      <c r="H1164" s="217" t="s">
        <v>1460</v>
      </c>
      <c r="I1164" s="217" t="s">
        <v>29</v>
      </c>
      <c r="J1164" s="217" t="s">
        <v>1855</v>
      </c>
      <c r="K1164" s="217">
        <v>15</v>
      </c>
      <c r="L1164" s="217">
        <v>75</v>
      </c>
      <c r="M1164" s="217" t="s">
        <v>31</v>
      </c>
      <c r="N1164" s="217" t="s">
        <v>32</v>
      </c>
      <c r="O1164" s="217" t="s">
        <v>68</v>
      </c>
      <c r="P1164" s="217" t="s">
        <v>34</v>
      </c>
      <c r="Q1164" s="217" t="s">
        <v>35</v>
      </c>
      <c r="R1164" s="217" t="s">
        <v>23</v>
      </c>
      <c r="S1164" s="217" t="s">
        <v>22</v>
      </c>
      <c r="T1164" s="217" t="s">
        <v>36</v>
      </c>
      <c r="U1164" s="217" t="s">
        <v>37</v>
      </c>
      <c r="V1164" s="217" t="s">
        <v>249</v>
      </c>
      <c r="W1164" s="217" t="s">
        <v>250</v>
      </c>
    </row>
    <row r="1165" spans="1:23" x14ac:dyDescent="0.25">
      <c r="A1165" s="217" t="s">
        <v>22</v>
      </c>
      <c r="B1165" s="217" t="s">
        <v>23</v>
      </c>
      <c r="C1165" s="217" t="s">
        <v>37</v>
      </c>
      <c r="D1165" s="217" t="s">
        <v>36</v>
      </c>
      <c r="E1165" s="217" t="s">
        <v>247</v>
      </c>
      <c r="F1165" s="217" t="s">
        <v>246</v>
      </c>
      <c r="G1165" s="217" t="s">
        <v>592</v>
      </c>
      <c r="H1165" s="217" t="s">
        <v>1460</v>
      </c>
      <c r="I1165" s="217" t="s">
        <v>29</v>
      </c>
      <c r="J1165" s="217" t="s">
        <v>1856</v>
      </c>
      <c r="K1165" s="217">
        <v>15</v>
      </c>
      <c r="L1165" s="217">
        <v>75</v>
      </c>
      <c r="M1165" s="217" t="s">
        <v>31</v>
      </c>
      <c r="N1165" s="217" t="s">
        <v>32</v>
      </c>
      <c r="O1165" s="217" t="s">
        <v>68</v>
      </c>
      <c r="P1165" s="217" t="s">
        <v>34</v>
      </c>
      <c r="Q1165" s="217" t="s">
        <v>35</v>
      </c>
      <c r="R1165" s="217" t="s">
        <v>23</v>
      </c>
      <c r="S1165" s="217" t="s">
        <v>22</v>
      </c>
      <c r="T1165" s="217" t="s">
        <v>36</v>
      </c>
      <c r="U1165" s="217" t="s">
        <v>37</v>
      </c>
      <c r="V1165" s="217" t="s">
        <v>249</v>
      </c>
      <c r="W1165" s="217" t="s">
        <v>250</v>
      </c>
    </row>
    <row r="1166" spans="1:23" x14ac:dyDescent="0.25">
      <c r="A1166" s="217" t="s">
        <v>22</v>
      </c>
      <c r="B1166" s="217" t="s">
        <v>23</v>
      </c>
      <c r="C1166" s="217" t="s">
        <v>37</v>
      </c>
      <c r="D1166" s="217" t="s">
        <v>36</v>
      </c>
      <c r="E1166" s="217" t="s">
        <v>247</v>
      </c>
      <c r="F1166" s="217" t="s">
        <v>246</v>
      </c>
      <c r="G1166" s="217" t="s">
        <v>593</v>
      </c>
      <c r="H1166" s="217" t="s">
        <v>1461</v>
      </c>
      <c r="I1166" s="217" t="s">
        <v>29</v>
      </c>
      <c r="J1166" s="217" t="s">
        <v>1855</v>
      </c>
      <c r="K1166" s="217">
        <v>9</v>
      </c>
      <c r="L1166" s="217">
        <v>62</v>
      </c>
      <c r="M1166" s="217" t="s">
        <v>31</v>
      </c>
      <c r="N1166" s="217" t="s">
        <v>32</v>
      </c>
      <c r="O1166" s="217" t="s">
        <v>68</v>
      </c>
      <c r="P1166" s="217" t="s">
        <v>34</v>
      </c>
      <c r="Q1166" s="217" t="s">
        <v>35</v>
      </c>
      <c r="R1166" s="217" t="s">
        <v>23</v>
      </c>
      <c r="S1166" s="217" t="s">
        <v>22</v>
      </c>
      <c r="T1166" s="217" t="s">
        <v>36</v>
      </c>
      <c r="U1166" s="217" t="s">
        <v>37</v>
      </c>
      <c r="V1166" s="217" t="s">
        <v>249</v>
      </c>
      <c r="W1166" s="217" t="s">
        <v>250</v>
      </c>
    </row>
    <row r="1167" spans="1:23" x14ac:dyDescent="0.25">
      <c r="A1167" s="217" t="s">
        <v>22</v>
      </c>
      <c r="B1167" s="217" t="s">
        <v>23</v>
      </c>
      <c r="C1167" s="217" t="s">
        <v>37</v>
      </c>
      <c r="D1167" s="217" t="s">
        <v>36</v>
      </c>
      <c r="E1167" s="217" t="s">
        <v>247</v>
      </c>
      <c r="F1167" s="217" t="s">
        <v>246</v>
      </c>
      <c r="G1167" s="217" t="s">
        <v>593</v>
      </c>
      <c r="H1167" s="217" t="s">
        <v>1461</v>
      </c>
      <c r="I1167" s="217" t="s">
        <v>29</v>
      </c>
      <c r="J1167" s="217" t="s">
        <v>1856</v>
      </c>
      <c r="K1167" s="217">
        <v>8</v>
      </c>
      <c r="L1167" s="217">
        <v>44</v>
      </c>
      <c r="M1167" s="217" t="s">
        <v>31</v>
      </c>
      <c r="N1167" s="217" t="s">
        <v>32</v>
      </c>
      <c r="O1167" s="217" t="s">
        <v>68</v>
      </c>
      <c r="P1167" s="217" t="s">
        <v>34</v>
      </c>
      <c r="Q1167" s="217" t="s">
        <v>35</v>
      </c>
      <c r="R1167" s="217" t="s">
        <v>23</v>
      </c>
      <c r="S1167" s="217" t="s">
        <v>22</v>
      </c>
      <c r="T1167" s="217" t="s">
        <v>36</v>
      </c>
      <c r="U1167" s="217" t="s">
        <v>37</v>
      </c>
      <c r="V1167" s="217" t="s">
        <v>609</v>
      </c>
      <c r="W1167" s="217" t="s">
        <v>608</v>
      </c>
    </row>
    <row r="1168" spans="1:23" x14ac:dyDescent="0.25">
      <c r="A1168" s="217" t="s">
        <v>22</v>
      </c>
      <c r="B1168" s="217" t="s">
        <v>23</v>
      </c>
      <c r="C1168" s="217" t="s">
        <v>37</v>
      </c>
      <c r="D1168" s="217" t="s">
        <v>36</v>
      </c>
      <c r="E1168" s="217" t="s">
        <v>247</v>
      </c>
      <c r="F1168" s="217" t="s">
        <v>246</v>
      </c>
      <c r="G1168" s="217" t="s">
        <v>593</v>
      </c>
      <c r="H1168" s="217" t="s">
        <v>1461</v>
      </c>
      <c r="I1168" s="217" t="s">
        <v>29</v>
      </c>
      <c r="J1168" s="217" t="s">
        <v>1857</v>
      </c>
      <c r="K1168" s="217">
        <v>3</v>
      </c>
      <c r="L1168" s="217">
        <v>22</v>
      </c>
      <c r="M1168" s="217" t="s">
        <v>31</v>
      </c>
      <c r="N1168" s="217" t="s">
        <v>32</v>
      </c>
      <c r="O1168" s="217" t="s">
        <v>100</v>
      </c>
      <c r="P1168" s="217" t="s">
        <v>34</v>
      </c>
      <c r="Q1168" s="217" t="s">
        <v>35</v>
      </c>
      <c r="R1168" s="217" t="s">
        <v>23</v>
      </c>
      <c r="S1168" s="217" t="s">
        <v>22</v>
      </c>
      <c r="T1168" s="217" t="s">
        <v>36</v>
      </c>
      <c r="U1168" s="217" t="s">
        <v>37</v>
      </c>
      <c r="V1168" s="217" t="s">
        <v>246</v>
      </c>
      <c r="W1168" s="217" t="s">
        <v>247</v>
      </c>
    </row>
    <row r="1169" spans="1:23" x14ac:dyDescent="0.25">
      <c r="A1169" s="217" t="s">
        <v>22</v>
      </c>
      <c r="B1169" s="217" t="s">
        <v>23</v>
      </c>
      <c r="C1169" s="217" t="s">
        <v>37</v>
      </c>
      <c r="D1169" s="217" t="s">
        <v>36</v>
      </c>
      <c r="E1169" s="217" t="s">
        <v>247</v>
      </c>
      <c r="F1169" s="217" t="s">
        <v>246</v>
      </c>
      <c r="G1169" s="217" t="s">
        <v>594</v>
      </c>
      <c r="H1169" s="217" t="s">
        <v>1462</v>
      </c>
      <c r="I1169" s="217" t="s">
        <v>29</v>
      </c>
      <c r="J1169" s="217" t="s">
        <v>1855</v>
      </c>
      <c r="K1169" s="217">
        <v>25</v>
      </c>
      <c r="L1169" s="217">
        <v>135</v>
      </c>
      <c r="M1169" s="217" t="s">
        <v>31</v>
      </c>
      <c r="N1169" s="217" t="s">
        <v>32</v>
      </c>
      <c r="O1169" s="217" t="s">
        <v>68</v>
      </c>
      <c r="P1169" s="217" t="s">
        <v>34</v>
      </c>
      <c r="Q1169" s="217" t="s">
        <v>35</v>
      </c>
      <c r="R1169" s="217" t="s">
        <v>23</v>
      </c>
      <c r="S1169" s="217" t="s">
        <v>22</v>
      </c>
      <c r="T1169" s="217" t="s">
        <v>36</v>
      </c>
      <c r="U1169" s="217" t="s">
        <v>37</v>
      </c>
      <c r="V1169" s="217" t="s">
        <v>249</v>
      </c>
      <c r="W1169" s="217" t="s">
        <v>250</v>
      </c>
    </row>
    <row r="1170" spans="1:23" x14ac:dyDescent="0.25">
      <c r="A1170" s="217" t="s">
        <v>22</v>
      </c>
      <c r="B1170" s="217" t="s">
        <v>23</v>
      </c>
      <c r="C1170" s="217" t="s">
        <v>37</v>
      </c>
      <c r="D1170" s="217" t="s">
        <v>36</v>
      </c>
      <c r="E1170" s="217" t="s">
        <v>247</v>
      </c>
      <c r="F1170" s="217" t="s">
        <v>246</v>
      </c>
      <c r="G1170" s="217" t="s">
        <v>594</v>
      </c>
      <c r="H1170" s="217" t="s">
        <v>1462</v>
      </c>
      <c r="I1170" s="217" t="s">
        <v>29</v>
      </c>
      <c r="J1170" s="217" t="s">
        <v>1856</v>
      </c>
      <c r="K1170" s="217">
        <v>15</v>
      </c>
      <c r="L1170" s="217">
        <v>65</v>
      </c>
      <c r="M1170" s="217" t="s">
        <v>31</v>
      </c>
      <c r="N1170" s="217" t="s">
        <v>32</v>
      </c>
      <c r="O1170" s="217" t="s">
        <v>68</v>
      </c>
      <c r="P1170" s="217" t="s">
        <v>34</v>
      </c>
      <c r="Q1170" s="217" t="s">
        <v>35</v>
      </c>
      <c r="R1170" s="217" t="s">
        <v>23</v>
      </c>
      <c r="S1170" s="217" t="s">
        <v>22</v>
      </c>
      <c r="T1170" s="217" t="s">
        <v>36</v>
      </c>
      <c r="U1170" s="217" t="s">
        <v>37</v>
      </c>
      <c r="V1170" s="217" t="s">
        <v>249</v>
      </c>
      <c r="W1170" s="217" t="s">
        <v>250</v>
      </c>
    </row>
    <row r="1171" spans="1:23" x14ac:dyDescent="0.25">
      <c r="A1171" s="217" t="s">
        <v>22</v>
      </c>
      <c r="B1171" s="217" t="s">
        <v>23</v>
      </c>
      <c r="C1171" s="217" t="s">
        <v>37</v>
      </c>
      <c r="D1171" s="217" t="s">
        <v>36</v>
      </c>
      <c r="E1171" s="217" t="s">
        <v>247</v>
      </c>
      <c r="F1171" s="217" t="s">
        <v>246</v>
      </c>
      <c r="G1171" s="217" t="s">
        <v>594</v>
      </c>
      <c r="H1171" s="217" t="s">
        <v>1462</v>
      </c>
      <c r="I1171" s="217" t="s">
        <v>29</v>
      </c>
      <c r="J1171" s="217" t="s">
        <v>1857</v>
      </c>
      <c r="K1171" s="217">
        <v>9</v>
      </c>
      <c r="L1171" s="217">
        <v>43</v>
      </c>
      <c r="M1171" s="217" t="s">
        <v>31</v>
      </c>
      <c r="N1171" s="217" t="s">
        <v>32</v>
      </c>
      <c r="O1171" s="217" t="s">
        <v>68</v>
      </c>
      <c r="P1171" s="217" t="s">
        <v>34</v>
      </c>
      <c r="Q1171" s="217" t="s">
        <v>35</v>
      </c>
      <c r="R1171" s="217" t="s">
        <v>23</v>
      </c>
      <c r="S1171" s="217" t="s">
        <v>22</v>
      </c>
      <c r="T1171" s="217" t="s">
        <v>36</v>
      </c>
      <c r="U1171" s="217" t="s">
        <v>37</v>
      </c>
      <c r="V1171" s="217" t="s">
        <v>249</v>
      </c>
      <c r="W1171" s="217" t="s">
        <v>250</v>
      </c>
    </row>
    <row r="1172" spans="1:23" x14ac:dyDescent="0.25">
      <c r="A1172" s="217" t="s">
        <v>22</v>
      </c>
      <c r="B1172" s="217" t="s">
        <v>23</v>
      </c>
      <c r="C1172" s="217" t="s">
        <v>37</v>
      </c>
      <c r="D1172" s="217" t="s">
        <v>36</v>
      </c>
      <c r="E1172" s="217" t="s">
        <v>247</v>
      </c>
      <c r="F1172" s="217" t="s">
        <v>246</v>
      </c>
      <c r="G1172" s="217" t="s">
        <v>595</v>
      </c>
      <c r="H1172" s="217" t="s">
        <v>1463</v>
      </c>
      <c r="I1172" s="217" t="s">
        <v>29</v>
      </c>
      <c r="J1172" s="217" t="s">
        <v>1855</v>
      </c>
      <c r="K1172" s="217">
        <v>35</v>
      </c>
      <c r="L1172" s="217">
        <v>210</v>
      </c>
      <c r="M1172" s="217" t="s">
        <v>31</v>
      </c>
      <c r="N1172" s="217" t="s">
        <v>32</v>
      </c>
      <c r="O1172" s="217" t="s">
        <v>68</v>
      </c>
      <c r="P1172" s="217" t="s">
        <v>34</v>
      </c>
      <c r="Q1172" s="217" t="s">
        <v>35</v>
      </c>
      <c r="R1172" s="217" t="s">
        <v>23</v>
      </c>
      <c r="S1172" s="217" t="s">
        <v>22</v>
      </c>
      <c r="T1172" s="217" t="s">
        <v>36</v>
      </c>
      <c r="U1172" s="217" t="s">
        <v>37</v>
      </c>
      <c r="V1172" s="217" t="s">
        <v>246</v>
      </c>
      <c r="W1172" s="217" t="s">
        <v>247</v>
      </c>
    </row>
    <row r="1173" spans="1:23" x14ac:dyDescent="0.25">
      <c r="A1173" s="217" t="s">
        <v>22</v>
      </c>
      <c r="B1173" s="217" t="s">
        <v>23</v>
      </c>
      <c r="C1173" s="217" t="s">
        <v>37</v>
      </c>
      <c r="D1173" s="217" t="s">
        <v>36</v>
      </c>
      <c r="E1173" s="217" t="s">
        <v>247</v>
      </c>
      <c r="F1173" s="217" t="s">
        <v>246</v>
      </c>
      <c r="G1173" s="217" t="s">
        <v>595</v>
      </c>
      <c r="H1173" s="217" t="s">
        <v>1463</v>
      </c>
      <c r="I1173" s="217" t="s">
        <v>29</v>
      </c>
      <c r="J1173" s="217" t="s">
        <v>1856</v>
      </c>
      <c r="K1173" s="217">
        <v>25</v>
      </c>
      <c r="L1173" s="217">
        <v>146</v>
      </c>
      <c r="M1173" s="217" t="s">
        <v>31</v>
      </c>
      <c r="N1173" s="217" t="s">
        <v>32</v>
      </c>
      <c r="O1173" s="217" t="s">
        <v>68</v>
      </c>
      <c r="P1173" s="217" t="s">
        <v>34</v>
      </c>
      <c r="Q1173" s="217" t="s">
        <v>35</v>
      </c>
      <c r="R1173" s="217" t="s">
        <v>23</v>
      </c>
      <c r="S1173" s="217" t="s">
        <v>22</v>
      </c>
      <c r="T1173" s="217" t="s">
        <v>36</v>
      </c>
      <c r="U1173" s="217" t="s">
        <v>37</v>
      </c>
      <c r="V1173" s="217" t="s">
        <v>246</v>
      </c>
      <c r="W1173" s="217" t="s">
        <v>247</v>
      </c>
    </row>
    <row r="1174" spans="1:23" x14ac:dyDescent="0.25">
      <c r="A1174" s="217" t="s">
        <v>22</v>
      </c>
      <c r="B1174" s="217" t="s">
        <v>23</v>
      </c>
      <c r="C1174" s="217" t="s">
        <v>37</v>
      </c>
      <c r="D1174" s="217" t="s">
        <v>36</v>
      </c>
      <c r="E1174" s="217" t="s">
        <v>247</v>
      </c>
      <c r="F1174" s="217" t="s">
        <v>246</v>
      </c>
      <c r="G1174" s="217" t="s">
        <v>596</v>
      </c>
      <c r="H1174" s="217" t="s">
        <v>1464</v>
      </c>
      <c r="I1174" s="217" t="s">
        <v>29</v>
      </c>
      <c r="J1174" s="217" t="s">
        <v>1855</v>
      </c>
      <c r="K1174" s="217">
        <v>25</v>
      </c>
      <c r="L1174" s="217">
        <v>125</v>
      </c>
      <c r="M1174" s="217" t="s">
        <v>31</v>
      </c>
      <c r="N1174" s="217" t="s">
        <v>32</v>
      </c>
      <c r="O1174" s="217" t="s">
        <v>68</v>
      </c>
      <c r="P1174" s="217" t="s">
        <v>34</v>
      </c>
      <c r="Q1174" s="217" t="s">
        <v>35</v>
      </c>
      <c r="R1174" s="217" t="s">
        <v>23</v>
      </c>
      <c r="S1174" s="217" t="s">
        <v>22</v>
      </c>
      <c r="T1174" s="217" t="s">
        <v>36</v>
      </c>
      <c r="U1174" s="217" t="s">
        <v>37</v>
      </c>
      <c r="V1174" s="217" t="s">
        <v>249</v>
      </c>
      <c r="W1174" s="217" t="s">
        <v>250</v>
      </c>
    </row>
    <row r="1175" spans="1:23" x14ac:dyDescent="0.25">
      <c r="A1175" s="217" t="s">
        <v>22</v>
      </c>
      <c r="B1175" s="217" t="s">
        <v>23</v>
      </c>
      <c r="C1175" s="217" t="s">
        <v>37</v>
      </c>
      <c r="D1175" s="217" t="s">
        <v>36</v>
      </c>
      <c r="E1175" s="217" t="s">
        <v>247</v>
      </c>
      <c r="F1175" s="217" t="s">
        <v>246</v>
      </c>
      <c r="G1175" s="217" t="s">
        <v>596</v>
      </c>
      <c r="H1175" s="217" t="s">
        <v>1464</v>
      </c>
      <c r="I1175" s="217" t="s">
        <v>29</v>
      </c>
      <c r="J1175" s="217" t="s">
        <v>1856</v>
      </c>
      <c r="K1175" s="217">
        <v>5</v>
      </c>
      <c r="L1175" s="217">
        <v>25</v>
      </c>
      <c r="M1175" s="217" t="s">
        <v>31</v>
      </c>
      <c r="N1175" s="217" t="s">
        <v>32</v>
      </c>
      <c r="O1175" s="217" t="s">
        <v>68</v>
      </c>
      <c r="P1175" s="217" t="s">
        <v>34</v>
      </c>
      <c r="Q1175" s="217" t="s">
        <v>35</v>
      </c>
      <c r="R1175" s="217" t="s">
        <v>23</v>
      </c>
      <c r="S1175" s="217" t="s">
        <v>22</v>
      </c>
      <c r="T1175" s="217" t="s">
        <v>36</v>
      </c>
      <c r="U1175" s="217" t="s">
        <v>37</v>
      </c>
      <c r="V1175" s="217" t="s">
        <v>249</v>
      </c>
      <c r="W1175" s="217" t="s">
        <v>250</v>
      </c>
    </row>
    <row r="1176" spans="1:23" x14ac:dyDescent="0.25">
      <c r="A1176" s="217" t="s">
        <v>22</v>
      </c>
      <c r="B1176" s="217" t="s">
        <v>23</v>
      </c>
      <c r="C1176" s="217" t="s">
        <v>37</v>
      </c>
      <c r="D1176" s="217" t="s">
        <v>36</v>
      </c>
      <c r="E1176" s="217" t="s">
        <v>247</v>
      </c>
      <c r="F1176" s="217" t="s">
        <v>246</v>
      </c>
      <c r="G1176" s="217" t="s">
        <v>252</v>
      </c>
      <c r="H1176" s="217" t="s">
        <v>1465</v>
      </c>
      <c r="I1176" s="217" t="s">
        <v>29</v>
      </c>
      <c r="J1176" s="217" t="s">
        <v>1855</v>
      </c>
      <c r="K1176" s="217">
        <v>200</v>
      </c>
      <c r="L1176" s="217">
        <v>1000</v>
      </c>
      <c r="M1176" s="217" t="s">
        <v>31</v>
      </c>
      <c r="N1176" s="217" t="s">
        <v>32</v>
      </c>
      <c r="O1176" s="217" t="s">
        <v>68</v>
      </c>
      <c r="P1176" s="217" t="s">
        <v>34</v>
      </c>
      <c r="Q1176" s="217" t="s">
        <v>35</v>
      </c>
      <c r="R1176" s="217" t="s">
        <v>23</v>
      </c>
      <c r="S1176" s="217" t="s">
        <v>22</v>
      </c>
      <c r="T1176" s="217" t="s">
        <v>36</v>
      </c>
      <c r="U1176" s="217" t="s">
        <v>37</v>
      </c>
      <c r="V1176" s="217" t="s">
        <v>249</v>
      </c>
      <c r="W1176" s="217" t="s">
        <v>250</v>
      </c>
    </row>
    <row r="1177" spans="1:23" x14ac:dyDescent="0.25">
      <c r="A1177" s="217" t="s">
        <v>22</v>
      </c>
      <c r="B1177" s="217" t="s">
        <v>23</v>
      </c>
      <c r="C1177" s="217" t="s">
        <v>37</v>
      </c>
      <c r="D1177" s="217" t="s">
        <v>36</v>
      </c>
      <c r="E1177" s="217" t="s">
        <v>247</v>
      </c>
      <c r="F1177" s="217" t="s">
        <v>246</v>
      </c>
      <c r="G1177" s="217" t="s">
        <v>252</v>
      </c>
      <c r="H1177" s="217" t="s">
        <v>1465</v>
      </c>
      <c r="I1177" s="217" t="s">
        <v>29</v>
      </c>
      <c r="J1177" s="217" t="s">
        <v>1856</v>
      </c>
      <c r="K1177" s="217">
        <v>60</v>
      </c>
      <c r="L1177" s="217">
        <v>300</v>
      </c>
      <c r="M1177" s="217" t="s">
        <v>31</v>
      </c>
      <c r="N1177" s="217" t="s">
        <v>32</v>
      </c>
      <c r="O1177" s="217" t="s">
        <v>68</v>
      </c>
      <c r="P1177" s="217" t="s">
        <v>34</v>
      </c>
      <c r="Q1177" s="217" t="s">
        <v>35</v>
      </c>
      <c r="R1177" s="217" t="s">
        <v>23</v>
      </c>
      <c r="S1177" s="217" t="s">
        <v>22</v>
      </c>
      <c r="T1177" s="217" t="s">
        <v>36</v>
      </c>
      <c r="U1177" s="217" t="s">
        <v>37</v>
      </c>
      <c r="V1177" s="217" t="s">
        <v>249</v>
      </c>
      <c r="W1177" s="217" t="s">
        <v>250</v>
      </c>
    </row>
    <row r="1178" spans="1:23" x14ac:dyDescent="0.25">
      <c r="A1178" s="217" t="s">
        <v>22</v>
      </c>
      <c r="B1178" s="217" t="s">
        <v>23</v>
      </c>
      <c r="C1178" s="217" t="s">
        <v>37</v>
      </c>
      <c r="D1178" s="217" t="s">
        <v>36</v>
      </c>
      <c r="E1178" s="217" t="s">
        <v>247</v>
      </c>
      <c r="F1178" s="217" t="s">
        <v>246</v>
      </c>
      <c r="G1178" s="217" t="s">
        <v>252</v>
      </c>
      <c r="H1178" s="217" t="s">
        <v>1465</v>
      </c>
      <c r="I1178" s="217" t="s">
        <v>29</v>
      </c>
      <c r="J1178" s="217" t="s">
        <v>1858</v>
      </c>
      <c r="K1178" s="217">
        <v>3</v>
      </c>
      <c r="L1178" s="217">
        <v>26</v>
      </c>
      <c r="M1178" s="217" t="s">
        <v>31</v>
      </c>
      <c r="N1178" s="217" t="s">
        <v>32</v>
      </c>
      <c r="O1178" s="217" t="s">
        <v>68</v>
      </c>
      <c r="P1178" s="217" t="s">
        <v>34</v>
      </c>
      <c r="Q1178" s="217" t="s">
        <v>35</v>
      </c>
      <c r="R1178" s="217" t="s">
        <v>23</v>
      </c>
      <c r="S1178" s="217" t="s">
        <v>22</v>
      </c>
      <c r="T1178" s="217" t="s">
        <v>36</v>
      </c>
      <c r="U1178" s="217" t="s">
        <v>37</v>
      </c>
      <c r="V1178" s="217" t="s">
        <v>249</v>
      </c>
      <c r="W1178" s="217" t="s">
        <v>250</v>
      </c>
    </row>
    <row r="1179" spans="1:23" x14ac:dyDescent="0.25">
      <c r="A1179" s="217" t="s">
        <v>22</v>
      </c>
      <c r="B1179" s="217" t="s">
        <v>23</v>
      </c>
      <c r="C1179" s="217" t="s">
        <v>37</v>
      </c>
      <c r="D1179" s="217" t="s">
        <v>36</v>
      </c>
      <c r="E1179" s="217" t="s">
        <v>247</v>
      </c>
      <c r="F1179" s="217" t="s">
        <v>246</v>
      </c>
      <c r="G1179" s="217" t="s">
        <v>597</v>
      </c>
      <c r="H1179" s="217" t="s">
        <v>1466</v>
      </c>
      <c r="I1179" s="217" t="s">
        <v>29</v>
      </c>
      <c r="J1179" s="217" t="s">
        <v>1855</v>
      </c>
      <c r="K1179" s="217">
        <v>39</v>
      </c>
      <c r="L1179" s="217">
        <v>150</v>
      </c>
      <c r="M1179" s="217" t="s">
        <v>31</v>
      </c>
      <c r="N1179" s="217" t="s">
        <v>32</v>
      </c>
      <c r="O1179" s="217" t="s">
        <v>68</v>
      </c>
      <c r="P1179" s="217" t="s">
        <v>34</v>
      </c>
      <c r="Q1179" s="217" t="s">
        <v>35</v>
      </c>
      <c r="R1179" s="217" t="s">
        <v>23</v>
      </c>
      <c r="S1179" s="217" t="s">
        <v>22</v>
      </c>
      <c r="T1179" s="217" t="s">
        <v>36</v>
      </c>
      <c r="U1179" s="217" t="s">
        <v>37</v>
      </c>
      <c r="V1179" s="217" t="s">
        <v>249</v>
      </c>
      <c r="W1179" s="217" t="s">
        <v>250</v>
      </c>
    </row>
    <row r="1180" spans="1:23" x14ac:dyDescent="0.25">
      <c r="A1180" s="217" t="s">
        <v>22</v>
      </c>
      <c r="B1180" s="217" t="s">
        <v>23</v>
      </c>
      <c r="C1180" s="217" t="s">
        <v>37</v>
      </c>
      <c r="D1180" s="217" t="s">
        <v>36</v>
      </c>
      <c r="E1180" s="217" t="s">
        <v>247</v>
      </c>
      <c r="F1180" s="217" t="s">
        <v>246</v>
      </c>
      <c r="G1180" s="217" t="s">
        <v>597</v>
      </c>
      <c r="H1180" s="217" t="s">
        <v>1466</v>
      </c>
      <c r="I1180" s="217" t="s">
        <v>29</v>
      </c>
      <c r="J1180" s="217" t="s">
        <v>1856</v>
      </c>
      <c r="K1180" s="217">
        <v>15</v>
      </c>
      <c r="L1180" s="217">
        <v>75</v>
      </c>
      <c r="M1180" s="217" t="s">
        <v>31</v>
      </c>
      <c r="N1180" s="217" t="s">
        <v>32</v>
      </c>
      <c r="O1180" s="217" t="s">
        <v>33</v>
      </c>
      <c r="P1180" s="217" t="s">
        <v>34</v>
      </c>
      <c r="Q1180" s="217" t="s">
        <v>35</v>
      </c>
      <c r="R1180" s="217" t="s">
        <v>23</v>
      </c>
      <c r="S1180" s="217" t="s">
        <v>22</v>
      </c>
      <c r="T1180" s="217" t="s">
        <v>47</v>
      </c>
      <c r="U1180" s="217" t="s">
        <v>48</v>
      </c>
      <c r="V1180" s="217" t="s">
        <v>231</v>
      </c>
      <c r="W1180" s="217" t="s">
        <v>232</v>
      </c>
    </row>
    <row r="1181" spans="1:23" x14ac:dyDescent="0.25">
      <c r="A1181" s="217" t="s">
        <v>22</v>
      </c>
      <c r="B1181" s="217" t="s">
        <v>23</v>
      </c>
      <c r="C1181" s="217" t="s">
        <v>37</v>
      </c>
      <c r="D1181" s="217" t="s">
        <v>36</v>
      </c>
      <c r="E1181" s="217" t="s">
        <v>247</v>
      </c>
      <c r="F1181" s="217" t="s">
        <v>246</v>
      </c>
      <c r="G1181" s="217" t="s">
        <v>597</v>
      </c>
      <c r="H1181" s="217" t="s">
        <v>1466</v>
      </c>
      <c r="I1181" s="217" t="s">
        <v>29</v>
      </c>
      <c r="J1181" s="217" t="s">
        <v>1857</v>
      </c>
      <c r="K1181" s="217">
        <v>69</v>
      </c>
      <c r="L1181" s="217">
        <v>229</v>
      </c>
      <c r="M1181" s="217" t="s">
        <v>31</v>
      </c>
      <c r="N1181" s="217" t="s">
        <v>32</v>
      </c>
      <c r="O1181" s="217" t="s">
        <v>68</v>
      </c>
      <c r="P1181" s="217" t="s">
        <v>34</v>
      </c>
      <c r="Q1181" s="217" t="s">
        <v>35</v>
      </c>
      <c r="R1181" s="217" t="s">
        <v>23</v>
      </c>
      <c r="S1181" s="217" t="s">
        <v>22</v>
      </c>
      <c r="T1181" s="217" t="s">
        <v>36</v>
      </c>
      <c r="U1181" s="217" t="s">
        <v>37</v>
      </c>
      <c r="V1181" s="217" t="s">
        <v>249</v>
      </c>
      <c r="W1181" s="217" t="s">
        <v>250</v>
      </c>
    </row>
    <row r="1182" spans="1:23" x14ac:dyDescent="0.25">
      <c r="A1182" s="217" t="s">
        <v>22</v>
      </c>
      <c r="B1182" s="217" t="s">
        <v>23</v>
      </c>
      <c r="C1182" s="217" t="s">
        <v>37</v>
      </c>
      <c r="D1182" s="217" t="s">
        <v>36</v>
      </c>
      <c r="E1182" s="217" t="s">
        <v>247</v>
      </c>
      <c r="F1182" s="217" t="s">
        <v>246</v>
      </c>
      <c r="G1182" s="217" t="s">
        <v>597</v>
      </c>
      <c r="H1182" s="217" t="s">
        <v>1466</v>
      </c>
      <c r="I1182" s="217" t="s">
        <v>29</v>
      </c>
      <c r="J1182" s="217" t="s">
        <v>1858</v>
      </c>
      <c r="K1182" s="217">
        <v>30</v>
      </c>
      <c r="L1182" s="217">
        <v>157</v>
      </c>
      <c r="M1182" s="217" t="s">
        <v>31</v>
      </c>
      <c r="N1182" s="217" t="s">
        <v>32</v>
      </c>
      <c r="O1182" s="217" t="s">
        <v>68</v>
      </c>
      <c r="P1182" s="217" t="s">
        <v>34</v>
      </c>
      <c r="Q1182" s="217" t="s">
        <v>35</v>
      </c>
      <c r="R1182" s="217" t="s">
        <v>23</v>
      </c>
      <c r="S1182" s="217" t="s">
        <v>22</v>
      </c>
      <c r="T1182" s="217" t="s">
        <v>36</v>
      </c>
      <c r="U1182" s="217" t="s">
        <v>37</v>
      </c>
      <c r="V1182" s="217" t="s">
        <v>249</v>
      </c>
      <c r="W1182" s="217" t="s">
        <v>250</v>
      </c>
    </row>
    <row r="1183" spans="1:23" x14ac:dyDescent="0.25">
      <c r="A1183" s="217" t="s">
        <v>22</v>
      </c>
      <c r="B1183" s="217" t="s">
        <v>23</v>
      </c>
      <c r="C1183" s="217" t="s">
        <v>37</v>
      </c>
      <c r="D1183" s="217" t="s">
        <v>36</v>
      </c>
      <c r="E1183" s="217" t="s">
        <v>247</v>
      </c>
      <c r="F1183" s="217" t="s">
        <v>246</v>
      </c>
      <c r="G1183" s="217" t="s">
        <v>597</v>
      </c>
      <c r="H1183" s="217" t="s">
        <v>1466</v>
      </c>
      <c r="I1183" s="217" t="s">
        <v>29</v>
      </c>
      <c r="J1183" s="217" t="s">
        <v>1859</v>
      </c>
      <c r="K1183" s="217">
        <v>57</v>
      </c>
      <c r="L1183" s="217">
        <v>285</v>
      </c>
      <c r="M1183" s="217" t="s">
        <v>31</v>
      </c>
      <c r="N1183" s="217" t="s">
        <v>32</v>
      </c>
      <c r="O1183" s="217" t="s">
        <v>68</v>
      </c>
      <c r="P1183" s="217" t="s">
        <v>34</v>
      </c>
      <c r="Q1183" s="217" t="s">
        <v>35</v>
      </c>
      <c r="R1183" s="217" t="s">
        <v>23</v>
      </c>
      <c r="S1183" s="217" t="s">
        <v>22</v>
      </c>
      <c r="T1183" s="217" t="s">
        <v>36</v>
      </c>
      <c r="U1183" s="217" t="s">
        <v>37</v>
      </c>
      <c r="V1183" s="217" t="s">
        <v>249</v>
      </c>
      <c r="W1183" s="217" t="s">
        <v>250</v>
      </c>
    </row>
    <row r="1184" spans="1:23" x14ac:dyDescent="0.25">
      <c r="A1184" s="217" t="s">
        <v>22</v>
      </c>
      <c r="B1184" s="217" t="s">
        <v>23</v>
      </c>
      <c r="C1184" s="217" t="s">
        <v>37</v>
      </c>
      <c r="D1184" s="217" t="s">
        <v>36</v>
      </c>
      <c r="E1184" s="217" t="s">
        <v>250</v>
      </c>
      <c r="F1184" s="217" t="s">
        <v>249</v>
      </c>
      <c r="G1184" s="217" t="s">
        <v>2142</v>
      </c>
      <c r="H1184" s="217" t="s">
        <v>2143</v>
      </c>
      <c r="I1184" s="217" t="s">
        <v>29</v>
      </c>
      <c r="J1184" s="217" t="s">
        <v>1857</v>
      </c>
      <c r="K1184" s="217">
        <v>87</v>
      </c>
      <c r="L1184" s="217">
        <v>490</v>
      </c>
      <c r="M1184" s="217" t="s">
        <v>31</v>
      </c>
      <c r="N1184" s="217" t="s">
        <v>32</v>
      </c>
      <c r="O1184" s="217" t="s">
        <v>33</v>
      </c>
      <c r="P1184" s="217" t="s">
        <v>34</v>
      </c>
      <c r="Q1184" s="217" t="s">
        <v>35</v>
      </c>
      <c r="R1184" s="217" t="s">
        <v>23</v>
      </c>
      <c r="S1184" s="217" t="s">
        <v>22</v>
      </c>
      <c r="T1184" s="217" t="s">
        <v>47</v>
      </c>
      <c r="U1184" s="217" t="s">
        <v>48</v>
      </c>
      <c r="V1184" s="217" t="s">
        <v>231</v>
      </c>
      <c r="W1184" s="217" t="s">
        <v>232</v>
      </c>
    </row>
    <row r="1185" spans="1:23" x14ac:dyDescent="0.25">
      <c r="A1185" s="217" t="s">
        <v>22</v>
      </c>
      <c r="B1185" s="217" t="s">
        <v>23</v>
      </c>
      <c r="C1185" s="217" t="s">
        <v>37</v>
      </c>
      <c r="D1185" s="217" t="s">
        <v>36</v>
      </c>
      <c r="E1185" s="217" t="s">
        <v>250</v>
      </c>
      <c r="F1185" s="217" t="s">
        <v>249</v>
      </c>
      <c r="G1185" s="217" t="s">
        <v>2142</v>
      </c>
      <c r="H1185" s="217" t="s">
        <v>2143</v>
      </c>
      <c r="I1185" s="217" t="s">
        <v>29</v>
      </c>
      <c r="J1185" s="217" t="s">
        <v>1858</v>
      </c>
      <c r="K1185" s="217">
        <v>200</v>
      </c>
      <c r="L1185" s="217">
        <v>1467</v>
      </c>
      <c r="M1185" s="217" t="s">
        <v>31</v>
      </c>
      <c r="N1185" s="217" t="s">
        <v>32</v>
      </c>
      <c r="O1185" s="217" t="s">
        <v>33</v>
      </c>
      <c r="P1185" s="217" t="s">
        <v>34</v>
      </c>
      <c r="Q1185" s="217" t="s">
        <v>35</v>
      </c>
      <c r="R1185" s="217" t="s">
        <v>23</v>
      </c>
      <c r="S1185" s="217" t="s">
        <v>22</v>
      </c>
      <c r="T1185" s="217" t="s">
        <v>47</v>
      </c>
      <c r="U1185" s="217" t="s">
        <v>48</v>
      </c>
      <c r="V1185" s="217" t="s">
        <v>231</v>
      </c>
      <c r="W1185" s="217" t="s">
        <v>232</v>
      </c>
    </row>
    <row r="1186" spans="1:23" x14ac:dyDescent="0.25">
      <c r="A1186" s="217" t="s">
        <v>22</v>
      </c>
      <c r="B1186" s="217" t="s">
        <v>23</v>
      </c>
      <c r="C1186" s="217" t="s">
        <v>37</v>
      </c>
      <c r="D1186" s="217" t="s">
        <v>36</v>
      </c>
      <c r="E1186" s="217" t="s">
        <v>250</v>
      </c>
      <c r="F1186" s="217" t="s">
        <v>249</v>
      </c>
      <c r="G1186" s="217" t="s">
        <v>2049</v>
      </c>
      <c r="H1186" s="217" t="s">
        <v>2048</v>
      </c>
      <c r="I1186" s="217" t="s">
        <v>29</v>
      </c>
      <c r="J1186" s="217" t="s">
        <v>1856</v>
      </c>
      <c r="K1186" s="217">
        <v>2</v>
      </c>
      <c r="L1186" s="217">
        <v>13</v>
      </c>
      <c r="M1186" s="217" t="s">
        <v>31</v>
      </c>
      <c r="N1186" s="217" t="s">
        <v>32</v>
      </c>
      <c r="O1186" s="217" t="s">
        <v>100</v>
      </c>
      <c r="P1186" s="217" t="s">
        <v>34</v>
      </c>
      <c r="Q1186" s="217" t="s">
        <v>35</v>
      </c>
      <c r="R1186" s="217" t="s">
        <v>23</v>
      </c>
      <c r="S1186" s="217" t="s">
        <v>22</v>
      </c>
      <c r="T1186" s="217" t="s">
        <v>36</v>
      </c>
      <c r="U1186" s="217" t="s">
        <v>37</v>
      </c>
      <c r="V1186" s="217" t="s">
        <v>249</v>
      </c>
      <c r="W1186" s="217" t="s">
        <v>250</v>
      </c>
    </row>
    <row r="1187" spans="1:23" x14ac:dyDescent="0.25">
      <c r="A1187" s="217" t="s">
        <v>22</v>
      </c>
      <c r="B1187" s="217" t="s">
        <v>23</v>
      </c>
      <c r="C1187" s="217" t="s">
        <v>37</v>
      </c>
      <c r="D1187" s="217" t="s">
        <v>36</v>
      </c>
      <c r="E1187" s="217" t="s">
        <v>250</v>
      </c>
      <c r="F1187" s="217" t="s">
        <v>249</v>
      </c>
      <c r="G1187" s="217" t="s">
        <v>2049</v>
      </c>
      <c r="H1187" s="217" t="s">
        <v>2048</v>
      </c>
      <c r="I1187" s="217" t="s">
        <v>29</v>
      </c>
      <c r="J1187" s="217" t="s">
        <v>1857</v>
      </c>
      <c r="K1187" s="217">
        <v>12</v>
      </c>
      <c r="L1187" s="217">
        <v>63</v>
      </c>
      <c r="M1187" s="217" t="s">
        <v>31</v>
      </c>
      <c r="N1187" s="217" t="s">
        <v>32</v>
      </c>
      <c r="O1187" s="217" t="s">
        <v>100</v>
      </c>
      <c r="P1187" s="217" t="s">
        <v>34</v>
      </c>
      <c r="Q1187" s="217" t="s">
        <v>35</v>
      </c>
      <c r="R1187" s="217" t="s">
        <v>23</v>
      </c>
      <c r="S1187" s="217" t="s">
        <v>22</v>
      </c>
      <c r="T1187" s="217" t="s">
        <v>36</v>
      </c>
      <c r="U1187" s="217" t="s">
        <v>37</v>
      </c>
      <c r="V1187" s="217" t="s">
        <v>249</v>
      </c>
      <c r="W1187" s="217" t="s">
        <v>250</v>
      </c>
    </row>
    <row r="1188" spans="1:23" x14ac:dyDescent="0.25">
      <c r="A1188" s="217" t="s">
        <v>22</v>
      </c>
      <c r="B1188" s="217" t="s">
        <v>23</v>
      </c>
      <c r="C1188" s="217" t="s">
        <v>37</v>
      </c>
      <c r="D1188" s="217" t="s">
        <v>36</v>
      </c>
      <c r="E1188" s="217" t="s">
        <v>250</v>
      </c>
      <c r="F1188" s="217" t="s">
        <v>249</v>
      </c>
      <c r="G1188" s="217" t="s">
        <v>2049</v>
      </c>
      <c r="H1188" s="217" t="s">
        <v>2048</v>
      </c>
      <c r="I1188" s="217" t="s">
        <v>29</v>
      </c>
      <c r="J1188" s="217" t="s">
        <v>1858</v>
      </c>
      <c r="K1188" s="217">
        <v>7</v>
      </c>
      <c r="L1188" s="217">
        <v>34</v>
      </c>
      <c r="M1188" s="217" t="s">
        <v>31</v>
      </c>
      <c r="N1188" s="217" t="s">
        <v>32</v>
      </c>
      <c r="O1188" s="217" t="s">
        <v>100</v>
      </c>
      <c r="P1188" s="217" t="s">
        <v>34</v>
      </c>
      <c r="Q1188" s="217" t="s">
        <v>35</v>
      </c>
      <c r="R1188" s="217" t="s">
        <v>23</v>
      </c>
      <c r="S1188" s="217" t="s">
        <v>22</v>
      </c>
      <c r="T1188" s="217" t="s">
        <v>36</v>
      </c>
      <c r="U1188" s="217" t="s">
        <v>37</v>
      </c>
      <c r="V1188" s="217" t="s">
        <v>249</v>
      </c>
      <c r="W1188" s="217" t="s">
        <v>250</v>
      </c>
    </row>
    <row r="1189" spans="1:23" x14ac:dyDescent="0.25">
      <c r="A1189" s="217" t="s">
        <v>22</v>
      </c>
      <c r="B1189" s="217" t="s">
        <v>23</v>
      </c>
      <c r="C1189" s="217" t="s">
        <v>37</v>
      </c>
      <c r="D1189" s="217" t="s">
        <v>36</v>
      </c>
      <c r="E1189" s="217" t="s">
        <v>250</v>
      </c>
      <c r="F1189" s="217" t="s">
        <v>249</v>
      </c>
      <c r="G1189" s="217" t="s">
        <v>2049</v>
      </c>
      <c r="H1189" s="217" t="s">
        <v>2048</v>
      </c>
      <c r="I1189" s="217" t="s">
        <v>29</v>
      </c>
      <c r="J1189" s="217" t="s">
        <v>1859</v>
      </c>
      <c r="K1189" s="217">
        <v>11</v>
      </c>
      <c r="L1189" s="217">
        <v>58</v>
      </c>
      <c r="M1189" s="217" t="s">
        <v>31</v>
      </c>
      <c r="N1189" s="217" t="s">
        <v>32</v>
      </c>
      <c r="O1189" s="217" t="s">
        <v>100</v>
      </c>
      <c r="P1189" s="217" t="s">
        <v>34</v>
      </c>
      <c r="Q1189" s="217" t="s">
        <v>35</v>
      </c>
      <c r="R1189" s="217" t="s">
        <v>23</v>
      </c>
      <c r="S1189" s="217" t="s">
        <v>22</v>
      </c>
      <c r="T1189" s="217" t="s">
        <v>36</v>
      </c>
      <c r="U1189" s="217" t="s">
        <v>37</v>
      </c>
      <c r="V1189" s="217" t="s">
        <v>249</v>
      </c>
      <c r="W1189" s="217" t="s">
        <v>250</v>
      </c>
    </row>
    <row r="1190" spans="1:23" x14ac:dyDescent="0.25">
      <c r="A1190" s="217" t="s">
        <v>22</v>
      </c>
      <c r="B1190" s="217" t="s">
        <v>23</v>
      </c>
      <c r="C1190" s="217" t="s">
        <v>37</v>
      </c>
      <c r="D1190" s="217" t="s">
        <v>36</v>
      </c>
      <c r="E1190" s="217" t="s">
        <v>250</v>
      </c>
      <c r="F1190" s="217" t="s">
        <v>249</v>
      </c>
      <c r="G1190" s="217" t="s">
        <v>253</v>
      </c>
      <c r="H1190" s="217" t="s">
        <v>1467</v>
      </c>
      <c r="I1190" s="217" t="s">
        <v>29</v>
      </c>
      <c r="J1190" s="217" t="s">
        <v>1855</v>
      </c>
      <c r="K1190" s="217">
        <v>91</v>
      </c>
      <c r="L1190" s="217">
        <v>455</v>
      </c>
      <c r="M1190" s="217" t="s">
        <v>31</v>
      </c>
      <c r="N1190" s="217" t="s">
        <v>32</v>
      </c>
      <c r="O1190" s="217" t="s">
        <v>68</v>
      </c>
      <c r="P1190" s="217" t="s">
        <v>34</v>
      </c>
      <c r="Q1190" s="217" t="s">
        <v>35</v>
      </c>
      <c r="R1190" s="217" t="s">
        <v>23</v>
      </c>
      <c r="S1190" s="217" t="s">
        <v>22</v>
      </c>
      <c r="T1190" s="217" t="s">
        <v>36</v>
      </c>
      <c r="U1190" s="217" t="s">
        <v>37</v>
      </c>
      <c r="V1190" s="217" t="s">
        <v>249</v>
      </c>
      <c r="W1190" s="217" t="s">
        <v>250</v>
      </c>
    </row>
    <row r="1191" spans="1:23" x14ac:dyDescent="0.25">
      <c r="A1191" s="217" t="s">
        <v>22</v>
      </c>
      <c r="B1191" s="217" t="s">
        <v>23</v>
      </c>
      <c r="C1191" s="217" t="s">
        <v>37</v>
      </c>
      <c r="D1191" s="217" t="s">
        <v>36</v>
      </c>
      <c r="E1191" s="217" t="s">
        <v>250</v>
      </c>
      <c r="F1191" s="217" t="s">
        <v>249</v>
      </c>
      <c r="G1191" s="217" t="s">
        <v>253</v>
      </c>
      <c r="H1191" s="217" t="s">
        <v>1467</v>
      </c>
      <c r="I1191" s="217" t="s">
        <v>29</v>
      </c>
      <c r="J1191" s="217" t="s">
        <v>1856</v>
      </c>
      <c r="K1191" s="217">
        <v>44</v>
      </c>
      <c r="L1191" s="217">
        <v>220</v>
      </c>
      <c r="M1191" s="217" t="s">
        <v>31</v>
      </c>
      <c r="N1191" s="217" t="s">
        <v>32</v>
      </c>
      <c r="O1191" s="217" t="s">
        <v>33</v>
      </c>
      <c r="P1191" s="217" t="s">
        <v>34</v>
      </c>
      <c r="Q1191" s="217" t="s">
        <v>35</v>
      </c>
      <c r="R1191" s="217" t="s">
        <v>23</v>
      </c>
      <c r="S1191" s="217" t="s">
        <v>22</v>
      </c>
      <c r="T1191" s="217" t="s">
        <v>47</v>
      </c>
      <c r="U1191" s="217" t="s">
        <v>48</v>
      </c>
      <c r="V1191" s="217" t="s">
        <v>231</v>
      </c>
      <c r="W1191" s="217" t="s">
        <v>232</v>
      </c>
    </row>
    <row r="1192" spans="1:23" x14ac:dyDescent="0.25">
      <c r="A1192" s="217" t="s">
        <v>22</v>
      </c>
      <c r="B1192" s="217" t="s">
        <v>23</v>
      </c>
      <c r="C1192" s="217" t="s">
        <v>37</v>
      </c>
      <c r="D1192" s="217" t="s">
        <v>36</v>
      </c>
      <c r="E1192" s="217" t="s">
        <v>250</v>
      </c>
      <c r="F1192" s="217" t="s">
        <v>249</v>
      </c>
      <c r="G1192" s="217" t="s">
        <v>253</v>
      </c>
      <c r="H1192" s="217" t="s">
        <v>1467</v>
      </c>
      <c r="I1192" s="217" t="s">
        <v>29</v>
      </c>
      <c r="J1192" s="217" t="s">
        <v>1857</v>
      </c>
      <c r="K1192" s="217">
        <v>1</v>
      </c>
      <c r="L1192" s="217">
        <v>5</v>
      </c>
      <c r="M1192" s="217" t="s">
        <v>31</v>
      </c>
      <c r="N1192" s="217" t="s">
        <v>32</v>
      </c>
      <c r="O1192" s="217" t="s">
        <v>100</v>
      </c>
      <c r="P1192" s="217" t="s">
        <v>34</v>
      </c>
      <c r="Q1192" s="217" t="s">
        <v>35</v>
      </c>
      <c r="R1192" s="217" t="s">
        <v>23</v>
      </c>
      <c r="S1192" s="217" t="s">
        <v>22</v>
      </c>
      <c r="T1192" s="217" t="s">
        <v>36</v>
      </c>
      <c r="U1192" s="217" t="s">
        <v>37</v>
      </c>
      <c r="V1192" s="217" t="s">
        <v>249</v>
      </c>
      <c r="W1192" s="217" t="s">
        <v>250</v>
      </c>
    </row>
    <row r="1193" spans="1:23" x14ac:dyDescent="0.25">
      <c r="A1193" s="217" t="s">
        <v>22</v>
      </c>
      <c r="B1193" s="217" t="s">
        <v>23</v>
      </c>
      <c r="C1193" s="217" t="s">
        <v>37</v>
      </c>
      <c r="D1193" s="217" t="s">
        <v>36</v>
      </c>
      <c r="E1193" s="217" t="s">
        <v>250</v>
      </c>
      <c r="F1193" s="217" t="s">
        <v>249</v>
      </c>
      <c r="G1193" s="217" t="s">
        <v>253</v>
      </c>
      <c r="H1193" s="217" t="s">
        <v>1467</v>
      </c>
      <c r="I1193" s="217" t="s">
        <v>29</v>
      </c>
      <c r="J1193" s="217" t="s">
        <v>1858</v>
      </c>
      <c r="K1193" s="217">
        <v>6</v>
      </c>
      <c r="L1193" s="217">
        <v>30</v>
      </c>
      <c r="M1193" s="217" t="s">
        <v>31</v>
      </c>
      <c r="N1193" s="217" t="s">
        <v>32</v>
      </c>
      <c r="O1193" s="217" t="s">
        <v>100</v>
      </c>
      <c r="P1193" s="217" t="s">
        <v>34</v>
      </c>
      <c r="Q1193" s="217" t="s">
        <v>35</v>
      </c>
      <c r="R1193" s="217" t="s">
        <v>23</v>
      </c>
      <c r="S1193" s="217" t="s">
        <v>22</v>
      </c>
      <c r="T1193" s="217" t="s">
        <v>36</v>
      </c>
      <c r="U1193" s="217" t="s">
        <v>37</v>
      </c>
      <c r="V1193" s="217" t="s">
        <v>249</v>
      </c>
      <c r="W1193" s="217" t="s">
        <v>250</v>
      </c>
    </row>
    <row r="1194" spans="1:23" x14ac:dyDescent="0.25">
      <c r="A1194" s="217" t="s">
        <v>22</v>
      </c>
      <c r="B1194" s="217" t="s">
        <v>23</v>
      </c>
      <c r="C1194" s="217" t="s">
        <v>37</v>
      </c>
      <c r="D1194" s="217" t="s">
        <v>36</v>
      </c>
      <c r="E1194" s="217" t="s">
        <v>250</v>
      </c>
      <c r="F1194" s="217" t="s">
        <v>249</v>
      </c>
      <c r="G1194" s="217" t="s">
        <v>254</v>
      </c>
      <c r="H1194" s="217" t="s">
        <v>1468</v>
      </c>
      <c r="I1194" s="217" t="s">
        <v>29</v>
      </c>
      <c r="J1194" s="217" t="s">
        <v>1855</v>
      </c>
      <c r="K1194" s="217">
        <v>39</v>
      </c>
      <c r="L1194" s="217">
        <v>195</v>
      </c>
      <c r="M1194" s="217" t="s">
        <v>31</v>
      </c>
      <c r="N1194" s="217" t="s">
        <v>32</v>
      </c>
      <c r="O1194" s="217" t="s">
        <v>33</v>
      </c>
      <c r="P1194" s="217" t="s">
        <v>34</v>
      </c>
      <c r="Q1194" s="217" t="s">
        <v>35</v>
      </c>
      <c r="R1194" s="217" t="s">
        <v>23</v>
      </c>
      <c r="S1194" s="217" t="s">
        <v>22</v>
      </c>
      <c r="T1194" s="217" t="s">
        <v>47</v>
      </c>
      <c r="U1194" s="217" t="s">
        <v>48</v>
      </c>
      <c r="V1194" s="217" t="s">
        <v>231</v>
      </c>
      <c r="W1194" s="217" t="s">
        <v>232</v>
      </c>
    </row>
    <row r="1195" spans="1:23" x14ac:dyDescent="0.25">
      <c r="A1195" s="217" t="s">
        <v>22</v>
      </c>
      <c r="B1195" s="217" t="s">
        <v>23</v>
      </c>
      <c r="C1195" s="217" t="s">
        <v>37</v>
      </c>
      <c r="D1195" s="217" t="s">
        <v>36</v>
      </c>
      <c r="E1195" s="217" t="s">
        <v>250</v>
      </c>
      <c r="F1195" s="217" t="s">
        <v>249</v>
      </c>
      <c r="G1195" s="217" t="s">
        <v>254</v>
      </c>
      <c r="H1195" s="217" t="s">
        <v>1468</v>
      </c>
      <c r="I1195" s="217" t="s">
        <v>29</v>
      </c>
      <c r="J1195" s="217" t="s">
        <v>1856</v>
      </c>
      <c r="K1195" s="217">
        <v>17</v>
      </c>
      <c r="L1195" s="217">
        <v>85</v>
      </c>
      <c r="M1195" s="217" t="s">
        <v>31</v>
      </c>
      <c r="N1195" s="217" t="s">
        <v>32</v>
      </c>
      <c r="O1195" s="217" t="s">
        <v>100</v>
      </c>
      <c r="P1195" s="217" t="s">
        <v>34</v>
      </c>
      <c r="Q1195" s="217" t="s">
        <v>35</v>
      </c>
      <c r="R1195" s="217" t="s">
        <v>23</v>
      </c>
      <c r="S1195" s="217" t="s">
        <v>22</v>
      </c>
      <c r="T1195" s="217" t="s">
        <v>36</v>
      </c>
      <c r="U1195" s="217" t="s">
        <v>37</v>
      </c>
      <c r="V1195" s="217" t="s">
        <v>249</v>
      </c>
      <c r="W1195" s="217" t="s">
        <v>250</v>
      </c>
    </row>
    <row r="1196" spans="1:23" x14ac:dyDescent="0.25">
      <c r="A1196" s="217" t="s">
        <v>22</v>
      </c>
      <c r="B1196" s="217" t="s">
        <v>23</v>
      </c>
      <c r="C1196" s="217" t="s">
        <v>37</v>
      </c>
      <c r="D1196" s="217" t="s">
        <v>36</v>
      </c>
      <c r="E1196" s="217" t="s">
        <v>250</v>
      </c>
      <c r="F1196" s="217" t="s">
        <v>249</v>
      </c>
      <c r="G1196" s="217" t="s">
        <v>254</v>
      </c>
      <c r="H1196" s="217" t="s">
        <v>1468</v>
      </c>
      <c r="I1196" s="217" t="s">
        <v>29</v>
      </c>
      <c r="J1196" s="217" t="s">
        <v>1857</v>
      </c>
      <c r="K1196" s="217">
        <v>19</v>
      </c>
      <c r="L1196" s="217">
        <v>95</v>
      </c>
      <c r="M1196" s="217" t="s">
        <v>31</v>
      </c>
      <c r="N1196" s="217" t="s">
        <v>32</v>
      </c>
      <c r="O1196" s="217" t="s">
        <v>33</v>
      </c>
      <c r="P1196" s="217" t="s">
        <v>34</v>
      </c>
      <c r="Q1196" s="217" t="s">
        <v>35</v>
      </c>
      <c r="R1196" s="217" t="s">
        <v>23</v>
      </c>
      <c r="S1196" s="217" t="s">
        <v>22</v>
      </c>
      <c r="T1196" s="217" t="s">
        <v>47</v>
      </c>
      <c r="U1196" s="217" t="s">
        <v>48</v>
      </c>
      <c r="V1196" s="217" t="s">
        <v>231</v>
      </c>
      <c r="W1196" s="217" t="s">
        <v>232</v>
      </c>
    </row>
    <row r="1197" spans="1:23" x14ac:dyDescent="0.25">
      <c r="A1197" s="217" t="s">
        <v>22</v>
      </c>
      <c r="B1197" s="217" t="s">
        <v>23</v>
      </c>
      <c r="C1197" s="217" t="s">
        <v>37</v>
      </c>
      <c r="D1197" s="217" t="s">
        <v>36</v>
      </c>
      <c r="E1197" s="217" t="s">
        <v>250</v>
      </c>
      <c r="F1197" s="217" t="s">
        <v>249</v>
      </c>
      <c r="G1197" s="217" t="s">
        <v>254</v>
      </c>
      <c r="H1197" s="217" t="s">
        <v>1468</v>
      </c>
      <c r="I1197" s="217" t="s">
        <v>29</v>
      </c>
      <c r="J1197" s="217" t="s">
        <v>1858</v>
      </c>
      <c r="K1197" s="217">
        <v>5</v>
      </c>
      <c r="L1197" s="217">
        <v>25</v>
      </c>
      <c r="M1197" s="217" t="s">
        <v>31</v>
      </c>
      <c r="N1197" s="217" t="s">
        <v>32</v>
      </c>
      <c r="O1197" s="217" t="s">
        <v>33</v>
      </c>
      <c r="P1197" s="217" t="s">
        <v>34</v>
      </c>
      <c r="Q1197" s="217" t="s">
        <v>35</v>
      </c>
      <c r="R1197" s="217" t="s">
        <v>23</v>
      </c>
      <c r="S1197" s="217" t="s">
        <v>22</v>
      </c>
      <c r="T1197" s="217" t="s">
        <v>47</v>
      </c>
      <c r="U1197" s="217" t="s">
        <v>48</v>
      </c>
      <c r="V1197" s="217" t="s">
        <v>231</v>
      </c>
      <c r="W1197" s="217" t="s">
        <v>232</v>
      </c>
    </row>
    <row r="1198" spans="1:23" x14ac:dyDescent="0.25">
      <c r="A1198" s="217" t="s">
        <v>22</v>
      </c>
      <c r="B1198" s="217" t="s">
        <v>23</v>
      </c>
      <c r="C1198" s="217" t="s">
        <v>37</v>
      </c>
      <c r="D1198" s="217" t="s">
        <v>36</v>
      </c>
      <c r="E1198" s="217" t="s">
        <v>250</v>
      </c>
      <c r="F1198" s="217" t="s">
        <v>249</v>
      </c>
      <c r="G1198" s="217" t="s">
        <v>255</v>
      </c>
      <c r="H1198" s="217" t="s">
        <v>1469</v>
      </c>
      <c r="I1198" s="217" t="s">
        <v>29</v>
      </c>
      <c r="J1198" s="217" t="s">
        <v>1855</v>
      </c>
      <c r="K1198" s="217">
        <v>27</v>
      </c>
      <c r="L1198" s="217">
        <v>135</v>
      </c>
      <c r="M1198" s="217" t="s">
        <v>31</v>
      </c>
      <c r="N1198" s="217" t="s">
        <v>32</v>
      </c>
      <c r="O1198" s="217" t="s">
        <v>100</v>
      </c>
      <c r="P1198" s="217" t="s">
        <v>34</v>
      </c>
      <c r="Q1198" s="217" t="s">
        <v>35</v>
      </c>
      <c r="R1198" s="217" t="s">
        <v>23</v>
      </c>
      <c r="S1198" s="217" t="s">
        <v>22</v>
      </c>
      <c r="T1198" s="217" t="s">
        <v>36</v>
      </c>
      <c r="U1198" s="217" t="s">
        <v>37</v>
      </c>
      <c r="V1198" s="217" t="s">
        <v>249</v>
      </c>
      <c r="W1198" s="217" t="s">
        <v>250</v>
      </c>
    </row>
    <row r="1199" spans="1:23" x14ac:dyDescent="0.25">
      <c r="A1199" s="217" t="s">
        <v>22</v>
      </c>
      <c r="B1199" s="217" t="s">
        <v>23</v>
      </c>
      <c r="C1199" s="217" t="s">
        <v>37</v>
      </c>
      <c r="D1199" s="217" t="s">
        <v>36</v>
      </c>
      <c r="E1199" s="217" t="s">
        <v>250</v>
      </c>
      <c r="F1199" s="217" t="s">
        <v>249</v>
      </c>
      <c r="G1199" s="217" t="s">
        <v>255</v>
      </c>
      <c r="H1199" s="217" t="s">
        <v>1469</v>
      </c>
      <c r="I1199" s="217" t="s">
        <v>29</v>
      </c>
      <c r="J1199" s="217" t="s">
        <v>1856</v>
      </c>
      <c r="K1199" s="217">
        <v>29</v>
      </c>
      <c r="L1199" s="217">
        <v>145</v>
      </c>
      <c r="M1199" s="217" t="s">
        <v>31</v>
      </c>
      <c r="N1199" s="217" t="s">
        <v>32</v>
      </c>
      <c r="O1199" s="217" t="s">
        <v>100</v>
      </c>
      <c r="P1199" s="217" t="s">
        <v>34</v>
      </c>
      <c r="Q1199" s="217" t="s">
        <v>35</v>
      </c>
      <c r="R1199" s="217" t="s">
        <v>23</v>
      </c>
      <c r="S1199" s="217" t="s">
        <v>22</v>
      </c>
      <c r="T1199" s="217" t="s">
        <v>36</v>
      </c>
      <c r="U1199" s="217" t="s">
        <v>37</v>
      </c>
      <c r="V1199" s="217" t="s">
        <v>249</v>
      </c>
      <c r="W1199" s="217" t="s">
        <v>250</v>
      </c>
    </row>
    <row r="1200" spans="1:23" x14ac:dyDescent="0.25">
      <c r="A1200" s="217" t="s">
        <v>22</v>
      </c>
      <c r="B1200" s="217" t="s">
        <v>23</v>
      </c>
      <c r="C1200" s="217" t="s">
        <v>37</v>
      </c>
      <c r="D1200" s="217" t="s">
        <v>36</v>
      </c>
      <c r="E1200" s="217" t="s">
        <v>250</v>
      </c>
      <c r="F1200" s="217" t="s">
        <v>249</v>
      </c>
      <c r="G1200" s="217" t="s">
        <v>255</v>
      </c>
      <c r="H1200" s="217" t="s">
        <v>1469</v>
      </c>
      <c r="I1200" s="217" t="s">
        <v>29</v>
      </c>
      <c r="J1200" s="217" t="s">
        <v>1857</v>
      </c>
      <c r="K1200" s="217">
        <v>10</v>
      </c>
      <c r="L1200" s="217">
        <v>52</v>
      </c>
      <c r="M1200" s="217" t="s">
        <v>31</v>
      </c>
      <c r="N1200" s="217" t="s">
        <v>32</v>
      </c>
      <c r="O1200" s="217" t="s">
        <v>100</v>
      </c>
      <c r="P1200" s="217" t="s">
        <v>34</v>
      </c>
      <c r="Q1200" s="217" t="s">
        <v>35</v>
      </c>
      <c r="R1200" s="217" t="s">
        <v>23</v>
      </c>
      <c r="S1200" s="217" t="s">
        <v>22</v>
      </c>
      <c r="T1200" s="217" t="s">
        <v>36</v>
      </c>
      <c r="U1200" s="217" t="s">
        <v>37</v>
      </c>
      <c r="V1200" s="217" t="s">
        <v>249</v>
      </c>
      <c r="W1200" s="217" t="s">
        <v>250</v>
      </c>
    </row>
    <row r="1201" spans="1:23" x14ac:dyDescent="0.25">
      <c r="A1201" s="217" t="s">
        <v>22</v>
      </c>
      <c r="B1201" s="217" t="s">
        <v>23</v>
      </c>
      <c r="C1201" s="217" t="s">
        <v>37</v>
      </c>
      <c r="D1201" s="217" t="s">
        <v>36</v>
      </c>
      <c r="E1201" s="217" t="s">
        <v>250</v>
      </c>
      <c r="F1201" s="217" t="s">
        <v>249</v>
      </c>
      <c r="G1201" s="217" t="s">
        <v>255</v>
      </c>
      <c r="H1201" s="217" t="s">
        <v>1469</v>
      </c>
      <c r="I1201" s="217" t="s">
        <v>29</v>
      </c>
      <c r="J1201" s="217" t="s">
        <v>1858</v>
      </c>
      <c r="K1201" s="217">
        <v>8</v>
      </c>
      <c r="L1201" s="217">
        <v>40</v>
      </c>
      <c r="M1201" s="217" t="s">
        <v>31</v>
      </c>
      <c r="N1201" s="217" t="s">
        <v>32</v>
      </c>
      <c r="O1201" s="217" t="s">
        <v>100</v>
      </c>
      <c r="P1201" s="217" t="s">
        <v>34</v>
      </c>
      <c r="Q1201" s="217" t="s">
        <v>35</v>
      </c>
      <c r="R1201" s="217" t="s">
        <v>23</v>
      </c>
      <c r="S1201" s="217" t="s">
        <v>22</v>
      </c>
      <c r="T1201" s="217" t="s">
        <v>36</v>
      </c>
      <c r="U1201" s="217" t="s">
        <v>37</v>
      </c>
      <c r="V1201" s="217" t="s">
        <v>249</v>
      </c>
      <c r="W1201" s="217" t="s">
        <v>250</v>
      </c>
    </row>
    <row r="1202" spans="1:23" x14ac:dyDescent="0.25">
      <c r="A1202" s="217" t="s">
        <v>22</v>
      </c>
      <c r="B1202" s="217" t="s">
        <v>23</v>
      </c>
      <c r="C1202" s="217" t="s">
        <v>37</v>
      </c>
      <c r="D1202" s="217" t="s">
        <v>36</v>
      </c>
      <c r="E1202" s="217" t="s">
        <v>250</v>
      </c>
      <c r="F1202" s="217" t="s">
        <v>249</v>
      </c>
      <c r="G1202" s="217" t="s">
        <v>846</v>
      </c>
      <c r="H1202" s="217" t="s">
        <v>1470</v>
      </c>
      <c r="I1202" s="217" t="s">
        <v>29</v>
      </c>
      <c r="J1202" s="217" t="s">
        <v>1855</v>
      </c>
      <c r="K1202" s="217">
        <v>22</v>
      </c>
      <c r="L1202" s="217">
        <v>110</v>
      </c>
      <c r="M1202" s="217" t="s">
        <v>31</v>
      </c>
      <c r="N1202" s="217" t="s">
        <v>32</v>
      </c>
      <c r="O1202" s="217" t="s">
        <v>33</v>
      </c>
      <c r="P1202" s="217" t="s">
        <v>34</v>
      </c>
      <c r="Q1202" s="217" t="s">
        <v>35</v>
      </c>
      <c r="R1202" s="217" t="s">
        <v>23</v>
      </c>
      <c r="S1202" s="217" t="s">
        <v>22</v>
      </c>
      <c r="T1202" s="217" t="s">
        <v>47</v>
      </c>
      <c r="U1202" s="217" t="s">
        <v>48</v>
      </c>
      <c r="V1202" s="217" t="s">
        <v>231</v>
      </c>
      <c r="W1202" s="217" t="s">
        <v>232</v>
      </c>
    </row>
    <row r="1203" spans="1:23" x14ac:dyDescent="0.25">
      <c r="A1203" s="217" t="s">
        <v>22</v>
      </c>
      <c r="B1203" s="217" t="s">
        <v>23</v>
      </c>
      <c r="C1203" s="217" t="s">
        <v>37</v>
      </c>
      <c r="D1203" s="217" t="s">
        <v>36</v>
      </c>
      <c r="E1203" s="217" t="s">
        <v>250</v>
      </c>
      <c r="F1203" s="217" t="s">
        <v>249</v>
      </c>
      <c r="G1203" s="217" t="s">
        <v>846</v>
      </c>
      <c r="H1203" s="217" t="s">
        <v>1470</v>
      </c>
      <c r="I1203" s="217" t="s">
        <v>29</v>
      </c>
      <c r="J1203" s="217" t="s">
        <v>1856</v>
      </c>
      <c r="K1203" s="217">
        <v>14</v>
      </c>
      <c r="L1203" s="217">
        <v>70</v>
      </c>
      <c r="M1203" s="217" t="s">
        <v>31</v>
      </c>
      <c r="N1203" s="217" t="s">
        <v>32</v>
      </c>
      <c r="O1203" s="217" t="s">
        <v>100</v>
      </c>
      <c r="P1203" s="217" t="s">
        <v>34</v>
      </c>
      <c r="Q1203" s="217" t="s">
        <v>35</v>
      </c>
      <c r="R1203" s="217" t="s">
        <v>23</v>
      </c>
      <c r="S1203" s="217" t="s">
        <v>22</v>
      </c>
      <c r="T1203" s="217" t="s">
        <v>36</v>
      </c>
      <c r="U1203" s="217" t="s">
        <v>37</v>
      </c>
      <c r="V1203" s="217" t="s">
        <v>249</v>
      </c>
      <c r="W1203" s="217" t="s">
        <v>250</v>
      </c>
    </row>
    <row r="1204" spans="1:23" x14ac:dyDescent="0.25">
      <c r="A1204" s="217" t="s">
        <v>22</v>
      </c>
      <c r="B1204" s="217" t="s">
        <v>23</v>
      </c>
      <c r="C1204" s="217" t="s">
        <v>37</v>
      </c>
      <c r="D1204" s="217" t="s">
        <v>36</v>
      </c>
      <c r="E1204" s="217" t="s">
        <v>250</v>
      </c>
      <c r="F1204" s="217" t="s">
        <v>249</v>
      </c>
      <c r="G1204" s="217" t="s">
        <v>846</v>
      </c>
      <c r="H1204" s="217" t="s">
        <v>1470</v>
      </c>
      <c r="I1204" s="217" t="s">
        <v>29</v>
      </c>
      <c r="J1204" s="217" t="s">
        <v>1857</v>
      </c>
      <c r="K1204" s="217">
        <v>3</v>
      </c>
      <c r="L1204" s="217">
        <v>15</v>
      </c>
      <c r="M1204" s="217" t="s">
        <v>31</v>
      </c>
      <c r="N1204" s="217" t="s">
        <v>32</v>
      </c>
      <c r="O1204" s="217" t="s">
        <v>68</v>
      </c>
      <c r="P1204" s="217" t="s">
        <v>34</v>
      </c>
      <c r="Q1204" s="217" t="s">
        <v>35</v>
      </c>
      <c r="R1204" s="217" t="s">
        <v>23</v>
      </c>
      <c r="S1204" s="217" t="s">
        <v>22</v>
      </c>
      <c r="T1204" s="217" t="s">
        <v>36</v>
      </c>
      <c r="U1204" s="217" t="s">
        <v>37</v>
      </c>
      <c r="V1204" s="217" t="s">
        <v>246</v>
      </c>
      <c r="W1204" s="217" t="s">
        <v>247</v>
      </c>
    </row>
    <row r="1205" spans="1:23" x14ac:dyDescent="0.25">
      <c r="A1205" s="217" t="s">
        <v>22</v>
      </c>
      <c r="B1205" s="217" t="s">
        <v>23</v>
      </c>
      <c r="C1205" s="217" t="s">
        <v>37</v>
      </c>
      <c r="D1205" s="217" t="s">
        <v>36</v>
      </c>
      <c r="E1205" s="217" t="s">
        <v>250</v>
      </c>
      <c r="F1205" s="217" t="s">
        <v>249</v>
      </c>
      <c r="G1205" s="217" t="s">
        <v>846</v>
      </c>
      <c r="H1205" s="217" t="s">
        <v>1470</v>
      </c>
      <c r="I1205" s="217" t="s">
        <v>29</v>
      </c>
      <c r="J1205" s="217" t="s">
        <v>1858</v>
      </c>
      <c r="K1205" s="217">
        <v>9</v>
      </c>
      <c r="L1205" s="217">
        <v>45</v>
      </c>
      <c r="M1205" s="217" t="s">
        <v>31</v>
      </c>
      <c r="N1205" s="217" t="s">
        <v>32</v>
      </c>
      <c r="O1205" s="217" t="s">
        <v>68</v>
      </c>
      <c r="P1205" s="217" t="s">
        <v>34</v>
      </c>
      <c r="Q1205" s="217" t="s">
        <v>35</v>
      </c>
      <c r="R1205" s="217" t="s">
        <v>23</v>
      </c>
      <c r="S1205" s="217" t="s">
        <v>22</v>
      </c>
      <c r="T1205" s="217" t="s">
        <v>36</v>
      </c>
      <c r="U1205" s="217" t="s">
        <v>37</v>
      </c>
      <c r="V1205" s="217" t="s">
        <v>548</v>
      </c>
      <c r="W1205" s="217" t="s">
        <v>547</v>
      </c>
    </row>
    <row r="1206" spans="1:23" x14ac:dyDescent="0.25">
      <c r="A1206" s="217" t="s">
        <v>22</v>
      </c>
      <c r="B1206" s="217" t="s">
        <v>23</v>
      </c>
      <c r="C1206" s="217" t="s">
        <v>37</v>
      </c>
      <c r="D1206" s="217" t="s">
        <v>36</v>
      </c>
      <c r="E1206" s="217" t="s">
        <v>250</v>
      </c>
      <c r="F1206" s="217" t="s">
        <v>249</v>
      </c>
      <c r="G1206" s="217" t="s">
        <v>598</v>
      </c>
      <c r="H1206" s="217" t="s">
        <v>1471</v>
      </c>
      <c r="I1206" s="217" t="s">
        <v>29</v>
      </c>
      <c r="J1206" s="217" t="s">
        <v>1855</v>
      </c>
      <c r="K1206" s="217">
        <v>19</v>
      </c>
      <c r="L1206" s="217">
        <v>95</v>
      </c>
      <c r="M1206" s="217" t="s">
        <v>31</v>
      </c>
      <c r="N1206" s="217" t="s">
        <v>32</v>
      </c>
      <c r="O1206" s="217" t="s">
        <v>100</v>
      </c>
      <c r="P1206" s="217" t="s">
        <v>34</v>
      </c>
      <c r="Q1206" s="217" t="s">
        <v>35</v>
      </c>
      <c r="R1206" s="217" t="s">
        <v>23</v>
      </c>
      <c r="S1206" s="217" t="s">
        <v>22</v>
      </c>
      <c r="T1206" s="217" t="s">
        <v>36</v>
      </c>
      <c r="U1206" s="217" t="s">
        <v>37</v>
      </c>
      <c r="V1206" s="217" t="s">
        <v>249</v>
      </c>
      <c r="W1206" s="217" t="s">
        <v>250</v>
      </c>
    </row>
    <row r="1207" spans="1:23" x14ac:dyDescent="0.25">
      <c r="A1207" s="217" t="s">
        <v>22</v>
      </c>
      <c r="B1207" s="217" t="s">
        <v>23</v>
      </c>
      <c r="C1207" s="217" t="s">
        <v>37</v>
      </c>
      <c r="D1207" s="217" t="s">
        <v>36</v>
      </c>
      <c r="E1207" s="217" t="s">
        <v>250</v>
      </c>
      <c r="F1207" s="217" t="s">
        <v>249</v>
      </c>
      <c r="G1207" s="217" t="s">
        <v>598</v>
      </c>
      <c r="H1207" s="217" t="s">
        <v>1471</v>
      </c>
      <c r="I1207" s="217" t="s">
        <v>29</v>
      </c>
      <c r="J1207" s="217" t="s">
        <v>1858</v>
      </c>
      <c r="K1207" s="217">
        <v>8</v>
      </c>
      <c r="L1207" s="217">
        <v>41</v>
      </c>
      <c r="M1207" s="217" t="s">
        <v>31</v>
      </c>
      <c r="N1207" s="217" t="s">
        <v>32</v>
      </c>
      <c r="O1207" s="217" t="s">
        <v>100</v>
      </c>
      <c r="P1207" s="217" t="s">
        <v>34</v>
      </c>
      <c r="Q1207" s="217" t="s">
        <v>35</v>
      </c>
      <c r="R1207" s="217" t="s">
        <v>23</v>
      </c>
      <c r="S1207" s="217" t="s">
        <v>22</v>
      </c>
      <c r="T1207" s="217" t="s">
        <v>36</v>
      </c>
      <c r="U1207" s="217" t="s">
        <v>37</v>
      </c>
      <c r="V1207" s="217" t="s">
        <v>249</v>
      </c>
      <c r="W1207" s="217" t="s">
        <v>250</v>
      </c>
    </row>
    <row r="1208" spans="1:23" x14ac:dyDescent="0.25">
      <c r="A1208" s="217" t="s">
        <v>22</v>
      </c>
      <c r="B1208" s="217" t="s">
        <v>23</v>
      </c>
      <c r="C1208" s="217" t="s">
        <v>37</v>
      </c>
      <c r="D1208" s="217" t="s">
        <v>36</v>
      </c>
      <c r="E1208" s="217" t="s">
        <v>250</v>
      </c>
      <c r="F1208" s="217" t="s">
        <v>249</v>
      </c>
      <c r="G1208" s="217" t="s">
        <v>256</v>
      </c>
      <c r="H1208" s="217" t="s">
        <v>1472</v>
      </c>
      <c r="I1208" s="217" t="s">
        <v>29</v>
      </c>
      <c r="J1208" s="217" t="s">
        <v>1855</v>
      </c>
      <c r="K1208" s="217">
        <v>38</v>
      </c>
      <c r="L1208" s="217">
        <v>213</v>
      </c>
      <c r="M1208" s="217" t="s">
        <v>31</v>
      </c>
      <c r="N1208" s="217" t="s">
        <v>32</v>
      </c>
      <c r="O1208" s="217" t="s">
        <v>100</v>
      </c>
      <c r="P1208" s="217" t="s">
        <v>34</v>
      </c>
      <c r="Q1208" s="217" t="s">
        <v>35</v>
      </c>
      <c r="R1208" s="217" t="s">
        <v>23</v>
      </c>
      <c r="S1208" s="217" t="s">
        <v>22</v>
      </c>
      <c r="T1208" s="217" t="s">
        <v>36</v>
      </c>
      <c r="U1208" s="217" t="s">
        <v>37</v>
      </c>
      <c r="V1208" s="217" t="s">
        <v>249</v>
      </c>
      <c r="W1208" s="217" t="s">
        <v>250</v>
      </c>
    </row>
    <row r="1209" spans="1:23" x14ac:dyDescent="0.25">
      <c r="A1209" s="217" t="s">
        <v>22</v>
      </c>
      <c r="B1209" s="217" t="s">
        <v>23</v>
      </c>
      <c r="C1209" s="217" t="s">
        <v>37</v>
      </c>
      <c r="D1209" s="217" t="s">
        <v>36</v>
      </c>
      <c r="E1209" s="217" t="s">
        <v>250</v>
      </c>
      <c r="F1209" s="217" t="s">
        <v>249</v>
      </c>
      <c r="G1209" s="217" t="s">
        <v>256</v>
      </c>
      <c r="H1209" s="217" t="s">
        <v>1472</v>
      </c>
      <c r="I1209" s="217" t="s">
        <v>29</v>
      </c>
      <c r="J1209" s="217" t="s">
        <v>1856</v>
      </c>
      <c r="K1209" s="217">
        <v>16</v>
      </c>
      <c r="L1209" s="217">
        <v>92</v>
      </c>
      <c r="M1209" s="217" t="s">
        <v>31</v>
      </c>
      <c r="N1209" s="217" t="s">
        <v>32</v>
      </c>
      <c r="O1209" s="217" t="s">
        <v>100</v>
      </c>
      <c r="P1209" s="217" t="s">
        <v>34</v>
      </c>
      <c r="Q1209" s="217" t="s">
        <v>35</v>
      </c>
      <c r="R1209" s="217" t="s">
        <v>23</v>
      </c>
      <c r="S1209" s="217" t="s">
        <v>22</v>
      </c>
      <c r="T1209" s="217" t="s">
        <v>36</v>
      </c>
      <c r="U1209" s="217" t="s">
        <v>37</v>
      </c>
      <c r="V1209" s="217" t="s">
        <v>249</v>
      </c>
      <c r="W1209" s="217" t="s">
        <v>250</v>
      </c>
    </row>
    <row r="1210" spans="1:23" x14ac:dyDescent="0.25">
      <c r="A1210" s="217" t="s">
        <v>22</v>
      </c>
      <c r="B1210" s="217" t="s">
        <v>23</v>
      </c>
      <c r="C1210" s="217" t="s">
        <v>37</v>
      </c>
      <c r="D1210" s="217" t="s">
        <v>36</v>
      </c>
      <c r="E1210" s="217" t="s">
        <v>250</v>
      </c>
      <c r="F1210" s="217" t="s">
        <v>249</v>
      </c>
      <c r="G1210" s="217" t="s">
        <v>256</v>
      </c>
      <c r="H1210" s="217" t="s">
        <v>1472</v>
      </c>
      <c r="I1210" s="217" t="s">
        <v>29</v>
      </c>
      <c r="J1210" s="217" t="s">
        <v>1857</v>
      </c>
      <c r="K1210" s="217">
        <v>19</v>
      </c>
      <c r="L1210" s="217">
        <v>102</v>
      </c>
      <c r="M1210" s="217" t="s">
        <v>31</v>
      </c>
      <c r="N1210" s="217" t="s">
        <v>32</v>
      </c>
      <c r="O1210" s="217" t="s">
        <v>100</v>
      </c>
      <c r="P1210" s="217" t="s">
        <v>34</v>
      </c>
      <c r="Q1210" s="217" t="s">
        <v>35</v>
      </c>
      <c r="R1210" s="217" t="s">
        <v>23</v>
      </c>
      <c r="S1210" s="217" t="s">
        <v>22</v>
      </c>
      <c r="T1210" s="217" t="s">
        <v>36</v>
      </c>
      <c r="U1210" s="217" t="s">
        <v>37</v>
      </c>
      <c r="V1210" s="217" t="s">
        <v>249</v>
      </c>
      <c r="W1210" s="217" t="s">
        <v>250</v>
      </c>
    </row>
    <row r="1211" spans="1:23" x14ac:dyDescent="0.25">
      <c r="A1211" s="217" t="s">
        <v>22</v>
      </c>
      <c r="B1211" s="217" t="s">
        <v>23</v>
      </c>
      <c r="C1211" s="217" t="s">
        <v>37</v>
      </c>
      <c r="D1211" s="217" t="s">
        <v>36</v>
      </c>
      <c r="E1211" s="217" t="s">
        <v>250</v>
      </c>
      <c r="F1211" s="217" t="s">
        <v>249</v>
      </c>
      <c r="G1211" s="217" t="s">
        <v>256</v>
      </c>
      <c r="H1211" s="217" t="s">
        <v>1472</v>
      </c>
      <c r="I1211" s="217" t="s">
        <v>29</v>
      </c>
      <c r="J1211" s="217" t="s">
        <v>1858</v>
      </c>
      <c r="K1211" s="217">
        <v>8</v>
      </c>
      <c r="L1211" s="217">
        <v>40</v>
      </c>
      <c r="M1211" s="217" t="s">
        <v>31</v>
      </c>
      <c r="N1211" s="217" t="s">
        <v>32</v>
      </c>
      <c r="O1211" s="217" t="s">
        <v>100</v>
      </c>
      <c r="P1211" s="217" t="s">
        <v>34</v>
      </c>
      <c r="Q1211" s="217" t="s">
        <v>35</v>
      </c>
      <c r="R1211" s="217" t="s">
        <v>23</v>
      </c>
      <c r="S1211" s="217" t="s">
        <v>22</v>
      </c>
      <c r="T1211" s="217" t="s">
        <v>36</v>
      </c>
      <c r="U1211" s="217" t="s">
        <v>37</v>
      </c>
      <c r="V1211" s="217" t="s">
        <v>249</v>
      </c>
      <c r="W1211" s="217" t="s">
        <v>250</v>
      </c>
    </row>
    <row r="1212" spans="1:23" x14ac:dyDescent="0.25">
      <c r="A1212" s="217" t="s">
        <v>22</v>
      </c>
      <c r="B1212" s="217" t="s">
        <v>23</v>
      </c>
      <c r="C1212" s="217" t="s">
        <v>37</v>
      </c>
      <c r="D1212" s="217" t="s">
        <v>36</v>
      </c>
      <c r="E1212" s="217" t="s">
        <v>250</v>
      </c>
      <c r="F1212" s="217" t="s">
        <v>249</v>
      </c>
      <c r="G1212" s="217" t="s">
        <v>256</v>
      </c>
      <c r="H1212" s="217" t="s">
        <v>1472</v>
      </c>
      <c r="I1212" s="217" t="s">
        <v>29</v>
      </c>
      <c r="J1212" s="217" t="s">
        <v>1859</v>
      </c>
      <c r="K1212" s="217">
        <v>8</v>
      </c>
      <c r="L1212" s="217">
        <v>42</v>
      </c>
      <c r="M1212" s="217" t="s">
        <v>31</v>
      </c>
      <c r="N1212" s="217" t="s">
        <v>32</v>
      </c>
      <c r="O1212" s="217" t="s">
        <v>100</v>
      </c>
      <c r="P1212" s="217" t="s">
        <v>34</v>
      </c>
      <c r="Q1212" s="217" t="s">
        <v>35</v>
      </c>
      <c r="R1212" s="217" t="s">
        <v>23</v>
      </c>
      <c r="S1212" s="217" t="s">
        <v>22</v>
      </c>
      <c r="T1212" s="217" t="s">
        <v>36</v>
      </c>
      <c r="U1212" s="217" t="s">
        <v>37</v>
      </c>
      <c r="V1212" s="217" t="s">
        <v>249</v>
      </c>
      <c r="W1212" s="217" t="s">
        <v>250</v>
      </c>
    </row>
    <row r="1213" spans="1:23" x14ac:dyDescent="0.25">
      <c r="A1213" s="217" t="s">
        <v>22</v>
      </c>
      <c r="B1213" s="217" t="s">
        <v>23</v>
      </c>
      <c r="C1213" s="217" t="s">
        <v>37</v>
      </c>
      <c r="D1213" s="217" t="s">
        <v>36</v>
      </c>
      <c r="E1213" s="217" t="s">
        <v>250</v>
      </c>
      <c r="F1213" s="217" t="s">
        <v>249</v>
      </c>
      <c r="G1213" s="217" t="s">
        <v>257</v>
      </c>
      <c r="H1213" s="217" t="s">
        <v>1473</v>
      </c>
      <c r="I1213" s="217" t="s">
        <v>29</v>
      </c>
      <c r="J1213" s="217" t="s">
        <v>1855</v>
      </c>
      <c r="K1213" s="217">
        <v>6</v>
      </c>
      <c r="L1213" s="217">
        <v>30</v>
      </c>
      <c r="M1213" s="217" t="s">
        <v>31</v>
      </c>
      <c r="N1213" s="217" t="s">
        <v>32</v>
      </c>
      <c r="O1213" s="217" t="s">
        <v>100</v>
      </c>
      <c r="P1213" s="217" t="s">
        <v>34</v>
      </c>
      <c r="Q1213" s="217" t="s">
        <v>35</v>
      </c>
      <c r="R1213" s="217" t="s">
        <v>23</v>
      </c>
      <c r="S1213" s="217" t="s">
        <v>22</v>
      </c>
      <c r="T1213" s="217" t="s">
        <v>36</v>
      </c>
      <c r="U1213" s="217" t="s">
        <v>37</v>
      </c>
      <c r="V1213" s="217" t="s">
        <v>249</v>
      </c>
      <c r="W1213" s="217" t="s">
        <v>250</v>
      </c>
    </row>
    <row r="1214" spans="1:23" x14ac:dyDescent="0.25">
      <c r="A1214" s="217" t="s">
        <v>22</v>
      </c>
      <c r="B1214" s="217" t="s">
        <v>23</v>
      </c>
      <c r="C1214" s="217" t="s">
        <v>37</v>
      </c>
      <c r="D1214" s="217" t="s">
        <v>36</v>
      </c>
      <c r="E1214" s="217" t="s">
        <v>250</v>
      </c>
      <c r="F1214" s="217" t="s">
        <v>249</v>
      </c>
      <c r="G1214" s="217" t="s">
        <v>257</v>
      </c>
      <c r="H1214" s="217" t="s">
        <v>1473</v>
      </c>
      <c r="I1214" s="217" t="s">
        <v>29</v>
      </c>
      <c r="J1214" s="217" t="s">
        <v>1856</v>
      </c>
      <c r="K1214" s="217">
        <v>4</v>
      </c>
      <c r="L1214" s="217">
        <v>20</v>
      </c>
      <c r="M1214" s="217" t="s">
        <v>31</v>
      </c>
      <c r="N1214" s="217" t="s">
        <v>32</v>
      </c>
      <c r="O1214" s="217" t="s">
        <v>100</v>
      </c>
      <c r="P1214" s="217" t="s">
        <v>34</v>
      </c>
      <c r="Q1214" s="217" t="s">
        <v>35</v>
      </c>
      <c r="R1214" s="217" t="s">
        <v>23</v>
      </c>
      <c r="S1214" s="217" t="s">
        <v>22</v>
      </c>
      <c r="T1214" s="217" t="s">
        <v>36</v>
      </c>
      <c r="U1214" s="217" t="s">
        <v>37</v>
      </c>
      <c r="V1214" s="217" t="s">
        <v>249</v>
      </c>
      <c r="W1214" s="217" t="s">
        <v>250</v>
      </c>
    </row>
    <row r="1215" spans="1:23" x14ac:dyDescent="0.25">
      <c r="A1215" s="217" t="s">
        <v>22</v>
      </c>
      <c r="B1215" s="217" t="s">
        <v>23</v>
      </c>
      <c r="C1215" s="217" t="s">
        <v>37</v>
      </c>
      <c r="D1215" s="217" t="s">
        <v>36</v>
      </c>
      <c r="E1215" s="217" t="s">
        <v>250</v>
      </c>
      <c r="F1215" s="217" t="s">
        <v>249</v>
      </c>
      <c r="G1215" s="217" t="s">
        <v>257</v>
      </c>
      <c r="H1215" s="217" t="s">
        <v>1473</v>
      </c>
      <c r="I1215" s="217" t="s">
        <v>29</v>
      </c>
      <c r="J1215" s="217" t="s">
        <v>1857</v>
      </c>
      <c r="K1215" s="217">
        <v>1</v>
      </c>
      <c r="L1215" s="217">
        <v>5</v>
      </c>
      <c r="M1215" s="217" t="s">
        <v>31</v>
      </c>
      <c r="N1215" s="217" t="s">
        <v>32</v>
      </c>
      <c r="O1215" s="217" t="s">
        <v>100</v>
      </c>
      <c r="P1215" s="217" t="s">
        <v>34</v>
      </c>
      <c r="Q1215" s="217" t="s">
        <v>35</v>
      </c>
      <c r="R1215" s="217" t="s">
        <v>23</v>
      </c>
      <c r="S1215" s="217" t="s">
        <v>22</v>
      </c>
      <c r="T1215" s="217" t="s">
        <v>36</v>
      </c>
      <c r="U1215" s="217" t="s">
        <v>37</v>
      </c>
      <c r="V1215" s="217" t="s">
        <v>249</v>
      </c>
      <c r="W1215" s="217" t="s">
        <v>250</v>
      </c>
    </row>
    <row r="1216" spans="1:23" x14ac:dyDescent="0.25">
      <c r="A1216" s="217" t="s">
        <v>22</v>
      </c>
      <c r="B1216" s="217" t="s">
        <v>23</v>
      </c>
      <c r="C1216" s="217" t="s">
        <v>37</v>
      </c>
      <c r="D1216" s="217" t="s">
        <v>36</v>
      </c>
      <c r="E1216" s="217" t="s">
        <v>250</v>
      </c>
      <c r="F1216" s="217" t="s">
        <v>249</v>
      </c>
      <c r="G1216" s="217" t="s">
        <v>257</v>
      </c>
      <c r="H1216" s="217" t="s">
        <v>1473</v>
      </c>
      <c r="I1216" s="217" t="s">
        <v>29</v>
      </c>
      <c r="J1216" s="217" t="s">
        <v>1858</v>
      </c>
      <c r="K1216" s="217">
        <v>1</v>
      </c>
      <c r="L1216" s="217">
        <v>5</v>
      </c>
      <c r="M1216" s="217" t="s">
        <v>31</v>
      </c>
      <c r="N1216" s="217" t="s">
        <v>32</v>
      </c>
      <c r="O1216" s="217" t="s">
        <v>100</v>
      </c>
      <c r="P1216" s="217" t="s">
        <v>34</v>
      </c>
      <c r="Q1216" s="217" t="s">
        <v>35</v>
      </c>
      <c r="R1216" s="217" t="s">
        <v>23</v>
      </c>
      <c r="S1216" s="217" t="s">
        <v>22</v>
      </c>
      <c r="T1216" s="217" t="s">
        <v>36</v>
      </c>
      <c r="U1216" s="217" t="s">
        <v>37</v>
      </c>
      <c r="V1216" s="217" t="s">
        <v>249</v>
      </c>
      <c r="W1216" s="217" t="s">
        <v>250</v>
      </c>
    </row>
    <row r="1217" spans="1:23" x14ac:dyDescent="0.25">
      <c r="A1217" s="217" t="s">
        <v>22</v>
      </c>
      <c r="B1217" s="217" t="s">
        <v>23</v>
      </c>
      <c r="C1217" s="217" t="s">
        <v>37</v>
      </c>
      <c r="D1217" s="217" t="s">
        <v>36</v>
      </c>
      <c r="E1217" s="217" t="s">
        <v>250</v>
      </c>
      <c r="F1217" s="217" t="s">
        <v>249</v>
      </c>
      <c r="G1217" s="217" t="s">
        <v>258</v>
      </c>
      <c r="H1217" s="217" t="s">
        <v>1474</v>
      </c>
      <c r="I1217" s="217" t="s">
        <v>29</v>
      </c>
      <c r="J1217" s="217" t="s">
        <v>1855</v>
      </c>
      <c r="K1217" s="217">
        <v>39</v>
      </c>
      <c r="L1217" s="217">
        <v>195</v>
      </c>
      <c r="M1217" s="217" t="s">
        <v>31</v>
      </c>
      <c r="N1217" s="217" t="s">
        <v>32</v>
      </c>
      <c r="O1217" s="217" t="s">
        <v>100</v>
      </c>
      <c r="P1217" s="217" t="s">
        <v>34</v>
      </c>
      <c r="Q1217" s="217" t="s">
        <v>35</v>
      </c>
      <c r="R1217" s="217" t="s">
        <v>23</v>
      </c>
      <c r="S1217" s="217" t="s">
        <v>22</v>
      </c>
      <c r="T1217" s="217" t="s">
        <v>36</v>
      </c>
      <c r="U1217" s="217" t="s">
        <v>37</v>
      </c>
      <c r="V1217" s="217" t="s">
        <v>249</v>
      </c>
      <c r="W1217" s="217" t="s">
        <v>250</v>
      </c>
    </row>
    <row r="1218" spans="1:23" x14ac:dyDescent="0.25">
      <c r="A1218" s="217" t="s">
        <v>22</v>
      </c>
      <c r="B1218" s="217" t="s">
        <v>23</v>
      </c>
      <c r="C1218" s="217" t="s">
        <v>37</v>
      </c>
      <c r="D1218" s="217" t="s">
        <v>36</v>
      </c>
      <c r="E1218" s="217" t="s">
        <v>250</v>
      </c>
      <c r="F1218" s="217" t="s">
        <v>249</v>
      </c>
      <c r="G1218" s="217" t="s">
        <v>258</v>
      </c>
      <c r="H1218" s="217" t="s">
        <v>1474</v>
      </c>
      <c r="I1218" s="217" t="s">
        <v>29</v>
      </c>
      <c r="J1218" s="217" t="s">
        <v>1856</v>
      </c>
      <c r="K1218" s="217">
        <v>18</v>
      </c>
      <c r="L1218" s="217">
        <v>90</v>
      </c>
      <c r="M1218" s="217" t="s">
        <v>31</v>
      </c>
      <c r="N1218" s="217" t="s">
        <v>32</v>
      </c>
      <c r="O1218" s="217" t="s">
        <v>100</v>
      </c>
      <c r="P1218" s="217" t="s">
        <v>34</v>
      </c>
      <c r="Q1218" s="217" t="s">
        <v>35</v>
      </c>
      <c r="R1218" s="217" t="s">
        <v>23</v>
      </c>
      <c r="S1218" s="217" t="s">
        <v>22</v>
      </c>
      <c r="T1218" s="217" t="s">
        <v>36</v>
      </c>
      <c r="U1218" s="217" t="s">
        <v>37</v>
      </c>
      <c r="V1218" s="217" t="s">
        <v>249</v>
      </c>
      <c r="W1218" s="217" t="s">
        <v>250</v>
      </c>
    </row>
    <row r="1219" spans="1:23" x14ac:dyDescent="0.25">
      <c r="A1219" s="217" t="s">
        <v>22</v>
      </c>
      <c r="B1219" s="217" t="s">
        <v>23</v>
      </c>
      <c r="C1219" s="217" t="s">
        <v>37</v>
      </c>
      <c r="D1219" s="217" t="s">
        <v>36</v>
      </c>
      <c r="E1219" s="217" t="s">
        <v>250</v>
      </c>
      <c r="F1219" s="217" t="s">
        <v>249</v>
      </c>
      <c r="G1219" s="217" t="s">
        <v>258</v>
      </c>
      <c r="H1219" s="217" t="s">
        <v>1474</v>
      </c>
      <c r="I1219" s="217" t="s">
        <v>29</v>
      </c>
      <c r="J1219" s="217" t="s">
        <v>1857</v>
      </c>
      <c r="K1219" s="217">
        <v>5</v>
      </c>
      <c r="L1219" s="217">
        <v>25</v>
      </c>
      <c r="M1219" s="217" t="s">
        <v>31</v>
      </c>
      <c r="N1219" s="217" t="s">
        <v>32</v>
      </c>
      <c r="O1219" s="217" t="s">
        <v>100</v>
      </c>
      <c r="P1219" s="217" t="s">
        <v>34</v>
      </c>
      <c r="Q1219" s="217" t="s">
        <v>35</v>
      </c>
      <c r="R1219" s="217" t="s">
        <v>23</v>
      </c>
      <c r="S1219" s="217" t="s">
        <v>22</v>
      </c>
      <c r="T1219" s="217" t="s">
        <v>36</v>
      </c>
      <c r="U1219" s="217" t="s">
        <v>37</v>
      </c>
      <c r="V1219" s="217" t="s">
        <v>249</v>
      </c>
      <c r="W1219" s="217" t="s">
        <v>250</v>
      </c>
    </row>
    <row r="1220" spans="1:23" x14ac:dyDescent="0.25">
      <c r="A1220" s="217" t="s">
        <v>22</v>
      </c>
      <c r="B1220" s="217" t="s">
        <v>23</v>
      </c>
      <c r="C1220" s="217" t="s">
        <v>37</v>
      </c>
      <c r="D1220" s="217" t="s">
        <v>36</v>
      </c>
      <c r="E1220" s="217" t="s">
        <v>250</v>
      </c>
      <c r="F1220" s="217" t="s">
        <v>249</v>
      </c>
      <c r="G1220" s="217" t="s">
        <v>258</v>
      </c>
      <c r="H1220" s="217" t="s">
        <v>1474</v>
      </c>
      <c r="I1220" s="217" t="s">
        <v>29</v>
      </c>
      <c r="J1220" s="217" t="s">
        <v>1858</v>
      </c>
      <c r="K1220" s="217">
        <v>7</v>
      </c>
      <c r="L1220" s="217">
        <v>35</v>
      </c>
      <c r="M1220" s="217" t="s">
        <v>31</v>
      </c>
      <c r="N1220" s="217" t="s">
        <v>32</v>
      </c>
      <c r="O1220" s="217" t="s">
        <v>100</v>
      </c>
      <c r="P1220" s="217" t="s">
        <v>34</v>
      </c>
      <c r="Q1220" s="217" t="s">
        <v>35</v>
      </c>
      <c r="R1220" s="217" t="s">
        <v>23</v>
      </c>
      <c r="S1220" s="217" t="s">
        <v>22</v>
      </c>
      <c r="T1220" s="217" t="s">
        <v>36</v>
      </c>
      <c r="U1220" s="217" t="s">
        <v>37</v>
      </c>
      <c r="V1220" s="217" t="s">
        <v>249</v>
      </c>
      <c r="W1220" s="217" t="s">
        <v>250</v>
      </c>
    </row>
    <row r="1221" spans="1:23" x14ac:dyDescent="0.25">
      <c r="A1221" s="217" t="s">
        <v>22</v>
      </c>
      <c r="B1221" s="217" t="s">
        <v>23</v>
      </c>
      <c r="C1221" s="217" t="s">
        <v>37</v>
      </c>
      <c r="D1221" s="217" t="s">
        <v>36</v>
      </c>
      <c r="E1221" s="217" t="s">
        <v>250</v>
      </c>
      <c r="F1221" s="217" t="s">
        <v>249</v>
      </c>
      <c r="G1221" s="217" t="s">
        <v>259</v>
      </c>
      <c r="H1221" s="217" t="s">
        <v>1475</v>
      </c>
      <c r="I1221" s="217" t="s">
        <v>29</v>
      </c>
      <c r="J1221" s="217" t="s">
        <v>1855</v>
      </c>
      <c r="K1221" s="217">
        <v>63</v>
      </c>
      <c r="L1221" s="217">
        <v>334</v>
      </c>
      <c r="M1221" s="217" t="s">
        <v>31</v>
      </c>
      <c r="N1221" s="217" t="s">
        <v>32</v>
      </c>
      <c r="O1221" s="217" t="s">
        <v>100</v>
      </c>
      <c r="P1221" s="217" t="s">
        <v>34</v>
      </c>
      <c r="Q1221" s="217" t="s">
        <v>35</v>
      </c>
      <c r="R1221" s="217" t="s">
        <v>23</v>
      </c>
      <c r="S1221" s="217" t="s">
        <v>22</v>
      </c>
      <c r="T1221" s="217" t="s">
        <v>36</v>
      </c>
      <c r="U1221" s="217" t="s">
        <v>37</v>
      </c>
      <c r="V1221" s="217" t="s">
        <v>249</v>
      </c>
      <c r="W1221" s="217" t="s">
        <v>250</v>
      </c>
    </row>
    <row r="1222" spans="1:23" x14ac:dyDescent="0.25">
      <c r="A1222" s="217" t="s">
        <v>22</v>
      </c>
      <c r="B1222" s="217" t="s">
        <v>23</v>
      </c>
      <c r="C1222" s="217" t="s">
        <v>37</v>
      </c>
      <c r="D1222" s="217" t="s">
        <v>36</v>
      </c>
      <c r="E1222" s="217" t="s">
        <v>250</v>
      </c>
      <c r="F1222" s="217" t="s">
        <v>249</v>
      </c>
      <c r="G1222" s="217" t="s">
        <v>259</v>
      </c>
      <c r="H1222" s="217" t="s">
        <v>1475</v>
      </c>
      <c r="I1222" s="217" t="s">
        <v>29</v>
      </c>
      <c r="J1222" s="217" t="s">
        <v>1856</v>
      </c>
      <c r="K1222" s="217">
        <v>80</v>
      </c>
      <c r="L1222" s="217">
        <v>439</v>
      </c>
      <c r="M1222" s="217" t="s">
        <v>31</v>
      </c>
      <c r="N1222" s="217" t="s">
        <v>32</v>
      </c>
      <c r="O1222" s="217" t="s">
        <v>100</v>
      </c>
      <c r="P1222" s="217" t="s">
        <v>34</v>
      </c>
      <c r="Q1222" s="217" t="s">
        <v>35</v>
      </c>
      <c r="R1222" s="217" t="s">
        <v>23</v>
      </c>
      <c r="S1222" s="217" t="s">
        <v>22</v>
      </c>
      <c r="T1222" s="217" t="s">
        <v>36</v>
      </c>
      <c r="U1222" s="217" t="s">
        <v>37</v>
      </c>
      <c r="V1222" s="217" t="s">
        <v>249</v>
      </c>
      <c r="W1222" s="217" t="s">
        <v>250</v>
      </c>
    </row>
    <row r="1223" spans="1:23" x14ac:dyDescent="0.25">
      <c r="A1223" s="217" t="s">
        <v>22</v>
      </c>
      <c r="B1223" s="217" t="s">
        <v>23</v>
      </c>
      <c r="C1223" s="217" t="s">
        <v>37</v>
      </c>
      <c r="D1223" s="217" t="s">
        <v>36</v>
      </c>
      <c r="E1223" s="217" t="s">
        <v>250</v>
      </c>
      <c r="F1223" s="217" t="s">
        <v>249</v>
      </c>
      <c r="G1223" s="217" t="s">
        <v>259</v>
      </c>
      <c r="H1223" s="217" t="s">
        <v>1475</v>
      </c>
      <c r="I1223" s="217" t="s">
        <v>29</v>
      </c>
      <c r="J1223" s="217" t="s">
        <v>1857</v>
      </c>
      <c r="K1223" s="217">
        <v>49</v>
      </c>
      <c r="L1223" s="217">
        <v>239</v>
      </c>
      <c r="M1223" s="217" t="s">
        <v>31</v>
      </c>
      <c r="N1223" s="217" t="s">
        <v>32</v>
      </c>
      <c r="O1223" s="217" t="s">
        <v>100</v>
      </c>
      <c r="P1223" s="217" t="s">
        <v>34</v>
      </c>
      <c r="Q1223" s="217" t="s">
        <v>35</v>
      </c>
      <c r="R1223" s="217" t="s">
        <v>23</v>
      </c>
      <c r="S1223" s="217" t="s">
        <v>22</v>
      </c>
      <c r="T1223" s="217" t="s">
        <v>36</v>
      </c>
      <c r="U1223" s="217" t="s">
        <v>37</v>
      </c>
      <c r="V1223" s="217" t="s">
        <v>249</v>
      </c>
      <c r="W1223" s="217" t="s">
        <v>250</v>
      </c>
    </row>
    <row r="1224" spans="1:23" x14ac:dyDescent="0.25">
      <c r="A1224" s="217" t="s">
        <v>22</v>
      </c>
      <c r="B1224" s="217" t="s">
        <v>23</v>
      </c>
      <c r="C1224" s="217" t="s">
        <v>37</v>
      </c>
      <c r="D1224" s="217" t="s">
        <v>36</v>
      </c>
      <c r="E1224" s="217" t="s">
        <v>250</v>
      </c>
      <c r="F1224" s="217" t="s">
        <v>249</v>
      </c>
      <c r="G1224" s="217" t="s">
        <v>259</v>
      </c>
      <c r="H1224" s="217" t="s">
        <v>1475</v>
      </c>
      <c r="I1224" s="217" t="s">
        <v>29</v>
      </c>
      <c r="J1224" s="217" t="s">
        <v>1858</v>
      </c>
      <c r="K1224" s="217">
        <v>10</v>
      </c>
      <c r="L1224" s="217">
        <v>50</v>
      </c>
      <c r="M1224" s="217" t="s">
        <v>31</v>
      </c>
      <c r="N1224" s="217" t="s">
        <v>32</v>
      </c>
      <c r="O1224" s="217" t="s">
        <v>100</v>
      </c>
      <c r="P1224" s="217" t="s">
        <v>34</v>
      </c>
      <c r="Q1224" s="217" t="s">
        <v>35</v>
      </c>
      <c r="R1224" s="217" t="s">
        <v>23</v>
      </c>
      <c r="S1224" s="217" t="s">
        <v>22</v>
      </c>
      <c r="T1224" s="217" t="s">
        <v>36</v>
      </c>
      <c r="U1224" s="217" t="s">
        <v>37</v>
      </c>
      <c r="V1224" s="217" t="s">
        <v>249</v>
      </c>
      <c r="W1224" s="217" t="s">
        <v>250</v>
      </c>
    </row>
    <row r="1225" spans="1:23" x14ac:dyDescent="0.25">
      <c r="A1225" s="217" t="s">
        <v>22</v>
      </c>
      <c r="B1225" s="217" t="s">
        <v>23</v>
      </c>
      <c r="C1225" s="217" t="s">
        <v>37</v>
      </c>
      <c r="D1225" s="217" t="s">
        <v>36</v>
      </c>
      <c r="E1225" s="217" t="s">
        <v>250</v>
      </c>
      <c r="F1225" s="217" t="s">
        <v>249</v>
      </c>
      <c r="G1225" s="217" t="s">
        <v>259</v>
      </c>
      <c r="H1225" s="217" t="s">
        <v>1475</v>
      </c>
      <c r="I1225" s="217" t="s">
        <v>29</v>
      </c>
      <c r="J1225" s="217" t="s">
        <v>1859</v>
      </c>
      <c r="K1225" s="217">
        <v>7</v>
      </c>
      <c r="L1225" s="217">
        <v>34</v>
      </c>
      <c r="M1225" s="217" t="s">
        <v>31</v>
      </c>
      <c r="N1225" s="217" t="s">
        <v>32</v>
      </c>
      <c r="O1225" s="217" t="s">
        <v>100</v>
      </c>
      <c r="P1225" s="217" t="s">
        <v>34</v>
      </c>
      <c r="Q1225" s="217" t="s">
        <v>35</v>
      </c>
      <c r="R1225" s="217" t="s">
        <v>23</v>
      </c>
      <c r="S1225" s="217" t="s">
        <v>22</v>
      </c>
      <c r="T1225" s="217" t="s">
        <v>36</v>
      </c>
      <c r="U1225" s="217" t="s">
        <v>37</v>
      </c>
      <c r="V1225" s="217" t="s">
        <v>249</v>
      </c>
      <c r="W1225" s="217" t="s">
        <v>250</v>
      </c>
    </row>
    <row r="1226" spans="1:23" x14ac:dyDescent="0.25">
      <c r="A1226" s="217" t="s">
        <v>22</v>
      </c>
      <c r="B1226" s="217" t="s">
        <v>23</v>
      </c>
      <c r="C1226" s="217" t="s">
        <v>37</v>
      </c>
      <c r="D1226" s="217" t="s">
        <v>36</v>
      </c>
      <c r="E1226" s="217" t="s">
        <v>250</v>
      </c>
      <c r="F1226" s="217" t="s">
        <v>249</v>
      </c>
      <c r="G1226" s="217" t="s">
        <v>260</v>
      </c>
      <c r="H1226" s="217" t="s">
        <v>1476</v>
      </c>
      <c r="I1226" s="217" t="s">
        <v>29</v>
      </c>
      <c r="J1226" s="217" t="s">
        <v>1855</v>
      </c>
      <c r="K1226" s="217">
        <v>19</v>
      </c>
      <c r="L1226" s="217">
        <v>95</v>
      </c>
      <c r="M1226" s="217" t="s">
        <v>31</v>
      </c>
      <c r="N1226" s="217" t="s">
        <v>32</v>
      </c>
      <c r="O1226" s="217" t="s">
        <v>33</v>
      </c>
      <c r="P1226" s="217" t="s">
        <v>34</v>
      </c>
      <c r="Q1226" s="217" t="s">
        <v>35</v>
      </c>
      <c r="R1226" s="217" t="s">
        <v>23</v>
      </c>
      <c r="S1226" s="217" t="s">
        <v>22</v>
      </c>
      <c r="T1226" s="217" t="s">
        <v>47</v>
      </c>
      <c r="U1226" s="217" t="s">
        <v>48</v>
      </c>
      <c r="V1226" s="217" t="s">
        <v>231</v>
      </c>
      <c r="W1226" s="217" t="s">
        <v>232</v>
      </c>
    </row>
    <row r="1227" spans="1:23" x14ac:dyDescent="0.25">
      <c r="A1227" s="217" t="s">
        <v>22</v>
      </c>
      <c r="B1227" s="217" t="s">
        <v>23</v>
      </c>
      <c r="C1227" s="217" t="s">
        <v>37</v>
      </c>
      <c r="D1227" s="217" t="s">
        <v>36</v>
      </c>
      <c r="E1227" s="217" t="s">
        <v>250</v>
      </c>
      <c r="F1227" s="217" t="s">
        <v>249</v>
      </c>
      <c r="G1227" s="217" t="s">
        <v>260</v>
      </c>
      <c r="H1227" s="217" t="s">
        <v>1476</v>
      </c>
      <c r="I1227" s="217" t="s">
        <v>29</v>
      </c>
      <c r="J1227" s="217" t="s">
        <v>1856</v>
      </c>
      <c r="K1227" s="217">
        <v>14</v>
      </c>
      <c r="L1227" s="217">
        <v>70</v>
      </c>
      <c r="M1227" s="217" t="s">
        <v>31</v>
      </c>
      <c r="N1227" s="217" t="s">
        <v>32</v>
      </c>
      <c r="O1227" s="217" t="s">
        <v>100</v>
      </c>
      <c r="P1227" s="217" t="s">
        <v>34</v>
      </c>
      <c r="Q1227" s="217" t="s">
        <v>35</v>
      </c>
      <c r="R1227" s="217" t="s">
        <v>23</v>
      </c>
      <c r="S1227" s="217" t="s">
        <v>22</v>
      </c>
      <c r="T1227" s="217" t="s">
        <v>36</v>
      </c>
      <c r="U1227" s="217" t="s">
        <v>37</v>
      </c>
      <c r="V1227" s="217" t="s">
        <v>249</v>
      </c>
      <c r="W1227" s="217" t="s">
        <v>250</v>
      </c>
    </row>
    <row r="1228" spans="1:23" x14ac:dyDescent="0.25">
      <c r="A1228" s="217" t="s">
        <v>22</v>
      </c>
      <c r="B1228" s="217" t="s">
        <v>23</v>
      </c>
      <c r="C1228" s="217" t="s">
        <v>37</v>
      </c>
      <c r="D1228" s="217" t="s">
        <v>36</v>
      </c>
      <c r="E1228" s="217" t="s">
        <v>250</v>
      </c>
      <c r="F1228" s="217" t="s">
        <v>249</v>
      </c>
      <c r="G1228" s="217" t="s">
        <v>260</v>
      </c>
      <c r="H1228" s="217" t="s">
        <v>1476</v>
      </c>
      <c r="I1228" s="217" t="s">
        <v>29</v>
      </c>
      <c r="J1228" s="217" t="s">
        <v>1857</v>
      </c>
      <c r="K1228" s="217">
        <v>6</v>
      </c>
      <c r="L1228" s="217">
        <v>30</v>
      </c>
      <c r="M1228" s="217" t="s">
        <v>31</v>
      </c>
      <c r="N1228" s="217" t="s">
        <v>32</v>
      </c>
      <c r="O1228" s="217" t="s">
        <v>33</v>
      </c>
      <c r="P1228" s="217" t="s">
        <v>34</v>
      </c>
      <c r="Q1228" s="217" t="s">
        <v>35</v>
      </c>
      <c r="R1228" s="217" t="s">
        <v>23</v>
      </c>
      <c r="S1228" s="217" t="s">
        <v>22</v>
      </c>
      <c r="T1228" s="217" t="s">
        <v>47</v>
      </c>
      <c r="U1228" s="217" t="s">
        <v>48</v>
      </c>
      <c r="V1228" s="217" t="s">
        <v>231</v>
      </c>
      <c r="W1228" s="217" t="s">
        <v>232</v>
      </c>
    </row>
    <row r="1229" spans="1:23" x14ac:dyDescent="0.25">
      <c r="A1229" s="217" t="s">
        <v>22</v>
      </c>
      <c r="B1229" s="217" t="s">
        <v>23</v>
      </c>
      <c r="C1229" s="217" t="s">
        <v>37</v>
      </c>
      <c r="D1229" s="217" t="s">
        <v>36</v>
      </c>
      <c r="E1229" s="217" t="s">
        <v>250</v>
      </c>
      <c r="F1229" s="217" t="s">
        <v>249</v>
      </c>
      <c r="G1229" s="217" t="s">
        <v>260</v>
      </c>
      <c r="H1229" s="217" t="s">
        <v>1476</v>
      </c>
      <c r="I1229" s="217" t="s">
        <v>29</v>
      </c>
      <c r="J1229" s="217" t="s">
        <v>1858</v>
      </c>
      <c r="K1229" s="217">
        <v>6</v>
      </c>
      <c r="L1229" s="217">
        <v>30</v>
      </c>
      <c r="M1229" s="217" t="s">
        <v>31</v>
      </c>
      <c r="N1229" s="217" t="s">
        <v>32</v>
      </c>
      <c r="O1229" s="217" t="s">
        <v>33</v>
      </c>
      <c r="P1229" s="217" t="s">
        <v>34</v>
      </c>
      <c r="Q1229" s="217" t="s">
        <v>35</v>
      </c>
      <c r="R1229" s="217" t="s">
        <v>23</v>
      </c>
      <c r="S1229" s="217" t="s">
        <v>22</v>
      </c>
      <c r="T1229" s="217" t="s">
        <v>47</v>
      </c>
      <c r="U1229" s="217" t="s">
        <v>48</v>
      </c>
      <c r="V1229" s="217" t="s">
        <v>231</v>
      </c>
      <c r="W1229" s="217" t="s">
        <v>232</v>
      </c>
    </row>
    <row r="1230" spans="1:23" x14ac:dyDescent="0.25">
      <c r="A1230" s="217" t="s">
        <v>22</v>
      </c>
      <c r="B1230" s="217" t="s">
        <v>23</v>
      </c>
      <c r="C1230" s="217" t="s">
        <v>37</v>
      </c>
      <c r="D1230" s="217" t="s">
        <v>36</v>
      </c>
      <c r="E1230" s="217" t="s">
        <v>250</v>
      </c>
      <c r="F1230" s="217" t="s">
        <v>249</v>
      </c>
      <c r="G1230" s="217" t="s">
        <v>261</v>
      </c>
      <c r="H1230" s="217" t="s">
        <v>1477</v>
      </c>
      <c r="I1230" s="217" t="s">
        <v>29</v>
      </c>
      <c r="J1230" s="217" t="s">
        <v>1855</v>
      </c>
      <c r="K1230" s="217">
        <v>2</v>
      </c>
      <c r="L1230" s="217">
        <v>10</v>
      </c>
      <c r="M1230" s="217" t="s">
        <v>31</v>
      </c>
      <c r="N1230" s="217" t="s">
        <v>32</v>
      </c>
      <c r="O1230" s="217" t="s">
        <v>100</v>
      </c>
      <c r="P1230" s="217" t="s">
        <v>34</v>
      </c>
      <c r="Q1230" s="217" t="s">
        <v>35</v>
      </c>
      <c r="R1230" s="217" t="s">
        <v>23</v>
      </c>
      <c r="S1230" s="217" t="s">
        <v>22</v>
      </c>
      <c r="T1230" s="217" t="s">
        <v>36</v>
      </c>
      <c r="U1230" s="217" t="s">
        <v>37</v>
      </c>
      <c r="V1230" s="217" t="s">
        <v>249</v>
      </c>
      <c r="W1230" s="217" t="s">
        <v>250</v>
      </c>
    </row>
    <row r="1231" spans="1:23" x14ac:dyDescent="0.25">
      <c r="A1231" s="217" t="s">
        <v>22</v>
      </c>
      <c r="B1231" s="217" t="s">
        <v>23</v>
      </c>
      <c r="C1231" s="217" t="s">
        <v>37</v>
      </c>
      <c r="D1231" s="217" t="s">
        <v>36</v>
      </c>
      <c r="E1231" s="217" t="s">
        <v>250</v>
      </c>
      <c r="F1231" s="217" t="s">
        <v>249</v>
      </c>
      <c r="G1231" s="217" t="s">
        <v>261</v>
      </c>
      <c r="H1231" s="217" t="s">
        <v>1477</v>
      </c>
      <c r="I1231" s="217" t="s">
        <v>29</v>
      </c>
      <c r="J1231" s="217" t="s">
        <v>1856</v>
      </c>
      <c r="K1231" s="217">
        <v>3</v>
      </c>
      <c r="L1231" s="217">
        <v>15</v>
      </c>
      <c r="M1231" s="217" t="s">
        <v>31</v>
      </c>
      <c r="N1231" s="217" t="s">
        <v>32</v>
      </c>
      <c r="O1231" s="217" t="s">
        <v>100</v>
      </c>
      <c r="P1231" s="217" t="s">
        <v>34</v>
      </c>
      <c r="Q1231" s="217" t="s">
        <v>35</v>
      </c>
      <c r="R1231" s="217" t="s">
        <v>23</v>
      </c>
      <c r="S1231" s="217" t="s">
        <v>22</v>
      </c>
      <c r="T1231" s="217" t="s">
        <v>36</v>
      </c>
      <c r="U1231" s="217" t="s">
        <v>37</v>
      </c>
      <c r="V1231" s="217" t="s">
        <v>249</v>
      </c>
      <c r="W1231" s="217" t="s">
        <v>250</v>
      </c>
    </row>
    <row r="1232" spans="1:23" x14ac:dyDescent="0.25">
      <c r="A1232" s="217" t="s">
        <v>22</v>
      </c>
      <c r="B1232" s="217" t="s">
        <v>23</v>
      </c>
      <c r="C1232" s="217" t="s">
        <v>37</v>
      </c>
      <c r="D1232" s="217" t="s">
        <v>36</v>
      </c>
      <c r="E1232" s="217" t="s">
        <v>250</v>
      </c>
      <c r="F1232" s="217" t="s">
        <v>249</v>
      </c>
      <c r="G1232" s="217" t="s">
        <v>261</v>
      </c>
      <c r="H1232" s="217" t="s">
        <v>1477</v>
      </c>
      <c r="I1232" s="217" t="s">
        <v>29</v>
      </c>
      <c r="J1232" s="217" t="s">
        <v>1857</v>
      </c>
      <c r="K1232" s="217">
        <v>2</v>
      </c>
      <c r="L1232" s="217">
        <v>10</v>
      </c>
      <c r="M1232" s="217" t="s">
        <v>31</v>
      </c>
      <c r="N1232" s="217" t="s">
        <v>32</v>
      </c>
      <c r="O1232" s="217" t="s">
        <v>100</v>
      </c>
      <c r="P1232" s="217" t="s">
        <v>34</v>
      </c>
      <c r="Q1232" s="217" t="s">
        <v>35</v>
      </c>
      <c r="R1232" s="217" t="s">
        <v>23</v>
      </c>
      <c r="S1232" s="217" t="s">
        <v>22</v>
      </c>
      <c r="T1232" s="217" t="s">
        <v>36</v>
      </c>
      <c r="U1232" s="217" t="s">
        <v>37</v>
      </c>
      <c r="V1232" s="217" t="s">
        <v>249</v>
      </c>
      <c r="W1232" s="217" t="s">
        <v>250</v>
      </c>
    </row>
    <row r="1233" spans="1:23" x14ac:dyDescent="0.25">
      <c r="A1233" s="217" t="s">
        <v>22</v>
      </c>
      <c r="B1233" s="217" t="s">
        <v>23</v>
      </c>
      <c r="C1233" s="217" t="s">
        <v>37</v>
      </c>
      <c r="D1233" s="217" t="s">
        <v>36</v>
      </c>
      <c r="E1233" s="217" t="s">
        <v>250</v>
      </c>
      <c r="F1233" s="217" t="s">
        <v>249</v>
      </c>
      <c r="G1233" s="217" t="s">
        <v>262</v>
      </c>
      <c r="H1233" s="217" t="s">
        <v>1478</v>
      </c>
      <c r="I1233" s="217" t="s">
        <v>29</v>
      </c>
      <c r="J1233" s="217" t="s">
        <v>1855</v>
      </c>
      <c r="K1233" s="217">
        <v>6</v>
      </c>
      <c r="L1233" s="217">
        <v>30</v>
      </c>
      <c r="M1233" s="217" t="s">
        <v>31</v>
      </c>
      <c r="N1233" s="217" t="s">
        <v>32</v>
      </c>
      <c r="O1233" s="217" t="s">
        <v>100</v>
      </c>
      <c r="P1233" s="217" t="s">
        <v>34</v>
      </c>
      <c r="Q1233" s="217" t="s">
        <v>35</v>
      </c>
      <c r="R1233" s="217" t="s">
        <v>23</v>
      </c>
      <c r="S1233" s="217" t="s">
        <v>22</v>
      </c>
      <c r="T1233" s="217" t="s">
        <v>36</v>
      </c>
      <c r="U1233" s="217" t="s">
        <v>37</v>
      </c>
      <c r="V1233" s="217" t="s">
        <v>249</v>
      </c>
      <c r="W1233" s="217" t="s">
        <v>250</v>
      </c>
    </row>
    <row r="1234" spans="1:23" x14ac:dyDescent="0.25">
      <c r="A1234" s="217" t="s">
        <v>22</v>
      </c>
      <c r="B1234" s="217" t="s">
        <v>23</v>
      </c>
      <c r="C1234" s="217" t="s">
        <v>37</v>
      </c>
      <c r="D1234" s="217" t="s">
        <v>36</v>
      </c>
      <c r="E1234" s="217" t="s">
        <v>250</v>
      </c>
      <c r="F1234" s="217" t="s">
        <v>249</v>
      </c>
      <c r="G1234" s="217" t="s">
        <v>262</v>
      </c>
      <c r="H1234" s="217" t="s">
        <v>1478</v>
      </c>
      <c r="I1234" s="217" t="s">
        <v>29</v>
      </c>
      <c r="J1234" s="217" t="s">
        <v>1856</v>
      </c>
      <c r="K1234" s="217">
        <v>8</v>
      </c>
      <c r="L1234" s="217">
        <v>40</v>
      </c>
      <c r="M1234" s="217" t="s">
        <v>31</v>
      </c>
      <c r="N1234" s="217" t="s">
        <v>32</v>
      </c>
      <c r="O1234" s="217" t="s">
        <v>100</v>
      </c>
      <c r="P1234" s="217" t="s">
        <v>34</v>
      </c>
      <c r="Q1234" s="217" t="s">
        <v>35</v>
      </c>
      <c r="R1234" s="217" t="s">
        <v>23</v>
      </c>
      <c r="S1234" s="217" t="s">
        <v>22</v>
      </c>
      <c r="T1234" s="217" t="s">
        <v>36</v>
      </c>
      <c r="U1234" s="217" t="s">
        <v>37</v>
      </c>
      <c r="V1234" s="217" t="s">
        <v>249</v>
      </c>
      <c r="W1234" s="217" t="s">
        <v>250</v>
      </c>
    </row>
    <row r="1235" spans="1:23" x14ac:dyDescent="0.25">
      <c r="A1235" s="217" t="s">
        <v>22</v>
      </c>
      <c r="B1235" s="217" t="s">
        <v>23</v>
      </c>
      <c r="C1235" s="217" t="s">
        <v>37</v>
      </c>
      <c r="D1235" s="217" t="s">
        <v>36</v>
      </c>
      <c r="E1235" s="217" t="s">
        <v>250</v>
      </c>
      <c r="F1235" s="217" t="s">
        <v>249</v>
      </c>
      <c r="G1235" s="217" t="s">
        <v>262</v>
      </c>
      <c r="H1235" s="217" t="s">
        <v>1478</v>
      </c>
      <c r="I1235" s="217" t="s">
        <v>29</v>
      </c>
      <c r="J1235" s="217" t="s">
        <v>1857</v>
      </c>
      <c r="K1235" s="217">
        <v>3</v>
      </c>
      <c r="L1235" s="217">
        <v>15</v>
      </c>
      <c r="M1235" s="217" t="s">
        <v>31</v>
      </c>
      <c r="N1235" s="217" t="s">
        <v>32</v>
      </c>
      <c r="O1235" s="217" t="s">
        <v>100</v>
      </c>
      <c r="P1235" s="217" t="s">
        <v>34</v>
      </c>
      <c r="Q1235" s="217" t="s">
        <v>35</v>
      </c>
      <c r="R1235" s="217" t="s">
        <v>23</v>
      </c>
      <c r="S1235" s="217" t="s">
        <v>22</v>
      </c>
      <c r="T1235" s="217" t="s">
        <v>36</v>
      </c>
      <c r="U1235" s="217" t="s">
        <v>37</v>
      </c>
      <c r="V1235" s="217" t="s">
        <v>249</v>
      </c>
      <c r="W1235" s="217" t="s">
        <v>250</v>
      </c>
    </row>
    <row r="1236" spans="1:23" x14ac:dyDescent="0.25">
      <c r="A1236" s="217" t="s">
        <v>22</v>
      </c>
      <c r="B1236" s="217" t="s">
        <v>23</v>
      </c>
      <c r="C1236" s="217" t="s">
        <v>37</v>
      </c>
      <c r="D1236" s="217" t="s">
        <v>36</v>
      </c>
      <c r="E1236" s="217" t="s">
        <v>250</v>
      </c>
      <c r="F1236" s="217" t="s">
        <v>249</v>
      </c>
      <c r="G1236" s="217" t="s">
        <v>262</v>
      </c>
      <c r="H1236" s="217" t="s">
        <v>1478</v>
      </c>
      <c r="I1236" s="217" t="s">
        <v>29</v>
      </c>
      <c r="J1236" s="217" t="s">
        <v>1858</v>
      </c>
      <c r="K1236" s="217">
        <v>7</v>
      </c>
      <c r="L1236" s="217">
        <v>35</v>
      </c>
      <c r="M1236" s="217" t="s">
        <v>31</v>
      </c>
      <c r="N1236" s="217" t="s">
        <v>32</v>
      </c>
      <c r="O1236" s="217" t="s">
        <v>100</v>
      </c>
      <c r="P1236" s="217" t="s">
        <v>34</v>
      </c>
      <c r="Q1236" s="217" t="s">
        <v>35</v>
      </c>
      <c r="R1236" s="217" t="s">
        <v>23</v>
      </c>
      <c r="S1236" s="217" t="s">
        <v>22</v>
      </c>
      <c r="T1236" s="217" t="s">
        <v>36</v>
      </c>
      <c r="U1236" s="217" t="s">
        <v>37</v>
      </c>
      <c r="V1236" s="217" t="s">
        <v>249</v>
      </c>
      <c r="W1236" s="217" t="s">
        <v>250</v>
      </c>
    </row>
    <row r="1237" spans="1:23" x14ac:dyDescent="0.25">
      <c r="A1237" s="217" t="s">
        <v>22</v>
      </c>
      <c r="B1237" s="217" t="s">
        <v>23</v>
      </c>
      <c r="C1237" s="217" t="s">
        <v>37</v>
      </c>
      <c r="D1237" s="217" t="s">
        <v>36</v>
      </c>
      <c r="E1237" s="217" t="s">
        <v>250</v>
      </c>
      <c r="F1237" s="217" t="s">
        <v>249</v>
      </c>
      <c r="G1237" s="217" t="s">
        <v>599</v>
      </c>
      <c r="H1237" s="217" t="s">
        <v>1479</v>
      </c>
      <c r="I1237" s="217" t="s">
        <v>29</v>
      </c>
      <c r="J1237" s="217" t="s">
        <v>1855</v>
      </c>
      <c r="K1237" s="217">
        <v>67</v>
      </c>
      <c r="L1237" s="217">
        <v>335</v>
      </c>
      <c r="M1237" s="217" t="s">
        <v>31</v>
      </c>
      <c r="N1237" s="217" t="s">
        <v>32</v>
      </c>
      <c r="O1237" s="217" t="s">
        <v>100</v>
      </c>
      <c r="P1237" s="217" t="s">
        <v>34</v>
      </c>
      <c r="Q1237" s="217" t="s">
        <v>35</v>
      </c>
      <c r="R1237" s="217" t="s">
        <v>23</v>
      </c>
      <c r="S1237" s="217" t="s">
        <v>22</v>
      </c>
      <c r="T1237" s="217" t="s">
        <v>36</v>
      </c>
      <c r="U1237" s="217" t="s">
        <v>37</v>
      </c>
      <c r="V1237" s="217" t="s">
        <v>249</v>
      </c>
      <c r="W1237" s="217" t="s">
        <v>250</v>
      </c>
    </row>
    <row r="1238" spans="1:23" x14ac:dyDescent="0.25">
      <c r="A1238" s="217" t="s">
        <v>22</v>
      </c>
      <c r="B1238" s="217" t="s">
        <v>23</v>
      </c>
      <c r="C1238" s="217" t="s">
        <v>37</v>
      </c>
      <c r="D1238" s="217" t="s">
        <v>36</v>
      </c>
      <c r="E1238" s="217" t="s">
        <v>250</v>
      </c>
      <c r="F1238" s="217" t="s">
        <v>249</v>
      </c>
      <c r="G1238" s="217" t="s">
        <v>599</v>
      </c>
      <c r="H1238" s="217" t="s">
        <v>1479</v>
      </c>
      <c r="I1238" s="217" t="s">
        <v>29</v>
      </c>
      <c r="J1238" s="217" t="s">
        <v>1856</v>
      </c>
      <c r="K1238" s="217">
        <v>37</v>
      </c>
      <c r="L1238" s="217">
        <v>185</v>
      </c>
      <c r="M1238" s="217" t="s">
        <v>31</v>
      </c>
      <c r="N1238" s="217" t="s">
        <v>32</v>
      </c>
      <c r="O1238" s="217" t="s">
        <v>100</v>
      </c>
      <c r="P1238" s="217" t="s">
        <v>34</v>
      </c>
      <c r="Q1238" s="217" t="s">
        <v>35</v>
      </c>
      <c r="R1238" s="217" t="s">
        <v>23</v>
      </c>
      <c r="S1238" s="217" t="s">
        <v>22</v>
      </c>
      <c r="T1238" s="217" t="s">
        <v>36</v>
      </c>
      <c r="U1238" s="217" t="s">
        <v>37</v>
      </c>
      <c r="V1238" s="217" t="s">
        <v>249</v>
      </c>
      <c r="W1238" s="217" t="s">
        <v>250</v>
      </c>
    </row>
    <row r="1239" spans="1:23" x14ac:dyDescent="0.25">
      <c r="A1239" s="217" t="s">
        <v>22</v>
      </c>
      <c r="B1239" s="217" t="s">
        <v>23</v>
      </c>
      <c r="C1239" s="217" t="s">
        <v>37</v>
      </c>
      <c r="D1239" s="217" t="s">
        <v>36</v>
      </c>
      <c r="E1239" s="217" t="s">
        <v>250</v>
      </c>
      <c r="F1239" s="217" t="s">
        <v>249</v>
      </c>
      <c r="G1239" s="217" t="s">
        <v>599</v>
      </c>
      <c r="H1239" s="217" t="s">
        <v>1479</v>
      </c>
      <c r="I1239" s="217" t="s">
        <v>29</v>
      </c>
      <c r="J1239" s="217" t="s">
        <v>1857</v>
      </c>
      <c r="K1239" s="217">
        <v>18</v>
      </c>
      <c r="L1239" s="217">
        <v>90</v>
      </c>
      <c r="M1239" s="217" t="s">
        <v>31</v>
      </c>
      <c r="N1239" s="217" t="s">
        <v>32</v>
      </c>
      <c r="O1239" s="217" t="s">
        <v>100</v>
      </c>
      <c r="P1239" s="217" t="s">
        <v>34</v>
      </c>
      <c r="Q1239" s="217" t="s">
        <v>35</v>
      </c>
      <c r="R1239" s="217" t="s">
        <v>23</v>
      </c>
      <c r="S1239" s="217" t="s">
        <v>22</v>
      </c>
      <c r="T1239" s="217" t="s">
        <v>36</v>
      </c>
      <c r="U1239" s="217" t="s">
        <v>37</v>
      </c>
      <c r="V1239" s="217" t="s">
        <v>249</v>
      </c>
      <c r="W1239" s="217" t="s">
        <v>250</v>
      </c>
    </row>
    <row r="1240" spans="1:23" x14ac:dyDescent="0.25">
      <c r="A1240" s="217" t="s">
        <v>22</v>
      </c>
      <c r="B1240" s="217" t="s">
        <v>23</v>
      </c>
      <c r="C1240" s="217" t="s">
        <v>37</v>
      </c>
      <c r="D1240" s="217" t="s">
        <v>36</v>
      </c>
      <c r="E1240" s="217" t="s">
        <v>250</v>
      </c>
      <c r="F1240" s="217" t="s">
        <v>249</v>
      </c>
      <c r="G1240" s="217" t="s">
        <v>599</v>
      </c>
      <c r="H1240" s="217" t="s">
        <v>1479</v>
      </c>
      <c r="I1240" s="217" t="s">
        <v>29</v>
      </c>
      <c r="J1240" s="217" t="s">
        <v>1858</v>
      </c>
      <c r="K1240" s="217">
        <v>9</v>
      </c>
      <c r="L1240" s="217">
        <v>45</v>
      </c>
      <c r="M1240" s="217" t="s">
        <v>31</v>
      </c>
      <c r="N1240" s="217" t="s">
        <v>32</v>
      </c>
      <c r="O1240" s="217" t="s">
        <v>100</v>
      </c>
      <c r="P1240" s="217" t="s">
        <v>34</v>
      </c>
      <c r="Q1240" s="217" t="s">
        <v>35</v>
      </c>
      <c r="R1240" s="217" t="s">
        <v>23</v>
      </c>
      <c r="S1240" s="217" t="s">
        <v>22</v>
      </c>
      <c r="T1240" s="217" t="s">
        <v>36</v>
      </c>
      <c r="U1240" s="217" t="s">
        <v>37</v>
      </c>
      <c r="V1240" s="217" t="s">
        <v>249</v>
      </c>
      <c r="W1240" s="217" t="s">
        <v>250</v>
      </c>
    </row>
    <row r="1241" spans="1:23" x14ac:dyDescent="0.25">
      <c r="A1241" s="217" t="s">
        <v>22</v>
      </c>
      <c r="B1241" s="217" t="s">
        <v>23</v>
      </c>
      <c r="C1241" s="217" t="s">
        <v>37</v>
      </c>
      <c r="D1241" s="217" t="s">
        <v>36</v>
      </c>
      <c r="E1241" s="217" t="s">
        <v>250</v>
      </c>
      <c r="F1241" s="217" t="s">
        <v>249</v>
      </c>
      <c r="G1241" s="217" t="s">
        <v>599</v>
      </c>
      <c r="H1241" s="217" t="s">
        <v>1479</v>
      </c>
      <c r="I1241" s="217" t="s">
        <v>29</v>
      </c>
      <c r="J1241" s="217" t="s">
        <v>1859</v>
      </c>
      <c r="K1241" s="217">
        <v>2</v>
      </c>
      <c r="L1241" s="217">
        <v>14</v>
      </c>
      <c r="M1241" s="217" t="s">
        <v>31</v>
      </c>
      <c r="N1241" s="217" t="s">
        <v>32</v>
      </c>
      <c r="O1241" s="217" t="s">
        <v>100</v>
      </c>
      <c r="P1241" s="217" t="s">
        <v>34</v>
      </c>
      <c r="Q1241" s="217" t="s">
        <v>35</v>
      </c>
      <c r="R1241" s="217" t="s">
        <v>23</v>
      </c>
      <c r="S1241" s="217" t="s">
        <v>22</v>
      </c>
      <c r="T1241" s="217" t="s">
        <v>36</v>
      </c>
      <c r="U1241" s="217" t="s">
        <v>37</v>
      </c>
      <c r="V1241" s="217" t="s">
        <v>249</v>
      </c>
      <c r="W1241" s="217" t="s">
        <v>250</v>
      </c>
    </row>
    <row r="1242" spans="1:23" x14ac:dyDescent="0.25">
      <c r="A1242" s="217" t="s">
        <v>22</v>
      </c>
      <c r="B1242" s="217" t="s">
        <v>23</v>
      </c>
      <c r="C1242" s="217" t="s">
        <v>37</v>
      </c>
      <c r="D1242" s="217" t="s">
        <v>36</v>
      </c>
      <c r="E1242" s="217" t="s">
        <v>250</v>
      </c>
      <c r="F1242" s="217" t="s">
        <v>249</v>
      </c>
      <c r="G1242" s="217" t="s">
        <v>600</v>
      </c>
      <c r="H1242" s="217" t="s">
        <v>1480</v>
      </c>
      <c r="I1242" s="217" t="s">
        <v>29</v>
      </c>
      <c r="J1242" s="217" t="s">
        <v>1855</v>
      </c>
      <c r="K1242" s="217">
        <v>5</v>
      </c>
      <c r="L1242" s="217">
        <v>25</v>
      </c>
      <c r="M1242" s="217" t="s">
        <v>31</v>
      </c>
      <c r="N1242" s="217" t="s">
        <v>32</v>
      </c>
      <c r="O1242" s="217" t="s">
        <v>100</v>
      </c>
      <c r="P1242" s="217" t="s">
        <v>34</v>
      </c>
      <c r="Q1242" s="217" t="s">
        <v>35</v>
      </c>
      <c r="R1242" s="217" t="s">
        <v>23</v>
      </c>
      <c r="S1242" s="217" t="s">
        <v>22</v>
      </c>
      <c r="T1242" s="217" t="s">
        <v>36</v>
      </c>
      <c r="U1242" s="217" t="s">
        <v>37</v>
      </c>
      <c r="V1242" s="217" t="s">
        <v>249</v>
      </c>
      <c r="W1242" s="217" t="s">
        <v>250</v>
      </c>
    </row>
    <row r="1243" spans="1:23" x14ac:dyDescent="0.25">
      <c r="A1243" s="217" t="s">
        <v>22</v>
      </c>
      <c r="B1243" s="217" t="s">
        <v>23</v>
      </c>
      <c r="C1243" s="217" t="s">
        <v>37</v>
      </c>
      <c r="D1243" s="217" t="s">
        <v>36</v>
      </c>
      <c r="E1243" s="217" t="s">
        <v>250</v>
      </c>
      <c r="F1243" s="217" t="s">
        <v>249</v>
      </c>
      <c r="G1243" s="217" t="s">
        <v>600</v>
      </c>
      <c r="H1243" s="217" t="s">
        <v>1480</v>
      </c>
      <c r="I1243" s="217" t="s">
        <v>29</v>
      </c>
      <c r="J1243" s="217" t="s">
        <v>1856</v>
      </c>
      <c r="K1243" s="217">
        <v>8</v>
      </c>
      <c r="L1243" s="217">
        <v>40</v>
      </c>
      <c r="M1243" s="217" t="s">
        <v>31</v>
      </c>
      <c r="N1243" s="217" t="s">
        <v>32</v>
      </c>
      <c r="O1243" s="217" t="s">
        <v>100</v>
      </c>
      <c r="P1243" s="217" t="s">
        <v>34</v>
      </c>
      <c r="Q1243" s="217" t="s">
        <v>35</v>
      </c>
      <c r="R1243" s="217" t="s">
        <v>23</v>
      </c>
      <c r="S1243" s="217" t="s">
        <v>22</v>
      </c>
      <c r="T1243" s="217" t="s">
        <v>36</v>
      </c>
      <c r="U1243" s="217" t="s">
        <v>37</v>
      </c>
      <c r="V1243" s="217" t="s">
        <v>249</v>
      </c>
      <c r="W1243" s="217" t="s">
        <v>250</v>
      </c>
    </row>
    <row r="1244" spans="1:23" x14ac:dyDescent="0.25">
      <c r="A1244" s="217" t="s">
        <v>22</v>
      </c>
      <c r="B1244" s="217" t="s">
        <v>23</v>
      </c>
      <c r="C1244" s="217" t="s">
        <v>37</v>
      </c>
      <c r="D1244" s="217" t="s">
        <v>36</v>
      </c>
      <c r="E1244" s="217" t="s">
        <v>250</v>
      </c>
      <c r="F1244" s="217" t="s">
        <v>249</v>
      </c>
      <c r="G1244" s="217" t="s">
        <v>600</v>
      </c>
      <c r="H1244" s="217" t="s">
        <v>1480</v>
      </c>
      <c r="I1244" s="217" t="s">
        <v>29</v>
      </c>
      <c r="J1244" s="217" t="s">
        <v>1858</v>
      </c>
      <c r="K1244" s="217">
        <v>3</v>
      </c>
      <c r="L1244" s="217">
        <v>15</v>
      </c>
      <c r="M1244" s="217" t="s">
        <v>31</v>
      </c>
      <c r="N1244" s="217" t="s">
        <v>32</v>
      </c>
      <c r="O1244" s="217" t="s">
        <v>100</v>
      </c>
      <c r="P1244" s="217" t="s">
        <v>34</v>
      </c>
      <c r="Q1244" s="217" t="s">
        <v>35</v>
      </c>
      <c r="R1244" s="217" t="s">
        <v>23</v>
      </c>
      <c r="S1244" s="217" t="s">
        <v>22</v>
      </c>
      <c r="T1244" s="217" t="s">
        <v>36</v>
      </c>
      <c r="U1244" s="217" t="s">
        <v>37</v>
      </c>
      <c r="V1244" s="217" t="s">
        <v>249</v>
      </c>
      <c r="W1244" s="217" t="s">
        <v>250</v>
      </c>
    </row>
    <row r="1245" spans="1:23" x14ac:dyDescent="0.25">
      <c r="A1245" s="217" t="s">
        <v>22</v>
      </c>
      <c r="B1245" s="217" t="s">
        <v>23</v>
      </c>
      <c r="C1245" s="217" t="s">
        <v>37</v>
      </c>
      <c r="D1245" s="217" t="s">
        <v>36</v>
      </c>
      <c r="E1245" s="217" t="s">
        <v>250</v>
      </c>
      <c r="F1245" s="217" t="s">
        <v>249</v>
      </c>
      <c r="G1245" s="217" t="s">
        <v>601</v>
      </c>
      <c r="H1245" s="217" t="s">
        <v>1481</v>
      </c>
      <c r="I1245" s="217" t="s">
        <v>29</v>
      </c>
      <c r="J1245" s="217" t="s">
        <v>1855</v>
      </c>
      <c r="K1245" s="217">
        <v>102</v>
      </c>
      <c r="L1245" s="217">
        <v>510</v>
      </c>
      <c r="M1245" s="217" t="s">
        <v>31</v>
      </c>
      <c r="N1245" s="217" t="s">
        <v>32</v>
      </c>
      <c r="O1245" s="217" t="s">
        <v>33</v>
      </c>
      <c r="P1245" s="217" t="s">
        <v>34</v>
      </c>
      <c r="Q1245" s="217" t="s">
        <v>35</v>
      </c>
      <c r="R1245" s="217" t="s">
        <v>23</v>
      </c>
      <c r="S1245" s="217" t="s">
        <v>22</v>
      </c>
      <c r="T1245" s="217" t="s">
        <v>47</v>
      </c>
      <c r="U1245" s="217" t="s">
        <v>48</v>
      </c>
      <c r="V1245" s="217" t="s">
        <v>231</v>
      </c>
      <c r="W1245" s="217" t="s">
        <v>232</v>
      </c>
    </row>
    <row r="1246" spans="1:23" x14ac:dyDescent="0.25">
      <c r="A1246" s="217" t="s">
        <v>22</v>
      </c>
      <c r="B1246" s="217" t="s">
        <v>23</v>
      </c>
      <c r="C1246" s="217" t="s">
        <v>37</v>
      </c>
      <c r="D1246" s="217" t="s">
        <v>36</v>
      </c>
      <c r="E1246" s="217" t="s">
        <v>250</v>
      </c>
      <c r="F1246" s="217" t="s">
        <v>249</v>
      </c>
      <c r="G1246" s="217" t="s">
        <v>601</v>
      </c>
      <c r="H1246" s="217" t="s">
        <v>1481</v>
      </c>
      <c r="I1246" s="217" t="s">
        <v>29</v>
      </c>
      <c r="J1246" s="217" t="s">
        <v>1856</v>
      </c>
      <c r="K1246" s="217">
        <v>24</v>
      </c>
      <c r="L1246" s="217">
        <v>120</v>
      </c>
      <c r="M1246" s="217" t="s">
        <v>31</v>
      </c>
      <c r="N1246" s="217" t="s">
        <v>32</v>
      </c>
      <c r="O1246" s="217" t="s">
        <v>33</v>
      </c>
      <c r="P1246" s="217" t="s">
        <v>34</v>
      </c>
      <c r="Q1246" s="217" t="s">
        <v>35</v>
      </c>
      <c r="R1246" s="217" t="s">
        <v>23</v>
      </c>
      <c r="S1246" s="217" t="s">
        <v>22</v>
      </c>
      <c r="T1246" s="217" t="s">
        <v>47</v>
      </c>
      <c r="U1246" s="217" t="s">
        <v>48</v>
      </c>
      <c r="V1246" s="217" t="s">
        <v>231</v>
      </c>
      <c r="W1246" s="217" t="s">
        <v>232</v>
      </c>
    </row>
    <row r="1247" spans="1:23" x14ac:dyDescent="0.25">
      <c r="A1247" s="217" t="s">
        <v>22</v>
      </c>
      <c r="B1247" s="217" t="s">
        <v>23</v>
      </c>
      <c r="C1247" s="217" t="s">
        <v>37</v>
      </c>
      <c r="D1247" s="217" t="s">
        <v>36</v>
      </c>
      <c r="E1247" s="217" t="s">
        <v>250</v>
      </c>
      <c r="F1247" s="217" t="s">
        <v>249</v>
      </c>
      <c r="G1247" s="217" t="s">
        <v>601</v>
      </c>
      <c r="H1247" s="217" t="s">
        <v>1481</v>
      </c>
      <c r="I1247" s="217" t="s">
        <v>29</v>
      </c>
      <c r="J1247" s="217" t="s">
        <v>1857</v>
      </c>
      <c r="K1247" s="217">
        <v>12</v>
      </c>
      <c r="L1247" s="217">
        <v>74</v>
      </c>
      <c r="M1247" s="217" t="s">
        <v>31</v>
      </c>
      <c r="N1247" s="217" t="s">
        <v>32</v>
      </c>
      <c r="O1247" s="217" t="s">
        <v>100</v>
      </c>
      <c r="P1247" s="217" t="s">
        <v>34</v>
      </c>
      <c r="Q1247" s="217" t="s">
        <v>35</v>
      </c>
      <c r="R1247" s="217" t="s">
        <v>23</v>
      </c>
      <c r="S1247" s="217" t="s">
        <v>22</v>
      </c>
      <c r="T1247" s="217" t="s">
        <v>36</v>
      </c>
      <c r="U1247" s="217" t="s">
        <v>37</v>
      </c>
      <c r="V1247" s="217" t="s">
        <v>249</v>
      </c>
      <c r="W1247" s="217" t="s">
        <v>250</v>
      </c>
    </row>
    <row r="1248" spans="1:23" x14ac:dyDescent="0.25">
      <c r="A1248" s="217" t="s">
        <v>22</v>
      </c>
      <c r="B1248" s="217" t="s">
        <v>23</v>
      </c>
      <c r="C1248" s="217" t="s">
        <v>37</v>
      </c>
      <c r="D1248" s="217" t="s">
        <v>36</v>
      </c>
      <c r="E1248" s="217" t="s">
        <v>250</v>
      </c>
      <c r="F1248" s="217" t="s">
        <v>249</v>
      </c>
      <c r="G1248" s="217" t="s">
        <v>601</v>
      </c>
      <c r="H1248" s="217" t="s">
        <v>1481</v>
      </c>
      <c r="I1248" s="217" t="s">
        <v>29</v>
      </c>
      <c r="J1248" s="217" t="s">
        <v>1858</v>
      </c>
      <c r="K1248" s="217">
        <v>14</v>
      </c>
      <c r="L1248" s="217">
        <v>70</v>
      </c>
      <c r="M1248" s="217" t="s">
        <v>31</v>
      </c>
      <c r="N1248" s="217" t="s">
        <v>32</v>
      </c>
      <c r="O1248" s="217" t="s">
        <v>100</v>
      </c>
      <c r="P1248" s="217" t="s">
        <v>34</v>
      </c>
      <c r="Q1248" s="217" t="s">
        <v>35</v>
      </c>
      <c r="R1248" s="217" t="s">
        <v>23</v>
      </c>
      <c r="S1248" s="217" t="s">
        <v>22</v>
      </c>
      <c r="T1248" s="217" t="s">
        <v>36</v>
      </c>
      <c r="U1248" s="217" t="s">
        <v>37</v>
      </c>
      <c r="V1248" s="217" t="s">
        <v>249</v>
      </c>
      <c r="W1248" s="217" t="s">
        <v>250</v>
      </c>
    </row>
    <row r="1249" spans="1:23" x14ac:dyDescent="0.25">
      <c r="A1249" s="217" t="s">
        <v>22</v>
      </c>
      <c r="B1249" s="217" t="s">
        <v>23</v>
      </c>
      <c r="C1249" s="217" t="s">
        <v>37</v>
      </c>
      <c r="D1249" s="217" t="s">
        <v>36</v>
      </c>
      <c r="E1249" s="217" t="s">
        <v>250</v>
      </c>
      <c r="F1249" s="217" t="s">
        <v>249</v>
      </c>
      <c r="G1249" s="217" t="s">
        <v>601</v>
      </c>
      <c r="H1249" s="217" t="s">
        <v>1481</v>
      </c>
      <c r="I1249" s="217" t="s">
        <v>29</v>
      </c>
      <c r="J1249" s="217" t="s">
        <v>1859</v>
      </c>
      <c r="K1249" s="217">
        <v>32</v>
      </c>
      <c r="L1249" s="217">
        <v>163</v>
      </c>
      <c r="M1249" s="217" t="s">
        <v>31</v>
      </c>
      <c r="N1249" s="217" t="s">
        <v>32</v>
      </c>
      <c r="O1249" s="217" t="s">
        <v>100</v>
      </c>
      <c r="P1249" s="217" t="s">
        <v>34</v>
      </c>
      <c r="Q1249" s="217" t="s">
        <v>35</v>
      </c>
      <c r="R1249" s="217" t="s">
        <v>23</v>
      </c>
      <c r="S1249" s="217" t="s">
        <v>22</v>
      </c>
      <c r="T1249" s="217" t="s">
        <v>36</v>
      </c>
      <c r="U1249" s="217" t="s">
        <v>37</v>
      </c>
      <c r="V1249" s="217" t="s">
        <v>249</v>
      </c>
      <c r="W1249" s="217" t="s">
        <v>250</v>
      </c>
    </row>
    <row r="1250" spans="1:23" x14ac:dyDescent="0.25">
      <c r="A1250" s="217" t="s">
        <v>22</v>
      </c>
      <c r="B1250" s="217" t="s">
        <v>23</v>
      </c>
      <c r="C1250" s="217" t="s">
        <v>37</v>
      </c>
      <c r="D1250" s="217" t="s">
        <v>36</v>
      </c>
      <c r="E1250" s="217" t="s">
        <v>250</v>
      </c>
      <c r="F1250" s="217" t="s">
        <v>249</v>
      </c>
      <c r="G1250" s="217" t="s">
        <v>602</v>
      </c>
      <c r="H1250" s="217" t="s">
        <v>1482</v>
      </c>
      <c r="I1250" s="217" t="s">
        <v>29</v>
      </c>
      <c r="J1250" s="217" t="s">
        <v>1855</v>
      </c>
      <c r="K1250" s="217">
        <v>30</v>
      </c>
      <c r="L1250" s="217">
        <v>150</v>
      </c>
      <c r="M1250" s="217" t="s">
        <v>31</v>
      </c>
      <c r="N1250" s="217" t="s">
        <v>32</v>
      </c>
      <c r="O1250" s="217" t="s">
        <v>33</v>
      </c>
      <c r="P1250" s="217" t="s">
        <v>34</v>
      </c>
      <c r="Q1250" s="217" t="s">
        <v>35</v>
      </c>
      <c r="R1250" s="217" t="s">
        <v>23</v>
      </c>
      <c r="S1250" s="217" t="s">
        <v>22</v>
      </c>
      <c r="T1250" s="217" t="s">
        <v>47</v>
      </c>
      <c r="U1250" s="217" t="s">
        <v>48</v>
      </c>
      <c r="V1250" s="217" t="s">
        <v>231</v>
      </c>
      <c r="W1250" s="217" t="s">
        <v>232</v>
      </c>
    </row>
    <row r="1251" spans="1:23" x14ac:dyDescent="0.25">
      <c r="A1251" s="217" t="s">
        <v>22</v>
      </c>
      <c r="B1251" s="217" t="s">
        <v>23</v>
      </c>
      <c r="C1251" s="217" t="s">
        <v>37</v>
      </c>
      <c r="D1251" s="217" t="s">
        <v>36</v>
      </c>
      <c r="E1251" s="217" t="s">
        <v>250</v>
      </c>
      <c r="F1251" s="217" t="s">
        <v>249</v>
      </c>
      <c r="G1251" s="217" t="s">
        <v>602</v>
      </c>
      <c r="H1251" s="217" t="s">
        <v>1482</v>
      </c>
      <c r="I1251" s="217" t="s">
        <v>29</v>
      </c>
      <c r="J1251" s="217" t="s">
        <v>1856</v>
      </c>
      <c r="K1251" s="217">
        <v>45</v>
      </c>
      <c r="L1251" s="217">
        <v>225</v>
      </c>
      <c r="M1251" s="217" t="s">
        <v>31</v>
      </c>
      <c r="N1251" s="217" t="s">
        <v>32</v>
      </c>
      <c r="O1251" s="217" t="s">
        <v>100</v>
      </c>
      <c r="P1251" s="217" t="s">
        <v>34</v>
      </c>
      <c r="Q1251" s="217" t="s">
        <v>35</v>
      </c>
      <c r="R1251" s="217" t="s">
        <v>23</v>
      </c>
      <c r="S1251" s="217" t="s">
        <v>22</v>
      </c>
      <c r="T1251" s="217" t="s">
        <v>36</v>
      </c>
      <c r="U1251" s="217" t="s">
        <v>37</v>
      </c>
      <c r="V1251" s="217" t="s">
        <v>249</v>
      </c>
      <c r="W1251" s="217" t="s">
        <v>250</v>
      </c>
    </row>
    <row r="1252" spans="1:23" x14ac:dyDescent="0.25">
      <c r="A1252" s="217" t="s">
        <v>22</v>
      </c>
      <c r="B1252" s="217" t="s">
        <v>23</v>
      </c>
      <c r="C1252" s="217" t="s">
        <v>37</v>
      </c>
      <c r="D1252" s="217" t="s">
        <v>36</v>
      </c>
      <c r="E1252" s="217" t="s">
        <v>250</v>
      </c>
      <c r="F1252" s="217" t="s">
        <v>249</v>
      </c>
      <c r="G1252" s="217" t="s">
        <v>602</v>
      </c>
      <c r="H1252" s="217" t="s">
        <v>1482</v>
      </c>
      <c r="I1252" s="217" t="s">
        <v>29</v>
      </c>
      <c r="J1252" s="217" t="s">
        <v>1857</v>
      </c>
      <c r="K1252" s="217">
        <v>18</v>
      </c>
      <c r="L1252" s="217">
        <v>94</v>
      </c>
      <c r="M1252" s="217" t="s">
        <v>31</v>
      </c>
      <c r="N1252" s="217" t="s">
        <v>32</v>
      </c>
      <c r="O1252" s="217" t="s">
        <v>100</v>
      </c>
      <c r="P1252" s="217" t="s">
        <v>34</v>
      </c>
      <c r="Q1252" s="217" t="s">
        <v>35</v>
      </c>
      <c r="R1252" s="217" t="s">
        <v>23</v>
      </c>
      <c r="S1252" s="217" t="s">
        <v>22</v>
      </c>
      <c r="T1252" s="217" t="s">
        <v>36</v>
      </c>
      <c r="U1252" s="217" t="s">
        <v>37</v>
      </c>
      <c r="V1252" s="217" t="s">
        <v>249</v>
      </c>
      <c r="W1252" s="217" t="s">
        <v>250</v>
      </c>
    </row>
    <row r="1253" spans="1:23" x14ac:dyDescent="0.25">
      <c r="A1253" s="217" t="s">
        <v>22</v>
      </c>
      <c r="B1253" s="217" t="s">
        <v>23</v>
      </c>
      <c r="C1253" s="217" t="s">
        <v>37</v>
      </c>
      <c r="D1253" s="217" t="s">
        <v>36</v>
      </c>
      <c r="E1253" s="217" t="s">
        <v>250</v>
      </c>
      <c r="F1253" s="217" t="s">
        <v>249</v>
      </c>
      <c r="G1253" s="217" t="s">
        <v>602</v>
      </c>
      <c r="H1253" s="217" t="s">
        <v>1482</v>
      </c>
      <c r="I1253" s="217" t="s">
        <v>29</v>
      </c>
      <c r="J1253" s="217" t="s">
        <v>1858</v>
      </c>
      <c r="K1253" s="217">
        <v>14</v>
      </c>
      <c r="L1253" s="217">
        <v>76</v>
      </c>
      <c r="M1253" s="217" t="s">
        <v>31</v>
      </c>
      <c r="N1253" s="217" t="s">
        <v>32</v>
      </c>
      <c r="O1253" s="217" t="s">
        <v>33</v>
      </c>
      <c r="P1253" s="217" t="s">
        <v>34</v>
      </c>
      <c r="Q1253" s="217" t="s">
        <v>35</v>
      </c>
      <c r="R1253" s="217" t="s">
        <v>23</v>
      </c>
      <c r="S1253" s="217" t="s">
        <v>22</v>
      </c>
      <c r="T1253" s="217" t="s">
        <v>47</v>
      </c>
      <c r="U1253" s="217" t="s">
        <v>48</v>
      </c>
      <c r="V1253" s="217" t="s">
        <v>231</v>
      </c>
      <c r="W1253" s="217" t="s">
        <v>232</v>
      </c>
    </row>
    <row r="1254" spans="1:23" x14ac:dyDescent="0.25">
      <c r="A1254" s="217" t="s">
        <v>22</v>
      </c>
      <c r="B1254" s="217" t="s">
        <v>23</v>
      </c>
      <c r="C1254" s="217" t="s">
        <v>37</v>
      </c>
      <c r="D1254" s="217" t="s">
        <v>36</v>
      </c>
      <c r="E1254" s="217" t="s">
        <v>250</v>
      </c>
      <c r="F1254" s="217" t="s">
        <v>249</v>
      </c>
      <c r="G1254" s="217" t="s">
        <v>603</v>
      </c>
      <c r="H1254" s="217" t="s">
        <v>1483</v>
      </c>
      <c r="I1254" s="217" t="s">
        <v>29</v>
      </c>
      <c r="J1254" s="217" t="s">
        <v>1855</v>
      </c>
      <c r="K1254" s="217">
        <v>253</v>
      </c>
      <c r="L1254" s="217">
        <v>1265</v>
      </c>
      <c r="M1254" s="217" t="s">
        <v>31</v>
      </c>
      <c r="N1254" s="217" t="s">
        <v>32</v>
      </c>
      <c r="O1254" s="217" t="s">
        <v>100</v>
      </c>
      <c r="P1254" s="217" t="s">
        <v>34</v>
      </c>
      <c r="Q1254" s="217" t="s">
        <v>35</v>
      </c>
      <c r="R1254" s="217" t="s">
        <v>23</v>
      </c>
      <c r="S1254" s="217" t="s">
        <v>22</v>
      </c>
      <c r="T1254" s="217" t="s">
        <v>36</v>
      </c>
      <c r="U1254" s="217" t="s">
        <v>37</v>
      </c>
      <c r="V1254" s="217" t="s">
        <v>249</v>
      </c>
      <c r="W1254" s="217" t="s">
        <v>250</v>
      </c>
    </row>
    <row r="1255" spans="1:23" x14ac:dyDescent="0.25">
      <c r="A1255" s="217" t="s">
        <v>22</v>
      </c>
      <c r="B1255" s="217" t="s">
        <v>23</v>
      </c>
      <c r="C1255" s="217" t="s">
        <v>37</v>
      </c>
      <c r="D1255" s="217" t="s">
        <v>36</v>
      </c>
      <c r="E1255" s="217" t="s">
        <v>250</v>
      </c>
      <c r="F1255" s="217" t="s">
        <v>249</v>
      </c>
      <c r="G1255" s="217" t="s">
        <v>603</v>
      </c>
      <c r="H1255" s="217" t="s">
        <v>1483</v>
      </c>
      <c r="I1255" s="217" t="s">
        <v>29</v>
      </c>
      <c r="J1255" s="217" t="s">
        <v>1856</v>
      </c>
      <c r="K1255" s="217">
        <v>28</v>
      </c>
      <c r="L1255" s="217">
        <v>140</v>
      </c>
      <c r="M1255" s="217" t="s">
        <v>31</v>
      </c>
      <c r="N1255" s="217" t="s">
        <v>32</v>
      </c>
      <c r="O1255" s="217" t="s">
        <v>33</v>
      </c>
      <c r="P1255" s="217" t="s">
        <v>34</v>
      </c>
      <c r="Q1255" s="217" t="s">
        <v>35</v>
      </c>
      <c r="R1255" s="217" t="s">
        <v>23</v>
      </c>
      <c r="S1255" s="217" t="s">
        <v>22</v>
      </c>
      <c r="T1255" s="217" t="s">
        <v>47</v>
      </c>
      <c r="U1255" s="217" t="s">
        <v>48</v>
      </c>
      <c r="V1255" s="217" t="s">
        <v>231</v>
      </c>
      <c r="W1255" s="217" t="s">
        <v>232</v>
      </c>
    </row>
    <row r="1256" spans="1:23" x14ac:dyDescent="0.25">
      <c r="A1256" s="217" t="s">
        <v>22</v>
      </c>
      <c r="B1256" s="217" t="s">
        <v>23</v>
      </c>
      <c r="C1256" s="217" t="s">
        <v>37</v>
      </c>
      <c r="D1256" s="217" t="s">
        <v>36</v>
      </c>
      <c r="E1256" s="217" t="s">
        <v>250</v>
      </c>
      <c r="F1256" s="217" t="s">
        <v>249</v>
      </c>
      <c r="G1256" s="217" t="s">
        <v>603</v>
      </c>
      <c r="H1256" s="217" t="s">
        <v>1483</v>
      </c>
      <c r="I1256" s="217" t="s">
        <v>29</v>
      </c>
      <c r="J1256" s="217" t="s">
        <v>1857</v>
      </c>
      <c r="K1256" s="217">
        <v>6</v>
      </c>
      <c r="L1256" s="217">
        <v>31</v>
      </c>
      <c r="M1256" s="217" t="s">
        <v>31</v>
      </c>
      <c r="N1256" s="217" t="s">
        <v>32</v>
      </c>
      <c r="O1256" s="217" t="s">
        <v>100</v>
      </c>
      <c r="P1256" s="217" t="s">
        <v>34</v>
      </c>
      <c r="Q1256" s="217" t="s">
        <v>35</v>
      </c>
      <c r="R1256" s="217" t="s">
        <v>23</v>
      </c>
      <c r="S1256" s="217" t="s">
        <v>22</v>
      </c>
      <c r="T1256" s="217" t="s">
        <v>36</v>
      </c>
      <c r="U1256" s="217" t="s">
        <v>37</v>
      </c>
      <c r="V1256" s="217" t="s">
        <v>249</v>
      </c>
      <c r="W1256" s="217" t="s">
        <v>250</v>
      </c>
    </row>
    <row r="1257" spans="1:23" x14ac:dyDescent="0.25">
      <c r="A1257" s="217" t="s">
        <v>22</v>
      </c>
      <c r="B1257" s="217" t="s">
        <v>23</v>
      </c>
      <c r="C1257" s="217" t="s">
        <v>37</v>
      </c>
      <c r="D1257" s="217" t="s">
        <v>36</v>
      </c>
      <c r="E1257" s="217" t="s">
        <v>250</v>
      </c>
      <c r="F1257" s="217" t="s">
        <v>249</v>
      </c>
      <c r="G1257" s="217" t="s">
        <v>603</v>
      </c>
      <c r="H1257" s="217" t="s">
        <v>1483</v>
      </c>
      <c r="I1257" s="217" t="s">
        <v>29</v>
      </c>
      <c r="J1257" s="217" t="s">
        <v>1858</v>
      </c>
      <c r="K1257" s="217">
        <v>13</v>
      </c>
      <c r="L1257" s="217">
        <v>67</v>
      </c>
      <c r="M1257" s="217" t="s">
        <v>31</v>
      </c>
      <c r="N1257" s="217" t="s">
        <v>32</v>
      </c>
      <c r="O1257" s="217" t="s">
        <v>100</v>
      </c>
      <c r="P1257" s="217" t="s">
        <v>34</v>
      </c>
      <c r="Q1257" s="217" t="s">
        <v>35</v>
      </c>
      <c r="R1257" s="217" t="s">
        <v>23</v>
      </c>
      <c r="S1257" s="217" t="s">
        <v>22</v>
      </c>
      <c r="T1257" s="217" t="s">
        <v>36</v>
      </c>
      <c r="U1257" s="217" t="s">
        <v>37</v>
      </c>
      <c r="V1257" s="217" t="s">
        <v>249</v>
      </c>
      <c r="W1257" s="217" t="s">
        <v>250</v>
      </c>
    </row>
    <row r="1258" spans="1:23" x14ac:dyDescent="0.25">
      <c r="A1258" s="217" t="s">
        <v>22</v>
      </c>
      <c r="B1258" s="217" t="s">
        <v>23</v>
      </c>
      <c r="C1258" s="217" t="s">
        <v>37</v>
      </c>
      <c r="D1258" s="217" t="s">
        <v>36</v>
      </c>
      <c r="E1258" s="217" t="s">
        <v>250</v>
      </c>
      <c r="F1258" s="217" t="s">
        <v>249</v>
      </c>
      <c r="G1258" s="217" t="s">
        <v>604</v>
      </c>
      <c r="H1258" s="217" t="s">
        <v>1484</v>
      </c>
      <c r="I1258" s="217" t="s">
        <v>29</v>
      </c>
      <c r="J1258" s="217" t="s">
        <v>1855</v>
      </c>
      <c r="K1258" s="217">
        <v>42</v>
      </c>
      <c r="L1258" s="217">
        <v>210</v>
      </c>
      <c r="M1258" s="217" t="s">
        <v>31</v>
      </c>
      <c r="N1258" s="217" t="s">
        <v>32</v>
      </c>
      <c r="O1258" s="217" t="s">
        <v>100</v>
      </c>
      <c r="P1258" s="217" t="s">
        <v>34</v>
      </c>
      <c r="Q1258" s="217" t="s">
        <v>35</v>
      </c>
      <c r="R1258" s="217" t="s">
        <v>23</v>
      </c>
      <c r="S1258" s="217" t="s">
        <v>22</v>
      </c>
      <c r="T1258" s="217" t="s">
        <v>36</v>
      </c>
      <c r="U1258" s="217" t="s">
        <v>37</v>
      </c>
      <c r="V1258" s="217" t="s">
        <v>249</v>
      </c>
      <c r="W1258" s="217" t="s">
        <v>250</v>
      </c>
    </row>
    <row r="1259" spans="1:23" x14ac:dyDescent="0.25">
      <c r="A1259" s="217" t="s">
        <v>22</v>
      </c>
      <c r="B1259" s="217" t="s">
        <v>23</v>
      </c>
      <c r="C1259" s="217" t="s">
        <v>37</v>
      </c>
      <c r="D1259" s="217" t="s">
        <v>36</v>
      </c>
      <c r="E1259" s="217" t="s">
        <v>250</v>
      </c>
      <c r="F1259" s="217" t="s">
        <v>249</v>
      </c>
      <c r="G1259" s="217" t="s">
        <v>604</v>
      </c>
      <c r="H1259" s="217" t="s">
        <v>1484</v>
      </c>
      <c r="I1259" s="217" t="s">
        <v>29</v>
      </c>
      <c r="J1259" s="217" t="s">
        <v>1856</v>
      </c>
      <c r="K1259" s="217">
        <v>18</v>
      </c>
      <c r="L1259" s="217">
        <v>90</v>
      </c>
      <c r="M1259" s="217" t="s">
        <v>31</v>
      </c>
      <c r="N1259" s="217" t="s">
        <v>32</v>
      </c>
      <c r="O1259" s="217" t="s">
        <v>33</v>
      </c>
      <c r="P1259" s="217" t="s">
        <v>34</v>
      </c>
      <c r="Q1259" s="217" t="s">
        <v>35</v>
      </c>
      <c r="R1259" s="217" t="s">
        <v>23</v>
      </c>
      <c r="S1259" s="217" t="s">
        <v>22</v>
      </c>
      <c r="T1259" s="217" t="s">
        <v>47</v>
      </c>
      <c r="U1259" s="217" t="s">
        <v>48</v>
      </c>
      <c r="V1259" s="217" t="s">
        <v>231</v>
      </c>
      <c r="W1259" s="217" t="s">
        <v>232</v>
      </c>
    </row>
    <row r="1260" spans="1:23" x14ac:dyDescent="0.25">
      <c r="A1260" s="217" t="s">
        <v>22</v>
      </c>
      <c r="B1260" s="217" t="s">
        <v>23</v>
      </c>
      <c r="C1260" s="217" t="s">
        <v>37</v>
      </c>
      <c r="D1260" s="217" t="s">
        <v>36</v>
      </c>
      <c r="E1260" s="217" t="s">
        <v>250</v>
      </c>
      <c r="F1260" s="217" t="s">
        <v>249</v>
      </c>
      <c r="G1260" s="217" t="s">
        <v>604</v>
      </c>
      <c r="H1260" s="217" t="s">
        <v>1484</v>
      </c>
      <c r="I1260" s="217" t="s">
        <v>29</v>
      </c>
      <c r="J1260" s="217" t="s">
        <v>1857</v>
      </c>
      <c r="K1260" s="217">
        <v>29</v>
      </c>
      <c r="L1260" s="217">
        <v>150</v>
      </c>
      <c r="M1260" s="217" t="s">
        <v>31</v>
      </c>
      <c r="N1260" s="217" t="s">
        <v>32</v>
      </c>
      <c r="O1260" s="217" t="s">
        <v>100</v>
      </c>
      <c r="P1260" s="217" t="s">
        <v>34</v>
      </c>
      <c r="Q1260" s="217" t="s">
        <v>35</v>
      </c>
      <c r="R1260" s="217" t="s">
        <v>23</v>
      </c>
      <c r="S1260" s="217" t="s">
        <v>22</v>
      </c>
      <c r="T1260" s="217" t="s">
        <v>36</v>
      </c>
      <c r="U1260" s="217" t="s">
        <v>37</v>
      </c>
      <c r="V1260" s="217" t="s">
        <v>249</v>
      </c>
      <c r="W1260" s="217" t="s">
        <v>250</v>
      </c>
    </row>
    <row r="1261" spans="1:23" x14ac:dyDescent="0.25">
      <c r="A1261" s="217" t="s">
        <v>22</v>
      </c>
      <c r="B1261" s="217" t="s">
        <v>23</v>
      </c>
      <c r="C1261" s="217" t="s">
        <v>37</v>
      </c>
      <c r="D1261" s="217" t="s">
        <v>36</v>
      </c>
      <c r="E1261" s="217" t="s">
        <v>250</v>
      </c>
      <c r="F1261" s="217" t="s">
        <v>249</v>
      </c>
      <c r="G1261" s="217" t="s">
        <v>604</v>
      </c>
      <c r="H1261" s="217" t="s">
        <v>1484</v>
      </c>
      <c r="I1261" s="217" t="s">
        <v>29</v>
      </c>
      <c r="J1261" s="217" t="s">
        <v>1858</v>
      </c>
      <c r="K1261" s="217">
        <v>8</v>
      </c>
      <c r="L1261" s="217">
        <v>41</v>
      </c>
      <c r="M1261" s="217" t="s">
        <v>31</v>
      </c>
      <c r="N1261" s="217" t="s">
        <v>32</v>
      </c>
      <c r="O1261" s="217" t="s">
        <v>33</v>
      </c>
      <c r="P1261" s="217" t="s">
        <v>34</v>
      </c>
      <c r="Q1261" s="217" t="s">
        <v>35</v>
      </c>
      <c r="R1261" s="217" t="s">
        <v>23</v>
      </c>
      <c r="S1261" s="217" t="s">
        <v>22</v>
      </c>
      <c r="T1261" s="217" t="s">
        <v>47</v>
      </c>
      <c r="U1261" s="217" t="s">
        <v>48</v>
      </c>
      <c r="V1261" s="217" t="s">
        <v>231</v>
      </c>
      <c r="W1261" s="217" t="s">
        <v>232</v>
      </c>
    </row>
    <row r="1262" spans="1:23" x14ac:dyDescent="0.25">
      <c r="A1262" s="217" t="s">
        <v>22</v>
      </c>
      <c r="B1262" s="217" t="s">
        <v>23</v>
      </c>
      <c r="C1262" s="217" t="s">
        <v>37</v>
      </c>
      <c r="D1262" s="217" t="s">
        <v>36</v>
      </c>
      <c r="E1262" s="217" t="s">
        <v>250</v>
      </c>
      <c r="F1262" s="217" t="s">
        <v>249</v>
      </c>
      <c r="G1262" s="217" t="s">
        <v>605</v>
      </c>
      <c r="H1262" s="217" t="s">
        <v>1485</v>
      </c>
      <c r="I1262" s="217" t="s">
        <v>29</v>
      </c>
      <c r="J1262" s="217" t="s">
        <v>1855</v>
      </c>
      <c r="K1262" s="217">
        <v>85</v>
      </c>
      <c r="L1262" s="217">
        <v>425</v>
      </c>
      <c r="M1262" s="217" t="s">
        <v>31</v>
      </c>
      <c r="N1262" s="217" t="s">
        <v>32</v>
      </c>
      <c r="O1262" s="217" t="s">
        <v>100</v>
      </c>
      <c r="P1262" s="217" t="s">
        <v>34</v>
      </c>
      <c r="Q1262" s="217" t="s">
        <v>35</v>
      </c>
      <c r="R1262" s="217" t="s">
        <v>23</v>
      </c>
      <c r="S1262" s="217" t="s">
        <v>22</v>
      </c>
      <c r="T1262" s="217" t="s">
        <v>36</v>
      </c>
      <c r="U1262" s="217" t="s">
        <v>37</v>
      </c>
      <c r="V1262" s="217" t="s">
        <v>249</v>
      </c>
      <c r="W1262" s="217" t="s">
        <v>250</v>
      </c>
    </row>
    <row r="1263" spans="1:23" x14ac:dyDescent="0.25">
      <c r="A1263" s="217" t="s">
        <v>22</v>
      </c>
      <c r="B1263" s="217" t="s">
        <v>23</v>
      </c>
      <c r="C1263" s="217" t="s">
        <v>37</v>
      </c>
      <c r="D1263" s="217" t="s">
        <v>36</v>
      </c>
      <c r="E1263" s="217" t="s">
        <v>250</v>
      </c>
      <c r="F1263" s="217" t="s">
        <v>249</v>
      </c>
      <c r="G1263" s="217" t="s">
        <v>605</v>
      </c>
      <c r="H1263" s="217" t="s">
        <v>1485</v>
      </c>
      <c r="I1263" s="217" t="s">
        <v>29</v>
      </c>
      <c r="J1263" s="217" t="s">
        <v>1856</v>
      </c>
      <c r="K1263" s="217">
        <v>25</v>
      </c>
      <c r="L1263" s="217">
        <v>125</v>
      </c>
      <c r="M1263" s="217" t="s">
        <v>31</v>
      </c>
      <c r="N1263" s="217" t="s">
        <v>32</v>
      </c>
      <c r="O1263" s="217" t="s">
        <v>100</v>
      </c>
      <c r="P1263" s="217" t="s">
        <v>34</v>
      </c>
      <c r="Q1263" s="217" t="s">
        <v>35</v>
      </c>
      <c r="R1263" s="217" t="s">
        <v>23</v>
      </c>
      <c r="S1263" s="217" t="s">
        <v>22</v>
      </c>
      <c r="T1263" s="217" t="s">
        <v>36</v>
      </c>
      <c r="U1263" s="217" t="s">
        <v>37</v>
      </c>
      <c r="V1263" s="217" t="s">
        <v>249</v>
      </c>
      <c r="W1263" s="217" t="s">
        <v>250</v>
      </c>
    </row>
    <row r="1264" spans="1:23" x14ac:dyDescent="0.25">
      <c r="A1264" s="217" t="s">
        <v>22</v>
      </c>
      <c r="B1264" s="217" t="s">
        <v>23</v>
      </c>
      <c r="C1264" s="217" t="s">
        <v>37</v>
      </c>
      <c r="D1264" s="217" t="s">
        <v>36</v>
      </c>
      <c r="E1264" s="217" t="s">
        <v>250</v>
      </c>
      <c r="F1264" s="217" t="s">
        <v>249</v>
      </c>
      <c r="G1264" s="217" t="s">
        <v>605</v>
      </c>
      <c r="H1264" s="217" t="s">
        <v>1485</v>
      </c>
      <c r="I1264" s="217" t="s">
        <v>29</v>
      </c>
      <c r="J1264" s="217" t="s">
        <v>1857</v>
      </c>
      <c r="K1264" s="217">
        <v>10</v>
      </c>
      <c r="L1264" s="217">
        <v>59</v>
      </c>
      <c r="M1264" s="217" t="s">
        <v>31</v>
      </c>
      <c r="N1264" s="217" t="s">
        <v>32</v>
      </c>
      <c r="O1264" s="217" t="s">
        <v>33</v>
      </c>
      <c r="P1264" s="217" t="s">
        <v>34</v>
      </c>
      <c r="Q1264" s="217" t="s">
        <v>35</v>
      </c>
      <c r="R1264" s="217" t="s">
        <v>23</v>
      </c>
      <c r="S1264" s="217" t="s">
        <v>22</v>
      </c>
      <c r="T1264" s="217" t="s">
        <v>47</v>
      </c>
      <c r="U1264" s="217" t="s">
        <v>48</v>
      </c>
      <c r="V1264" s="217" t="s">
        <v>231</v>
      </c>
      <c r="W1264" s="217" t="s">
        <v>232</v>
      </c>
    </row>
    <row r="1265" spans="1:23" x14ac:dyDescent="0.25">
      <c r="A1265" s="217" t="s">
        <v>22</v>
      </c>
      <c r="B1265" s="217" t="s">
        <v>23</v>
      </c>
      <c r="C1265" s="217" t="s">
        <v>37</v>
      </c>
      <c r="D1265" s="217" t="s">
        <v>36</v>
      </c>
      <c r="E1265" s="217" t="s">
        <v>250</v>
      </c>
      <c r="F1265" s="217" t="s">
        <v>249</v>
      </c>
      <c r="G1265" s="217" t="s">
        <v>605</v>
      </c>
      <c r="H1265" s="217" t="s">
        <v>1485</v>
      </c>
      <c r="I1265" s="217" t="s">
        <v>29</v>
      </c>
      <c r="J1265" s="217" t="s">
        <v>1858</v>
      </c>
      <c r="K1265" s="217">
        <v>18</v>
      </c>
      <c r="L1265" s="217">
        <v>98</v>
      </c>
      <c r="M1265" s="217" t="s">
        <v>31</v>
      </c>
      <c r="N1265" s="217" t="s">
        <v>32</v>
      </c>
      <c r="O1265" s="217" t="s">
        <v>100</v>
      </c>
      <c r="P1265" s="217" t="s">
        <v>34</v>
      </c>
      <c r="Q1265" s="217" t="s">
        <v>35</v>
      </c>
      <c r="R1265" s="217" t="s">
        <v>23</v>
      </c>
      <c r="S1265" s="217" t="s">
        <v>22</v>
      </c>
      <c r="T1265" s="217" t="s">
        <v>36</v>
      </c>
      <c r="U1265" s="217" t="s">
        <v>37</v>
      </c>
      <c r="V1265" s="217" t="s">
        <v>249</v>
      </c>
      <c r="W1265" s="217" t="s">
        <v>250</v>
      </c>
    </row>
    <row r="1266" spans="1:23" x14ac:dyDescent="0.25">
      <c r="A1266" s="217" t="s">
        <v>22</v>
      </c>
      <c r="B1266" s="217" t="s">
        <v>23</v>
      </c>
      <c r="C1266" s="217" t="s">
        <v>37</v>
      </c>
      <c r="D1266" s="217" t="s">
        <v>36</v>
      </c>
      <c r="E1266" s="217" t="s">
        <v>250</v>
      </c>
      <c r="F1266" s="217" t="s">
        <v>249</v>
      </c>
      <c r="G1266" s="217" t="s">
        <v>606</v>
      </c>
      <c r="H1266" s="217" t="s">
        <v>1486</v>
      </c>
      <c r="I1266" s="217" t="s">
        <v>29</v>
      </c>
      <c r="J1266" s="217" t="s">
        <v>1856</v>
      </c>
      <c r="K1266" s="217">
        <v>37</v>
      </c>
      <c r="L1266" s="217">
        <v>185</v>
      </c>
      <c r="M1266" s="217" t="s">
        <v>31</v>
      </c>
      <c r="N1266" s="217" t="s">
        <v>32</v>
      </c>
      <c r="O1266" s="217" t="s">
        <v>100</v>
      </c>
      <c r="P1266" s="217" t="s">
        <v>34</v>
      </c>
      <c r="Q1266" s="217" t="s">
        <v>35</v>
      </c>
      <c r="R1266" s="217" t="s">
        <v>23</v>
      </c>
      <c r="S1266" s="217" t="s">
        <v>22</v>
      </c>
      <c r="T1266" s="217" t="s">
        <v>36</v>
      </c>
      <c r="U1266" s="217" t="s">
        <v>37</v>
      </c>
      <c r="V1266" s="217" t="s">
        <v>249</v>
      </c>
      <c r="W1266" s="217" t="s">
        <v>250</v>
      </c>
    </row>
    <row r="1267" spans="1:23" x14ac:dyDescent="0.25">
      <c r="A1267" s="217" t="s">
        <v>22</v>
      </c>
      <c r="B1267" s="217" t="s">
        <v>23</v>
      </c>
      <c r="C1267" s="217" t="s">
        <v>37</v>
      </c>
      <c r="D1267" s="217" t="s">
        <v>36</v>
      </c>
      <c r="E1267" s="217" t="s">
        <v>250</v>
      </c>
      <c r="F1267" s="217" t="s">
        <v>249</v>
      </c>
      <c r="G1267" s="217" t="s">
        <v>606</v>
      </c>
      <c r="H1267" s="217" t="s">
        <v>1486</v>
      </c>
      <c r="I1267" s="217" t="s">
        <v>29</v>
      </c>
      <c r="J1267" s="217" t="s">
        <v>1857</v>
      </c>
      <c r="K1267" s="217">
        <v>2</v>
      </c>
      <c r="L1267" s="217">
        <v>13</v>
      </c>
      <c r="M1267" s="217" t="s">
        <v>31</v>
      </c>
      <c r="N1267" s="217" t="s">
        <v>32</v>
      </c>
      <c r="O1267" s="217" t="s">
        <v>100</v>
      </c>
      <c r="P1267" s="217" t="s">
        <v>34</v>
      </c>
      <c r="Q1267" s="217" t="s">
        <v>35</v>
      </c>
      <c r="R1267" s="217" t="s">
        <v>23</v>
      </c>
      <c r="S1267" s="217" t="s">
        <v>22</v>
      </c>
      <c r="T1267" s="217" t="s">
        <v>36</v>
      </c>
      <c r="U1267" s="217" t="s">
        <v>37</v>
      </c>
      <c r="V1267" s="217" t="s">
        <v>249</v>
      </c>
      <c r="W1267" s="217" t="s">
        <v>250</v>
      </c>
    </row>
    <row r="1268" spans="1:23" x14ac:dyDescent="0.25">
      <c r="A1268" s="217" t="s">
        <v>22</v>
      </c>
      <c r="B1268" s="217" t="s">
        <v>23</v>
      </c>
      <c r="C1268" s="217" t="s">
        <v>37</v>
      </c>
      <c r="D1268" s="217" t="s">
        <v>36</v>
      </c>
      <c r="E1268" s="217" t="s">
        <v>250</v>
      </c>
      <c r="F1268" s="217" t="s">
        <v>249</v>
      </c>
      <c r="G1268" s="217" t="s">
        <v>606</v>
      </c>
      <c r="H1268" s="217" t="s">
        <v>1486</v>
      </c>
      <c r="I1268" s="217" t="s">
        <v>29</v>
      </c>
      <c r="J1268" s="217" t="s">
        <v>1858</v>
      </c>
      <c r="K1268" s="217">
        <v>1</v>
      </c>
      <c r="L1268" s="217">
        <v>2</v>
      </c>
      <c r="M1268" s="217" t="s">
        <v>31</v>
      </c>
      <c r="N1268" s="217" t="s">
        <v>32</v>
      </c>
      <c r="O1268" s="217" t="s">
        <v>100</v>
      </c>
      <c r="P1268" s="217" t="s">
        <v>34</v>
      </c>
      <c r="Q1268" s="217" t="s">
        <v>35</v>
      </c>
      <c r="R1268" s="217" t="s">
        <v>23</v>
      </c>
      <c r="S1268" s="217" t="s">
        <v>22</v>
      </c>
      <c r="T1268" s="217" t="s">
        <v>36</v>
      </c>
      <c r="U1268" s="217" t="s">
        <v>37</v>
      </c>
      <c r="V1268" s="217" t="s">
        <v>249</v>
      </c>
      <c r="W1268" s="217" t="s">
        <v>250</v>
      </c>
    </row>
    <row r="1269" spans="1:23" x14ac:dyDescent="0.25">
      <c r="A1269" s="217" t="s">
        <v>22</v>
      </c>
      <c r="B1269" s="217" t="s">
        <v>23</v>
      </c>
      <c r="C1269" s="217" t="s">
        <v>37</v>
      </c>
      <c r="D1269" s="217" t="s">
        <v>36</v>
      </c>
      <c r="E1269" s="217" t="s">
        <v>250</v>
      </c>
      <c r="F1269" s="217" t="s">
        <v>249</v>
      </c>
      <c r="G1269" s="217" t="s">
        <v>606</v>
      </c>
      <c r="H1269" s="217" t="s">
        <v>1486</v>
      </c>
      <c r="I1269" s="217" t="s">
        <v>29</v>
      </c>
      <c r="J1269" s="217" t="s">
        <v>1859</v>
      </c>
      <c r="K1269" s="217">
        <v>2</v>
      </c>
      <c r="L1269" s="217">
        <v>13</v>
      </c>
      <c r="M1269" s="217" t="s">
        <v>31</v>
      </c>
      <c r="N1269" s="217" t="s">
        <v>32</v>
      </c>
      <c r="O1269" s="217" t="s">
        <v>100</v>
      </c>
      <c r="P1269" s="217" t="s">
        <v>34</v>
      </c>
      <c r="Q1269" s="217" t="s">
        <v>35</v>
      </c>
      <c r="R1269" s="217" t="s">
        <v>23</v>
      </c>
      <c r="S1269" s="217" t="s">
        <v>22</v>
      </c>
      <c r="T1269" s="217" t="s">
        <v>36</v>
      </c>
      <c r="U1269" s="217" t="s">
        <v>37</v>
      </c>
      <c r="V1269" s="217" t="s">
        <v>249</v>
      </c>
      <c r="W1269" s="217" t="s">
        <v>250</v>
      </c>
    </row>
    <row r="1270" spans="1:23" x14ac:dyDescent="0.25">
      <c r="A1270" s="217" t="s">
        <v>22</v>
      </c>
      <c r="B1270" s="217" t="s">
        <v>23</v>
      </c>
      <c r="C1270" s="217" t="s">
        <v>37</v>
      </c>
      <c r="D1270" s="217" t="s">
        <v>36</v>
      </c>
      <c r="E1270" s="217" t="s">
        <v>250</v>
      </c>
      <c r="F1270" s="217" t="s">
        <v>249</v>
      </c>
      <c r="G1270" s="217" t="s">
        <v>607</v>
      </c>
      <c r="H1270" s="217" t="s">
        <v>1487</v>
      </c>
      <c r="I1270" s="217" t="s">
        <v>29</v>
      </c>
      <c r="J1270" s="217" t="s">
        <v>1855</v>
      </c>
      <c r="K1270" s="217">
        <v>6</v>
      </c>
      <c r="L1270" s="217">
        <v>30</v>
      </c>
      <c r="M1270" s="217" t="s">
        <v>31</v>
      </c>
      <c r="N1270" s="217" t="s">
        <v>32</v>
      </c>
      <c r="O1270" s="217" t="s">
        <v>100</v>
      </c>
      <c r="P1270" s="217" t="s">
        <v>34</v>
      </c>
      <c r="Q1270" s="217" t="s">
        <v>35</v>
      </c>
      <c r="R1270" s="217" t="s">
        <v>23</v>
      </c>
      <c r="S1270" s="217" t="s">
        <v>22</v>
      </c>
      <c r="T1270" s="217" t="s">
        <v>36</v>
      </c>
      <c r="U1270" s="217" t="s">
        <v>37</v>
      </c>
      <c r="V1270" s="217" t="s">
        <v>249</v>
      </c>
      <c r="W1270" s="217" t="s">
        <v>250</v>
      </c>
    </row>
    <row r="1271" spans="1:23" x14ac:dyDescent="0.25">
      <c r="A1271" s="217" t="s">
        <v>22</v>
      </c>
      <c r="B1271" s="217" t="s">
        <v>23</v>
      </c>
      <c r="C1271" s="217" t="s">
        <v>37</v>
      </c>
      <c r="D1271" s="217" t="s">
        <v>36</v>
      </c>
      <c r="E1271" s="217" t="s">
        <v>250</v>
      </c>
      <c r="F1271" s="217" t="s">
        <v>249</v>
      </c>
      <c r="G1271" s="217" t="s">
        <v>607</v>
      </c>
      <c r="H1271" s="217" t="s">
        <v>1487</v>
      </c>
      <c r="I1271" s="217" t="s">
        <v>29</v>
      </c>
      <c r="J1271" s="217" t="s">
        <v>1856</v>
      </c>
      <c r="K1271" s="217">
        <v>3</v>
      </c>
      <c r="L1271" s="217">
        <v>15</v>
      </c>
      <c r="M1271" s="217" t="s">
        <v>31</v>
      </c>
      <c r="N1271" s="217" t="s">
        <v>32</v>
      </c>
      <c r="O1271" s="217" t="s">
        <v>100</v>
      </c>
      <c r="P1271" s="217" t="s">
        <v>34</v>
      </c>
      <c r="Q1271" s="217" t="s">
        <v>35</v>
      </c>
      <c r="R1271" s="217" t="s">
        <v>23</v>
      </c>
      <c r="S1271" s="217" t="s">
        <v>22</v>
      </c>
      <c r="T1271" s="217" t="s">
        <v>36</v>
      </c>
      <c r="U1271" s="217" t="s">
        <v>37</v>
      </c>
      <c r="V1271" s="217" t="s">
        <v>249</v>
      </c>
      <c r="W1271" s="217" t="s">
        <v>250</v>
      </c>
    </row>
    <row r="1272" spans="1:23" x14ac:dyDescent="0.25">
      <c r="A1272" s="217" t="s">
        <v>22</v>
      </c>
      <c r="B1272" s="217" t="s">
        <v>23</v>
      </c>
      <c r="C1272" s="217" t="s">
        <v>37</v>
      </c>
      <c r="D1272" s="217" t="s">
        <v>36</v>
      </c>
      <c r="E1272" s="217" t="s">
        <v>250</v>
      </c>
      <c r="F1272" s="217" t="s">
        <v>249</v>
      </c>
      <c r="G1272" s="217" t="s">
        <v>607</v>
      </c>
      <c r="H1272" s="217" t="s">
        <v>1487</v>
      </c>
      <c r="I1272" s="217" t="s">
        <v>29</v>
      </c>
      <c r="J1272" s="217" t="s">
        <v>1857</v>
      </c>
      <c r="K1272" s="217">
        <v>3</v>
      </c>
      <c r="L1272" s="217">
        <v>15</v>
      </c>
      <c r="M1272" s="217" t="s">
        <v>31</v>
      </c>
      <c r="N1272" s="217" t="s">
        <v>32</v>
      </c>
      <c r="O1272" s="217" t="s">
        <v>100</v>
      </c>
      <c r="P1272" s="217" t="s">
        <v>34</v>
      </c>
      <c r="Q1272" s="217" t="s">
        <v>35</v>
      </c>
      <c r="R1272" s="217" t="s">
        <v>23</v>
      </c>
      <c r="S1272" s="217" t="s">
        <v>22</v>
      </c>
      <c r="T1272" s="217" t="s">
        <v>36</v>
      </c>
      <c r="U1272" s="217" t="s">
        <v>37</v>
      </c>
      <c r="V1272" s="217" t="s">
        <v>249</v>
      </c>
      <c r="W1272" s="217" t="s">
        <v>250</v>
      </c>
    </row>
    <row r="1273" spans="1:23" x14ac:dyDescent="0.25">
      <c r="A1273" s="217" t="s">
        <v>22</v>
      </c>
      <c r="B1273" s="217" t="s">
        <v>23</v>
      </c>
      <c r="C1273" s="217" t="s">
        <v>37</v>
      </c>
      <c r="D1273" s="217" t="s">
        <v>36</v>
      </c>
      <c r="E1273" s="217" t="s">
        <v>250</v>
      </c>
      <c r="F1273" s="217" t="s">
        <v>249</v>
      </c>
      <c r="G1273" s="217" t="s">
        <v>2051</v>
      </c>
      <c r="H1273" s="217" t="s">
        <v>2050</v>
      </c>
      <c r="I1273" s="217" t="s">
        <v>29</v>
      </c>
      <c r="J1273" s="217" t="s">
        <v>1856</v>
      </c>
      <c r="K1273" s="217">
        <v>16</v>
      </c>
      <c r="L1273" s="217">
        <v>88</v>
      </c>
      <c r="M1273" s="217" t="s">
        <v>31</v>
      </c>
      <c r="N1273" s="217" t="s">
        <v>32</v>
      </c>
      <c r="O1273" s="217" t="s">
        <v>100</v>
      </c>
      <c r="P1273" s="217" t="s">
        <v>34</v>
      </c>
      <c r="Q1273" s="217" t="s">
        <v>35</v>
      </c>
      <c r="R1273" s="217" t="s">
        <v>23</v>
      </c>
      <c r="S1273" s="217" t="s">
        <v>22</v>
      </c>
      <c r="T1273" s="217" t="s">
        <v>36</v>
      </c>
      <c r="U1273" s="217" t="s">
        <v>37</v>
      </c>
      <c r="V1273" s="217" t="s">
        <v>249</v>
      </c>
      <c r="W1273" s="217" t="s">
        <v>250</v>
      </c>
    </row>
    <row r="1274" spans="1:23" x14ac:dyDescent="0.25">
      <c r="A1274" s="217" t="s">
        <v>22</v>
      </c>
      <c r="B1274" s="217" t="s">
        <v>23</v>
      </c>
      <c r="C1274" s="217" t="s">
        <v>37</v>
      </c>
      <c r="D1274" s="217" t="s">
        <v>36</v>
      </c>
      <c r="E1274" s="217" t="s">
        <v>250</v>
      </c>
      <c r="F1274" s="217" t="s">
        <v>249</v>
      </c>
      <c r="G1274" s="217" t="s">
        <v>2051</v>
      </c>
      <c r="H1274" s="217" t="s">
        <v>2050</v>
      </c>
      <c r="I1274" s="217" t="s">
        <v>29</v>
      </c>
      <c r="J1274" s="217" t="s">
        <v>1857</v>
      </c>
      <c r="K1274" s="217">
        <v>2</v>
      </c>
      <c r="L1274" s="217">
        <v>9</v>
      </c>
      <c r="M1274" s="217" t="s">
        <v>31</v>
      </c>
      <c r="N1274" s="217" t="s">
        <v>32</v>
      </c>
      <c r="O1274" s="217" t="s">
        <v>100</v>
      </c>
      <c r="P1274" s="217" t="s">
        <v>34</v>
      </c>
      <c r="Q1274" s="217" t="s">
        <v>35</v>
      </c>
      <c r="R1274" s="217" t="s">
        <v>23</v>
      </c>
      <c r="S1274" s="217" t="s">
        <v>22</v>
      </c>
      <c r="T1274" s="217" t="s">
        <v>36</v>
      </c>
      <c r="U1274" s="217" t="s">
        <v>37</v>
      </c>
      <c r="V1274" s="217" t="s">
        <v>249</v>
      </c>
      <c r="W1274" s="217" t="s">
        <v>250</v>
      </c>
    </row>
    <row r="1275" spans="1:23" x14ac:dyDescent="0.25">
      <c r="A1275" s="217" t="s">
        <v>22</v>
      </c>
      <c r="B1275" s="217" t="s">
        <v>23</v>
      </c>
      <c r="C1275" s="217" t="s">
        <v>37</v>
      </c>
      <c r="D1275" s="217" t="s">
        <v>36</v>
      </c>
      <c r="E1275" s="217" t="s">
        <v>250</v>
      </c>
      <c r="F1275" s="217" t="s">
        <v>249</v>
      </c>
      <c r="G1275" s="217" t="s">
        <v>2051</v>
      </c>
      <c r="H1275" s="217" t="s">
        <v>2050</v>
      </c>
      <c r="I1275" s="217" t="s">
        <v>29</v>
      </c>
      <c r="J1275" s="217" t="s">
        <v>1858</v>
      </c>
      <c r="K1275" s="217">
        <v>3</v>
      </c>
      <c r="L1275" s="217">
        <v>17</v>
      </c>
      <c r="M1275" s="217" t="s">
        <v>31</v>
      </c>
      <c r="N1275" s="217" t="s">
        <v>32</v>
      </c>
      <c r="O1275" s="217" t="s">
        <v>100</v>
      </c>
      <c r="P1275" s="217" t="s">
        <v>34</v>
      </c>
      <c r="Q1275" s="217" t="s">
        <v>35</v>
      </c>
      <c r="R1275" s="217" t="s">
        <v>23</v>
      </c>
      <c r="S1275" s="217" t="s">
        <v>22</v>
      </c>
      <c r="T1275" s="217" t="s">
        <v>36</v>
      </c>
      <c r="U1275" s="217" t="s">
        <v>37</v>
      </c>
      <c r="V1275" s="217" t="s">
        <v>249</v>
      </c>
      <c r="W1275" s="217" t="s">
        <v>250</v>
      </c>
    </row>
    <row r="1276" spans="1:23" x14ac:dyDescent="0.25">
      <c r="A1276" s="217" t="s">
        <v>22</v>
      </c>
      <c r="B1276" s="217" t="s">
        <v>23</v>
      </c>
      <c r="C1276" s="217" t="s">
        <v>37</v>
      </c>
      <c r="D1276" s="217" t="s">
        <v>36</v>
      </c>
      <c r="E1276" s="217" t="s">
        <v>250</v>
      </c>
      <c r="F1276" s="217" t="s">
        <v>249</v>
      </c>
      <c r="G1276" s="217" t="s">
        <v>685</v>
      </c>
      <c r="H1276" s="217" t="s">
        <v>1488</v>
      </c>
      <c r="I1276" s="217" t="s">
        <v>29</v>
      </c>
      <c r="J1276" s="217" t="s">
        <v>1858</v>
      </c>
      <c r="K1276" s="217">
        <v>2</v>
      </c>
      <c r="L1276" s="217">
        <v>10</v>
      </c>
      <c r="M1276" s="217" t="s">
        <v>31</v>
      </c>
      <c r="N1276" s="217" t="s">
        <v>32</v>
      </c>
      <c r="O1276" s="217" t="s">
        <v>33</v>
      </c>
      <c r="P1276" s="217" t="s">
        <v>34</v>
      </c>
      <c r="Q1276" s="217" t="s">
        <v>35</v>
      </c>
      <c r="R1276" s="217" t="s">
        <v>23</v>
      </c>
      <c r="S1276" s="217" t="s">
        <v>22</v>
      </c>
      <c r="T1276" s="217" t="s">
        <v>47</v>
      </c>
      <c r="U1276" s="217" t="s">
        <v>48</v>
      </c>
      <c r="V1276" s="217" t="s">
        <v>231</v>
      </c>
      <c r="W1276" s="217" t="s">
        <v>232</v>
      </c>
    </row>
    <row r="1277" spans="1:23" x14ac:dyDescent="0.25">
      <c r="A1277" s="217" t="s">
        <v>22</v>
      </c>
      <c r="B1277" s="217" t="s">
        <v>23</v>
      </c>
      <c r="C1277" s="217" t="s">
        <v>37</v>
      </c>
      <c r="D1277" s="217" t="s">
        <v>36</v>
      </c>
      <c r="E1277" s="217" t="s">
        <v>250</v>
      </c>
      <c r="F1277" s="217" t="s">
        <v>249</v>
      </c>
      <c r="G1277" s="217" t="s">
        <v>685</v>
      </c>
      <c r="H1277" s="217" t="s">
        <v>1488</v>
      </c>
      <c r="I1277" s="217" t="s">
        <v>29</v>
      </c>
      <c r="J1277" s="217" t="s">
        <v>1859</v>
      </c>
      <c r="K1277" s="217">
        <v>1</v>
      </c>
      <c r="L1277" s="217">
        <v>6</v>
      </c>
      <c r="M1277" s="217" t="s">
        <v>31</v>
      </c>
      <c r="N1277" s="217" t="s">
        <v>32</v>
      </c>
      <c r="O1277" s="217" t="s">
        <v>100</v>
      </c>
      <c r="P1277" s="217" t="s">
        <v>34</v>
      </c>
      <c r="Q1277" s="217" t="s">
        <v>35</v>
      </c>
      <c r="R1277" s="217" t="s">
        <v>23</v>
      </c>
      <c r="S1277" s="217" t="s">
        <v>22</v>
      </c>
      <c r="T1277" s="217" t="s">
        <v>36</v>
      </c>
      <c r="U1277" s="217" t="s">
        <v>37</v>
      </c>
      <c r="V1277" s="217" t="s">
        <v>249</v>
      </c>
      <c r="W1277" s="217" t="s">
        <v>250</v>
      </c>
    </row>
    <row r="1278" spans="1:23" x14ac:dyDescent="0.25">
      <c r="A1278" s="217" t="s">
        <v>22</v>
      </c>
      <c r="B1278" s="217" t="s">
        <v>23</v>
      </c>
      <c r="C1278" s="217" t="s">
        <v>37</v>
      </c>
      <c r="D1278" s="217" t="s">
        <v>36</v>
      </c>
      <c r="E1278" s="217" t="s">
        <v>250</v>
      </c>
      <c r="F1278" s="217" t="s">
        <v>249</v>
      </c>
      <c r="G1278" s="217" t="s">
        <v>2053</v>
      </c>
      <c r="H1278" s="217" t="s">
        <v>2052</v>
      </c>
      <c r="I1278" s="217" t="s">
        <v>29</v>
      </c>
      <c r="J1278" s="217" t="s">
        <v>1855</v>
      </c>
      <c r="K1278" s="217">
        <v>3</v>
      </c>
      <c r="L1278" s="217">
        <v>14</v>
      </c>
      <c r="M1278" s="217" t="s">
        <v>31</v>
      </c>
      <c r="N1278" s="217" t="s">
        <v>32</v>
      </c>
      <c r="O1278" s="217" t="s">
        <v>100</v>
      </c>
      <c r="P1278" s="217" t="s">
        <v>34</v>
      </c>
      <c r="Q1278" s="217" t="s">
        <v>35</v>
      </c>
      <c r="R1278" s="217" t="s">
        <v>23</v>
      </c>
      <c r="S1278" s="217" t="s">
        <v>22</v>
      </c>
      <c r="T1278" s="217" t="s">
        <v>36</v>
      </c>
      <c r="U1278" s="217" t="s">
        <v>37</v>
      </c>
      <c r="V1278" s="217" t="s">
        <v>249</v>
      </c>
      <c r="W1278" s="217" t="s">
        <v>250</v>
      </c>
    </row>
    <row r="1279" spans="1:23" x14ac:dyDescent="0.25">
      <c r="A1279" s="217" t="s">
        <v>22</v>
      </c>
      <c r="B1279" s="217" t="s">
        <v>23</v>
      </c>
      <c r="C1279" s="217" t="s">
        <v>37</v>
      </c>
      <c r="D1279" s="217" t="s">
        <v>36</v>
      </c>
      <c r="E1279" s="217" t="s">
        <v>250</v>
      </c>
      <c r="F1279" s="217" t="s">
        <v>249</v>
      </c>
      <c r="G1279" s="217" t="s">
        <v>2053</v>
      </c>
      <c r="H1279" s="217" t="s">
        <v>2052</v>
      </c>
      <c r="I1279" s="217" t="s">
        <v>29</v>
      </c>
      <c r="J1279" s="217" t="s">
        <v>1857</v>
      </c>
      <c r="K1279" s="217">
        <v>6</v>
      </c>
      <c r="L1279" s="217">
        <v>34</v>
      </c>
      <c r="M1279" s="217" t="s">
        <v>31</v>
      </c>
      <c r="N1279" s="217" t="s">
        <v>32</v>
      </c>
      <c r="O1279" s="217" t="s">
        <v>100</v>
      </c>
      <c r="P1279" s="217" t="s">
        <v>34</v>
      </c>
      <c r="Q1279" s="217" t="s">
        <v>35</v>
      </c>
      <c r="R1279" s="217" t="s">
        <v>23</v>
      </c>
      <c r="S1279" s="217" t="s">
        <v>22</v>
      </c>
      <c r="T1279" s="217" t="s">
        <v>36</v>
      </c>
      <c r="U1279" s="217" t="s">
        <v>37</v>
      </c>
      <c r="V1279" s="217" t="s">
        <v>249</v>
      </c>
      <c r="W1279" s="217" t="s">
        <v>250</v>
      </c>
    </row>
    <row r="1280" spans="1:23" x14ac:dyDescent="0.25">
      <c r="A1280" s="217" t="s">
        <v>22</v>
      </c>
      <c r="B1280" s="217" t="s">
        <v>23</v>
      </c>
      <c r="C1280" s="217" t="s">
        <v>37</v>
      </c>
      <c r="D1280" s="217" t="s">
        <v>36</v>
      </c>
      <c r="E1280" s="217" t="s">
        <v>608</v>
      </c>
      <c r="F1280" s="217" t="s">
        <v>609</v>
      </c>
      <c r="G1280" s="217" t="s">
        <v>2144</v>
      </c>
      <c r="H1280" s="217" t="s">
        <v>1489</v>
      </c>
      <c r="I1280" s="217" t="s">
        <v>29</v>
      </c>
      <c r="J1280" s="217" t="s">
        <v>1855</v>
      </c>
      <c r="K1280" s="217">
        <v>5</v>
      </c>
      <c r="L1280" s="217">
        <v>20</v>
      </c>
      <c r="M1280" s="217" t="s">
        <v>31</v>
      </c>
      <c r="N1280" s="217" t="s">
        <v>32</v>
      </c>
      <c r="O1280" s="217" t="s">
        <v>33</v>
      </c>
      <c r="P1280" s="217" t="s">
        <v>34</v>
      </c>
      <c r="Q1280" s="217" t="s">
        <v>35</v>
      </c>
      <c r="R1280" s="217" t="s">
        <v>23</v>
      </c>
      <c r="S1280" s="217" t="s">
        <v>22</v>
      </c>
      <c r="T1280" s="217" t="s">
        <v>47</v>
      </c>
      <c r="U1280" s="217" t="s">
        <v>48</v>
      </c>
      <c r="V1280" s="217" t="s">
        <v>231</v>
      </c>
      <c r="W1280" s="217" t="s">
        <v>232</v>
      </c>
    </row>
    <row r="1281" spans="1:23" x14ac:dyDescent="0.25">
      <c r="A1281" s="217" t="s">
        <v>22</v>
      </c>
      <c r="B1281" s="217" t="s">
        <v>23</v>
      </c>
      <c r="C1281" s="217" t="s">
        <v>37</v>
      </c>
      <c r="D1281" s="217" t="s">
        <v>36</v>
      </c>
      <c r="E1281" s="217" t="s">
        <v>608</v>
      </c>
      <c r="F1281" s="217" t="s">
        <v>609</v>
      </c>
      <c r="G1281" s="217" t="s">
        <v>2144</v>
      </c>
      <c r="H1281" s="217" t="s">
        <v>1489</v>
      </c>
      <c r="I1281" s="217" t="s">
        <v>29</v>
      </c>
      <c r="J1281" s="217" t="s">
        <v>1856</v>
      </c>
      <c r="K1281" s="217">
        <v>17</v>
      </c>
      <c r="L1281" s="217">
        <v>70</v>
      </c>
      <c r="M1281" s="217" t="s">
        <v>31</v>
      </c>
      <c r="N1281" s="217" t="s">
        <v>32</v>
      </c>
      <c r="O1281" s="217" t="s">
        <v>33</v>
      </c>
      <c r="P1281" s="217" t="s">
        <v>34</v>
      </c>
      <c r="Q1281" s="217" t="s">
        <v>35</v>
      </c>
      <c r="R1281" s="217" t="s">
        <v>23</v>
      </c>
      <c r="S1281" s="217" t="s">
        <v>22</v>
      </c>
      <c r="T1281" s="217" t="s">
        <v>47</v>
      </c>
      <c r="U1281" s="217" t="s">
        <v>48</v>
      </c>
      <c r="V1281" s="217" t="s">
        <v>231</v>
      </c>
      <c r="W1281" s="217" t="s">
        <v>232</v>
      </c>
    </row>
    <row r="1282" spans="1:23" x14ac:dyDescent="0.25">
      <c r="A1282" s="217" t="s">
        <v>22</v>
      </c>
      <c r="B1282" s="217" t="s">
        <v>23</v>
      </c>
      <c r="C1282" s="217" t="s">
        <v>37</v>
      </c>
      <c r="D1282" s="217" t="s">
        <v>36</v>
      </c>
      <c r="E1282" s="217" t="s">
        <v>608</v>
      </c>
      <c r="F1282" s="217" t="s">
        <v>609</v>
      </c>
      <c r="G1282" s="217" t="s">
        <v>2144</v>
      </c>
      <c r="H1282" s="217" t="s">
        <v>1489</v>
      </c>
      <c r="I1282" s="217" t="s">
        <v>29</v>
      </c>
      <c r="J1282" s="217" t="s">
        <v>1857</v>
      </c>
      <c r="K1282" s="217">
        <v>11</v>
      </c>
      <c r="L1282" s="217">
        <v>40</v>
      </c>
      <c r="M1282" s="217" t="s">
        <v>31</v>
      </c>
      <c r="N1282" s="217" t="s">
        <v>32</v>
      </c>
      <c r="O1282" s="217" t="s">
        <v>68</v>
      </c>
      <c r="P1282" s="217" t="s">
        <v>34</v>
      </c>
      <c r="Q1282" s="217" t="s">
        <v>35</v>
      </c>
      <c r="R1282" s="217" t="s">
        <v>23</v>
      </c>
      <c r="S1282" s="217" t="s">
        <v>22</v>
      </c>
      <c r="T1282" s="217" t="s">
        <v>36</v>
      </c>
      <c r="U1282" s="217" t="s">
        <v>37</v>
      </c>
      <c r="V1282" s="217" t="s">
        <v>249</v>
      </c>
      <c r="W1282" s="217" t="s">
        <v>250</v>
      </c>
    </row>
    <row r="1283" spans="1:23" x14ac:dyDescent="0.25">
      <c r="A1283" s="217" t="s">
        <v>22</v>
      </c>
      <c r="B1283" s="217" t="s">
        <v>23</v>
      </c>
      <c r="C1283" s="217" t="s">
        <v>37</v>
      </c>
      <c r="D1283" s="217" t="s">
        <v>36</v>
      </c>
      <c r="E1283" s="217" t="s">
        <v>608</v>
      </c>
      <c r="F1283" s="217" t="s">
        <v>609</v>
      </c>
      <c r="G1283" s="217" t="s">
        <v>2144</v>
      </c>
      <c r="H1283" s="217" t="s">
        <v>1489</v>
      </c>
      <c r="I1283" s="217" t="s">
        <v>29</v>
      </c>
      <c r="J1283" s="217" t="s">
        <v>1858</v>
      </c>
      <c r="K1283" s="217">
        <v>7</v>
      </c>
      <c r="L1283" s="217">
        <v>37</v>
      </c>
      <c r="M1283" s="217" t="s">
        <v>31</v>
      </c>
      <c r="N1283" s="217" t="s">
        <v>32</v>
      </c>
      <c r="O1283" s="217" t="s">
        <v>68</v>
      </c>
      <c r="P1283" s="217" t="s">
        <v>34</v>
      </c>
      <c r="Q1283" s="217" t="s">
        <v>35</v>
      </c>
      <c r="R1283" s="217" t="s">
        <v>23</v>
      </c>
      <c r="S1283" s="217" t="s">
        <v>22</v>
      </c>
      <c r="T1283" s="217" t="s">
        <v>36</v>
      </c>
      <c r="U1283" s="217" t="s">
        <v>37</v>
      </c>
      <c r="V1283" s="217" t="s">
        <v>249</v>
      </c>
      <c r="W1283" s="217" t="s">
        <v>250</v>
      </c>
    </row>
    <row r="1284" spans="1:23" x14ac:dyDescent="0.25">
      <c r="A1284" s="217" t="s">
        <v>22</v>
      </c>
      <c r="B1284" s="217" t="s">
        <v>23</v>
      </c>
      <c r="C1284" s="217" t="s">
        <v>37</v>
      </c>
      <c r="D1284" s="217" t="s">
        <v>36</v>
      </c>
      <c r="E1284" s="217" t="s">
        <v>608</v>
      </c>
      <c r="F1284" s="217" t="s">
        <v>609</v>
      </c>
      <c r="G1284" s="217" t="s">
        <v>610</v>
      </c>
      <c r="H1284" s="217" t="s">
        <v>1490</v>
      </c>
      <c r="I1284" s="217" t="s">
        <v>29</v>
      </c>
      <c r="J1284" s="217" t="s">
        <v>1856</v>
      </c>
      <c r="K1284" s="217">
        <v>17</v>
      </c>
      <c r="L1284" s="217">
        <v>53</v>
      </c>
      <c r="M1284" s="217" t="s">
        <v>31</v>
      </c>
      <c r="N1284" s="217" t="s">
        <v>32</v>
      </c>
      <c r="O1284" s="217" t="s">
        <v>68</v>
      </c>
      <c r="P1284" s="217" t="s">
        <v>34</v>
      </c>
      <c r="Q1284" s="217" t="s">
        <v>35</v>
      </c>
      <c r="R1284" s="217" t="s">
        <v>23</v>
      </c>
      <c r="S1284" s="217" t="s">
        <v>22</v>
      </c>
      <c r="T1284" s="217" t="s">
        <v>36</v>
      </c>
      <c r="U1284" s="217" t="s">
        <v>37</v>
      </c>
      <c r="V1284" s="217" t="s">
        <v>249</v>
      </c>
      <c r="W1284" s="217" t="s">
        <v>250</v>
      </c>
    </row>
    <row r="1285" spans="1:23" x14ac:dyDescent="0.25">
      <c r="A1285" s="217" t="s">
        <v>22</v>
      </c>
      <c r="B1285" s="217" t="s">
        <v>23</v>
      </c>
      <c r="C1285" s="217" t="s">
        <v>37</v>
      </c>
      <c r="D1285" s="217" t="s">
        <v>36</v>
      </c>
      <c r="E1285" s="217" t="s">
        <v>608</v>
      </c>
      <c r="F1285" s="217" t="s">
        <v>609</v>
      </c>
      <c r="G1285" s="217" t="s">
        <v>612</v>
      </c>
      <c r="H1285" s="217" t="s">
        <v>1492</v>
      </c>
      <c r="I1285" s="217" t="s">
        <v>29</v>
      </c>
      <c r="J1285" s="217" t="s">
        <v>1857</v>
      </c>
      <c r="K1285" s="217">
        <v>40</v>
      </c>
      <c r="L1285" s="217">
        <v>187</v>
      </c>
      <c r="M1285" s="217" t="s">
        <v>31</v>
      </c>
      <c r="N1285" s="217" t="s">
        <v>32</v>
      </c>
      <c r="O1285" s="217" t="s">
        <v>68</v>
      </c>
      <c r="P1285" s="217" t="s">
        <v>34</v>
      </c>
      <c r="Q1285" s="217" t="s">
        <v>35</v>
      </c>
      <c r="R1285" s="217" t="s">
        <v>23</v>
      </c>
      <c r="S1285" s="217" t="s">
        <v>22</v>
      </c>
      <c r="T1285" s="217" t="s">
        <v>36</v>
      </c>
      <c r="U1285" s="217" t="s">
        <v>37</v>
      </c>
      <c r="V1285" s="217" t="s">
        <v>249</v>
      </c>
      <c r="W1285" s="217" t="s">
        <v>250</v>
      </c>
    </row>
    <row r="1286" spans="1:23" x14ac:dyDescent="0.25">
      <c r="A1286" s="217" t="s">
        <v>22</v>
      </c>
      <c r="B1286" s="217" t="s">
        <v>23</v>
      </c>
      <c r="C1286" s="217" t="s">
        <v>37</v>
      </c>
      <c r="D1286" s="217" t="s">
        <v>36</v>
      </c>
      <c r="E1286" s="217" t="s">
        <v>608</v>
      </c>
      <c r="F1286" s="217" t="s">
        <v>609</v>
      </c>
      <c r="G1286" s="217" t="s">
        <v>612</v>
      </c>
      <c r="H1286" s="217" t="s">
        <v>1492</v>
      </c>
      <c r="I1286" s="217" t="s">
        <v>29</v>
      </c>
      <c r="J1286" s="217" t="s">
        <v>1858</v>
      </c>
      <c r="K1286" s="217">
        <v>4</v>
      </c>
      <c r="L1286" s="217">
        <v>21</v>
      </c>
      <c r="M1286" s="217" t="s">
        <v>31</v>
      </c>
      <c r="N1286" s="217" t="s">
        <v>32</v>
      </c>
      <c r="O1286" s="217" t="s">
        <v>68</v>
      </c>
      <c r="P1286" s="217" t="s">
        <v>34</v>
      </c>
      <c r="Q1286" s="217" t="s">
        <v>35</v>
      </c>
      <c r="R1286" s="217" t="s">
        <v>23</v>
      </c>
      <c r="S1286" s="217" t="s">
        <v>22</v>
      </c>
      <c r="T1286" s="217" t="s">
        <v>36</v>
      </c>
      <c r="U1286" s="217" t="s">
        <v>37</v>
      </c>
      <c r="V1286" s="217" t="s">
        <v>249</v>
      </c>
      <c r="W1286" s="217" t="s">
        <v>250</v>
      </c>
    </row>
    <row r="1287" spans="1:23" x14ac:dyDescent="0.25">
      <c r="A1287" s="217" t="s">
        <v>22</v>
      </c>
      <c r="B1287" s="217" t="s">
        <v>23</v>
      </c>
      <c r="C1287" s="217" t="s">
        <v>37</v>
      </c>
      <c r="D1287" s="217" t="s">
        <v>36</v>
      </c>
      <c r="E1287" s="217" t="s">
        <v>608</v>
      </c>
      <c r="F1287" s="217" t="s">
        <v>609</v>
      </c>
      <c r="G1287" s="217" t="s">
        <v>613</v>
      </c>
      <c r="H1287" s="217" t="s">
        <v>1493</v>
      </c>
      <c r="I1287" s="217" t="s">
        <v>29</v>
      </c>
      <c r="J1287" s="217" t="s">
        <v>1856</v>
      </c>
      <c r="K1287" s="217">
        <v>8</v>
      </c>
      <c r="L1287" s="217">
        <v>41</v>
      </c>
      <c r="M1287" s="217" t="s">
        <v>31</v>
      </c>
      <c r="N1287" s="217" t="s">
        <v>32</v>
      </c>
      <c r="O1287" s="217" t="s">
        <v>68</v>
      </c>
      <c r="P1287" s="217" t="s">
        <v>34</v>
      </c>
      <c r="Q1287" s="217" t="s">
        <v>35</v>
      </c>
      <c r="R1287" s="217" t="s">
        <v>23</v>
      </c>
      <c r="S1287" s="217" t="s">
        <v>22</v>
      </c>
      <c r="T1287" s="217" t="s">
        <v>36</v>
      </c>
      <c r="U1287" s="217" t="s">
        <v>37</v>
      </c>
      <c r="V1287" s="217" t="s">
        <v>249</v>
      </c>
      <c r="W1287" s="217" t="s">
        <v>250</v>
      </c>
    </row>
    <row r="1288" spans="1:23" x14ac:dyDescent="0.25">
      <c r="A1288" s="217" t="s">
        <v>22</v>
      </c>
      <c r="B1288" s="217" t="s">
        <v>23</v>
      </c>
      <c r="C1288" s="217" t="s">
        <v>37</v>
      </c>
      <c r="D1288" s="217" t="s">
        <v>36</v>
      </c>
      <c r="E1288" s="217" t="s">
        <v>608</v>
      </c>
      <c r="F1288" s="217" t="s">
        <v>609</v>
      </c>
      <c r="G1288" s="217" t="s">
        <v>613</v>
      </c>
      <c r="H1288" s="217" t="s">
        <v>1493</v>
      </c>
      <c r="I1288" s="217" t="s">
        <v>29</v>
      </c>
      <c r="J1288" s="217" t="s">
        <v>1857</v>
      </c>
      <c r="K1288" s="217">
        <v>3</v>
      </c>
      <c r="L1288" s="217">
        <v>11</v>
      </c>
      <c r="M1288" s="217" t="s">
        <v>31</v>
      </c>
      <c r="N1288" s="217" t="s">
        <v>32</v>
      </c>
      <c r="O1288" s="217" t="s">
        <v>68</v>
      </c>
      <c r="P1288" s="217" t="s">
        <v>34</v>
      </c>
      <c r="Q1288" s="217" t="s">
        <v>35</v>
      </c>
      <c r="R1288" s="217" t="s">
        <v>23</v>
      </c>
      <c r="S1288" s="217" t="s">
        <v>22</v>
      </c>
      <c r="T1288" s="217" t="s">
        <v>36</v>
      </c>
      <c r="U1288" s="217" t="s">
        <v>37</v>
      </c>
      <c r="V1288" s="217" t="s">
        <v>249</v>
      </c>
      <c r="W1288" s="217" t="s">
        <v>250</v>
      </c>
    </row>
    <row r="1289" spans="1:23" x14ac:dyDescent="0.25">
      <c r="A1289" s="217" t="s">
        <v>22</v>
      </c>
      <c r="B1289" s="217" t="s">
        <v>23</v>
      </c>
      <c r="C1289" s="217" t="s">
        <v>37</v>
      </c>
      <c r="D1289" s="217" t="s">
        <v>36</v>
      </c>
      <c r="E1289" s="217" t="s">
        <v>608</v>
      </c>
      <c r="F1289" s="217" t="s">
        <v>609</v>
      </c>
      <c r="G1289" s="217" t="s">
        <v>614</v>
      </c>
      <c r="H1289" s="217" t="s">
        <v>1494</v>
      </c>
      <c r="I1289" s="217" t="s">
        <v>29</v>
      </c>
      <c r="J1289" s="217" t="s">
        <v>1856</v>
      </c>
      <c r="K1289" s="217">
        <v>3</v>
      </c>
      <c r="L1289" s="217">
        <v>18</v>
      </c>
      <c r="M1289" s="217" t="s">
        <v>31</v>
      </c>
      <c r="N1289" s="217" t="s">
        <v>32</v>
      </c>
      <c r="O1289" s="217" t="s">
        <v>33</v>
      </c>
      <c r="P1289" s="217" t="s">
        <v>34</v>
      </c>
      <c r="Q1289" s="217" t="s">
        <v>35</v>
      </c>
      <c r="R1289" s="217" t="s">
        <v>23</v>
      </c>
      <c r="S1289" s="217" t="s">
        <v>22</v>
      </c>
      <c r="T1289" s="217" t="s">
        <v>47</v>
      </c>
      <c r="U1289" s="217" t="s">
        <v>48</v>
      </c>
      <c r="V1289" s="217" t="s">
        <v>231</v>
      </c>
      <c r="W1289" s="217" t="s">
        <v>232</v>
      </c>
    </row>
    <row r="1290" spans="1:23" x14ac:dyDescent="0.25">
      <c r="A1290" s="217" t="s">
        <v>22</v>
      </c>
      <c r="B1290" s="217" t="s">
        <v>23</v>
      </c>
      <c r="C1290" s="217" t="s">
        <v>37</v>
      </c>
      <c r="D1290" s="217" t="s">
        <v>36</v>
      </c>
      <c r="E1290" s="217" t="s">
        <v>608</v>
      </c>
      <c r="F1290" s="217" t="s">
        <v>609</v>
      </c>
      <c r="G1290" s="217" t="s">
        <v>615</v>
      </c>
      <c r="H1290" s="217" t="s">
        <v>1495</v>
      </c>
      <c r="I1290" s="217" t="s">
        <v>29</v>
      </c>
      <c r="J1290" s="217" t="s">
        <v>1856</v>
      </c>
      <c r="K1290" s="217">
        <v>26</v>
      </c>
      <c r="L1290" s="217">
        <v>186</v>
      </c>
      <c r="M1290" s="217" t="s">
        <v>31</v>
      </c>
      <c r="N1290" s="217" t="s">
        <v>32</v>
      </c>
      <c r="O1290" s="217" t="s">
        <v>68</v>
      </c>
      <c r="P1290" s="217" t="s">
        <v>34</v>
      </c>
      <c r="Q1290" s="217" t="s">
        <v>35</v>
      </c>
      <c r="R1290" s="217" t="s">
        <v>23</v>
      </c>
      <c r="S1290" s="217" t="s">
        <v>22</v>
      </c>
      <c r="T1290" s="217" t="s">
        <v>36</v>
      </c>
      <c r="U1290" s="217" t="s">
        <v>37</v>
      </c>
      <c r="V1290" s="217" t="s">
        <v>249</v>
      </c>
      <c r="W1290" s="217" t="s">
        <v>250</v>
      </c>
    </row>
    <row r="1291" spans="1:23" x14ac:dyDescent="0.25">
      <c r="A1291" s="217" t="s">
        <v>22</v>
      </c>
      <c r="B1291" s="217" t="s">
        <v>23</v>
      </c>
      <c r="C1291" s="217" t="s">
        <v>37</v>
      </c>
      <c r="D1291" s="217" t="s">
        <v>36</v>
      </c>
      <c r="E1291" s="217" t="s">
        <v>608</v>
      </c>
      <c r="F1291" s="217" t="s">
        <v>609</v>
      </c>
      <c r="G1291" s="217" t="s">
        <v>615</v>
      </c>
      <c r="H1291" s="217" t="s">
        <v>1495</v>
      </c>
      <c r="I1291" s="217" t="s">
        <v>29</v>
      </c>
      <c r="J1291" s="217" t="s">
        <v>1857</v>
      </c>
      <c r="K1291" s="217">
        <v>9</v>
      </c>
      <c r="L1291" s="217">
        <v>52</v>
      </c>
      <c r="M1291" s="217" t="s">
        <v>31</v>
      </c>
      <c r="N1291" s="217" t="s">
        <v>32</v>
      </c>
      <c r="O1291" s="217" t="s">
        <v>68</v>
      </c>
      <c r="P1291" s="217" t="s">
        <v>34</v>
      </c>
      <c r="Q1291" s="217" t="s">
        <v>35</v>
      </c>
      <c r="R1291" s="217" t="s">
        <v>23</v>
      </c>
      <c r="S1291" s="217" t="s">
        <v>22</v>
      </c>
      <c r="T1291" s="217" t="s">
        <v>36</v>
      </c>
      <c r="U1291" s="217" t="s">
        <v>37</v>
      </c>
      <c r="V1291" s="217" t="s">
        <v>249</v>
      </c>
      <c r="W1291" s="217" t="s">
        <v>250</v>
      </c>
    </row>
    <row r="1292" spans="1:23" x14ac:dyDescent="0.25">
      <c r="A1292" s="217" t="s">
        <v>22</v>
      </c>
      <c r="B1292" s="217" t="s">
        <v>23</v>
      </c>
      <c r="C1292" s="217" t="s">
        <v>37</v>
      </c>
      <c r="D1292" s="217" t="s">
        <v>36</v>
      </c>
      <c r="E1292" s="217" t="s">
        <v>608</v>
      </c>
      <c r="F1292" s="217" t="s">
        <v>609</v>
      </c>
      <c r="G1292" s="217" t="s">
        <v>2145</v>
      </c>
      <c r="H1292" s="217" t="s">
        <v>1496</v>
      </c>
      <c r="I1292" s="217" t="s">
        <v>29</v>
      </c>
      <c r="J1292" s="217" t="s">
        <v>1856</v>
      </c>
      <c r="K1292" s="217">
        <v>4</v>
      </c>
      <c r="L1292" s="217">
        <v>12</v>
      </c>
      <c r="M1292" s="217" t="s">
        <v>31</v>
      </c>
      <c r="N1292" s="217" t="s">
        <v>32</v>
      </c>
      <c r="O1292" s="217" t="s">
        <v>68</v>
      </c>
      <c r="P1292" s="217" t="s">
        <v>34</v>
      </c>
      <c r="Q1292" s="217" t="s">
        <v>35</v>
      </c>
      <c r="R1292" s="217" t="s">
        <v>23</v>
      </c>
      <c r="S1292" s="217" t="s">
        <v>22</v>
      </c>
      <c r="T1292" s="217" t="s">
        <v>36</v>
      </c>
      <c r="U1292" s="217" t="s">
        <v>37</v>
      </c>
      <c r="V1292" s="217" t="s">
        <v>249</v>
      </c>
      <c r="W1292" s="217" t="s">
        <v>250</v>
      </c>
    </row>
    <row r="1293" spans="1:23" x14ac:dyDescent="0.25">
      <c r="A1293" s="217" t="s">
        <v>22</v>
      </c>
      <c r="B1293" s="217" t="s">
        <v>23</v>
      </c>
      <c r="C1293" s="217" t="s">
        <v>24</v>
      </c>
      <c r="D1293" s="217" t="s">
        <v>25</v>
      </c>
      <c r="E1293" s="217" t="s">
        <v>56</v>
      </c>
      <c r="F1293" s="217" t="s">
        <v>57</v>
      </c>
      <c r="G1293" s="217" t="s">
        <v>58</v>
      </c>
      <c r="H1293" s="217" t="s">
        <v>879</v>
      </c>
      <c r="I1293" s="217" t="s">
        <v>616</v>
      </c>
      <c r="J1293" s="217" t="s">
        <v>1857</v>
      </c>
      <c r="K1293" s="217">
        <v>2</v>
      </c>
      <c r="L1293" s="217">
        <v>11</v>
      </c>
      <c r="M1293" s="217" t="s">
        <v>31</v>
      </c>
      <c r="N1293" s="217" t="s">
        <v>32</v>
      </c>
      <c r="O1293" s="217" t="s">
        <v>141</v>
      </c>
      <c r="P1293" s="217" t="s">
        <v>144</v>
      </c>
      <c r="Q1293" s="217" t="s">
        <v>145</v>
      </c>
      <c r="R1293" s="217" t="s">
        <v>144</v>
      </c>
      <c r="S1293" s="217" t="s">
        <v>639</v>
      </c>
      <c r="T1293" s="217" t="s">
        <v>32</v>
      </c>
      <c r="U1293" s="217" t="s">
        <v>32</v>
      </c>
      <c r="V1293" s="217" t="s">
        <v>32</v>
      </c>
      <c r="W1293" s="217" t="s">
        <v>32</v>
      </c>
    </row>
    <row r="1294" spans="1:23" x14ac:dyDescent="0.25">
      <c r="A1294" s="217" t="s">
        <v>22</v>
      </c>
      <c r="B1294" s="217" t="s">
        <v>23</v>
      </c>
      <c r="C1294" s="217" t="s">
        <v>24</v>
      </c>
      <c r="D1294" s="217" t="s">
        <v>25</v>
      </c>
      <c r="E1294" s="217" t="s">
        <v>56</v>
      </c>
      <c r="F1294" s="217" t="s">
        <v>57</v>
      </c>
      <c r="G1294" s="217" t="s">
        <v>617</v>
      </c>
      <c r="H1294" s="217" t="s">
        <v>1497</v>
      </c>
      <c r="I1294" s="217" t="s">
        <v>616</v>
      </c>
      <c r="J1294" s="217" t="s">
        <v>1856</v>
      </c>
      <c r="K1294" s="217">
        <v>22</v>
      </c>
      <c r="L1294" s="217">
        <v>218</v>
      </c>
      <c r="M1294" s="217" t="s">
        <v>31</v>
      </c>
      <c r="N1294" s="217" t="s">
        <v>32</v>
      </c>
      <c r="O1294" s="217" t="s">
        <v>141</v>
      </c>
      <c r="P1294" s="217" t="s">
        <v>142</v>
      </c>
      <c r="Q1294" s="217" t="s">
        <v>143</v>
      </c>
      <c r="R1294" s="217" t="s">
        <v>142</v>
      </c>
      <c r="S1294" s="217" t="s">
        <v>619</v>
      </c>
      <c r="T1294" s="217" t="s">
        <v>32</v>
      </c>
      <c r="U1294" s="217" t="s">
        <v>32</v>
      </c>
      <c r="V1294" s="217" t="s">
        <v>32</v>
      </c>
      <c r="W1294" s="217" t="s">
        <v>32</v>
      </c>
    </row>
    <row r="1295" spans="1:23" x14ac:dyDescent="0.25">
      <c r="A1295" s="217" t="s">
        <v>22</v>
      </c>
      <c r="B1295" s="217" t="s">
        <v>23</v>
      </c>
      <c r="C1295" s="217" t="s">
        <v>24</v>
      </c>
      <c r="D1295" s="217" t="s">
        <v>25</v>
      </c>
      <c r="E1295" s="217" t="s">
        <v>56</v>
      </c>
      <c r="F1295" s="217" t="s">
        <v>57</v>
      </c>
      <c r="G1295" s="217" t="s">
        <v>617</v>
      </c>
      <c r="H1295" s="217" t="s">
        <v>1497</v>
      </c>
      <c r="I1295" s="217" t="s">
        <v>616</v>
      </c>
      <c r="J1295" s="217" t="s">
        <v>1858</v>
      </c>
      <c r="K1295" s="217">
        <v>2</v>
      </c>
      <c r="L1295" s="217">
        <v>2</v>
      </c>
      <c r="M1295" s="217" t="s">
        <v>31</v>
      </c>
      <c r="N1295" s="217" t="s">
        <v>32</v>
      </c>
      <c r="O1295" s="217" t="s">
        <v>141</v>
      </c>
      <c r="P1295" s="217" t="s">
        <v>142</v>
      </c>
      <c r="Q1295" s="217" t="s">
        <v>143</v>
      </c>
      <c r="R1295" s="217" t="s">
        <v>142</v>
      </c>
      <c r="S1295" s="217" t="s">
        <v>619</v>
      </c>
      <c r="T1295" s="217" t="s">
        <v>32</v>
      </c>
      <c r="U1295" s="217" t="s">
        <v>32</v>
      </c>
      <c r="V1295" s="217" t="s">
        <v>32</v>
      </c>
      <c r="W1295" s="217" t="s">
        <v>32</v>
      </c>
    </row>
    <row r="1296" spans="1:23" x14ac:dyDescent="0.25">
      <c r="A1296" s="217" t="s">
        <v>22</v>
      </c>
      <c r="B1296" s="217" t="s">
        <v>23</v>
      </c>
      <c r="C1296" s="217" t="s">
        <v>24</v>
      </c>
      <c r="D1296" s="217" t="s">
        <v>25</v>
      </c>
      <c r="E1296" s="217" t="s">
        <v>56</v>
      </c>
      <c r="F1296" s="217" t="s">
        <v>57</v>
      </c>
      <c r="G1296" s="217" t="s">
        <v>69</v>
      </c>
      <c r="H1296" s="217" t="s">
        <v>887</v>
      </c>
      <c r="I1296" s="217" t="s">
        <v>616</v>
      </c>
      <c r="J1296" s="217" t="s">
        <v>1859</v>
      </c>
      <c r="K1296" s="217">
        <v>1</v>
      </c>
      <c r="L1296" s="217">
        <v>3</v>
      </c>
      <c r="M1296" s="217" t="s">
        <v>31</v>
      </c>
      <c r="N1296" s="217" t="s">
        <v>32</v>
      </c>
      <c r="O1296" s="217" t="s">
        <v>141</v>
      </c>
      <c r="P1296" s="217" t="s">
        <v>142</v>
      </c>
      <c r="Q1296" s="217" t="s">
        <v>143</v>
      </c>
      <c r="R1296" s="217" t="s">
        <v>142</v>
      </c>
      <c r="S1296" s="217" t="s">
        <v>619</v>
      </c>
      <c r="T1296" s="217" t="s">
        <v>32</v>
      </c>
      <c r="U1296" s="217" t="s">
        <v>32</v>
      </c>
      <c r="V1296" s="217" t="s">
        <v>32</v>
      </c>
      <c r="W1296" s="217" t="s">
        <v>32</v>
      </c>
    </row>
    <row r="1297" spans="1:23" x14ac:dyDescent="0.25">
      <c r="A1297" s="217" t="s">
        <v>22</v>
      </c>
      <c r="B1297" s="217" t="s">
        <v>23</v>
      </c>
      <c r="C1297" s="217" t="s">
        <v>24</v>
      </c>
      <c r="D1297" s="217" t="s">
        <v>25</v>
      </c>
      <c r="E1297" s="217" t="s">
        <v>56</v>
      </c>
      <c r="F1297" s="217" t="s">
        <v>57</v>
      </c>
      <c r="G1297" s="217" t="s">
        <v>73</v>
      </c>
      <c r="H1297" s="217" t="s">
        <v>891</v>
      </c>
      <c r="I1297" s="217" t="s">
        <v>616</v>
      </c>
      <c r="J1297" s="217" t="s">
        <v>1857</v>
      </c>
      <c r="K1297" s="217">
        <v>1</v>
      </c>
      <c r="L1297" s="217">
        <v>6</v>
      </c>
      <c r="M1297" s="217" t="s">
        <v>31</v>
      </c>
      <c r="N1297" s="217" t="s">
        <v>32</v>
      </c>
      <c r="O1297" s="217" t="s">
        <v>141</v>
      </c>
      <c r="P1297" s="217" t="s">
        <v>142</v>
      </c>
      <c r="Q1297" s="217" t="s">
        <v>143</v>
      </c>
      <c r="R1297" s="217" t="s">
        <v>142</v>
      </c>
      <c r="S1297" s="217" t="s">
        <v>619</v>
      </c>
      <c r="T1297" s="217" t="s">
        <v>32</v>
      </c>
      <c r="U1297" s="217" t="s">
        <v>32</v>
      </c>
      <c r="V1297" s="217" t="s">
        <v>32</v>
      </c>
      <c r="W1297" s="217" t="s">
        <v>32</v>
      </c>
    </row>
    <row r="1298" spans="1:23" x14ac:dyDescent="0.25">
      <c r="A1298" s="217" t="s">
        <v>22</v>
      </c>
      <c r="B1298" s="217" t="s">
        <v>23</v>
      </c>
      <c r="C1298" s="217" t="s">
        <v>24</v>
      </c>
      <c r="D1298" s="217" t="s">
        <v>25</v>
      </c>
      <c r="E1298" s="217" t="s">
        <v>56</v>
      </c>
      <c r="F1298" s="217" t="s">
        <v>57</v>
      </c>
      <c r="G1298" s="217" t="s">
        <v>81</v>
      </c>
      <c r="H1298" s="217" t="s">
        <v>899</v>
      </c>
      <c r="I1298" s="217" t="s">
        <v>616</v>
      </c>
      <c r="J1298" s="217" t="s">
        <v>1858</v>
      </c>
      <c r="K1298" s="217">
        <v>2</v>
      </c>
      <c r="L1298" s="217">
        <v>13</v>
      </c>
      <c r="M1298" s="217" t="s">
        <v>31</v>
      </c>
      <c r="N1298" s="217" t="s">
        <v>32</v>
      </c>
      <c r="O1298" s="217" t="s">
        <v>141</v>
      </c>
      <c r="P1298" s="217" t="s">
        <v>142</v>
      </c>
      <c r="Q1298" s="217" t="s">
        <v>143</v>
      </c>
      <c r="R1298" s="217" t="s">
        <v>142</v>
      </c>
      <c r="S1298" s="217" t="s">
        <v>619</v>
      </c>
      <c r="T1298" s="217" t="s">
        <v>32</v>
      </c>
      <c r="U1298" s="217" t="s">
        <v>32</v>
      </c>
      <c r="V1298" s="217" t="s">
        <v>32</v>
      </c>
      <c r="W1298" s="217" t="s">
        <v>32</v>
      </c>
    </row>
    <row r="1299" spans="1:23" x14ac:dyDescent="0.25">
      <c r="A1299" s="217" t="s">
        <v>22</v>
      </c>
      <c r="B1299" s="217" t="s">
        <v>23</v>
      </c>
      <c r="C1299" s="217" t="s">
        <v>85</v>
      </c>
      <c r="D1299" s="217" t="s">
        <v>84</v>
      </c>
      <c r="E1299" s="217" t="s">
        <v>88</v>
      </c>
      <c r="F1299" s="217" t="s">
        <v>89</v>
      </c>
      <c r="G1299" s="217" t="s">
        <v>93</v>
      </c>
      <c r="H1299" s="217" t="s">
        <v>907</v>
      </c>
      <c r="I1299" s="217" t="s">
        <v>616</v>
      </c>
      <c r="J1299" s="217" t="s">
        <v>1855</v>
      </c>
      <c r="K1299" s="217">
        <v>84</v>
      </c>
      <c r="L1299" s="217">
        <v>371</v>
      </c>
      <c r="M1299" s="217" t="s">
        <v>31</v>
      </c>
      <c r="N1299" s="217" t="s">
        <v>32</v>
      </c>
      <c r="O1299" s="217" t="s">
        <v>141</v>
      </c>
      <c r="P1299" s="217" t="s">
        <v>142</v>
      </c>
      <c r="Q1299" s="217" t="s">
        <v>143</v>
      </c>
      <c r="R1299" s="217" t="s">
        <v>142</v>
      </c>
      <c r="S1299" s="217" t="s">
        <v>619</v>
      </c>
      <c r="T1299" s="217" t="s">
        <v>32</v>
      </c>
      <c r="U1299" s="217" t="s">
        <v>32</v>
      </c>
      <c r="V1299" s="217" t="s">
        <v>32</v>
      </c>
      <c r="W1299" s="217" t="s">
        <v>32</v>
      </c>
    </row>
    <row r="1300" spans="1:23" x14ac:dyDescent="0.25">
      <c r="A1300" s="217" t="s">
        <v>22</v>
      </c>
      <c r="B1300" s="217" t="s">
        <v>23</v>
      </c>
      <c r="C1300" s="217" t="s">
        <v>85</v>
      </c>
      <c r="D1300" s="217" t="s">
        <v>84</v>
      </c>
      <c r="E1300" s="217" t="s">
        <v>88</v>
      </c>
      <c r="F1300" s="217" t="s">
        <v>89</v>
      </c>
      <c r="G1300" s="217" t="s">
        <v>93</v>
      </c>
      <c r="H1300" s="217" t="s">
        <v>907</v>
      </c>
      <c r="I1300" s="217" t="s">
        <v>616</v>
      </c>
      <c r="J1300" s="217" t="s">
        <v>1856</v>
      </c>
      <c r="K1300" s="217">
        <v>17</v>
      </c>
      <c r="L1300" s="217">
        <v>77</v>
      </c>
      <c r="M1300" s="217" t="s">
        <v>31</v>
      </c>
      <c r="N1300" s="217" t="s">
        <v>32</v>
      </c>
      <c r="O1300" s="217" t="s">
        <v>141</v>
      </c>
      <c r="P1300" s="217" t="s">
        <v>142</v>
      </c>
      <c r="Q1300" s="217" t="s">
        <v>143</v>
      </c>
      <c r="R1300" s="217" t="s">
        <v>142</v>
      </c>
      <c r="S1300" s="217" t="s">
        <v>619</v>
      </c>
      <c r="T1300" s="217" t="s">
        <v>32</v>
      </c>
      <c r="U1300" s="217" t="s">
        <v>32</v>
      </c>
      <c r="V1300" s="217" t="s">
        <v>32</v>
      </c>
      <c r="W1300" s="217" t="s">
        <v>32</v>
      </c>
    </row>
    <row r="1301" spans="1:23" x14ac:dyDescent="0.25">
      <c r="A1301" s="217" t="s">
        <v>22</v>
      </c>
      <c r="B1301" s="217" t="s">
        <v>23</v>
      </c>
      <c r="C1301" s="217" t="s">
        <v>85</v>
      </c>
      <c r="D1301" s="217" t="s">
        <v>84</v>
      </c>
      <c r="E1301" s="217" t="s">
        <v>88</v>
      </c>
      <c r="F1301" s="217" t="s">
        <v>89</v>
      </c>
      <c r="G1301" s="217" t="s">
        <v>93</v>
      </c>
      <c r="H1301" s="217" t="s">
        <v>907</v>
      </c>
      <c r="I1301" s="217" t="s">
        <v>616</v>
      </c>
      <c r="J1301" s="217" t="s">
        <v>1857</v>
      </c>
      <c r="K1301" s="217">
        <v>2</v>
      </c>
      <c r="L1301" s="217">
        <v>10</v>
      </c>
      <c r="M1301" s="217" t="s">
        <v>31</v>
      </c>
      <c r="N1301" s="217" t="s">
        <v>32</v>
      </c>
      <c r="O1301" s="217" t="s">
        <v>141</v>
      </c>
      <c r="P1301" s="217" t="s">
        <v>142</v>
      </c>
      <c r="Q1301" s="217" t="s">
        <v>143</v>
      </c>
      <c r="R1301" s="217" t="s">
        <v>142</v>
      </c>
      <c r="S1301" s="217" t="s">
        <v>619</v>
      </c>
      <c r="T1301" s="217" t="s">
        <v>32</v>
      </c>
      <c r="U1301" s="217" t="s">
        <v>32</v>
      </c>
      <c r="V1301" s="217" t="s">
        <v>32</v>
      </c>
      <c r="W1301" s="217" t="s">
        <v>32</v>
      </c>
    </row>
    <row r="1302" spans="1:23" x14ac:dyDescent="0.25">
      <c r="A1302" s="217" t="s">
        <v>22</v>
      </c>
      <c r="B1302" s="217" t="s">
        <v>23</v>
      </c>
      <c r="C1302" s="217" t="s">
        <v>85</v>
      </c>
      <c r="D1302" s="217" t="s">
        <v>84</v>
      </c>
      <c r="E1302" s="217" t="s">
        <v>88</v>
      </c>
      <c r="F1302" s="217" t="s">
        <v>89</v>
      </c>
      <c r="G1302" s="217" t="s">
        <v>93</v>
      </c>
      <c r="H1302" s="217" t="s">
        <v>907</v>
      </c>
      <c r="I1302" s="217" t="s">
        <v>616</v>
      </c>
      <c r="J1302" s="217" t="s">
        <v>1858</v>
      </c>
      <c r="K1302" s="217">
        <v>5</v>
      </c>
      <c r="L1302" s="217">
        <v>23</v>
      </c>
      <c r="M1302" s="217" t="s">
        <v>31</v>
      </c>
      <c r="N1302" s="217" t="s">
        <v>32</v>
      </c>
      <c r="O1302" s="217" t="s">
        <v>141</v>
      </c>
      <c r="P1302" s="217" t="s">
        <v>142</v>
      </c>
      <c r="Q1302" s="217" t="s">
        <v>143</v>
      </c>
      <c r="R1302" s="217" t="s">
        <v>142</v>
      </c>
      <c r="S1302" s="217" t="s">
        <v>619</v>
      </c>
      <c r="T1302" s="217" t="s">
        <v>32</v>
      </c>
      <c r="U1302" s="217" t="s">
        <v>32</v>
      </c>
      <c r="V1302" s="217" t="s">
        <v>32</v>
      </c>
      <c r="W1302" s="217" t="s">
        <v>32</v>
      </c>
    </row>
    <row r="1303" spans="1:23" x14ac:dyDescent="0.25">
      <c r="A1303" s="217" t="s">
        <v>22</v>
      </c>
      <c r="B1303" s="217" t="s">
        <v>23</v>
      </c>
      <c r="C1303" s="217" t="s">
        <v>85</v>
      </c>
      <c r="D1303" s="217" t="s">
        <v>84</v>
      </c>
      <c r="E1303" s="217" t="s">
        <v>88</v>
      </c>
      <c r="F1303" s="217" t="s">
        <v>89</v>
      </c>
      <c r="G1303" s="217" t="s">
        <v>101</v>
      </c>
      <c r="H1303" s="217" t="s">
        <v>909</v>
      </c>
      <c r="I1303" s="217" t="s">
        <v>616</v>
      </c>
      <c r="J1303" s="217" t="s">
        <v>1855</v>
      </c>
      <c r="K1303" s="217">
        <v>1</v>
      </c>
      <c r="L1303" s="217">
        <v>7</v>
      </c>
      <c r="M1303" s="217" t="s">
        <v>31</v>
      </c>
      <c r="N1303" s="217" t="s">
        <v>32</v>
      </c>
      <c r="O1303" s="217" t="s">
        <v>141</v>
      </c>
      <c r="P1303" s="217" t="s">
        <v>142</v>
      </c>
      <c r="Q1303" s="217" t="s">
        <v>143</v>
      </c>
      <c r="R1303" s="217" t="s">
        <v>142</v>
      </c>
      <c r="S1303" s="217" t="s">
        <v>619</v>
      </c>
      <c r="T1303" s="217" t="s">
        <v>32</v>
      </c>
      <c r="U1303" s="217" t="s">
        <v>32</v>
      </c>
      <c r="V1303" s="217" t="s">
        <v>32</v>
      </c>
      <c r="W1303" s="217" t="s">
        <v>32</v>
      </c>
    </row>
    <row r="1304" spans="1:23" x14ac:dyDescent="0.25">
      <c r="A1304" s="217" t="s">
        <v>22</v>
      </c>
      <c r="B1304" s="217" t="s">
        <v>23</v>
      </c>
      <c r="C1304" s="217" t="s">
        <v>85</v>
      </c>
      <c r="D1304" s="217" t="s">
        <v>84</v>
      </c>
      <c r="E1304" s="217" t="s">
        <v>88</v>
      </c>
      <c r="F1304" s="217" t="s">
        <v>89</v>
      </c>
      <c r="G1304" s="217" t="s">
        <v>102</v>
      </c>
      <c r="H1304" s="217" t="s">
        <v>910</v>
      </c>
      <c r="I1304" s="217" t="s">
        <v>616</v>
      </c>
      <c r="J1304" s="217" t="s">
        <v>1856</v>
      </c>
      <c r="K1304" s="217">
        <v>1</v>
      </c>
      <c r="L1304" s="217">
        <v>4</v>
      </c>
      <c r="M1304" s="217" t="s">
        <v>31</v>
      </c>
      <c r="N1304" s="217" t="s">
        <v>32</v>
      </c>
      <c r="O1304" s="217" t="s">
        <v>141</v>
      </c>
      <c r="P1304" s="217" t="s">
        <v>142</v>
      </c>
      <c r="Q1304" s="217" t="s">
        <v>143</v>
      </c>
      <c r="R1304" s="217" t="s">
        <v>142</v>
      </c>
      <c r="S1304" s="217" t="s">
        <v>619</v>
      </c>
      <c r="T1304" s="217" t="s">
        <v>32</v>
      </c>
      <c r="U1304" s="217" t="s">
        <v>32</v>
      </c>
      <c r="V1304" s="217" t="s">
        <v>32</v>
      </c>
      <c r="W1304" s="217" t="s">
        <v>32</v>
      </c>
    </row>
    <row r="1305" spans="1:23" x14ac:dyDescent="0.25">
      <c r="A1305" s="217" t="s">
        <v>22</v>
      </c>
      <c r="B1305" s="217" t="s">
        <v>23</v>
      </c>
      <c r="C1305" s="217" t="s">
        <v>85</v>
      </c>
      <c r="D1305" s="217" t="s">
        <v>84</v>
      </c>
      <c r="E1305" s="217" t="s">
        <v>88</v>
      </c>
      <c r="F1305" s="217" t="s">
        <v>89</v>
      </c>
      <c r="G1305" s="217" t="s">
        <v>103</v>
      </c>
      <c r="H1305" s="217" t="s">
        <v>911</v>
      </c>
      <c r="I1305" s="217" t="s">
        <v>616</v>
      </c>
      <c r="J1305" s="217" t="s">
        <v>1855</v>
      </c>
      <c r="K1305" s="217">
        <v>2</v>
      </c>
      <c r="L1305" s="217">
        <v>8</v>
      </c>
      <c r="M1305" s="217" t="s">
        <v>31</v>
      </c>
      <c r="N1305" s="217" t="s">
        <v>32</v>
      </c>
      <c r="O1305" s="217" t="s">
        <v>141</v>
      </c>
      <c r="P1305" s="217" t="s">
        <v>142</v>
      </c>
      <c r="Q1305" s="217" t="s">
        <v>143</v>
      </c>
      <c r="R1305" s="217" t="s">
        <v>142</v>
      </c>
      <c r="S1305" s="217" t="s">
        <v>619</v>
      </c>
      <c r="T1305" s="217" t="s">
        <v>32</v>
      </c>
      <c r="U1305" s="217" t="s">
        <v>32</v>
      </c>
      <c r="V1305" s="217" t="s">
        <v>32</v>
      </c>
      <c r="W1305" s="217" t="s">
        <v>32</v>
      </c>
    </row>
    <row r="1306" spans="1:23" x14ac:dyDescent="0.25">
      <c r="A1306" s="217" t="s">
        <v>22</v>
      </c>
      <c r="B1306" s="217" t="s">
        <v>23</v>
      </c>
      <c r="C1306" s="217" t="s">
        <v>85</v>
      </c>
      <c r="D1306" s="217" t="s">
        <v>84</v>
      </c>
      <c r="E1306" s="217" t="s">
        <v>88</v>
      </c>
      <c r="F1306" s="217" t="s">
        <v>89</v>
      </c>
      <c r="G1306" s="217" t="s">
        <v>104</v>
      </c>
      <c r="H1306" s="217" t="s">
        <v>912</v>
      </c>
      <c r="I1306" s="217" t="s">
        <v>616</v>
      </c>
      <c r="J1306" s="217" t="s">
        <v>1856</v>
      </c>
      <c r="K1306" s="217">
        <v>2</v>
      </c>
      <c r="L1306" s="217">
        <v>10</v>
      </c>
      <c r="M1306" s="217" t="s">
        <v>31</v>
      </c>
      <c r="N1306" s="217" t="s">
        <v>32</v>
      </c>
      <c r="O1306" s="217" t="s">
        <v>141</v>
      </c>
      <c r="P1306" s="217" t="s">
        <v>142</v>
      </c>
      <c r="Q1306" s="217" t="s">
        <v>143</v>
      </c>
      <c r="R1306" s="217" t="s">
        <v>142</v>
      </c>
      <c r="S1306" s="217" t="s">
        <v>619</v>
      </c>
      <c r="T1306" s="217" t="s">
        <v>32</v>
      </c>
      <c r="U1306" s="217" t="s">
        <v>32</v>
      </c>
      <c r="V1306" s="217" t="s">
        <v>32</v>
      </c>
      <c r="W1306" s="217" t="s">
        <v>32</v>
      </c>
    </row>
    <row r="1307" spans="1:23" x14ac:dyDescent="0.25">
      <c r="A1307" s="217" t="s">
        <v>22</v>
      </c>
      <c r="B1307" s="217" t="s">
        <v>23</v>
      </c>
      <c r="C1307" s="217" t="s">
        <v>85</v>
      </c>
      <c r="D1307" s="217" t="s">
        <v>84</v>
      </c>
      <c r="E1307" s="217" t="s">
        <v>88</v>
      </c>
      <c r="F1307" s="217" t="s">
        <v>89</v>
      </c>
      <c r="G1307" s="217" t="s">
        <v>106</v>
      </c>
      <c r="H1307" s="217" t="s">
        <v>914</v>
      </c>
      <c r="I1307" s="217" t="s">
        <v>616</v>
      </c>
      <c r="J1307" s="217" t="s">
        <v>1855</v>
      </c>
      <c r="K1307" s="217">
        <v>7</v>
      </c>
      <c r="L1307" s="217">
        <v>35</v>
      </c>
      <c r="M1307" s="217" t="s">
        <v>31</v>
      </c>
      <c r="N1307" s="217" t="s">
        <v>32</v>
      </c>
      <c r="O1307" s="217" t="s">
        <v>141</v>
      </c>
      <c r="P1307" s="217" t="s">
        <v>142</v>
      </c>
      <c r="Q1307" s="217" t="s">
        <v>143</v>
      </c>
      <c r="R1307" s="217" t="s">
        <v>142</v>
      </c>
      <c r="S1307" s="217" t="s">
        <v>619</v>
      </c>
      <c r="T1307" s="217" t="s">
        <v>32</v>
      </c>
      <c r="U1307" s="217" t="s">
        <v>32</v>
      </c>
      <c r="V1307" s="217" t="s">
        <v>32</v>
      </c>
      <c r="W1307" s="217" t="s">
        <v>32</v>
      </c>
    </row>
    <row r="1308" spans="1:23" x14ac:dyDescent="0.25">
      <c r="A1308" s="217" t="s">
        <v>22</v>
      </c>
      <c r="B1308" s="217" t="s">
        <v>23</v>
      </c>
      <c r="C1308" s="217" t="s">
        <v>85</v>
      </c>
      <c r="D1308" s="217" t="s">
        <v>84</v>
      </c>
      <c r="E1308" s="217" t="s">
        <v>88</v>
      </c>
      <c r="F1308" s="217" t="s">
        <v>89</v>
      </c>
      <c r="G1308" s="217" t="s">
        <v>106</v>
      </c>
      <c r="H1308" s="217" t="s">
        <v>914</v>
      </c>
      <c r="I1308" s="217" t="s">
        <v>616</v>
      </c>
      <c r="J1308" s="217" t="s">
        <v>1856</v>
      </c>
      <c r="K1308" s="217">
        <v>10</v>
      </c>
      <c r="L1308" s="217">
        <v>47</v>
      </c>
      <c r="M1308" s="217" t="s">
        <v>31</v>
      </c>
      <c r="N1308" s="217" t="s">
        <v>32</v>
      </c>
      <c r="O1308" s="217" t="s">
        <v>141</v>
      </c>
      <c r="P1308" s="217" t="s">
        <v>142</v>
      </c>
      <c r="Q1308" s="217" t="s">
        <v>143</v>
      </c>
      <c r="R1308" s="217" t="s">
        <v>142</v>
      </c>
      <c r="S1308" s="217" t="s">
        <v>619</v>
      </c>
      <c r="T1308" s="217" t="s">
        <v>32</v>
      </c>
      <c r="U1308" s="217" t="s">
        <v>32</v>
      </c>
      <c r="V1308" s="217" t="s">
        <v>32</v>
      </c>
      <c r="W1308" s="217" t="s">
        <v>32</v>
      </c>
    </row>
    <row r="1309" spans="1:23" x14ac:dyDescent="0.25">
      <c r="A1309" s="217" t="s">
        <v>22</v>
      </c>
      <c r="B1309" s="217" t="s">
        <v>23</v>
      </c>
      <c r="C1309" s="217" t="s">
        <v>85</v>
      </c>
      <c r="D1309" s="217" t="s">
        <v>84</v>
      </c>
      <c r="E1309" s="217" t="s">
        <v>88</v>
      </c>
      <c r="F1309" s="217" t="s">
        <v>89</v>
      </c>
      <c r="G1309" s="217" t="s">
        <v>106</v>
      </c>
      <c r="H1309" s="217" t="s">
        <v>914</v>
      </c>
      <c r="I1309" s="217" t="s">
        <v>616</v>
      </c>
      <c r="J1309" s="217" t="s">
        <v>1857</v>
      </c>
      <c r="K1309" s="217">
        <v>9</v>
      </c>
      <c r="L1309" s="217">
        <v>73</v>
      </c>
      <c r="M1309" s="217" t="s">
        <v>31</v>
      </c>
      <c r="N1309" s="217" t="s">
        <v>32</v>
      </c>
      <c r="O1309" s="217" t="s">
        <v>141</v>
      </c>
      <c r="P1309" s="217" t="s">
        <v>142</v>
      </c>
      <c r="Q1309" s="217" t="s">
        <v>143</v>
      </c>
      <c r="R1309" s="217" t="s">
        <v>142</v>
      </c>
      <c r="S1309" s="217" t="s">
        <v>619</v>
      </c>
      <c r="T1309" s="217" t="s">
        <v>32</v>
      </c>
      <c r="U1309" s="217" t="s">
        <v>32</v>
      </c>
      <c r="V1309" s="217" t="s">
        <v>32</v>
      </c>
      <c r="W1309" s="217" t="s">
        <v>32</v>
      </c>
    </row>
    <row r="1310" spans="1:23" x14ac:dyDescent="0.25">
      <c r="A1310" s="217" t="s">
        <v>22</v>
      </c>
      <c r="B1310" s="217" t="s">
        <v>23</v>
      </c>
      <c r="C1310" s="217" t="s">
        <v>85</v>
      </c>
      <c r="D1310" s="217" t="s">
        <v>84</v>
      </c>
      <c r="E1310" s="217" t="s">
        <v>88</v>
      </c>
      <c r="F1310" s="217" t="s">
        <v>89</v>
      </c>
      <c r="G1310" s="217" t="s">
        <v>106</v>
      </c>
      <c r="H1310" s="217" t="s">
        <v>914</v>
      </c>
      <c r="I1310" s="217" t="s">
        <v>616</v>
      </c>
      <c r="J1310" s="217" t="s">
        <v>1858</v>
      </c>
      <c r="K1310" s="217">
        <v>7</v>
      </c>
      <c r="L1310" s="217">
        <v>38</v>
      </c>
      <c r="M1310" s="217" t="s">
        <v>31</v>
      </c>
      <c r="N1310" s="217" t="s">
        <v>32</v>
      </c>
      <c r="O1310" s="217" t="s">
        <v>141</v>
      </c>
      <c r="P1310" s="217" t="s">
        <v>142</v>
      </c>
      <c r="Q1310" s="217" t="s">
        <v>143</v>
      </c>
      <c r="R1310" s="217" t="s">
        <v>142</v>
      </c>
      <c r="S1310" s="217" t="s">
        <v>619</v>
      </c>
      <c r="T1310" s="217" t="s">
        <v>32</v>
      </c>
      <c r="U1310" s="217" t="s">
        <v>32</v>
      </c>
      <c r="V1310" s="217" t="s">
        <v>32</v>
      </c>
      <c r="W1310" s="217" t="s">
        <v>32</v>
      </c>
    </row>
    <row r="1311" spans="1:23" x14ac:dyDescent="0.25">
      <c r="A1311" s="217" t="s">
        <v>22</v>
      </c>
      <c r="B1311" s="217" t="s">
        <v>23</v>
      </c>
      <c r="C1311" s="217" t="s">
        <v>85</v>
      </c>
      <c r="D1311" s="217" t="s">
        <v>84</v>
      </c>
      <c r="E1311" s="217" t="s">
        <v>88</v>
      </c>
      <c r="F1311" s="217" t="s">
        <v>89</v>
      </c>
      <c r="G1311" s="217" t="s">
        <v>107</v>
      </c>
      <c r="H1311" s="217" t="s">
        <v>915</v>
      </c>
      <c r="I1311" s="217" t="s">
        <v>616</v>
      </c>
      <c r="J1311" s="217" t="s">
        <v>1855</v>
      </c>
      <c r="K1311" s="217">
        <v>2</v>
      </c>
      <c r="L1311" s="217">
        <v>19</v>
      </c>
      <c r="M1311" s="217" t="s">
        <v>31</v>
      </c>
      <c r="N1311" s="217" t="s">
        <v>32</v>
      </c>
      <c r="O1311" s="217" t="s">
        <v>141</v>
      </c>
      <c r="P1311" s="217" t="s">
        <v>142</v>
      </c>
      <c r="Q1311" s="217" t="s">
        <v>143</v>
      </c>
      <c r="R1311" s="217" t="s">
        <v>142</v>
      </c>
      <c r="S1311" s="217" t="s">
        <v>619</v>
      </c>
      <c r="T1311" s="217" t="s">
        <v>32</v>
      </c>
      <c r="U1311" s="217" t="s">
        <v>32</v>
      </c>
      <c r="V1311" s="217" t="s">
        <v>32</v>
      </c>
      <c r="W1311" s="217" t="s">
        <v>32</v>
      </c>
    </row>
    <row r="1312" spans="1:23" x14ac:dyDescent="0.25">
      <c r="A1312" s="217" t="s">
        <v>22</v>
      </c>
      <c r="B1312" s="217" t="s">
        <v>23</v>
      </c>
      <c r="C1312" s="217" t="s">
        <v>85</v>
      </c>
      <c r="D1312" s="217" t="s">
        <v>84</v>
      </c>
      <c r="E1312" s="217" t="s">
        <v>88</v>
      </c>
      <c r="F1312" s="217" t="s">
        <v>89</v>
      </c>
      <c r="G1312" s="217" t="s">
        <v>107</v>
      </c>
      <c r="H1312" s="217" t="s">
        <v>915</v>
      </c>
      <c r="I1312" s="217" t="s">
        <v>616</v>
      </c>
      <c r="J1312" s="217" t="s">
        <v>1856</v>
      </c>
      <c r="K1312" s="217">
        <v>1</v>
      </c>
      <c r="L1312" s="217">
        <v>9</v>
      </c>
      <c r="M1312" s="217" t="s">
        <v>31</v>
      </c>
      <c r="N1312" s="217" t="s">
        <v>32</v>
      </c>
      <c r="O1312" s="217" t="s">
        <v>141</v>
      </c>
      <c r="P1312" s="217" t="s">
        <v>142</v>
      </c>
      <c r="Q1312" s="217" t="s">
        <v>143</v>
      </c>
      <c r="R1312" s="217" t="s">
        <v>142</v>
      </c>
      <c r="S1312" s="217" t="s">
        <v>619</v>
      </c>
      <c r="T1312" s="217" t="s">
        <v>32</v>
      </c>
      <c r="U1312" s="217" t="s">
        <v>32</v>
      </c>
      <c r="V1312" s="217" t="s">
        <v>32</v>
      </c>
      <c r="W1312" s="217" t="s">
        <v>32</v>
      </c>
    </row>
    <row r="1313" spans="1:23" x14ac:dyDescent="0.25">
      <c r="A1313" s="217" t="s">
        <v>22</v>
      </c>
      <c r="B1313" s="217" t="s">
        <v>23</v>
      </c>
      <c r="C1313" s="217" t="s">
        <v>85</v>
      </c>
      <c r="D1313" s="217" t="s">
        <v>84</v>
      </c>
      <c r="E1313" s="217" t="s">
        <v>88</v>
      </c>
      <c r="F1313" s="217" t="s">
        <v>89</v>
      </c>
      <c r="G1313" s="217" t="s">
        <v>107</v>
      </c>
      <c r="H1313" s="217" t="s">
        <v>915</v>
      </c>
      <c r="I1313" s="217" t="s">
        <v>616</v>
      </c>
      <c r="J1313" s="217" t="s">
        <v>1857</v>
      </c>
      <c r="K1313" s="217">
        <v>1</v>
      </c>
      <c r="L1313" s="217">
        <v>7</v>
      </c>
      <c r="M1313" s="217" t="s">
        <v>31</v>
      </c>
      <c r="N1313" s="217" t="s">
        <v>32</v>
      </c>
      <c r="O1313" s="217" t="s">
        <v>141</v>
      </c>
      <c r="P1313" s="217" t="s">
        <v>142</v>
      </c>
      <c r="Q1313" s="217" t="s">
        <v>143</v>
      </c>
      <c r="R1313" s="217" t="s">
        <v>142</v>
      </c>
      <c r="S1313" s="217" t="s">
        <v>619</v>
      </c>
      <c r="T1313" s="217" t="s">
        <v>32</v>
      </c>
      <c r="U1313" s="217" t="s">
        <v>32</v>
      </c>
      <c r="V1313" s="217" t="s">
        <v>32</v>
      </c>
      <c r="W1313" s="217" t="s">
        <v>32</v>
      </c>
    </row>
    <row r="1314" spans="1:23" x14ac:dyDescent="0.25">
      <c r="A1314" s="217" t="s">
        <v>22</v>
      </c>
      <c r="B1314" s="217" t="s">
        <v>23</v>
      </c>
      <c r="C1314" s="217" t="s">
        <v>85</v>
      </c>
      <c r="D1314" s="217" t="s">
        <v>84</v>
      </c>
      <c r="E1314" s="217" t="s">
        <v>88</v>
      </c>
      <c r="F1314" s="217" t="s">
        <v>89</v>
      </c>
      <c r="G1314" s="217" t="s">
        <v>107</v>
      </c>
      <c r="H1314" s="217" t="s">
        <v>915</v>
      </c>
      <c r="I1314" s="217" t="s">
        <v>616</v>
      </c>
      <c r="J1314" s="217" t="s">
        <v>1858</v>
      </c>
      <c r="K1314" s="217">
        <v>1</v>
      </c>
      <c r="L1314" s="217">
        <v>3</v>
      </c>
      <c r="M1314" s="217" t="s">
        <v>31</v>
      </c>
      <c r="N1314" s="217" t="s">
        <v>32</v>
      </c>
      <c r="O1314" s="217" t="s">
        <v>141</v>
      </c>
      <c r="P1314" s="217" t="s">
        <v>142</v>
      </c>
      <c r="Q1314" s="217" t="s">
        <v>143</v>
      </c>
      <c r="R1314" s="217" t="s">
        <v>142</v>
      </c>
      <c r="S1314" s="217" t="s">
        <v>619</v>
      </c>
      <c r="T1314" s="217" t="s">
        <v>32</v>
      </c>
      <c r="U1314" s="217" t="s">
        <v>32</v>
      </c>
      <c r="V1314" s="217" t="s">
        <v>32</v>
      </c>
      <c r="W1314" s="217" t="s">
        <v>32</v>
      </c>
    </row>
    <row r="1315" spans="1:23" x14ac:dyDescent="0.25">
      <c r="A1315" s="217" t="s">
        <v>22</v>
      </c>
      <c r="B1315" s="217" t="s">
        <v>23</v>
      </c>
      <c r="C1315" s="217" t="s">
        <v>85</v>
      </c>
      <c r="D1315" s="217" t="s">
        <v>84</v>
      </c>
      <c r="E1315" s="217" t="s">
        <v>88</v>
      </c>
      <c r="F1315" s="217" t="s">
        <v>89</v>
      </c>
      <c r="G1315" s="217" t="s">
        <v>767</v>
      </c>
      <c r="H1315" s="217" t="s">
        <v>918</v>
      </c>
      <c r="I1315" s="217" t="s">
        <v>616</v>
      </c>
      <c r="J1315" s="217" t="s">
        <v>1857</v>
      </c>
      <c r="K1315" s="217">
        <v>7</v>
      </c>
      <c r="L1315" s="217">
        <v>30</v>
      </c>
      <c r="M1315" s="217" t="s">
        <v>31</v>
      </c>
      <c r="N1315" s="217" t="s">
        <v>32</v>
      </c>
      <c r="O1315" s="217" t="s">
        <v>141</v>
      </c>
      <c r="P1315" s="217" t="s">
        <v>142</v>
      </c>
      <c r="Q1315" s="217" t="s">
        <v>143</v>
      </c>
      <c r="R1315" s="217" t="s">
        <v>142</v>
      </c>
      <c r="S1315" s="217" t="s">
        <v>619</v>
      </c>
      <c r="T1315" s="217" t="s">
        <v>32</v>
      </c>
      <c r="U1315" s="217" t="s">
        <v>32</v>
      </c>
      <c r="V1315" s="217" t="s">
        <v>32</v>
      </c>
      <c r="W1315" s="217" t="s">
        <v>32</v>
      </c>
    </row>
    <row r="1316" spans="1:23" x14ac:dyDescent="0.25">
      <c r="A1316" s="217" t="s">
        <v>22</v>
      </c>
      <c r="B1316" s="217" t="s">
        <v>23</v>
      </c>
      <c r="C1316" s="217" t="s">
        <v>85</v>
      </c>
      <c r="D1316" s="217" t="s">
        <v>84</v>
      </c>
      <c r="E1316" s="217" t="s">
        <v>88</v>
      </c>
      <c r="F1316" s="217" t="s">
        <v>89</v>
      </c>
      <c r="G1316" s="217" t="s">
        <v>767</v>
      </c>
      <c r="H1316" s="217" t="s">
        <v>918</v>
      </c>
      <c r="I1316" s="217" t="s">
        <v>616</v>
      </c>
      <c r="J1316" s="217" t="s">
        <v>1858</v>
      </c>
      <c r="K1316" s="217">
        <v>2</v>
      </c>
      <c r="L1316" s="217">
        <v>9</v>
      </c>
      <c r="M1316" s="217" t="s">
        <v>31</v>
      </c>
      <c r="N1316" s="217" t="s">
        <v>32</v>
      </c>
      <c r="O1316" s="217" t="s">
        <v>141</v>
      </c>
      <c r="P1316" s="217" t="s">
        <v>142</v>
      </c>
      <c r="Q1316" s="217" t="s">
        <v>143</v>
      </c>
      <c r="R1316" s="217" t="s">
        <v>142</v>
      </c>
      <c r="S1316" s="217" t="s">
        <v>619</v>
      </c>
      <c r="T1316" s="217" t="s">
        <v>32</v>
      </c>
      <c r="U1316" s="217" t="s">
        <v>32</v>
      </c>
      <c r="V1316" s="217" t="s">
        <v>32</v>
      </c>
      <c r="W1316" s="217" t="s">
        <v>32</v>
      </c>
    </row>
    <row r="1317" spans="1:23" x14ac:dyDescent="0.25">
      <c r="A1317" s="217" t="s">
        <v>22</v>
      </c>
      <c r="B1317" s="217" t="s">
        <v>23</v>
      </c>
      <c r="C1317" s="217" t="s">
        <v>85</v>
      </c>
      <c r="D1317" s="217" t="s">
        <v>84</v>
      </c>
      <c r="E1317" s="217" t="s">
        <v>88</v>
      </c>
      <c r="F1317" s="217" t="s">
        <v>89</v>
      </c>
      <c r="G1317" s="217" t="s">
        <v>111</v>
      </c>
      <c r="H1317" s="217" t="s">
        <v>919</v>
      </c>
      <c r="I1317" s="217" t="s">
        <v>616</v>
      </c>
      <c r="J1317" s="217" t="s">
        <v>1856</v>
      </c>
      <c r="K1317" s="217">
        <v>7</v>
      </c>
      <c r="L1317" s="217">
        <v>57</v>
      </c>
      <c r="M1317" s="217" t="s">
        <v>31</v>
      </c>
      <c r="N1317" s="217" t="s">
        <v>32</v>
      </c>
      <c r="O1317" s="217" t="s">
        <v>141</v>
      </c>
      <c r="P1317" s="217" t="s">
        <v>142</v>
      </c>
      <c r="Q1317" s="217" t="s">
        <v>143</v>
      </c>
      <c r="R1317" s="217" t="s">
        <v>142</v>
      </c>
      <c r="S1317" s="217" t="s">
        <v>619</v>
      </c>
      <c r="T1317" s="217" t="s">
        <v>32</v>
      </c>
      <c r="U1317" s="217" t="s">
        <v>32</v>
      </c>
      <c r="V1317" s="217" t="s">
        <v>32</v>
      </c>
      <c r="W1317" s="217" t="s">
        <v>32</v>
      </c>
    </row>
    <row r="1318" spans="1:23" x14ac:dyDescent="0.25">
      <c r="A1318" s="217" t="s">
        <v>22</v>
      </c>
      <c r="B1318" s="217" t="s">
        <v>23</v>
      </c>
      <c r="C1318" s="217" t="s">
        <v>85</v>
      </c>
      <c r="D1318" s="217" t="s">
        <v>84</v>
      </c>
      <c r="E1318" s="217" t="s">
        <v>88</v>
      </c>
      <c r="F1318" s="217" t="s">
        <v>89</v>
      </c>
      <c r="G1318" s="217" t="s">
        <v>111</v>
      </c>
      <c r="H1318" s="217" t="s">
        <v>919</v>
      </c>
      <c r="I1318" s="217" t="s">
        <v>616</v>
      </c>
      <c r="J1318" s="217" t="s">
        <v>1857</v>
      </c>
      <c r="K1318" s="217">
        <v>3</v>
      </c>
      <c r="L1318" s="217">
        <v>24</v>
      </c>
      <c r="M1318" s="217" t="s">
        <v>31</v>
      </c>
      <c r="N1318" s="217" t="s">
        <v>32</v>
      </c>
      <c r="O1318" s="217" t="s">
        <v>141</v>
      </c>
      <c r="P1318" s="217" t="s">
        <v>142</v>
      </c>
      <c r="Q1318" s="217" t="s">
        <v>143</v>
      </c>
      <c r="R1318" s="217" t="s">
        <v>142</v>
      </c>
      <c r="S1318" s="217" t="s">
        <v>619</v>
      </c>
      <c r="T1318" s="217" t="s">
        <v>32</v>
      </c>
      <c r="U1318" s="217" t="s">
        <v>32</v>
      </c>
      <c r="V1318" s="217" t="s">
        <v>32</v>
      </c>
      <c r="W1318" s="217" t="s">
        <v>32</v>
      </c>
    </row>
    <row r="1319" spans="1:23" x14ac:dyDescent="0.25">
      <c r="A1319" s="217" t="s">
        <v>22</v>
      </c>
      <c r="B1319" s="217" t="s">
        <v>23</v>
      </c>
      <c r="C1319" s="217" t="s">
        <v>85</v>
      </c>
      <c r="D1319" s="217" t="s">
        <v>84</v>
      </c>
      <c r="E1319" s="217" t="s">
        <v>95</v>
      </c>
      <c r="F1319" s="217" t="s">
        <v>94</v>
      </c>
      <c r="G1319" s="217" t="s">
        <v>114</v>
      </c>
      <c r="H1319" s="217" t="s">
        <v>922</v>
      </c>
      <c r="I1319" s="217" t="s">
        <v>616</v>
      </c>
      <c r="J1319" s="217" t="s">
        <v>1856</v>
      </c>
      <c r="K1319" s="217">
        <v>7</v>
      </c>
      <c r="L1319" s="217">
        <v>42</v>
      </c>
      <c r="M1319" s="217" t="s">
        <v>31</v>
      </c>
      <c r="N1319" s="217" t="s">
        <v>32</v>
      </c>
      <c r="O1319" s="217" t="s">
        <v>141</v>
      </c>
      <c r="P1319" s="217" t="s">
        <v>142</v>
      </c>
      <c r="Q1319" s="217" t="s">
        <v>143</v>
      </c>
      <c r="R1319" s="217" t="s">
        <v>142</v>
      </c>
      <c r="S1319" s="217" t="s">
        <v>619</v>
      </c>
      <c r="T1319" s="217" t="s">
        <v>32</v>
      </c>
      <c r="U1319" s="217" t="s">
        <v>32</v>
      </c>
      <c r="V1319" s="217" t="s">
        <v>32</v>
      </c>
      <c r="W1319" s="217" t="s">
        <v>32</v>
      </c>
    </row>
    <row r="1320" spans="1:23" x14ac:dyDescent="0.25">
      <c r="A1320" s="217" t="s">
        <v>22</v>
      </c>
      <c r="B1320" s="217" t="s">
        <v>23</v>
      </c>
      <c r="C1320" s="217" t="s">
        <v>85</v>
      </c>
      <c r="D1320" s="217" t="s">
        <v>84</v>
      </c>
      <c r="E1320" s="217" t="s">
        <v>95</v>
      </c>
      <c r="F1320" s="217" t="s">
        <v>94</v>
      </c>
      <c r="G1320" s="217" t="s">
        <v>114</v>
      </c>
      <c r="H1320" s="217" t="s">
        <v>922</v>
      </c>
      <c r="I1320" s="217" t="s">
        <v>616</v>
      </c>
      <c r="J1320" s="217" t="s">
        <v>1857</v>
      </c>
      <c r="K1320" s="217">
        <v>4</v>
      </c>
      <c r="L1320" s="217">
        <v>24</v>
      </c>
      <c r="M1320" s="217" t="s">
        <v>31</v>
      </c>
      <c r="N1320" s="217" t="s">
        <v>32</v>
      </c>
      <c r="O1320" s="217" t="s">
        <v>141</v>
      </c>
      <c r="P1320" s="217" t="s">
        <v>142</v>
      </c>
      <c r="Q1320" s="217" t="s">
        <v>143</v>
      </c>
      <c r="R1320" s="217" t="s">
        <v>142</v>
      </c>
      <c r="S1320" s="217" t="s">
        <v>619</v>
      </c>
      <c r="T1320" s="217" t="s">
        <v>32</v>
      </c>
      <c r="U1320" s="217" t="s">
        <v>32</v>
      </c>
      <c r="V1320" s="217" t="s">
        <v>32</v>
      </c>
      <c r="W1320" s="217" t="s">
        <v>32</v>
      </c>
    </row>
    <row r="1321" spans="1:23" x14ac:dyDescent="0.25">
      <c r="A1321" s="217" t="s">
        <v>22</v>
      </c>
      <c r="B1321" s="217" t="s">
        <v>23</v>
      </c>
      <c r="C1321" s="217" t="s">
        <v>85</v>
      </c>
      <c r="D1321" s="217" t="s">
        <v>84</v>
      </c>
      <c r="E1321" s="217" t="s">
        <v>95</v>
      </c>
      <c r="F1321" s="217" t="s">
        <v>94</v>
      </c>
      <c r="G1321" s="217" t="s">
        <v>670</v>
      </c>
      <c r="H1321" s="217" t="s">
        <v>1668</v>
      </c>
      <c r="I1321" s="217" t="s">
        <v>616</v>
      </c>
      <c r="J1321" s="217" t="s">
        <v>1856</v>
      </c>
      <c r="K1321" s="217">
        <v>4</v>
      </c>
      <c r="L1321" s="217">
        <v>18</v>
      </c>
      <c r="M1321" s="217" t="s">
        <v>31</v>
      </c>
      <c r="N1321" s="217" t="s">
        <v>32</v>
      </c>
      <c r="O1321" s="217" t="s">
        <v>141</v>
      </c>
      <c r="P1321" s="217" t="s">
        <v>142</v>
      </c>
      <c r="Q1321" s="217" t="s">
        <v>143</v>
      </c>
      <c r="R1321" s="217" t="s">
        <v>142</v>
      </c>
      <c r="S1321" s="217" t="s">
        <v>619</v>
      </c>
      <c r="T1321" s="217" t="s">
        <v>32</v>
      </c>
      <c r="U1321" s="217" t="s">
        <v>32</v>
      </c>
      <c r="V1321" s="217" t="s">
        <v>32</v>
      </c>
      <c r="W1321" s="217" t="s">
        <v>32</v>
      </c>
    </row>
    <row r="1322" spans="1:23" x14ac:dyDescent="0.25">
      <c r="A1322" s="217" t="s">
        <v>22</v>
      </c>
      <c r="B1322" s="217" t="s">
        <v>23</v>
      </c>
      <c r="C1322" s="217" t="s">
        <v>85</v>
      </c>
      <c r="D1322" s="217" t="s">
        <v>84</v>
      </c>
      <c r="E1322" s="217" t="s">
        <v>95</v>
      </c>
      <c r="F1322" s="217" t="s">
        <v>94</v>
      </c>
      <c r="G1322" s="217" t="s">
        <v>670</v>
      </c>
      <c r="H1322" s="217" t="s">
        <v>1668</v>
      </c>
      <c r="I1322" s="217" t="s">
        <v>616</v>
      </c>
      <c r="J1322" s="217" t="s">
        <v>1857</v>
      </c>
      <c r="K1322" s="217">
        <v>2</v>
      </c>
      <c r="L1322" s="217">
        <v>12</v>
      </c>
      <c r="M1322" s="217" t="s">
        <v>31</v>
      </c>
      <c r="N1322" s="217" t="s">
        <v>32</v>
      </c>
      <c r="O1322" s="217" t="s">
        <v>141</v>
      </c>
      <c r="P1322" s="217" t="s">
        <v>142</v>
      </c>
      <c r="Q1322" s="217" t="s">
        <v>143</v>
      </c>
      <c r="R1322" s="217" t="s">
        <v>142</v>
      </c>
      <c r="S1322" s="217" t="s">
        <v>619</v>
      </c>
      <c r="T1322" s="217" t="s">
        <v>32</v>
      </c>
      <c r="U1322" s="217" t="s">
        <v>32</v>
      </c>
      <c r="V1322" s="217" t="s">
        <v>32</v>
      </c>
      <c r="W1322" s="217" t="s">
        <v>32</v>
      </c>
    </row>
    <row r="1323" spans="1:23" x14ac:dyDescent="0.25">
      <c r="A1323" s="217" t="s">
        <v>22</v>
      </c>
      <c r="B1323" s="217" t="s">
        <v>23</v>
      </c>
      <c r="C1323" s="217" t="s">
        <v>85</v>
      </c>
      <c r="D1323" s="217" t="s">
        <v>84</v>
      </c>
      <c r="E1323" s="217" t="s">
        <v>95</v>
      </c>
      <c r="F1323" s="217" t="s">
        <v>94</v>
      </c>
      <c r="G1323" s="217" t="s">
        <v>117</v>
      </c>
      <c r="H1323" s="217" t="s">
        <v>925</v>
      </c>
      <c r="I1323" s="217" t="s">
        <v>616</v>
      </c>
      <c r="J1323" s="217" t="s">
        <v>1854</v>
      </c>
      <c r="K1323" s="217">
        <v>3</v>
      </c>
      <c r="L1323" s="217">
        <v>26</v>
      </c>
      <c r="M1323" s="217" t="s">
        <v>31</v>
      </c>
      <c r="N1323" s="217" t="s">
        <v>32</v>
      </c>
      <c r="O1323" s="217" t="s">
        <v>141</v>
      </c>
      <c r="P1323" s="217" t="s">
        <v>142</v>
      </c>
      <c r="Q1323" s="217" t="s">
        <v>143</v>
      </c>
      <c r="R1323" s="217" t="s">
        <v>142</v>
      </c>
      <c r="S1323" s="217" t="s">
        <v>619</v>
      </c>
      <c r="T1323" s="217" t="s">
        <v>32</v>
      </c>
      <c r="U1323" s="217" t="s">
        <v>32</v>
      </c>
      <c r="V1323" s="217" t="s">
        <v>32</v>
      </c>
      <c r="W1323" s="217" t="s">
        <v>32</v>
      </c>
    </row>
    <row r="1324" spans="1:23" x14ac:dyDescent="0.25">
      <c r="A1324" s="217" t="s">
        <v>22</v>
      </c>
      <c r="B1324" s="217" t="s">
        <v>23</v>
      </c>
      <c r="C1324" s="217" t="s">
        <v>85</v>
      </c>
      <c r="D1324" s="217" t="s">
        <v>84</v>
      </c>
      <c r="E1324" s="217" t="s">
        <v>95</v>
      </c>
      <c r="F1324" s="217" t="s">
        <v>94</v>
      </c>
      <c r="G1324" s="217" t="s">
        <v>117</v>
      </c>
      <c r="H1324" s="217" t="s">
        <v>925</v>
      </c>
      <c r="I1324" s="217" t="s">
        <v>616</v>
      </c>
      <c r="J1324" s="217" t="s">
        <v>1855</v>
      </c>
      <c r="K1324" s="217">
        <v>7</v>
      </c>
      <c r="L1324" s="217">
        <v>56</v>
      </c>
      <c r="M1324" s="217" t="s">
        <v>31</v>
      </c>
      <c r="N1324" s="217" t="s">
        <v>32</v>
      </c>
      <c r="O1324" s="217" t="s">
        <v>141</v>
      </c>
      <c r="P1324" s="217" t="s">
        <v>142</v>
      </c>
      <c r="Q1324" s="217" t="s">
        <v>143</v>
      </c>
      <c r="R1324" s="217" t="s">
        <v>142</v>
      </c>
      <c r="S1324" s="217" t="s">
        <v>619</v>
      </c>
      <c r="T1324" s="217" t="s">
        <v>32</v>
      </c>
      <c r="U1324" s="217" t="s">
        <v>32</v>
      </c>
      <c r="V1324" s="217" t="s">
        <v>32</v>
      </c>
      <c r="W1324" s="217" t="s">
        <v>32</v>
      </c>
    </row>
    <row r="1325" spans="1:23" x14ac:dyDescent="0.25">
      <c r="A1325" s="217" t="s">
        <v>22</v>
      </c>
      <c r="B1325" s="217" t="s">
        <v>23</v>
      </c>
      <c r="C1325" s="217" t="s">
        <v>85</v>
      </c>
      <c r="D1325" s="217" t="s">
        <v>84</v>
      </c>
      <c r="E1325" s="217" t="s">
        <v>95</v>
      </c>
      <c r="F1325" s="217" t="s">
        <v>94</v>
      </c>
      <c r="G1325" s="217" t="s">
        <v>117</v>
      </c>
      <c r="H1325" s="217" t="s">
        <v>925</v>
      </c>
      <c r="I1325" s="217" t="s">
        <v>616</v>
      </c>
      <c r="J1325" s="217" t="s">
        <v>1856</v>
      </c>
      <c r="K1325" s="217">
        <v>6</v>
      </c>
      <c r="L1325" s="217">
        <v>45</v>
      </c>
      <c r="M1325" s="217" t="s">
        <v>31</v>
      </c>
      <c r="N1325" s="217" t="s">
        <v>32</v>
      </c>
      <c r="O1325" s="217" t="s">
        <v>141</v>
      </c>
      <c r="P1325" s="217" t="s">
        <v>142</v>
      </c>
      <c r="Q1325" s="217" t="s">
        <v>143</v>
      </c>
      <c r="R1325" s="217" t="s">
        <v>142</v>
      </c>
      <c r="S1325" s="217" t="s">
        <v>619</v>
      </c>
      <c r="T1325" s="217" t="s">
        <v>32</v>
      </c>
      <c r="U1325" s="217" t="s">
        <v>32</v>
      </c>
      <c r="V1325" s="217" t="s">
        <v>32</v>
      </c>
      <c r="W1325" s="217" t="s">
        <v>32</v>
      </c>
    </row>
    <row r="1326" spans="1:23" x14ac:dyDescent="0.25">
      <c r="A1326" s="217" t="s">
        <v>22</v>
      </c>
      <c r="B1326" s="217" t="s">
        <v>23</v>
      </c>
      <c r="C1326" s="217" t="s">
        <v>85</v>
      </c>
      <c r="D1326" s="217" t="s">
        <v>84</v>
      </c>
      <c r="E1326" s="217" t="s">
        <v>95</v>
      </c>
      <c r="F1326" s="217" t="s">
        <v>94</v>
      </c>
      <c r="G1326" s="217" t="s">
        <v>117</v>
      </c>
      <c r="H1326" s="217" t="s">
        <v>925</v>
      </c>
      <c r="I1326" s="217" t="s">
        <v>616</v>
      </c>
      <c r="J1326" s="217" t="s">
        <v>1858</v>
      </c>
      <c r="K1326" s="217">
        <v>2</v>
      </c>
      <c r="L1326" s="217">
        <v>11</v>
      </c>
      <c r="M1326" s="217" t="s">
        <v>31</v>
      </c>
      <c r="N1326" s="217" t="s">
        <v>32</v>
      </c>
      <c r="O1326" s="217" t="s">
        <v>141</v>
      </c>
      <c r="P1326" s="217" t="s">
        <v>142</v>
      </c>
      <c r="Q1326" s="217" t="s">
        <v>143</v>
      </c>
      <c r="R1326" s="217" t="s">
        <v>142</v>
      </c>
      <c r="S1326" s="217" t="s">
        <v>619</v>
      </c>
      <c r="T1326" s="217" t="s">
        <v>32</v>
      </c>
      <c r="U1326" s="217" t="s">
        <v>32</v>
      </c>
      <c r="V1326" s="217" t="s">
        <v>32</v>
      </c>
      <c r="W1326" s="217" t="s">
        <v>32</v>
      </c>
    </row>
    <row r="1327" spans="1:23" x14ac:dyDescent="0.25">
      <c r="A1327" s="217" t="s">
        <v>22</v>
      </c>
      <c r="B1327" s="217" t="s">
        <v>23</v>
      </c>
      <c r="C1327" s="217" t="s">
        <v>85</v>
      </c>
      <c r="D1327" s="217" t="s">
        <v>84</v>
      </c>
      <c r="E1327" s="217" t="s">
        <v>95</v>
      </c>
      <c r="F1327" s="217" t="s">
        <v>94</v>
      </c>
      <c r="G1327" s="217" t="s">
        <v>118</v>
      </c>
      <c r="H1327" s="217" t="s">
        <v>926</v>
      </c>
      <c r="I1327" s="217" t="s">
        <v>616</v>
      </c>
      <c r="J1327" s="217" t="s">
        <v>1854</v>
      </c>
      <c r="K1327" s="217">
        <v>4</v>
      </c>
      <c r="L1327" s="217">
        <v>57</v>
      </c>
      <c r="M1327" s="217" t="s">
        <v>31</v>
      </c>
      <c r="N1327" s="217" t="s">
        <v>32</v>
      </c>
      <c r="O1327" s="217" t="s">
        <v>141</v>
      </c>
      <c r="P1327" s="217" t="s">
        <v>142</v>
      </c>
      <c r="Q1327" s="217" t="s">
        <v>143</v>
      </c>
      <c r="R1327" s="217" t="s">
        <v>142</v>
      </c>
      <c r="S1327" s="217" t="s">
        <v>619</v>
      </c>
      <c r="T1327" s="217" t="s">
        <v>32</v>
      </c>
      <c r="U1327" s="217" t="s">
        <v>32</v>
      </c>
      <c r="V1327" s="217" t="s">
        <v>32</v>
      </c>
      <c r="W1327" s="217" t="s">
        <v>32</v>
      </c>
    </row>
    <row r="1328" spans="1:23" x14ac:dyDescent="0.25">
      <c r="A1328" s="217" t="s">
        <v>22</v>
      </c>
      <c r="B1328" s="217" t="s">
        <v>23</v>
      </c>
      <c r="C1328" s="217" t="s">
        <v>85</v>
      </c>
      <c r="D1328" s="217" t="s">
        <v>84</v>
      </c>
      <c r="E1328" s="217" t="s">
        <v>95</v>
      </c>
      <c r="F1328" s="217" t="s">
        <v>94</v>
      </c>
      <c r="G1328" s="217" t="s">
        <v>118</v>
      </c>
      <c r="H1328" s="217" t="s">
        <v>926</v>
      </c>
      <c r="I1328" s="217" t="s">
        <v>616</v>
      </c>
      <c r="J1328" s="217" t="s">
        <v>1855</v>
      </c>
      <c r="K1328" s="217">
        <v>16</v>
      </c>
      <c r="L1328" s="217">
        <v>146</v>
      </c>
      <c r="M1328" s="217" t="s">
        <v>31</v>
      </c>
      <c r="N1328" s="217" t="s">
        <v>32</v>
      </c>
      <c r="O1328" s="217" t="s">
        <v>141</v>
      </c>
      <c r="P1328" s="217" t="s">
        <v>142</v>
      </c>
      <c r="Q1328" s="217" t="s">
        <v>143</v>
      </c>
      <c r="R1328" s="217" t="s">
        <v>142</v>
      </c>
      <c r="S1328" s="217" t="s">
        <v>619</v>
      </c>
      <c r="T1328" s="217" t="s">
        <v>32</v>
      </c>
      <c r="U1328" s="217" t="s">
        <v>32</v>
      </c>
      <c r="V1328" s="217" t="s">
        <v>32</v>
      </c>
      <c r="W1328" s="217" t="s">
        <v>32</v>
      </c>
    </row>
    <row r="1329" spans="1:23" x14ac:dyDescent="0.25">
      <c r="A1329" s="217" t="s">
        <v>22</v>
      </c>
      <c r="B1329" s="217" t="s">
        <v>23</v>
      </c>
      <c r="C1329" s="217" t="s">
        <v>85</v>
      </c>
      <c r="D1329" s="217" t="s">
        <v>84</v>
      </c>
      <c r="E1329" s="217" t="s">
        <v>95</v>
      </c>
      <c r="F1329" s="217" t="s">
        <v>94</v>
      </c>
      <c r="G1329" s="217" t="s">
        <v>118</v>
      </c>
      <c r="H1329" s="217" t="s">
        <v>926</v>
      </c>
      <c r="I1329" s="217" t="s">
        <v>616</v>
      </c>
      <c r="J1329" s="217" t="s">
        <v>1856</v>
      </c>
      <c r="K1329" s="217">
        <v>4</v>
      </c>
      <c r="L1329" s="217">
        <v>43</v>
      </c>
      <c r="M1329" s="217" t="s">
        <v>31</v>
      </c>
      <c r="N1329" s="217" t="s">
        <v>32</v>
      </c>
      <c r="O1329" s="217" t="s">
        <v>141</v>
      </c>
      <c r="P1329" s="217" t="s">
        <v>142</v>
      </c>
      <c r="Q1329" s="217" t="s">
        <v>143</v>
      </c>
      <c r="R1329" s="217" t="s">
        <v>142</v>
      </c>
      <c r="S1329" s="217" t="s">
        <v>619</v>
      </c>
      <c r="T1329" s="217" t="s">
        <v>32</v>
      </c>
      <c r="U1329" s="217" t="s">
        <v>32</v>
      </c>
      <c r="V1329" s="217" t="s">
        <v>32</v>
      </c>
      <c r="W1329" s="217" t="s">
        <v>32</v>
      </c>
    </row>
    <row r="1330" spans="1:23" x14ac:dyDescent="0.25">
      <c r="A1330" s="217" t="s">
        <v>22</v>
      </c>
      <c r="B1330" s="217" t="s">
        <v>23</v>
      </c>
      <c r="C1330" s="217" t="s">
        <v>85</v>
      </c>
      <c r="D1330" s="217" t="s">
        <v>84</v>
      </c>
      <c r="E1330" s="217" t="s">
        <v>95</v>
      </c>
      <c r="F1330" s="217" t="s">
        <v>94</v>
      </c>
      <c r="G1330" s="217" t="s">
        <v>119</v>
      </c>
      <c r="H1330" s="217" t="s">
        <v>927</v>
      </c>
      <c r="I1330" s="217" t="s">
        <v>616</v>
      </c>
      <c r="J1330" s="217" t="s">
        <v>1855</v>
      </c>
      <c r="K1330" s="217">
        <v>11</v>
      </c>
      <c r="L1330" s="217">
        <v>77</v>
      </c>
      <c r="M1330" s="217" t="s">
        <v>31</v>
      </c>
      <c r="N1330" s="217" t="s">
        <v>32</v>
      </c>
      <c r="O1330" s="217" t="s">
        <v>141</v>
      </c>
      <c r="P1330" s="217" t="s">
        <v>142</v>
      </c>
      <c r="Q1330" s="217" t="s">
        <v>143</v>
      </c>
      <c r="R1330" s="217" t="s">
        <v>142</v>
      </c>
      <c r="S1330" s="217" t="s">
        <v>619</v>
      </c>
      <c r="T1330" s="217" t="s">
        <v>32</v>
      </c>
      <c r="U1330" s="217" t="s">
        <v>32</v>
      </c>
      <c r="V1330" s="217" t="s">
        <v>32</v>
      </c>
      <c r="W1330" s="217" t="s">
        <v>32</v>
      </c>
    </row>
    <row r="1331" spans="1:23" x14ac:dyDescent="0.25">
      <c r="A1331" s="217" t="s">
        <v>22</v>
      </c>
      <c r="B1331" s="217" t="s">
        <v>23</v>
      </c>
      <c r="C1331" s="217" t="s">
        <v>85</v>
      </c>
      <c r="D1331" s="217" t="s">
        <v>84</v>
      </c>
      <c r="E1331" s="217" t="s">
        <v>95</v>
      </c>
      <c r="F1331" s="217" t="s">
        <v>94</v>
      </c>
      <c r="G1331" s="217" t="s">
        <v>263</v>
      </c>
      <c r="H1331" s="217" t="s">
        <v>930</v>
      </c>
      <c r="I1331" s="217" t="s">
        <v>616</v>
      </c>
      <c r="J1331" s="217" t="s">
        <v>1856</v>
      </c>
      <c r="K1331" s="217">
        <v>5</v>
      </c>
      <c r="L1331" s="217">
        <v>34</v>
      </c>
      <c r="M1331" s="217" t="s">
        <v>31</v>
      </c>
      <c r="N1331" s="217" t="s">
        <v>32</v>
      </c>
      <c r="O1331" s="217" t="s">
        <v>141</v>
      </c>
      <c r="P1331" s="217" t="s">
        <v>142</v>
      </c>
      <c r="Q1331" s="217" t="s">
        <v>143</v>
      </c>
      <c r="R1331" s="217" t="s">
        <v>142</v>
      </c>
      <c r="S1331" s="217" t="s">
        <v>619</v>
      </c>
      <c r="T1331" s="217" t="s">
        <v>32</v>
      </c>
      <c r="U1331" s="217" t="s">
        <v>32</v>
      </c>
      <c r="V1331" s="217" t="s">
        <v>32</v>
      </c>
      <c r="W1331" s="217" t="s">
        <v>32</v>
      </c>
    </row>
    <row r="1332" spans="1:23" x14ac:dyDescent="0.25">
      <c r="A1332" s="217" t="s">
        <v>22</v>
      </c>
      <c r="B1332" s="217" t="s">
        <v>23</v>
      </c>
      <c r="C1332" s="217" t="s">
        <v>85</v>
      </c>
      <c r="D1332" s="217" t="s">
        <v>84</v>
      </c>
      <c r="E1332" s="217" t="s">
        <v>95</v>
      </c>
      <c r="F1332" s="217" t="s">
        <v>94</v>
      </c>
      <c r="G1332" s="217" t="s">
        <v>264</v>
      </c>
      <c r="H1332" s="217" t="s">
        <v>931</v>
      </c>
      <c r="I1332" s="217" t="s">
        <v>616</v>
      </c>
      <c r="J1332" s="217" t="s">
        <v>1855</v>
      </c>
      <c r="K1332" s="217">
        <v>2</v>
      </c>
      <c r="L1332" s="217">
        <v>15</v>
      </c>
      <c r="M1332" s="217" t="s">
        <v>31</v>
      </c>
      <c r="N1332" s="217" t="s">
        <v>32</v>
      </c>
      <c r="O1332" s="217" t="s">
        <v>141</v>
      </c>
      <c r="P1332" s="217" t="s">
        <v>142</v>
      </c>
      <c r="Q1332" s="217" t="s">
        <v>143</v>
      </c>
      <c r="R1332" s="217" t="s">
        <v>142</v>
      </c>
      <c r="S1332" s="217" t="s">
        <v>619</v>
      </c>
      <c r="T1332" s="217" t="s">
        <v>32</v>
      </c>
      <c r="U1332" s="217" t="s">
        <v>32</v>
      </c>
      <c r="V1332" s="217" t="s">
        <v>32</v>
      </c>
      <c r="W1332" s="217" t="s">
        <v>32</v>
      </c>
    </row>
    <row r="1333" spans="1:23" x14ac:dyDescent="0.25">
      <c r="A1333" s="217" t="s">
        <v>22</v>
      </c>
      <c r="B1333" s="217" t="s">
        <v>23</v>
      </c>
      <c r="C1333" s="217" t="s">
        <v>85</v>
      </c>
      <c r="D1333" s="217" t="s">
        <v>84</v>
      </c>
      <c r="E1333" s="217" t="s">
        <v>95</v>
      </c>
      <c r="F1333" s="217" t="s">
        <v>94</v>
      </c>
      <c r="G1333" s="217" t="s">
        <v>265</v>
      </c>
      <c r="H1333" s="217" t="s">
        <v>932</v>
      </c>
      <c r="I1333" s="217" t="s">
        <v>616</v>
      </c>
      <c r="J1333" s="217" t="s">
        <v>1855</v>
      </c>
      <c r="K1333" s="217">
        <v>6</v>
      </c>
      <c r="L1333" s="217">
        <v>42</v>
      </c>
      <c r="M1333" s="217" t="s">
        <v>31</v>
      </c>
      <c r="N1333" s="217" t="s">
        <v>32</v>
      </c>
      <c r="O1333" s="217" t="s">
        <v>141</v>
      </c>
      <c r="P1333" s="217" t="s">
        <v>142</v>
      </c>
      <c r="Q1333" s="217" t="s">
        <v>143</v>
      </c>
      <c r="R1333" s="217" t="s">
        <v>142</v>
      </c>
      <c r="S1333" s="217" t="s">
        <v>619</v>
      </c>
      <c r="T1333" s="217" t="s">
        <v>32</v>
      </c>
      <c r="U1333" s="217" t="s">
        <v>32</v>
      </c>
      <c r="V1333" s="217" t="s">
        <v>32</v>
      </c>
      <c r="W1333" s="217" t="s">
        <v>32</v>
      </c>
    </row>
    <row r="1334" spans="1:23" x14ac:dyDescent="0.25">
      <c r="A1334" s="217" t="s">
        <v>22</v>
      </c>
      <c r="B1334" s="217" t="s">
        <v>23</v>
      </c>
      <c r="C1334" s="217" t="s">
        <v>85</v>
      </c>
      <c r="D1334" s="217" t="s">
        <v>84</v>
      </c>
      <c r="E1334" s="217" t="s">
        <v>95</v>
      </c>
      <c r="F1334" s="217" t="s">
        <v>94</v>
      </c>
      <c r="G1334" s="217" t="s">
        <v>265</v>
      </c>
      <c r="H1334" s="217" t="s">
        <v>932</v>
      </c>
      <c r="I1334" s="217" t="s">
        <v>616</v>
      </c>
      <c r="J1334" s="217" t="s">
        <v>1857</v>
      </c>
      <c r="K1334" s="217">
        <v>1</v>
      </c>
      <c r="L1334" s="217">
        <v>8</v>
      </c>
      <c r="M1334" s="217" t="s">
        <v>31</v>
      </c>
      <c r="N1334" s="217" t="s">
        <v>32</v>
      </c>
      <c r="O1334" s="217" t="s">
        <v>141</v>
      </c>
      <c r="P1334" s="217" t="s">
        <v>142</v>
      </c>
      <c r="Q1334" s="217" t="s">
        <v>143</v>
      </c>
      <c r="R1334" s="217" t="s">
        <v>142</v>
      </c>
      <c r="S1334" s="217" t="s">
        <v>619</v>
      </c>
      <c r="T1334" s="217" t="s">
        <v>32</v>
      </c>
      <c r="U1334" s="217" t="s">
        <v>32</v>
      </c>
      <c r="V1334" s="217" t="s">
        <v>32</v>
      </c>
      <c r="W1334" s="217" t="s">
        <v>32</v>
      </c>
    </row>
    <row r="1335" spans="1:23" x14ac:dyDescent="0.25">
      <c r="A1335" s="217" t="s">
        <v>22</v>
      </c>
      <c r="B1335" s="217" t="s">
        <v>23</v>
      </c>
      <c r="C1335" s="217" t="s">
        <v>85</v>
      </c>
      <c r="D1335" s="217" t="s">
        <v>84</v>
      </c>
      <c r="E1335" s="217" t="s">
        <v>95</v>
      </c>
      <c r="F1335" s="217" t="s">
        <v>94</v>
      </c>
      <c r="G1335" s="217" t="s">
        <v>266</v>
      </c>
      <c r="H1335" s="217" t="s">
        <v>933</v>
      </c>
      <c r="I1335" s="217" t="s">
        <v>616</v>
      </c>
      <c r="J1335" s="217" t="s">
        <v>1855</v>
      </c>
      <c r="K1335" s="217">
        <v>2</v>
      </c>
      <c r="L1335" s="217">
        <v>10</v>
      </c>
      <c r="M1335" s="217" t="s">
        <v>31</v>
      </c>
      <c r="N1335" s="217" t="s">
        <v>32</v>
      </c>
      <c r="O1335" s="217" t="s">
        <v>141</v>
      </c>
      <c r="P1335" s="217" t="s">
        <v>142</v>
      </c>
      <c r="Q1335" s="217" t="s">
        <v>143</v>
      </c>
      <c r="R1335" s="217" t="s">
        <v>142</v>
      </c>
      <c r="S1335" s="217" t="s">
        <v>619</v>
      </c>
      <c r="T1335" s="217" t="s">
        <v>32</v>
      </c>
      <c r="U1335" s="217" t="s">
        <v>32</v>
      </c>
      <c r="V1335" s="217" t="s">
        <v>32</v>
      </c>
      <c r="W1335" s="217" t="s">
        <v>32</v>
      </c>
    </row>
    <row r="1336" spans="1:23" x14ac:dyDescent="0.25">
      <c r="A1336" s="217" t="s">
        <v>22</v>
      </c>
      <c r="B1336" s="217" t="s">
        <v>23</v>
      </c>
      <c r="C1336" s="217" t="s">
        <v>85</v>
      </c>
      <c r="D1336" s="217" t="s">
        <v>84</v>
      </c>
      <c r="E1336" s="217" t="s">
        <v>95</v>
      </c>
      <c r="F1336" s="217" t="s">
        <v>94</v>
      </c>
      <c r="G1336" s="217" t="s">
        <v>266</v>
      </c>
      <c r="H1336" s="217" t="s">
        <v>933</v>
      </c>
      <c r="I1336" s="217" t="s">
        <v>616</v>
      </c>
      <c r="J1336" s="217" t="s">
        <v>1856</v>
      </c>
      <c r="K1336" s="217">
        <v>4</v>
      </c>
      <c r="L1336" s="217">
        <v>20</v>
      </c>
      <c r="M1336" s="217" t="s">
        <v>31</v>
      </c>
      <c r="N1336" s="217" t="s">
        <v>32</v>
      </c>
      <c r="O1336" s="217" t="s">
        <v>141</v>
      </c>
      <c r="P1336" s="217" t="s">
        <v>142</v>
      </c>
      <c r="Q1336" s="217" t="s">
        <v>143</v>
      </c>
      <c r="R1336" s="217" t="s">
        <v>142</v>
      </c>
      <c r="S1336" s="217" t="s">
        <v>619</v>
      </c>
      <c r="T1336" s="217" t="s">
        <v>32</v>
      </c>
      <c r="U1336" s="217" t="s">
        <v>32</v>
      </c>
      <c r="V1336" s="217" t="s">
        <v>32</v>
      </c>
      <c r="W1336" s="217" t="s">
        <v>32</v>
      </c>
    </row>
    <row r="1337" spans="1:23" x14ac:dyDescent="0.25">
      <c r="A1337" s="217" t="s">
        <v>22</v>
      </c>
      <c r="B1337" s="217" t="s">
        <v>23</v>
      </c>
      <c r="C1337" s="217" t="s">
        <v>85</v>
      </c>
      <c r="D1337" s="217" t="s">
        <v>84</v>
      </c>
      <c r="E1337" s="217" t="s">
        <v>95</v>
      </c>
      <c r="F1337" s="217" t="s">
        <v>94</v>
      </c>
      <c r="G1337" s="217" t="s">
        <v>268</v>
      </c>
      <c r="H1337" s="217" t="s">
        <v>935</v>
      </c>
      <c r="I1337" s="217" t="s">
        <v>616</v>
      </c>
      <c r="J1337" s="217" t="s">
        <v>1856</v>
      </c>
      <c r="K1337" s="217">
        <v>4</v>
      </c>
      <c r="L1337" s="217">
        <v>24</v>
      </c>
      <c r="M1337" s="217" t="s">
        <v>31</v>
      </c>
      <c r="N1337" s="217" t="s">
        <v>32</v>
      </c>
      <c r="O1337" s="217" t="s">
        <v>141</v>
      </c>
      <c r="P1337" s="217" t="s">
        <v>142</v>
      </c>
      <c r="Q1337" s="217" t="s">
        <v>143</v>
      </c>
      <c r="R1337" s="217" t="s">
        <v>142</v>
      </c>
      <c r="S1337" s="217" t="s">
        <v>619</v>
      </c>
      <c r="T1337" s="217" t="s">
        <v>32</v>
      </c>
      <c r="U1337" s="217" t="s">
        <v>32</v>
      </c>
      <c r="V1337" s="217" t="s">
        <v>32</v>
      </c>
      <c r="W1337" s="217" t="s">
        <v>32</v>
      </c>
    </row>
    <row r="1338" spans="1:23" x14ac:dyDescent="0.25">
      <c r="A1338" s="217" t="s">
        <v>22</v>
      </c>
      <c r="B1338" s="217" t="s">
        <v>23</v>
      </c>
      <c r="C1338" s="217" t="s">
        <v>85</v>
      </c>
      <c r="D1338" s="217" t="s">
        <v>84</v>
      </c>
      <c r="E1338" s="217" t="s">
        <v>95</v>
      </c>
      <c r="F1338" s="217" t="s">
        <v>94</v>
      </c>
      <c r="G1338" s="217" t="s">
        <v>269</v>
      </c>
      <c r="H1338" s="217" t="s">
        <v>936</v>
      </c>
      <c r="I1338" s="217" t="s">
        <v>616</v>
      </c>
      <c r="J1338" s="217" t="s">
        <v>1857</v>
      </c>
      <c r="K1338" s="217">
        <v>3</v>
      </c>
      <c r="L1338" s="217">
        <v>18</v>
      </c>
      <c r="M1338" s="217" t="s">
        <v>31</v>
      </c>
      <c r="N1338" s="217" t="s">
        <v>32</v>
      </c>
      <c r="O1338" s="217" t="s">
        <v>141</v>
      </c>
      <c r="P1338" s="217" t="s">
        <v>142</v>
      </c>
      <c r="Q1338" s="217" t="s">
        <v>143</v>
      </c>
      <c r="R1338" s="217" t="s">
        <v>142</v>
      </c>
      <c r="S1338" s="217" t="s">
        <v>619</v>
      </c>
      <c r="T1338" s="217" t="s">
        <v>32</v>
      </c>
      <c r="U1338" s="217" t="s">
        <v>32</v>
      </c>
      <c r="V1338" s="217" t="s">
        <v>32</v>
      </c>
      <c r="W1338" s="217" t="s">
        <v>32</v>
      </c>
    </row>
    <row r="1339" spans="1:23" x14ac:dyDescent="0.25">
      <c r="A1339" s="217" t="s">
        <v>22</v>
      </c>
      <c r="B1339" s="217" t="s">
        <v>23</v>
      </c>
      <c r="C1339" s="217" t="s">
        <v>85</v>
      </c>
      <c r="D1339" s="217" t="s">
        <v>84</v>
      </c>
      <c r="E1339" s="217" t="s">
        <v>95</v>
      </c>
      <c r="F1339" s="217" t="s">
        <v>94</v>
      </c>
      <c r="G1339" s="217" t="s">
        <v>273</v>
      </c>
      <c r="H1339" s="217" t="s">
        <v>940</v>
      </c>
      <c r="I1339" s="217" t="s">
        <v>616</v>
      </c>
      <c r="J1339" s="217" t="s">
        <v>1856</v>
      </c>
      <c r="K1339" s="217">
        <v>4</v>
      </c>
      <c r="L1339" s="217">
        <v>27</v>
      </c>
      <c r="M1339" s="217" t="s">
        <v>31</v>
      </c>
      <c r="N1339" s="217" t="s">
        <v>32</v>
      </c>
      <c r="O1339" s="217" t="s">
        <v>141</v>
      </c>
      <c r="P1339" s="217" t="s">
        <v>142</v>
      </c>
      <c r="Q1339" s="217" t="s">
        <v>143</v>
      </c>
      <c r="R1339" s="217" t="s">
        <v>142</v>
      </c>
      <c r="S1339" s="217" t="s">
        <v>619</v>
      </c>
      <c r="T1339" s="217" t="s">
        <v>32</v>
      </c>
      <c r="U1339" s="217" t="s">
        <v>32</v>
      </c>
      <c r="V1339" s="217" t="s">
        <v>32</v>
      </c>
      <c r="W1339" s="217" t="s">
        <v>32</v>
      </c>
    </row>
    <row r="1340" spans="1:23" x14ac:dyDescent="0.25">
      <c r="A1340" s="217" t="s">
        <v>22</v>
      </c>
      <c r="B1340" s="217" t="s">
        <v>23</v>
      </c>
      <c r="C1340" s="217" t="s">
        <v>85</v>
      </c>
      <c r="D1340" s="217" t="s">
        <v>84</v>
      </c>
      <c r="E1340" s="217" t="s">
        <v>95</v>
      </c>
      <c r="F1340" s="217" t="s">
        <v>94</v>
      </c>
      <c r="G1340" s="217" t="s">
        <v>273</v>
      </c>
      <c r="H1340" s="217" t="s">
        <v>940</v>
      </c>
      <c r="I1340" s="217" t="s">
        <v>616</v>
      </c>
      <c r="J1340" s="217" t="s">
        <v>1858</v>
      </c>
      <c r="K1340" s="217">
        <v>2</v>
      </c>
      <c r="L1340" s="217">
        <v>9</v>
      </c>
      <c r="M1340" s="217" t="s">
        <v>31</v>
      </c>
      <c r="N1340" s="217" t="s">
        <v>32</v>
      </c>
      <c r="O1340" s="217" t="s">
        <v>141</v>
      </c>
      <c r="P1340" s="217" t="s">
        <v>142</v>
      </c>
      <c r="Q1340" s="217" t="s">
        <v>143</v>
      </c>
      <c r="R1340" s="217" t="s">
        <v>142</v>
      </c>
      <c r="S1340" s="217" t="s">
        <v>619</v>
      </c>
      <c r="T1340" s="217" t="s">
        <v>32</v>
      </c>
      <c r="U1340" s="217" t="s">
        <v>32</v>
      </c>
      <c r="V1340" s="217" t="s">
        <v>32</v>
      </c>
      <c r="W1340" s="217" t="s">
        <v>32</v>
      </c>
    </row>
    <row r="1341" spans="1:23" x14ac:dyDescent="0.25">
      <c r="A1341" s="217" t="s">
        <v>22</v>
      </c>
      <c r="B1341" s="217" t="s">
        <v>23</v>
      </c>
      <c r="C1341" s="217" t="s">
        <v>85</v>
      </c>
      <c r="D1341" s="217" t="s">
        <v>84</v>
      </c>
      <c r="E1341" s="217" t="s">
        <v>92</v>
      </c>
      <c r="F1341" s="217" t="s">
        <v>91</v>
      </c>
      <c r="G1341" s="217" t="s">
        <v>276</v>
      </c>
      <c r="H1341" s="217" t="s">
        <v>945</v>
      </c>
      <c r="I1341" s="217" t="s">
        <v>616</v>
      </c>
      <c r="J1341" s="217" t="s">
        <v>1857</v>
      </c>
      <c r="K1341" s="217">
        <v>15</v>
      </c>
      <c r="L1341" s="217">
        <v>137</v>
      </c>
      <c r="M1341" s="217" t="s">
        <v>31</v>
      </c>
      <c r="N1341" s="217" t="s">
        <v>32</v>
      </c>
      <c r="O1341" s="217" t="s">
        <v>141</v>
      </c>
      <c r="P1341" s="217" t="s">
        <v>142</v>
      </c>
      <c r="Q1341" s="217" t="s">
        <v>143</v>
      </c>
      <c r="R1341" s="217" t="s">
        <v>142</v>
      </c>
      <c r="S1341" s="217" t="s">
        <v>619</v>
      </c>
      <c r="T1341" s="217" t="s">
        <v>32</v>
      </c>
      <c r="U1341" s="217" t="s">
        <v>32</v>
      </c>
      <c r="V1341" s="217" t="s">
        <v>32</v>
      </c>
      <c r="W1341" s="217" t="s">
        <v>32</v>
      </c>
    </row>
    <row r="1342" spans="1:23" x14ac:dyDescent="0.25">
      <c r="A1342" s="217" t="s">
        <v>22</v>
      </c>
      <c r="B1342" s="217" t="s">
        <v>23</v>
      </c>
      <c r="C1342" s="217" t="s">
        <v>85</v>
      </c>
      <c r="D1342" s="217" t="s">
        <v>84</v>
      </c>
      <c r="E1342" s="217" t="s">
        <v>92</v>
      </c>
      <c r="F1342" s="217" t="s">
        <v>91</v>
      </c>
      <c r="G1342" s="217" t="s">
        <v>280</v>
      </c>
      <c r="H1342" s="217" t="s">
        <v>948</v>
      </c>
      <c r="I1342" s="217" t="s">
        <v>616</v>
      </c>
      <c r="J1342" s="217" t="s">
        <v>1855</v>
      </c>
      <c r="K1342" s="217">
        <v>53</v>
      </c>
      <c r="L1342" s="217">
        <v>517</v>
      </c>
      <c r="M1342" s="217" t="s">
        <v>31</v>
      </c>
      <c r="N1342" s="217" t="s">
        <v>32</v>
      </c>
      <c r="O1342" s="217" t="s">
        <v>141</v>
      </c>
      <c r="P1342" s="217" t="s">
        <v>142</v>
      </c>
      <c r="Q1342" s="217" t="s">
        <v>143</v>
      </c>
      <c r="R1342" s="217" t="s">
        <v>142</v>
      </c>
      <c r="S1342" s="217" t="s">
        <v>619</v>
      </c>
      <c r="T1342" s="217" t="s">
        <v>32</v>
      </c>
      <c r="U1342" s="217" t="s">
        <v>32</v>
      </c>
      <c r="V1342" s="217" t="s">
        <v>32</v>
      </c>
      <c r="W1342" s="217" t="s">
        <v>32</v>
      </c>
    </row>
    <row r="1343" spans="1:23" x14ac:dyDescent="0.25">
      <c r="A1343" s="217" t="s">
        <v>22</v>
      </c>
      <c r="B1343" s="217" t="s">
        <v>23</v>
      </c>
      <c r="C1343" s="217" t="s">
        <v>85</v>
      </c>
      <c r="D1343" s="217" t="s">
        <v>84</v>
      </c>
      <c r="E1343" s="217" t="s">
        <v>92</v>
      </c>
      <c r="F1343" s="217" t="s">
        <v>91</v>
      </c>
      <c r="G1343" s="217" t="s">
        <v>280</v>
      </c>
      <c r="H1343" s="217" t="s">
        <v>948</v>
      </c>
      <c r="I1343" s="217" t="s">
        <v>616</v>
      </c>
      <c r="J1343" s="217" t="s">
        <v>1857</v>
      </c>
      <c r="K1343" s="217">
        <v>530</v>
      </c>
      <c r="L1343" s="217">
        <v>2749</v>
      </c>
      <c r="M1343" s="217" t="s">
        <v>31</v>
      </c>
      <c r="N1343" s="217" t="s">
        <v>32</v>
      </c>
      <c r="O1343" s="217" t="s">
        <v>141</v>
      </c>
      <c r="P1343" s="217" t="s">
        <v>142</v>
      </c>
      <c r="Q1343" s="217" t="s">
        <v>143</v>
      </c>
      <c r="R1343" s="217" t="s">
        <v>142</v>
      </c>
      <c r="S1343" s="217" t="s">
        <v>619</v>
      </c>
      <c r="T1343" s="217" t="s">
        <v>32</v>
      </c>
      <c r="U1343" s="217" t="s">
        <v>32</v>
      </c>
      <c r="V1343" s="217" t="s">
        <v>32</v>
      </c>
      <c r="W1343" s="217" t="s">
        <v>32</v>
      </c>
    </row>
    <row r="1344" spans="1:23" x14ac:dyDescent="0.25">
      <c r="A1344" s="217" t="s">
        <v>22</v>
      </c>
      <c r="B1344" s="217" t="s">
        <v>23</v>
      </c>
      <c r="C1344" s="217" t="s">
        <v>85</v>
      </c>
      <c r="D1344" s="217" t="s">
        <v>84</v>
      </c>
      <c r="E1344" s="217" t="s">
        <v>92</v>
      </c>
      <c r="F1344" s="217" t="s">
        <v>91</v>
      </c>
      <c r="G1344" s="217" t="s">
        <v>1816</v>
      </c>
      <c r="H1344" s="217" t="s">
        <v>1815</v>
      </c>
      <c r="I1344" s="217" t="s">
        <v>616</v>
      </c>
      <c r="J1344" s="217" t="s">
        <v>1858</v>
      </c>
      <c r="K1344" s="217">
        <v>24</v>
      </c>
      <c r="L1344" s="217">
        <v>70</v>
      </c>
      <c r="M1344" s="217" t="s">
        <v>31</v>
      </c>
      <c r="N1344" s="217" t="s">
        <v>32</v>
      </c>
      <c r="O1344" s="217" t="s">
        <v>141</v>
      </c>
      <c r="P1344" s="217" t="s">
        <v>142</v>
      </c>
      <c r="Q1344" s="217" t="s">
        <v>143</v>
      </c>
      <c r="R1344" s="217" t="s">
        <v>142</v>
      </c>
      <c r="S1344" s="217" t="s">
        <v>619</v>
      </c>
      <c r="T1344" s="217" t="s">
        <v>32</v>
      </c>
      <c r="U1344" s="217" t="s">
        <v>32</v>
      </c>
      <c r="V1344" s="217" t="s">
        <v>32</v>
      </c>
      <c r="W1344" s="217" t="s">
        <v>32</v>
      </c>
    </row>
    <row r="1345" spans="1:23" x14ac:dyDescent="0.25">
      <c r="A1345" s="217" t="s">
        <v>22</v>
      </c>
      <c r="B1345" s="217" t="s">
        <v>23</v>
      </c>
      <c r="C1345" s="217" t="s">
        <v>85</v>
      </c>
      <c r="D1345" s="217" t="s">
        <v>84</v>
      </c>
      <c r="E1345" s="217" t="s">
        <v>92</v>
      </c>
      <c r="F1345" s="217" t="s">
        <v>91</v>
      </c>
      <c r="G1345" s="217" t="s">
        <v>768</v>
      </c>
      <c r="H1345" s="217" t="s">
        <v>949</v>
      </c>
      <c r="I1345" s="217" t="s">
        <v>616</v>
      </c>
      <c r="J1345" s="217" t="s">
        <v>1856</v>
      </c>
      <c r="K1345" s="217">
        <v>53</v>
      </c>
      <c r="L1345" s="217">
        <v>265</v>
      </c>
      <c r="M1345" s="217" t="s">
        <v>31</v>
      </c>
      <c r="N1345" s="217" t="s">
        <v>32</v>
      </c>
      <c r="O1345" s="217" t="s">
        <v>141</v>
      </c>
      <c r="P1345" s="217" t="s">
        <v>142</v>
      </c>
      <c r="Q1345" s="217" t="s">
        <v>143</v>
      </c>
      <c r="R1345" s="217" t="s">
        <v>142</v>
      </c>
      <c r="S1345" s="217" t="s">
        <v>619</v>
      </c>
      <c r="T1345" s="217" t="s">
        <v>32</v>
      </c>
      <c r="U1345" s="217" t="s">
        <v>32</v>
      </c>
      <c r="V1345" s="217" t="s">
        <v>32</v>
      </c>
      <c r="W1345" s="217" t="s">
        <v>32</v>
      </c>
    </row>
    <row r="1346" spans="1:23" x14ac:dyDescent="0.25">
      <c r="A1346" s="217" t="s">
        <v>22</v>
      </c>
      <c r="B1346" s="217" t="s">
        <v>23</v>
      </c>
      <c r="C1346" s="217" t="s">
        <v>85</v>
      </c>
      <c r="D1346" s="217" t="s">
        <v>84</v>
      </c>
      <c r="E1346" s="217" t="s">
        <v>92</v>
      </c>
      <c r="F1346" s="217" t="s">
        <v>91</v>
      </c>
      <c r="G1346" s="217" t="s">
        <v>950</v>
      </c>
      <c r="H1346" s="217" t="s">
        <v>951</v>
      </c>
      <c r="I1346" s="217" t="s">
        <v>616</v>
      </c>
      <c r="J1346" s="217" t="s">
        <v>1857</v>
      </c>
      <c r="K1346" s="217">
        <v>5</v>
      </c>
      <c r="L1346" s="217">
        <v>38</v>
      </c>
      <c r="M1346" s="217" t="s">
        <v>31</v>
      </c>
      <c r="N1346" s="217" t="s">
        <v>32</v>
      </c>
      <c r="O1346" s="217" t="s">
        <v>141</v>
      </c>
      <c r="P1346" s="217" t="s">
        <v>142</v>
      </c>
      <c r="Q1346" s="217" t="s">
        <v>143</v>
      </c>
      <c r="R1346" s="217" t="s">
        <v>142</v>
      </c>
      <c r="S1346" s="217" t="s">
        <v>619</v>
      </c>
      <c r="T1346" s="217" t="s">
        <v>32</v>
      </c>
      <c r="U1346" s="217" t="s">
        <v>32</v>
      </c>
      <c r="V1346" s="217" t="s">
        <v>32</v>
      </c>
      <c r="W1346" s="217" t="s">
        <v>32</v>
      </c>
    </row>
    <row r="1347" spans="1:23" x14ac:dyDescent="0.25">
      <c r="A1347" s="217" t="s">
        <v>22</v>
      </c>
      <c r="B1347" s="217" t="s">
        <v>23</v>
      </c>
      <c r="C1347" s="217" t="s">
        <v>85</v>
      </c>
      <c r="D1347" s="217" t="s">
        <v>84</v>
      </c>
      <c r="E1347" s="217" t="s">
        <v>92</v>
      </c>
      <c r="F1347" s="217" t="s">
        <v>91</v>
      </c>
      <c r="G1347" s="217" t="s">
        <v>952</v>
      </c>
      <c r="H1347" s="217" t="s">
        <v>953</v>
      </c>
      <c r="I1347" s="217" t="s">
        <v>616</v>
      </c>
      <c r="J1347" s="217" t="s">
        <v>1857</v>
      </c>
      <c r="K1347" s="217">
        <v>25</v>
      </c>
      <c r="L1347" s="217">
        <v>80</v>
      </c>
      <c r="M1347" s="217" t="s">
        <v>31</v>
      </c>
      <c r="N1347" s="217" t="s">
        <v>32</v>
      </c>
      <c r="O1347" s="217" t="s">
        <v>141</v>
      </c>
      <c r="P1347" s="217" t="s">
        <v>142</v>
      </c>
      <c r="Q1347" s="217" t="s">
        <v>143</v>
      </c>
      <c r="R1347" s="217" t="s">
        <v>142</v>
      </c>
      <c r="S1347" s="217" t="s">
        <v>619</v>
      </c>
      <c r="T1347" s="217" t="s">
        <v>32</v>
      </c>
      <c r="U1347" s="217" t="s">
        <v>32</v>
      </c>
      <c r="V1347" s="217" t="s">
        <v>32</v>
      </c>
      <c r="W1347" s="217" t="s">
        <v>32</v>
      </c>
    </row>
    <row r="1348" spans="1:23" x14ac:dyDescent="0.25">
      <c r="A1348" s="217" t="s">
        <v>22</v>
      </c>
      <c r="B1348" s="217" t="s">
        <v>23</v>
      </c>
      <c r="C1348" s="217" t="s">
        <v>85</v>
      </c>
      <c r="D1348" s="217" t="s">
        <v>84</v>
      </c>
      <c r="E1348" s="217" t="s">
        <v>92</v>
      </c>
      <c r="F1348" s="217" t="s">
        <v>91</v>
      </c>
      <c r="G1348" s="217" t="s">
        <v>1814</v>
      </c>
      <c r="H1348" s="217" t="s">
        <v>1813</v>
      </c>
      <c r="I1348" s="217" t="s">
        <v>616</v>
      </c>
      <c r="J1348" s="217" t="s">
        <v>1858</v>
      </c>
      <c r="K1348" s="217">
        <v>27</v>
      </c>
      <c r="L1348" s="217">
        <v>107</v>
      </c>
      <c r="M1348" s="217" t="s">
        <v>31</v>
      </c>
      <c r="N1348" s="217" t="s">
        <v>32</v>
      </c>
      <c r="O1348" s="217" t="s">
        <v>141</v>
      </c>
      <c r="P1348" s="217" t="s">
        <v>142</v>
      </c>
      <c r="Q1348" s="217" t="s">
        <v>143</v>
      </c>
      <c r="R1348" s="217" t="s">
        <v>142</v>
      </c>
      <c r="S1348" s="217" t="s">
        <v>619</v>
      </c>
      <c r="T1348" s="217" t="s">
        <v>32</v>
      </c>
      <c r="U1348" s="217" t="s">
        <v>32</v>
      </c>
      <c r="V1348" s="217" t="s">
        <v>32</v>
      </c>
      <c r="W1348" s="217" t="s">
        <v>32</v>
      </c>
    </row>
    <row r="1349" spans="1:23" x14ac:dyDescent="0.25">
      <c r="A1349" s="217" t="s">
        <v>22</v>
      </c>
      <c r="B1349" s="217" t="s">
        <v>23</v>
      </c>
      <c r="C1349" s="217" t="s">
        <v>85</v>
      </c>
      <c r="D1349" s="217" t="s">
        <v>84</v>
      </c>
      <c r="E1349" s="217" t="s">
        <v>92</v>
      </c>
      <c r="F1349" s="217" t="s">
        <v>91</v>
      </c>
      <c r="G1349" s="217" t="s">
        <v>1500</v>
      </c>
      <c r="H1349" s="217" t="s">
        <v>1501</v>
      </c>
      <c r="I1349" s="217" t="s">
        <v>616</v>
      </c>
      <c r="J1349" s="217" t="s">
        <v>1858</v>
      </c>
      <c r="K1349" s="217">
        <v>39</v>
      </c>
      <c r="L1349" s="217">
        <v>315</v>
      </c>
      <c r="M1349" s="217" t="s">
        <v>31</v>
      </c>
      <c r="N1349" s="217" t="s">
        <v>32</v>
      </c>
      <c r="O1349" s="217" t="s">
        <v>141</v>
      </c>
      <c r="P1349" s="217" t="s">
        <v>142</v>
      </c>
      <c r="Q1349" s="217" t="s">
        <v>143</v>
      </c>
      <c r="R1349" s="217" t="s">
        <v>142</v>
      </c>
      <c r="S1349" s="217" t="s">
        <v>619</v>
      </c>
      <c r="T1349" s="217" t="s">
        <v>32</v>
      </c>
      <c r="U1349" s="217" t="s">
        <v>32</v>
      </c>
      <c r="V1349" s="217" t="s">
        <v>32</v>
      </c>
      <c r="W1349" s="217" t="s">
        <v>32</v>
      </c>
    </row>
    <row r="1350" spans="1:23" x14ac:dyDescent="0.25">
      <c r="A1350" s="217" t="s">
        <v>22</v>
      </c>
      <c r="B1350" s="217" t="s">
        <v>23</v>
      </c>
      <c r="C1350" s="217" t="s">
        <v>85</v>
      </c>
      <c r="D1350" s="217" t="s">
        <v>84</v>
      </c>
      <c r="E1350" s="217" t="s">
        <v>92</v>
      </c>
      <c r="F1350" s="217" t="s">
        <v>91</v>
      </c>
      <c r="G1350" s="217" t="s">
        <v>960</v>
      </c>
      <c r="H1350" s="217" t="s">
        <v>961</v>
      </c>
      <c r="I1350" s="217" t="s">
        <v>616</v>
      </c>
      <c r="J1350" s="217" t="s">
        <v>1858</v>
      </c>
      <c r="K1350" s="217">
        <v>12</v>
      </c>
      <c r="L1350" s="217">
        <v>96</v>
      </c>
      <c r="M1350" s="217" t="s">
        <v>31</v>
      </c>
      <c r="N1350" s="217" t="s">
        <v>32</v>
      </c>
      <c r="O1350" s="217" t="s">
        <v>141</v>
      </c>
      <c r="P1350" s="217" t="s">
        <v>142</v>
      </c>
      <c r="Q1350" s="217" t="s">
        <v>143</v>
      </c>
      <c r="R1350" s="217" t="s">
        <v>142</v>
      </c>
      <c r="S1350" s="217" t="s">
        <v>619</v>
      </c>
      <c r="T1350" s="217" t="s">
        <v>32</v>
      </c>
      <c r="U1350" s="217" t="s">
        <v>32</v>
      </c>
      <c r="V1350" s="217" t="s">
        <v>32</v>
      </c>
      <c r="W1350" s="217" t="s">
        <v>32</v>
      </c>
    </row>
    <row r="1351" spans="1:23" x14ac:dyDescent="0.25">
      <c r="A1351" s="217" t="s">
        <v>22</v>
      </c>
      <c r="B1351" s="217" t="s">
        <v>23</v>
      </c>
      <c r="C1351" s="217" t="s">
        <v>85</v>
      </c>
      <c r="D1351" s="217" t="s">
        <v>84</v>
      </c>
      <c r="E1351" s="217" t="s">
        <v>92</v>
      </c>
      <c r="F1351" s="217" t="s">
        <v>91</v>
      </c>
      <c r="G1351" s="217" t="s">
        <v>1812</v>
      </c>
      <c r="H1351" s="217" t="s">
        <v>1811</v>
      </c>
      <c r="I1351" s="217" t="s">
        <v>616</v>
      </c>
      <c r="J1351" s="217" t="s">
        <v>1858</v>
      </c>
      <c r="K1351" s="217">
        <v>21</v>
      </c>
      <c r="L1351" s="217">
        <v>106</v>
      </c>
      <c r="M1351" s="217" t="s">
        <v>31</v>
      </c>
      <c r="N1351" s="217" t="s">
        <v>32</v>
      </c>
      <c r="O1351" s="217" t="s">
        <v>141</v>
      </c>
      <c r="P1351" s="217" t="s">
        <v>142</v>
      </c>
      <c r="Q1351" s="217" t="s">
        <v>143</v>
      </c>
      <c r="R1351" s="217" t="s">
        <v>142</v>
      </c>
      <c r="S1351" s="217" t="s">
        <v>619</v>
      </c>
      <c r="T1351" s="217" t="s">
        <v>32</v>
      </c>
      <c r="U1351" s="217" t="s">
        <v>32</v>
      </c>
      <c r="V1351" s="217" t="s">
        <v>32</v>
      </c>
      <c r="W1351" s="217" t="s">
        <v>32</v>
      </c>
    </row>
    <row r="1352" spans="1:23" x14ac:dyDescent="0.25">
      <c r="A1352" s="217" t="s">
        <v>22</v>
      </c>
      <c r="B1352" s="217" t="s">
        <v>23</v>
      </c>
      <c r="C1352" s="217" t="s">
        <v>85</v>
      </c>
      <c r="D1352" s="217" t="s">
        <v>84</v>
      </c>
      <c r="E1352" s="217" t="s">
        <v>92</v>
      </c>
      <c r="F1352" s="217" t="s">
        <v>91</v>
      </c>
      <c r="G1352" s="217" t="s">
        <v>966</v>
      </c>
      <c r="H1352" s="217" t="s">
        <v>967</v>
      </c>
      <c r="I1352" s="217" t="s">
        <v>616</v>
      </c>
      <c r="J1352" s="217" t="s">
        <v>1856</v>
      </c>
      <c r="K1352" s="217">
        <v>62</v>
      </c>
      <c r="L1352" s="217">
        <v>310</v>
      </c>
      <c r="M1352" s="217" t="s">
        <v>31</v>
      </c>
      <c r="N1352" s="217" t="s">
        <v>32</v>
      </c>
      <c r="O1352" s="217" t="s">
        <v>141</v>
      </c>
      <c r="P1352" s="217" t="s">
        <v>142</v>
      </c>
      <c r="Q1352" s="217" t="s">
        <v>143</v>
      </c>
      <c r="R1352" s="217" t="s">
        <v>142</v>
      </c>
      <c r="S1352" s="217" t="s">
        <v>619</v>
      </c>
      <c r="T1352" s="217" t="s">
        <v>32</v>
      </c>
      <c r="U1352" s="217" t="s">
        <v>32</v>
      </c>
      <c r="V1352" s="217" t="s">
        <v>32</v>
      </c>
      <c r="W1352" s="217" t="s">
        <v>32</v>
      </c>
    </row>
    <row r="1353" spans="1:23" x14ac:dyDescent="0.25">
      <c r="A1353" s="217" t="s">
        <v>22</v>
      </c>
      <c r="B1353" s="217" t="s">
        <v>23</v>
      </c>
      <c r="C1353" s="217" t="s">
        <v>85</v>
      </c>
      <c r="D1353" s="217" t="s">
        <v>84</v>
      </c>
      <c r="E1353" s="217" t="s">
        <v>92</v>
      </c>
      <c r="F1353" s="217" t="s">
        <v>91</v>
      </c>
      <c r="G1353" s="217" t="s">
        <v>290</v>
      </c>
      <c r="H1353" s="217" t="s">
        <v>968</v>
      </c>
      <c r="I1353" s="217" t="s">
        <v>616</v>
      </c>
      <c r="J1353" s="217" t="s">
        <v>1856</v>
      </c>
      <c r="K1353" s="217">
        <v>57</v>
      </c>
      <c r="L1353" s="217">
        <v>237</v>
      </c>
      <c r="M1353" s="217" t="s">
        <v>31</v>
      </c>
      <c r="N1353" s="217" t="s">
        <v>32</v>
      </c>
      <c r="O1353" s="217" t="s">
        <v>141</v>
      </c>
      <c r="P1353" s="217" t="s">
        <v>142</v>
      </c>
      <c r="Q1353" s="217" t="s">
        <v>143</v>
      </c>
      <c r="R1353" s="217" t="s">
        <v>142</v>
      </c>
      <c r="S1353" s="217" t="s">
        <v>619</v>
      </c>
      <c r="T1353" s="217" t="s">
        <v>32</v>
      </c>
      <c r="U1353" s="217" t="s">
        <v>32</v>
      </c>
      <c r="V1353" s="217" t="s">
        <v>32</v>
      </c>
      <c r="W1353" s="217" t="s">
        <v>32</v>
      </c>
    </row>
    <row r="1354" spans="1:23" x14ac:dyDescent="0.25">
      <c r="A1354" s="217" t="s">
        <v>22</v>
      </c>
      <c r="B1354" s="217" t="s">
        <v>23</v>
      </c>
      <c r="C1354" s="217" t="s">
        <v>85</v>
      </c>
      <c r="D1354" s="217" t="s">
        <v>84</v>
      </c>
      <c r="E1354" s="217" t="s">
        <v>92</v>
      </c>
      <c r="F1354" s="217" t="s">
        <v>91</v>
      </c>
      <c r="G1354" s="217" t="s">
        <v>1818</v>
      </c>
      <c r="H1354" s="217" t="s">
        <v>1817</v>
      </c>
      <c r="I1354" s="217" t="s">
        <v>616</v>
      </c>
      <c r="J1354" s="217" t="s">
        <v>1858</v>
      </c>
      <c r="K1354" s="217">
        <v>45</v>
      </c>
      <c r="L1354" s="217">
        <v>175</v>
      </c>
      <c r="M1354" s="217" t="s">
        <v>31</v>
      </c>
      <c r="N1354" s="217" t="s">
        <v>32</v>
      </c>
      <c r="O1354" s="217" t="s">
        <v>141</v>
      </c>
      <c r="P1354" s="217" t="s">
        <v>142</v>
      </c>
      <c r="Q1354" s="217" t="s">
        <v>143</v>
      </c>
      <c r="R1354" s="217" t="s">
        <v>142</v>
      </c>
      <c r="S1354" s="217" t="s">
        <v>619</v>
      </c>
      <c r="T1354" s="217" t="s">
        <v>32</v>
      </c>
      <c r="U1354" s="217" t="s">
        <v>32</v>
      </c>
      <c r="V1354" s="217" t="s">
        <v>32</v>
      </c>
      <c r="W1354" s="217" t="s">
        <v>32</v>
      </c>
    </row>
    <row r="1355" spans="1:23" x14ac:dyDescent="0.25">
      <c r="A1355" s="217" t="s">
        <v>22</v>
      </c>
      <c r="B1355" s="217" t="s">
        <v>23</v>
      </c>
      <c r="C1355" s="217" t="s">
        <v>85</v>
      </c>
      <c r="D1355" s="217" t="s">
        <v>84</v>
      </c>
      <c r="E1355" s="217" t="s">
        <v>92</v>
      </c>
      <c r="F1355" s="217" t="s">
        <v>91</v>
      </c>
      <c r="G1355" s="217" t="s">
        <v>292</v>
      </c>
      <c r="H1355" s="217" t="s">
        <v>970</v>
      </c>
      <c r="I1355" s="217" t="s">
        <v>616</v>
      </c>
      <c r="J1355" s="217" t="s">
        <v>1857</v>
      </c>
      <c r="K1355" s="217">
        <v>106</v>
      </c>
      <c r="L1355" s="217">
        <v>340</v>
      </c>
      <c r="M1355" s="217" t="s">
        <v>31</v>
      </c>
      <c r="N1355" s="217" t="s">
        <v>32</v>
      </c>
      <c r="O1355" s="217" t="s">
        <v>141</v>
      </c>
      <c r="P1355" s="217" t="s">
        <v>142</v>
      </c>
      <c r="Q1355" s="217" t="s">
        <v>143</v>
      </c>
      <c r="R1355" s="217" t="s">
        <v>142</v>
      </c>
      <c r="S1355" s="217" t="s">
        <v>619</v>
      </c>
      <c r="T1355" s="217" t="s">
        <v>32</v>
      </c>
      <c r="U1355" s="217" t="s">
        <v>32</v>
      </c>
      <c r="V1355" s="217" t="s">
        <v>32</v>
      </c>
      <c r="W1355" s="217" t="s">
        <v>32</v>
      </c>
    </row>
    <row r="1356" spans="1:23" x14ac:dyDescent="0.25">
      <c r="A1356" s="217" t="s">
        <v>22</v>
      </c>
      <c r="B1356" s="217" t="s">
        <v>23</v>
      </c>
      <c r="C1356" s="217" t="s">
        <v>85</v>
      </c>
      <c r="D1356" s="217" t="s">
        <v>84</v>
      </c>
      <c r="E1356" s="217" t="s">
        <v>157</v>
      </c>
      <c r="F1356" s="217" t="s">
        <v>156</v>
      </c>
      <c r="G1356" s="217" t="s">
        <v>339</v>
      </c>
      <c r="H1356" s="217" t="s">
        <v>1026</v>
      </c>
      <c r="I1356" s="217" t="s">
        <v>616</v>
      </c>
      <c r="J1356" s="217" t="s">
        <v>1856</v>
      </c>
      <c r="K1356" s="217">
        <v>5</v>
      </c>
      <c r="L1356" s="217">
        <v>21</v>
      </c>
      <c r="M1356" s="217" t="s">
        <v>31</v>
      </c>
      <c r="N1356" s="217" t="s">
        <v>32</v>
      </c>
      <c r="O1356" s="217" t="s">
        <v>141</v>
      </c>
      <c r="P1356" s="217" t="s">
        <v>142</v>
      </c>
      <c r="Q1356" s="217" t="s">
        <v>143</v>
      </c>
      <c r="R1356" s="217" t="s">
        <v>142</v>
      </c>
      <c r="S1356" s="217" t="s">
        <v>619</v>
      </c>
      <c r="T1356" s="217" t="s">
        <v>32</v>
      </c>
      <c r="U1356" s="217" t="s">
        <v>32</v>
      </c>
      <c r="V1356" s="217" t="s">
        <v>32</v>
      </c>
      <c r="W1356" s="217" t="s">
        <v>32</v>
      </c>
    </row>
    <row r="1357" spans="1:23" x14ac:dyDescent="0.25">
      <c r="A1357" s="217" t="s">
        <v>22</v>
      </c>
      <c r="B1357" s="217" t="s">
        <v>23</v>
      </c>
      <c r="C1357" s="217" t="s">
        <v>85</v>
      </c>
      <c r="D1357" s="217" t="s">
        <v>84</v>
      </c>
      <c r="E1357" s="217" t="s">
        <v>157</v>
      </c>
      <c r="F1357" s="217" t="s">
        <v>156</v>
      </c>
      <c r="G1357" s="217" t="s">
        <v>357</v>
      </c>
      <c r="H1357" s="217" t="s">
        <v>1044</v>
      </c>
      <c r="I1357" s="217" t="s">
        <v>616</v>
      </c>
      <c r="J1357" s="217" t="s">
        <v>1857</v>
      </c>
      <c r="K1357" s="217">
        <v>1</v>
      </c>
      <c r="L1357" s="217">
        <v>10</v>
      </c>
      <c r="M1357" s="217" t="s">
        <v>31</v>
      </c>
      <c r="N1357" s="217" t="s">
        <v>32</v>
      </c>
      <c r="O1357" s="217" t="s">
        <v>141</v>
      </c>
      <c r="P1357" s="217" t="s">
        <v>142</v>
      </c>
      <c r="Q1357" s="217" t="s">
        <v>143</v>
      </c>
      <c r="R1357" s="217" t="s">
        <v>142</v>
      </c>
      <c r="S1357" s="217" t="s">
        <v>619</v>
      </c>
      <c r="T1357" s="217" t="s">
        <v>32</v>
      </c>
      <c r="U1357" s="217" t="s">
        <v>32</v>
      </c>
      <c r="V1357" s="217" t="s">
        <v>32</v>
      </c>
      <c r="W1357" s="217" t="s">
        <v>32</v>
      </c>
    </row>
    <row r="1358" spans="1:23" x14ac:dyDescent="0.25">
      <c r="A1358" s="217" t="s">
        <v>22</v>
      </c>
      <c r="B1358" s="217" t="s">
        <v>23</v>
      </c>
      <c r="C1358" s="217" t="s">
        <v>85</v>
      </c>
      <c r="D1358" s="217" t="s">
        <v>84</v>
      </c>
      <c r="E1358" s="217" t="s">
        <v>151</v>
      </c>
      <c r="F1358" s="217" t="s">
        <v>150</v>
      </c>
      <c r="G1358" s="217" t="s">
        <v>1063</v>
      </c>
      <c r="H1358" s="217" t="s">
        <v>1064</v>
      </c>
      <c r="I1358" s="217" t="s">
        <v>616</v>
      </c>
      <c r="J1358" s="217" t="s">
        <v>1858</v>
      </c>
      <c r="K1358" s="217">
        <v>20</v>
      </c>
      <c r="L1358" s="217">
        <v>110</v>
      </c>
      <c r="M1358" s="217" t="s">
        <v>31</v>
      </c>
      <c r="N1358" s="217" t="s">
        <v>32</v>
      </c>
      <c r="O1358" s="217" t="s">
        <v>141</v>
      </c>
      <c r="P1358" s="217" t="s">
        <v>142</v>
      </c>
      <c r="Q1358" s="217" t="s">
        <v>143</v>
      </c>
      <c r="R1358" s="217" t="s">
        <v>142</v>
      </c>
      <c r="S1358" s="217" t="s">
        <v>619</v>
      </c>
      <c r="T1358" s="217" t="s">
        <v>32</v>
      </c>
      <c r="U1358" s="217" t="s">
        <v>32</v>
      </c>
      <c r="V1358" s="217" t="s">
        <v>32</v>
      </c>
      <c r="W1358" s="217" t="s">
        <v>32</v>
      </c>
    </row>
    <row r="1359" spans="1:23" x14ac:dyDescent="0.25">
      <c r="A1359" s="217" t="s">
        <v>22</v>
      </c>
      <c r="B1359" s="217" t="s">
        <v>23</v>
      </c>
      <c r="C1359" s="217" t="s">
        <v>85</v>
      </c>
      <c r="D1359" s="217" t="s">
        <v>84</v>
      </c>
      <c r="E1359" s="217" t="s">
        <v>151</v>
      </c>
      <c r="F1359" s="217" t="s">
        <v>150</v>
      </c>
      <c r="G1359" s="217" t="s">
        <v>778</v>
      </c>
      <c r="H1359" s="217" t="s">
        <v>1067</v>
      </c>
      <c r="I1359" s="217" t="s">
        <v>616</v>
      </c>
      <c r="J1359" s="217" t="s">
        <v>1856</v>
      </c>
      <c r="K1359" s="217">
        <v>3</v>
      </c>
      <c r="L1359" s="217">
        <v>23</v>
      </c>
      <c r="M1359" s="217" t="s">
        <v>31</v>
      </c>
      <c r="N1359" s="217" t="s">
        <v>32</v>
      </c>
      <c r="O1359" s="217" t="s">
        <v>141</v>
      </c>
      <c r="P1359" s="217" t="s">
        <v>142</v>
      </c>
      <c r="Q1359" s="217" t="s">
        <v>143</v>
      </c>
      <c r="R1359" s="217" t="s">
        <v>142</v>
      </c>
      <c r="S1359" s="217" t="s">
        <v>619</v>
      </c>
      <c r="T1359" s="217" t="s">
        <v>32</v>
      </c>
      <c r="U1359" s="217" t="s">
        <v>32</v>
      </c>
      <c r="V1359" s="217" t="s">
        <v>32</v>
      </c>
      <c r="W1359" s="217" t="s">
        <v>32</v>
      </c>
    </row>
    <row r="1360" spans="1:23" x14ac:dyDescent="0.25">
      <c r="A1360" s="217" t="s">
        <v>22</v>
      </c>
      <c r="B1360" s="217" t="s">
        <v>23</v>
      </c>
      <c r="C1360" s="217" t="s">
        <v>85</v>
      </c>
      <c r="D1360" s="217" t="s">
        <v>84</v>
      </c>
      <c r="E1360" s="217" t="s">
        <v>151</v>
      </c>
      <c r="F1360" s="217" t="s">
        <v>150</v>
      </c>
      <c r="G1360" s="217" t="s">
        <v>781</v>
      </c>
      <c r="H1360" s="217" t="s">
        <v>1071</v>
      </c>
      <c r="I1360" s="217" t="s">
        <v>616</v>
      </c>
      <c r="J1360" s="217" t="s">
        <v>1856</v>
      </c>
      <c r="K1360" s="217">
        <v>5</v>
      </c>
      <c r="L1360" s="217">
        <v>49</v>
      </c>
      <c r="M1360" s="217" t="s">
        <v>31</v>
      </c>
      <c r="N1360" s="217" t="s">
        <v>32</v>
      </c>
      <c r="O1360" s="217" t="s">
        <v>141</v>
      </c>
      <c r="P1360" s="217" t="s">
        <v>142</v>
      </c>
      <c r="Q1360" s="217" t="s">
        <v>143</v>
      </c>
      <c r="R1360" s="217" t="s">
        <v>142</v>
      </c>
      <c r="S1360" s="217" t="s">
        <v>619</v>
      </c>
      <c r="T1360" s="217" t="s">
        <v>32</v>
      </c>
      <c r="U1360" s="217" t="s">
        <v>32</v>
      </c>
      <c r="V1360" s="217" t="s">
        <v>32</v>
      </c>
      <c r="W1360" s="217" t="s">
        <v>32</v>
      </c>
    </row>
    <row r="1361" spans="1:23" x14ac:dyDescent="0.25">
      <c r="A1361" s="217" t="s">
        <v>22</v>
      </c>
      <c r="B1361" s="217" t="s">
        <v>23</v>
      </c>
      <c r="C1361" s="217" t="s">
        <v>85</v>
      </c>
      <c r="D1361" s="217" t="s">
        <v>84</v>
      </c>
      <c r="E1361" s="217" t="s">
        <v>151</v>
      </c>
      <c r="F1361" s="217" t="s">
        <v>150</v>
      </c>
      <c r="G1361" s="217" t="s">
        <v>786</v>
      </c>
      <c r="H1361" s="217" t="s">
        <v>1095</v>
      </c>
      <c r="I1361" s="217" t="s">
        <v>616</v>
      </c>
      <c r="J1361" s="217" t="s">
        <v>1856</v>
      </c>
      <c r="K1361" s="217">
        <v>44</v>
      </c>
      <c r="L1361" s="217">
        <v>204</v>
      </c>
      <c r="M1361" s="217" t="s">
        <v>31</v>
      </c>
      <c r="N1361" s="217" t="s">
        <v>32</v>
      </c>
      <c r="O1361" s="217" t="s">
        <v>141</v>
      </c>
      <c r="P1361" s="217" t="s">
        <v>142</v>
      </c>
      <c r="Q1361" s="217" t="s">
        <v>143</v>
      </c>
      <c r="R1361" s="217" t="s">
        <v>142</v>
      </c>
      <c r="S1361" s="217" t="s">
        <v>619</v>
      </c>
      <c r="T1361" s="217" t="s">
        <v>32</v>
      </c>
      <c r="U1361" s="217" t="s">
        <v>32</v>
      </c>
      <c r="V1361" s="217" t="s">
        <v>32</v>
      </c>
      <c r="W1361" s="217" t="s">
        <v>32</v>
      </c>
    </row>
    <row r="1362" spans="1:23" x14ac:dyDescent="0.25">
      <c r="A1362" s="217" t="s">
        <v>22</v>
      </c>
      <c r="B1362" s="217" t="s">
        <v>23</v>
      </c>
      <c r="C1362" s="217" t="s">
        <v>85</v>
      </c>
      <c r="D1362" s="217" t="s">
        <v>84</v>
      </c>
      <c r="E1362" s="217" t="s">
        <v>151</v>
      </c>
      <c r="F1362" s="217" t="s">
        <v>150</v>
      </c>
      <c r="G1362" s="217" t="s">
        <v>82</v>
      </c>
      <c r="H1362" s="217" t="s">
        <v>1502</v>
      </c>
      <c r="I1362" s="217" t="s">
        <v>616</v>
      </c>
      <c r="J1362" s="217" t="s">
        <v>1858</v>
      </c>
      <c r="K1362" s="217">
        <v>17</v>
      </c>
      <c r="L1362" s="217">
        <v>100</v>
      </c>
      <c r="M1362" s="217" t="s">
        <v>31</v>
      </c>
      <c r="N1362" s="217" t="s">
        <v>32</v>
      </c>
      <c r="O1362" s="217" t="s">
        <v>141</v>
      </c>
      <c r="P1362" s="217" t="s">
        <v>142</v>
      </c>
      <c r="Q1362" s="217" t="s">
        <v>143</v>
      </c>
      <c r="R1362" s="217" t="s">
        <v>142</v>
      </c>
      <c r="S1362" s="217" t="s">
        <v>619</v>
      </c>
      <c r="T1362" s="217" t="s">
        <v>32</v>
      </c>
      <c r="U1362" s="217" t="s">
        <v>32</v>
      </c>
      <c r="V1362" s="217" t="s">
        <v>32</v>
      </c>
      <c r="W1362" s="217" t="s">
        <v>32</v>
      </c>
    </row>
    <row r="1363" spans="1:23" x14ac:dyDescent="0.25">
      <c r="A1363" s="217" t="s">
        <v>22</v>
      </c>
      <c r="B1363" s="217" t="s">
        <v>23</v>
      </c>
      <c r="C1363" s="217" t="s">
        <v>85</v>
      </c>
      <c r="D1363" s="217" t="s">
        <v>84</v>
      </c>
      <c r="E1363" s="217" t="s">
        <v>151</v>
      </c>
      <c r="F1363" s="217" t="s">
        <v>150</v>
      </c>
      <c r="G1363" s="217" t="s">
        <v>1096</v>
      </c>
      <c r="H1363" s="217" t="s">
        <v>1097</v>
      </c>
      <c r="I1363" s="217" t="s">
        <v>616</v>
      </c>
      <c r="J1363" s="217" t="s">
        <v>1858</v>
      </c>
      <c r="K1363" s="217">
        <v>22</v>
      </c>
      <c r="L1363" s="217">
        <v>168</v>
      </c>
      <c r="M1363" s="217" t="s">
        <v>31</v>
      </c>
      <c r="N1363" s="217" t="s">
        <v>32</v>
      </c>
      <c r="O1363" s="217" t="s">
        <v>141</v>
      </c>
      <c r="P1363" s="217" t="s">
        <v>142</v>
      </c>
      <c r="Q1363" s="217" t="s">
        <v>143</v>
      </c>
      <c r="R1363" s="217" t="s">
        <v>142</v>
      </c>
      <c r="S1363" s="217" t="s">
        <v>619</v>
      </c>
      <c r="T1363" s="217" t="s">
        <v>32</v>
      </c>
      <c r="U1363" s="217" t="s">
        <v>32</v>
      </c>
      <c r="V1363" s="217" t="s">
        <v>32</v>
      </c>
      <c r="W1363" s="217" t="s">
        <v>32</v>
      </c>
    </row>
    <row r="1364" spans="1:23" x14ac:dyDescent="0.25">
      <c r="A1364" s="217" t="s">
        <v>22</v>
      </c>
      <c r="B1364" s="217" t="s">
        <v>23</v>
      </c>
      <c r="C1364" s="217" t="s">
        <v>85</v>
      </c>
      <c r="D1364" s="217" t="s">
        <v>84</v>
      </c>
      <c r="E1364" s="217" t="s">
        <v>151</v>
      </c>
      <c r="F1364" s="217" t="s">
        <v>150</v>
      </c>
      <c r="G1364" s="217" t="s">
        <v>787</v>
      </c>
      <c r="H1364" s="217" t="s">
        <v>1098</v>
      </c>
      <c r="I1364" s="217" t="s">
        <v>616</v>
      </c>
      <c r="J1364" s="217" t="s">
        <v>1856</v>
      </c>
      <c r="K1364" s="217">
        <v>66</v>
      </c>
      <c r="L1364" s="217">
        <v>207</v>
      </c>
      <c r="M1364" s="217" t="s">
        <v>31</v>
      </c>
      <c r="N1364" s="217" t="s">
        <v>32</v>
      </c>
      <c r="O1364" s="217" t="s">
        <v>141</v>
      </c>
      <c r="P1364" s="217" t="s">
        <v>142</v>
      </c>
      <c r="Q1364" s="217" t="s">
        <v>143</v>
      </c>
      <c r="R1364" s="217" t="s">
        <v>142</v>
      </c>
      <c r="S1364" s="217" t="s">
        <v>619</v>
      </c>
      <c r="T1364" s="217" t="s">
        <v>32</v>
      </c>
      <c r="U1364" s="217" t="s">
        <v>32</v>
      </c>
      <c r="V1364" s="217" t="s">
        <v>32</v>
      </c>
      <c r="W1364" s="217" t="s">
        <v>32</v>
      </c>
    </row>
    <row r="1365" spans="1:23" x14ac:dyDescent="0.25">
      <c r="A1365" s="217" t="s">
        <v>22</v>
      </c>
      <c r="B1365" s="217" t="s">
        <v>23</v>
      </c>
      <c r="C1365" s="217" t="s">
        <v>85</v>
      </c>
      <c r="D1365" s="217" t="s">
        <v>84</v>
      </c>
      <c r="E1365" s="217" t="s">
        <v>151</v>
      </c>
      <c r="F1365" s="217" t="s">
        <v>150</v>
      </c>
      <c r="G1365" s="217" t="s">
        <v>788</v>
      </c>
      <c r="H1365" s="217" t="s">
        <v>1101</v>
      </c>
      <c r="I1365" s="217" t="s">
        <v>616</v>
      </c>
      <c r="J1365" s="217" t="s">
        <v>1856</v>
      </c>
      <c r="K1365" s="217">
        <v>28</v>
      </c>
      <c r="L1365" s="217">
        <v>152</v>
      </c>
      <c r="M1365" s="217" t="s">
        <v>31</v>
      </c>
      <c r="N1365" s="217" t="s">
        <v>32</v>
      </c>
      <c r="O1365" s="217" t="s">
        <v>141</v>
      </c>
      <c r="P1365" s="217" t="s">
        <v>142</v>
      </c>
      <c r="Q1365" s="217" t="s">
        <v>143</v>
      </c>
      <c r="R1365" s="217" t="s">
        <v>142</v>
      </c>
      <c r="S1365" s="217" t="s">
        <v>619</v>
      </c>
      <c r="T1365" s="217" t="s">
        <v>32</v>
      </c>
      <c r="U1365" s="217" t="s">
        <v>32</v>
      </c>
      <c r="V1365" s="217" t="s">
        <v>32</v>
      </c>
      <c r="W1365" s="217" t="s">
        <v>32</v>
      </c>
    </row>
    <row r="1366" spans="1:23" x14ac:dyDescent="0.25">
      <c r="A1366" s="217" t="s">
        <v>22</v>
      </c>
      <c r="B1366" s="217" t="s">
        <v>23</v>
      </c>
      <c r="C1366" s="217" t="s">
        <v>85</v>
      </c>
      <c r="D1366" s="217" t="s">
        <v>84</v>
      </c>
      <c r="E1366" s="217" t="s">
        <v>151</v>
      </c>
      <c r="F1366" s="217" t="s">
        <v>150</v>
      </c>
      <c r="G1366" s="217" t="s">
        <v>775</v>
      </c>
      <c r="H1366" s="217" t="s">
        <v>1102</v>
      </c>
      <c r="I1366" s="217" t="s">
        <v>616</v>
      </c>
      <c r="J1366" s="217" t="s">
        <v>1856</v>
      </c>
      <c r="K1366" s="217">
        <v>50</v>
      </c>
      <c r="L1366" s="217">
        <v>425</v>
      </c>
      <c r="M1366" s="217" t="s">
        <v>31</v>
      </c>
      <c r="N1366" s="217" t="s">
        <v>32</v>
      </c>
      <c r="O1366" s="217" t="s">
        <v>141</v>
      </c>
      <c r="P1366" s="217" t="s">
        <v>142</v>
      </c>
      <c r="Q1366" s="217" t="s">
        <v>143</v>
      </c>
      <c r="R1366" s="217" t="s">
        <v>142</v>
      </c>
      <c r="S1366" s="217" t="s">
        <v>619</v>
      </c>
      <c r="T1366" s="217" t="s">
        <v>32</v>
      </c>
      <c r="U1366" s="217" t="s">
        <v>32</v>
      </c>
      <c r="V1366" s="217" t="s">
        <v>32</v>
      </c>
      <c r="W1366" s="217" t="s">
        <v>32</v>
      </c>
    </row>
    <row r="1367" spans="1:23" x14ac:dyDescent="0.25">
      <c r="A1367" s="217" t="s">
        <v>22</v>
      </c>
      <c r="B1367" s="217" t="s">
        <v>23</v>
      </c>
      <c r="C1367" s="217" t="s">
        <v>85</v>
      </c>
      <c r="D1367" s="217" t="s">
        <v>84</v>
      </c>
      <c r="E1367" s="217" t="s">
        <v>151</v>
      </c>
      <c r="F1367" s="217" t="s">
        <v>150</v>
      </c>
      <c r="G1367" s="217" t="s">
        <v>789</v>
      </c>
      <c r="H1367" s="217" t="s">
        <v>1103</v>
      </c>
      <c r="I1367" s="217" t="s">
        <v>616</v>
      </c>
      <c r="J1367" s="217" t="s">
        <v>1856</v>
      </c>
      <c r="K1367" s="217">
        <v>50</v>
      </c>
      <c r="L1367" s="217">
        <v>152</v>
      </c>
      <c r="M1367" s="217" t="s">
        <v>31</v>
      </c>
      <c r="N1367" s="217" t="s">
        <v>32</v>
      </c>
      <c r="O1367" s="217" t="s">
        <v>141</v>
      </c>
      <c r="P1367" s="217" t="s">
        <v>142</v>
      </c>
      <c r="Q1367" s="217" t="s">
        <v>143</v>
      </c>
      <c r="R1367" s="217" t="s">
        <v>142</v>
      </c>
      <c r="S1367" s="217" t="s">
        <v>619</v>
      </c>
      <c r="T1367" s="217" t="s">
        <v>32</v>
      </c>
      <c r="U1367" s="217" t="s">
        <v>32</v>
      </c>
      <c r="V1367" s="217" t="s">
        <v>32</v>
      </c>
      <c r="W1367" s="217" t="s">
        <v>32</v>
      </c>
    </row>
    <row r="1368" spans="1:23" x14ac:dyDescent="0.25">
      <c r="A1368" s="217" t="s">
        <v>22</v>
      </c>
      <c r="B1368" s="217" t="s">
        <v>23</v>
      </c>
      <c r="C1368" s="217" t="s">
        <v>85</v>
      </c>
      <c r="D1368" s="217" t="s">
        <v>84</v>
      </c>
      <c r="E1368" s="217" t="s">
        <v>151</v>
      </c>
      <c r="F1368" s="217" t="s">
        <v>150</v>
      </c>
      <c r="G1368" s="217" t="s">
        <v>1104</v>
      </c>
      <c r="H1368" s="217" t="s">
        <v>1105</v>
      </c>
      <c r="I1368" s="217" t="s">
        <v>616</v>
      </c>
      <c r="J1368" s="217" t="s">
        <v>1857</v>
      </c>
      <c r="K1368" s="217">
        <v>25</v>
      </c>
      <c r="L1368" s="217">
        <v>212</v>
      </c>
      <c r="M1368" s="217" t="s">
        <v>31</v>
      </c>
      <c r="N1368" s="217" t="s">
        <v>32</v>
      </c>
      <c r="O1368" s="217" t="s">
        <v>141</v>
      </c>
      <c r="P1368" s="217" t="s">
        <v>142</v>
      </c>
      <c r="Q1368" s="217" t="s">
        <v>143</v>
      </c>
      <c r="R1368" s="217" t="s">
        <v>142</v>
      </c>
      <c r="S1368" s="217" t="s">
        <v>619</v>
      </c>
      <c r="T1368" s="217" t="s">
        <v>32</v>
      </c>
      <c r="U1368" s="217" t="s">
        <v>32</v>
      </c>
      <c r="V1368" s="217" t="s">
        <v>32</v>
      </c>
      <c r="W1368" s="217" t="s">
        <v>32</v>
      </c>
    </row>
    <row r="1369" spans="1:23" x14ac:dyDescent="0.25">
      <c r="A1369" s="217" t="s">
        <v>22</v>
      </c>
      <c r="B1369" s="217" t="s">
        <v>23</v>
      </c>
      <c r="C1369" s="217" t="s">
        <v>85</v>
      </c>
      <c r="D1369" s="217" t="s">
        <v>84</v>
      </c>
      <c r="E1369" s="217" t="s">
        <v>151</v>
      </c>
      <c r="F1369" s="217" t="s">
        <v>150</v>
      </c>
      <c r="G1369" s="217" t="s">
        <v>790</v>
      </c>
      <c r="H1369" s="217" t="s">
        <v>1107</v>
      </c>
      <c r="I1369" s="217" t="s">
        <v>616</v>
      </c>
      <c r="J1369" s="217" t="s">
        <v>1856</v>
      </c>
      <c r="K1369" s="217">
        <v>5</v>
      </c>
      <c r="L1369" s="217">
        <v>28</v>
      </c>
      <c r="M1369" s="217" t="s">
        <v>31</v>
      </c>
      <c r="N1369" s="217" t="s">
        <v>32</v>
      </c>
      <c r="O1369" s="217" t="s">
        <v>141</v>
      </c>
      <c r="P1369" s="217" t="s">
        <v>142</v>
      </c>
      <c r="Q1369" s="217" t="s">
        <v>143</v>
      </c>
      <c r="R1369" s="217" t="s">
        <v>142</v>
      </c>
      <c r="S1369" s="217" t="s">
        <v>619</v>
      </c>
      <c r="T1369" s="217" t="s">
        <v>32</v>
      </c>
      <c r="U1369" s="217" t="s">
        <v>32</v>
      </c>
      <c r="V1369" s="217" t="s">
        <v>32</v>
      </c>
      <c r="W1369" s="217" t="s">
        <v>32</v>
      </c>
    </row>
    <row r="1370" spans="1:23" x14ac:dyDescent="0.25">
      <c r="A1370" s="217" t="s">
        <v>22</v>
      </c>
      <c r="B1370" s="217" t="s">
        <v>23</v>
      </c>
      <c r="C1370" s="217" t="s">
        <v>85</v>
      </c>
      <c r="D1370" s="217" t="s">
        <v>84</v>
      </c>
      <c r="E1370" s="217" t="s">
        <v>98</v>
      </c>
      <c r="F1370" s="217" t="s">
        <v>97</v>
      </c>
      <c r="G1370" s="217" t="s">
        <v>372</v>
      </c>
      <c r="H1370" s="217" t="s">
        <v>1116</v>
      </c>
      <c r="I1370" s="217" t="s">
        <v>616</v>
      </c>
      <c r="J1370" s="217" t="s">
        <v>1856</v>
      </c>
      <c r="K1370" s="217">
        <v>4</v>
      </c>
      <c r="L1370" s="217">
        <v>25</v>
      </c>
      <c r="M1370" s="217" t="s">
        <v>31</v>
      </c>
      <c r="N1370" s="217" t="s">
        <v>32</v>
      </c>
      <c r="O1370" s="217" t="s">
        <v>141</v>
      </c>
      <c r="P1370" s="217" t="s">
        <v>142</v>
      </c>
      <c r="Q1370" s="217" t="s">
        <v>143</v>
      </c>
      <c r="R1370" s="217" t="s">
        <v>142</v>
      </c>
      <c r="S1370" s="217" t="s">
        <v>619</v>
      </c>
      <c r="T1370" s="217" t="s">
        <v>32</v>
      </c>
      <c r="U1370" s="217" t="s">
        <v>32</v>
      </c>
      <c r="V1370" s="217" t="s">
        <v>32</v>
      </c>
      <c r="W1370" s="217" t="s">
        <v>32</v>
      </c>
    </row>
    <row r="1371" spans="1:23" x14ac:dyDescent="0.25">
      <c r="A1371" s="217" t="s">
        <v>22</v>
      </c>
      <c r="B1371" s="217" t="s">
        <v>23</v>
      </c>
      <c r="C1371" s="217" t="s">
        <v>85</v>
      </c>
      <c r="D1371" s="217" t="s">
        <v>84</v>
      </c>
      <c r="E1371" s="217" t="s">
        <v>98</v>
      </c>
      <c r="F1371" s="217" t="s">
        <v>97</v>
      </c>
      <c r="G1371" s="217" t="s">
        <v>372</v>
      </c>
      <c r="H1371" s="217" t="s">
        <v>1116</v>
      </c>
      <c r="I1371" s="217" t="s">
        <v>616</v>
      </c>
      <c r="J1371" s="217" t="s">
        <v>1857</v>
      </c>
      <c r="K1371" s="217">
        <v>3</v>
      </c>
      <c r="L1371" s="217">
        <v>15</v>
      </c>
      <c r="M1371" s="217" t="s">
        <v>31</v>
      </c>
      <c r="N1371" s="217" t="s">
        <v>32</v>
      </c>
      <c r="O1371" s="217" t="s">
        <v>141</v>
      </c>
      <c r="P1371" s="217" t="s">
        <v>142</v>
      </c>
      <c r="Q1371" s="217" t="s">
        <v>143</v>
      </c>
      <c r="R1371" s="217" t="s">
        <v>142</v>
      </c>
      <c r="S1371" s="217" t="s">
        <v>619</v>
      </c>
      <c r="T1371" s="217" t="s">
        <v>32</v>
      </c>
      <c r="U1371" s="217" t="s">
        <v>32</v>
      </c>
      <c r="V1371" s="217" t="s">
        <v>32</v>
      </c>
      <c r="W1371" s="217" t="s">
        <v>32</v>
      </c>
    </row>
    <row r="1372" spans="1:23" x14ac:dyDescent="0.25">
      <c r="A1372" s="217" t="s">
        <v>22</v>
      </c>
      <c r="B1372" s="217" t="s">
        <v>23</v>
      </c>
      <c r="C1372" s="217" t="s">
        <v>85</v>
      </c>
      <c r="D1372" s="217" t="s">
        <v>84</v>
      </c>
      <c r="E1372" s="217" t="s">
        <v>98</v>
      </c>
      <c r="F1372" s="217" t="s">
        <v>97</v>
      </c>
      <c r="G1372" s="217" t="s">
        <v>153</v>
      </c>
      <c r="H1372" s="217" t="s">
        <v>1117</v>
      </c>
      <c r="I1372" s="217" t="s">
        <v>616</v>
      </c>
      <c r="J1372" s="217" t="s">
        <v>1856</v>
      </c>
      <c r="K1372" s="217">
        <v>20</v>
      </c>
      <c r="L1372" s="217">
        <v>198</v>
      </c>
      <c r="M1372" s="217" t="s">
        <v>31</v>
      </c>
      <c r="N1372" s="217" t="s">
        <v>32</v>
      </c>
      <c r="O1372" s="217" t="s">
        <v>141</v>
      </c>
      <c r="P1372" s="217" t="s">
        <v>142</v>
      </c>
      <c r="Q1372" s="217" t="s">
        <v>143</v>
      </c>
      <c r="R1372" s="217" t="s">
        <v>142</v>
      </c>
      <c r="S1372" s="217" t="s">
        <v>619</v>
      </c>
      <c r="T1372" s="217" t="s">
        <v>32</v>
      </c>
      <c r="U1372" s="217" t="s">
        <v>32</v>
      </c>
      <c r="V1372" s="217" t="s">
        <v>32</v>
      </c>
      <c r="W1372" s="217" t="s">
        <v>32</v>
      </c>
    </row>
    <row r="1373" spans="1:23" x14ac:dyDescent="0.25">
      <c r="A1373" s="217" t="s">
        <v>22</v>
      </c>
      <c r="B1373" s="217" t="s">
        <v>23</v>
      </c>
      <c r="C1373" s="217" t="s">
        <v>85</v>
      </c>
      <c r="D1373" s="217" t="s">
        <v>84</v>
      </c>
      <c r="E1373" s="217" t="s">
        <v>98</v>
      </c>
      <c r="F1373" s="217" t="s">
        <v>97</v>
      </c>
      <c r="G1373" s="217" t="s">
        <v>153</v>
      </c>
      <c r="H1373" s="217" t="s">
        <v>1117</v>
      </c>
      <c r="I1373" s="217" t="s">
        <v>616</v>
      </c>
      <c r="J1373" s="217" t="s">
        <v>1857</v>
      </c>
      <c r="K1373" s="217">
        <v>27</v>
      </c>
      <c r="L1373" s="217">
        <v>202</v>
      </c>
      <c r="M1373" s="217" t="s">
        <v>31</v>
      </c>
      <c r="N1373" s="217" t="s">
        <v>32</v>
      </c>
      <c r="O1373" s="217" t="s">
        <v>141</v>
      </c>
      <c r="P1373" s="217" t="s">
        <v>142</v>
      </c>
      <c r="Q1373" s="217" t="s">
        <v>143</v>
      </c>
      <c r="R1373" s="217" t="s">
        <v>142</v>
      </c>
      <c r="S1373" s="217" t="s">
        <v>619</v>
      </c>
      <c r="T1373" s="217" t="s">
        <v>32</v>
      </c>
      <c r="U1373" s="217" t="s">
        <v>32</v>
      </c>
      <c r="V1373" s="217" t="s">
        <v>32</v>
      </c>
      <c r="W1373" s="217" t="s">
        <v>32</v>
      </c>
    </row>
    <row r="1374" spans="1:23" x14ac:dyDescent="0.25">
      <c r="A1374" s="217" t="s">
        <v>22</v>
      </c>
      <c r="B1374" s="217" t="s">
        <v>23</v>
      </c>
      <c r="C1374" s="217" t="s">
        <v>85</v>
      </c>
      <c r="D1374" s="217" t="s">
        <v>84</v>
      </c>
      <c r="E1374" s="217" t="s">
        <v>98</v>
      </c>
      <c r="F1374" s="217" t="s">
        <v>97</v>
      </c>
      <c r="G1374" s="217" t="s">
        <v>153</v>
      </c>
      <c r="H1374" s="217" t="s">
        <v>1117</v>
      </c>
      <c r="I1374" s="217" t="s">
        <v>616</v>
      </c>
      <c r="J1374" s="217" t="s">
        <v>1858</v>
      </c>
      <c r="K1374" s="217">
        <v>5</v>
      </c>
      <c r="L1374" s="217">
        <v>42</v>
      </c>
      <c r="M1374" s="217" t="s">
        <v>31</v>
      </c>
      <c r="N1374" s="217" t="s">
        <v>32</v>
      </c>
      <c r="O1374" s="217" t="s">
        <v>141</v>
      </c>
      <c r="P1374" s="217" t="s">
        <v>142</v>
      </c>
      <c r="Q1374" s="217" t="s">
        <v>143</v>
      </c>
      <c r="R1374" s="217" t="s">
        <v>142</v>
      </c>
      <c r="S1374" s="217" t="s">
        <v>619</v>
      </c>
      <c r="T1374" s="217" t="s">
        <v>32</v>
      </c>
      <c r="U1374" s="217" t="s">
        <v>32</v>
      </c>
      <c r="V1374" s="217" t="s">
        <v>32</v>
      </c>
      <c r="W1374" s="217" t="s">
        <v>32</v>
      </c>
    </row>
    <row r="1375" spans="1:23" x14ac:dyDescent="0.25">
      <c r="A1375" s="217" t="s">
        <v>22</v>
      </c>
      <c r="B1375" s="217" t="s">
        <v>23</v>
      </c>
      <c r="C1375" s="217" t="s">
        <v>85</v>
      </c>
      <c r="D1375" s="217" t="s">
        <v>84</v>
      </c>
      <c r="E1375" s="217" t="s">
        <v>98</v>
      </c>
      <c r="F1375" s="217" t="s">
        <v>97</v>
      </c>
      <c r="G1375" s="217" t="s">
        <v>373</v>
      </c>
      <c r="H1375" s="217" t="s">
        <v>1118</v>
      </c>
      <c r="I1375" s="217" t="s">
        <v>616</v>
      </c>
      <c r="J1375" s="217" t="s">
        <v>1857</v>
      </c>
      <c r="K1375" s="217">
        <v>7</v>
      </c>
      <c r="L1375" s="217">
        <v>60</v>
      </c>
      <c r="M1375" s="217" t="s">
        <v>31</v>
      </c>
      <c r="N1375" s="217" t="s">
        <v>32</v>
      </c>
      <c r="O1375" s="217" t="s">
        <v>141</v>
      </c>
      <c r="P1375" s="217" t="s">
        <v>142</v>
      </c>
      <c r="Q1375" s="217" t="s">
        <v>143</v>
      </c>
      <c r="R1375" s="217" t="s">
        <v>142</v>
      </c>
      <c r="S1375" s="217" t="s">
        <v>619</v>
      </c>
      <c r="T1375" s="217" t="s">
        <v>32</v>
      </c>
      <c r="U1375" s="217" t="s">
        <v>32</v>
      </c>
      <c r="V1375" s="217" t="s">
        <v>32</v>
      </c>
      <c r="W1375" s="217" t="s">
        <v>32</v>
      </c>
    </row>
    <row r="1376" spans="1:23" x14ac:dyDescent="0.25">
      <c r="A1376" s="217" t="s">
        <v>22</v>
      </c>
      <c r="B1376" s="217" t="s">
        <v>23</v>
      </c>
      <c r="C1376" s="217" t="s">
        <v>85</v>
      </c>
      <c r="D1376" s="217" t="s">
        <v>84</v>
      </c>
      <c r="E1376" s="217" t="s">
        <v>98</v>
      </c>
      <c r="F1376" s="217" t="s">
        <v>97</v>
      </c>
      <c r="G1376" s="217" t="s">
        <v>373</v>
      </c>
      <c r="H1376" s="217" t="s">
        <v>1118</v>
      </c>
      <c r="I1376" s="217" t="s">
        <v>616</v>
      </c>
      <c r="J1376" s="217" t="s">
        <v>1858</v>
      </c>
      <c r="K1376" s="217">
        <v>371</v>
      </c>
      <c r="L1376" s="217">
        <v>3154</v>
      </c>
      <c r="M1376" s="217" t="s">
        <v>31</v>
      </c>
      <c r="N1376" s="217" t="s">
        <v>32</v>
      </c>
      <c r="O1376" s="217" t="s">
        <v>141</v>
      </c>
      <c r="P1376" s="217" t="s">
        <v>142</v>
      </c>
      <c r="Q1376" s="217" t="s">
        <v>143</v>
      </c>
      <c r="R1376" s="217" t="s">
        <v>142</v>
      </c>
      <c r="S1376" s="217" t="s">
        <v>619</v>
      </c>
      <c r="T1376" s="217" t="s">
        <v>32</v>
      </c>
      <c r="U1376" s="217" t="s">
        <v>32</v>
      </c>
      <c r="V1376" s="217" t="s">
        <v>32</v>
      </c>
      <c r="W1376" s="217" t="s">
        <v>32</v>
      </c>
    </row>
    <row r="1377" spans="1:23" x14ac:dyDescent="0.25">
      <c r="A1377" s="217" t="s">
        <v>22</v>
      </c>
      <c r="B1377" s="217" t="s">
        <v>23</v>
      </c>
      <c r="C1377" s="217" t="s">
        <v>85</v>
      </c>
      <c r="D1377" s="217" t="s">
        <v>84</v>
      </c>
      <c r="E1377" s="217" t="s">
        <v>98</v>
      </c>
      <c r="F1377" s="217" t="s">
        <v>97</v>
      </c>
      <c r="G1377" s="217" t="s">
        <v>373</v>
      </c>
      <c r="H1377" s="217" t="s">
        <v>1118</v>
      </c>
      <c r="I1377" s="217" t="s">
        <v>616</v>
      </c>
      <c r="J1377" s="217" t="s">
        <v>1859</v>
      </c>
      <c r="K1377" s="217">
        <v>3</v>
      </c>
      <c r="L1377" s="217">
        <v>26</v>
      </c>
      <c r="M1377" s="217" t="s">
        <v>31</v>
      </c>
      <c r="N1377" s="217" t="s">
        <v>32</v>
      </c>
      <c r="O1377" s="217" t="s">
        <v>141</v>
      </c>
      <c r="P1377" s="217" t="s">
        <v>142</v>
      </c>
      <c r="Q1377" s="217" t="s">
        <v>143</v>
      </c>
      <c r="R1377" s="217" t="s">
        <v>142</v>
      </c>
      <c r="S1377" s="217" t="s">
        <v>619</v>
      </c>
      <c r="T1377" s="217" t="s">
        <v>32</v>
      </c>
      <c r="U1377" s="217" t="s">
        <v>32</v>
      </c>
      <c r="V1377" s="217" t="s">
        <v>32</v>
      </c>
      <c r="W1377" s="217" t="s">
        <v>32</v>
      </c>
    </row>
    <row r="1378" spans="1:23" x14ac:dyDescent="0.25">
      <c r="A1378" s="217" t="s">
        <v>22</v>
      </c>
      <c r="B1378" s="217" t="s">
        <v>23</v>
      </c>
      <c r="C1378" s="217" t="s">
        <v>85</v>
      </c>
      <c r="D1378" s="217" t="s">
        <v>84</v>
      </c>
      <c r="E1378" s="217" t="s">
        <v>98</v>
      </c>
      <c r="F1378" s="217" t="s">
        <v>97</v>
      </c>
      <c r="G1378" s="217" t="s">
        <v>803</v>
      </c>
      <c r="H1378" s="217" t="s">
        <v>1504</v>
      </c>
      <c r="I1378" s="217" t="s">
        <v>616</v>
      </c>
      <c r="J1378" s="217" t="s">
        <v>1856</v>
      </c>
      <c r="K1378" s="217">
        <v>12</v>
      </c>
      <c r="L1378" s="217">
        <v>52</v>
      </c>
      <c r="M1378" s="217" t="s">
        <v>31</v>
      </c>
      <c r="N1378" s="217" t="s">
        <v>32</v>
      </c>
      <c r="O1378" s="217" t="s">
        <v>141</v>
      </c>
      <c r="P1378" s="217" t="s">
        <v>142</v>
      </c>
      <c r="Q1378" s="217" t="s">
        <v>143</v>
      </c>
      <c r="R1378" s="217" t="s">
        <v>142</v>
      </c>
      <c r="S1378" s="217" t="s">
        <v>619</v>
      </c>
      <c r="T1378" s="217" t="s">
        <v>32</v>
      </c>
      <c r="U1378" s="217" t="s">
        <v>32</v>
      </c>
      <c r="V1378" s="217" t="s">
        <v>32</v>
      </c>
      <c r="W1378" s="217" t="s">
        <v>32</v>
      </c>
    </row>
    <row r="1379" spans="1:23" x14ac:dyDescent="0.25">
      <c r="A1379" s="217" t="s">
        <v>22</v>
      </c>
      <c r="B1379" s="217" t="s">
        <v>23</v>
      </c>
      <c r="C1379" s="217" t="s">
        <v>85</v>
      </c>
      <c r="D1379" s="217" t="s">
        <v>84</v>
      </c>
      <c r="E1379" s="217" t="s">
        <v>98</v>
      </c>
      <c r="F1379" s="217" t="s">
        <v>97</v>
      </c>
      <c r="G1379" s="217" t="s">
        <v>803</v>
      </c>
      <c r="H1379" s="217" t="s">
        <v>1504</v>
      </c>
      <c r="I1379" s="217" t="s">
        <v>616</v>
      </c>
      <c r="J1379" s="217" t="s">
        <v>1857</v>
      </c>
      <c r="K1379" s="217">
        <v>8</v>
      </c>
      <c r="L1379" s="217">
        <v>66</v>
      </c>
      <c r="M1379" s="217" t="s">
        <v>31</v>
      </c>
      <c r="N1379" s="217" t="s">
        <v>32</v>
      </c>
      <c r="O1379" s="217" t="s">
        <v>141</v>
      </c>
      <c r="P1379" s="217" t="s">
        <v>142</v>
      </c>
      <c r="Q1379" s="217" t="s">
        <v>143</v>
      </c>
      <c r="R1379" s="217" t="s">
        <v>142</v>
      </c>
      <c r="S1379" s="217" t="s">
        <v>619</v>
      </c>
      <c r="T1379" s="217" t="s">
        <v>32</v>
      </c>
      <c r="U1379" s="217" t="s">
        <v>32</v>
      </c>
      <c r="V1379" s="217" t="s">
        <v>32</v>
      </c>
      <c r="W1379" s="217" t="s">
        <v>32</v>
      </c>
    </row>
    <row r="1380" spans="1:23" x14ac:dyDescent="0.25">
      <c r="A1380" s="217" t="s">
        <v>22</v>
      </c>
      <c r="B1380" s="217" t="s">
        <v>23</v>
      </c>
      <c r="C1380" s="217" t="s">
        <v>85</v>
      </c>
      <c r="D1380" s="217" t="s">
        <v>84</v>
      </c>
      <c r="E1380" s="217" t="s">
        <v>98</v>
      </c>
      <c r="F1380" s="217" t="s">
        <v>97</v>
      </c>
      <c r="G1380" s="217" t="s">
        <v>799</v>
      </c>
      <c r="H1380" s="217" t="s">
        <v>1505</v>
      </c>
      <c r="I1380" s="217" t="s">
        <v>616</v>
      </c>
      <c r="J1380" s="217" t="s">
        <v>1857</v>
      </c>
      <c r="K1380" s="217">
        <v>13</v>
      </c>
      <c r="L1380" s="217">
        <v>70</v>
      </c>
      <c r="M1380" s="217" t="s">
        <v>31</v>
      </c>
      <c r="N1380" s="217" t="s">
        <v>32</v>
      </c>
      <c r="O1380" s="217" t="s">
        <v>141</v>
      </c>
      <c r="P1380" s="217" t="s">
        <v>142</v>
      </c>
      <c r="Q1380" s="217" t="s">
        <v>143</v>
      </c>
      <c r="R1380" s="217" t="s">
        <v>142</v>
      </c>
      <c r="S1380" s="217" t="s">
        <v>619</v>
      </c>
      <c r="T1380" s="217" t="s">
        <v>32</v>
      </c>
      <c r="U1380" s="217" t="s">
        <v>32</v>
      </c>
      <c r="V1380" s="217" t="s">
        <v>32</v>
      </c>
      <c r="W1380" s="217" t="s">
        <v>32</v>
      </c>
    </row>
    <row r="1381" spans="1:23" x14ac:dyDescent="0.25">
      <c r="A1381" s="217" t="s">
        <v>22</v>
      </c>
      <c r="B1381" s="217" t="s">
        <v>23</v>
      </c>
      <c r="C1381" s="217" t="s">
        <v>85</v>
      </c>
      <c r="D1381" s="217" t="s">
        <v>84</v>
      </c>
      <c r="E1381" s="217" t="s">
        <v>98</v>
      </c>
      <c r="F1381" s="217" t="s">
        <v>97</v>
      </c>
      <c r="G1381" s="217" t="s">
        <v>810</v>
      </c>
      <c r="H1381" s="217" t="s">
        <v>1506</v>
      </c>
      <c r="I1381" s="217" t="s">
        <v>616</v>
      </c>
      <c r="J1381" s="217" t="s">
        <v>1857</v>
      </c>
      <c r="K1381" s="217">
        <v>15</v>
      </c>
      <c r="L1381" s="217">
        <v>128</v>
      </c>
      <c r="M1381" s="217" t="s">
        <v>31</v>
      </c>
      <c r="N1381" s="217" t="s">
        <v>32</v>
      </c>
      <c r="O1381" s="217" t="s">
        <v>141</v>
      </c>
      <c r="P1381" s="217" t="s">
        <v>142</v>
      </c>
      <c r="Q1381" s="217" t="s">
        <v>143</v>
      </c>
      <c r="R1381" s="217" t="s">
        <v>142</v>
      </c>
      <c r="S1381" s="217" t="s">
        <v>619</v>
      </c>
      <c r="T1381" s="217" t="s">
        <v>32</v>
      </c>
      <c r="U1381" s="217" t="s">
        <v>32</v>
      </c>
      <c r="V1381" s="217" t="s">
        <v>32</v>
      </c>
      <c r="W1381" s="217" t="s">
        <v>32</v>
      </c>
    </row>
    <row r="1382" spans="1:23" x14ac:dyDescent="0.25">
      <c r="A1382" s="217" t="s">
        <v>22</v>
      </c>
      <c r="B1382" s="217" t="s">
        <v>23</v>
      </c>
      <c r="C1382" s="217" t="s">
        <v>85</v>
      </c>
      <c r="D1382" s="217" t="s">
        <v>84</v>
      </c>
      <c r="E1382" s="217" t="s">
        <v>98</v>
      </c>
      <c r="F1382" s="217" t="s">
        <v>97</v>
      </c>
      <c r="G1382" s="217" t="s">
        <v>810</v>
      </c>
      <c r="H1382" s="217" t="s">
        <v>1506</v>
      </c>
      <c r="I1382" s="217" t="s">
        <v>616</v>
      </c>
      <c r="J1382" s="217" t="s">
        <v>1858</v>
      </c>
      <c r="K1382" s="217">
        <v>5</v>
      </c>
      <c r="L1382" s="217">
        <v>42</v>
      </c>
      <c r="M1382" s="217" t="s">
        <v>31</v>
      </c>
      <c r="N1382" s="217" t="s">
        <v>32</v>
      </c>
      <c r="O1382" s="217" t="s">
        <v>141</v>
      </c>
      <c r="P1382" s="217" t="s">
        <v>142</v>
      </c>
      <c r="Q1382" s="217" t="s">
        <v>143</v>
      </c>
      <c r="R1382" s="217" t="s">
        <v>142</v>
      </c>
      <c r="S1382" s="217" t="s">
        <v>619</v>
      </c>
      <c r="T1382" s="217" t="s">
        <v>32</v>
      </c>
      <c r="U1382" s="217" t="s">
        <v>32</v>
      </c>
      <c r="V1382" s="217" t="s">
        <v>32</v>
      </c>
      <c r="W1382" s="217" t="s">
        <v>32</v>
      </c>
    </row>
    <row r="1383" spans="1:23" x14ac:dyDescent="0.25">
      <c r="A1383" s="217" t="s">
        <v>22</v>
      </c>
      <c r="B1383" s="217" t="s">
        <v>23</v>
      </c>
      <c r="C1383" s="217" t="s">
        <v>85</v>
      </c>
      <c r="D1383" s="217" t="s">
        <v>84</v>
      </c>
      <c r="E1383" s="217" t="s">
        <v>98</v>
      </c>
      <c r="F1383" s="217" t="s">
        <v>97</v>
      </c>
      <c r="G1383" s="217" t="s">
        <v>378</v>
      </c>
      <c r="H1383" s="217" t="s">
        <v>1133</v>
      </c>
      <c r="I1383" s="217" t="s">
        <v>616</v>
      </c>
      <c r="J1383" s="217" t="s">
        <v>1856</v>
      </c>
      <c r="K1383" s="217">
        <v>3</v>
      </c>
      <c r="L1383" s="217">
        <v>21</v>
      </c>
      <c r="M1383" s="217" t="s">
        <v>31</v>
      </c>
      <c r="N1383" s="217" t="s">
        <v>32</v>
      </c>
      <c r="O1383" s="217" t="s">
        <v>141</v>
      </c>
      <c r="P1383" s="217" t="s">
        <v>142</v>
      </c>
      <c r="Q1383" s="217" t="s">
        <v>143</v>
      </c>
      <c r="R1383" s="217" t="s">
        <v>142</v>
      </c>
      <c r="S1383" s="217" t="s">
        <v>619</v>
      </c>
      <c r="T1383" s="217" t="s">
        <v>32</v>
      </c>
      <c r="U1383" s="217" t="s">
        <v>32</v>
      </c>
      <c r="V1383" s="217" t="s">
        <v>32</v>
      </c>
      <c r="W1383" s="217" t="s">
        <v>32</v>
      </c>
    </row>
    <row r="1384" spans="1:23" x14ac:dyDescent="0.25">
      <c r="A1384" s="217" t="s">
        <v>22</v>
      </c>
      <c r="B1384" s="217" t="s">
        <v>23</v>
      </c>
      <c r="C1384" s="217" t="s">
        <v>85</v>
      </c>
      <c r="D1384" s="217" t="s">
        <v>84</v>
      </c>
      <c r="E1384" s="217" t="s">
        <v>98</v>
      </c>
      <c r="F1384" s="217" t="s">
        <v>97</v>
      </c>
      <c r="G1384" s="217" t="s">
        <v>378</v>
      </c>
      <c r="H1384" s="217" t="s">
        <v>1133</v>
      </c>
      <c r="I1384" s="217" t="s">
        <v>616</v>
      </c>
      <c r="J1384" s="217" t="s">
        <v>1857</v>
      </c>
      <c r="K1384" s="217">
        <v>3</v>
      </c>
      <c r="L1384" s="217">
        <v>19</v>
      </c>
      <c r="M1384" s="217" t="s">
        <v>31</v>
      </c>
      <c r="N1384" s="217" t="s">
        <v>32</v>
      </c>
      <c r="O1384" s="217" t="s">
        <v>141</v>
      </c>
      <c r="P1384" s="217" t="s">
        <v>142</v>
      </c>
      <c r="Q1384" s="217" t="s">
        <v>143</v>
      </c>
      <c r="R1384" s="217" t="s">
        <v>142</v>
      </c>
      <c r="S1384" s="217" t="s">
        <v>619</v>
      </c>
      <c r="T1384" s="217" t="s">
        <v>32</v>
      </c>
      <c r="U1384" s="217" t="s">
        <v>32</v>
      </c>
      <c r="V1384" s="217" t="s">
        <v>32</v>
      </c>
      <c r="W1384" s="217" t="s">
        <v>32</v>
      </c>
    </row>
    <row r="1385" spans="1:23" x14ac:dyDescent="0.25">
      <c r="A1385" s="217" t="s">
        <v>22</v>
      </c>
      <c r="B1385" s="217" t="s">
        <v>23</v>
      </c>
      <c r="C1385" s="217" t="s">
        <v>85</v>
      </c>
      <c r="D1385" s="217" t="s">
        <v>84</v>
      </c>
      <c r="E1385" s="217" t="s">
        <v>98</v>
      </c>
      <c r="F1385" s="217" t="s">
        <v>97</v>
      </c>
      <c r="G1385" s="217" t="s">
        <v>819</v>
      </c>
      <c r="H1385" s="217" t="s">
        <v>1134</v>
      </c>
      <c r="I1385" s="217" t="s">
        <v>616</v>
      </c>
      <c r="J1385" s="217" t="s">
        <v>1857</v>
      </c>
      <c r="K1385" s="217">
        <v>4</v>
      </c>
      <c r="L1385" s="217">
        <v>25</v>
      </c>
      <c r="M1385" s="217" t="s">
        <v>31</v>
      </c>
      <c r="N1385" s="217" t="s">
        <v>32</v>
      </c>
      <c r="O1385" s="217" t="s">
        <v>141</v>
      </c>
      <c r="P1385" s="217" t="s">
        <v>142</v>
      </c>
      <c r="Q1385" s="217" t="s">
        <v>143</v>
      </c>
      <c r="R1385" s="217" t="s">
        <v>142</v>
      </c>
      <c r="S1385" s="217" t="s">
        <v>619</v>
      </c>
      <c r="T1385" s="217" t="s">
        <v>32</v>
      </c>
      <c r="U1385" s="217" t="s">
        <v>32</v>
      </c>
      <c r="V1385" s="217" t="s">
        <v>32</v>
      </c>
      <c r="W1385" s="217" t="s">
        <v>32</v>
      </c>
    </row>
    <row r="1386" spans="1:23" x14ac:dyDescent="0.25">
      <c r="A1386" s="217" t="s">
        <v>22</v>
      </c>
      <c r="B1386" s="217" t="s">
        <v>23</v>
      </c>
      <c r="C1386" s="217" t="s">
        <v>85</v>
      </c>
      <c r="D1386" s="217" t="s">
        <v>84</v>
      </c>
      <c r="E1386" s="217" t="s">
        <v>98</v>
      </c>
      <c r="F1386" s="217" t="s">
        <v>97</v>
      </c>
      <c r="G1386" s="217" t="s">
        <v>795</v>
      </c>
      <c r="H1386" s="217" t="s">
        <v>1135</v>
      </c>
      <c r="I1386" s="217" t="s">
        <v>616</v>
      </c>
      <c r="J1386" s="217" t="s">
        <v>1857</v>
      </c>
      <c r="K1386" s="217">
        <v>4</v>
      </c>
      <c r="L1386" s="217">
        <v>18</v>
      </c>
      <c r="M1386" s="217" t="s">
        <v>31</v>
      </c>
      <c r="N1386" s="217" t="s">
        <v>32</v>
      </c>
      <c r="O1386" s="217" t="s">
        <v>141</v>
      </c>
      <c r="P1386" s="217" t="s">
        <v>142</v>
      </c>
      <c r="Q1386" s="217" t="s">
        <v>143</v>
      </c>
      <c r="R1386" s="217" t="s">
        <v>142</v>
      </c>
      <c r="S1386" s="217" t="s">
        <v>619</v>
      </c>
      <c r="T1386" s="217" t="s">
        <v>32</v>
      </c>
      <c r="U1386" s="217" t="s">
        <v>32</v>
      </c>
      <c r="V1386" s="217" t="s">
        <v>32</v>
      </c>
      <c r="W1386" s="217" t="s">
        <v>32</v>
      </c>
    </row>
    <row r="1387" spans="1:23" x14ac:dyDescent="0.25">
      <c r="A1387" s="217" t="s">
        <v>22</v>
      </c>
      <c r="B1387" s="217" t="s">
        <v>23</v>
      </c>
      <c r="C1387" s="217" t="s">
        <v>85</v>
      </c>
      <c r="D1387" s="217" t="s">
        <v>84</v>
      </c>
      <c r="E1387" s="217" t="s">
        <v>98</v>
      </c>
      <c r="F1387" s="217" t="s">
        <v>97</v>
      </c>
      <c r="G1387" s="217" t="s">
        <v>382</v>
      </c>
      <c r="H1387" s="217" t="s">
        <v>1140</v>
      </c>
      <c r="I1387" s="217" t="s">
        <v>616</v>
      </c>
      <c r="J1387" s="217" t="s">
        <v>1857</v>
      </c>
      <c r="K1387" s="217">
        <v>4</v>
      </c>
      <c r="L1387" s="217">
        <v>34</v>
      </c>
      <c r="M1387" s="217" t="s">
        <v>31</v>
      </c>
      <c r="N1387" s="217" t="s">
        <v>32</v>
      </c>
      <c r="O1387" s="217" t="s">
        <v>141</v>
      </c>
      <c r="P1387" s="217" t="s">
        <v>142</v>
      </c>
      <c r="Q1387" s="217" t="s">
        <v>143</v>
      </c>
      <c r="R1387" s="217" t="s">
        <v>142</v>
      </c>
      <c r="S1387" s="217" t="s">
        <v>619</v>
      </c>
      <c r="T1387" s="217" t="s">
        <v>32</v>
      </c>
      <c r="U1387" s="217" t="s">
        <v>32</v>
      </c>
      <c r="V1387" s="217" t="s">
        <v>32</v>
      </c>
      <c r="W1387" s="217" t="s">
        <v>32</v>
      </c>
    </row>
    <row r="1388" spans="1:23" x14ac:dyDescent="0.25">
      <c r="A1388" s="217" t="s">
        <v>22</v>
      </c>
      <c r="B1388" s="217" t="s">
        <v>23</v>
      </c>
      <c r="C1388" s="217" t="s">
        <v>85</v>
      </c>
      <c r="D1388" s="217" t="s">
        <v>84</v>
      </c>
      <c r="E1388" s="217" t="s">
        <v>98</v>
      </c>
      <c r="F1388" s="217" t="s">
        <v>97</v>
      </c>
      <c r="G1388" s="217" t="s">
        <v>382</v>
      </c>
      <c r="H1388" s="217" t="s">
        <v>1140</v>
      </c>
      <c r="I1388" s="217" t="s">
        <v>616</v>
      </c>
      <c r="J1388" s="217" t="s">
        <v>1858</v>
      </c>
      <c r="K1388" s="217">
        <v>5</v>
      </c>
      <c r="L1388" s="217">
        <v>7</v>
      </c>
      <c r="M1388" s="217" t="s">
        <v>31</v>
      </c>
      <c r="N1388" s="217" t="s">
        <v>32</v>
      </c>
      <c r="O1388" s="217" t="s">
        <v>141</v>
      </c>
      <c r="P1388" s="217" t="s">
        <v>142</v>
      </c>
      <c r="Q1388" s="217" t="s">
        <v>143</v>
      </c>
      <c r="R1388" s="217" t="s">
        <v>142</v>
      </c>
      <c r="S1388" s="217" t="s">
        <v>619</v>
      </c>
      <c r="T1388" s="217" t="s">
        <v>32</v>
      </c>
      <c r="U1388" s="217" t="s">
        <v>32</v>
      </c>
      <c r="V1388" s="217" t="s">
        <v>32</v>
      </c>
      <c r="W1388" s="217" t="s">
        <v>32</v>
      </c>
    </row>
    <row r="1389" spans="1:23" x14ac:dyDescent="0.25">
      <c r="A1389" s="217" t="s">
        <v>22</v>
      </c>
      <c r="B1389" s="217" t="s">
        <v>23</v>
      </c>
      <c r="C1389" s="217" t="s">
        <v>85</v>
      </c>
      <c r="D1389" s="217" t="s">
        <v>84</v>
      </c>
      <c r="E1389" s="217" t="s">
        <v>98</v>
      </c>
      <c r="F1389" s="217" t="s">
        <v>97</v>
      </c>
      <c r="G1389" s="217" t="s">
        <v>801</v>
      </c>
      <c r="H1389" s="217" t="s">
        <v>1142</v>
      </c>
      <c r="I1389" s="217" t="s">
        <v>616</v>
      </c>
      <c r="J1389" s="217" t="s">
        <v>1857</v>
      </c>
      <c r="K1389" s="217">
        <v>15</v>
      </c>
      <c r="L1389" s="217">
        <v>228</v>
      </c>
      <c r="M1389" s="217" t="s">
        <v>31</v>
      </c>
      <c r="N1389" s="217" t="s">
        <v>32</v>
      </c>
      <c r="O1389" s="217" t="s">
        <v>141</v>
      </c>
      <c r="P1389" s="217" t="s">
        <v>142</v>
      </c>
      <c r="Q1389" s="217" t="s">
        <v>143</v>
      </c>
      <c r="R1389" s="217" t="s">
        <v>142</v>
      </c>
      <c r="S1389" s="217" t="s">
        <v>619</v>
      </c>
      <c r="T1389" s="217" t="s">
        <v>32</v>
      </c>
      <c r="U1389" s="217" t="s">
        <v>32</v>
      </c>
      <c r="V1389" s="217" t="s">
        <v>32</v>
      </c>
      <c r="W1389" s="217" t="s">
        <v>32</v>
      </c>
    </row>
    <row r="1390" spans="1:23" x14ac:dyDescent="0.25">
      <c r="A1390" s="217" t="s">
        <v>22</v>
      </c>
      <c r="B1390" s="217" t="s">
        <v>23</v>
      </c>
      <c r="C1390" s="217" t="s">
        <v>85</v>
      </c>
      <c r="D1390" s="217" t="s">
        <v>84</v>
      </c>
      <c r="E1390" s="217" t="s">
        <v>98</v>
      </c>
      <c r="F1390" s="217" t="s">
        <v>97</v>
      </c>
      <c r="G1390" s="217" t="s">
        <v>801</v>
      </c>
      <c r="H1390" s="217" t="s">
        <v>1142</v>
      </c>
      <c r="I1390" s="217" t="s">
        <v>616</v>
      </c>
      <c r="J1390" s="217" t="s">
        <v>1859</v>
      </c>
      <c r="K1390" s="217">
        <v>8</v>
      </c>
      <c r="L1390" s="217">
        <v>68</v>
      </c>
      <c r="M1390" s="217" t="s">
        <v>31</v>
      </c>
      <c r="N1390" s="217" t="s">
        <v>32</v>
      </c>
      <c r="O1390" s="217" t="s">
        <v>141</v>
      </c>
      <c r="P1390" s="217" t="s">
        <v>142</v>
      </c>
      <c r="Q1390" s="217" t="s">
        <v>143</v>
      </c>
      <c r="R1390" s="217" t="s">
        <v>142</v>
      </c>
      <c r="S1390" s="217" t="s">
        <v>619</v>
      </c>
      <c r="T1390" s="217" t="s">
        <v>32</v>
      </c>
      <c r="U1390" s="217" t="s">
        <v>32</v>
      </c>
      <c r="V1390" s="217" t="s">
        <v>32</v>
      </c>
      <c r="W1390" s="217" t="s">
        <v>32</v>
      </c>
    </row>
    <row r="1391" spans="1:23" x14ac:dyDescent="0.25">
      <c r="A1391" s="217" t="s">
        <v>22</v>
      </c>
      <c r="B1391" s="217" t="s">
        <v>23</v>
      </c>
      <c r="C1391" s="217" t="s">
        <v>85</v>
      </c>
      <c r="D1391" s="217" t="s">
        <v>84</v>
      </c>
      <c r="E1391" s="217" t="s">
        <v>98</v>
      </c>
      <c r="F1391" s="217" t="s">
        <v>97</v>
      </c>
      <c r="G1391" s="217" t="s">
        <v>384</v>
      </c>
      <c r="H1391" s="217" t="s">
        <v>1144</v>
      </c>
      <c r="I1391" s="217" t="s">
        <v>616</v>
      </c>
      <c r="J1391" s="217" t="s">
        <v>1856</v>
      </c>
      <c r="K1391" s="217">
        <v>192</v>
      </c>
      <c r="L1391" s="217">
        <v>1632</v>
      </c>
      <c r="M1391" s="217" t="s">
        <v>31</v>
      </c>
      <c r="N1391" s="217" t="s">
        <v>32</v>
      </c>
      <c r="O1391" s="217" t="s">
        <v>141</v>
      </c>
      <c r="P1391" s="217" t="s">
        <v>142</v>
      </c>
      <c r="Q1391" s="217" t="s">
        <v>143</v>
      </c>
      <c r="R1391" s="217" t="s">
        <v>142</v>
      </c>
      <c r="S1391" s="217" t="s">
        <v>619</v>
      </c>
      <c r="T1391" s="217" t="s">
        <v>32</v>
      </c>
      <c r="U1391" s="217" t="s">
        <v>32</v>
      </c>
      <c r="V1391" s="217" t="s">
        <v>32</v>
      </c>
      <c r="W1391" s="217" t="s">
        <v>32</v>
      </c>
    </row>
    <row r="1392" spans="1:23" x14ac:dyDescent="0.25">
      <c r="A1392" s="217" t="s">
        <v>22</v>
      </c>
      <c r="B1392" s="217" t="s">
        <v>23</v>
      </c>
      <c r="C1392" s="217" t="s">
        <v>85</v>
      </c>
      <c r="D1392" s="217" t="s">
        <v>84</v>
      </c>
      <c r="E1392" s="217" t="s">
        <v>98</v>
      </c>
      <c r="F1392" s="217" t="s">
        <v>97</v>
      </c>
      <c r="G1392" s="217" t="s">
        <v>384</v>
      </c>
      <c r="H1392" s="217" t="s">
        <v>1144</v>
      </c>
      <c r="I1392" s="217" t="s">
        <v>616</v>
      </c>
      <c r="J1392" s="217" t="s">
        <v>1857</v>
      </c>
      <c r="K1392" s="217">
        <v>63</v>
      </c>
      <c r="L1392" s="217">
        <v>537</v>
      </c>
      <c r="M1392" s="217" t="s">
        <v>31</v>
      </c>
      <c r="N1392" s="217" t="s">
        <v>32</v>
      </c>
      <c r="O1392" s="217" t="s">
        <v>141</v>
      </c>
      <c r="P1392" s="217" t="s">
        <v>142</v>
      </c>
      <c r="Q1392" s="217" t="s">
        <v>143</v>
      </c>
      <c r="R1392" s="217" t="s">
        <v>142</v>
      </c>
      <c r="S1392" s="217" t="s">
        <v>619</v>
      </c>
      <c r="T1392" s="217" t="s">
        <v>32</v>
      </c>
      <c r="U1392" s="217" t="s">
        <v>32</v>
      </c>
      <c r="V1392" s="217" t="s">
        <v>32</v>
      </c>
      <c r="W1392" s="217" t="s">
        <v>32</v>
      </c>
    </row>
    <row r="1393" spans="1:23" x14ac:dyDescent="0.25">
      <c r="A1393" s="217" t="s">
        <v>22</v>
      </c>
      <c r="B1393" s="217" t="s">
        <v>23</v>
      </c>
      <c r="C1393" s="217" t="s">
        <v>85</v>
      </c>
      <c r="D1393" s="217" t="s">
        <v>84</v>
      </c>
      <c r="E1393" s="217" t="s">
        <v>98</v>
      </c>
      <c r="F1393" s="217" t="s">
        <v>97</v>
      </c>
      <c r="G1393" s="217" t="s">
        <v>384</v>
      </c>
      <c r="H1393" s="217" t="s">
        <v>1144</v>
      </c>
      <c r="I1393" s="217" t="s">
        <v>616</v>
      </c>
      <c r="J1393" s="217" t="s">
        <v>1858</v>
      </c>
      <c r="K1393" s="217">
        <v>12</v>
      </c>
      <c r="L1393" s="217">
        <v>102</v>
      </c>
      <c r="M1393" s="217" t="s">
        <v>31</v>
      </c>
      <c r="N1393" s="217" t="s">
        <v>32</v>
      </c>
      <c r="O1393" s="217" t="s">
        <v>141</v>
      </c>
      <c r="P1393" s="217" t="s">
        <v>142</v>
      </c>
      <c r="Q1393" s="217" t="s">
        <v>143</v>
      </c>
      <c r="R1393" s="217" t="s">
        <v>142</v>
      </c>
      <c r="S1393" s="217" t="s">
        <v>619</v>
      </c>
      <c r="T1393" s="217" t="s">
        <v>32</v>
      </c>
      <c r="U1393" s="217" t="s">
        <v>32</v>
      </c>
      <c r="V1393" s="217" t="s">
        <v>32</v>
      </c>
      <c r="W1393" s="217" t="s">
        <v>32</v>
      </c>
    </row>
    <row r="1394" spans="1:23" x14ac:dyDescent="0.25">
      <c r="A1394" s="217" t="s">
        <v>22</v>
      </c>
      <c r="B1394" s="217" t="s">
        <v>23</v>
      </c>
      <c r="C1394" s="217" t="s">
        <v>85</v>
      </c>
      <c r="D1394" s="217" t="s">
        <v>84</v>
      </c>
      <c r="E1394" s="217" t="s">
        <v>98</v>
      </c>
      <c r="F1394" s="217" t="s">
        <v>97</v>
      </c>
      <c r="G1394" s="217" t="s">
        <v>158</v>
      </c>
      <c r="H1394" s="217" t="s">
        <v>1148</v>
      </c>
      <c r="I1394" s="217" t="s">
        <v>616</v>
      </c>
      <c r="J1394" s="217" t="s">
        <v>1856</v>
      </c>
      <c r="K1394" s="217">
        <v>8</v>
      </c>
      <c r="L1394" s="217">
        <v>46</v>
      </c>
      <c r="M1394" s="217" t="s">
        <v>31</v>
      </c>
      <c r="N1394" s="217" t="s">
        <v>32</v>
      </c>
      <c r="O1394" s="217" t="s">
        <v>141</v>
      </c>
      <c r="P1394" s="217" t="s">
        <v>142</v>
      </c>
      <c r="Q1394" s="217" t="s">
        <v>143</v>
      </c>
      <c r="R1394" s="217" t="s">
        <v>142</v>
      </c>
      <c r="S1394" s="217" t="s">
        <v>619</v>
      </c>
      <c r="T1394" s="217" t="s">
        <v>32</v>
      </c>
      <c r="U1394" s="217" t="s">
        <v>32</v>
      </c>
      <c r="V1394" s="217" t="s">
        <v>32</v>
      </c>
      <c r="W1394" s="217" t="s">
        <v>32</v>
      </c>
    </row>
    <row r="1395" spans="1:23" x14ac:dyDescent="0.25">
      <c r="A1395" s="217" t="s">
        <v>22</v>
      </c>
      <c r="B1395" s="217" t="s">
        <v>23</v>
      </c>
      <c r="C1395" s="217" t="s">
        <v>85</v>
      </c>
      <c r="D1395" s="217" t="s">
        <v>84</v>
      </c>
      <c r="E1395" s="217" t="s">
        <v>98</v>
      </c>
      <c r="F1395" s="217" t="s">
        <v>97</v>
      </c>
      <c r="G1395" s="217" t="s">
        <v>158</v>
      </c>
      <c r="H1395" s="217" t="s">
        <v>1148</v>
      </c>
      <c r="I1395" s="217" t="s">
        <v>616</v>
      </c>
      <c r="J1395" s="217" t="s">
        <v>1858</v>
      </c>
      <c r="K1395" s="217">
        <v>1</v>
      </c>
      <c r="L1395" s="217">
        <v>4</v>
      </c>
      <c r="M1395" s="217" t="s">
        <v>31</v>
      </c>
      <c r="N1395" s="217" t="s">
        <v>32</v>
      </c>
      <c r="O1395" s="217" t="s">
        <v>141</v>
      </c>
      <c r="P1395" s="217" t="s">
        <v>142</v>
      </c>
      <c r="Q1395" s="217" t="s">
        <v>143</v>
      </c>
      <c r="R1395" s="217" t="s">
        <v>142</v>
      </c>
      <c r="S1395" s="217" t="s">
        <v>619</v>
      </c>
      <c r="T1395" s="217" t="s">
        <v>32</v>
      </c>
      <c r="U1395" s="217" t="s">
        <v>32</v>
      </c>
      <c r="V1395" s="217" t="s">
        <v>32</v>
      </c>
      <c r="W1395" s="217" t="s">
        <v>32</v>
      </c>
    </row>
    <row r="1396" spans="1:23" x14ac:dyDescent="0.25">
      <c r="A1396" s="217" t="s">
        <v>22</v>
      </c>
      <c r="B1396" s="217" t="s">
        <v>23</v>
      </c>
      <c r="C1396" s="217" t="s">
        <v>85</v>
      </c>
      <c r="D1396" s="217" t="s">
        <v>84</v>
      </c>
      <c r="E1396" s="217" t="s">
        <v>98</v>
      </c>
      <c r="F1396" s="217" t="s">
        <v>97</v>
      </c>
      <c r="G1396" s="217" t="s">
        <v>1969</v>
      </c>
      <c r="H1396" s="217" t="s">
        <v>1970</v>
      </c>
      <c r="I1396" s="217" t="s">
        <v>616</v>
      </c>
      <c r="J1396" s="217" t="s">
        <v>1858</v>
      </c>
      <c r="K1396" s="217">
        <v>47</v>
      </c>
      <c r="L1396" s="217">
        <v>400</v>
      </c>
      <c r="M1396" s="217" t="s">
        <v>31</v>
      </c>
      <c r="N1396" s="217" t="s">
        <v>32</v>
      </c>
      <c r="O1396" s="217" t="s">
        <v>141</v>
      </c>
      <c r="P1396" s="217" t="s">
        <v>142</v>
      </c>
      <c r="Q1396" s="217" t="s">
        <v>143</v>
      </c>
      <c r="R1396" s="217" t="s">
        <v>142</v>
      </c>
      <c r="S1396" s="217" t="s">
        <v>619</v>
      </c>
      <c r="T1396" s="217" t="s">
        <v>32</v>
      </c>
      <c r="U1396" s="217" t="s">
        <v>32</v>
      </c>
      <c r="V1396" s="217" t="s">
        <v>32</v>
      </c>
      <c r="W1396" s="217" t="s">
        <v>32</v>
      </c>
    </row>
    <row r="1397" spans="1:23" x14ac:dyDescent="0.25">
      <c r="A1397" s="217" t="s">
        <v>22</v>
      </c>
      <c r="B1397" s="217" t="s">
        <v>23</v>
      </c>
      <c r="C1397" s="217" t="s">
        <v>85</v>
      </c>
      <c r="D1397" s="217" t="s">
        <v>84</v>
      </c>
      <c r="E1397" s="217" t="s">
        <v>98</v>
      </c>
      <c r="F1397" s="217" t="s">
        <v>97</v>
      </c>
      <c r="G1397" s="217" t="s">
        <v>824</v>
      </c>
      <c r="H1397" s="217" t="s">
        <v>1507</v>
      </c>
      <c r="I1397" s="217" t="s">
        <v>616</v>
      </c>
      <c r="J1397" s="217" t="s">
        <v>1857</v>
      </c>
      <c r="K1397" s="217">
        <v>41</v>
      </c>
      <c r="L1397" s="217">
        <v>349</v>
      </c>
      <c r="M1397" s="217" t="s">
        <v>31</v>
      </c>
      <c r="N1397" s="217" t="s">
        <v>32</v>
      </c>
      <c r="O1397" s="217" t="s">
        <v>141</v>
      </c>
      <c r="P1397" s="217" t="s">
        <v>142</v>
      </c>
      <c r="Q1397" s="217" t="s">
        <v>143</v>
      </c>
      <c r="R1397" s="217" t="s">
        <v>142</v>
      </c>
      <c r="S1397" s="217" t="s">
        <v>619</v>
      </c>
      <c r="T1397" s="217" t="s">
        <v>32</v>
      </c>
      <c r="U1397" s="217" t="s">
        <v>32</v>
      </c>
      <c r="V1397" s="217" t="s">
        <v>32</v>
      </c>
      <c r="W1397" s="217" t="s">
        <v>32</v>
      </c>
    </row>
    <row r="1398" spans="1:23" x14ac:dyDescent="0.25">
      <c r="A1398" s="217" t="s">
        <v>22</v>
      </c>
      <c r="B1398" s="217" t="s">
        <v>23</v>
      </c>
      <c r="C1398" s="217" t="s">
        <v>85</v>
      </c>
      <c r="D1398" s="217" t="s">
        <v>84</v>
      </c>
      <c r="E1398" s="217" t="s">
        <v>98</v>
      </c>
      <c r="F1398" s="217" t="s">
        <v>97</v>
      </c>
      <c r="G1398" s="217" t="s">
        <v>824</v>
      </c>
      <c r="H1398" s="217" t="s">
        <v>1507</v>
      </c>
      <c r="I1398" s="217" t="s">
        <v>616</v>
      </c>
      <c r="J1398" s="217" t="s">
        <v>1858</v>
      </c>
      <c r="K1398" s="217">
        <v>6</v>
      </c>
      <c r="L1398" s="217">
        <v>51</v>
      </c>
      <c r="M1398" s="217" t="s">
        <v>31</v>
      </c>
      <c r="N1398" s="217" t="s">
        <v>32</v>
      </c>
      <c r="O1398" s="217" t="s">
        <v>141</v>
      </c>
      <c r="P1398" s="217" t="s">
        <v>142</v>
      </c>
      <c r="Q1398" s="217" t="s">
        <v>143</v>
      </c>
      <c r="R1398" s="217" t="s">
        <v>142</v>
      </c>
      <c r="S1398" s="217" t="s">
        <v>619</v>
      </c>
      <c r="T1398" s="217" t="s">
        <v>32</v>
      </c>
      <c r="U1398" s="217" t="s">
        <v>32</v>
      </c>
      <c r="V1398" s="217" t="s">
        <v>32</v>
      </c>
      <c r="W1398" s="217" t="s">
        <v>32</v>
      </c>
    </row>
    <row r="1399" spans="1:23" x14ac:dyDescent="0.25">
      <c r="A1399" s="217" t="s">
        <v>22</v>
      </c>
      <c r="B1399" s="217" t="s">
        <v>23</v>
      </c>
      <c r="C1399" s="217" t="s">
        <v>85</v>
      </c>
      <c r="D1399" s="217" t="s">
        <v>84</v>
      </c>
      <c r="E1399" s="217" t="s">
        <v>98</v>
      </c>
      <c r="F1399" s="217" t="s">
        <v>97</v>
      </c>
      <c r="G1399" s="217" t="s">
        <v>160</v>
      </c>
      <c r="H1399" s="217" t="s">
        <v>1150</v>
      </c>
      <c r="I1399" s="217" t="s">
        <v>616</v>
      </c>
      <c r="J1399" s="217" t="s">
        <v>1855</v>
      </c>
      <c r="K1399" s="217">
        <v>8</v>
      </c>
      <c r="L1399" s="217">
        <v>42</v>
      </c>
      <c r="M1399" s="217" t="s">
        <v>31</v>
      </c>
      <c r="N1399" s="217" t="s">
        <v>32</v>
      </c>
      <c r="O1399" s="217" t="s">
        <v>141</v>
      </c>
      <c r="P1399" s="217" t="s">
        <v>142</v>
      </c>
      <c r="Q1399" s="217" t="s">
        <v>143</v>
      </c>
      <c r="R1399" s="217" t="s">
        <v>142</v>
      </c>
      <c r="S1399" s="217" t="s">
        <v>619</v>
      </c>
      <c r="T1399" s="217" t="s">
        <v>32</v>
      </c>
      <c r="U1399" s="217" t="s">
        <v>32</v>
      </c>
      <c r="V1399" s="217" t="s">
        <v>32</v>
      </c>
      <c r="W1399" s="217" t="s">
        <v>32</v>
      </c>
    </row>
    <row r="1400" spans="1:23" x14ac:dyDescent="0.25">
      <c r="A1400" s="217" t="s">
        <v>22</v>
      </c>
      <c r="B1400" s="217" t="s">
        <v>23</v>
      </c>
      <c r="C1400" s="217" t="s">
        <v>85</v>
      </c>
      <c r="D1400" s="217" t="s">
        <v>84</v>
      </c>
      <c r="E1400" s="217" t="s">
        <v>98</v>
      </c>
      <c r="F1400" s="217" t="s">
        <v>97</v>
      </c>
      <c r="G1400" s="217" t="s">
        <v>161</v>
      </c>
      <c r="H1400" s="217" t="s">
        <v>1151</v>
      </c>
      <c r="I1400" s="217" t="s">
        <v>616</v>
      </c>
      <c r="J1400" s="217" t="s">
        <v>1855</v>
      </c>
      <c r="K1400" s="217">
        <v>35</v>
      </c>
      <c r="L1400" s="217">
        <v>200</v>
      </c>
      <c r="M1400" s="217" t="s">
        <v>31</v>
      </c>
      <c r="N1400" s="217" t="s">
        <v>32</v>
      </c>
      <c r="O1400" s="217" t="s">
        <v>141</v>
      </c>
      <c r="P1400" s="217" t="s">
        <v>142</v>
      </c>
      <c r="Q1400" s="217" t="s">
        <v>143</v>
      </c>
      <c r="R1400" s="217" t="s">
        <v>142</v>
      </c>
      <c r="S1400" s="217" t="s">
        <v>619</v>
      </c>
      <c r="T1400" s="217" t="s">
        <v>32</v>
      </c>
      <c r="U1400" s="217" t="s">
        <v>32</v>
      </c>
      <c r="V1400" s="217" t="s">
        <v>32</v>
      </c>
      <c r="W1400" s="217" t="s">
        <v>32</v>
      </c>
    </row>
    <row r="1401" spans="1:23" x14ac:dyDescent="0.25">
      <c r="A1401" s="217" t="s">
        <v>22</v>
      </c>
      <c r="B1401" s="217" t="s">
        <v>23</v>
      </c>
      <c r="C1401" s="217" t="s">
        <v>85</v>
      </c>
      <c r="D1401" s="217" t="s">
        <v>84</v>
      </c>
      <c r="E1401" s="217" t="s">
        <v>98</v>
      </c>
      <c r="F1401" s="217" t="s">
        <v>97</v>
      </c>
      <c r="G1401" s="217" t="s">
        <v>161</v>
      </c>
      <c r="H1401" s="217" t="s">
        <v>1151</v>
      </c>
      <c r="I1401" s="217" t="s">
        <v>616</v>
      </c>
      <c r="J1401" s="217" t="s">
        <v>1857</v>
      </c>
      <c r="K1401" s="217">
        <v>62</v>
      </c>
      <c r="L1401" s="217">
        <v>421</v>
      </c>
      <c r="M1401" s="217" t="s">
        <v>31</v>
      </c>
      <c r="N1401" s="217" t="s">
        <v>32</v>
      </c>
      <c r="O1401" s="217" t="s">
        <v>141</v>
      </c>
      <c r="P1401" s="217" t="s">
        <v>142</v>
      </c>
      <c r="Q1401" s="217" t="s">
        <v>143</v>
      </c>
      <c r="R1401" s="217" t="s">
        <v>142</v>
      </c>
      <c r="S1401" s="217" t="s">
        <v>619</v>
      </c>
      <c r="T1401" s="217" t="s">
        <v>32</v>
      </c>
      <c r="U1401" s="217" t="s">
        <v>32</v>
      </c>
      <c r="V1401" s="217" t="s">
        <v>32</v>
      </c>
      <c r="W1401" s="217" t="s">
        <v>32</v>
      </c>
    </row>
    <row r="1402" spans="1:23" x14ac:dyDescent="0.25">
      <c r="A1402" s="217" t="s">
        <v>22</v>
      </c>
      <c r="B1402" s="217" t="s">
        <v>23</v>
      </c>
      <c r="C1402" s="217" t="s">
        <v>85</v>
      </c>
      <c r="D1402" s="217" t="s">
        <v>84</v>
      </c>
      <c r="E1402" s="217" t="s">
        <v>98</v>
      </c>
      <c r="F1402" s="217" t="s">
        <v>97</v>
      </c>
      <c r="G1402" s="217" t="s">
        <v>161</v>
      </c>
      <c r="H1402" s="217" t="s">
        <v>1151</v>
      </c>
      <c r="I1402" s="217" t="s">
        <v>616</v>
      </c>
      <c r="J1402" s="217" t="s">
        <v>1858</v>
      </c>
      <c r="K1402" s="217">
        <v>18</v>
      </c>
      <c r="L1402" s="217">
        <v>105</v>
      </c>
      <c r="M1402" s="217" t="s">
        <v>31</v>
      </c>
      <c r="N1402" s="217" t="s">
        <v>32</v>
      </c>
      <c r="O1402" s="217" t="s">
        <v>141</v>
      </c>
      <c r="P1402" s="217" t="s">
        <v>142</v>
      </c>
      <c r="Q1402" s="217" t="s">
        <v>143</v>
      </c>
      <c r="R1402" s="217" t="s">
        <v>142</v>
      </c>
      <c r="S1402" s="217" t="s">
        <v>619</v>
      </c>
      <c r="T1402" s="217" t="s">
        <v>32</v>
      </c>
      <c r="U1402" s="217" t="s">
        <v>32</v>
      </c>
      <c r="V1402" s="217" t="s">
        <v>32</v>
      </c>
      <c r="W1402" s="217" t="s">
        <v>32</v>
      </c>
    </row>
    <row r="1403" spans="1:23" x14ac:dyDescent="0.25">
      <c r="A1403" s="217" t="s">
        <v>22</v>
      </c>
      <c r="B1403" s="217" t="s">
        <v>23</v>
      </c>
      <c r="C1403" s="217" t="s">
        <v>85</v>
      </c>
      <c r="D1403" s="217" t="s">
        <v>84</v>
      </c>
      <c r="E1403" s="217" t="s">
        <v>98</v>
      </c>
      <c r="F1403" s="217" t="s">
        <v>97</v>
      </c>
      <c r="G1403" s="217" t="s">
        <v>162</v>
      </c>
      <c r="H1403" s="217" t="s">
        <v>1158</v>
      </c>
      <c r="I1403" s="217" t="s">
        <v>616</v>
      </c>
      <c r="J1403" s="217" t="s">
        <v>1857</v>
      </c>
      <c r="K1403" s="217">
        <v>3</v>
      </c>
      <c r="L1403" s="217">
        <v>38</v>
      </c>
      <c r="M1403" s="217" t="s">
        <v>31</v>
      </c>
      <c r="N1403" s="217" t="s">
        <v>32</v>
      </c>
      <c r="O1403" s="217" t="s">
        <v>141</v>
      </c>
      <c r="P1403" s="217" t="s">
        <v>142</v>
      </c>
      <c r="Q1403" s="217" t="s">
        <v>143</v>
      </c>
      <c r="R1403" s="217" t="s">
        <v>142</v>
      </c>
      <c r="S1403" s="217" t="s">
        <v>619</v>
      </c>
      <c r="T1403" s="217" t="s">
        <v>32</v>
      </c>
      <c r="U1403" s="217" t="s">
        <v>32</v>
      </c>
      <c r="V1403" s="217" t="s">
        <v>32</v>
      </c>
      <c r="W1403" s="217" t="s">
        <v>32</v>
      </c>
    </row>
    <row r="1404" spans="1:23" x14ac:dyDescent="0.25">
      <c r="A1404" s="217" t="s">
        <v>22</v>
      </c>
      <c r="B1404" s="217" t="s">
        <v>23</v>
      </c>
      <c r="C1404" s="217" t="s">
        <v>85</v>
      </c>
      <c r="D1404" s="217" t="s">
        <v>84</v>
      </c>
      <c r="E1404" s="217" t="s">
        <v>98</v>
      </c>
      <c r="F1404" s="217" t="s">
        <v>97</v>
      </c>
      <c r="G1404" s="217" t="s">
        <v>624</v>
      </c>
      <c r="H1404" s="217" t="s">
        <v>1508</v>
      </c>
      <c r="I1404" s="217" t="s">
        <v>616</v>
      </c>
      <c r="J1404" s="217" t="s">
        <v>1857</v>
      </c>
      <c r="K1404" s="217">
        <v>22</v>
      </c>
      <c r="L1404" s="217">
        <v>187</v>
      </c>
      <c r="M1404" s="217" t="s">
        <v>31</v>
      </c>
      <c r="N1404" s="217" t="s">
        <v>32</v>
      </c>
      <c r="O1404" s="217" t="s">
        <v>141</v>
      </c>
      <c r="P1404" s="217" t="s">
        <v>142</v>
      </c>
      <c r="Q1404" s="217" t="s">
        <v>143</v>
      </c>
      <c r="R1404" s="217" t="s">
        <v>142</v>
      </c>
      <c r="S1404" s="217" t="s">
        <v>619</v>
      </c>
      <c r="T1404" s="217" t="s">
        <v>32</v>
      </c>
      <c r="U1404" s="217" t="s">
        <v>32</v>
      </c>
      <c r="V1404" s="217" t="s">
        <v>32</v>
      </c>
      <c r="W1404" s="217" t="s">
        <v>32</v>
      </c>
    </row>
    <row r="1405" spans="1:23" x14ac:dyDescent="0.25">
      <c r="A1405" s="217" t="s">
        <v>22</v>
      </c>
      <c r="B1405" s="217" t="s">
        <v>23</v>
      </c>
      <c r="C1405" s="217" t="s">
        <v>85</v>
      </c>
      <c r="D1405" s="217" t="s">
        <v>84</v>
      </c>
      <c r="E1405" s="217" t="s">
        <v>98</v>
      </c>
      <c r="F1405" s="217" t="s">
        <v>97</v>
      </c>
      <c r="G1405" s="217" t="s">
        <v>388</v>
      </c>
      <c r="H1405" s="217" t="s">
        <v>1160</v>
      </c>
      <c r="I1405" s="217" t="s">
        <v>616</v>
      </c>
      <c r="J1405" s="217" t="s">
        <v>1857</v>
      </c>
      <c r="K1405" s="217">
        <v>53</v>
      </c>
      <c r="L1405" s="217">
        <v>451</v>
      </c>
      <c r="M1405" s="217" t="s">
        <v>31</v>
      </c>
      <c r="N1405" s="217" t="s">
        <v>32</v>
      </c>
      <c r="O1405" s="217" t="s">
        <v>141</v>
      </c>
      <c r="P1405" s="217" t="s">
        <v>142</v>
      </c>
      <c r="Q1405" s="217" t="s">
        <v>143</v>
      </c>
      <c r="R1405" s="217" t="s">
        <v>142</v>
      </c>
      <c r="S1405" s="217" t="s">
        <v>619</v>
      </c>
      <c r="T1405" s="217" t="s">
        <v>32</v>
      </c>
      <c r="U1405" s="217" t="s">
        <v>32</v>
      </c>
      <c r="V1405" s="217" t="s">
        <v>32</v>
      </c>
      <c r="W1405" s="217" t="s">
        <v>32</v>
      </c>
    </row>
    <row r="1406" spans="1:23" x14ac:dyDescent="0.25">
      <c r="A1406" s="217" t="s">
        <v>22</v>
      </c>
      <c r="B1406" s="217" t="s">
        <v>23</v>
      </c>
      <c r="C1406" s="217" t="s">
        <v>85</v>
      </c>
      <c r="D1406" s="217" t="s">
        <v>84</v>
      </c>
      <c r="E1406" s="217" t="s">
        <v>98</v>
      </c>
      <c r="F1406" s="217" t="s">
        <v>97</v>
      </c>
      <c r="G1406" s="217" t="s">
        <v>796</v>
      </c>
      <c r="H1406" s="217" t="s">
        <v>1509</v>
      </c>
      <c r="I1406" s="217" t="s">
        <v>616</v>
      </c>
      <c r="J1406" s="217" t="s">
        <v>1856</v>
      </c>
      <c r="K1406" s="217">
        <v>8</v>
      </c>
      <c r="L1406" s="217">
        <v>51</v>
      </c>
      <c r="M1406" s="217" t="s">
        <v>31</v>
      </c>
      <c r="N1406" s="217" t="s">
        <v>32</v>
      </c>
      <c r="O1406" s="217" t="s">
        <v>141</v>
      </c>
      <c r="P1406" s="217" t="s">
        <v>142</v>
      </c>
      <c r="Q1406" s="217" t="s">
        <v>143</v>
      </c>
      <c r="R1406" s="217" t="s">
        <v>142</v>
      </c>
      <c r="S1406" s="217" t="s">
        <v>619</v>
      </c>
      <c r="T1406" s="217" t="s">
        <v>32</v>
      </c>
      <c r="U1406" s="217" t="s">
        <v>32</v>
      </c>
      <c r="V1406" s="217" t="s">
        <v>32</v>
      </c>
      <c r="W1406" s="217" t="s">
        <v>32</v>
      </c>
    </row>
    <row r="1407" spans="1:23" x14ac:dyDescent="0.25">
      <c r="A1407" s="217" t="s">
        <v>22</v>
      </c>
      <c r="B1407" s="217" t="s">
        <v>23</v>
      </c>
      <c r="C1407" s="217" t="s">
        <v>85</v>
      </c>
      <c r="D1407" s="217" t="s">
        <v>84</v>
      </c>
      <c r="E1407" s="217" t="s">
        <v>98</v>
      </c>
      <c r="F1407" s="217" t="s">
        <v>97</v>
      </c>
      <c r="G1407" s="217" t="s">
        <v>796</v>
      </c>
      <c r="H1407" s="217" t="s">
        <v>1509</v>
      </c>
      <c r="I1407" s="217" t="s">
        <v>616</v>
      </c>
      <c r="J1407" s="217" t="s">
        <v>1858</v>
      </c>
      <c r="K1407" s="217">
        <v>3</v>
      </c>
      <c r="L1407" s="217">
        <v>11</v>
      </c>
      <c r="M1407" s="217" t="s">
        <v>31</v>
      </c>
      <c r="N1407" s="217" t="s">
        <v>32</v>
      </c>
      <c r="O1407" s="217" t="s">
        <v>141</v>
      </c>
      <c r="P1407" s="217" t="s">
        <v>142</v>
      </c>
      <c r="Q1407" s="217" t="s">
        <v>143</v>
      </c>
      <c r="R1407" s="217" t="s">
        <v>142</v>
      </c>
      <c r="S1407" s="217" t="s">
        <v>619</v>
      </c>
      <c r="T1407" s="217" t="s">
        <v>32</v>
      </c>
      <c r="U1407" s="217" t="s">
        <v>32</v>
      </c>
      <c r="V1407" s="217" t="s">
        <v>32</v>
      </c>
      <c r="W1407" s="217" t="s">
        <v>32</v>
      </c>
    </row>
    <row r="1408" spans="1:23" x14ac:dyDescent="0.25">
      <c r="A1408" s="217" t="s">
        <v>22</v>
      </c>
      <c r="B1408" s="217" t="s">
        <v>23</v>
      </c>
      <c r="C1408" s="217" t="s">
        <v>85</v>
      </c>
      <c r="D1408" s="217" t="s">
        <v>84</v>
      </c>
      <c r="E1408" s="217" t="s">
        <v>98</v>
      </c>
      <c r="F1408" s="217" t="s">
        <v>97</v>
      </c>
      <c r="G1408" s="217" t="s">
        <v>791</v>
      </c>
      <c r="H1408" s="217" t="s">
        <v>1164</v>
      </c>
      <c r="I1408" s="217" t="s">
        <v>616</v>
      </c>
      <c r="J1408" s="217" t="s">
        <v>1856</v>
      </c>
      <c r="K1408" s="217">
        <v>17</v>
      </c>
      <c r="L1408" s="217">
        <v>68</v>
      </c>
      <c r="M1408" s="217" t="s">
        <v>31</v>
      </c>
      <c r="N1408" s="217" t="s">
        <v>32</v>
      </c>
      <c r="O1408" s="217" t="s">
        <v>141</v>
      </c>
      <c r="P1408" s="217" t="s">
        <v>142</v>
      </c>
      <c r="Q1408" s="217" t="s">
        <v>143</v>
      </c>
      <c r="R1408" s="217" t="s">
        <v>142</v>
      </c>
      <c r="S1408" s="217" t="s">
        <v>619</v>
      </c>
      <c r="T1408" s="217" t="s">
        <v>32</v>
      </c>
      <c r="U1408" s="217" t="s">
        <v>32</v>
      </c>
      <c r="V1408" s="217" t="s">
        <v>32</v>
      </c>
      <c r="W1408" s="217" t="s">
        <v>32</v>
      </c>
    </row>
    <row r="1409" spans="1:23" x14ac:dyDescent="0.25">
      <c r="A1409" s="217" t="s">
        <v>22</v>
      </c>
      <c r="B1409" s="217" t="s">
        <v>23</v>
      </c>
      <c r="C1409" s="217" t="s">
        <v>85</v>
      </c>
      <c r="D1409" s="217" t="s">
        <v>84</v>
      </c>
      <c r="E1409" s="217" t="s">
        <v>98</v>
      </c>
      <c r="F1409" s="217" t="s">
        <v>97</v>
      </c>
      <c r="G1409" s="217" t="s">
        <v>791</v>
      </c>
      <c r="H1409" s="217" t="s">
        <v>1164</v>
      </c>
      <c r="I1409" s="217" t="s">
        <v>616</v>
      </c>
      <c r="J1409" s="217" t="s">
        <v>1857</v>
      </c>
      <c r="K1409" s="217">
        <v>5</v>
      </c>
      <c r="L1409" s="217">
        <v>34</v>
      </c>
      <c r="M1409" s="217" t="s">
        <v>31</v>
      </c>
      <c r="N1409" s="217" t="s">
        <v>32</v>
      </c>
      <c r="O1409" s="217" t="s">
        <v>141</v>
      </c>
      <c r="P1409" s="217" t="s">
        <v>142</v>
      </c>
      <c r="Q1409" s="217" t="s">
        <v>143</v>
      </c>
      <c r="R1409" s="217" t="s">
        <v>142</v>
      </c>
      <c r="S1409" s="217" t="s">
        <v>619</v>
      </c>
      <c r="T1409" s="217" t="s">
        <v>32</v>
      </c>
      <c r="U1409" s="217" t="s">
        <v>32</v>
      </c>
      <c r="V1409" s="217" t="s">
        <v>32</v>
      </c>
      <c r="W1409" s="217" t="s">
        <v>32</v>
      </c>
    </row>
    <row r="1410" spans="1:23" x14ac:dyDescent="0.25">
      <c r="A1410" s="217" t="s">
        <v>22</v>
      </c>
      <c r="B1410" s="217" t="s">
        <v>23</v>
      </c>
      <c r="C1410" s="217" t="s">
        <v>85</v>
      </c>
      <c r="D1410" s="217" t="s">
        <v>84</v>
      </c>
      <c r="E1410" s="217" t="s">
        <v>98</v>
      </c>
      <c r="F1410" s="217" t="s">
        <v>97</v>
      </c>
      <c r="G1410" s="217" t="s">
        <v>809</v>
      </c>
      <c r="H1410" s="217" t="s">
        <v>1165</v>
      </c>
      <c r="I1410" s="217" t="s">
        <v>616</v>
      </c>
      <c r="J1410" s="217" t="s">
        <v>1857</v>
      </c>
      <c r="K1410" s="217">
        <v>11</v>
      </c>
      <c r="L1410" s="217">
        <v>49</v>
      </c>
      <c r="M1410" s="217" t="s">
        <v>31</v>
      </c>
      <c r="N1410" s="217" t="s">
        <v>32</v>
      </c>
      <c r="O1410" s="217" t="s">
        <v>141</v>
      </c>
      <c r="P1410" s="217" t="s">
        <v>142</v>
      </c>
      <c r="Q1410" s="217" t="s">
        <v>143</v>
      </c>
      <c r="R1410" s="217" t="s">
        <v>142</v>
      </c>
      <c r="S1410" s="217" t="s">
        <v>619</v>
      </c>
      <c r="T1410" s="217" t="s">
        <v>32</v>
      </c>
      <c r="U1410" s="217" t="s">
        <v>32</v>
      </c>
      <c r="V1410" s="217" t="s">
        <v>32</v>
      </c>
      <c r="W1410" s="217" t="s">
        <v>32</v>
      </c>
    </row>
    <row r="1411" spans="1:23" x14ac:dyDescent="0.25">
      <c r="A1411" s="217" t="s">
        <v>22</v>
      </c>
      <c r="B1411" s="217" t="s">
        <v>23</v>
      </c>
      <c r="C1411" s="217" t="s">
        <v>85</v>
      </c>
      <c r="D1411" s="217" t="s">
        <v>84</v>
      </c>
      <c r="E1411" s="217" t="s">
        <v>98</v>
      </c>
      <c r="F1411" s="217" t="s">
        <v>97</v>
      </c>
      <c r="G1411" s="217" t="s">
        <v>390</v>
      </c>
      <c r="H1411" s="217" t="s">
        <v>1166</v>
      </c>
      <c r="I1411" s="217" t="s">
        <v>616</v>
      </c>
      <c r="J1411" s="217" t="s">
        <v>1856</v>
      </c>
      <c r="K1411" s="217">
        <v>10</v>
      </c>
      <c r="L1411" s="217">
        <v>100</v>
      </c>
      <c r="M1411" s="217" t="s">
        <v>31</v>
      </c>
      <c r="N1411" s="217" t="s">
        <v>32</v>
      </c>
      <c r="O1411" s="217" t="s">
        <v>141</v>
      </c>
      <c r="P1411" s="217" t="s">
        <v>142</v>
      </c>
      <c r="Q1411" s="217" t="s">
        <v>143</v>
      </c>
      <c r="R1411" s="217" t="s">
        <v>142</v>
      </c>
      <c r="S1411" s="217" t="s">
        <v>619</v>
      </c>
      <c r="T1411" s="217" t="s">
        <v>32</v>
      </c>
      <c r="U1411" s="217" t="s">
        <v>32</v>
      </c>
      <c r="V1411" s="217" t="s">
        <v>32</v>
      </c>
      <c r="W1411" s="217" t="s">
        <v>32</v>
      </c>
    </row>
    <row r="1412" spans="1:23" x14ac:dyDescent="0.25">
      <c r="A1412" s="217" t="s">
        <v>22</v>
      </c>
      <c r="B1412" s="217" t="s">
        <v>23</v>
      </c>
      <c r="C1412" s="217" t="s">
        <v>85</v>
      </c>
      <c r="D1412" s="217" t="s">
        <v>84</v>
      </c>
      <c r="E1412" s="217" t="s">
        <v>98</v>
      </c>
      <c r="F1412" s="217" t="s">
        <v>97</v>
      </c>
      <c r="G1412" s="217" t="s">
        <v>390</v>
      </c>
      <c r="H1412" s="217" t="s">
        <v>1166</v>
      </c>
      <c r="I1412" s="217" t="s">
        <v>616</v>
      </c>
      <c r="J1412" s="217" t="s">
        <v>1857</v>
      </c>
      <c r="K1412" s="217">
        <v>2</v>
      </c>
      <c r="L1412" s="217">
        <v>14</v>
      </c>
      <c r="M1412" s="217" t="s">
        <v>31</v>
      </c>
      <c r="N1412" s="217" t="s">
        <v>32</v>
      </c>
      <c r="O1412" s="217" t="s">
        <v>141</v>
      </c>
      <c r="P1412" s="217" t="s">
        <v>142</v>
      </c>
      <c r="Q1412" s="217" t="s">
        <v>143</v>
      </c>
      <c r="R1412" s="217" t="s">
        <v>142</v>
      </c>
      <c r="S1412" s="217" t="s">
        <v>619</v>
      </c>
      <c r="T1412" s="217" t="s">
        <v>32</v>
      </c>
      <c r="U1412" s="217" t="s">
        <v>32</v>
      </c>
      <c r="V1412" s="217" t="s">
        <v>32</v>
      </c>
      <c r="W1412" s="217" t="s">
        <v>32</v>
      </c>
    </row>
    <row r="1413" spans="1:23" x14ac:dyDescent="0.25">
      <c r="A1413" s="217" t="s">
        <v>22</v>
      </c>
      <c r="B1413" s="217" t="s">
        <v>23</v>
      </c>
      <c r="C1413" s="217" t="s">
        <v>85</v>
      </c>
      <c r="D1413" s="217" t="s">
        <v>84</v>
      </c>
      <c r="E1413" s="217" t="s">
        <v>98</v>
      </c>
      <c r="F1413" s="217" t="s">
        <v>97</v>
      </c>
      <c r="G1413" s="217" t="s">
        <v>392</v>
      </c>
      <c r="H1413" s="217" t="s">
        <v>1169</v>
      </c>
      <c r="I1413" s="217" t="s">
        <v>616</v>
      </c>
      <c r="J1413" s="217" t="s">
        <v>1855</v>
      </c>
      <c r="K1413" s="217">
        <v>2</v>
      </c>
      <c r="L1413" s="217">
        <v>4</v>
      </c>
      <c r="M1413" s="217" t="s">
        <v>31</v>
      </c>
      <c r="N1413" s="217" t="s">
        <v>32</v>
      </c>
      <c r="O1413" s="217" t="s">
        <v>141</v>
      </c>
      <c r="P1413" s="217" t="s">
        <v>142</v>
      </c>
      <c r="Q1413" s="217" t="s">
        <v>143</v>
      </c>
      <c r="R1413" s="217" t="s">
        <v>142</v>
      </c>
      <c r="S1413" s="217" t="s">
        <v>619</v>
      </c>
      <c r="T1413" s="217" t="s">
        <v>32</v>
      </c>
      <c r="U1413" s="217" t="s">
        <v>32</v>
      </c>
      <c r="V1413" s="217" t="s">
        <v>32</v>
      </c>
      <c r="W1413" s="217" t="s">
        <v>32</v>
      </c>
    </row>
    <row r="1414" spans="1:23" x14ac:dyDescent="0.25">
      <c r="A1414" s="217" t="s">
        <v>22</v>
      </c>
      <c r="B1414" s="217" t="s">
        <v>23</v>
      </c>
      <c r="C1414" s="217" t="s">
        <v>85</v>
      </c>
      <c r="D1414" s="217" t="s">
        <v>84</v>
      </c>
      <c r="E1414" s="217" t="s">
        <v>98</v>
      </c>
      <c r="F1414" s="217" t="s">
        <v>97</v>
      </c>
      <c r="G1414" s="217" t="s">
        <v>392</v>
      </c>
      <c r="H1414" s="217" t="s">
        <v>1169</v>
      </c>
      <c r="I1414" s="217" t="s">
        <v>616</v>
      </c>
      <c r="J1414" s="217" t="s">
        <v>1856</v>
      </c>
      <c r="K1414" s="217">
        <v>2</v>
      </c>
      <c r="L1414" s="217">
        <v>2</v>
      </c>
      <c r="M1414" s="217" t="s">
        <v>31</v>
      </c>
      <c r="N1414" s="217" t="s">
        <v>32</v>
      </c>
      <c r="O1414" s="217" t="s">
        <v>141</v>
      </c>
      <c r="P1414" s="217" t="s">
        <v>142</v>
      </c>
      <c r="Q1414" s="217" t="s">
        <v>143</v>
      </c>
      <c r="R1414" s="217" t="s">
        <v>142</v>
      </c>
      <c r="S1414" s="217" t="s">
        <v>619</v>
      </c>
      <c r="T1414" s="217" t="s">
        <v>32</v>
      </c>
      <c r="U1414" s="217" t="s">
        <v>32</v>
      </c>
      <c r="V1414" s="217" t="s">
        <v>32</v>
      </c>
      <c r="W1414" s="217" t="s">
        <v>32</v>
      </c>
    </row>
    <row r="1415" spans="1:23" x14ac:dyDescent="0.25">
      <c r="A1415" s="217" t="s">
        <v>22</v>
      </c>
      <c r="B1415" s="217" t="s">
        <v>23</v>
      </c>
      <c r="C1415" s="217" t="s">
        <v>85</v>
      </c>
      <c r="D1415" s="217" t="s">
        <v>84</v>
      </c>
      <c r="E1415" s="217" t="s">
        <v>98</v>
      </c>
      <c r="F1415" s="217" t="s">
        <v>97</v>
      </c>
      <c r="G1415" s="217" t="s">
        <v>792</v>
      </c>
      <c r="H1415" s="217" t="s">
        <v>1170</v>
      </c>
      <c r="I1415" s="217" t="s">
        <v>616</v>
      </c>
      <c r="J1415" s="217" t="s">
        <v>1857</v>
      </c>
      <c r="K1415" s="217">
        <v>8</v>
      </c>
      <c r="L1415" s="217">
        <v>68</v>
      </c>
      <c r="M1415" s="217" t="s">
        <v>31</v>
      </c>
      <c r="N1415" s="217" t="s">
        <v>32</v>
      </c>
      <c r="O1415" s="217" t="s">
        <v>141</v>
      </c>
      <c r="P1415" s="217" t="s">
        <v>142</v>
      </c>
      <c r="Q1415" s="217" t="s">
        <v>143</v>
      </c>
      <c r="R1415" s="217" t="s">
        <v>142</v>
      </c>
      <c r="S1415" s="217" t="s">
        <v>619</v>
      </c>
      <c r="T1415" s="217" t="s">
        <v>32</v>
      </c>
      <c r="U1415" s="217" t="s">
        <v>32</v>
      </c>
      <c r="V1415" s="217" t="s">
        <v>32</v>
      </c>
      <c r="W1415" s="217" t="s">
        <v>32</v>
      </c>
    </row>
    <row r="1416" spans="1:23" x14ac:dyDescent="0.25">
      <c r="A1416" s="217" t="s">
        <v>22</v>
      </c>
      <c r="B1416" s="217" t="s">
        <v>23</v>
      </c>
      <c r="C1416" s="217" t="s">
        <v>85</v>
      </c>
      <c r="D1416" s="217" t="s">
        <v>84</v>
      </c>
      <c r="E1416" s="217" t="s">
        <v>98</v>
      </c>
      <c r="F1416" s="217" t="s">
        <v>97</v>
      </c>
      <c r="G1416" s="217" t="s">
        <v>163</v>
      </c>
      <c r="H1416" s="217" t="s">
        <v>1171</v>
      </c>
      <c r="I1416" s="217" t="s">
        <v>616</v>
      </c>
      <c r="J1416" s="217" t="s">
        <v>1857</v>
      </c>
      <c r="K1416" s="217">
        <v>21</v>
      </c>
      <c r="L1416" s="217">
        <v>250</v>
      </c>
      <c r="M1416" s="217" t="s">
        <v>31</v>
      </c>
      <c r="N1416" s="217" t="s">
        <v>32</v>
      </c>
      <c r="O1416" s="217" t="s">
        <v>141</v>
      </c>
      <c r="P1416" s="217" t="s">
        <v>142</v>
      </c>
      <c r="Q1416" s="217" t="s">
        <v>143</v>
      </c>
      <c r="R1416" s="217" t="s">
        <v>142</v>
      </c>
      <c r="S1416" s="217" t="s">
        <v>619</v>
      </c>
      <c r="T1416" s="217" t="s">
        <v>32</v>
      </c>
      <c r="U1416" s="217" t="s">
        <v>32</v>
      </c>
      <c r="V1416" s="217" t="s">
        <v>32</v>
      </c>
      <c r="W1416" s="217" t="s">
        <v>32</v>
      </c>
    </row>
    <row r="1417" spans="1:23" x14ac:dyDescent="0.25">
      <c r="A1417" s="217" t="s">
        <v>22</v>
      </c>
      <c r="B1417" s="217" t="s">
        <v>23</v>
      </c>
      <c r="C1417" s="217" t="s">
        <v>85</v>
      </c>
      <c r="D1417" s="217" t="s">
        <v>84</v>
      </c>
      <c r="E1417" s="217" t="s">
        <v>98</v>
      </c>
      <c r="F1417" s="217" t="s">
        <v>97</v>
      </c>
      <c r="G1417" s="217" t="s">
        <v>393</v>
      </c>
      <c r="H1417" s="217" t="s">
        <v>1172</v>
      </c>
      <c r="I1417" s="217" t="s">
        <v>616</v>
      </c>
      <c r="J1417" s="217" t="s">
        <v>1857</v>
      </c>
      <c r="K1417" s="217">
        <v>3</v>
      </c>
      <c r="L1417" s="217">
        <v>16</v>
      </c>
      <c r="M1417" s="217" t="s">
        <v>31</v>
      </c>
      <c r="N1417" s="217" t="s">
        <v>32</v>
      </c>
      <c r="O1417" s="217" t="s">
        <v>141</v>
      </c>
      <c r="P1417" s="217" t="s">
        <v>142</v>
      </c>
      <c r="Q1417" s="217" t="s">
        <v>143</v>
      </c>
      <c r="R1417" s="217" t="s">
        <v>142</v>
      </c>
      <c r="S1417" s="217" t="s">
        <v>619</v>
      </c>
      <c r="T1417" s="217" t="s">
        <v>32</v>
      </c>
      <c r="U1417" s="217" t="s">
        <v>32</v>
      </c>
      <c r="V1417" s="217" t="s">
        <v>32</v>
      </c>
      <c r="W1417" s="217" t="s">
        <v>32</v>
      </c>
    </row>
    <row r="1418" spans="1:23" x14ac:dyDescent="0.25">
      <c r="A1418" s="217" t="s">
        <v>22</v>
      </c>
      <c r="B1418" s="217" t="s">
        <v>23</v>
      </c>
      <c r="C1418" s="217" t="s">
        <v>85</v>
      </c>
      <c r="D1418" s="217" t="s">
        <v>84</v>
      </c>
      <c r="E1418" s="217" t="s">
        <v>98</v>
      </c>
      <c r="F1418" s="217" t="s">
        <v>97</v>
      </c>
      <c r="G1418" s="217" t="s">
        <v>395</v>
      </c>
      <c r="H1418" s="217" t="s">
        <v>1174</v>
      </c>
      <c r="I1418" s="217" t="s">
        <v>616</v>
      </c>
      <c r="J1418" s="217" t="s">
        <v>1856</v>
      </c>
      <c r="K1418" s="217">
        <v>20</v>
      </c>
      <c r="L1418" s="217">
        <v>75</v>
      </c>
      <c r="M1418" s="217" t="s">
        <v>31</v>
      </c>
      <c r="N1418" s="217" t="s">
        <v>32</v>
      </c>
      <c r="O1418" s="217" t="s">
        <v>141</v>
      </c>
      <c r="P1418" s="217" t="s">
        <v>142</v>
      </c>
      <c r="Q1418" s="217" t="s">
        <v>143</v>
      </c>
      <c r="R1418" s="217" t="s">
        <v>142</v>
      </c>
      <c r="S1418" s="217" t="s">
        <v>619</v>
      </c>
      <c r="T1418" s="217" t="s">
        <v>32</v>
      </c>
      <c r="U1418" s="217" t="s">
        <v>32</v>
      </c>
      <c r="V1418" s="217" t="s">
        <v>32</v>
      </c>
      <c r="W1418" s="217" t="s">
        <v>32</v>
      </c>
    </row>
    <row r="1419" spans="1:23" x14ac:dyDescent="0.25">
      <c r="A1419" s="217" t="s">
        <v>22</v>
      </c>
      <c r="B1419" s="217" t="s">
        <v>23</v>
      </c>
      <c r="C1419" s="217" t="s">
        <v>85</v>
      </c>
      <c r="D1419" s="217" t="s">
        <v>84</v>
      </c>
      <c r="E1419" s="217" t="s">
        <v>98</v>
      </c>
      <c r="F1419" s="217" t="s">
        <v>97</v>
      </c>
      <c r="G1419" s="217" t="s">
        <v>399</v>
      </c>
      <c r="H1419" s="217" t="s">
        <v>1178</v>
      </c>
      <c r="I1419" s="217" t="s">
        <v>616</v>
      </c>
      <c r="J1419" s="217" t="s">
        <v>1858</v>
      </c>
      <c r="K1419" s="217">
        <v>12</v>
      </c>
      <c r="L1419" s="217">
        <v>102</v>
      </c>
      <c r="M1419" s="217" t="s">
        <v>31</v>
      </c>
      <c r="N1419" s="217" t="s">
        <v>32</v>
      </c>
      <c r="O1419" s="217" t="s">
        <v>141</v>
      </c>
      <c r="P1419" s="217" t="s">
        <v>142</v>
      </c>
      <c r="Q1419" s="217" t="s">
        <v>143</v>
      </c>
      <c r="R1419" s="217" t="s">
        <v>142</v>
      </c>
      <c r="S1419" s="217" t="s">
        <v>619</v>
      </c>
      <c r="T1419" s="217" t="s">
        <v>32</v>
      </c>
      <c r="U1419" s="217" t="s">
        <v>32</v>
      </c>
      <c r="V1419" s="217" t="s">
        <v>32</v>
      </c>
      <c r="W1419" s="217" t="s">
        <v>32</v>
      </c>
    </row>
    <row r="1420" spans="1:23" x14ac:dyDescent="0.25">
      <c r="A1420" s="217" t="s">
        <v>22</v>
      </c>
      <c r="B1420" s="217" t="s">
        <v>23</v>
      </c>
      <c r="C1420" s="217" t="s">
        <v>85</v>
      </c>
      <c r="D1420" s="217" t="s">
        <v>84</v>
      </c>
      <c r="E1420" s="217" t="s">
        <v>98</v>
      </c>
      <c r="F1420" s="217" t="s">
        <v>97</v>
      </c>
      <c r="G1420" s="217" t="s">
        <v>798</v>
      </c>
      <c r="H1420" s="217" t="s">
        <v>1511</v>
      </c>
      <c r="I1420" s="217" t="s">
        <v>616</v>
      </c>
      <c r="J1420" s="217" t="s">
        <v>1857</v>
      </c>
      <c r="K1420" s="217">
        <v>4</v>
      </c>
      <c r="L1420" s="217">
        <v>34</v>
      </c>
      <c r="M1420" s="217" t="s">
        <v>31</v>
      </c>
      <c r="N1420" s="217" t="s">
        <v>32</v>
      </c>
      <c r="O1420" s="217" t="s">
        <v>141</v>
      </c>
      <c r="P1420" s="217" t="s">
        <v>142</v>
      </c>
      <c r="Q1420" s="217" t="s">
        <v>143</v>
      </c>
      <c r="R1420" s="217" t="s">
        <v>142</v>
      </c>
      <c r="S1420" s="217" t="s">
        <v>619</v>
      </c>
      <c r="T1420" s="217" t="s">
        <v>32</v>
      </c>
      <c r="U1420" s="217" t="s">
        <v>32</v>
      </c>
      <c r="V1420" s="217" t="s">
        <v>32</v>
      </c>
      <c r="W1420" s="217" t="s">
        <v>32</v>
      </c>
    </row>
    <row r="1421" spans="1:23" x14ac:dyDescent="0.25">
      <c r="A1421" s="217" t="s">
        <v>22</v>
      </c>
      <c r="B1421" s="217" t="s">
        <v>23</v>
      </c>
      <c r="C1421" s="217" t="s">
        <v>85</v>
      </c>
      <c r="D1421" s="217" t="s">
        <v>84</v>
      </c>
      <c r="E1421" s="217" t="s">
        <v>98</v>
      </c>
      <c r="F1421" s="217" t="s">
        <v>97</v>
      </c>
      <c r="G1421" s="217" t="s">
        <v>298</v>
      </c>
      <c r="H1421" s="217" t="s">
        <v>1181</v>
      </c>
      <c r="I1421" s="217" t="s">
        <v>616</v>
      </c>
      <c r="J1421" s="217" t="s">
        <v>1857</v>
      </c>
      <c r="K1421" s="217">
        <v>5</v>
      </c>
      <c r="L1421" s="217">
        <v>26</v>
      </c>
      <c r="M1421" s="217" t="s">
        <v>31</v>
      </c>
      <c r="N1421" s="217" t="s">
        <v>32</v>
      </c>
      <c r="O1421" s="217" t="s">
        <v>141</v>
      </c>
      <c r="P1421" s="217" t="s">
        <v>142</v>
      </c>
      <c r="Q1421" s="217" t="s">
        <v>143</v>
      </c>
      <c r="R1421" s="217" t="s">
        <v>142</v>
      </c>
      <c r="S1421" s="217" t="s">
        <v>619</v>
      </c>
      <c r="T1421" s="217" t="s">
        <v>32</v>
      </c>
      <c r="U1421" s="217" t="s">
        <v>32</v>
      </c>
      <c r="V1421" s="217" t="s">
        <v>32</v>
      </c>
      <c r="W1421" s="217" t="s">
        <v>32</v>
      </c>
    </row>
    <row r="1422" spans="1:23" x14ac:dyDescent="0.25">
      <c r="A1422" s="217" t="s">
        <v>22</v>
      </c>
      <c r="B1422" s="217" t="s">
        <v>23</v>
      </c>
      <c r="C1422" s="217" t="s">
        <v>85</v>
      </c>
      <c r="D1422" s="217" t="s">
        <v>84</v>
      </c>
      <c r="E1422" s="217" t="s">
        <v>98</v>
      </c>
      <c r="F1422" s="217" t="s">
        <v>97</v>
      </c>
      <c r="G1422" s="217" t="s">
        <v>401</v>
      </c>
      <c r="H1422" s="217" t="s">
        <v>1184</v>
      </c>
      <c r="I1422" s="217" t="s">
        <v>616</v>
      </c>
      <c r="J1422" s="217" t="s">
        <v>1855</v>
      </c>
      <c r="K1422" s="217">
        <v>12</v>
      </c>
      <c r="L1422" s="217">
        <v>53</v>
      </c>
      <c r="M1422" s="217" t="s">
        <v>31</v>
      </c>
      <c r="N1422" s="217" t="s">
        <v>32</v>
      </c>
      <c r="O1422" s="217" t="s">
        <v>141</v>
      </c>
      <c r="P1422" s="217" t="s">
        <v>142</v>
      </c>
      <c r="Q1422" s="217" t="s">
        <v>143</v>
      </c>
      <c r="R1422" s="217" t="s">
        <v>142</v>
      </c>
      <c r="S1422" s="217" t="s">
        <v>619</v>
      </c>
      <c r="T1422" s="217" t="s">
        <v>32</v>
      </c>
      <c r="U1422" s="217" t="s">
        <v>32</v>
      </c>
      <c r="V1422" s="217" t="s">
        <v>32</v>
      </c>
      <c r="W1422" s="217" t="s">
        <v>32</v>
      </c>
    </row>
    <row r="1423" spans="1:23" x14ac:dyDescent="0.25">
      <c r="A1423" s="217" t="s">
        <v>22</v>
      </c>
      <c r="B1423" s="217" t="s">
        <v>23</v>
      </c>
      <c r="C1423" s="217" t="s">
        <v>85</v>
      </c>
      <c r="D1423" s="217" t="s">
        <v>84</v>
      </c>
      <c r="E1423" s="217" t="s">
        <v>98</v>
      </c>
      <c r="F1423" s="217" t="s">
        <v>97</v>
      </c>
      <c r="G1423" s="217" t="s">
        <v>164</v>
      </c>
      <c r="H1423" s="217" t="s">
        <v>1185</v>
      </c>
      <c r="I1423" s="217" t="s">
        <v>616</v>
      </c>
      <c r="J1423" s="217" t="s">
        <v>1856</v>
      </c>
      <c r="K1423" s="217">
        <v>6</v>
      </c>
      <c r="L1423" s="217">
        <v>30</v>
      </c>
      <c r="M1423" s="217" t="s">
        <v>31</v>
      </c>
      <c r="N1423" s="217" t="s">
        <v>32</v>
      </c>
      <c r="O1423" s="217" t="s">
        <v>141</v>
      </c>
      <c r="P1423" s="217" t="s">
        <v>142</v>
      </c>
      <c r="Q1423" s="217" t="s">
        <v>143</v>
      </c>
      <c r="R1423" s="217" t="s">
        <v>142</v>
      </c>
      <c r="S1423" s="217" t="s">
        <v>619</v>
      </c>
      <c r="T1423" s="217" t="s">
        <v>32</v>
      </c>
      <c r="U1423" s="217" t="s">
        <v>32</v>
      </c>
      <c r="V1423" s="217" t="s">
        <v>32</v>
      </c>
      <c r="W1423" s="217" t="s">
        <v>32</v>
      </c>
    </row>
    <row r="1424" spans="1:23" x14ac:dyDescent="0.25">
      <c r="A1424" s="217" t="s">
        <v>22</v>
      </c>
      <c r="B1424" s="217" t="s">
        <v>23</v>
      </c>
      <c r="C1424" s="217" t="s">
        <v>85</v>
      </c>
      <c r="D1424" s="217" t="s">
        <v>84</v>
      </c>
      <c r="E1424" s="217" t="s">
        <v>98</v>
      </c>
      <c r="F1424" s="217" t="s">
        <v>97</v>
      </c>
      <c r="G1424" s="217" t="s">
        <v>164</v>
      </c>
      <c r="H1424" s="217" t="s">
        <v>1185</v>
      </c>
      <c r="I1424" s="217" t="s">
        <v>616</v>
      </c>
      <c r="J1424" s="217" t="s">
        <v>1857</v>
      </c>
      <c r="K1424" s="217">
        <v>5</v>
      </c>
      <c r="L1424" s="217">
        <v>23</v>
      </c>
      <c r="M1424" s="217" t="s">
        <v>31</v>
      </c>
      <c r="N1424" s="217" t="s">
        <v>32</v>
      </c>
      <c r="O1424" s="217" t="s">
        <v>141</v>
      </c>
      <c r="P1424" s="217" t="s">
        <v>142</v>
      </c>
      <c r="Q1424" s="217" t="s">
        <v>143</v>
      </c>
      <c r="R1424" s="217" t="s">
        <v>142</v>
      </c>
      <c r="S1424" s="217" t="s">
        <v>619</v>
      </c>
      <c r="T1424" s="217" t="s">
        <v>32</v>
      </c>
      <c r="U1424" s="217" t="s">
        <v>32</v>
      </c>
      <c r="V1424" s="217" t="s">
        <v>32</v>
      </c>
      <c r="W1424" s="217" t="s">
        <v>32</v>
      </c>
    </row>
    <row r="1425" spans="1:23" x14ac:dyDescent="0.25">
      <c r="A1425" s="217" t="s">
        <v>22</v>
      </c>
      <c r="B1425" s="217" t="s">
        <v>23</v>
      </c>
      <c r="C1425" s="217" t="s">
        <v>85</v>
      </c>
      <c r="D1425" s="217" t="s">
        <v>84</v>
      </c>
      <c r="E1425" s="217" t="s">
        <v>98</v>
      </c>
      <c r="F1425" s="217" t="s">
        <v>97</v>
      </c>
      <c r="G1425" s="217" t="s">
        <v>164</v>
      </c>
      <c r="H1425" s="217" t="s">
        <v>1185</v>
      </c>
      <c r="I1425" s="217" t="s">
        <v>616</v>
      </c>
      <c r="J1425" s="217" t="s">
        <v>1858</v>
      </c>
      <c r="K1425" s="217">
        <v>2</v>
      </c>
      <c r="L1425" s="217">
        <v>11</v>
      </c>
      <c r="M1425" s="217" t="s">
        <v>31</v>
      </c>
      <c r="N1425" s="217" t="s">
        <v>32</v>
      </c>
      <c r="O1425" s="217" t="s">
        <v>141</v>
      </c>
      <c r="P1425" s="217" t="s">
        <v>142</v>
      </c>
      <c r="Q1425" s="217" t="s">
        <v>143</v>
      </c>
      <c r="R1425" s="217" t="s">
        <v>142</v>
      </c>
      <c r="S1425" s="217" t="s">
        <v>619</v>
      </c>
      <c r="T1425" s="217" t="s">
        <v>32</v>
      </c>
      <c r="U1425" s="217" t="s">
        <v>32</v>
      </c>
      <c r="V1425" s="217" t="s">
        <v>32</v>
      </c>
      <c r="W1425" s="217" t="s">
        <v>32</v>
      </c>
    </row>
    <row r="1426" spans="1:23" x14ac:dyDescent="0.25">
      <c r="A1426" s="217" t="s">
        <v>22</v>
      </c>
      <c r="B1426" s="217" t="s">
        <v>23</v>
      </c>
      <c r="C1426" s="217" t="s">
        <v>85</v>
      </c>
      <c r="D1426" s="217" t="s">
        <v>84</v>
      </c>
      <c r="E1426" s="217" t="s">
        <v>98</v>
      </c>
      <c r="F1426" s="217" t="s">
        <v>97</v>
      </c>
      <c r="G1426" s="217" t="s">
        <v>823</v>
      </c>
      <c r="H1426" s="217" t="s">
        <v>1186</v>
      </c>
      <c r="I1426" s="217" t="s">
        <v>616</v>
      </c>
      <c r="J1426" s="217" t="s">
        <v>1855</v>
      </c>
      <c r="K1426" s="217">
        <v>19</v>
      </c>
      <c r="L1426" s="217">
        <v>76</v>
      </c>
      <c r="M1426" s="217" t="s">
        <v>31</v>
      </c>
      <c r="N1426" s="217" t="s">
        <v>32</v>
      </c>
      <c r="O1426" s="217" t="s">
        <v>141</v>
      </c>
      <c r="P1426" s="217" t="s">
        <v>142</v>
      </c>
      <c r="Q1426" s="217" t="s">
        <v>143</v>
      </c>
      <c r="R1426" s="217" t="s">
        <v>142</v>
      </c>
      <c r="S1426" s="217" t="s">
        <v>619</v>
      </c>
      <c r="T1426" s="217" t="s">
        <v>32</v>
      </c>
      <c r="U1426" s="217" t="s">
        <v>32</v>
      </c>
      <c r="V1426" s="217" t="s">
        <v>32</v>
      </c>
      <c r="W1426" s="217" t="s">
        <v>32</v>
      </c>
    </row>
    <row r="1427" spans="1:23" x14ac:dyDescent="0.25">
      <c r="A1427" s="217" t="s">
        <v>22</v>
      </c>
      <c r="B1427" s="217" t="s">
        <v>23</v>
      </c>
      <c r="C1427" s="217" t="s">
        <v>85</v>
      </c>
      <c r="D1427" s="217" t="s">
        <v>84</v>
      </c>
      <c r="E1427" s="217" t="s">
        <v>98</v>
      </c>
      <c r="F1427" s="217" t="s">
        <v>97</v>
      </c>
      <c r="G1427" s="217" t="s">
        <v>823</v>
      </c>
      <c r="H1427" s="217" t="s">
        <v>1186</v>
      </c>
      <c r="I1427" s="217" t="s">
        <v>616</v>
      </c>
      <c r="J1427" s="217" t="s">
        <v>1856</v>
      </c>
      <c r="K1427" s="217">
        <v>6</v>
      </c>
      <c r="L1427" s="217">
        <v>10</v>
      </c>
      <c r="M1427" s="217" t="s">
        <v>31</v>
      </c>
      <c r="N1427" s="217" t="s">
        <v>32</v>
      </c>
      <c r="O1427" s="217" t="s">
        <v>141</v>
      </c>
      <c r="P1427" s="217" t="s">
        <v>142</v>
      </c>
      <c r="Q1427" s="217" t="s">
        <v>143</v>
      </c>
      <c r="R1427" s="217" t="s">
        <v>142</v>
      </c>
      <c r="S1427" s="217" t="s">
        <v>619</v>
      </c>
      <c r="T1427" s="217" t="s">
        <v>32</v>
      </c>
      <c r="U1427" s="217" t="s">
        <v>32</v>
      </c>
      <c r="V1427" s="217" t="s">
        <v>32</v>
      </c>
      <c r="W1427" s="217" t="s">
        <v>32</v>
      </c>
    </row>
    <row r="1428" spans="1:23" x14ac:dyDescent="0.25">
      <c r="A1428" s="217" t="s">
        <v>22</v>
      </c>
      <c r="B1428" s="217" t="s">
        <v>23</v>
      </c>
      <c r="C1428" s="217" t="s">
        <v>85</v>
      </c>
      <c r="D1428" s="217" t="s">
        <v>84</v>
      </c>
      <c r="E1428" s="217" t="s">
        <v>98</v>
      </c>
      <c r="F1428" s="217" t="s">
        <v>97</v>
      </c>
      <c r="G1428" s="217" t="s">
        <v>823</v>
      </c>
      <c r="H1428" s="217" t="s">
        <v>1186</v>
      </c>
      <c r="I1428" s="217" t="s">
        <v>616</v>
      </c>
      <c r="J1428" s="217" t="s">
        <v>1857</v>
      </c>
      <c r="K1428" s="217">
        <v>7</v>
      </c>
      <c r="L1428" s="217">
        <v>13</v>
      </c>
      <c r="M1428" s="217" t="s">
        <v>31</v>
      </c>
      <c r="N1428" s="217" t="s">
        <v>32</v>
      </c>
      <c r="O1428" s="217" t="s">
        <v>141</v>
      </c>
      <c r="P1428" s="217" t="s">
        <v>142</v>
      </c>
      <c r="Q1428" s="217" t="s">
        <v>143</v>
      </c>
      <c r="R1428" s="217" t="s">
        <v>142</v>
      </c>
      <c r="S1428" s="217" t="s">
        <v>619</v>
      </c>
      <c r="T1428" s="217" t="s">
        <v>32</v>
      </c>
      <c r="U1428" s="217" t="s">
        <v>32</v>
      </c>
      <c r="V1428" s="217" t="s">
        <v>32</v>
      </c>
      <c r="W1428" s="217" t="s">
        <v>32</v>
      </c>
    </row>
    <row r="1429" spans="1:23" x14ac:dyDescent="0.25">
      <c r="A1429" s="217" t="s">
        <v>22</v>
      </c>
      <c r="B1429" s="217" t="s">
        <v>23</v>
      </c>
      <c r="C1429" s="217" t="s">
        <v>85</v>
      </c>
      <c r="D1429" s="217" t="s">
        <v>84</v>
      </c>
      <c r="E1429" s="217" t="s">
        <v>98</v>
      </c>
      <c r="F1429" s="217" t="s">
        <v>97</v>
      </c>
      <c r="G1429" s="217" t="s">
        <v>823</v>
      </c>
      <c r="H1429" s="217" t="s">
        <v>1186</v>
      </c>
      <c r="I1429" s="217" t="s">
        <v>616</v>
      </c>
      <c r="J1429" s="217" t="s">
        <v>1858</v>
      </c>
      <c r="K1429" s="217">
        <v>10</v>
      </c>
      <c r="L1429" s="217">
        <v>43</v>
      </c>
      <c r="M1429" s="217" t="s">
        <v>31</v>
      </c>
      <c r="N1429" s="217" t="s">
        <v>32</v>
      </c>
      <c r="O1429" s="217" t="s">
        <v>141</v>
      </c>
      <c r="P1429" s="217" t="s">
        <v>142</v>
      </c>
      <c r="Q1429" s="217" t="s">
        <v>143</v>
      </c>
      <c r="R1429" s="217" t="s">
        <v>142</v>
      </c>
      <c r="S1429" s="217" t="s">
        <v>619</v>
      </c>
      <c r="T1429" s="217" t="s">
        <v>32</v>
      </c>
      <c r="U1429" s="217" t="s">
        <v>32</v>
      </c>
      <c r="V1429" s="217" t="s">
        <v>32</v>
      </c>
      <c r="W1429" s="217" t="s">
        <v>32</v>
      </c>
    </row>
    <row r="1430" spans="1:23" x14ac:dyDescent="0.25">
      <c r="A1430" s="217" t="s">
        <v>22</v>
      </c>
      <c r="B1430" s="217" t="s">
        <v>23</v>
      </c>
      <c r="C1430" s="217" t="s">
        <v>85</v>
      </c>
      <c r="D1430" s="217" t="s">
        <v>84</v>
      </c>
      <c r="E1430" s="217" t="s">
        <v>98</v>
      </c>
      <c r="F1430" s="217" t="s">
        <v>97</v>
      </c>
      <c r="G1430" s="217" t="s">
        <v>402</v>
      </c>
      <c r="H1430" s="217" t="s">
        <v>1187</v>
      </c>
      <c r="I1430" s="217" t="s">
        <v>616</v>
      </c>
      <c r="J1430" s="217" t="s">
        <v>1857</v>
      </c>
      <c r="K1430" s="217">
        <v>10</v>
      </c>
      <c r="L1430" s="217">
        <v>85</v>
      </c>
      <c r="M1430" s="217" t="s">
        <v>31</v>
      </c>
      <c r="N1430" s="217" t="s">
        <v>32</v>
      </c>
      <c r="O1430" s="217" t="s">
        <v>141</v>
      </c>
      <c r="P1430" s="217" t="s">
        <v>142</v>
      </c>
      <c r="Q1430" s="217" t="s">
        <v>143</v>
      </c>
      <c r="R1430" s="217" t="s">
        <v>142</v>
      </c>
      <c r="S1430" s="217" t="s">
        <v>619</v>
      </c>
      <c r="T1430" s="217" t="s">
        <v>32</v>
      </c>
      <c r="U1430" s="217" t="s">
        <v>32</v>
      </c>
      <c r="V1430" s="217" t="s">
        <v>32</v>
      </c>
      <c r="W1430" s="217" t="s">
        <v>32</v>
      </c>
    </row>
    <row r="1431" spans="1:23" x14ac:dyDescent="0.25">
      <c r="A1431" s="217" t="s">
        <v>22</v>
      </c>
      <c r="B1431" s="217" t="s">
        <v>23</v>
      </c>
      <c r="C1431" s="217" t="s">
        <v>85</v>
      </c>
      <c r="D1431" s="217" t="s">
        <v>84</v>
      </c>
      <c r="E1431" s="217" t="s">
        <v>98</v>
      </c>
      <c r="F1431" s="217" t="s">
        <v>97</v>
      </c>
      <c r="G1431" s="217" t="s">
        <v>403</v>
      </c>
      <c r="H1431" s="217" t="s">
        <v>1188</v>
      </c>
      <c r="I1431" s="217" t="s">
        <v>616</v>
      </c>
      <c r="J1431" s="217" t="s">
        <v>1855</v>
      </c>
      <c r="K1431" s="217">
        <v>1</v>
      </c>
      <c r="L1431" s="217">
        <v>4</v>
      </c>
      <c r="M1431" s="217" t="s">
        <v>31</v>
      </c>
      <c r="N1431" s="217" t="s">
        <v>32</v>
      </c>
      <c r="O1431" s="217" t="s">
        <v>141</v>
      </c>
      <c r="P1431" s="217" t="s">
        <v>142</v>
      </c>
      <c r="Q1431" s="217" t="s">
        <v>143</v>
      </c>
      <c r="R1431" s="217" t="s">
        <v>142</v>
      </c>
      <c r="S1431" s="217" t="s">
        <v>619</v>
      </c>
      <c r="T1431" s="217" t="s">
        <v>32</v>
      </c>
      <c r="U1431" s="217" t="s">
        <v>32</v>
      </c>
      <c r="V1431" s="217" t="s">
        <v>32</v>
      </c>
      <c r="W1431" s="217" t="s">
        <v>32</v>
      </c>
    </row>
    <row r="1432" spans="1:23" x14ac:dyDescent="0.25">
      <c r="A1432" s="217" t="s">
        <v>22</v>
      </c>
      <c r="B1432" s="217" t="s">
        <v>23</v>
      </c>
      <c r="C1432" s="217" t="s">
        <v>85</v>
      </c>
      <c r="D1432" s="217" t="s">
        <v>84</v>
      </c>
      <c r="E1432" s="217" t="s">
        <v>98</v>
      </c>
      <c r="F1432" s="217" t="s">
        <v>97</v>
      </c>
      <c r="G1432" s="217" t="s">
        <v>404</v>
      </c>
      <c r="H1432" s="217" t="s">
        <v>1191</v>
      </c>
      <c r="I1432" s="217" t="s">
        <v>616</v>
      </c>
      <c r="J1432" s="217" t="s">
        <v>1856</v>
      </c>
      <c r="K1432" s="217">
        <v>4</v>
      </c>
      <c r="L1432" s="217">
        <v>30</v>
      </c>
      <c r="M1432" s="217" t="s">
        <v>31</v>
      </c>
      <c r="N1432" s="217" t="s">
        <v>32</v>
      </c>
      <c r="O1432" s="217" t="s">
        <v>141</v>
      </c>
      <c r="P1432" s="217" t="s">
        <v>142</v>
      </c>
      <c r="Q1432" s="217" t="s">
        <v>143</v>
      </c>
      <c r="R1432" s="217" t="s">
        <v>142</v>
      </c>
      <c r="S1432" s="217" t="s">
        <v>619</v>
      </c>
      <c r="T1432" s="217" t="s">
        <v>32</v>
      </c>
      <c r="U1432" s="217" t="s">
        <v>32</v>
      </c>
      <c r="V1432" s="217" t="s">
        <v>32</v>
      </c>
      <c r="W1432" s="217" t="s">
        <v>32</v>
      </c>
    </row>
    <row r="1433" spans="1:23" x14ac:dyDescent="0.25">
      <c r="A1433" s="217" t="s">
        <v>22</v>
      </c>
      <c r="B1433" s="217" t="s">
        <v>23</v>
      </c>
      <c r="C1433" s="217" t="s">
        <v>85</v>
      </c>
      <c r="D1433" s="217" t="s">
        <v>84</v>
      </c>
      <c r="E1433" s="217" t="s">
        <v>98</v>
      </c>
      <c r="F1433" s="217" t="s">
        <v>97</v>
      </c>
      <c r="G1433" s="217" t="s">
        <v>404</v>
      </c>
      <c r="H1433" s="217" t="s">
        <v>1191</v>
      </c>
      <c r="I1433" s="217" t="s">
        <v>616</v>
      </c>
      <c r="J1433" s="217" t="s">
        <v>1858</v>
      </c>
      <c r="K1433" s="217">
        <v>5</v>
      </c>
      <c r="L1433" s="217">
        <v>45</v>
      </c>
      <c r="M1433" s="217" t="s">
        <v>31</v>
      </c>
      <c r="N1433" s="217" t="s">
        <v>32</v>
      </c>
      <c r="O1433" s="217" t="s">
        <v>141</v>
      </c>
      <c r="P1433" s="217" t="s">
        <v>142</v>
      </c>
      <c r="Q1433" s="217" t="s">
        <v>143</v>
      </c>
      <c r="R1433" s="217" t="s">
        <v>142</v>
      </c>
      <c r="S1433" s="217" t="s">
        <v>619</v>
      </c>
      <c r="T1433" s="217" t="s">
        <v>32</v>
      </c>
      <c r="U1433" s="217" t="s">
        <v>32</v>
      </c>
      <c r="V1433" s="217" t="s">
        <v>32</v>
      </c>
      <c r="W1433" s="217" t="s">
        <v>32</v>
      </c>
    </row>
    <row r="1434" spans="1:23" x14ac:dyDescent="0.25">
      <c r="A1434" s="217" t="s">
        <v>22</v>
      </c>
      <c r="B1434" s="217" t="s">
        <v>23</v>
      </c>
      <c r="C1434" s="217" t="s">
        <v>85</v>
      </c>
      <c r="D1434" s="217" t="s">
        <v>84</v>
      </c>
      <c r="E1434" s="217" t="s">
        <v>98</v>
      </c>
      <c r="F1434" s="217" t="s">
        <v>97</v>
      </c>
      <c r="G1434" s="217" t="s">
        <v>825</v>
      </c>
      <c r="H1434" s="217" t="s">
        <v>1192</v>
      </c>
      <c r="I1434" s="217" t="s">
        <v>616</v>
      </c>
      <c r="J1434" s="217" t="s">
        <v>1857</v>
      </c>
      <c r="K1434" s="217">
        <v>5</v>
      </c>
      <c r="L1434" s="217">
        <v>25</v>
      </c>
      <c r="M1434" s="217" t="s">
        <v>31</v>
      </c>
      <c r="N1434" s="217" t="s">
        <v>32</v>
      </c>
      <c r="O1434" s="217" t="s">
        <v>141</v>
      </c>
      <c r="P1434" s="217" t="s">
        <v>142</v>
      </c>
      <c r="Q1434" s="217" t="s">
        <v>143</v>
      </c>
      <c r="R1434" s="217" t="s">
        <v>142</v>
      </c>
      <c r="S1434" s="217" t="s">
        <v>619</v>
      </c>
      <c r="T1434" s="217" t="s">
        <v>32</v>
      </c>
      <c r="U1434" s="217" t="s">
        <v>32</v>
      </c>
      <c r="V1434" s="217" t="s">
        <v>32</v>
      </c>
      <c r="W1434" s="217" t="s">
        <v>32</v>
      </c>
    </row>
    <row r="1435" spans="1:23" x14ac:dyDescent="0.25">
      <c r="A1435" s="217" t="s">
        <v>22</v>
      </c>
      <c r="B1435" s="217" t="s">
        <v>23</v>
      </c>
      <c r="C1435" s="217" t="s">
        <v>85</v>
      </c>
      <c r="D1435" s="217" t="s">
        <v>84</v>
      </c>
      <c r="E1435" s="217" t="s">
        <v>98</v>
      </c>
      <c r="F1435" s="217" t="s">
        <v>97</v>
      </c>
      <c r="G1435" s="217" t="s">
        <v>826</v>
      </c>
      <c r="H1435" s="217" t="s">
        <v>1193</v>
      </c>
      <c r="I1435" s="217" t="s">
        <v>616</v>
      </c>
      <c r="J1435" s="217" t="s">
        <v>1858</v>
      </c>
      <c r="K1435" s="217">
        <v>11</v>
      </c>
      <c r="L1435" s="217">
        <v>94</v>
      </c>
      <c r="M1435" s="217" t="s">
        <v>31</v>
      </c>
      <c r="N1435" s="217" t="s">
        <v>32</v>
      </c>
      <c r="O1435" s="217" t="s">
        <v>141</v>
      </c>
      <c r="P1435" s="217" t="s">
        <v>142</v>
      </c>
      <c r="Q1435" s="217" t="s">
        <v>143</v>
      </c>
      <c r="R1435" s="217" t="s">
        <v>142</v>
      </c>
      <c r="S1435" s="217" t="s">
        <v>619</v>
      </c>
      <c r="T1435" s="217" t="s">
        <v>32</v>
      </c>
      <c r="U1435" s="217" t="s">
        <v>32</v>
      </c>
      <c r="V1435" s="217" t="s">
        <v>32</v>
      </c>
      <c r="W1435" s="217" t="s">
        <v>32</v>
      </c>
    </row>
    <row r="1436" spans="1:23" x14ac:dyDescent="0.25">
      <c r="A1436" s="217" t="s">
        <v>22</v>
      </c>
      <c r="B1436" s="217" t="s">
        <v>23</v>
      </c>
      <c r="C1436" s="217" t="s">
        <v>85</v>
      </c>
      <c r="D1436" s="217" t="s">
        <v>84</v>
      </c>
      <c r="E1436" s="217" t="s">
        <v>98</v>
      </c>
      <c r="F1436" s="217" t="s">
        <v>97</v>
      </c>
      <c r="G1436" s="217" t="s">
        <v>407</v>
      </c>
      <c r="H1436" s="217" t="s">
        <v>1197</v>
      </c>
      <c r="I1436" s="217" t="s">
        <v>616</v>
      </c>
      <c r="J1436" s="217" t="s">
        <v>1857</v>
      </c>
      <c r="K1436" s="217">
        <v>3</v>
      </c>
      <c r="L1436" s="217">
        <v>15</v>
      </c>
      <c r="M1436" s="217" t="s">
        <v>31</v>
      </c>
      <c r="N1436" s="217" t="s">
        <v>32</v>
      </c>
      <c r="O1436" s="217" t="s">
        <v>141</v>
      </c>
      <c r="P1436" s="217" t="s">
        <v>142</v>
      </c>
      <c r="Q1436" s="217" t="s">
        <v>143</v>
      </c>
      <c r="R1436" s="217" t="s">
        <v>142</v>
      </c>
      <c r="S1436" s="217" t="s">
        <v>619</v>
      </c>
      <c r="T1436" s="217" t="s">
        <v>32</v>
      </c>
      <c r="U1436" s="217" t="s">
        <v>32</v>
      </c>
      <c r="V1436" s="217" t="s">
        <v>32</v>
      </c>
      <c r="W1436" s="217" t="s">
        <v>32</v>
      </c>
    </row>
    <row r="1437" spans="1:23" x14ac:dyDescent="0.25">
      <c r="A1437" s="217" t="s">
        <v>22</v>
      </c>
      <c r="B1437" s="217" t="s">
        <v>23</v>
      </c>
      <c r="C1437" s="217" t="s">
        <v>85</v>
      </c>
      <c r="D1437" s="217" t="s">
        <v>84</v>
      </c>
      <c r="E1437" s="217" t="s">
        <v>98</v>
      </c>
      <c r="F1437" s="217" t="s">
        <v>97</v>
      </c>
      <c r="G1437" s="217" t="s">
        <v>816</v>
      </c>
      <c r="H1437" s="217" t="s">
        <v>1198</v>
      </c>
      <c r="I1437" s="217" t="s">
        <v>616</v>
      </c>
      <c r="J1437" s="217" t="s">
        <v>1857</v>
      </c>
      <c r="K1437" s="217">
        <v>7</v>
      </c>
      <c r="L1437" s="217">
        <v>60</v>
      </c>
      <c r="M1437" s="217" t="s">
        <v>31</v>
      </c>
      <c r="N1437" s="217" t="s">
        <v>32</v>
      </c>
      <c r="O1437" s="217" t="s">
        <v>141</v>
      </c>
      <c r="P1437" s="217" t="s">
        <v>142</v>
      </c>
      <c r="Q1437" s="217" t="s">
        <v>143</v>
      </c>
      <c r="R1437" s="217" t="s">
        <v>142</v>
      </c>
      <c r="S1437" s="217" t="s">
        <v>619</v>
      </c>
      <c r="T1437" s="217" t="s">
        <v>32</v>
      </c>
      <c r="U1437" s="217" t="s">
        <v>32</v>
      </c>
      <c r="V1437" s="217" t="s">
        <v>32</v>
      </c>
      <c r="W1437" s="217" t="s">
        <v>32</v>
      </c>
    </row>
    <row r="1438" spans="1:23" x14ac:dyDescent="0.25">
      <c r="A1438" s="217" t="s">
        <v>22</v>
      </c>
      <c r="B1438" s="217" t="s">
        <v>23</v>
      </c>
      <c r="C1438" s="217" t="s">
        <v>85</v>
      </c>
      <c r="D1438" s="217" t="s">
        <v>84</v>
      </c>
      <c r="E1438" s="217" t="s">
        <v>98</v>
      </c>
      <c r="F1438" s="217" t="s">
        <v>97</v>
      </c>
      <c r="G1438" s="217" t="s">
        <v>816</v>
      </c>
      <c r="H1438" s="217" t="s">
        <v>1198</v>
      </c>
      <c r="I1438" s="217" t="s">
        <v>616</v>
      </c>
      <c r="J1438" s="217" t="s">
        <v>1858</v>
      </c>
      <c r="K1438" s="217">
        <v>4</v>
      </c>
      <c r="L1438" s="217">
        <v>32</v>
      </c>
      <c r="M1438" s="217" t="s">
        <v>31</v>
      </c>
      <c r="N1438" s="217" t="s">
        <v>32</v>
      </c>
      <c r="O1438" s="217" t="s">
        <v>141</v>
      </c>
      <c r="P1438" s="217" t="s">
        <v>142</v>
      </c>
      <c r="Q1438" s="217" t="s">
        <v>143</v>
      </c>
      <c r="R1438" s="217" t="s">
        <v>142</v>
      </c>
      <c r="S1438" s="217" t="s">
        <v>619</v>
      </c>
      <c r="T1438" s="217" t="s">
        <v>32</v>
      </c>
      <c r="U1438" s="217" t="s">
        <v>32</v>
      </c>
      <c r="V1438" s="217" t="s">
        <v>32</v>
      </c>
      <c r="W1438" s="217" t="s">
        <v>32</v>
      </c>
    </row>
    <row r="1439" spans="1:23" x14ac:dyDescent="0.25">
      <c r="A1439" s="217" t="s">
        <v>22</v>
      </c>
      <c r="B1439" s="217" t="s">
        <v>23</v>
      </c>
      <c r="C1439" s="217" t="s">
        <v>85</v>
      </c>
      <c r="D1439" s="217" t="s">
        <v>84</v>
      </c>
      <c r="E1439" s="217" t="s">
        <v>98</v>
      </c>
      <c r="F1439" s="217" t="s">
        <v>97</v>
      </c>
      <c r="G1439" s="217" t="s">
        <v>408</v>
      </c>
      <c r="H1439" s="217" t="s">
        <v>1199</v>
      </c>
      <c r="I1439" s="217" t="s">
        <v>616</v>
      </c>
      <c r="J1439" s="217" t="s">
        <v>1856</v>
      </c>
      <c r="K1439" s="217">
        <v>2</v>
      </c>
      <c r="L1439" s="217">
        <v>15</v>
      </c>
      <c r="M1439" s="217" t="s">
        <v>31</v>
      </c>
      <c r="N1439" s="217" t="s">
        <v>32</v>
      </c>
      <c r="O1439" s="217" t="s">
        <v>141</v>
      </c>
      <c r="P1439" s="217" t="s">
        <v>142</v>
      </c>
      <c r="Q1439" s="217" t="s">
        <v>143</v>
      </c>
      <c r="R1439" s="217" t="s">
        <v>142</v>
      </c>
      <c r="S1439" s="217" t="s">
        <v>619</v>
      </c>
      <c r="T1439" s="217" t="s">
        <v>32</v>
      </c>
      <c r="U1439" s="217" t="s">
        <v>32</v>
      </c>
      <c r="V1439" s="217" t="s">
        <v>32</v>
      </c>
      <c r="W1439" s="217" t="s">
        <v>32</v>
      </c>
    </row>
    <row r="1440" spans="1:23" x14ac:dyDescent="0.25">
      <c r="A1440" s="217" t="s">
        <v>22</v>
      </c>
      <c r="B1440" s="217" t="s">
        <v>23</v>
      </c>
      <c r="C1440" s="217" t="s">
        <v>85</v>
      </c>
      <c r="D1440" s="217" t="s">
        <v>84</v>
      </c>
      <c r="E1440" s="217" t="s">
        <v>98</v>
      </c>
      <c r="F1440" s="217" t="s">
        <v>97</v>
      </c>
      <c r="G1440" s="217" t="s">
        <v>1823</v>
      </c>
      <c r="H1440" s="217" t="s">
        <v>1822</v>
      </c>
      <c r="I1440" s="217" t="s">
        <v>616</v>
      </c>
      <c r="J1440" s="217" t="s">
        <v>1856</v>
      </c>
      <c r="K1440" s="217">
        <v>10</v>
      </c>
      <c r="L1440" s="217">
        <v>80</v>
      </c>
      <c r="M1440" s="217" t="s">
        <v>31</v>
      </c>
      <c r="N1440" s="217" t="s">
        <v>32</v>
      </c>
      <c r="O1440" s="217" t="s">
        <v>141</v>
      </c>
      <c r="P1440" s="217" t="s">
        <v>142</v>
      </c>
      <c r="Q1440" s="217" t="s">
        <v>143</v>
      </c>
      <c r="R1440" s="217" t="s">
        <v>142</v>
      </c>
      <c r="S1440" s="217" t="s">
        <v>619</v>
      </c>
      <c r="T1440" s="217" t="s">
        <v>32</v>
      </c>
      <c r="U1440" s="217" t="s">
        <v>32</v>
      </c>
      <c r="V1440" s="217" t="s">
        <v>32</v>
      </c>
      <c r="W1440" s="217" t="s">
        <v>32</v>
      </c>
    </row>
    <row r="1441" spans="1:23" x14ac:dyDescent="0.25">
      <c r="A1441" s="217" t="s">
        <v>22</v>
      </c>
      <c r="B1441" s="217" t="s">
        <v>23</v>
      </c>
      <c r="C1441" s="217" t="s">
        <v>85</v>
      </c>
      <c r="D1441" s="217" t="s">
        <v>84</v>
      </c>
      <c r="E1441" s="217" t="s">
        <v>98</v>
      </c>
      <c r="F1441" s="217" t="s">
        <v>97</v>
      </c>
      <c r="G1441" s="217" t="s">
        <v>818</v>
      </c>
      <c r="H1441" s="217" t="s">
        <v>1203</v>
      </c>
      <c r="I1441" s="217" t="s">
        <v>616</v>
      </c>
      <c r="J1441" s="217" t="s">
        <v>1856</v>
      </c>
      <c r="K1441" s="217">
        <v>4</v>
      </c>
      <c r="L1441" s="217">
        <v>47</v>
      </c>
      <c r="M1441" s="217" t="s">
        <v>31</v>
      </c>
      <c r="N1441" s="217" t="s">
        <v>32</v>
      </c>
      <c r="O1441" s="217" t="s">
        <v>141</v>
      </c>
      <c r="P1441" s="217" t="s">
        <v>142</v>
      </c>
      <c r="Q1441" s="217" t="s">
        <v>143</v>
      </c>
      <c r="R1441" s="217" t="s">
        <v>142</v>
      </c>
      <c r="S1441" s="217" t="s">
        <v>619</v>
      </c>
      <c r="T1441" s="217" t="s">
        <v>32</v>
      </c>
      <c r="U1441" s="217" t="s">
        <v>32</v>
      </c>
      <c r="V1441" s="217" t="s">
        <v>32</v>
      </c>
      <c r="W1441" s="217" t="s">
        <v>32</v>
      </c>
    </row>
    <row r="1442" spans="1:23" x14ac:dyDescent="0.25">
      <c r="A1442" s="217" t="s">
        <v>22</v>
      </c>
      <c r="B1442" s="217" t="s">
        <v>23</v>
      </c>
      <c r="C1442" s="217" t="s">
        <v>85</v>
      </c>
      <c r="D1442" s="217" t="s">
        <v>84</v>
      </c>
      <c r="E1442" s="217" t="s">
        <v>98</v>
      </c>
      <c r="F1442" s="217" t="s">
        <v>97</v>
      </c>
      <c r="G1442" s="217" t="s">
        <v>818</v>
      </c>
      <c r="H1442" s="217" t="s">
        <v>1203</v>
      </c>
      <c r="I1442" s="217" t="s">
        <v>616</v>
      </c>
      <c r="J1442" s="217" t="s">
        <v>1857</v>
      </c>
      <c r="K1442" s="217">
        <v>23</v>
      </c>
      <c r="L1442" s="217">
        <v>100</v>
      </c>
      <c r="M1442" s="217" t="s">
        <v>31</v>
      </c>
      <c r="N1442" s="217" t="s">
        <v>32</v>
      </c>
      <c r="O1442" s="217" t="s">
        <v>141</v>
      </c>
      <c r="P1442" s="217" t="s">
        <v>142</v>
      </c>
      <c r="Q1442" s="217" t="s">
        <v>143</v>
      </c>
      <c r="R1442" s="217" t="s">
        <v>142</v>
      </c>
      <c r="S1442" s="217" t="s">
        <v>619</v>
      </c>
      <c r="T1442" s="217" t="s">
        <v>32</v>
      </c>
      <c r="U1442" s="217" t="s">
        <v>32</v>
      </c>
      <c r="V1442" s="217" t="s">
        <v>32</v>
      </c>
      <c r="W1442" s="217" t="s">
        <v>32</v>
      </c>
    </row>
    <row r="1443" spans="1:23" x14ac:dyDescent="0.25">
      <c r="A1443" s="217" t="s">
        <v>22</v>
      </c>
      <c r="B1443" s="217" t="s">
        <v>23</v>
      </c>
      <c r="C1443" s="217" t="s">
        <v>85</v>
      </c>
      <c r="D1443" s="217" t="s">
        <v>84</v>
      </c>
      <c r="E1443" s="217" t="s">
        <v>98</v>
      </c>
      <c r="F1443" s="217" t="s">
        <v>97</v>
      </c>
      <c r="G1443" s="217" t="s">
        <v>818</v>
      </c>
      <c r="H1443" s="217" t="s">
        <v>1203</v>
      </c>
      <c r="I1443" s="217" t="s">
        <v>616</v>
      </c>
      <c r="J1443" s="217" t="s">
        <v>1858</v>
      </c>
      <c r="K1443" s="217">
        <v>3</v>
      </c>
      <c r="L1443" s="217">
        <v>3</v>
      </c>
      <c r="M1443" s="217" t="s">
        <v>31</v>
      </c>
      <c r="N1443" s="217" t="s">
        <v>32</v>
      </c>
      <c r="O1443" s="217" t="s">
        <v>141</v>
      </c>
      <c r="P1443" s="217" t="s">
        <v>142</v>
      </c>
      <c r="Q1443" s="217" t="s">
        <v>143</v>
      </c>
      <c r="R1443" s="217" t="s">
        <v>142</v>
      </c>
      <c r="S1443" s="217" t="s">
        <v>619</v>
      </c>
      <c r="T1443" s="217" t="s">
        <v>32</v>
      </c>
      <c r="U1443" s="217" t="s">
        <v>32</v>
      </c>
      <c r="V1443" s="217" t="s">
        <v>32</v>
      </c>
      <c r="W1443" s="217" t="s">
        <v>32</v>
      </c>
    </row>
    <row r="1444" spans="1:23" x14ac:dyDescent="0.25">
      <c r="A1444" s="217" t="s">
        <v>22</v>
      </c>
      <c r="B1444" s="217" t="s">
        <v>23</v>
      </c>
      <c r="C1444" s="217" t="s">
        <v>85</v>
      </c>
      <c r="D1444" s="217" t="s">
        <v>84</v>
      </c>
      <c r="E1444" s="217" t="s">
        <v>98</v>
      </c>
      <c r="F1444" s="217" t="s">
        <v>97</v>
      </c>
      <c r="G1444" s="217" t="s">
        <v>701</v>
      </c>
      <c r="H1444" s="217" t="s">
        <v>1204</v>
      </c>
      <c r="I1444" s="217" t="s">
        <v>616</v>
      </c>
      <c r="J1444" s="217" t="s">
        <v>1858</v>
      </c>
      <c r="K1444" s="217">
        <v>9</v>
      </c>
      <c r="L1444" s="217">
        <v>77</v>
      </c>
      <c r="M1444" s="217" t="s">
        <v>31</v>
      </c>
      <c r="N1444" s="217" t="s">
        <v>32</v>
      </c>
      <c r="O1444" s="217" t="s">
        <v>141</v>
      </c>
      <c r="P1444" s="217" t="s">
        <v>142</v>
      </c>
      <c r="Q1444" s="217" t="s">
        <v>143</v>
      </c>
      <c r="R1444" s="217" t="s">
        <v>142</v>
      </c>
      <c r="S1444" s="217" t="s">
        <v>619</v>
      </c>
      <c r="T1444" s="217" t="s">
        <v>32</v>
      </c>
      <c r="U1444" s="217" t="s">
        <v>32</v>
      </c>
      <c r="V1444" s="217" t="s">
        <v>32</v>
      </c>
      <c r="W1444" s="217" t="s">
        <v>32</v>
      </c>
    </row>
    <row r="1445" spans="1:23" x14ac:dyDescent="0.25">
      <c r="A1445" s="217" t="s">
        <v>22</v>
      </c>
      <c r="B1445" s="217" t="s">
        <v>23</v>
      </c>
      <c r="C1445" s="217" t="s">
        <v>85</v>
      </c>
      <c r="D1445" s="217" t="s">
        <v>84</v>
      </c>
      <c r="E1445" s="217" t="s">
        <v>98</v>
      </c>
      <c r="F1445" s="217" t="s">
        <v>97</v>
      </c>
      <c r="G1445" s="217" t="s">
        <v>2137</v>
      </c>
      <c r="H1445" s="217" t="s">
        <v>2138</v>
      </c>
      <c r="I1445" s="217" t="s">
        <v>616</v>
      </c>
      <c r="J1445" s="217" t="s">
        <v>1858</v>
      </c>
      <c r="K1445" s="217">
        <v>11</v>
      </c>
      <c r="L1445" s="217">
        <v>94</v>
      </c>
      <c r="M1445" s="217" t="s">
        <v>31</v>
      </c>
      <c r="N1445" s="217" t="s">
        <v>32</v>
      </c>
      <c r="O1445" s="217" t="s">
        <v>141</v>
      </c>
      <c r="P1445" s="217" t="s">
        <v>142</v>
      </c>
      <c r="Q1445" s="217" t="s">
        <v>143</v>
      </c>
      <c r="R1445" s="217" t="s">
        <v>142</v>
      </c>
      <c r="S1445" s="217" t="s">
        <v>619</v>
      </c>
      <c r="T1445" s="217" t="s">
        <v>32</v>
      </c>
      <c r="U1445" s="217" t="s">
        <v>32</v>
      </c>
      <c r="V1445" s="217" t="s">
        <v>32</v>
      </c>
      <c r="W1445" s="217" t="s">
        <v>32</v>
      </c>
    </row>
    <row r="1446" spans="1:23" x14ac:dyDescent="0.25">
      <c r="A1446" s="217" t="s">
        <v>22</v>
      </c>
      <c r="B1446" s="217" t="s">
        <v>23</v>
      </c>
      <c r="C1446" s="217" t="s">
        <v>85</v>
      </c>
      <c r="D1446" s="217" t="s">
        <v>84</v>
      </c>
      <c r="E1446" s="217" t="s">
        <v>98</v>
      </c>
      <c r="F1446" s="217" t="s">
        <v>97</v>
      </c>
      <c r="G1446" s="217" t="s">
        <v>782</v>
      </c>
      <c r="H1446" s="217" t="s">
        <v>1207</v>
      </c>
      <c r="I1446" s="217" t="s">
        <v>616</v>
      </c>
      <c r="J1446" s="217" t="s">
        <v>1856</v>
      </c>
      <c r="K1446" s="217">
        <v>11</v>
      </c>
      <c r="L1446" s="217">
        <v>77</v>
      </c>
      <c r="M1446" s="217" t="s">
        <v>31</v>
      </c>
      <c r="N1446" s="217" t="s">
        <v>32</v>
      </c>
      <c r="O1446" s="217" t="s">
        <v>141</v>
      </c>
      <c r="P1446" s="217" t="s">
        <v>142</v>
      </c>
      <c r="Q1446" s="217" t="s">
        <v>143</v>
      </c>
      <c r="R1446" s="217" t="s">
        <v>142</v>
      </c>
      <c r="S1446" s="217" t="s">
        <v>619</v>
      </c>
      <c r="T1446" s="217" t="s">
        <v>32</v>
      </c>
      <c r="U1446" s="217" t="s">
        <v>32</v>
      </c>
      <c r="V1446" s="217" t="s">
        <v>32</v>
      </c>
      <c r="W1446" s="217" t="s">
        <v>32</v>
      </c>
    </row>
    <row r="1447" spans="1:23" x14ac:dyDescent="0.25">
      <c r="A1447" s="217" t="s">
        <v>22</v>
      </c>
      <c r="B1447" s="217" t="s">
        <v>23</v>
      </c>
      <c r="C1447" s="217" t="s">
        <v>85</v>
      </c>
      <c r="D1447" s="217" t="s">
        <v>84</v>
      </c>
      <c r="E1447" s="217" t="s">
        <v>98</v>
      </c>
      <c r="F1447" s="217" t="s">
        <v>97</v>
      </c>
      <c r="G1447" s="217" t="s">
        <v>413</v>
      </c>
      <c r="H1447" s="217" t="s">
        <v>1211</v>
      </c>
      <c r="I1447" s="217" t="s">
        <v>616</v>
      </c>
      <c r="J1447" s="217" t="s">
        <v>1858</v>
      </c>
      <c r="K1447" s="217">
        <v>17</v>
      </c>
      <c r="L1447" s="217">
        <v>145</v>
      </c>
      <c r="M1447" s="217" t="s">
        <v>31</v>
      </c>
      <c r="N1447" s="217" t="s">
        <v>32</v>
      </c>
      <c r="O1447" s="217" t="s">
        <v>141</v>
      </c>
      <c r="P1447" s="217" t="s">
        <v>142</v>
      </c>
      <c r="Q1447" s="217" t="s">
        <v>143</v>
      </c>
      <c r="R1447" s="217" t="s">
        <v>142</v>
      </c>
      <c r="S1447" s="217" t="s">
        <v>619</v>
      </c>
      <c r="T1447" s="217" t="s">
        <v>32</v>
      </c>
      <c r="U1447" s="217" t="s">
        <v>32</v>
      </c>
      <c r="V1447" s="217" t="s">
        <v>32</v>
      </c>
      <c r="W1447" s="217" t="s">
        <v>32</v>
      </c>
    </row>
    <row r="1448" spans="1:23" x14ac:dyDescent="0.25">
      <c r="A1448" s="217" t="s">
        <v>22</v>
      </c>
      <c r="B1448" s="217" t="s">
        <v>23</v>
      </c>
      <c r="C1448" s="217" t="s">
        <v>85</v>
      </c>
      <c r="D1448" s="217" t="s">
        <v>84</v>
      </c>
      <c r="E1448" s="217" t="s">
        <v>98</v>
      </c>
      <c r="F1448" s="217" t="s">
        <v>97</v>
      </c>
      <c r="G1448" s="217" t="s">
        <v>414</v>
      </c>
      <c r="H1448" s="217" t="s">
        <v>1212</v>
      </c>
      <c r="I1448" s="217" t="s">
        <v>616</v>
      </c>
      <c r="J1448" s="217" t="s">
        <v>1857</v>
      </c>
      <c r="K1448" s="217">
        <v>5</v>
      </c>
      <c r="L1448" s="217">
        <v>43</v>
      </c>
      <c r="M1448" s="217" t="s">
        <v>31</v>
      </c>
      <c r="N1448" s="217" t="s">
        <v>32</v>
      </c>
      <c r="O1448" s="217" t="s">
        <v>141</v>
      </c>
      <c r="P1448" s="217" t="s">
        <v>142</v>
      </c>
      <c r="Q1448" s="217" t="s">
        <v>143</v>
      </c>
      <c r="R1448" s="217" t="s">
        <v>142</v>
      </c>
      <c r="S1448" s="217" t="s">
        <v>619</v>
      </c>
      <c r="T1448" s="217" t="s">
        <v>32</v>
      </c>
      <c r="U1448" s="217" t="s">
        <v>32</v>
      </c>
      <c r="V1448" s="217" t="s">
        <v>32</v>
      </c>
      <c r="W1448" s="217" t="s">
        <v>32</v>
      </c>
    </row>
    <row r="1449" spans="1:23" x14ac:dyDescent="0.25">
      <c r="A1449" s="217" t="s">
        <v>22</v>
      </c>
      <c r="B1449" s="217" t="s">
        <v>23</v>
      </c>
      <c r="C1449" s="217" t="s">
        <v>85</v>
      </c>
      <c r="D1449" s="217" t="s">
        <v>84</v>
      </c>
      <c r="E1449" s="217" t="s">
        <v>98</v>
      </c>
      <c r="F1449" s="217" t="s">
        <v>97</v>
      </c>
      <c r="G1449" s="217" t="s">
        <v>414</v>
      </c>
      <c r="H1449" s="217" t="s">
        <v>1212</v>
      </c>
      <c r="I1449" s="217" t="s">
        <v>616</v>
      </c>
      <c r="J1449" s="217" t="s">
        <v>1858</v>
      </c>
      <c r="K1449" s="217">
        <v>11</v>
      </c>
      <c r="L1449" s="217">
        <v>94</v>
      </c>
      <c r="M1449" s="217" t="s">
        <v>31</v>
      </c>
      <c r="N1449" s="217" t="s">
        <v>32</v>
      </c>
      <c r="O1449" s="217" t="s">
        <v>141</v>
      </c>
      <c r="P1449" s="217" t="s">
        <v>142</v>
      </c>
      <c r="Q1449" s="217" t="s">
        <v>143</v>
      </c>
      <c r="R1449" s="217" t="s">
        <v>142</v>
      </c>
      <c r="S1449" s="217" t="s">
        <v>619</v>
      </c>
      <c r="T1449" s="217" t="s">
        <v>32</v>
      </c>
      <c r="U1449" s="217" t="s">
        <v>32</v>
      </c>
      <c r="V1449" s="217" t="s">
        <v>32</v>
      </c>
      <c r="W1449" s="217" t="s">
        <v>32</v>
      </c>
    </row>
    <row r="1450" spans="1:23" x14ac:dyDescent="0.25">
      <c r="A1450" s="217" t="s">
        <v>22</v>
      </c>
      <c r="B1450" s="217" t="s">
        <v>23</v>
      </c>
      <c r="C1450" s="217" t="s">
        <v>85</v>
      </c>
      <c r="D1450" s="217" t="s">
        <v>84</v>
      </c>
      <c r="E1450" s="217" t="s">
        <v>98</v>
      </c>
      <c r="F1450" s="217" t="s">
        <v>97</v>
      </c>
      <c r="G1450" s="217" t="s">
        <v>416</v>
      </c>
      <c r="H1450" s="217" t="s">
        <v>1214</v>
      </c>
      <c r="I1450" s="217" t="s">
        <v>616</v>
      </c>
      <c r="J1450" s="217" t="s">
        <v>1856</v>
      </c>
      <c r="K1450" s="217">
        <v>4</v>
      </c>
      <c r="L1450" s="217">
        <v>27</v>
      </c>
      <c r="M1450" s="217" t="s">
        <v>31</v>
      </c>
      <c r="N1450" s="217" t="s">
        <v>32</v>
      </c>
      <c r="O1450" s="217" t="s">
        <v>141</v>
      </c>
      <c r="P1450" s="217" t="s">
        <v>142</v>
      </c>
      <c r="Q1450" s="217" t="s">
        <v>143</v>
      </c>
      <c r="R1450" s="217" t="s">
        <v>142</v>
      </c>
      <c r="S1450" s="217" t="s">
        <v>619</v>
      </c>
      <c r="T1450" s="217" t="s">
        <v>32</v>
      </c>
      <c r="U1450" s="217" t="s">
        <v>32</v>
      </c>
      <c r="V1450" s="217" t="s">
        <v>32</v>
      </c>
      <c r="W1450" s="217" t="s">
        <v>32</v>
      </c>
    </row>
    <row r="1451" spans="1:23" x14ac:dyDescent="0.25">
      <c r="A1451" s="217" t="s">
        <v>22</v>
      </c>
      <c r="B1451" s="217" t="s">
        <v>23</v>
      </c>
      <c r="C1451" s="217" t="s">
        <v>85</v>
      </c>
      <c r="D1451" s="217" t="s">
        <v>84</v>
      </c>
      <c r="E1451" s="217" t="s">
        <v>98</v>
      </c>
      <c r="F1451" s="217" t="s">
        <v>97</v>
      </c>
      <c r="G1451" s="217" t="s">
        <v>793</v>
      </c>
      <c r="H1451" s="217" t="s">
        <v>1215</v>
      </c>
      <c r="I1451" s="217" t="s">
        <v>616</v>
      </c>
      <c r="J1451" s="217" t="s">
        <v>1856</v>
      </c>
      <c r="K1451" s="217">
        <v>10</v>
      </c>
      <c r="L1451" s="217">
        <v>85</v>
      </c>
      <c r="M1451" s="217" t="s">
        <v>31</v>
      </c>
      <c r="N1451" s="217" t="s">
        <v>32</v>
      </c>
      <c r="O1451" s="217" t="s">
        <v>141</v>
      </c>
      <c r="P1451" s="217" t="s">
        <v>142</v>
      </c>
      <c r="Q1451" s="217" t="s">
        <v>143</v>
      </c>
      <c r="R1451" s="217" t="s">
        <v>142</v>
      </c>
      <c r="S1451" s="217" t="s">
        <v>619</v>
      </c>
      <c r="T1451" s="217" t="s">
        <v>32</v>
      </c>
      <c r="U1451" s="217" t="s">
        <v>32</v>
      </c>
      <c r="V1451" s="217" t="s">
        <v>32</v>
      </c>
      <c r="W1451" s="217" t="s">
        <v>32</v>
      </c>
    </row>
    <row r="1452" spans="1:23" x14ac:dyDescent="0.25">
      <c r="A1452" s="217" t="s">
        <v>22</v>
      </c>
      <c r="B1452" s="217" t="s">
        <v>23</v>
      </c>
      <c r="C1452" s="217" t="s">
        <v>85</v>
      </c>
      <c r="D1452" s="217" t="s">
        <v>84</v>
      </c>
      <c r="E1452" s="217" t="s">
        <v>98</v>
      </c>
      <c r="F1452" s="217" t="s">
        <v>97</v>
      </c>
      <c r="G1452" s="217" t="s">
        <v>793</v>
      </c>
      <c r="H1452" s="217" t="s">
        <v>1215</v>
      </c>
      <c r="I1452" s="217" t="s">
        <v>616</v>
      </c>
      <c r="J1452" s="217" t="s">
        <v>1858</v>
      </c>
      <c r="K1452" s="217">
        <v>11</v>
      </c>
      <c r="L1452" s="217">
        <v>64</v>
      </c>
      <c r="M1452" s="217" t="s">
        <v>31</v>
      </c>
      <c r="N1452" s="217" t="s">
        <v>32</v>
      </c>
      <c r="O1452" s="217" t="s">
        <v>141</v>
      </c>
      <c r="P1452" s="217" t="s">
        <v>142</v>
      </c>
      <c r="Q1452" s="217" t="s">
        <v>143</v>
      </c>
      <c r="R1452" s="217" t="s">
        <v>142</v>
      </c>
      <c r="S1452" s="217" t="s">
        <v>619</v>
      </c>
      <c r="T1452" s="217" t="s">
        <v>32</v>
      </c>
      <c r="U1452" s="217" t="s">
        <v>32</v>
      </c>
      <c r="V1452" s="217" t="s">
        <v>32</v>
      </c>
      <c r="W1452" s="217" t="s">
        <v>32</v>
      </c>
    </row>
    <row r="1453" spans="1:23" x14ac:dyDescent="0.25">
      <c r="A1453" s="217" t="s">
        <v>22</v>
      </c>
      <c r="B1453" s="217" t="s">
        <v>23</v>
      </c>
      <c r="C1453" s="217" t="s">
        <v>85</v>
      </c>
      <c r="D1453" s="217" t="s">
        <v>84</v>
      </c>
      <c r="E1453" s="217" t="s">
        <v>98</v>
      </c>
      <c r="F1453" s="217" t="s">
        <v>97</v>
      </c>
      <c r="G1453" s="217" t="s">
        <v>417</v>
      </c>
      <c r="H1453" s="217" t="s">
        <v>1217</v>
      </c>
      <c r="I1453" s="217" t="s">
        <v>616</v>
      </c>
      <c r="J1453" s="217" t="s">
        <v>1855</v>
      </c>
      <c r="K1453" s="217">
        <v>5</v>
      </c>
      <c r="L1453" s="217">
        <v>28</v>
      </c>
      <c r="M1453" s="217" t="s">
        <v>31</v>
      </c>
      <c r="N1453" s="217" t="s">
        <v>32</v>
      </c>
      <c r="O1453" s="217" t="s">
        <v>141</v>
      </c>
      <c r="P1453" s="217" t="s">
        <v>142</v>
      </c>
      <c r="Q1453" s="217" t="s">
        <v>143</v>
      </c>
      <c r="R1453" s="217" t="s">
        <v>142</v>
      </c>
      <c r="S1453" s="217" t="s">
        <v>619</v>
      </c>
      <c r="T1453" s="217" t="s">
        <v>32</v>
      </c>
      <c r="U1453" s="217" t="s">
        <v>32</v>
      </c>
      <c r="V1453" s="217" t="s">
        <v>32</v>
      </c>
      <c r="W1453" s="217" t="s">
        <v>32</v>
      </c>
    </row>
    <row r="1454" spans="1:23" x14ac:dyDescent="0.25">
      <c r="A1454" s="217" t="s">
        <v>22</v>
      </c>
      <c r="B1454" s="217" t="s">
        <v>23</v>
      </c>
      <c r="C1454" s="217" t="s">
        <v>85</v>
      </c>
      <c r="D1454" s="217" t="s">
        <v>84</v>
      </c>
      <c r="E1454" s="217" t="s">
        <v>98</v>
      </c>
      <c r="F1454" s="217" t="s">
        <v>97</v>
      </c>
      <c r="G1454" s="217" t="s">
        <v>417</v>
      </c>
      <c r="H1454" s="217" t="s">
        <v>1217</v>
      </c>
      <c r="I1454" s="217" t="s">
        <v>616</v>
      </c>
      <c r="J1454" s="217" t="s">
        <v>1857</v>
      </c>
      <c r="K1454" s="217">
        <v>3</v>
      </c>
      <c r="L1454" s="217">
        <v>14</v>
      </c>
      <c r="M1454" s="217" t="s">
        <v>31</v>
      </c>
      <c r="N1454" s="217" t="s">
        <v>32</v>
      </c>
      <c r="O1454" s="217" t="s">
        <v>141</v>
      </c>
      <c r="P1454" s="217" t="s">
        <v>142</v>
      </c>
      <c r="Q1454" s="217" t="s">
        <v>143</v>
      </c>
      <c r="R1454" s="217" t="s">
        <v>142</v>
      </c>
      <c r="S1454" s="217" t="s">
        <v>619</v>
      </c>
      <c r="T1454" s="217" t="s">
        <v>32</v>
      </c>
      <c r="U1454" s="217" t="s">
        <v>32</v>
      </c>
      <c r="V1454" s="217" t="s">
        <v>32</v>
      </c>
      <c r="W1454" s="217" t="s">
        <v>32</v>
      </c>
    </row>
    <row r="1455" spans="1:23" x14ac:dyDescent="0.25">
      <c r="A1455" s="217" t="s">
        <v>22</v>
      </c>
      <c r="B1455" s="217" t="s">
        <v>23</v>
      </c>
      <c r="C1455" s="217" t="s">
        <v>85</v>
      </c>
      <c r="D1455" s="217" t="s">
        <v>84</v>
      </c>
      <c r="E1455" s="217" t="s">
        <v>98</v>
      </c>
      <c r="F1455" s="217" t="s">
        <v>97</v>
      </c>
      <c r="G1455" s="217" t="s">
        <v>417</v>
      </c>
      <c r="H1455" s="217" t="s">
        <v>1217</v>
      </c>
      <c r="I1455" s="217" t="s">
        <v>616</v>
      </c>
      <c r="J1455" s="217" t="s">
        <v>1858</v>
      </c>
      <c r="K1455" s="217">
        <v>6</v>
      </c>
      <c r="L1455" s="217">
        <v>35</v>
      </c>
      <c r="M1455" s="217" t="s">
        <v>31</v>
      </c>
      <c r="N1455" s="217" t="s">
        <v>32</v>
      </c>
      <c r="O1455" s="217" t="s">
        <v>141</v>
      </c>
      <c r="P1455" s="217" t="s">
        <v>142</v>
      </c>
      <c r="Q1455" s="217" t="s">
        <v>143</v>
      </c>
      <c r="R1455" s="217" t="s">
        <v>142</v>
      </c>
      <c r="S1455" s="217" t="s">
        <v>619</v>
      </c>
      <c r="T1455" s="217" t="s">
        <v>32</v>
      </c>
      <c r="U1455" s="217" t="s">
        <v>32</v>
      </c>
      <c r="V1455" s="217" t="s">
        <v>32</v>
      </c>
      <c r="W1455" s="217" t="s">
        <v>32</v>
      </c>
    </row>
    <row r="1456" spans="1:23" x14ac:dyDescent="0.25">
      <c r="A1456" s="217" t="s">
        <v>22</v>
      </c>
      <c r="B1456" s="217" t="s">
        <v>23</v>
      </c>
      <c r="C1456" s="217" t="s">
        <v>85</v>
      </c>
      <c r="D1456" s="217" t="s">
        <v>84</v>
      </c>
      <c r="E1456" s="217" t="s">
        <v>98</v>
      </c>
      <c r="F1456" s="217" t="s">
        <v>97</v>
      </c>
      <c r="G1456" s="217" t="s">
        <v>421</v>
      </c>
      <c r="H1456" s="217" t="s">
        <v>1221</v>
      </c>
      <c r="I1456" s="217" t="s">
        <v>616</v>
      </c>
      <c r="J1456" s="217" t="s">
        <v>1855</v>
      </c>
      <c r="K1456" s="217">
        <v>6</v>
      </c>
      <c r="L1456" s="217">
        <v>30</v>
      </c>
      <c r="M1456" s="217" t="s">
        <v>31</v>
      </c>
      <c r="N1456" s="217" t="s">
        <v>32</v>
      </c>
      <c r="O1456" s="217" t="s">
        <v>141</v>
      </c>
      <c r="P1456" s="217" t="s">
        <v>142</v>
      </c>
      <c r="Q1456" s="217" t="s">
        <v>143</v>
      </c>
      <c r="R1456" s="217" t="s">
        <v>142</v>
      </c>
      <c r="S1456" s="217" t="s">
        <v>619</v>
      </c>
      <c r="T1456" s="217" t="s">
        <v>32</v>
      </c>
      <c r="U1456" s="217" t="s">
        <v>32</v>
      </c>
      <c r="V1456" s="217" t="s">
        <v>32</v>
      </c>
      <c r="W1456" s="217" t="s">
        <v>32</v>
      </c>
    </row>
    <row r="1457" spans="1:23" x14ac:dyDescent="0.25">
      <c r="A1457" s="217" t="s">
        <v>22</v>
      </c>
      <c r="B1457" s="217" t="s">
        <v>23</v>
      </c>
      <c r="C1457" s="217" t="s">
        <v>85</v>
      </c>
      <c r="D1457" s="217" t="s">
        <v>84</v>
      </c>
      <c r="E1457" s="217" t="s">
        <v>98</v>
      </c>
      <c r="F1457" s="217" t="s">
        <v>97</v>
      </c>
      <c r="G1457" s="217" t="s">
        <v>166</v>
      </c>
      <c r="H1457" s="217" t="s">
        <v>1222</v>
      </c>
      <c r="I1457" s="217" t="s">
        <v>616</v>
      </c>
      <c r="J1457" s="217" t="s">
        <v>1855</v>
      </c>
      <c r="K1457" s="217">
        <v>7</v>
      </c>
      <c r="L1457" s="217">
        <v>31</v>
      </c>
      <c r="M1457" s="217" t="s">
        <v>31</v>
      </c>
      <c r="N1457" s="217" t="s">
        <v>32</v>
      </c>
      <c r="O1457" s="217" t="s">
        <v>141</v>
      </c>
      <c r="P1457" s="217" t="s">
        <v>142</v>
      </c>
      <c r="Q1457" s="217" t="s">
        <v>143</v>
      </c>
      <c r="R1457" s="217" t="s">
        <v>142</v>
      </c>
      <c r="S1457" s="217" t="s">
        <v>619</v>
      </c>
      <c r="T1457" s="217" t="s">
        <v>32</v>
      </c>
      <c r="U1457" s="217" t="s">
        <v>32</v>
      </c>
      <c r="V1457" s="217" t="s">
        <v>32</v>
      </c>
      <c r="W1457" s="217" t="s">
        <v>32</v>
      </c>
    </row>
    <row r="1458" spans="1:23" x14ac:dyDescent="0.25">
      <c r="A1458" s="217" t="s">
        <v>22</v>
      </c>
      <c r="B1458" s="217" t="s">
        <v>23</v>
      </c>
      <c r="C1458" s="217" t="s">
        <v>85</v>
      </c>
      <c r="D1458" s="217" t="s">
        <v>84</v>
      </c>
      <c r="E1458" s="217" t="s">
        <v>98</v>
      </c>
      <c r="F1458" s="217" t="s">
        <v>97</v>
      </c>
      <c r="G1458" s="217" t="s">
        <v>424</v>
      </c>
      <c r="H1458" s="217" t="s">
        <v>1225</v>
      </c>
      <c r="I1458" s="217" t="s">
        <v>616</v>
      </c>
      <c r="J1458" s="217" t="s">
        <v>1857</v>
      </c>
      <c r="K1458" s="217">
        <v>4</v>
      </c>
      <c r="L1458" s="217">
        <v>18</v>
      </c>
      <c r="M1458" s="217" t="s">
        <v>31</v>
      </c>
      <c r="N1458" s="217" t="s">
        <v>32</v>
      </c>
      <c r="O1458" s="217" t="s">
        <v>141</v>
      </c>
      <c r="P1458" s="217" t="s">
        <v>142</v>
      </c>
      <c r="Q1458" s="217" t="s">
        <v>143</v>
      </c>
      <c r="R1458" s="217" t="s">
        <v>142</v>
      </c>
      <c r="S1458" s="217" t="s">
        <v>619</v>
      </c>
      <c r="T1458" s="217" t="s">
        <v>32</v>
      </c>
      <c r="U1458" s="217" t="s">
        <v>32</v>
      </c>
      <c r="V1458" s="217" t="s">
        <v>32</v>
      </c>
      <c r="W1458" s="217" t="s">
        <v>32</v>
      </c>
    </row>
    <row r="1459" spans="1:23" x14ac:dyDescent="0.25">
      <c r="A1459" s="217" t="s">
        <v>22</v>
      </c>
      <c r="B1459" s="217" t="s">
        <v>23</v>
      </c>
      <c r="C1459" s="217" t="s">
        <v>85</v>
      </c>
      <c r="D1459" s="217" t="s">
        <v>84</v>
      </c>
      <c r="E1459" s="217" t="s">
        <v>98</v>
      </c>
      <c r="F1459" s="217" t="s">
        <v>97</v>
      </c>
      <c r="G1459" s="217" t="s">
        <v>426</v>
      </c>
      <c r="H1459" s="217" t="s">
        <v>1227</v>
      </c>
      <c r="I1459" s="217" t="s">
        <v>616</v>
      </c>
      <c r="J1459" s="217" t="s">
        <v>1856</v>
      </c>
      <c r="K1459" s="217">
        <v>11</v>
      </c>
      <c r="L1459" s="217">
        <v>33</v>
      </c>
      <c r="M1459" s="217" t="s">
        <v>31</v>
      </c>
      <c r="N1459" s="217" t="s">
        <v>32</v>
      </c>
      <c r="O1459" s="217" t="s">
        <v>141</v>
      </c>
      <c r="P1459" s="217" t="s">
        <v>142</v>
      </c>
      <c r="Q1459" s="217" t="s">
        <v>143</v>
      </c>
      <c r="R1459" s="217" t="s">
        <v>142</v>
      </c>
      <c r="S1459" s="217" t="s">
        <v>619</v>
      </c>
      <c r="T1459" s="217" t="s">
        <v>32</v>
      </c>
      <c r="U1459" s="217" t="s">
        <v>32</v>
      </c>
      <c r="V1459" s="217" t="s">
        <v>32</v>
      </c>
      <c r="W1459" s="217" t="s">
        <v>32</v>
      </c>
    </row>
    <row r="1460" spans="1:23" x14ac:dyDescent="0.25">
      <c r="A1460" s="217" t="s">
        <v>22</v>
      </c>
      <c r="B1460" s="217" t="s">
        <v>23</v>
      </c>
      <c r="C1460" s="217" t="s">
        <v>85</v>
      </c>
      <c r="D1460" s="217" t="s">
        <v>84</v>
      </c>
      <c r="E1460" s="217" t="s">
        <v>98</v>
      </c>
      <c r="F1460" s="217" t="s">
        <v>97</v>
      </c>
      <c r="G1460" s="217" t="s">
        <v>168</v>
      </c>
      <c r="H1460" s="217" t="s">
        <v>1235</v>
      </c>
      <c r="I1460" s="217" t="s">
        <v>616</v>
      </c>
      <c r="J1460" s="217" t="s">
        <v>1856</v>
      </c>
      <c r="K1460" s="217">
        <v>8</v>
      </c>
      <c r="L1460" s="217">
        <v>42</v>
      </c>
      <c r="M1460" s="217" t="s">
        <v>31</v>
      </c>
      <c r="N1460" s="217" t="s">
        <v>32</v>
      </c>
      <c r="O1460" s="217" t="s">
        <v>141</v>
      </c>
      <c r="P1460" s="217" t="s">
        <v>142</v>
      </c>
      <c r="Q1460" s="217" t="s">
        <v>143</v>
      </c>
      <c r="R1460" s="217" t="s">
        <v>142</v>
      </c>
      <c r="S1460" s="217" t="s">
        <v>619</v>
      </c>
      <c r="T1460" s="217" t="s">
        <v>32</v>
      </c>
      <c r="U1460" s="217" t="s">
        <v>32</v>
      </c>
      <c r="V1460" s="217" t="s">
        <v>32</v>
      </c>
      <c r="W1460" s="217" t="s">
        <v>32</v>
      </c>
    </row>
    <row r="1461" spans="1:23" x14ac:dyDescent="0.25">
      <c r="A1461" s="217" t="s">
        <v>22</v>
      </c>
      <c r="B1461" s="217" t="s">
        <v>23</v>
      </c>
      <c r="C1461" s="217" t="s">
        <v>85</v>
      </c>
      <c r="D1461" s="217" t="s">
        <v>84</v>
      </c>
      <c r="E1461" s="217" t="s">
        <v>98</v>
      </c>
      <c r="F1461" s="217" t="s">
        <v>97</v>
      </c>
      <c r="G1461" s="217" t="s">
        <v>168</v>
      </c>
      <c r="H1461" s="217" t="s">
        <v>1235</v>
      </c>
      <c r="I1461" s="217" t="s">
        <v>616</v>
      </c>
      <c r="J1461" s="217" t="s">
        <v>1857</v>
      </c>
      <c r="K1461" s="217">
        <v>4</v>
      </c>
      <c r="L1461" s="217">
        <v>28</v>
      </c>
      <c r="M1461" s="217" t="s">
        <v>31</v>
      </c>
      <c r="N1461" s="217" t="s">
        <v>32</v>
      </c>
      <c r="O1461" s="217" t="s">
        <v>141</v>
      </c>
      <c r="P1461" s="217" t="s">
        <v>142</v>
      </c>
      <c r="Q1461" s="217" t="s">
        <v>143</v>
      </c>
      <c r="R1461" s="217" t="s">
        <v>142</v>
      </c>
      <c r="S1461" s="217" t="s">
        <v>619</v>
      </c>
      <c r="T1461" s="217" t="s">
        <v>32</v>
      </c>
      <c r="U1461" s="217" t="s">
        <v>32</v>
      </c>
      <c r="V1461" s="217" t="s">
        <v>32</v>
      </c>
      <c r="W1461" s="217" t="s">
        <v>32</v>
      </c>
    </row>
    <row r="1462" spans="1:23" x14ac:dyDescent="0.25">
      <c r="A1462" s="217" t="s">
        <v>22</v>
      </c>
      <c r="B1462" s="217" t="s">
        <v>23</v>
      </c>
      <c r="C1462" s="217" t="s">
        <v>85</v>
      </c>
      <c r="D1462" s="217" t="s">
        <v>84</v>
      </c>
      <c r="E1462" s="217" t="s">
        <v>98</v>
      </c>
      <c r="F1462" s="217" t="s">
        <v>97</v>
      </c>
      <c r="G1462" s="217" t="s">
        <v>432</v>
      </c>
      <c r="H1462" s="217" t="s">
        <v>1236</v>
      </c>
      <c r="I1462" s="217" t="s">
        <v>616</v>
      </c>
      <c r="J1462" s="217" t="s">
        <v>1857</v>
      </c>
      <c r="K1462" s="217">
        <v>7</v>
      </c>
      <c r="L1462" s="217">
        <v>42</v>
      </c>
      <c r="M1462" s="217" t="s">
        <v>31</v>
      </c>
      <c r="N1462" s="217" t="s">
        <v>32</v>
      </c>
      <c r="O1462" s="217" t="s">
        <v>141</v>
      </c>
      <c r="P1462" s="217" t="s">
        <v>142</v>
      </c>
      <c r="Q1462" s="217" t="s">
        <v>143</v>
      </c>
      <c r="R1462" s="217" t="s">
        <v>142</v>
      </c>
      <c r="S1462" s="217" t="s">
        <v>619</v>
      </c>
      <c r="T1462" s="217" t="s">
        <v>32</v>
      </c>
      <c r="U1462" s="217" t="s">
        <v>32</v>
      </c>
      <c r="V1462" s="217" t="s">
        <v>32</v>
      </c>
      <c r="W1462" s="217" t="s">
        <v>32</v>
      </c>
    </row>
    <row r="1463" spans="1:23" x14ac:dyDescent="0.25">
      <c r="A1463" s="217" t="s">
        <v>22</v>
      </c>
      <c r="B1463" s="217" t="s">
        <v>23</v>
      </c>
      <c r="C1463" s="217" t="s">
        <v>85</v>
      </c>
      <c r="D1463" s="217" t="s">
        <v>84</v>
      </c>
      <c r="E1463" s="217" t="s">
        <v>98</v>
      </c>
      <c r="F1463" s="217" t="s">
        <v>97</v>
      </c>
      <c r="G1463" s="217" t="s">
        <v>432</v>
      </c>
      <c r="H1463" s="217" t="s">
        <v>1236</v>
      </c>
      <c r="I1463" s="217" t="s">
        <v>616</v>
      </c>
      <c r="J1463" s="217" t="s">
        <v>1858</v>
      </c>
      <c r="K1463" s="217">
        <v>6</v>
      </c>
      <c r="L1463" s="217">
        <v>31</v>
      </c>
      <c r="M1463" s="217" t="s">
        <v>31</v>
      </c>
      <c r="N1463" s="217" t="s">
        <v>32</v>
      </c>
      <c r="O1463" s="217" t="s">
        <v>141</v>
      </c>
      <c r="P1463" s="217" t="s">
        <v>142</v>
      </c>
      <c r="Q1463" s="217" t="s">
        <v>143</v>
      </c>
      <c r="R1463" s="217" t="s">
        <v>142</v>
      </c>
      <c r="S1463" s="217" t="s">
        <v>619</v>
      </c>
      <c r="T1463" s="217" t="s">
        <v>32</v>
      </c>
      <c r="U1463" s="217" t="s">
        <v>32</v>
      </c>
      <c r="V1463" s="217" t="s">
        <v>32</v>
      </c>
      <c r="W1463" s="217" t="s">
        <v>32</v>
      </c>
    </row>
    <row r="1464" spans="1:23" x14ac:dyDescent="0.25">
      <c r="A1464" s="217" t="s">
        <v>22</v>
      </c>
      <c r="B1464" s="217" t="s">
        <v>23</v>
      </c>
      <c r="C1464" s="217" t="s">
        <v>85</v>
      </c>
      <c r="D1464" s="217" t="s">
        <v>84</v>
      </c>
      <c r="E1464" s="217" t="s">
        <v>98</v>
      </c>
      <c r="F1464" s="217" t="s">
        <v>97</v>
      </c>
      <c r="G1464" s="217" t="s">
        <v>433</v>
      </c>
      <c r="H1464" s="217" t="s">
        <v>1241</v>
      </c>
      <c r="I1464" s="217" t="s">
        <v>616</v>
      </c>
      <c r="J1464" s="217" t="s">
        <v>1855</v>
      </c>
      <c r="K1464" s="217">
        <v>8</v>
      </c>
      <c r="L1464" s="217">
        <v>42</v>
      </c>
      <c r="M1464" s="217" t="s">
        <v>31</v>
      </c>
      <c r="N1464" s="217" t="s">
        <v>32</v>
      </c>
      <c r="O1464" s="217" t="s">
        <v>141</v>
      </c>
      <c r="P1464" s="217" t="s">
        <v>142</v>
      </c>
      <c r="Q1464" s="217" t="s">
        <v>143</v>
      </c>
      <c r="R1464" s="217" t="s">
        <v>142</v>
      </c>
      <c r="S1464" s="217" t="s">
        <v>619</v>
      </c>
      <c r="T1464" s="217" t="s">
        <v>32</v>
      </c>
      <c r="U1464" s="217" t="s">
        <v>32</v>
      </c>
      <c r="V1464" s="217" t="s">
        <v>32</v>
      </c>
      <c r="W1464" s="217" t="s">
        <v>32</v>
      </c>
    </row>
    <row r="1465" spans="1:23" x14ac:dyDescent="0.25">
      <c r="A1465" s="217" t="s">
        <v>22</v>
      </c>
      <c r="B1465" s="217" t="s">
        <v>23</v>
      </c>
      <c r="C1465" s="217" t="s">
        <v>85</v>
      </c>
      <c r="D1465" s="217" t="s">
        <v>84</v>
      </c>
      <c r="E1465" s="217" t="s">
        <v>98</v>
      </c>
      <c r="F1465" s="217" t="s">
        <v>97</v>
      </c>
      <c r="G1465" s="217" t="s">
        <v>702</v>
      </c>
      <c r="H1465" s="217" t="s">
        <v>1520</v>
      </c>
      <c r="I1465" s="217" t="s">
        <v>616</v>
      </c>
      <c r="J1465" s="217" t="s">
        <v>1857</v>
      </c>
      <c r="K1465" s="217">
        <v>3</v>
      </c>
      <c r="L1465" s="217">
        <v>26</v>
      </c>
      <c r="M1465" s="217" t="s">
        <v>31</v>
      </c>
      <c r="N1465" s="217" t="s">
        <v>32</v>
      </c>
      <c r="O1465" s="217" t="s">
        <v>141</v>
      </c>
      <c r="P1465" s="217" t="s">
        <v>142</v>
      </c>
      <c r="Q1465" s="217" t="s">
        <v>143</v>
      </c>
      <c r="R1465" s="217" t="s">
        <v>142</v>
      </c>
      <c r="S1465" s="217" t="s">
        <v>619</v>
      </c>
      <c r="T1465" s="217" t="s">
        <v>32</v>
      </c>
      <c r="U1465" s="217" t="s">
        <v>32</v>
      </c>
      <c r="V1465" s="217" t="s">
        <v>32</v>
      </c>
      <c r="W1465" s="217" t="s">
        <v>32</v>
      </c>
    </row>
    <row r="1466" spans="1:23" x14ac:dyDescent="0.25">
      <c r="A1466" s="217" t="s">
        <v>22</v>
      </c>
      <c r="B1466" s="217" t="s">
        <v>23</v>
      </c>
      <c r="C1466" s="217" t="s">
        <v>85</v>
      </c>
      <c r="D1466" s="217" t="s">
        <v>84</v>
      </c>
      <c r="E1466" s="217" t="s">
        <v>98</v>
      </c>
      <c r="F1466" s="217" t="s">
        <v>97</v>
      </c>
      <c r="G1466" s="217" t="s">
        <v>437</v>
      </c>
      <c r="H1466" s="217" t="s">
        <v>1253</v>
      </c>
      <c r="I1466" s="217" t="s">
        <v>616</v>
      </c>
      <c r="J1466" s="217" t="s">
        <v>1855</v>
      </c>
      <c r="K1466" s="217">
        <v>6</v>
      </c>
      <c r="L1466" s="217">
        <v>20</v>
      </c>
      <c r="M1466" s="217" t="s">
        <v>31</v>
      </c>
      <c r="N1466" s="217" t="s">
        <v>32</v>
      </c>
      <c r="O1466" s="217" t="s">
        <v>141</v>
      </c>
      <c r="P1466" s="217" t="s">
        <v>142</v>
      </c>
      <c r="Q1466" s="217" t="s">
        <v>143</v>
      </c>
      <c r="R1466" s="217" t="s">
        <v>142</v>
      </c>
      <c r="S1466" s="217" t="s">
        <v>619</v>
      </c>
      <c r="T1466" s="217" t="s">
        <v>32</v>
      </c>
      <c r="U1466" s="217" t="s">
        <v>32</v>
      </c>
      <c r="V1466" s="217" t="s">
        <v>32</v>
      </c>
      <c r="W1466" s="217" t="s">
        <v>32</v>
      </c>
    </row>
    <row r="1467" spans="1:23" x14ac:dyDescent="0.25">
      <c r="A1467" s="217" t="s">
        <v>22</v>
      </c>
      <c r="B1467" s="217" t="s">
        <v>23</v>
      </c>
      <c r="C1467" s="217" t="s">
        <v>85</v>
      </c>
      <c r="D1467" s="217" t="s">
        <v>84</v>
      </c>
      <c r="E1467" s="217" t="s">
        <v>98</v>
      </c>
      <c r="F1467" s="217" t="s">
        <v>97</v>
      </c>
      <c r="G1467" s="217" t="s">
        <v>444</v>
      </c>
      <c r="H1467" s="217" t="s">
        <v>1261</v>
      </c>
      <c r="I1467" s="217" t="s">
        <v>616</v>
      </c>
      <c r="J1467" s="217" t="s">
        <v>1857</v>
      </c>
      <c r="K1467" s="217">
        <v>6</v>
      </c>
      <c r="L1467" s="217">
        <v>30</v>
      </c>
      <c r="M1467" s="217" t="s">
        <v>31</v>
      </c>
      <c r="N1467" s="217" t="s">
        <v>32</v>
      </c>
      <c r="O1467" s="217" t="s">
        <v>141</v>
      </c>
      <c r="P1467" s="217" t="s">
        <v>142</v>
      </c>
      <c r="Q1467" s="217" t="s">
        <v>143</v>
      </c>
      <c r="R1467" s="217" t="s">
        <v>142</v>
      </c>
      <c r="S1467" s="217" t="s">
        <v>619</v>
      </c>
      <c r="T1467" s="217" t="s">
        <v>32</v>
      </c>
      <c r="U1467" s="217" t="s">
        <v>32</v>
      </c>
      <c r="V1467" s="217" t="s">
        <v>32</v>
      </c>
      <c r="W1467" s="217" t="s">
        <v>32</v>
      </c>
    </row>
    <row r="1468" spans="1:23" x14ac:dyDescent="0.25">
      <c r="A1468" s="217" t="s">
        <v>22</v>
      </c>
      <c r="B1468" s="217" t="s">
        <v>23</v>
      </c>
      <c r="C1468" s="217" t="s">
        <v>85</v>
      </c>
      <c r="D1468" s="217" t="s">
        <v>84</v>
      </c>
      <c r="E1468" s="217" t="s">
        <v>98</v>
      </c>
      <c r="F1468" s="217" t="s">
        <v>97</v>
      </c>
      <c r="G1468" s="217" t="s">
        <v>444</v>
      </c>
      <c r="H1468" s="217" t="s">
        <v>1261</v>
      </c>
      <c r="I1468" s="217" t="s">
        <v>616</v>
      </c>
      <c r="J1468" s="217" t="s">
        <v>1858</v>
      </c>
      <c r="K1468" s="217">
        <v>1</v>
      </c>
      <c r="L1468" s="217">
        <v>3</v>
      </c>
      <c r="M1468" s="217" t="s">
        <v>31</v>
      </c>
      <c r="N1468" s="217" t="s">
        <v>32</v>
      </c>
      <c r="O1468" s="217" t="s">
        <v>141</v>
      </c>
      <c r="P1468" s="217" t="s">
        <v>142</v>
      </c>
      <c r="Q1468" s="217" t="s">
        <v>143</v>
      </c>
      <c r="R1468" s="217" t="s">
        <v>142</v>
      </c>
      <c r="S1468" s="217" t="s">
        <v>619</v>
      </c>
      <c r="T1468" s="217" t="s">
        <v>32</v>
      </c>
      <c r="U1468" s="217" t="s">
        <v>32</v>
      </c>
      <c r="V1468" s="217" t="s">
        <v>32</v>
      </c>
      <c r="W1468" s="217" t="s">
        <v>32</v>
      </c>
    </row>
    <row r="1469" spans="1:23" x14ac:dyDescent="0.25">
      <c r="A1469" s="217" t="s">
        <v>22</v>
      </c>
      <c r="B1469" s="217" t="s">
        <v>23</v>
      </c>
      <c r="C1469" s="217" t="s">
        <v>85</v>
      </c>
      <c r="D1469" s="217" t="s">
        <v>84</v>
      </c>
      <c r="E1469" s="217" t="s">
        <v>98</v>
      </c>
      <c r="F1469" s="217" t="s">
        <v>97</v>
      </c>
      <c r="G1469" s="217" t="s">
        <v>169</v>
      </c>
      <c r="H1469" s="217" t="s">
        <v>1262</v>
      </c>
      <c r="I1469" s="217" t="s">
        <v>616</v>
      </c>
      <c r="J1469" s="217" t="s">
        <v>1857</v>
      </c>
      <c r="K1469" s="217">
        <v>7</v>
      </c>
      <c r="L1469" s="217">
        <v>18</v>
      </c>
      <c r="M1469" s="217" t="s">
        <v>31</v>
      </c>
      <c r="N1469" s="217" t="s">
        <v>32</v>
      </c>
      <c r="O1469" s="217" t="s">
        <v>141</v>
      </c>
      <c r="P1469" s="217" t="s">
        <v>142</v>
      </c>
      <c r="Q1469" s="217" t="s">
        <v>143</v>
      </c>
      <c r="R1469" s="217" t="s">
        <v>142</v>
      </c>
      <c r="S1469" s="217" t="s">
        <v>619</v>
      </c>
      <c r="T1469" s="217" t="s">
        <v>32</v>
      </c>
      <c r="U1469" s="217" t="s">
        <v>32</v>
      </c>
      <c r="V1469" s="217" t="s">
        <v>32</v>
      </c>
      <c r="W1469" s="217" t="s">
        <v>32</v>
      </c>
    </row>
    <row r="1470" spans="1:23" x14ac:dyDescent="0.25">
      <c r="A1470" s="217" t="s">
        <v>22</v>
      </c>
      <c r="B1470" s="217" t="s">
        <v>23</v>
      </c>
      <c r="C1470" s="217" t="s">
        <v>85</v>
      </c>
      <c r="D1470" s="217" t="s">
        <v>84</v>
      </c>
      <c r="E1470" s="217" t="s">
        <v>98</v>
      </c>
      <c r="F1470" s="217" t="s">
        <v>97</v>
      </c>
      <c r="G1470" s="217" t="s">
        <v>446</v>
      </c>
      <c r="H1470" s="217" t="s">
        <v>1266</v>
      </c>
      <c r="I1470" s="217" t="s">
        <v>616</v>
      </c>
      <c r="J1470" s="217" t="s">
        <v>1857</v>
      </c>
      <c r="K1470" s="217">
        <v>42</v>
      </c>
      <c r="L1470" s="217">
        <v>357</v>
      </c>
      <c r="M1470" s="217" t="s">
        <v>31</v>
      </c>
      <c r="N1470" s="217" t="s">
        <v>32</v>
      </c>
      <c r="O1470" s="217" t="s">
        <v>141</v>
      </c>
      <c r="P1470" s="217" t="s">
        <v>142</v>
      </c>
      <c r="Q1470" s="217" t="s">
        <v>143</v>
      </c>
      <c r="R1470" s="217" t="s">
        <v>142</v>
      </c>
      <c r="S1470" s="217" t="s">
        <v>619</v>
      </c>
      <c r="T1470" s="217" t="s">
        <v>32</v>
      </c>
      <c r="U1470" s="217" t="s">
        <v>32</v>
      </c>
      <c r="V1470" s="217" t="s">
        <v>32</v>
      </c>
      <c r="W1470" s="217" t="s">
        <v>32</v>
      </c>
    </row>
    <row r="1471" spans="1:23" x14ac:dyDescent="0.25">
      <c r="A1471" s="217" t="s">
        <v>22</v>
      </c>
      <c r="B1471" s="217" t="s">
        <v>23</v>
      </c>
      <c r="C1471" s="217" t="s">
        <v>85</v>
      </c>
      <c r="D1471" s="217" t="s">
        <v>84</v>
      </c>
      <c r="E1471" s="217" t="s">
        <v>98</v>
      </c>
      <c r="F1471" s="217" t="s">
        <v>97</v>
      </c>
      <c r="G1471" s="217" t="s">
        <v>446</v>
      </c>
      <c r="H1471" s="217" t="s">
        <v>1266</v>
      </c>
      <c r="I1471" s="217" t="s">
        <v>616</v>
      </c>
      <c r="J1471" s="217" t="s">
        <v>1858</v>
      </c>
      <c r="K1471" s="217">
        <v>21</v>
      </c>
      <c r="L1471" s="217">
        <v>114</v>
      </c>
      <c r="M1471" s="217" t="s">
        <v>31</v>
      </c>
      <c r="N1471" s="217" t="s">
        <v>32</v>
      </c>
      <c r="O1471" s="217" t="s">
        <v>141</v>
      </c>
      <c r="P1471" s="217" t="s">
        <v>142</v>
      </c>
      <c r="Q1471" s="217" t="s">
        <v>143</v>
      </c>
      <c r="R1471" s="217" t="s">
        <v>142</v>
      </c>
      <c r="S1471" s="217" t="s">
        <v>619</v>
      </c>
      <c r="T1471" s="217" t="s">
        <v>32</v>
      </c>
      <c r="U1471" s="217" t="s">
        <v>32</v>
      </c>
      <c r="V1471" s="217" t="s">
        <v>32</v>
      </c>
      <c r="W1471" s="217" t="s">
        <v>32</v>
      </c>
    </row>
    <row r="1472" spans="1:23" x14ac:dyDescent="0.25">
      <c r="A1472" s="217" t="s">
        <v>22</v>
      </c>
      <c r="B1472" s="217" t="s">
        <v>23</v>
      </c>
      <c r="C1472" s="217" t="s">
        <v>85</v>
      </c>
      <c r="D1472" s="217" t="s">
        <v>84</v>
      </c>
      <c r="E1472" s="217" t="s">
        <v>98</v>
      </c>
      <c r="F1472" s="217" t="s">
        <v>97</v>
      </c>
      <c r="G1472" s="217" t="s">
        <v>447</v>
      </c>
      <c r="H1472" s="217" t="s">
        <v>1267</v>
      </c>
      <c r="I1472" s="217" t="s">
        <v>616</v>
      </c>
      <c r="J1472" s="217" t="s">
        <v>1858</v>
      </c>
      <c r="K1472" s="217">
        <v>41</v>
      </c>
      <c r="L1472" s="217">
        <v>204</v>
      </c>
      <c r="M1472" s="217" t="s">
        <v>31</v>
      </c>
      <c r="N1472" s="217" t="s">
        <v>32</v>
      </c>
      <c r="O1472" s="217" t="s">
        <v>141</v>
      </c>
      <c r="P1472" s="217" t="s">
        <v>142</v>
      </c>
      <c r="Q1472" s="217" t="s">
        <v>143</v>
      </c>
      <c r="R1472" s="217" t="s">
        <v>142</v>
      </c>
      <c r="S1472" s="217" t="s">
        <v>619</v>
      </c>
      <c r="T1472" s="217" t="s">
        <v>32</v>
      </c>
      <c r="U1472" s="217" t="s">
        <v>32</v>
      </c>
      <c r="V1472" s="217" t="s">
        <v>32</v>
      </c>
      <c r="W1472" s="217" t="s">
        <v>32</v>
      </c>
    </row>
    <row r="1473" spans="1:23" x14ac:dyDescent="0.25">
      <c r="A1473" s="217" t="s">
        <v>22</v>
      </c>
      <c r="B1473" s="217" t="s">
        <v>23</v>
      </c>
      <c r="C1473" s="217" t="s">
        <v>85</v>
      </c>
      <c r="D1473" s="217" t="s">
        <v>84</v>
      </c>
      <c r="E1473" s="217" t="s">
        <v>98</v>
      </c>
      <c r="F1473" s="217" t="s">
        <v>97</v>
      </c>
      <c r="G1473" s="217" t="s">
        <v>806</v>
      </c>
      <c r="H1473" s="217" t="s">
        <v>1268</v>
      </c>
      <c r="I1473" s="217" t="s">
        <v>616</v>
      </c>
      <c r="J1473" s="217" t="s">
        <v>1858</v>
      </c>
      <c r="K1473" s="217">
        <v>29</v>
      </c>
      <c r="L1473" s="217">
        <v>247</v>
      </c>
      <c r="M1473" s="217" t="s">
        <v>31</v>
      </c>
      <c r="N1473" s="217" t="s">
        <v>32</v>
      </c>
      <c r="O1473" s="217" t="s">
        <v>141</v>
      </c>
      <c r="P1473" s="217" t="s">
        <v>142</v>
      </c>
      <c r="Q1473" s="217" t="s">
        <v>143</v>
      </c>
      <c r="R1473" s="217" t="s">
        <v>142</v>
      </c>
      <c r="S1473" s="217" t="s">
        <v>619</v>
      </c>
      <c r="T1473" s="217" t="s">
        <v>32</v>
      </c>
      <c r="U1473" s="217" t="s">
        <v>32</v>
      </c>
      <c r="V1473" s="217" t="s">
        <v>32</v>
      </c>
      <c r="W1473" s="217" t="s">
        <v>32</v>
      </c>
    </row>
    <row r="1474" spans="1:23" x14ac:dyDescent="0.25">
      <c r="A1474" s="217" t="s">
        <v>22</v>
      </c>
      <c r="B1474" s="217" t="s">
        <v>23</v>
      </c>
      <c r="C1474" s="217" t="s">
        <v>85</v>
      </c>
      <c r="D1474" s="217" t="s">
        <v>84</v>
      </c>
      <c r="E1474" s="217" t="s">
        <v>98</v>
      </c>
      <c r="F1474" s="217" t="s">
        <v>97</v>
      </c>
      <c r="G1474" s="217" t="s">
        <v>449</v>
      </c>
      <c r="H1474" s="217" t="s">
        <v>1270</v>
      </c>
      <c r="I1474" s="217" t="s">
        <v>616</v>
      </c>
      <c r="J1474" s="217" t="s">
        <v>1857</v>
      </c>
      <c r="K1474" s="217">
        <v>5</v>
      </c>
      <c r="L1474" s="217">
        <v>28</v>
      </c>
      <c r="M1474" s="217" t="s">
        <v>31</v>
      </c>
      <c r="N1474" s="217" t="s">
        <v>32</v>
      </c>
      <c r="O1474" s="217" t="s">
        <v>141</v>
      </c>
      <c r="P1474" s="217" t="s">
        <v>142</v>
      </c>
      <c r="Q1474" s="217" t="s">
        <v>143</v>
      </c>
      <c r="R1474" s="217" t="s">
        <v>142</v>
      </c>
      <c r="S1474" s="217" t="s">
        <v>619</v>
      </c>
      <c r="T1474" s="217" t="s">
        <v>32</v>
      </c>
      <c r="U1474" s="217" t="s">
        <v>32</v>
      </c>
      <c r="V1474" s="217" t="s">
        <v>32</v>
      </c>
      <c r="W1474" s="217" t="s">
        <v>32</v>
      </c>
    </row>
    <row r="1475" spans="1:23" x14ac:dyDescent="0.25">
      <c r="A1475" s="217" t="s">
        <v>22</v>
      </c>
      <c r="B1475" s="217" t="s">
        <v>23</v>
      </c>
      <c r="C1475" s="217" t="s">
        <v>85</v>
      </c>
      <c r="D1475" s="217" t="s">
        <v>84</v>
      </c>
      <c r="E1475" s="217" t="s">
        <v>98</v>
      </c>
      <c r="F1475" s="217" t="s">
        <v>97</v>
      </c>
      <c r="G1475" s="217" t="s">
        <v>449</v>
      </c>
      <c r="H1475" s="217" t="s">
        <v>1270</v>
      </c>
      <c r="I1475" s="217" t="s">
        <v>616</v>
      </c>
      <c r="J1475" s="217" t="s">
        <v>1858</v>
      </c>
      <c r="K1475" s="217">
        <v>4</v>
      </c>
      <c r="L1475" s="217">
        <v>17</v>
      </c>
      <c r="M1475" s="217" t="s">
        <v>31</v>
      </c>
      <c r="N1475" s="217" t="s">
        <v>32</v>
      </c>
      <c r="O1475" s="217" t="s">
        <v>141</v>
      </c>
      <c r="P1475" s="217" t="s">
        <v>142</v>
      </c>
      <c r="Q1475" s="217" t="s">
        <v>143</v>
      </c>
      <c r="R1475" s="217" t="s">
        <v>142</v>
      </c>
      <c r="S1475" s="217" t="s">
        <v>619</v>
      </c>
      <c r="T1475" s="217" t="s">
        <v>32</v>
      </c>
      <c r="U1475" s="217" t="s">
        <v>32</v>
      </c>
      <c r="V1475" s="217" t="s">
        <v>32</v>
      </c>
      <c r="W1475" s="217" t="s">
        <v>32</v>
      </c>
    </row>
    <row r="1476" spans="1:23" x14ac:dyDescent="0.25">
      <c r="A1476" s="217" t="s">
        <v>22</v>
      </c>
      <c r="B1476" s="217" t="s">
        <v>23</v>
      </c>
      <c r="C1476" s="217" t="s">
        <v>85</v>
      </c>
      <c r="D1476" s="217" t="s">
        <v>84</v>
      </c>
      <c r="E1476" s="217" t="s">
        <v>98</v>
      </c>
      <c r="F1476" s="217" t="s">
        <v>97</v>
      </c>
      <c r="G1476" s="217" t="s">
        <v>450</v>
      </c>
      <c r="H1476" s="217" t="s">
        <v>1271</v>
      </c>
      <c r="I1476" s="217" t="s">
        <v>616</v>
      </c>
      <c r="J1476" s="217" t="s">
        <v>1857</v>
      </c>
      <c r="K1476" s="217">
        <v>3</v>
      </c>
      <c r="L1476" s="217">
        <v>20</v>
      </c>
      <c r="M1476" s="217" t="s">
        <v>31</v>
      </c>
      <c r="N1476" s="217" t="s">
        <v>32</v>
      </c>
      <c r="O1476" s="217" t="s">
        <v>141</v>
      </c>
      <c r="P1476" s="217" t="s">
        <v>142</v>
      </c>
      <c r="Q1476" s="217" t="s">
        <v>143</v>
      </c>
      <c r="R1476" s="217" t="s">
        <v>142</v>
      </c>
      <c r="S1476" s="217" t="s">
        <v>619</v>
      </c>
      <c r="T1476" s="217" t="s">
        <v>32</v>
      </c>
      <c r="U1476" s="217" t="s">
        <v>32</v>
      </c>
      <c r="V1476" s="217" t="s">
        <v>32</v>
      </c>
      <c r="W1476" s="217" t="s">
        <v>32</v>
      </c>
    </row>
    <row r="1477" spans="1:23" x14ac:dyDescent="0.25">
      <c r="A1477" s="217" t="s">
        <v>22</v>
      </c>
      <c r="B1477" s="217" t="s">
        <v>23</v>
      </c>
      <c r="C1477" s="217" t="s">
        <v>85</v>
      </c>
      <c r="D1477" s="217" t="s">
        <v>84</v>
      </c>
      <c r="E1477" s="217" t="s">
        <v>98</v>
      </c>
      <c r="F1477" s="217" t="s">
        <v>97</v>
      </c>
      <c r="G1477" s="217" t="s">
        <v>451</v>
      </c>
      <c r="H1477" s="217" t="s">
        <v>1272</v>
      </c>
      <c r="I1477" s="217" t="s">
        <v>616</v>
      </c>
      <c r="J1477" s="217" t="s">
        <v>1855</v>
      </c>
      <c r="K1477" s="217">
        <v>10</v>
      </c>
      <c r="L1477" s="217">
        <v>50</v>
      </c>
      <c r="M1477" s="217" t="s">
        <v>31</v>
      </c>
      <c r="N1477" s="217" t="s">
        <v>32</v>
      </c>
      <c r="O1477" s="217" t="s">
        <v>141</v>
      </c>
      <c r="P1477" s="217" t="s">
        <v>142</v>
      </c>
      <c r="Q1477" s="217" t="s">
        <v>143</v>
      </c>
      <c r="R1477" s="217" t="s">
        <v>142</v>
      </c>
      <c r="S1477" s="217" t="s">
        <v>619</v>
      </c>
      <c r="T1477" s="217" t="s">
        <v>32</v>
      </c>
      <c r="U1477" s="217" t="s">
        <v>32</v>
      </c>
      <c r="V1477" s="217" t="s">
        <v>32</v>
      </c>
      <c r="W1477" s="217" t="s">
        <v>32</v>
      </c>
    </row>
    <row r="1478" spans="1:23" x14ac:dyDescent="0.25">
      <c r="A1478" s="217" t="s">
        <v>22</v>
      </c>
      <c r="B1478" s="217" t="s">
        <v>23</v>
      </c>
      <c r="C1478" s="217" t="s">
        <v>85</v>
      </c>
      <c r="D1478" s="217" t="s">
        <v>84</v>
      </c>
      <c r="E1478" s="217" t="s">
        <v>98</v>
      </c>
      <c r="F1478" s="217" t="s">
        <v>97</v>
      </c>
      <c r="G1478" s="217" t="s">
        <v>451</v>
      </c>
      <c r="H1478" s="217" t="s">
        <v>1272</v>
      </c>
      <c r="I1478" s="217" t="s">
        <v>616</v>
      </c>
      <c r="J1478" s="217" t="s">
        <v>1856</v>
      </c>
      <c r="K1478" s="217">
        <v>8</v>
      </c>
      <c r="L1478" s="217">
        <v>46</v>
      </c>
      <c r="M1478" s="217" t="s">
        <v>31</v>
      </c>
      <c r="N1478" s="217" t="s">
        <v>32</v>
      </c>
      <c r="O1478" s="217" t="s">
        <v>141</v>
      </c>
      <c r="P1478" s="217" t="s">
        <v>142</v>
      </c>
      <c r="Q1478" s="217" t="s">
        <v>143</v>
      </c>
      <c r="R1478" s="217" t="s">
        <v>142</v>
      </c>
      <c r="S1478" s="217" t="s">
        <v>619</v>
      </c>
      <c r="T1478" s="217" t="s">
        <v>32</v>
      </c>
      <c r="U1478" s="217" t="s">
        <v>32</v>
      </c>
      <c r="V1478" s="217" t="s">
        <v>32</v>
      </c>
      <c r="W1478" s="217" t="s">
        <v>32</v>
      </c>
    </row>
    <row r="1479" spans="1:23" x14ac:dyDescent="0.25">
      <c r="A1479" s="217" t="s">
        <v>22</v>
      </c>
      <c r="B1479" s="217" t="s">
        <v>23</v>
      </c>
      <c r="C1479" s="217" t="s">
        <v>85</v>
      </c>
      <c r="D1479" s="217" t="s">
        <v>84</v>
      </c>
      <c r="E1479" s="217" t="s">
        <v>98</v>
      </c>
      <c r="F1479" s="217" t="s">
        <v>97</v>
      </c>
      <c r="G1479" s="217" t="s">
        <v>811</v>
      </c>
      <c r="H1479" s="217" t="s">
        <v>1277</v>
      </c>
      <c r="I1479" s="217" t="s">
        <v>616</v>
      </c>
      <c r="J1479" s="217" t="s">
        <v>1856</v>
      </c>
      <c r="K1479" s="217">
        <v>6</v>
      </c>
      <c r="L1479" s="217">
        <v>20</v>
      </c>
      <c r="M1479" s="217" t="s">
        <v>31</v>
      </c>
      <c r="N1479" s="217" t="s">
        <v>32</v>
      </c>
      <c r="O1479" s="217" t="s">
        <v>141</v>
      </c>
      <c r="P1479" s="217" t="s">
        <v>142</v>
      </c>
      <c r="Q1479" s="217" t="s">
        <v>143</v>
      </c>
      <c r="R1479" s="217" t="s">
        <v>142</v>
      </c>
      <c r="S1479" s="217" t="s">
        <v>619</v>
      </c>
      <c r="T1479" s="217" t="s">
        <v>32</v>
      </c>
      <c r="U1479" s="217" t="s">
        <v>32</v>
      </c>
      <c r="V1479" s="217" t="s">
        <v>32</v>
      </c>
      <c r="W1479" s="217" t="s">
        <v>32</v>
      </c>
    </row>
    <row r="1480" spans="1:23" x14ac:dyDescent="0.25">
      <c r="A1480" s="217" t="s">
        <v>22</v>
      </c>
      <c r="B1480" s="217" t="s">
        <v>23</v>
      </c>
      <c r="C1480" s="217" t="s">
        <v>85</v>
      </c>
      <c r="D1480" s="217" t="s">
        <v>84</v>
      </c>
      <c r="E1480" s="217" t="s">
        <v>98</v>
      </c>
      <c r="F1480" s="217" t="s">
        <v>97</v>
      </c>
      <c r="G1480" s="217" t="s">
        <v>820</v>
      </c>
      <c r="H1480" s="217" t="s">
        <v>1281</v>
      </c>
      <c r="I1480" s="217" t="s">
        <v>616</v>
      </c>
      <c r="J1480" s="217" t="s">
        <v>1858</v>
      </c>
      <c r="K1480" s="217">
        <v>3</v>
      </c>
      <c r="L1480" s="217">
        <v>23</v>
      </c>
      <c r="M1480" s="217" t="s">
        <v>31</v>
      </c>
      <c r="N1480" s="217" t="s">
        <v>32</v>
      </c>
      <c r="O1480" s="217" t="s">
        <v>141</v>
      </c>
      <c r="P1480" s="217" t="s">
        <v>142</v>
      </c>
      <c r="Q1480" s="217" t="s">
        <v>143</v>
      </c>
      <c r="R1480" s="217" t="s">
        <v>142</v>
      </c>
      <c r="S1480" s="217" t="s">
        <v>619</v>
      </c>
      <c r="T1480" s="217" t="s">
        <v>32</v>
      </c>
      <c r="U1480" s="217" t="s">
        <v>32</v>
      </c>
      <c r="V1480" s="217" t="s">
        <v>32</v>
      </c>
      <c r="W1480" s="217" t="s">
        <v>32</v>
      </c>
    </row>
    <row r="1481" spans="1:23" x14ac:dyDescent="0.25">
      <c r="A1481" s="217" t="s">
        <v>22</v>
      </c>
      <c r="B1481" s="217" t="s">
        <v>23</v>
      </c>
      <c r="C1481" s="217" t="s">
        <v>85</v>
      </c>
      <c r="D1481" s="217" t="s">
        <v>84</v>
      </c>
      <c r="E1481" s="217" t="s">
        <v>98</v>
      </c>
      <c r="F1481" s="217" t="s">
        <v>97</v>
      </c>
      <c r="G1481" s="217" t="s">
        <v>455</v>
      </c>
      <c r="H1481" s="217" t="s">
        <v>1282</v>
      </c>
      <c r="I1481" s="217" t="s">
        <v>616</v>
      </c>
      <c r="J1481" s="217" t="s">
        <v>1855</v>
      </c>
      <c r="K1481" s="217">
        <v>6</v>
      </c>
      <c r="L1481" s="217">
        <v>50</v>
      </c>
      <c r="M1481" s="217" t="s">
        <v>31</v>
      </c>
      <c r="N1481" s="217" t="s">
        <v>32</v>
      </c>
      <c r="O1481" s="217" t="s">
        <v>141</v>
      </c>
      <c r="P1481" s="217" t="s">
        <v>142</v>
      </c>
      <c r="Q1481" s="217" t="s">
        <v>143</v>
      </c>
      <c r="R1481" s="217" t="s">
        <v>142</v>
      </c>
      <c r="S1481" s="217" t="s">
        <v>619</v>
      </c>
      <c r="T1481" s="217" t="s">
        <v>32</v>
      </c>
      <c r="U1481" s="217" t="s">
        <v>32</v>
      </c>
      <c r="V1481" s="217" t="s">
        <v>32</v>
      </c>
      <c r="W1481" s="217" t="s">
        <v>32</v>
      </c>
    </row>
    <row r="1482" spans="1:23" x14ac:dyDescent="0.25">
      <c r="A1482" s="217" t="s">
        <v>22</v>
      </c>
      <c r="B1482" s="217" t="s">
        <v>23</v>
      </c>
      <c r="C1482" s="217" t="s">
        <v>85</v>
      </c>
      <c r="D1482" s="217" t="s">
        <v>84</v>
      </c>
      <c r="E1482" s="217" t="s">
        <v>98</v>
      </c>
      <c r="F1482" s="217" t="s">
        <v>97</v>
      </c>
      <c r="G1482" s="217" t="s">
        <v>455</v>
      </c>
      <c r="H1482" s="217" t="s">
        <v>1282</v>
      </c>
      <c r="I1482" s="217" t="s">
        <v>616</v>
      </c>
      <c r="J1482" s="217" t="s">
        <v>1856</v>
      </c>
      <c r="K1482" s="217">
        <v>5</v>
      </c>
      <c r="L1482" s="217">
        <v>30</v>
      </c>
      <c r="M1482" s="217" t="s">
        <v>31</v>
      </c>
      <c r="N1482" s="217" t="s">
        <v>32</v>
      </c>
      <c r="O1482" s="217" t="s">
        <v>141</v>
      </c>
      <c r="P1482" s="217" t="s">
        <v>142</v>
      </c>
      <c r="Q1482" s="217" t="s">
        <v>143</v>
      </c>
      <c r="R1482" s="217" t="s">
        <v>142</v>
      </c>
      <c r="S1482" s="217" t="s">
        <v>619</v>
      </c>
      <c r="T1482" s="217" t="s">
        <v>32</v>
      </c>
      <c r="U1482" s="217" t="s">
        <v>32</v>
      </c>
      <c r="V1482" s="217" t="s">
        <v>32</v>
      </c>
      <c r="W1482" s="217" t="s">
        <v>32</v>
      </c>
    </row>
    <row r="1483" spans="1:23" x14ac:dyDescent="0.25">
      <c r="A1483" s="217" t="s">
        <v>22</v>
      </c>
      <c r="B1483" s="217" t="s">
        <v>23</v>
      </c>
      <c r="C1483" s="217" t="s">
        <v>85</v>
      </c>
      <c r="D1483" s="217" t="s">
        <v>84</v>
      </c>
      <c r="E1483" s="217" t="s">
        <v>98</v>
      </c>
      <c r="F1483" s="217" t="s">
        <v>97</v>
      </c>
      <c r="G1483" s="217" t="s">
        <v>455</v>
      </c>
      <c r="H1483" s="217" t="s">
        <v>1282</v>
      </c>
      <c r="I1483" s="217" t="s">
        <v>616</v>
      </c>
      <c r="J1483" s="217" t="s">
        <v>1857</v>
      </c>
      <c r="K1483" s="217">
        <v>9</v>
      </c>
      <c r="L1483" s="217">
        <v>40</v>
      </c>
      <c r="M1483" s="217" t="s">
        <v>31</v>
      </c>
      <c r="N1483" s="217" t="s">
        <v>32</v>
      </c>
      <c r="O1483" s="217" t="s">
        <v>141</v>
      </c>
      <c r="P1483" s="217" t="s">
        <v>142</v>
      </c>
      <c r="Q1483" s="217" t="s">
        <v>143</v>
      </c>
      <c r="R1483" s="217" t="s">
        <v>142</v>
      </c>
      <c r="S1483" s="217" t="s">
        <v>619</v>
      </c>
      <c r="T1483" s="217" t="s">
        <v>32</v>
      </c>
      <c r="U1483" s="217" t="s">
        <v>32</v>
      </c>
      <c r="V1483" s="217" t="s">
        <v>32</v>
      </c>
      <c r="W1483" s="217" t="s">
        <v>32</v>
      </c>
    </row>
    <row r="1484" spans="1:23" x14ac:dyDescent="0.25">
      <c r="A1484" s="217" t="s">
        <v>22</v>
      </c>
      <c r="B1484" s="217" t="s">
        <v>23</v>
      </c>
      <c r="C1484" s="217" t="s">
        <v>85</v>
      </c>
      <c r="D1484" s="217" t="s">
        <v>84</v>
      </c>
      <c r="E1484" s="217" t="s">
        <v>98</v>
      </c>
      <c r="F1484" s="217" t="s">
        <v>97</v>
      </c>
      <c r="G1484" s="217" t="s">
        <v>813</v>
      </c>
      <c r="H1484" s="217" t="s">
        <v>1283</v>
      </c>
      <c r="I1484" s="217" t="s">
        <v>616</v>
      </c>
      <c r="J1484" s="217" t="s">
        <v>1856</v>
      </c>
      <c r="K1484" s="217">
        <v>7</v>
      </c>
      <c r="L1484" s="217">
        <v>49</v>
      </c>
      <c r="M1484" s="217" t="s">
        <v>31</v>
      </c>
      <c r="N1484" s="217" t="s">
        <v>32</v>
      </c>
      <c r="O1484" s="217" t="s">
        <v>141</v>
      </c>
      <c r="P1484" s="217" t="s">
        <v>142</v>
      </c>
      <c r="Q1484" s="217" t="s">
        <v>143</v>
      </c>
      <c r="R1484" s="217" t="s">
        <v>142</v>
      </c>
      <c r="S1484" s="217" t="s">
        <v>619</v>
      </c>
      <c r="T1484" s="217" t="s">
        <v>32</v>
      </c>
      <c r="U1484" s="217" t="s">
        <v>32</v>
      </c>
      <c r="V1484" s="217" t="s">
        <v>32</v>
      </c>
      <c r="W1484" s="217" t="s">
        <v>32</v>
      </c>
    </row>
    <row r="1485" spans="1:23" x14ac:dyDescent="0.25">
      <c r="A1485" s="217" t="s">
        <v>22</v>
      </c>
      <c r="B1485" s="217" t="s">
        <v>23</v>
      </c>
      <c r="C1485" s="217" t="s">
        <v>85</v>
      </c>
      <c r="D1485" s="217" t="s">
        <v>84</v>
      </c>
      <c r="E1485" s="217" t="s">
        <v>98</v>
      </c>
      <c r="F1485" s="217" t="s">
        <v>97</v>
      </c>
      <c r="G1485" s="217" t="s">
        <v>815</v>
      </c>
      <c r="H1485" s="217" t="s">
        <v>1524</v>
      </c>
      <c r="I1485" s="217" t="s">
        <v>616</v>
      </c>
      <c r="J1485" s="217" t="s">
        <v>1857</v>
      </c>
      <c r="K1485" s="217">
        <v>9</v>
      </c>
      <c r="L1485" s="217">
        <v>77</v>
      </c>
      <c r="M1485" s="217" t="s">
        <v>31</v>
      </c>
      <c r="N1485" s="217" t="s">
        <v>32</v>
      </c>
      <c r="O1485" s="217" t="s">
        <v>141</v>
      </c>
      <c r="P1485" s="217" t="s">
        <v>142</v>
      </c>
      <c r="Q1485" s="217" t="s">
        <v>143</v>
      </c>
      <c r="R1485" s="217" t="s">
        <v>142</v>
      </c>
      <c r="S1485" s="217" t="s">
        <v>619</v>
      </c>
      <c r="T1485" s="217" t="s">
        <v>32</v>
      </c>
      <c r="U1485" s="217" t="s">
        <v>32</v>
      </c>
      <c r="V1485" s="217" t="s">
        <v>32</v>
      </c>
      <c r="W1485" s="217" t="s">
        <v>32</v>
      </c>
    </row>
    <row r="1486" spans="1:23" x14ac:dyDescent="0.25">
      <c r="A1486" s="217" t="s">
        <v>22</v>
      </c>
      <c r="B1486" s="217" t="s">
        <v>23</v>
      </c>
      <c r="C1486" s="217" t="s">
        <v>85</v>
      </c>
      <c r="D1486" s="217" t="s">
        <v>84</v>
      </c>
      <c r="E1486" s="217" t="s">
        <v>98</v>
      </c>
      <c r="F1486" s="217" t="s">
        <v>97</v>
      </c>
      <c r="G1486" s="217" t="s">
        <v>812</v>
      </c>
      <c r="H1486" s="217" t="s">
        <v>1296</v>
      </c>
      <c r="I1486" s="217" t="s">
        <v>616</v>
      </c>
      <c r="J1486" s="217" t="s">
        <v>1857</v>
      </c>
      <c r="K1486" s="217">
        <v>11</v>
      </c>
      <c r="L1486" s="217">
        <v>94</v>
      </c>
      <c r="M1486" s="217" t="s">
        <v>31</v>
      </c>
      <c r="N1486" s="217" t="s">
        <v>32</v>
      </c>
      <c r="O1486" s="217" t="s">
        <v>141</v>
      </c>
      <c r="P1486" s="217" t="s">
        <v>142</v>
      </c>
      <c r="Q1486" s="217" t="s">
        <v>143</v>
      </c>
      <c r="R1486" s="217" t="s">
        <v>142</v>
      </c>
      <c r="S1486" s="217" t="s">
        <v>619</v>
      </c>
      <c r="T1486" s="217" t="s">
        <v>32</v>
      </c>
      <c r="U1486" s="217" t="s">
        <v>32</v>
      </c>
      <c r="V1486" s="217" t="s">
        <v>32</v>
      </c>
      <c r="W1486" s="217" t="s">
        <v>32</v>
      </c>
    </row>
    <row r="1487" spans="1:23" x14ac:dyDescent="0.25">
      <c r="A1487" s="217" t="s">
        <v>22</v>
      </c>
      <c r="B1487" s="217" t="s">
        <v>23</v>
      </c>
      <c r="C1487" s="217" t="s">
        <v>85</v>
      </c>
      <c r="D1487" s="217" t="s">
        <v>84</v>
      </c>
      <c r="E1487" s="217" t="s">
        <v>98</v>
      </c>
      <c r="F1487" s="217" t="s">
        <v>97</v>
      </c>
      <c r="G1487" s="217" t="s">
        <v>171</v>
      </c>
      <c r="H1487" s="217" t="s">
        <v>1297</v>
      </c>
      <c r="I1487" s="217" t="s">
        <v>616</v>
      </c>
      <c r="J1487" s="217" t="s">
        <v>1855</v>
      </c>
      <c r="K1487" s="217">
        <v>1</v>
      </c>
      <c r="L1487" s="217">
        <v>6</v>
      </c>
      <c r="M1487" s="217" t="s">
        <v>31</v>
      </c>
      <c r="N1487" s="217" t="s">
        <v>32</v>
      </c>
      <c r="O1487" s="217" t="s">
        <v>141</v>
      </c>
      <c r="P1487" s="217" t="s">
        <v>142</v>
      </c>
      <c r="Q1487" s="217" t="s">
        <v>143</v>
      </c>
      <c r="R1487" s="217" t="s">
        <v>142</v>
      </c>
      <c r="S1487" s="217" t="s">
        <v>619</v>
      </c>
      <c r="T1487" s="217" t="s">
        <v>32</v>
      </c>
      <c r="U1487" s="217" t="s">
        <v>32</v>
      </c>
      <c r="V1487" s="217" t="s">
        <v>32</v>
      </c>
      <c r="W1487" s="217" t="s">
        <v>32</v>
      </c>
    </row>
    <row r="1488" spans="1:23" x14ac:dyDescent="0.25">
      <c r="A1488" s="217" t="s">
        <v>22</v>
      </c>
      <c r="B1488" s="217" t="s">
        <v>23</v>
      </c>
      <c r="C1488" s="217" t="s">
        <v>85</v>
      </c>
      <c r="D1488" s="217" t="s">
        <v>84</v>
      </c>
      <c r="E1488" s="217" t="s">
        <v>98</v>
      </c>
      <c r="F1488" s="217" t="s">
        <v>97</v>
      </c>
      <c r="G1488" s="217" t="s">
        <v>171</v>
      </c>
      <c r="H1488" s="217" t="s">
        <v>1297</v>
      </c>
      <c r="I1488" s="217" t="s">
        <v>616</v>
      </c>
      <c r="J1488" s="217" t="s">
        <v>1857</v>
      </c>
      <c r="K1488" s="217">
        <v>1</v>
      </c>
      <c r="L1488" s="217">
        <v>9</v>
      </c>
      <c r="M1488" s="217" t="s">
        <v>31</v>
      </c>
      <c r="N1488" s="217" t="s">
        <v>32</v>
      </c>
      <c r="O1488" s="217" t="s">
        <v>141</v>
      </c>
      <c r="P1488" s="217" t="s">
        <v>142</v>
      </c>
      <c r="Q1488" s="217" t="s">
        <v>143</v>
      </c>
      <c r="R1488" s="217" t="s">
        <v>142</v>
      </c>
      <c r="S1488" s="217" t="s">
        <v>619</v>
      </c>
      <c r="T1488" s="217" t="s">
        <v>32</v>
      </c>
      <c r="U1488" s="217" t="s">
        <v>32</v>
      </c>
      <c r="V1488" s="217" t="s">
        <v>32</v>
      </c>
      <c r="W1488" s="217" t="s">
        <v>32</v>
      </c>
    </row>
    <row r="1489" spans="1:23" x14ac:dyDescent="0.25">
      <c r="A1489" s="217" t="s">
        <v>22</v>
      </c>
      <c r="B1489" s="217" t="s">
        <v>23</v>
      </c>
      <c r="C1489" s="217" t="s">
        <v>85</v>
      </c>
      <c r="D1489" s="217" t="s">
        <v>84</v>
      </c>
      <c r="E1489" s="217" t="s">
        <v>98</v>
      </c>
      <c r="F1489" s="217" t="s">
        <v>97</v>
      </c>
      <c r="G1489" s="217" t="s">
        <v>461</v>
      </c>
      <c r="H1489" s="217" t="s">
        <v>1299</v>
      </c>
      <c r="I1489" s="217" t="s">
        <v>616</v>
      </c>
      <c r="J1489" s="217" t="s">
        <v>1856</v>
      </c>
      <c r="K1489" s="217">
        <v>8</v>
      </c>
      <c r="L1489" s="217">
        <v>124</v>
      </c>
      <c r="M1489" s="217" t="s">
        <v>31</v>
      </c>
      <c r="N1489" s="217" t="s">
        <v>32</v>
      </c>
      <c r="O1489" s="217" t="s">
        <v>141</v>
      </c>
      <c r="P1489" s="217" t="s">
        <v>142</v>
      </c>
      <c r="Q1489" s="217" t="s">
        <v>143</v>
      </c>
      <c r="R1489" s="217" t="s">
        <v>142</v>
      </c>
      <c r="S1489" s="217" t="s">
        <v>619</v>
      </c>
      <c r="T1489" s="217" t="s">
        <v>32</v>
      </c>
      <c r="U1489" s="217" t="s">
        <v>32</v>
      </c>
      <c r="V1489" s="217" t="s">
        <v>32</v>
      </c>
      <c r="W1489" s="217" t="s">
        <v>32</v>
      </c>
    </row>
    <row r="1490" spans="1:23" x14ac:dyDescent="0.25">
      <c r="A1490" s="217" t="s">
        <v>22</v>
      </c>
      <c r="B1490" s="217" t="s">
        <v>23</v>
      </c>
      <c r="C1490" s="217" t="s">
        <v>85</v>
      </c>
      <c r="D1490" s="217" t="s">
        <v>84</v>
      </c>
      <c r="E1490" s="217" t="s">
        <v>175</v>
      </c>
      <c r="F1490" s="217" t="s">
        <v>174</v>
      </c>
      <c r="G1490" s="217" t="s">
        <v>295</v>
      </c>
      <c r="H1490" s="217" t="s">
        <v>1301</v>
      </c>
      <c r="I1490" s="217" t="s">
        <v>616</v>
      </c>
      <c r="J1490" s="217" t="s">
        <v>1855</v>
      </c>
      <c r="K1490" s="217">
        <v>14</v>
      </c>
      <c r="L1490" s="217">
        <v>50</v>
      </c>
      <c r="M1490" s="217" t="s">
        <v>31</v>
      </c>
      <c r="N1490" s="217" t="s">
        <v>32</v>
      </c>
      <c r="O1490" s="217" t="s">
        <v>141</v>
      </c>
      <c r="P1490" s="217" t="s">
        <v>142</v>
      </c>
      <c r="Q1490" s="217" t="s">
        <v>143</v>
      </c>
      <c r="R1490" s="217" t="s">
        <v>142</v>
      </c>
      <c r="S1490" s="217" t="s">
        <v>619</v>
      </c>
      <c r="T1490" s="217" t="s">
        <v>32</v>
      </c>
      <c r="U1490" s="217" t="s">
        <v>32</v>
      </c>
      <c r="V1490" s="217" t="s">
        <v>32</v>
      </c>
      <c r="W1490" s="217" t="s">
        <v>32</v>
      </c>
    </row>
    <row r="1491" spans="1:23" x14ac:dyDescent="0.25">
      <c r="A1491" s="217" t="s">
        <v>22</v>
      </c>
      <c r="B1491" s="217" t="s">
        <v>23</v>
      </c>
      <c r="C1491" s="217" t="s">
        <v>85</v>
      </c>
      <c r="D1491" s="217" t="s">
        <v>84</v>
      </c>
      <c r="E1491" s="217" t="s">
        <v>175</v>
      </c>
      <c r="F1491" s="217" t="s">
        <v>174</v>
      </c>
      <c r="G1491" s="217" t="s">
        <v>176</v>
      </c>
      <c r="H1491" s="217" t="s">
        <v>1525</v>
      </c>
      <c r="I1491" s="217" t="s">
        <v>616</v>
      </c>
      <c r="J1491" s="217" t="s">
        <v>1857</v>
      </c>
      <c r="K1491" s="217">
        <v>43</v>
      </c>
      <c r="L1491" s="217">
        <v>280</v>
      </c>
      <c r="M1491" s="217" t="s">
        <v>31</v>
      </c>
      <c r="N1491" s="217" t="s">
        <v>32</v>
      </c>
      <c r="O1491" s="217" t="s">
        <v>141</v>
      </c>
      <c r="P1491" s="217" t="s">
        <v>142</v>
      </c>
      <c r="Q1491" s="217" t="s">
        <v>143</v>
      </c>
      <c r="R1491" s="217" t="s">
        <v>142</v>
      </c>
      <c r="S1491" s="217" t="s">
        <v>619</v>
      </c>
      <c r="T1491" s="217" t="s">
        <v>32</v>
      </c>
      <c r="U1491" s="217" t="s">
        <v>32</v>
      </c>
      <c r="V1491" s="217" t="s">
        <v>32</v>
      </c>
      <c r="W1491" s="217" t="s">
        <v>32</v>
      </c>
    </row>
    <row r="1492" spans="1:23" x14ac:dyDescent="0.25">
      <c r="A1492" s="217" t="s">
        <v>22</v>
      </c>
      <c r="B1492" s="217" t="s">
        <v>23</v>
      </c>
      <c r="C1492" s="217" t="s">
        <v>85</v>
      </c>
      <c r="D1492" s="217" t="s">
        <v>84</v>
      </c>
      <c r="E1492" s="217" t="s">
        <v>175</v>
      </c>
      <c r="F1492" s="217" t="s">
        <v>174</v>
      </c>
      <c r="G1492" s="217" t="s">
        <v>176</v>
      </c>
      <c r="H1492" s="217" t="s">
        <v>1525</v>
      </c>
      <c r="I1492" s="217" t="s">
        <v>616</v>
      </c>
      <c r="J1492" s="217" t="s">
        <v>1858</v>
      </c>
      <c r="K1492" s="217">
        <v>2</v>
      </c>
      <c r="L1492" s="217">
        <v>8</v>
      </c>
      <c r="M1492" s="217" t="s">
        <v>31</v>
      </c>
      <c r="N1492" s="217" t="s">
        <v>32</v>
      </c>
      <c r="O1492" s="217" t="s">
        <v>141</v>
      </c>
      <c r="P1492" s="217" t="s">
        <v>142</v>
      </c>
      <c r="Q1492" s="217" t="s">
        <v>143</v>
      </c>
      <c r="R1492" s="217" t="s">
        <v>142</v>
      </c>
      <c r="S1492" s="217" t="s">
        <v>619</v>
      </c>
      <c r="T1492" s="217" t="s">
        <v>32</v>
      </c>
      <c r="U1492" s="217" t="s">
        <v>32</v>
      </c>
      <c r="V1492" s="217" t="s">
        <v>32</v>
      </c>
      <c r="W1492" s="217" t="s">
        <v>32</v>
      </c>
    </row>
    <row r="1493" spans="1:23" x14ac:dyDescent="0.25">
      <c r="A1493" s="217" t="s">
        <v>22</v>
      </c>
      <c r="B1493" s="217" t="s">
        <v>23</v>
      </c>
      <c r="C1493" s="217" t="s">
        <v>85</v>
      </c>
      <c r="D1493" s="217" t="s">
        <v>84</v>
      </c>
      <c r="E1493" s="217" t="s">
        <v>175</v>
      </c>
      <c r="F1493" s="217" t="s">
        <v>174</v>
      </c>
      <c r="G1493" s="217" t="s">
        <v>463</v>
      </c>
      <c r="H1493" s="217" t="s">
        <v>1302</v>
      </c>
      <c r="I1493" s="217" t="s">
        <v>616</v>
      </c>
      <c r="J1493" s="217" t="s">
        <v>1857</v>
      </c>
      <c r="K1493" s="217">
        <v>23</v>
      </c>
      <c r="L1493" s="217">
        <v>96</v>
      </c>
      <c r="M1493" s="217" t="s">
        <v>31</v>
      </c>
      <c r="N1493" s="217" t="s">
        <v>32</v>
      </c>
      <c r="O1493" s="217" t="s">
        <v>141</v>
      </c>
      <c r="P1493" s="217" t="s">
        <v>142</v>
      </c>
      <c r="Q1493" s="217" t="s">
        <v>143</v>
      </c>
      <c r="R1493" s="217" t="s">
        <v>142</v>
      </c>
      <c r="S1493" s="217" t="s">
        <v>619</v>
      </c>
      <c r="T1493" s="217" t="s">
        <v>32</v>
      </c>
      <c r="U1493" s="217" t="s">
        <v>32</v>
      </c>
      <c r="V1493" s="217" t="s">
        <v>32</v>
      </c>
      <c r="W1493" s="217" t="s">
        <v>32</v>
      </c>
    </row>
    <row r="1494" spans="1:23" x14ac:dyDescent="0.25">
      <c r="A1494" s="217" t="s">
        <v>22</v>
      </c>
      <c r="B1494" s="217" t="s">
        <v>23</v>
      </c>
      <c r="C1494" s="217" t="s">
        <v>85</v>
      </c>
      <c r="D1494" s="217" t="s">
        <v>84</v>
      </c>
      <c r="E1494" s="217" t="s">
        <v>175</v>
      </c>
      <c r="F1494" s="217" t="s">
        <v>174</v>
      </c>
      <c r="G1494" s="217" t="s">
        <v>463</v>
      </c>
      <c r="H1494" s="217" t="s">
        <v>1302</v>
      </c>
      <c r="I1494" s="217" t="s">
        <v>616</v>
      </c>
      <c r="J1494" s="217" t="s">
        <v>1859</v>
      </c>
      <c r="K1494" s="217">
        <v>33</v>
      </c>
      <c r="L1494" s="217">
        <v>180</v>
      </c>
      <c r="M1494" s="217" t="s">
        <v>31</v>
      </c>
      <c r="N1494" s="217" t="s">
        <v>32</v>
      </c>
      <c r="O1494" s="217" t="s">
        <v>141</v>
      </c>
      <c r="P1494" s="217" t="s">
        <v>142</v>
      </c>
      <c r="Q1494" s="217" t="s">
        <v>143</v>
      </c>
      <c r="R1494" s="217" t="s">
        <v>142</v>
      </c>
      <c r="S1494" s="217" t="s">
        <v>619</v>
      </c>
      <c r="T1494" s="217" t="s">
        <v>32</v>
      </c>
      <c r="U1494" s="217" t="s">
        <v>32</v>
      </c>
      <c r="V1494" s="217" t="s">
        <v>32</v>
      </c>
      <c r="W1494" s="217" t="s">
        <v>32</v>
      </c>
    </row>
    <row r="1495" spans="1:23" x14ac:dyDescent="0.25">
      <c r="A1495" s="217" t="s">
        <v>22</v>
      </c>
      <c r="B1495" s="217" t="s">
        <v>23</v>
      </c>
      <c r="C1495" s="217" t="s">
        <v>85</v>
      </c>
      <c r="D1495" s="217" t="s">
        <v>84</v>
      </c>
      <c r="E1495" s="217" t="s">
        <v>175</v>
      </c>
      <c r="F1495" s="217" t="s">
        <v>174</v>
      </c>
      <c r="G1495" s="217" t="s">
        <v>1971</v>
      </c>
      <c r="H1495" s="217" t="s">
        <v>1972</v>
      </c>
      <c r="I1495" s="217" t="s">
        <v>616</v>
      </c>
      <c r="J1495" s="217" t="s">
        <v>1858</v>
      </c>
      <c r="K1495" s="217">
        <v>4</v>
      </c>
      <c r="L1495" s="217">
        <v>25</v>
      </c>
      <c r="M1495" s="217" t="s">
        <v>31</v>
      </c>
      <c r="N1495" s="217" t="s">
        <v>32</v>
      </c>
      <c r="O1495" s="217" t="s">
        <v>141</v>
      </c>
      <c r="P1495" s="217" t="s">
        <v>142</v>
      </c>
      <c r="Q1495" s="217" t="s">
        <v>143</v>
      </c>
      <c r="R1495" s="217" t="s">
        <v>142</v>
      </c>
      <c r="S1495" s="217" t="s">
        <v>619</v>
      </c>
      <c r="T1495" s="217" t="s">
        <v>32</v>
      </c>
      <c r="U1495" s="217" t="s">
        <v>32</v>
      </c>
      <c r="V1495" s="217" t="s">
        <v>32</v>
      </c>
      <c r="W1495" s="217" t="s">
        <v>32</v>
      </c>
    </row>
    <row r="1496" spans="1:23" x14ac:dyDescent="0.25">
      <c r="A1496" s="217" t="s">
        <v>22</v>
      </c>
      <c r="B1496" s="217" t="s">
        <v>23</v>
      </c>
      <c r="C1496" s="217" t="s">
        <v>85</v>
      </c>
      <c r="D1496" s="217" t="s">
        <v>84</v>
      </c>
      <c r="E1496" s="217" t="s">
        <v>175</v>
      </c>
      <c r="F1496" s="217" t="s">
        <v>174</v>
      </c>
      <c r="G1496" s="217" t="s">
        <v>464</v>
      </c>
      <c r="H1496" s="217" t="s">
        <v>1303</v>
      </c>
      <c r="I1496" s="217" t="s">
        <v>616</v>
      </c>
      <c r="J1496" s="217" t="s">
        <v>1855</v>
      </c>
      <c r="K1496" s="217">
        <v>32</v>
      </c>
      <c r="L1496" s="217">
        <v>128</v>
      </c>
      <c r="M1496" s="217" t="s">
        <v>31</v>
      </c>
      <c r="N1496" s="217" t="s">
        <v>32</v>
      </c>
      <c r="O1496" s="217" t="s">
        <v>141</v>
      </c>
      <c r="P1496" s="217" t="s">
        <v>142</v>
      </c>
      <c r="Q1496" s="217" t="s">
        <v>143</v>
      </c>
      <c r="R1496" s="217" t="s">
        <v>142</v>
      </c>
      <c r="S1496" s="217" t="s">
        <v>619</v>
      </c>
      <c r="T1496" s="217" t="s">
        <v>32</v>
      </c>
      <c r="U1496" s="217" t="s">
        <v>32</v>
      </c>
      <c r="V1496" s="217" t="s">
        <v>32</v>
      </c>
      <c r="W1496" s="217" t="s">
        <v>32</v>
      </c>
    </row>
    <row r="1497" spans="1:23" x14ac:dyDescent="0.25">
      <c r="A1497" s="217" t="s">
        <v>22</v>
      </c>
      <c r="B1497" s="217" t="s">
        <v>23</v>
      </c>
      <c r="C1497" s="217" t="s">
        <v>85</v>
      </c>
      <c r="D1497" s="217" t="s">
        <v>84</v>
      </c>
      <c r="E1497" s="217" t="s">
        <v>175</v>
      </c>
      <c r="F1497" s="217" t="s">
        <v>174</v>
      </c>
      <c r="G1497" s="217" t="s">
        <v>177</v>
      </c>
      <c r="H1497" s="217" t="s">
        <v>1526</v>
      </c>
      <c r="I1497" s="217" t="s">
        <v>616</v>
      </c>
      <c r="J1497" s="217" t="s">
        <v>1855</v>
      </c>
      <c r="K1497" s="217">
        <v>6</v>
      </c>
      <c r="L1497" s="217">
        <v>20</v>
      </c>
      <c r="M1497" s="217" t="s">
        <v>31</v>
      </c>
      <c r="N1497" s="217" t="s">
        <v>32</v>
      </c>
      <c r="O1497" s="217" t="s">
        <v>141</v>
      </c>
      <c r="P1497" s="217" t="s">
        <v>142</v>
      </c>
      <c r="Q1497" s="217" t="s">
        <v>143</v>
      </c>
      <c r="R1497" s="217" t="s">
        <v>142</v>
      </c>
      <c r="S1497" s="217" t="s">
        <v>619</v>
      </c>
      <c r="T1497" s="217" t="s">
        <v>32</v>
      </c>
      <c r="U1497" s="217" t="s">
        <v>32</v>
      </c>
      <c r="V1497" s="217" t="s">
        <v>32</v>
      </c>
      <c r="W1497" s="217" t="s">
        <v>32</v>
      </c>
    </row>
    <row r="1498" spans="1:23" x14ac:dyDescent="0.25">
      <c r="A1498" s="217" t="s">
        <v>22</v>
      </c>
      <c r="B1498" s="217" t="s">
        <v>23</v>
      </c>
      <c r="C1498" s="217" t="s">
        <v>85</v>
      </c>
      <c r="D1498" s="217" t="s">
        <v>84</v>
      </c>
      <c r="E1498" s="217" t="s">
        <v>175</v>
      </c>
      <c r="F1498" s="217" t="s">
        <v>174</v>
      </c>
      <c r="G1498" s="217" t="s">
        <v>465</v>
      </c>
      <c r="H1498" s="217" t="s">
        <v>1304</v>
      </c>
      <c r="I1498" s="217" t="s">
        <v>616</v>
      </c>
      <c r="J1498" s="217" t="s">
        <v>1857</v>
      </c>
      <c r="K1498" s="217">
        <v>7</v>
      </c>
      <c r="L1498" s="217">
        <v>18</v>
      </c>
      <c r="M1498" s="217" t="s">
        <v>31</v>
      </c>
      <c r="N1498" s="217" t="s">
        <v>32</v>
      </c>
      <c r="O1498" s="217" t="s">
        <v>141</v>
      </c>
      <c r="P1498" s="217" t="s">
        <v>142</v>
      </c>
      <c r="Q1498" s="217" t="s">
        <v>143</v>
      </c>
      <c r="R1498" s="217" t="s">
        <v>142</v>
      </c>
      <c r="S1498" s="217" t="s">
        <v>619</v>
      </c>
      <c r="T1498" s="217" t="s">
        <v>32</v>
      </c>
      <c r="U1498" s="217" t="s">
        <v>32</v>
      </c>
      <c r="V1498" s="217" t="s">
        <v>32</v>
      </c>
      <c r="W1498" s="217" t="s">
        <v>32</v>
      </c>
    </row>
    <row r="1499" spans="1:23" x14ac:dyDescent="0.25">
      <c r="A1499" s="217" t="s">
        <v>22</v>
      </c>
      <c r="B1499" s="217" t="s">
        <v>23</v>
      </c>
      <c r="C1499" s="217" t="s">
        <v>85</v>
      </c>
      <c r="D1499" s="217" t="s">
        <v>84</v>
      </c>
      <c r="E1499" s="217" t="s">
        <v>175</v>
      </c>
      <c r="F1499" s="217" t="s">
        <v>174</v>
      </c>
      <c r="G1499" s="217" t="s">
        <v>465</v>
      </c>
      <c r="H1499" s="217" t="s">
        <v>1304</v>
      </c>
      <c r="I1499" s="217" t="s">
        <v>616</v>
      </c>
      <c r="J1499" s="217" t="s">
        <v>1858</v>
      </c>
      <c r="K1499" s="217">
        <v>5</v>
      </c>
      <c r="L1499" s="217">
        <v>30</v>
      </c>
      <c r="M1499" s="217" t="s">
        <v>31</v>
      </c>
      <c r="N1499" s="217" t="s">
        <v>32</v>
      </c>
      <c r="O1499" s="217" t="s">
        <v>141</v>
      </c>
      <c r="P1499" s="217" t="s">
        <v>142</v>
      </c>
      <c r="Q1499" s="217" t="s">
        <v>143</v>
      </c>
      <c r="R1499" s="217" t="s">
        <v>142</v>
      </c>
      <c r="S1499" s="217" t="s">
        <v>619</v>
      </c>
      <c r="T1499" s="217" t="s">
        <v>32</v>
      </c>
      <c r="U1499" s="217" t="s">
        <v>32</v>
      </c>
      <c r="V1499" s="217" t="s">
        <v>32</v>
      </c>
      <c r="W1499" s="217" t="s">
        <v>32</v>
      </c>
    </row>
    <row r="1500" spans="1:23" x14ac:dyDescent="0.25">
      <c r="A1500" s="217" t="s">
        <v>22</v>
      </c>
      <c r="B1500" s="217" t="s">
        <v>23</v>
      </c>
      <c r="C1500" s="217" t="s">
        <v>85</v>
      </c>
      <c r="D1500" s="217" t="s">
        <v>84</v>
      </c>
      <c r="E1500" s="217" t="s">
        <v>175</v>
      </c>
      <c r="F1500" s="217" t="s">
        <v>174</v>
      </c>
      <c r="G1500" s="217" t="s">
        <v>465</v>
      </c>
      <c r="H1500" s="217" t="s">
        <v>1304</v>
      </c>
      <c r="I1500" s="217" t="s">
        <v>616</v>
      </c>
      <c r="J1500" s="217" t="s">
        <v>1859</v>
      </c>
      <c r="K1500" s="217">
        <v>1</v>
      </c>
      <c r="L1500" s="217">
        <v>4</v>
      </c>
      <c r="M1500" s="217" t="s">
        <v>31</v>
      </c>
      <c r="N1500" s="217" t="s">
        <v>32</v>
      </c>
      <c r="O1500" s="217" t="s">
        <v>141</v>
      </c>
      <c r="P1500" s="217" t="s">
        <v>142</v>
      </c>
      <c r="Q1500" s="217" t="s">
        <v>143</v>
      </c>
      <c r="R1500" s="217" t="s">
        <v>142</v>
      </c>
      <c r="S1500" s="217" t="s">
        <v>619</v>
      </c>
      <c r="T1500" s="217" t="s">
        <v>32</v>
      </c>
      <c r="U1500" s="217" t="s">
        <v>32</v>
      </c>
      <c r="V1500" s="217" t="s">
        <v>32</v>
      </c>
      <c r="W1500" s="217" t="s">
        <v>32</v>
      </c>
    </row>
    <row r="1501" spans="1:23" x14ac:dyDescent="0.25">
      <c r="A1501" s="217" t="s">
        <v>22</v>
      </c>
      <c r="B1501" s="217" t="s">
        <v>23</v>
      </c>
      <c r="C1501" s="217" t="s">
        <v>85</v>
      </c>
      <c r="D1501" s="217" t="s">
        <v>84</v>
      </c>
      <c r="E1501" s="217" t="s">
        <v>175</v>
      </c>
      <c r="F1501" s="217" t="s">
        <v>174</v>
      </c>
      <c r="G1501" s="217" t="s">
        <v>465</v>
      </c>
      <c r="H1501" s="217" t="s">
        <v>1304</v>
      </c>
      <c r="I1501" s="217" t="s">
        <v>616</v>
      </c>
      <c r="J1501" s="217" t="s">
        <v>1856</v>
      </c>
      <c r="K1501" s="217">
        <v>5</v>
      </c>
      <c r="L1501" s="217">
        <v>17</v>
      </c>
      <c r="M1501" s="217" t="s">
        <v>31</v>
      </c>
      <c r="N1501" s="217" t="s">
        <v>32</v>
      </c>
      <c r="O1501" s="217" t="s">
        <v>141</v>
      </c>
      <c r="P1501" s="217" t="s">
        <v>142</v>
      </c>
      <c r="Q1501" s="217" t="s">
        <v>143</v>
      </c>
      <c r="R1501" s="217" t="s">
        <v>142</v>
      </c>
      <c r="S1501" s="217" t="s">
        <v>2146</v>
      </c>
      <c r="T1501" s="217" t="s">
        <v>32</v>
      </c>
      <c r="U1501" s="217" t="s">
        <v>32</v>
      </c>
      <c r="V1501" s="217" t="s">
        <v>32</v>
      </c>
      <c r="W1501" s="217" t="s">
        <v>32</v>
      </c>
    </row>
    <row r="1502" spans="1:23" x14ac:dyDescent="0.25">
      <c r="A1502" s="217" t="s">
        <v>22</v>
      </c>
      <c r="B1502" s="217" t="s">
        <v>23</v>
      </c>
      <c r="C1502" s="217" t="s">
        <v>85</v>
      </c>
      <c r="D1502" s="217" t="s">
        <v>84</v>
      </c>
      <c r="E1502" s="217" t="s">
        <v>175</v>
      </c>
      <c r="F1502" s="217" t="s">
        <v>174</v>
      </c>
      <c r="G1502" s="217" t="s">
        <v>634</v>
      </c>
      <c r="H1502" s="217" t="s">
        <v>1527</v>
      </c>
      <c r="I1502" s="217" t="s">
        <v>616</v>
      </c>
      <c r="J1502" s="217" t="s">
        <v>1858</v>
      </c>
      <c r="K1502" s="217">
        <v>69</v>
      </c>
      <c r="L1502" s="217">
        <v>350</v>
      </c>
      <c r="M1502" s="217" t="s">
        <v>31</v>
      </c>
      <c r="N1502" s="217" t="s">
        <v>32</v>
      </c>
      <c r="O1502" s="217" t="s">
        <v>141</v>
      </c>
      <c r="P1502" s="217" t="s">
        <v>142</v>
      </c>
      <c r="Q1502" s="217" t="s">
        <v>143</v>
      </c>
      <c r="R1502" s="217" t="s">
        <v>142</v>
      </c>
      <c r="S1502" s="217" t="s">
        <v>619</v>
      </c>
      <c r="T1502" s="217" t="s">
        <v>32</v>
      </c>
      <c r="U1502" s="217" t="s">
        <v>32</v>
      </c>
      <c r="V1502" s="217" t="s">
        <v>32</v>
      </c>
      <c r="W1502" s="217" t="s">
        <v>32</v>
      </c>
    </row>
    <row r="1503" spans="1:23" x14ac:dyDescent="0.25">
      <c r="A1503" s="217" t="s">
        <v>22</v>
      </c>
      <c r="B1503" s="217" t="s">
        <v>23</v>
      </c>
      <c r="C1503" s="217" t="s">
        <v>85</v>
      </c>
      <c r="D1503" s="217" t="s">
        <v>84</v>
      </c>
      <c r="E1503" s="217" t="s">
        <v>175</v>
      </c>
      <c r="F1503" s="217" t="s">
        <v>174</v>
      </c>
      <c r="G1503" s="217" t="s">
        <v>832</v>
      </c>
      <c r="H1503" s="217" t="s">
        <v>1528</v>
      </c>
      <c r="I1503" s="217" t="s">
        <v>616</v>
      </c>
      <c r="J1503" s="217" t="s">
        <v>1857</v>
      </c>
      <c r="K1503" s="217">
        <v>24</v>
      </c>
      <c r="L1503" s="217">
        <v>144</v>
      </c>
      <c r="M1503" s="217" t="s">
        <v>31</v>
      </c>
      <c r="N1503" s="217" t="s">
        <v>32</v>
      </c>
      <c r="O1503" s="217" t="s">
        <v>141</v>
      </c>
      <c r="P1503" s="217" t="s">
        <v>142</v>
      </c>
      <c r="Q1503" s="217" t="s">
        <v>143</v>
      </c>
      <c r="R1503" s="217" t="s">
        <v>142</v>
      </c>
      <c r="S1503" s="217" t="s">
        <v>619</v>
      </c>
      <c r="T1503" s="217" t="s">
        <v>32</v>
      </c>
      <c r="U1503" s="217" t="s">
        <v>32</v>
      </c>
      <c r="V1503" s="217" t="s">
        <v>32</v>
      </c>
      <c r="W1503" s="217" t="s">
        <v>32</v>
      </c>
    </row>
    <row r="1504" spans="1:23" x14ac:dyDescent="0.25">
      <c r="A1504" s="217" t="s">
        <v>22</v>
      </c>
      <c r="B1504" s="217" t="s">
        <v>23</v>
      </c>
      <c r="C1504" s="217" t="s">
        <v>85</v>
      </c>
      <c r="D1504" s="217" t="s">
        <v>84</v>
      </c>
      <c r="E1504" s="217" t="s">
        <v>175</v>
      </c>
      <c r="F1504" s="217" t="s">
        <v>174</v>
      </c>
      <c r="G1504" s="217" t="s">
        <v>832</v>
      </c>
      <c r="H1504" s="217" t="s">
        <v>1528</v>
      </c>
      <c r="I1504" s="217" t="s">
        <v>616</v>
      </c>
      <c r="J1504" s="217" t="s">
        <v>1858</v>
      </c>
      <c r="K1504" s="217">
        <v>3</v>
      </c>
      <c r="L1504" s="217">
        <v>15</v>
      </c>
      <c r="M1504" s="217" t="s">
        <v>31</v>
      </c>
      <c r="N1504" s="217" t="s">
        <v>32</v>
      </c>
      <c r="O1504" s="217" t="s">
        <v>141</v>
      </c>
      <c r="P1504" s="217" t="s">
        <v>142</v>
      </c>
      <c r="Q1504" s="217" t="s">
        <v>143</v>
      </c>
      <c r="R1504" s="217" t="s">
        <v>142</v>
      </c>
      <c r="S1504" s="217" t="s">
        <v>619</v>
      </c>
      <c r="T1504" s="217" t="s">
        <v>32</v>
      </c>
      <c r="U1504" s="217" t="s">
        <v>32</v>
      </c>
      <c r="V1504" s="217" t="s">
        <v>32</v>
      </c>
      <c r="W1504" s="217" t="s">
        <v>32</v>
      </c>
    </row>
    <row r="1505" spans="1:23" x14ac:dyDescent="0.25">
      <c r="A1505" s="217" t="s">
        <v>22</v>
      </c>
      <c r="B1505" s="217" t="s">
        <v>23</v>
      </c>
      <c r="C1505" s="217" t="s">
        <v>85</v>
      </c>
      <c r="D1505" s="217" t="s">
        <v>84</v>
      </c>
      <c r="E1505" s="217" t="s">
        <v>175</v>
      </c>
      <c r="F1505" s="217" t="s">
        <v>174</v>
      </c>
      <c r="G1505" s="217" t="s">
        <v>830</v>
      </c>
      <c r="H1505" s="217" t="s">
        <v>1306</v>
      </c>
      <c r="I1505" s="217" t="s">
        <v>616</v>
      </c>
      <c r="J1505" s="217" t="s">
        <v>1856</v>
      </c>
      <c r="K1505" s="217">
        <v>12</v>
      </c>
      <c r="L1505" s="217">
        <v>91</v>
      </c>
      <c r="M1505" s="217" t="s">
        <v>31</v>
      </c>
      <c r="N1505" s="217" t="s">
        <v>32</v>
      </c>
      <c r="O1505" s="217" t="s">
        <v>141</v>
      </c>
      <c r="P1505" s="217" t="s">
        <v>142</v>
      </c>
      <c r="Q1505" s="217" t="s">
        <v>143</v>
      </c>
      <c r="R1505" s="217" t="s">
        <v>142</v>
      </c>
      <c r="S1505" s="217" t="s">
        <v>619</v>
      </c>
      <c r="T1505" s="217" t="s">
        <v>32</v>
      </c>
      <c r="U1505" s="217" t="s">
        <v>32</v>
      </c>
      <c r="V1505" s="217" t="s">
        <v>32</v>
      </c>
      <c r="W1505" s="217" t="s">
        <v>32</v>
      </c>
    </row>
    <row r="1506" spans="1:23" x14ac:dyDescent="0.25">
      <c r="A1506" s="217" t="s">
        <v>22</v>
      </c>
      <c r="B1506" s="217" t="s">
        <v>23</v>
      </c>
      <c r="C1506" s="217" t="s">
        <v>85</v>
      </c>
      <c r="D1506" s="217" t="s">
        <v>84</v>
      </c>
      <c r="E1506" s="217" t="s">
        <v>175</v>
      </c>
      <c r="F1506" s="217" t="s">
        <v>174</v>
      </c>
      <c r="G1506" s="217" t="s">
        <v>831</v>
      </c>
      <c r="H1506" s="217" t="s">
        <v>1529</v>
      </c>
      <c r="I1506" s="217" t="s">
        <v>616</v>
      </c>
      <c r="J1506" s="217" t="s">
        <v>1856</v>
      </c>
      <c r="K1506" s="217">
        <v>40</v>
      </c>
      <c r="L1506" s="217">
        <v>260</v>
      </c>
      <c r="M1506" s="217" t="s">
        <v>31</v>
      </c>
      <c r="N1506" s="217" t="s">
        <v>32</v>
      </c>
      <c r="O1506" s="217" t="s">
        <v>141</v>
      </c>
      <c r="P1506" s="217" t="s">
        <v>142</v>
      </c>
      <c r="Q1506" s="217" t="s">
        <v>143</v>
      </c>
      <c r="R1506" s="217" t="s">
        <v>142</v>
      </c>
      <c r="S1506" s="217" t="s">
        <v>619</v>
      </c>
      <c r="T1506" s="217" t="s">
        <v>32</v>
      </c>
      <c r="U1506" s="217" t="s">
        <v>32</v>
      </c>
      <c r="V1506" s="217" t="s">
        <v>32</v>
      </c>
      <c r="W1506" s="217" t="s">
        <v>32</v>
      </c>
    </row>
    <row r="1507" spans="1:23" x14ac:dyDescent="0.25">
      <c r="A1507" s="217" t="s">
        <v>22</v>
      </c>
      <c r="B1507" s="217" t="s">
        <v>23</v>
      </c>
      <c r="C1507" s="217" t="s">
        <v>85</v>
      </c>
      <c r="D1507" s="217" t="s">
        <v>84</v>
      </c>
      <c r="E1507" s="217" t="s">
        <v>175</v>
      </c>
      <c r="F1507" s="217" t="s">
        <v>174</v>
      </c>
      <c r="G1507" s="217" t="s">
        <v>635</v>
      </c>
      <c r="H1507" s="217" t="s">
        <v>1530</v>
      </c>
      <c r="I1507" s="217" t="s">
        <v>616</v>
      </c>
      <c r="J1507" s="217" t="s">
        <v>1858</v>
      </c>
      <c r="K1507" s="217">
        <v>49</v>
      </c>
      <c r="L1507" s="217">
        <v>209</v>
      </c>
      <c r="M1507" s="217" t="s">
        <v>31</v>
      </c>
      <c r="N1507" s="217" t="s">
        <v>32</v>
      </c>
      <c r="O1507" s="217" t="s">
        <v>141</v>
      </c>
      <c r="P1507" s="217" t="s">
        <v>142</v>
      </c>
      <c r="Q1507" s="217" t="s">
        <v>143</v>
      </c>
      <c r="R1507" s="217" t="s">
        <v>142</v>
      </c>
      <c r="S1507" s="217" t="s">
        <v>619</v>
      </c>
      <c r="T1507" s="217" t="s">
        <v>32</v>
      </c>
      <c r="U1507" s="217" t="s">
        <v>32</v>
      </c>
      <c r="V1507" s="217" t="s">
        <v>32</v>
      </c>
      <c r="W1507" s="217" t="s">
        <v>32</v>
      </c>
    </row>
    <row r="1508" spans="1:23" x14ac:dyDescent="0.25">
      <c r="A1508" s="217" t="s">
        <v>22</v>
      </c>
      <c r="B1508" s="217" t="s">
        <v>23</v>
      </c>
      <c r="C1508" s="217" t="s">
        <v>85</v>
      </c>
      <c r="D1508" s="217" t="s">
        <v>84</v>
      </c>
      <c r="E1508" s="217" t="s">
        <v>175</v>
      </c>
      <c r="F1508" s="217" t="s">
        <v>174</v>
      </c>
      <c r="G1508" s="217" t="s">
        <v>466</v>
      </c>
      <c r="H1508" s="217" t="s">
        <v>1307</v>
      </c>
      <c r="I1508" s="217" t="s">
        <v>616</v>
      </c>
      <c r="J1508" s="217" t="s">
        <v>1858</v>
      </c>
      <c r="K1508" s="217">
        <v>6</v>
      </c>
      <c r="L1508" s="217">
        <v>68</v>
      </c>
      <c r="M1508" s="217" t="s">
        <v>31</v>
      </c>
      <c r="N1508" s="217" t="s">
        <v>32</v>
      </c>
      <c r="O1508" s="217" t="s">
        <v>141</v>
      </c>
      <c r="P1508" s="217" t="s">
        <v>142</v>
      </c>
      <c r="Q1508" s="217" t="s">
        <v>143</v>
      </c>
      <c r="R1508" s="217" t="s">
        <v>142</v>
      </c>
      <c r="S1508" s="217" t="s">
        <v>619</v>
      </c>
      <c r="T1508" s="217" t="s">
        <v>32</v>
      </c>
      <c r="U1508" s="217" t="s">
        <v>32</v>
      </c>
      <c r="V1508" s="217" t="s">
        <v>32</v>
      </c>
      <c r="W1508" s="217" t="s">
        <v>32</v>
      </c>
    </row>
    <row r="1509" spans="1:23" x14ac:dyDescent="0.25">
      <c r="A1509" s="217" t="s">
        <v>22</v>
      </c>
      <c r="B1509" s="217" t="s">
        <v>23</v>
      </c>
      <c r="C1509" s="217" t="s">
        <v>85</v>
      </c>
      <c r="D1509" s="217" t="s">
        <v>84</v>
      </c>
      <c r="E1509" s="217" t="s">
        <v>175</v>
      </c>
      <c r="F1509" s="217" t="s">
        <v>174</v>
      </c>
      <c r="G1509" s="217" t="s">
        <v>467</v>
      </c>
      <c r="H1509" s="217" t="s">
        <v>1308</v>
      </c>
      <c r="I1509" s="217" t="s">
        <v>616</v>
      </c>
      <c r="J1509" s="217" t="s">
        <v>1855</v>
      </c>
      <c r="K1509" s="217">
        <v>9</v>
      </c>
      <c r="L1509" s="217">
        <v>75</v>
      </c>
      <c r="M1509" s="217" t="s">
        <v>31</v>
      </c>
      <c r="N1509" s="217" t="s">
        <v>32</v>
      </c>
      <c r="O1509" s="217" t="s">
        <v>141</v>
      </c>
      <c r="P1509" s="217" t="s">
        <v>142</v>
      </c>
      <c r="Q1509" s="217" t="s">
        <v>143</v>
      </c>
      <c r="R1509" s="217" t="s">
        <v>142</v>
      </c>
      <c r="S1509" s="217" t="s">
        <v>619</v>
      </c>
      <c r="T1509" s="217" t="s">
        <v>32</v>
      </c>
      <c r="U1509" s="217" t="s">
        <v>32</v>
      </c>
      <c r="V1509" s="217" t="s">
        <v>32</v>
      </c>
      <c r="W1509" s="217" t="s">
        <v>32</v>
      </c>
    </row>
    <row r="1510" spans="1:23" x14ac:dyDescent="0.25">
      <c r="A1510" s="217" t="s">
        <v>22</v>
      </c>
      <c r="B1510" s="217" t="s">
        <v>23</v>
      </c>
      <c r="C1510" s="217" t="s">
        <v>85</v>
      </c>
      <c r="D1510" s="217" t="s">
        <v>84</v>
      </c>
      <c r="E1510" s="217" t="s">
        <v>175</v>
      </c>
      <c r="F1510" s="217" t="s">
        <v>174</v>
      </c>
      <c r="G1510" s="217" t="s">
        <v>467</v>
      </c>
      <c r="H1510" s="217" t="s">
        <v>1308</v>
      </c>
      <c r="I1510" s="217" t="s">
        <v>616</v>
      </c>
      <c r="J1510" s="217" t="s">
        <v>1856</v>
      </c>
      <c r="K1510" s="217">
        <v>3</v>
      </c>
      <c r="L1510" s="217">
        <v>21</v>
      </c>
      <c r="M1510" s="217" t="s">
        <v>31</v>
      </c>
      <c r="N1510" s="217" t="s">
        <v>32</v>
      </c>
      <c r="O1510" s="217" t="s">
        <v>141</v>
      </c>
      <c r="P1510" s="217" t="s">
        <v>142</v>
      </c>
      <c r="Q1510" s="217" t="s">
        <v>143</v>
      </c>
      <c r="R1510" s="217" t="s">
        <v>142</v>
      </c>
      <c r="S1510" s="217" t="s">
        <v>619</v>
      </c>
      <c r="T1510" s="217" t="s">
        <v>32</v>
      </c>
      <c r="U1510" s="217" t="s">
        <v>32</v>
      </c>
      <c r="V1510" s="217" t="s">
        <v>32</v>
      </c>
      <c r="W1510" s="217" t="s">
        <v>32</v>
      </c>
    </row>
    <row r="1511" spans="1:23" x14ac:dyDescent="0.25">
      <c r="A1511" s="217" t="s">
        <v>22</v>
      </c>
      <c r="B1511" s="217" t="s">
        <v>23</v>
      </c>
      <c r="C1511" s="217" t="s">
        <v>85</v>
      </c>
      <c r="D1511" s="217" t="s">
        <v>84</v>
      </c>
      <c r="E1511" s="217" t="s">
        <v>175</v>
      </c>
      <c r="F1511" s="217" t="s">
        <v>174</v>
      </c>
      <c r="G1511" s="217" t="s">
        <v>467</v>
      </c>
      <c r="H1511" s="217" t="s">
        <v>1308</v>
      </c>
      <c r="I1511" s="217" t="s">
        <v>616</v>
      </c>
      <c r="J1511" s="217" t="s">
        <v>1858</v>
      </c>
      <c r="K1511" s="217">
        <v>18</v>
      </c>
      <c r="L1511" s="217">
        <v>166</v>
      </c>
      <c r="M1511" s="217" t="s">
        <v>31</v>
      </c>
      <c r="N1511" s="217" t="s">
        <v>32</v>
      </c>
      <c r="O1511" s="217" t="s">
        <v>141</v>
      </c>
      <c r="P1511" s="217" t="s">
        <v>142</v>
      </c>
      <c r="Q1511" s="217" t="s">
        <v>143</v>
      </c>
      <c r="R1511" s="217" t="s">
        <v>142</v>
      </c>
      <c r="S1511" s="217" t="s">
        <v>619</v>
      </c>
      <c r="T1511" s="217" t="s">
        <v>32</v>
      </c>
      <c r="U1511" s="217" t="s">
        <v>32</v>
      </c>
      <c r="V1511" s="217" t="s">
        <v>32</v>
      </c>
      <c r="W1511" s="217" t="s">
        <v>32</v>
      </c>
    </row>
    <row r="1512" spans="1:23" x14ac:dyDescent="0.25">
      <c r="A1512" s="217" t="s">
        <v>22</v>
      </c>
      <c r="B1512" s="217" t="s">
        <v>23</v>
      </c>
      <c r="C1512" s="217" t="s">
        <v>85</v>
      </c>
      <c r="D1512" s="217" t="s">
        <v>84</v>
      </c>
      <c r="E1512" s="217" t="s">
        <v>175</v>
      </c>
      <c r="F1512" s="217" t="s">
        <v>174</v>
      </c>
      <c r="G1512" s="217" t="s">
        <v>468</v>
      </c>
      <c r="H1512" s="217" t="s">
        <v>1309</v>
      </c>
      <c r="I1512" s="217" t="s">
        <v>616</v>
      </c>
      <c r="J1512" s="217" t="s">
        <v>1858</v>
      </c>
      <c r="K1512" s="217">
        <v>12</v>
      </c>
      <c r="L1512" s="217">
        <v>67</v>
      </c>
      <c r="M1512" s="217" t="s">
        <v>31</v>
      </c>
      <c r="N1512" s="217" t="s">
        <v>32</v>
      </c>
      <c r="O1512" s="217" t="s">
        <v>141</v>
      </c>
      <c r="P1512" s="217" t="s">
        <v>142</v>
      </c>
      <c r="Q1512" s="217" t="s">
        <v>143</v>
      </c>
      <c r="R1512" s="217" t="s">
        <v>142</v>
      </c>
      <c r="S1512" s="217" t="s">
        <v>619</v>
      </c>
      <c r="T1512" s="217" t="s">
        <v>32</v>
      </c>
      <c r="U1512" s="217" t="s">
        <v>32</v>
      </c>
      <c r="V1512" s="217" t="s">
        <v>32</v>
      </c>
      <c r="W1512" s="217" t="s">
        <v>32</v>
      </c>
    </row>
    <row r="1513" spans="1:23" x14ac:dyDescent="0.25">
      <c r="A1513" s="217" t="s">
        <v>22</v>
      </c>
      <c r="B1513" s="217" t="s">
        <v>23</v>
      </c>
      <c r="C1513" s="217" t="s">
        <v>85</v>
      </c>
      <c r="D1513" s="217" t="s">
        <v>84</v>
      </c>
      <c r="E1513" s="217" t="s">
        <v>175</v>
      </c>
      <c r="F1513" s="217" t="s">
        <v>174</v>
      </c>
      <c r="G1513" s="217" t="s">
        <v>469</v>
      </c>
      <c r="H1513" s="217" t="s">
        <v>1531</v>
      </c>
      <c r="I1513" s="217" t="s">
        <v>616</v>
      </c>
      <c r="J1513" s="217" t="s">
        <v>1858</v>
      </c>
      <c r="K1513" s="217">
        <v>9</v>
      </c>
      <c r="L1513" s="217">
        <v>54</v>
      </c>
      <c r="M1513" s="217" t="s">
        <v>31</v>
      </c>
      <c r="N1513" s="217" t="s">
        <v>32</v>
      </c>
      <c r="O1513" s="217" t="s">
        <v>141</v>
      </c>
      <c r="P1513" s="217" t="s">
        <v>142</v>
      </c>
      <c r="Q1513" s="217" t="s">
        <v>143</v>
      </c>
      <c r="R1513" s="217" t="s">
        <v>142</v>
      </c>
      <c r="S1513" s="217" t="s">
        <v>619</v>
      </c>
      <c r="T1513" s="217" t="s">
        <v>32</v>
      </c>
      <c r="U1513" s="217" t="s">
        <v>32</v>
      </c>
      <c r="V1513" s="217" t="s">
        <v>32</v>
      </c>
      <c r="W1513" s="217" t="s">
        <v>32</v>
      </c>
    </row>
    <row r="1514" spans="1:23" x14ac:dyDescent="0.25">
      <c r="A1514" s="217" t="s">
        <v>22</v>
      </c>
      <c r="B1514" s="217" t="s">
        <v>23</v>
      </c>
      <c r="C1514" s="217" t="s">
        <v>85</v>
      </c>
      <c r="D1514" s="217" t="s">
        <v>84</v>
      </c>
      <c r="E1514" s="217" t="s">
        <v>175</v>
      </c>
      <c r="F1514" s="217" t="s">
        <v>174</v>
      </c>
      <c r="G1514" s="217" t="s">
        <v>833</v>
      </c>
      <c r="H1514" s="217" t="s">
        <v>1310</v>
      </c>
      <c r="I1514" s="217" t="s">
        <v>616</v>
      </c>
      <c r="J1514" s="217" t="s">
        <v>1856</v>
      </c>
      <c r="K1514" s="217">
        <v>11</v>
      </c>
      <c r="L1514" s="217">
        <v>49</v>
      </c>
      <c r="M1514" s="217" t="s">
        <v>31</v>
      </c>
      <c r="N1514" s="217" t="s">
        <v>32</v>
      </c>
      <c r="O1514" s="217" t="s">
        <v>141</v>
      </c>
      <c r="P1514" s="217" t="s">
        <v>142</v>
      </c>
      <c r="Q1514" s="217" t="s">
        <v>143</v>
      </c>
      <c r="R1514" s="217" t="s">
        <v>142</v>
      </c>
      <c r="S1514" s="217" t="s">
        <v>619</v>
      </c>
      <c r="T1514" s="217" t="s">
        <v>32</v>
      </c>
      <c r="U1514" s="217" t="s">
        <v>32</v>
      </c>
      <c r="V1514" s="217" t="s">
        <v>32</v>
      </c>
      <c r="W1514" s="217" t="s">
        <v>32</v>
      </c>
    </row>
    <row r="1515" spans="1:23" x14ac:dyDescent="0.25">
      <c r="A1515" s="217" t="s">
        <v>22</v>
      </c>
      <c r="B1515" s="217" t="s">
        <v>23</v>
      </c>
      <c r="C1515" s="217" t="s">
        <v>85</v>
      </c>
      <c r="D1515" s="217" t="s">
        <v>84</v>
      </c>
      <c r="E1515" s="217" t="s">
        <v>175</v>
      </c>
      <c r="F1515" s="217" t="s">
        <v>174</v>
      </c>
      <c r="G1515" s="217" t="s">
        <v>833</v>
      </c>
      <c r="H1515" s="217" t="s">
        <v>1310</v>
      </c>
      <c r="I1515" s="217" t="s">
        <v>616</v>
      </c>
      <c r="J1515" s="217" t="s">
        <v>1858</v>
      </c>
      <c r="K1515" s="217">
        <v>2</v>
      </c>
      <c r="L1515" s="217">
        <v>9</v>
      </c>
      <c r="M1515" s="217" t="s">
        <v>31</v>
      </c>
      <c r="N1515" s="217" t="s">
        <v>32</v>
      </c>
      <c r="O1515" s="217" t="s">
        <v>141</v>
      </c>
      <c r="P1515" s="217" t="s">
        <v>142</v>
      </c>
      <c r="Q1515" s="217" t="s">
        <v>143</v>
      </c>
      <c r="R1515" s="217" t="s">
        <v>142</v>
      </c>
      <c r="S1515" s="217" t="s">
        <v>619</v>
      </c>
      <c r="T1515" s="217" t="s">
        <v>32</v>
      </c>
      <c r="U1515" s="217" t="s">
        <v>32</v>
      </c>
      <c r="V1515" s="217" t="s">
        <v>32</v>
      </c>
      <c r="W1515" s="217" t="s">
        <v>32</v>
      </c>
    </row>
    <row r="1516" spans="1:23" x14ac:dyDescent="0.25">
      <c r="A1516" s="217" t="s">
        <v>22</v>
      </c>
      <c r="B1516" s="217" t="s">
        <v>23</v>
      </c>
      <c r="C1516" s="217" t="s">
        <v>85</v>
      </c>
      <c r="D1516" s="217" t="s">
        <v>84</v>
      </c>
      <c r="E1516" s="217" t="s">
        <v>175</v>
      </c>
      <c r="F1516" s="217" t="s">
        <v>174</v>
      </c>
      <c r="G1516" s="217" t="s">
        <v>470</v>
      </c>
      <c r="H1516" s="217" t="s">
        <v>1311</v>
      </c>
      <c r="I1516" s="217" t="s">
        <v>616</v>
      </c>
      <c r="J1516" s="217" t="s">
        <v>1856</v>
      </c>
      <c r="K1516" s="217">
        <v>10</v>
      </c>
      <c r="L1516" s="217">
        <v>35</v>
      </c>
      <c r="M1516" s="217" t="s">
        <v>31</v>
      </c>
      <c r="N1516" s="217" t="s">
        <v>32</v>
      </c>
      <c r="O1516" s="217" t="s">
        <v>141</v>
      </c>
      <c r="P1516" s="217" t="s">
        <v>142</v>
      </c>
      <c r="Q1516" s="217" t="s">
        <v>143</v>
      </c>
      <c r="R1516" s="217" t="s">
        <v>142</v>
      </c>
      <c r="S1516" s="217" t="s">
        <v>619</v>
      </c>
      <c r="T1516" s="217" t="s">
        <v>32</v>
      </c>
      <c r="U1516" s="217" t="s">
        <v>32</v>
      </c>
      <c r="V1516" s="217" t="s">
        <v>32</v>
      </c>
      <c r="W1516" s="217" t="s">
        <v>32</v>
      </c>
    </row>
    <row r="1517" spans="1:23" x14ac:dyDescent="0.25">
      <c r="A1517" s="217" t="s">
        <v>22</v>
      </c>
      <c r="B1517" s="217" t="s">
        <v>23</v>
      </c>
      <c r="C1517" s="217" t="s">
        <v>85</v>
      </c>
      <c r="D1517" s="217" t="s">
        <v>84</v>
      </c>
      <c r="E1517" s="217" t="s">
        <v>175</v>
      </c>
      <c r="F1517" s="217" t="s">
        <v>174</v>
      </c>
      <c r="G1517" s="217" t="s">
        <v>470</v>
      </c>
      <c r="H1517" s="217" t="s">
        <v>1311</v>
      </c>
      <c r="I1517" s="217" t="s">
        <v>616</v>
      </c>
      <c r="J1517" s="217" t="s">
        <v>1858</v>
      </c>
      <c r="K1517" s="217">
        <v>66</v>
      </c>
      <c r="L1517" s="217">
        <v>216</v>
      </c>
      <c r="M1517" s="217" t="s">
        <v>31</v>
      </c>
      <c r="N1517" s="217" t="s">
        <v>32</v>
      </c>
      <c r="O1517" s="217" t="s">
        <v>141</v>
      </c>
      <c r="P1517" s="217" t="s">
        <v>142</v>
      </c>
      <c r="Q1517" s="217" t="s">
        <v>143</v>
      </c>
      <c r="R1517" s="217" t="s">
        <v>142</v>
      </c>
      <c r="S1517" s="217" t="s">
        <v>619</v>
      </c>
      <c r="T1517" s="217" t="s">
        <v>32</v>
      </c>
      <c r="U1517" s="217" t="s">
        <v>32</v>
      </c>
      <c r="V1517" s="217" t="s">
        <v>32</v>
      </c>
      <c r="W1517" s="217" t="s">
        <v>32</v>
      </c>
    </row>
    <row r="1518" spans="1:23" x14ac:dyDescent="0.25">
      <c r="A1518" s="217" t="s">
        <v>22</v>
      </c>
      <c r="B1518" s="217" t="s">
        <v>23</v>
      </c>
      <c r="C1518" s="217" t="s">
        <v>85</v>
      </c>
      <c r="D1518" s="217" t="s">
        <v>84</v>
      </c>
      <c r="E1518" s="217" t="s">
        <v>175</v>
      </c>
      <c r="F1518" s="217" t="s">
        <v>174</v>
      </c>
      <c r="G1518" s="217" t="s">
        <v>815</v>
      </c>
      <c r="H1518" s="217" t="s">
        <v>2141</v>
      </c>
      <c r="I1518" s="217" t="s">
        <v>616</v>
      </c>
      <c r="J1518" s="217" t="s">
        <v>1859</v>
      </c>
      <c r="K1518" s="217">
        <v>17</v>
      </c>
      <c r="L1518" s="217">
        <v>85</v>
      </c>
      <c r="M1518" s="217" t="s">
        <v>31</v>
      </c>
      <c r="N1518" s="217" t="s">
        <v>32</v>
      </c>
      <c r="O1518" s="217" t="s">
        <v>141</v>
      </c>
      <c r="P1518" s="217" t="s">
        <v>142</v>
      </c>
      <c r="Q1518" s="217" t="s">
        <v>143</v>
      </c>
      <c r="R1518" s="217" t="s">
        <v>142</v>
      </c>
      <c r="S1518" s="217" t="s">
        <v>619</v>
      </c>
      <c r="T1518" s="217" t="s">
        <v>32</v>
      </c>
      <c r="U1518" s="217" t="s">
        <v>32</v>
      </c>
      <c r="V1518" s="217" t="s">
        <v>32</v>
      </c>
      <c r="W1518" s="217" t="s">
        <v>32</v>
      </c>
    </row>
    <row r="1519" spans="1:23" x14ac:dyDescent="0.25">
      <c r="A1519" s="217" t="s">
        <v>22</v>
      </c>
      <c r="B1519" s="217" t="s">
        <v>23</v>
      </c>
      <c r="C1519" s="217" t="s">
        <v>85</v>
      </c>
      <c r="D1519" s="217" t="s">
        <v>84</v>
      </c>
      <c r="E1519" s="217" t="s">
        <v>175</v>
      </c>
      <c r="F1519" s="217" t="s">
        <v>174</v>
      </c>
      <c r="G1519" s="217" t="s">
        <v>179</v>
      </c>
      <c r="H1519" s="217" t="s">
        <v>1312</v>
      </c>
      <c r="I1519" s="217" t="s">
        <v>616</v>
      </c>
      <c r="J1519" s="217" t="s">
        <v>1855</v>
      </c>
      <c r="K1519" s="217">
        <v>19</v>
      </c>
      <c r="L1519" s="217">
        <v>150</v>
      </c>
      <c r="M1519" s="217" t="s">
        <v>31</v>
      </c>
      <c r="N1519" s="217" t="s">
        <v>32</v>
      </c>
      <c r="O1519" s="217" t="s">
        <v>141</v>
      </c>
      <c r="P1519" s="217" t="s">
        <v>142</v>
      </c>
      <c r="Q1519" s="217" t="s">
        <v>143</v>
      </c>
      <c r="R1519" s="217" t="s">
        <v>142</v>
      </c>
      <c r="S1519" s="217" t="s">
        <v>619</v>
      </c>
      <c r="T1519" s="217" t="s">
        <v>32</v>
      </c>
      <c r="U1519" s="217" t="s">
        <v>32</v>
      </c>
      <c r="V1519" s="217" t="s">
        <v>32</v>
      </c>
      <c r="W1519" s="217" t="s">
        <v>32</v>
      </c>
    </row>
    <row r="1520" spans="1:23" x14ac:dyDescent="0.25">
      <c r="A1520" s="217" t="s">
        <v>22</v>
      </c>
      <c r="B1520" s="217" t="s">
        <v>23</v>
      </c>
      <c r="C1520" s="217" t="s">
        <v>85</v>
      </c>
      <c r="D1520" s="217" t="s">
        <v>84</v>
      </c>
      <c r="E1520" s="217" t="s">
        <v>175</v>
      </c>
      <c r="F1520" s="217" t="s">
        <v>174</v>
      </c>
      <c r="G1520" s="217" t="s">
        <v>179</v>
      </c>
      <c r="H1520" s="217" t="s">
        <v>1312</v>
      </c>
      <c r="I1520" s="217" t="s">
        <v>616</v>
      </c>
      <c r="J1520" s="217" t="s">
        <v>1856</v>
      </c>
      <c r="K1520" s="217">
        <v>36</v>
      </c>
      <c r="L1520" s="217">
        <v>216</v>
      </c>
      <c r="M1520" s="217" t="s">
        <v>31</v>
      </c>
      <c r="N1520" s="217" t="s">
        <v>32</v>
      </c>
      <c r="O1520" s="217" t="s">
        <v>141</v>
      </c>
      <c r="P1520" s="217" t="s">
        <v>142</v>
      </c>
      <c r="Q1520" s="217" t="s">
        <v>143</v>
      </c>
      <c r="R1520" s="217" t="s">
        <v>142</v>
      </c>
      <c r="S1520" s="217" t="s">
        <v>619</v>
      </c>
      <c r="T1520" s="217" t="s">
        <v>32</v>
      </c>
      <c r="U1520" s="217" t="s">
        <v>32</v>
      </c>
      <c r="V1520" s="217" t="s">
        <v>32</v>
      </c>
      <c r="W1520" s="217" t="s">
        <v>32</v>
      </c>
    </row>
    <row r="1521" spans="1:23" x14ac:dyDescent="0.25">
      <c r="A1521" s="217" t="s">
        <v>22</v>
      </c>
      <c r="B1521" s="217" t="s">
        <v>23</v>
      </c>
      <c r="C1521" s="217" t="s">
        <v>85</v>
      </c>
      <c r="D1521" s="217" t="s">
        <v>84</v>
      </c>
      <c r="E1521" s="217" t="s">
        <v>175</v>
      </c>
      <c r="F1521" s="217" t="s">
        <v>174</v>
      </c>
      <c r="G1521" s="217" t="s">
        <v>179</v>
      </c>
      <c r="H1521" s="217" t="s">
        <v>1312</v>
      </c>
      <c r="I1521" s="217" t="s">
        <v>616</v>
      </c>
      <c r="J1521" s="217" t="s">
        <v>1857</v>
      </c>
      <c r="K1521" s="217">
        <v>26</v>
      </c>
      <c r="L1521" s="217">
        <v>131</v>
      </c>
      <c r="M1521" s="217" t="s">
        <v>31</v>
      </c>
      <c r="N1521" s="217" t="s">
        <v>32</v>
      </c>
      <c r="O1521" s="217" t="s">
        <v>141</v>
      </c>
      <c r="P1521" s="217" t="s">
        <v>142</v>
      </c>
      <c r="Q1521" s="217" t="s">
        <v>143</v>
      </c>
      <c r="R1521" s="217" t="s">
        <v>142</v>
      </c>
      <c r="S1521" s="217" t="s">
        <v>619</v>
      </c>
      <c r="T1521" s="217" t="s">
        <v>32</v>
      </c>
      <c r="U1521" s="217" t="s">
        <v>32</v>
      </c>
      <c r="V1521" s="217" t="s">
        <v>32</v>
      </c>
      <c r="W1521" s="217" t="s">
        <v>32</v>
      </c>
    </row>
    <row r="1522" spans="1:23" x14ac:dyDescent="0.25">
      <c r="A1522" s="217" t="s">
        <v>22</v>
      </c>
      <c r="B1522" s="217" t="s">
        <v>23</v>
      </c>
      <c r="C1522" s="217" t="s">
        <v>85</v>
      </c>
      <c r="D1522" s="217" t="s">
        <v>84</v>
      </c>
      <c r="E1522" s="217" t="s">
        <v>175</v>
      </c>
      <c r="F1522" s="217" t="s">
        <v>174</v>
      </c>
      <c r="G1522" s="217" t="s">
        <v>636</v>
      </c>
      <c r="H1522" s="217" t="s">
        <v>1532</v>
      </c>
      <c r="I1522" s="217" t="s">
        <v>616</v>
      </c>
      <c r="J1522" s="217" t="s">
        <v>1855</v>
      </c>
      <c r="K1522" s="217">
        <v>19</v>
      </c>
      <c r="L1522" s="217">
        <v>109</v>
      </c>
      <c r="M1522" s="217" t="s">
        <v>31</v>
      </c>
      <c r="N1522" s="217" t="s">
        <v>32</v>
      </c>
      <c r="O1522" s="217" t="s">
        <v>141</v>
      </c>
      <c r="P1522" s="217" t="s">
        <v>142</v>
      </c>
      <c r="Q1522" s="217" t="s">
        <v>143</v>
      </c>
      <c r="R1522" s="217" t="s">
        <v>142</v>
      </c>
      <c r="S1522" s="217" t="s">
        <v>619</v>
      </c>
      <c r="T1522" s="217" t="s">
        <v>32</v>
      </c>
      <c r="U1522" s="217" t="s">
        <v>32</v>
      </c>
      <c r="V1522" s="217" t="s">
        <v>32</v>
      </c>
      <c r="W1522" s="217" t="s">
        <v>32</v>
      </c>
    </row>
    <row r="1523" spans="1:23" x14ac:dyDescent="0.25">
      <c r="A1523" s="217" t="s">
        <v>22</v>
      </c>
      <c r="B1523" s="217" t="s">
        <v>23</v>
      </c>
      <c r="C1523" s="217" t="s">
        <v>85</v>
      </c>
      <c r="D1523" s="217" t="s">
        <v>84</v>
      </c>
      <c r="E1523" s="217" t="s">
        <v>175</v>
      </c>
      <c r="F1523" s="217" t="s">
        <v>174</v>
      </c>
      <c r="G1523" s="217" t="s">
        <v>636</v>
      </c>
      <c r="H1523" s="217" t="s">
        <v>1532</v>
      </c>
      <c r="I1523" s="217" t="s">
        <v>616</v>
      </c>
      <c r="J1523" s="217" t="s">
        <v>1858</v>
      </c>
      <c r="K1523" s="217">
        <v>4</v>
      </c>
      <c r="L1523" s="217">
        <v>18</v>
      </c>
      <c r="M1523" s="217" t="s">
        <v>31</v>
      </c>
      <c r="N1523" s="217" t="s">
        <v>32</v>
      </c>
      <c r="O1523" s="217" t="s">
        <v>141</v>
      </c>
      <c r="P1523" s="217" t="s">
        <v>142</v>
      </c>
      <c r="Q1523" s="217" t="s">
        <v>143</v>
      </c>
      <c r="R1523" s="217" t="s">
        <v>142</v>
      </c>
      <c r="S1523" s="217" t="s">
        <v>619</v>
      </c>
      <c r="T1523" s="217" t="s">
        <v>32</v>
      </c>
      <c r="U1523" s="217" t="s">
        <v>32</v>
      </c>
      <c r="V1523" s="217" t="s">
        <v>32</v>
      </c>
      <c r="W1523" s="217" t="s">
        <v>32</v>
      </c>
    </row>
    <row r="1524" spans="1:23" x14ac:dyDescent="0.25">
      <c r="A1524" s="217" t="s">
        <v>22</v>
      </c>
      <c r="B1524" s="217" t="s">
        <v>23</v>
      </c>
      <c r="C1524" s="217" t="s">
        <v>184</v>
      </c>
      <c r="D1524" s="217" t="s">
        <v>183</v>
      </c>
      <c r="E1524" s="217" t="s">
        <v>471</v>
      </c>
      <c r="F1524" s="217" t="s">
        <v>472</v>
      </c>
      <c r="G1524" s="217" t="s">
        <v>638</v>
      </c>
      <c r="H1524" s="217" t="s">
        <v>1533</v>
      </c>
      <c r="I1524" s="217" t="s">
        <v>616</v>
      </c>
      <c r="J1524" s="217" t="s">
        <v>1856</v>
      </c>
      <c r="K1524" s="217">
        <v>5</v>
      </c>
      <c r="L1524" s="217">
        <v>31</v>
      </c>
      <c r="M1524" s="217" t="s">
        <v>637</v>
      </c>
      <c r="N1524" s="217" t="s">
        <v>2147</v>
      </c>
      <c r="O1524" s="217" t="s">
        <v>141</v>
      </c>
      <c r="P1524" s="217" t="s">
        <v>144</v>
      </c>
      <c r="Q1524" s="217" t="s">
        <v>145</v>
      </c>
      <c r="R1524" s="217" t="s">
        <v>144</v>
      </c>
      <c r="S1524" s="217" t="s">
        <v>639</v>
      </c>
      <c r="T1524" s="217" t="s">
        <v>32</v>
      </c>
      <c r="U1524" s="217" t="s">
        <v>32</v>
      </c>
      <c r="V1524" s="217" t="s">
        <v>32</v>
      </c>
      <c r="W1524" s="217" t="s">
        <v>32</v>
      </c>
    </row>
    <row r="1525" spans="1:23" x14ac:dyDescent="0.25">
      <c r="A1525" s="217" t="s">
        <v>22</v>
      </c>
      <c r="B1525" s="217" t="s">
        <v>23</v>
      </c>
      <c r="C1525" s="217" t="s">
        <v>184</v>
      </c>
      <c r="D1525" s="217" t="s">
        <v>183</v>
      </c>
      <c r="E1525" s="217" t="s">
        <v>471</v>
      </c>
      <c r="F1525" s="217" t="s">
        <v>472</v>
      </c>
      <c r="G1525" s="217" t="s">
        <v>638</v>
      </c>
      <c r="H1525" s="217" t="s">
        <v>1533</v>
      </c>
      <c r="I1525" s="217" t="s">
        <v>616</v>
      </c>
      <c r="J1525" s="217" t="s">
        <v>1858</v>
      </c>
      <c r="K1525" s="217">
        <v>4</v>
      </c>
      <c r="L1525" s="217">
        <v>20</v>
      </c>
      <c r="M1525" s="217" t="s">
        <v>31</v>
      </c>
      <c r="N1525" s="217" t="s">
        <v>32</v>
      </c>
      <c r="O1525" s="217" t="s">
        <v>141</v>
      </c>
      <c r="P1525" s="217" t="s">
        <v>142</v>
      </c>
      <c r="Q1525" s="217" t="s">
        <v>143</v>
      </c>
      <c r="R1525" s="217" t="s">
        <v>142</v>
      </c>
      <c r="S1525" s="217" t="s">
        <v>619</v>
      </c>
      <c r="T1525" s="217" t="s">
        <v>32</v>
      </c>
      <c r="U1525" s="217" t="s">
        <v>32</v>
      </c>
      <c r="V1525" s="217" t="s">
        <v>32</v>
      </c>
      <c r="W1525" s="217" t="s">
        <v>32</v>
      </c>
    </row>
    <row r="1526" spans="1:23" x14ac:dyDescent="0.25">
      <c r="A1526" s="217" t="s">
        <v>22</v>
      </c>
      <c r="B1526" s="217" t="s">
        <v>23</v>
      </c>
      <c r="C1526" s="217" t="s">
        <v>184</v>
      </c>
      <c r="D1526" s="217" t="s">
        <v>183</v>
      </c>
      <c r="E1526" s="217" t="s">
        <v>471</v>
      </c>
      <c r="F1526" s="217" t="s">
        <v>472</v>
      </c>
      <c r="G1526" s="217" t="s">
        <v>638</v>
      </c>
      <c r="H1526" s="217" t="s">
        <v>1533</v>
      </c>
      <c r="I1526" s="217" t="s">
        <v>616</v>
      </c>
      <c r="J1526" s="217" t="s">
        <v>1854</v>
      </c>
      <c r="K1526" s="217">
        <v>16</v>
      </c>
      <c r="L1526" s="217">
        <v>68</v>
      </c>
      <c r="M1526" s="217" t="s">
        <v>31</v>
      </c>
      <c r="N1526" s="217" t="s">
        <v>32</v>
      </c>
      <c r="O1526" s="217" t="s">
        <v>141</v>
      </c>
      <c r="P1526" s="217" t="s">
        <v>142</v>
      </c>
      <c r="Q1526" s="217" t="s">
        <v>143</v>
      </c>
      <c r="R1526" s="217" t="s">
        <v>142</v>
      </c>
      <c r="S1526" s="217" t="s">
        <v>1541</v>
      </c>
      <c r="T1526" s="217" t="s">
        <v>32</v>
      </c>
      <c r="U1526" s="217" t="s">
        <v>32</v>
      </c>
      <c r="V1526" s="217" t="s">
        <v>32</v>
      </c>
      <c r="W1526" s="217" t="s">
        <v>32</v>
      </c>
    </row>
    <row r="1527" spans="1:23" x14ac:dyDescent="0.25">
      <c r="A1527" s="217" t="s">
        <v>22</v>
      </c>
      <c r="B1527" s="217" t="s">
        <v>23</v>
      </c>
      <c r="C1527" s="217" t="s">
        <v>218</v>
      </c>
      <c r="D1527" s="217" t="s">
        <v>217</v>
      </c>
      <c r="E1527" s="217" t="s">
        <v>220</v>
      </c>
      <c r="F1527" s="217" t="s">
        <v>219</v>
      </c>
      <c r="G1527" s="217" t="s">
        <v>225</v>
      </c>
      <c r="H1527" s="217" t="s">
        <v>1534</v>
      </c>
      <c r="I1527" s="217" t="s">
        <v>616</v>
      </c>
      <c r="J1527" s="217" t="s">
        <v>1855</v>
      </c>
      <c r="K1527" s="217">
        <v>2</v>
      </c>
      <c r="L1527" s="217">
        <v>9</v>
      </c>
      <c r="M1527" s="217" t="s">
        <v>31</v>
      </c>
      <c r="N1527" s="217" t="s">
        <v>32</v>
      </c>
      <c r="O1527" s="217" t="s">
        <v>141</v>
      </c>
      <c r="P1527" s="217" t="s">
        <v>142</v>
      </c>
      <c r="Q1527" s="217" t="s">
        <v>143</v>
      </c>
      <c r="R1527" s="217" t="s">
        <v>142</v>
      </c>
      <c r="S1527" s="217" t="s">
        <v>642</v>
      </c>
      <c r="T1527" s="217" t="s">
        <v>32</v>
      </c>
      <c r="U1527" s="217" t="s">
        <v>32</v>
      </c>
      <c r="V1527" s="217" t="s">
        <v>32</v>
      </c>
      <c r="W1527" s="217" t="s">
        <v>32</v>
      </c>
    </row>
    <row r="1528" spans="1:23" x14ac:dyDescent="0.25">
      <c r="A1528" s="217" t="s">
        <v>22</v>
      </c>
      <c r="B1528" s="217" t="s">
        <v>23</v>
      </c>
      <c r="C1528" s="217" t="s">
        <v>218</v>
      </c>
      <c r="D1528" s="217" t="s">
        <v>217</v>
      </c>
      <c r="E1528" s="217" t="s">
        <v>497</v>
      </c>
      <c r="F1528" s="217" t="s">
        <v>498</v>
      </c>
      <c r="G1528" s="217" t="s">
        <v>640</v>
      </c>
      <c r="H1528" s="217" t="s">
        <v>1535</v>
      </c>
      <c r="I1528" s="217" t="s">
        <v>616</v>
      </c>
      <c r="J1528" s="217" t="s">
        <v>1856</v>
      </c>
      <c r="K1528" s="217">
        <v>1</v>
      </c>
      <c r="L1528" s="217">
        <v>11</v>
      </c>
      <c r="M1528" s="217" t="s">
        <v>31</v>
      </c>
      <c r="N1528" s="217" t="s">
        <v>32</v>
      </c>
      <c r="O1528" s="217" t="s">
        <v>141</v>
      </c>
      <c r="P1528" s="217" t="s">
        <v>142</v>
      </c>
      <c r="Q1528" s="217" t="s">
        <v>143</v>
      </c>
      <c r="R1528" s="217" t="s">
        <v>142</v>
      </c>
      <c r="S1528" s="217" t="s">
        <v>619</v>
      </c>
      <c r="T1528" s="217" t="s">
        <v>32</v>
      </c>
      <c r="U1528" s="217" t="s">
        <v>32</v>
      </c>
      <c r="V1528" s="217" t="s">
        <v>32</v>
      </c>
      <c r="W1528" s="217" t="s">
        <v>32</v>
      </c>
    </row>
    <row r="1529" spans="1:23" x14ac:dyDescent="0.25">
      <c r="A1529" s="217" t="s">
        <v>22</v>
      </c>
      <c r="B1529" s="217" t="s">
        <v>23</v>
      </c>
      <c r="C1529" s="217" t="s">
        <v>37</v>
      </c>
      <c r="D1529" s="217" t="s">
        <v>36</v>
      </c>
      <c r="E1529" s="217" t="s">
        <v>236</v>
      </c>
      <c r="F1529" s="217" t="s">
        <v>235</v>
      </c>
      <c r="G1529" s="217" t="s">
        <v>643</v>
      </c>
      <c r="H1529" s="217" t="s">
        <v>1536</v>
      </c>
      <c r="I1529" s="217" t="s">
        <v>616</v>
      </c>
      <c r="J1529" s="217" t="s">
        <v>1855</v>
      </c>
      <c r="K1529" s="217">
        <v>10</v>
      </c>
      <c r="L1529" s="217">
        <v>55</v>
      </c>
      <c r="M1529" s="217" t="s">
        <v>31</v>
      </c>
      <c r="N1529" s="217" t="s">
        <v>32</v>
      </c>
      <c r="O1529" s="217" t="s">
        <v>141</v>
      </c>
      <c r="P1529" s="217" t="s">
        <v>142</v>
      </c>
      <c r="Q1529" s="217" t="s">
        <v>143</v>
      </c>
      <c r="R1529" s="217" t="s">
        <v>142</v>
      </c>
      <c r="S1529" s="217" t="s">
        <v>642</v>
      </c>
      <c r="T1529" s="217" t="s">
        <v>32</v>
      </c>
      <c r="U1529" s="217" t="s">
        <v>32</v>
      </c>
      <c r="V1529" s="217" t="s">
        <v>32</v>
      </c>
      <c r="W1529" s="217" t="s">
        <v>32</v>
      </c>
    </row>
    <row r="1530" spans="1:23" x14ac:dyDescent="0.25">
      <c r="A1530" s="217" t="s">
        <v>22</v>
      </c>
      <c r="B1530" s="217" t="s">
        <v>23</v>
      </c>
      <c r="C1530" s="217" t="s">
        <v>37</v>
      </c>
      <c r="D1530" s="217" t="s">
        <v>36</v>
      </c>
      <c r="E1530" s="217" t="s">
        <v>236</v>
      </c>
      <c r="F1530" s="217" t="s">
        <v>235</v>
      </c>
      <c r="G1530" s="217" t="s">
        <v>643</v>
      </c>
      <c r="H1530" s="217" t="s">
        <v>1536</v>
      </c>
      <c r="I1530" s="217" t="s">
        <v>616</v>
      </c>
      <c r="J1530" s="217" t="s">
        <v>1856</v>
      </c>
      <c r="K1530" s="217">
        <v>6</v>
      </c>
      <c r="L1530" s="217">
        <v>35</v>
      </c>
      <c r="M1530" s="217" t="s">
        <v>31</v>
      </c>
      <c r="N1530" s="217" t="s">
        <v>32</v>
      </c>
      <c r="O1530" s="217" t="s">
        <v>141</v>
      </c>
      <c r="P1530" s="217" t="s">
        <v>142</v>
      </c>
      <c r="Q1530" s="217" t="s">
        <v>143</v>
      </c>
      <c r="R1530" s="217" t="s">
        <v>142</v>
      </c>
      <c r="S1530" s="217" t="s">
        <v>642</v>
      </c>
      <c r="T1530" s="217" t="s">
        <v>32</v>
      </c>
      <c r="U1530" s="217" t="s">
        <v>32</v>
      </c>
      <c r="V1530" s="217" t="s">
        <v>32</v>
      </c>
      <c r="W1530" s="217" t="s">
        <v>32</v>
      </c>
    </row>
    <row r="1531" spans="1:23" x14ac:dyDescent="0.25">
      <c r="A1531" s="217" t="s">
        <v>22</v>
      </c>
      <c r="B1531" s="217" t="s">
        <v>23</v>
      </c>
      <c r="C1531" s="217" t="s">
        <v>37</v>
      </c>
      <c r="D1531" s="217" t="s">
        <v>36</v>
      </c>
      <c r="E1531" s="217" t="s">
        <v>547</v>
      </c>
      <c r="F1531" s="217" t="s">
        <v>548</v>
      </c>
      <c r="G1531" s="217" t="s">
        <v>552</v>
      </c>
      <c r="H1531" s="217" t="s">
        <v>1414</v>
      </c>
      <c r="I1531" s="217" t="s">
        <v>616</v>
      </c>
      <c r="J1531" s="217" t="s">
        <v>1858</v>
      </c>
      <c r="K1531" s="217">
        <v>1</v>
      </c>
      <c r="L1531" s="217">
        <v>3</v>
      </c>
      <c r="M1531" s="217" t="s">
        <v>31</v>
      </c>
      <c r="N1531" s="217" t="s">
        <v>32</v>
      </c>
      <c r="O1531" s="217" t="s">
        <v>141</v>
      </c>
      <c r="P1531" s="217" t="s">
        <v>142</v>
      </c>
      <c r="Q1531" s="217" t="s">
        <v>143</v>
      </c>
      <c r="R1531" s="217" t="s">
        <v>142</v>
      </c>
      <c r="S1531" s="217" t="s">
        <v>619</v>
      </c>
      <c r="T1531" s="217" t="s">
        <v>32</v>
      </c>
      <c r="U1531" s="217" t="s">
        <v>32</v>
      </c>
      <c r="V1531" s="217" t="s">
        <v>32</v>
      </c>
      <c r="W1531" s="217" t="s">
        <v>32</v>
      </c>
    </row>
    <row r="1532" spans="1:23" x14ac:dyDescent="0.25">
      <c r="A1532" s="217" t="s">
        <v>22</v>
      </c>
      <c r="B1532" s="217" t="s">
        <v>23</v>
      </c>
      <c r="C1532" s="217" t="s">
        <v>37</v>
      </c>
      <c r="D1532" s="217" t="s">
        <v>36</v>
      </c>
      <c r="E1532" s="217" t="s">
        <v>547</v>
      </c>
      <c r="F1532" s="217" t="s">
        <v>548</v>
      </c>
      <c r="G1532" s="217" t="s">
        <v>561</v>
      </c>
      <c r="H1532" s="217" t="s">
        <v>1423</v>
      </c>
      <c r="I1532" s="217" t="s">
        <v>616</v>
      </c>
      <c r="J1532" s="217" t="s">
        <v>1858</v>
      </c>
      <c r="K1532" s="217">
        <v>1</v>
      </c>
      <c r="L1532" s="217">
        <v>2</v>
      </c>
      <c r="M1532" s="217" t="s">
        <v>31</v>
      </c>
      <c r="N1532" s="217" t="s">
        <v>32</v>
      </c>
      <c r="O1532" s="217" t="s">
        <v>141</v>
      </c>
      <c r="P1532" s="217" t="s">
        <v>142</v>
      </c>
      <c r="Q1532" s="217" t="s">
        <v>143</v>
      </c>
      <c r="R1532" s="217" t="s">
        <v>142</v>
      </c>
      <c r="S1532" s="217" t="s">
        <v>619</v>
      </c>
      <c r="T1532" s="217" t="s">
        <v>32</v>
      </c>
      <c r="U1532" s="217" t="s">
        <v>32</v>
      </c>
      <c r="V1532" s="217" t="s">
        <v>32</v>
      </c>
      <c r="W1532" s="217" t="s">
        <v>32</v>
      </c>
    </row>
    <row r="1533" spans="1:23" x14ac:dyDescent="0.25">
      <c r="A1533" s="217" t="s">
        <v>22</v>
      </c>
      <c r="B1533" s="217" t="s">
        <v>23</v>
      </c>
      <c r="C1533" s="217" t="s">
        <v>37</v>
      </c>
      <c r="D1533" s="217" t="s">
        <v>36</v>
      </c>
      <c r="E1533" s="217" t="s">
        <v>547</v>
      </c>
      <c r="F1533" s="217" t="s">
        <v>548</v>
      </c>
      <c r="G1533" s="217" t="s">
        <v>565</v>
      </c>
      <c r="H1533" s="217" t="s">
        <v>1427</v>
      </c>
      <c r="I1533" s="217" t="s">
        <v>616</v>
      </c>
      <c r="J1533" s="217" t="s">
        <v>1858</v>
      </c>
      <c r="K1533" s="217">
        <v>3</v>
      </c>
      <c r="L1533" s="217">
        <v>11</v>
      </c>
      <c r="M1533" s="217" t="s">
        <v>31</v>
      </c>
      <c r="N1533" s="217" t="s">
        <v>32</v>
      </c>
      <c r="O1533" s="217" t="s">
        <v>141</v>
      </c>
      <c r="P1533" s="217" t="s">
        <v>142</v>
      </c>
      <c r="Q1533" s="217" t="s">
        <v>143</v>
      </c>
      <c r="R1533" s="217" t="s">
        <v>142</v>
      </c>
      <c r="S1533" s="217" t="s">
        <v>2054</v>
      </c>
      <c r="T1533" s="217" t="s">
        <v>32</v>
      </c>
      <c r="U1533" s="217" t="s">
        <v>32</v>
      </c>
      <c r="V1533" s="217" t="s">
        <v>32</v>
      </c>
      <c r="W1533" s="217" t="s">
        <v>32</v>
      </c>
    </row>
    <row r="1534" spans="1:23" x14ac:dyDescent="0.25">
      <c r="A1534" s="217" t="s">
        <v>22</v>
      </c>
      <c r="B1534" s="217" t="s">
        <v>23</v>
      </c>
      <c r="C1534" s="217" t="s">
        <v>37</v>
      </c>
      <c r="D1534" s="217" t="s">
        <v>36</v>
      </c>
      <c r="E1534" s="217" t="s">
        <v>547</v>
      </c>
      <c r="F1534" s="217" t="s">
        <v>548</v>
      </c>
      <c r="G1534" s="217" t="s">
        <v>566</v>
      </c>
      <c r="H1534" s="217" t="s">
        <v>1429</v>
      </c>
      <c r="I1534" s="217" t="s">
        <v>616</v>
      </c>
      <c r="J1534" s="217" t="s">
        <v>1858</v>
      </c>
      <c r="K1534" s="217">
        <v>2</v>
      </c>
      <c r="L1534" s="217">
        <v>7</v>
      </c>
      <c r="M1534" s="217" t="s">
        <v>31</v>
      </c>
      <c r="N1534" s="217" t="s">
        <v>32</v>
      </c>
      <c r="O1534" s="217" t="s">
        <v>141</v>
      </c>
      <c r="P1534" s="217" t="s">
        <v>142</v>
      </c>
      <c r="Q1534" s="217" t="s">
        <v>143</v>
      </c>
      <c r="R1534" s="217" t="s">
        <v>142</v>
      </c>
      <c r="S1534" s="217" t="s">
        <v>619</v>
      </c>
      <c r="T1534" s="217" t="s">
        <v>32</v>
      </c>
      <c r="U1534" s="217" t="s">
        <v>32</v>
      </c>
      <c r="V1534" s="217" t="s">
        <v>32</v>
      </c>
      <c r="W1534" s="217" t="s">
        <v>32</v>
      </c>
    </row>
    <row r="1535" spans="1:23" x14ac:dyDescent="0.25">
      <c r="A1535" s="217" t="s">
        <v>22</v>
      </c>
      <c r="B1535" s="217" t="s">
        <v>23</v>
      </c>
      <c r="C1535" s="217" t="s">
        <v>37</v>
      </c>
      <c r="D1535" s="217" t="s">
        <v>36</v>
      </c>
      <c r="E1535" s="217" t="s">
        <v>547</v>
      </c>
      <c r="F1535" s="217" t="s">
        <v>548</v>
      </c>
      <c r="G1535" s="217" t="s">
        <v>575</v>
      </c>
      <c r="H1535" s="217" t="s">
        <v>1439</v>
      </c>
      <c r="I1535" s="217" t="s">
        <v>616</v>
      </c>
      <c r="J1535" s="217" t="s">
        <v>1858</v>
      </c>
      <c r="K1535" s="217">
        <v>2</v>
      </c>
      <c r="L1535" s="217">
        <v>4</v>
      </c>
      <c r="M1535" s="217" t="s">
        <v>31</v>
      </c>
      <c r="N1535" s="217" t="s">
        <v>32</v>
      </c>
      <c r="O1535" s="217" t="s">
        <v>141</v>
      </c>
      <c r="P1535" s="217" t="s">
        <v>142</v>
      </c>
      <c r="Q1535" s="217" t="s">
        <v>143</v>
      </c>
      <c r="R1535" s="217" t="s">
        <v>142</v>
      </c>
      <c r="S1535" s="217" t="s">
        <v>619</v>
      </c>
      <c r="T1535" s="217" t="s">
        <v>32</v>
      </c>
      <c r="U1535" s="217" t="s">
        <v>32</v>
      </c>
      <c r="V1535" s="217" t="s">
        <v>32</v>
      </c>
      <c r="W1535" s="217" t="s">
        <v>32</v>
      </c>
    </row>
    <row r="1536" spans="1:23" x14ac:dyDescent="0.25">
      <c r="A1536" s="217" t="s">
        <v>22</v>
      </c>
      <c r="B1536" s="217" t="s">
        <v>23</v>
      </c>
      <c r="C1536" s="217" t="s">
        <v>37</v>
      </c>
      <c r="D1536" s="217" t="s">
        <v>36</v>
      </c>
      <c r="E1536" s="217" t="s">
        <v>547</v>
      </c>
      <c r="F1536" s="217" t="s">
        <v>548</v>
      </c>
      <c r="G1536" s="217" t="s">
        <v>576</v>
      </c>
      <c r="H1536" s="217" t="s">
        <v>1440</v>
      </c>
      <c r="I1536" s="217" t="s">
        <v>616</v>
      </c>
      <c r="J1536" s="217" t="s">
        <v>1858</v>
      </c>
      <c r="K1536" s="217">
        <v>1</v>
      </c>
      <c r="L1536" s="217">
        <v>3</v>
      </c>
      <c r="M1536" s="217" t="s">
        <v>31</v>
      </c>
      <c r="N1536" s="217" t="s">
        <v>32</v>
      </c>
      <c r="O1536" s="217" t="s">
        <v>141</v>
      </c>
      <c r="P1536" s="217" t="s">
        <v>142</v>
      </c>
      <c r="Q1536" s="217" t="s">
        <v>143</v>
      </c>
      <c r="R1536" s="217" t="s">
        <v>142</v>
      </c>
      <c r="S1536" s="217" t="s">
        <v>619</v>
      </c>
      <c r="T1536" s="217" t="s">
        <v>32</v>
      </c>
      <c r="U1536" s="217" t="s">
        <v>32</v>
      </c>
      <c r="V1536" s="217" t="s">
        <v>32</v>
      </c>
      <c r="W1536" s="217" t="s">
        <v>32</v>
      </c>
    </row>
    <row r="1537" spans="1:23" x14ac:dyDescent="0.25">
      <c r="A1537" s="217" t="s">
        <v>22</v>
      </c>
      <c r="B1537" s="217" t="s">
        <v>23</v>
      </c>
      <c r="C1537" s="217" t="s">
        <v>37</v>
      </c>
      <c r="D1537" s="217" t="s">
        <v>36</v>
      </c>
      <c r="E1537" s="217" t="s">
        <v>244</v>
      </c>
      <c r="F1537" s="217" t="s">
        <v>243</v>
      </c>
      <c r="G1537" s="217" t="s">
        <v>644</v>
      </c>
      <c r="H1537" s="217" t="s">
        <v>1537</v>
      </c>
      <c r="I1537" s="217" t="s">
        <v>616</v>
      </c>
      <c r="J1537" s="217" t="s">
        <v>1855</v>
      </c>
      <c r="K1537" s="217">
        <v>2</v>
      </c>
      <c r="L1537" s="217">
        <v>10</v>
      </c>
      <c r="M1537" s="217" t="s">
        <v>31</v>
      </c>
      <c r="N1537" s="217" t="s">
        <v>32</v>
      </c>
      <c r="O1537" s="217" t="s">
        <v>141</v>
      </c>
      <c r="P1537" s="217" t="s">
        <v>142</v>
      </c>
      <c r="Q1537" s="217" t="s">
        <v>143</v>
      </c>
      <c r="R1537" s="217" t="s">
        <v>142</v>
      </c>
      <c r="S1537" s="217" t="s">
        <v>642</v>
      </c>
      <c r="T1537" s="217" t="s">
        <v>32</v>
      </c>
      <c r="U1537" s="217" t="s">
        <v>32</v>
      </c>
      <c r="V1537" s="217" t="s">
        <v>32</v>
      </c>
      <c r="W1537" s="217" t="s">
        <v>32</v>
      </c>
    </row>
    <row r="1538" spans="1:23" x14ac:dyDescent="0.25">
      <c r="A1538" s="217" t="s">
        <v>22</v>
      </c>
      <c r="B1538" s="217" t="s">
        <v>23</v>
      </c>
      <c r="C1538" s="217" t="s">
        <v>37</v>
      </c>
      <c r="D1538" s="217" t="s">
        <v>36</v>
      </c>
      <c r="E1538" s="217" t="s">
        <v>244</v>
      </c>
      <c r="F1538" s="217" t="s">
        <v>243</v>
      </c>
      <c r="G1538" s="217" t="s">
        <v>644</v>
      </c>
      <c r="H1538" s="217" t="s">
        <v>1537</v>
      </c>
      <c r="I1538" s="217" t="s">
        <v>616</v>
      </c>
      <c r="J1538" s="217" t="s">
        <v>1856</v>
      </c>
      <c r="K1538" s="217">
        <v>4</v>
      </c>
      <c r="L1538" s="217">
        <v>25</v>
      </c>
      <c r="M1538" s="217" t="s">
        <v>31</v>
      </c>
      <c r="N1538" s="217" t="s">
        <v>32</v>
      </c>
      <c r="O1538" s="217" t="s">
        <v>141</v>
      </c>
      <c r="P1538" s="217" t="s">
        <v>142</v>
      </c>
      <c r="Q1538" s="217" t="s">
        <v>143</v>
      </c>
      <c r="R1538" s="217" t="s">
        <v>142</v>
      </c>
      <c r="S1538" s="217" t="s">
        <v>642</v>
      </c>
      <c r="T1538" s="217" t="s">
        <v>32</v>
      </c>
      <c r="U1538" s="217" t="s">
        <v>32</v>
      </c>
      <c r="V1538" s="217" t="s">
        <v>32</v>
      </c>
      <c r="W1538" s="217" t="s">
        <v>32</v>
      </c>
    </row>
    <row r="1539" spans="1:23" x14ac:dyDescent="0.25">
      <c r="A1539" s="217" t="s">
        <v>22</v>
      </c>
      <c r="B1539" s="217" t="s">
        <v>23</v>
      </c>
      <c r="C1539" s="217" t="s">
        <v>37</v>
      </c>
      <c r="D1539" s="217" t="s">
        <v>36</v>
      </c>
      <c r="E1539" s="217" t="s">
        <v>244</v>
      </c>
      <c r="F1539" s="217" t="s">
        <v>243</v>
      </c>
      <c r="G1539" s="217" t="s">
        <v>645</v>
      </c>
      <c r="H1539" s="217" t="s">
        <v>1538</v>
      </c>
      <c r="I1539" s="217" t="s">
        <v>616</v>
      </c>
      <c r="J1539" s="217" t="s">
        <v>1855</v>
      </c>
      <c r="K1539" s="217">
        <v>27</v>
      </c>
      <c r="L1539" s="217">
        <v>130</v>
      </c>
      <c r="M1539" s="217" t="s">
        <v>31</v>
      </c>
      <c r="N1539" s="217" t="s">
        <v>32</v>
      </c>
      <c r="O1539" s="217" t="s">
        <v>141</v>
      </c>
      <c r="P1539" s="217" t="s">
        <v>142</v>
      </c>
      <c r="Q1539" s="217" t="s">
        <v>143</v>
      </c>
      <c r="R1539" s="217" t="s">
        <v>142</v>
      </c>
      <c r="S1539" s="217" t="s">
        <v>642</v>
      </c>
      <c r="T1539" s="217" t="s">
        <v>32</v>
      </c>
      <c r="U1539" s="217" t="s">
        <v>32</v>
      </c>
      <c r="V1539" s="217" t="s">
        <v>32</v>
      </c>
      <c r="W1539" s="217" t="s">
        <v>32</v>
      </c>
    </row>
    <row r="1540" spans="1:23" x14ac:dyDescent="0.25">
      <c r="A1540" s="217" t="s">
        <v>22</v>
      </c>
      <c r="B1540" s="217" t="s">
        <v>23</v>
      </c>
      <c r="C1540" s="217" t="s">
        <v>37</v>
      </c>
      <c r="D1540" s="217" t="s">
        <v>36</v>
      </c>
      <c r="E1540" s="217" t="s">
        <v>244</v>
      </c>
      <c r="F1540" s="217" t="s">
        <v>243</v>
      </c>
      <c r="G1540" s="217" t="s">
        <v>645</v>
      </c>
      <c r="H1540" s="217" t="s">
        <v>1538</v>
      </c>
      <c r="I1540" s="217" t="s">
        <v>616</v>
      </c>
      <c r="J1540" s="217" t="s">
        <v>1856</v>
      </c>
      <c r="K1540" s="217">
        <v>3</v>
      </c>
      <c r="L1540" s="217">
        <v>22</v>
      </c>
      <c r="M1540" s="217" t="s">
        <v>31</v>
      </c>
      <c r="N1540" s="217" t="s">
        <v>32</v>
      </c>
      <c r="O1540" s="217" t="s">
        <v>141</v>
      </c>
      <c r="P1540" s="217" t="s">
        <v>142</v>
      </c>
      <c r="Q1540" s="217" t="s">
        <v>143</v>
      </c>
      <c r="R1540" s="217" t="s">
        <v>142</v>
      </c>
      <c r="S1540" s="217" t="s">
        <v>642</v>
      </c>
      <c r="T1540" s="217" t="s">
        <v>32</v>
      </c>
      <c r="U1540" s="217" t="s">
        <v>32</v>
      </c>
      <c r="V1540" s="217" t="s">
        <v>32</v>
      </c>
      <c r="W1540" s="217" t="s">
        <v>32</v>
      </c>
    </row>
    <row r="1541" spans="1:23" x14ac:dyDescent="0.25">
      <c r="A1541" s="217" t="s">
        <v>22</v>
      </c>
      <c r="B1541" s="217" t="s">
        <v>23</v>
      </c>
      <c r="C1541" s="217" t="s">
        <v>37</v>
      </c>
      <c r="D1541" s="217" t="s">
        <v>36</v>
      </c>
      <c r="E1541" s="217" t="s">
        <v>244</v>
      </c>
      <c r="F1541" s="217" t="s">
        <v>243</v>
      </c>
      <c r="G1541" s="217" t="s">
        <v>646</v>
      </c>
      <c r="H1541" s="217" t="s">
        <v>1539</v>
      </c>
      <c r="I1541" s="217" t="s">
        <v>616</v>
      </c>
      <c r="J1541" s="217" t="s">
        <v>1856</v>
      </c>
      <c r="K1541" s="217">
        <v>4</v>
      </c>
      <c r="L1541" s="217">
        <v>16</v>
      </c>
      <c r="M1541" s="217" t="s">
        <v>31</v>
      </c>
      <c r="N1541" s="217" t="s">
        <v>32</v>
      </c>
      <c r="O1541" s="217" t="s">
        <v>141</v>
      </c>
      <c r="P1541" s="217" t="s">
        <v>142</v>
      </c>
      <c r="Q1541" s="217" t="s">
        <v>143</v>
      </c>
      <c r="R1541" s="217" t="s">
        <v>142</v>
      </c>
      <c r="S1541" s="217" t="s">
        <v>642</v>
      </c>
      <c r="T1541" s="217" t="s">
        <v>32</v>
      </c>
      <c r="U1541" s="217" t="s">
        <v>32</v>
      </c>
      <c r="V1541" s="217" t="s">
        <v>32</v>
      </c>
      <c r="W1541" s="217" t="s">
        <v>32</v>
      </c>
    </row>
    <row r="1542" spans="1:23" x14ac:dyDescent="0.25">
      <c r="A1542" s="217" t="s">
        <v>22</v>
      </c>
      <c r="B1542" s="217" t="s">
        <v>23</v>
      </c>
      <c r="C1542" s="217" t="s">
        <v>37</v>
      </c>
      <c r="D1542" s="217" t="s">
        <v>36</v>
      </c>
      <c r="E1542" s="217" t="s">
        <v>244</v>
      </c>
      <c r="F1542" s="217" t="s">
        <v>243</v>
      </c>
      <c r="G1542" s="217" t="s">
        <v>646</v>
      </c>
      <c r="H1542" s="217" t="s">
        <v>1539</v>
      </c>
      <c r="I1542" s="217" t="s">
        <v>616</v>
      </c>
      <c r="J1542" s="217" t="s">
        <v>1857</v>
      </c>
      <c r="K1542" s="217">
        <v>1</v>
      </c>
      <c r="L1542" s="217">
        <v>4</v>
      </c>
      <c r="M1542" s="217" t="s">
        <v>31</v>
      </c>
      <c r="N1542" s="217" t="s">
        <v>32</v>
      </c>
      <c r="O1542" s="217" t="s">
        <v>141</v>
      </c>
      <c r="P1542" s="217" t="s">
        <v>142</v>
      </c>
      <c r="Q1542" s="217" t="s">
        <v>143</v>
      </c>
      <c r="R1542" s="217" t="s">
        <v>142</v>
      </c>
      <c r="S1542" s="217" t="s">
        <v>642</v>
      </c>
      <c r="T1542" s="217" t="s">
        <v>32</v>
      </c>
      <c r="U1542" s="217" t="s">
        <v>32</v>
      </c>
      <c r="V1542" s="217" t="s">
        <v>32</v>
      </c>
      <c r="W1542" s="217" t="s">
        <v>32</v>
      </c>
    </row>
    <row r="1543" spans="1:23" x14ac:dyDescent="0.25">
      <c r="A1543" s="217" t="s">
        <v>22</v>
      </c>
      <c r="B1543" s="217" t="s">
        <v>23</v>
      </c>
      <c r="C1543" s="217" t="s">
        <v>37</v>
      </c>
      <c r="D1543" s="217" t="s">
        <v>36</v>
      </c>
      <c r="E1543" s="217" t="s">
        <v>244</v>
      </c>
      <c r="F1543" s="217" t="s">
        <v>243</v>
      </c>
      <c r="G1543" s="217" t="s">
        <v>2043</v>
      </c>
      <c r="H1543" s="217" t="s">
        <v>2042</v>
      </c>
      <c r="I1543" s="217" t="s">
        <v>616</v>
      </c>
      <c r="J1543" s="217" t="s">
        <v>1857</v>
      </c>
      <c r="K1543" s="217">
        <v>2</v>
      </c>
      <c r="L1543" s="217">
        <v>8</v>
      </c>
      <c r="M1543" s="217" t="s">
        <v>31</v>
      </c>
      <c r="N1543" s="217" t="s">
        <v>32</v>
      </c>
      <c r="O1543" s="217" t="s">
        <v>141</v>
      </c>
      <c r="P1543" s="217" t="s">
        <v>142</v>
      </c>
      <c r="Q1543" s="217" t="s">
        <v>143</v>
      </c>
      <c r="R1543" s="217" t="s">
        <v>142</v>
      </c>
      <c r="S1543" s="217" t="s">
        <v>642</v>
      </c>
      <c r="T1543" s="217" t="s">
        <v>32</v>
      </c>
      <c r="U1543" s="217" t="s">
        <v>32</v>
      </c>
      <c r="V1543" s="217" t="s">
        <v>32</v>
      </c>
      <c r="W1543" s="217" t="s">
        <v>32</v>
      </c>
    </row>
    <row r="1544" spans="1:23" x14ac:dyDescent="0.25">
      <c r="A1544" s="217" t="s">
        <v>22</v>
      </c>
      <c r="B1544" s="217" t="s">
        <v>23</v>
      </c>
      <c r="C1544" s="217" t="s">
        <v>37</v>
      </c>
      <c r="D1544" s="217" t="s">
        <v>36</v>
      </c>
      <c r="E1544" s="217" t="s">
        <v>244</v>
      </c>
      <c r="F1544" s="217" t="s">
        <v>243</v>
      </c>
      <c r="G1544" s="217" t="s">
        <v>647</v>
      </c>
      <c r="H1544" s="217" t="s">
        <v>1542</v>
      </c>
      <c r="I1544" s="217" t="s">
        <v>616</v>
      </c>
      <c r="J1544" s="217" t="s">
        <v>1855</v>
      </c>
      <c r="K1544" s="217">
        <v>4</v>
      </c>
      <c r="L1544" s="217">
        <v>22</v>
      </c>
      <c r="M1544" s="217" t="s">
        <v>31</v>
      </c>
      <c r="N1544" s="217" t="s">
        <v>32</v>
      </c>
      <c r="O1544" s="217" t="s">
        <v>141</v>
      </c>
      <c r="P1544" s="217" t="s">
        <v>142</v>
      </c>
      <c r="Q1544" s="217" t="s">
        <v>143</v>
      </c>
      <c r="R1544" s="217" t="s">
        <v>142</v>
      </c>
      <c r="S1544" s="217" t="s">
        <v>642</v>
      </c>
      <c r="T1544" s="217" t="s">
        <v>32</v>
      </c>
      <c r="U1544" s="217" t="s">
        <v>32</v>
      </c>
      <c r="V1544" s="217" t="s">
        <v>32</v>
      </c>
      <c r="W1544" s="217" t="s">
        <v>32</v>
      </c>
    </row>
    <row r="1545" spans="1:23" x14ac:dyDescent="0.25">
      <c r="A1545" s="217" t="s">
        <v>22</v>
      </c>
      <c r="B1545" s="217" t="s">
        <v>23</v>
      </c>
      <c r="C1545" s="217" t="s">
        <v>37</v>
      </c>
      <c r="D1545" s="217" t="s">
        <v>36</v>
      </c>
      <c r="E1545" s="217" t="s">
        <v>244</v>
      </c>
      <c r="F1545" s="217" t="s">
        <v>243</v>
      </c>
      <c r="G1545" s="217" t="s">
        <v>647</v>
      </c>
      <c r="H1545" s="217" t="s">
        <v>1542</v>
      </c>
      <c r="I1545" s="217" t="s">
        <v>616</v>
      </c>
      <c r="J1545" s="217" t="s">
        <v>1856</v>
      </c>
      <c r="K1545" s="217">
        <v>5</v>
      </c>
      <c r="L1545" s="217">
        <v>24</v>
      </c>
      <c r="M1545" s="217" t="s">
        <v>31</v>
      </c>
      <c r="N1545" s="217" t="s">
        <v>32</v>
      </c>
      <c r="O1545" s="217" t="s">
        <v>141</v>
      </c>
      <c r="P1545" s="217" t="s">
        <v>142</v>
      </c>
      <c r="Q1545" s="217" t="s">
        <v>143</v>
      </c>
      <c r="R1545" s="217" t="s">
        <v>142</v>
      </c>
      <c r="S1545" s="217" t="s">
        <v>642</v>
      </c>
      <c r="T1545" s="217" t="s">
        <v>32</v>
      </c>
      <c r="U1545" s="217" t="s">
        <v>32</v>
      </c>
      <c r="V1545" s="217" t="s">
        <v>32</v>
      </c>
      <c r="W1545" s="217" t="s">
        <v>32</v>
      </c>
    </row>
    <row r="1546" spans="1:23" x14ac:dyDescent="0.25">
      <c r="A1546" s="217" t="s">
        <v>22</v>
      </c>
      <c r="B1546" s="217" t="s">
        <v>23</v>
      </c>
      <c r="C1546" s="217" t="s">
        <v>37</v>
      </c>
      <c r="D1546" s="217" t="s">
        <v>36</v>
      </c>
      <c r="E1546" s="217" t="s">
        <v>244</v>
      </c>
      <c r="F1546" s="217" t="s">
        <v>243</v>
      </c>
      <c r="G1546" s="217" t="s">
        <v>245</v>
      </c>
      <c r="H1546" s="217" t="s">
        <v>1543</v>
      </c>
      <c r="I1546" s="217" t="s">
        <v>616</v>
      </c>
      <c r="J1546" s="217" t="s">
        <v>1855</v>
      </c>
      <c r="K1546" s="217">
        <v>16</v>
      </c>
      <c r="L1546" s="217">
        <v>137</v>
      </c>
      <c r="M1546" s="217" t="s">
        <v>31</v>
      </c>
      <c r="N1546" s="217" t="s">
        <v>32</v>
      </c>
      <c r="O1546" s="217" t="s">
        <v>141</v>
      </c>
      <c r="P1546" s="217" t="s">
        <v>142</v>
      </c>
      <c r="Q1546" s="217" t="s">
        <v>143</v>
      </c>
      <c r="R1546" s="217" t="s">
        <v>142</v>
      </c>
      <c r="S1546" s="217" t="s">
        <v>642</v>
      </c>
      <c r="T1546" s="217" t="s">
        <v>32</v>
      </c>
      <c r="U1546" s="217" t="s">
        <v>32</v>
      </c>
      <c r="V1546" s="217" t="s">
        <v>32</v>
      </c>
      <c r="W1546" s="217" t="s">
        <v>32</v>
      </c>
    </row>
    <row r="1547" spans="1:23" x14ac:dyDescent="0.25">
      <c r="A1547" s="217" t="s">
        <v>22</v>
      </c>
      <c r="B1547" s="217" t="s">
        <v>23</v>
      </c>
      <c r="C1547" s="217" t="s">
        <v>37</v>
      </c>
      <c r="D1547" s="217" t="s">
        <v>36</v>
      </c>
      <c r="E1547" s="217" t="s">
        <v>244</v>
      </c>
      <c r="F1547" s="217" t="s">
        <v>243</v>
      </c>
      <c r="G1547" s="217" t="s">
        <v>245</v>
      </c>
      <c r="H1547" s="217" t="s">
        <v>1543</v>
      </c>
      <c r="I1547" s="217" t="s">
        <v>616</v>
      </c>
      <c r="J1547" s="217" t="s">
        <v>1856</v>
      </c>
      <c r="K1547" s="217">
        <v>12</v>
      </c>
      <c r="L1547" s="217">
        <v>129</v>
      </c>
      <c r="M1547" s="217" t="s">
        <v>31</v>
      </c>
      <c r="N1547" s="217" t="s">
        <v>32</v>
      </c>
      <c r="O1547" s="217" t="s">
        <v>141</v>
      </c>
      <c r="P1547" s="217" t="s">
        <v>142</v>
      </c>
      <c r="Q1547" s="217" t="s">
        <v>143</v>
      </c>
      <c r="R1547" s="217" t="s">
        <v>142</v>
      </c>
      <c r="S1547" s="217" t="s">
        <v>642</v>
      </c>
      <c r="T1547" s="217" t="s">
        <v>32</v>
      </c>
      <c r="U1547" s="217" t="s">
        <v>32</v>
      </c>
      <c r="V1547" s="217" t="s">
        <v>32</v>
      </c>
      <c r="W1547" s="217" t="s">
        <v>32</v>
      </c>
    </row>
    <row r="1548" spans="1:23" x14ac:dyDescent="0.25">
      <c r="A1548" s="217" t="s">
        <v>22</v>
      </c>
      <c r="B1548" s="217" t="s">
        <v>23</v>
      </c>
      <c r="C1548" s="217" t="s">
        <v>37</v>
      </c>
      <c r="D1548" s="217" t="s">
        <v>36</v>
      </c>
      <c r="E1548" s="217" t="s">
        <v>244</v>
      </c>
      <c r="F1548" s="217" t="s">
        <v>243</v>
      </c>
      <c r="G1548" s="217" t="s">
        <v>245</v>
      </c>
      <c r="H1548" s="217" t="s">
        <v>1543</v>
      </c>
      <c r="I1548" s="217" t="s">
        <v>616</v>
      </c>
      <c r="J1548" s="217" t="s">
        <v>1857</v>
      </c>
      <c r="K1548" s="217">
        <v>2</v>
      </c>
      <c r="L1548" s="217">
        <v>4</v>
      </c>
      <c r="M1548" s="217" t="s">
        <v>31</v>
      </c>
      <c r="N1548" s="217" t="s">
        <v>32</v>
      </c>
      <c r="O1548" s="217" t="s">
        <v>141</v>
      </c>
      <c r="P1548" s="217" t="s">
        <v>142</v>
      </c>
      <c r="Q1548" s="217" t="s">
        <v>143</v>
      </c>
      <c r="R1548" s="217" t="s">
        <v>142</v>
      </c>
      <c r="S1548" s="217" t="s">
        <v>642</v>
      </c>
      <c r="T1548" s="217" t="s">
        <v>32</v>
      </c>
      <c r="U1548" s="217" t="s">
        <v>32</v>
      </c>
      <c r="V1548" s="217" t="s">
        <v>32</v>
      </c>
      <c r="W1548" s="217" t="s">
        <v>32</v>
      </c>
    </row>
    <row r="1549" spans="1:23" x14ac:dyDescent="0.25">
      <c r="A1549" s="217" t="s">
        <v>22</v>
      </c>
      <c r="B1549" s="217" t="s">
        <v>23</v>
      </c>
      <c r="C1549" s="217" t="s">
        <v>37</v>
      </c>
      <c r="D1549" s="217" t="s">
        <v>36</v>
      </c>
      <c r="E1549" s="217" t="s">
        <v>244</v>
      </c>
      <c r="F1549" s="217" t="s">
        <v>243</v>
      </c>
      <c r="G1549" s="217" t="s">
        <v>648</v>
      </c>
      <c r="H1549" s="217" t="s">
        <v>1544</v>
      </c>
      <c r="I1549" s="217" t="s">
        <v>616</v>
      </c>
      <c r="J1549" s="217" t="s">
        <v>1855</v>
      </c>
      <c r="K1549" s="217">
        <v>6</v>
      </c>
      <c r="L1549" s="217">
        <v>30</v>
      </c>
      <c r="M1549" s="217" t="s">
        <v>31</v>
      </c>
      <c r="N1549" s="217" t="s">
        <v>32</v>
      </c>
      <c r="O1549" s="217" t="s">
        <v>141</v>
      </c>
      <c r="P1549" s="217" t="s">
        <v>142</v>
      </c>
      <c r="Q1549" s="217" t="s">
        <v>143</v>
      </c>
      <c r="R1549" s="217" t="s">
        <v>142</v>
      </c>
      <c r="S1549" s="217" t="s">
        <v>642</v>
      </c>
      <c r="T1549" s="217" t="s">
        <v>32</v>
      </c>
      <c r="U1549" s="217" t="s">
        <v>32</v>
      </c>
      <c r="V1549" s="217" t="s">
        <v>32</v>
      </c>
      <c r="W1549" s="217" t="s">
        <v>32</v>
      </c>
    </row>
    <row r="1550" spans="1:23" x14ac:dyDescent="0.25">
      <c r="A1550" s="217" t="s">
        <v>22</v>
      </c>
      <c r="B1550" s="217" t="s">
        <v>23</v>
      </c>
      <c r="C1550" s="217" t="s">
        <v>37</v>
      </c>
      <c r="D1550" s="217" t="s">
        <v>36</v>
      </c>
      <c r="E1550" s="217" t="s">
        <v>244</v>
      </c>
      <c r="F1550" s="217" t="s">
        <v>243</v>
      </c>
      <c r="G1550" s="217" t="s">
        <v>648</v>
      </c>
      <c r="H1550" s="217" t="s">
        <v>1544</v>
      </c>
      <c r="I1550" s="217" t="s">
        <v>616</v>
      </c>
      <c r="J1550" s="217" t="s">
        <v>1856</v>
      </c>
      <c r="K1550" s="217">
        <v>3</v>
      </c>
      <c r="L1550" s="217">
        <v>12</v>
      </c>
      <c r="M1550" s="217" t="s">
        <v>31</v>
      </c>
      <c r="N1550" s="217" t="s">
        <v>32</v>
      </c>
      <c r="O1550" s="217" t="s">
        <v>141</v>
      </c>
      <c r="P1550" s="217" t="s">
        <v>142</v>
      </c>
      <c r="Q1550" s="217" t="s">
        <v>143</v>
      </c>
      <c r="R1550" s="217" t="s">
        <v>142</v>
      </c>
      <c r="S1550" s="217" t="s">
        <v>642</v>
      </c>
      <c r="T1550" s="217" t="s">
        <v>32</v>
      </c>
      <c r="U1550" s="217" t="s">
        <v>32</v>
      </c>
      <c r="V1550" s="217" t="s">
        <v>32</v>
      </c>
      <c r="W1550" s="217" t="s">
        <v>32</v>
      </c>
    </row>
    <row r="1551" spans="1:23" x14ac:dyDescent="0.25">
      <c r="A1551" s="217" t="s">
        <v>22</v>
      </c>
      <c r="B1551" s="217" t="s">
        <v>23</v>
      </c>
      <c r="C1551" s="217" t="s">
        <v>37</v>
      </c>
      <c r="D1551" s="217" t="s">
        <v>36</v>
      </c>
      <c r="E1551" s="217" t="s">
        <v>244</v>
      </c>
      <c r="F1551" s="217" t="s">
        <v>243</v>
      </c>
      <c r="G1551" s="217" t="s">
        <v>649</v>
      </c>
      <c r="H1551" s="217" t="s">
        <v>1545</v>
      </c>
      <c r="I1551" s="217" t="s">
        <v>616</v>
      </c>
      <c r="J1551" s="217" t="s">
        <v>1855</v>
      </c>
      <c r="K1551" s="217">
        <v>10</v>
      </c>
      <c r="L1551" s="217">
        <v>82</v>
      </c>
      <c r="M1551" s="217" t="s">
        <v>31</v>
      </c>
      <c r="N1551" s="217" t="s">
        <v>32</v>
      </c>
      <c r="O1551" s="217" t="s">
        <v>141</v>
      </c>
      <c r="P1551" s="217" t="s">
        <v>142</v>
      </c>
      <c r="Q1551" s="217" t="s">
        <v>143</v>
      </c>
      <c r="R1551" s="217" t="s">
        <v>142</v>
      </c>
      <c r="S1551" s="217" t="s">
        <v>642</v>
      </c>
      <c r="T1551" s="217" t="s">
        <v>32</v>
      </c>
      <c r="U1551" s="217" t="s">
        <v>32</v>
      </c>
      <c r="V1551" s="217" t="s">
        <v>32</v>
      </c>
      <c r="W1551" s="217" t="s">
        <v>32</v>
      </c>
    </row>
    <row r="1552" spans="1:23" x14ac:dyDescent="0.25">
      <c r="A1552" s="217" t="s">
        <v>22</v>
      </c>
      <c r="B1552" s="217" t="s">
        <v>23</v>
      </c>
      <c r="C1552" s="217" t="s">
        <v>37</v>
      </c>
      <c r="D1552" s="217" t="s">
        <v>36</v>
      </c>
      <c r="E1552" s="217" t="s">
        <v>244</v>
      </c>
      <c r="F1552" s="217" t="s">
        <v>243</v>
      </c>
      <c r="G1552" s="217" t="s">
        <v>649</v>
      </c>
      <c r="H1552" s="217" t="s">
        <v>1545</v>
      </c>
      <c r="I1552" s="217" t="s">
        <v>616</v>
      </c>
      <c r="J1552" s="217" t="s">
        <v>1856</v>
      </c>
      <c r="K1552" s="217">
        <v>5</v>
      </c>
      <c r="L1552" s="217">
        <v>18</v>
      </c>
      <c r="M1552" s="217" t="s">
        <v>31</v>
      </c>
      <c r="N1552" s="217" t="s">
        <v>32</v>
      </c>
      <c r="O1552" s="217" t="s">
        <v>141</v>
      </c>
      <c r="P1552" s="217" t="s">
        <v>142</v>
      </c>
      <c r="Q1552" s="217" t="s">
        <v>143</v>
      </c>
      <c r="R1552" s="217" t="s">
        <v>142</v>
      </c>
      <c r="S1552" s="217" t="s">
        <v>642</v>
      </c>
      <c r="T1552" s="217" t="s">
        <v>32</v>
      </c>
      <c r="U1552" s="217" t="s">
        <v>32</v>
      </c>
      <c r="V1552" s="217" t="s">
        <v>32</v>
      </c>
      <c r="W1552" s="217" t="s">
        <v>32</v>
      </c>
    </row>
    <row r="1553" spans="1:23" x14ac:dyDescent="0.25">
      <c r="A1553" s="217" t="s">
        <v>22</v>
      </c>
      <c r="B1553" s="217" t="s">
        <v>23</v>
      </c>
      <c r="C1553" s="217" t="s">
        <v>37</v>
      </c>
      <c r="D1553" s="217" t="s">
        <v>36</v>
      </c>
      <c r="E1553" s="217" t="s">
        <v>244</v>
      </c>
      <c r="F1553" s="217" t="s">
        <v>243</v>
      </c>
      <c r="G1553" s="217" t="s">
        <v>650</v>
      </c>
      <c r="H1553" s="217" t="s">
        <v>1546</v>
      </c>
      <c r="I1553" s="217" t="s">
        <v>616</v>
      </c>
      <c r="J1553" s="217" t="s">
        <v>1855</v>
      </c>
      <c r="K1553" s="217">
        <v>12</v>
      </c>
      <c r="L1553" s="217">
        <v>58</v>
      </c>
      <c r="M1553" s="217" t="s">
        <v>31</v>
      </c>
      <c r="N1553" s="217" t="s">
        <v>32</v>
      </c>
      <c r="O1553" s="217" t="s">
        <v>141</v>
      </c>
      <c r="P1553" s="217" t="s">
        <v>142</v>
      </c>
      <c r="Q1553" s="217" t="s">
        <v>143</v>
      </c>
      <c r="R1553" s="217" t="s">
        <v>142</v>
      </c>
      <c r="S1553" s="217" t="s">
        <v>642</v>
      </c>
      <c r="T1553" s="217" t="s">
        <v>32</v>
      </c>
      <c r="U1553" s="217" t="s">
        <v>32</v>
      </c>
      <c r="V1553" s="217" t="s">
        <v>32</v>
      </c>
      <c r="W1553" s="217" t="s">
        <v>32</v>
      </c>
    </row>
    <row r="1554" spans="1:23" x14ac:dyDescent="0.25">
      <c r="A1554" s="217" t="s">
        <v>22</v>
      </c>
      <c r="B1554" s="217" t="s">
        <v>23</v>
      </c>
      <c r="C1554" s="217" t="s">
        <v>37</v>
      </c>
      <c r="D1554" s="217" t="s">
        <v>36</v>
      </c>
      <c r="E1554" s="217" t="s">
        <v>244</v>
      </c>
      <c r="F1554" s="217" t="s">
        <v>243</v>
      </c>
      <c r="G1554" s="217" t="s">
        <v>650</v>
      </c>
      <c r="H1554" s="217" t="s">
        <v>1546</v>
      </c>
      <c r="I1554" s="217" t="s">
        <v>616</v>
      </c>
      <c r="J1554" s="217" t="s">
        <v>1856</v>
      </c>
      <c r="K1554" s="217">
        <v>8</v>
      </c>
      <c r="L1554" s="217">
        <v>37</v>
      </c>
      <c r="M1554" s="217" t="s">
        <v>31</v>
      </c>
      <c r="N1554" s="217" t="s">
        <v>32</v>
      </c>
      <c r="O1554" s="217" t="s">
        <v>141</v>
      </c>
      <c r="P1554" s="217" t="s">
        <v>142</v>
      </c>
      <c r="Q1554" s="217" t="s">
        <v>143</v>
      </c>
      <c r="R1554" s="217" t="s">
        <v>142</v>
      </c>
      <c r="S1554" s="217" t="s">
        <v>642</v>
      </c>
      <c r="T1554" s="217" t="s">
        <v>32</v>
      </c>
      <c r="U1554" s="217" t="s">
        <v>32</v>
      </c>
      <c r="V1554" s="217" t="s">
        <v>32</v>
      </c>
      <c r="W1554" s="217" t="s">
        <v>32</v>
      </c>
    </row>
    <row r="1555" spans="1:23" x14ac:dyDescent="0.25">
      <c r="A1555" s="217" t="s">
        <v>22</v>
      </c>
      <c r="B1555" s="217" t="s">
        <v>23</v>
      </c>
      <c r="C1555" s="217" t="s">
        <v>37</v>
      </c>
      <c r="D1555" s="217" t="s">
        <v>36</v>
      </c>
      <c r="E1555" s="217" t="s">
        <v>244</v>
      </c>
      <c r="F1555" s="217" t="s">
        <v>243</v>
      </c>
      <c r="G1555" s="217" t="s">
        <v>650</v>
      </c>
      <c r="H1555" s="217" t="s">
        <v>1546</v>
      </c>
      <c r="I1555" s="217" t="s">
        <v>616</v>
      </c>
      <c r="J1555" s="217" t="s">
        <v>1857</v>
      </c>
      <c r="K1555" s="217">
        <v>2</v>
      </c>
      <c r="L1555" s="217">
        <v>8</v>
      </c>
      <c r="M1555" s="217" t="s">
        <v>31</v>
      </c>
      <c r="N1555" s="217" t="s">
        <v>32</v>
      </c>
      <c r="O1555" s="217" t="s">
        <v>141</v>
      </c>
      <c r="P1555" s="217" t="s">
        <v>142</v>
      </c>
      <c r="Q1555" s="217" t="s">
        <v>143</v>
      </c>
      <c r="R1555" s="217" t="s">
        <v>142</v>
      </c>
      <c r="S1555" s="217" t="s">
        <v>642</v>
      </c>
      <c r="T1555" s="217" t="s">
        <v>32</v>
      </c>
      <c r="U1555" s="217" t="s">
        <v>32</v>
      </c>
      <c r="V1555" s="217" t="s">
        <v>32</v>
      </c>
      <c r="W1555" s="217" t="s">
        <v>32</v>
      </c>
    </row>
    <row r="1556" spans="1:23" x14ac:dyDescent="0.25">
      <c r="A1556" s="217" t="s">
        <v>22</v>
      </c>
      <c r="B1556" s="217" t="s">
        <v>23</v>
      </c>
      <c r="C1556" s="217" t="s">
        <v>37</v>
      </c>
      <c r="D1556" s="217" t="s">
        <v>36</v>
      </c>
      <c r="E1556" s="217" t="s">
        <v>244</v>
      </c>
      <c r="F1556" s="217" t="s">
        <v>243</v>
      </c>
      <c r="G1556" s="217" t="s">
        <v>651</v>
      </c>
      <c r="H1556" s="217" t="s">
        <v>1547</v>
      </c>
      <c r="I1556" s="217" t="s">
        <v>616</v>
      </c>
      <c r="J1556" s="217" t="s">
        <v>1855</v>
      </c>
      <c r="K1556" s="217">
        <v>19</v>
      </c>
      <c r="L1556" s="217">
        <v>46</v>
      </c>
      <c r="M1556" s="217" t="s">
        <v>31</v>
      </c>
      <c r="N1556" s="217" t="s">
        <v>32</v>
      </c>
      <c r="O1556" s="217" t="s">
        <v>141</v>
      </c>
      <c r="P1556" s="217" t="s">
        <v>142</v>
      </c>
      <c r="Q1556" s="217" t="s">
        <v>143</v>
      </c>
      <c r="R1556" s="217" t="s">
        <v>142</v>
      </c>
      <c r="S1556" s="217" t="s">
        <v>642</v>
      </c>
      <c r="T1556" s="217" t="s">
        <v>32</v>
      </c>
      <c r="U1556" s="217" t="s">
        <v>32</v>
      </c>
      <c r="V1556" s="217" t="s">
        <v>32</v>
      </c>
      <c r="W1556" s="217" t="s">
        <v>32</v>
      </c>
    </row>
    <row r="1557" spans="1:23" x14ac:dyDescent="0.25">
      <c r="A1557" s="217" t="s">
        <v>22</v>
      </c>
      <c r="B1557" s="217" t="s">
        <v>23</v>
      </c>
      <c r="C1557" s="217" t="s">
        <v>37</v>
      </c>
      <c r="D1557" s="217" t="s">
        <v>36</v>
      </c>
      <c r="E1557" s="217" t="s">
        <v>244</v>
      </c>
      <c r="F1557" s="217" t="s">
        <v>243</v>
      </c>
      <c r="G1557" s="217" t="s">
        <v>651</v>
      </c>
      <c r="H1557" s="217" t="s">
        <v>1547</v>
      </c>
      <c r="I1557" s="217" t="s">
        <v>616</v>
      </c>
      <c r="J1557" s="217" t="s">
        <v>1856</v>
      </c>
      <c r="K1557" s="217">
        <v>7</v>
      </c>
      <c r="L1557" s="217">
        <v>29</v>
      </c>
      <c r="M1557" s="217" t="s">
        <v>31</v>
      </c>
      <c r="N1557" s="217" t="s">
        <v>32</v>
      </c>
      <c r="O1557" s="217" t="s">
        <v>141</v>
      </c>
      <c r="P1557" s="217" t="s">
        <v>142</v>
      </c>
      <c r="Q1557" s="217" t="s">
        <v>143</v>
      </c>
      <c r="R1557" s="217" t="s">
        <v>142</v>
      </c>
      <c r="S1557" s="217" t="s">
        <v>642</v>
      </c>
      <c r="T1557" s="217" t="s">
        <v>32</v>
      </c>
      <c r="U1557" s="217" t="s">
        <v>32</v>
      </c>
      <c r="V1557" s="217" t="s">
        <v>32</v>
      </c>
      <c r="W1557" s="217" t="s">
        <v>32</v>
      </c>
    </row>
    <row r="1558" spans="1:23" x14ac:dyDescent="0.25">
      <c r="A1558" s="217" t="s">
        <v>22</v>
      </c>
      <c r="B1558" s="217" t="s">
        <v>23</v>
      </c>
      <c r="C1558" s="217" t="s">
        <v>37</v>
      </c>
      <c r="D1558" s="217" t="s">
        <v>36</v>
      </c>
      <c r="E1558" s="217" t="s">
        <v>244</v>
      </c>
      <c r="F1558" s="217" t="s">
        <v>243</v>
      </c>
      <c r="G1558" s="217" t="s">
        <v>651</v>
      </c>
      <c r="H1558" s="217" t="s">
        <v>1547</v>
      </c>
      <c r="I1558" s="217" t="s">
        <v>616</v>
      </c>
      <c r="J1558" s="217" t="s">
        <v>1857</v>
      </c>
      <c r="K1558" s="217">
        <v>4</v>
      </c>
      <c r="L1558" s="217">
        <v>12</v>
      </c>
      <c r="M1558" s="217" t="s">
        <v>31</v>
      </c>
      <c r="N1558" s="217" t="s">
        <v>32</v>
      </c>
      <c r="O1558" s="217" t="s">
        <v>141</v>
      </c>
      <c r="P1558" s="217" t="s">
        <v>142</v>
      </c>
      <c r="Q1558" s="217" t="s">
        <v>143</v>
      </c>
      <c r="R1558" s="217" t="s">
        <v>142</v>
      </c>
      <c r="S1558" s="217" t="s">
        <v>642</v>
      </c>
      <c r="T1558" s="217" t="s">
        <v>32</v>
      </c>
      <c r="U1558" s="217" t="s">
        <v>32</v>
      </c>
      <c r="V1558" s="217" t="s">
        <v>32</v>
      </c>
      <c r="W1558" s="217" t="s">
        <v>32</v>
      </c>
    </row>
    <row r="1559" spans="1:23" x14ac:dyDescent="0.25">
      <c r="A1559" s="217" t="s">
        <v>22</v>
      </c>
      <c r="B1559" s="217" t="s">
        <v>23</v>
      </c>
      <c r="C1559" s="217" t="s">
        <v>37</v>
      </c>
      <c r="D1559" s="217" t="s">
        <v>36</v>
      </c>
      <c r="E1559" s="217" t="s">
        <v>244</v>
      </c>
      <c r="F1559" s="217" t="s">
        <v>243</v>
      </c>
      <c r="G1559" s="217" t="s">
        <v>652</v>
      </c>
      <c r="H1559" s="217" t="s">
        <v>1548</v>
      </c>
      <c r="I1559" s="217" t="s">
        <v>616</v>
      </c>
      <c r="J1559" s="217" t="s">
        <v>1855</v>
      </c>
      <c r="K1559" s="217">
        <v>20</v>
      </c>
      <c r="L1559" s="217">
        <v>100</v>
      </c>
      <c r="M1559" s="217" t="s">
        <v>31</v>
      </c>
      <c r="N1559" s="217" t="s">
        <v>32</v>
      </c>
      <c r="O1559" s="217" t="s">
        <v>141</v>
      </c>
      <c r="P1559" s="217" t="s">
        <v>142</v>
      </c>
      <c r="Q1559" s="217" t="s">
        <v>143</v>
      </c>
      <c r="R1559" s="217" t="s">
        <v>142</v>
      </c>
      <c r="S1559" s="217" t="s">
        <v>642</v>
      </c>
      <c r="T1559" s="217" t="s">
        <v>32</v>
      </c>
      <c r="U1559" s="217" t="s">
        <v>32</v>
      </c>
      <c r="V1559" s="217" t="s">
        <v>32</v>
      </c>
      <c r="W1559" s="217" t="s">
        <v>32</v>
      </c>
    </row>
    <row r="1560" spans="1:23" x14ac:dyDescent="0.25">
      <c r="A1560" s="217" t="s">
        <v>22</v>
      </c>
      <c r="B1560" s="217" t="s">
        <v>23</v>
      </c>
      <c r="C1560" s="217" t="s">
        <v>37</v>
      </c>
      <c r="D1560" s="217" t="s">
        <v>36</v>
      </c>
      <c r="E1560" s="217" t="s">
        <v>244</v>
      </c>
      <c r="F1560" s="217" t="s">
        <v>243</v>
      </c>
      <c r="G1560" s="217" t="s">
        <v>652</v>
      </c>
      <c r="H1560" s="217" t="s">
        <v>1548</v>
      </c>
      <c r="I1560" s="217" t="s">
        <v>616</v>
      </c>
      <c r="J1560" s="217" t="s">
        <v>1856</v>
      </c>
      <c r="K1560" s="217">
        <v>10</v>
      </c>
      <c r="L1560" s="217">
        <v>61</v>
      </c>
      <c r="M1560" s="217" t="s">
        <v>31</v>
      </c>
      <c r="N1560" s="217" t="s">
        <v>32</v>
      </c>
      <c r="O1560" s="217" t="s">
        <v>141</v>
      </c>
      <c r="P1560" s="217" t="s">
        <v>142</v>
      </c>
      <c r="Q1560" s="217" t="s">
        <v>143</v>
      </c>
      <c r="R1560" s="217" t="s">
        <v>142</v>
      </c>
      <c r="S1560" s="217" t="s">
        <v>642</v>
      </c>
      <c r="T1560" s="217" t="s">
        <v>32</v>
      </c>
      <c r="U1560" s="217" t="s">
        <v>32</v>
      </c>
      <c r="V1560" s="217" t="s">
        <v>32</v>
      </c>
      <c r="W1560" s="217" t="s">
        <v>32</v>
      </c>
    </row>
    <row r="1561" spans="1:23" x14ac:dyDescent="0.25">
      <c r="A1561" s="217" t="s">
        <v>22</v>
      </c>
      <c r="B1561" s="217" t="s">
        <v>23</v>
      </c>
      <c r="C1561" s="217" t="s">
        <v>37</v>
      </c>
      <c r="D1561" s="217" t="s">
        <v>36</v>
      </c>
      <c r="E1561" s="217" t="s">
        <v>244</v>
      </c>
      <c r="F1561" s="217" t="s">
        <v>243</v>
      </c>
      <c r="G1561" s="217" t="s">
        <v>653</v>
      </c>
      <c r="H1561" s="217" t="s">
        <v>1549</v>
      </c>
      <c r="I1561" s="217" t="s">
        <v>616</v>
      </c>
      <c r="J1561" s="217" t="s">
        <v>1855</v>
      </c>
      <c r="K1561" s="217">
        <v>3</v>
      </c>
      <c r="L1561" s="217">
        <v>18</v>
      </c>
      <c r="M1561" s="217" t="s">
        <v>31</v>
      </c>
      <c r="N1561" s="217" t="s">
        <v>32</v>
      </c>
      <c r="O1561" s="217" t="s">
        <v>141</v>
      </c>
      <c r="P1561" s="217" t="s">
        <v>142</v>
      </c>
      <c r="Q1561" s="217" t="s">
        <v>143</v>
      </c>
      <c r="R1561" s="217" t="s">
        <v>142</v>
      </c>
      <c r="S1561" s="217" t="s">
        <v>642</v>
      </c>
      <c r="T1561" s="217" t="s">
        <v>32</v>
      </c>
      <c r="U1561" s="217" t="s">
        <v>32</v>
      </c>
      <c r="V1561" s="217" t="s">
        <v>32</v>
      </c>
      <c r="W1561" s="217" t="s">
        <v>32</v>
      </c>
    </row>
    <row r="1562" spans="1:23" x14ac:dyDescent="0.25">
      <c r="A1562" s="217" t="s">
        <v>22</v>
      </c>
      <c r="B1562" s="217" t="s">
        <v>23</v>
      </c>
      <c r="C1562" s="217" t="s">
        <v>37</v>
      </c>
      <c r="D1562" s="217" t="s">
        <v>36</v>
      </c>
      <c r="E1562" s="217" t="s">
        <v>244</v>
      </c>
      <c r="F1562" s="217" t="s">
        <v>243</v>
      </c>
      <c r="G1562" s="217" t="s">
        <v>654</v>
      </c>
      <c r="H1562" s="217" t="s">
        <v>1550</v>
      </c>
      <c r="I1562" s="217" t="s">
        <v>616</v>
      </c>
      <c r="J1562" s="217" t="s">
        <v>1855</v>
      </c>
      <c r="K1562" s="217">
        <v>5</v>
      </c>
      <c r="L1562" s="217">
        <v>35</v>
      </c>
      <c r="M1562" s="217" t="s">
        <v>31</v>
      </c>
      <c r="N1562" s="217" t="s">
        <v>32</v>
      </c>
      <c r="O1562" s="217" t="s">
        <v>141</v>
      </c>
      <c r="P1562" s="217" t="s">
        <v>142</v>
      </c>
      <c r="Q1562" s="217" t="s">
        <v>143</v>
      </c>
      <c r="R1562" s="217" t="s">
        <v>142</v>
      </c>
      <c r="S1562" s="217" t="s">
        <v>642</v>
      </c>
      <c r="T1562" s="217" t="s">
        <v>32</v>
      </c>
      <c r="U1562" s="217" t="s">
        <v>32</v>
      </c>
      <c r="V1562" s="217" t="s">
        <v>32</v>
      </c>
      <c r="W1562" s="217" t="s">
        <v>32</v>
      </c>
    </row>
    <row r="1563" spans="1:23" x14ac:dyDescent="0.25">
      <c r="A1563" s="217" t="s">
        <v>22</v>
      </c>
      <c r="B1563" s="217" t="s">
        <v>23</v>
      </c>
      <c r="C1563" s="217" t="s">
        <v>37</v>
      </c>
      <c r="D1563" s="217" t="s">
        <v>36</v>
      </c>
      <c r="E1563" s="217" t="s">
        <v>244</v>
      </c>
      <c r="F1563" s="217" t="s">
        <v>243</v>
      </c>
      <c r="G1563" s="217" t="s">
        <v>654</v>
      </c>
      <c r="H1563" s="217" t="s">
        <v>1550</v>
      </c>
      <c r="I1563" s="217" t="s">
        <v>616</v>
      </c>
      <c r="J1563" s="217" t="s">
        <v>1856</v>
      </c>
      <c r="K1563" s="217">
        <v>4</v>
      </c>
      <c r="L1563" s="217">
        <v>15</v>
      </c>
      <c r="M1563" s="217" t="s">
        <v>31</v>
      </c>
      <c r="N1563" s="217" t="s">
        <v>32</v>
      </c>
      <c r="O1563" s="217" t="s">
        <v>141</v>
      </c>
      <c r="P1563" s="217" t="s">
        <v>142</v>
      </c>
      <c r="Q1563" s="217" t="s">
        <v>143</v>
      </c>
      <c r="R1563" s="217" t="s">
        <v>142</v>
      </c>
      <c r="S1563" s="217" t="s">
        <v>642</v>
      </c>
      <c r="T1563" s="217" t="s">
        <v>32</v>
      </c>
      <c r="U1563" s="217" t="s">
        <v>32</v>
      </c>
      <c r="V1563" s="217" t="s">
        <v>32</v>
      </c>
      <c r="W1563" s="217" t="s">
        <v>32</v>
      </c>
    </row>
    <row r="1564" spans="1:23" x14ac:dyDescent="0.25">
      <c r="A1564" s="217" t="s">
        <v>22</v>
      </c>
      <c r="B1564" s="217" t="s">
        <v>23</v>
      </c>
      <c r="C1564" s="217" t="s">
        <v>37</v>
      </c>
      <c r="D1564" s="217" t="s">
        <v>36</v>
      </c>
      <c r="E1564" s="217" t="s">
        <v>244</v>
      </c>
      <c r="F1564" s="217" t="s">
        <v>243</v>
      </c>
      <c r="G1564" s="217" t="s">
        <v>654</v>
      </c>
      <c r="H1564" s="217" t="s">
        <v>1550</v>
      </c>
      <c r="I1564" s="217" t="s">
        <v>616</v>
      </c>
      <c r="J1564" s="217" t="s">
        <v>1857</v>
      </c>
      <c r="K1564" s="217">
        <v>3</v>
      </c>
      <c r="L1564" s="217">
        <v>15</v>
      </c>
      <c r="M1564" s="217" t="s">
        <v>31</v>
      </c>
      <c r="N1564" s="217" t="s">
        <v>32</v>
      </c>
      <c r="O1564" s="217" t="s">
        <v>141</v>
      </c>
      <c r="P1564" s="217" t="s">
        <v>142</v>
      </c>
      <c r="Q1564" s="217" t="s">
        <v>143</v>
      </c>
      <c r="R1564" s="217" t="s">
        <v>142</v>
      </c>
      <c r="S1564" s="217" t="s">
        <v>642</v>
      </c>
      <c r="T1564" s="217" t="s">
        <v>32</v>
      </c>
      <c r="U1564" s="217" t="s">
        <v>32</v>
      </c>
      <c r="V1564" s="217" t="s">
        <v>32</v>
      </c>
      <c r="W1564" s="217" t="s">
        <v>32</v>
      </c>
    </row>
    <row r="1565" spans="1:23" x14ac:dyDescent="0.25">
      <c r="A1565" s="217" t="s">
        <v>22</v>
      </c>
      <c r="B1565" s="217" t="s">
        <v>23</v>
      </c>
      <c r="C1565" s="217" t="s">
        <v>37</v>
      </c>
      <c r="D1565" s="217" t="s">
        <v>36</v>
      </c>
      <c r="E1565" s="217" t="s">
        <v>244</v>
      </c>
      <c r="F1565" s="217" t="s">
        <v>243</v>
      </c>
      <c r="G1565" s="217" t="s">
        <v>655</v>
      </c>
      <c r="H1565" s="217" t="s">
        <v>1551</v>
      </c>
      <c r="I1565" s="217" t="s">
        <v>616</v>
      </c>
      <c r="J1565" s="217" t="s">
        <v>1855</v>
      </c>
      <c r="K1565" s="217">
        <v>10</v>
      </c>
      <c r="L1565" s="217">
        <v>98</v>
      </c>
      <c r="M1565" s="217" t="s">
        <v>31</v>
      </c>
      <c r="N1565" s="217" t="s">
        <v>32</v>
      </c>
      <c r="O1565" s="217" t="s">
        <v>141</v>
      </c>
      <c r="P1565" s="217" t="s">
        <v>142</v>
      </c>
      <c r="Q1565" s="217" t="s">
        <v>143</v>
      </c>
      <c r="R1565" s="217" t="s">
        <v>142</v>
      </c>
      <c r="S1565" s="217" t="s">
        <v>642</v>
      </c>
      <c r="T1565" s="217" t="s">
        <v>32</v>
      </c>
      <c r="U1565" s="217" t="s">
        <v>32</v>
      </c>
      <c r="V1565" s="217" t="s">
        <v>32</v>
      </c>
      <c r="W1565" s="217" t="s">
        <v>32</v>
      </c>
    </row>
    <row r="1566" spans="1:23" x14ac:dyDescent="0.25">
      <c r="A1566" s="217" t="s">
        <v>22</v>
      </c>
      <c r="B1566" s="217" t="s">
        <v>23</v>
      </c>
      <c r="C1566" s="217" t="s">
        <v>37</v>
      </c>
      <c r="D1566" s="217" t="s">
        <v>36</v>
      </c>
      <c r="E1566" s="217" t="s">
        <v>244</v>
      </c>
      <c r="F1566" s="217" t="s">
        <v>243</v>
      </c>
      <c r="G1566" s="217" t="s">
        <v>655</v>
      </c>
      <c r="H1566" s="217" t="s">
        <v>1551</v>
      </c>
      <c r="I1566" s="217" t="s">
        <v>616</v>
      </c>
      <c r="J1566" s="217" t="s">
        <v>1856</v>
      </c>
      <c r="K1566" s="217">
        <v>10</v>
      </c>
      <c r="L1566" s="217">
        <v>84</v>
      </c>
      <c r="M1566" s="217" t="s">
        <v>31</v>
      </c>
      <c r="N1566" s="217" t="s">
        <v>32</v>
      </c>
      <c r="O1566" s="217" t="s">
        <v>141</v>
      </c>
      <c r="P1566" s="217" t="s">
        <v>142</v>
      </c>
      <c r="Q1566" s="217" t="s">
        <v>143</v>
      </c>
      <c r="R1566" s="217" t="s">
        <v>142</v>
      </c>
      <c r="S1566" s="217" t="s">
        <v>642</v>
      </c>
      <c r="T1566" s="217" t="s">
        <v>32</v>
      </c>
      <c r="U1566" s="217" t="s">
        <v>32</v>
      </c>
      <c r="V1566" s="217" t="s">
        <v>32</v>
      </c>
      <c r="W1566" s="217" t="s">
        <v>32</v>
      </c>
    </row>
    <row r="1567" spans="1:23" x14ac:dyDescent="0.25">
      <c r="A1567" s="217" t="s">
        <v>22</v>
      </c>
      <c r="B1567" s="217" t="s">
        <v>23</v>
      </c>
      <c r="C1567" s="217" t="s">
        <v>37</v>
      </c>
      <c r="D1567" s="217" t="s">
        <v>36</v>
      </c>
      <c r="E1567" s="217" t="s">
        <v>244</v>
      </c>
      <c r="F1567" s="217" t="s">
        <v>243</v>
      </c>
      <c r="G1567" s="217" t="s">
        <v>655</v>
      </c>
      <c r="H1567" s="217" t="s">
        <v>1551</v>
      </c>
      <c r="I1567" s="217" t="s">
        <v>616</v>
      </c>
      <c r="J1567" s="217" t="s">
        <v>1857</v>
      </c>
      <c r="K1567" s="217">
        <v>5</v>
      </c>
      <c r="L1567" s="217">
        <v>20</v>
      </c>
      <c r="M1567" s="217" t="s">
        <v>31</v>
      </c>
      <c r="N1567" s="217" t="s">
        <v>32</v>
      </c>
      <c r="O1567" s="217" t="s">
        <v>141</v>
      </c>
      <c r="P1567" s="217" t="s">
        <v>142</v>
      </c>
      <c r="Q1567" s="217" t="s">
        <v>143</v>
      </c>
      <c r="R1567" s="217" t="s">
        <v>142</v>
      </c>
      <c r="S1567" s="217" t="s">
        <v>642</v>
      </c>
      <c r="T1567" s="217" t="s">
        <v>32</v>
      </c>
      <c r="U1567" s="217" t="s">
        <v>32</v>
      </c>
      <c r="V1567" s="217" t="s">
        <v>32</v>
      </c>
      <c r="W1567" s="217" t="s">
        <v>32</v>
      </c>
    </row>
    <row r="1568" spans="1:23" x14ac:dyDescent="0.25">
      <c r="A1568" s="217" t="s">
        <v>22</v>
      </c>
      <c r="B1568" s="217" t="s">
        <v>23</v>
      </c>
      <c r="C1568" s="217" t="s">
        <v>37</v>
      </c>
      <c r="D1568" s="217" t="s">
        <v>36</v>
      </c>
      <c r="E1568" s="217" t="s">
        <v>247</v>
      </c>
      <c r="F1568" s="217" t="s">
        <v>246</v>
      </c>
      <c r="G1568" s="217" t="s">
        <v>580</v>
      </c>
      <c r="H1568" s="217" t="s">
        <v>1444</v>
      </c>
      <c r="I1568" s="217" t="s">
        <v>616</v>
      </c>
      <c r="J1568" s="217" t="s">
        <v>1858</v>
      </c>
      <c r="K1568" s="217">
        <v>32</v>
      </c>
      <c r="L1568" s="217">
        <v>160</v>
      </c>
      <c r="M1568" s="217" t="s">
        <v>31</v>
      </c>
      <c r="N1568" s="217" t="s">
        <v>32</v>
      </c>
      <c r="O1568" s="217" t="s">
        <v>141</v>
      </c>
      <c r="P1568" s="217" t="s">
        <v>142</v>
      </c>
      <c r="Q1568" s="217" t="s">
        <v>143</v>
      </c>
      <c r="R1568" s="217" t="s">
        <v>142</v>
      </c>
      <c r="S1568" s="217" t="s">
        <v>642</v>
      </c>
      <c r="T1568" s="217" t="s">
        <v>32</v>
      </c>
      <c r="U1568" s="217" t="s">
        <v>32</v>
      </c>
      <c r="V1568" s="217" t="s">
        <v>32</v>
      </c>
      <c r="W1568" s="217" t="s">
        <v>32</v>
      </c>
    </row>
    <row r="1569" spans="1:23" x14ac:dyDescent="0.25">
      <c r="A1569" s="217" t="s">
        <v>22</v>
      </c>
      <c r="B1569" s="217" t="s">
        <v>23</v>
      </c>
      <c r="C1569" s="217" t="s">
        <v>37</v>
      </c>
      <c r="D1569" s="217" t="s">
        <v>36</v>
      </c>
      <c r="E1569" s="217" t="s">
        <v>247</v>
      </c>
      <c r="F1569" s="217" t="s">
        <v>246</v>
      </c>
      <c r="G1569" s="217" t="s">
        <v>1973</v>
      </c>
      <c r="H1569" s="217" t="s">
        <v>1974</v>
      </c>
      <c r="I1569" s="217" t="s">
        <v>616</v>
      </c>
      <c r="J1569" s="217" t="s">
        <v>1858</v>
      </c>
      <c r="K1569" s="217">
        <v>42</v>
      </c>
      <c r="L1569" s="217">
        <v>271</v>
      </c>
      <c r="M1569" s="217" t="s">
        <v>31</v>
      </c>
      <c r="N1569" s="217" t="s">
        <v>32</v>
      </c>
      <c r="O1569" s="217" t="s">
        <v>141</v>
      </c>
      <c r="P1569" s="217" t="s">
        <v>142</v>
      </c>
      <c r="Q1569" s="217" t="s">
        <v>143</v>
      </c>
      <c r="R1569" s="217" t="s">
        <v>142</v>
      </c>
      <c r="S1569" s="217" t="s">
        <v>2056</v>
      </c>
      <c r="T1569" s="217" t="s">
        <v>32</v>
      </c>
      <c r="U1569" s="217" t="s">
        <v>32</v>
      </c>
      <c r="V1569" s="217" t="s">
        <v>32</v>
      </c>
      <c r="W1569" s="217" t="s">
        <v>32</v>
      </c>
    </row>
    <row r="1570" spans="1:23" x14ac:dyDescent="0.25">
      <c r="A1570" s="217" t="s">
        <v>22</v>
      </c>
      <c r="B1570" s="217" t="s">
        <v>23</v>
      </c>
      <c r="C1570" s="217" t="s">
        <v>37</v>
      </c>
      <c r="D1570" s="217" t="s">
        <v>36</v>
      </c>
      <c r="E1570" s="217" t="s">
        <v>250</v>
      </c>
      <c r="F1570" s="217" t="s">
        <v>249</v>
      </c>
      <c r="G1570" s="217" t="s">
        <v>2142</v>
      </c>
      <c r="H1570" s="217" t="s">
        <v>2143</v>
      </c>
      <c r="I1570" s="217" t="s">
        <v>616</v>
      </c>
      <c r="J1570" s="217" t="s">
        <v>1856</v>
      </c>
      <c r="K1570" s="217">
        <v>476</v>
      </c>
      <c r="L1570" s="217">
        <v>2748</v>
      </c>
      <c r="M1570" s="217" t="s">
        <v>31</v>
      </c>
      <c r="N1570" s="217" t="s">
        <v>32</v>
      </c>
      <c r="O1570" s="217" t="s">
        <v>141</v>
      </c>
      <c r="P1570" s="217" t="s">
        <v>142</v>
      </c>
      <c r="Q1570" s="217" t="s">
        <v>143</v>
      </c>
      <c r="R1570" s="217" t="s">
        <v>142</v>
      </c>
      <c r="S1570" s="217" t="s">
        <v>2054</v>
      </c>
      <c r="T1570" s="217" t="s">
        <v>32</v>
      </c>
      <c r="U1570" s="217" t="s">
        <v>32</v>
      </c>
      <c r="V1570" s="217" t="s">
        <v>32</v>
      </c>
      <c r="W1570" s="217" t="s">
        <v>32</v>
      </c>
    </row>
    <row r="1571" spans="1:23" x14ac:dyDescent="0.25">
      <c r="A1571" s="217" t="s">
        <v>22</v>
      </c>
      <c r="B1571" s="217" t="s">
        <v>23</v>
      </c>
      <c r="C1571" s="217" t="s">
        <v>37</v>
      </c>
      <c r="D1571" s="217" t="s">
        <v>36</v>
      </c>
      <c r="E1571" s="217" t="s">
        <v>250</v>
      </c>
      <c r="F1571" s="217" t="s">
        <v>249</v>
      </c>
      <c r="G1571" s="217" t="s">
        <v>254</v>
      </c>
      <c r="H1571" s="217" t="s">
        <v>1468</v>
      </c>
      <c r="I1571" s="217" t="s">
        <v>616</v>
      </c>
      <c r="J1571" s="217" t="s">
        <v>1855</v>
      </c>
      <c r="K1571" s="217">
        <v>6</v>
      </c>
      <c r="L1571" s="217">
        <v>30</v>
      </c>
      <c r="M1571" s="217" t="s">
        <v>31</v>
      </c>
      <c r="N1571" s="217" t="s">
        <v>32</v>
      </c>
      <c r="O1571" s="217" t="s">
        <v>141</v>
      </c>
      <c r="P1571" s="217" t="s">
        <v>142</v>
      </c>
      <c r="Q1571" s="217" t="s">
        <v>143</v>
      </c>
      <c r="R1571" s="217" t="s">
        <v>142</v>
      </c>
      <c r="S1571" s="217" t="s">
        <v>619</v>
      </c>
      <c r="T1571" s="217" t="s">
        <v>32</v>
      </c>
      <c r="U1571" s="217" t="s">
        <v>32</v>
      </c>
      <c r="V1571" s="217" t="s">
        <v>32</v>
      </c>
      <c r="W1571" s="217" t="s">
        <v>32</v>
      </c>
    </row>
    <row r="1572" spans="1:23" x14ac:dyDescent="0.25">
      <c r="A1572" s="217" t="s">
        <v>22</v>
      </c>
      <c r="B1572" s="217" t="s">
        <v>23</v>
      </c>
      <c r="C1572" s="217" t="s">
        <v>37</v>
      </c>
      <c r="D1572" s="217" t="s">
        <v>36</v>
      </c>
      <c r="E1572" s="217" t="s">
        <v>250</v>
      </c>
      <c r="F1572" s="217" t="s">
        <v>249</v>
      </c>
      <c r="G1572" s="217" t="s">
        <v>254</v>
      </c>
      <c r="H1572" s="217" t="s">
        <v>1468</v>
      </c>
      <c r="I1572" s="217" t="s">
        <v>616</v>
      </c>
      <c r="J1572" s="217" t="s">
        <v>1856</v>
      </c>
      <c r="K1572" s="217">
        <v>3</v>
      </c>
      <c r="L1572" s="217">
        <v>15</v>
      </c>
      <c r="M1572" s="217" t="s">
        <v>31</v>
      </c>
      <c r="N1572" s="217" t="s">
        <v>32</v>
      </c>
      <c r="O1572" s="217" t="s">
        <v>141</v>
      </c>
      <c r="P1572" s="217" t="s">
        <v>142</v>
      </c>
      <c r="Q1572" s="217" t="s">
        <v>143</v>
      </c>
      <c r="R1572" s="217" t="s">
        <v>142</v>
      </c>
      <c r="S1572" s="217" t="s">
        <v>619</v>
      </c>
      <c r="T1572" s="217" t="s">
        <v>32</v>
      </c>
      <c r="U1572" s="217" t="s">
        <v>32</v>
      </c>
      <c r="V1572" s="217" t="s">
        <v>32</v>
      </c>
      <c r="W1572" s="217" t="s">
        <v>32</v>
      </c>
    </row>
    <row r="1573" spans="1:23" x14ac:dyDescent="0.25">
      <c r="A1573" s="217" t="s">
        <v>22</v>
      </c>
      <c r="B1573" s="217" t="s">
        <v>23</v>
      </c>
      <c r="C1573" s="217" t="s">
        <v>37</v>
      </c>
      <c r="D1573" s="217" t="s">
        <v>36</v>
      </c>
      <c r="E1573" s="217" t="s">
        <v>250</v>
      </c>
      <c r="F1573" s="217" t="s">
        <v>249</v>
      </c>
      <c r="G1573" s="217" t="s">
        <v>254</v>
      </c>
      <c r="H1573" s="217" t="s">
        <v>1468</v>
      </c>
      <c r="I1573" s="217" t="s">
        <v>616</v>
      </c>
      <c r="J1573" s="217" t="s">
        <v>1857</v>
      </c>
      <c r="K1573" s="217">
        <v>1</v>
      </c>
      <c r="L1573" s="217">
        <v>5</v>
      </c>
      <c r="M1573" s="217" t="s">
        <v>31</v>
      </c>
      <c r="N1573" s="217" t="s">
        <v>32</v>
      </c>
      <c r="O1573" s="217" t="s">
        <v>141</v>
      </c>
      <c r="P1573" s="217" t="s">
        <v>142</v>
      </c>
      <c r="Q1573" s="217" t="s">
        <v>143</v>
      </c>
      <c r="R1573" s="217" t="s">
        <v>142</v>
      </c>
      <c r="S1573" s="217" t="s">
        <v>619</v>
      </c>
      <c r="T1573" s="217" t="s">
        <v>32</v>
      </c>
      <c r="U1573" s="217" t="s">
        <v>32</v>
      </c>
      <c r="V1573" s="217" t="s">
        <v>32</v>
      </c>
      <c r="W1573" s="217" t="s">
        <v>32</v>
      </c>
    </row>
    <row r="1574" spans="1:23" x14ac:dyDescent="0.25">
      <c r="A1574" s="217" t="s">
        <v>22</v>
      </c>
      <c r="B1574" s="217" t="s">
        <v>23</v>
      </c>
      <c r="C1574" s="217" t="s">
        <v>37</v>
      </c>
      <c r="D1574" s="217" t="s">
        <v>36</v>
      </c>
      <c r="E1574" s="217" t="s">
        <v>250</v>
      </c>
      <c r="F1574" s="217" t="s">
        <v>249</v>
      </c>
      <c r="G1574" s="217" t="s">
        <v>254</v>
      </c>
      <c r="H1574" s="217" t="s">
        <v>1468</v>
      </c>
      <c r="I1574" s="217" t="s">
        <v>616</v>
      </c>
      <c r="J1574" s="217" t="s">
        <v>1858</v>
      </c>
      <c r="K1574" s="217">
        <v>3</v>
      </c>
      <c r="L1574" s="217">
        <v>15</v>
      </c>
      <c r="M1574" s="217" t="s">
        <v>31</v>
      </c>
      <c r="N1574" s="217" t="s">
        <v>32</v>
      </c>
      <c r="O1574" s="217" t="s">
        <v>141</v>
      </c>
      <c r="P1574" s="217" t="s">
        <v>142</v>
      </c>
      <c r="Q1574" s="217" t="s">
        <v>143</v>
      </c>
      <c r="R1574" s="217" t="s">
        <v>142</v>
      </c>
      <c r="S1574" s="217" t="s">
        <v>619</v>
      </c>
      <c r="T1574" s="217" t="s">
        <v>32</v>
      </c>
      <c r="U1574" s="217" t="s">
        <v>32</v>
      </c>
      <c r="V1574" s="217" t="s">
        <v>32</v>
      </c>
      <c r="W1574" s="217" t="s">
        <v>32</v>
      </c>
    </row>
    <row r="1575" spans="1:23" x14ac:dyDescent="0.25">
      <c r="A1575" s="217" t="s">
        <v>22</v>
      </c>
      <c r="B1575" s="217" t="s">
        <v>23</v>
      </c>
      <c r="C1575" s="217" t="s">
        <v>37</v>
      </c>
      <c r="D1575" s="217" t="s">
        <v>36</v>
      </c>
      <c r="E1575" s="217" t="s">
        <v>250</v>
      </c>
      <c r="F1575" s="217" t="s">
        <v>249</v>
      </c>
      <c r="G1575" s="217" t="s">
        <v>256</v>
      </c>
      <c r="H1575" s="217" t="s">
        <v>1472</v>
      </c>
      <c r="I1575" s="217" t="s">
        <v>616</v>
      </c>
      <c r="J1575" s="217" t="s">
        <v>1856</v>
      </c>
      <c r="K1575" s="217">
        <v>13</v>
      </c>
      <c r="L1575" s="217">
        <v>76</v>
      </c>
      <c r="M1575" s="217" t="s">
        <v>31</v>
      </c>
      <c r="N1575" s="217" t="s">
        <v>32</v>
      </c>
      <c r="O1575" s="217" t="s">
        <v>141</v>
      </c>
      <c r="P1575" s="217" t="s">
        <v>142</v>
      </c>
      <c r="Q1575" s="217" t="s">
        <v>143</v>
      </c>
      <c r="R1575" s="217" t="s">
        <v>142</v>
      </c>
      <c r="S1575" s="217" t="s">
        <v>619</v>
      </c>
      <c r="T1575" s="217" t="s">
        <v>32</v>
      </c>
      <c r="U1575" s="217" t="s">
        <v>32</v>
      </c>
      <c r="V1575" s="217" t="s">
        <v>32</v>
      </c>
      <c r="W1575" s="217" t="s">
        <v>32</v>
      </c>
    </row>
    <row r="1576" spans="1:23" x14ac:dyDescent="0.25">
      <c r="A1576" s="217" t="s">
        <v>22</v>
      </c>
      <c r="B1576" s="217" t="s">
        <v>23</v>
      </c>
      <c r="C1576" s="217" t="s">
        <v>37</v>
      </c>
      <c r="D1576" s="217" t="s">
        <v>36</v>
      </c>
      <c r="E1576" s="217" t="s">
        <v>250</v>
      </c>
      <c r="F1576" s="217" t="s">
        <v>249</v>
      </c>
      <c r="G1576" s="217" t="s">
        <v>256</v>
      </c>
      <c r="H1576" s="217" t="s">
        <v>1472</v>
      </c>
      <c r="I1576" s="217" t="s">
        <v>616</v>
      </c>
      <c r="J1576" s="217" t="s">
        <v>1857</v>
      </c>
      <c r="K1576" s="217">
        <v>2</v>
      </c>
      <c r="L1576" s="217">
        <v>13</v>
      </c>
      <c r="M1576" s="217" t="s">
        <v>31</v>
      </c>
      <c r="N1576" s="217" t="s">
        <v>32</v>
      </c>
      <c r="O1576" s="217" t="s">
        <v>141</v>
      </c>
      <c r="P1576" s="217" t="s">
        <v>142</v>
      </c>
      <c r="Q1576" s="217" t="s">
        <v>143</v>
      </c>
      <c r="R1576" s="217" t="s">
        <v>142</v>
      </c>
      <c r="S1576" s="217" t="s">
        <v>619</v>
      </c>
      <c r="T1576" s="217" t="s">
        <v>32</v>
      </c>
      <c r="U1576" s="217" t="s">
        <v>32</v>
      </c>
      <c r="V1576" s="217" t="s">
        <v>32</v>
      </c>
      <c r="W1576" s="217" t="s">
        <v>32</v>
      </c>
    </row>
    <row r="1577" spans="1:23" x14ac:dyDescent="0.25">
      <c r="A1577" s="217" t="s">
        <v>22</v>
      </c>
      <c r="B1577" s="217" t="s">
        <v>23</v>
      </c>
      <c r="C1577" s="217" t="s">
        <v>37</v>
      </c>
      <c r="D1577" s="217" t="s">
        <v>36</v>
      </c>
      <c r="E1577" s="217" t="s">
        <v>250</v>
      </c>
      <c r="F1577" s="217" t="s">
        <v>249</v>
      </c>
      <c r="G1577" s="217" t="s">
        <v>256</v>
      </c>
      <c r="H1577" s="217" t="s">
        <v>1472</v>
      </c>
      <c r="I1577" s="217" t="s">
        <v>616</v>
      </c>
      <c r="J1577" s="217" t="s">
        <v>1858</v>
      </c>
      <c r="K1577" s="217">
        <v>3</v>
      </c>
      <c r="L1577" s="217">
        <v>11</v>
      </c>
      <c r="M1577" s="217" t="s">
        <v>31</v>
      </c>
      <c r="N1577" s="217" t="s">
        <v>32</v>
      </c>
      <c r="O1577" s="217" t="s">
        <v>141</v>
      </c>
      <c r="P1577" s="217" t="s">
        <v>142</v>
      </c>
      <c r="Q1577" s="217" t="s">
        <v>143</v>
      </c>
      <c r="R1577" s="217" t="s">
        <v>142</v>
      </c>
      <c r="S1577" s="217" t="s">
        <v>619</v>
      </c>
      <c r="T1577" s="217" t="s">
        <v>32</v>
      </c>
      <c r="U1577" s="217" t="s">
        <v>32</v>
      </c>
      <c r="V1577" s="217" t="s">
        <v>32</v>
      </c>
      <c r="W1577" s="217" t="s">
        <v>32</v>
      </c>
    </row>
    <row r="1578" spans="1:23" x14ac:dyDescent="0.25">
      <c r="A1578" s="217" t="s">
        <v>22</v>
      </c>
      <c r="B1578" s="217" t="s">
        <v>23</v>
      </c>
      <c r="C1578" s="217" t="s">
        <v>37</v>
      </c>
      <c r="D1578" s="217" t="s">
        <v>36</v>
      </c>
      <c r="E1578" s="217" t="s">
        <v>250</v>
      </c>
      <c r="F1578" s="217" t="s">
        <v>249</v>
      </c>
      <c r="G1578" s="217" t="s">
        <v>259</v>
      </c>
      <c r="H1578" s="217" t="s">
        <v>1475</v>
      </c>
      <c r="I1578" s="217" t="s">
        <v>616</v>
      </c>
      <c r="J1578" s="217" t="s">
        <v>1855</v>
      </c>
      <c r="K1578" s="217">
        <v>13</v>
      </c>
      <c r="L1578" s="217">
        <v>76</v>
      </c>
      <c r="M1578" s="217" t="s">
        <v>31</v>
      </c>
      <c r="N1578" s="217" t="s">
        <v>32</v>
      </c>
      <c r="O1578" s="217" t="s">
        <v>141</v>
      </c>
      <c r="P1578" s="217" t="s">
        <v>142</v>
      </c>
      <c r="Q1578" s="217" t="s">
        <v>143</v>
      </c>
      <c r="R1578" s="217" t="s">
        <v>142</v>
      </c>
      <c r="S1578" s="217" t="s">
        <v>619</v>
      </c>
      <c r="T1578" s="217" t="s">
        <v>32</v>
      </c>
      <c r="U1578" s="217" t="s">
        <v>32</v>
      </c>
      <c r="V1578" s="217" t="s">
        <v>32</v>
      </c>
      <c r="W1578" s="217" t="s">
        <v>32</v>
      </c>
    </row>
    <row r="1579" spans="1:23" x14ac:dyDescent="0.25">
      <c r="A1579" s="217" t="s">
        <v>22</v>
      </c>
      <c r="B1579" s="217" t="s">
        <v>23</v>
      </c>
      <c r="C1579" s="217" t="s">
        <v>37</v>
      </c>
      <c r="D1579" s="217" t="s">
        <v>36</v>
      </c>
      <c r="E1579" s="217" t="s">
        <v>250</v>
      </c>
      <c r="F1579" s="217" t="s">
        <v>249</v>
      </c>
      <c r="G1579" s="217" t="s">
        <v>259</v>
      </c>
      <c r="H1579" s="217" t="s">
        <v>1475</v>
      </c>
      <c r="I1579" s="217" t="s">
        <v>616</v>
      </c>
      <c r="J1579" s="217" t="s">
        <v>1856</v>
      </c>
      <c r="K1579" s="217">
        <v>16</v>
      </c>
      <c r="L1579" s="217">
        <v>87</v>
      </c>
      <c r="M1579" s="217" t="s">
        <v>31</v>
      </c>
      <c r="N1579" s="217" t="s">
        <v>32</v>
      </c>
      <c r="O1579" s="217" t="s">
        <v>141</v>
      </c>
      <c r="P1579" s="217" t="s">
        <v>142</v>
      </c>
      <c r="Q1579" s="217" t="s">
        <v>143</v>
      </c>
      <c r="R1579" s="217" t="s">
        <v>142</v>
      </c>
      <c r="S1579" s="217" t="s">
        <v>619</v>
      </c>
      <c r="T1579" s="217" t="s">
        <v>32</v>
      </c>
      <c r="U1579" s="217" t="s">
        <v>32</v>
      </c>
      <c r="V1579" s="217" t="s">
        <v>32</v>
      </c>
      <c r="W1579" s="217" t="s">
        <v>32</v>
      </c>
    </row>
    <row r="1580" spans="1:23" x14ac:dyDescent="0.25">
      <c r="A1580" s="217" t="s">
        <v>22</v>
      </c>
      <c r="B1580" s="217" t="s">
        <v>23</v>
      </c>
      <c r="C1580" s="217" t="s">
        <v>37</v>
      </c>
      <c r="D1580" s="217" t="s">
        <v>36</v>
      </c>
      <c r="E1580" s="217" t="s">
        <v>250</v>
      </c>
      <c r="F1580" s="217" t="s">
        <v>249</v>
      </c>
      <c r="G1580" s="217" t="s">
        <v>259</v>
      </c>
      <c r="H1580" s="217" t="s">
        <v>1475</v>
      </c>
      <c r="I1580" s="217" t="s">
        <v>616</v>
      </c>
      <c r="J1580" s="217" t="s">
        <v>1858</v>
      </c>
      <c r="K1580" s="217">
        <v>7</v>
      </c>
      <c r="L1580" s="217">
        <v>32</v>
      </c>
      <c r="M1580" s="217" t="s">
        <v>31</v>
      </c>
      <c r="N1580" s="217" t="s">
        <v>32</v>
      </c>
      <c r="O1580" s="217" t="s">
        <v>141</v>
      </c>
      <c r="P1580" s="217" t="s">
        <v>142</v>
      </c>
      <c r="Q1580" s="217" t="s">
        <v>143</v>
      </c>
      <c r="R1580" s="217" t="s">
        <v>142</v>
      </c>
      <c r="S1580" s="217" t="s">
        <v>619</v>
      </c>
      <c r="T1580" s="217" t="s">
        <v>32</v>
      </c>
      <c r="U1580" s="217" t="s">
        <v>32</v>
      </c>
      <c r="V1580" s="217" t="s">
        <v>32</v>
      </c>
      <c r="W1580" s="217" t="s">
        <v>32</v>
      </c>
    </row>
    <row r="1581" spans="1:23" x14ac:dyDescent="0.25">
      <c r="A1581" s="217" t="s">
        <v>22</v>
      </c>
      <c r="B1581" s="217" t="s">
        <v>23</v>
      </c>
      <c r="C1581" s="217" t="s">
        <v>37</v>
      </c>
      <c r="D1581" s="217" t="s">
        <v>36</v>
      </c>
      <c r="E1581" s="217" t="s">
        <v>250</v>
      </c>
      <c r="F1581" s="217" t="s">
        <v>249</v>
      </c>
      <c r="G1581" s="217" t="s">
        <v>262</v>
      </c>
      <c r="H1581" s="217" t="s">
        <v>1478</v>
      </c>
      <c r="I1581" s="217" t="s">
        <v>616</v>
      </c>
      <c r="J1581" s="217" t="s">
        <v>1855</v>
      </c>
      <c r="K1581" s="217">
        <v>7</v>
      </c>
      <c r="L1581" s="217">
        <v>35</v>
      </c>
      <c r="M1581" s="217" t="s">
        <v>31</v>
      </c>
      <c r="N1581" s="217" t="s">
        <v>32</v>
      </c>
      <c r="O1581" s="217" t="s">
        <v>141</v>
      </c>
      <c r="P1581" s="217" t="s">
        <v>142</v>
      </c>
      <c r="Q1581" s="217" t="s">
        <v>143</v>
      </c>
      <c r="R1581" s="217" t="s">
        <v>142</v>
      </c>
      <c r="S1581" s="217" t="s">
        <v>619</v>
      </c>
      <c r="T1581" s="217" t="s">
        <v>32</v>
      </c>
      <c r="U1581" s="217" t="s">
        <v>32</v>
      </c>
      <c r="V1581" s="217" t="s">
        <v>32</v>
      </c>
      <c r="W1581" s="217" t="s">
        <v>32</v>
      </c>
    </row>
    <row r="1582" spans="1:23" x14ac:dyDescent="0.25">
      <c r="A1582" s="217" t="s">
        <v>22</v>
      </c>
      <c r="B1582" s="217" t="s">
        <v>23</v>
      </c>
      <c r="C1582" s="217" t="s">
        <v>37</v>
      </c>
      <c r="D1582" s="217" t="s">
        <v>36</v>
      </c>
      <c r="E1582" s="217" t="s">
        <v>250</v>
      </c>
      <c r="F1582" s="217" t="s">
        <v>249</v>
      </c>
      <c r="G1582" s="217" t="s">
        <v>262</v>
      </c>
      <c r="H1582" s="217" t="s">
        <v>1478</v>
      </c>
      <c r="I1582" s="217" t="s">
        <v>616</v>
      </c>
      <c r="J1582" s="217" t="s">
        <v>1856</v>
      </c>
      <c r="K1582" s="217">
        <v>11</v>
      </c>
      <c r="L1582" s="217">
        <v>55</v>
      </c>
      <c r="M1582" s="217" t="s">
        <v>31</v>
      </c>
      <c r="N1582" s="217" t="s">
        <v>32</v>
      </c>
      <c r="O1582" s="217" t="s">
        <v>141</v>
      </c>
      <c r="P1582" s="217" t="s">
        <v>142</v>
      </c>
      <c r="Q1582" s="217" t="s">
        <v>143</v>
      </c>
      <c r="R1582" s="217" t="s">
        <v>142</v>
      </c>
      <c r="S1582" s="217" t="s">
        <v>619</v>
      </c>
      <c r="T1582" s="217" t="s">
        <v>32</v>
      </c>
      <c r="U1582" s="217" t="s">
        <v>32</v>
      </c>
      <c r="V1582" s="217" t="s">
        <v>32</v>
      </c>
      <c r="W1582" s="217" t="s">
        <v>32</v>
      </c>
    </row>
    <row r="1583" spans="1:23" x14ac:dyDescent="0.25">
      <c r="A1583" s="217" t="s">
        <v>22</v>
      </c>
      <c r="B1583" s="217" t="s">
        <v>23</v>
      </c>
      <c r="C1583" s="217" t="s">
        <v>37</v>
      </c>
      <c r="D1583" s="217" t="s">
        <v>36</v>
      </c>
      <c r="E1583" s="217" t="s">
        <v>250</v>
      </c>
      <c r="F1583" s="217" t="s">
        <v>249</v>
      </c>
      <c r="G1583" s="217" t="s">
        <v>262</v>
      </c>
      <c r="H1583" s="217" t="s">
        <v>1478</v>
      </c>
      <c r="I1583" s="217" t="s">
        <v>616</v>
      </c>
      <c r="J1583" s="217" t="s">
        <v>1857</v>
      </c>
      <c r="K1583" s="217">
        <v>4</v>
      </c>
      <c r="L1583" s="217">
        <v>20</v>
      </c>
      <c r="M1583" s="217" t="s">
        <v>31</v>
      </c>
      <c r="N1583" s="217" t="s">
        <v>32</v>
      </c>
      <c r="O1583" s="217" t="s">
        <v>141</v>
      </c>
      <c r="P1583" s="217" t="s">
        <v>142</v>
      </c>
      <c r="Q1583" s="217" t="s">
        <v>143</v>
      </c>
      <c r="R1583" s="217" t="s">
        <v>142</v>
      </c>
      <c r="S1583" s="217" t="s">
        <v>619</v>
      </c>
      <c r="T1583" s="217" t="s">
        <v>32</v>
      </c>
      <c r="U1583" s="217" t="s">
        <v>32</v>
      </c>
      <c r="V1583" s="217" t="s">
        <v>32</v>
      </c>
      <c r="W1583" s="217" t="s">
        <v>32</v>
      </c>
    </row>
    <row r="1584" spans="1:23" x14ac:dyDescent="0.25">
      <c r="A1584" s="217" t="s">
        <v>22</v>
      </c>
      <c r="B1584" s="217" t="s">
        <v>23</v>
      </c>
      <c r="C1584" s="217" t="s">
        <v>37</v>
      </c>
      <c r="D1584" s="217" t="s">
        <v>36</v>
      </c>
      <c r="E1584" s="217" t="s">
        <v>250</v>
      </c>
      <c r="F1584" s="217" t="s">
        <v>249</v>
      </c>
      <c r="G1584" s="217" t="s">
        <v>262</v>
      </c>
      <c r="H1584" s="217" t="s">
        <v>1478</v>
      </c>
      <c r="I1584" s="217" t="s">
        <v>616</v>
      </c>
      <c r="J1584" s="217" t="s">
        <v>1858</v>
      </c>
      <c r="K1584" s="217">
        <v>3</v>
      </c>
      <c r="L1584" s="217">
        <v>15</v>
      </c>
      <c r="M1584" s="217" t="s">
        <v>31</v>
      </c>
      <c r="N1584" s="217" t="s">
        <v>32</v>
      </c>
      <c r="O1584" s="217" t="s">
        <v>141</v>
      </c>
      <c r="P1584" s="217" t="s">
        <v>142</v>
      </c>
      <c r="Q1584" s="217" t="s">
        <v>143</v>
      </c>
      <c r="R1584" s="217" t="s">
        <v>142</v>
      </c>
      <c r="S1584" s="217" t="s">
        <v>619</v>
      </c>
      <c r="T1584" s="217" t="s">
        <v>32</v>
      </c>
      <c r="U1584" s="217" t="s">
        <v>32</v>
      </c>
      <c r="V1584" s="217" t="s">
        <v>32</v>
      </c>
      <c r="W1584" s="217" t="s">
        <v>32</v>
      </c>
    </row>
    <row r="1585" spans="1:23" x14ac:dyDescent="0.25">
      <c r="A1585" s="217" t="s">
        <v>22</v>
      </c>
      <c r="B1585" s="217" t="s">
        <v>23</v>
      </c>
      <c r="C1585" s="217" t="s">
        <v>37</v>
      </c>
      <c r="D1585" s="217" t="s">
        <v>36</v>
      </c>
      <c r="E1585" s="217" t="s">
        <v>250</v>
      </c>
      <c r="F1585" s="217" t="s">
        <v>249</v>
      </c>
      <c r="G1585" s="217" t="s">
        <v>606</v>
      </c>
      <c r="H1585" s="217" t="s">
        <v>1486</v>
      </c>
      <c r="I1585" s="217" t="s">
        <v>616</v>
      </c>
      <c r="J1585" s="217" t="s">
        <v>1856</v>
      </c>
      <c r="K1585" s="217">
        <v>14</v>
      </c>
      <c r="L1585" s="217">
        <v>70</v>
      </c>
      <c r="M1585" s="217" t="s">
        <v>31</v>
      </c>
      <c r="N1585" s="217" t="s">
        <v>32</v>
      </c>
      <c r="O1585" s="217" t="s">
        <v>141</v>
      </c>
      <c r="P1585" s="217" t="s">
        <v>142</v>
      </c>
      <c r="Q1585" s="217" t="s">
        <v>143</v>
      </c>
      <c r="R1585" s="217" t="s">
        <v>142</v>
      </c>
      <c r="S1585" s="217" t="s">
        <v>619</v>
      </c>
      <c r="T1585" s="217" t="s">
        <v>32</v>
      </c>
      <c r="U1585" s="217" t="s">
        <v>32</v>
      </c>
      <c r="V1585" s="217" t="s">
        <v>32</v>
      </c>
      <c r="W1585" s="217" t="s">
        <v>32</v>
      </c>
    </row>
    <row r="1586" spans="1:23" x14ac:dyDescent="0.25">
      <c r="A1586" s="217" t="s">
        <v>22</v>
      </c>
      <c r="B1586" s="217" t="s">
        <v>23</v>
      </c>
      <c r="C1586" s="217" t="s">
        <v>37</v>
      </c>
      <c r="D1586" s="217" t="s">
        <v>36</v>
      </c>
      <c r="E1586" s="217" t="s">
        <v>250</v>
      </c>
      <c r="F1586" s="217" t="s">
        <v>249</v>
      </c>
      <c r="G1586" s="217" t="s">
        <v>606</v>
      </c>
      <c r="H1586" s="217" t="s">
        <v>1486</v>
      </c>
      <c r="I1586" s="217" t="s">
        <v>616</v>
      </c>
      <c r="J1586" s="217" t="s">
        <v>1858</v>
      </c>
      <c r="K1586" s="217">
        <v>3</v>
      </c>
      <c r="L1586" s="217">
        <v>15</v>
      </c>
      <c r="M1586" s="217" t="s">
        <v>31</v>
      </c>
      <c r="N1586" s="217" t="s">
        <v>32</v>
      </c>
      <c r="O1586" s="217" t="s">
        <v>141</v>
      </c>
      <c r="P1586" s="217" t="s">
        <v>142</v>
      </c>
      <c r="Q1586" s="217" t="s">
        <v>143</v>
      </c>
      <c r="R1586" s="217" t="s">
        <v>142</v>
      </c>
      <c r="S1586" s="217" t="s">
        <v>619</v>
      </c>
      <c r="T1586" s="217" t="s">
        <v>32</v>
      </c>
      <c r="U1586" s="217" t="s">
        <v>32</v>
      </c>
      <c r="V1586" s="217" t="s">
        <v>32</v>
      </c>
      <c r="W1586" s="217" t="s">
        <v>32</v>
      </c>
    </row>
    <row r="1587" spans="1:23" x14ac:dyDescent="0.25">
      <c r="A1587" s="217" t="s">
        <v>22</v>
      </c>
      <c r="B1587" s="217" t="s">
        <v>23</v>
      </c>
      <c r="C1587" s="217" t="s">
        <v>37</v>
      </c>
      <c r="D1587" s="217" t="s">
        <v>36</v>
      </c>
      <c r="E1587" s="217" t="s">
        <v>608</v>
      </c>
      <c r="F1587" s="217" t="s">
        <v>609</v>
      </c>
      <c r="G1587" s="217" t="s">
        <v>614</v>
      </c>
      <c r="H1587" s="217" t="s">
        <v>1494</v>
      </c>
      <c r="I1587" s="217" t="s">
        <v>616</v>
      </c>
      <c r="J1587" s="217" t="s">
        <v>1856</v>
      </c>
      <c r="K1587" s="217">
        <v>8</v>
      </c>
      <c r="L1587" s="217">
        <v>13</v>
      </c>
      <c r="M1587" s="217" t="s">
        <v>31</v>
      </c>
      <c r="N1587" s="217" t="s">
        <v>32</v>
      </c>
      <c r="O1587" s="217" t="s">
        <v>141</v>
      </c>
      <c r="P1587" s="217" t="s">
        <v>142</v>
      </c>
      <c r="Q1587" s="217" t="s">
        <v>143</v>
      </c>
      <c r="R1587" s="217" t="s">
        <v>142</v>
      </c>
      <c r="S1587" s="217" t="s">
        <v>619</v>
      </c>
      <c r="T1587" s="217" t="s">
        <v>32</v>
      </c>
      <c r="U1587" s="217" t="s">
        <v>32</v>
      </c>
      <c r="V1587" s="217" t="s">
        <v>32</v>
      </c>
      <c r="W1587" s="217" t="s">
        <v>32</v>
      </c>
    </row>
    <row r="1588" spans="1:23" x14ac:dyDescent="0.25">
      <c r="A1588" s="217" t="s">
        <v>22</v>
      </c>
      <c r="B1588" s="217" t="s">
        <v>23</v>
      </c>
      <c r="C1588" s="217" t="s">
        <v>37</v>
      </c>
      <c r="D1588" s="217" t="s">
        <v>36</v>
      </c>
      <c r="E1588" s="217" t="s">
        <v>608</v>
      </c>
      <c r="F1588" s="217" t="s">
        <v>609</v>
      </c>
      <c r="G1588" s="217" t="s">
        <v>2145</v>
      </c>
      <c r="H1588" s="217" t="s">
        <v>1496</v>
      </c>
      <c r="I1588" s="217" t="s">
        <v>616</v>
      </c>
      <c r="J1588" s="217" t="s">
        <v>1856</v>
      </c>
      <c r="K1588" s="217">
        <v>1</v>
      </c>
      <c r="L1588" s="217">
        <v>6</v>
      </c>
      <c r="M1588" s="217" t="s">
        <v>31</v>
      </c>
      <c r="N1588" s="217" t="s">
        <v>32</v>
      </c>
      <c r="O1588" s="217" t="s">
        <v>141</v>
      </c>
      <c r="P1588" s="217" t="s">
        <v>142</v>
      </c>
      <c r="Q1588" s="217" t="s">
        <v>143</v>
      </c>
      <c r="R1588" s="217" t="s">
        <v>142</v>
      </c>
      <c r="S1588" s="217" t="s">
        <v>2148</v>
      </c>
      <c r="T1588" s="217" t="s">
        <v>32</v>
      </c>
      <c r="U1588" s="217" t="s">
        <v>32</v>
      </c>
      <c r="V1588" s="217" t="s">
        <v>32</v>
      </c>
      <c r="W1588" s="217" t="s">
        <v>32</v>
      </c>
    </row>
    <row r="1589" spans="1:23" x14ac:dyDescent="0.25">
      <c r="A1589" s="217" t="s">
        <v>22</v>
      </c>
      <c r="B1589" s="217" t="s">
        <v>23</v>
      </c>
      <c r="C1589" s="217" t="s">
        <v>24</v>
      </c>
      <c r="D1589" s="217" t="s">
        <v>25</v>
      </c>
      <c r="E1589" s="217" t="s">
        <v>656</v>
      </c>
      <c r="F1589" s="217" t="s">
        <v>657</v>
      </c>
      <c r="G1589" s="217" t="s">
        <v>658</v>
      </c>
      <c r="H1589" s="217" t="s">
        <v>1553</v>
      </c>
      <c r="I1589" s="217" t="s">
        <v>659</v>
      </c>
      <c r="J1589" s="217" t="s">
        <v>1855</v>
      </c>
      <c r="K1589" s="217">
        <v>1</v>
      </c>
      <c r="L1589" s="217">
        <v>22</v>
      </c>
      <c r="M1589" s="217" t="s">
        <v>637</v>
      </c>
      <c r="N1589" s="217" t="s">
        <v>1975</v>
      </c>
      <c r="O1589" s="217" t="s">
        <v>141</v>
      </c>
      <c r="P1589" s="217" t="s">
        <v>660</v>
      </c>
      <c r="Q1589" s="217" t="s">
        <v>848</v>
      </c>
      <c r="R1589" s="217" t="s">
        <v>1842</v>
      </c>
      <c r="S1589" s="217" t="s">
        <v>1843</v>
      </c>
      <c r="T1589" s="217" t="s">
        <v>32</v>
      </c>
      <c r="U1589" s="217" t="s">
        <v>32</v>
      </c>
      <c r="V1589" s="217" t="s">
        <v>32</v>
      </c>
      <c r="W1589" s="217" t="s">
        <v>32</v>
      </c>
    </row>
    <row r="1590" spans="1:23" x14ac:dyDescent="0.25">
      <c r="A1590" s="217" t="s">
        <v>22</v>
      </c>
      <c r="B1590" s="217" t="s">
        <v>23</v>
      </c>
      <c r="C1590" s="217" t="s">
        <v>24</v>
      </c>
      <c r="D1590" s="217" t="s">
        <v>25</v>
      </c>
      <c r="E1590" s="217" t="s">
        <v>656</v>
      </c>
      <c r="F1590" s="217" t="s">
        <v>657</v>
      </c>
      <c r="G1590" s="217" t="s">
        <v>661</v>
      </c>
      <c r="H1590" s="217" t="s">
        <v>1554</v>
      </c>
      <c r="I1590" s="217" t="s">
        <v>659</v>
      </c>
      <c r="J1590" s="217" t="s">
        <v>1855</v>
      </c>
      <c r="K1590" s="217">
        <v>3</v>
      </c>
      <c r="L1590" s="217">
        <v>45</v>
      </c>
      <c r="M1590" s="217" t="s">
        <v>637</v>
      </c>
      <c r="N1590" s="217" t="s">
        <v>1975</v>
      </c>
      <c r="O1590" s="217" t="s">
        <v>141</v>
      </c>
      <c r="P1590" s="217" t="s">
        <v>660</v>
      </c>
      <c r="Q1590" s="217" t="s">
        <v>848</v>
      </c>
      <c r="R1590" s="217" t="s">
        <v>1842</v>
      </c>
      <c r="S1590" s="217" t="s">
        <v>1843</v>
      </c>
      <c r="T1590" s="217" t="s">
        <v>32</v>
      </c>
      <c r="U1590" s="217" t="s">
        <v>32</v>
      </c>
      <c r="V1590" s="217" t="s">
        <v>32</v>
      </c>
      <c r="W1590" s="217" t="s">
        <v>32</v>
      </c>
    </row>
    <row r="1591" spans="1:23" x14ac:dyDescent="0.25">
      <c r="A1591" s="217" t="s">
        <v>22</v>
      </c>
      <c r="B1591" s="217" t="s">
        <v>23</v>
      </c>
      <c r="C1591" s="217" t="s">
        <v>24</v>
      </c>
      <c r="D1591" s="217" t="s">
        <v>25</v>
      </c>
      <c r="E1591" s="217" t="s">
        <v>656</v>
      </c>
      <c r="F1591" s="217" t="s">
        <v>657</v>
      </c>
      <c r="G1591" s="217" t="s">
        <v>662</v>
      </c>
      <c r="H1591" s="217" t="s">
        <v>1555</v>
      </c>
      <c r="I1591" s="217" t="s">
        <v>659</v>
      </c>
      <c r="J1591" s="217" t="s">
        <v>1855</v>
      </c>
      <c r="K1591" s="217">
        <v>12</v>
      </c>
      <c r="L1591" s="217">
        <v>136</v>
      </c>
      <c r="M1591" s="217" t="s">
        <v>637</v>
      </c>
      <c r="N1591" s="217" t="s">
        <v>1975</v>
      </c>
      <c r="O1591" s="217" t="s">
        <v>141</v>
      </c>
      <c r="P1591" s="217" t="s">
        <v>660</v>
      </c>
      <c r="Q1591" s="217" t="s">
        <v>848</v>
      </c>
      <c r="R1591" s="217" t="s">
        <v>1842</v>
      </c>
      <c r="S1591" s="217" t="s">
        <v>1843</v>
      </c>
      <c r="T1591" s="217" t="s">
        <v>32</v>
      </c>
      <c r="U1591" s="217" t="s">
        <v>32</v>
      </c>
      <c r="V1591" s="217" t="s">
        <v>32</v>
      </c>
      <c r="W1591" s="217" t="s">
        <v>32</v>
      </c>
    </row>
    <row r="1592" spans="1:23" x14ac:dyDescent="0.25">
      <c r="A1592" s="217" t="s">
        <v>22</v>
      </c>
      <c r="B1592" s="217" t="s">
        <v>23</v>
      </c>
      <c r="C1592" s="217" t="s">
        <v>24</v>
      </c>
      <c r="D1592" s="217" t="s">
        <v>25</v>
      </c>
      <c r="E1592" s="217" t="s">
        <v>656</v>
      </c>
      <c r="F1592" s="217" t="s">
        <v>657</v>
      </c>
      <c r="G1592" s="217" t="s">
        <v>663</v>
      </c>
      <c r="H1592" s="217" t="s">
        <v>1556</v>
      </c>
      <c r="I1592" s="217" t="s">
        <v>659</v>
      </c>
      <c r="J1592" s="217" t="s">
        <v>1855</v>
      </c>
      <c r="K1592" s="217">
        <v>1</v>
      </c>
      <c r="L1592" s="217">
        <v>17</v>
      </c>
      <c r="M1592" s="217" t="s">
        <v>637</v>
      </c>
      <c r="N1592" s="217" t="s">
        <v>2149</v>
      </c>
      <c r="O1592" s="217" t="s">
        <v>141</v>
      </c>
      <c r="P1592" s="217" t="s">
        <v>660</v>
      </c>
      <c r="Q1592" s="217" t="s">
        <v>848</v>
      </c>
      <c r="R1592" s="217" t="s">
        <v>1842</v>
      </c>
      <c r="S1592" s="217" t="s">
        <v>1843</v>
      </c>
      <c r="T1592" s="217" t="s">
        <v>32</v>
      </c>
      <c r="U1592" s="217" t="s">
        <v>32</v>
      </c>
      <c r="V1592" s="217" t="s">
        <v>32</v>
      </c>
      <c r="W1592" s="217" t="s">
        <v>32</v>
      </c>
    </row>
    <row r="1593" spans="1:23" x14ac:dyDescent="0.25">
      <c r="A1593" s="217" t="s">
        <v>22</v>
      </c>
      <c r="B1593" s="217" t="s">
        <v>23</v>
      </c>
      <c r="C1593" s="217" t="s">
        <v>24</v>
      </c>
      <c r="D1593" s="217" t="s">
        <v>25</v>
      </c>
      <c r="E1593" s="217" t="s">
        <v>656</v>
      </c>
      <c r="F1593" s="217" t="s">
        <v>657</v>
      </c>
      <c r="G1593" s="217" t="s">
        <v>664</v>
      </c>
      <c r="H1593" s="217" t="s">
        <v>1557</v>
      </c>
      <c r="I1593" s="217" t="s">
        <v>659</v>
      </c>
      <c r="J1593" s="217" t="s">
        <v>1855</v>
      </c>
      <c r="K1593" s="217">
        <v>6</v>
      </c>
      <c r="L1593" s="217">
        <v>91</v>
      </c>
      <c r="M1593" s="217" t="s">
        <v>637</v>
      </c>
      <c r="N1593" s="217" t="s">
        <v>1975</v>
      </c>
      <c r="O1593" s="217" t="s">
        <v>141</v>
      </c>
      <c r="P1593" s="217" t="s">
        <v>660</v>
      </c>
      <c r="Q1593" s="217" t="s">
        <v>848</v>
      </c>
      <c r="R1593" s="217" t="s">
        <v>1842</v>
      </c>
      <c r="S1593" s="217" t="s">
        <v>1843</v>
      </c>
      <c r="T1593" s="217" t="s">
        <v>32</v>
      </c>
      <c r="U1593" s="217" t="s">
        <v>32</v>
      </c>
      <c r="V1593" s="217" t="s">
        <v>32</v>
      </c>
      <c r="W1593" s="217" t="s">
        <v>32</v>
      </c>
    </row>
    <row r="1594" spans="1:23" x14ac:dyDescent="0.25">
      <c r="A1594" s="217" t="s">
        <v>22</v>
      </c>
      <c r="B1594" s="217" t="s">
        <v>23</v>
      </c>
      <c r="C1594" s="217" t="s">
        <v>24</v>
      </c>
      <c r="D1594" s="217" t="s">
        <v>25</v>
      </c>
      <c r="E1594" s="217" t="s">
        <v>56</v>
      </c>
      <c r="F1594" s="217" t="s">
        <v>57</v>
      </c>
      <c r="G1594" s="217" t="s">
        <v>59</v>
      </c>
      <c r="H1594" s="217" t="s">
        <v>880</v>
      </c>
      <c r="I1594" s="217" t="s">
        <v>659</v>
      </c>
      <c r="J1594" s="217" t="s">
        <v>1859</v>
      </c>
      <c r="K1594" s="217">
        <v>1</v>
      </c>
      <c r="L1594" s="217">
        <v>4</v>
      </c>
      <c r="M1594" s="217" t="s">
        <v>31</v>
      </c>
      <c r="N1594" s="217" t="s">
        <v>32</v>
      </c>
      <c r="O1594" s="217" t="s">
        <v>668</v>
      </c>
      <c r="P1594" s="217" t="s">
        <v>34</v>
      </c>
      <c r="Q1594" s="217" t="s">
        <v>35</v>
      </c>
      <c r="R1594" s="217" t="s">
        <v>23</v>
      </c>
      <c r="S1594" s="217" t="s">
        <v>22</v>
      </c>
      <c r="T1594" s="217" t="s">
        <v>47</v>
      </c>
      <c r="U1594" s="217" t="s">
        <v>48</v>
      </c>
      <c r="V1594" s="217" t="s">
        <v>32</v>
      </c>
      <c r="W1594" s="217" t="s">
        <v>32</v>
      </c>
    </row>
    <row r="1595" spans="1:23" x14ac:dyDescent="0.25">
      <c r="A1595" s="217" t="s">
        <v>22</v>
      </c>
      <c r="B1595" s="217" t="s">
        <v>23</v>
      </c>
      <c r="C1595" s="217" t="s">
        <v>24</v>
      </c>
      <c r="D1595" s="217" t="s">
        <v>25</v>
      </c>
      <c r="E1595" s="217" t="s">
        <v>56</v>
      </c>
      <c r="F1595" s="217" t="s">
        <v>57</v>
      </c>
      <c r="G1595" s="217" t="s">
        <v>79</v>
      </c>
      <c r="H1595" s="217" t="s">
        <v>897</v>
      </c>
      <c r="I1595" s="217" t="s">
        <v>659</v>
      </c>
      <c r="J1595" s="217" t="s">
        <v>1858</v>
      </c>
      <c r="K1595" s="217">
        <v>4</v>
      </c>
      <c r="L1595" s="217">
        <v>15</v>
      </c>
      <c r="M1595" s="217" t="s">
        <v>31</v>
      </c>
      <c r="N1595" s="217" t="s">
        <v>32</v>
      </c>
      <c r="O1595" s="217" t="s">
        <v>668</v>
      </c>
      <c r="P1595" s="217" t="s">
        <v>34</v>
      </c>
      <c r="Q1595" s="217" t="s">
        <v>35</v>
      </c>
      <c r="R1595" s="217" t="s">
        <v>23</v>
      </c>
      <c r="S1595" s="217" t="s">
        <v>22</v>
      </c>
      <c r="T1595" s="217" t="s">
        <v>47</v>
      </c>
      <c r="U1595" s="217" t="s">
        <v>48</v>
      </c>
      <c r="V1595" s="217" t="s">
        <v>32</v>
      </c>
      <c r="W1595" s="217" t="s">
        <v>32</v>
      </c>
    </row>
    <row r="1596" spans="1:23" x14ac:dyDescent="0.25">
      <c r="A1596" s="217" t="s">
        <v>22</v>
      </c>
      <c r="B1596" s="217" t="s">
        <v>23</v>
      </c>
      <c r="C1596" s="217" t="s">
        <v>85</v>
      </c>
      <c r="D1596" s="217" t="s">
        <v>84</v>
      </c>
      <c r="E1596" s="217" t="s">
        <v>88</v>
      </c>
      <c r="F1596" s="217" t="s">
        <v>89</v>
      </c>
      <c r="G1596" s="217" t="s">
        <v>93</v>
      </c>
      <c r="H1596" s="217" t="s">
        <v>907</v>
      </c>
      <c r="I1596" s="217" t="s">
        <v>659</v>
      </c>
      <c r="J1596" s="217" t="s">
        <v>1856</v>
      </c>
      <c r="K1596" s="217">
        <v>67</v>
      </c>
      <c r="L1596" s="217">
        <v>337</v>
      </c>
      <c r="M1596" s="217" t="s">
        <v>31</v>
      </c>
      <c r="N1596" s="217" t="s">
        <v>32</v>
      </c>
      <c r="O1596" s="217" t="s">
        <v>141</v>
      </c>
      <c r="P1596" s="217" t="s">
        <v>142</v>
      </c>
      <c r="Q1596" s="217" t="s">
        <v>143</v>
      </c>
      <c r="R1596" s="217" t="s">
        <v>618</v>
      </c>
      <c r="S1596" s="217" t="s">
        <v>619</v>
      </c>
      <c r="T1596" s="217" t="s">
        <v>32</v>
      </c>
      <c r="U1596" s="217" t="s">
        <v>32</v>
      </c>
      <c r="V1596" s="217" t="s">
        <v>32</v>
      </c>
      <c r="W1596" s="217" t="s">
        <v>32</v>
      </c>
    </row>
    <row r="1597" spans="1:23" x14ac:dyDescent="0.25">
      <c r="A1597" s="217" t="s">
        <v>22</v>
      </c>
      <c r="B1597" s="217" t="s">
        <v>23</v>
      </c>
      <c r="C1597" s="217" t="s">
        <v>85</v>
      </c>
      <c r="D1597" s="217" t="s">
        <v>84</v>
      </c>
      <c r="E1597" s="217" t="s">
        <v>88</v>
      </c>
      <c r="F1597" s="217" t="s">
        <v>89</v>
      </c>
      <c r="G1597" s="217" t="s">
        <v>106</v>
      </c>
      <c r="H1597" s="217" t="s">
        <v>914</v>
      </c>
      <c r="I1597" s="217" t="s">
        <v>659</v>
      </c>
      <c r="J1597" s="217" t="s">
        <v>1858</v>
      </c>
      <c r="K1597" s="217">
        <v>4</v>
      </c>
      <c r="L1597" s="217">
        <v>22</v>
      </c>
      <c r="M1597" s="217" t="s">
        <v>31</v>
      </c>
      <c r="N1597" s="217" t="s">
        <v>32</v>
      </c>
      <c r="O1597" s="217" t="s">
        <v>141</v>
      </c>
      <c r="P1597" s="217" t="s">
        <v>142</v>
      </c>
      <c r="Q1597" s="217" t="s">
        <v>143</v>
      </c>
      <c r="R1597" s="217" t="s">
        <v>618</v>
      </c>
      <c r="S1597" s="217" t="s">
        <v>619</v>
      </c>
      <c r="T1597" s="217" t="s">
        <v>32</v>
      </c>
      <c r="U1597" s="217" t="s">
        <v>32</v>
      </c>
      <c r="V1597" s="217" t="s">
        <v>32</v>
      </c>
      <c r="W1597" s="217" t="s">
        <v>32</v>
      </c>
    </row>
    <row r="1598" spans="1:23" x14ac:dyDescent="0.25">
      <c r="A1598" s="217" t="s">
        <v>22</v>
      </c>
      <c r="B1598" s="217" t="s">
        <v>23</v>
      </c>
      <c r="C1598" s="217" t="s">
        <v>85</v>
      </c>
      <c r="D1598" s="217" t="s">
        <v>84</v>
      </c>
      <c r="E1598" s="217" t="s">
        <v>88</v>
      </c>
      <c r="F1598" s="217" t="s">
        <v>89</v>
      </c>
      <c r="G1598" s="217" t="s">
        <v>107</v>
      </c>
      <c r="H1598" s="217" t="s">
        <v>915</v>
      </c>
      <c r="I1598" s="217" t="s">
        <v>659</v>
      </c>
      <c r="J1598" s="217" t="s">
        <v>1858</v>
      </c>
      <c r="K1598" s="217">
        <v>2</v>
      </c>
      <c r="L1598" s="217">
        <v>22</v>
      </c>
      <c r="M1598" s="217" t="s">
        <v>31</v>
      </c>
      <c r="N1598" s="217" t="s">
        <v>32</v>
      </c>
      <c r="O1598" s="217" t="s">
        <v>668</v>
      </c>
      <c r="P1598" s="217" t="s">
        <v>34</v>
      </c>
      <c r="Q1598" s="217" t="s">
        <v>35</v>
      </c>
      <c r="R1598" s="217" t="s">
        <v>23</v>
      </c>
      <c r="S1598" s="217" t="s">
        <v>22</v>
      </c>
      <c r="T1598" s="217" t="s">
        <v>84</v>
      </c>
      <c r="U1598" s="217" t="s">
        <v>85</v>
      </c>
      <c r="V1598" s="217" t="s">
        <v>32</v>
      </c>
      <c r="W1598" s="217" t="s">
        <v>32</v>
      </c>
    </row>
    <row r="1599" spans="1:23" x14ac:dyDescent="0.25">
      <c r="A1599" s="217" t="s">
        <v>22</v>
      </c>
      <c r="B1599" s="217" t="s">
        <v>23</v>
      </c>
      <c r="C1599" s="217" t="s">
        <v>85</v>
      </c>
      <c r="D1599" s="217" t="s">
        <v>84</v>
      </c>
      <c r="E1599" s="217" t="s">
        <v>88</v>
      </c>
      <c r="F1599" s="217" t="s">
        <v>89</v>
      </c>
      <c r="G1599" s="217" t="s">
        <v>107</v>
      </c>
      <c r="H1599" s="217" t="s">
        <v>915</v>
      </c>
      <c r="I1599" s="217" t="s">
        <v>659</v>
      </c>
      <c r="J1599" s="217" t="s">
        <v>1855</v>
      </c>
      <c r="K1599" s="217">
        <v>7</v>
      </c>
      <c r="L1599" s="217">
        <v>100</v>
      </c>
      <c r="M1599" s="217" t="s">
        <v>31</v>
      </c>
      <c r="N1599" s="217" t="s">
        <v>32</v>
      </c>
      <c r="O1599" s="217" t="s">
        <v>141</v>
      </c>
      <c r="P1599" s="217" t="s">
        <v>142</v>
      </c>
      <c r="Q1599" s="217" t="s">
        <v>143</v>
      </c>
      <c r="R1599" s="217" t="s">
        <v>618</v>
      </c>
      <c r="S1599" s="217" t="s">
        <v>619</v>
      </c>
      <c r="T1599" s="217" t="s">
        <v>32</v>
      </c>
      <c r="U1599" s="217" t="s">
        <v>32</v>
      </c>
      <c r="V1599" s="217" t="s">
        <v>32</v>
      </c>
      <c r="W1599" s="217" t="s">
        <v>32</v>
      </c>
    </row>
    <row r="1600" spans="1:23" x14ac:dyDescent="0.25">
      <c r="A1600" s="217" t="s">
        <v>22</v>
      </c>
      <c r="B1600" s="217" t="s">
        <v>23</v>
      </c>
      <c r="C1600" s="217" t="s">
        <v>85</v>
      </c>
      <c r="D1600" s="217" t="s">
        <v>84</v>
      </c>
      <c r="E1600" s="217" t="s">
        <v>88</v>
      </c>
      <c r="F1600" s="217" t="s">
        <v>89</v>
      </c>
      <c r="G1600" s="217" t="s">
        <v>669</v>
      </c>
      <c r="H1600" s="217" t="s">
        <v>1558</v>
      </c>
      <c r="I1600" s="217" t="s">
        <v>659</v>
      </c>
      <c r="J1600" s="217" t="s">
        <v>1858</v>
      </c>
      <c r="K1600" s="217">
        <v>1</v>
      </c>
      <c r="L1600" s="217">
        <v>3</v>
      </c>
      <c r="M1600" s="217" t="s">
        <v>31</v>
      </c>
      <c r="N1600" s="217" t="s">
        <v>32</v>
      </c>
      <c r="O1600" s="217" t="s">
        <v>668</v>
      </c>
      <c r="P1600" s="217" t="s">
        <v>34</v>
      </c>
      <c r="Q1600" s="217" t="s">
        <v>35</v>
      </c>
      <c r="R1600" s="217" t="s">
        <v>23</v>
      </c>
      <c r="S1600" s="217" t="s">
        <v>22</v>
      </c>
      <c r="T1600" s="217" t="s">
        <v>84</v>
      </c>
      <c r="U1600" s="217" t="s">
        <v>85</v>
      </c>
      <c r="V1600" s="217" t="s">
        <v>32</v>
      </c>
      <c r="W1600" s="217" t="s">
        <v>32</v>
      </c>
    </row>
    <row r="1601" spans="1:23" x14ac:dyDescent="0.25">
      <c r="A1601" s="217" t="s">
        <v>22</v>
      </c>
      <c r="B1601" s="217" t="s">
        <v>23</v>
      </c>
      <c r="C1601" s="217" t="s">
        <v>85</v>
      </c>
      <c r="D1601" s="217" t="s">
        <v>84</v>
      </c>
      <c r="E1601" s="217" t="s">
        <v>88</v>
      </c>
      <c r="F1601" s="217" t="s">
        <v>89</v>
      </c>
      <c r="G1601" s="217" t="s">
        <v>669</v>
      </c>
      <c r="H1601" s="217" t="s">
        <v>1558</v>
      </c>
      <c r="I1601" s="217" t="s">
        <v>659</v>
      </c>
      <c r="J1601" s="217" t="s">
        <v>1855</v>
      </c>
      <c r="K1601" s="217">
        <v>6</v>
      </c>
      <c r="L1601" s="217">
        <v>64</v>
      </c>
      <c r="M1601" s="217" t="s">
        <v>31</v>
      </c>
      <c r="N1601" s="217" t="s">
        <v>32</v>
      </c>
      <c r="O1601" s="217" t="s">
        <v>141</v>
      </c>
      <c r="P1601" s="217" t="s">
        <v>142</v>
      </c>
      <c r="Q1601" s="217" t="s">
        <v>143</v>
      </c>
      <c r="R1601" s="217" t="s">
        <v>618</v>
      </c>
      <c r="S1601" s="217" t="s">
        <v>619</v>
      </c>
      <c r="T1601" s="217" t="s">
        <v>32</v>
      </c>
      <c r="U1601" s="217" t="s">
        <v>32</v>
      </c>
      <c r="V1601" s="217" t="s">
        <v>32</v>
      </c>
      <c r="W1601" s="217" t="s">
        <v>32</v>
      </c>
    </row>
    <row r="1602" spans="1:23" x14ac:dyDescent="0.25">
      <c r="A1602" s="217" t="s">
        <v>22</v>
      </c>
      <c r="B1602" s="217" t="s">
        <v>23</v>
      </c>
      <c r="C1602" s="217" t="s">
        <v>85</v>
      </c>
      <c r="D1602" s="217" t="s">
        <v>84</v>
      </c>
      <c r="E1602" s="217" t="s">
        <v>88</v>
      </c>
      <c r="F1602" s="217" t="s">
        <v>89</v>
      </c>
      <c r="G1602" s="217" t="s">
        <v>1809</v>
      </c>
      <c r="H1602" s="217" t="s">
        <v>1808</v>
      </c>
      <c r="I1602" s="217" t="s">
        <v>659</v>
      </c>
      <c r="J1602" s="217" t="s">
        <v>1857</v>
      </c>
      <c r="K1602" s="217">
        <v>4</v>
      </c>
      <c r="L1602" s="217">
        <v>15</v>
      </c>
      <c r="M1602" s="217" t="s">
        <v>31</v>
      </c>
      <c r="N1602" s="217" t="s">
        <v>32</v>
      </c>
      <c r="O1602" s="217" t="s">
        <v>668</v>
      </c>
      <c r="P1602" s="217" t="s">
        <v>34</v>
      </c>
      <c r="Q1602" s="217" t="s">
        <v>35</v>
      </c>
      <c r="R1602" s="217" t="s">
        <v>23</v>
      </c>
      <c r="S1602" s="217" t="s">
        <v>22</v>
      </c>
      <c r="T1602" s="217" t="s">
        <v>84</v>
      </c>
      <c r="U1602" s="217" t="s">
        <v>85</v>
      </c>
      <c r="V1602" s="217" t="s">
        <v>32</v>
      </c>
      <c r="W1602" s="217" t="s">
        <v>32</v>
      </c>
    </row>
    <row r="1603" spans="1:23" x14ac:dyDescent="0.25">
      <c r="A1603" s="217" t="s">
        <v>22</v>
      </c>
      <c r="B1603" s="217" t="s">
        <v>23</v>
      </c>
      <c r="C1603" s="217" t="s">
        <v>85</v>
      </c>
      <c r="D1603" s="217" t="s">
        <v>84</v>
      </c>
      <c r="E1603" s="217" t="s">
        <v>88</v>
      </c>
      <c r="F1603" s="217" t="s">
        <v>89</v>
      </c>
      <c r="G1603" s="217" t="s">
        <v>1809</v>
      </c>
      <c r="H1603" s="217" t="s">
        <v>1808</v>
      </c>
      <c r="I1603" s="217" t="s">
        <v>659</v>
      </c>
      <c r="J1603" s="217" t="s">
        <v>1858</v>
      </c>
      <c r="K1603" s="217">
        <v>5</v>
      </c>
      <c r="L1603" s="217">
        <v>22</v>
      </c>
      <c r="M1603" s="217" t="s">
        <v>31</v>
      </c>
      <c r="N1603" s="217" t="s">
        <v>32</v>
      </c>
      <c r="O1603" s="217" t="s">
        <v>668</v>
      </c>
      <c r="P1603" s="217" t="s">
        <v>34</v>
      </c>
      <c r="Q1603" s="217" t="s">
        <v>35</v>
      </c>
      <c r="R1603" s="217" t="s">
        <v>23</v>
      </c>
      <c r="S1603" s="217" t="s">
        <v>22</v>
      </c>
      <c r="T1603" s="217" t="s">
        <v>84</v>
      </c>
      <c r="U1603" s="217" t="s">
        <v>85</v>
      </c>
      <c r="V1603" s="217" t="s">
        <v>32</v>
      </c>
      <c r="W1603" s="217" t="s">
        <v>32</v>
      </c>
    </row>
    <row r="1604" spans="1:23" x14ac:dyDescent="0.25">
      <c r="A1604" s="217" t="s">
        <v>22</v>
      </c>
      <c r="B1604" s="217" t="s">
        <v>23</v>
      </c>
      <c r="C1604" s="217" t="s">
        <v>85</v>
      </c>
      <c r="D1604" s="217" t="s">
        <v>84</v>
      </c>
      <c r="E1604" s="217" t="s">
        <v>88</v>
      </c>
      <c r="F1604" s="217" t="s">
        <v>89</v>
      </c>
      <c r="G1604" s="217" t="s">
        <v>108</v>
      </c>
      <c r="H1604" s="217" t="s">
        <v>917</v>
      </c>
      <c r="I1604" s="217" t="s">
        <v>659</v>
      </c>
      <c r="J1604" s="217" t="s">
        <v>1856</v>
      </c>
      <c r="K1604" s="217">
        <v>6</v>
      </c>
      <c r="L1604" s="217">
        <v>50</v>
      </c>
      <c r="M1604" s="217" t="s">
        <v>31</v>
      </c>
      <c r="N1604" s="217" t="s">
        <v>32</v>
      </c>
      <c r="O1604" s="217" t="s">
        <v>668</v>
      </c>
      <c r="P1604" s="217" t="s">
        <v>34</v>
      </c>
      <c r="Q1604" s="217" t="s">
        <v>35</v>
      </c>
      <c r="R1604" s="217" t="s">
        <v>23</v>
      </c>
      <c r="S1604" s="217" t="s">
        <v>22</v>
      </c>
      <c r="T1604" s="217" t="s">
        <v>84</v>
      </c>
      <c r="U1604" s="217" t="s">
        <v>85</v>
      </c>
      <c r="V1604" s="217" t="s">
        <v>32</v>
      </c>
      <c r="W1604" s="217" t="s">
        <v>32</v>
      </c>
    </row>
    <row r="1605" spans="1:23" x14ac:dyDescent="0.25">
      <c r="A1605" s="217" t="s">
        <v>22</v>
      </c>
      <c r="B1605" s="217" t="s">
        <v>23</v>
      </c>
      <c r="C1605" s="217" t="s">
        <v>85</v>
      </c>
      <c r="D1605" s="217" t="s">
        <v>84</v>
      </c>
      <c r="E1605" s="217" t="s">
        <v>88</v>
      </c>
      <c r="F1605" s="217" t="s">
        <v>89</v>
      </c>
      <c r="G1605" s="217" t="s">
        <v>108</v>
      </c>
      <c r="H1605" s="217" t="s">
        <v>917</v>
      </c>
      <c r="I1605" s="217" t="s">
        <v>659</v>
      </c>
      <c r="J1605" s="217" t="s">
        <v>1857</v>
      </c>
      <c r="K1605" s="217">
        <v>1</v>
      </c>
      <c r="L1605" s="217">
        <v>8</v>
      </c>
      <c r="M1605" s="217" t="s">
        <v>31</v>
      </c>
      <c r="N1605" s="217" t="s">
        <v>32</v>
      </c>
      <c r="O1605" s="217" t="s">
        <v>668</v>
      </c>
      <c r="P1605" s="217" t="s">
        <v>34</v>
      </c>
      <c r="Q1605" s="217" t="s">
        <v>35</v>
      </c>
      <c r="R1605" s="217" t="s">
        <v>23</v>
      </c>
      <c r="S1605" s="217" t="s">
        <v>22</v>
      </c>
      <c r="T1605" s="217" t="s">
        <v>84</v>
      </c>
      <c r="U1605" s="217" t="s">
        <v>85</v>
      </c>
      <c r="V1605" s="217" t="s">
        <v>32</v>
      </c>
      <c r="W1605" s="217" t="s">
        <v>32</v>
      </c>
    </row>
    <row r="1606" spans="1:23" x14ac:dyDescent="0.25">
      <c r="A1606" s="217" t="s">
        <v>22</v>
      </c>
      <c r="B1606" s="217" t="s">
        <v>23</v>
      </c>
      <c r="C1606" s="217" t="s">
        <v>85</v>
      </c>
      <c r="D1606" s="217" t="s">
        <v>84</v>
      </c>
      <c r="E1606" s="217" t="s">
        <v>95</v>
      </c>
      <c r="F1606" s="217" t="s">
        <v>94</v>
      </c>
      <c r="G1606" s="217" t="s">
        <v>115</v>
      </c>
      <c r="H1606" s="217" t="s">
        <v>923</v>
      </c>
      <c r="I1606" s="217" t="s">
        <v>659</v>
      </c>
      <c r="J1606" s="217" t="s">
        <v>1858</v>
      </c>
      <c r="K1606" s="217">
        <v>25</v>
      </c>
      <c r="L1606" s="217">
        <v>212</v>
      </c>
      <c r="M1606" s="217" t="s">
        <v>31</v>
      </c>
      <c r="N1606" s="217" t="s">
        <v>32</v>
      </c>
      <c r="O1606" s="217" t="s">
        <v>668</v>
      </c>
      <c r="P1606" s="217" t="s">
        <v>34</v>
      </c>
      <c r="Q1606" s="217" t="s">
        <v>35</v>
      </c>
      <c r="R1606" s="217" t="s">
        <v>23</v>
      </c>
      <c r="S1606" s="217" t="s">
        <v>22</v>
      </c>
      <c r="T1606" s="217" t="s">
        <v>84</v>
      </c>
      <c r="U1606" s="217" t="s">
        <v>85</v>
      </c>
      <c r="V1606" s="217" t="s">
        <v>32</v>
      </c>
      <c r="W1606" s="217" t="s">
        <v>32</v>
      </c>
    </row>
    <row r="1607" spans="1:23" x14ac:dyDescent="0.25">
      <c r="A1607" s="217" t="s">
        <v>22</v>
      </c>
      <c r="B1607" s="217" t="s">
        <v>23</v>
      </c>
      <c r="C1607" s="217" t="s">
        <v>85</v>
      </c>
      <c r="D1607" s="217" t="s">
        <v>84</v>
      </c>
      <c r="E1607" s="217" t="s">
        <v>95</v>
      </c>
      <c r="F1607" s="217" t="s">
        <v>94</v>
      </c>
      <c r="G1607" s="217" t="s">
        <v>263</v>
      </c>
      <c r="H1607" s="217" t="s">
        <v>930</v>
      </c>
      <c r="I1607" s="217" t="s">
        <v>659</v>
      </c>
      <c r="J1607" s="217" t="s">
        <v>1856</v>
      </c>
      <c r="K1607" s="217">
        <v>5</v>
      </c>
      <c r="L1607" s="217">
        <v>41</v>
      </c>
      <c r="M1607" s="217" t="s">
        <v>31</v>
      </c>
      <c r="N1607" s="217" t="s">
        <v>32</v>
      </c>
      <c r="O1607" s="217" t="s">
        <v>668</v>
      </c>
      <c r="P1607" s="217" t="s">
        <v>34</v>
      </c>
      <c r="Q1607" s="217" t="s">
        <v>35</v>
      </c>
      <c r="R1607" s="217" t="s">
        <v>23</v>
      </c>
      <c r="S1607" s="217" t="s">
        <v>22</v>
      </c>
      <c r="T1607" s="217" t="s">
        <v>84</v>
      </c>
      <c r="U1607" s="217" t="s">
        <v>85</v>
      </c>
      <c r="V1607" s="217" t="s">
        <v>32</v>
      </c>
      <c r="W1607" s="217" t="s">
        <v>32</v>
      </c>
    </row>
    <row r="1608" spans="1:23" x14ac:dyDescent="0.25">
      <c r="A1608" s="217" t="s">
        <v>22</v>
      </c>
      <c r="B1608" s="217" t="s">
        <v>23</v>
      </c>
      <c r="C1608" s="217" t="s">
        <v>85</v>
      </c>
      <c r="D1608" s="217" t="s">
        <v>84</v>
      </c>
      <c r="E1608" s="217" t="s">
        <v>95</v>
      </c>
      <c r="F1608" s="217" t="s">
        <v>94</v>
      </c>
      <c r="G1608" s="217" t="s">
        <v>263</v>
      </c>
      <c r="H1608" s="217" t="s">
        <v>930</v>
      </c>
      <c r="I1608" s="217" t="s">
        <v>659</v>
      </c>
      <c r="J1608" s="217" t="s">
        <v>1858</v>
      </c>
      <c r="K1608" s="217">
        <v>3</v>
      </c>
      <c r="L1608" s="217">
        <v>21</v>
      </c>
      <c r="M1608" s="217" t="s">
        <v>31</v>
      </c>
      <c r="N1608" s="217" t="s">
        <v>32</v>
      </c>
      <c r="O1608" s="217" t="s">
        <v>668</v>
      </c>
      <c r="P1608" s="217" t="s">
        <v>34</v>
      </c>
      <c r="Q1608" s="217" t="s">
        <v>35</v>
      </c>
      <c r="R1608" s="217" t="s">
        <v>23</v>
      </c>
      <c r="S1608" s="217" t="s">
        <v>22</v>
      </c>
      <c r="T1608" s="217" t="s">
        <v>84</v>
      </c>
      <c r="U1608" s="217" t="s">
        <v>85</v>
      </c>
      <c r="V1608" s="217" t="s">
        <v>32</v>
      </c>
      <c r="W1608" s="217" t="s">
        <v>32</v>
      </c>
    </row>
    <row r="1609" spans="1:23" x14ac:dyDescent="0.25">
      <c r="A1609" s="217" t="s">
        <v>22</v>
      </c>
      <c r="B1609" s="217" t="s">
        <v>23</v>
      </c>
      <c r="C1609" s="217" t="s">
        <v>85</v>
      </c>
      <c r="D1609" s="217" t="s">
        <v>84</v>
      </c>
      <c r="E1609" s="217" t="s">
        <v>95</v>
      </c>
      <c r="F1609" s="217" t="s">
        <v>94</v>
      </c>
      <c r="G1609" s="217" t="s">
        <v>270</v>
      </c>
      <c r="H1609" s="217" t="s">
        <v>937</v>
      </c>
      <c r="I1609" s="217" t="s">
        <v>659</v>
      </c>
      <c r="J1609" s="217" t="s">
        <v>1856</v>
      </c>
      <c r="K1609" s="217">
        <v>22</v>
      </c>
      <c r="L1609" s="217">
        <v>155</v>
      </c>
      <c r="M1609" s="217" t="s">
        <v>31</v>
      </c>
      <c r="N1609" s="217" t="s">
        <v>32</v>
      </c>
      <c r="O1609" s="217" t="s">
        <v>668</v>
      </c>
      <c r="P1609" s="217" t="s">
        <v>34</v>
      </c>
      <c r="Q1609" s="217" t="s">
        <v>35</v>
      </c>
      <c r="R1609" s="217" t="s">
        <v>23</v>
      </c>
      <c r="S1609" s="217" t="s">
        <v>22</v>
      </c>
      <c r="T1609" s="217" t="s">
        <v>84</v>
      </c>
      <c r="U1609" s="217" t="s">
        <v>85</v>
      </c>
      <c r="V1609" s="217" t="s">
        <v>32</v>
      </c>
      <c r="W1609" s="217" t="s">
        <v>32</v>
      </c>
    </row>
    <row r="1610" spans="1:23" x14ac:dyDescent="0.25">
      <c r="A1610" s="217" t="s">
        <v>22</v>
      </c>
      <c r="B1610" s="217" t="s">
        <v>23</v>
      </c>
      <c r="C1610" s="217" t="s">
        <v>85</v>
      </c>
      <c r="D1610" s="217" t="s">
        <v>84</v>
      </c>
      <c r="E1610" s="217" t="s">
        <v>92</v>
      </c>
      <c r="F1610" s="217" t="s">
        <v>91</v>
      </c>
      <c r="G1610" s="217" t="s">
        <v>274</v>
      </c>
      <c r="H1610" s="217" t="s">
        <v>941</v>
      </c>
      <c r="I1610" s="217" t="s">
        <v>659</v>
      </c>
      <c r="J1610" s="217" t="s">
        <v>1859</v>
      </c>
      <c r="K1610" s="217">
        <v>11</v>
      </c>
      <c r="L1610" s="217">
        <v>97</v>
      </c>
      <c r="M1610" s="217" t="s">
        <v>31</v>
      </c>
      <c r="N1610" s="217" t="s">
        <v>32</v>
      </c>
      <c r="O1610" s="217" t="s">
        <v>668</v>
      </c>
      <c r="P1610" s="217" t="s">
        <v>34</v>
      </c>
      <c r="Q1610" s="217" t="s">
        <v>35</v>
      </c>
      <c r="R1610" s="217" t="s">
        <v>23</v>
      </c>
      <c r="S1610" s="217" t="s">
        <v>22</v>
      </c>
      <c r="T1610" s="217" t="s">
        <v>84</v>
      </c>
      <c r="U1610" s="217" t="s">
        <v>85</v>
      </c>
      <c r="V1610" s="217" t="s">
        <v>32</v>
      </c>
      <c r="W1610" s="217" t="s">
        <v>32</v>
      </c>
    </row>
    <row r="1611" spans="1:23" x14ac:dyDescent="0.25">
      <c r="A1611" s="217" t="s">
        <v>22</v>
      </c>
      <c r="B1611" s="217" t="s">
        <v>23</v>
      </c>
      <c r="C1611" s="217" t="s">
        <v>85</v>
      </c>
      <c r="D1611" s="217" t="s">
        <v>84</v>
      </c>
      <c r="E1611" s="217" t="s">
        <v>92</v>
      </c>
      <c r="F1611" s="217" t="s">
        <v>91</v>
      </c>
      <c r="G1611" s="217" t="s">
        <v>280</v>
      </c>
      <c r="H1611" s="217" t="s">
        <v>948</v>
      </c>
      <c r="I1611" s="217" t="s">
        <v>659</v>
      </c>
      <c r="J1611" s="217" t="s">
        <v>1858</v>
      </c>
      <c r="K1611" s="217">
        <v>981</v>
      </c>
      <c r="L1611" s="217">
        <v>7763</v>
      </c>
      <c r="M1611" s="217" t="s">
        <v>31</v>
      </c>
      <c r="N1611" s="217" t="s">
        <v>2150</v>
      </c>
      <c r="O1611" s="217" t="s">
        <v>668</v>
      </c>
      <c r="P1611" s="217" t="s">
        <v>34</v>
      </c>
      <c r="Q1611" s="217" t="s">
        <v>35</v>
      </c>
      <c r="R1611" s="217" t="s">
        <v>23</v>
      </c>
      <c r="S1611" s="217" t="s">
        <v>22</v>
      </c>
      <c r="T1611" s="217" t="s">
        <v>84</v>
      </c>
      <c r="U1611" s="217" t="s">
        <v>85</v>
      </c>
      <c r="V1611" s="217" t="s">
        <v>32</v>
      </c>
      <c r="W1611" s="217" t="s">
        <v>32</v>
      </c>
    </row>
    <row r="1612" spans="1:23" x14ac:dyDescent="0.25">
      <c r="A1612" s="217" t="s">
        <v>22</v>
      </c>
      <c r="B1612" s="217" t="s">
        <v>23</v>
      </c>
      <c r="C1612" s="217" t="s">
        <v>85</v>
      </c>
      <c r="D1612" s="217" t="s">
        <v>84</v>
      </c>
      <c r="E1612" s="217" t="s">
        <v>92</v>
      </c>
      <c r="F1612" s="217" t="s">
        <v>91</v>
      </c>
      <c r="G1612" s="217" t="s">
        <v>2030</v>
      </c>
      <c r="H1612" s="217" t="s">
        <v>2029</v>
      </c>
      <c r="I1612" s="217" t="s">
        <v>659</v>
      </c>
      <c r="J1612" s="217" t="s">
        <v>1858</v>
      </c>
      <c r="K1612" s="217">
        <v>1</v>
      </c>
      <c r="L1612" s="217">
        <v>8</v>
      </c>
      <c r="M1612" s="217" t="s">
        <v>31</v>
      </c>
      <c r="N1612" s="217" t="s">
        <v>32</v>
      </c>
      <c r="O1612" s="217" t="s">
        <v>668</v>
      </c>
      <c r="P1612" s="217" t="s">
        <v>34</v>
      </c>
      <c r="Q1612" s="217" t="s">
        <v>35</v>
      </c>
      <c r="R1612" s="217" t="s">
        <v>23</v>
      </c>
      <c r="S1612" s="217" t="s">
        <v>22</v>
      </c>
      <c r="T1612" s="217" t="s">
        <v>84</v>
      </c>
      <c r="U1612" s="217" t="s">
        <v>85</v>
      </c>
      <c r="V1612" s="217" t="s">
        <v>32</v>
      </c>
      <c r="W1612" s="217" t="s">
        <v>32</v>
      </c>
    </row>
    <row r="1613" spans="1:23" x14ac:dyDescent="0.25">
      <c r="A1613" s="217" t="s">
        <v>22</v>
      </c>
      <c r="B1613" s="217" t="s">
        <v>23</v>
      </c>
      <c r="C1613" s="217" t="s">
        <v>85</v>
      </c>
      <c r="D1613" s="217" t="s">
        <v>84</v>
      </c>
      <c r="E1613" s="217" t="s">
        <v>92</v>
      </c>
      <c r="F1613" s="217" t="s">
        <v>91</v>
      </c>
      <c r="G1613" s="217" t="s">
        <v>290</v>
      </c>
      <c r="H1613" s="217" t="s">
        <v>968</v>
      </c>
      <c r="I1613" s="217" t="s">
        <v>659</v>
      </c>
      <c r="J1613" s="217" t="s">
        <v>1858</v>
      </c>
      <c r="K1613" s="217">
        <v>27</v>
      </c>
      <c r="L1613" s="217">
        <v>200</v>
      </c>
      <c r="M1613" s="217" t="s">
        <v>31</v>
      </c>
      <c r="N1613" s="217" t="s">
        <v>32</v>
      </c>
      <c r="O1613" s="217" t="s">
        <v>668</v>
      </c>
      <c r="P1613" s="217" t="s">
        <v>34</v>
      </c>
      <c r="Q1613" s="217" t="s">
        <v>35</v>
      </c>
      <c r="R1613" s="217" t="s">
        <v>23</v>
      </c>
      <c r="S1613" s="217" t="s">
        <v>22</v>
      </c>
      <c r="T1613" s="217" t="s">
        <v>84</v>
      </c>
      <c r="U1613" s="217" t="s">
        <v>85</v>
      </c>
      <c r="V1613" s="217" t="s">
        <v>32</v>
      </c>
      <c r="W1613" s="217" t="s">
        <v>32</v>
      </c>
    </row>
    <row r="1614" spans="1:23" x14ac:dyDescent="0.25">
      <c r="A1614" s="217" t="s">
        <v>22</v>
      </c>
      <c r="B1614" s="217" t="s">
        <v>23</v>
      </c>
      <c r="C1614" s="217" t="s">
        <v>85</v>
      </c>
      <c r="D1614" s="217" t="s">
        <v>84</v>
      </c>
      <c r="E1614" s="217" t="s">
        <v>92</v>
      </c>
      <c r="F1614" s="217" t="s">
        <v>91</v>
      </c>
      <c r="G1614" s="217" t="s">
        <v>290</v>
      </c>
      <c r="H1614" s="217" t="s">
        <v>968</v>
      </c>
      <c r="I1614" s="217" t="s">
        <v>659</v>
      </c>
      <c r="J1614" s="217" t="s">
        <v>1859</v>
      </c>
      <c r="K1614" s="217">
        <v>169</v>
      </c>
      <c r="L1614" s="217">
        <v>1220</v>
      </c>
      <c r="M1614" s="217" t="s">
        <v>31</v>
      </c>
      <c r="N1614" s="217" t="s">
        <v>32</v>
      </c>
      <c r="O1614" s="217" t="s">
        <v>668</v>
      </c>
      <c r="P1614" s="217" t="s">
        <v>34</v>
      </c>
      <c r="Q1614" s="217" t="s">
        <v>35</v>
      </c>
      <c r="R1614" s="217" t="s">
        <v>23</v>
      </c>
      <c r="S1614" s="217" t="s">
        <v>22</v>
      </c>
      <c r="T1614" s="217" t="s">
        <v>84</v>
      </c>
      <c r="U1614" s="217" t="s">
        <v>85</v>
      </c>
      <c r="V1614" s="217" t="s">
        <v>32</v>
      </c>
      <c r="W1614" s="217" t="s">
        <v>32</v>
      </c>
    </row>
    <row r="1615" spans="1:23" x14ac:dyDescent="0.25">
      <c r="A1615" s="217" t="s">
        <v>22</v>
      </c>
      <c r="B1615" s="217" t="s">
        <v>23</v>
      </c>
      <c r="C1615" s="217" t="s">
        <v>85</v>
      </c>
      <c r="D1615" s="217" t="s">
        <v>84</v>
      </c>
      <c r="E1615" s="217" t="s">
        <v>110</v>
      </c>
      <c r="F1615" s="217" t="s">
        <v>109</v>
      </c>
      <c r="G1615" s="217" t="s">
        <v>322</v>
      </c>
      <c r="H1615" s="217" t="s">
        <v>1006</v>
      </c>
      <c r="I1615" s="217" t="s">
        <v>659</v>
      </c>
      <c r="J1615" s="217" t="s">
        <v>1859</v>
      </c>
      <c r="K1615" s="217">
        <v>21</v>
      </c>
      <c r="L1615" s="217">
        <v>147</v>
      </c>
      <c r="M1615" s="217" t="s">
        <v>31</v>
      </c>
      <c r="N1615" s="217" t="s">
        <v>32</v>
      </c>
      <c r="O1615" s="217" t="s">
        <v>668</v>
      </c>
      <c r="P1615" s="217" t="s">
        <v>34</v>
      </c>
      <c r="Q1615" s="217" t="s">
        <v>35</v>
      </c>
      <c r="R1615" s="217" t="s">
        <v>23</v>
      </c>
      <c r="S1615" s="217" t="s">
        <v>22</v>
      </c>
      <c r="T1615" s="217" t="s">
        <v>84</v>
      </c>
      <c r="U1615" s="217" t="s">
        <v>85</v>
      </c>
      <c r="V1615" s="217" t="s">
        <v>32</v>
      </c>
      <c r="W1615" s="217" t="s">
        <v>32</v>
      </c>
    </row>
    <row r="1616" spans="1:23" x14ac:dyDescent="0.25">
      <c r="A1616" s="217" t="s">
        <v>22</v>
      </c>
      <c r="B1616" s="217" t="s">
        <v>23</v>
      </c>
      <c r="C1616" s="217" t="s">
        <v>85</v>
      </c>
      <c r="D1616" s="217" t="s">
        <v>84</v>
      </c>
      <c r="E1616" s="217" t="s">
        <v>110</v>
      </c>
      <c r="F1616" s="217" t="s">
        <v>109</v>
      </c>
      <c r="G1616" s="217" t="s">
        <v>148</v>
      </c>
      <c r="H1616" s="217" t="s">
        <v>1012</v>
      </c>
      <c r="I1616" s="217" t="s">
        <v>659</v>
      </c>
      <c r="J1616" s="217" t="s">
        <v>1858</v>
      </c>
      <c r="K1616" s="217">
        <v>46</v>
      </c>
      <c r="L1616" s="217">
        <v>368</v>
      </c>
      <c r="M1616" s="217" t="s">
        <v>31</v>
      </c>
      <c r="N1616" s="217" t="s">
        <v>32</v>
      </c>
      <c r="O1616" s="217" t="s">
        <v>668</v>
      </c>
      <c r="P1616" s="217" t="s">
        <v>34</v>
      </c>
      <c r="Q1616" s="217" t="s">
        <v>35</v>
      </c>
      <c r="R1616" s="217" t="s">
        <v>23</v>
      </c>
      <c r="S1616" s="217" t="s">
        <v>22</v>
      </c>
      <c r="T1616" s="217" t="s">
        <v>84</v>
      </c>
      <c r="U1616" s="217" t="s">
        <v>85</v>
      </c>
      <c r="V1616" s="217" t="s">
        <v>32</v>
      </c>
      <c r="W1616" s="217" t="s">
        <v>32</v>
      </c>
    </row>
    <row r="1617" spans="1:23" x14ac:dyDescent="0.25">
      <c r="A1617" s="217" t="s">
        <v>22</v>
      </c>
      <c r="B1617" s="217" t="s">
        <v>23</v>
      </c>
      <c r="C1617" s="217" t="s">
        <v>85</v>
      </c>
      <c r="D1617" s="217" t="s">
        <v>84</v>
      </c>
      <c r="E1617" s="217" t="s">
        <v>110</v>
      </c>
      <c r="F1617" s="217" t="s">
        <v>109</v>
      </c>
      <c r="G1617" s="217" t="s">
        <v>148</v>
      </c>
      <c r="H1617" s="217" t="s">
        <v>1012</v>
      </c>
      <c r="I1617" s="217" t="s">
        <v>659</v>
      </c>
      <c r="J1617" s="217" t="s">
        <v>1859</v>
      </c>
      <c r="K1617" s="217">
        <v>55</v>
      </c>
      <c r="L1617" s="217">
        <v>440</v>
      </c>
      <c r="M1617" s="217" t="s">
        <v>31</v>
      </c>
      <c r="N1617" s="217" t="s">
        <v>32</v>
      </c>
      <c r="O1617" s="217" t="s">
        <v>668</v>
      </c>
      <c r="P1617" s="217" t="s">
        <v>34</v>
      </c>
      <c r="Q1617" s="217" t="s">
        <v>35</v>
      </c>
      <c r="R1617" s="217" t="s">
        <v>23</v>
      </c>
      <c r="S1617" s="217" t="s">
        <v>22</v>
      </c>
      <c r="T1617" s="217" t="s">
        <v>84</v>
      </c>
      <c r="U1617" s="217" t="s">
        <v>85</v>
      </c>
      <c r="V1617" s="217" t="s">
        <v>32</v>
      </c>
      <c r="W1617" s="217" t="s">
        <v>32</v>
      </c>
    </row>
    <row r="1618" spans="1:23" x14ac:dyDescent="0.25">
      <c r="A1618" s="217" t="s">
        <v>22</v>
      </c>
      <c r="B1618" s="217" t="s">
        <v>23</v>
      </c>
      <c r="C1618" s="217" t="s">
        <v>85</v>
      </c>
      <c r="D1618" s="217" t="s">
        <v>84</v>
      </c>
      <c r="E1618" s="217" t="s">
        <v>110</v>
      </c>
      <c r="F1618" s="217" t="s">
        <v>109</v>
      </c>
      <c r="G1618" s="217" t="s">
        <v>149</v>
      </c>
      <c r="H1618" s="217" t="s">
        <v>1013</v>
      </c>
      <c r="I1618" s="217" t="s">
        <v>659</v>
      </c>
      <c r="J1618" s="217" t="s">
        <v>1857</v>
      </c>
      <c r="K1618" s="217">
        <v>96</v>
      </c>
      <c r="L1618" s="217">
        <v>512</v>
      </c>
      <c r="M1618" s="217" t="s">
        <v>31</v>
      </c>
      <c r="N1618" s="217" t="s">
        <v>32</v>
      </c>
      <c r="O1618" s="217" t="s">
        <v>668</v>
      </c>
      <c r="P1618" s="217" t="s">
        <v>34</v>
      </c>
      <c r="Q1618" s="217" t="s">
        <v>35</v>
      </c>
      <c r="R1618" s="217" t="s">
        <v>23</v>
      </c>
      <c r="S1618" s="217" t="s">
        <v>22</v>
      </c>
      <c r="T1618" s="217" t="s">
        <v>84</v>
      </c>
      <c r="U1618" s="217" t="s">
        <v>85</v>
      </c>
      <c r="V1618" s="217" t="s">
        <v>32</v>
      </c>
      <c r="W1618" s="217" t="s">
        <v>32</v>
      </c>
    </row>
    <row r="1619" spans="1:23" x14ac:dyDescent="0.25">
      <c r="A1619" s="217" t="s">
        <v>22</v>
      </c>
      <c r="B1619" s="217" t="s">
        <v>23</v>
      </c>
      <c r="C1619" s="217" t="s">
        <v>85</v>
      </c>
      <c r="D1619" s="217" t="s">
        <v>84</v>
      </c>
      <c r="E1619" s="217" t="s">
        <v>157</v>
      </c>
      <c r="F1619" s="217" t="s">
        <v>156</v>
      </c>
      <c r="G1619" s="217" t="s">
        <v>345</v>
      </c>
      <c r="H1619" s="217" t="s">
        <v>1032</v>
      </c>
      <c r="I1619" s="217" t="s">
        <v>659</v>
      </c>
      <c r="J1619" s="217" t="s">
        <v>1858</v>
      </c>
      <c r="K1619" s="217">
        <v>1</v>
      </c>
      <c r="L1619" s="217">
        <v>13</v>
      </c>
      <c r="M1619" s="217" t="s">
        <v>637</v>
      </c>
      <c r="N1619" s="217" t="s">
        <v>2151</v>
      </c>
      <c r="O1619" s="217" t="s">
        <v>141</v>
      </c>
      <c r="P1619" s="217" t="s">
        <v>144</v>
      </c>
      <c r="Q1619" s="217" t="s">
        <v>145</v>
      </c>
      <c r="R1619" s="217" t="s">
        <v>2152</v>
      </c>
      <c r="S1619" s="217" t="s">
        <v>2153</v>
      </c>
      <c r="T1619" s="217" t="s">
        <v>32</v>
      </c>
      <c r="U1619" s="217" t="s">
        <v>32</v>
      </c>
      <c r="V1619" s="217" t="s">
        <v>32</v>
      </c>
      <c r="W1619" s="217" t="s">
        <v>32</v>
      </c>
    </row>
    <row r="1620" spans="1:23" x14ac:dyDescent="0.25">
      <c r="A1620" s="217" t="s">
        <v>22</v>
      </c>
      <c r="B1620" s="217" t="s">
        <v>23</v>
      </c>
      <c r="C1620" s="217" t="s">
        <v>85</v>
      </c>
      <c r="D1620" s="217" t="s">
        <v>84</v>
      </c>
      <c r="E1620" s="217" t="s">
        <v>151</v>
      </c>
      <c r="F1620" s="217" t="s">
        <v>150</v>
      </c>
      <c r="G1620" s="217" t="s">
        <v>152</v>
      </c>
      <c r="H1620" s="217" t="s">
        <v>1084</v>
      </c>
      <c r="I1620" s="217" t="s">
        <v>659</v>
      </c>
      <c r="J1620" s="217" t="s">
        <v>1854</v>
      </c>
      <c r="K1620" s="217">
        <v>14</v>
      </c>
      <c r="L1620" s="217">
        <v>70</v>
      </c>
      <c r="M1620" s="217" t="s">
        <v>99</v>
      </c>
      <c r="N1620" s="217" t="s">
        <v>32</v>
      </c>
      <c r="O1620" s="217" t="s">
        <v>668</v>
      </c>
      <c r="P1620" s="217" t="s">
        <v>34</v>
      </c>
      <c r="Q1620" s="217" t="s">
        <v>35</v>
      </c>
      <c r="R1620" s="217" t="s">
        <v>23</v>
      </c>
      <c r="S1620" s="217" t="s">
        <v>22</v>
      </c>
      <c r="T1620" s="217" t="s">
        <v>84</v>
      </c>
      <c r="U1620" s="217" t="s">
        <v>85</v>
      </c>
      <c r="V1620" s="217" t="s">
        <v>32</v>
      </c>
      <c r="W1620" s="217" t="s">
        <v>32</v>
      </c>
    </row>
    <row r="1621" spans="1:23" x14ac:dyDescent="0.25">
      <c r="A1621" s="217" t="s">
        <v>22</v>
      </c>
      <c r="B1621" s="217" t="s">
        <v>23</v>
      </c>
      <c r="C1621" s="217" t="s">
        <v>85</v>
      </c>
      <c r="D1621" s="217" t="s">
        <v>84</v>
      </c>
      <c r="E1621" s="217" t="s">
        <v>98</v>
      </c>
      <c r="F1621" s="217" t="s">
        <v>97</v>
      </c>
      <c r="G1621" s="217" t="s">
        <v>153</v>
      </c>
      <c r="H1621" s="217" t="s">
        <v>1117</v>
      </c>
      <c r="I1621" s="217" t="s">
        <v>659</v>
      </c>
      <c r="J1621" s="217" t="s">
        <v>1856</v>
      </c>
      <c r="K1621" s="217">
        <v>141</v>
      </c>
      <c r="L1621" s="217">
        <v>1199</v>
      </c>
      <c r="M1621" s="217" t="s">
        <v>31</v>
      </c>
      <c r="N1621" s="217" t="s">
        <v>32</v>
      </c>
      <c r="O1621" s="217" t="s">
        <v>668</v>
      </c>
      <c r="P1621" s="217" t="s">
        <v>34</v>
      </c>
      <c r="Q1621" s="217" t="s">
        <v>35</v>
      </c>
      <c r="R1621" s="217" t="s">
        <v>23</v>
      </c>
      <c r="S1621" s="217" t="s">
        <v>22</v>
      </c>
      <c r="T1621" s="217" t="s">
        <v>84</v>
      </c>
      <c r="U1621" s="217" t="s">
        <v>85</v>
      </c>
      <c r="V1621" s="217" t="s">
        <v>32</v>
      </c>
      <c r="W1621" s="217" t="s">
        <v>32</v>
      </c>
    </row>
    <row r="1622" spans="1:23" x14ac:dyDescent="0.25">
      <c r="A1622" s="217" t="s">
        <v>22</v>
      </c>
      <c r="B1622" s="217" t="s">
        <v>23</v>
      </c>
      <c r="C1622" s="217" t="s">
        <v>85</v>
      </c>
      <c r="D1622" s="217" t="s">
        <v>84</v>
      </c>
      <c r="E1622" s="217" t="s">
        <v>98</v>
      </c>
      <c r="F1622" s="217" t="s">
        <v>97</v>
      </c>
      <c r="G1622" s="217" t="s">
        <v>153</v>
      </c>
      <c r="H1622" s="217" t="s">
        <v>1117</v>
      </c>
      <c r="I1622" s="217" t="s">
        <v>659</v>
      </c>
      <c r="J1622" s="217" t="s">
        <v>1857</v>
      </c>
      <c r="K1622" s="217">
        <v>566</v>
      </c>
      <c r="L1622" s="217">
        <v>4512</v>
      </c>
      <c r="M1622" s="217" t="s">
        <v>31</v>
      </c>
      <c r="N1622" s="217" t="s">
        <v>32</v>
      </c>
      <c r="O1622" s="217" t="s">
        <v>668</v>
      </c>
      <c r="P1622" s="217" t="s">
        <v>34</v>
      </c>
      <c r="Q1622" s="217" t="s">
        <v>35</v>
      </c>
      <c r="R1622" s="217" t="s">
        <v>23</v>
      </c>
      <c r="S1622" s="217" t="s">
        <v>22</v>
      </c>
      <c r="T1622" s="217" t="s">
        <v>84</v>
      </c>
      <c r="U1622" s="217" t="s">
        <v>85</v>
      </c>
      <c r="V1622" s="217" t="s">
        <v>32</v>
      </c>
      <c r="W1622" s="217" t="s">
        <v>32</v>
      </c>
    </row>
    <row r="1623" spans="1:23" x14ac:dyDescent="0.25">
      <c r="A1623" s="217" t="s">
        <v>22</v>
      </c>
      <c r="B1623" s="217" t="s">
        <v>23</v>
      </c>
      <c r="C1623" s="217" t="s">
        <v>85</v>
      </c>
      <c r="D1623" s="217" t="s">
        <v>84</v>
      </c>
      <c r="E1623" s="217" t="s">
        <v>98</v>
      </c>
      <c r="F1623" s="217" t="s">
        <v>97</v>
      </c>
      <c r="G1623" s="217" t="s">
        <v>153</v>
      </c>
      <c r="H1623" s="217" t="s">
        <v>1117</v>
      </c>
      <c r="I1623" s="217" t="s">
        <v>659</v>
      </c>
      <c r="J1623" s="217" t="s">
        <v>1858</v>
      </c>
      <c r="K1623" s="217">
        <v>42</v>
      </c>
      <c r="L1623" s="217">
        <v>656</v>
      </c>
      <c r="M1623" s="217" t="s">
        <v>31</v>
      </c>
      <c r="N1623" s="217" t="s">
        <v>32</v>
      </c>
      <c r="O1623" s="217" t="s">
        <v>668</v>
      </c>
      <c r="P1623" s="217" t="s">
        <v>34</v>
      </c>
      <c r="Q1623" s="217" t="s">
        <v>35</v>
      </c>
      <c r="R1623" s="217" t="s">
        <v>23</v>
      </c>
      <c r="S1623" s="217" t="s">
        <v>22</v>
      </c>
      <c r="T1623" s="217" t="s">
        <v>84</v>
      </c>
      <c r="U1623" s="217" t="s">
        <v>85</v>
      </c>
      <c r="V1623" s="217" t="s">
        <v>32</v>
      </c>
      <c r="W1623" s="217" t="s">
        <v>32</v>
      </c>
    </row>
    <row r="1624" spans="1:23" x14ac:dyDescent="0.25">
      <c r="A1624" s="217" t="s">
        <v>22</v>
      </c>
      <c r="B1624" s="217" t="s">
        <v>23</v>
      </c>
      <c r="C1624" s="217" t="s">
        <v>85</v>
      </c>
      <c r="D1624" s="217" t="s">
        <v>84</v>
      </c>
      <c r="E1624" s="217" t="s">
        <v>98</v>
      </c>
      <c r="F1624" s="217" t="s">
        <v>97</v>
      </c>
      <c r="G1624" s="217" t="s">
        <v>374</v>
      </c>
      <c r="H1624" s="217" t="s">
        <v>1121</v>
      </c>
      <c r="I1624" s="217" t="s">
        <v>659</v>
      </c>
      <c r="J1624" s="217" t="s">
        <v>1856</v>
      </c>
      <c r="K1624" s="217">
        <v>4</v>
      </c>
      <c r="L1624" s="217">
        <v>18</v>
      </c>
      <c r="M1624" s="217" t="s">
        <v>31</v>
      </c>
      <c r="N1624" s="217" t="s">
        <v>32</v>
      </c>
      <c r="O1624" s="217" t="s">
        <v>141</v>
      </c>
      <c r="P1624" s="217" t="s">
        <v>142</v>
      </c>
      <c r="Q1624" s="217" t="s">
        <v>143</v>
      </c>
      <c r="R1624" s="217" t="s">
        <v>618</v>
      </c>
      <c r="S1624" s="217" t="s">
        <v>619</v>
      </c>
      <c r="T1624" s="217" t="s">
        <v>32</v>
      </c>
      <c r="U1624" s="217" t="s">
        <v>32</v>
      </c>
      <c r="V1624" s="217" t="s">
        <v>32</v>
      </c>
      <c r="W1624" s="217" t="s">
        <v>32</v>
      </c>
    </row>
    <row r="1625" spans="1:23" x14ac:dyDescent="0.25">
      <c r="A1625" s="217" t="s">
        <v>22</v>
      </c>
      <c r="B1625" s="217" t="s">
        <v>23</v>
      </c>
      <c r="C1625" s="217" t="s">
        <v>85</v>
      </c>
      <c r="D1625" s="217" t="s">
        <v>84</v>
      </c>
      <c r="E1625" s="217" t="s">
        <v>98</v>
      </c>
      <c r="F1625" s="217" t="s">
        <v>97</v>
      </c>
      <c r="G1625" s="217" t="s">
        <v>374</v>
      </c>
      <c r="H1625" s="217" t="s">
        <v>1121</v>
      </c>
      <c r="I1625" s="217" t="s">
        <v>659</v>
      </c>
      <c r="J1625" s="217" t="s">
        <v>1857</v>
      </c>
      <c r="K1625" s="217">
        <v>2</v>
      </c>
      <c r="L1625" s="217">
        <v>14</v>
      </c>
      <c r="M1625" s="217" t="s">
        <v>31</v>
      </c>
      <c r="N1625" s="217" t="s">
        <v>32</v>
      </c>
      <c r="O1625" s="217" t="s">
        <v>141</v>
      </c>
      <c r="P1625" s="217" t="s">
        <v>142</v>
      </c>
      <c r="Q1625" s="217" t="s">
        <v>143</v>
      </c>
      <c r="R1625" s="217" t="s">
        <v>618</v>
      </c>
      <c r="S1625" s="217" t="s">
        <v>619</v>
      </c>
      <c r="T1625" s="217" t="s">
        <v>32</v>
      </c>
      <c r="U1625" s="217" t="s">
        <v>32</v>
      </c>
      <c r="V1625" s="217" t="s">
        <v>32</v>
      </c>
      <c r="W1625" s="217" t="s">
        <v>32</v>
      </c>
    </row>
    <row r="1626" spans="1:23" x14ac:dyDescent="0.25">
      <c r="A1626" s="217" t="s">
        <v>22</v>
      </c>
      <c r="B1626" s="217" t="s">
        <v>23</v>
      </c>
      <c r="C1626" s="217" t="s">
        <v>85</v>
      </c>
      <c r="D1626" s="217" t="s">
        <v>84</v>
      </c>
      <c r="E1626" s="217" t="s">
        <v>98</v>
      </c>
      <c r="F1626" s="217" t="s">
        <v>97</v>
      </c>
      <c r="G1626" s="217" t="s">
        <v>383</v>
      </c>
      <c r="H1626" s="217" t="s">
        <v>1141</v>
      </c>
      <c r="I1626" s="217" t="s">
        <v>659</v>
      </c>
      <c r="J1626" s="217" t="s">
        <v>1856</v>
      </c>
      <c r="K1626" s="217">
        <v>2</v>
      </c>
      <c r="L1626" s="217">
        <v>10</v>
      </c>
      <c r="M1626" s="217" t="s">
        <v>31</v>
      </c>
      <c r="N1626" s="217" t="s">
        <v>32</v>
      </c>
      <c r="O1626" s="217" t="s">
        <v>668</v>
      </c>
      <c r="P1626" s="217" t="s">
        <v>34</v>
      </c>
      <c r="Q1626" s="217" t="s">
        <v>35</v>
      </c>
      <c r="R1626" s="217" t="s">
        <v>23</v>
      </c>
      <c r="S1626" s="217" t="s">
        <v>22</v>
      </c>
      <c r="T1626" s="217" t="s">
        <v>84</v>
      </c>
      <c r="U1626" s="217" t="s">
        <v>85</v>
      </c>
      <c r="V1626" s="217" t="s">
        <v>32</v>
      </c>
      <c r="W1626" s="217" t="s">
        <v>32</v>
      </c>
    </row>
    <row r="1627" spans="1:23" x14ac:dyDescent="0.25">
      <c r="A1627" s="217" t="s">
        <v>22</v>
      </c>
      <c r="B1627" s="217" t="s">
        <v>23</v>
      </c>
      <c r="C1627" s="217" t="s">
        <v>85</v>
      </c>
      <c r="D1627" s="217" t="s">
        <v>84</v>
      </c>
      <c r="E1627" s="217" t="s">
        <v>98</v>
      </c>
      <c r="F1627" s="217" t="s">
        <v>97</v>
      </c>
      <c r="G1627" s="217" t="s">
        <v>383</v>
      </c>
      <c r="H1627" s="217" t="s">
        <v>1141</v>
      </c>
      <c r="I1627" s="217" t="s">
        <v>659</v>
      </c>
      <c r="J1627" s="217" t="s">
        <v>1857</v>
      </c>
      <c r="K1627" s="217">
        <v>4</v>
      </c>
      <c r="L1627" s="217">
        <v>20</v>
      </c>
      <c r="M1627" s="217" t="s">
        <v>31</v>
      </c>
      <c r="N1627" s="217" t="s">
        <v>32</v>
      </c>
      <c r="O1627" s="217" t="s">
        <v>668</v>
      </c>
      <c r="P1627" s="217" t="s">
        <v>34</v>
      </c>
      <c r="Q1627" s="217" t="s">
        <v>35</v>
      </c>
      <c r="R1627" s="217" t="s">
        <v>23</v>
      </c>
      <c r="S1627" s="217" t="s">
        <v>22</v>
      </c>
      <c r="T1627" s="217" t="s">
        <v>84</v>
      </c>
      <c r="U1627" s="217" t="s">
        <v>85</v>
      </c>
      <c r="V1627" s="217" t="s">
        <v>32</v>
      </c>
      <c r="W1627" s="217" t="s">
        <v>32</v>
      </c>
    </row>
    <row r="1628" spans="1:23" x14ac:dyDescent="0.25">
      <c r="A1628" s="217" t="s">
        <v>22</v>
      </c>
      <c r="B1628" s="217" t="s">
        <v>23</v>
      </c>
      <c r="C1628" s="217" t="s">
        <v>85</v>
      </c>
      <c r="D1628" s="217" t="s">
        <v>84</v>
      </c>
      <c r="E1628" s="217" t="s">
        <v>98</v>
      </c>
      <c r="F1628" s="217" t="s">
        <v>97</v>
      </c>
      <c r="G1628" s="217" t="s">
        <v>155</v>
      </c>
      <c r="H1628" s="217" t="s">
        <v>1143</v>
      </c>
      <c r="I1628" s="217" t="s">
        <v>659</v>
      </c>
      <c r="J1628" s="217" t="s">
        <v>1856</v>
      </c>
      <c r="K1628" s="217">
        <v>6</v>
      </c>
      <c r="L1628" s="217">
        <v>30</v>
      </c>
      <c r="M1628" s="217" t="s">
        <v>31</v>
      </c>
      <c r="N1628" s="217" t="s">
        <v>32</v>
      </c>
      <c r="O1628" s="217" t="s">
        <v>668</v>
      </c>
      <c r="P1628" s="217" t="s">
        <v>34</v>
      </c>
      <c r="Q1628" s="217" t="s">
        <v>35</v>
      </c>
      <c r="R1628" s="217" t="s">
        <v>23</v>
      </c>
      <c r="S1628" s="217" t="s">
        <v>22</v>
      </c>
      <c r="T1628" s="217" t="s">
        <v>84</v>
      </c>
      <c r="U1628" s="217" t="s">
        <v>85</v>
      </c>
      <c r="V1628" s="217" t="s">
        <v>32</v>
      </c>
      <c r="W1628" s="217" t="s">
        <v>32</v>
      </c>
    </row>
    <row r="1629" spans="1:23" x14ac:dyDescent="0.25">
      <c r="A1629" s="217" t="s">
        <v>22</v>
      </c>
      <c r="B1629" s="217" t="s">
        <v>23</v>
      </c>
      <c r="C1629" s="217" t="s">
        <v>85</v>
      </c>
      <c r="D1629" s="217" t="s">
        <v>84</v>
      </c>
      <c r="E1629" s="217" t="s">
        <v>98</v>
      </c>
      <c r="F1629" s="217" t="s">
        <v>97</v>
      </c>
      <c r="G1629" s="217" t="s">
        <v>155</v>
      </c>
      <c r="H1629" s="217" t="s">
        <v>1143</v>
      </c>
      <c r="I1629" s="217" t="s">
        <v>659</v>
      </c>
      <c r="J1629" s="217" t="s">
        <v>1857</v>
      </c>
      <c r="K1629" s="217">
        <v>10</v>
      </c>
      <c r="L1629" s="217">
        <v>50</v>
      </c>
      <c r="M1629" s="217" t="s">
        <v>31</v>
      </c>
      <c r="N1629" s="217" t="s">
        <v>32</v>
      </c>
      <c r="O1629" s="217" t="s">
        <v>668</v>
      </c>
      <c r="P1629" s="217" t="s">
        <v>34</v>
      </c>
      <c r="Q1629" s="217" t="s">
        <v>35</v>
      </c>
      <c r="R1629" s="217" t="s">
        <v>23</v>
      </c>
      <c r="S1629" s="217" t="s">
        <v>22</v>
      </c>
      <c r="T1629" s="217" t="s">
        <v>84</v>
      </c>
      <c r="U1629" s="217" t="s">
        <v>85</v>
      </c>
      <c r="V1629" s="217" t="s">
        <v>32</v>
      </c>
      <c r="W1629" s="217" t="s">
        <v>32</v>
      </c>
    </row>
    <row r="1630" spans="1:23" x14ac:dyDescent="0.25">
      <c r="A1630" s="217" t="s">
        <v>22</v>
      </c>
      <c r="B1630" s="217" t="s">
        <v>23</v>
      </c>
      <c r="C1630" s="217" t="s">
        <v>85</v>
      </c>
      <c r="D1630" s="217" t="s">
        <v>84</v>
      </c>
      <c r="E1630" s="217" t="s">
        <v>98</v>
      </c>
      <c r="F1630" s="217" t="s">
        <v>97</v>
      </c>
      <c r="G1630" s="217" t="s">
        <v>159</v>
      </c>
      <c r="H1630" s="217" t="s">
        <v>1149</v>
      </c>
      <c r="I1630" s="217" t="s">
        <v>659</v>
      </c>
      <c r="J1630" s="217" t="s">
        <v>1855</v>
      </c>
      <c r="K1630" s="217">
        <v>8</v>
      </c>
      <c r="L1630" s="217">
        <v>12</v>
      </c>
      <c r="M1630" s="217" t="s">
        <v>31</v>
      </c>
      <c r="N1630" s="217" t="s">
        <v>32</v>
      </c>
      <c r="O1630" s="217" t="s">
        <v>668</v>
      </c>
      <c r="P1630" s="217" t="s">
        <v>34</v>
      </c>
      <c r="Q1630" s="217" t="s">
        <v>35</v>
      </c>
      <c r="R1630" s="217" t="s">
        <v>23</v>
      </c>
      <c r="S1630" s="217" t="s">
        <v>22</v>
      </c>
      <c r="T1630" s="217" t="s">
        <v>84</v>
      </c>
      <c r="U1630" s="217" t="s">
        <v>85</v>
      </c>
      <c r="V1630" s="217" t="s">
        <v>32</v>
      </c>
      <c r="W1630" s="217" t="s">
        <v>32</v>
      </c>
    </row>
    <row r="1631" spans="1:23" x14ac:dyDescent="0.25">
      <c r="A1631" s="217" t="s">
        <v>22</v>
      </c>
      <c r="B1631" s="217" t="s">
        <v>23</v>
      </c>
      <c r="C1631" s="217" t="s">
        <v>85</v>
      </c>
      <c r="D1631" s="217" t="s">
        <v>84</v>
      </c>
      <c r="E1631" s="217" t="s">
        <v>98</v>
      </c>
      <c r="F1631" s="217" t="s">
        <v>97</v>
      </c>
      <c r="G1631" s="217" t="s">
        <v>159</v>
      </c>
      <c r="H1631" s="217" t="s">
        <v>1149</v>
      </c>
      <c r="I1631" s="217" t="s">
        <v>659</v>
      </c>
      <c r="J1631" s="217" t="s">
        <v>1856</v>
      </c>
      <c r="K1631" s="217">
        <v>4</v>
      </c>
      <c r="L1631" s="217">
        <v>20</v>
      </c>
      <c r="M1631" s="217" t="s">
        <v>31</v>
      </c>
      <c r="N1631" s="217" t="s">
        <v>32</v>
      </c>
      <c r="O1631" s="217" t="s">
        <v>668</v>
      </c>
      <c r="P1631" s="217" t="s">
        <v>34</v>
      </c>
      <c r="Q1631" s="217" t="s">
        <v>35</v>
      </c>
      <c r="R1631" s="217" t="s">
        <v>23</v>
      </c>
      <c r="S1631" s="217" t="s">
        <v>22</v>
      </c>
      <c r="T1631" s="217" t="s">
        <v>84</v>
      </c>
      <c r="U1631" s="217" t="s">
        <v>85</v>
      </c>
      <c r="V1631" s="217" t="s">
        <v>32</v>
      </c>
      <c r="W1631" s="217" t="s">
        <v>32</v>
      </c>
    </row>
    <row r="1632" spans="1:23" x14ac:dyDescent="0.25">
      <c r="A1632" s="217" t="s">
        <v>22</v>
      </c>
      <c r="B1632" s="217" t="s">
        <v>23</v>
      </c>
      <c r="C1632" s="217" t="s">
        <v>85</v>
      </c>
      <c r="D1632" s="217" t="s">
        <v>84</v>
      </c>
      <c r="E1632" s="217" t="s">
        <v>98</v>
      </c>
      <c r="F1632" s="217" t="s">
        <v>97</v>
      </c>
      <c r="G1632" s="217" t="s">
        <v>159</v>
      </c>
      <c r="H1632" s="217" t="s">
        <v>1149</v>
      </c>
      <c r="I1632" s="217" t="s">
        <v>659</v>
      </c>
      <c r="J1632" s="217" t="s">
        <v>1857</v>
      </c>
      <c r="K1632" s="217">
        <v>8</v>
      </c>
      <c r="L1632" s="217">
        <v>48</v>
      </c>
      <c r="M1632" s="217" t="s">
        <v>31</v>
      </c>
      <c r="N1632" s="217" t="s">
        <v>32</v>
      </c>
      <c r="O1632" s="217" t="s">
        <v>668</v>
      </c>
      <c r="P1632" s="217" t="s">
        <v>34</v>
      </c>
      <c r="Q1632" s="217" t="s">
        <v>35</v>
      </c>
      <c r="R1632" s="217" t="s">
        <v>23</v>
      </c>
      <c r="S1632" s="217" t="s">
        <v>22</v>
      </c>
      <c r="T1632" s="217" t="s">
        <v>84</v>
      </c>
      <c r="U1632" s="217" t="s">
        <v>85</v>
      </c>
      <c r="V1632" s="217" t="s">
        <v>32</v>
      </c>
      <c r="W1632" s="217" t="s">
        <v>32</v>
      </c>
    </row>
    <row r="1633" spans="1:23" x14ac:dyDescent="0.25">
      <c r="A1633" s="217" t="s">
        <v>22</v>
      </c>
      <c r="B1633" s="217" t="s">
        <v>23</v>
      </c>
      <c r="C1633" s="217" t="s">
        <v>85</v>
      </c>
      <c r="D1633" s="217" t="s">
        <v>84</v>
      </c>
      <c r="E1633" s="217" t="s">
        <v>98</v>
      </c>
      <c r="F1633" s="217" t="s">
        <v>97</v>
      </c>
      <c r="G1633" s="217" t="s">
        <v>161</v>
      </c>
      <c r="H1633" s="217" t="s">
        <v>1151</v>
      </c>
      <c r="I1633" s="217" t="s">
        <v>659</v>
      </c>
      <c r="J1633" s="217" t="s">
        <v>1857</v>
      </c>
      <c r="K1633" s="217">
        <v>10</v>
      </c>
      <c r="L1633" s="217">
        <v>50</v>
      </c>
      <c r="M1633" s="217" t="s">
        <v>31</v>
      </c>
      <c r="N1633" s="217" t="s">
        <v>32</v>
      </c>
      <c r="O1633" s="217" t="s">
        <v>668</v>
      </c>
      <c r="P1633" s="217" t="s">
        <v>34</v>
      </c>
      <c r="Q1633" s="217" t="s">
        <v>35</v>
      </c>
      <c r="R1633" s="217" t="s">
        <v>23</v>
      </c>
      <c r="S1633" s="217" t="s">
        <v>22</v>
      </c>
      <c r="T1633" s="217" t="s">
        <v>84</v>
      </c>
      <c r="U1633" s="217" t="s">
        <v>85</v>
      </c>
      <c r="V1633" s="217" t="s">
        <v>32</v>
      </c>
      <c r="W1633" s="217" t="s">
        <v>32</v>
      </c>
    </row>
    <row r="1634" spans="1:23" x14ac:dyDescent="0.25">
      <c r="A1634" s="217" t="s">
        <v>22</v>
      </c>
      <c r="B1634" s="217" t="s">
        <v>23</v>
      </c>
      <c r="C1634" s="217" t="s">
        <v>85</v>
      </c>
      <c r="D1634" s="217" t="s">
        <v>84</v>
      </c>
      <c r="E1634" s="217" t="s">
        <v>98</v>
      </c>
      <c r="F1634" s="217" t="s">
        <v>97</v>
      </c>
      <c r="G1634" s="217" t="s">
        <v>386</v>
      </c>
      <c r="H1634" s="217" t="s">
        <v>1154</v>
      </c>
      <c r="I1634" s="217" t="s">
        <v>659</v>
      </c>
      <c r="J1634" s="217" t="s">
        <v>1855</v>
      </c>
      <c r="K1634" s="217">
        <v>1</v>
      </c>
      <c r="L1634" s="217">
        <v>13</v>
      </c>
      <c r="M1634" s="217" t="s">
        <v>31</v>
      </c>
      <c r="N1634" s="217" t="s">
        <v>32</v>
      </c>
      <c r="O1634" s="217" t="s">
        <v>668</v>
      </c>
      <c r="P1634" s="217" t="s">
        <v>34</v>
      </c>
      <c r="Q1634" s="217" t="s">
        <v>35</v>
      </c>
      <c r="R1634" s="217" t="s">
        <v>23</v>
      </c>
      <c r="S1634" s="217" t="s">
        <v>22</v>
      </c>
      <c r="T1634" s="217" t="s">
        <v>84</v>
      </c>
      <c r="U1634" s="217" t="s">
        <v>85</v>
      </c>
      <c r="V1634" s="217" t="s">
        <v>32</v>
      </c>
      <c r="W1634" s="217" t="s">
        <v>32</v>
      </c>
    </row>
    <row r="1635" spans="1:23" x14ac:dyDescent="0.25">
      <c r="A1635" s="217" t="s">
        <v>22</v>
      </c>
      <c r="B1635" s="217" t="s">
        <v>23</v>
      </c>
      <c r="C1635" s="217" t="s">
        <v>85</v>
      </c>
      <c r="D1635" s="217" t="s">
        <v>84</v>
      </c>
      <c r="E1635" s="217" t="s">
        <v>98</v>
      </c>
      <c r="F1635" s="217" t="s">
        <v>97</v>
      </c>
      <c r="G1635" s="217" t="s">
        <v>162</v>
      </c>
      <c r="H1635" s="217" t="s">
        <v>1158</v>
      </c>
      <c r="I1635" s="217" t="s">
        <v>659</v>
      </c>
      <c r="J1635" s="217" t="s">
        <v>1857</v>
      </c>
      <c r="K1635" s="217">
        <v>33</v>
      </c>
      <c r="L1635" s="217">
        <v>165</v>
      </c>
      <c r="M1635" s="217" t="s">
        <v>31</v>
      </c>
      <c r="N1635" s="217" t="s">
        <v>32</v>
      </c>
      <c r="O1635" s="217" t="s">
        <v>668</v>
      </c>
      <c r="P1635" s="217" t="s">
        <v>34</v>
      </c>
      <c r="Q1635" s="217" t="s">
        <v>35</v>
      </c>
      <c r="R1635" s="217" t="s">
        <v>23</v>
      </c>
      <c r="S1635" s="217" t="s">
        <v>22</v>
      </c>
      <c r="T1635" s="217" t="s">
        <v>84</v>
      </c>
      <c r="U1635" s="217" t="s">
        <v>85</v>
      </c>
      <c r="V1635" s="217" t="s">
        <v>32</v>
      </c>
      <c r="W1635" s="217" t="s">
        <v>32</v>
      </c>
    </row>
    <row r="1636" spans="1:23" x14ac:dyDescent="0.25">
      <c r="A1636" s="217" t="s">
        <v>22</v>
      </c>
      <c r="B1636" s="217" t="s">
        <v>23</v>
      </c>
      <c r="C1636" s="217" t="s">
        <v>85</v>
      </c>
      <c r="D1636" s="217" t="s">
        <v>84</v>
      </c>
      <c r="E1636" s="217" t="s">
        <v>98</v>
      </c>
      <c r="F1636" s="217" t="s">
        <v>97</v>
      </c>
      <c r="G1636" s="217" t="s">
        <v>392</v>
      </c>
      <c r="H1636" s="217" t="s">
        <v>1169</v>
      </c>
      <c r="I1636" s="217" t="s">
        <v>659</v>
      </c>
      <c r="J1636" s="217" t="s">
        <v>1855</v>
      </c>
      <c r="K1636" s="217">
        <v>11</v>
      </c>
      <c r="L1636" s="217">
        <v>36</v>
      </c>
      <c r="M1636" s="217" t="s">
        <v>31</v>
      </c>
      <c r="N1636" s="217" t="s">
        <v>32</v>
      </c>
      <c r="O1636" s="217" t="s">
        <v>141</v>
      </c>
      <c r="P1636" s="217" t="s">
        <v>142</v>
      </c>
      <c r="Q1636" s="217" t="s">
        <v>143</v>
      </c>
      <c r="R1636" s="217" t="s">
        <v>618</v>
      </c>
      <c r="S1636" s="217" t="s">
        <v>619</v>
      </c>
      <c r="T1636" s="217" t="s">
        <v>32</v>
      </c>
      <c r="U1636" s="217" t="s">
        <v>32</v>
      </c>
      <c r="V1636" s="217" t="s">
        <v>32</v>
      </c>
      <c r="W1636" s="217" t="s">
        <v>32</v>
      </c>
    </row>
    <row r="1637" spans="1:23" x14ac:dyDescent="0.25">
      <c r="A1637" s="217" t="s">
        <v>22</v>
      </c>
      <c r="B1637" s="217" t="s">
        <v>23</v>
      </c>
      <c r="C1637" s="217" t="s">
        <v>85</v>
      </c>
      <c r="D1637" s="217" t="s">
        <v>84</v>
      </c>
      <c r="E1637" s="217" t="s">
        <v>98</v>
      </c>
      <c r="F1637" s="217" t="s">
        <v>97</v>
      </c>
      <c r="G1637" s="217" t="s">
        <v>392</v>
      </c>
      <c r="H1637" s="217" t="s">
        <v>1169</v>
      </c>
      <c r="I1637" s="217" t="s">
        <v>659</v>
      </c>
      <c r="J1637" s="217" t="s">
        <v>1856</v>
      </c>
      <c r="K1637" s="217">
        <v>6</v>
      </c>
      <c r="L1637" s="217">
        <v>24</v>
      </c>
      <c r="M1637" s="217" t="s">
        <v>31</v>
      </c>
      <c r="N1637" s="217" t="s">
        <v>32</v>
      </c>
      <c r="O1637" s="217" t="s">
        <v>141</v>
      </c>
      <c r="P1637" s="217" t="s">
        <v>142</v>
      </c>
      <c r="Q1637" s="217" t="s">
        <v>143</v>
      </c>
      <c r="R1637" s="217" t="s">
        <v>618</v>
      </c>
      <c r="S1637" s="217" t="s">
        <v>619</v>
      </c>
      <c r="T1637" s="217" t="s">
        <v>32</v>
      </c>
      <c r="U1637" s="217" t="s">
        <v>32</v>
      </c>
      <c r="V1637" s="217" t="s">
        <v>32</v>
      </c>
      <c r="W1637" s="217" t="s">
        <v>32</v>
      </c>
    </row>
    <row r="1638" spans="1:23" x14ac:dyDescent="0.25">
      <c r="A1638" s="217" t="s">
        <v>22</v>
      </c>
      <c r="B1638" s="217" t="s">
        <v>23</v>
      </c>
      <c r="C1638" s="217" t="s">
        <v>85</v>
      </c>
      <c r="D1638" s="217" t="s">
        <v>84</v>
      </c>
      <c r="E1638" s="217" t="s">
        <v>98</v>
      </c>
      <c r="F1638" s="217" t="s">
        <v>97</v>
      </c>
      <c r="G1638" s="217" t="s">
        <v>163</v>
      </c>
      <c r="H1638" s="217" t="s">
        <v>1171</v>
      </c>
      <c r="I1638" s="217" t="s">
        <v>659</v>
      </c>
      <c r="J1638" s="217" t="s">
        <v>1857</v>
      </c>
      <c r="K1638" s="217">
        <v>70</v>
      </c>
      <c r="L1638" s="217">
        <v>350</v>
      </c>
      <c r="M1638" s="217" t="s">
        <v>31</v>
      </c>
      <c r="N1638" s="217" t="s">
        <v>32</v>
      </c>
      <c r="O1638" s="217" t="s">
        <v>668</v>
      </c>
      <c r="P1638" s="217" t="s">
        <v>34</v>
      </c>
      <c r="Q1638" s="217" t="s">
        <v>35</v>
      </c>
      <c r="R1638" s="217" t="s">
        <v>23</v>
      </c>
      <c r="S1638" s="217" t="s">
        <v>22</v>
      </c>
      <c r="T1638" s="217" t="s">
        <v>84</v>
      </c>
      <c r="U1638" s="217" t="s">
        <v>85</v>
      </c>
      <c r="V1638" s="217" t="s">
        <v>32</v>
      </c>
      <c r="W1638" s="217" t="s">
        <v>32</v>
      </c>
    </row>
    <row r="1639" spans="1:23" x14ac:dyDescent="0.25">
      <c r="A1639" s="217" t="s">
        <v>22</v>
      </c>
      <c r="B1639" s="217" t="s">
        <v>23</v>
      </c>
      <c r="C1639" s="217" t="s">
        <v>85</v>
      </c>
      <c r="D1639" s="217" t="s">
        <v>84</v>
      </c>
      <c r="E1639" s="217" t="s">
        <v>98</v>
      </c>
      <c r="F1639" s="217" t="s">
        <v>97</v>
      </c>
      <c r="G1639" s="217" t="s">
        <v>393</v>
      </c>
      <c r="H1639" s="217" t="s">
        <v>1172</v>
      </c>
      <c r="I1639" s="217" t="s">
        <v>659</v>
      </c>
      <c r="J1639" s="217" t="s">
        <v>1856</v>
      </c>
      <c r="K1639" s="217">
        <v>2</v>
      </c>
      <c r="L1639" s="217">
        <v>37</v>
      </c>
      <c r="M1639" s="217" t="s">
        <v>31</v>
      </c>
      <c r="N1639" s="217" t="s">
        <v>32</v>
      </c>
      <c r="O1639" s="217" t="s">
        <v>668</v>
      </c>
      <c r="P1639" s="217" t="s">
        <v>34</v>
      </c>
      <c r="Q1639" s="217" t="s">
        <v>35</v>
      </c>
      <c r="R1639" s="217" t="s">
        <v>23</v>
      </c>
      <c r="S1639" s="217" t="s">
        <v>22</v>
      </c>
      <c r="T1639" s="217" t="s">
        <v>84</v>
      </c>
      <c r="U1639" s="217" t="s">
        <v>85</v>
      </c>
      <c r="V1639" s="217" t="s">
        <v>32</v>
      </c>
      <c r="W1639" s="217" t="s">
        <v>32</v>
      </c>
    </row>
    <row r="1640" spans="1:23" x14ac:dyDescent="0.25">
      <c r="A1640" s="217" t="s">
        <v>22</v>
      </c>
      <c r="B1640" s="217" t="s">
        <v>23</v>
      </c>
      <c r="C1640" s="217" t="s">
        <v>85</v>
      </c>
      <c r="D1640" s="217" t="s">
        <v>84</v>
      </c>
      <c r="E1640" s="217" t="s">
        <v>98</v>
      </c>
      <c r="F1640" s="217" t="s">
        <v>97</v>
      </c>
      <c r="G1640" s="217" t="s">
        <v>164</v>
      </c>
      <c r="H1640" s="217" t="s">
        <v>1185</v>
      </c>
      <c r="I1640" s="217" t="s">
        <v>659</v>
      </c>
      <c r="J1640" s="217" t="s">
        <v>1856</v>
      </c>
      <c r="K1640" s="217">
        <v>7</v>
      </c>
      <c r="L1640" s="217">
        <v>26</v>
      </c>
      <c r="M1640" s="217" t="s">
        <v>31</v>
      </c>
      <c r="N1640" s="217" t="s">
        <v>32</v>
      </c>
      <c r="O1640" s="217" t="s">
        <v>668</v>
      </c>
      <c r="P1640" s="217" t="s">
        <v>34</v>
      </c>
      <c r="Q1640" s="217" t="s">
        <v>35</v>
      </c>
      <c r="R1640" s="217" t="s">
        <v>23</v>
      </c>
      <c r="S1640" s="217" t="s">
        <v>22</v>
      </c>
      <c r="T1640" s="217" t="s">
        <v>84</v>
      </c>
      <c r="U1640" s="217" t="s">
        <v>85</v>
      </c>
      <c r="V1640" s="217" t="s">
        <v>32</v>
      </c>
      <c r="W1640" s="217" t="s">
        <v>32</v>
      </c>
    </row>
    <row r="1641" spans="1:23" x14ac:dyDescent="0.25">
      <c r="A1641" s="217" t="s">
        <v>22</v>
      </c>
      <c r="B1641" s="217" t="s">
        <v>23</v>
      </c>
      <c r="C1641" s="217" t="s">
        <v>85</v>
      </c>
      <c r="D1641" s="217" t="s">
        <v>84</v>
      </c>
      <c r="E1641" s="217" t="s">
        <v>98</v>
      </c>
      <c r="F1641" s="217" t="s">
        <v>97</v>
      </c>
      <c r="G1641" s="217" t="s">
        <v>818</v>
      </c>
      <c r="H1641" s="217" t="s">
        <v>1203</v>
      </c>
      <c r="I1641" s="217" t="s">
        <v>659</v>
      </c>
      <c r="J1641" s="217" t="s">
        <v>1856</v>
      </c>
      <c r="K1641" s="217">
        <v>7</v>
      </c>
      <c r="L1641" s="217">
        <v>35</v>
      </c>
      <c r="M1641" s="217" t="s">
        <v>31</v>
      </c>
      <c r="N1641" s="217" t="s">
        <v>32</v>
      </c>
      <c r="O1641" s="217" t="s">
        <v>668</v>
      </c>
      <c r="P1641" s="217" t="s">
        <v>34</v>
      </c>
      <c r="Q1641" s="217" t="s">
        <v>35</v>
      </c>
      <c r="R1641" s="217" t="s">
        <v>23</v>
      </c>
      <c r="S1641" s="217" t="s">
        <v>22</v>
      </c>
      <c r="T1641" s="217" t="s">
        <v>84</v>
      </c>
      <c r="U1641" s="217" t="s">
        <v>85</v>
      </c>
      <c r="V1641" s="217" t="s">
        <v>32</v>
      </c>
      <c r="W1641" s="217" t="s">
        <v>32</v>
      </c>
    </row>
    <row r="1642" spans="1:23" x14ac:dyDescent="0.25">
      <c r="A1642" s="217" t="s">
        <v>22</v>
      </c>
      <c r="B1642" s="217" t="s">
        <v>23</v>
      </c>
      <c r="C1642" s="217" t="s">
        <v>85</v>
      </c>
      <c r="D1642" s="217" t="s">
        <v>84</v>
      </c>
      <c r="E1642" s="217" t="s">
        <v>98</v>
      </c>
      <c r="F1642" s="217" t="s">
        <v>97</v>
      </c>
      <c r="G1642" s="217" t="s">
        <v>818</v>
      </c>
      <c r="H1642" s="217" t="s">
        <v>1203</v>
      </c>
      <c r="I1642" s="217" t="s">
        <v>659</v>
      </c>
      <c r="J1642" s="217" t="s">
        <v>1857</v>
      </c>
      <c r="K1642" s="217">
        <v>8</v>
      </c>
      <c r="L1642" s="217">
        <v>45</v>
      </c>
      <c r="M1642" s="217" t="s">
        <v>31</v>
      </c>
      <c r="N1642" s="217" t="s">
        <v>32</v>
      </c>
      <c r="O1642" s="217" t="s">
        <v>668</v>
      </c>
      <c r="P1642" s="217" t="s">
        <v>34</v>
      </c>
      <c r="Q1642" s="217" t="s">
        <v>35</v>
      </c>
      <c r="R1642" s="217" t="s">
        <v>23</v>
      </c>
      <c r="S1642" s="217" t="s">
        <v>22</v>
      </c>
      <c r="T1642" s="217" t="s">
        <v>84</v>
      </c>
      <c r="U1642" s="217" t="s">
        <v>85</v>
      </c>
      <c r="V1642" s="217" t="s">
        <v>32</v>
      </c>
      <c r="W1642" s="217" t="s">
        <v>32</v>
      </c>
    </row>
    <row r="1643" spans="1:23" x14ac:dyDescent="0.25">
      <c r="A1643" s="217" t="s">
        <v>22</v>
      </c>
      <c r="B1643" s="217" t="s">
        <v>23</v>
      </c>
      <c r="C1643" s="217" t="s">
        <v>85</v>
      </c>
      <c r="D1643" s="217" t="s">
        <v>84</v>
      </c>
      <c r="E1643" s="217" t="s">
        <v>98</v>
      </c>
      <c r="F1643" s="217" t="s">
        <v>97</v>
      </c>
      <c r="G1643" s="217" t="s">
        <v>701</v>
      </c>
      <c r="H1643" s="217" t="s">
        <v>1204</v>
      </c>
      <c r="I1643" s="217" t="s">
        <v>659</v>
      </c>
      <c r="J1643" s="217" t="s">
        <v>1856</v>
      </c>
      <c r="K1643" s="217">
        <v>5</v>
      </c>
      <c r="L1643" s="217">
        <v>43</v>
      </c>
      <c r="M1643" s="217" t="s">
        <v>31</v>
      </c>
      <c r="N1643" s="217" t="s">
        <v>32</v>
      </c>
      <c r="O1643" s="217" t="s">
        <v>668</v>
      </c>
      <c r="P1643" s="217" t="s">
        <v>34</v>
      </c>
      <c r="Q1643" s="217" t="s">
        <v>35</v>
      </c>
      <c r="R1643" s="217" t="s">
        <v>23</v>
      </c>
      <c r="S1643" s="217" t="s">
        <v>22</v>
      </c>
      <c r="T1643" s="217" t="s">
        <v>84</v>
      </c>
      <c r="U1643" s="217" t="s">
        <v>85</v>
      </c>
      <c r="V1643" s="217" t="s">
        <v>32</v>
      </c>
      <c r="W1643" s="217" t="s">
        <v>32</v>
      </c>
    </row>
    <row r="1644" spans="1:23" x14ac:dyDescent="0.25">
      <c r="A1644" s="217" t="s">
        <v>22</v>
      </c>
      <c r="B1644" s="217" t="s">
        <v>23</v>
      </c>
      <c r="C1644" s="217" t="s">
        <v>85</v>
      </c>
      <c r="D1644" s="217" t="s">
        <v>84</v>
      </c>
      <c r="E1644" s="217" t="s">
        <v>98</v>
      </c>
      <c r="F1644" s="217" t="s">
        <v>97</v>
      </c>
      <c r="G1644" s="217" t="s">
        <v>165</v>
      </c>
      <c r="H1644" s="217" t="s">
        <v>1208</v>
      </c>
      <c r="I1644" s="217" t="s">
        <v>659</v>
      </c>
      <c r="J1644" s="217" t="s">
        <v>1855</v>
      </c>
      <c r="K1644" s="217">
        <v>2</v>
      </c>
      <c r="L1644" s="217">
        <v>8</v>
      </c>
      <c r="M1644" s="217" t="s">
        <v>31</v>
      </c>
      <c r="N1644" s="217" t="s">
        <v>32</v>
      </c>
      <c r="O1644" s="217" t="s">
        <v>668</v>
      </c>
      <c r="P1644" s="217" t="s">
        <v>34</v>
      </c>
      <c r="Q1644" s="217" t="s">
        <v>35</v>
      </c>
      <c r="R1644" s="217" t="s">
        <v>23</v>
      </c>
      <c r="S1644" s="217" t="s">
        <v>22</v>
      </c>
      <c r="T1644" s="217" t="s">
        <v>84</v>
      </c>
      <c r="U1644" s="217" t="s">
        <v>85</v>
      </c>
      <c r="V1644" s="217" t="s">
        <v>32</v>
      </c>
      <c r="W1644" s="217" t="s">
        <v>32</v>
      </c>
    </row>
    <row r="1645" spans="1:23" x14ac:dyDescent="0.25">
      <c r="A1645" s="217" t="s">
        <v>22</v>
      </c>
      <c r="B1645" s="217" t="s">
        <v>23</v>
      </c>
      <c r="C1645" s="217" t="s">
        <v>85</v>
      </c>
      <c r="D1645" s="217" t="s">
        <v>84</v>
      </c>
      <c r="E1645" s="217" t="s">
        <v>98</v>
      </c>
      <c r="F1645" s="217" t="s">
        <v>97</v>
      </c>
      <c r="G1645" s="217" t="s">
        <v>165</v>
      </c>
      <c r="H1645" s="217" t="s">
        <v>1208</v>
      </c>
      <c r="I1645" s="217" t="s">
        <v>659</v>
      </c>
      <c r="J1645" s="217" t="s">
        <v>1856</v>
      </c>
      <c r="K1645" s="217">
        <v>2</v>
      </c>
      <c r="L1645" s="217">
        <v>5</v>
      </c>
      <c r="M1645" s="217" t="s">
        <v>31</v>
      </c>
      <c r="N1645" s="217" t="s">
        <v>32</v>
      </c>
      <c r="O1645" s="217" t="s">
        <v>668</v>
      </c>
      <c r="P1645" s="217" t="s">
        <v>34</v>
      </c>
      <c r="Q1645" s="217" t="s">
        <v>35</v>
      </c>
      <c r="R1645" s="217" t="s">
        <v>23</v>
      </c>
      <c r="S1645" s="217" t="s">
        <v>22</v>
      </c>
      <c r="T1645" s="217" t="s">
        <v>84</v>
      </c>
      <c r="U1645" s="217" t="s">
        <v>85</v>
      </c>
      <c r="V1645" s="217" t="s">
        <v>32</v>
      </c>
      <c r="W1645" s="217" t="s">
        <v>32</v>
      </c>
    </row>
    <row r="1646" spans="1:23" x14ac:dyDescent="0.25">
      <c r="A1646" s="217" t="s">
        <v>22</v>
      </c>
      <c r="B1646" s="217" t="s">
        <v>23</v>
      </c>
      <c r="C1646" s="217" t="s">
        <v>85</v>
      </c>
      <c r="D1646" s="217" t="s">
        <v>84</v>
      </c>
      <c r="E1646" s="217" t="s">
        <v>98</v>
      </c>
      <c r="F1646" s="217" t="s">
        <v>97</v>
      </c>
      <c r="G1646" s="217" t="s">
        <v>422</v>
      </c>
      <c r="H1646" s="217" t="s">
        <v>1223</v>
      </c>
      <c r="I1646" s="217" t="s">
        <v>659</v>
      </c>
      <c r="J1646" s="217" t="s">
        <v>1855</v>
      </c>
      <c r="K1646" s="217">
        <v>4</v>
      </c>
      <c r="L1646" s="217">
        <v>17</v>
      </c>
      <c r="M1646" s="217" t="s">
        <v>31</v>
      </c>
      <c r="N1646" s="217" t="s">
        <v>32</v>
      </c>
      <c r="O1646" s="217" t="s">
        <v>668</v>
      </c>
      <c r="P1646" s="217" t="s">
        <v>34</v>
      </c>
      <c r="Q1646" s="217" t="s">
        <v>35</v>
      </c>
      <c r="R1646" s="217" t="s">
        <v>23</v>
      </c>
      <c r="S1646" s="217" t="s">
        <v>22</v>
      </c>
      <c r="T1646" s="217" t="s">
        <v>84</v>
      </c>
      <c r="U1646" s="217" t="s">
        <v>85</v>
      </c>
      <c r="V1646" s="217" t="s">
        <v>32</v>
      </c>
      <c r="W1646" s="217" t="s">
        <v>32</v>
      </c>
    </row>
    <row r="1647" spans="1:23" x14ac:dyDescent="0.25">
      <c r="A1647" s="217" t="s">
        <v>22</v>
      </c>
      <c r="B1647" s="217" t="s">
        <v>23</v>
      </c>
      <c r="C1647" s="217" t="s">
        <v>85</v>
      </c>
      <c r="D1647" s="217" t="s">
        <v>84</v>
      </c>
      <c r="E1647" s="217" t="s">
        <v>98</v>
      </c>
      <c r="F1647" s="217" t="s">
        <v>97</v>
      </c>
      <c r="G1647" s="217" t="s">
        <v>422</v>
      </c>
      <c r="H1647" s="217" t="s">
        <v>1223</v>
      </c>
      <c r="I1647" s="217" t="s">
        <v>659</v>
      </c>
      <c r="J1647" s="217" t="s">
        <v>1856</v>
      </c>
      <c r="K1647" s="217">
        <v>3</v>
      </c>
      <c r="L1647" s="217">
        <v>11</v>
      </c>
      <c r="M1647" s="217" t="s">
        <v>31</v>
      </c>
      <c r="N1647" s="217" t="s">
        <v>32</v>
      </c>
      <c r="O1647" s="217" t="s">
        <v>668</v>
      </c>
      <c r="P1647" s="217" t="s">
        <v>34</v>
      </c>
      <c r="Q1647" s="217" t="s">
        <v>35</v>
      </c>
      <c r="R1647" s="217" t="s">
        <v>23</v>
      </c>
      <c r="S1647" s="217" t="s">
        <v>22</v>
      </c>
      <c r="T1647" s="217" t="s">
        <v>84</v>
      </c>
      <c r="U1647" s="217" t="s">
        <v>85</v>
      </c>
      <c r="V1647" s="217" t="s">
        <v>32</v>
      </c>
      <c r="W1647" s="217" t="s">
        <v>32</v>
      </c>
    </row>
    <row r="1648" spans="1:23" x14ac:dyDescent="0.25">
      <c r="A1648" s="217" t="s">
        <v>22</v>
      </c>
      <c r="B1648" s="217" t="s">
        <v>23</v>
      </c>
      <c r="C1648" s="217" t="s">
        <v>85</v>
      </c>
      <c r="D1648" s="217" t="s">
        <v>84</v>
      </c>
      <c r="E1648" s="217" t="s">
        <v>98</v>
      </c>
      <c r="F1648" s="217" t="s">
        <v>97</v>
      </c>
      <c r="G1648" s="217" t="s">
        <v>430</v>
      </c>
      <c r="H1648" s="217" t="s">
        <v>1231</v>
      </c>
      <c r="I1648" s="217" t="s">
        <v>659</v>
      </c>
      <c r="J1648" s="217" t="s">
        <v>1858</v>
      </c>
      <c r="K1648" s="217">
        <v>5</v>
      </c>
      <c r="L1648" s="217">
        <v>56</v>
      </c>
      <c r="M1648" s="217" t="s">
        <v>31</v>
      </c>
      <c r="N1648" s="217" t="s">
        <v>32</v>
      </c>
      <c r="O1648" s="217" t="s">
        <v>668</v>
      </c>
      <c r="P1648" s="217" t="s">
        <v>34</v>
      </c>
      <c r="Q1648" s="217" t="s">
        <v>35</v>
      </c>
      <c r="R1648" s="217" t="s">
        <v>23</v>
      </c>
      <c r="S1648" s="217" t="s">
        <v>22</v>
      </c>
      <c r="T1648" s="217" t="s">
        <v>84</v>
      </c>
      <c r="U1648" s="217" t="s">
        <v>85</v>
      </c>
      <c r="V1648" s="217" t="s">
        <v>32</v>
      </c>
      <c r="W1648" s="217" t="s">
        <v>32</v>
      </c>
    </row>
    <row r="1649" spans="1:23" x14ac:dyDescent="0.25">
      <c r="A1649" s="217" t="s">
        <v>22</v>
      </c>
      <c r="B1649" s="217" t="s">
        <v>23</v>
      </c>
      <c r="C1649" s="217" t="s">
        <v>85</v>
      </c>
      <c r="D1649" s="217" t="s">
        <v>84</v>
      </c>
      <c r="E1649" s="217" t="s">
        <v>98</v>
      </c>
      <c r="F1649" s="217" t="s">
        <v>97</v>
      </c>
      <c r="G1649" s="217" t="s">
        <v>167</v>
      </c>
      <c r="H1649" s="217" t="s">
        <v>1232</v>
      </c>
      <c r="I1649" s="217" t="s">
        <v>659</v>
      </c>
      <c r="J1649" s="217" t="s">
        <v>1857</v>
      </c>
      <c r="K1649" s="217">
        <v>24</v>
      </c>
      <c r="L1649" s="217">
        <v>120</v>
      </c>
      <c r="M1649" s="217" t="s">
        <v>31</v>
      </c>
      <c r="N1649" s="217" t="s">
        <v>32</v>
      </c>
      <c r="O1649" s="217" t="s">
        <v>668</v>
      </c>
      <c r="P1649" s="217" t="s">
        <v>34</v>
      </c>
      <c r="Q1649" s="217" t="s">
        <v>35</v>
      </c>
      <c r="R1649" s="217" t="s">
        <v>23</v>
      </c>
      <c r="S1649" s="217" t="s">
        <v>22</v>
      </c>
      <c r="T1649" s="217" t="s">
        <v>84</v>
      </c>
      <c r="U1649" s="217" t="s">
        <v>85</v>
      </c>
      <c r="V1649" s="217" t="s">
        <v>32</v>
      </c>
      <c r="W1649" s="217" t="s">
        <v>32</v>
      </c>
    </row>
    <row r="1650" spans="1:23" x14ac:dyDescent="0.25">
      <c r="A1650" s="217" t="s">
        <v>22</v>
      </c>
      <c r="B1650" s="217" t="s">
        <v>23</v>
      </c>
      <c r="C1650" s="217" t="s">
        <v>85</v>
      </c>
      <c r="D1650" s="217" t="s">
        <v>84</v>
      </c>
      <c r="E1650" s="217" t="s">
        <v>98</v>
      </c>
      <c r="F1650" s="217" t="s">
        <v>97</v>
      </c>
      <c r="G1650" s="217" t="s">
        <v>431</v>
      </c>
      <c r="H1650" s="217" t="s">
        <v>1685</v>
      </c>
      <c r="I1650" s="217" t="s">
        <v>659</v>
      </c>
      <c r="J1650" s="217" t="s">
        <v>1859</v>
      </c>
      <c r="K1650" s="217">
        <v>148</v>
      </c>
      <c r="L1650" s="217">
        <v>1157</v>
      </c>
      <c r="M1650" s="217" t="s">
        <v>31</v>
      </c>
      <c r="N1650" s="217" t="s">
        <v>32</v>
      </c>
      <c r="O1650" s="217" t="s">
        <v>668</v>
      </c>
      <c r="P1650" s="217" t="s">
        <v>34</v>
      </c>
      <c r="Q1650" s="217" t="s">
        <v>35</v>
      </c>
      <c r="R1650" s="217" t="s">
        <v>23</v>
      </c>
      <c r="S1650" s="217" t="s">
        <v>22</v>
      </c>
      <c r="T1650" s="217" t="s">
        <v>84</v>
      </c>
      <c r="U1650" s="217" t="s">
        <v>85</v>
      </c>
      <c r="V1650" s="217" t="s">
        <v>32</v>
      </c>
      <c r="W1650" s="217" t="s">
        <v>32</v>
      </c>
    </row>
    <row r="1651" spans="1:23" x14ac:dyDescent="0.25">
      <c r="A1651" s="217" t="s">
        <v>22</v>
      </c>
      <c r="B1651" s="217" t="s">
        <v>23</v>
      </c>
      <c r="C1651" s="217" t="s">
        <v>85</v>
      </c>
      <c r="D1651" s="217" t="s">
        <v>84</v>
      </c>
      <c r="E1651" s="217" t="s">
        <v>98</v>
      </c>
      <c r="F1651" s="217" t="s">
        <v>97</v>
      </c>
      <c r="G1651" s="217" t="s">
        <v>168</v>
      </c>
      <c r="H1651" s="217" t="s">
        <v>1235</v>
      </c>
      <c r="I1651" s="217" t="s">
        <v>659</v>
      </c>
      <c r="J1651" s="217" t="s">
        <v>1857</v>
      </c>
      <c r="K1651" s="217">
        <v>11</v>
      </c>
      <c r="L1651" s="217">
        <v>50</v>
      </c>
      <c r="M1651" s="217" t="s">
        <v>31</v>
      </c>
      <c r="N1651" s="217" t="s">
        <v>32</v>
      </c>
      <c r="O1651" s="217" t="s">
        <v>668</v>
      </c>
      <c r="P1651" s="217" t="s">
        <v>34</v>
      </c>
      <c r="Q1651" s="217" t="s">
        <v>35</v>
      </c>
      <c r="R1651" s="217" t="s">
        <v>23</v>
      </c>
      <c r="S1651" s="217" t="s">
        <v>22</v>
      </c>
      <c r="T1651" s="217" t="s">
        <v>84</v>
      </c>
      <c r="U1651" s="217" t="s">
        <v>85</v>
      </c>
      <c r="V1651" s="217" t="s">
        <v>32</v>
      </c>
      <c r="W1651" s="217" t="s">
        <v>32</v>
      </c>
    </row>
    <row r="1652" spans="1:23" x14ac:dyDescent="0.25">
      <c r="A1652" s="217" t="s">
        <v>22</v>
      </c>
      <c r="B1652" s="217" t="s">
        <v>23</v>
      </c>
      <c r="C1652" s="217" t="s">
        <v>85</v>
      </c>
      <c r="D1652" s="217" t="s">
        <v>84</v>
      </c>
      <c r="E1652" s="217" t="s">
        <v>98</v>
      </c>
      <c r="F1652" s="217" t="s">
        <v>97</v>
      </c>
      <c r="G1652" s="217" t="s">
        <v>437</v>
      </c>
      <c r="H1652" s="217" t="s">
        <v>1253</v>
      </c>
      <c r="I1652" s="217" t="s">
        <v>659</v>
      </c>
      <c r="J1652" s="217" t="s">
        <v>1856</v>
      </c>
      <c r="K1652" s="217">
        <v>8</v>
      </c>
      <c r="L1652" s="217">
        <v>35</v>
      </c>
      <c r="M1652" s="217" t="s">
        <v>31</v>
      </c>
      <c r="N1652" s="217" t="s">
        <v>32</v>
      </c>
      <c r="O1652" s="217" t="s">
        <v>668</v>
      </c>
      <c r="P1652" s="217" t="s">
        <v>34</v>
      </c>
      <c r="Q1652" s="217" t="s">
        <v>35</v>
      </c>
      <c r="R1652" s="217" t="s">
        <v>23</v>
      </c>
      <c r="S1652" s="217" t="s">
        <v>22</v>
      </c>
      <c r="T1652" s="217" t="s">
        <v>84</v>
      </c>
      <c r="U1652" s="217" t="s">
        <v>85</v>
      </c>
      <c r="V1652" s="217" t="s">
        <v>32</v>
      </c>
      <c r="W1652" s="217" t="s">
        <v>32</v>
      </c>
    </row>
    <row r="1653" spans="1:23" x14ac:dyDescent="0.25">
      <c r="A1653" s="217" t="s">
        <v>22</v>
      </c>
      <c r="B1653" s="217" t="s">
        <v>23</v>
      </c>
      <c r="C1653" s="217" t="s">
        <v>85</v>
      </c>
      <c r="D1653" s="217" t="s">
        <v>84</v>
      </c>
      <c r="E1653" s="217" t="s">
        <v>98</v>
      </c>
      <c r="F1653" s="217" t="s">
        <v>97</v>
      </c>
      <c r="G1653" s="217" t="s">
        <v>451</v>
      </c>
      <c r="H1653" s="217" t="s">
        <v>1272</v>
      </c>
      <c r="I1653" s="217" t="s">
        <v>659</v>
      </c>
      <c r="J1653" s="217" t="s">
        <v>1855</v>
      </c>
      <c r="K1653" s="217">
        <v>10</v>
      </c>
      <c r="L1653" s="217">
        <v>50</v>
      </c>
      <c r="M1653" s="217" t="s">
        <v>31</v>
      </c>
      <c r="N1653" s="217" t="s">
        <v>32</v>
      </c>
      <c r="O1653" s="217" t="s">
        <v>668</v>
      </c>
      <c r="P1653" s="217" t="s">
        <v>34</v>
      </c>
      <c r="Q1653" s="217" t="s">
        <v>35</v>
      </c>
      <c r="R1653" s="217" t="s">
        <v>23</v>
      </c>
      <c r="S1653" s="217" t="s">
        <v>22</v>
      </c>
      <c r="T1653" s="217" t="s">
        <v>84</v>
      </c>
      <c r="U1653" s="217" t="s">
        <v>85</v>
      </c>
      <c r="V1653" s="217" t="s">
        <v>32</v>
      </c>
      <c r="W1653" s="217" t="s">
        <v>32</v>
      </c>
    </row>
    <row r="1654" spans="1:23" x14ac:dyDescent="0.25">
      <c r="A1654" s="217" t="s">
        <v>22</v>
      </c>
      <c r="B1654" s="217" t="s">
        <v>23</v>
      </c>
      <c r="C1654" s="217" t="s">
        <v>85</v>
      </c>
      <c r="D1654" s="217" t="s">
        <v>84</v>
      </c>
      <c r="E1654" s="217" t="s">
        <v>98</v>
      </c>
      <c r="F1654" s="217" t="s">
        <v>97</v>
      </c>
      <c r="G1654" s="217" t="s">
        <v>451</v>
      </c>
      <c r="H1654" s="217" t="s">
        <v>1272</v>
      </c>
      <c r="I1654" s="217" t="s">
        <v>659</v>
      </c>
      <c r="J1654" s="217" t="s">
        <v>1856</v>
      </c>
      <c r="K1654" s="217">
        <v>8</v>
      </c>
      <c r="L1654" s="217">
        <v>46</v>
      </c>
      <c r="M1654" s="217" t="s">
        <v>31</v>
      </c>
      <c r="N1654" s="217" t="s">
        <v>32</v>
      </c>
      <c r="O1654" s="217" t="s">
        <v>668</v>
      </c>
      <c r="P1654" s="217" t="s">
        <v>34</v>
      </c>
      <c r="Q1654" s="217" t="s">
        <v>35</v>
      </c>
      <c r="R1654" s="217" t="s">
        <v>23</v>
      </c>
      <c r="S1654" s="217" t="s">
        <v>22</v>
      </c>
      <c r="T1654" s="217" t="s">
        <v>84</v>
      </c>
      <c r="U1654" s="217" t="s">
        <v>85</v>
      </c>
      <c r="V1654" s="217" t="s">
        <v>32</v>
      </c>
      <c r="W1654" s="217" t="s">
        <v>32</v>
      </c>
    </row>
    <row r="1655" spans="1:23" x14ac:dyDescent="0.25">
      <c r="A1655" s="217" t="s">
        <v>22</v>
      </c>
      <c r="B1655" s="217" t="s">
        <v>23</v>
      </c>
      <c r="C1655" s="217" t="s">
        <v>85</v>
      </c>
      <c r="D1655" s="217" t="s">
        <v>84</v>
      </c>
      <c r="E1655" s="217" t="s">
        <v>98</v>
      </c>
      <c r="F1655" s="217" t="s">
        <v>97</v>
      </c>
      <c r="G1655" s="217" t="s">
        <v>454</v>
      </c>
      <c r="H1655" s="217" t="s">
        <v>1280</v>
      </c>
      <c r="I1655" s="217" t="s">
        <v>659</v>
      </c>
      <c r="J1655" s="217" t="s">
        <v>1855</v>
      </c>
      <c r="K1655" s="217">
        <v>3</v>
      </c>
      <c r="L1655" s="217">
        <v>8</v>
      </c>
      <c r="M1655" s="217" t="s">
        <v>31</v>
      </c>
      <c r="N1655" s="217" t="s">
        <v>32</v>
      </c>
      <c r="O1655" s="217" t="s">
        <v>141</v>
      </c>
      <c r="P1655" s="217" t="s">
        <v>142</v>
      </c>
      <c r="Q1655" s="217" t="s">
        <v>143</v>
      </c>
      <c r="R1655" s="217" t="s">
        <v>618</v>
      </c>
      <c r="S1655" s="217" t="s">
        <v>619</v>
      </c>
      <c r="T1655" s="217" t="s">
        <v>32</v>
      </c>
      <c r="U1655" s="217" t="s">
        <v>32</v>
      </c>
      <c r="V1655" s="217" t="s">
        <v>32</v>
      </c>
      <c r="W1655" s="217" t="s">
        <v>32</v>
      </c>
    </row>
    <row r="1656" spans="1:23" x14ac:dyDescent="0.25">
      <c r="A1656" s="217" t="s">
        <v>22</v>
      </c>
      <c r="B1656" s="217" t="s">
        <v>23</v>
      </c>
      <c r="C1656" s="217" t="s">
        <v>85</v>
      </c>
      <c r="D1656" s="217" t="s">
        <v>84</v>
      </c>
      <c r="E1656" s="217" t="s">
        <v>98</v>
      </c>
      <c r="F1656" s="217" t="s">
        <v>97</v>
      </c>
      <c r="G1656" s="217" t="s">
        <v>171</v>
      </c>
      <c r="H1656" s="217" t="s">
        <v>1297</v>
      </c>
      <c r="I1656" s="217" t="s">
        <v>659</v>
      </c>
      <c r="J1656" s="217" t="s">
        <v>1856</v>
      </c>
      <c r="K1656" s="217">
        <v>3</v>
      </c>
      <c r="L1656" s="217">
        <v>10</v>
      </c>
      <c r="M1656" s="217" t="s">
        <v>31</v>
      </c>
      <c r="N1656" s="217" t="s">
        <v>32</v>
      </c>
      <c r="O1656" s="217" t="s">
        <v>668</v>
      </c>
      <c r="P1656" s="217" t="s">
        <v>34</v>
      </c>
      <c r="Q1656" s="217" t="s">
        <v>35</v>
      </c>
      <c r="R1656" s="217" t="s">
        <v>23</v>
      </c>
      <c r="S1656" s="217" t="s">
        <v>22</v>
      </c>
      <c r="T1656" s="217" t="s">
        <v>84</v>
      </c>
      <c r="U1656" s="217" t="s">
        <v>85</v>
      </c>
      <c r="V1656" s="217" t="s">
        <v>32</v>
      </c>
      <c r="W1656" s="217" t="s">
        <v>32</v>
      </c>
    </row>
    <row r="1657" spans="1:23" x14ac:dyDescent="0.25">
      <c r="A1657" s="217" t="s">
        <v>22</v>
      </c>
      <c r="B1657" s="217" t="s">
        <v>23</v>
      </c>
      <c r="C1657" s="217" t="s">
        <v>85</v>
      </c>
      <c r="D1657" s="217" t="s">
        <v>84</v>
      </c>
      <c r="E1657" s="217" t="s">
        <v>98</v>
      </c>
      <c r="F1657" s="217" t="s">
        <v>97</v>
      </c>
      <c r="G1657" s="217" t="s">
        <v>462</v>
      </c>
      <c r="H1657" s="217" t="s">
        <v>1300</v>
      </c>
      <c r="I1657" s="217" t="s">
        <v>659</v>
      </c>
      <c r="J1657" s="217" t="s">
        <v>1856</v>
      </c>
      <c r="K1657" s="217">
        <v>3</v>
      </c>
      <c r="L1657" s="217">
        <v>10</v>
      </c>
      <c r="M1657" s="217" t="s">
        <v>31</v>
      </c>
      <c r="N1657" s="217" t="s">
        <v>32</v>
      </c>
      <c r="O1657" s="217" t="s">
        <v>141</v>
      </c>
      <c r="P1657" s="217" t="s">
        <v>142</v>
      </c>
      <c r="Q1657" s="217" t="s">
        <v>143</v>
      </c>
      <c r="R1657" s="217" t="s">
        <v>618</v>
      </c>
      <c r="S1657" s="217" t="s">
        <v>619</v>
      </c>
      <c r="T1657" s="217" t="s">
        <v>32</v>
      </c>
      <c r="U1657" s="217" t="s">
        <v>32</v>
      </c>
      <c r="V1657" s="217" t="s">
        <v>32</v>
      </c>
      <c r="W1657" s="217" t="s">
        <v>32</v>
      </c>
    </row>
    <row r="1658" spans="1:23" x14ac:dyDescent="0.25">
      <c r="A1658" s="217" t="s">
        <v>22</v>
      </c>
      <c r="B1658" s="217" t="s">
        <v>23</v>
      </c>
      <c r="C1658" s="217" t="s">
        <v>85</v>
      </c>
      <c r="D1658" s="217" t="s">
        <v>84</v>
      </c>
      <c r="E1658" s="217" t="s">
        <v>175</v>
      </c>
      <c r="F1658" s="217" t="s">
        <v>174</v>
      </c>
      <c r="G1658" s="217" t="s">
        <v>295</v>
      </c>
      <c r="H1658" s="217" t="s">
        <v>1301</v>
      </c>
      <c r="I1658" s="217" t="s">
        <v>659</v>
      </c>
      <c r="J1658" s="217" t="s">
        <v>1856</v>
      </c>
      <c r="K1658" s="217">
        <v>20</v>
      </c>
      <c r="L1658" s="217">
        <v>102</v>
      </c>
      <c r="M1658" s="217" t="s">
        <v>31</v>
      </c>
      <c r="N1658" s="217" t="s">
        <v>32</v>
      </c>
      <c r="O1658" s="217" t="s">
        <v>668</v>
      </c>
      <c r="P1658" s="217" t="s">
        <v>34</v>
      </c>
      <c r="Q1658" s="217" t="s">
        <v>35</v>
      </c>
      <c r="R1658" s="217" t="s">
        <v>23</v>
      </c>
      <c r="S1658" s="217" t="s">
        <v>22</v>
      </c>
      <c r="T1658" s="217" t="s">
        <v>84</v>
      </c>
      <c r="U1658" s="217" t="s">
        <v>85</v>
      </c>
      <c r="V1658" s="217" t="s">
        <v>32</v>
      </c>
      <c r="W1658" s="217" t="s">
        <v>32</v>
      </c>
    </row>
    <row r="1659" spans="1:23" x14ac:dyDescent="0.25">
      <c r="A1659" s="217" t="s">
        <v>22</v>
      </c>
      <c r="B1659" s="217" t="s">
        <v>23</v>
      </c>
      <c r="C1659" s="217" t="s">
        <v>85</v>
      </c>
      <c r="D1659" s="217" t="s">
        <v>84</v>
      </c>
      <c r="E1659" s="217" t="s">
        <v>175</v>
      </c>
      <c r="F1659" s="217" t="s">
        <v>174</v>
      </c>
      <c r="G1659" s="217" t="s">
        <v>1971</v>
      </c>
      <c r="H1659" s="217" t="s">
        <v>1972</v>
      </c>
      <c r="I1659" s="217" t="s">
        <v>659</v>
      </c>
      <c r="J1659" s="217" t="s">
        <v>1858</v>
      </c>
      <c r="K1659" s="217">
        <v>25</v>
      </c>
      <c r="L1659" s="217">
        <v>131</v>
      </c>
      <c r="M1659" s="217" t="s">
        <v>31</v>
      </c>
      <c r="N1659" s="217" t="s">
        <v>32</v>
      </c>
      <c r="O1659" s="217" t="s">
        <v>668</v>
      </c>
      <c r="P1659" s="217" t="s">
        <v>34</v>
      </c>
      <c r="Q1659" s="217" t="s">
        <v>35</v>
      </c>
      <c r="R1659" s="217" t="s">
        <v>23</v>
      </c>
      <c r="S1659" s="217" t="s">
        <v>22</v>
      </c>
      <c r="T1659" s="217" t="s">
        <v>84</v>
      </c>
      <c r="U1659" s="217" t="s">
        <v>85</v>
      </c>
      <c r="V1659" s="217" t="s">
        <v>32</v>
      </c>
      <c r="W1659" s="217" t="s">
        <v>32</v>
      </c>
    </row>
    <row r="1660" spans="1:23" x14ac:dyDescent="0.25">
      <c r="A1660" s="217" t="s">
        <v>22</v>
      </c>
      <c r="B1660" s="217" t="s">
        <v>23</v>
      </c>
      <c r="C1660" s="217" t="s">
        <v>85</v>
      </c>
      <c r="D1660" s="217" t="s">
        <v>84</v>
      </c>
      <c r="E1660" s="217" t="s">
        <v>175</v>
      </c>
      <c r="F1660" s="217" t="s">
        <v>174</v>
      </c>
      <c r="G1660" s="217" t="s">
        <v>464</v>
      </c>
      <c r="H1660" s="217" t="s">
        <v>1303</v>
      </c>
      <c r="I1660" s="217" t="s">
        <v>659</v>
      </c>
      <c r="J1660" s="217" t="s">
        <v>1857</v>
      </c>
      <c r="K1660" s="217">
        <v>15</v>
      </c>
      <c r="L1660" s="217">
        <v>80</v>
      </c>
      <c r="M1660" s="217" t="s">
        <v>31</v>
      </c>
      <c r="N1660" s="217" t="s">
        <v>32</v>
      </c>
      <c r="O1660" s="217" t="s">
        <v>668</v>
      </c>
      <c r="P1660" s="217" t="s">
        <v>34</v>
      </c>
      <c r="Q1660" s="217" t="s">
        <v>35</v>
      </c>
      <c r="R1660" s="217" t="s">
        <v>23</v>
      </c>
      <c r="S1660" s="217" t="s">
        <v>22</v>
      </c>
      <c r="T1660" s="217" t="s">
        <v>84</v>
      </c>
      <c r="U1660" s="217" t="s">
        <v>85</v>
      </c>
      <c r="V1660" s="217" t="s">
        <v>32</v>
      </c>
      <c r="W1660" s="217" t="s">
        <v>32</v>
      </c>
    </row>
    <row r="1661" spans="1:23" x14ac:dyDescent="0.25">
      <c r="A1661" s="217" t="s">
        <v>22</v>
      </c>
      <c r="B1661" s="217" t="s">
        <v>23</v>
      </c>
      <c r="C1661" s="217" t="s">
        <v>85</v>
      </c>
      <c r="D1661" s="217" t="s">
        <v>84</v>
      </c>
      <c r="E1661" s="217" t="s">
        <v>175</v>
      </c>
      <c r="F1661" s="217" t="s">
        <v>174</v>
      </c>
      <c r="G1661" s="217" t="s">
        <v>464</v>
      </c>
      <c r="H1661" s="217" t="s">
        <v>1303</v>
      </c>
      <c r="I1661" s="217" t="s">
        <v>659</v>
      </c>
      <c r="J1661" s="217" t="s">
        <v>1858</v>
      </c>
      <c r="K1661" s="217">
        <v>2</v>
      </c>
      <c r="L1661" s="217">
        <v>13</v>
      </c>
      <c r="M1661" s="217" t="s">
        <v>31</v>
      </c>
      <c r="N1661" s="217" t="s">
        <v>32</v>
      </c>
      <c r="O1661" s="217" t="s">
        <v>668</v>
      </c>
      <c r="P1661" s="217" t="s">
        <v>34</v>
      </c>
      <c r="Q1661" s="217" t="s">
        <v>35</v>
      </c>
      <c r="R1661" s="217" t="s">
        <v>23</v>
      </c>
      <c r="S1661" s="217" t="s">
        <v>22</v>
      </c>
      <c r="T1661" s="217" t="s">
        <v>84</v>
      </c>
      <c r="U1661" s="217" t="s">
        <v>85</v>
      </c>
      <c r="V1661" s="217" t="s">
        <v>32</v>
      </c>
      <c r="W1661" s="217" t="s">
        <v>32</v>
      </c>
    </row>
    <row r="1662" spans="1:23" x14ac:dyDescent="0.25">
      <c r="A1662" s="217" t="s">
        <v>22</v>
      </c>
      <c r="B1662" s="217" t="s">
        <v>23</v>
      </c>
      <c r="C1662" s="217" t="s">
        <v>85</v>
      </c>
      <c r="D1662" s="217" t="s">
        <v>84</v>
      </c>
      <c r="E1662" s="217" t="s">
        <v>175</v>
      </c>
      <c r="F1662" s="217" t="s">
        <v>174</v>
      </c>
      <c r="G1662" s="217" t="s">
        <v>177</v>
      </c>
      <c r="H1662" s="217" t="s">
        <v>1526</v>
      </c>
      <c r="I1662" s="217" t="s">
        <v>659</v>
      </c>
      <c r="J1662" s="217" t="s">
        <v>1858</v>
      </c>
      <c r="K1662" s="217">
        <v>62</v>
      </c>
      <c r="L1662" s="217">
        <v>350</v>
      </c>
      <c r="M1662" s="217" t="s">
        <v>31</v>
      </c>
      <c r="N1662" s="217" t="s">
        <v>32</v>
      </c>
      <c r="O1662" s="217" t="s">
        <v>668</v>
      </c>
      <c r="P1662" s="217" t="s">
        <v>34</v>
      </c>
      <c r="Q1662" s="217" t="s">
        <v>35</v>
      </c>
      <c r="R1662" s="217" t="s">
        <v>23</v>
      </c>
      <c r="S1662" s="217" t="s">
        <v>22</v>
      </c>
      <c r="T1662" s="217" t="s">
        <v>84</v>
      </c>
      <c r="U1662" s="217" t="s">
        <v>85</v>
      </c>
      <c r="V1662" s="217" t="s">
        <v>32</v>
      </c>
      <c r="W1662" s="217" t="s">
        <v>32</v>
      </c>
    </row>
    <row r="1663" spans="1:23" x14ac:dyDescent="0.25">
      <c r="A1663" s="217" t="s">
        <v>22</v>
      </c>
      <c r="B1663" s="217" t="s">
        <v>23</v>
      </c>
      <c r="C1663" s="217" t="s">
        <v>85</v>
      </c>
      <c r="D1663" s="217" t="s">
        <v>84</v>
      </c>
      <c r="E1663" s="217" t="s">
        <v>175</v>
      </c>
      <c r="F1663" s="217" t="s">
        <v>174</v>
      </c>
      <c r="G1663" s="217" t="s">
        <v>465</v>
      </c>
      <c r="H1663" s="217" t="s">
        <v>1304</v>
      </c>
      <c r="I1663" s="217" t="s">
        <v>659</v>
      </c>
      <c r="J1663" s="217" t="s">
        <v>1856</v>
      </c>
      <c r="K1663" s="217">
        <v>5</v>
      </c>
      <c r="L1663" s="217">
        <v>28</v>
      </c>
      <c r="M1663" s="217" t="s">
        <v>31</v>
      </c>
      <c r="N1663" s="217" t="s">
        <v>32</v>
      </c>
      <c r="O1663" s="217" t="s">
        <v>668</v>
      </c>
      <c r="P1663" s="217" t="s">
        <v>34</v>
      </c>
      <c r="Q1663" s="217" t="s">
        <v>35</v>
      </c>
      <c r="R1663" s="217" t="s">
        <v>23</v>
      </c>
      <c r="S1663" s="217" t="s">
        <v>22</v>
      </c>
      <c r="T1663" s="217" t="s">
        <v>84</v>
      </c>
      <c r="U1663" s="217" t="s">
        <v>85</v>
      </c>
      <c r="V1663" s="217" t="s">
        <v>32</v>
      </c>
      <c r="W1663" s="217" t="s">
        <v>32</v>
      </c>
    </row>
    <row r="1664" spans="1:23" x14ac:dyDescent="0.25">
      <c r="A1664" s="217" t="s">
        <v>22</v>
      </c>
      <c r="B1664" s="217" t="s">
        <v>23</v>
      </c>
      <c r="C1664" s="217" t="s">
        <v>85</v>
      </c>
      <c r="D1664" s="217" t="s">
        <v>84</v>
      </c>
      <c r="E1664" s="217" t="s">
        <v>175</v>
      </c>
      <c r="F1664" s="217" t="s">
        <v>174</v>
      </c>
      <c r="G1664" s="217" t="s">
        <v>465</v>
      </c>
      <c r="H1664" s="217" t="s">
        <v>1304</v>
      </c>
      <c r="I1664" s="217" t="s">
        <v>659</v>
      </c>
      <c r="J1664" s="217" t="s">
        <v>1857</v>
      </c>
      <c r="K1664" s="217">
        <v>4</v>
      </c>
      <c r="L1664" s="217">
        <v>22</v>
      </c>
      <c r="M1664" s="217" t="s">
        <v>31</v>
      </c>
      <c r="N1664" s="217" t="s">
        <v>32</v>
      </c>
      <c r="O1664" s="217" t="s">
        <v>668</v>
      </c>
      <c r="P1664" s="217" t="s">
        <v>34</v>
      </c>
      <c r="Q1664" s="217" t="s">
        <v>35</v>
      </c>
      <c r="R1664" s="217" t="s">
        <v>23</v>
      </c>
      <c r="S1664" s="217" t="s">
        <v>22</v>
      </c>
      <c r="T1664" s="217" t="s">
        <v>84</v>
      </c>
      <c r="U1664" s="217" t="s">
        <v>85</v>
      </c>
      <c r="V1664" s="217" t="s">
        <v>32</v>
      </c>
      <c r="W1664" s="217" t="s">
        <v>32</v>
      </c>
    </row>
    <row r="1665" spans="1:23" x14ac:dyDescent="0.25">
      <c r="A1665" s="217" t="s">
        <v>22</v>
      </c>
      <c r="B1665" s="217" t="s">
        <v>23</v>
      </c>
      <c r="C1665" s="217" t="s">
        <v>85</v>
      </c>
      <c r="D1665" s="217" t="s">
        <v>84</v>
      </c>
      <c r="E1665" s="217" t="s">
        <v>175</v>
      </c>
      <c r="F1665" s="217" t="s">
        <v>174</v>
      </c>
      <c r="G1665" s="217" t="s">
        <v>634</v>
      </c>
      <c r="H1665" s="217" t="s">
        <v>1527</v>
      </c>
      <c r="I1665" s="217" t="s">
        <v>659</v>
      </c>
      <c r="J1665" s="217" t="s">
        <v>1858</v>
      </c>
      <c r="K1665" s="217">
        <v>100</v>
      </c>
      <c r="L1665" s="217">
        <v>479</v>
      </c>
      <c r="M1665" s="217" t="s">
        <v>31</v>
      </c>
      <c r="N1665" s="217" t="s">
        <v>32</v>
      </c>
      <c r="O1665" s="217" t="s">
        <v>141</v>
      </c>
      <c r="P1665" s="217" t="s">
        <v>142</v>
      </c>
      <c r="Q1665" s="217" t="s">
        <v>143</v>
      </c>
      <c r="R1665" s="217" t="s">
        <v>618</v>
      </c>
      <c r="S1665" s="217" t="s">
        <v>619</v>
      </c>
      <c r="T1665" s="217" t="s">
        <v>32</v>
      </c>
      <c r="U1665" s="217" t="s">
        <v>32</v>
      </c>
      <c r="V1665" s="217" t="s">
        <v>32</v>
      </c>
      <c r="W1665" s="217" t="s">
        <v>32</v>
      </c>
    </row>
    <row r="1666" spans="1:23" x14ac:dyDescent="0.25">
      <c r="A1666" s="217" t="s">
        <v>22</v>
      </c>
      <c r="B1666" s="217" t="s">
        <v>23</v>
      </c>
      <c r="C1666" s="217" t="s">
        <v>85</v>
      </c>
      <c r="D1666" s="217" t="s">
        <v>84</v>
      </c>
      <c r="E1666" s="217" t="s">
        <v>175</v>
      </c>
      <c r="F1666" s="217" t="s">
        <v>174</v>
      </c>
      <c r="G1666" s="217" t="s">
        <v>830</v>
      </c>
      <c r="H1666" s="217" t="s">
        <v>1306</v>
      </c>
      <c r="I1666" s="217" t="s">
        <v>659</v>
      </c>
      <c r="J1666" s="217" t="s">
        <v>1856</v>
      </c>
      <c r="K1666" s="217">
        <v>12</v>
      </c>
      <c r="L1666" s="217">
        <v>76</v>
      </c>
      <c r="M1666" s="217" t="s">
        <v>31</v>
      </c>
      <c r="N1666" s="217" t="s">
        <v>32</v>
      </c>
      <c r="O1666" s="217" t="s">
        <v>668</v>
      </c>
      <c r="P1666" s="217" t="s">
        <v>34</v>
      </c>
      <c r="Q1666" s="217" t="s">
        <v>35</v>
      </c>
      <c r="R1666" s="217" t="s">
        <v>23</v>
      </c>
      <c r="S1666" s="217" t="s">
        <v>22</v>
      </c>
      <c r="T1666" s="217" t="s">
        <v>84</v>
      </c>
      <c r="U1666" s="217" t="s">
        <v>85</v>
      </c>
      <c r="V1666" s="217" t="s">
        <v>32</v>
      </c>
      <c r="W1666" s="217" t="s">
        <v>32</v>
      </c>
    </row>
    <row r="1667" spans="1:23" x14ac:dyDescent="0.25">
      <c r="A1667" s="217" t="s">
        <v>22</v>
      </c>
      <c r="B1667" s="217" t="s">
        <v>23</v>
      </c>
      <c r="C1667" s="217" t="s">
        <v>85</v>
      </c>
      <c r="D1667" s="217" t="s">
        <v>84</v>
      </c>
      <c r="E1667" s="217" t="s">
        <v>175</v>
      </c>
      <c r="F1667" s="217" t="s">
        <v>174</v>
      </c>
      <c r="G1667" s="217" t="s">
        <v>830</v>
      </c>
      <c r="H1667" s="217" t="s">
        <v>1306</v>
      </c>
      <c r="I1667" s="217" t="s">
        <v>659</v>
      </c>
      <c r="J1667" s="217" t="s">
        <v>1858</v>
      </c>
      <c r="K1667" s="217">
        <v>2</v>
      </c>
      <c r="L1667" s="217">
        <v>13</v>
      </c>
      <c r="M1667" s="217" t="s">
        <v>31</v>
      </c>
      <c r="N1667" s="217" t="s">
        <v>32</v>
      </c>
      <c r="O1667" s="217" t="s">
        <v>668</v>
      </c>
      <c r="P1667" s="217" t="s">
        <v>34</v>
      </c>
      <c r="Q1667" s="217" t="s">
        <v>35</v>
      </c>
      <c r="R1667" s="217" t="s">
        <v>23</v>
      </c>
      <c r="S1667" s="217" t="s">
        <v>22</v>
      </c>
      <c r="T1667" s="217" t="s">
        <v>84</v>
      </c>
      <c r="U1667" s="217" t="s">
        <v>85</v>
      </c>
      <c r="V1667" s="217" t="s">
        <v>32</v>
      </c>
      <c r="W1667" s="217" t="s">
        <v>32</v>
      </c>
    </row>
    <row r="1668" spans="1:23" x14ac:dyDescent="0.25">
      <c r="A1668" s="217" t="s">
        <v>22</v>
      </c>
      <c r="B1668" s="217" t="s">
        <v>23</v>
      </c>
      <c r="C1668" s="217" t="s">
        <v>85</v>
      </c>
      <c r="D1668" s="217" t="s">
        <v>84</v>
      </c>
      <c r="E1668" s="217" t="s">
        <v>175</v>
      </c>
      <c r="F1668" s="217" t="s">
        <v>174</v>
      </c>
      <c r="G1668" s="217" t="s">
        <v>853</v>
      </c>
      <c r="H1668" s="217" t="s">
        <v>1561</v>
      </c>
      <c r="I1668" s="217" t="s">
        <v>659</v>
      </c>
      <c r="J1668" s="217" t="s">
        <v>1857</v>
      </c>
      <c r="K1668" s="217">
        <v>12</v>
      </c>
      <c r="L1668" s="217">
        <v>70</v>
      </c>
      <c r="M1668" s="217" t="s">
        <v>31</v>
      </c>
      <c r="N1668" s="217" t="s">
        <v>32</v>
      </c>
      <c r="O1668" s="217" t="s">
        <v>668</v>
      </c>
      <c r="P1668" s="217" t="s">
        <v>34</v>
      </c>
      <c r="Q1668" s="217" t="s">
        <v>35</v>
      </c>
      <c r="R1668" s="217" t="s">
        <v>23</v>
      </c>
      <c r="S1668" s="217" t="s">
        <v>22</v>
      </c>
      <c r="T1668" s="217" t="s">
        <v>84</v>
      </c>
      <c r="U1668" s="217" t="s">
        <v>85</v>
      </c>
      <c r="V1668" s="217" t="s">
        <v>32</v>
      </c>
      <c r="W1668" s="217" t="s">
        <v>32</v>
      </c>
    </row>
    <row r="1669" spans="1:23" x14ac:dyDescent="0.25">
      <c r="A1669" s="217" t="s">
        <v>22</v>
      </c>
      <c r="B1669" s="217" t="s">
        <v>23</v>
      </c>
      <c r="C1669" s="217" t="s">
        <v>85</v>
      </c>
      <c r="D1669" s="217" t="s">
        <v>84</v>
      </c>
      <c r="E1669" s="217" t="s">
        <v>175</v>
      </c>
      <c r="F1669" s="217" t="s">
        <v>174</v>
      </c>
      <c r="G1669" s="217" t="s">
        <v>178</v>
      </c>
      <c r="H1669" s="217" t="s">
        <v>1562</v>
      </c>
      <c r="I1669" s="217" t="s">
        <v>659</v>
      </c>
      <c r="J1669" s="217" t="s">
        <v>1857</v>
      </c>
      <c r="K1669" s="217">
        <v>44</v>
      </c>
      <c r="L1669" s="217">
        <v>227</v>
      </c>
      <c r="M1669" s="217" t="s">
        <v>31</v>
      </c>
      <c r="N1669" s="217" t="s">
        <v>32</v>
      </c>
      <c r="O1669" s="217" t="s">
        <v>668</v>
      </c>
      <c r="P1669" s="217" t="s">
        <v>34</v>
      </c>
      <c r="Q1669" s="217" t="s">
        <v>35</v>
      </c>
      <c r="R1669" s="217" t="s">
        <v>23</v>
      </c>
      <c r="S1669" s="217" t="s">
        <v>22</v>
      </c>
      <c r="T1669" s="217" t="s">
        <v>84</v>
      </c>
      <c r="U1669" s="217" t="s">
        <v>85</v>
      </c>
      <c r="V1669" s="217" t="s">
        <v>32</v>
      </c>
      <c r="W1669" s="217" t="s">
        <v>32</v>
      </c>
    </row>
    <row r="1670" spans="1:23" x14ac:dyDescent="0.25">
      <c r="A1670" s="217" t="s">
        <v>22</v>
      </c>
      <c r="B1670" s="217" t="s">
        <v>23</v>
      </c>
      <c r="C1670" s="217" t="s">
        <v>85</v>
      </c>
      <c r="D1670" s="217" t="s">
        <v>84</v>
      </c>
      <c r="E1670" s="217" t="s">
        <v>175</v>
      </c>
      <c r="F1670" s="217" t="s">
        <v>174</v>
      </c>
      <c r="G1670" s="217" t="s">
        <v>635</v>
      </c>
      <c r="H1670" s="217" t="s">
        <v>1530</v>
      </c>
      <c r="I1670" s="217" t="s">
        <v>659</v>
      </c>
      <c r="J1670" s="217" t="s">
        <v>1858</v>
      </c>
      <c r="K1670" s="217">
        <v>101</v>
      </c>
      <c r="L1670" s="217">
        <v>513</v>
      </c>
      <c r="M1670" s="217" t="s">
        <v>31</v>
      </c>
      <c r="N1670" s="217" t="s">
        <v>32</v>
      </c>
      <c r="O1670" s="217" t="s">
        <v>668</v>
      </c>
      <c r="P1670" s="217" t="s">
        <v>34</v>
      </c>
      <c r="Q1670" s="217" t="s">
        <v>35</v>
      </c>
      <c r="R1670" s="217" t="s">
        <v>23</v>
      </c>
      <c r="S1670" s="217" t="s">
        <v>22</v>
      </c>
      <c r="T1670" s="217" t="s">
        <v>84</v>
      </c>
      <c r="U1670" s="217" t="s">
        <v>85</v>
      </c>
      <c r="V1670" s="217" t="s">
        <v>32</v>
      </c>
      <c r="W1670" s="217" t="s">
        <v>32</v>
      </c>
    </row>
    <row r="1671" spans="1:23" x14ac:dyDescent="0.25">
      <c r="A1671" s="217" t="s">
        <v>22</v>
      </c>
      <c r="B1671" s="217" t="s">
        <v>23</v>
      </c>
      <c r="C1671" s="217" t="s">
        <v>85</v>
      </c>
      <c r="D1671" s="217" t="s">
        <v>84</v>
      </c>
      <c r="E1671" s="217" t="s">
        <v>175</v>
      </c>
      <c r="F1671" s="217" t="s">
        <v>174</v>
      </c>
      <c r="G1671" s="217" t="s">
        <v>467</v>
      </c>
      <c r="H1671" s="217" t="s">
        <v>1308</v>
      </c>
      <c r="I1671" s="217" t="s">
        <v>659</v>
      </c>
      <c r="J1671" s="217" t="s">
        <v>1857</v>
      </c>
      <c r="K1671" s="217">
        <v>5</v>
      </c>
      <c r="L1671" s="217">
        <v>22</v>
      </c>
      <c r="M1671" s="217" t="s">
        <v>31</v>
      </c>
      <c r="N1671" s="217" t="s">
        <v>32</v>
      </c>
      <c r="O1671" s="217" t="s">
        <v>668</v>
      </c>
      <c r="P1671" s="217" t="s">
        <v>34</v>
      </c>
      <c r="Q1671" s="217" t="s">
        <v>35</v>
      </c>
      <c r="R1671" s="217" t="s">
        <v>23</v>
      </c>
      <c r="S1671" s="217" t="s">
        <v>22</v>
      </c>
      <c r="T1671" s="217" t="s">
        <v>84</v>
      </c>
      <c r="U1671" s="217" t="s">
        <v>85</v>
      </c>
      <c r="V1671" s="217" t="s">
        <v>32</v>
      </c>
      <c r="W1671" s="217" t="s">
        <v>32</v>
      </c>
    </row>
    <row r="1672" spans="1:23" x14ac:dyDescent="0.25">
      <c r="A1672" s="217" t="s">
        <v>22</v>
      </c>
      <c r="B1672" s="217" t="s">
        <v>23</v>
      </c>
      <c r="C1672" s="217" t="s">
        <v>85</v>
      </c>
      <c r="D1672" s="217" t="s">
        <v>84</v>
      </c>
      <c r="E1672" s="217" t="s">
        <v>175</v>
      </c>
      <c r="F1672" s="217" t="s">
        <v>174</v>
      </c>
      <c r="G1672" s="217" t="s">
        <v>469</v>
      </c>
      <c r="H1672" s="217" t="s">
        <v>1531</v>
      </c>
      <c r="I1672" s="217" t="s">
        <v>659</v>
      </c>
      <c r="J1672" s="217" t="s">
        <v>1857</v>
      </c>
      <c r="K1672" s="217">
        <v>3</v>
      </c>
      <c r="L1672" s="217">
        <v>13</v>
      </c>
      <c r="M1672" s="217" t="s">
        <v>31</v>
      </c>
      <c r="N1672" s="217" t="s">
        <v>32</v>
      </c>
      <c r="O1672" s="217" t="s">
        <v>668</v>
      </c>
      <c r="P1672" s="217" t="s">
        <v>34</v>
      </c>
      <c r="Q1672" s="217" t="s">
        <v>35</v>
      </c>
      <c r="R1672" s="217" t="s">
        <v>23</v>
      </c>
      <c r="S1672" s="217" t="s">
        <v>22</v>
      </c>
      <c r="T1672" s="217" t="s">
        <v>84</v>
      </c>
      <c r="U1672" s="217" t="s">
        <v>85</v>
      </c>
      <c r="V1672" s="217" t="s">
        <v>32</v>
      </c>
      <c r="W1672" s="217" t="s">
        <v>32</v>
      </c>
    </row>
    <row r="1673" spans="1:23" x14ac:dyDescent="0.25">
      <c r="A1673" s="217" t="s">
        <v>22</v>
      </c>
      <c r="B1673" s="217" t="s">
        <v>23</v>
      </c>
      <c r="C1673" s="217" t="s">
        <v>85</v>
      </c>
      <c r="D1673" s="217" t="s">
        <v>84</v>
      </c>
      <c r="E1673" s="217" t="s">
        <v>175</v>
      </c>
      <c r="F1673" s="217" t="s">
        <v>174</v>
      </c>
      <c r="G1673" s="217" t="s">
        <v>833</v>
      </c>
      <c r="H1673" s="217" t="s">
        <v>1310</v>
      </c>
      <c r="I1673" s="217" t="s">
        <v>659</v>
      </c>
      <c r="J1673" s="217" t="s">
        <v>1857</v>
      </c>
      <c r="K1673" s="217">
        <v>15</v>
      </c>
      <c r="L1673" s="217">
        <v>57</v>
      </c>
      <c r="M1673" s="217" t="s">
        <v>31</v>
      </c>
      <c r="N1673" s="217" t="s">
        <v>32</v>
      </c>
      <c r="O1673" s="217" t="s">
        <v>668</v>
      </c>
      <c r="P1673" s="217" t="s">
        <v>34</v>
      </c>
      <c r="Q1673" s="217" t="s">
        <v>35</v>
      </c>
      <c r="R1673" s="217" t="s">
        <v>23</v>
      </c>
      <c r="S1673" s="217" t="s">
        <v>22</v>
      </c>
      <c r="T1673" s="217" t="s">
        <v>84</v>
      </c>
      <c r="U1673" s="217" t="s">
        <v>85</v>
      </c>
      <c r="V1673" s="217" t="s">
        <v>32</v>
      </c>
      <c r="W1673" s="217" t="s">
        <v>32</v>
      </c>
    </row>
    <row r="1674" spans="1:23" x14ac:dyDescent="0.25">
      <c r="A1674" s="217" t="s">
        <v>22</v>
      </c>
      <c r="B1674" s="217" t="s">
        <v>23</v>
      </c>
      <c r="C1674" s="217" t="s">
        <v>85</v>
      </c>
      <c r="D1674" s="217" t="s">
        <v>84</v>
      </c>
      <c r="E1674" s="217" t="s">
        <v>175</v>
      </c>
      <c r="F1674" s="217" t="s">
        <v>174</v>
      </c>
      <c r="G1674" s="217" t="s">
        <v>179</v>
      </c>
      <c r="H1674" s="217" t="s">
        <v>1312</v>
      </c>
      <c r="I1674" s="217" t="s">
        <v>659</v>
      </c>
      <c r="J1674" s="217" t="s">
        <v>1855</v>
      </c>
      <c r="K1674" s="217">
        <v>10</v>
      </c>
      <c r="L1674" s="217">
        <v>50</v>
      </c>
      <c r="M1674" s="217" t="s">
        <v>31</v>
      </c>
      <c r="N1674" s="217" t="s">
        <v>32</v>
      </c>
      <c r="O1674" s="217" t="s">
        <v>668</v>
      </c>
      <c r="P1674" s="217" t="s">
        <v>34</v>
      </c>
      <c r="Q1674" s="217" t="s">
        <v>35</v>
      </c>
      <c r="R1674" s="217" t="s">
        <v>23</v>
      </c>
      <c r="S1674" s="217" t="s">
        <v>22</v>
      </c>
      <c r="T1674" s="217" t="s">
        <v>84</v>
      </c>
      <c r="U1674" s="217" t="s">
        <v>85</v>
      </c>
      <c r="V1674" s="217" t="s">
        <v>32</v>
      </c>
      <c r="W1674" s="217" t="s">
        <v>32</v>
      </c>
    </row>
    <row r="1675" spans="1:23" x14ac:dyDescent="0.25">
      <c r="A1675" s="217" t="s">
        <v>22</v>
      </c>
      <c r="B1675" s="217" t="s">
        <v>23</v>
      </c>
      <c r="C1675" s="217" t="s">
        <v>85</v>
      </c>
      <c r="D1675" s="217" t="s">
        <v>84</v>
      </c>
      <c r="E1675" s="217" t="s">
        <v>175</v>
      </c>
      <c r="F1675" s="217" t="s">
        <v>174</v>
      </c>
      <c r="G1675" s="217" t="s">
        <v>179</v>
      </c>
      <c r="H1675" s="217" t="s">
        <v>1312</v>
      </c>
      <c r="I1675" s="217" t="s">
        <v>659</v>
      </c>
      <c r="J1675" s="217" t="s">
        <v>1856</v>
      </c>
      <c r="K1675" s="217">
        <v>7</v>
      </c>
      <c r="L1675" s="217">
        <v>35</v>
      </c>
      <c r="M1675" s="217" t="s">
        <v>31</v>
      </c>
      <c r="N1675" s="217" t="s">
        <v>32</v>
      </c>
      <c r="O1675" s="217" t="s">
        <v>668</v>
      </c>
      <c r="P1675" s="217" t="s">
        <v>34</v>
      </c>
      <c r="Q1675" s="217" t="s">
        <v>35</v>
      </c>
      <c r="R1675" s="217" t="s">
        <v>23</v>
      </c>
      <c r="S1675" s="217" t="s">
        <v>22</v>
      </c>
      <c r="T1675" s="217" t="s">
        <v>84</v>
      </c>
      <c r="U1675" s="217" t="s">
        <v>85</v>
      </c>
      <c r="V1675" s="217" t="s">
        <v>32</v>
      </c>
      <c r="W1675" s="217" t="s">
        <v>32</v>
      </c>
    </row>
    <row r="1676" spans="1:23" x14ac:dyDescent="0.25">
      <c r="A1676" s="217" t="s">
        <v>22</v>
      </c>
      <c r="B1676" s="217" t="s">
        <v>23</v>
      </c>
      <c r="C1676" s="217" t="s">
        <v>85</v>
      </c>
      <c r="D1676" s="217" t="s">
        <v>84</v>
      </c>
      <c r="E1676" s="217" t="s">
        <v>175</v>
      </c>
      <c r="F1676" s="217" t="s">
        <v>174</v>
      </c>
      <c r="G1676" s="217" t="s">
        <v>179</v>
      </c>
      <c r="H1676" s="217" t="s">
        <v>1312</v>
      </c>
      <c r="I1676" s="217" t="s">
        <v>659</v>
      </c>
      <c r="J1676" s="217" t="s">
        <v>1857</v>
      </c>
      <c r="K1676" s="217">
        <v>63</v>
      </c>
      <c r="L1676" s="217">
        <v>447</v>
      </c>
      <c r="M1676" s="217" t="s">
        <v>31</v>
      </c>
      <c r="N1676" s="217" t="s">
        <v>32</v>
      </c>
      <c r="O1676" s="217" t="s">
        <v>668</v>
      </c>
      <c r="P1676" s="217" t="s">
        <v>34</v>
      </c>
      <c r="Q1676" s="217" t="s">
        <v>35</v>
      </c>
      <c r="R1676" s="217" t="s">
        <v>23</v>
      </c>
      <c r="S1676" s="217" t="s">
        <v>22</v>
      </c>
      <c r="T1676" s="217" t="s">
        <v>84</v>
      </c>
      <c r="U1676" s="217" t="s">
        <v>85</v>
      </c>
      <c r="V1676" s="217" t="s">
        <v>32</v>
      </c>
      <c r="W1676" s="217" t="s">
        <v>32</v>
      </c>
    </row>
    <row r="1677" spans="1:23" x14ac:dyDescent="0.25">
      <c r="A1677" s="217" t="s">
        <v>22</v>
      </c>
      <c r="B1677" s="217" t="s">
        <v>23</v>
      </c>
      <c r="C1677" s="217" t="s">
        <v>85</v>
      </c>
      <c r="D1677" s="217" t="s">
        <v>84</v>
      </c>
      <c r="E1677" s="217" t="s">
        <v>181</v>
      </c>
      <c r="F1677" s="217" t="s">
        <v>180</v>
      </c>
      <c r="G1677" s="217" t="s">
        <v>182</v>
      </c>
      <c r="H1677" s="217" t="s">
        <v>1313</v>
      </c>
      <c r="I1677" s="217" t="s">
        <v>659</v>
      </c>
      <c r="J1677" s="217" t="s">
        <v>1858</v>
      </c>
      <c r="K1677" s="217">
        <v>15</v>
      </c>
      <c r="L1677" s="217">
        <v>85</v>
      </c>
      <c r="M1677" s="217" t="s">
        <v>99</v>
      </c>
      <c r="N1677" s="217" t="s">
        <v>32</v>
      </c>
      <c r="O1677" s="217" t="s">
        <v>668</v>
      </c>
      <c r="P1677" s="217" t="s">
        <v>34</v>
      </c>
      <c r="Q1677" s="217" t="s">
        <v>35</v>
      </c>
      <c r="R1677" s="217" t="s">
        <v>23</v>
      </c>
      <c r="S1677" s="217" t="s">
        <v>22</v>
      </c>
      <c r="T1677" s="217" t="s">
        <v>84</v>
      </c>
      <c r="U1677" s="217" t="s">
        <v>85</v>
      </c>
      <c r="V1677" s="217" t="s">
        <v>32</v>
      </c>
      <c r="W1677" s="217" t="s">
        <v>32</v>
      </c>
    </row>
    <row r="1678" spans="1:23" x14ac:dyDescent="0.25">
      <c r="A1678" s="217" t="s">
        <v>22</v>
      </c>
      <c r="B1678" s="217" t="s">
        <v>23</v>
      </c>
      <c r="C1678" s="217" t="s">
        <v>85</v>
      </c>
      <c r="D1678" s="217" t="s">
        <v>84</v>
      </c>
      <c r="E1678" s="217" t="s">
        <v>181</v>
      </c>
      <c r="F1678" s="217" t="s">
        <v>180</v>
      </c>
      <c r="G1678" s="217" t="s">
        <v>182</v>
      </c>
      <c r="H1678" s="217" t="s">
        <v>1313</v>
      </c>
      <c r="I1678" s="217" t="s">
        <v>659</v>
      </c>
      <c r="J1678" s="217" t="s">
        <v>1859</v>
      </c>
      <c r="K1678" s="217">
        <v>64</v>
      </c>
      <c r="L1678" s="217">
        <v>498</v>
      </c>
      <c r="M1678" s="217" t="s">
        <v>99</v>
      </c>
      <c r="N1678" s="217" t="s">
        <v>32</v>
      </c>
      <c r="O1678" s="217" t="s">
        <v>668</v>
      </c>
      <c r="P1678" s="217" t="s">
        <v>34</v>
      </c>
      <c r="Q1678" s="217" t="s">
        <v>35</v>
      </c>
      <c r="R1678" s="217" t="s">
        <v>23</v>
      </c>
      <c r="S1678" s="217" t="s">
        <v>22</v>
      </c>
      <c r="T1678" s="217" t="s">
        <v>183</v>
      </c>
      <c r="U1678" s="217" t="s">
        <v>184</v>
      </c>
      <c r="V1678" s="217" t="s">
        <v>32</v>
      </c>
      <c r="W1678" s="217" t="s">
        <v>32</v>
      </c>
    </row>
    <row r="1679" spans="1:23" x14ac:dyDescent="0.25">
      <c r="A1679" s="217" t="s">
        <v>22</v>
      </c>
      <c r="B1679" s="217" t="s">
        <v>23</v>
      </c>
      <c r="C1679" s="217" t="s">
        <v>85</v>
      </c>
      <c r="D1679" s="217" t="s">
        <v>84</v>
      </c>
      <c r="E1679" s="217" t="s">
        <v>181</v>
      </c>
      <c r="F1679" s="217" t="s">
        <v>180</v>
      </c>
      <c r="G1679" s="217" t="s">
        <v>185</v>
      </c>
      <c r="H1679" s="217" t="s">
        <v>1314</v>
      </c>
      <c r="I1679" s="217" t="s">
        <v>659</v>
      </c>
      <c r="J1679" s="217" t="s">
        <v>1858</v>
      </c>
      <c r="K1679" s="217">
        <v>47</v>
      </c>
      <c r="L1679" s="217">
        <v>238</v>
      </c>
      <c r="M1679" s="217" t="s">
        <v>99</v>
      </c>
      <c r="N1679" s="217" t="s">
        <v>32</v>
      </c>
      <c r="O1679" s="217" t="s">
        <v>668</v>
      </c>
      <c r="P1679" s="217" t="s">
        <v>34</v>
      </c>
      <c r="Q1679" s="217" t="s">
        <v>35</v>
      </c>
      <c r="R1679" s="217" t="s">
        <v>23</v>
      </c>
      <c r="S1679" s="217" t="s">
        <v>22</v>
      </c>
      <c r="T1679" s="217" t="s">
        <v>84</v>
      </c>
      <c r="U1679" s="217" t="s">
        <v>85</v>
      </c>
      <c r="V1679" s="217" t="s">
        <v>32</v>
      </c>
      <c r="W1679" s="217" t="s">
        <v>32</v>
      </c>
    </row>
    <row r="1680" spans="1:23" x14ac:dyDescent="0.25">
      <c r="A1680" s="217" t="s">
        <v>22</v>
      </c>
      <c r="B1680" s="217" t="s">
        <v>23</v>
      </c>
      <c r="C1680" s="217" t="s">
        <v>85</v>
      </c>
      <c r="D1680" s="217" t="s">
        <v>84</v>
      </c>
      <c r="E1680" s="217" t="s">
        <v>181</v>
      </c>
      <c r="F1680" s="217" t="s">
        <v>180</v>
      </c>
      <c r="G1680" s="217" t="s">
        <v>186</v>
      </c>
      <c r="H1680" s="217" t="s">
        <v>1315</v>
      </c>
      <c r="I1680" s="217" t="s">
        <v>659</v>
      </c>
      <c r="J1680" s="217" t="s">
        <v>1858</v>
      </c>
      <c r="K1680" s="217">
        <v>53</v>
      </c>
      <c r="L1680" s="217">
        <v>275</v>
      </c>
      <c r="M1680" s="217" t="s">
        <v>99</v>
      </c>
      <c r="N1680" s="217" t="s">
        <v>32</v>
      </c>
      <c r="O1680" s="217" t="s">
        <v>668</v>
      </c>
      <c r="P1680" s="217" t="s">
        <v>34</v>
      </c>
      <c r="Q1680" s="217" t="s">
        <v>35</v>
      </c>
      <c r="R1680" s="217" t="s">
        <v>23</v>
      </c>
      <c r="S1680" s="217" t="s">
        <v>22</v>
      </c>
      <c r="T1680" s="217" t="s">
        <v>84</v>
      </c>
      <c r="U1680" s="217" t="s">
        <v>85</v>
      </c>
      <c r="V1680" s="217" t="s">
        <v>32</v>
      </c>
      <c r="W1680" s="217" t="s">
        <v>32</v>
      </c>
    </row>
    <row r="1681" spans="1:23" x14ac:dyDescent="0.25">
      <c r="A1681" s="217" t="s">
        <v>22</v>
      </c>
      <c r="B1681" s="217" t="s">
        <v>23</v>
      </c>
      <c r="C1681" s="217" t="s">
        <v>85</v>
      </c>
      <c r="D1681" s="217" t="s">
        <v>84</v>
      </c>
      <c r="E1681" s="217" t="s">
        <v>181</v>
      </c>
      <c r="F1681" s="217" t="s">
        <v>180</v>
      </c>
      <c r="G1681" s="217" t="s">
        <v>187</v>
      </c>
      <c r="H1681" s="217" t="s">
        <v>1316</v>
      </c>
      <c r="I1681" s="217" t="s">
        <v>659</v>
      </c>
      <c r="J1681" s="217" t="s">
        <v>1858</v>
      </c>
      <c r="K1681" s="217">
        <v>59</v>
      </c>
      <c r="L1681" s="217">
        <v>294</v>
      </c>
      <c r="M1681" s="217" t="s">
        <v>99</v>
      </c>
      <c r="N1681" s="217" t="s">
        <v>32</v>
      </c>
      <c r="O1681" s="217" t="s">
        <v>668</v>
      </c>
      <c r="P1681" s="217" t="s">
        <v>34</v>
      </c>
      <c r="Q1681" s="217" t="s">
        <v>35</v>
      </c>
      <c r="R1681" s="217" t="s">
        <v>23</v>
      </c>
      <c r="S1681" s="217" t="s">
        <v>22</v>
      </c>
      <c r="T1681" s="217" t="s">
        <v>84</v>
      </c>
      <c r="U1681" s="217" t="s">
        <v>85</v>
      </c>
      <c r="V1681" s="217" t="s">
        <v>32</v>
      </c>
      <c r="W1681" s="217" t="s">
        <v>32</v>
      </c>
    </row>
    <row r="1682" spans="1:23" x14ac:dyDescent="0.25">
      <c r="A1682" s="217" t="s">
        <v>22</v>
      </c>
      <c r="B1682" s="217" t="s">
        <v>23</v>
      </c>
      <c r="C1682" s="217" t="s">
        <v>85</v>
      </c>
      <c r="D1682" s="217" t="s">
        <v>84</v>
      </c>
      <c r="E1682" s="217" t="s">
        <v>181</v>
      </c>
      <c r="F1682" s="217" t="s">
        <v>180</v>
      </c>
      <c r="G1682" s="217" t="s">
        <v>188</v>
      </c>
      <c r="H1682" s="217" t="s">
        <v>1317</v>
      </c>
      <c r="I1682" s="217" t="s">
        <v>659</v>
      </c>
      <c r="J1682" s="217" t="s">
        <v>1858</v>
      </c>
      <c r="K1682" s="217">
        <v>53</v>
      </c>
      <c r="L1682" s="217">
        <v>270</v>
      </c>
      <c r="M1682" s="217" t="s">
        <v>99</v>
      </c>
      <c r="N1682" s="217" t="s">
        <v>32</v>
      </c>
      <c r="O1682" s="217" t="s">
        <v>668</v>
      </c>
      <c r="P1682" s="217" t="s">
        <v>34</v>
      </c>
      <c r="Q1682" s="217" t="s">
        <v>35</v>
      </c>
      <c r="R1682" s="217" t="s">
        <v>23</v>
      </c>
      <c r="S1682" s="217" t="s">
        <v>22</v>
      </c>
      <c r="T1682" s="217" t="s">
        <v>84</v>
      </c>
      <c r="U1682" s="217" t="s">
        <v>85</v>
      </c>
      <c r="V1682" s="217" t="s">
        <v>32</v>
      </c>
      <c r="W1682" s="217" t="s">
        <v>32</v>
      </c>
    </row>
    <row r="1683" spans="1:23" x14ac:dyDescent="0.25">
      <c r="A1683" s="217" t="s">
        <v>22</v>
      </c>
      <c r="B1683" s="217" t="s">
        <v>23</v>
      </c>
      <c r="C1683" s="217" t="s">
        <v>85</v>
      </c>
      <c r="D1683" s="217" t="s">
        <v>84</v>
      </c>
      <c r="E1683" s="217" t="s">
        <v>181</v>
      </c>
      <c r="F1683" s="217" t="s">
        <v>180</v>
      </c>
      <c r="G1683" s="217" t="s">
        <v>189</v>
      </c>
      <c r="H1683" s="217" t="s">
        <v>1318</v>
      </c>
      <c r="I1683" s="217" t="s">
        <v>659</v>
      </c>
      <c r="J1683" s="217" t="s">
        <v>1858</v>
      </c>
      <c r="K1683" s="217">
        <v>97</v>
      </c>
      <c r="L1683" s="217">
        <v>495</v>
      </c>
      <c r="M1683" s="217" t="s">
        <v>99</v>
      </c>
      <c r="N1683" s="217" t="s">
        <v>32</v>
      </c>
      <c r="O1683" s="217" t="s">
        <v>668</v>
      </c>
      <c r="P1683" s="217" t="s">
        <v>34</v>
      </c>
      <c r="Q1683" s="217" t="s">
        <v>35</v>
      </c>
      <c r="R1683" s="217" t="s">
        <v>23</v>
      </c>
      <c r="S1683" s="217" t="s">
        <v>22</v>
      </c>
      <c r="T1683" s="217" t="s">
        <v>84</v>
      </c>
      <c r="U1683" s="217" t="s">
        <v>85</v>
      </c>
      <c r="V1683" s="217" t="s">
        <v>32</v>
      </c>
      <c r="W1683" s="217" t="s">
        <v>32</v>
      </c>
    </row>
    <row r="1684" spans="1:23" x14ac:dyDescent="0.25">
      <c r="A1684" s="217" t="s">
        <v>22</v>
      </c>
      <c r="B1684" s="217" t="s">
        <v>23</v>
      </c>
      <c r="C1684" s="217" t="s">
        <v>85</v>
      </c>
      <c r="D1684" s="217" t="s">
        <v>84</v>
      </c>
      <c r="E1684" s="217" t="s">
        <v>181</v>
      </c>
      <c r="F1684" s="217" t="s">
        <v>180</v>
      </c>
      <c r="G1684" s="217" t="s">
        <v>190</v>
      </c>
      <c r="H1684" s="217" t="s">
        <v>1319</v>
      </c>
      <c r="I1684" s="217" t="s">
        <v>659</v>
      </c>
      <c r="J1684" s="217" t="s">
        <v>1858</v>
      </c>
      <c r="K1684" s="217">
        <v>70</v>
      </c>
      <c r="L1684" s="217">
        <v>360</v>
      </c>
      <c r="M1684" s="217" t="s">
        <v>99</v>
      </c>
      <c r="N1684" s="217" t="s">
        <v>32</v>
      </c>
      <c r="O1684" s="217" t="s">
        <v>668</v>
      </c>
      <c r="P1684" s="217" t="s">
        <v>34</v>
      </c>
      <c r="Q1684" s="217" t="s">
        <v>35</v>
      </c>
      <c r="R1684" s="217" t="s">
        <v>23</v>
      </c>
      <c r="S1684" s="217" t="s">
        <v>22</v>
      </c>
      <c r="T1684" s="217" t="s">
        <v>84</v>
      </c>
      <c r="U1684" s="217" t="s">
        <v>85</v>
      </c>
      <c r="V1684" s="217" t="s">
        <v>32</v>
      </c>
      <c r="W1684" s="217" t="s">
        <v>32</v>
      </c>
    </row>
    <row r="1685" spans="1:23" x14ac:dyDescent="0.25">
      <c r="A1685" s="217" t="s">
        <v>22</v>
      </c>
      <c r="B1685" s="217" t="s">
        <v>23</v>
      </c>
      <c r="C1685" s="217" t="s">
        <v>85</v>
      </c>
      <c r="D1685" s="217" t="s">
        <v>84</v>
      </c>
      <c r="E1685" s="217" t="s">
        <v>181</v>
      </c>
      <c r="F1685" s="217" t="s">
        <v>180</v>
      </c>
      <c r="G1685" s="217" t="s">
        <v>191</v>
      </c>
      <c r="H1685" s="217" t="s">
        <v>1320</v>
      </c>
      <c r="I1685" s="217" t="s">
        <v>659</v>
      </c>
      <c r="J1685" s="217" t="s">
        <v>1858</v>
      </c>
      <c r="K1685" s="217">
        <v>95</v>
      </c>
      <c r="L1685" s="217">
        <v>495</v>
      </c>
      <c r="M1685" s="217" t="s">
        <v>99</v>
      </c>
      <c r="N1685" s="217" t="s">
        <v>32</v>
      </c>
      <c r="O1685" s="217" t="s">
        <v>668</v>
      </c>
      <c r="P1685" s="217" t="s">
        <v>34</v>
      </c>
      <c r="Q1685" s="217" t="s">
        <v>35</v>
      </c>
      <c r="R1685" s="217" t="s">
        <v>23</v>
      </c>
      <c r="S1685" s="217" t="s">
        <v>22</v>
      </c>
      <c r="T1685" s="217" t="s">
        <v>84</v>
      </c>
      <c r="U1685" s="217" t="s">
        <v>85</v>
      </c>
      <c r="V1685" s="217" t="s">
        <v>32</v>
      </c>
      <c r="W1685" s="217" t="s">
        <v>32</v>
      </c>
    </row>
    <row r="1686" spans="1:23" x14ac:dyDescent="0.25">
      <c r="A1686" s="217" t="s">
        <v>22</v>
      </c>
      <c r="B1686" s="217" t="s">
        <v>23</v>
      </c>
      <c r="C1686" s="217" t="s">
        <v>85</v>
      </c>
      <c r="D1686" s="217" t="s">
        <v>84</v>
      </c>
      <c r="E1686" s="217" t="s">
        <v>181</v>
      </c>
      <c r="F1686" s="217" t="s">
        <v>180</v>
      </c>
      <c r="G1686" s="217" t="s">
        <v>192</v>
      </c>
      <c r="H1686" s="217" t="s">
        <v>1321</v>
      </c>
      <c r="I1686" s="217" t="s">
        <v>659</v>
      </c>
      <c r="J1686" s="217" t="s">
        <v>1858</v>
      </c>
      <c r="K1686" s="217">
        <v>92</v>
      </c>
      <c r="L1686" s="217">
        <v>460</v>
      </c>
      <c r="M1686" s="217" t="s">
        <v>99</v>
      </c>
      <c r="N1686" s="217" t="s">
        <v>32</v>
      </c>
      <c r="O1686" s="217" t="s">
        <v>668</v>
      </c>
      <c r="P1686" s="217" t="s">
        <v>34</v>
      </c>
      <c r="Q1686" s="217" t="s">
        <v>35</v>
      </c>
      <c r="R1686" s="217" t="s">
        <v>23</v>
      </c>
      <c r="S1686" s="217" t="s">
        <v>22</v>
      </c>
      <c r="T1686" s="217" t="s">
        <v>84</v>
      </c>
      <c r="U1686" s="217" t="s">
        <v>85</v>
      </c>
      <c r="V1686" s="217" t="s">
        <v>32</v>
      </c>
      <c r="W1686" s="217" t="s">
        <v>32</v>
      </c>
    </row>
    <row r="1687" spans="1:23" x14ac:dyDescent="0.25">
      <c r="A1687" s="217" t="s">
        <v>22</v>
      </c>
      <c r="B1687" s="217" t="s">
        <v>23</v>
      </c>
      <c r="C1687" s="217" t="s">
        <v>85</v>
      </c>
      <c r="D1687" s="217" t="s">
        <v>84</v>
      </c>
      <c r="E1687" s="217" t="s">
        <v>181</v>
      </c>
      <c r="F1687" s="217" t="s">
        <v>180</v>
      </c>
      <c r="G1687" s="217" t="s">
        <v>193</v>
      </c>
      <c r="H1687" s="217" t="s">
        <v>1563</v>
      </c>
      <c r="I1687" s="217" t="s">
        <v>659</v>
      </c>
      <c r="J1687" s="217" t="s">
        <v>1858</v>
      </c>
      <c r="K1687" s="217">
        <v>96</v>
      </c>
      <c r="L1687" s="217">
        <v>526</v>
      </c>
      <c r="M1687" s="217" t="s">
        <v>99</v>
      </c>
      <c r="N1687" s="217" t="s">
        <v>32</v>
      </c>
      <c r="O1687" s="217" t="s">
        <v>668</v>
      </c>
      <c r="P1687" s="217" t="s">
        <v>34</v>
      </c>
      <c r="Q1687" s="217" t="s">
        <v>35</v>
      </c>
      <c r="R1687" s="217" t="s">
        <v>23</v>
      </c>
      <c r="S1687" s="217" t="s">
        <v>22</v>
      </c>
      <c r="T1687" s="217" t="s">
        <v>84</v>
      </c>
      <c r="U1687" s="217" t="s">
        <v>85</v>
      </c>
      <c r="V1687" s="217" t="s">
        <v>32</v>
      </c>
      <c r="W1687" s="217" t="s">
        <v>32</v>
      </c>
    </row>
    <row r="1688" spans="1:23" x14ac:dyDescent="0.25">
      <c r="A1688" s="217" t="s">
        <v>22</v>
      </c>
      <c r="B1688" s="217" t="s">
        <v>23</v>
      </c>
      <c r="C1688" s="217" t="s">
        <v>85</v>
      </c>
      <c r="D1688" s="217" t="s">
        <v>84</v>
      </c>
      <c r="E1688" s="217" t="s">
        <v>181</v>
      </c>
      <c r="F1688" s="217" t="s">
        <v>180</v>
      </c>
      <c r="G1688" s="217" t="s">
        <v>194</v>
      </c>
      <c r="H1688" s="217" t="s">
        <v>1322</v>
      </c>
      <c r="I1688" s="217" t="s">
        <v>659</v>
      </c>
      <c r="J1688" s="217" t="s">
        <v>1858</v>
      </c>
      <c r="K1688" s="217">
        <v>68</v>
      </c>
      <c r="L1688" s="217">
        <v>350</v>
      </c>
      <c r="M1688" s="217" t="s">
        <v>99</v>
      </c>
      <c r="N1688" s="217" t="s">
        <v>32</v>
      </c>
      <c r="O1688" s="217" t="s">
        <v>668</v>
      </c>
      <c r="P1688" s="217" t="s">
        <v>34</v>
      </c>
      <c r="Q1688" s="217" t="s">
        <v>35</v>
      </c>
      <c r="R1688" s="217" t="s">
        <v>23</v>
      </c>
      <c r="S1688" s="217" t="s">
        <v>22</v>
      </c>
      <c r="T1688" s="217" t="s">
        <v>84</v>
      </c>
      <c r="U1688" s="217" t="s">
        <v>85</v>
      </c>
      <c r="V1688" s="217" t="s">
        <v>32</v>
      </c>
      <c r="W1688" s="217" t="s">
        <v>32</v>
      </c>
    </row>
    <row r="1689" spans="1:23" x14ac:dyDescent="0.25">
      <c r="A1689" s="217" t="s">
        <v>22</v>
      </c>
      <c r="B1689" s="217" t="s">
        <v>23</v>
      </c>
      <c r="C1689" s="217" t="s">
        <v>184</v>
      </c>
      <c r="D1689" s="217" t="s">
        <v>183</v>
      </c>
      <c r="E1689" s="217" t="s">
        <v>471</v>
      </c>
      <c r="F1689" s="217" t="s">
        <v>472</v>
      </c>
      <c r="G1689" s="217" t="s">
        <v>638</v>
      </c>
      <c r="H1689" s="217" t="s">
        <v>1533</v>
      </c>
      <c r="I1689" s="217" t="s">
        <v>659</v>
      </c>
      <c r="J1689" s="217" t="s">
        <v>1855</v>
      </c>
      <c r="K1689" s="217">
        <v>2</v>
      </c>
      <c r="L1689" s="217">
        <v>13</v>
      </c>
      <c r="M1689" s="217" t="s">
        <v>31</v>
      </c>
      <c r="N1689" s="217" t="s">
        <v>32</v>
      </c>
      <c r="O1689" s="217" t="s">
        <v>141</v>
      </c>
      <c r="P1689" s="217" t="s">
        <v>142</v>
      </c>
      <c r="Q1689" s="217" t="s">
        <v>143</v>
      </c>
      <c r="R1689" s="217" t="s">
        <v>618</v>
      </c>
      <c r="S1689" s="217" t="s">
        <v>619</v>
      </c>
      <c r="T1689" s="217" t="s">
        <v>32</v>
      </c>
      <c r="U1689" s="217" t="s">
        <v>32</v>
      </c>
      <c r="V1689" s="217" t="s">
        <v>32</v>
      </c>
      <c r="W1689" s="217" t="s">
        <v>32</v>
      </c>
    </row>
    <row r="1690" spans="1:23" x14ac:dyDescent="0.25">
      <c r="A1690" s="217" t="s">
        <v>22</v>
      </c>
      <c r="B1690" s="217" t="s">
        <v>23</v>
      </c>
      <c r="C1690" s="217" t="s">
        <v>184</v>
      </c>
      <c r="D1690" s="217" t="s">
        <v>183</v>
      </c>
      <c r="E1690" s="217" t="s">
        <v>471</v>
      </c>
      <c r="F1690" s="217" t="s">
        <v>472</v>
      </c>
      <c r="G1690" s="217" t="s">
        <v>638</v>
      </c>
      <c r="H1690" s="217" t="s">
        <v>1533</v>
      </c>
      <c r="I1690" s="217" t="s">
        <v>659</v>
      </c>
      <c r="J1690" s="217" t="s">
        <v>1856</v>
      </c>
      <c r="K1690" s="217">
        <v>1</v>
      </c>
      <c r="L1690" s="217">
        <v>8</v>
      </c>
      <c r="M1690" s="217" t="s">
        <v>31</v>
      </c>
      <c r="N1690" s="217" t="s">
        <v>32</v>
      </c>
      <c r="O1690" s="217" t="s">
        <v>141</v>
      </c>
      <c r="P1690" s="217" t="s">
        <v>142</v>
      </c>
      <c r="Q1690" s="217" t="s">
        <v>143</v>
      </c>
      <c r="R1690" s="217" t="s">
        <v>1850</v>
      </c>
      <c r="S1690" s="217" t="s">
        <v>1851</v>
      </c>
      <c r="T1690" s="217" t="s">
        <v>32</v>
      </c>
      <c r="U1690" s="217" t="s">
        <v>32</v>
      </c>
      <c r="V1690" s="217" t="s">
        <v>32</v>
      </c>
      <c r="W1690" s="217" t="s">
        <v>32</v>
      </c>
    </row>
    <row r="1691" spans="1:23" x14ac:dyDescent="0.25">
      <c r="A1691" s="217" t="s">
        <v>22</v>
      </c>
      <c r="B1691" s="217" t="s">
        <v>23</v>
      </c>
      <c r="C1691" s="217" t="s">
        <v>184</v>
      </c>
      <c r="D1691" s="217" t="s">
        <v>183</v>
      </c>
      <c r="E1691" s="217" t="s">
        <v>471</v>
      </c>
      <c r="F1691" s="217" t="s">
        <v>472</v>
      </c>
      <c r="G1691" s="217" t="s">
        <v>638</v>
      </c>
      <c r="H1691" s="217" t="s">
        <v>1533</v>
      </c>
      <c r="I1691" s="217" t="s">
        <v>659</v>
      </c>
      <c r="J1691" s="217" t="s">
        <v>1858</v>
      </c>
      <c r="K1691" s="217">
        <v>4</v>
      </c>
      <c r="L1691" s="217">
        <v>20</v>
      </c>
      <c r="M1691" s="217" t="s">
        <v>31</v>
      </c>
      <c r="N1691" s="217" t="s">
        <v>32</v>
      </c>
      <c r="O1691" s="217" t="s">
        <v>141</v>
      </c>
      <c r="P1691" s="217" t="s">
        <v>142</v>
      </c>
      <c r="Q1691" s="217" t="s">
        <v>143</v>
      </c>
      <c r="R1691" s="217" t="s">
        <v>1850</v>
      </c>
      <c r="S1691" s="217" t="s">
        <v>1851</v>
      </c>
      <c r="T1691" s="217" t="s">
        <v>32</v>
      </c>
      <c r="U1691" s="217" t="s">
        <v>32</v>
      </c>
      <c r="V1691" s="217" t="s">
        <v>32</v>
      </c>
      <c r="W1691" s="217" t="s">
        <v>32</v>
      </c>
    </row>
    <row r="1692" spans="1:23" x14ac:dyDescent="0.25">
      <c r="A1692" s="217" t="s">
        <v>22</v>
      </c>
      <c r="B1692" s="217" t="s">
        <v>23</v>
      </c>
      <c r="C1692" s="217" t="s">
        <v>184</v>
      </c>
      <c r="D1692" s="217" t="s">
        <v>183</v>
      </c>
      <c r="E1692" s="217" t="s">
        <v>196</v>
      </c>
      <c r="F1692" s="217" t="s">
        <v>195</v>
      </c>
      <c r="G1692" s="217" t="s">
        <v>481</v>
      </c>
      <c r="H1692" s="217" t="s">
        <v>1331</v>
      </c>
      <c r="I1692" s="217" t="s">
        <v>659</v>
      </c>
      <c r="J1692" s="217" t="s">
        <v>1856</v>
      </c>
      <c r="K1692" s="217">
        <v>15</v>
      </c>
      <c r="L1692" s="217">
        <v>75</v>
      </c>
      <c r="M1692" s="217" t="s">
        <v>99</v>
      </c>
      <c r="N1692" s="217" t="s">
        <v>32</v>
      </c>
      <c r="O1692" s="217" t="s">
        <v>668</v>
      </c>
      <c r="P1692" s="217" t="s">
        <v>34</v>
      </c>
      <c r="Q1692" s="217" t="s">
        <v>35</v>
      </c>
      <c r="R1692" s="217" t="s">
        <v>23</v>
      </c>
      <c r="S1692" s="217" t="s">
        <v>22</v>
      </c>
      <c r="T1692" s="217" t="s">
        <v>183</v>
      </c>
      <c r="U1692" s="217" t="s">
        <v>184</v>
      </c>
      <c r="V1692" s="217" t="s">
        <v>32</v>
      </c>
      <c r="W1692" s="217" t="s">
        <v>32</v>
      </c>
    </row>
    <row r="1693" spans="1:23" x14ac:dyDescent="0.25">
      <c r="A1693" s="217" t="s">
        <v>22</v>
      </c>
      <c r="B1693" s="217" t="s">
        <v>23</v>
      </c>
      <c r="C1693" s="217" t="s">
        <v>184</v>
      </c>
      <c r="D1693" s="217" t="s">
        <v>183</v>
      </c>
      <c r="E1693" s="217" t="s">
        <v>196</v>
      </c>
      <c r="F1693" s="217" t="s">
        <v>195</v>
      </c>
      <c r="G1693" s="217" t="s">
        <v>197</v>
      </c>
      <c r="H1693" s="217" t="s">
        <v>1332</v>
      </c>
      <c r="I1693" s="217" t="s">
        <v>659</v>
      </c>
      <c r="J1693" s="217" t="s">
        <v>1854</v>
      </c>
      <c r="K1693" s="217">
        <v>24</v>
      </c>
      <c r="L1693" s="217">
        <v>120</v>
      </c>
      <c r="M1693" s="217" t="s">
        <v>99</v>
      </c>
      <c r="N1693" s="217" t="s">
        <v>32</v>
      </c>
      <c r="O1693" s="217" t="s">
        <v>668</v>
      </c>
      <c r="P1693" s="217" t="s">
        <v>34</v>
      </c>
      <c r="Q1693" s="217" t="s">
        <v>35</v>
      </c>
      <c r="R1693" s="217" t="s">
        <v>23</v>
      </c>
      <c r="S1693" s="217" t="s">
        <v>22</v>
      </c>
      <c r="T1693" s="217" t="s">
        <v>183</v>
      </c>
      <c r="U1693" s="217" t="s">
        <v>184</v>
      </c>
      <c r="V1693" s="217" t="s">
        <v>32</v>
      </c>
      <c r="W1693" s="217" t="s">
        <v>32</v>
      </c>
    </row>
    <row r="1694" spans="1:23" x14ac:dyDescent="0.25">
      <c r="A1694" s="217" t="s">
        <v>22</v>
      </c>
      <c r="B1694" s="217" t="s">
        <v>23</v>
      </c>
      <c r="C1694" s="217" t="s">
        <v>184</v>
      </c>
      <c r="D1694" s="217" t="s">
        <v>183</v>
      </c>
      <c r="E1694" s="217" t="s">
        <v>196</v>
      </c>
      <c r="F1694" s="217" t="s">
        <v>195</v>
      </c>
      <c r="G1694" s="217" t="s">
        <v>198</v>
      </c>
      <c r="H1694" s="217" t="s">
        <v>1333</v>
      </c>
      <c r="I1694" s="217" t="s">
        <v>659</v>
      </c>
      <c r="J1694" s="217" t="s">
        <v>1856</v>
      </c>
      <c r="K1694" s="217">
        <v>15</v>
      </c>
      <c r="L1694" s="217">
        <v>75</v>
      </c>
      <c r="M1694" s="217" t="s">
        <v>99</v>
      </c>
      <c r="N1694" s="217" t="s">
        <v>32</v>
      </c>
      <c r="O1694" s="217" t="s">
        <v>668</v>
      </c>
      <c r="P1694" s="217" t="s">
        <v>34</v>
      </c>
      <c r="Q1694" s="217" t="s">
        <v>35</v>
      </c>
      <c r="R1694" s="217" t="s">
        <v>23</v>
      </c>
      <c r="S1694" s="217" t="s">
        <v>22</v>
      </c>
      <c r="T1694" s="217" t="s">
        <v>183</v>
      </c>
      <c r="U1694" s="217" t="s">
        <v>184</v>
      </c>
      <c r="V1694" s="217" t="s">
        <v>32</v>
      </c>
      <c r="W1694" s="217" t="s">
        <v>32</v>
      </c>
    </row>
    <row r="1695" spans="1:23" x14ac:dyDescent="0.25">
      <c r="A1695" s="217" t="s">
        <v>22</v>
      </c>
      <c r="B1695" s="217" t="s">
        <v>23</v>
      </c>
      <c r="C1695" s="217" t="s">
        <v>184</v>
      </c>
      <c r="D1695" s="217" t="s">
        <v>183</v>
      </c>
      <c r="E1695" s="217" t="s">
        <v>196</v>
      </c>
      <c r="F1695" s="217" t="s">
        <v>195</v>
      </c>
      <c r="G1695" s="217" t="s">
        <v>201</v>
      </c>
      <c r="H1695" s="217" t="s">
        <v>1334</v>
      </c>
      <c r="I1695" s="217" t="s">
        <v>659</v>
      </c>
      <c r="J1695" s="217" t="s">
        <v>1856</v>
      </c>
      <c r="K1695" s="217">
        <v>30</v>
      </c>
      <c r="L1695" s="217">
        <v>150</v>
      </c>
      <c r="M1695" s="217" t="s">
        <v>99</v>
      </c>
      <c r="N1695" s="217" t="s">
        <v>32</v>
      </c>
      <c r="O1695" s="217" t="s">
        <v>668</v>
      </c>
      <c r="P1695" s="217" t="s">
        <v>34</v>
      </c>
      <c r="Q1695" s="217" t="s">
        <v>35</v>
      </c>
      <c r="R1695" s="217" t="s">
        <v>23</v>
      </c>
      <c r="S1695" s="217" t="s">
        <v>22</v>
      </c>
      <c r="T1695" s="217" t="s">
        <v>183</v>
      </c>
      <c r="U1695" s="217" t="s">
        <v>184</v>
      </c>
      <c r="V1695" s="217" t="s">
        <v>32</v>
      </c>
      <c r="W1695" s="217" t="s">
        <v>32</v>
      </c>
    </row>
    <row r="1696" spans="1:23" x14ac:dyDescent="0.25">
      <c r="A1696" s="217" t="s">
        <v>22</v>
      </c>
      <c r="B1696" s="217" t="s">
        <v>23</v>
      </c>
      <c r="C1696" s="217" t="s">
        <v>184</v>
      </c>
      <c r="D1696" s="217" t="s">
        <v>183</v>
      </c>
      <c r="E1696" s="217" t="s">
        <v>203</v>
      </c>
      <c r="F1696" s="217" t="s">
        <v>202</v>
      </c>
      <c r="G1696" s="217" t="s">
        <v>671</v>
      </c>
      <c r="H1696" s="217" t="s">
        <v>1564</v>
      </c>
      <c r="I1696" s="217" t="s">
        <v>659</v>
      </c>
      <c r="J1696" s="217" t="s">
        <v>1854</v>
      </c>
      <c r="K1696" s="217">
        <v>50</v>
      </c>
      <c r="L1696" s="217">
        <v>281</v>
      </c>
      <c r="M1696" s="217" t="s">
        <v>99</v>
      </c>
      <c r="N1696" s="217" t="s">
        <v>32</v>
      </c>
      <c r="O1696" s="217" t="s">
        <v>668</v>
      </c>
      <c r="P1696" s="217" t="s">
        <v>34</v>
      </c>
      <c r="Q1696" s="217" t="s">
        <v>35</v>
      </c>
      <c r="R1696" s="217" t="s">
        <v>23</v>
      </c>
      <c r="S1696" s="217" t="s">
        <v>22</v>
      </c>
      <c r="T1696" s="217" t="s">
        <v>183</v>
      </c>
      <c r="U1696" s="217" t="s">
        <v>184</v>
      </c>
      <c r="V1696" s="217" t="s">
        <v>32</v>
      </c>
      <c r="W1696" s="217" t="s">
        <v>32</v>
      </c>
    </row>
    <row r="1697" spans="1:23" x14ac:dyDescent="0.25">
      <c r="A1697" s="217" t="s">
        <v>22</v>
      </c>
      <c r="B1697" s="217" t="s">
        <v>23</v>
      </c>
      <c r="C1697" s="217" t="s">
        <v>184</v>
      </c>
      <c r="D1697" s="217" t="s">
        <v>183</v>
      </c>
      <c r="E1697" s="217" t="s">
        <v>203</v>
      </c>
      <c r="F1697" s="217" t="s">
        <v>202</v>
      </c>
      <c r="G1697" s="217" t="s">
        <v>704</v>
      </c>
      <c r="H1697" s="217" t="s">
        <v>1565</v>
      </c>
      <c r="I1697" s="217" t="s">
        <v>659</v>
      </c>
      <c r="J1697" s="217" t="s">
        <v>1854</v>
      </c>
      <c r="K1697" s="217">
        <v>60</v>
      </c>
      <c r="L1697" s="217">
        <v>300</v>
      </c>
      <c r="M1697" s="217" t="s">
        <v>99</v>
      </c>
      <c r="N1697" s="217" t="s">
        <v>32</v>
      </c>
      <c r="O1697" s="217" t="s">
        <v>668</v>
      </c>
      <c r="P1697" s="217" t="s">
        <v>34</v>
      </c>
      <c r="Q1697" s="217" t="s">
        <v>35</v>
      </c>
      <c r="R1697" s="217" t="s">
        <v>23</v>
      </c>
      <c r="S1697" s="217" t="s">
        <v>22</v>
      </c>
      <c r="T1697" s="217" t="s">
        <v>183</v>
      </c>
      <c r="U1697" s="217" t="s">
        <v>184</v>
      </c>
      <c r="V1697" s="217" t="s">
        <v>32</v>
      </c>
      <c r="W1697" s="217" t="s">
        <v>32</v>
      </c>
    </row>
    <row r="1698" spans="1:23" x14ac:dyDescent="0.25">
      <c r="A1698" s="217" t="s">
        <v>22</v>
      </c>
      <c r="B1698" s="217" t="s">
        <v>23</v>
      </c>
      <c r="C1698" s="217" t="s">
        <v>184</v>
      </c>
      <c r="D1698" s="217" t="s">
        <v>183</v>
      </c>
      <c r="E1698" s="217" t="s">
        <v>203</v>
      </c>
      <c r="F1698" s="217" t="s">
        <v>202</v>
      </c>
      <c r="G1698" s="217" t="s">
        <v>672</v>
      </c>
      <c r="H1698" s="217" t="s">
        <v>1566</v>
      </c>
      <c r="I1698" s="217" t="s">
        <v>659</v>
      </c>
      <c r="J1698" s="217" t="s">
        <v>1854</v>
      </c>
      <c r="K1698" s="217">
        <v>15</v>
      </c>
      <c r="L1698" s="217">
        <v>92</v>
      </c>
      <c r="M1698" s="217" t="s">
        <v>99</v>
      </c>
      <c r="N1698" s="217" t="s">
        <v>32</v>
      </c>
      <c r="O1698" s="217" t="s">
        <v>668</v>
      </c>
      <c r="P1698" s="217" t="s">
        <v>34</v>
      </c>
      <c r="Q1698" s="217" t="s">
        <v>35</v>
      </c>
      <c r="R1698" s="217" t="s">
        <v>23</v>
      </c>
      <c r="S1698" s="217" t="s">
        <v>22</v>
      </c>
      <c r="T1698" s="217" t="s">
        <v>183</v>
      </c>
      <c r="U1698" s="217" t="s">
        <v>184</v>
      </c>
      <c r="V1698" s="217" t="s">
        <v>32</v>
      </c>
      <c r="W1698" s="217" t="s">
        <v>32</v>
      </c>
    </row>
    <row r="1699" spans="1:23" x14ac:dyDescent="0.25">
      <c r="A1699" s="217" t="s">
        <v>22</v>
      </c>
      <c r="B1699" s="217" t="s">
        <v>23</v>
      </c>
      <c r="C1699" s="217" t="s">
        <v>184</v>
      </c>
      <c r="D1699" s="217" t="s">
        <v>183</v>
      </c>
      <c r="E1699" s="217" t="s">
        <v>203</v>
      </c>
      <c r="F1699" s="217" t="s">
        <v>202</v>
      </c>
      <c r="G1699" s="217" t="s">
        <v>673</v>
      </c>
      <c r="H1699" s="217" t="s">
        <v>1567</v>
      </c>
      <c r="I1699" s="217" t="s">
        <v>659</v>
      </c>
      <c r="J1699" s="217" t="s">
        <v>1854</v>
      </c>
      <c r="K1699" s="217">
        <v>20</v>
      </c>
      <c r="L1699" s="217">
        <v>200</v>
      </c>
      <c r="M1699" s="217" t="s">
        <v>99</v>
      </c>
      <c r="N1699" s="217" t="s">
        <v>32</v>
      </c>
      <c r="O1699" s="217" t="s">
        <v>668</v>
      </c>
      <c r="P1699" s="217" t="s">
        <v>34</v>
      </c>
      <c r="Q1699" s="217" t="s">
        <v>35</v>
      </c>
      <c r="R1699" s="217" t="s">
        <v>23</v>
      </c>
      <c r="S1699" s="217" t="s">
        <v>22</v>
      </c>
      <c r="T1699" s="217" t="s">
        <v>183</v>
      </c>
      <c r="U1699" s="217" t="s">
        <v>184</v>
      </c>
      <c r="V1699" s="217" t="s">
        <v>32</v>
      </c>
      <c r="W1699" s="217" t="s">
        <v>32</v>
      </c>
    </row>
    <row r="1700" spans="1:23" x14ac:dyDescent="0.25">
      <c r="A1700" s="217" t="s">
        <v>22</v>
      </c>
      <c r="B1700" s="217" t="s">
        <v>23</v>
      </c>
      <c r="C1700" s="217" t="s">
        <v>184</v>
      </c>
      <c r="D1700" s="217" t="s">
        <v>183</v>
      </c>
      <c r="E1700" s="217" t="s">
        <v>203</v>
      </c>
      <c r="F1700" s="217" t="s">
        <v>202</v>
      </c>
      <c r="G1700" s="217" t="s">
        <v>204</v>
      </c>
      <c r="H1700" s="217" t="s">
        <v>1336</v>
      </c>
      <c r="I1700" s="217" t="s">
        <v>659</v>
      </c>
      <c r="J1700" s="217" t="s">
        <v>1854</v>
      </c>
      <c r="K1700" s="217">
        <v>18</v>
      </c>
      <c r="L1700" s="217">
        <v>227</v>
      </c>
      <c r="M1700" s="217" t="s">
        <v>99</v>
      </c>
      <c r="N1700" s="217" t="s">
        <v>32</v>
      </c>
      <c r="O1700" s="217" t="s">
        <v>668</v>
      </c>
      <c r="P1700" s="217" t="s">
        <v>34</v>
      </c>
      <c r="Q1700" s="217" t="s">
        <v>35</v>
      </c>
      <c r="R1700" s="217" t="s">
        <v>23</v>
      </c>
      <c r="S1700" s="217" t="s">
        <v>22</v>
      </c>
      <c r="T1700" s="217" t="s">
        <v>183</v>
      </c>
      <c r="U1700" s="217" t="s">
        <v>184</v>
      </c>
      <c r="V1700" s="217" t="s">
        <v>32</v>
      </c>
      <c r="W1700" s="217" t="s">
        <v>32</v>
      </c>
    </row>
    <row r="1701" spans="1:23" x14ac:dyDescent="0.25">
      <c r="A1701" s="217" t="s">
        <v>22</v>
      </c>
      <c r="B1701" s="217" t="s">
        <v>23</v>
      </c>
      <c r="C1701" s="217" t="s">
        <v>184</v>
      </c>
      <c r="D1701" s="217" t="s">
        <v>183</v>
      </c>
      <c r="E1701" s="217" t="s">
        <v>206</v>
      </c>
      <c r="F1701" s="217" t="s">
        <v>205</v>
      </c>
      <c r="G1701" s="217" t="s">
        <v>207</v>
      </c>
      <c r="H1701" s="217" t="s">
        <v>1568</v>
      </c>
      <c r="I1701" s="217" t="s">
        <v>659</v>
      </c>
      <c r="J1701" s="217" t="s">
        <v>1854</v>
      </c>
      <c r="K1701" s="217">
        <v>93</v>
      </c>
      <c r="L1701" s="217">
        <v>558</v>
      </c>
      <c r="M1701" s="217" t="s">
        <v>99</v>
      </c>
      <c r="N1701" s="217" t="s">
        <v>32</v>
      </c>
      <c r="O1701" s="217" t="s">
        <v>668</v>
      </c>
      <c r="P1701" s="217" t="s">
        <v>34</v>
      </c>
      <c r="Q1701" s="217" t="s">
        <v>35</v>
      </c>
      <c r="R1701" s="217" t="s">
        <v>23</v>
      </c>
      <c r="S1701" s="217" t="s">
        <v>22</v>
      </c>
      <c r="T1701" s="217" t="s">
        <v>183</v>
      </c>
      <c r="U1701" s="217" t="s">
        <v>184</v>
      </c>
      <c r="V1701" s="217" t="s">
        <v>32</v>
      </c>
      <c r="W1701" s="217" t="s">
        <v>32</v>
      </c>
    </row>
    <row r="1702" spans="1:23" x14ac:dyDescent="0.25">
      <c r="A1702" s="217" t="s">
        <v>22</v>
      </c>
      <c r="B1702" s="217" t="s">
        <v>23</v>
      </c>
      <c r="C1702" s="217" t="s">
        <v>184</v>
      </c>
      <c r="D1702" s="217" t="s">
        <v>183</v>
      </c>
      <c r="E1702" s="217" t="s">
        <v>206</v>
      </c>
      <c r="F1702" s="217" t="s">
        <v>205</v>
      </c>
      <c r="G1702" s="217" t="s">
        <v>207</v>
      </c>
      <c r="H1702" s="217" t="s">
        <v>1568</v>
      </c>
      <c r="I1702" s="217" t="s">
        <v>659</v>
      </c>
      <c r="J1702" s="217" t="s">
        <v>1855</v>
      </c>
      <c r="K1702" s="217">
        <v>100</v>
      </c>
      <c r="L1702" s="217">
        <v>600</v>
      </c>
      <c r="M1702" s="217" t="s">
        <v>99</v>
      </c>
      <c r="N1702" s="217" t="s">
        <v>32</v>
      </c>
      <c r="O1702" s="217" t="s">
        <v>668</v>
      </c>
      <c r="P1702" s="217" t="s">
        <v>34</v>
      </c>
      <c r="Q1702" s="217" t="s">
        <v>35</v>
      </c>
      <c r="R1702" s="217" t="s">
        <v>23</v>
      </c>
      <c r="S1702" s="217" t="s">
        <v>22</v>
      </c>
      <c r="T1702" s="217" t="s">
        <v>183</v>
      </c>
      <c r="U1702" s="217" t="s">
        <v>184</v>
      </c>
      <c r="V1702" s="217" t="s">
        <v>32</v>
      </c>
      <c r="W1702" s="217" t="s">
        <v>32</v>
      </c>
    </row>
    <row r="1703" spans="1:23" x14ac:dyDescent="0.25">
      <c r="A1703" s="217" t="s">
        <v>22</v>
      </c>
      <c r="B1703" s="217" t="s">
        <v>23</v>
      </c>
      <c r="C1703" s="217" t="s">
        <v>184</v>
      </c>
      <c r="D1703" s="217" t="s">
        <v>183</v>
      </c>
      <c r="E1703" s="217" t="s">
        <v>206</v>
      </c>
      <c r="F1703" s="217" t="s">
        <v>205</v>
      </c>
      <c r="G1703" s="217" t="s">
        <v>207</v>
      </c>
      <c r="H1703" s="217" t="s">
        <v>1568</v>
      </c>
      <c r="I1703" s="217" t="s">
        <v>659</v>
      </c>
      <c r="J1703" s="217" t="s">
        <v>1858</v>
      </c>
      <c r="K1703" s="217">
        <v>9</v>
      </c>
      <c r="L1703" s="217">
        <v>54</v>
      </c>
      <c r="M1703" s="217" t="s">
        <v>99</v>
      </c>
      <c r="N1703" s="217" t="s">
        <v>32</v>
      </c>
      <c r="O1703" s="217" t="s">
        <v>668</v>
      </c>
      <c r="P1703" s="217" t="s">
        <v>34</v>
      </c>
      <c r="Q1703" s="217" t="s">
        <v>35</v>
      </c>
      <c r="R1703" s="217" t="s">
        <v>23</v>
      </c>
      <c r="S1703" s="217" t="s">
        <v>22</v>
      </c>
      <c r="T1703" s="217" t="s">
        <v>183</v>
      </c>
      <c r="U1703" s="217" t="s">
        <v>184</v>
      </c>
      <c r="V1703" s="217" t="s">
        <v>32</v>
      </c>
      <c r="W1703" s="217" t="s">
        <v>32</v>
      </c>
    </row>
    <row r="1704" spans="1:23" x14ac:dyDescent="0.25">
      <c r="A1704" s="217" t="s">
        <v>22</v>
      </c>
      <c r="B1704" s="217" t="s">
        <v>23</v>
      </c>
      <c r="C1704" s="217" t="s">
        <v>184</v>
      </c>
      <c r="D1704" s="217" t="s">
        <v>183</v>
      </c>
      <c r="E1704" s="217" t="s">
        <v>206</v>
      </c>
      <c r="F1704" s="217" t="s">
        <v>205</v>
      </c>
      <c r="G1704" s="217" t="s">
        <v>208</v>
      </c>
      <c r="H1704" s="217" t="s">
        <v>1337</v>
      </c>
      <c r="I1704" s="217" t="s">
        <v>659</v>
      </c>
      <c r="J1704" s="217" t="s">
        <v>1855</v>
      </c>
      <c r="K1704" s="217">
        <v>31</v>
      </c>
      <c r="L1704" s="217">
        <v>186</v>
      </c>
      <c r="M1704" s="217" t="s">
        <v>99</v>
      </c>
      <c r="N1704" s="217" t="s">
        <v>32</v>
      </c>
      <c r="O1704" s="217" t="s">
        <v>668</v>
      </c>
      <c r="P1704" s="217" t="s">
        <v>34</v>
      </c>
      <c r="Q1704" s="217" t="s">
        <v>35</v>
      </c>
      <c r="R1704" s="217" t="s">
        <v>23</v>
      </c>
      <c r="S1704" s="217" t="s">
        <v>22</v>
      </c>
      <c r="T1704" s="217" t="s">
        <v>183</v>
      </c>
      <c r="U1704" s="217" t="s">
        <v>184</v>
      </c>
      <c r="V1704" s="217" t="s">
        <v>32</v>
      </c>
      <c r="W1704" s="217" t="s">
        <v>32</v>
      </c>
    </row>
    <row r="1705" spans="1:23" x14ac:dyDescent="0.25">
      <c r="A1705" s="217" t="s">
        <v>22</v>
      </c>
      <c r="B1705" s="217" t="s">
        <v>23</v>
      </c>
      <c r="C1705" s="217" t="s">
        <v>184</v>
      </c>
      <c r="D1705" s="217" t="s">
        <v>183</v>
      </c>
      <c r="E1705" s="217" t="s">
        <v>206</v>
      </c>
      <c r="F1705" s="217" t="s">
        <v>205</v>
      </c>
      <c r="G1705" s="217" t="s">
        <v>208</v>
      </c>
      <c r="H1705" s="217" t="s">
        <v>1337</v>
      </c>
      <c r="I1705" s="217" t="s">
        <v>659</v>
      </c>
      <c r="J1705" s="217" t="s">
        <v>1856</v>
      </c>
      <c r="K1705" s="217">
        <v>9</v>
      </c>
      <c r="L1705" s="217">
        <v>54</v>
      </c>
      <c r="M1705" s="217" t="s">
        <v>99</v>
      </c>
      <c r="N1705" s="217" t="s">
        <v>32</v>
      </c>
      <c r="O1705" s="217" t="s">
        <v>668</v>
      </c>
      <c r="P1705" s="217" t="s">
        <v>34</v>
      </c>
      <c r="Q1705" s="217" t="s">
        <v>35</v>
      </c>
      <c r="R1705" s="217" t="s">
        <v>23</v>
      </c>
      <c r="S1705" s="217" t="s">
        <v>22</v>
      </c>
      <c r="T1705" s="217" t="s">
        <v>183</v>
      </c>
      <c r="U1705" s="217" t="s">
        <v>184</v>
      </c>
      <c r="V1705" s="217" t="s">
        <v>32</v>
      </c>
      <c r="W1705" s="217" t="s">
        <v>32</v>
      </c>
    </row>
    <row r="1706" spans="1:23" x14ac:dyDescent="0.25">
      <c r="A1706" s="217" t="s">
        <v>22</v>
      </c>
      <c r="B1706" s="217" t="s">
        <v>23</v>
      </c>
      <c r="C1706" s="217" t="s">
        <v>184</v>
      </c>
      <c r="D1706" s="217" t="s">
        <v>183</v>
      </c>
      <c r="E1706" s="217" t="s">
        <v>206</v>
      </c>
      <c r="F1706" s="217" t="s">
        <v>205</v>
      </c>
      <c r="G1706" s="217" t="s">
        <v>208</v>
      </c>
      <c r="H1706" s="217" t="s">
        <v>1337</v>
      </c>
      <c r="I1706" s="217" t="s">
        <v>659</v>
      </c>
      <c r="J1706" s="217" t="s">
        <v>1858</v>
      </c>
      <c r="K1706" s="217">
        <v>5</v>
      </c>
      <c r="L1706" s="217">
        <v>35</v>
      </c>
      <c r="M1706" s="217" t="s">
        <v>99</v>
      </c>
      <c r="N1706" s="217" t="s">
        <v>32</v>
      </c>
      <c r="O1706" s="217" t="s">
        <v>668</v>
      </c>
      <c r="P1706" s="217" t="s">
        <v>34</v>
      </c>
      <c r="Q1706" s="217" t="s">
        <v>35</v>
      </c>
      <c r="R1706" s="217" t="s">
        <v>23</v>
      </c>
      <c r="S1706" s="217" t="s">
        <v>22</v>
      </c>
      <c r="T1706" s="217" t="s">
        <v>183</v>
      </c>
      <c r="U1706" s="217" t="s">
        <v>184</v>
      </c>
      <c r="V1706" s="217" t="s">
        <v>32</v>
      </c>
      <c r="W1706" s="217" t="s">
        <v>32</v>
      </c>
    </row>
    <row r="1707" spans="1:23" x14ac:dyDescent="0.25">
      <c r="A1707" s="217" t="s">
        <v>22</v>
      </c>
      <c r="B1707" s="217" t="s">
        <v>23</v>
      </c>
      <c r="C1707" s="217" t="s">
        <v>184</v>
      </c>
      <c r="D1707" s="217" t="s">
        <v>183</v>
      </c>
      <c r="E1707" s="217" t="s">
        <v>206</v>
      </c>
      <c r="F1707" s="217" t="s">
        <v>205</v>
      </c>
      <c r="G1707" s="217" t="s">
        <v>209</v>
      </c>
      <c r="H1707" s="217" t="s">
        <v>1569</v>
      </c>
      <c r="I1707" s="217" t="s">
        <v>659</v>
      </c>
      <c r="J1707" s="217" t="s">
        <v>1854</v>
      </c>
      <c r="K1707" s="217">
        <v>120</v>
      </c>
      <c r="L1707" s="217">
        <v>722</v>
      </c>
      <c r="M1707" s="217" t="s">
        <v>99</v>
      </c>
      <c r="N1707" s="217" t="s">
        <v>32</v>
      </c>
      <c r="O1707" s="217" t="s">
        <v>668</v>
      </c>
      <c r="P1707" s="217" t="s">
        <v>34</v>
      </c>
      <c r="Q1707" s="217" t="s">
        <v>35</v>
      </c>
      <c r="R1707" s="217" t="s">
        <v>23</v>
      </c>
      <c r="S1707" s="217" t="s">
        <v>22</v>
      </c>
      <c r="T1707" s="217" t="s">
        <v>183</v>
      </c>
      <c r="U1707" s="217" t="s">
        <v>184</v>
      </c>
      <c r="V1707" s="217" t="s">
        <v>32</v>
      </c>
      <c r="W1707" s="217" t="s">
        <v>32</v>
      </c>
    </row>
    <row r="1708" spans="1:23" x14ac:dyDescent="0.25">
      <c r="A1708" s="217" t="s">
        <v>22</v>
      </c>
      <c r="B1708" s="217" t="s">
        <v>23</v>
      </c>
      <c r="C1708" s="217" t="s">
        <v>184</v>
      </c>
      <c r="D1708" s="217" t="s">
        <v>183</v>
      </c>
      <c r="E1708" s="217" t="s">
        <v>206</v>
      </c>
      <c r="F1708" s="217" t="s">
        <v>205</v>
      </c>
      <c r="G1708" s="217" t="s">
        <v>209</v>
      </c>
      <c r="H1708" s="217" t="s">
        <v>1569</v>
      </c>
      <c r="I1708" s="217" t="s">
        <v>659</v>
      </c>
      <c r="J1708" s="217" t="s">
        <v>1855</v>
      </c>
      <c r="K1708" s="217">
        <v>80</v>
      </c>
      <c r="L1708" s="217">
        <v>480</v>
      </c>
      <c r="M1708" s="217" t="s">
        <v>99</v>
      </c>
      <c r="N1708" s="217" t="s">
        <v>32</v>
      </c>
      <c r="O1708" s="217" t="s">
        <v>668</v>
      </c>
      <c r="P1708" s="217" t="s">
        <v>34</v>
      </c>
      <c r="Q1708" s="217" t="s">
        <v>35</v>
      </c>
      <c r="R1708" s="217" t="s">
        <v>23</v>
      </c>
      <c r="S1708" s="217" t="s">
        <v>22</v>
      </c>
      <c r="T1708" s="217" t="s">
        <v>183</v>
      </c>
      <c r="U1708" s="217" t="s">
        <v>184</v>
      </c>
      <c r="V1708" s="217" t="s">
        <v>32</v>
      </c>
      <c r="W1708" s="217" t="s">
        <v>32</v>
      </c>
    </row>
    <row r="1709" spans="1:23" x14ac:dyDescent="0.25">
      <c r="A1709" s="217" t="s">
        <v>22</v>
      </c>
      <c r="B1709" s="217" t="s">
        <v>23</v>
      </c>
      <c r="C1709" s="217" t="s">
        <v>184</v>
      </c>
      <c r="D1709" s="217" t="s">
        <v>183</v>
      </c>
      <c r="E1709" s="217" t="s">
        <v>206</v>
      </c>
      <c r="F1709" s="217" t="s">
        <v>205</v>
      </c>
      <c r="G1709" s="217" t="s">
        <v>209</v>
      </c>
      <c r="H1709" s="217" t="s">
        <v>1569</v>
      </c>
      <c r="I1709" s="217" t="s">
        <v>659</v>
      </c>
      <c r="J1709" s="217" t="s">
        <v>1856</v>
      </c>
      <c r="K1709" s="217">
        <v>14</v>
      </c>
      <c r="L1709" s="217">
        <v>88</v>
      </c>
      <c r="M1709" s="217" t="s">
        <v>99</v>
      </c>
      <c r="N1709" s="217" t="s">
        <v>32</v>
      </c>
      <c r="O1709" s="217" t="s">
        <v>668</v>
      </c>
      <c r="P1709" s="217" t="s">
        <v>34</v>
      </c>
      <c r="Q1709" s="217" t="s">
        <v>35</v>
      </c>
      <c r="R1709" s="217" t="s">
        <v>23</v>
      </c>
      <c r="S1709" s="217" t="s">
        <v>22</v>
      </c>
      <c r="T1709" s="217" t="s">
        <v>183</v>
      </c>
      <c r="U1709" s="217" t="s">
        <v>184</v>
      </c>
      <c r="V1709" s="217" t="s">
        <v>32</v>
      </c>
      <c r="W1709" s="217" t="s">
        <v>32</v>
      </c>
    </row>
    <row r="1710" spans="1:23" x14ac:dyDescent="0.25">
      <c r="A1710" s="217" t="s">
        <v>22</v>
      </c>
      <c r="B1710" s="217" t="s">
        <v>23</v>
      </c>
      <c r="C1710" s="217" t="s">
        <v>184</v>
      </c>
      <c r="D1710" s="217" t="s">
        <v>183</v>
      </c>
      <c r="E1710" s="217" t="s">
        <v>206</v>
      </c>
      <c r="F1710" s="217" t="s">
        <v>205</v>
      </c>
      <c r="G1710" s="217" t="s">
        <v>483</v>
      </c>
      <c r="H1710" s="217" t="s">
        <v>1338</v>
      </c>
      <c r="I1710" s="217" t="s">
        <v>659</v>
      </c>
      <c r="J1710" s="217" t="s">
        <v>1858</v>
      </c>
      <c r="K1710" s="217">
        <v>7</v>
      </c>
      <c r="L1710" s="217">
        <v>101</v>
      </c>
      <c r="M1710" s="217" t="s">
        <v>99</v>
      </c>
      <c r="N1710" s="217" t="s">
        <v>32</v>
      </c>
      <c r="O1710" s="217" t="s">
        <v>668</v>
      </c>
      <c r="P1710" s="217" t="s">
        <v>34</v>
      </c>
      <c r="Q1710" s="217" t="s">
        <v>35</v>
      </c>
      <c r="R1710" s="217" t="s">
        <v>23</v>
      </c>
      <c r="S1710" s="217" t="s">
        <v>22</v>
      </c>
      <c r="T1710" s="217" t="s">
        <v>183</v>
      </c>
      <c r="U1710" s="217" t="s">
        <v>184</v>
      </c>
      <c r="V1710" s="217" t="s">
        <v>32</v>
      </c>
      <c r="W1710" s="217" t="s">
        <v>32</v>
      </c>
    </row>
    <row r="1711" spans="1:23" x14ac:dyDescent="0.25">
      <c r="A1711" s="217" t="s">
        <v>22</v>
      </c>
      <c r="B1711" s="217" t="s">
        <v>23</v>
      </c>
      <c r="C1711" s="217" t="s">
        <v>184</v>
      </c>
      <c r="D1711" s="217" t="s">
        <v>183</v>
      </c>
      <c r="E1711" s="217" t="s">
        <v>206</v>
      </c>
      <c r="F1711" s="217" t="s">
        <v>205</v>
      </c>
      <c r="G1711" s="217" t="s">
        <v>210</v>
      </c>
      <c r="H1711" s="217" t="s">
        <v>1339</v>
      </c>
      <c r="I1711" s="217" t="s">
        <v>659</v>
      </c>
      <c r="J1711" s="217" t="s">
        <v>1856</v>
      </c>
      <c r="K1711" s="217">
        <v>18</v>
      </c>
      <c r="L1711" s="217">
        <v>108</v>
      </c>
      <c r="M1711" s="217" t="s">
        <v>99</v>
      </c>
      <c r="N1711" s="217" t="s">
        <v>32</v>
      </c>
      <c r="O1711" s="217" t="s">
        <v>668</v>
      </c>
      <c r="P1711" s="217" t="s">
        <v>34</v>
      </c>
      <c r="Q1711" s="217" t="s">
        <v>35</v>
      </c>
      <c r="R1711" s="217" t="s">
        <v>23</v>
      </c>
      <c r="S1711" s="217" t="s">
        <v>22</v>
      </c>
      <c r="T1711" s="217" t="s">
        <v>183</v>
      </c>
      <c r="U1711" s="217" t="s">
        <v>184</v>
      </c>
      <c r="V1711" s="217" t="s">
        <v>32</v>
      </c>
      <c r="W1711" s="217" t="s">
        <v>32</v>
      </c>
    </row>
    <row r="1712" spans="1:23" x14ac:dyDescent="0.25">
      <c r="A1712" s="217" t="s">
        <v>22</v>
      </c>
      <c r="B1712" s="217" t="s">
        <v>23</v>
      </c>
      <c r="C1712" s="217" t="s">
        <v>184</v>
      </c>
      <c r="D1712" s="217" t="s">
        <v>183</v>
      </c>
      <c r="E1712" s="217" t="s">
        <v>206</v>
      </c>
      <c r="F1712" s="217" t="s">
        <v>205</v>
      </c>
      <c r="G1712" s="217" t="s">
        <v>210</v>
      </c>
      <c r="H1712" s="217" t="s">
        <v>1339</v>
      </c>
      <c r="I1712" s="217" t="s">
        <v>659</v>
      </c>
      <c r="J1712" s="217" t="s">
        <v>1858</v>
      </c>
      <c r="K1712" s="217">
        <v>5</v>
      </c>
      <c r="L1712" s="217">
        <v>34</v>
      </c>
      <c r="M1712" s="217" t="s">
        <v>99</v>
      </c>
      <c r="N1712" s="217" t="s">
        <v>32</v>
      </c>
      <c r="O1712" s="217" t="s">
        <v>668</v>
      </c>
      <c r="P1712" s="217" t="s">
        <v>34</v>
      </c>
      <c r="Q1712" s="217" t="s">
        <v>35</v>
      </c>
      <c r="R1712" s="217" t="s">
        <v>23</v>
      </c>
      <c r="S1712" s="217" t="s">
        <v>22</v>
      </c>
      <c r="T1712" s="217" t="s">
        <v>183</v>
      </c>
      <c r="U1712" s="217" t="s">
        <v>184</v>
      </c>
      <c r="V1712" s="217" t="s">
        <v>32</v>
      </c>
      <c r="W1712" s="217" t="s">
        <v>32</v>
      </c>
    </row>
    <row r="1713" spans="1:23" x14ac:dyDescent="0.25">
      <c r="A1713" s="217" t="s">
        <v>22</v>
      </c>
      <c r="B1713" s="217" t="s">
        <v>23</v>
      </c>
      <c r="C1713" s="217" t="s">
        <v>184</v>
      </c>
      <c r="D1713" s="217" t="s">
        <v>183</v>
      </c>
      <c r="E1713" s="217" t="s">
        <v>206</v>
      </c>
      <c r="F1713" s="217" t="s">
        <v>205</v>
      </c>
      <c r="G1713" s="217" t="s">
        <v>674</v>
      </c>
      <c r="H1713" s="217" t="s">
        <v>1570</v>
      </c>
      <c r="I1713" s="217" t="s">
        <v>659</v>
      </c>
      <c r="J1713" s="217" t="s">
        <v>1854</v>
      </c>
      <c r="K1713" s="217">
        <v>27</v>
      </c>
      <c r="L1713" s="217">
        <v>190</v>
      </c>
      <c r="M1713" s="217" t="s">
        <v>99</v>
      </c>
      <c r="N1713" s="217" t="s">
        <v>32</v>
      </c>
      <c r="O1713" s="217" t="s">
        <v>668</v>
      </c>
      <c r="P1713" s="217" t="s">
        <v>34</v>
      </c>
      <c r="Q1713" s="217" t="s">
        <v>35</v>
      </c>
      <c r="R1713" s="217" t="s">
        <v>23</v>
      </c>
      <c r="S1713" s="217" t="s">
        <v>22</v>
      </c>
      <c r="T1713" s="217" t="s">
        <v>183</v>
      </c>
      <c r="U1713" s="217" t="s">
        <v>184</v>
      </c>
      <c r="V1713" s="217" t="s">
        <v>32</v>
      </c>
      <c r="W1713" s="217" t="s">
        <v>32</v>
      </c>
    </row>
    <row r="1714" spans="1:23" x14ac:dyDescent="0.25">
      <c r="A1714" s="217" t="s">
        <v>22</v>
      </c>
      <c r="B1714" s="217" t="s">
        <v>23</v>
      </c>
      <c r="C1714" s="217" t="s">
        <v>184</v>
      </c>
      <c r="D1714" s="217" t="s">
        <v>183</v>
      </c>
      <c r="E1714" s="217" t="s">
        <v>206</v>
      </c>
      <c r="F1714" s="217" t="s">
        <v>205</v>
      </c>
      <c r="G1714" s="217" t="s">
        <v>484</v>
      </c>
      <c r="H1714" s="217" t="s">
        <v>1340</v>
      </c>
      <c r="I1714" s="217" t="s">
        <v>659</v>
      </c>
      <c r="J1714" s="217" t="s">
        <v>1854</v>
      </c>
      <c r="K1714" s="217">
        <v>42</v>
      </c>
      <c r="L1714" s="217">
        <v>262</v>
      </c>
      <c r="M1714" s="217" t="s">
        <v>99</v>
      </c>
      <c r="N1714" s="217" t="s">
        <v>32</v>
      </c>
      <c r="O1714" s="217" t="s">
        <v>668</v>
      </c>
      <c r="P1714" s="217" t="s">
        <v>34</v>
      </c>
      <c r="Q1714" s="217" t="s">
        <v>35</v>
      </c>
      <c r="R1714" s="217" t="s">
        <v>23</v>
      </c>
      <c r="S1714" s="217" t="s">
        <v>22</v>
      </c>
      <c r="T1714" s="217" t="s">
        <v>183</v>
      </c>
      <c r="U1714" s="217" t="s">
        <v>184</v>
      </c>
      <c r="V1714" s="217" t="s">
        <v>32</v>
      </c>
      <c r="W1714" s="217" t="s">
        <v>32</v>
      </c>
    </row>
    <row r="1715" spans="1:23" x14ac:dyDescent="0.25">
      <c r="A1715" s="217" t="s">
        <v>22</v>
      </c>
      <c r="B1715" s="217" t="s">
        <v>23</v>
      </c>
      <c r="C1715" s="217" t="s">
        <v>184</v>
      </c>
      <c r="D1715" s="217" t="s">
        <v>183</v>
      </c>
      <c r="E1715" s="217" t="s">
        <v>206</v>
      </c>
      <c r="F1715" s="217" t="s">
        <v>205</v>
      </c>
      <c r="G1715" s="217" t="s">
        <v>484</v>
      </c>
      <c r="H1715" s="217" t="s">
        <v>1340</v>
      </c>
      <c r="I1715" s="217" t="s">
        <v>659</v>
      </c>
      <c r="J1715" s="217" t="s">
        <v>1858</v>
      </c>
      <c r="K1715" s="217">
        <v>3</v>
      </c>
      <c r="L1715" s="217">
        <v>18</v>
      </c>
      <c r="M1715" s="217" t="s">
        <v>99</v>
      </c>
      <c r="N1715" s="217" t="s">
        <v>32</v>
      </c>
      <c r="O1715" s="217" t="s">
        <v>668</v>
      </c>
      <c r="P1715" s="217" t="s">
        <v>34</v>
      </c>
      <c r="Q1715" s="217" t="s">
        <v>35</v>
      </c>
      <c r="R1715" s="217" t="s">
        <v>23</v>
      </c>
      <c r="S1715" s="217" t="s">
        <v>22</v>
      </c>
      <c r="T1715" s="217" t="s">
        <v>183</v>
      </c>
      <c r="U1715" s="217" t="s">
        <v>184</v>
      </c>
      <c r="V1715" s="217" t="s">
        <v>32</v>
      </c>
      <c r="W1715" s="217" t="s">
        <v>32</v>
      </c>
    </row>
    <row r="1716" spans="1:23" x14ac:dyDescent="0.25">
      <c r="A1716" s="217" t="s">
        <v>22</v>
      </c>
      <c r="B1716" s="217" t="s">
        <v>23</v>
      </c>
      <c r="C1716" s="217" t="s">
        <v>184</v>
      </c>
      <c r="D1716" s="217" t="s">
        <v>183</v>
      </c>
      <c r="E1716" s="217" t="s">
        <v>206</v>
      </c>
      <c r="F1716" s="217" t="s">
        <v>205</v>
      </c>
      <c r="G1716" s="217" t="s">
        <v>211</v>
      </c>
      <c r="H1716" s="217" t="s">
        <v>1341</v>
      </c>
      <c r="I1716" s="217" t="s">
        <v>659</v>
      </c>
      <c r="J1716" s="217" t="s">
        <v>1855</v>
      </c>
      <c r="K1716" s="217">
        <v>10</v>
      </c>
      <c r="L1716" s="217">
        <v>72</v>
      </c>
      <c r="M1716" s="217" t="s">
        <v>99</v>
      </c>
      <c r="N1716" s="217" t="s">
        <v>32</v>
      </c>
      <c r="O1716" s="217" t="s">
        <v>668</v>
      </c>
      <c r="P1716" s="217" t="s">
        <v>34</v>
      </c>
      <c r="Q1716" s="217" t="s">
        <v>35</v>
      </c>
      <c r="R1716" s="217" t="s">
        <v>23</v>
      </c>
      <c r="S1716" s="217" t="s">
        <v>22</v>
      </c>
      <c r="T1716" s="217" t="s">
        <v>183</v>
      </c>
      <c r="U1716" s="217" t="s">
        <v>184</v>
      </c>
      <c r="V1716" s="217" t="s">
        <v>32</v>
      </c>
      <c r="W1716" s="217" t="s">
        <v>32</v>
      </c>
    </row>
    <row r="1717" spans="1:23" x14ac:dyDescent="0.25">
      <c r="A1717" s="217" t="s">
        <v>22</v>
      </c>
      <c r="B1717" s="217" t="s">
        <v>23</v>
      </c>
      <c r="C1717" s="217" t="s">
        <v>184</v>
      </c>
      <c r="D1717" s="217" t="s">
        <v>183</v>
      </c>
      <c r="E1717" s="217" t="s">
        <v>206</v>
      </c>
      <c r="F1717" s="217" t="s">
        <v>205</v>
      </c>
      <c r="G1717" s="217" t="s">
        <v>211</v>
      </c>
      <c r="H1717" s="217" t="s">
        <v>1341</v>
      </c>
      <c r="I1717" s="217" t="s">
        <v>659</v>
      </c>
      <c r="J1717" s="217" t="s">
        <v>1856</v>
      </c>
      <c r="K1717" s="217">
        <v>5</v>
      </c>
      <c r="L1717" s="217">
        <v>35</v>
      </c>
      <c r="M1717" s="217" t="s">
        <v>99</v>
      </c>
      <c r="N1717" s="217" t="s">
        <v>32</v>
      </c>
      <c r="O1717" s="217" t="s">
        <v>668</v>
      </c>
      <c r="P1717" s="217" t="s">
        <v>34</v>
      </c>
      <c r="Q1717" s="217" t="s">
        <v>35</v>
      </c>
      <c r="R1717" s="217" t="s">
        <v>23</v>
      </c>
      <c r="S1717" s="217" t="s">
        <v>22</v>
      </c>
      <c r="T1717" s="217" t="s">
        <v>183</v>
      </c>
      <c r="U1717" s="217" t="s">
        <v>184</v>
      </c>
      <c r="V1717" s="217" t="s">
        <v>32</v>
      </c>
      <c r="W1717" s="217" t="s">
        <v>32</v>
      </c>
    </row>
    <row r="1718" spans="1:23" x14ac:dyDescent="0.25">
      <c r="A1718" s="217" t="s">
        <v>22</v>
      </c>
      <c r="B1718" s="217" t="s">
        <v>23</v>
      </c>
      <c r="C1718" s="217" t="s">
        <v>184</v>
      </c>
      <c r="D1718" s="217" t="s">
        <v>183</v>
      </c>
      <c r="E1718" s="217" t="s">
        <v>206</v>
      </c>
      <c r="F1718" s="217" t="s">
        <v>205</v>
      </c>
      <c r="G1718" s="217" t="s">
        <v>675</v>
      </c>
      <c r="H1718" s="217" t="s">
        <v>1571</v>
      </c>
      <c r="I1718" s="217" t="s">
        <v>659</v>
      </c>
      <c r="J1718" s="217" t="s">
        <v>1854</v>
      </c>
      <c r="K1718" s="217">
        <v>13</v>
      </c>
      <c r="L1718" s="217">
        <v>102</v>
      </c>
      <c r="M1718" s="217" t="s">
        <v>99</v>
      </c>
      <c r="N1718" s="217" t="s">
        <v>32</v>
      </c>
      <c r="O1718" s="217" t="s">
        <v>668</v>
      </c>
      <c r="P1718" s="217" t="s">
        <v>34</v>
      </c>
      <c r="Q1718" s="217" t="s">
        <v>35</v>
      </c>
      <c r="R1718" s="217" t="s">
        <v>23</v>
      </c>
      <c r="S1718" s="217" t="s">
        <v>22</v>
      </c>
      <c r="T1718" s="217" t="s">
        <v>183</v>
      </c>
      <c r="U1718" s="217" t="s">
        <v>184</v>
      </c>
      <c r="V1718" s="217" t="s">
        <v>32</v>
      </c>
      <c r="W1718" s="217" t="s">
        <v>32</v>
      </c>
    </row>
    <row r="1719" spans="1:23" x14ac:dyDescent="0.25">
      <c r="A1719" s="217" t="s">
        <v>22</v>
      </c>
      <c r="B1719" s="217" t="s">
        <v>23</v>
      </c>
      <c r="C1719" s="217" t="s">
        <v>184</v>
      </c>
      <c r="D1719" s="217" t="s">
        <v>183</v>
      </c>
      <c r="E1719" s="217" t="s">
        <v>215</v>
      </c>
      <c r="F1719" s="217" t="s">
        <v>214</v>
      </c>
      <c r="G1719" s="217" t="s">
        <v>216</v>
      </c>
      <c r="H1719" s="217" t="s">
        <v>1342</v>
      </c>
      <c r="I1719" s="217" t="s">
        <v>659</v>
      </c>
      <c r="J1719" s="217" t="s">
        <v>1856</v>
      </c>
      <c r="K1719" s="217">
        <v>2</v>
      </c>
      <c r="L1719" s="217">
        <v>13</v>
      </c>
      <c r="M1719" s="217" t="s">
        <v>99</v>
      </c>
      <c r="N1719" s="217" t="s">
        <v>32</v>
      </c>
      <c r="O1719" s="217" t="s">
        <v>668</v>
      </c>
      <c r="P1719" s="217" t="s">
        <v>34</v>
      </c>
      <c r="Q1719" s="217" t="s">
        <v>35</v>
      </c>
      <c r="R1719" s="217" t="s">
        <v>23</v>
      </c>
      <c r="S1719" s="217" t="s">
        <v>22</v>
      </c>
      <c r="T1719" s="217" t="s">
        <v>183</v>
      </c>
      <c r="U1719" s="217" t="s">
        <v>184</v>
      </c>
      <c r="V1719" s="217" t="s">
        <v>32</v>
      </c>
      <c r="W1719" s="217" t="s">
        <v>32</v>
      </c>
    </row>
    <row r="1720" spans="1:23" x14ac:dyDescent="0.25">
      <c r="A1720" s="217" t="s">
        <v>22</v>
      </c>
      <c r="B1720" s="217" t="s">
        <v>23</v>
      </c>
      <c r="C1720" s="217" t="s">
        <v>184</v>
      </c>
      <c r="D1720" s="217" t="s">
        <v>183</v>
      </c>
      <c r="E1720" s="217" t="s">
        <v>215</v>
      </c>
      <c r="F1720" s="217" t="s">
        <v>214</v>
      </c>
      <c r="G1720" s="217" t="s">
        <v>487</v>
      </c>
      <c r="H1720" s="217" t="s">
        <v>1345</v>
      </c>
      <c r="I1720" s="217" t="s">
        <v>659</v>
      </c>
      <c r="J1720" s="217" t="s">
        <v>1858</v>
      </c>
      <c r="K1720" s="217">
        <v>1</v>
      </c>
      <c r="L1720" s="217">
        <v>4</v>
      </c>
      <c r="M1720" s="217" t="s">
        <v>99</v>
      </c>
      <c r="N1720" s="217" t="s">
        <v>32</v>
      </c>
      <c r="O1720" s="217" t="s">
        <v>668</v>
      </c>
      <c r="P1720" s="217" t="s">
        <v>34</v>
      </c>
      <c r="Q1720" s="217" t="s">
        <v>35</v>
      </c>
      <c r="R1720" s="217" t="s">
        <v>23</v>
      </c>
      <c r="S1720" s="217" t="s">
        <v>22</v>
      </c>
      <c r="T1720" s="217" t="s">
        <v>183</v>
      </c>
      <c r="U1720" s="217" t="s">
        <v>184</v>
      </c>
      <c r="V1720" s="217" t="s">
        <v>32</v>
      </c>
      <c r="W1720" s="217" t="s">
        <v>32</v>
      </c>
    </row>
    <row r="1721" spans="1:23" x14ac:dyDescent="0.25">
      <c r="A1721" s="217" t="s">
        <v>22</v>
      </c>
      <c r="B1721" s="217" t="s">
        <v>23</v>
      </c>
      <c r="C1721" s="217" t="s">
        <v>184</v>
      </c>
      <c r="D1721" s="217" t="s">
        <v>183</v>
      </c>
      <c r="E1721" s="217" t="s">
        <v>215</v>
      </c>
      <c r="F1721" s="217" t="s">
        <v>214</v>
      </c>
      <c r="G1721" s="217" t="s">
        <v>1838</v>
      </c>
      <c r="H1721" s="217" t="s">
        <v>1347</v>
      </c>
      <c r="I1721" s="217" t="s">
        <v>659</v>
      </c>
      <c r="J1721" s="217" t="s">
        <v>1858</v>
      </c>
      <c r="K1721" s="217">
        <v>56</v>
      </c>
      <c r="L1721" s="217">
        <v>352</v>
      </c>
      <c r="M1721" s="217" t="s">
        <v>99</v>
      </c>
      <c r="N1721" s="217" t="s">
        <v>32</v>
      </c>
      <c r="O1721" s="217" t="s">
        <v>668</v>
      </c>
      <c r="P1721" s="217" t="s">
        <v>34</v>
      </c>
      <c r="Q1721" s="217" t="s">
        <v>35</v>
      </c>
      <c r="R1721" s="217" t="s">
        <v>23</v>
      </c>
      <c r="S1721" s="217" t="s">
        <v>22</v>
      </c>
      <c r="T1721" s="217" t="s">
        <v>84</v>
      </c>
      <c r="U1721" s="217" t="s">
        <v>85</v>
      </c>
      <c r="V1721" s="217" t="s">
        <v>32</v>
      </c>
      <c r="W1721" s="217" t="s">
        <v>32</v>
      </c>
    </row>
    <row r="1722" spans="1:23" x14ac:dyDescent="0.25">
      <c r="A1722" s="217" t="s">
        <v>22</v>
      </c>
      <c r="B1722" s="217" t="s">
        <v>23</v>
      </c>
      <c r="C1722" s="217" t="s">
        <v>184</v>
      </c>
      <c r="D1722" s="217" t="s">
        <v>183</v>
      </c>
      <c r="E1722" s="217" t="s">
        <v>213</v>
      </c>
      <c r="F1722" s="217" t="s">
        <v>212</v>
      </c>
      <c r="G1722" s="217" t="s">
        <v>2032</v>
      </c>
      <c r="H1722" s="217" t="s">
        <v>2031</v>
      </c>
      <c r="I1722" s="217" t="s">
        <v>659</v>
      </c>
      <c r="J1722" s="217" t="s">
        <v>1854</v>
      </c>
      <c r="K1722" s="217">
        <v>90</v>
      </c>
      <c r="L1722" s="217">
        <v>450</v>
      </c>
      <c r="M1722" s="217" t="s">
        <v>99</v>
      </c>
      <c r="N1722" s="217" t="s">
        <v>32</v>
      </c>
      <c r="O1722" s="217" t="s">
        <v>668</v>
      </c>
      <c r="P1722" s="217" t="s">
        <v>34</v>
      </c>
      <c r="Q1722" s="217" t="s">
        <v>35</v>
      </c>
      <c r="R1722" s="217" t="s">
        <v>23</v>
      </c>
      <c r="S1722" s="217" t="s">
        <v>22</v>
      </c>
      <c r="T1722" s="217" t="s">
        <v>183</v>
      </c>
      <c r="U1722" s="217" t="s">
        <v>184</v>
      </c>
      <c r="V1722" s="217" t="s">
        <v>32</v>
      </c>
      <c r="W1722" s="217" t="s">
        <v>32</v>
      </c>
    </row>
    <row r="1723" spans="1:23" x14ac:dyDescent="0.25">
      <c r="A1723" s="217" t="s">
        <v>22</v>
      </c>
      <c r="B1723" s="217" t="s">
        <v>23</v>
      </c>
      <c r="C1723" s="217" t="s">
        <v>184</v>
      </c>
      <c r="D1723" s="217" t="s">
        <v>183</v>
      </c>
      <c r="E1723" s="217" t="s">
        <v>213</v>
      </c>
      <c r="F1723" s="217" t="s">
        <v>212</v>
      </c>
      <c r="G1723" s="217" t="s">
        <v>2034</v>
      </c>
      <c r="H1723" s="217" t="s">
        <v>2033</v>
      </c>
      <c r="I1723" s="217" t="s">
        <v>659</v>
      </c>
      <c r="J1723" s="217" t="s">
        <v>1854</v>
      </c>
      <c r="K1723" s="217">
        <v>70</v>
      </c>
      <c r="L1723" s="217">
        <v>350</v>
      </c>
      <c r="M1723" s="217" t="s">
        <v>99</v>
      </c>
      <c r="N1723" s="217" t="s">
        <v>32</v>
      </c>
      <c r="O1723" s="217" t="s">
        <v>668</v>
      </c>
      <c r="P1723" s="217" t="s">
        <v>34</v>
      </c>
      <c r="Q1723" s="217" t="s">
        <v>35</v>
      </c>
      <c r="R1723" s="217" t="s">
        <v>23</v>
      </c>
      <c r="S1723" s="217" t="s">
        <v>22</v>
      </c>
      <c r="T1723" s="217" t="s">
        <v>183</v>
      </c>
      <c r="U1723" s="217" t="s">
        <v>184</v>
      </c>
      <c r="V1723" s="217" t="s">
        <v>32</v>
      </c>
      <c r="W1723" s="217" t="s">
        <v>32</v>
      </c>
    </row>
    <row r="1724" spans="1:23" x14ac:dyDescent="0.25">
      <c r="A1724" s="217" t="s">
        <v>22</v>
      </c>
      <c r="B1724" s="217" t="s">
        <v>23</v>
      </c>
      <c r="C1724" s="217" t="s">
        <v>218</v>
      </c>
      <c r="D1724" s="217" t="s">
        <v>217</v>
      </c>
      <c r="E1724" s="217" t="s">
        <v>676</v>
      </c>
      <c r="F1724" s="217" t="s">
        <v>677</v>
      </c>
      <c r="G1724" s="217" t="s">
        <v>678</v>
      </c>
      <c r="H1724" s="217" t="s">
        <v>1572</v>
      </c>
      <c r="I1724" s="217" t="s">
        <v>659</v>
      </c>
      <c r="J1724" s="217" t="s">
        <v>1855</v>
      </c>
      <c r="K1724" s="217">
        <v>1</v>
      </c>
      <c r="L1724" s="217">
        <v>6</v>
      </c>
      <c r="M1724" s="217" t="s">
        <v>637</v>
      </c>
      <c r="N1724" s="217" t="s">
        <v>2058</v>
      </c>
      <c r="O1724" s="217" t="s">
        <v>141</v>
      </c>
      <c r="P1724" s="217" t="s">
        <v>660</v>
      </c>
      <c r="Q1724" s="217" t="s">
        <v>848</v>
      </c>
      <c r="R1724" s="217" t="s">
        <v>1844</v>
      </c>
      <c r="S1724" s="217" t="s">
        <v>1845</v>
      </c>
      <c r="T1724" s="217" t="s">
        <v>32</v>
      </c>
      <c r="U1724" s="217" t="s">
        <v>32</v>
      </c>
      <c r="V1724" s="217" t="s">
        <v>32</v>
      </c>
      <c r="W1724" s="217" t="s">
        <v>32</v>
      </c>
    </row>
    <row r="1725" spans="1:23" x14ac:dyDescent="0.25">
      <c r="A1725" s="217" t="s">
        <v>22</v>
      </c>
      <c r="B1725" s="217" t="s">
        <v>23</v>
      </c>
      <c r="C1725" s="217" t="s">
        <v>218</v>
      </c>
      <c r="D1725" s="217" t="s">
        <v>217</v>
      </c>
      <c r="E1725" s="217" t="s">
        <v>676</v>
      </c>
      <c r="F1725" s="217" t="s">
        <v>677</v>
      </c>
      <c r="G1725" s="217" t="s">
        <v>679</v>
      </c>
      <c r="H1725" s="217" t="s">
        <v>1573</v>
      </c>
      <c r="I1725" s="217" t="s">
        <v>659</v>
      </c>
      <c r="J1725" s="217" t="s">
        <v>1855</v>
      </c>
      <c r="K1725" s="217">
        <v>1</v>
      </c>
      <c r="L1725" s="217">
        <v>4</v>
      </c>
      <c r="M1725" s="217" t="s">
        <v>637</v>
      </c>
      <c r="N1725" s="217" t="s">
        <v>2059</v>
      </c>
      <c r="O1725" s="217" t="s">
        <v>141</v>
      </c>
      <c r="P1725" s="217" t="s">
        <v>660</v>
      </c>
      <c r="Q1725" s="217" t="s">
        <v>848</v>
      </c>
      <c r="R1725" s="217" t="s">
        <v>1844</v>
      </c>
      <c r="S1725" s="217" t="s">
        <v>1845</v>
      </c>
      <c r="T1725" s="217" t="s">
        <v>32</v>
      </c>
      <c r="U1725" s="217" t="s">
        <v>32</v>
      </c>
      <c r="V1725" s="217" t="s">
        <v>32</v>
      </c>
      <c r="W1725" s="217" t="s">
        <v>32</v>
      </c>
    </row>
    <row r="1726" spans="1:23" x14ac:dyDescent="0.25">
      <c r="A1726" s="217" t="s">
        <v>22</v>
      </c>
      <c r="B1726" s="217" t="s">
        <v>23</v>
      </c>
      <c r="C1726" s="217" t="s">
        <v>218</v>
      </c>
      <c r="D1726" s="217" t="s">
        <v>217</v>
      </c>
      <c r="E1726" s="217" t="s">
        <v>676</v>
      </c>
      <c r="F1726" s="217" t="s">
        <v>677</v>
      </c>
      <c r="G1726" s="217" t="s">
        <v>680</v>
      </c>
      <c r="H1726" s="217" t="s">
        <v>1574</v>
      </c>
      <c r="I1726" s="217" t="s">
        <v>659</v>
      </c>
      <c r="J1726" s="217" t="s">
        <v>1854</v>
      </c>
      <c r="K1726" s="217">
        <v>2</v>
      </c>
      <c r="L1726" s="217">
        <v>42</v>
      </c>
      <c r="M1726" s="217" t="s">
        <v>637</v>
      </c>
      <c r="N1726" s="217" t="s">
        <v>2059</v>
      </c>
      <c r="O1726" s="217" t="s">
        <v>141</v>
      </c>
      <c r="P1726" s="217" t="s">
        <v>660</v>
      </c>
      <c r="Q1726" s="217" t="s">
        <v>848</v>
      </c>
      <c r="R1726" s="217" t="s">
        <v>1844</v>
      </c>
      <c r="S1726" s="217" t="s">
        <v>1845</v>
      </c>
      <c r="T1726" s="217" t="s">
        <v>32</v>
      </c>
      <c r="U1726" s="217" t="s">
        <v>32</v>
      </c>
      <c r="V1726" s="217" t="s">
        <v>32</v>
      </c>
      <c r="W1726" s="217" t="s">
        <v>32</v>
      </c>
    </row>
    <row r="1727" spans="1:23" x14ac:dyDescent="0.25">
      <c r="A1727" s="217" t="s">
        <v>22</v>
      </c>
      <c r="B1727" s="217" t="s">
        <v>23</v>
      </c>
      <c r="C1727" s="217" t="s">
        <v>218</v>
      </c>
      <c r="D1727" s="217" t="s">
        <v>217</v>
      </c>
      <c r="E1727" s="217" t="s">
        <v>676</v>
      </c>
      <c r="F1727" s="217" t="s">
        <v>677</v>
      </c>
      <c r="G1727" s="217" t="s">
        <v>681</v>
      </c>
      <c r="H1727" s="217" t="s">
        <v>1575</v>
      </c>
      <c r="I1727" s="217" t="s">
        <v>659</v>
      </c>
      <c r="J1727" s="217" t="s">
        <v>1854</v>
      </c>
      <c r="K1727" s="217">
        <v>2</v>
      </c>
      <c r="L1727" s="217">
        <v>24</v>
      </c>
      <c r="M1727" s="217" t="s">
        <v>637</v>
      </c>
      <c r="N1727" s="217" t="s">
        <v>2059</v>
      </c>
      <c r="O1727" s="217" t="s">
        <v>141</v>
      </c>
      <c r="P1727" s="217" t="s">
        <v>660</v>
      </c>
      <c r="Q1727" s="217" t="s">
        <v>848</v>
      </c>
      <c r="R1727" s="217" t="s">
        <v>1844</v>
      </c>
      <c r="S1727" s="217" t="s">
        <v>1845</v>
      </c>
      <c r="T1727" s="217" t="s">
        <v>32</v>
      </c>
      <c r="U1727" s="217" t="s">
        <v>32</v>
      </c>
      <c r="V1727" s="217" t="s">
        <v>32</v>
      </c>
      <c r="W1727" s="217" t="s">
        <v>32</v>
      </c>
    </row>
    <row r="1728" spans="1:23" x14ac:dyDescent="0.25">
      <c r="A1728" s="217" t="s">
        <v>22</v>
      </c>
      <c r="B1728" s="217" t="s">
        <v>23</v>
      </c>
      <c r="C1728" s="217" t="s">
        <v>218</v>
      </c>
      <c r="D1728" s="217" t="s">
        <v>217</v>
      </c>
      <c r="E1728" s="217" t="s">
        <v>676</v>
      </c>
      <c r="F1728" s="217" t="s">
        <v>677</v>
      </c>
      <c r="G1728" s="217" t="s">
        <v>682</v>
      </c>
      <c r="H1728" s="217" t="s">
        <v>1576</v>
      </c>
      <c r="I1728" s="217" t="s">
        <v>659</v>
      </c>
      <c r="J1728" s="217" t="s">
        <v>1854</v>
      </c>
      <c r="K1728" s="217">
        <v>1</v>
      </c>
      <c r="L1728" s="217">
        <v>6</v>
      </c>
      <c r="M1728" s="217" t="s">
        <v>637</v>
      </c>
      <c r="N1728" s="217" t="s">
        <v>2060</v>
      </c>
      <c r="O1728" s="217" t="s">
        <v>141</v>
      </c>
      <c r="P1728" s="217" t="s">
        <v>660</v>
      </c>
      <c r="Q1728" s="217" t="s">
        <v>848</v>
      </c>
      <c r="R1728" s="217" t="s">
        <v>1844</v>
      </c>
      <c r="S1728" s="217" t="s">
        <v>1845</v>
      </c>
      <c r="T1728" s="217" t="s">
        <v>32</v>
      </c>
      <c r="U1728" s="217" t="s">
        <v>32</v>
      </c>
      <c r="V1728" s="217" t="s">
        <v>32</v>
      </c>
      <c r="W1728" s="217" t="s">
        <v>32</v>
      </c>
    </row>
    <row r="1729" spans="1:23" x14ac:dyDescent="0.25">
      <c r="A1729" s="217" t="s">
        <v>22</v>
      </c>
      <c r="B1729" s="217" t="s">
        <v>23</v>
      </c>
      <c r="C1729" s="217" t="s">
        <v>218</v>
      </c>
      <c r="D1729" s="217" t="s">
        <v>217</v>
      </c>
      <c r="E1729" s="217" t="s">
        <v>224</v>
      </c>
      <c r="F1729" s="217" t="s">
        <v>223</v>
      </c>
      <c r="G1729" s="217" t="s">
        <v>490</v>
      </c>
      <c r="H1729" s="217" t="s">
        <v>1349</v>
      </c>
      <c r="I1729" s="217" t="s">
        <v>659</v>
      </c>
      <c r="J1729" s="217" t="s">
        <v>1854</v>
      </c>
      <c r="K1729" s="217">
        <v>2</v>
      </c>
      <c r="L1729" s="217">
        <v>17</v>
      </c>
      <c r="M1729" s="217" t="s">
        <v>31</v>
      </c>
      <c r="N1729" s="217" t="s">
        <v>32</v>
      </c>
      <c r="O1729" s="217" t="s">
        <v>668</v>
      </c>
      <c r="P1729" s="217" t="s">
        <v>34</v>
      </c>
      <c r="Q1729" s="217" t="s">
        <v>35</v>
      </c>
      <c r="R1729" s="217" t="s">
        <v>23</v>
      </c>
      <c r="S1729" s="217" t="s">
        <v>22</v>
      </c>
      <c r="T1729" s="217" t="s">
        <v>47</v>
      </c>
      <c r="U1729" s="217" t="s">
        <v>48</v>
      </c>
      <c r="V1729" s="217" t="s">
        <v>32</v>
      </c>
      <c r="W1729" s="217" t="s">
        <v>32</v>
      </c>
    </row>
    <row r="1730" spans="1:23" x14ac:dyDescent="0.25">
      <c r="A1730" s="217" t="s">
        <v>22</v>
      </c>
      <c r="B1730" s="217" t="s">
        <v>23</v>
      </c>
      <c r="C1730" s="217" t="s">
        <v>218</v>
      </c>
      <c r="D1730" s="217" t="s">
        <v>217</v>
      </c>
      <c r="E1730" s="217" t="s">
        <v>224</v>
      </c>
      <c r="F1730" s="217" t="s">
        <v>223</v>
      </c>
      <c r="G1730" s="217" t="s">
        <v>490</v>
      </c>
      <c r="H1730" s="217" t="s">
        <v>1349</v>
      </c>
      <c r="I1730" s="217" t="s">
        <v>659</v>
      </c>
      <c r="J1730" s="217" t="s">
        <v>1855</v>
      </c>
      <c r="K1730" s="217">
        <v>2</v>
      </c>
      <c r="L1730" s="217">
        <v>7</v>
      </c>
      <c r="M1730" s="217" t="s">
        <v>31</v>
      </c>
      <c r="N1730" s="217" t="s">
        <v>32</v>
      </c>
      <c r="O1730" s="217" t="s">
        <v>668</v>
      </c>
      <c r="P1730" s="217" t="s">
        <v>34</v>
      </c>
      <c r="Q1730" s="217" t="s">
        <v>35</v>
      </c>
      <c r="R1730" s="217" t="s">
        <v>23</v>
      </c>
      <c r="S1730" s="217" t="s">
        <v>22</v>
      </c>
      <c r="T1730" s="217" t="s">
        <v>47</v>
      </c>
      <c r="U1730" s="217" t="s">
        <v>48</v>
      </c>
      <c r="V1730" s="217" t="s">
        <v>32</v>
      </c>
      <c r="W1730" s="217" t="s">
        <v>32</v>
      </c>
    </row>
    <row r="1731" spans="1:23" x14ac:dyDescent="0.25">
      <c r="A1731" s="217" t="s">
        <v>22</v>
      </c>
      <c r="B1731" s="217" t="s">
        <v>23</v>
      </c>
      <c r="C1731" s="217" t="s">
        <v>218</v>
      </c>
      <c r="D1731" s="217" t="s">
        <v>217</v>
      </c>
      <c r="E1731" s="217" t="s">
        <v>224</v>
      </c>
      <c r="F1731" s="217" t="s">
        <v>223</v>
      </c>
      <c r="G1731" s="217" t="s">
        <v>492</v>
      </c>
      <c r="H1731" s="217" t="s">
        <v>1351</v>
      </c>
      <c r="I1731" s="217" t="s">
        <v>659</v>
      </c>
      <c r="J1731" s="217" t="s">
        <v>1854</v>
      </c>
      <c r="K1731" s="217">
        <v>4</v>
      </c>
      <c r="L1731" s="217">
        <v>58</v>
      </c>
      <c r="M1731" s="217" t="s">
        <v>31</v>
      </c>
      <c r="N1731" s="217" t="s">
        <v>32</v>
      </c>
      <c r="O1731" s="217" t="s">
        <v>668</v>
      </c>
      <c r="P1731" s="217" t="s">
        <v>34</v>
      </c>
      <c r="Q1731" s="217" t="s">
        <v>35</v>
      </c>
      <c r="R1731" s="217" t="s">
        <v>23</v>
      </c>
      <c r="S1731" s="217" t="s">
        <v>22</v>
      </c>
      <c r="T1731" s="217" t="s">
        <v>47</v>
      </c>
      <c r="U1731" s="217" t="s">
        <v>48</v>
      </c>
      <c r="V1731" s="217" t="s">
        <v>32</v>
      </c>
      <c r="W1731" s="217" t="s">
        <v>32</v>
      </c>
    </row>
    <row r="1732" spans="1:23" x14ac:dyDescent="0.25">
      <c r="A1732" s="217" t="s">
        <v>22</v>
      </c>
      <c r="B1732" s="217" t="s">
        <v>23</v>
      </c>
      <c r="C1732" s="217" t="s">
        <v>218</v>
      </c>
      <c r="D1732" s="217" t="s">
        <v>217</v>
      </c>
      <c r="E1732" s="217" t="s">
        <v>224</v>
      </c>
      <c r="F1732" s="217" t="s">
        <v>223</v>
      </c>
      <c r="G1732" s="217" t="s">
        <v>493</v>
      </c>
      <c r="H1732" s="217" t="s">
        <v>1352</v>
      </c>
      <c r="I1732" s="217" t="s">
        <v>659</v>
      </c>
      <c r="J1732" s="217" t="s">
        <v>1855</v>
      </c>
      <c r="K1732" s="217">
        <v>1</v>
      </c>
      <c r="L1732" s="217">
        <v>5</v>
      </c>
      <c r="M1732" s="217" t="s">
        <v>637</v>
      </c>
      <c r="N1732" s="217" t="s">
        <v>2059</v>
      </c>
      <c r="O1732" s="217" t="s">
        <v>141</v>
      </c>
      <c r="P1732" s="217" t="s">
        <v>660</v>
      </c>
      <c r="Q1732" s="217" t="s">
        <v>848</v>
      </c>
      <c r="R1732" s="217" t="s">
        <v>1844</v>
      </c>
      <c r="S1732" s="217" t="s">
        <v>1845</v>
      </c>
      <c r="T1732" s="217" t="s">
        <v>32</v>
      </c>
      <c r="U1732" s="217" t="s">
        <v>32</v>
      </c>
      <c r="V1732" s="217" t="s">
        <v>32</v>
      </c>
      <c r="W1732" s="217" t="s">
        <v>32</v>
      </c>
    </row>
    <row r="1733" spans="1:23" x14ac:dyDescent="0.25">
      <c r="A1733" s="217" t="s">
        <v>22</v>
      </c>
      <c r="B1733" s="217" t="s">
        <v>23</v>
      </c>
      <c r="C1733" s="217" t="s">
        <v>218</v>
      </c>
      <c r="D1733" s="217" t="s">
        <v>217</v>
      </c>
      <c r="E1733" s="217" t="s">
        <v>224</v>
      </c>
      <c r="F1733" s="217" t="s">
        <v>223</v>
      </c>
      <c r="G1733" s="217" t="s">
        <v>495</v>
      </c>
      <c r="H1733" s="217" t="s">
        <v>1354</v>
      </c>
      <c r="I1733" s="217" t="s">
        <v>659</v>
      </c>
      <c r="J1733" s="217" t="s">
        <v>1854</v>
      </c>
      <c r="K1733" s="217">
        <v>1</v>
      </c>
      <c r="L1733" s="217">
        <v>6</v>
      </c>
      <c r="M1733" s="217" t="s">
        <v>31</v>
      </c>
      <c r="N1733" s="217" t="s">
        <v>32</v>
      </c>
      <c r="O1733" s="217" t="s">
        <v>668</v>
      </c>
      <c r="P1733" s="217" t="s">
        <v>34</v>
      </c>
      <c r="Q1733" s="217" t="s">
        <v>35</v>
      </c>
      <c r="R1733" s="217" t="s">
        <v>23</v>
      </c>
      <c r="S1733" s="217" t="s">
        <v>22</v>
      </c>
      <c r="T1733" s="217" t="s">
        <v>47</v>
      </c>
      <c r="U1733" s="217" t="s">
        <v>48</v>
      </c>
      <c r="V1733" s="217" t="s">
        <v>32</v>
      </c>
      <c r="W1733" s="217" t="s">
        <v>32</v>
      </c>
    </row>
    <row r="1734" spans="1:23" x14ac:dyDescent="0.25">
      <c r="A1734" s="217" t="s">
        <v>22</v>
      </c>
      <c r="B1734" s="217" t="s">
        <v>23</v>
      </c>
      <c r="C1734" s="217" t="s">
        <v>218</v>
      </c>
      <c r="D1734" s="217" t="s">
        <v>217</v>
      </c>
      <c r="E1734" s="217" t="s">
        <v>224</v>
      </c>
      <c r="F1734" s="217" t="s">
        <v>223</v>
      </c>
      <c r="G1734" s="217" t="s">
        <v>496</v>
      </c>
      <c r="H1734" s="217" t="s">
        <v>1355</v>
      </c>
      <c r="I1734" s="217" t="s">
        <v>659</v>
      </c>
      <c r="J1734" s="217" t="s">
        <v>1855</v>
      </c>
      <c r="K1734" s="217">
        <v>3</v>
      </c>
      <c r="L1734" s="217">
        <v>22</v>
      </c>
      <c r="M1734" s="217" t="s">
        <v>31</v>
      </c>
      <c r="N1734" s="217" t="s">
        <v>32</v>
      </c>
      <c r="O1734" s="217" t="s">
        <v>668</v>
      </c>
      <c r="P1734" s="217" t="s">
        <v>34</v>
      </c>
      <c r="Q1734" s="217" t="s">
        <v>35</v>
      </c>
      <c r="R1734" s="217" t="s">
        <v>23</v>
      </c>
      <c r="S1734" s="217" t="s">
        <v>22</v>
      </c>
      <c r="T1734" s="217" t="s">
        <v>47</v>
      </c>
      <c r="U1734" s="217" t="s">
        <v>48</v>
      </c>
      <c r="V1734" s="217" t="s">
        <v>32</v>
      </c>
      <c r="W1734" s="217" t="s">
        <v>32</v>
      </c>
    </row>
    <row r="1735" spans="1:23" x14ac:dyDescent="0.25">
      <c r="A1735" s="217" t="s">
        <v>22</v>
      </c>
      <c r="B1735" s="217" t="s">
        <v>23</v>
      </c>
      <c r="C1735" s="217" t="s">
        <v>218</v>
      </c>
      <c r="D1735" s="217" t="s">
        <v>217</v>
      </c>
      <c r="E1735" s="217" t="s">
        <v>220</v>
      </c>
      <c r="F1735" s="217" t="s">
        <v>219</v>
      </c>
      <c r="G1735" s="217" t="s">
        <v>222</v>
      </c>
      <c r="H1735" s="217" t="s">
        <v>1577</v>
      </c>
      <c r="I1735" s="217" t="s">
        <v>659</v>
      </c>
      <c r="J1735" s="217" t="s">
        <v>1855</v>
      </c>
      <c r="K1735" s="217">
        <v>3</v>
      </c>
      <c r="L1735" s="217">
        <v>16</v>
      </c>
      <c r="M1735" s="217" t="s">
        <v>31</v>
      </c>
      <c r="N1735" s="217" t="s">
        <v>32</v>
      </c>
      <c r="O1735" s="217" t="s">
        <v>141</v>
      </c>
      <c r="P1735" s="217" t="s">
        <v>142</v>
      </c>
      <c r="Q1735" s="217" t="s">
        <v>143</v>
      </c>
      <c r="R1735" s="217" t="s">
        <v>618</v>
      </c>
      <c r="S1735" s="217" t="s">
        <v>619</v>
      </c>
      <c r="T1735" s="217" t="s">
        <v>32</v>
      </c>
      <c r="U1735" s="217" t="s">
        <v>32</v>
      </c>
      <c r="V1735" s="217" t="s">
        <v>32</v>
      </c>
      <c r="W1735" s="217" t="s">
        <v>32</v>
      </c>
    </row>
    <row r="1736" spans="1:23" x14ac:dyDescent="0.25">
      <c r="A1736" s="217" t="s">
        <v>22</v>
      </c>
      <c r="B1736" s="217" t="s">
        <v>23</v>
      </c>
      <c r="C1736" s="217" t="s">
        <v>218</v>
      </c>
      <c r="D1736" s="217" t="s">
        <v>217</v>
      </c>
      <c r="E1736" s="217" t="s">
        <v>220</v>
      </c>
      <c r="F1736" s="217" t="s">
        <v>219</v>
      </c>
      <c r="G1736" s="217" t="s">
        <v>226</v>
      </c>
      <c r="H1736" s="217" t="s">
        <v>1578</v>
      </c>
      <c r="I1736" s="217" t="s">
        <v>659</v>
      </c>
      <c r="J1736" s="217" t="s">
        <v>1855</v>
      </c>
      <c r="K1736" s="217">
        <v>1</v>
      </c>
      <c r="L1736" s="217">
        <v>8</v>
      </c>
      <c r="M1736" s="217" t="s">
        <v>637</v>
      </c>
      <c r="N1736" s="217" t="s">
        <v>2154</v>
      </c>
      <c r="O1736" s="217" t="s">
        <v>141</v>
      </c>
      <c r="P1736" s="217" t="s">
        <v>660</v>
      </c>
      <c r="Q1736" s="217" t="s">
        <v>848</v>
      </c>
      <c r="R1736" s="217" t="s">
        <v>1846</v>
      </c>
      <c r="S1736" s="217" t="s">
        <v>1847</v>
      </c>
      <c r="T1736" s="217" t="s">
        <v>32</v>
      </c>
      <c r="U1736" s="217" t="s">
        <v>32</v>
      </c>
      <c r="V1736" s="217" t="s">
        <v>32</v>
      </c>
      <c r="W1736" s="217" t="s">
        <v>32</v>
      </c>
    </row>
    <row r="1737" spans="1:23" x14ac:dyDescent="0.25">
      <c r="A1737" s="217" t="s">
        <v>22</v>
      </c>
      <c r="B1737" s="217" t="s">
        <v>23</v>
      </c>
      <c r="C1737" s="217" t="s">
        <v>218</v>
      </c>
      <c r="D1737" s="217" t="s">
        <v>217</v>
      </c>
      <c r="E1737" s="217" t="s">
        <v>220</v>
      </c>
      <c r="F1737" s="217" t="s">
        <v>219</v>
      </c>
      <c r="G1737" s="217" t="s">
        <v>1579</v>
      </c>
      <c r="H1737" s="217" t="s">
        <v>1580</v>
      </c>
      <c r="I1737" s="217" t="s">
        <v>659</v>
      </c>
      <c r="J1737" s="217" t="s">
        <v>1857</v>
      </c>
      <c r="K1737" s="217">
        <v>4</v>
      </c>
      <c r="L1737" s="217">
        <v>13</v>
      </c>
      <c r="M1737" s="217" t="s">
        <v>31</v>
      </c>
      <c r="N1737" s="217" t="s">
        <v>32</v>
      </c>
      <c r="O1737" s="217" t="s">
        <v>141</v>
      </c>
      <c r="P1737" s="217" t="s">
        <v>142</v>
      </c>
      <c r="Q1737" s="217" t="s">
        <v>143</v>
      </c>
      <c r="R1737" s="217" t="s">
        <v>2155</v>
      </c>
      <c r="S1737" s="217" t="s">
        <v>2156</v>
      </c>
      <c r="T1737" s="217" t="s">
        <v>32</v>
      </c>
      <c r="U1737" s="217" t="s">
        <v>32</v>
      </c>
      <c r="V1737" s="217" t="s">
        <v>32</v>
      </c>
      <c r="W1737" s="217" t="s">
        <v>32</v>
      </c>
    </row>
    <row r="1738" spans="1:23" x14ac:dyDescent="0.25">
      <c r="A1738" s="217" t="s">
        <v>22</v>
      </c>
      <c r="B1738" s="217" t="s">
        <v>23</v>
      </c>
      <c r="C1738" s="217" t="s">
        <v>218</v>
      </c>
      <c r="D1738" s="217" t="s">
        <v>217</v>
      </c>
      <c r="E1738" s="217" t="s">
        <v>228</v>
      </c>
      <c r="F1738" s="217" t="s">
        <v>227</v>
      </c>
      <c r="G1738" s="217" t="s">
        <v>229</v>
      </c>
      <c r="H1738" s="217" t="s">
        <v>1581</v>
      </c>
      <c r="I1738" s="217" t="s">
        <v>659</v>
      </c>
      <c r="J1738" s="217" t="s">
        <v>1855</v>
      </c>
      <c r="K1738" s="217">
        <v>27</v>
      </c>
      <c r="L1738" s="217">
        <v>163</v>
      </c>
      <c r="M1738" s="217" t="s">
        <v>31</v>
      </c>
      <c r="N1738" s="217" t="s">
        <v>32</v>
      </c>
      <c r="O1738" s="217" t="s">
        <v>141</v>
      </c>
      <c r="P1738" s="217" t="s">
        <v>142</v>
      </c>
      <c r="Q1738" s="217" t="s">
        <v>143</v>
      </c>
      <c r="R1738" s="217" t="s">
        <v>618</v>
      </c>
      <c r="S1738" s="217" t="s">
        <v>619</v>
      </c>
      <c r="T1738" s="217" t="s">
        <v>32</v>
      </c>
      <c r="U1738" s="217" t="s">
        <v>32</v>
      </c>
      <c r="V1738" s="217" t="s">
        <v>32</v>
      </c>
      <c r="W1738" s="217" t="s">
        <v>32</v>
      </c>
    </row>
    <row r="1739" spans="1:23" x14ac:dyDescent="0.25">
      <c r="A1739" s="217" t="s">
        <v>22</v>
      </c>
      <c r="B1739" s="217" t="s">
        <v>23</v>
      </c>
      <c r="C1739" s="217" t="s">
        <v>218</v>
      </c>
      <c r="D1739" s="217" t="s">
        <v>217</v>
      </c>
      <c r="E1739" s="217" t="s">
        <v>228</v>
      </c>
      <c r="F1739" s="217" t="s">
        <v>227</v>
      </c>
      <c r="G1739" s="217" t="s">
        <v>229</v>
      </c>
      <c r="H1739" s="217" t="s">
        <v>1581</v>
      </c>
      <c r="I1739" s="217" t="s">
        <v>659</v>
      </c>
      <c r="J1739" s="217" t="s">
        <v>1856</v>
      </c>
      <c r="K1739" s="217">
        <v>26</v>
      </c>
      <c r="L1739" s="217">
        <v>138</v>
      </c>
      <c r="M1739" s="217" t="s">
        <v>31</v>
      </c>
      <c r="N1739" s="217" t="s">
        <v>32</v>
      </c>
      <c r="O1739" s="217" t="s">
        <v>141</v>
      </c>
      <c r="P1739" s="217" t="s">
        <v>142</v>
      </c>
      <c r="Q1739" s="217" t="s">
        <v>143</v>
      </c>
      <c r="R1739" s="217" t="s">
        <v>618</v>
      </c>
      <c r="S1739" s="217" t="s">
        <v>619</v>
      </c>
      <c r="T1739" s="217" t="s">
        <v>32</v>
      </c>
      <c r="U1739" s="217" t="s">
        <v>32</v>
      </c>
      <c r="V1739" s="217" t="s">
        <v>32</v>
      </c>
      <c r="W1739" s="217" t="s">
        <v>32</v>
      </c>
    </row>
    <row r="1740" spans="1:23" x14ac:dyDescent="0.25">
      <c r="A1740" s="217" t="s">
        <v>22</v>
      </c>
      <c r="B1740" s="217" t="s">
        <v>23</v>
      </c>
      <c r="C1740" s="217" t="s">
        <v>218</v>
      </c>
      <c r="D1740" s="217" t="s">
        <v>217</v>
      </c>
      <c r="E1740" s="217" t="s">
        <v>228</v>
      </c>
      <c r="F1740" s="217" t="s">
        <v>227</v>
      </c>
      <c r="G1740" s="217" t="s">
        <v>229</v>
      </c>
      <c r="H1740" s="217" t="s">
        <v>1581</v>
      </c>
      <c r="I1740" s="217" t="s">
        <v>659</v>
      </c>
      <c r="J1740" s="217" t="s">
        <v>1857</v>
      </c>
      <c r="K1740" s="217">
        <v>11</v>
      </c>
      <c r="L1740" s="217">
        <v>56</v>
      </c>
      <c r="M1740" s="217" t="s">
        <v>31</v>
      </c>
      <c r="N1740" s="217" t="s">
        <v>32</v>
      </c>
      <c r="O1740" s="217" t="s">
        <v>141</v>
      </c>
      <c r="P1740" s="217" t="s">
        <v>142</v>
      </c>
      <c r="Q1740" s="217" t="s">
        <v>143</v>
      </c>
      <c r="R1740" s="217" t="s">
        <v>1540</v>
      </c>
      <c r="S1740" s="217" t="s">
        <v>1541</v>
      </c>
      <c r="T1740" s="217" t="s">
        <v>32</v>
      </c>
      <c r="U1740" s="217" t="s">
        <v>32</v>
      </c>
      <c r="V1740" s="217" t="s">
        <v>32</v>
      </c>
      <c r="W1740" s="217" t="s">
        <v>32</v>
      </c>
    </row>
    <row r="1741" spans="1:23" x14ac:dyDescent="0.25">
      <c r="A1741" s="217" t="s">
        <v>22</v>
      </c>
      <c r="B1741" s="217" t="s">
        <v>23</v>
      </c>
      <c r="C1741" s="217" t="s">
        <v>218</v>
      </c>
      <c r="D1741" s="217" t="s">
        <v>217</v>
      </c>
      <c r="E1741" s="217" t="s">
        <v>228</v>
      </c>
      <c r="F1741" s="217" t="s">
        <v>227</v>
      </c>
      <c r="G1741" s="217" t="s">
        <v>230</v>
      </c>
      <c r="H1741" s="217" t="s">
        <v>1582</v>
      </c>
      <c r="I1741" s="217" t="s">
        <v>659</v>
      </c>
      <c r="J1741" s="217" t="s">
        <v>1856</v>
      </c>
      <c r="K1741" s="217">
        <v>15</v>
      </c>
      <c r="L1741" s="217">
        <v>72</v>
      </c>
      <c r="M1741" s="217" t="s">
        <v>31</v>
      </c>
      <c r="N1741" s="217" t="s">
        <v>32</v>
      </c>
      <c r="O1741" s="217" t="s">
        <v>141</v>
      </c>
      <c r="P1741" s="217" t="s">
        <v>142</v>
      </c>
      <c r="Q1741" s="217" t="s">
        <v>143</v>
      </c>
      <c r="R1741" s="217" t="s">
        <v>618</v>
      </c>
      <c r="S1741" s="217" t="s">
        <v>619</v>
      </c>
      <c r="T1741" s="217" t="s">
        <v>32</v>
      </c>
      <c r="U1741" s="217" t="s">
        <v>32</v>
      </c>
      <c r="V1741" s="217" t="s">
        <v>32</v>
      </c>
      <c r="W1741" s="217" t="s">
        <v>32</v>
      </c>
    </row>
    <row r="1742" spans="1:23" x14ac:dyDescent="0.25">
      <c r="A1742" s="217" t="s">
        <v>22</v>
      </c>
      <c r="B1742" s="217" t="s">
        <v>23</v>
      </c>
      <c r="C1742" s="217" t="s">
        <v>218</v>
      </c>
      <c r="D1742" s="217" t="s">
        <v>217</v>
      </c>
      <c r="E1742" s="217" t="s">
        <v>497</v>
      </c>
      <c r="F1742" s="217" t="s">
        <v>498</v>
      </c>
      <c r="G1742" s="217" t="s">
        <v>500</v>
      </c>
      <c r="H1742" s="217" t="s">
        <v>1357</v>
      </c>
      <c r="I1742" s="217" t="s">
        <v>659</v>
      </c>
      <c r="J1742" s="217" t="s">
        <v>1856</v>
      </c>
      <c r="K1742" s="217">
        <v>1</v>
      </c>
      <c r="L1742" s="217">
        <v>4</v>
      </c>
      <c r="M1742" s="217" t="s">
        <v>31</v>
      </c>
      <c r="N1742" s="217" t="s">
        <v>32</v>
      </c>
      <c r="O1742" s="217" t="s">
        <v>141</v>
      </c>
      <c r="P1742" s="217" t="s">
        <v>142</v>
      </c>
      <c r="Q1742" s="217" t="s">
        <v>143</v>
      </c>
      <c r="R1742" s="217" t="s">
        <v>641</v>
      </c>
      <c r="S1742" s="217" t="s">
        <v>642</v>
      </c>
      <c r="T1742" s="217" t="s">
        <v>32</v>
      </c>
      <c r="U1742" s="217" t="s">
        <v>32</v>
      </c>
      <c r="V1742" s="217" t="s">
        <v>32</v>
      </c>
      <c r="W1742" s="217" t="s">
        <v>32</v>
      </c>
    </row>
    <row r="1743" spans="1:23" x14ac:dyDescent="0.25">
      <c r="A1743" s="217" t="s">
        <v>22</v>
      </c>
      <c r="B1743" s="217" t="s">
        <v>23</v>
      </c>
      <c r="C1743" s="217" t="s">
        <v>48</v>
      </c>
      <c r="D1743" s="217" t="s">
        <v>47</v>
      </c>
      <c r="E1743" s="217" t="s">
        <v>232</v>
      </c>
      <c r="F1743" s="217" t="s">
        <v>231</v>
      </c>
      <c r="G1743" s="217" t="s">
        <v>233</v>
      </c>
      <c r="H1743" s="217" t="s">
        <v>1358</v>
      </c>
      <c r="I1743" s="217" t="s">
        <v>659</v>
      </c>
      <c r="J1743" s="217" t="s">
        <v>1856</v>
      </c>
      <c r="K1743" s="217">
        <v>31</v>
      </c>
      <c r="L1743" s="217">
        <v>195</v>
      </c>
      <c r="M1743" s="217" t="s">
        <v>31</v>
      </c>
      <c r="N1743" s="217" t="s">
        <v>32</v>
      </c>
      <c r="O1743" s="217" t="s">
        <v>668</v>
      </c>
      <c r="P1743" s="217" t="s">
        <v>34</v>
      </c>
      <c r="Q1743" s="217" t="s">
        <v>35</v>
      </c>
      <c r="R1743" s="217" t="s">
        <v>23</v>
      </c>
      <c r="S1743" s="217" t="s">
        <v>22</v>
      </c>
      <c r="T1743" s="217" t="s">
        <v>36</v>
      </c>
      <c r="U1743" s="217" t="s">
        <v>37</v>
      </c>
      <c r="V1743" s="217" t="s">
        <v>32</v>
      </c>
      <c r="W1743" s="217" t="s">
        <v>32</v>
      </c>
    </row>
    <row r="1744" spans="1:23" x14ac:dyDescent="0.25">
      <c r="A1744" s="217" t="s">
        <v>22</v>
      </c>
      <c r="B1744" s="217" t="s">
        <v>23</v>
      </c>
      <c r="C1744" s="217" t="s">
        <v>48</v>
      </c>
      <c r="D1744" s="217" t="s">
        <v>47</v>
      </c>
      <c r="E1744" s="217" t="s">
        <v>232</v>
      </c>
      <c r="F1744" s="217" t="s">
        <v>231</v>
      </c>
      <c r="G1744" s="217" t="s">
        <v>233</v>
      </c>
      <c r="H1744" s="217" t="s">
        <v>1358</v>
      </c>
      <c r="I1744" s="217" t="s">
        <v>659</v>
      </c>
      <c r="J1744" s="217" t="s">
        <v>1857</v>
      </c>
      <c r="K1744" s="217">
        <v>274</v>
      </c>
      <c r="L1744" s="217">
        <v>1876</v>
      </c>
      <c r="M1744" s="217" t="s">
        <v>31</v>
      </c>
      <c r="N1744" s="217" t="s">
        <v>32</v>
      </c>
      <c r="O1744" s="217" t="s">
        <v>668</v>
      </c>
      <c r="P1744" s="217" t="s">
        <v>34</v>
      </c>
      <c r="Q1744" s="217" t="s">
        <v>35</v>
      </c>
      <c r="R1744" s="217" t="s">
        <v>23</v>
      </c>
      <c r="S1744" s="217" t="s">
        <v>22</v>
      </c>
      <c r="T1744" s="217" t="s">
        <v>36</v>
      </c>
      <c r="U1744" s="217" t="s">
        <v>37</v>
      </c>
      <c r="V1744" s="217" t="s">
        <v>32</v>
      </c>
      <c r="W1744" s="217" t="s">
        <v>32</v>
      </c>
    </row>
    <row r="1745" spans="1:23" x14ac:dyDescent="0.25">
      <c r="A1745" s="217" t="s">
        <v>22</v>
      </c>
      <c r="B1745" s="217" t="s">
        <v>23</v>
      </c>
      <c r="C1745" s="217" t="s">
        <v>48</v>
      </c>
      <c r="D1745" s="217" t="s">
        <v>47</v>
      </c>
      <c r="E1745" s="217" t="s">
        <v>232</v>
      </c>
      <c r="F1745" s="217" t="s">
        <v>231</v>
      </c>
      <c r="G1745" s="217" t="s">
        <v>233</v>
      </c>
      <c r="H1745" s="217" t="s">
        <v>1358</v>
      </c>
      <c r="I1745" s="217" t="s">
        <v>659</v>
      </c>
      <c r="J1745" s="217" t="s">
        <v>1858</v>
      </c>
      <c r="K1745" s="217">
        <v>408</v>
      </c>
      <c r="L1745" s="217">
        <v>2521</v>
      </c>
      <c r="M1745" s="217" t="s">
        <v>31</v>
      </c>
      <c r="N1745" s="217" t="s">
        <v>32</v>
      </c>
      <c r="O1745" s="217" t="s">
        <v>668</v>
      </c>
      <c r="P1745" s="217" t="s">
        <v>34</v>
      </c>
      <c r="Q1745" s="217" t="s">
        <v>35</v>
      </c>
      <c r="R1745" s="217" t="s">
        <v>23</v>
      </c>
      <c r="S1745" s="217" t="s">
        <v>22</v>
      </c>
      <c r="T1745" s="217" t="s">
        <v>36</v>
      </c>
      <c r="U1745" s="217" t="s">
        <v>37</v>
      </c>
      <c r="V1745" s="217" t="s">
        <v>32</v>
      </c>
      <c r="W1745" s="217" t="s">
        <v>32</v>
      </c>
    </row>
    <row r="1746" spans="1:23" x14ac:dyDescent="0.25">
      <c r="A1746" s="217" t="s">
        <v>22</v>
      </c>
      <c r="B1746" s="217" t="s">
        <v>23</v>
      </c>
      <c r="C1746" s="217" t="s">
        <v>48</v>
      </c>
      <c r="D1746" s="217" t="s">
        <v>47</v>
      </c>
      <c r="E1746" s="217" t="s">
        <v>232</v>
      </c>
      <c r="F1746" s="217" t="s">
        <v>231</v>
      </c>
      <c r="G1746" s="217" t="s">
        <v>233</v>
      </c>
      <c r="H1746" s="217" t="s">
        <v>1358</v>
      </c>
      <c r="I1746" s="217" t="s">
        <v>659</v>
      </c>
      <c r="J1746" s="217" t="s">
        <v>1859</v>
      </c>
      <c r="K1746" s="217">
        <v>385</v>
      </c>
      <c r="L1746" s="217">
        <v>3375</v>
      </c>
      <c r="M1746" s="217" t="s">
        <v>31</v>
      </c>
      <c r="N1746" s="217" t="s">
        <v>32</v>
      </c>
      <c r="O1746" s="217" t="s">
        <v>141</v>
      </c>
      <c r="P1746" s="217" t="s">
        <v>142</v>
      </c>
      <c r="Q1746" s="217" t="s">
        <v>143</v>
      </c>
      <c r="R1746" s="217" t="s">
        <v>641</v>
      </c>
      <c r="S1746" s="217" t="s">
        <v>642</v>
      </c>
      <c r="T1746" s="217" t="s">
        <v>32</v>
      </c>
      <c r="U1746" s="217" t="s">
        <v>32</v>
      </c>
      <c r="V1746" s="217" t="s">
        <v>32</v>
      </c>
      <c r="W1746" s="217" t="s">
        <v>32</v>
      </c>
    </row>
    <row r="1747" spans="1:23" x14ac:dyDescent="0.25">
      <c r="A1747" s="217" t="s">
        <v>22</v>
      </c>
      <c r="B1747" s="217" t="s">
        <v>23</v>
      </c>
      <c r="C1747" s="217" t="s">
        <v>48</v>
      </c>
      <c r="D1747" s="217" t="s">
        <v>47</v>
      </c>
      <c r="E1747" s="217" t="s">
        <v>232</v>
      </c>
      <c r="F1747" s="217" t="s">
        <v>231</v>
      </c>
      <c r="G1747" s="217" t="s">
        <v>706</v>
      </c>
      <c r="H1747" s="217" t="s">
        <v>1583</v>
      </c>
      <c r="I1747" s="217" t="s">
        <v>659</v>
      </c>
      <c r="J1747" s="217" t="s">
        <v>1858</v>
      </c>
      <c r="K1747" s="217">
        <v>16</v>
      </c>
      <c r="L1747" s="217">
        <v>75</v>
      </c>
      <c r="M1747" s="217" t="s">
        <v>31</v>
      </c>
      <c r="N1747" s="217" t="s">
        <v>32</v>
      </c>
      <c r="O1747" s="217" t="s">
        <v>668</v>
      </c>
      <c r="P1747" s="217" t="s">
        <v>34</v>
      </c>
      <c r="Q1747" s="217" t="s">
        <v>35</v>
      </c>
      <c r="R1747" s="217" t="s">
        <v>23</v>
      </c>
      <c r="S1747" s="217" t="s">
        <v>22</v>
      </c>
      <c r="T1747" s="217" t="s">
        <v>47</v>
      </c>
      <c r="U1747" s="217" t="s">
        <v>48</v>
      </c>
      <c r="V1747" s="217" t="s">
        <v>32</v>
      </c>
      <c r="W1747" s="217" t="s">
        <v>32</v>
      </c>
    </row>
    <row r="1748" spans="1:23" x14ac:dyDescent="0.25">
      <c r="A1748" s="217" t="s">
        <v>22</v>
      </c>
      <c r="B1748" s="217" t="s">
        <v>23</v>
      </c>
      <c r="C1748" s="217" t="s">
        <v>48</v>
      </c>
      <c r="D1748" s="217" t="s">
        <v>47</v>
      </c>
      <c r="E1748" s="217" t="s">
        <v>232</v>
      </c>
      <c r="F1748" s="217" t="s">
        <v>231</v>
      </c>
      <c r="G1748" s="217" t="s">
        <v>834</v>
      </c>
      <c r="H1748" s="217" t="s">
        <v>1359</v>
      </c>
      <c r="I1748" s="217" t="s">
        <v>659</v>
      </c>
      <c r="J1748" s="217" t="s">
        <v>1857</v>
      </c>
      <c r="K1748" s="217">
        <v>20</v>
      </c>
      <c r="L1748" s="217">
        <v>136</v>
      </c>
      <c r="M1748" s="217" t="s">
        <v>31</v>
      </c>
      <c r="N1748" s="217" t="s">
        <v>32</v>
      </c>
      <c r="O1748" s="217" t="s">
        <v>668</v>
      </c>
      <c r="P1748" s="217" t="s">
        <v>34</v>
      </c>
      <c r="Q1748" s="217" t="s">
        <v>35</v>
      </c>
      <c r="R1748" s="217" t="s">
        <v>23</v>
      </c>
      <c r="S1748" s="217" t="s">
        <v>22</v>
      </c>
      <c r="T1748" s="217" t="s">
        <v>47</v>
      </c>
      <c r="U1748" s="217" t="s">
        <v>48</v>
      </c>
      <c r="V1748" s="217" t="s">
        <v>32</v>
      </c>
      <c r="W1748" s="217" t="s">
        <v>32</v>
      </c>
    </row>
    <row r="1749" spans="1:23" x14ac:dyDescent="0.25">
      <c r="A1749" s="217" t="s">
        <v>22</v>
      </c>
      <c r="B1749" s="217" t="s">
        <v>23</v>
      </c>
      <c r="C1749" s="217" t="s">
        <v>48</v>
      </c>
      <c r="D1749" s="217" t="s">
        <v>47</v>
      </c>
      <c r="E1749" s="217" t="s">
        <v>232</v>
      </c>
      <c r="F1749" s="217" t="s">
        <v>231</v>
      </c>
      <c r="G1749" s="217" t="s">
        <v>834</v>
      </c>
      <c r="H1749" s="217" t="s">
        <v>1359</v>
      </c>
      <c r="I1749" s="217" t="s">
        <v>659</v>
      </c>
      <c r="J1749" s="217" t="s">
        <v>1858</v>
      </c>
      <c r="K1749" s="217">
        <v>15</v>
      </c>
      <c r="L1749" s="217">
        <v>76</v>
      </c>
      <c r="M1749" s="217" t="s">
        <v>31</v>
      </c>
      <c r="N1749" s="217" t="s">
        <v>32</v>
      </c>
      <c r="O1749" s="217" t="s">
        <v>668</v>
      </c>
      <c r="P1749" s="217" t="s">
        <v>34</v>
      </c>
      <c r="Q1749" s="217" t="s">
        <v>35</v>
      </c>
      <c r="R1749" s="217" t="s">
        <v>2063</v>
      </c>
      <c r="S1749" s="217" t="s">
        <v>2064</v>
      </c>
      <c r="T1749" s="217" t="s">
        <v>32</v>
      </c>
      <c r="U1749" s="217" t="s">
        <v>32</v>
      </c>
      <c r="V1749" s="217" t="s">
        <v>32</v>
      </c>
      <c r="W1749" s="217" t="s">
        <v>32</v>
      </c>
    </row>
    <row r="1750" spans="1:23" x14ac:dyDescent="0.25">
      <c r="A1750" s="217" t="s">
        <v>22</v>
      </c>
      <c r="B1750" s="217" t="s">
        <v>23</v>
      </c>
      <c r="C1750" s="217" t="s">
        <v>48</v>
      </c>
      <c r="D1750" s="217" t="s">
        <v>47</v>
      </c>
      <c r="E1750" s="217" t="s">
        <v>232</v>
      </c>
      <c r="F1750" s="217" t="s">
        <v>231</v>
      </c>
      <c r="G1750" s="217" t="s">
        <v>1360</v>
      </c>
      <c r="H1750" s="217" t="s">
        <v>1361</v>
      </c>
      <c r="I1750" s="217" t="s">
        <v>659</v>
      </c>
      <c r="J1750" s="217" t="s">
        <v>1857</v>
      </c>
      <c r="K1750" s="217">
        <v>3</v>
      </c>
      <c r="L1750" s="217">
        <v>21</v>
      </c>
      <c r="M1750" s="217" t="s">
        <v>31</v>
      </c>
      <c r="N1750" s="217" t="s">
        <v>32</v>
      </c>
      <c r="O1750" s="217" t="s">
        <v>668</v>
      </c>
      <c r="P1750" s="217" t="s">
        <v>34</v>
      </c>
      <c r="Q1750" s="217" t="s">
        <v>35</v>
      </c>
      <c r="R1750" s="217" t="s">
        <v>23</v>
      </c>
      <c r="S1750" s="217" t="s">
        <v>22</v>
      </c>
      <c r="T1750" s="217" t="s">
        <v>47</v>
      </c>
      <c r="U1750" s="217" t="s">
        <v>48</v>
      </c>
      <c r="V1750" s="217" t="s">
        <v>32</v>
      </c>
      <c r="W1750" s="217" t="s">
        <v>32</v>
      </c>
    </row>
    <row r="1751" spans="1:23" x14ac:dyDescent="0.25">
      <c r="A1751" s="217" t="s">
        <v>22</v>
      </c>
      <c r="B1751" s="217" t="s">
        <v>23</v>
      </c>
      <c r="C1751" s="217" t="s">
        <v>48</v>
      </c>
      <c r="D1751" s="217" t="s">
        <v>47</v>
      </c>
      <c r="E1751" s="217" t="s">
        <v>232</v>
      </c>
      <c r="F1751" s="217" t="s">
        <v>231</v>
      </c>
      <c r="G1751" s="217" t="s">
        <v>1360</v>
      </c>
      <c r="H1751" s="217" t="s">
        <v>1361</v>
      </c>
      <c r="I1751" s="217" t="s">
        <v>659</v>
      </c>
      <c r="J1751" s="217" t="s">
        <v>1858</v>
      </c>
      <c r="K1751" s="217">
        <v>14</v>
      </c>
      <c r="L1751" s="217">
        <v>98</v>
      </c>
      <c r="M1751" s="217" t="s">
        <v>31</v>
      </c>
      <c r="N1751" s="217" t="s">
        <v>32</v>
      </c>
      <c r="O1751" s="217" t="s">
        <v>668</v>
      </c>
      <c r="P1751" s="217" t="s">
        <v>34</v>
      </c>
      <c r="Q1751" s="217" t="s">
        <v>35</v>
      </c>
      <c r="R1751" s="217" t="s">
        <v>23</v>
      </c>
      <c r="S1751" s="217" t="s">
        <v>22</v>
      </c>
      <c r="T1751" s="217" t="s">
        <v>47</v>
      </c>
      <c r="U1751" s="217" t="s">
        <v>48</v>
      </c>
      <c r="V1751" s="217" t="s">
        <v>32</v>
      </c>
      <c r="W1751" s="217" t="s">
        <v>32</v>
      </c>
    </row>
    <row r="1752" spans="1:23" x14ac:dyDescent="0.25">
      <c r="A1752" s="217" t="s">
        <v>22</v>
      </c>
      <c r="B1752" s="217" t="s">
        <v>23</v>
      </c>
      <c r="C1752" s="217" t="s">
        <v>48</v>
      </c>
      <c r="D1752" s="217" t="s">
        <v>47</v>
      </c>
      <c r="E1752" s="217" t="s">
        <v>232</v>
      </c>
      <c r="F1752" s="217" t="s">
        <v>231</v>
      </c>
      <c r="G1752" s="217" t="s">
        <v>234</v>
      </c>
      <c r="H1752" s="217" t="s">
        <v>1362</v>
      </c>
      <c r="I1752" s="217" t="s">
        <v>659</v>
      </c>
      <c r="J1752" s="217" t="s">
        <v>1856</v>
      </c>
      <c r="K1752" s="217">
        <v>15</v>
      </c>
      <c r="L1752" s="217">
        <v>87</v>
      </c>
      <c r="M1752" s="217" t="s">
        <v>31</v>
      </c>
      <c r="N1752" s="217" t="s">
        <v>32</v>
      </c>
      <c r="O1752" s="217" t="s">
        <v>668</v>
      </c>
      <c r="P1752" s="217" t="s">
        <v>34</v>
      </c>
      <c r="Q1752" s="217" t="s">
        <v>35</v>
      </c>
      <c r="R1752" s="217" t="s">
        <v>23</v>
      </c>
      <c r="S1752" s="217" t="s">
        <v>22</v>
      </c>
      <c r="T1752" s="217" t="s">
        <v>36</v>
      </c>
      <c r="U1752" s="217" t="s">
        <v>37</v>
      </c>
      <c r="V1752" s="217" t="s">
        <v>32</v>
      </c>
      <c r="W1752" s="217" t="s">
        <v>32</v>
      </c>
    </row>
    <row r="1753" spans="1:23" x14ac:dyDescent="0.25">
      <c r="A1753" s="217" t="s">
        <v>22</v>
      </c>
      <c r="B1753" s="217" t="s">
        <v>23</v>
      </c>
      <c r="C1753" s="217" t="s">
        <v>48</v>
      </c>
      <c r="D1753" s="217" t="s">
        <v>47</v>
      </c>
      <c r="E1753" s="217" t="s">
        <v>232</v>
      </c>
      <c r="F1753" s="217" t="s">
        <v>231</v>
      </c>
      <c r="G1753" s="217" t="s">
        <v>234</v>
      </c>
      <c r="H1753" s="217" t="s">
        <v>1362</v>
      </c>
      <c r="I1753" s="217" t="s">
        <v>659</v>
      </c>
      <c r="J1753" s="217" t="s">
        <v>1857</v>
      </c>
      <c r="K1753" s="217">
        <v>27</v>
      </c>
      <c r="L1753" s="217">
        <v>164</v>
      </c>
      <c r="M1753" s="217" t="s">
        <v>31</v>
      </c>
      <c r="N1753" s="217" t="s">
        <v>32</v>
      </c>
      <c r="O1753" s="217" t="s">
        <v>668</v>
      </c>
      <c r="P1753" s="217" t="s">
        <v>34</v>
      </c>
      <c r="Q1753" s="217" t="s">
        <v>35</v>
      </c>
      <c r="R1753" s="217" t="s">
        <v>23</v>
      </c>
      <c r="S1753" s="217" t="s">
        <v>22</v>
      </c>
      <c r="T1753" s="217" t="s">
        <v>36</v>
      </c>
      <c r="U1753" s="217" t="s">
        <v>37</v>
      </c>
      <c r="V1753" s="217" t="s">
        <v>32</v>
      </c>
      <c r="W1753" s="217" t="s">
        <v>32</v>
      </c>
    </row>
    <row r="1754" spans="1:23" x14ac:dyDescent="0.25">
      <c r="A1754" s="217" t="s">
        <v>22</v>
      </c>
      <c r="B1754" s="217" t="s">
        <v>23</v>
      </c>
      <c r="C1754" s="217" t="s">
        <v>48</v>
      </c>
      <c r="D1754" s="217" t="s">
        <v>47</v>
      </c>
      <c r="E1754" s="217" t="s">
        <v>232</v>
      </c>
      <c r="F1754" s="217" t="s">
        <v>231</v>
      </c>
      <c r="G1754" s="217" t="s">
        <v>234</v>
      </c>
      <c r="H1754" s="217" t="s">
        <v>1362</v>
      </c>
      <c r="I1754" s="217" t="s">
        <v>659</v>
      </c>
      <c r="J1754" s="217" t="s">
        <v>1858</v>
      </c>
      <c r="K1754" s="217">
        <v>73</v>
      </c>
      <c r="L1754" s="217">
        <v>399</v>
      </c>
      <c r="M1754" s="217" t="s">
        <v>31</v>
      </c>
      <c r="N1754" s="217" t="s">
        <v>32</v>
      </c>
      <c r="O1754" s="217" t="s">
        <v>668</v>
      </c>
      <c r="P1754" s="217" t="s">
        <v>34</v>
      </c>
      <c r="Q1754" s="217" t="s">
        <v>35</v>
      </c>
      <c r="R1754" s="217" t="s">
        <v>23</v>
      </c>
      <c r="S1754" s="217" t="s">
        <v>22</v>
      </c>
      <c r="T1754" s="217" t="s">
        <v>47</v>
      </c>
      <c r="U1754" s="217" t="s">
        <v>48</v>
      </c>
      <c r="V1754" s="217" t="s">
        <v>32</v>
      </c>
      <c r="W1754" s="217" t="s">
        <v>32</v>
      </c>
    </row>
    <row r="1755" spans="1:23" x14ac:dyDescent="0.25">
      <c r="A1755" s="217" t="s">
        <v>22</v>
      </c>
      <c r="B1755" s="217" t="s">
        <v>23</v>
      </c>
      <c r="C1755" s="217" t="s">
        <v>48</v>
      </c>
      <c r="D1755" s="217" t="s">
        <v>47</v>
      </c>
      <c r="E1755" s="217" t="s">
        <v>232</v>
      </c>
      <c r="F1755" s="217" t="s">
        <v>231</v>
      </c>
      <c r="G1755" s="217" t="s">
        <v>707</v>
      </c>
      <c r="H1755" s="217" t="s">
        <v>1584</v>
      </c>
      <c r="I1755" s="217" t="s">
        <v>659</v>
      </c>
      <c r="J1755" s="217" t="s">
        <v>1858</v>
      </c>
      <c r="K1755" s="217">
        <v>20</v>
      </c>
      <c r="L1755" s="217">
        <v>105</v>
      </c>
      <c r="M1755" s="217" t="s">
        <v>31</v>
      </c>
      <c r="N1755" s="217" t="s">
        <v>32</v>
      </c>
      <c r="O1755" s="217" t="s">
        <v>668</v>
      </c>
      <c r="P1755" s="217" t="s">
        <v>34</v>
      </c>
      <c r="Q1755" s="217" t="s">
        <v>35</v>
      </c>
      <c r="R1755" s="217" t="s">
        <v>23</v>
      </c>
      <c r="S1755" s="217" t="s">
        <v>22</v>
      </c>
      <c r="T1755" s="217" t="s">
        <v>47</v>
      </c>
      <c r="U1755" s="217" t="s">
        <v>48</v>
      </c>
      <c r="V1755" s="217" t="s">
        <v>32</v>
      </c>
      <c r="W1755" s="217" t="s">
        <v>32</v>
      </c>
    </row>
    <row r="1756" spans="1:23" x14ac:dyDescent="0.25">
      <c r="A1756" s="217" t="s">
        <v>22</v>
      </c>
      <c r="B1756" s="217" t="s">
        <v>23</v>
      </c>
      <c r="C1756" s="217" t="s">
        <v>48</v>
      </c>
      <c r="D1756" s="217" t="s">
        <v>47</v>
      </c>
      <c r="E1756" s="217" t="s">
        <v>62</v>
      </c>
      <c r="F1756" s="217" t="s">
        <v>61</v>
      </c>
      <c r="G1756" s="217" t="s">
        <v>839</v>
      </c>
      <c r="H1756" s="217" t="s">
        <v>1585</v>
      </c>
      <c r="I1756" s="217" t="s">
        <v>659</v>
      </c>
      <c r="J1756" s="217" t="s">
        <v>1857</v>
      </c>
      <c r="K1756" s="217">
        <v>63</v>
      </c>
      <c r="L1756" s="217">
        <v>315</v>
      </c>
      <c r="M1756" s="217" t="s">
        <v>31</v>
      </c>
      <c r="N1756" s="217" t="s">
        <v>32</v>
      </c>
      <c r="O1756" s="217" t="s">
        <v>668</v>
      </c>
      <c r="P1756" s="217" t="s">
        <v>34</v>
      </c>
      <c r="Q1756" s="217" t="s">
        <v>35</v>
      </c>
      <c r="R1756" s="217" t="s">
        <v>23</v>
      </c>
      <c r="S1756" s="217" t="s">
        <v>22</v>
      </c>
      <c r="T1756" s="217" t="s">
        <v>47</v>
      </c>
      <c r="U1756" s="217" t="s">
        <v>48</v>
      </c>
      <c r="V1756" s="217" t="s">
        <v>32</v>
      </c>
      <c r="W1756" s="217" t="s">
        <v>32</v>
      </c>
    </row>
    <row r="1757" spans="1:23" x14ac:dyDescent="0.25">
      <c r="A1757" s="217" t="s">
        <v>22</v>
      </c>
      <c r="B1757" s="217" t="s">
        <v>23</v>
      </c>
      <c r="C1757" s="217" t="s">
        <v>48</v>
      </c>
      <c r="D1757" s="217" t="s">
        <v>47</v>
      </c>
      <c r="E1757" s="217" t="s">
        <v>62</v>
      </c>
      <c r="F1757" s="217" t="s">
        <v>61</v>
      </c>
      <c r="G1757" s="217" t="s">
        <v>839</v>
      </c>
      <c r="H1757" s="217" t="s">
        <v>1585</v>
      </c>
      <c r="I1757" s="217" t="s">
        <v>659</v>
      </c>
      <c r="J1757" s="217" t="s">
        <v>1858</v>
      </c>
      <c r="K1757" s="217">
        <v>242</v>
      </c>
      <c r="L1757" s="217">
        <v>1407</v>
      </c>
      <c r="M1757" s="217" t="s">
        <v>31</v>
      </c>
      <c r="N1757" s="217" t="s">
        <v>32</v>
      </c>
      <c r="O1757" s="217" t="s">
        <v>668</v>
      </c>
      <c r="P1757" s="217" t="s">
        <v>34</v>
      </c>
      <c r="Q1757" s="217" t="s">
        <v>35</v>
      </c>
      <c r="R1757" s="217" t="s">
        <v>23</v>
      </c>
      <c r="S1757" s="217" t="s">
        <v>22</v>
      </c>
      <c r="T1757" s="217" t="s">
        <v>47</v>
      </c>
      <c r="U1757" s="217" t="s">
        <v>48</v>
      </c>
      <c r="V1757" s="217" t="s">
        <v>32</v>
      </c>
      <c r="W1757" s="217" t="s">
        <v>32</v>
      </c>
    </row>
    <row r="1758" spans="1:23" x14ac:dyDescent="0.25">
      <c r="A1758" s="217" t="s">
        <v>22</v>
      </c>
      <c r="B1758" s="217" t="s">
        <v>23</v>
      </c>
      <c r="C1758" s="217" t="s">
        <v>48</v>
      </c>
      <c r="D1758" s="217" t="s">
        <v>47</v>
      </c>
      <c r="E1758" s="217" t="s">
        <v>62</v>
      </c>
      <c r="F1758" s="217" t="s">
        <v>61</v>
      </c>
      <c r="G1758" s="217" t="s">
        <v>505</v>
      </c>
      <c r="H1758" s="217" t="s">
        <v>1367</v>
      </c>
      <c r="I1758" s="217" t="s">
        <v>659</v>
      </c>
      <c r="J1758" s="217" t="s">
        <v>1857</v>
      </c>
      <c r="K1758" s="217">
        <v>14</v>
      </c>
      <c r="L1758" s="217">
        <v>77</v>
      </c>
      <c r="M1758" s="217" t="s">
        <v>31</v>
      </c>
      <c r="N1758" s="217" t="s">
        <v>32</v>
      </c>
      <c r="O1758" s="217" t="s">
        <v>668</v>
      </c>
      <c r="P1758" s="217" t="s">
        <v>34</v>
      </c>
      <c r="Q1758" s="217" t="s">
        <v>35</v>
      </c>
      <c r="R1758" s="217" t="s">
        <v>23</v>
      </c>
      <c r="S1758" s="217" t="s">
        <v>22</v>
      </c>
      <c r="T1758" s="217" t="s">
        <v>47</v>
      </c>
      <c r="U1758" s="217" t="s">
        <v>48</v>
      </c>
      <c r="V1758" s="217" t="s">
        <v>32</v>
      </c>
      <c r="W1758" s="217" t="s">
        <v>32</v>
      </c>
    </row>
    <row r="1759" spans="1:23" x14ac:dyDescent="0.25">
      <c r="A1759" s="217" t="s">
        <v>22</v>
      </c>
      <c r="B1759" s="217" t="s">
        <v>23</v>
      </c>
      <c r="C1759" s="217" t="s">
        <v>48</v>
      </c>
      <c r="D1759" s="217" t="s">
        <v>47</v>
      </c>
      <c r="E1759" s="217" t="s">
        <v>62</v>
      </c>
      <c r="F1759" s="217" t="s">
        <v>61</v>
      </c>
      <c r="G1759" s="217" t="s">
        <v>505</v>
      </c>
      <c r="H1759" s="217" t="s">
        <v>1367</v>
      </c>
      <c r="I1759" s="217" t="s">
        <v>659</v>
      </c>
      <c r="J1759" s="217" t="s">
        <v>1858</v>
      </c>
      <c r="K1759" s="217">
        <v>27</v>
      </c>
      <c r="L1759" s="217">
        <v>154</v>
      </c>
      <c r="M1759" s="217" t="s">
        <v>31</v>
      </c>
      <c r="N1759" s="217" t="s">
        <v>32</v>
      </c>
      <c r="O1759" s="217" t="s">
        <v>668</v>
      </c>
      <c r="P1759" s="217" t="s">
        <v>34</v>
      </c>
      <c r="Q1759" s="217" t="s">
        <v>35</v>
      </c>
      <c r="R1759" s="217" t="s">
        <v>23</v>
      </c>
      <c r="S1759" s="217" t="s">
        <v>22</v>
      </c>
      <c r="T1759" s="217" t="s">
        <v>47</v>
      </c>
      <c r="U1759" s="217" t="s">
        <v>48</v>
      </c>
      <c r="V1759" s="217" t="s">
        <v>32</v>
      </c>
      <c r="W1759" s="217" t="s">
        <v>32</v>
      </c>
    </row>
    <row r="1760" spans="1:23" x14ac:dyDescent="0.25">
      <c r="A1760" s="217" t="s">
        <v>22</v>
      </c>
      <c r="B1760" s="217" t="s">
        <v>23</v>
      </c>
      <c r="C1760" s="217" t="s">
        <v>48</v>
      </c>
      <c r="D1760" s="217" t="s">
        <v>47</v>
      </c>
      <c r="E1760" s="217" t="s">
        <v>62</v>
      </c>
      <c r="F1760" s="217" t="s">
        <v>61</v>
      </c>
      <c r="G1760" s="217" t="s">
        <v>506</v>
      </c>
      <c r="H1760" s="217" t="s">
        <v>1368</v>
      </c>
      <c r="I1760" s="217" t="s">
        <v>659</v>
      </c>
      <c r="J1760" s="217" t="s">
        <v>1857</v>
      </c>
      <c r="K1760" s="217">
        <v>223</v>
      </c>
      <c r="L1760" s="217">
        <v>1338</v>
      </c>
      <c r="M1760" s="217" t="s">
        <v>31</v>
      </c>
      <c r="N1760" s="217" t="s">
        <v>32</v>
      </c>
      <c r="O1760" s="217" t="s">
        <v>668</v>
      </c>
      <c r="P1760" s="217" t="s">
        <v>34</v>
      </c>
      <c r="Q1760" s="217" t="s">
        <v>35</v>
      </c>
      <c r="R1760" s="217" t="s">
        <v>23</v>
      </c>
      <c r="S1760" s="217" t="s">
        <v>22</v>
      </c>
      <c r="T1760" s="217" t="s">
        <v>47</v>
      </c>
      <c r="U1760" s="217" t="s">
        <v>48</v>
      </c>
      <c r="V1760" s="217" t="s">
        <v>32</v>
      </c>
      <c r="W1760" s="217" t="s">
        <v>32</v>
      </c>
    </row>
    <row r="1761" spans="1:23" x14ac:dyDescent="0.25">
      <c r="A1761" s="217" t="s">
        <v>22</v>
      </c>
      <c r="B1761" s="217" t="s">
        <v>23</v>
      </c>
      <c r="C1761" s="217" t="s">
        <v>48</v>
      </c>
      <c r="D1761" s="217" t="s">
        <v>47</v>
      </c>
      <c r="E1761" s="217" t="s">
        <v>62</v>
      </c>
      <c r="F1761" s="217" t="s">
        <v>61</v>
      </c>
      <c r="G1761" s="217" t="s">
        <v>506</v>
      </c>
      <c r="H1761" s="217" t="s">
        <v>1368</v>
      </c>
      <c r="I1761" s="217" t="s">
        <v>659</v>
      </c>
      <c r="J1761" s="217" t="s">
        <v>1858</v>
      </c>
      <c r="K1761" s="217">
        <v>61</v>
      </c>
      <c r="L1761" s="217">
        <v>327</v>
      </c>
      <c r="M1761" s="217" t="s">
        <v>31</v>
      </c>
      <c r="N1761" s="217" t="s">
        <v>32</v>
      </c>
      <c r="O1761" s="217" t="s">
        <v>668</v>
      </c>
      <c r="P1761" s="217" t="s">
        <v>34</v>
      </c>
      <c r="Q1761" s="217" t="s">
        <v>35</v>
      </c>
      <c r="R1761" s="217" t="s">
        <v>23</v>
      </c>
      <c r="S1761" s="217" t="s">
        <v>22</v>
      </c>
      <c r="T1761" s="217" t="s">
        <v>47</v>
      </c>
      <c r="U1761" s="217" t="s">
        <v>48</v>
      </c>
      <c r="V1761" s="217" t="s">
        <v>32</v>
      </c>
      <c r="W1761" s="217" t="s">
        <v>32</v>
      </c>
    </row>
    <row r="1762" spans="1:23" x14ac:dyDescent="0.25">
      <c r="A1762" s="217" t="s">
        <v>22</v>
      </c>
      <c r="B1762" s="217" t="s">
        <v>23</v>
      </c>
      <c r="C1762" s="217" t="s">
        <v>48</v>
      </c>
      <c r="D1762" s="217" t="s">
        <v>47</v>
      </c>
      <c r="E1762" s="217" t="s">
        <v>62</v>
      </c>
      <c r="F1762" s="217" t="s">
        <v>61</v>
      </c>
      <c r="G1762" s="217" t="s">
        <v>506</v>
      </c>
      <c r="H1762" s="217" t="s">
        <v>1368</v>
      </c>
      <c r="I1762" s="217" t="s">
        <v>659</v>
      </c>
      <c r="J1762" s="217" t="s">
        <v>1859</v>
      </c>
      <c r="K1762" s="217">
        <v>6</v>
      </c>
      <c r="L1762" s="217">
        <v>32</v>
      </c>
      <c r="M1762" s="217" t="s">
        <v>31</v>
      </c>
      <c r="N1762" s="217" t="s">
        <v>32</v>
      </c>
      <c r="O1762" s="217" t="s">
        <v>668</v>
      </c>
      <c r="P1762" s="217" t="s">
        <v>34</v>
      </c>
      <c r="Q1762" s="217" t="s">
        <v>35</v>
      </c>
      <c r="R1762" s="217" t="s">
        <v>23</v>
      </c>
      <c r="S1762" s="217" t="s">
        <v>22</v>
      </c>
      <c r="T1762" s="217" t="s">
        <v>47</v>
      </c>
      <c r="U1762" s="217" t="s">
        <v>48</v>
      </c>
      <c r="V1762" s="217" t="s">
        <v>32</v>
      </c>
      <c r="W1762" s="217" t="s">
        <v>32</v>
      </c>
    </row>
    <row r="1763" spans="1:23" x14ac:dyDescent="0.25">
      <c r="A1763" s="217" t="s">
        <v>22</v>
      </c>
      <c r="B1763" s="217" t="s">
        <v>23</v>
      </c>
      <c r="C1763" s="217" t="s">
        <v>48</v>
      </c>
      <c r="D1763" s="217" t="s">
        <v>47</v>
      </c>
      <c r="E1763" s="217" t="s">
        <v>62</v>
      </c>
      <c r="F1763" s="217" t="s">
        <v>61</v>
      </c>
      <c r="G1763" s="217" t="s">
        <v>837</v>
      </c>
      <c r="H1763" s="217" t="s">
        <v>1376</v>
      </c>
      <c r="I1763" s="217" t="s">
        <v>659</v>
      </c>
      <c r="J1763" s="217" t="s">
        <v>1856</v>
      </c>
      <c r="K1763" s="217">
        <v>64</v>
      </c>
      <c r="L1763" s="217">
        <v>402</v>
      </c>
      <c r="M1763" s="217" t="s">
        <v>31</v>
      </c>
      <c r="N1763" s="217" t="s">
        <v>32</v>
      </c>
      <c r="O1763" s="217" t="s">
        <v>668</v>
      </c>
      <c r="P1763" s="217" t="s">
        <v>34</v>
      </c>
      <c r="Q1763" s="217" t="s">
        <v>35</v>
      </c>
      <c r="R1763" s="217" t="s">
        <v>23</v>
      </c>
      <c r="S1763" s="217" t="s">
        <v>22</v>
      </c>
      <c r="T1763" s="217" t="s">
        <v>47</v>
      </c>
      <c r="U1763" s="217" t="s">
        <v>48</v>
      </c>
      <c r="V1763" s="217" t="s">
        <v>32</v>
      </c>
      <c r="W1763" s="217" t="s">
        <v>32</v>
      </c>
    </row>
    <row r="1764" spans="1:23" x14ac:dyDescent="0.25">
      <c r="A1764" s="217" t="s">
        <v>22</v>
      </c>
      <c r="B1764" s="217" t="s">
        <v>23</v>
      </c>
      <c r="C1764" s="217" t="s">
        <v>48</v>
      </c>
      <c r="D1764" s="217" t="s">
        <v>47</v>
      </c>
      <c r="E1764" s="217" t="s">
        <v>62</v>
      </c>
      <c r="F1764" s="217" t="s">
        <v>61</v>
      </c>
      <c r="G1764" s="217" t="s">
        <v>837</v>
      </c>
      <c r="H1764" s="217" t="s">
        <v>1376</v>
      </c>
      <c r="I1764" s="217" t="s">
        <v>659</v>
      </c>
      <c r="J1764" s="217" t="s">
        <v>1857</v>
      </c>
      <c r="K1764" s="217">
        <v>78</v>
      </c>
      <c r="L1764" s="217">
        <v>585</v>
      </c>
      <c r="M1764" s="217" t="s">
        <v>31</v>
      </c>
      <c r="N1764" s="217" t="s">
        <v>32</v>
      </c>
      <c r="O1764" s="217" t="s">
        <v>668</v>
      </c>
      <c r="P1764" s="217" t="s">
        <v>34</v>
      </c>
      <c r="Q1764" s="217" t="s">
        <v>35</v>
      </c>
      <c r="R1764" s="217" t="s">
        <v>23</v>
      </c>
      <c r="S1764" s="217" t="s">
        <v>22</v>
      </c>
      <c r="T1764" s="217" t="s">
        <v>47</v>
      </c>
      <c r="U1764" s="217" t="s">
        <v>48</v>
      </c>
      <c r="V1764" s="217" t="s">
        <v>32</v>
      </c>
      <c r="W1764" s="217" t="s">
        <v>32</v>
      </c>
    </row>
    <row r="1765" spans="1:23" x14ac:dyDescent="0.25">
      <c r="A1765" s="217" t="s">
        <v>22</v>
      </c>
      <c r="B1765" s="217" t="s">
        <v>23</v>
      </c>
      <c r="C1765" s="217" t="s">
        <v>48</v>
      </c>
      <c r="D1765" s="217" t="s">
        <v>47</v>
      </c>
      <c r="E1765" s="217" t="s">
        <v>62</v>
      </c>
      <c r="F1765" s="217" t="s">
        <v>61</v>
      </c>
      <c r="G1765" s="217" t="s">
        <v>837</v>
      </c>
      <c r="H1765" s="217" t="s">
        <v>1376</v>
      </c>
      <c r="I1765" s="217" t="s">
        <v>659</v>
      </c>
      <c r="J1765" s="217" t="s">
        <v>1858</v>
      </c>
      <c r="K1765" s="217">
        <v>31</v>
      </c>
      <c r="L1765" s="217">
        <v>190</v>
      </c>
      <c r="M1765" s="217" t="s">
        <v>31</v>
      </c>
      <c r="N1765" s="217" t="s">
        <v>32</v>
      </c>
      <c r="O1765" s="217" t="s">
        <v>668</v>
      </c>
      <c r="P1765" s="217" t="s">
        <v>34</v>
      </c>
      <c r="Q1765" s="217" t="s">
        <v>35</v>
      </c>
      <c r="R1765" s="217" t="s">
        <v>23</v>
      </c>
      <c r="S1765" s="217" t="s">
        <v>22</v>
      </c>
      <c r="T1765" s="217" t="s">
        <v>25</v>
      </c>
      <c r="U1765" s="217" t="s">
        <v>24</v>
      </c>
      <c r="V1765" s="217" t="s">
        <v>32</v>
      </c>
      <c r="W1765" s="217" t="s">
        <v>32</v>
      </c>
    </row>
    <row r="1766" spans="1:23" x14ac:dyDescent="0.25">
      <c r="A1766" s="217" t="s">
        <v>22</v>
      </c>
      <c r="B1766" s="217" t="s">
        <v>23</v>
      </c>
      <c r="C1766" s="217" t="s">
        <v>48</v>
      </c>
      <c r="D1766" s="217" t="s">
        <v>47</v>
      </c>
      <c r="E1766" s="217" t="s">
        <v>62</v>
      </c>
      <c r="F1766" s="217" t="s">
        <v>61</v>
      </c>
      <c r="G1766" s="217" t="s">
        <v>838</v>
      </c>
      <c r="H1766" s="217" t="s">
        <v>1586</v>
      </c>
      <c r="I1766" s="217" t="s">
        <v>659</v>
      </c>
      <c r="J1766" s="217" t="s">
        <v>1857</v>
      </c>
      <c r="K1766" s="217">
        <v>68</v>
      </c>
      <c r="L1766" s="217">
        <v>461</v>
      </c>
      <c r="M1766" s="217" t="s">
        <v>31</v>
      </c>
      <c r="N1766" s="217" t="s">
        <v>32</v>
      </c>
      <c r="O1766" s="217" t="s">
        <v>668</v>
      </c>
      <c r="P1766" s="217" t="s">
        <v>34</v>
      </c>
      <c r="Q1766" s="217" t="s">
        <v>35</v>
      </c>
      <c r="R1766" s="217" t="s">
        <v>23</v>
      </c>
      <c r="S1766" s="217" t="s">
        <v>22</v>
      </c>
      <c r="T1766" s="217" t="s">
        <v>47</v>
      </c>
      <c r="U1766" s="217" t="s">
        <v>48</v>
      </c>
      <c r="V1766" s="217" t="s">
        <v>32</v>
      </c>
      <c r="W1766" s="217" t="s">
        <v>32</v>
      </c>
    </row>
    <row r="1767" spans="1:23" x14ac:dyDescent="0.25">
      <c r="A1767" s="217" t="s">
        <v>22</v>
      </c>
      <c r="B1767" s="217" t="s">
        <v>23</v>
      </c>
      <c r="C1767" s="217" t="s">
        <v>48</v>
      </c>
      <c r="D1767" s="217" t="s">
        <v>47</v>
      </c>
      <c r="E1767" s="217" t="s">
        <v>62</v>
      </c>
      <c r="F1767" s="217" t="s">
        <v>61</v>
      </c>
      <c r="G1767" s="217" t="s">
        <v>838</v>
      </c>
      <c r="H1767" s="217" t="s">
        <v>1586</v>
      </c>
      <c r="I1767" s="217" t="s">
        <v>659</v>
      </c>
      <c r="J1767" s="217" t="s">
        <v>1858</v>
      </c>
      <c r="K1767" s="217">
        <v>175</v>
      </c>
      <c r="L1767" s="217">
        <v>1138</v>
      </c>
      <c r="M1767" s="217" t="s">
        <v>31</v>
      </c>
      <c r="N1767" s="217" t="s">
        <v>32</v>
      </c>
      <c r="O1767" s="217" t="s">
        <v>668</v>
      </c>
      <c r="P1767" s="217" t="s">
        <v>34</v>
      </c>
      <c r="Q1767" s="217" t="s">
        <v>35</v>
      </c>
      <c r="R1767" s="217" t="s">
        <v>23</v>
      </c>
      <c r="S1767" s="217" t="s">
        <v>22</v>
      </c>
      <c r="T1767" s="217" t="s">
        <v>47</v>
      </c>
      <c r="U1767" s="217" t="s">
        <v>48</v>
      </c>
      <c r="V1767" s="217" t="s">
        <v>32</v>
      </c>
      <c r="W1767" s="217" t="s">
        <v>32</v>
      </c>
    </row>
    <row r="1768" spans="1:23" x14ac:dyDescent="0.25">
      <c r="A1768" s="217" t="s">
        <v>22</v>
      </c>
      <c r="B1768" s="217" t="s">
        <v>23</v>
      </c>
      <c r="C1768" s="217" t="s">
        <v>48</v>
      </c>
      <c r="D1768" s="217" t="s">
        <v>47</v>
      </c>
      <c r="E1768" s="217" t="s">
        <v>62</v>
      </c>
      <c r="F1768" s="217" t="s">
        <v>61</v>
      </c>
      <c r="G1768" s="217" t="s">
        <v>838</v>
      </c>
      <c r="H1768" s="217" t="s">
        <v>1586</v>
      </c>
      <c r="I1768" s="217" t="s">
        <v>659</v>
      </c>
      <c r="J1768" s="217" t="s">
        <v>1859</v>
      </c>
      <c r="K1768" s="217">
        <v>18</v>
      </c>
      <c r="L1768" s="217">
        <v>139</v>
      </c>
      <c r="M1768" s="217" t="s">
        <v>31</v>
      </c>
      <c r="N1768" s="217" t="s">
        <v>32</v>
      </c>
      <c r="O1768" s="217" t="s">
        <v>668</v>
      </c>
      <c r="P1768" s="217" t="s">
        <v>34</v>
      </c>
      <c r="Q1768" s="217" t="s">
        <v>35</v>
      </c>
      <c r="R1768" s="217" t="s">
        <v>23</v>
      </c>
      <c r="S1768" s="217" t="s">
        <v>22</v>
      </c>
      <c r="T1768" s="217" t="s">
        <v>47</v>
      </c>
      <c r="U1768" s="217" t="s">
        <v>48</v>
      </c>
      <c r="V1768" s="217" t="s">
        <v>32</v>
      </c>
      <c r="W1768" s="217" t="s">
        <v>32</v>
      </c>
    </row>
    <row r="1769" spans="1:23" x14ac:dyDescent="0.25">
      <c r="A1769" s="217" t="s">
        <v>22</v>
      </c>
      <c r="B1769" s="217" t="s">
        <v>23</v>
      </c>
      <c r="C1769" s="217" t="s">
        <v>48</v>
      </c>
      <c r="D1769" s="217" t="s">
        <v>47</v>
      </c>
      <c r="E1769" s="217" t="s">
        <v>62</v>
      </c>
      <c r="F1769" s="217" t="s">
        <v>61</v>
      </c>
      <c r="G1769" s="217" t="s">
        <v>840</v>
      </c>
      <c r="H1769" s="217" t="s">
        <v>1378</v>
      </c>
      <c r="I1769" s="217" t="s">
        <v>659</v>
      </c>
      <c r="J1769" s="217" t="s">
        <v>1857</v>
      </c>
      <c r="K1769" s="217">
        <v>96</v>
      </c>
      <c r="L1769" s="217">
        <v>644</v>
      </c>
      <c r="M1769" s="217" t="s">
        <v>31</v>
      </c>
      <c r="N1769" s="217" t="s">
        <v>32</v>
      </c>
      <c r="O1769" s="217" t="s">
        <v>668</v>
      </c>
      <c r="P1769" s="217" t="s">
        <v>34</v>
      </c>
      <c r="Q1769" s="217" t="s">
        <v>35</v>
      </c>
      <c r="R1769" s="217" t="s">
        <v>23</v>
      </c>
      <c r="S1769" s="217" t="s">
        <v>22</v>
      </c>
      <c r="T1769" s="217" t="s">
        <v>47</v>
      </c>
      <c r="U1769" s="217" t="s">
        <v>48</v>
      </c>
      <c r="V1769" s="217" t="s">
        <v>32</v>
      </c>
      <c r="W1769" s="217" t="s">
        <v>32</v>
      </c>
    </row>
    <row r="1770" spans="1:23" x14ac:dyDescent="0.25">
      <c r="A1770" s="217" t="s">
        <v>22</v>
      </c>
      <c r="B1770" s="217" t="s">
        <v>23</v>
      </c>
      <c r="C1770" s="217" t="s">
        <v>48</v>
      </c>
      <c r="D1770" s="217" t="s">
        <v>47</v>
      </c>
      <c r="E1770" s="217" t="s">
        <v>62</v>
      </c>
      <c r="F1770" s="217" t="s">
        <v>61</v>
      </c>
      <c r="G1770" s="217" t="s">
        <v>840</v>
      </c>
      <c r="H1770" s="217" t="s">
        <v>1378</v>
      </c>
      <c r="I1770" s="217" t="s">
        <v>659</v>
      </c>
      <c r="J1770" s="217" t="s">
        <v>1858</v>
      </c>
      <c r="K1770" s="217">
        <v>38</v>
      </c>
      <c r="L1770" s="217">
        <v>257</v>
      </c>
      <c r="M1770" s="217" t="s">
        <v>31</v>
      </c>
      <c r="N1770" s="217" t="s">
        <v>32</v>
      </c>
      <c r="O1770" s="217" t="s">
        <v>668</v>
      </c>
      <c r="P1770" s="217" t="s">
        <v>34</v>
      </c>
      <c r="Q1770" s="217" t="s">
        <v>35</v>
      </c>
      <c r="R1770" s="217" t="s">
        <v>23</v>
      </c>
      <c r="S1770" s="217" t="s">
        <v>22</v>
      </c>
      <c r="T1770" s="217" t="s">
        <v>47</v>
      </c>
      <c r="U1770" s="217" t="s">
        <v>48</v>
      </c>
      <c r="V1770" s="217" t="s">
        <v>32</v>
      </c>
      <c r="W1770" s="217" t="s">
        <v>32</v>
      </c>
    </row>
    <row r="1771" spans="1:23" x14ac:dyDescent="0.25">
      <c r="A1771" s="217" t="s">
        <v>22</v>
      </c>
      <c r="B1771" s="217" t="s">
        <v>23</v>
      </c>
      <c r="C1771" s="217" t="s">
        <v>48</v>
      </c>
      <c r="D1771" s="217" t="s">
        <v>47</v>
      </c>
      <c r="E1771" s="217" t="s">
        <v>62</v>
      </c>
      <c r="F1771" s="217" t="s">
        <v>61</v>
      </c>
      <c r="G1771" s="217" t="s">
        <v>840</v>
      </c>
      <c r="H1771" s="217" t="s">
        <v>1378</v>
      </c>
      <c r="I1771" s="217" t="s">
        <v>659</v>
      </c>
      <c r="J1771" s="217" t="s">
        <v>1859</v>
      </c>
      <c r="K1771" s="217">
        <v>4</v>
      </c>
      <c r="L1771" s="217">
        <v>22</v>
      </c>
      <c r="M1771" s="217" t="s">
        <v>31</v>
      </c>
      <c r="N1771" s="217" t="s">
        <v>32</v>
      </c>
      <c r="O1771" s="217" t="s">
        <v>668</v>
      </c>
      <c r="P1771" s="217" t="s">
        <v>34</v>
      </c>
      <c r="Q1771" s="217" t="s">
        <v>35</v>
      </c>
      <c r="R1771" s="217" t="s">
        <v>23</v>
      </c>
      <c r="S1771" s="217" t="s">
        <v>22</v>
      </c>
      <c r="T1771" s="217" t="s">
        <v>47</v>
      </c>
      <c r="U1771" s="217" t="s">
        <v>48</v>
      </c>
      <c r="V1771" s="217" t="s">
        <v>32</v>
      </c>
      <c r="W1771" s="217" t="s">
        <v>32</v>
      </c>
    </row>
    <row r="1772" spans="1:23" x14ac:dyDescent="0.25">
      <c r="A1772" s="217" t="s">
        <v>22</v>
      </c>
      <c r="B1772" s="217" t="s">
        <v>23</v>
      </c>
      <c r="C1772" s="217" t="s">
        <v>48</v>
      </c>
      <c r="D1772" s="217" t="s">
        <v>47</v>
      </c>
      <c r="E1772" s="217" t="s">
        <v>62</v>
      </c>
      <c r="F1772" s="217" t="s">
        <v>61</v>
      </c>
      <c r="G1772" s="217" t="s">
        <v>841</v>
      </c>
      <c r="H1772" s="217" t="s">
        <v>1587</v>
      </c>
      <c r="I1772" s="217" t="s">
        <v>659</v>
      </c>
      <c r="J1772" s="217" t="s">
        <v>1857</v>
      </c>
      <c r="K1772" s="217">
        <v>28</v>
      </c>
      <c r="L1772" s="217">
        <v>151</v>
      </c>
      <c r="M1772" s="217" t="s">
        <v>31</v>
      </c>
      <c r="N1772" s="217" t="s">
        <v>32</v>
      </c>
      <c r="O1772" s="217" t="s">
        <v>668</v>
      </c>
      <c r="P1772" s="217" t="s">
        <v>34</v>
      </c>
      <c r="Q1772" s="217" t="s">
        <v>35</v>
      </c>
      <c r="R1772" s="217" t="s">
        <v>23</v>
      </c>
      <c r="S1772" s="217" t="s">
        <v>22</v>
      </c>
      <c r="T1772" s="217" t="s">
        <v>47</v>
      </c>
      <c r="U1772" s="217" t="s">
        <v>48</v>
      </c>
      <c r="V1772" s="217" t="s">
        <v>32</v>
      </c>
      <c r="W1772" s="217" t="s">
        <v>32</v>
      </c>
    </row>
    <row r="1773" spans="1:23" x14ac:dyDescent="0.25">
      <c r="A1773" s="217" t="s">
        <v>22</v>
      </c>
      <c r="B1773" s="217" t="s">
        <v>23</v>
      </c>
      <c r="C1773" s="217" t="s">
        <v>48</v>
      </c>
      <c r="D1773" s="217" t="s">
        <v>47</v>
      </c>
      <c r="E1773" s="217" t="s">
        <v>62</v>
      </c>
      <c r="F1773" s="217" t="s">
        <v>61</v>
      </c>
      <c r="G1773" s="217" t="s">
        <v>841</v>
      </c>
      <c r="H1773" s="217" t="s">
        <v>1587</v>
      </c>
      <c r="I1773" s="217" t="s">
        <v>659</v>
      </c>
      <c r="J1773" s="217" t="s">
        <v>1858</v>
      </c>
      <c r="K1773" s="217">
        <v>62</v>
      </c>
      <c r="L1773" s="217">
        <v>361</v>
      </c>
      <c r="M1773" s="217" t="s">
        <v>31</v>
      </c>
      <c r="N1773" s="217" t="s">
        <v>32</v>
      </c>
      <c r="O1773" s="217" t="s">
        <v>668</v>
      </c>
      <c r="P1773" s="217" t="s">
        <v>34</v>
      </c>
      <c r="Q1773" s="217" t="s">
        <v>35</v>
      </c>
      <c r="R1773" s="217" t="s">
        <v>23</v>
      </c>
      <c r="S1773" s="217" t="s">
        <v>22</v>
      </c>
      <c r="T1773" s="217" t="s">
        <v>47</v>
      </c>
      <c r="U1773" s="217" t="s">
        <v>48</v>
      </c>
      <c r="V1773" s="217" t="s">
        <v>32</v>
      </c>
      <c r="W1773" s="217" t="s">
        <v>32</v>
      </c>
    </row>
    <row r="1774" spans="1:23" x14ac:dyDescent="0.25">
      <c r="A1774" s="217" t="s">
        <v>22</v>
      </c>
      <c r="B1774" s="217" t="s">
        <v>23</v>
      </c>
      <c r="C1774" s="217" t="s">
        <v>37</v>
      </c>
      <c r="D1774" s="217" t="s">
        <v>36</v>
      </c>
      <c r="E1774" s="217" t="s">
        <v>236</v>
      </c>
      <c r="F1774" s="217" t="s">
        <v>235</v>
      </c>
      <c r="G1774" s="217" t="s">
        <v>237</v>
      </c>
      <c r="H1774" s="217" t="s">
        <v>1588</v>
      </c>
      <c r="I1774" s="217" t="s">
        <v>659</v>
      </c>
      <c r="J1774" s="217" t="s">
        <v>1855</v>
      </c>
      <c r="K1774" s="217">
        <v>9</v>
      </c>
      <c r="L1774" s="217">
        <v>50</v>
      </c>
      <c r="M1774" s="217" t="s">
        <v>31</v>
      </c>
      <c r="N1774" s="217" t="s">
        <v>32</v>
      </c>
      <c r="O1774" s="217" t="s">
        <v>141</v>
      </c>
      <c r="P1774" s="217" t="s">
        <v>142</v>
      </c>
      <c r="Q1774" s="217" t="s">
        <v>143</v>
      </c>
      <c r="R1774" s="217" t="s">
        <v>641</v>
      </c>
      <c r="S1774" s="217" t="s">
        <v>642</v>
      </c>
      <c r="T1774" s="217" t="s">
        <v>32</v>
      </c>
      <c r="U1774" s="217" t="s">
        <v>32</v>
      </c>
      <c r="V1774" s="217" t="s">
        <v>32</v>
      </c>
      <c r="W1774" s="217" t="s">
        <v>32</v>
      </c>
    </row>
    <row r="1775" spans="1:23" x14ac:dyDescent="0.25">
      <c r="A1775" s="217" t="s">
        <v>22</v>
      </c>
      <c r="B1775" s="217" t="s">
        <v>23</v>
      </c>
      <c r="C1775" s="217" t="s">
        <v>37</v>
      </c>
      <c r="D1775" s="217" t="s">
        <v>36</v>
      </c>
      <c r="E1775" s="217" t="s">
        <v>236</v>
      </c>
      <c r="F1775" s="217" t="s">
        <v>235</v>
      </c>
      <c r="G1775" s="217" t="s">
        <v>237</v>
      </c>
      <c r="H1775" s="217" t="s">
        <v>1588</v>
      </c>
      <c r="I1775" s="217" t="s">
        <v>659</v>
      </c>
      <c r="J1775" s="217" t="s">
        <v>1856</v>
      </c>
      <c r="K1775" s="217">
        <v>8</v>
      </c>
      <c r="L1775" s="217">
        <v>45</v>
      </c>
      <c r="M1775" s="217" t="s">
        <v>31</v>
      </c>
      <c r="N1775" s="217" t="s">
        <v>32</v>
      </c>
      <c r="O1775" s="217" t="s">
        <v>141</v>
      </c>
      <c r="P1775" s="217" t="s">
        <v>142</v>
      </c>
      <c r="Q1775" s="217" t="s">
        <v>143</v>
      </c>
      <c r="R1775" s="217" t="s">
        <v>641</v>
      </c>
      <c r="S1775" s="217" t="s">
        <v>642</v>
      </c>
      <c r="T1775" s="217" t="s">
        <v>32</v>
      </c>
      <c r="U1775" s="217" t="s">
        <v>32</v>
      </c>
      <c r="V1775" s="217" t="s">
        <v>32</v>
      </c>
      <c r="W1775" s="217" t="s">
        <v>32</v>
      </c>
    </row>
    <row r="1776" spans="1:23" x14ac:dyDescent="0.25">
      <c r="A1776" s="217" t="s">
        <v>22</v>
      </c>
      <c r="B1776" s="217" t="s">
        <v>23</v>
      </c>
      <c r="C1776" s="217" t="s">
        <v>37</v>
      </c>
      <c r="D1776" s="217" t="s">
        <v>36</v>
      </c>
      <c r="E1776" s="217" t="s">
        <v>236</v>
      </c>
      <c r="F1776" s="217" t="s">
        <v>235</v>
      </c>
      <c r="G1776" s="217" t="s">
        <v>241</v>
      </c>
      <c r="H1776" s="217" t="s">
        <v>1589</v>
      </c>
      <c r="I1776" s="217" t="s">
        <v>659</v>
      </c>
      <c r="J1776" s="217" t="s">
        <v>1856</v>
      </c>
      <c r="K1776" s="217">
        <v>94</v>
      </c>
      <c r="L1776" s="217">
        <v>470</v>
      </c>
      <c r="M1776" s="217" t="s">
        <v>31</v>
      </c>
      <c r="N1776" s="217" t="s">
        <v>32</v>
      </c>
      <c r="O1776" s="217" t="s">
        <v>141</v>
      </c>
      <c r="P1776" s="217" t="s">
        <v>142</v>
      </c>
      <c r="Q1776" s="217" t="s">
        <v>143</v>
      </c>
      <c r="R1776" s="217" t="s">
        <v>641</v>
      </c>
      <c r="S1776" s="217" t="s">
        <v>642</v>
      </c>
      <c r="T1776" s="217" t="s">
        <v>32</v>
      </c>
      <c r="U1776" s="217" t="s">
        <v>32</v>
      </c>
      <c r="V1776" s="217" t="s">
        <v>32</v>
      </c>
      <c r="W1776" s="217" t="s">
        <v>32</v>
      </c>
    </row>
    <row r="1777" spans="1:23" x14ac:dyDescent="0.25">
      <c r="A1777" s="217" t="s">
        <v>22</v>
      </c>
      <c r="B1777" s="217" t="s">
        <v>23</v>
      </c>
      <c r="C1777" s="217" t="s">
        <v>37</v>
      </c>
      <c r="D1777" s="217" t="s">
        <v>36</v>
      </c>
      <c r="E1777" s="217" t="s">
        <v>236</v>
      </c>
      <c r="F1777" s="217" t="s">
        <v>235</v>
      </c>
      <c r="G1777" s="217" t="s">
        <v>241</v>
      </c>
      <c r="H1777" s="217" t="s">
        <v>1589</v>
      </c>
      <c r="I1777" s="217" t="s">
        <v>659</v>
      </c>
      <c r="J1777" s="217" t="s">
        <v>1857</v>
      </c>
      <c r="K1777" s="217">
        <v>62</v>
      </c>
      <c r="L1777" s="217">
        <v>310</v>
      </c>
      <c r="M1777" s="217" t="s">
        <v>31</v>
      </c>
      <c r="N1777" s="217" t="s">
        <v>32</v>
      </c>
      <c r="O1777" s="217" t="s">
        <v>141</v>
      </c>
      <c r="P1777" s="217" t="s">
        <v>142</v>
      </c>
      <c r="Q1777" s="217" t="s">
        <v>143</v>
      </c>
      <c r="R1777" s="217" t="s">
        <v>641</v>
      </c>
      <c r="S1777" s="217" t="s">
        <v>642</v>
      </c>
      <c r="T1777" s="217" t="s">
        <v>32</v>
      </c>
      <c r="U1777" s="217" t="s">
        <v>32</v>
      </c>
      <c r="V1777" s="217" t="s">
        <v>32</v>
      </c>
      <c r="W1777" s="217" t="s">
        <v>32</v>
      </c>
    </row>
    <row r="1778" spans="1:23" x14ac:dyDescent="0.25">
      <c r="A1778" s="217" t="s">
        <v>22</v>
      </c>
      <c r="B1778" s="217" t="s">
        <v>23</v>
      </c>
      <c r="C1778" s="217" t="s">
        <v>37</v>
      </c>
      <c r="D1778" s="217" t="s">
        <v>36</v>
      </c>
      <c r="E1778" s="217" t="s">
        <v>236</v>
      </c>
      <c r="F1778" s="217" t="s">
        <v>235</v>
      </c>
      <c r="G1778" s="217" t="s">
        <v>242</v>
      </c>
      <c r="H1778" s="217" t="s">
        <v>1404</v>
      </c>
      <c r="I1778" s="217" t="s">
        <v>659</v>
      </c>
      <c r="J1778" s="217" t="s">
        <v>1856</v>
      </c>
      <c r="K1778" s="217">
        <v>2</v>
      </c>
      <c r="L1778" s="217">
        <v>9</v>
      </c>
      <c r="M1778" s="217" t="s">
        <v>31</v>
      </c>
      <c r="N1778" s="217" t="s">
        <v>32</v>
      </c>
      <c r="O1778" s="217" t="s">
        <v>668</v>
      </c>
      <c r="P1778" s="217" t="s">
        <v>34</v>
      </c>
      <c r="Q1778" s="217" t="s">
        <v>35</v>
      </c>
      <c r="R1778" s="217" t="s">
        <v>199</v>
      </c>
      <c r="S1778" s="217" t="s">
        <v>200</v>
      </c>
      <c r="T1778" s="217" t="s">
        <v>1848</v>
      </c>
      <c r="U1778" s="217" t="s">
        <v>1849</v>
      </c>
      <c r="V1778" s="217" t="s">
        <v>32</v>
      </c>
      <c r="W1778" s="217" t="s">
        <v>32</v>
      </c>
    </row>
    <row r="1779" spans="1:23" x14ac:dyDescent="0.25">
      <c r="A1779" s="217" t="s">
        <v>22</v>
      </c>
      <c r="B1779" s="217" t="s">
        <v>23</v>
      </c>
      <c r="C1779" s="217" t="s">
        <v>37</v>
      </c>
      <c r="D1779" s="217" t="s">
        <v>36</v>
      </c>
      <c r="E1779" s="217" t="s">
        <v>236</v>
      </c>
      <c r="F1779" s="217" t="s">
        <v>235</v>
      </c>
      <c r="G1779" s="217" t="s">
        <v>242</v>
      </c>
      <c r="H1779" s="217" t="s">
        <v>1404</v>
      </c>
      <c r="I1779" s="217" t="s">
        <v>659</v>
      </c>
      <c r="J1779" s="217" t="s">
        <v>1855</v>
      </c>
      <c r="K1779" s="217">
        <v>4</v>
      </c>
      <c r="L1779" s="217">
        <v>18</v>
      </c>
      <c r="M1779" s="217" t="s">
        <v>31</v>
      </c>
      <c r="N1779" s="217" t="s">
        <v>32</v>
      </c>
      <c r="O1779" s="217" t="s">
        <v>668</v>
      </c>
      <c r="P1779" s="217" t="s">
        <v>34</v>
      </c>
      <c r="Q1779" s="217" t="s">
        <v>35</v>
      </c>
      <c r="R1779" s="217" t="s">
        <v>23</v>
      </c>
      <c r="S1779" s="217" t="s">
        <v>22</v>
      </c>
      <c r="T1779" s="217" t="s">
        <v>36</v>
      </c>
      <c r="U1779" s="217" t="s">
        <v>37</v>
      </c>
      <c r="V1779" s="217" t="s">
        <v>32</v>
      </c>
      <c r="W1779" s="217" t="s">
        <v>32</v>
      </c>
    </row>
    <row r="1780" spans="1:23" x14ac:dyDescent="0.25">
      <c r="A1780" s="217" t="s">
        <v>22</v>
      </c>
      <c r="B1780" s="217" t="s">
        <v>23</v>
      </c>
      <c r="C1780" s="217" t="s">
        <v>37</v>
      </c>
      <c r="D1780" s="217" t="s">
        <v>36</v>
      </c>
      <c r="E1780" s="217" t="s">
        <v>236</v>
      </c>
      <c r="F1780" s="217" t="s">
        <v>235</v>
      </c>
      <c r="G1780" s="217" t="s">
        <v>242</v>
      </c>
      <c r="H1780" s="217" t="s">
        <v>1404</v>
      </c>
      <c r="I1780" s="217" t="s">
        <v>659</v>
      </c>
      <c r="J1780" s="217" t="s">
        <v>1857</v>
      </c>
      <c r="K1780" s="217">
        <v>115</v>
      </c>
      <c r="L1780" s="217">
        <v>589</v>
      </c>
      <c r="M1780" s="217" t="s">
        <v>31</v>
      </c>
      <c r="N1780" s="217" t="s">
        <v>32</v>
      </c>
      <c r="O1780" s="217" t="s">
        <v>141</v>
      </c>
      <c r="P1780" s="217" t="s">
        <v>142</v>
      </c>
      <c r="Q1780" s="217" t="s">
        <v>143</v>
      </c>
      <c r="R1780" s="217" t="s">
        <v>641</v>
      </c>
      <c r="S1780" s="217" t="s">
        <v>642</v>
      </c>
      <c r="T1780" s="217" t="s">
        <v>32</v>
      </c>
      <c r="U1780" s="217" t="s">
        <v>32</v>
      </c>
      <c r="V1780" s="217" t="s">
        <v>32</v>
      </c>
      <c r="W1780" s="217" t="s">
        <v>32</v>
      </c>
    </row>
    <row r="1781" spans="1:23" x14ac:dyDescent="0.25">
      <c r="A1781" s="217" t="s">
        <v>22</v>
      </c>
      <c r="B1781" s="217" t="s">
        <v>23</v>
      </c>
      <c r="C1781" s="217" t="s">
        <v>37</v>
      </c>
      <c r="D1781" s="217" t="s">
        <v>36</v>
      </c>
      <c r="E1781" s="217" t="s">
        <v>236</v>
      </c>
      <c r="F1781" s="217" t="s">
        <v>235</v>
      </c>
      <c r="G1781" s="217" t="s">
        <v>643</v>
      </c>
      <c r="H1781" s="217" t="s">
        <v>1536</v>
      </c>
      <c r="I1781" s="217" t="s">
        <v>659</v>
      </c>
      <c r="J1781" s="217" t="s">
        <v>1855</v>
      </c>
      <c r="K1781" s="217">
        <v>10</v>
      </c>
      <c r="L1781" s="217">
        <v>50</v>
      </c>
      <c r="M1781" s="217" t="s">
        <v>31</v>
      </c>
      <c r="N1781" s="217" t="s">
        <v>32</v>
      </c>
      <c r="O1781" s="217" t="s">
        <v>141</v>
      </c>
      <c r="P1781" s="217" t="s">
        <v>142</v>
      </c>
      <c r="Q1781" s="217" t="s">
        <v>143</v>
      </c>
      <c r="R1781" s="217" t="s">
        <v>641</v>
      </c>
      <c r="S1781" s="217" t="s">
        <v>642</v>
      </c>
      <c r="T1781" s="217" t="s">
        <v>32</v>
      </c>
      <c r="U1781" s="217" t="s">
        <v>32</v>
      </c>
      <c r="V1781" s="217" t="s">
        <v>32</v>
      </c>
      <c r="W1781" s="217" t="s">
        <v>32</v>
      </c>
    </row>
    <row r="1782" spans="1:23" x14ac:dyDescent="0.25">
      <c r="A1782" s="217" t="s">
        <v>22</v>
      </c>
      <c r="B1782" s="217" t="s">
        <v>23</v>
      </c>
      <c r="C1782" s="217" t="s">
        <v>37</v>
      </c>
      <c r="D1782" s="217" t="s">
        <v>36</v>
      </c>
      <c r="E1782" s="217" t="s">
        <v>236</v>
      </c>
      <c r="F1782" s="217" t="s">
        <v>235</v>
      </c>
      <c r="G1782" s="217" t="s">
        <v>643</v>
      </c>
      <c r="H1782" s="217" t="s">
        <v>1536</v>
      </c>
      <c r="I1782" s="217" t="s">
        <v>659</v>
      </c>
      <c r="J1782" s="217" t="s">
        <v>1856</v>
      </c>
      <c r="K1782" s="217">
        <v>4</v>
      </c>
      <c r="L1782" s="217">
        <v>25</v>
      </c>
      <c r="M1782" s="217" t="s">
        <v>31</v>
      </c>
      <c r="N1782" s="217" t="s">
        <v>32</v>
      </c>
      <c r="O1782" s="217" t="s">
        <v>141</v>
      </c>
      <c r="P1782" s="217" t="s">
        <v>142</v>
      </c>
      <c r="Q1782" s="217" t="s">
        <v>143</v>
      </c>
      <c r="R1782" s="217" t="s">
        <v>641</v>
      </c>
      <c r="S1782" s="217" t="s">
        <v>642</v>
      </c>
      <c r="T1782" s="217" t="s">
        <v>32</v>
      </c>
      <c r="U1782" s="217" t="s">
        <v>32</v>
      </c>
      <c r="V1782" s="217" t="s">
        <v>32</v>
      </c>
      <c r="W1782" s="217" t="s">
        <v>32</v>
      </c>
    </row>
    <row r="1783" spans="1:23" x14ac:dyDescent="0.25">
      <c r="A1783" s="217" t="s">
        <v>22</v>
      </c>
      <c r="B1783" s="217" t="s">
        <v>23</v>
      </c>
      <c r="C1783" s="217" t="s">
        <v>37</v>
      </c>
      <c r="D1783" s="217" t="s">
        <v>36</v>
      </c>
      <c r="E1783" s="217" t="s">
        <v>540</v>
      </c>
      <c r="F1783" s="217" t="s">
        <v>541</v>
      </c>
      <c r="G1783" s="217" t="s">
        <v>542</v>
      </c>
      <c r="H1783" s="217" t="s">
        <v>1405</v>
      </c>
      <c r="I1783" s="217" t="s">
        <v>659</v>
      </c>
      <c r="J1783" s="217" t="s">
        <v>1856</v>
      </c>
      <c r="K1783" s="217">
        <v>2</v>
      </c>
      <c r="L1783" s="217">
        <v>16</v>
      </c>
      <c r="M1783" s="217" t="s">
        <v>31</v>
      </c>
      <c r="N1783" s="217" t="s">
        <v>32</v>
      </c>
      <c r="O1783" s="217" t="s">
        <v>668</v>
      </c>
      <c r="P1783" s="217" t="s">
        <v>34</v>
      </c>
      <c r="Q1783" s="217" t="s">
        <v>35</v>
      </c>
      <c r="R1783" s="217" t="s">
        <v>23</v>
      </c>
      <c r="S1783" s="217" t="s">
        <v>22</v>
      </c>
      <c r="T1783" s="217" t="s">
        <v>47</v>
      </c>
      <c r="U1783" s="217" t="s">
        <v>48</v>
      </c>
      <c r="V1783" s="217" t="s">
        <v>32</v>
      </c>
      <c r="W1783" s="217" t="s">
        <v>32</v>
      </c>
    </row>
    <row r="1784" spans="1:23" x14ac:dyDescent="0.25">
      <c r="A1784" s="217" t="s">
        <v>22</v>
      </c>
      <c r="B1784" s="217" t="s">
        <v>23</v>
      </c>
      <c r="C1784" s="217" t="s">
        <v>37</v>
      </c>
      <c r="D1784" s="217" t="s">
        <v>36</v>
      </c>
      <c r="E1784" s="217" t="s">
        <v>540</v>
      </c>
      <c r="F1784" s="217" t="s">
        <v>541</v>
      </c>
      <c r="G1784" s="217" t="s">
        <v>542</v>
      </c>
      <c r="H1784" s="217" t="s">
        <v>1405</v>
      </c>
      <c r="I1784" s="217" t="s">
        <v>659</v>
      </c>
      <c r="J1784" s="217" t="s">
        <v>1855</v>
      </c>
      <c r="K1784" s="217">
        <v>3</v>
      </c>
      <c r="L1784" s="217">
        <v>19</v>
      </c>
      <c r="M1784" s="217" t="s">
        <v>31</v>
      </c>
      <c r="N1784" s="217" t="s">
        <v>32</v>
      </c>
      <c r="O1784" s="217" t="s">
        <v>141</v>
      </c>
      <c r="P1784" s="217" t="s">
        <v>142</v>
      </c>
      <c r="Q1784" s="217" t="s">
        <v>143</v>
      </c>
      <c r="R1784" s="217" t="s">
        <v>1850</v>
      </c>
      <c r="S1784" s="217" t="s">
        <v>1851</v>
      </c>
      <c r="T1784" s="217" t="s">
        <v>32</v>
      </c>
      <c r="U1784" s="217" t="s">
        <v>32</v>
      </c>
      <c r="V1784" s="217" t="s">
        <v>32</v>
      </c>
      <c r="W1784" s="217" t="s">
        <v>32</v>
      </c>
    </row>
    <row r="1785" spans="1:23" x14ac:dyDescent="0.25">
      <c r="A1785" s="217" t="s">
        <v>22</v>
      </c>
      <c r="B1785" s="217" t="s">
        <v>23</v>
      </c>
      <c r="C1785" s="217" t="s">
        <v>37</v>
      </c>
      <c r="D1785" s="217" t="s">
        <v>36</v>
      </c>
      <c r="E1785" s="217" t="s">
        <v>540</v>
      </c>
      <c r="F1785" s="217" t="s">
        <v>541</v>
      </c>
      <c r="G1785" s="217" t="s">
        <v>543</v>
      </c>
      <c r="H1785" s="217" t="s">
        <v>1406</v>
      </c>
      <c r="I1785" s="217" t="s">
        <v>659</v>
      </c>
      <c r="J1785" s="217" t="s">
        <v>1857</v>
      </c>
      <c r="K1785" s="217">
        <v>6</v>
      </c>
      <c r="L1785" s="217">
        <v>35</v>
      </c>
      <c r="M1785" s="217" t="s">
        <v>31</v>
      </c>
      <c r="N1785" s="217" t="s">
        <v>32</v>
      </c>
      <c r="O1785" s="217" t="s">
        <v>668</v>
      </c>
      <c r="P1785" s="217" t="s">
        <v>34</v>
      </c>
      <c r="Q1785" s="217" t="s">
        <v>35</v>
      </c>
      <c r="R1785" s="217" t="s">
        <v>23</v>
      </c>
      <c r="S1785" s="217" t="s">
        <v>22</v>
      </c>
      <c r="T1785" s="217" t="s">
        <v>47</v>
      </c>
      <c r="U1785" s="217" t="s">
        <v>48</v>
      </c>
      <c r="V1785" s="217" t="s">
        <v>32</v>
      </c>
      <c r="W1785" s="217" t="s">
        <v>32</v>
      </c>
    </row>
    <row r="1786" spans="1:23" x14ac:dyDescent="0.25">
      <c r="A1786" s="217" t="s">
        <v>22</v>
      </c>
      <c r="B1786" s="217" t="s">
        <v>23</v>
      </c>
      <c r="C1786" s="217" t="s">
        <v>37</v>
      </c>
      <c r="D1786" s="217" t="s">
        <v>36</v>
      </c>
      <c r="E1786" s="217" t="s">
        <v>540</v>
      </c>
      <c r="F1786" s="217" t="s">
        <v>541</v>
      </c>
      <c r="G1786" s="217" t="s">
        <v>543</v>
      </c>
      <c r="H1786" s="217" t="s">
        <v>1406</v>
      </c>
      <c r="I1786" s="217" t="s">
        <v>659</v>
      </c>
      <c r="J1786" s="217" t="s">
        <v>1856</v>
      </c>
      <c r="K1786" s="217">
        <v>2</v>
      </c>
      <c r="L1786" s="217">
        <v>15</v>
      </c>
      <c r="M1786" s="217" t="s">
        <v>31</v>
      </c>
      <c r="N1786" s="217" t="s">
        <v>32</v>
      </c>
      <c r="O1786" s="217" t="s">
        <v>141</v>
      </c>
      <c r="P1786" s="217" t="s">
        <v>142</v>
      </c>
      <c r="Q1786" s="217" t="s">
        <v>143</v>
      </c>
      <c r="R1786" s="217" t="s">
        <v>1850</v>
      </c>
      <c r="S1786" s="217" t="s">
        <v>1851</v>
      </c>
      <c r="T1786" s="217" t="s">
        <v>32</v>
      </c>
      <c r="U1786" s="217" t="s">
        <v>32</v>
      </c>
      <c r="V1786" s="217" t="s">
        <v>32</v>
      </c>
      <c r="W1786" s="217" t="s">
        <v>32</v>
      </c>
    </row>
    <row r="1787" spans="1:23" x14ac:dyDescent="0.25">
      <c r="A1787" s="217" t="s">
        <v>22</v>
      </c>
      <c r="B1787" s="217" t="s">
        <v>23</v>
      </c>
      <c r="C1787" s="217" t="s">
        <v>37</v>
      </c>
      <c r="D1787" s="217" t="s">
        <v>36</v>
      </c>
      <c r="E1787" s="217" t="s">
        <v>540</v>
      </c>
      <c r="F1787" s="217" t="s">
        <v>541</v>
      </c>
      <c r="G1787" s="217" t="s">
        <v>543</v>
      </c>
      <c r="H1787" s="217" t="s">
        <v>1406</v>
      </c>
      <c r="I1787" s="217" t="s">
        <v>659</v>
      </c>
      <c r="J1787" s="217" t="s">
        <v>1855</v>
      </c>
      <c r="K1787" s="217">
        <v>3</v>
      </c>
      <c r="L1787" s="217">
        <v>15</v>
      </c>
      <c r="M1787" s="217" t="s">
        <v>31</v>
      </c>
      <c r="N1787" s="217" t="s">
        <v>32</v>
      </c>
      <c r="O1787" s="217" t="s">
        <v>141</v>
      </c>
      <c r="P1787" s="217" t="s">
        <v>142</v>
      </c>
      <c r="Q1787" s="217" t="s">
        <v>143</v>
      </c>
      <c r="R1787" s="217" t="s">
        <v>1540</v>
      </c>
      <c r="S1787" s="217" t="s">
        <v>1541</v>
      </c>
      <c r="T1787" s="217" t="s">
        <v>32</v>
      </c>
      <c r="U1787" s="217" t="s">
        <v>32</v>
      </c>
      <c r="V1787" s="217" t="s">
        <v>32</v>
      </c>
      <c r="W1787" s="217" t="s">
        <v>32</v>
      </c>
    </row>
    <row r="1788" spans="1:23" x14ac:dyDescent="0.25">
      <c r="A1788" s="217" t="s">
        <v>22</v>
      </c>
      <c r="B1788" s="217" t="s">
        <v>23</v>
      </c>
      <c r="C1788" s="217" t="s">
        <v>37</v>
      </c>
      <c r="D1788" s="217" t="s">
        <v>36</v>
      </c>
      <c r="E1788" s="217" t="s">
        <v>540</v>
      </c>
      <c r="F1788" s="217" t="s">
        <v>541</v>
      </c>
      <c r="G1788" s="217" t="s">
        <v>544</v>
      </c>
      <c r="H1788" s="217" t="s">
        <v>1407</v>
      </c>
      <c r="I1788" s="217" t="s">
        <v>659</v>
      </c>
      <c r="J1788" s="217" t="s">
        <v>1855</v>
      </c>
      <c r="K1788" s="217">
        <v>5</v>
      </c>
      <c r="L1788" s="217">
        <v>35</v>
      </c>
      <c r="M1788" s="217" t="s">
        <v>31</v>
      </c>
      <c r="N1788" s="217" t="s">
        <v>32</v>
      </c>
      <c r="O1788" s="217" t="s">
        <v>141</v>
      </c>
      <c r="P1788" s="217" t="s">
        <v>142</v>
      </c>
      <c r="Q1788" s="217" t="s">
        <v>143</v>
      </c>
      <c r="R1788" s="217" t="s">
        <v>2067</v>
      </c>
      <c r="S1788" s="217" t="s">
        <v>2068</v>
      </c>
      <c r="T1788" s="217" t="s">
        <v>32</v>
      </c>
      <c r="U1788" s="217" t="s">
        <v>32</v>
      </c>
      <c r="V1788" s="217" t="s">
        <v>32</v>
      </c>
      <c r="W1788" s="217" t="s">
        <v>32</v>
      </c>
    </row>
    <row r="1789" spans="1:23" x14ac:dyDescent="0.25">
      <c r="A1789" s="217" t="s">
        <v>22</v>
      </c>
      <c r="B1789" s="217" t="s">
        <v>23</v>
      </c>
      <c r="C1789" s="217" t="s">
        <v>37</v>
      </c>
      <c r="D1789" s="217" t="s">
        <v>36</v>
      </c>
      <c r="E1789" s="217" t="s">
        <v>540</v>
      </c>
      <c r="F1789" s="217" t="s">
        <v>541</v>
      </c>
      <c r="G1789" s="217" t="s">
        <v>545</v>
      </c>
      <c r="H1789" s="217" t="s">
        <v>1408</v>
      </c>
      <c r="I1789" s="217" t="s">
        <v>659</v>
      </c>
      <c r="J1789" s="217" t="s">
        <v>1855</v>
      </c>
      <c r="K1789" s="217">
        <v>4</v>
      </c>
      <c r="L1789" s="217">
        <v>30</v>
      </c>
      <c r="M1789" s="217" t="s">
        <v>31</v>
      </c>
      <c r="N1789" s="217" t="s">
        <v>32</v>
      </c>
      <c r="O1789" s="217" t="s">
        <v>668</v>
      </c>
      <c r="P1789" s="217" t="s">
        <v>34</v>
      </c>
      <c r="Q1789" s="217" t="s">
        <v>35</v>
      </c>
      <c r="R1789" s="217" t="s">
        <v>23</v>
      </c>
      <c r="S1789" s="217" t="s">
        <v>22</v>
      </c>
      <c r="T1789" s="217" t="s">
        <v>36</v>
      </c>
      <c r="U1789" s="217" t="s">
        <v>37</v>
      </c>
      <c r="V1789" s="217" t="s">
        <v>32</v>
      </c>
      <c r="W1789" s="217" t="s">
        <v>32</v>
      </c>
    </row>
    <row r="1790" spans="1:23" x14ac:dyDescent="0.25">
      <c r="A1790" s="217" t="s">
        <v>22</v>
      </c>
      <c r="B1790" s="217" t="s">
        <v>23</v>
      </c>
      <c r="C1790" s="217" t="s">
        <v>37</v>
      </c>
      <c r="D1790" s="217" t="s">
        <v>36</v>
      </c>
      <c r="E1790" s="217" t="s">
        <v>540</v>
      </c>
      <c r="F1790" s="217" t="s">
        <v>541</v>
      </c>
      <c r="G1790" s="217" t="s">
        <v>545</v>
      </c>
      <c r="H1790" s="217" t="s">
        <v>1408</v>
      </c>
      <c r="I1790" s="217" t="s">
        <v>659</v>
      </c>
      <c r="J1790" s="217" t="s">
        <v>1856</v>
      </c>
      <c r="K1790" s="217">
        <v>6</v>
      </c>
      <c r="L1790" s="217">
        <v>43</v>
      </c>
      <c r="M1790" s="217" t="s">
        <v>31</v>
      </c>
      <c r="N1790" s="217" t="s">
        <v>32</v>
      </c>
      <c r="O1790" s="217" t="s">
        <v>668</v>
      </c>
      <c r="P1790" s="217" t="s">
        <v>34</v>
      </c>
      <c r="Q1790" s="217" t="s">
        <v>35</v>
      </c>
      <c r="R1790" s="217" t="s">
        <v>23</v>
      </c>
      <c r="S1790" s="217" t="s">
        <v>22</v>
      </c>
      <c r="T1790" s="217" t="s">
        <v>36</v>
      </c>
      <c r="U1790" s="217" t="s">
        <v>37</v>
      </c>
      <c r="V1790" s="217" t="s">
        <v>32</v>
      </c>
      <c r="W1790" s="217" t="s">
        <v>32</v>
      </c>
    </row>
    <row r="1791" spans="1:23" x14ac:dyDescent="0.25">
      <c r="A1791" s="217" t="s">
        <v>22</v>
      </c>
      <c r="B1791" s="217" t="s">
        <v>23</v>
      </c>
      <c r="C1791" s="217" t="s">
        <v>37</v>
      </c>
      <c r="D1791" s="217" t="s">
        <v>36</v>
      </c>
      <c r="E1791" s="217" t="s">
        <v>540</v>
      </c>
      <c r="F1791" s="217" t="s">
        <v>541</v>
      </c>
      <c r="G1791" s="217" t="s">
        <v>545</v>
      </c>
      <c r="H1791" s="217" t="s">
        <v>1408</v>
      </c>
      <c r="I1791" s="217" t="s">
        <v>659</v>
      </c>
      <c r="J1791" s="217" t="s">
        <v>1857</v>
      </c>
      <c r="K1791" s="217">
        <v>1</v>
      </c>
      <c r="L1791" s="217">
        <v>5</v>
      </c>
      <c r="M1791" s="217" t="s">
        <v>31</v>
      </c>
      <c r="N1791" s="217" t="s">
        <v>32</v>
      </c>
      <c r="O1791" s="217" t="s">
        <v>668</v>
      </c>
      <c r="P1791" s="217" t="s">
        <v>34</v>
      </c>
      <c r="Q1791" s="217" t="s">
        <v>35</v>
      </c>
      <c r="R1791" s="217" t="s">
        <v>23</v>
      </c>
      <c r="S1791" s="217" t="s">
        <v>22</v>
      </c>
      <c r="T1791" s="217" t="s">
        <v>47</v>
      </c>
      <c r="U1791" s="217" t="s">
        <v>48</v>
      </c>
      <c r="V1791" s="217" t="s">
        <v>32</v>
      </c>
      <c r="W1791" s="217" t="s">
        <v>32</v>
      </c>
    </row>
    <row r="1792" spans="1:23" x14ac:dyDescent="0.25">
      <c r="A1792" s="217" t="s">
        <v>22</v>
      </c>
      <c r="B1792" s="217" t="s">
        <v>23</v>
      </c>
      <c r="C1792" s="217" t="s">
        <v>37</v>
      </c>
      <c r="D1792" s="217" t="s">
        <v>36</v>
      </c>
      <c r="E1792" s="217" t="s">
        <v>540</v>
      </c>
      <c r="F1792" s="217" t="s">
        <v>541</v>
      </c>
      <c r="G1792" s="217" t="s">
        <v>545</v>
      </c>
      <c r="H1792" s="217" t="s">
        <v>1408</v>
      </c>
      <c r="I1792" s="217" t="s">
        <v>659</v>
      </c>
      <c r="J1792" s="217" t="s">
        <v>1858</v>
      </c>
      <c r="K1792" s="217">
        <v>1</v>
      </c>
      <c r="L1792" s="217">
        <v>2</v>
      </c>
      <c r="M1792" s="217" t="s">
        <v>31</v>
      </c>
      <c r="N1792" s="217" t="s">
        <v>32</v>
      </c>
      <c r="O1792" s="217" t="s">
        <v>668</v>
      </c>
      <c r="P1792" s="217" t="s">
        <v>34</v>
      </c>
      <c r="Q1792" s="217" t="s">
        <v>35</v>
      </c>
      <c r="R1792" s="217" t="s">
        <v>23</v>
      </c>
      <c r="S1792" s="217" t="s">
        <v>22</v>
      </c>
      <c r="T1792" s="217" t="s">
        <v>47</v>
      </c>
      <c r="U1792" s="217" t="s">
        <v>48</v>
      </c>
      <c r="V1792" s="217" t="s">
        <v>32</v>
      </c>
      <c r="W1792" s="217" t="s">
        <v>32</v>
      </c>
    </row>
    <row r="1793" spans="1:23" x14ac:dyDescent="0.25">
      <c r="A1793" s="217" t="s">
        <v>22</v>
      </c>
      <c r="B1793" s="217" t="s">
        <v>23</v>
      </c>
      <c r="C1793" s="217" t="s">
        <v>37</v>
      </c>
      <c r="D1793" s="217" t="s">
        <v>36</v>
      </c>
      <c r="E1793" s="217" t="s">
        <v>540</v>
      </c>
      <c r="F1793" s="217" t="s">
        <v>541</v>
      </c>
      <c r="G1793" s="217" t="s">
        <v>285</v>
      </c>
      <c r="H1793" s="217" t="s">
        <v>1409</v>
      </c>
      <c r="I1793" s="217" t="s">
        <v>659</v>
      </c>
      <c r="J1793" s="217" t="s">
        <v>1858</v>
      </c>
      <c r="K1793" s="217">
        <v>1</v>
      </c>
      <c r="L1793" s="217">
        <v>3</v>
      </c>
      <c r="M1793" s="217" t="s">
        <v>31</v>
      </c>
      <c r="N1793" s="217" t="s">
        <v>32</v>
      </c>
      <c r="O1793" s="217" t="s">
        <v>141</v>
      </c>
      <c r="P1793" s="217" t="s">
        <v>142</v>
      </c>
      <c r="Q1793" s="217" t="s">
        <v>143</v>
      </c>
      <c r="R1793" s="217" t="s">
        <v>1540</v>
      </c>
      <c r="S1793" s="217" t="s">
        <v>1541</v>
      </c>
      <c r="T1793" s="217" t="s">
        <v>32</v>
      </c>
      <c r="U1793" s="217" t="s">
        <v>32</v>
      </c>
      <c r="V1793" s="217" t="s">
        <v>32</v>
      </c>
      <c r="W1793" s="217" t="s">
        <v>32</v>
      </c>
    </row>
    <row r="1794" spans="1:23" x14ac:dyDescent="0.25">
      <c r="A1794" s="217" t="s">
        <v>22</v>
      </c>
      <c r="B1794" s="217" t="s">
        <v>23</v>
      </c>
      <c r="C1794" s="217" t="s">
        <v>37</v>
      </c>
      <c r="D1794" s="217" t="s">
        <v>36</v>
      </c>
      <c r="E1794" s="217" t="s">
        <v>540</v>
      </c>
      <c r="F1794" s="217" t="s">
        <v>541</v>
      </c>
      <c r="G1794" s="217" t="s">
        <v>546</v>
      </c>
      <c r="H1794" s="217" t="s">
        <v>1410</v>
      </c>
      <c r="I1794" s="217" t="s">
        <v>659</v>
      </c>
      <c r="J1794" s="217" t="s">
        <v>1856</v>
      </c>
      <c r="K1794" s="217">
        <v>4</v>
      </c>
      <c r="L1794" s="217">
        <v>22</v>
      </c>
      <c r="M1794" s="217" t="s">
        <v>31</v>
      </c>
      <c r="N1794" s="217" t="s">
        <v>32</v>
      </c>
      <c r="O1794" s="217" t="s">
        <v>668</v>
      </c>
      <c r="P1794" s="217" t="s">
        <v>34</v>
      </c>
      <c r="Q1794" s="217" t="s">
        <v>35</v>
      </c>
      <c r="R1794" s="217" t="s">
        <v>23</v>
      </c>
      <c r="S1794" s="217" t="s">
        <v>22</v>
      </c>
      <c r="T1794" s="217" t="s">
        <v>36</v>
      </c>
      <c r="U1794" s="217" t="s">
        <v>37</v>
      </c>
      <c r="V1794" s="217" t="s">
        <v>32</v>
      </c>
      <c r="W1794" s="217" t="s">
        <v>32</v>
      </c>
    </row>
    <row r="1795" spans="1:23" x14ac:dyDescent="0.25">
      <c r="A1795" s="217" t="s">
        <v>22</v>
      </c>
      <c r="B1795" s="217" t="s">
        <v>23</v>
      </c>
      <c r="C1795" s="217" t="s">
        <v>37</v>
      </c>
      <c r="D1795" s="217" t="s">
        <v>36</v>
      </c>
      <c r="E1795" s="217" t="s">
        <v>540</v>
      </c>
      <c r="F1795" s="217" t="s">
        <v>541</v>
      </c>
      <c r="G1795" s="217" t="s">
        <v>546</v>
      </c>
      <c r="H1795" s="217" t="s">
        <v>1410</v>
      </c>
      <c r="I1795" s="217" t="s">
        <v>659</v>
      </c>
      <c r="J1795" s="217" t="s">
        <v>1857</v>
      </c>
      <c r="K1795" s="217">
        <v>2</v>
      </c>
      <c r="L1795" s="217">
        <v>13</v>
      </c>
      <c r="M1795" s="217" t="s">
        <v>31</v>
      </c>
      <c r="N1795" s="217" t="s">
        <v>32</v>
      </c>
      <c r="O1795" s="217" t="s">
        <v>668</v>
      </c>
      <c r="P1795" s="217" t="s">
        <v>34</v>
      </c>
      <c r="Q1795" s="217" t="s">
        <v>35</v>
      </c>
      <c r="R1795" s="217" t="s">
        <v>23</v>
      </c>
      <c r="S1795" s="217" t="s">
        <v>22</v>
      </c>
      <c r="T1795" s="217" t="s">
        <v>47</v>
      </c>
      <c r="U1795" s="217" t="s">
        <v>48</v>
      </c>
      <c r="V1795" s="217" t="s">
        <v>32</v>
      </c>
      <c r="W1795" s="217" t="s">
        <v>32</v>
      </c>
    </row>
    <row r="1796" spans="1:23" x14ac:dyDescent="0.25">
      <c r="A1796" s="217" t="s">
        <v>22</v>
      </c>
      <c r="B1796" s="217" t="s">
        <v>23</v>
      </c>
      <c r="C1796" s="217" t="s">
        <v>37</v>
      </c>
      <c r="D1796" s="217" t="s">
        <v>36</v>
      </c>
      <c r="E1796" s="217" t="s">
        <v>547</v>
      </c>
      <c r="F1796" s="217" t="s">
        <v>548</v>
      </c>
      <c r="G1796" s="217" t="s">
        <v>549</v>
      </c>
      <c r="H1796" s="217" t="s">
        <v>1411</v>
      </c>
      <c r="I1796" s="217" t="s">
        <v>659</v>
      </c>
      <c r="J1796" s="217" t="s">
        <v>1858</v>
      </c>
      <c r="K1796" s="217">
        <v>13</v>
      </c>
      <c r="L1796" s="217">
        <v>42</v>
      </c>
      <c r="M1796" s="217" t="s">
        <v>31</v>
      </c>
      <c r="N1796" s="217" t="s">
        <v>32</v>
      </c>
      <c r="O1796" s="217" t="s">
        <v>668</v>
      </c>
      <c r="P1796" s="217" t="s">
        <v>34</v>
      </c>
      <c r="Q1796" s="217" t="s">
        <v>35</v>
      </c>
      <c r="R1796" s="217" t="s">
        <v>23</v>
      </c>
      <c r="S1796" s="217" t="s">
        <v>22</v>
      </c>
      <c r="T1796" s="217" t="s">
        <v>36</v>
      </c>
      <c r="U1796" s="217" t="s">
        <v>37</v>
      </c>
      <c r="V1796" s="217" t="s">
        <v>32</v>
      </c>
      <c r="W1796" s="217" t="s">
        <v>32</v>
      </c>
    </row>
    <row r="1797" spans="1:23" x14ac:dyDescent="0.25">
      <c r="A1797" s="217" t="s">
        <v>22</v>
      </c>
      <c r="B1797" s="217" t="s">
        <v>23</v>
      </c>
      <c r="C1797" s="217" t="s">
        <v>37</v>
      </c>
      <c r="D1797" s="217" t="s">
        <v>36</v>
      </c>
      <c r="E1797" s="217" t="s">
        <v>547</v>
      </c>
      <c r="F1797" s="217" t="s">
        <v>548</v>
      </c>
      <c r="G1797" s="217" t="s">
        <v>550</v>
      </c>
      <c r="H1797" s="217" t="s">
        <v>1412</v>
      </c>
      <c r="I1797" s="217" t="s">
        <v>659</v>
      </c>
      <c r="J1797" s="217" t="s">
        <v>1858</v>
      </c>
      <c r="K1797" s="217">
        <v>11</v>
      </c>
      <c r="L1797" s="217">
        <v>62</v>
      </c>
      <c r="M1797" s="217" t="s">
        <v>31</v>
      </c>
      <c r="N1797" s="217" t="s">
        <v>32</v>
      </c>
      <c r="O1797" s="217" t="s">
        <v>668</v>
      </c>
      <c r="P1797" s="217" t="s">
        <v>34</v>
      </c>
      <c r="Q1797" s="217" t="s">
        <v>35</v>
      </c>
      <c r="R1797" s="217" t="s">
        <v>23</v>
      </c>
      <c r="S1797" s="217" t="s">
        <v>22</v>
      </c>
      <c r="T1797" s="217" t="s">
        <v>36</v>
      </c>
      <c r="U1797" s="217" t="s">
        <v>37</v>
      </c>
      <c r="V1797" s="217" t="s">
        <v>32</v>
      </c>
      <c r="W1797" s="217" t="s">
        <v>32</v>
      </c>
    </row>
    <row r="1798" spans="1:23" x14ac:dyDescent="0.25">
      <c r="A1798" s="217" t="s">
        <v>22</v>
      </c>
      <c r="B1798" s="217" t="s">
        <v>23</v>
      </c>
      <c r="C1798" s="217" t="s">
        <v>37</v>
      </c>
      <c r="D1798" s="217" t="s">
        <v>36</v>
      </c>
      <c r="E1798" s="217" t="s">
        <v>547</v>
      </c>
      <c r="F1798" s="217" t="s">
        <v>548</v>
      </c>
      <c r="G1798" s="217" t="s">
        <v>551</v>
      </c>
      <c r="H1798" s="217" t="s">
        <v>1413</v>
      </c>
      <c r="I1798" s="217" t="s">
        <v>659</v>
      </c>
      <c r="J1798" s="217" t="s">
        <v>1858</v>
      </c>
      <c r="K1798" s="217">
        <v>6</v>
      </c>
      <c r="L1798" s="217">
        <v>48</v>
      </c>
      <c r="M1798" s="217" t="s">
        <v>31</v>
      </c>
      <c r="N1798" s="217" t="s">
        <v>32</v>
      </c>
      <c r="O1798" s="217" t="s">
        <v>668</v>
      </c>
      <c r="P1798" s="217" t="s">
        <v>34</v>
      </c>
      <c r="Q1798" s="217" t="s">
        <v>35</v>
      </c>
      <c r="R1798" s="217" t="s">
        <v>23</v>
      </c>
      <c r="S1798" s="217" t="s">
        <v>22</v>
      </c>
      <c r="T1798" s="217" t="s">
        <v>36</v>
      </c>
      <c r="U1798" s="217" t="s">
        <v>37</v>
      </c>
      <c r="V1798" s="217" t="s">
        <v>32</v>
      </c>
      <c r="W1798" s="217" t="s">
        <v>32</v>
      </c>
    </row>
    <row r="1799" spans="1:23" x14ac:dyDescent="0.25">
      <c r="A1799" s="217" t="s">
        <v>22</v>
      </c>
      <c r="B1799" s="217" t="s">
        <v>23</v>
      </c>
      <c r="C1799" s="217" t="s">
        <v>37</v>
      </c>
      <c r="D1799" s="217" t="s">
        <v>36</v>
      </c>
      <c r="E1799" s="217" t="s">
        <v>547</v>
      </c>
      <c r="F1799" s="217" t="s">
        <v>548</v>
      </c>
      <c r="G1799" s="217" t="s">
        <v>552</v>
      </c>
      <c r="H1799" s="217" t="s">
        <v>1414</v>
      </c>
      <c r="I1799" s="217" t="s">
        <v>659</v>
      </c>
      <c r="J1799" s="217" t="s">
        <v>1858</v>
      </c>
      <c r="K1799" s="217">
        <v>4</v>
      </c>
      <c r="L1799" s="217">
        <v>18</v>
      </c>
      <c r="M1799" s="217" t="s">
        <v>31</v>
      </c>
      <c r="N1799" s="217" t="s">
        <v>32</v>
      </c>
      <c r="O1799" s="217" t="s">
        <v>668</v>
      </c>
      <c r="P1799" s="217" t="s">
        <v>34</v>
      </c>
      <c r="Q1799" s="217" t="s">
        <v>35</v>
      </c>
      <c r="R1799" s="217" t="s">
        <v>23</v>
      </c>
      <c r="S1799" s="217" t="s">
        <v>22</v>
      </c>
      <c r="T1799" s="217" t="s">
        <v>36</v>
      </c>
      <c r="U1799" s="217" t="s">
        <v>37</v>
      </c>
      <c r="V1799" s="217" t="s">
        <v>32</v>
      </c>
      <c r="W1799" s="217" t="s">
        <v>32</v>
      </c>
    </row>
    <row r="1800" spans="1:23" x14ac:dyDescent="0.25">
      <c r="A1800" s="217" t="s">
        <v>22</v>
      </c>
      <c r="B1800" s="217" t="s">
        <v>23</v>
      </c>
      <c r="C1800" s="217" t="s">
        <v>37</v>
      </c>
      <c r="D1800" s="217" t="s">
        <v>36</v>
      </c>
      <c r="E1800" s="217" t="s">
        <v>547</v>
      </c>
      <c r="F1800" s="217" t="s">
        <v>548</v>
      </c>
      <c r="G1800" s="217" t="s">
        <v>553</v>
      </c>
      <c r="H1800" s="217" t="s">
        <v>1415</v>
      </c>
      <c r="I1800" s="217" t="s">
        <v>659</v>
      </c>
      <c r="J1800" s="217" t="s">
        <v>1858</v>
      </c>
      <c r="K1800" s="217">
        <v>18</v>
      </c>
      <c r="L1800" s="217">
        <v>121</v>
      </c>
      <c r="M1800" s="217" t="s">
        <v>31</v>
      </c>
      <c r="N1800" s="217" t="s">
        <v>32</v>
      </c>
      <c r="O1800" s="217" t="s">
        <v>668</v>
      </c>
      <c r="P1800" s="217" t="s">
        <v>34</v>
      </c>
      <c r="Q1800" s="217" t="s">
        <v>35</v>
      </c>
      <c r="R1800" s="217" t="s">
        <v>23</v>
      </c>
      <c r="S1800" s="217" t="s">
        <v>22</v>
      </c>
      <c r="T1800" s="217" t="s">
        <v>47</v>
      </c>
      <c r="U1800" s="217" t="s">
        <v>48</v>
      </c>
      <c r="V1800" s="217" t="s">
        <v>32</v>
      </c>
      <c r="W1800" s="217" t="s">
        <v>32</v>
      </c>
    </row>
    <row r="1801" spans="1:23" x14ac:dyDescent="0.25">
      <c r="A1801" s="217" t="s">
        <v>22</v>
      </c>
      <c r="B1801" s="217" t="s">
        <v>23</v>
      </c>
      <c r="C1801" s="217" t="s">
        <v>37</v>
      </c>
      <c r="D1801" s="217" t="s">
        <v>36</v>
      </c>
      <c r="E1801" s="217" t="s">
        <v>547</v>
      </c>
      <c r="F1801" s="217" t="s">
        <v>548</v>
      </c>
      <c r="G1801" s="217" t="s">
        <v>555</v>
      </c>
      <c r="H1801" s="217" t="s">
        <v>1417</v>
      </c>
      <c r="I1801" s="217" t="s">
        <v>659</v>
      </c>
      <c r="J1801" s="217" t="s">
        <v>1858</v>
      </c>
      <c r="K1801" s="217">
        <v>20</v>
      </c>
      <c r="L1801" s="217">
        <v>58</v>
      </c>
      <c r="M1801" s="217" t="s">
        <v>31</v>
      </c>
      <c r="N1801" s="217" t="s">
        <v>32</v>
      </c>
      <c r="O1801" s="217" t="s">
        <v>668</v>
      </c>
      <c r="P1801" s="217" t="s">
        <v>34</v>
      </c>
      <c r="Q1801" s="217" t="s">
        <v>35</v>
      </c>
      <c r="R1801" s="217" t="s">
        <v>2063</v>
      </c>
      <c r="S1801" s="217" t="s">
        <v>2064</v>
      </c>
      <c r="T1801" s="217" t="s">
        <v>36</v>
      </c>
      <c r="U1801" s="217" t="s">
        <v>37</v>
      </c>
      <c r="V1801" s="217" t="s">
        <v>32</v>
      </c>
      <c r="W1801" s="217" t="s">
        <v>32</v>
      </c>
    </row>
    <row r="1802" spans="1:23" x14ac:dyDescent="0.25">
      <c r="A1802" s="217" t="s">
        <v>22</v>
      </c>
      <c r="B1802" s="217" t="s">
        <v>23</v>
      </c>
      <c r="C1802" s="217" t="s">
        <v>37</v>
      </c>
      <c r="D1802" s="217" t="s">
        <v>36</v>
      </c>
      <c r="E1802" s="217" t="s">
        <v>547</v>
      </c>
      <c r="F1802" s="217" t="s">
        <v>548</v>
      </c>
      <c r="G1802" s="217" t="s">
        <v>556</v>
      </c>
      <c r="H1802" s="217" t="s">
        <v>1418</v>
      </c>
      <c r="I1802" s="217" t="s">
        <v>659</v>
      </c>
      <c r="J1802" s="217" t="s">
        <v>1858</v>
      </c>
      <c r="K1802" s="217">
        <v>16</v>
      </c>
      <c r="L1802" s="217">
        <v>58</v>
      </c>
      <c r="M1802" s="217" t="s">
        <v>31</v>
      </c>
      <c r="N1802" s="217" t="s">
        <v>32</v>
      </c>
      <c r="O1802" s="217" t="s">
        <v>668</v>
      </c>
      <c r="P1802" s="217" t="s">
        <v>34</v>
      </c>
      <c r="Q1802" s="217" t="s">
        <v>35</v>
      </c>
      <c r="R1802" s="217" t="s">
        <v>23</v>
      </c>
      <c r="S1802" s="217" t="s">
        <v>22</v>
      </c>
      <c r="T1802" s="217" t="s">
        <v>36</v>
      </c>
      <c r="U1802" s="217" t="s">
        <v>37</v>
      </c>
      <c r="V1802" s="217" t="s">
        <v>32</v>
      </c>
      <c r="W1802" s="217" t="s">
        <v>32</v>
      </c>
    </row>
    <row r="1803" spans="1:23" x14ac:dyDescent="0.25">
      <c r="A1803" s="217" t="s">
        <v>22</v>
      </c>
      <c r="B1803" s="217" t="s">
        <v>23</v>
      </c>
      <c r="C1803" s="217" t="s">
        <v>37</v>
      </c>
      <c r="D1803" s="217" t="s">
        <v>36</v>
      </c>
      <c r="E1803" s="217" t="s">
        <v>547</v>
      </c>
      <c r="F1803" s="217" t="s">
        <v>548</v>
      </c>
      <c r="G1803" s="217" t="s">
        <v>557</v>
      </c>
      <c r="H1803" s="217" t="s">
        <v>1419</v>
      </c>
      <c r="I1803" s="217" t="s">
        <v>659</v>
      </c>
      <c r="J1803" s="217" t="s">
        <v>1858</v>
      </c>
      <c r="K1803" s="217">
        <v>4</v>
      </c>
      <c r="L1803" s="217">
        <v>28</v>
      </c>
      <c r="M1803" s="217" t="s">
        <v>31</v>
      </c>
      <c r="N1803" s="217" t="s">
        <v>32</v>
      </c>
      <c r="O1803" s="217" t="s">
        <v>668</v>
      </c>
      <c r="P1803" s="217" t="s">
        <v>34</v>
      </c>
      <c r="Q1803" s="217" t="s">
        <v>35</v>
      </c>
      <c r="R1803" s="217" t="s">
        <v>23</v>
      </c>
      <c r="S1803" s="217" t="s">
        <v>22</v>
      </c>
      <c r="T1803" s="217" t="s">
        <v>36</v>
      </c>
      <c r="U1803" s="217" t="s">
        <v>37</v>
      </c>
      <c r="V1803" s="217" t="s">
        <v>32</v>
      </c>
      <c r="W1803" s="217" t="s">
        <v>32</v>
      </c>
    </row>
    <row r="1804" spans="1:23" x14ac:dyDescent="0.25">
      <c r="A1804" s="217" t="s">
        <v>22</v>
      </c>
      <c r="B1804" s="217" t="s">
        <v>23</v>
      </c>
      <c r="C1804" s="217" t="s">
        <v>37</v>
      </c>
      <c r="D1804" s="217" t="s">
        <v>36</v>
      </c>
      <c r="E1804" s="217" t="s">
        <v>547</v>
      </c>
      <c r="F1804" s="217" t="s">
        <v>548</v>
      </c>
      <c r="G1804" s="217" t="s">
        <v>845</v>
      </c>
      <c r="H1804" s="217" t="s">
        <v>1840</v>
      </c>
      <c r="I1804" s="217" t="s">
        <v>659</v>
      </c>
      <c r="J1804" s="217" t="s">
        <v>1858</v>
      </c>
      <c r="K1804" s="217">
        <v>15</v>
      </c>
      <c r="L1804" s="217">
        <v>82</v>
      </c>
      <c r="M1804" s="217" t="s">
        <v>31</v>
      </c>
      <c r="N1804" s="217" t="s">
        <v>32</v>
      </c>
      <c r="O1804" s="217" t="s">
        <v>668</v>
      </c>
      <c r="P1804" s="217" t="s">
        <v>34</v>
      </c>
      <c r="Q1804" s="217" t="s">
        <v>35</v>
      </c>
      <c r="R1804" s="217" t="s">
        <v>23</v>
      </c>
      <c r="S1804" s="217" t="s">
        <v>22</v>
      </c>
      <c r="T1804" s="217" t="s">
        <v>47</v>
      </c>
      <c r="U1804" s="217" t="s">
        <v>48</v>
      </c>
      <c r="V1804" s="217" t="s">
        <v>32</v>
      </c>
      <c r="W1804" s="217" t="s">
        <v>32</v>
      </c>
    </row>
    <row r="1805" spans="1:23" x14ac:dyDescent="0.25">
      <c r="A1805" s="217" t="s">
        <v>22</v>
      </c>
      <c r="B1805" s="217" t="s">
        <v>23</v>
      </c>
      <c r="C1805" s="217" t="s">
        <v>37</v>
      </c>
      <c r="D1805" s="217" t="s">
        <v>36</v>
      </c>
      <c r="E1805" s="217" t="s">
        <v>547</v>
      </c>
      <c r="F1805" s="217" t="s">
        <v>548</v>
      </c>
      <c r="G1805" s="217" t="s">
        <v>558</v>
      </c>
      <c r="H1805" s="217" t="s">
        <v>1420</v>
      </c>
      <c r="I1805" s="217" t="s">
        <v>659</v>
      </c>
      <c r="J1805" s="217" t="s">
        <v>1858</v>
      </c>
      <c r="K1805" s="217">
        <v>6</v>
      </c>
      <c r="L1805" s="217">
        <v>48</v>
      </c>
      <c r="M1805" s="217" t="s">
        <v>31</v>
      </c>
      <c r="N1805" s="217" t="s">
        <v>32</v>
      </c>
      <c r="O1805" s="217" t="s">
        <v>668</v>
      </c>
      <c r="P1805" s="217" t="s">
        <v>34</v>
      </c>
      <c r="Q1805" s="217" t="s">
        <v>35</v>
      </c>
      <c r="R1805" s="217" t="s">
        <v>23</v>
      </c>
      <c r="S1805" s="217" t="s">
        <v>22</v>
      </c>
      <c r="T1805" s="217" t="s">
        <v>36</v>
      </c>
      <c r="U1805" s="217" t="s">
        <v>37</v>
      </c>
      <c r="V1805" s="217" t="s">
        <v>32</v>
      </c>
      <c r="W1805" s="217" t="s">
        <v>32</v>
      </c>
    </row>
    <row r="1806" spans="1:23" x14ac:dyDescent="0.25">
      <c r="A1806" s="217" t="s">
        <v>22</v>
      </c>
      <c r="B1806" s="217" t="s">
        <v>23</v>
      </c>
      <c r="C1806" s="217" t="s">
        <v>37</v>
      </c>
      <c r="D1806" s="217" t="s">
        <v>36</v>
      </c>
      <c r="E1806" s="217" t="s">
        <v>547</v>
      </c>
      <c r="F1806" s="217" t="s">
        <v>548</v>
      </c>
      <c r="G1806" s="217" t="s">
        <v>559</v>
      </c>
      <c r="H1806" s="217" t="s">
        <v>1421</v>
      </c>
      <c r="I1806" s="217" t="s">
        <v>659</v>
      </c>
      <c r="J1806" s="217" t="s">
        <v>1858</v>
      </c>
      <c r="K1806" s="217">
        <v>12</v>
      </c>
      <c r="L1806" s="217">
        <v>79</v>
      </c>
      <c r="M1806" s="217" t="s">
        <v>31</v>
      </c>
      <c r="N1806" s="217" t="s">
        <v>32</v>
      </c>
      <c r="O1806" s="217" t="s">
        <v>668</v>
      </c>
      <c r="P1806" s="217" t="s">
        <v>34</v>
      </c>
      <c r="Q1806" s="217" t="s">
        <v>35</v>
      </c>
      <c r="R1806" s="217" t="s">
        <v>23</v>
      </c>
      <c r="S1806" s="217" t="s">
        <v>22</v>
      </c>
      <c r="T1806" s="217" t="s">
        <v>36</v>
      </c>
      <c r="U1806" s="217" t="s">
        <v>37</v>
      </c>
      <c r="V1806" s="217" t="s">
        <v>32</v>
      </c>
      <c r="W1806" s="217" t="s">
        <v>32</v>
      </c>
    </row>
    <row r="1807" spans="1:23" x14ac:dyDescent="0.25">
      <c r="A1807" s="217" t="s">
        <v>22</v>
      </c>
      <c r="B1807" s="217" t="s">
        <v>23</v>
      </c>
      <c r="C1807" s="217" t="s">
        <v>37</v>
      </c>
      <c r="D1807" s="217" t="s">
        <v>36</v>
      </c>
      <c r="E1807" s="217" t="s">
        <v>547</v>
      </c>
      <c r="F1807" s="217" t="s">
        <v>548</v>
      </c>
      <c r="G1807" s="217" t="s">
        <v>561</v>
      </c>
      <c r="H1807" s="217" t="s">
        <v>1423</v>
      </c>
      <c r="I1807" s="217" t="s">
        <v>659</v>
      </c>
      <c r="J1807" s="217" t="s">
        <v>1858</v>
      </c>
      <c r="K1807" s="217">
        <v>6</v>
      </c>
      <c r="L1807" s="217">
        <v>32</v>
      </c>
      <c r="M1807" s="217" t="s">
        <v>31</v>
      </c>
      <c r="N1807" s="217" t="s">
        <v>32</v>
      </c>
      <c r="O1807" s="217" t="s">
        <v>668</v>
      </c>
      <c r="P1807" s="217" t="s">
        <v>34</v>
      </c>
      <c r="Q1807" s="217" t="s">
        <v>35</v>
      </c>
      <c r="R1807" s="217" t="s">
        <v>23</v>
      </c>
      <c r="S1807" s="217" t="s">
        <v>22</v>
      </c>
      <c r="T1807" s="217" t="s">
        <v>36</v>
      </c>
      <c r="U1807" s="217" t="s">
        <v>37</v>
      </c>
      <c r="V1807" s="217" t="s">
        <v>32</v>
      </c>
      <c r="W1807" s="217" t="s">
        <v>32</v>
      </c>
    </row>
    <row r="1808" spans="1:23" x14ac:dyDescent="0.25">
      <c r="A1808" s="217" t="s">
        <v>22</v>
      </c>
      <c r="B1808" s="217" t="s">
        <v>23</v>
      </c>
      <c r="C1808" s="217" t="s">
        <v>37</v>
      </c>
      <c r="D1808" s="217" t="s">
        <v>36</v>
      </c>
      <c r="E1808" s="217" t="s">
        <v>547</v>
      </c>
      <c r="F1808" s="217" t="s">
        <v>548</v>
      </c>
      <c r="G1808" s="217" t="s">
        <v>562</v>
      </c>
      <c r="H1808" s="217" t="s">
        <v>1424</v>
      </c>
      <c r="I1808" s="217" t="s">
        <v>659</v>
      </c>
      <c r="J1808" s="217" t="s">
        <v>1859</v>
      </c>
      <c r="K1808" s="217">
        <v>11</v>
      </c>
      <c r="L1808" s="217">
        <v>69</v>
      </c>
      <c r="M1808" s="217" t="s">
        <v>31</v>
      </c>
      <c r="N1808" s="217" t="s">
        <v>32</v>
      </c>
      <c r="O1808" s="217" t="s">
        <v>668</v>
      </c>
      <c r="P1808" s="217" t="s">
        <v>34</v>
      </c>
      <c r="Q1808" s="217" t="s">
        <v>35</v>
      </c>
      <c r="R1808" s="217" t="s">
        <v>1976</v>
      </c>
      <c r="S1808" s="217" t="s">
        <v>1977</v>
      </c>
      <c r="T1808" s="217" t="s">
        <v>36</v>
      </c>
      <c r="U1808" s="217" t="s">
        <v>37</v>
      </c>
      <c r="V1808" s="217" t="s">
        <v>32</v>
      </c>
      <c r="W1808" s="217" t="s">
        <v>32</v>
      </c>
    </row>
    <row r="1809" spans="1:23" x14ac:dyDescent="0.25">
      <c r="A1809" s="217" t="s">
        <v>22</v>
      </c>
      <c r="B1809" s="217" t="s">
        <v>23</v>
      </c>
      <c r="C1809" s="217" t="s">
        <v>37</v>
      </c>
      <c r="D1809" s="217" t="s">
        <v>36</v>
      </c>
      <c r="E1809" s="217" t="s">
        <v>547</v>
      </c>
      <c r="F1809" s="217" t="s">
        <v>548</v>
      </c>
      <c r="G1809" s="217" t="s">
        <v>563</v>
      </c>
      <c r="H1809" s="217" t="s">
        <v>1425</v>
      </c>
      <c r="I1809" s="217" t="s">
        <v>659</v>
      </c>
      <c r="J1809" s="217" t="s">
        <v>1858</v>
      </c>
      <c r="K1809" s="217">
        <v>12</v>
      </c>
      <c r="L1809" s="217">
        <v>80</v>
      </c>
      <c r="M1809" s="217" t="s">
        <v>31</v>
      </c>
      <c r="N1809" s="217" t="s">
        <v>32</v>
      </c>
      <c r="O1809" s="217" t="s">
        <v>668</v>
      </c>
      <c r="P1809" s="217" t="s">
        <v>34</v>
      </c>
      <c r="Q1809" s="217" t="s">
        <v>35</v>
      </c>
      <c r="R1809" s="217" t="s">
        <v>23</v>
      </c>
      <c r="S1809" s="217" t="s">
        <v>22</v>
      </c>
      <c r="T1809" s="217" t="s">
        <v>36</v>
      </c>
      <c r="U1809" s="217" t="s">
        <v>37</v>
      </c>
      <c r="V1809" s="217" t="s">
        <v>32</v>
      </c>
      <c r="W1809" s="217" t="s">
        <v>32</v>
      </c>
    </row>
    <row r="1810" spans="1:23" x14ac:dyDescent="0.25">
      <c r="A1810" s="217" t="s">
        <v>22</v>
      </c>
      <c r="B1810" s="217" t="s">
        <v>23</v>
      </c>
      <c r="C1810" s="217" t="s">
        <v>37</v>
      </c>
      <c r="D1810" s="217" t="s">
        <v>36</v>
      </c>
      <c r="E1810" s="217" t="s">
        <v>547</v>
      </c>
      <c r="F1810" s="217" t="s">
        <v>548</v>
      </c>
      <c r="G1810" s="217" t="s">
        <v>2036</v>
      </c>
      <c r="H1810" s="217" t="s">
        <v>2035</v>
      </c>
      <c r="I1810" s="217" t="s">
        <v>659</v>
      </c>
      <c r="J1810" s="217" t="s">
        <v>1855</v>
      </c>
      <c r="K1810" s="217">
        <v>4</v>
      </c>
      <c r="L1810" s="217">
        <v>17</v>
      </c>
      <c r="M1810" s="217" t="s">
        <v>31</v>
      </c>
      <c r="N1810" s="217" t="s">
        <v>32</v>
      </c>
      <c r="O1810" s="217" t="s">
        <v>668</v>
      </c>
      <c r="P1810" s="217" t="s">
        <v>34</v>
      </c>
      <c r="Q1810" s="217" t="s">
        <v>35</v>
      </c>
      <c r="R1810" s="217" t="s">
        <v>23</v>
      </c>
      <c r="S1810" s="217" t="s">
        <v>22</v>
      </c>
      <c r="T1810" s="217" t="s">
        <v>36</v>
      </c>
      <c r="U1810" s="217" t="s">
        <v>37</v>
      </c>
      <c r="V1810" s="217" t="s">
        <v>32</v>
      </c>
      <c r="W1810" s="217" t="s">
        <v>32</v>
      </c>
    </row>
    <row r="1811" spans="1:23" x14ac:dyDescent="0.25">
      <c r="A1811" s="217" t="s">
        <v>22</v>
      </c>
      <c r="B1811" s="217" t="s">
        <v>23</v>
      </c>
      <c r="C1811" s="217" t="s">
        <v>37</v>
      </c>
      <c r="D1811" s="217" t="s">
        <v>36</v>
      </c>
      <c r="E1811" s="217" t="s">
        <v>547</v>
      </c>
      <c r="F1811" s="217" t="s">
        <v>548</v>
      </c>
      <c r="G1811" s="217" t="s">
        <v>2036</v>
      </c>
      <c r="H1811" s="217" t="s">
        <v>2035</v>
      </c>
      <c r="I1811" s="217" t="s">
        <v>659</v>
      </c>
      <c r="J1811" s="217" t="s">
        <v>1856</v>
      </c>
      <c r="K1811" s="217">
        <v>6</v>
      </c>
      <c r="L1811" s="217">
        <v>29</v>
      </c>
      <c r="M1811" s="217" t="s">
        <v>31</v>
      </c>
      <c r="N1811" s="217" t="s">
        <v>32</v>
      </c>
      <c r="O1811" s="217" t="s">
        <v>668</v>
      </c>
      <c r="P1811" s="217" t="s">
        <v>34</v>
      </c>
      <c r="Q1811" s="217" t="s">
        <v>35</v>
      </c>
      <c r="R1811" s="217" t="s">
        <v>23</v>
      </c>
      <c r="S1811" s="217" t="s">
        <v>22</v>
      </c>
      <c r="T1811" s="217" t="s">
        <v>36</v>
      </c>
      <c r="U1811" s="217" t="s">
        <v>37</v>
      </c>
      <c r="V1811" s="217" t="s">
        <v>32</v>
      </c>
      <c r="W1811" s="217" t="s">
        <v>32</v>
      </c>
    </row>
    <row r="1812" spans="1:23" x14ac:dyDescent="0.25">
      <c r="A1812" s="217" t="s">
        <v>22</v>
      </c>
      <c r="B1812" s="217" t="s">
        <v>23</v>
      </c>
      <c r="C1812" s="217" t="s">
        <v>37</v>
      </c>
      <c r="D1812" s="217" t="s">
        <v>36</v>
      </c>
      <c r="E1812" s="217" t="s">
        <v>547</v>
      </c>
      <c r="F1812" s="217" t="s">
        <v>548</v>
      </c>
      <c r="G1812" s="217" t="s">
        <v>2036</v>
      </c>
      <c r="H1812" s="217" t="s">
        <v>2035</v>
      </c>
      <c r="I1812" s="217" t="s">
        <v>659</v>
      </c>
      <c r="J1812" s="217" t="s">
        <v>1857</v>
      </c>
      <c r="K1812" s="217">
        <v>8</v>
      </c>
      <c r="L1812" s="217">
        <v>38</v>
      </c>
      <c r="M1812" s="217" t="s">
        <v>31</v>
      </c>
      <c r="N1812" s="217" t="s">
        <v>32</v>
      </c>
      <c r="O1812" s="217" t="s">
        <v>668</v>
      </c>
      <c r="P1812" s="217" t="s">
        <v>34</v>
      </c>
      <c r="Q1812" s="217" t="s">
        <v>35</v>
      </c>
      <c r="R1812" s="217" t="s">
        <v>23</v>
      </c>
      <c r="S1812" s="217" t="s">
        <v>22</v>
      </c>
      <c r="T1812" s="217" t="s">
        <v>36</v>
      </c>
      <c r="U1812" s="217" t="s">
        <v>37</v>
      </c>
      <c r="V1812" s="217" t="s">
        <v>32</v>
      </c>
      <c r="W1812" s="217" t="s">
        <v>32</v>
      </c>
    </row>
    <row r="1813" spans="1:23" x14ac:dyDescent="0.25">
      <c r="A1813" s="217" t="s">
        <v>22</v>
      </c>
      <c r="B1813" s="217" t="s">
        <v>23</v>
      </c>
      <c r="C1813" s="217" t="s">
        <v>37</v>
      </c>
      <c r="D1813" s="217" t="s">
        <v>36</v>
      </c>
      <c r="E1813" s="217" t="s">
        <v>547</v>
      </c>
      <c r="F1813" s="217" t="s">
        <v>548</v>
      </c>
      <c r="G1813" s="217" t="s">
        <v>565</v>
      </c>
      <c r="H1813" s="217" t="s">
        <v>1427</v>
      </c>
      <c r="I1813" s="217" t="s">
        <v>659</v>
      </c>
      <c r="J1813" s="217" t="s">
        <v>1858</v>
      </c>
      <c r="K1813" s="217">
        <v>23</v>
      </c>
      <c r="L1813" s="217">
        <v>115</v>
      </c>
      <c r="M1813" s="217" t="s">
        <v>31</v>
      </c>
      <c r="N1813" s="217" t="s">
        <v>32</v>
      </c>
      <c r="O1813" s="217" t="s">
        <v>668</v>
      </c>
      <c r="P1813" s="217" t="s">
        <v>34</v>
      </c>
      <c r="Q1813" s="217" t="s">
        <v>35</v>
      </c>
      <c r="R1813" s="217" t="s">
        <v>23</v>
      </c>
      <c r="S1813" s="217" t="s">
        <v>22</v>
      </c>
      <c r="T1813" s="217" t="s">
        <v>36</v>
      </c>
      <c r="U1813" s="217" t="s">
        <v>37</v>
      </c>
      <c r="V1813" s="217" t="s">
        <v>32</v>
      </c>
      <c r="W1813" s="217" t="s">
        <v>32</v>
      </c>
    </row>
    <row r="1814" spans="1:23" x14ac:dyDescent="0.25">
      <c r="A1814" s="217" t="s">
        <v>22</v>
      </c>
      <c r="B1814" s="217" t="s">
        <v>23</v>
      </c>
      <c r="C1814" s="217" t="s">
        <v>37</v>
      </c>
      <c r="D1814" s="217" t="s">
        <v>36</v>
      </c>
      <c r="E1814" s="217" t="s">
        <v>547</v>
      </c>
      <c r="F1814" s="217" t="s">
        <v>548</v>
      </c>
      <c r="G1814" s="217" t="s">
        <v>242</v>
      </c>
      <c r="H1814" s="217" t="s">
        <v>1428</v>
      </c>
      <c r="I1814" s="217" t="s">
        <v>659</v>
      </c>
      <c r="J1814" s="217" t="s">
        <v>1858</v>
      </c>
      <c r="K1814" s="217">
        <v>5</v>
      </c>
      <c r="L1814" s="217">
        <v>32</v>
      </c>
      <c r="M1814" s="217" t="s">
        <v>31</v>
      </c>
      <c r="N1814" s="217" t="s">
        <v>32</v>
      </c>
      <c r="O1814" s="217" t="s">
        <v>668</v>
      </c>
      <c r="P1814" s="217" t="s">
        <v>34</v>
      </c>
      <c r="Q1814" s="217" t="s">
        <v>35</v>
      </c>
      <c r="R1814" s="217" t="s">
        <v>2063</v>
      </c>
      <c r="S1814" s="217" t="s">
        <v>2064</v>
      </c>
      <c r="T1814" s="217" t="s">
        <v>36</v>
      </c>
      <c r="U1814" s="217" t="s">
        <v>37</v>
      </c>
      <c r="V1814" s="217" t="s">
        <v>32</v>
      </c>
      <c r="W1814" s="217" t="s">
        <v>32</v>
      </c>
    </row>
    <row r="1815" spans="1:23" x14ac:dyDescent="0.25">
      <c r="A1815" s="217" t="s">
        <v>22</v>
      </c>
      <c r="B1815" s="217" t="s">
        <v>23</v>
      </c>
      <c r="C1815" s="217" t="s">
        <v>37</v>
      </c>
      <c r="D1815" s="217" t="s">
        <v>36</v>
      </c>
      <c r="E1815" s="217" t="s">
        <v>547</v>
      </c>
      <c r="F1815" s="217" t="s">
        <v>548</v>
      </c>
      <c r="G1815" s="217" t="s">
        <v>566</v>
      </c>
      <c r="H1815" s="217" t="s">
        <v>1429</v>
      </c>
      <c r="I1815" s="217" t="s">
        <v>659</v>
      </c>
      <c r="J1815" s="217" t="s">
        <v>1858</v>
      </c>
      <c r="K1815" s="217">
        <v>12</v>
      </c>
      <c r="L1815" s="217">
        <v>67</v>
      </c>
      <c r="M1815" s="217" t="s">
        <v>31</v>
      </c>
      <c r="N1815" s="217" t="s">
        <v>32</v>
      </c>
      <c r="O1815" s="217" t="s">
        <v>668</v>
      </c>
      <c r="P1815" s="217" t="s">
        <v>34</v>
      </c>
      <c r="Q1815" s="217" t="s">
        <v>35</v>
      </c>
      <c r="R1815" s="217" t="s">
        <v>23</v>
      </c>
      <c r="S1815" s="217" t="s">
        <v>22</v>
      </c>
      <c r="T1815" s="217" t="s">
        <v>47</v>
      </c>
      <c r="U1815" s="217" t="s">
        <v>48</v>
      </c>
      <c r="V1815" s="217" t="s">
        <v>32</v>
      </c>
      <c r="W1815" s="217" t="s">
        <v>32</v>
      </c>
    </row>
    <row r="1816" spans="1:23" x14ac:dyDescent="0.25">
      <c r="A1816" s="217" t="s">
        <v>22</v>
      </c>
      <c r="B1816" s="217" t="s">
        <v>23</v>
      </c>
      <c r="C1816" s="217" t="s">
        <v>37</v>
      </c>
      <c r="D1816" s="217" t="s">
        <v>36</v>
      </c>
      <c r="E1816" s="217" t="s">
        <v>547</v>
      </c>
      <c r="F1816" s="217" t="s">
        <v>548</v>
      </c>
      <c r="G1816" s="217" t="s">
        <v>567</v>
      </c>
      <c r="H1816" s="217" t="s">
        <v>1430</v>
      </c>
      <c r="I1816" s="217" t="s">
        <v>659</v>
      </c>
      <c r="J1816" s="217" t="s">
        <v>1858</v>
      </c>
      <c r="K1816" s="217">
        <v>7</v>
      </c>
      <c r="L1816" s="217">
        <v>43</v>
      </c>
      <c r="M1816" s="217" t="s">
        <v>31</v>
      </c>
      <c r="N1816" s="217" t="s">
        <v>32</v>
      </c>
      <c r="O1816" s="217" t="s">
        <v>668</v>
      </c>
      <c r="P1816" s="217" t="s">
        <v>34</v>
      </c>
      <c r="Q1816" s="217" t="s">
        <v>35</v>
      </c>
      <c r="R1816" s="217" t="s">
        <v>23</v>
      </c>
      <c r="S1816" s="217" t="s">
        <v>22</v>
      </c>
      <c r="T1816" s="217" t="s">
        <v>36</v>
      </c>
      <c r="U1816" s="217" t="s">
        <v>37</v>
      </c>
      <c r="V1816" s="217" t="s">
        <v>32</v>
      </c>
      <c r="W1816" s="217" t="s">
        <v>32</v>
      </c>
    </row>
    <row r="1817" spans="1:23" x14ac:dyDescent="0.25">
      <c r="A1817" s="217" t="s">
        <v>22</v>
      </c>
      <c r="B1817" s="217" t="s">
        <v>23</v>
      </c>
      <c r="C1817" s="217" t="s">
        <v>37</v>
      </c>
      <c r="D1817" s="217" t="s">
        <v>36</v>
      </c>
      <c r="E1817" s="217" t="s">
        <v>547</v>
      </c>
      <c r="F1817" s="217" t="s">
        <v>548</v>
      </c>
      <c r="G1817" s="217" t="s">
        <v>599</v>
      </c>
      <c r="H1817" s="217" t="s">
        <v>1431</v>
      </c>
      <c r="I1817" s="217" t="s">
        <v>659</v>
      </c>
      <c r="J1817" s="217" t="s">
        <v>1858</v>
      </c>
      <c r="K1817" s="217">
        <v>29</v>
      </c>
      <c r="L1817" s="217">
        <v>193</v>
      </c>
      <c r="M1817" s="217" t="s">
        <v>31</v>
      </c>
      <c r="N1817" s="217" t="s">
        <v>32</v>
      </c>
      <c r="O1817" s="217" t="s">
        <v>668</v>
      </c>
      <c r="P1817" s="217" t="s">
        <v>34</v>
      </c>
      <c r="Q1817" s="217" t="s">
        <v>35</v>
      </c>
      <c r="R1817" s="217" t="s">
        <v>23</v>
      </c>
      <c r="S1817" s="217" t="s">
        <v>22</v>
      </c>
      <c r="T1817" s="217" t="s">
        <v>47</v>
      </c>
      <c r="U1817" s="217" t="s">
        <v>48</v>
      </c>
      <c r="V1817" s="217" t="s">
        <v>32</v>
      </c>
      <c r="W1817" s="217" t="s">
        <v>32</v>
      </c>
    </row>
    <row r="1818" spans="1:23" x14ac:dyDescent="0.25">
      <c r="A1818" s="217" t="s">
        <v>22</v>
      </c>
      <c r="B1818" s="217" t="s">
        <v>23</v>
      </c>
      <c r="C1818" s="217" t="s">
        <v>37</v>
      </c>
      <c r="D1818" s="217" t="s">
        <v>36</v>
      </c>
      <c r="E1818" s="217" t="s">
        <v>547</v>
      </c>
      <c r="F1818" s="217" t="s">
        <v>548</v>
      </c>
      <c r="G1818" s="217" t="s">
        <v>568</v>
      </c>
      <c r="H1818" s="217" t="s">
        <v>1432</v>
      </c>
      <c r="I1818" s="217" t="s">
        <v>659</v>
      </c>
      <c r="J1818" s="217" t="s">
        <v>1858</v>
      </c>
      <c r="K1818" s="217">
        <v>8</v>
      </c>
      <c r="L1818" s="217">
        <v>48</v>
      </c>
      <c r="M1818" s="217" t="s">
        <v>31</v>
      </c>
      <c r="N1818" s="217" t="s">
        <v>32</v>
      </c>
      <c r="O1818" s="217" t="s">
        <v>668</v>
      </c>
      <c r="P1818" s="217" t="s">
        <v>34</v>
      </c>
      <c r="Q1818" s="217" t="s">
        <v>35</v>
      </c>
      <c r="R1818" s="217" t="s">
        <v>23</v>
      </c>
      <c r="S1818" s="217" t="s">
        <v>22</v>
      </c>
      <c r="T1818" s="217" t="s">
        <v>36</v>
      </c>
      <c r="U1818" s="217" t="s">
        <v>37</v>
      </c>
      <c r="V1818" s="217" t="s">
        <v>32</v>
      </c>
      <c r="W1818" s="217" t="s">
        <v>32</v>
      </c>
    </row>
    <row r="1819" spans="1:23" x14ac:dyDescent="0.25">
      <c r="A1819" s="217" t="s">
        <v>22</v>
      </c>
      <c r="B1819" s="217" t="s">
        <v>23</v>
      </c>
      <c r="C1819" s="217" t="s">
        <v>37</v>
      </c>
      <c r="D1819" s="217" t="s">
        <v>36</v>
      </c>
      <c r="E1819" s="217" t="s">
        <v>547</v>
      </c>
      <c r="F1819" s="217" t="s">
        <v>548</v>
      </c>
      <c r="G1819" s="217" t="s">
        <v>569</v>
      </c>
      <c r="H1819" s="217" t="s">
        <v>1433</v>
      </c>
      <c r="I1819" s="217" t="s">
        <v>659</v>
      </c>
      <c r="J1819" s="217" t="s">
        <v>1858</v>
      </c>
      <c r="K1819" s="217">
        <v>21</v>
      </c>
      <c r="L1819" s="217">
        <v>142</v>
      </c>
      <c r="M1819" s="217" t="s">
        <v>31</v>
      </c>
      <c r="N1819" s="217" t="s">
        <v>32</v>
      </c>
      <c r="O1819" s="217" t="s">
        <v>668</v>
      </c>
      <c r="P1819" s="217" t="s">
        <v>34</v>
      </c>
      <c r="Q1819" s="217" t="s">
        <v>35</v>
      </c>
      <c r="R1819" s="217" t="s">
        <v>23</v>
      </c>
      <c r="S1819" s="217" t="s">
        <v>22</v>
      </c>
      <c r="T1819" s="217" t="s">
        <v>47</v>
      </c>
      <c r="U1819" s="217" t="s">
        <v>48</v>
      </c>
      <c r="V1819" s="217" t="s">
        <v>32</v>
      </c>
      <c r="W1819" s="217" t="s">
        <v>32</v>
      </c>
    </row>
    <row r="1820" spans="1:23" x14ac:dyDescent="0.25">
      <c r="A1820" s="217" t="s">
        <v>22</v>
      </c>
      <c r="B1820" s="217" t="s">
        <v>23</v>
      </c>
      <c r="C1820" s="217" t="s">
        <v>37</v>
      </c>
      <c r="D1820" s="217" t="s">
        <v>36</v>
      </c>
      <c r="E1820" s="217" t="s">
        <v>547</v>
      </c>
      <c r="F1820" s="217" t="s">
        <v>548</v>
      </c>
      <c r="G1820" s="217" t="s">
        <v>571</v>
      </c>
      <c r="H1820" s="217" t="s">
        <v>1435</v>
      </c>
      <c r="I1820" s="217" t="s">
        <v>659</v>
      </c>
      <c r="J1820" s="217" t="s">
        <v>1858</v>
      </c>
      <c r="K1820" s="217">
        <v>53</v>
      </c>
      <c r="L1820" s="217">
        <v>284</v>
      </c>
      <c r="M1820" s="217" t="s">
        <v>31</v>
      </c>
      <c r="N1820" s="217" t="s">
        <v>32</v>
      </c>
      <c r="O1820" s="217" t="s">
        <v>668</v>
      </c>
      <c r="P1820" s="217" t="s">
        <v>34</v>
      </c>
      <c r="Q1820" s="217" t="s">
        <v>35</v>
      </c>
      <c r="R1820" s="217" t="s">
        <v>23</v>
      </c>
      <c r="S1820" s="217" t="s">
        <v>22</v>
      </c>
      <c r="T1820" s="217" t="s">
        <v>36</v>
      </c>
      <c r="U1820" s="217" t="s">
        <v>37</v>
      </c>
      <c r="V1820" s="217" t="s">
        <v>32</v>
      </c>
      <c r="W1820" s="217" t="s">
        <v>32</v>
      </c>
    </row>
    <row r="1821" spans="1:23" x14ac:dyDescent="0.25">
      <c r="A1821" s="217" t="s">
        <v>22</v>
      </c>
      <c r="B1821" s="217" t="s">
        <v>23</v>
      </c>
      <c r="C1821" s="217" t="s">
        <v>37</v>
      </c>
      <c r="D1821" s="217" t="s">
        <v>36</v>
      </c>
      <c r="E1821" s="217" t="s">
        <v>547</v>
      </c>
      <c r="F1821" s="217" t="s">
        <v>548</v>
      </c>
      <c r="G1821" s="217" t="s">
        <v>572</v>
      </c>
      <c r="H1821" s="217" t="s">
        <v>1436</v>
      </c>
      <c r="I1821" s="217" t="s">
        <v>659</v>
      </c>
      <c r="J1821" s="217" t="s">
        <v>1859</v>
      </c>
      <c r="K1821" s="217">
        <v>18</v>
      </c>
      <c r="L1821" s="217">
        <v>135</v>
      </c>
      <c r="M1821" s="217" t="s">
        <v>31</v>
      </c>
      <c r="N1821" s="217" t="s">
        <v>32</v>
      </c>
      <c r="O1821" s="217" t="s">
        <v>668</v>
      </c>
      <c r="P1821" s="217" t="s">
        <v>34</v>
      </c>
      <c r="Q1821" s="217" t="s">
        <v>35</v>
      </c>
      <c r="R1821" s="217" t="s">
        <v>23</v>
      </c>
      <c r="S1821" s="217" t="s">
        <v>22</v>
      </c>
      <c r="T1821" s="217" t="s">
        <v>36</v>
      </c>
      <c r="U1821" s="217" t="s">
        <v>37</v>
      </c>
      <c r="V1821" s="217" t="s">
        <v>32</v>
      </c>
      <c r="W1821" s="217" t="s">
        <v>32</v>
      </c>
    </row>
    <row r="1822" spans="1:23" x14ac:dyDescent="0.25">
      <c r="A1822" s="217" t="s">
        <v>22</v>
      </c>
      <c r="B1822" s="217" t="s">
        <v>23</v>
      </c>
      <c r="C1822" s="217" t="s">
        <v>37</v>
      </c>
      <c r="D1822" s="217" t="s">
        <v>36</v>
      </c>
      <c r="E1822" s="217" t="s">
        <v>547</v>
      </c>
      <c r="F1822" s="217" t="s">
        <v>548</v>
      </c>
      <c r="G1822" s="217" t="s">
        <v>573</v>
      </c>
      <c r="H1822" s="217" t="s">
        <v>1437</v>
      </c>
      <c r="I1822" s="217" t="s">
        <v>659</v>
      </c>
      <c r="J1822" s="217" t="s">
        <v>1858</v>
      </c>
      <c r="K1822" s="217">
        <v>13</v>
      </c>
      <c r="L1822" s="217">
        <v>62</v>
      </c>
      <c r="M1822" s="217" t="s">
        <v>31</v>
      </c>
      <c r="N1822" s="217" t="s">
        <v>32</v>
      </c>
      <c r="O1822" s="217" t="s">
        <v>668</v>
      </c>
      <c r="P1822" s="217" t="s">
        <v>34</v>
      </c>
      <c r="Q1822" s="217" t="s">
        <v>35</v>
      </c>
      <c r="R1822" s="217" t="s">
        <v>23</v>
      </c>
      <c r="S1822" s="217" t="s">
        <v>22</v>
      </c>
      <c r="T1822" s="217" t="s">
        <v>36</v>
      </c>
      <c r="U1822" s="217" t="s">
        <v>37</v>
      </c>
      <c r="V1822" s="217" t="s">
        <v>32</v>
      </c>
      <c r="W1822" s="217" t="s">
        <v>32</v>
      </c>
    </row>
    <row r="1823" spans="1:23" x14ac:dyDescent="0.25">
      <c r="A1823" s="217" t="s">
        <v>22</v>
      </c>
      <c r="B1823" s="217" t="s">
        <v>23</v>
      </c>
      <c r="C1823" s="217" t="s">
        <v>37</v>
      </c>
      <c r="D1823" s="217" t="s">
        <v>36</v>
      </c>
      <c r="E1823" s="217" t="s">
        <v>547</v>
      </c>
      <c r="F1823" s="217" t="s">
        <v>548</v>
      </c>
      <c r="G1823" s="217" t="s">
        <v>574</v>
      </c>
      <c r="H1823" s="217" t="s">
        <v>1438</v>
      </c>
      <c r="I1823" s="217" t="s">
        <v>659</v>
      </c>
      <c r="J1823" s="217" t="s">
        <v>1858</v>
      </c>
      <c r="K1823" s="217">
        <v>16</v>
      </c>
      <c r="L1823" s="217">
        <v>109</v>
      </c>
      <c r="M1823" s="217" t="s">
        <v>31</v>
      </c>
      <c r="N1823" s="217" t="s">
        <v>32</v>
      </c>
      <c r="O1823" s="217" t="s">
        <v>668</v>
      </c>
      <c r="P1823" s="217" t="s">
        <v>34</v>
      </c>
      <c r="Q1823" s="217" t="s">
        <v>35</v>
      </c>
      <c r="R1823" s="217" t="s">
        <v>2063</v>
      </c>
      <c r="S1823" s="217" t="s">
        <v>2064</v>
      </c>
      <c r="T1823" s="217" t="s">
        <v>36</v>
      </c>
      <c r="U1823" s="217" t="s">
        <v>37</v>
      </c>
      <c r="V1823" s="217" t="s">
        <v>32</v>
      </c>
      <c r="W1823" s="217" t="s">
        <v>32</v>
      </c>
    </row>
    <row r="1824" spans="1:23" x14ac:dyDescent="0.25">
      <c r="A1824" s="217" t="s">
        <v>22</v>
      </c>
      <c r="B1824" s="217" t="s">
        <v>23</v>
      </c>
      <c r="C1824" s="217" t="s">
        <v>37</v>
      </c>
      <c r="D1824" s="217" t="s">
        <v>36</v>
      </c>
      <c r="E1824" s="217" t="s">
        <v>547</v>
      </c>
      <c r="F1824" s="217" t="s">
        <v>548</v>
      </c>
      <c r="G1824" s="217" t="s">
        <v>575</v>
      </c>
      <c r="H1824" s="217" t="s">
        <v>1439</v>
      </c>
      <c r="I1824" s="217" t="s">
        <v>659</v>
      </c>
      <c r="J1824" s="217" t="s">
        <v>1858</v>
      </c>
      <c r="K1824" s="217">
        <v>6</v>
      </c>
      <c r="L1824" s="217">
        <v>32</v>
      </c>
      <c r="M1824" s="217" t="s">
        <v>31</v>
      </c>
      <c r="N1824" s="217" t="s">
        <v>32</v>
      </c>
      <c r="O1824" s="217" t="s">
        <v>668</v>
      </c>
      <c r="P1824" s="217" t="s">
        <v>34</v>
      </c>
      <c r="Q1824" s="217" t="s">
        <v>35</v>
      </c>
      <c r="R1824" s="217" t="s">
        <v>23</v>
      </c>
      <c r="S1824" s="217" t="s">
        <v>22</v>
      </c>
      <c r="T1824" s="217" t="s">
        <v>36</v>
      </c>
      <c r="U1824" s="217" t="s">
        <v>37</v>
      </c>
      <c r="V1824" s="217" t="s">
        <v>32</v>
      </c>
      <c r="W1824" s="217" t="s">
        <v>32</v>
      </c>
    </row>
    <row r="1825" spans="1:23" x14ac:dyDescent="0.25">
      <c r="A1825" s="217" t="s">
        <v>22</v>
      </c>
      <c r="B1825" s="217" t="s">
        <v>23</v>
      </c>
      <c r="C1825" s="217" t="s">
        <v>37</v>
      </c>
      <c r="D1825" s="217" t="s">
        <v>36</v>
      </c>
      <c r="E1825" s="217" t="s">
        <v>547</v>
      </c>
      <c r="F1825" s="217" t="s">
        <v>548</v>
      </c>
      <c r="G1825" s="217" t="s">
        <v>2041</v>
      </c>
      <c r="H1825" s="217" t="s">
        <v>2040</v>
      </c>
      <c r="I1825" s="217" t="s">
        <v>659</v>
      </c>
      <c r="J1825" s="217" t="s">
        <v>1857</v>
      </c>
      <c r="K1825" s="217">
        <v>2</v>
      </c>
      <c r="L1825" s="217">
        <v>11</v>
      </c>
      <c r="M1825" s="217" t="s">
        <v>31</v>
      </c>
      <c r="N1825" s="217" t="s">
        <v>32</v>
      </c>
      <c r="O1825" s="217" t="s">
        <v>668</v>
      </c>
      <c r="P1825" s="217" t="s">
        <v>34</v>
      </c>
      <c r="Q1825" s="217" t="s">
        <v>35</v>
      </c>
      <c r="R1825" s="217" t="s">
        <v>23</v>
      </c>
      <c r="S1825" s="217" t="s">
        <v>22</v>
      </c>
      <c r="T1825" s="217" t="s">
        <v>36</v>
      </c>
      <c r="U1825" s="217" t="s">
        <v>37</v>
      </c>
      <c r="V1825" s="217" t="s">
        <v>32</v>
      </c>
      <c r="W1825" s="217" t="s">
        <v>32</v>
      </c>
    </row>
    <row r="1826" spans="1:23" x14ac:dyDescent="0.25">
      <c r="A1826" s="217" t="s">
        <v>22</v>
      </c>
      <c r="B1826" s="217" t="s">
        <v>23</v>
      </c>
      <c r="C1826" s="217" t="s">
        <v>37</v>
      </c>
      <c r="D1826" s="217" t="s">
        <v>36</v>
      </c>
      <c r="E1826" s="217" t="s">
        <v>244</v>
      </c>
      <c r="F1826" s="217" t="s">
        <v>243</v>
      </c>
      <c r="G1826" s="217" t="s">
        <v>644</v>
      </c>
      <c r="H1826" s="217" t="s">
        <v>1537</v>
      </c>
      <c r="I1826" s="217" t="s">
        <v>659</v>
      </c>
      <c r="J1826" s="217" t="s">
        <v>1856</v>
      </c>
      <c r="K1826" s="217">
        <v>2</v>
      </c>
      <c r="L1826" s="217">
        <v>8</v>
      </c>
      <c r="M1826" s="217" t="s">
        <v>31</v>
      </c>
      <c r="N1826" s="217" t="s">
        <v>32</v>
      </c>
      <c r="O1826" s="217" t="s">
        <v>668</v>
      </c>
      <c r="P1826" s="217" t="s">
        <v>34</v>
      </c>
      <c r="Q1826" s="217" t="s">
        <v>35</v>
      </c>
      <c r="R1826" s="217" t="s">
        <v>23</v>
      </c>
      <c r="S1826" s="217" t="s">
        <v>22</v>
      </c>
      <c r="T1826" s="217" t="s">
        <v>36</v>
      </c>
      <c r="U1826" s="217" t="s">
        <v>37</v>
      </c>
      <c r="V1826" s="217" t="s">
        <v>32</v>
      </c>
      <c r="W1826" s="217" t="s">
        <v>32</v>
      </c>
    </row>
    <row r="1827" spans="1:23" x14ac:dyDescent="0.25">
      <c r="A1827" s="217" t="s">
        <v>22</v>
      </c>
      <c r="B1827" s="217" t="s">
        <v>23</v>
      </c>
      <c r="C1827" s="217" t="s">
        <v>37</v>
      </c>
      <c r="D1827" s="217" t="s">
        <v>36</v>
      </c>
      <c r="E1827" s="217" t="s">
        <v>244</v>
      </c>
      <c r="F1827" s="217" t="s">
        <v>243</v>
      </c>
      <c r="G1827" s="217" t="s">
        <v>645</v>
      </c>
      <c r="H1827" s="217" t="s">
        <v>1538</v>
      </c>
      <c r="I1827" s="217" t="s">
        <v>659</v>
      </c>
      <c r="J1827" s="217" t="s">
        <v>1855</v>
      </c>
      <c r="K1827" s="217">
        <v>7</v>
      </c>
      <c r="L1827" s="217">
        <v>39</v>
      </c>
      <c r="M1827" s="217" t="s">
        <v>31</v>
      </c>
      <c r="N1827" s="217" t="s">
        <v>32</v>
      </c>
      <c r="O1827" s="217" t="s">
        <v>141</v>
      </c>
      <c r="P1827" s="217" t="s">
        <v>142</v>
      </c>
      <c r="Q1827" s="217" t="s">
        <v>143</v>
      </c>
      <c r="R1827" s="217" t="s">
        <v>641</v>
      </c>
      <c r="S1827" s="217" t="s">
        <v>642</v>
      </c>
      <c r="T1827" s="217" t="s">
        <v>32</v>
      </c>
      <c r="U1827" s="217" t="s">
        <v>32</v>
      </c>
      <c r="V1827" s="217" t="s">
        <v>32</v>
      </c>
      <c r="W1827" s="217" t="s">
        <v>32</v>
      </c>
    </row>
    <row r="1828" spans="1:23" x14ac:dyDescent="0.25">
      <c r="A1828" s="217" t="s">
        <v>22</v>
      </c>
      <c r="B1828" s="217" t="s">
        <v>23</v>
      </c>
      <c r="C1828" s="217" t="s">
        <v>37</v>
      </c>
      <c r="D1828" s="217" t="s">
        <v>36</v>
      </c>
      <c r="E1828" s="217" t="s">
        <v>244</v>
      </c>
      <c r="F1828" s="217" t="s">
        <v>243</v>
      </c>
      <c r="G1828" s="217" t="s">
        <v>645</v>
      </c>
      <c r="H1828" s="217" t="s">
        <v>1538</v>
      </c>
      <c r="I1828" s="217" t="s">
        <v>659</v>
      </c>
      <c r="J1828" s="217" t="s">
        <v>1856</v>
      </c>
      <c r="K1828" s="217">
        <v>6</v>
      </c>
      <c r="L1828" s="217">
        <v>34</v>
      </c>
      <c r="M1828" s="217" t="s">
        <v>31</v>
      </c>
      <c r="N1828" s="217" t="s">
        <v>32</v>
      </c>
      <c r="O1828" s="217" t="s">
        <v>141</v>
      </c>
      <c r="P1828" s="217" t="s">
        <v>142</v>
      </c>
      <c r="Q1828" s="217" t="s">
        <v>143</v>
      </c>
      <c r="R1828" s="217" t="s">
        <v>641</v>
      </c>
      <c r="S1828" s="217" t="s">
        <v>642</v>
      </c>
      <c r="T1828" s="217" t="s">
        <v>32</v>
      </c>
      <c r="U1828" s="217" t="s">
        <v>32</v>
      </c>
      <c r="V1828" s="217" t="s">
        <v>32</v>
      </c>
      <c r="W1828" s="217" t="s">
        <v>32</v>
      </c>
    </row>
    <row r="1829" spans="1:23" x14ac:dyDescent="0.25">
      <c r="A1829" s="217" t="s">
        <v>22</v>
      </c>
      <c r="B1829" s="217" t="s">
        <v>23</v>
      </c>
      <c r="C1829" s="217" t="s">
        <v>37</v>
      </c>
      <c r="D1829" s="217" t="s">
        <v>36</v>
      </c>
      <c r="E1829" s="217" t="s">
        <v>244</v>
      </c>
      <c r="F1829" s="217" t="s">
        <v>243</v>
      </c>
      <c r="G1829" s="217" t="s">
        <v>646</v>
      </c>
      <c r="H1829" s="217" t="s">
        <v>1539</v>
      </c>
      <c r="I1829" s="217" t="s">
        <v>659</v>
      </c>
      <c r="J1829" s="217" t="s">
        <v>1855</v>
      </c>
      <c r="K1829" s="217">
        <v>2</v>
      </c>
      <c r="L1829" s="217">
        <v>13</v>
      </c>
      <c r="M1829" s="217" t="s">
        <v>31</v>
      </c>
      <c r="N1829" s="217" t="s">
        <v>32</v>
      </c>
      <c r="O1829" s="217" t="s">
        <v>668</v>
      </c>
      <c r="P1829" s="217" t="s">
        <v>34</v>
      </c>
      <c r="Q1829" s="217" t="s">
        <v>35</v>
      </c>
      <c r="R1829" s="217" t="s">
        <v>23</v>
      </c>
      <c r="S1829" s="217" t="s">
        <v>22</v>
      </c>
      <c r="T1829" s="217" t="s">
        <v>36</v>
      </c>
      <c r="U1829" s="217" t="s">
        <v>37</v>
      </c>
      <c r="V1829" s="217" t="s">
        <v>32</v>
      </c>
      <c r="W1829" s="217" t="s">
        <v>32</v>
      </c>
    </row>
    <row r="1830" spans="1:23" x14ac:dyDescent="0.25">
      <c r="A1830" s="217" t="s">
        <v>22</v>
      </c>
      <c r="B1830" s="217" t="s">
        <v>23</v>
      </c>
      <c r="C1830" s="217" t="s">
        <v>37</v>
      </c>
      <c r="D1830" s="217" t="s">
        <v>36</v>
      </c>
      <c r="E1830" s="217" t="s">
        <v>244</v>
      </c>
      <c r="F1830" s="217" t="s">
        <v>243</v>
      </c>
      <c r="G1830" s="217" t="s">
        <v>646</v>
      </c>
      <c r="H1830" s="217" t="s">
        <v>1539</v>
      </c>
      <c r="I1830" s="217" t="s">
        <v>659</v>
      </c>
      <c r="J1830" s="217" t="s">
        <v>1856</v>
      </c>
      <c r="K1830" s="217">
        <v>3</v>
      </c>
      <c r="L1830" s="217">
        <v>17</v>
      </c>
      <c r="M1830" s="217" t="s">
        <v>31</v>
      </c>
      <c r="N1830" s="217" t="s">
        <v>32</v>
      </c>
      <c r="O1830" s="217" t="s">
        <v>668</v>
      </c>
      <c r="P1830" s="217" t="s">
        <v>34</v>
      </c>
      <c r="Q1830" s="217" t="s">
        <v>35</v>
      </c>
      <c r="R1830" s="217" t="s">
        <v>23</v>
      </c>
      <c r="S1830" s="217" t="s">
        <v>22</v>
      </c>
      <c r="T1830" s="217" t="s">
        <v>36</v>
      </c>
      <c r="U1830" s="217" t="s">
        <v>37</v>
      </c>
      <c r="V1830" s="217" t="s">
        <v>32</v>
      </c>
      <c r="W1830" s="217" t="s">
        <v>32</v>
      </c>
    </row>
    <row r="1831" spans="1:23" x14ac:dyDescent="0.25">
      <c r="A1831" s="217" t="s">
        <v>22</v>
      </c>
      <c r="B1831" s="217" t="s">
        <v>23</v>
      </c>
      <c r="C1831" s="217" t="s">
        <v>37</v>
      </c>
      <c r="D1831" s="217" t="s">
        <v>36</v>
      </c>
      <c r="E1831" s="217" t="s">
        <v>244</v>
      </c>
      <c r="F1831" s="217" t="s">
        <v>243</v>
      </c>
      <c r="G1831" s="217" t="s">
        <v>245</v>
      </c>
      <c r="H1831" s="217" t="s">
        <v>1543</v>
      </c>
      <c r="I1831" s="217" t="s">
        <v>659</v>
      </c>
      <c r="J1831" s="217" t="s">
        <v>1855</v>
      </c>
      <c r="K1831" s="217">
        <v>20</v>
      </c>
      <c r="L1831" s="217">
        <v>90</v>
      </c>
      <c r="M1831" s="217" t="s">
        <v>31</v>
      </c>
      <c r="N1831" s="217" t="s">
        <v>32</v>
      </c>
      <c r="O1831" s="217" t="s">
        <v>141</v>
      </c>
      <c r="P1831" s="217" t="s">
        <v>142</v>
      </c>
      <c r="Q1831" s="217" t="s">
        <v>143</v>
      </c>
      <c r="R1831" s="217" t="s">
        <v>641</v>
      </c>
      <c r="S1831" s="217" t="s">
        <v>642</v>
      </c>
      <c r="T1831" s="217" t="s">
        <v>32</v>
      </c>
      <c r="U1831" s="217" t="s">
        <v>32</v>
      </c>
      <c r="V1831" s="217" t="s">
        <v>32</v>
      </c>
      <c r="W1831" s="217" t="s">
        <v>32</v>
      </c>
    </row>
    <row r="1832" spans="1:23" x14ac:dyDescent="0.25">
      <c r="A1832" s="217" t="s">
        <v>22</v>
      </c>
      <c r="B1832" s="217" t="s">
        <v>23</v>
      </c>
      <c r="C1832" s="217" t="s">
        <v>37</v>
      </c>
      <c r="D1832" s="217" t="s">
        <v>36</v>
      </c>
      <c r="E1832" s="217" t="s">
        <v>244</v>
      </c>
      <c r="F1832" s="217" t="s">
        <v>243</v>
      </c>
      <c r="G1832" s="217" t="s">
        <v>245</v>
      </c>
      <c r="H1832" s="217" t="s">
        <v>1543</v>
      </c>
      <c r="I1832" s="217" t="s">
        <v>659</v>
      </c>
      <c r="J1832" s="217" t="s">
        <v>1856</v>
      </c>
      <c r="K1832" s="217">
        <v>30</v>
      </c>
      <c r="L1832" s="217">
        <v>210</v>
      </c>
      <c r="M1832" s="217" t="s">
        <v>31</v>
      </c>
      <c r="N1832" s="217" t="s">
        <v>32</v>
      </c>
      <c r="O1832" s="217" t="s">
        <v>141</v>
      </c>
      <c r="P1832" s="217" t="s">
        <v>142</v>
      </c>
      <c r="Q1832" s="217" t="s">
        <v>143</v>
      </c>
      <c r="R1832" s="217" t="s">
        <v>641</v>
      </c>
      <c r="S1832" s="217" t="s">
        <v>642</v>
      </c>
      <c r="T1832" s="217" t="s">
        <v>32</v>
      </c>
      <c r="U1832" s="217" t="s">
        <v>32</v>
      </c>
      <c r="V1832" s="217" t="s">
        <v>32</v>
      </c>
      <c r="W1832" s="217" t="s">
        <v>32</v>
      </c>
    </row>
    <row r="1833" spans="1:23" x14ac:dyDescent="0.25">
      <c r="A1833" s="217" t="s">
        <v>22</v>
      </c>
      <c r="B1833" s="217" t="s">
        <v>23</v>
      </c>
      <c r="C1833" s="217" t="s">
        <v>37</v>
      </c>
      <c r="D1833" s="217" t="s">
        <v>36</v>
      </c>
      <c r="E1833" s="217" t="s">
        <v>244</v>
      </c>
      <c r="F1833" s="217" t="s">
        <v>243</v>
      </c>
      <c r="G1833" s="217" t="s">
        <v>648</v>
      </c>
      <c r="H1833" s="217" t="s">
        <v>1544</v>
      </c>
      <c r="I1833" s="217" t="s">
        <v>659</v>
      </c>
      <c r="J1833" s="217" t="s">
        <v>1855</v>
      </c>
      <c r="K1833" s="217">
        <v>5</v>
      </c>
      <c r="L1833" s="217">
        <v>15</v>
      </c>
      <c r="M1833" s="217" t="s">
        <v>31</v>
      </c>
      <c r="N1833" s="217" t="s">
        <v>32</v>
      </c>
      <c r="O1833" s="217" t="s">
        <v>668</v>
      </c>
      <c r="P1833" s="217" t="s">
        <v>34</v>
      </c>
      <c r="Q1833" s="217" t="s">
        <v>35</v>
      </c>
      <c r="R1833" s="217" t="s">
        <v>23</v>
      </c>
      <c r="S1833" s="217" t="s">
        <v>22</v>
      </c>
      <c r="T1833" s="217" t="s">
        <v>36</v>
      </c>
      <c r="U1833" s="217" t="s">
        <v>37</v>
      </c>
      <c r="V1833" s="217" t="s">
        <v>32</v>
      </c>
      <c r="W1833" s="217" t="s">
        <v>32</v>
      </c>
    </row>
    <row r="1834" spans="1:23" x14ac:dyDescent="0.25">
      <c r="A1834" s="217" t="s">
        <v>22</v>
      </c>
      <c r="B1834" s="217" t="s">
        <v>23</v>
      </c>
      <c r="C1834" s="217" t="s">
        <v>37</v>
      </c>
      <c r="D1834" s="217" t="s">
        <v>36</v>
      </c>
      <c r="E1834" s="217" t="s">
        <v>244</v>
      </c>
      <c r="F1834" s="217" t="s">
        <v>243</v>
      </c>
      <c r="G1834" s="217" t="s">
        <v>648</v>
      </c>
      <c r="H1834" s="217" t="s">
        <v>1544</v>
      </c>
      <c r="I1834" s="217" t="s">
        <v>659</v>
      </c>
      <c r="J1834" s="217" t="s">
        <v>1856</v>
      </c>
      <c r="K1834" s="217">
        <v>7</v>
      </c>
      <c r="L1834" s="217">
        <v>17</v>
      </c>
      <c r="M1834" s="217" t="s">
        <v>31</v>
      </c>
      <c r="N1834" s="217" t="s">
        <v>32</v>
      </c>
      <c r="O1834" s="217" t="s">
        <v>668</v>
      </c>
      <c r="P1834" s="217" t="s">
        <v>34</v>
      </c>
      <c r="Q1834" s="217" t="s">
        <v>35</v>
      </c>
      <c r="R1834" s="217" t="s">
        <v>23</v>
      </c>
      <c r="S1834" s="217" t="s">
        <v>22</v>
      </c>
      <c r="T1834" s="217" t="s">
        <v>36</v>
      </c>
      <c r="U1834" s="217" t="s">
        <v>37</v>
      </c>
      <c r="V1834" s="217" t="s">
        <v>32</v>
      </c>
      <c r="W1834" s="217" t="s">
        <v>32</v>
      </c>
    </row>
    <row r="1835" spans="1:23" x14ac:dyDescent="0.25">
      <c r="A1835" s="217" t="s">
        <v>22</v>
      </c>
      <c r="B1835" s="217" t="s">
        <v>23</v>
      </c>
      <c r="C1835" s="217" t="s">
        <v>37</v>
      </c>
      <c r="D1835" s="217" t="s">
        <v>36</v>
      </c>
      <c r="E1835" s="217" t="s">
        <v>244</v>
      </c>
      <c r="F1835" s="217" t="s">
        <v>243</v>
      </c>
      <c r="G1835" s="217" t="s">
        <v>648</v>
      </c>
      <c r="H1835" s="217" t="s">
        <v>1544</v>
      </c>
      <c r="I1835" s="217" t="s">
        <v>659</v>
      </c>
      <c r="J1835" s="217" t="s">
        <v>1857</v>
      </c>
      <c r="K1835" s="217">
        <v>2</v>
      </c>
      <c r="L1835" s="217">
        <v>5</v>
      </c>
      <c r="M1835" s="217" t="s">
        <v>31</v>
      </c>
      <c r="N1835" s="217" t="s">
        <v>32</v>
      </c>
      <c r="O1835" s="217" t="s">
        <v>668</v>
      </c>
      <c r="P1835" s="217" t="s">
        <v>34</v>
      </c>
      <c r="Q1835" s="217" t="s">
        <v>35</v>
      </c>
      <c r="R1835" s="217" t="s">
        <v>23</v>
      </c>
      <c r="S1835" s="217" t="s">
        <v>22</v>
      </c>
      <c r="T1835" s="217" t="s">
        <v>36</v>
      </c>
      <c r="U1835" s="217" t="s">
        <v>37</v>
      </c>
      <c r="V1835" s="217" t="s">
        <v>32</v>
      </c>
      <c r="W1835" s="217" t="s">
        <v>32</v>
      </c>
    </row>
    <row r="1836" spans="1:23" x14ac:dyDescent="0.25">
      <c r="A1836" s="217" t="s">
        <v>22</v>
      </c>
      <c r="B1836" s="217" t="s">
        <v>23</v>
      </c>
      <c r="C1836" s="217" t="s">
        <v>37</v>
      </c>
      <c r="D1836" s="217" t="s">
        <v>36</v>
      </c>
      <c r="E1836" s="217" t="s">
        <v>244</v>
      </c>
      <c r="F1836" s="217" t="s">
        <v>243</v>
      </c>
      <c r="G1836" s="217" t="s">
        <v>649</v>
      </c>
      <c r="H1836" s="217" t="s">
        <v>1545</v>
      </c>
      <c r="I1836" s="217" t="s">
        <v>659</v>
      </c>
      <c r="J1836" s="217" t="s">
        <v>1855</v>
      </c>
      <c r="K1836" s="217">
        <v>11</v>
      </c>
      <c r="L1836" s="217">
        <v>41</v>
      </c>
      <c r="M1836" s="217" t="s">
        <v>31</v>
      </c>
      <c r="N1836" s="217" t="s">
        <v>32</v>
      </c>
      <c r="O1836" s="217" t="s">
        <v>668</v>
      </c>
      <c r="P1836" s="217" t="s">
        <v>34</v>
      </c>
      <c r="Q1836" s="217" t="s">
        <v>35</v>
      </c>
      <c r="R1836" s="217" t="s">
        <v>23</v>
      </c>
      <c r="S1836" s="217" t="s">
        <v>22</v>
      </c>
      <c r="T1836" s="217" t="s">
        <v>36</v>
      </c>
      <c r="U1836" s="217" t="s">
        <v>37</v>
      </c>
      <c r="V1836" s="217" t="s">
        <v>32</v>
      </c>
      <c r="W1836" s="217" t="s">
        <v>32</v>
      </c>
    </row>
    <row r="1837" spans="1:23" x14ac:dyDescent="0.25">
      <c r="A1837" s="217" t="s">
        <v>22</v>
      </c>
      <c r="B1837" s="217" t="s">
        <v>23</v>
      </c>
      <c r="C1837" s="217" t="s">
        <v>37</v>
      </c>
      <c r="D1837" s="217" t="s">
        <v>36</v>
      </c>
      <c r="E1837" s="217" t="s">
        <v>244</v>
      </c>
      <c r="F1837" s="217" t="s">
        <v>243</v>
      </c>
      <c r="G1837" s="217" t="s">
        <v>649</v>
      </c>
      <c r="H1837" s="217" t="s">
        <v>1545</v>
      </c>
      <c r="I1837" s="217" t="s">
        <v>659</v>
      </c>
      <c r="J1837" s="217" t="s">
        <v>1856</v>
      </c>
      <c r="K1837" s="217">
        <v>4</v>
      </c>
      <c r="L1837" s="217">
        <v>25</v>
      </c>
      <c r="M1837" s="217" t="s">
        <v>31</v>
      </c>
      <c r="N1837" s="217" t="s">
        <v>32</v>
      </c>
      <c r="O1837" s="217" t="s">
        <v>668</v>
      </c>
      <c r="P1837" s="217" t="s">
        <v>34</v>
      </c>
      <c r="Q1837" s="217" t="s">
        <v>35</v>
      </c>
      <c r="R1837" s="217" t="s">
        <v>23</v>
      </c>
      <c r="S1837" s="217" t="s">
        <v>22</v>
      </c>
      <c r="T1837" s="217" t="s">
        <v>36</v>
      </c>
      <c r="U1837" s="217" t="s">
        <v>37</v>
      </c>
      <c r="V1837" s="217" t="s">
        <v>32</v>
      </c>
      <c r="W1837" s="217" t="s">
        <v>32</v>
      </c>
    </row>
    <row r="1838" spans="1:23" x14ac:dyDescent="0.25">
      <c r="A1838" s="217" t="s">
        <v>22</v>
      </c>
      <c r="B1838" s="217" t="s">
        <v>23</v>
      </c>
      <c r="C1838" s="217" t="s">
        <v>37</v>
      </c>
      <c r="D1838" s="217" t="s">
        <v>36</v>
      </c>
      <c r="E1838" s="217" t="s">
        <v>244</v>
      </c>
      <c r="F1838" s="217" t="s">
        <v>243</v>
      </c>
      <c r="G1838" s="217" t="s">
        <v>649</v>
      </c>
      <c r="H1838" s="217" t="s">
        <v>1545</v>
      </c>
      <c r="I1838" s="217" t="s">
        <v>659</v>
      </c>
      <c r="J1838" s="217" t="s">
        <v>1857</v>
      </c>
      <c r="K1838" s="217">
        <v>1</v>
      </c>
      <c r="L1838" s="217">
        <v>3</v>
      </c>
      <c r="M1838" s="217" t="s">
        <v>31</v>
      </c>
      <c r="N1838" s="217" t="s">
        <v>32</v>
      </c>
      <c r="O1838" s="217" t="s">
        <v>668</v>
      </c>
      <c r="P1838" s="217" t="s">
        <v>34</v>
      </c>
      <c r="Q1838" s="217" t="s">
        <v>35</v>
      </c>
      <c r="R1838" s="217" t="s">
        <v>23</v>
      </c>
      <c r="S1838" s="217" t="s">
        <v>22</v>
      </c>
      <c r="T1838" s="217" t="s">
        <v>36</v>
      </c>
      <c r="U1838" s="217" t="s">
        <v>37</v>
      </c>
      <c r="V1838" s="217" t="s">
        <v>32</v>
      </c>
      <c r="W1838" s="217" t="s">
        <v>32</v>
      </c>
    </row>
    <row r="1839" spans="1:23" x14ac:dyDescent="0.25">
      <c r="A1839" s="217" t="s">
        <v>22</v>
      </c>
      <c r="B1839" s="217" t="s">
        <v>23</v>
      </c>
      <c r="C1839" s="217" t="s">
        <v>37</v>
      </c>
      <c r="D1839" s="217" t="s">
        <v>36</v>
      </c>
      <c r="E1839" s="217" t="s">
        <v>244</v>
      </c>
      <c r="F1839" s="217" t="s">
        <v>243</v>
      </c>
      <c r="G1839" s="217" t="s">
        <v>650</v>
      </c>
      <c r="H1839" s="217" t="s">
        <v>1546</v>
      </c>
      <c r="I1839" s="217" t="s">
        <v>659</v>
      </c>
      <c r="J1839" s="217" t="s">
        <v>1855</v>
      </c>
      <c r="K1839" s="217">
        <v>8</v>
      </c>
      <c r="L1839" s="217">
        <v>42</v>
      </c>
      <c r="M1839" s="217" t="s">
        <v>31</v>
      </c>
      <c r="N1839" s="217" t="s">
        <v>32</v>
      </c>
      <c r="O1839" s="217" t="s">
        <v>668</v>
      </c>
      <c r="P1839" s="217" t="s">
        <v>34</v>
      </c>
      <c r="Q1839" s="217" t="s">
        <v>35</v>
      </c>
      <c r="R1839" s="217" t="s">
        <v>23</v>
      </c>
      <c r="S1839" s="217" t="s">
        <v>22</v>
      </c>
      <c r="T1839" s="217" t="s">
        <v>36</v>
      </c>
      <c r="U1839" s="217" t="s">
        <v>37</v>
      </c>
      <c r="V1839" s="217" t="s">
        <v>32</v>
      </c>
      <c r="W1839" s="217" t="s">
        <v>32</v>
      </c>
    </row>
    <row r="1840" spans="1:23" x14ac:dyDescent="0.25">
      <c r="A1840" s="217" t="s">
        <v>22</v>
      </c>
      <c r="B1840" s="217" t="s">
        <v>23</v>
      </c>
      <c r="C1840" s="217" t="s">
        <v>37</v>
      </c>
      <c r="D1840" s="217" t="s">
        <v>36</v>
      </c>
      <c r="E1840" s="217" t="s">
        <v>244</v>
      </c>
      <c r="F1840" s="217" t="s">
        <v>243</v>
      </c>
      <c r="G1840" s="217" t="s">
        <v>650</v>
      </c>
      <c r="H1840" s="217" t="s">
        <v>1546</v>
      </c>
      <c r="I1840" s="217" t="s">
        <v>659</v>
      </c>
      <c r="J1840" s="217" t="s">
        <v>1856</v>
      </c>
      <c r="K1840" s="217">
        <v>7</v>
      </c>
      <c r="L1840" s="217">
        <v>30</v>
      </c>
      <c r="M1840" s="217" t="s">
        <v>31</v>
      </c>
      <c r="N1840" s="217" t="s">
        <v>32</v>
      </c>
      <c r="O1840" s="217" t="s">
        <v>668</v>
      </c>
      <c r="P1840" s="217" t="s">
        <v>34</v>
      </c>
      <c r="Q1840" s="217" t="s">
        <v>35</v>
      </c>
      <c r="R1840" s="217" t="s">
        <v>23</v>
      </c>
      <c r="S1840" s="217" t="s">
        <v>22</v>
      </c>
      <c r="T1840" s="217" t="s">
        <v>36</v>
      </c>
      <c r="U1840" s="217" t="s">
        <v>37</v>
      </c>
      <c r="V1840" s="217" t="s">
        <v>32</v>
      </c>
      <c r="W1840" s="217" t="s">
        <v>32</v>
      </c>
    </row>
    <row r="1841" spans="1:23" x14ac:dyDescent="0.25">
      <c r="A1841" s="217" t="s">
        <v>22</v>
      </c>
      <c r="B1841" s="217" t="s">
        <v>23</v>
      </c>
      <c r="C1841" s="217" t="s">
        <v>37</v>
      </c>
      <c r="D1841" s="217" t="s">
        <v>36</v>
      </c>
      <c r="E1841" s="217" t="s">
        <v>244</v>
      </c>
      <c r="F1841" s="217" t="s">
        <v>243</v>
      </c>
      <c r="G1841" s="217" t="s">
        <v>650</v>
      </c>
      <c r="H1841" s="217" t="s">
        <v>1546</v>
      </c>
      <c r="I1841" s="217" t="s">
        <v>659</v>
      </c>
      <c r="J1841" s="217" t="s">
        <v>1857</v>
      </c>
      <c r="K1841" s="217">
        <v>2</v>
      </c>
      <c r="L1841" s="217">
        <v>8</v>
      </c>
      <c r="M1841" s="217" t="s">
        <v>31</v>
      </c>
      <c r="N1841" s="217" t="s">
        <v>32</v>
      </c>
      <c r="O1841" s="217" t="s">
        <v>668</v>
      </c>
      <c r="P1841" s="217" t="s">
        <v>34</v>
      </c>
      <c r="Q1841" s="217" t="s">
        <v>35</v>
      </c>
      <c r="R1841" s="217" t="s">
        <v>23</v>
      </c>
      <c r="S1841" s="217" t="s">
        <v>22</v>
      </c>
      <c r="T1841" s="217" t="s">
        <v>36</v>
      </c>
      <c r="U1841" s="217" t="s">
        <v>37</v>
      </c>
      <c r="V1841" s="217" t="s">
        <v>32</v>
      </c>
      <c r="W1841" s="217" t="s">
        <v>32</v>
      </c>
    </row>
    <row r="1842" spans="1:23" x14ac:dyDescent="0.25">
      <c r="A1842" s="217" t="s">
        <v>22</v>
      </c>
      <c r="B1842" s="217" t="s">
        <v>23</v>
      </c>
      <c r="C1842" s="217" t="s">
        <v>37</v>
      </c>
      <c r="D1842" s="217" t="s">
        <v>36</v>
      </c>
      <c r="E1842" s="217" t="s">
        <v>244</v>
      </c>
      <c r="F1842" s="217" t="s">
        <v>243</v>
      </c>
      <c r="G1842" s="217" t="s">
        <v>651</v>
      </c>
      <c r="H1842" s="217" t="s">
        <v>1547</v>
      </c>
      <c r="I1842" s="217" t="s">
        <v>659</v>
      </c>
      <c r="J1842" s="217" t="s">
        <v>1855</v>
      </c>
      <c r="K1842" s="217">
        <v>45</v>
      </c>
      <c r="L1842" s="217">
        <v>135</v>
      </c>
      <c r="M1842" s="217" t="s">
        <v>31</v>
      </c>
      <c r="N1842" s="217" t="s">
        <v>32</v>
      </c>
      <c r="O1842" s="217" t="s">
        <v>668</v>
      </c>
      <c r="P1842" s="217" t="s">
        <v>34</v>
      </c>
      <c r="Q1842" s="217" t="s">
        <v>35</v>
      </c>
      <c r="R1842" s="217" t="s">
        <v>23</v>
      </c>
      <c r="S1842" s="217" t="s">
        <v>22</v>
      </c>
      <c r="T1842" s="217" t="s">
        <v>36</v>
      </c>
      <c r="U1842" s="217" t="s">
        <v>37</v>
      </c>
      <c r="V1842" s="217" t="s">
        <v>32</v>
      </c>
      <c r="W1842" s="217" t="s">
        <v>32</v>
      </c>
    </row>
    <row r="1843" spans="1:23" x14ac:dyDescent="0.25">
      <c r="A1843" s="217" t="s">
        <v>22</v>
      </c>
      <c r="B1843" s="217" t="s">
        <v>23</v>
      </c>
      <c r="C1843" s="217" t="s">
        <v>37</v>
      </c>
      <c r="D1843" s="217" t="s">
        <v>36</v>
      </c>
      <c r="E1843" s="217" t="s">
        <v>244</v>
      </c>
      <c r="F1843" s="217" t="s">
        <v>243</v>
      </c>
      <c r="G1843" s="217" t="s">
        <v>651</v>
      </c>
      <c r="H1843" s="217" t="s">
        <v>1547</v>
      </c>
      <c r="I1843" s="217" t="s">
        <v>659</v>
      </c>
      <c r="J1843" s="217" t="s">
        <v>1856</v>
      </c>
      <c r="K1843" s="217">
        <v>7</v>
      </c>
      <c r="L1843" s="217">
        <v>35</v>
      </c>
      <c r="M1843" s="217" t="s">
        <v>31</v>
      </c>
      <c r="N1843" s="217" t="s">
        <v>32</v>
      </c>
      <c r="O1843" s="217" t="s">
        <v>668</v>
      </c>
      <c r="P1843" s="217" t="s">
        <v>34</v>
      </c>
      <c r="Q1843" s="217" t="s">
        <v>35</v>
      </c>
      <c r="R1843" s="217" t="s">
        <v>23</v>
      </c>
      <c r="S1843" s="217" t="s">
        <v>22</v>
      </c>
      <c r="T1843" s="217" t="s">
        <v>36</v>
      </c>
      <c r="U1843" s="217" t="s">
        <v>37</v>
      </c>
      <c r="V1843" s="217" t="s">
        <v>32</v>
      </c>
      <c r="W1843" s="217" t="s">
        <v>32</v>
      </c>
    </row>
    <row r="1844" spans="1:23" x14ac:dyDescent="0.25">
      <c r="A1844" s="217" t="s">
        <v>22</v>
      </c>
      <c r="B1844" s="217" t="s">
        <v>23</v>
      </c>
      <c r="C1844" s="217" t="s">
        <v>37</v>
      </c>
      <c r="D1844" s="217" t="s">
        <v>36</v>
      </c>
      <c r="E1844" s="217" t="s">
        <v>244</v>
      </c>
      <c r="F1844" s="217" t="s">
        <v>243</v>
      </c>
      <c r="G1844" s="217" t="s">
        <v>652</v>
      </c>
      <c r="H1844" s="217" t="s">
        <v>1548</v>
      </c>
      <c r="I1844" s="217" t="s">
        <v>659</v>
      </c>
      <c r="J1844" s="217" t="s">
        <v>1855</v>
      </c>
      <c r="K1844" s="217">
        <v>35</v>
      </c>
      <c r="L1844" s="217">
        <v>110</v>
      </c>
      <c r="M1844" s="217" t="s">
        <v>31</v>
      </c>
      <c r="N1844" s="217" t="s">
        <v>32</v>
      </c>
      <c r="O1844" s="217" t="s">
        <v>141</v>
      </c>
      <c r="P1844" s="217" t="s">
        <v>142</v>
      </c>
      <c r="Q1844" s="217" t="s">
        <v>143</v>
      </c>
      <c r="R1844" s="217" t="s">
        <v>641</v>
      </c>
      <c r="S1844" s="217" t="s">
        <v>642</v>
      </c>
      <c r="T1844" s="217" t="s">
        <v>32</v>
      </c>
      <c r="U1844" s="217" t="s">
        <v>32</v>
      </c>
      <c r="V1844" s="217" t="s">
        <v>32</v>
      </c>
      <c r="W1844" s="217" t="s">
        <v>32</v>
      </c>
    </row>
    <row r="1845" spans="1:23" x14ac:dyDescent="0.25">
      <c r="A1845" s="217" t="s">
        <v>22</v>
      </c>
      <c r="B1845" s="217" t="s">
        <v>23</v>
      </c>
      <c r="C1845" s="217" t="s">
        <v>37</v>
      </c>
      <c r="D1845" s="217" t="s">
        <v>36</v>
      </c>
      <c r="E1845" s="217" t="s">
        <v>244</v>
      </c>
      <c r="F1845" s="217" t="s">
        <v>243</v>
      </c>
      <c r="G1845" s="217" t="s">
        <v>652</v>
      </c>
      <c r="H1845" s="217" t="s">
        <v>1548</v>
      </c>
      <c r="I1845" s="217" t="s">
        <v>659</v>
      </c>
      <c r="J1845" s="217" t="s">
        <v>1856</v>
      </c>
      <c r="K1845" s="217">
        <v>15</v>
      </c>
      <c r="L1845" s="217">
        <v>40</v>
      </c>
      <c r="M1845" s="217" t="s">
        <v>31</v>
      </c>
      <c r="N1845" s="217" t="s">
        <v>32</v>
      </c>
      <c r="O1845" s="217" t="s">
        <v>141</v>
      </c>
      <c r="P1845" s="217" t="s">
        <v>142</v>
      </c>
      <c r="Q1845" s="217" t="s">
        <v>143</v>
      </c>
      <c r="R1845" s="217" t="s">
        <v>641</v>
      </c>
      <c r="S1845" s="217" t="s">
        <v>642</v>
      </c>
      <c r="T1845" s="217" t="s">
        <v>32</v>
      </c>
      <c r="U1845" s="217" t="s">
        <v>32</v>
      </c>
      <c r="V1845" s="217" t="s">
        <v>32</v>
      </c>
      <c r="W1845" s="217" t="s">
        <v>32</v>
      </c>
    </row>
    <row r="1846" spans="1:23" x14ac:dyDescent="0.25">
      <c r="A1846" s="217" t="s">
        <v>22</v>
      </c>
      <c r="B1846" s="217" t="s">
        <v>23</v>
      </c>
      <c r="C1846" s="217" t="s">
        <v>37</v>
      </c>
      <c r="D1846" s="217" t="s">
        <v>36</v>
      </c>
      <c r="E1846" s="217" t="s">
        <v>244</v>
      </c>
      <c r="F1846" s="217" t="s">
        <v>243</v>
      </c>
      <c r="G1846" s="217" t="s">
        <v>654</v>
      </c>
      <c r="H1846" s="217" t="s">
        <v>1550</v>
      </c>
      <c r="I1846" s="217" t="s">
        <v>659</v>
      </c>
      <c r="J1846" s="217" t="s">
        <v>1855</v>
      </c>
      <c r="K1846" s="217">
        <v>5</v>
      </c>
      <c r="L1846" s="217">
        <v>25</v>
      </c>
      <c r="M1846" s="217" t="s">
        <v>31</v>
      </c>
      <c r="N1846" s="217" t="s">
        <v>32</v>
      </c>
      <c r="O1846" s="217" t="s">
        <v>668</v>
      </c>
      <c r="P1846" s="217" t="s">
        <v>34</v>
      </c>
      <c r="Q1846" s="217" t="s">
        <v>35</v>
      </c>
      <c r="R1846" s="217" t="s">
        <v>23</v>
      </c>
      <c r="S1846" s="217" t="s">
        <v>22</v>
      </c>
      <c r="T1846" s="217" t="s">
        <v>36</v>
      </c>
      <c r="U1846" s="217" t="s">
        <v>37</v>
      </c>
      <c r="V1846" s="217" t="s">
        <v>32</v>
      </c>
      <c r="W1846" s="217" t="s">
        <v>32</v>
      </c>
    </row>
    <row r="1847" spans="1:23" x14ac:dyDescent="0.25">
      <c r="A1847" s="217" t="s">
        <v>22</v>
      </c>
      <c r="B1847" s="217" t="s">
        <v>23</v>
      </c>
      <c r="C1847" s="217" t="s">
        <v>37</v>
      </c>
      <c r="D1847" s="217" t="s">
        <v>36</v>
      </c>
      <c r="E1847" s="217" t="s">
        <v>244</v>
      </c>
      <c r="F1847" s="217" t="s">
        <v>243</v>
      </c>
      <c r="G1847" s="217" t="s">
        <v>654</v>
      </c>
      <c r="H1847" s="217" t="s">
        <v>1550</v>
      </c>
      <c r="I1847" s="217" t="s">
        <v>659</v>
      </c>
      <c r="J1847" s="217" t="s">
        <v>1856</v>
      </c>
      <c r="K1847" s="217">
        <v>3</v>
      </c>
      <c r="L1847" s="217">
        <v>10</v>
      </c>
      <c r="M1847" s="217" t="s">
        <v>31</v>
      </c>
      <c r="N1847" s="217" t="s">
        <v>32</v>
      </c>
      <c r="O1847" s="217" t="s">
        <v>668</v>
      </c>
      <c r="P1847" s="217" t="s">
        <v>34</v>
      </c>
      <c r="Q1847" s="217" t="s">
        <v>35</v>
      </c>
      <c r="R1847" s="217" t="s">
        <v>23</v>
      </c>
      <c r="S1847" s="217" t="s">
        <v>22</v>
      </c>
      <c r="T1847" s="217" t="s">
        <v>36</v>
      </c>
      <c r="U1847" s="217" t="s">
        <v>37</v>
      </c>
      <c r="V1847" s="217" t="s">
        <v>32</v>
      </c>
      <c r="W1847" s="217" t="s">
        <v>32</v>
      </c>
    </row>
    <row r="1848" spans="1:23" x14ac:dyDescent="0.25">
      <c r="A1848" s="217" t="s">
        <v>22</v>
      </c>
      <c r="B1848" s="217" t="s">
        <v>23</v>
      </c>
      <c r="C1848" s="217" t="s">
        <v>37</v>
      </c>
      <c r="D1848" s="217" t="s">
        <v>36</v>
      </c>
      <c r="E1848" s="217" t="s">
        <v>244</v>
      </c>
      <c r="F1848" s="217" t="s">
        <v>243</v>
      </c>
      <c r="G1848" s="217" t="s">
        <v>655</v>
      </c>
      <c r="H1848" s="217" t="s">
        <v>1551</v>
      </c>
      <c r="I1848" s="217" t="s">
        <v>659</v>
      </c>
      <c r="J1848" s="217" t="s">
        <v>1855</v>
      </c>
      <c r="K1848" s="217">
        <v>2</v>
      </c>
      <c r="L1848" s="217">
        <v>15</v>
      </c>
      <c r="M1848" s="217" t="s">
        <v>31</v>
      </c>
      <c r="N1848" s="217" t="s">
        <v>32</v>
      </c>
      <c r="O1848" s="217" t="s">
        <v>141</v>
      </c>
      <c r="P1848" s="217" t="s">
        <v>142</v>
      </c>
      <c r="Q1848" s="217" t="s">
        <v>143</v>
      </c>
      <c r="R1848" s="217" t="s">
        <v>641</v>
      </c>
      <c r="S1848" s="217" t="s">
        <v>642</v>
      </c>
      <c r="T1848" s="217" t="s">
        <v>32</v>
      </c>
      <c r="U1848" s="217" t="s">
        <v>32</v>
      </c>
      <c r="V1848" s="217" t="s">
        <v>32</v>
      </c>
      <c r="W1848" s="217" t="s">
        <v>32</v>
      </c>
    </row>
    <row r="1849" spans="1:23" x14ac:dyDescent="0.25">
      <c r="A1849" s="217" t="s">
        <v>22</v>
      </c>
      <c r="B1849" s="217" t="s">
        <v>23</v>
      </c>
      <c r="C1849" s="217" t="s">
        <v>37</v>
      </c>
      <c r="D1849" s="217" t="s">
        <v>36</v>
      </c>
      <c r="E1849" s="217" t="s">
        <v>244</v>
      </c>
      <c r="F1849" s="217" t="s">
        <v>243</v>
      </c>
      <c r="G1849" s="217" t="s">
        <v>655</v>
      </c>
      <c r="H1849" s="217" t="s">
        <v>1551</v>
      </c>
      <c r="I1849" s="217" t="s">
        <v>659</v>
      </c>
      <c r="J1849" s="217" t="s">
        <v>1856</v>
      </c>
      <c r="K1849" s="217">
        <v>2</v>
      </c>
      <c r="L1849" s="217">
        <v>13</v>
      </c>
      <c r="M1849" s="217" t="s">
        <v>31</v>
      </c>
      <c r="N1849" s="217" t="s">
        <v>32</v>
      </c>
      <c r="O1849" s="217" t="s">
        <v>141</v>
      </c>
      <c r="P1849" s="217" t="s">
        <v>142</v>
      </c>
      <c r="Q1849" s="217" t="s">
        <v>143</v>
      </c>
      <c r="R1849" s="217" t="s">
        <v>641</v>
      </c>
      <c r="S1849" s="217" t="s">
        <v>642</v>
      </c>
      <c r="T1849" s="217" t="s">
        <v>32</v>
      </c>
      <c r="U1849" s="217" t="s">
        <v>32</v>
      </c>
      <c r="V1849" s="217" t="s">
        <v>32</v>
      </c>
      <c r="W1849" s="217" t="s">
        <v>32</v>
      </c>
    </row>
    <row r="1850" spans="1:23" x14ac:dyDescent="0.25">
      <c r="A1850" s="217" t="s">
        <v>22</v>
      </c>
      <c r="B1850" s="217" t="s">
        <v>23</v>
      </c>
      <c r="C1850" s="217" t="s">
        <v>37</v>
      </c>
      <c r="D1850" s="217" t="s">
        <v>36</v>
      </c>
      <c r="E1850" s="217" t="s">
        <v>244</v>
      </c>
      <c r="F1850" s="217" t="s">
        <v>243</v>
      </c>
      <c r="G1850" s="217" t="s">
        <v>655</v>
      </c>
      <c r="H1850" s="217" t="s">
        <v>1551</v>
      </c>
      <c r="I1850" s="217" t="s">
        <v>659</v>
      </c>
      <c r="J1850" s="217" t="s">
        <v>1859</v>
      </c>
      <c r="K1850" s="217">
        <v>1</v>
      </c>
      <c r="L1850" s="217">
        <v>3</v>
      </c>
      <c r="M1850" s="217" t="s">
        <v>31</v>
      </c>
      <c r="N1850" s="217" t="s">
        <v>32</v>
      </c>
      <c r="O1850" s="217" t="s">
        <v>141</v>
      </c>
      <c r="P1850" s="217" t="s">
        <v>142</v>
      </c>
      <c r="Q1850" s="217" t="s">
        <v>143</v>
      </c>
      <c r="R1850" s="217" t="s">
        <v>641</v>
      </c>
      <c r="S1850" s="217" t="s">
        <v>642</v>
      </c>
      <c r="T1850" s="217" t="s">
        <v>32</v>
      </c>
      <c r="U1850" s="217" t="s">
        <v>32</v>
      </c>
      <c r="V1850" s="217" t="s">
        <v>32</v>
      </c>
      <c r="W1850" s="217" t="s">
        <v>32</v>
      </c>
    </row>
    <row r="1851" spans="1:23" x14ac:dyDescent="0.25">
      <c r="A1851" s="217" t="s">
        <v>22</v>
      </c>
      <c r="B1851" s="217" t="s">
        <v>23</v>
      </c>
      <c r="C1851" s="217" t="s">
        <v>37</v>
      </c>
      <c r="D1851" s="217" t="s">
        <v>36</v>
      </c>
      <c r="E1851" s="217" t="s">
        <v>247</v>
      </c>
      <c r="F1851" s="217" t="s">
        <v>246</v>
      </c>
      <c r="G1851" s="217" t="s">
        <v>2045</v>
      </c>
      <c r="H1851" s="217" t="s">
        <v>2044</v>
      </c>
      <c r="I1851" s="217" t="s">
        <v>659</v>
      </c>
      <c r="J1851" s="217" t="s">
        <v>1858</v>
      </c>
      <c r="K1851" s="217">
        <v>1</v>
      </c>
      <c r="L1851" s="217">
        <v>4</v>
      </c>
      <c r="M1851" s="217" t="s">
        <v>31</v>
      </c>
      <c r="N1851" s="217" t="s">
        <v>32</v>
      </c>
      <c r="O1851" s="217" t="s">
        <v>141</v>
      </c>
      <c r="P1851" s="217" t="s">
        <v>142</v>
      </c>
      <c r="Q1851" s="217" t="s">
        <v>143</v>
      </c>
      <c r="R1851" s="217" t="s">
        <v>641</v>
      </c>
      <c r="S1851" s="217" t="s">
        <v>642</v>
      </c>
      <c r="T1851" s="217" t="s">
        <v>32</v>
      </c>
      <c r="U1851" s="217" t="s">
        <v>32</v>
      </c>
      <c r="V1851" s="217" t="s">
        <v>32</v>
      </c>
      <c r="W1851" s="217" t="s">
        <v>32</v>
      </c>
    </row>
    <row r="1852" spans="1:23" x14ac:dyDescent="0.25">
      <c r="A1852" s="217" t="s">
        <v>22</v>
      </c>
      <c r="B1852" s="217" t="s">
        <v>23</v>
      </c>
      <c r="C1852" s="217" t="s">
        <v>37</v>
      </c>
      <c r="D1852" s="217" t="s">
        <v>36</v>
      </c>
      <c r="E1852" s="217" t="s">
        <v>247</v>
      </c>
      <c r="F1852" s="217" t="s">
        <v>246</v>
      </c>
      <c r="G1852" s="217" t="s">
        <v>577</v>
      </c>
      <c r="H1852" s="217" t="s">
        <v>1441</v>
      </c>
      <c r="I1852" s="217" t="s">
        <v>659</v>
      </c>
      <c r="J1852" s="217" t="s">
        <v>1856</v>
      </c>
      <c r="K1852" s="217">
        <v>87</v>
      </c>
      <c r="L1852" s="217">
        <v>669</v>
      </c>
      <c r="M1852" s="217" t="s">
        <v>31</v>
      </c>
      <c r="N1852" s="217" t="s">
        <v>32</v>
      </c>
      <c r="O1852" s="217" t="s">
        <v>668</v>
      </c>
      <c r="P1852" s="217" t="s">
        <v>34</v>
      </c>
      <c r="Q1852" s="217" t="s">
        <v>35</v>
      </c>
      <c r="R1852" s="217" t="s">
        <v>23</v>
      </c>
      <c r="S1852" s="217" t="s">
        <v>22</v>
      </c>
      <c r="T1852" s="217" t="s">
        <v>36</v>
      </c>
      <c r="U1852" s="217" t="s">
        <v>37</v>
      </c>
      <c r="V1852" s="217" t="s">
        <v>32</v>
      </c>
      <c r="W1852" s="217" t="s">
        <v>32</v>
      </c>
    </row>
    <row r="1853" spans="1:23" x14ac:dyDescent="0.25">
      <c r="A1853" s="217" t="s">
        <v>22</v>
      </c>
      <c r="B1853" s="217" t="s">
        <v>23</v>
      </c>
      <c r="C1853" s="217" t="s">
        <v>37</v>
      </c>
      <c r="D1853" s="217" t="s">
        <v>36</v>
      </c>
      <c r="E1853" s="217" t="s">
        <v>247</v>
      </c>
      <c r="F1853" s="217" t="s">
        <v>246</v>
      </c>
      <c r="G1853" s="217" t="s">
        <v>577</v>
      </c>
      <c r="H1853" s="217" t="s">
        <v>1441</v>
      </c>
      <c r="I1853" s="217" t="s">
        <v>659</v>
      </c>
      <c r="J1853" s="217" t="s">
        <v>1857</v>
      </c>
      <c r="K1853" s="217">
        <v>69</v>
      </c>
      <c r="L1853" s="217">
        <v>552</v>
      </c>
      <c r="M1853" s="217" t="s">
        <v>31</v>
      </c>
      <c r="N1853" s="217" t="s">
        <v>32</v>
      </c>
      <c r="O1853" s="217" t="s">
        <v>668</v>
      </c>
      <c r="P1853" s="217" t="s">
        <v>34</v>
      </c>
      <c r="Q1853" s="217" t="s">
        <v>35</v>
      </c>
      <c r="R1853" s="217" t="s">
        <v>23</v>
      </c>
      <c r="S1853" s="217" t="s">
        <v>22</v>
      </c>
      <c r="T1853" s="217" t="s">
        <v>36</v>
      </c>
      <c r="U1853" s="217" t="s">
        <v>37</v>
      </c>
      <c r="V1853" s="217" t="s">
        <v>32</v>
      </c>
      <c r="W1853" s="217" t="s">
        <v>32</v>
      </c>
    </row>
    <row r="1854" spans="1:23" x14ac:dyDescent="0.25">
      <c r="A1854" s="217" t="s">
        <v>22</v>
      </c>
      <c r="B1854" s="217" t="s">
        <v>23</v>
      </c>
      <c r="C1854" s="217" t="s">
        <v>37</v>
      </c>
      <c r="D1854" s="217" t="s">
        <v>36</v>
      </c>
      <c r="E1854" s="217" t="s">
        <v>247</v>
      </c>
      <c r="F1854" s="217" t="s">
        <v>246</v>
      </c>
      <c r="G1854" s="217" t="s">
        <v>683</v>
      </c>
      <c r="H1854" s="217" t="s">
        <v>1590</v>
      </c>
      <c r="I1854" s="217" t="s">
        <v>659</v>
      </c>
      <c r="J1854" s="217" t="s">
        <v>1855</v>
      </c>
      <c r="K1854" s="217">
        <v>2</v>
      </c>
      <c r="L1854" s="217">
        <v>8</v>
      </c>
      <c r="M1854" s="217" t="s">
        <v>31</v>
      </c>
      <c r="N1854" s="217" t="s">
        <v>32</v>
      </c>
      <c r="O1854" s="217" t="s">
        <v>668</v>
      </c>
      <c r="P1854" s="217" t="s">
        <v>34</v>
      </c>
      <c r="Q1854" s="217" t="s">
        <v>35</v>
      </c>
      <c r="R1854" s="217" t="s">
        <v>23</v>
      </c>
      <c r="S1854" s="217" t="s">
        <v>22</v>
      </c>
      <c r="T1854" s="217" t="s">
        <v>36</v>
      </c>
      <c r="U1854" s="217" t="s">
        <v>37</v>
      </c>
      <c r="V1854" s="217" t="s">
        <v>32</v>
      </c>
      <c r="W1854" s="217" t="s">
        <v>32</v>
      </c>
    </row>
    <row r="1855" spans="1:23" x14ac:dyDescent="0.25">
      <c r="A1855" s="217" t="s">
        <v>22</v>
      </c>
      <c r="B1855" s="217" t="s">
        <v>23</v>
      </c>
      <c r="C1855" s="217" t="s">
        <v>37</v>
      </c>
      <c r="D1855" s="217" t="s">
        <v>36</v>
      </c>
      <c r="E1855" s="217" t="s">
        <v>247</v>
      </c>
      <c r="F1855" s="217" t="s">
        <v>246</v>
      </c>
      <c r="G1855" s="217" t="s">
        <v>579</v>
      </c>
      <c r="H1855" s="217" t="s">
        <v>1443</v>
      </c>
      <c r="I1855" s="217" t="s">
        <v>659</v>
      </c>
      <c r="J1855" s="217" t="s">
        <v>1856</v>
      </c>
      <c r="K1855" s="217">
        <v>2</v>
      </c>
      <c r="L1855" s="217">
        <v>16</v>
      </c>
      <c r="M1855" s="217" t="s">
        <v>31</v>
      </c>
      <c r="N1855" s="217" t="s">
        <v>32</v>
      </c>
      <c r="O1855" s="217" t="s">
        <v>668</v>
      </c>
      <c r="P1855" s="217" t="s">
        <v>34</v>
      </c>
      <c r="Q1855" s="217" t="s">
        <v>35</v>
      </c>
      <c r="R1855" s="217" t="s">
        <v>23</v>
      </c>
      <c r="S1855" s="217" t="s">
        <v>22</v>
      </c>
      <c r="T1855" s="217" t="s">
        <v>47</v>
      </c>
      <c r="U1855" s="217" t="s">
        <v>48</v>
      </c>
      <c r="V1855" s="217" t="s">
        <v>32</v>
      </c>
      <c r="W1855" s="217" t="s">
        <v>32</v>
      </c>
    </row>
    <row r="1856" spans="1:23" x14ac:dyDescent="0.25">
      <c r="A1856" s="217" t="s">
        <v>22</v>
      </c>
      <c r="B1856" s="217" t="s">
        <v>23</v>
      </c>
      <c r="C1856" s="217" t="s">
        <v>37</v>
      </c>
      <c r="D1856" s="217" t="s">
        <v>36</v>
      </c>
      <c r="E1856" s="217" t="s">
        <v>247</v>
      </c>
      <c r="F1856" s="217" t="s">
        <v>246</v>
      </c>
      <c r="G1856" s="217" t="s">
        <v>579</v>
      </c>
      <c r="H1856" s="217" t="s">
        <v>1443</v>
      </c>
      <c r="I1856" s="217" t="s">
        <v>659</v>
      </c>
      <c r="J1856" s="217" t="s">
        <v>1855</v>
      </c>
      <c r="K1856" s="217">
        <v>4</v>
      </c>
      <c r="L1856" s="217">
        <v>32</v>
      </c>
      <c r="M1856" s="217" t="s">
        <v>31</v>
      </c>
      <c r="N1856" s="217" t="s">
        <v>32</v>
      </c>
      <c r="O1856" s="217" t="s">
        <v>141</v>
      </c>
      <c r="P1856" s="217" t="s">
        <v>142</v>
      </c>
      <c r="Q1856" s="217" t="s">
        <v>143</v>
      </c>
      <c r="R1856" s="217" t="s">
        <v>618</v>
      </c>
      <c r="S1856" s="217" t="s">
        <v>619</v>
      </c>
      <c r="T1856" s="217" t="s">
        <v>32</v>
      </c>
      <c r="U1856" s="217" t="s">
        <v>32</v>
      </c>
      <c r="V1856" s="217" t="s">
        <v>32</v>
      </c>
      <c r="W1856" s="217" t="s">
        <v>32</v>
      </c>
    </row>
    <row r="1857" spans="1:23" x14ac:dyDescent="0.25">
      <c r="A1857" s="217" t="s">
        <v>22</v>
      </c>
      <c r="B1857" s="217" t="s">
        <v>23</v>
      </c>
      <c r="C1857" s="217" t="s">
        <v>37</v>
      </c>
      <c r="D1857" s="217" t="s">
        <v>36</v>
      </c>
      <c r="E1857" s="217" t="s">
        <v>247</v>
      </c>
      <c r="F1857" s="217" t="s">
        <v>246</v>
      </c>
      <c r="G1857" s="217" t="s">
        <v>580</v>
      </c>
      <c r="H1857" s="217" t="s">
        <v>1444</v>
      </c>
      <c r="I1857" s="217" t="s">
        <v>659</v>
      </c>
      <c r="J1857" s="217" t="s">
        <v>1855</v>
      </c>
      <c r="K1857" s="217">
        <v>12</v>
      </c>
      <c r="L1857" s="217">
        <v>60</v>
      </c>
      <c r="M1857" s="217" t="s">
        <v>31</v>
      </c>
      <c r="N1857" s="217" t="s">
        <v>32</v>
      </c>
      <c r="O1857" s="217" t="s">
        <v>141</v>
      </c>
      <c r="P1857" s="217" t="s">
        <v>142</v>
      </c>
      <c r="Q1857" s="217" t="s">
        <v>143</v>
      </c>
      <c r="R1857" s="217" t="s">
        <v>641</v>
      </c>
      <c r="S1857" s="217" t="s">
        <v>642</v>
      </c>
      <c r="T1857" s="217" t="s">
        <v>32</v>
      </c>
      <c r="U1857" s="217" t="s">
        <v>32</v>
      </c>
      <c r="V1857" s="217" t="s">
        <v>32</v>
      </c>
      <c r="W1857" s="217" t="s">
        <v>32</v>
      </c>
    </row>
    <row r="1858" spans="1:23" x14ac:dyDescent="0.25">
      <c r="A1858" s="217" t="s">
        <v>22</v>
      </c>
      <c r="B1858" s="217" t="s">
        <v>23</v>
      </c>
      <c r="C1858" s="217" t="s">
        <v>37</v>
      </c>
      <c r="D1858" s="217" t="s">
        <v>36</v>
      </c>
      <c r="E1858" s="217" t="s">
        <v>247</v>
      </c>
      <c r="F1858" s="217" t="s">
        <v>246</v>
      </c>
      <c r="G1858" s="217" t="s">
        <v>580</v>
      </c>
      <c r="H1858" s="217" t="s">
        <v>1444</v>
      </c>
      <c r="I1858" s="217" t="s">
        <v>659</v>
      </c>
      <c r="J1858" s="217" t="s">
        <v>1856</v>
      </c>
      <c r="K1858" s="217">
        <v>8</v>
      </c>
      <c r="L1858" s="217">
        <v>40</v>
      </c>
      <c r="M1858" s="217" t="s">
        <v>31</v>
      </c>
      <c r="N1858" s="217" t="s">
        <v>32</v>
      </c>
      <c r="O1858" s="217" t="s">
        <v>141</v>
      </c>
      <c r="P1858" s="217" t="s">
        <v>142</v>
      </c>
      <c r="Q1858" s="217" t="s">
        <v>143</v>
      </c>
      <c r="R1858" s="217" t="s">
        <v>641</v>
      </c>
      <c r="S1858" s="217" t="s">
        <v>642</v>
      </c>
      <c r="T1858" s="217" t="s">
        <v>32</v>
      </c>
      <c r="U1858" s="217" t="s">
        <v>32</v>
      </c>
      <c r="V1858" s="217" t="s">
        <v>32</v>
      </c>
      <c r="W1858" s="217" t="s">
        <v>32</v>
      </c>
    </row>
    <row r="1859" spans="1:23" x14ac:dyDescent="0.25">
      <c r="A1859" s="217" t="s">
        <v>22</v>
      </c>
      <c r="B1859" s="217" t="s">
        <v>23</v>
      </c>
      <c r="C1859" s="217" t="s">
        <v>37</v>
      </c>
      <c r="D1859" s="217" t="s">
        <v>36</v>
      </c>
      <c r="E1859" s="217" t="s">
        <v>247</v>
      </c>
      <c r="F1859" s="217" t="s">
        <v>246</v>
      </c>
      <c r="G1859" s="217" t="s">
        <v>2047</v>
      </c>
      <c r="H1859" s="217" t="s">
        <v>2046</v>
      </c>
      <c r="I1859" s="217" t="s">
        <v>659</v>
      </c>
      <c r="J1859" s="217" t="s">
        <v>1855</v>
      </c>
      <c r="K1859" s="217">
        <v>30</v>
      </c>
      <c r="L1859" s="217">
        <v>248</v>
      </c>
      <c r="M1859" s="217" t="s">
        <v>31</v>
      </c>
      <c r="N1859" s="217" t="s">
        <v>32</v>
      </c>
      <c r="O1859" s="217" t="s">
        <v>141</v>
      </c>
      <c r="P1859" s="217" t="s">
        <v>142</v>
      </c>
      <c r="Q1859" s="217" t="s">
        <v>143</v>
      </c>
      <c r="R1859" s="217" t="s">
        <v>641</v>
      </c>
      <c r="S1859" s="217" t="s">
        <v>642</v>
      </c>
      <c r="T1859" s="217" t="s">
        <v>32</v>
      </c>
      <c r="U1859" s="217" t="s">
        <v>32</v>
      </c>
      <c r="V1859" s="217" t="s">
        <v>32</v>
      </c>
      <c r="W1859" s="217" t="s">
        <v>32</v>
      </c>
    </row>
    <row r="1860" spans="1:23" x14ac:dyDescent="0.25">
      <c r="A1860" s="217" t="s">
        <v>22</v>
      </c>
      <c r="B1860" s="217" t="s">
        <v>23</v>
      </c>
      <c r="C1860" s="217" t="s">
        <v>37</v>
      </c>
      <c r="D1860" s="217" t="s">
        <v>36</v>
      </c>
      <c r="E1860" s="217" t="s">
        <v>247</v>
      </c>
      <c r="F1860" s="217" t="s">
        <v>246</v>
      </c>
      <c r="G1860" s="217" t="s">
        <v>582</v>
      </c>
      <c r="H1860" s="217" t="s">
        <v>1446</v>
      </c>
      <c r="I1860" s="217" t="s">
        <v>659</v>
      </c>
      <c r="J1860" s="217" t="s">
        <v>1855</v>
      </c>
      <c r="K1860" s="217">
        <v>60</v>
      </c>
      <c r="L1860" s="217">
        <v>300</v>
      </c>
      <c r="M1860" s="217" t="s">
        <v>31</v>
      </c>
      <c r="N1860" s="217" t="s">
        <v>32</v>
      </c>
      <c r="O1860" s="217" t="s">
        <v>141</v>
      </c>
      <c r="P1860" s="217" t="s">
        <v>142</v>
      </c>
      <c r="Q1860" s="217" t="s">
        <v>143</v>
      </c>
      <c r="R1860" s="217" t="s">
        <v>641</v>
      </c>
      <c r="S1860" s="217" t="s">
        <v>642</v>
      </c>
      <c r="T1860" s="217" t="s">
        <v>32</v>
      </c>
      <c r="U1860" s="217" t="s">
        <v>32</v>
      </c>
      <c r="V1860" s="217" t="s">
        <v>32</v>
      </c>
      <c r="W1860" s="217" t="s">
        <v>32</v>
      </c>
    </row>
    <row r="1861" spans="1:23" x14ac:dyDescent="0.25">
      <c r="A1861" s="217" t="s">
        <v>22</v>
      </c>
      <c r="B1861" s="217" t="s">
        <v>23</v>
      </c>
      <c r="C1861" s="217" t="s">
        <v>37</v>
      </c>
      <c r="D1861" s="217" t="s">
        <v>36</v>
      </c>
      <c r="E1861" s="217" t="s">
        <v>247</v>
      </c>
      <c r="F1861" s="217" t="s">
        <v>246</v>
      </c>
      <c r="G1861" s="217" t="s">
        <v>582</v>
      </c>
      <c r="H1861" s="217" t="s">
        <v>1446</v>
      </c>
      <c r="I1861" s="217" t="s">
        <v>659</v>
      </c>
      <c r="J1861" s="217" t="s">
        <v>1856</v>
      </c>
      <c r="K1861" s="217">
        <v>30</v>
      </c>
      <c r="L1861" s="217">
        <v>150</v>
      </c>
      <c r="M1861" s="217" t="s">
        <v>31</v>
      </c>
      <c r="N1861" s="217" t="s">
        <v>32</v>
      </c>
      <c r="O1861" s="217" t="s">
        <v>141</v>
      </c>
      <c r="P1861" s="217" t="s">
        <v>142</v>
      </c>
      <c r="Q1861" s="217" t="s">
        <v>143</v>
      </c>
      <c r="R1861" s="217" t="s">
        <v>641</v>
      </c>
      <c r="S1861" s="217" t="s">
        <v>642</v>
      </c>
      <c r="T1861" s="217" t="s">
        <v>32</v>
      </c>
      <c r="U1861" s="217" t="s">
        <v>32</v>
      </c>
      <c r="V1861" s="217" t="s">
        <v>32</v>
      </c>
      <c r="W1861" s="217" t="s">
        <v>32</v>
      </c>
    </row>
    <row r="1862" spans="1:23" x14ac:dyDescent="0.25">
      <c r="A1862" s="217" t="s">
        <v>22</v>
      </c>
      <c r="B1862" s="217" t="s">
        <v>23</v>
      </c>
      <c r="C1862" s="217" t="s">
        <v>37</v>
      </c>
      <c r="D1862" s="217" t="s">
        <v>36</v>
      </c>
      <c r="E1862" s="217" t="s">
        <v>247</v>
      </c>
      <c r="F1862" s="217" t="s">
        <v>246</v>
      </c>
      <c r="G1862" s="217" t="s">
        <v>582</v>
      </c>
      <c r="H1862" s="217" t="s">
        <v>1446</v>
      </c>
      <c r="I1862" s="217" t="s">
        <v>659</v>
      </c>
      <c r="J1862" s="217" t="s">
        <v>1858</v>
      </c>
      <c r="K1862" s="217">
        <v>33</v>
      </c>
      <c r="L1862" s="217">
        <v>167</v>
      </c>
      <c r="M1862" s="217" t="s">
        <v>31</v>
      </c>
      <c r="N1862" s="217" t="s">
        <v>32</v>
      </c>
      <c r="O1862" s="217" t="s">
        <v>141</v>
      </c>
      <c r="P1862" s="217" t="s">
        <v>142</v>
      </c>
      <c r="Q1862" s="217" t="s">
        <v>143</v>
      </c>
      <c r="R1862" s="217" t="s">
        <v>641</v>
      </c>
      <c r="S1862" s="217" t="s">
        <v>642</v>
      </c>
      <c r="T1862" s="217" t="s">
        <v>32</v>
      </c>
      <c r="U1862" s="217" t="s">
        <v>32</v>
      </c>
      <c r="V1862" s="217" t="s">
        <v>32</v>
      </c>
      <c r="W1862" s="217" t="s">
        <v>32</v>
      </c>
    </row>
    <row r="1863" spans="1:23" x14ac:dyDescent="0.25">
      <c r="A1863" s="217" t="s">
        <v>22</v>
      </c>
      <c r="B1863" s="217" t="s">
        <v>23</v>
      </c>
      <c r="C1863" s="217" t="s">
        <v>37</v>
      </c>
      <c r="D1863" s="217" t="s">
        <v>36</v>
      </c>
      <c r="E1863" s="217" t="s">
        <v>247</v>
      </c>
      <c r="F1863" s="217" t="s">
        <v>246</v>
      </c>
      <c r="G1863" s="217" t="s">
        <v>583</v>
      </c>
      <c r="H1863" s="217" t="s">
        <v>1447</v>
      </c>
      <c r="I1863" s="217" t="s">
        <v>659</v>
      </c>
      <c r="J1863" s="217" t="s">
        <v>1858</v>
      </c>
      <c r="K1863" s="217">
        <v>2</v>
      </c>
      <c r="L1863" s="217">
        <v>16</v>
      </c>
      <c r="M1863" s="217" t="s">
        <v>31</v>
      </c>
      <c r="N1863" s="217" t="s">
        <v>32</v>
      </c>
      <c r="O1863" s="217" t="s">
        <v>668</v>
      </c>
      <c r="P1863" s="217" t="s">
        <v>34</v>
      </c>
      <c r="Q1863" s="217" t="s">
        <v>35</v>
      </c>
      <c r="R1863" s="217" t="s">
        <v>23</v>
      </c>
      <c r="S1863" s="217" t="s">
        <v>22</v>
      </c>
      <c r="T1863" s="217" t="s">
        <v>36</v>
      </c>
      <c r="U1863" s="217" t="s">
        <v>37</v>
      </c>
      <c r="V1863" s="217" t="s">
        <v>32</v>
      </c>
      <c r="W1863" s="217" t="s">
        <v>32</v>
      </c>
    </row>
    <row r="1864" spans="1:23" x14ac:dyDescent="0.25">
      <c r="A1864" s="217" t="s">
        <v>22</v>
      </c>
      <c r="B1864" s="217" t="s">
        <v>23</v>
      </c>
      <c r="C1864" s="217" t="s">
        <v>37</v>
      </c>
      <c r="D1864" s="217" t="s">
        <v>36</v>
      </c>
      <c r="E1864" s="217" t="s">
        <v>247</v>
      </c>
      <c r="F1864" s="217" t="s">
        <v>246</v>
      </c>
      <c r="G1864" s="217" t="s">
        <v>583</v>
      </c>
      <c r="H1864" s="217" t="s">
        <v>1447</v>
      </c>
      <c r="I1864" s="217" t="s">
        <v>659</v>
      </c>
      <c r="J1864" s="217" t="s">
        <v>1855</v>
      </c>
      <c r="K1864" s="217">
        <v>4</v>
      </c>
      <c r="L1864" s="217">
        <v>32</v>
      </c>
      <c r="M1864" s="217" t="s">
        <v>31</v>
      </c>
      <c r="N1864" s="217" t="s">
        <v>32</v>
      </c>
      <c r="O1864" s="217" t="s">
        <v>141</v>
      </c>
      <c r="P1864" s="217" t="s">
        <v>142</v>
      </c>
      <c r="Q1864" s="217" t="s">
        <v>143</v>
      </c>
      <c r="R1864" s="217" t="s">
        <v>618</v>
      </c>
      <c r="S1864" s="217" t="s">
        <v>619</v>
      </c>
      <c r="T1864" s="217" t="s">
        <v>32</v>
      </c>
      <c r="U1864" s="217" t="s">
        <v>32</v>
      </c>
      <c r="V1864" s="217" t="s">
        <v>32</v>
      </c>
      <c r="W1864" s="217" t="s">
        <v>32</v>
      </c>
    </row>
    <row r="1865" spans="1:23" x14ac:dyDescent="0.25">
      <c r="A1865" s="217" t="s">
        <v>22</v>
      </c>
      <c r="B1865" s="217" t="s">
        <v>23</v>
      </c>
      <c r="C1865" s="217" t="s">
        <v>37</v>
      </c>
      <c r="D1865" s="217" t="s">
        <v>36</v>
      </c>
      <c r="E1865" s="217" t="s">
        <v>247</v>
      </c>
      <c r="F1865" s="217" t="s">
        <v>246</v>
      </c>
      <c r="G1865" s="217" t="s">
        <v>242</v>
      </c>
      <c r="H1865" s="217" t="s">
        <v>1448</v>
      </c>
      <c r="I1865" s="217" t="s">
        <v>659</v>
      </c>
      <c r="J1865" s="217" t="s">
        <v>1857</v>
      </c>
      <c r="K1865" s="217">
        <v>13</v>
      </c>
      <c r="L1865" s="217">
        <v>104</v>
      </c>
      <c r="M1865" s="217" t="s">
        <v>31</v>
      </c>
      <c r="N1865" s="217" t="s">
        <v>32</v>
      </c>
      <c r="O1865" s="217" t="s">
        <v>668</v>
      </c>
      <c r="P1865" s="217" t="s">
        <v>34</v>
      </c>
      <c r="Q1865" s="217" t="s">
        <v>35</v>
      </c>
      <c r="R1865" s="217" t="s">
        <v>23</v>
      </c>
      <c r="S1865" s="217" t="s">
        <v>22</v>
      </c>
      <c r="T1865" s="217" t="s">
        <v>47</v>
      </c>
      <c r="U1865" s="217" t="s">
        <v>48</v>
      </c>
      <c r="V1865" s="217" t="s">
        <v>32</v>
      </c>
      <c r="W1865" s="217" t="s">
        <v>32</v>
      </c>
    </row>
    <row r="1866" spans="1:23" x14ac:dyDescent="0.25">
      <c r="A1866" s="217" t="s">
        <v>22</v>
      </c>
      <c r="B1866" s="217" t="s">
        <v>23</v>
      </c>
      <c r="C1866" s="217" t="s">
        <v>37</v>
      </c>
      <c r="D1866" s="217" t="s">
        <v>36</v>
      </c>
      <c r="E1866" s="217" t="s">
        <v>247</v>
      </c>
      <c r="F1866" s="217" t="s">
        <v>246</v>
      </c>
      <c r="G1866" s="217" t="s">
        <v>242</v>
      </c>
      <c r="H1866" s="217" t="s">
        <v>1448</v>
      </c>
      <c r="I1866" s="217" t="s">
        <v>659</v>
      </c>
      <c r="J1866" s="217" t="s">
        <v>1858</v>
      </c>
      <c r="K1866" s="217">
        <v>2</v>
      </c>
      <c r="L1866" s="217">
        <v>10</v>
      </c>
      <c r="M1866" s="217" t="s">
        <v>31</v>
      </c>
      <c r="N1866" s="217" t="s">
        <v>32</v>
      </c>
      <c r="O1866" s="217" t="s">
        <v>141</v>
      </c>
      <c r="P1866" s="217" t="s">
        <v>142</v>
      </c>
      <c r="Q1866" s="217" t="s">
        <v>143</v>
      </c>
      <c r="R1866" s="217" t="s">
        <v>641</v>
      </c>
      <c r="S1866" s="217" t="s">
        <v>642</v>
      </c>
      <c r="T1866" s="217" t="s">
        <v>32</v>
      </c>
      <c r="U1866" s="217" t="s">
        <v>32</v>
      </c>
      <c r="V1866" s="217" t="s">
        <v>32</v>
      </c>
      <c r="W1866" s="217" t="s">
        <v>32</v>
      </c>
    </row>
    <row r="1867" spans="1:23" x14ac:dyDescent="0.25">
      <c r="A1867" s="217" t="s">
        <v>22</v>
      </c>
      <c r="B1867" s="217" t="s">
        <v>23</v>
      </c>
      <c r="C1867" s="217" t="s">
        <v>37</v>
      </c>
      <c r="D1867" s="217" t="s">
        <v>36</v>
      </c>
      <c r="E1867" s="217" t="s">
        <v>247</v>
      </c>
      <c r="F1867" s="217" t="s">
        <v>246</v>
      </c>
      <c r="G1867" s="217" t="s">
        <v>1973</v>
      </c>
      <c r="H1867" s="217" t="s">
        <v>1974</v>
      </c>
      <c r="I1867" s="217" t="s">
        <v>659</v>
      </c>
      <c r="J1867" s="217" t="s">
        <v>1858</v>
      </c>
      <c r="K1867" s="217">
        <v>36</v>
      </c>
      <c r="L1867" s="217">
        <v>184</v>
      </c>
      <c r="M1867" s="217" t="s">
        <v>31</v>
      </c>
      <c r="N1867" s="217" t="s">
        <v>32</v>
      </c>
      <c r="O1867" s="217" t="s">
        <v>141</v>
      </c>
      <c r="P1867" s="217" t="s">
        <v>142</v>
      </c>
      <c r="Q1867" s="217" t="s">
        <v>143</v>
      </c>
      <c r="R1867" s="217" t="s">
        <v>2157</v>
      </c>
      <c r="S1867" s="217" t="s">
        <v>2057</v>
      </c>
      <c r="T1867" s="217" t="s">
        <v>32</v>
      </c>
      <c r="U1867" s="217" t="s">
        <v>32</v>
      </c>
      <c r="V1867" s="217" t="s">
        <v>32</v>
      </c>
      <c r="W1867" s="217" t="s">
        <v>32</v>
      </c>
    </row>
    <row r="1868" spans="1:23" x14ac:dyDescent="0.25">
      <c r="A1868" s="217" t="s">
        <v>22</v>
      </c>
      <c r="B1868" s="217" t="s">
        <v>23</v>
      </c>
      <c r="C1868" s="217" t="s">
        <v>37</v>
      </c>
      <c r="D1868" s="217" t="s">
        <v>36</v>
      </c>
      <c r="E1868" s="217" t="s">
        <v>247</v>
      </c>
      <c r="F1868" s="217" t="s">
        <v>246</v>
      </c>
      <c r="G1868" s="217" t="s">
        <v>584</v>
      </c>
      <c r="H1868" s="217" t="s">
        <v>1449</v>
      </c>
      <c r="I1868" s="217" t="s">
        <v>659</v>
      </c>
      <c r="J1868" s="217" t="s">
        <v>1858</v>
      </c>
      <c r="K1868" s="217">
        <v>5</v>
      </c>
      <c r="L1868" s="217">
        <v>25</v>
      </c>
      <c r="M1868" s="217" t="s">
        <v>31</v>
      </c>
      <c r="N1868" s="217" t="s">
        <v>32</v>
      </c>
      <c r="O1868" s="217" t="s">
        <v>141</v>
      </c>
      <c r="P1868" s="217" t="s">
        <v>142</v>
      </c>
      <c r="Q1868" s="217" t="s">
        <v>143</v>
      </c>
      <c r="R1868" s="217" t="s">
        <v>641</v>
      </c>
      <c r="S1868" s="217" t="s">
        <v>642</v>
      </c>
      <c r="T1868" s="217" t="s">
        <v>32</v>
      </c>
      <c r="U1868" s="217" t="s">
        <v>32</v>
      </c>
      <c r="V1868" s="217" t="s">
        <v>32</v>
      </c>
      <c r="W1868" s="217" t="s">
        <v>32</v>
      </c>
    </row>
    <row r="1869" spans="1:23" x14ac:dyDescent="0.25">
      <c r="A1869" s="217" t="s">
        <v>22</v>
      </c>
      <c r="B1869" s="217" t="s">
        <v>23</v>
      </c>
      <c r="C1869" s="217" t="s">
        <v>37</v>
      </c>
      <c r="D1869" s="217" t="s">
        <v>36</v>
      </c>
      <c r="E1869" s="217" t="s">
        <v>247</v>
      </c>
      <c r="F1869" s="217" t="s">
        <v>246</v>
      </c>
      <c r="G1869" s="217" t="s">
        <v>585</v>
      </c>
      <c r="H1869" s="217" t="s">
        <v>1450</v>
      </c>
      <c r="I1869" s="217" t="s">
        <v>659</v>
      </c>
      <c r="J1869" s="217" t="s">
        <v>1856</v>
      </c>
      <c r="K1869" s="217">
        <v>12</v>
      </c>
      <c r="L1869" s="217">
        <v>62</v>
      </c>
      <c r="M1869" s="217" t="s">
        <v>31</v>
      </c>
      <c r="N1869" s="217" t="s">
        <v>32</v>
      </c>
      <c r="O1869" s="217" t="s">
        <v>668</v>
      </c>
      <c r="P1869" s="217" t="s">
        <v>34</v>
      </c>
      <c r="Q1869" s="217" t="s">
        <v>35</v>
      </c>
      <c r="R1869" s="217" t="s">
        <v>23</v>
      </c>
      <c r="S1869" s="217" t="s">
        <v>22</v>
      </c>
      <c r="T1869" s="217" t="s">
        <v>47</v>
      </c>
      <c r="U1869" s="217" t="s">
        <v>48</v>
      </c>
      <c r="V1869" s="217" t="s">
        <v>32</v>
      </c>
      <c r="W1869" s="217" t="s">
        <v>32</v>
      </c>
    </row>
    <row r="1870" spans="1:23" x14ac:dyDescent="0.25">
      <c r="A1870" s="217" t="s">
        <v>22</v>
      </c>
      <c r="B1870" s="217" t="s">
        <v>23</v>
      </c>
      <c r="C1870" s="217" t="s">
        <v>37</v>
      </c>
      <c r="D1870" s="217" t="s">
        <v>36</v>
      </c>
      <c r="E1870" s="217" t="s">
        <v>247</v>
      </c>
      <c r="F1870" s="217" t="s">
        <v>246</v>
      </c>
      <c r="G1870" s="217" t="s">
        <v>585</v>
      </c>
      <c r="H1870" s="217" t="s">
        <v>1450</v>
      </c>
      <c r="I1870" s="217" t="s">
        <v>659</v>
      </c>
      <c r="J1870" s="217" t="s">
        <v>1857</v>
      </c>
      <c r="K1870" s="217">
        <v>4</v>
      </c>
      <c r="L1870" s="217">
        <v>24</v>
      </c>
      <c r="M1870" s="217" t="s">
        <v>31</v>
      </c>
      <c r="N1870" s="217" t="s">
        <v>32</v>
      </c>
      <c r="O1870" s="217" t="s">
        <v>668</v>
      </c>
      <c r="P1870" s="217" t="s">
        <v>34</v>
      </c>
      <c r="Q1870" s="217" t="s">
        <v>35</v>
      </c>
      <c r="R1870" s="217" t="s">
        <v>23</v>
      </c>
      <c r="S1870" s="217" t="s">
        <v>22</v>
      </c>
      <c r="T1870" s="217" t="s">
        <v>47</v>
      </c>
      <c r="U1870" s="217" t="s">
        <v>48</v>
      </c>
      <c r="V1870" s="217" t="s">
        <v>32</v>
      </c>
      <c r="W1870" s="217" t="s">
        <v>32</v>
      </c>
    </row>
    <row r="1871" spans="1:23" x14ac:dyDescent="0.25">
      <c r="A1871" s="217" t="s">
        <v>22</v>
      </c>
      <c r="B1871" s="217" t="s">
        <v>23</v>
      </c>
      <c r="C1871" s="217" t="s">
        <v>37</v>
      </c>
      <c r="D1871" s="217" t="s">
        <v>36</v>
      </c>
      <c r="E1871" s="217" t="s">
        <v>247</v>
      </c>
      <c r="F1871" s="217" t="s">
        <v>246</v>
      </c>
      <c r="G1871" s="217" t="s">
        <v>586</v>
      </c>
      <c r="H1871" s="217" t="s">
        <v>1451</v>
      </c>
      <c r="I1871" s="217" t="s">
        <v>659</v>
      </c>
      <c r="J1871" s="217" t="s">
        <v>1855</v>
      </c>
      <c r="K1871" s="217">
        <v>12</v>
      </c>
      <c r="L1871" s="217">
        <v>60</v>
      </c>
      <c r="M1871" s="217" t="s">
        <v>31</v>
      </c>
      <c r="N1871" s="217" t="s">
        <v>32</v>
      </c>
      <c r="O1871" s="217" t="s">
        <v>141</v>
      </c>
      <c r="P1871" s="217" t="s">
        <v>142</v>
      </c>
      <c r="Q1871" s="217" t="s">
        <v>143</v>
      </c>
      <c r="R1871" s="217" t="s">
        <v>641</v>
      </c>
      <c r="S1871" s="217" t="s">
        <v>642</v>
      </c>
      <c r="T1871" s="217" t="s">
        <v>32</v>
      </c>
      <c r="U1871" s="217" t="s">
        <v>32</v>
      </c>
      <c r="V1871" s="217" t="s">
        <v>32</v>
      </c>
      <c r="W1871" s="217" t="s">
        <v>32</v>
      </c>
    </row>
    <row r="1872" spans="1:23" x14ac:dyDescent="0.25">
      <c r="A1872" s="217" t="s">
        <v>22</v>
      </c>
      <c r="B1872" s="217" t="s">
        <v>23</v>
      </c>
      <c r="C1872" s="217" t="s">
        <v>37</v>
      </c>
      <c r="D1872" s="217" t="s">
        <v>36</v>
      </c>
      <c r="E1872" s="217" t="s">
        <v>247</v>
      </c>
      <c r="F1872" s="217" t="s">
        <v>246</v>
      </c>
      <c r="G1872" s="217" t="s">
        <v>586</v>
      </c>
      <c r="H1872" s="217" t="s">
        <v>1451</v>
      </c>
      <c r="I1872" s="217" t="s">
        <v>659</v>
      </c>
      <c r="J1872" s="217" t="s">
        <v>1856</v>
      </c>
      <c r="K1872" s="217">
        <v>4</v>
      </c>
      <c r="L1872" s="217">
        <v>20</v>
      </c>
      <c r="M1872" s="217" t="s">
        <v>31</v>
      </c>
      <c r="N1872" s="217" t="s">
        <v>32</v>
      </c>
      <c r="O1872" s="217" t="s">
        <v>141</v>
      </c>
      <c r="P1872" s="217" t="s">
        <v>142</v>
      </c>
      <c r="Q1872" s="217" t="s">
        <v>143</v>
      </c>
      <c r="R1872" s="217" t="s">
        <v>641</v>
      </c>
      <c r="S1872" s="217" t="s">
        <v>642</v>
      </c>
      <c r="T1872" s="217" t="s">
        <v>32</v>
      </c>
      <c r="U1872" s="217" t="s">
        <v>32</v>
      </c>
      <c r="V1872" s="217" t="s">
        <v>32</v>
      </c>
      <c r="W1872" s="217" t="s">
        <v>32</v>
      </c>
    </row>
    <row r="1873" spans="1:23" x14ac:dyDescent="0.25">
      <c r="A1873" s="217" t="s">
        <v>22</v>
      </c>
      <c r="B1873" s="217" t="s">
        <v>23</v>
      </c>
      <c r="C1873" s="217" t="s">
        <v>37</v>
      </c>
      <c r="D1873" s="217" t="s">
        <v>36</v>
      </c>
      <c r="E1873" s="217" t="s">
        <v>247</v>
      </c>
      <c r="F1873" s="217" t="s">
        <v>246</v>
      </c>
      <c r="G1873" s="217" t="s">
        <v>586</v>
      </c>
      <c r="H1873" s="217" t="s">
        <v>1451</v>
      </c>
      <c r="I1873" s="217" t="s">
        <v>659</v>
      </c>
      <c r="J1873" s="217" t="s">
        <v>1858</v>
      </c>
      <c r="K1873" s="217">
        <v>3</v>
      </c>
      <c r="L1873" s="217">
        <v>14</v>
      </c>
      <c r="M1873" s="217" t="s">
        <v>31</v>
      </c>
      <c r="N1873" s="217" t="s">
        <v>32</v>
      </c>
      <c r="O1873" s="217" t="s">
        <v>141</v>
      </c>
      <c r="P1873" s="217" t="s">
        <v>142</v>
      </c>
      <c r="Q1873" s="217" t="s">
        <v>143</v>
      </c>
      <c r="R1873" s="217" t="s">
        <v>641</v>
      </c>
      <c r="S1873" s="217" t="s">
        <v>642</v>
      </c>
      <c r="T1873" s="217" t="s">
        <v>32</v>
      </c>
      <c r="U1873" s="217" t="s">
        <v>32</v>
      </c>
      <c r="V1873" s="217" t="s">
        <v>32</v>
      </c>
      <c r="W1873" s="217" t="s">
        <v>32</v>
      </c>
    </row>
    <row r="1874" spans="1:23" x14ac:dyDescent="0.25">
      <c r="A1874" s="217" t="s">
        <v>22</v>
      </c>
      <c r="B1874" s="217" t="s">
        <v>23</v>
      </c>
      <c r="C1874" s="217" t="s">
        <v>37</v>
      </c>
      <c r="D1874" s="217" t="s">
        <v>36</v>
      </c>
      <c r="E1874" s="217" t="s">
        <v>247</v>
      </c>
      <c r="F1874" s="217" t="s">
        <v>246</v>
      </c>
      <c r="G1874" s="217" t="s">
        <v>248</v>
      </c>
      <c r="H1874" s="217" t="s">
        <v>1452</v>
      </c>
      <c r="I1874" s="217" t="s">
        <v>659</v>
      </c>
      <c r="J1874" s="217" t="s">
        <v>1855</v>
      </c>
      <c r="K1874" s="217">
        <v>15</v>
      </c>
      <c r="L1874" s="217">
        <v>75</v>
      </c>
      <c r="M1874" s="217" t="s">
        <v>31</v>
      </c>
      <c r="N1874" s="217" t="s">
        <v>32</v>
      </c>
      <c r="O1874" s="217" t="s">
        <v>141</v>
      </c>
      <c r="P1874" s="217" t="s">
        <v>142</v>
      </c>
      <c r="Q1874" s="217" t="s">
        <v>143</v>
      </c>
      <c r="R1874" s="217" t="s">
        <v>641</v>
      </c>
      <c r="S1874" s="217" t="s">
        <v>642</v>
      </c>
      <c r="T1874" s="217" t="s">
        <v>32</v>
      </c>
      <c r="U1874" s="217" t="s">
        <v>32</v>
      </c>
      <c r="V1874" s="217" t="s">
        <v>32</v>
      </c>
      <c r="W1874" s="217" t="s">
        <v>32</v>
      </c>
    </row>
    <row r="1875" spans="1:23" x14ac:dyDescent="0.25">
      <c r="A1875" s="217" t="s">
        <v>22</v>
      </c>
      <c r="B1875" s="217" t="s">
        <v>23</v>
      </c>
      <c r="C1875" s="217" t="s">
        <v>37</v>
      </c>
      <c r="D1875" s="217" t="s">
        <v>36</v>
      </c>
      <c r="E1875" s="217" t="s">
        <v>247</v>
      </c>
      <c r="F1875" s="217" t="s">
        <v>246</v>
      </c>
      <c r="G1875" s="217" t="s">
        <v>587</v>
      </c>
      <c r="H1875" s="217" t="s">
        <v>1453</v>
      </c>
      <c r="I1875" s="217" t="s">
        <v>659</v>
      </c>
      <c r="J1875" s="217" t="s">
        <v>1855</v>
      </c>
      <c r="K1875" s="217">
        <v>56</v>
      </c>
      <c r="L1875" s="217">
        <v>336</v>
      </c>
      <c r="M1875" s="217" t="s">
        <v>31</v>
      </c>
      <c r="N1875" s="217" t="s">
        <v>32</v>
      </c>
      <c r="O1875" s="217" t="s">
        <v>668</v>
      </c>
      <c r="P1875" s="217" t="s">
        <v>34</v>
      </c>
      <c r="Q1875" s="217" t="s">
        <v>35</v>
      </c>
      <c r="R1875" s="217" t="s">
        <v>23</v>
      </c>
      <c r="S1875" s="217" t="s">
        <v>22</v>
      </c>
      <c r="T1875" s="217" t="s">
        <v>47</v>
      </c>
      <c r="U1875" s="217" t="s">
        <v>48</v>
      </c>
      <c r="V1875" s="217" t="s">
        <v>32</v>
      </c>
      <c r="W1875" s="217" t="s">
        <v>32</v>
      </c>
    </row>
    <row r="1876" spans="1:23" x14ac:dyDescent="0.25">
      <c r="A1876" s="217" t="s">
        <v>22</v>
      </c>
      <c r="B1876" s="217" t="s">
        <v>23</v>
      </c>
      <c r="C1876" s="217" t="s">
        <v>37</v>
      </c>
      <c r="D1876" s="217" t="s">
        <v>36</v>
      </c>
      <c r="E1876" s="217" t="s">
        <v>247</v>
      </c>
      <c r="F1876" s="217" t="s">
        <v>246</v>
      </c>
      <c r="G1876" s="217" t="s">
        <v>587</v>
      </c>
      <c r="H1876" s="217" t="s">
        <v>1453</v>
      </c>
      <c r="I1876" s="217" t="s">
        <v>659</v>
      </c>
      <c r="J1876" s="217" t="s">
        <v>1856</v>
      </c>
      <c r="K1876" s="217">
        <v>44</v>
      </c>
      <c r="L1876" s="217">
        <v>220</v>
      </c>
      <c r="M1876" s="217" t="s">
        <v>31</v>
      </c>
      <c r="N1876" s="217" t="s">
        <v>32</v>
      </c>
      <c r="O1876" s="217" t="s">
        <v>668</v>
      </c>
      <c r="P1876" s="217" t="s">
        <v>34</v>
      </c>
      <c r="Q1876" s="217" t="s">
        <v>35</v>
      </c>
      <c r="R1876" s="217" t="s">
        <v>23</v>
      </c>
      <c r="S1876" s="217" t="s">
        <v>22</v>
      </c>
      <c r="T1876" s="217" t="s">
        <v>47</v>
      </c>
      <c r="U1876" s="217" t="s">
        <v>48</v>
      </c>
      <c r="V1876" s="217" t="s">
        <v>32</v>
      </c>
      <c r="W1876" s="217" t="s">
        <v>32</v>
      </c>
    </row>
    <row r="1877" spans="1:23" x14ac:dyDescent="0.25">
      <c r="A1877" s="217" t="s">
        <v>22</v>
      </c>
      <c r="B1877" s="217" t="s">
        <v>23</v>
      </c>
      <c r="C1877" s="217" t="s">
        <v>37</v>
      </c>
      <c r="D1877" s="217" t="s">
        <v>36</v>
      </c>
      <c r="E1877" s="217" t="s">
        <v>247</v>
      </c>
      <c r="F1877" s="217" t="s">
        <v>246</v>
      </c>
      <c r="G1877" s="217" t="s">
        <v>587</v>
      </c>
      <c r="H1877" s="217" t="s">
        <v>1453</v>
      </c>
      <c r="I1877" s="217" t="s">
        <v>659</v>
      </c>
      <c r="J1877" s="217" t="s">
        <v>1857</v>
      </c>
      <c r="K1877" s="217">
        <v>27</v>
      </c>
      <c r="L1877" s="217">
        <v>130</v>
      </c>
      <c r="M1877" s="217" t="s">
        <v>31</v>
      </c>
      <c r="N1877" s="217" t="s">
        <v>32</v>
      </c>
      <c r="O1877" s="217" t="s">
        <v>668</v>
      </c>
      <c r="P1877" s="217" t="s">
        <v>34</v>
      </c>
      <c r="Q1877" s="217" t="s">
        <v>35</v>
      </c>
      <c r="R1877" s="217" t="s">
        <v>23</v>
      </c>
      <c r="S1877" s="217" t="s">
        <v>22</v>
      </c>
      <c r="T1877" s="217" t="s">
        <v>36</v>
      </c>
      <c r="U1877" s="217" t="s">
        <v>37</v>
      </c>
      <c r="V1877" s="217" t="s">
        <v>32</v>
      </c>
      <c r="W1877" s="217" t="s">
        <v>32</v>
      </c>
    </row>
    <row r="1878" spans="1:23" x14ac:dyDescent="0.25">
      <c r="A1878" s="217" t="s">
        <v>22</v>
      </c>
      <c r="B1878" s="217" t="s">
        <v>23</v>
      </c>
      <c r="C1878" s="217" t="s">
        <v>37</v>
      </c>
      <c r="D1878" s="217" t="s">
        <v>36</v>
      </c>
      <c r="E1878" s="217" t="s">
        <v>247</v>
      </c>
      <c r="F1878" s="217" t="s">
        <v>246</v>
      </c>
      <c r="G1878" s="217" t="s">
        <v>251</v>
      </c>
      <c r="H1878" s="217" t="s">
        <v>1454</v>
      </c>
      <c r="I1878" s="217" t="s">
        <v>659</v>
      </c>
      <c r="J1878" s="217" t="s">
        <v>1856</v>
      </c>
      <c r="K1878" s="217">
        <v>5</v>
      </c>
      <c r="L1878" s="217">
        <v>25</v>
      </c>
      <c r="M1878" s="217" t="s">
        <v>31</v>
      </c>
      <c r="N1878" s="217" t="s">
        <v>32</v>
      </c>
      <c r="O1878" s="217" t="s">
        <v>668</v>
      </c>
      <c r="P1878" s="217" t="s">
        <v>34</v>
      </c>
      <c r="Q1878" s="217" t="s">
        <v>35</v>
      </c>
      <c r="R1878" s="217" t="s">
        <v>23</v>
      </c>
      <c r="S1878" s="217" t="s">
        <v>22</v>
      </c>
      <c r="T1878" s="217" t="s">
        <v>47</v>
      </c>
      <c r="U1878" s="217" t="s">
        <v>48</v>
      </c>
      <c r="V1878" s="217" t="s">
        <v>32</v>
      </c>
      <c r="W1878" s="217" t="s">
        <v>32</v>
      </c>
    </row>
    <row r="1879" spans="1:23" x14ac:dyDescent="0.25">
      <c r="A1879" s="217" t="s">
        <v>22</v>
      </c>
      <c r="B1879" s="217" t="s">
        <v>23</v>
      </c>
      <c r="C1879" s="217" t="s">
        <v>37</v>
      </c>
      <c r="D1879" s="217" t="s">
        <v>36</v>
      </c>
      <c r="E1879" s="217" t="s">
        <v>247</v>
      </c>
      <c r="F1879" s="217" t="s">
        <v>246</v>
      </c>
      <c r="G1879" s="217" t="s">
        <v>251</v>
      </c>
      <c r="H1879" s="217" t="s">
        <v>1454</v>
      </c>
      <c r="I1879" s="217" t="s">
        <v>659</v>
      </c>
      <c r="J1879" s="217" t="s">
        <v>1857</v>
      </c>
      <c r="K1879" s="217">
        <v>3</v>
      </c>
      <c r="L1879" s="217">
        <v>20</v>
      </c>
      <c r="M1879" s="217" t="s">
        <v>31</v>
      </c>
      <c r="N1879" s="217" t="s">
        <v>32</v>
      </c>
      <c r="O1879" s="217" t="s">
        <v>668</v>
      </c>
      <c r="P1879" s="217" t="s">
        <v>34</v>
      </c>
      <c r="Q1879" s="217" t="s">
        <v>35</v>
      </c>
      <c r="R1879" s="217" t="s">
        <v>23</v>
      </c>
      <c r="S1879" s="217" t="s">
        <v>22</v>
      </c>
      <c r="T1879" s="217" t="s">
        <v>36</v>
      </c>
      <c r="U1879" s="217" t="s">
        <v>37</v>
      </c>
      <c r="V1879" s="217" t="s">
        <v>32</v>
      </c>
      <c r="W1879" s="217" t="s">
        <v>32</v>
      </c>
    </row>
    <row r="1880" spans="1:23" x14ac:dyDescent="0.25">
      <c r="A1880" s="217" t="s">
        <v>22</v>
      </c>
      <c r="B1880" s="217" t="s">
        <v>23</v>
      </c>
      <c r="C1880" s="217" t="s">
        <v>37</v>
      </c>
      <c r="D1880" s="217" t="s">
        <v>36</v>
      </c>
      <c r="E1880" s="217" t="s">
        <v>247</v>
      </c>
      <c r="F1880" s="217" t="s">
        <v>246</v>
      </c>
      <c r="G1880" s="217" t="s">
        <v>251</v>
      </c>
      <c r="H1880" s="217" t="s">
        <v>1454</v>
      </c>
      <c r="I1880" s="217" t="s">
        <v>659</v>
      </c>
      <c r="J1880" s="217" t="s">
        <v>1855</v>
      </c>
      <c r="K1880" s="217">
        <v>15</v>
      </c>
      <c r="L1880" s="217">
        <v>75</v>
      </c>
      <c r="M1880" s="217" t="s">
        <v>31</v>
      </c>
      <c r="N1880" s="217" t="s">
        <v>32</v>
      </c>
      <c r="O1880" s="217" t="s">
        <v>141</v>
      </c>
      <c r="P1880" s="217" t="s">
        <v>142</v>
      </c>
      <c r="Q1880" s="217" t="s">
        <v>143</v>
      </c>
      <c r="R1880" s="217" t="s">
        <v>1850</v>
      </c>
      <c r="S1880" s="217" t="s">
        <v>1851</v>
      </c>
      <c r="T1880" s="217" t="s">
        <v>32</v>
      </c>
      <c r="U1880" s="217" t="s">
        <v>32</v>
      </c>
      <c r="V1880" s="217" t="s">
        <v>32</v>
      </c>
      <c r="W1880" s="217" t="s">
        <v>32</v>
      </c>
    </row>
    <row r="1881" spans="1:23" x14ac:dyDescent="0.25">
      <c r="A1881" s="217" t="s">
        <v>22</v>
      </c>
      <c r="B1881" s="217" t="s">
        <v>23</v>
      </c>
      <c r="C1881" s="217" t="s">
        <v>37</v>
      </c>
      <c r="D1881" s="217" t="s">
        <v>36</v>
      </c>
      <c r="E1881" s="217" t="s">
        <v>247</v>
      </c>
      <c r="F1881" s="217" t="s">
        <v>246</v>
      </c>
      <c r="G1881" s="217" t="s">
        <v>588</v>
      </c>
      <c r="H1881" s="217" t="s">
        <v>1455</v>
      </c>
      <c r="I1881" s="217" t="s">
        <v>659</v>
      </c>
      <c r="J1881" s="217" t="s">
        <v>1856</v>
      </c>
      <c r="K1881" s="217">
        <v>6</v>
      </c>
      <c r="L1881" s="217">
        <v>32</v>
      </c>
      <c r="M1881" s="217" t="s">
        <v>31</v>
      </c>
      <c r="N1881" s="217" t="s">
        <v>32</v>
      </c>
      <c r="O1881" s="217" t="s">
        <v>668</v>
      </c>
      <c r="P1881" s="217" t="s">
        <v>34</v>
      </c>
      <c r="Q1881" s="217" t="s">
        <v>35</v>
      </c>
      <c r="R1881" s="217" t="s">
        <v>23</v>
      </c>
      <c r="S1881" s="217" t="s">
        <v>22</v>
      </c>
      <c r="T1881" s="217" t="s">
        <v>36</v>
      </c>
      <c r="U1881" s="217" t="s">
        <v>37</v>
      </c>
      <c r="V1881" s="217" t="s">
        <v>32</v>
      </c>
      <c r="W1881" s="217" t="s">
        <v>32</v>
      </c>
    </row>
    <row r="1882" spans="1:23" x14ac:dyDescent="0.25">
      <c r="A1882" s="217" t="s">
        <v>22</v>
      </c>
      <c r="B1882" s="217" t="s">
        <v>23</v>
      </c>
      <c r="C1882" s="217" t="s">
        <v>37</v>
      </c>
      <c r="D1882" s="217" t="s">
        <v>36</v>
      </c>
      <c r="E1882" s="217" t="s">
        <v>247</v>
      </c>
      <c r="F1882" s="217" t="s">
        <v>246</v>
      </c>
      <c r="G1882" s="217" t="s">
        <v>589</v>
      </c>
      <c r="H1882" s="217" t="s">
        <v>1456</v>
      </c>
      <c r="I1882" s="217" t="s">
        <v>659</v>
      </c>
      <c r="J1882" s="217" t="s">
        <v>1855</v>
      </c>
      <c r="K1882" s="217">
        <v>5</v>
      </c>
      <c r="L1882" s="217">
        <v>25</v>
      </c>
      <c r="M1882" s="217" t="s">
        <v>31</v>
      </c>
      <c r="N1882" s="217" t="s">
        <v>32</v>
      </c>
      <c r="O1882" s="217" t="s">
        <v>668</v>
      </c>
      <c r="P1882" s="217" t="s">
        <v>34</v>
      </c>
      <c r="Q1882" s="217" t="s">
        <v>35</v>
      </c>
      <c r="R1882" s="217" t="s">
        <v>23</v>
      </c>
      <c r="S1882" s="217" t="s">
        <v>22</v>
      </c>
      <c r="T1882" s="217" t="s">
        <v>36</v>
      </c>
      <c r="U1882" s="217" t="s">
        <v>37</v>
      </c>
      <c r="V1882" s="217" t="s">
        <v>32</v>
      </c>
      <c r="W1882" s="217" t="s">
        <v>32</v>
      </c>
    </row>
    <row r="1883" spans="1:23" x14ac:dyDescent="0.25">
      <c r="A1883" s="217" t="s">
        <v>22</v>
      </c>
      <c r="B1883" s="217" t="s">
        <v>23</v>
      </c>
      <c r="C1883" s="217" t="s">
        <v>37</v>
      </c>
      <c r="D1883" s="217" t="s">
        <v>36</v>
      </c>
      <c r="E1883" s="217" t="s">
        <v>247</v>
      </c>
      <c r="F1883" s="217" t="s">
        <v>246</v>
      </c>
      <c r="G1883" s="217" t="s">
        <v>589</v>
      </c>
      <c r="H1883" s="217" t="s">
        <v>1456</v>
      </c>
      <c r="I1883" s="217" t="s">
        <v>659</v>
      </c>
      <c r="J1883" s="217" t="s">
        <v>1856</v>
      </c>
      <c r="K1883" s="217">
        <v>5</v>
      </c>
      <c r="L1883" s="217">
        <v>30</v>
      </c>
      <c r="M1883" s="217" t="s">
        <v>31</v>
      </c>
      <c r="N1883" s="217" t="s">
        <v>32</v>
      </c>
      <c r="O1883" s="217" t="s">
        <v>668</v>
      </c>
      <c r="P1883" s="217" t="s">
        <v>34</v>
      </c>
      <c r="Q1883" s="217" t="s">
        <v>35</v>
      </c>
      <c r="R1883" s="217" t="s">
        <v>23</v>
      </c>
      <c r="S1883" s="217" t="s">
        <v>22</v>
      </c>
      <c r="T1883" s="217" t="s">
        <v>36</v>
      </c>
      <c r="U1883" s="217" t="s">
        <v>37</v>
      </c>
      <c r="V1883" s="217" t="s">
        <v>32</v>
      </c>
      <c r="W1883" s="217" t="s">
        <v>32</v>
      </c>
    </row>
    <row r="1884" spans="1:23" x14ac:dyDescent="0.25">
      <c r="A1884" s="217" t="s">
        <v>22</v>
      </c>
      <c r="B1884" s="217" t="s">
        <v>23</v>
      </c>
      <c r="C1884" s="217" t="s">
        <v>37</v>
      </c>
      <c r="D1884" s="217" t="s">
        <v>36</v>
      </c>
      <c r="E1884" s="217" t="s">
        <v>247</v>
      </c>
      <c r="F1884" s="217" t="s">
        <v>246</v>
      </c>
      <c r="G1884" s="217" t="s">
        <v>1968</v>
      </c>
      <c r="H1884" s="217" t="s">
        <v>1457</v>
      </c>
      <c r="I1884" s="217" t="s">
        <v>659</v>
      </c>
      <c r="J1884" s="217" t="s">
        <v>1855</v>
      </c>
      <c r="K1884" s="217">
        <v>6</v>
      </c>
      <c r="L1884" s="217">
        <v>37</v>
      </c>
      <c r="M1884" s="217" t="s">
        <v>31</v>
      </c>
      <c r="N1884" s="217" t="s">
        <v>32</v>
      </c>
      <c r="O1884" s="217" t="s">
        <v>141</v>
      </c>
      <c r="P1884" s="217" t="s">
        <v>142</v>
      </c>
      <c r="Q1884" s="217" t="s">
        <v>143</v>
      </c>
      <c r="R1884" s="217" t="s">
        <v>641</v>
      </c>
      <c r="S1884" s="217" t="s">
        <v>642</v>
      </c>
      <c r="T1884" s="217" t="s">
        <v>32</v>
      </c>
      <c r="U1884" s="217" t="s">
        <v>32</v>
      </c>
      <c r="V1884" s="217" t="s">
        <v>32</v>
      </c>
      <c r="W1884" s="217" t="s">
        <v>32</v>
      </c>
    </row>
    <row r="1885" spans="1:23" x14ac:dyDescent="0.25">
      <c r="A1885" s="217" t="s">
        <v>22</v>
      </c>
      <c r="B1885" s="217" t="s">
        <v>23</v>
      </c>
      <c r="C1885" s="217" t="s">
        <v>37</v>
      </c>
      <c r="D1885" s="217" t="s">
        <v>36</v>
      </c>
      <c r="E1885" s="217" t="s">
        <v>247</v>
      </c>
      <c r="F1885" s="217" t="s">
        <v>246</v>
      </c>
      <c r="G1885" s="217" t="s">
        <v>1968</v>
      </c>
      <c r="H1885" s="217" t="s">
        <v>1457</v>
      </c>
      <c r="I1885" s="217" t="s">
        <v>659</v>
      </c>
      <c r="J1885" s="217" t="s">
        <v>1856</v>
      </c>
      <c r="K1885" s="217">
        <v>2</v>
      </c>
      <c r="L1885" s="217">
        <v>14</v>
      </c>
      <c r="M1885" s="217" t="s">
        <v>31</v>
      </c>
      <c r="N1885" s="217" t="s">
        <v>32</v>
      </c>
      <c r="O1885" s="217" t="s">
        <v>141</v>
      </c>
      <c r="P1885" s="217" t="s">
        <v>142</v>
      </c>
      <c r="Q1885" s="217" t="s">
        <v>143</v>
      </c>
      <c r="R1885" s="217" t="s">
        <v>641</v>
      </c>
      <c r="S1885" s="217" t="s">
        <v>642</v>
      </c>
      <c r="T1885" s="217" t="s">
        <v>32</v>
      </c>
      <c r="U1885" s="217" t="s">
        <v>32</v>
      </c>
      <c r="V1885" s="217" t="s">
        <v>32</v>
      </c>
      <c r="W1885" s="217" t="s">
        <v>32</v>
      </c>
    </row>
    <row r="1886" spans="1:23" x14ac:dyDescent="0.25">
      <c r="A1886" s="217" t="s">
        <v>22</v>
      </c>
      <c r="B1886" s="217" t="s">
        <v>23</v>
      </c>
      <c r="C1886" s="217" t="s">
        <v>37</v>
      </c>
      <c r="D1886" s="217" t="s">
        <v>36</v>
      </c>
      <c r="E1886" s="217" t="s">
        <v>247</v>
      </c>
      <c r="F1886" s="217" t="s">
        <v>246</v>
      </c>
      <c r="G1886" s="217" t="s">
        <v>1968</v>
      </c>
      <c r="H1886" s="217" t="s">
        <v>1457</v>
      </c>
      <c r="I1886" s="217" t="s">
        <v>659</v>
      </c>
      <c r="J1886" s="217" t="s">
        <v>1857</v>
      </c>
      <c r="K1886" s="217">
        <v>2</v>
      </c>
      <c r="L1886" s="217">
        <v>11</v>
      </c>
      <c r="M1886" s="217" t="s">
        <v>31</v>
      </c>
      <c r="N1886" s="217" t="s">
        <v>32</v>
      </c>
      <c r="O1886" s="217" t="s">
        <v>141</v>
      </c>
      <c r="P1886" s="217" t="s">
        <v>142</v>
      </c>
      <c r="Q1886" s="217" t="s">
        <v>143</v>
      </c>
      <c r="R1886" s="217" t="s">
        <v>641</v>
      </c>
      <c r="S1886" s="217" t="s">
        <v>642</v>
      </c>
      <c r="T1886" s="217" t="s">
        <v>32</v>
      </c>
      <c r="U1886" s="217" t="s">
        <v>32</v>
      </c>
      <c r="V1886" s="217" t="s">
        <v>32</v>
      </c>
      <c r="W1886" s="217" t="s">
        <v>32</v>
      </c>
    </row>
    <row r="1887" spans="1:23" x14ac:dyDescent="0.25">
      <c r="A1887" s="217" t="s">
        <v>22</v>
      </c>
      <c r="B1887" s="217" t="s">
        <v>23</v>
      </c>
      <c r="C1887" s="217" t="s">
        <v>37</v>
      </c>
      <c r="D1887" s="217" t="s">
        <v>36</v>
      </c>
      <c r="E1887" s="217" t="s">
        <v>247</v>
      </c>
      <c r="F1887" s="217" t="s">
        <v>246</v>
      </c>
      <c r="G1887" s="217" t="s">
        <v>1968</v>
      </c>
      <c r="H1887" s="217" t="s">
        <v>1457</v>
      </c>
      <c r="I1887" s="217" t="s">
        <v>659</v>
      </c>
      <c r="J1887" s="217" t="s">
        <v>1858</v>
      </c>
      <c r="K1887" s="217">
        <v>1</v>
      </c>
      <c r="L1887" s="217">
        <v>5</v>
      </c>
      <c r="M1887" s="217" t="s">
        <v>31</v>
      </c>
      <c r="N1887" s="217" t="s">
        <v>32</v>
      </c>
      <c r="O1887" s="217" t="s">
        <v>141</v>
      </c>
      <c r="P1887" s="217" t="s">
        <v>142</v>
      </c>
      <c r="Q1887" s="217" t="s">
        <v>143</v>
      </c>
      <c r="R1887" s="217" t="s">
        <v>641</v>
      </c>
      <c r="S1887" s="217" t="s">
        <v>642</v>
      </c>
      <c r="T1887" s="217" t="s">
        <v>32</v>
      </c>
      <c r="U1887" s="217" t="s">
        <v>32</v>
      </c>
      <c r="V1887" s="217" t="s">
        <v>32</v>
      </c>
      <c r="W1887" s="217" t="s">
        <v>32</v>
      </c>
    </row>
    <row r="1888" spans="1:23" x14ac:dyDescent="0.25">
      <c r="A1888" s="217" t="s">
        <v>22</v>
      </c>
      <c r="B1888" s="217" t="s">
        <v>23</v>
      </c>
      <c r="C1888" s="217" t="s">
        <v>37</v>
      </c>
      <c r="D1888" s="217" t="s">
        <v>36</v>
      </c>
      <c r="E1888" s="217" t="s">
        <v>247</v>
      </c>
      <c r="F1888" s="217" t="s">
        <v>246</v>
      </c>
      <c r="G1888" s="217" t="s">
        <v>590</v>
      </c>
      <c r="H1888" s="217" t="s">
        <v>1458</v>
      </c>
      <c r="I1888" s="217" t="s">
        <v>659</v>
      </c>
      <c r="J1888" s="217" t="s">
        <v>1856</v>
      </c>
      <c r="K1888" s="217">
        <v>2</v>
      </c>
      <c r="L1888" s="217">
        <v>14</v>
      </c>
      <c r="M1888" s="217" t="s">
        <v>31</v>
      </c>
      <c r="N1888" s="217" t="s">
        <v>32</v>
      </c>
      <c r="O1888" s="217" t="s">
        <v>141</v>
      </c>
      <c r="P1888" s="217" t="s">
        <v>142</v>
      </c>
      <c r="Q1888" s="217" t="s">
        <v>143</v>
      </c>
      <c r="R1888" s="217" t="s">
        <v>641</v>
      </c>
      <c r="S1888" s="217" t="s">
        <v>642</v>
      </c>
      <c r="T1888" s="217" t="s">
        <v>32</v>
      </c>
      <c r="U1888" s="217" t="s">
        <v>32</v>
      </c>
      <c r="V1888" s="217" t="s">
        <v>32</v>
      </c>
      <c r="W1888" s="217" t="s">
        <v>32</v>
      </c>
    </row>
    <row r="1889" spans="1:23" x14ac:dyDescent="0.25">
      <c r="A1889" s="217" t="s">
        <v>22</v>
      </c>
      <c r="B1889" s="217" t="s">
        <v>23</v>
      </c>
      <c r="C1889" s="217" t="s">
        <v>37</v>
      </c>
      <c r="D1889" s="217" t="s">
        <v>36</v>
      </c>
      <c r="E1889" s="217" t="s">
        <v>247</v>
      </c>
      <c r="F1889" s="217" t="s">
        <v>246</v>
      </c>
      <c r="G1889" s="217" t="s">
        <v>590</v>
      </c>
      <c r="H1889" s="217" t="s">
        <v>1458</v>
      </c>
      <c r="I1889" s="217" t="s">
        <v>659</v>
      </c>
      <c r="J1889" s="217" t="s">
        <v>1858</v>
      </c>
      <c r="K1889" s="217">
        <v>33</v>
      </c>
      <c r="L1889" s="217">
        <v>264</v>
      </c>
      <c r="M1889" s="217" t="s">
        <v>31</v>
      </c>
      <c r="N1889" s="217" t="s">
        <v>32</v>
      </c>
      <c r="O1889" s="217" t="s">
        <v>141</v>
      </c>
      <c r="P1889" s="217" t="s">
        <v>142</v>
      </c>
      <c r="Q1889" s="217" t="s">
        <v>143</v>
      </c>
      <c r="R1889" s="217" t="s">
        <v>641</v>
      </c>
      <c r="S1889" s="217" t="s">
        <v>642</v>
      </c>
      <c r="T1889" s="217" t="s">
        <v>32</v>
      </c>
      <c r="U1889" s="217" t="s">
        <v>32</v>
      </c>
      <c r="V1889" s="217" t="s">
        <v>32</v>
      </c>
      <c r="W1889" s="217" t="s">
        <v>32</v>
      </c>
    </row>
    <row r="1890" spans="1:23" x14ac:dyDescent="0.25">
      <c r="A1890" s="217" t="s">
        <v>22</v>
      </c>
      <c r="B1890" s="217" t="s">
        <v>23</v>
      </c>
      <c r="C1890" s="217" t="s">
        <v>37</v>
      </c>
      <c r="D1890" s="217" t="s">
        <v>36</v>
      </c>
      <c r="E1890" s="217" t="s">
        <v>247</v>
      </c>
      <c r="F1890" s="217" t="s">
        <v>246</v>
      </c>
      <c r="G1890" s="217" t="s">
        <v>590</v>
      </c>
      <c r="H1890" s="217" t="s">
        <v>1458</v>
      </c>
      <c r="I1890" s="217" t="s">
        <v>659</v>
      </c>
      <c r="J1890" s="217" t="s">
        <v>1855</v>
      </c>
      <c r="K1890" s="217">
        <v>6</v>
      </c>
      <c r="L1890" s="217">
        <v>48</v>
      </c>
      <c r="M1890" s="217" t="s">
        <v>31</v>
      </c>
      <c r="N1890" s="217" t="s">
        <v>32</v>
      </c>
      <c r="O1890" s="217" t="s">
        <v>141</v>
      </c>
      <c r="P1890" s="217" t="s">
        <v>142</v>
      </c>
      <c r="Q1890" s="217" t="s">
        <v>143</v>
      </c>
      <c r="R1890" s="217" t="s">
        <v>2158</v>
      </c>
      <c r="S1890" s="217" t="s">
        <v>2055</v>
      </c>
      <c r="T1890" s="217" t="s">
        <v>32</v>
      </c>
      <c r="U1890" s="217" t="s">
        <v>32</v>
      </c>
      <c r="V1890" s="217" t="s">
        <v>32</v>
      </c>
      <c r="W1890" s="217" t="s">
        <v>32</v>
      </c>
    </row>
    <row r="1891" spans="1:23" x14ac:dyDescent="0.25">
      <c r="A1891" s="217" t="s">
        <v>22</v>
      </c>
      <c r="B1891" s="217" t="s">
        <v>23</v>
      </c>
      <c r="C1891" s="217" t="s">
        <v>37</v>
      </c>
      <c r="D1891" s="217" t="s">
        <v>36</v>
      </c>
      <c r="E1891" s="217" t="s">
        <v>247</v>
      </c>
      <c r="F1891" s="217" t="s">
        <v>246</v>
      </c>
      <c r="G1891" s="217" t="s">
        <v>590</v>
      </c>
      <c r="H1891" s="217" t="s">
        <v>1458</v>
      </c>
      <c r="I1891" s="217" t="s">
        <v>659</v>
      </c>
      <c r="J1891" s="217" t="s">
        <v>1857</v>
      </c>
      <c r="K1891" s="217">
        <v>19</v>
      </c>
      <c r="L1891" s="217">
        <v>152</v>
      </c>
      <c r="M1891" s="217" t="s">
        <v>31</v>
      </c>
      <c r="N1891" s="217" t="s">
        <v>32</v>
      </c>
      <c r="O1891" s="217" t="s">
        <v>141</v>
      </c>
      <c r="P1891" s="217" t="s">
        <v>142</v>
      </c>
      <c r="Q1891" s="217" t="s">
        <v>143</v>
      </c>
      <c r="R1891" s="217" t="s">
        <v>618</v>
      </c>
      <c r="S1891" s="217" t="s">
        <v>619</v>
      </c>
      <c r="T1891" s="217" t="s">
        <v>32</v>
      </c>
      <c r="U1891" s="217" t="s">
        <v>32</v>
      </c>
      <c r="V1891" s="217" t="s">
        <v>32</v>
      </c>
      <c r="W1891" s="217" t="s">
        <v>32</v>
      </c>
    </row>
    <row r="1892" spans="1:23" x14ac:dyDescent="0.25">
      <c r="A1892" s="217" t="s">
        <v>22</v>
      </c>
      <c r="B1892" s="217" t="s">
        <v>23</v>
      </c>
      <c r="C1892" s="217" t="s">
        <v>37</v>
      </c>
      <c r="D1892" s="217" t="s">
        <v>36</v>
      </c>
      <c r="E1892" s="217" t="s">
        <v>247</v>
      </c>
      <c r="F1892" s="217" t="s">
        <v>246</v>
      </c>
      <c r="G1892" s="217" t="s">
        <v>591</v>
      </c>
      <c r="H1892" s="217" t="s">
        <v>1459</v>
      </c>
      <c r="I1892" s="217" t="s">
        <v>659</v>
      </c>
      <c r="J1892" s="217" t="s">
        <v>1855</v>
      </c>
      <c r="K1892" s="217">
        <v>4</v>
      </c>
      <c r="L1892" s="217">
        <v>25</v>
      </c>
      <c r="M1892" s="217" t="s">
        <v>31</v>
      </c>
      <c r="N1892" s="217" t="s">
        <v>32</v>
      </c>
      <c r="O1892" s="217" t="s">
        <v>141</v>
      </c>
      <c r="P1892" s="217" t="s">
        <v>142</v>
      </c>
      <c r="Q1892" s="217" t="s">
        <v>143</v>
      </c>
      <c r="R1892" s="217" t="s">
        <v>618</v>
      </c>
      <c r="S1892" s="217" t="s">
        <v>619</v>
      </c>
      <c r="T1892" s="217" t="s">
        <v>32</v>
      </c>
      <c r="U1892" s="217" t="s">
        <v>32</v>
      </c>
      <c r="V1892" s="217" t="s">
        <v>32</v>
      </c>
      <c r="W1892" s="217" t="s">
        <v>32</v>
      </c>
    </row>
    <row r="1893" spans="1:23" x14ac:dyDescent="0.25">
      <c r="A1893" s="217" t="s">
        <v>22</v>
      </c>
      <c r="B1893" s="217" t="s">
        <v>23</v>
      </c>
      <c r="C1893" s="217" t="s">
        <v>37</v>
      </c>
      <c r="D1893" s="217" t="s">
        <v>36</v>
      </c>
      <c r="E1893" s="217" t="s">
        <v>247</v>
      </c>
      <c r="F1893" s="217" t="s">
        <v>246</v>
      </c>
      <c r="G1893" s="217" t="s">
        <v>591</v>
      </c>
      <c r="H1893" s="217" t="s">
        <v>1459</v>
      </c>
      <c r="I1893" s="217" t="s">
        <v>659</v>
      </c>
      <c r="J1893" s="217" t="s">
        <v>1856</v>
      </c>
      <c r="K1893" s="217">
        <v>2</v>
      </c>
      <c r="L1893" s="217">
        <v>10</v>
      </c>
      <c r="M1893" s="217" t="s">
        <v>31</v>
      </c>
      <c r="N1893" s="217" t="s">
        <v>32</v>
      </c>
      <c r="O1893" s="217" t="s">
        <v>141</v>
      </c>
      <c r="P1893" s="217" t="s">
        <v>142</v>
      </c>
      <c r="Q1893" s="217" t="s">
        <v>143</v>
      </c>
      <c r="R1893" s="217" t="s">
        <v>618</v>
      </c>
      <c r="S1893" s="217" t="s">
        <v>619</v>
      </c>
      <c r="T1893" s="217" t="s">
        <v>32</v>
      </c>
      <c r="U1893" s="217" t="s">
        <v>32</v>
      </c>
      <c r="V1893" s="217" t="s">
        <v>32</v>
      </c>
      <c r="W1893" s="217" t="s">
        <v>32</v>
      </c>
    </row>
    <row r="1894" spans="1:23" x14ac:dyDescent="0.25">
      <c r="A1894" s="217" t="s">
        <v>22</v>
      </c>
      <c r="B1894" s="217" t="s">
        <v>23</v>
      </c>
      <c r="C1894" s="217" t="s">
        <v>37</v>
      </c>
      <c r="D1894" s="217" t="s">
        <v>36</v>
      </c>
      <c r="E1894" s="217" t="s">
        <v>247</v>
      </c>
      <c r="F1894" s="217" t="s">
        <v>246</v>
      </c>
      <c r="G1894" s="217" t="s">
        <v>591</v>
      </c>
      <c r="H1894" s="217" t="s">
        <v>1459</v>
      </c>
      <c r="I1894" s="217" t="s">
        <v>659</v>
      </c>
      <c r="J1894" s="217" t="s">
        <v>1857</v>
      </c>
      <c r="K1894" s="217">
        <v>1</v>
      </c>
      <c r="L1894" s="217">
        <v>6</v>
      </c>
      <c r="M1894" s="217" t="s">
        <v>31</v>
      </c>
      <c r="N1894" s="217" t="s">
        <v>32</v>
      </c>
      <c r="O1894" s="217" t="s">
        <v>141</v>
      </c>
      <c r="P1894" s="217" t="s">
        <v>142</v>
      </c>
      <c r="Q1894" s="217" t="s">
        <v>143</v>
      </c>
      <c r="R1894" s="217" t="s">
        <v>618</v>
      </c>
      <c r="S1894" s="217" t="s">
        <v>619</v>
      </c>
      <c r="T1894" s="217" t="s">
        <v>32</v>
      </c>
      <c r="U1894" s="217" t="s">
        <v>32</v>
      </c>
      <c r="V1894" s="217" t="s">
        <v>32</v>
      </c>
      <c r="W1894" s="217" t="s">
        <v>32</v>
      </c>
    </row>
    <row r="1895" spans="1:23" x14ac:dyDescent="0.25">
      <c r="A1895" s="217" t="s">
        <v>22</v>
      </c>
      <c r="B1895" s="217" t="s">
        <v>23</v>
      </c>
      <c r="C1895" s="217" t="s">
        <v>37</v>
      </c>
      <c r="D1895" s="217" t="s">
        <v>36</v>
      </c>
      <c r="E1895" s="217" t="s">
        <v>247</v>
      </c>
      <c r="F1895" s="217" t="s">
        <v>246</v>
      </c>
      <c r="G1895" s="217" t="s">
        <v>593</v>
      </c>
      <c r="H1895" s="217" t="s">
        <v>1461</v>
      </c>
      <c r="I1895" s="217" t="s">
        <v>659</v>
      </c>
      <c r="J1895" s="217" t="s">
        <v>1856</v>
      </c>
      <c r="K1895" s="217">
        <v>8</v>
      </c>
      <c r="L1895" s="217">
        <v>40</v>
      </c>
      <c r="M1895" s="217" t="s">
        <v>31</v>
      </c>
      <c r="N1895" s="217" t="s">
        <v>32</v>
      </c>
      <c r="O1895" s="217" t="s">
        <v>141</v>
      </c>
      <c r="P1895" s="217" t="s">
        <v>142</v>
      </c>
      <c r="Q1895" s="217" t="s">
        <v>143</v>
      </c>
      <c r="R1895" s="217" t="s">
        <v>641</v>
      </c>
      <c r="S1895" s="217" t="s">
        <v>642</v>
      </c>
      <c r="T1895" s="217" t="s">
        <v>32</v>
      </c>
      <c r="U1895" s="217" t="s">
        <v>32</v>
      </c>
      <c r="V1895" s="217" t="s">
        <v>32</v>
      </c>
      <c r="W1895" s="217" t="s">
        <v>32</v>
      </c>
    </row>
    <row r="1896" spans="1:23" x14ac:dyDescent="0.25">
      <c r="A1896" s="217" t="s">
        <v>22</v>
      </c>
      <c r="B1896" s="217" t="s">
        <v>23</v>
      </c>
      <c r="C1896" s="217" t="s">
        <v>37</v>
      </c>
      <c r="D1896" s="217" t="s">
        <v>36</v>
      </c>
      <c r="E1896" s="217" t="s">
        <v>247</v>
      </c>
      <c r="F1896" s="217" t="s">
        <v>246</v>
      </c>
      <c r="G1896" s="217" t="s">
        <v>594</v>
      </c>
      <c r="H1896" s="217" t="s">
        <v>1462</v>
      </c>
      <c r="I1896" s="217" t="s">
        <v>659</v>
      </c>
      <c r="J1896" s="217" t="s">
        <v>1855</v>
      </c>
      <c r="K1896" s="217">
        <v>3</v>
      </c>
      <c r="L1896" s="217">
        <v>16</v>
      </c>
      <c r="M1896" s="217" t="s">
        <v>31</v>
      </c>
      <c r="N1896" s="217" t="s">
        <v>32</v>
      </c>
      <c r="O1896" s="217" t="s">
        <v>668</v>
      </c>
      <c r="P1896" s="217" t="s">
        <v>34</v>
      </c>
      <c r="Q1896" s="217" t="s">
        <v>35</v>
      </c>
      <c r="R1896" s="217" t="s">
        <v>23</v>
      </c>
      <c r="S1896" s="217" t="s">
        <v>22</v>
      </c>
      <c r="T1896" s="217" t="s">
        <v>36</v>
      </c>
      <c r="U1896" s="217" t="s">
        <v>37</v>
      </c>
      <c r="V1896" s="217" t="s">
        <v>32</v>
      </c>
      <c r="W1896" s="217" t="s">
        <v>32</v>
      </c>
    </row>
    <row r="1897" spans="1:23" x14ac:dyDescent="0.25">
      <c r="A1897" s="217" t="s">
        <v>22</v>
      </c>
      <c r="B1897" s="217" t="s">
        <v>23</v>
      </c>
      <c r="C1897" s="217" t="s">
        <v>37</v>
      </c>
      <c r="D1897" s="217" t="s">
        <v>36</v>
      </c>
      <c r="E1897" s="217" t="s">
        <v>247</v>
      </c>
      <c r="F1897" s="217" t="s">
        <v>246</v>
      </c>
      <c r="G1897" s="217" t="s">
        <v>594</v>
      </c>
      <c r="H1897" s="217" t="s">
        <v>1462</v>
      </c>
      <c r="I1897" s="217" t="s">
        <v>659</v>
      </c>
      <c r="J1897" s="217" t="s">
        <v>1856</v>
      </c>
      <c r="K1897" s="217">
        <v>4</v>
      </c>
      <c r="L1897" s="217">
        <v>21</v>
      </c>
      <c r="M1897" s="217" t="s">
        <v>31</v>
      </c>
      <c r="N1897" s="217" t="s">
        <v>32</v>
      </c>
      <c r="O1897" s="217" t="s">
        <v>668</v>
      </c>
      <c r="P1897" s="217" t="s">
        <v>34</v>
      </c>
      <c r="Q1897" s="217" t="s">
        <v>35</v>
      </c>
      <c r="R1897" s="217" t="s">
        <v>23</v>
      </c>
      <c r="S1897" s="217" t="s">
        <v>22</v>
      </c>
      <c r="T1897" s="217" t="s">
        <v>36</v>
      </c>
      <c r="U1897" s="217" t="s">
        <v>37</v>
      </c>
      <c r="V1897" s="217" t="s">
        <v>32</v>
      </c>
      <c r="W1897" s="217" t="s">
        <v>32</v>
      </c>
    </row>
    <row r="1898" spans="1:23" x14ac:dyDescent="0.25">
      <c r="A1898" s="217" t="s">
        <v>22</v>
      </c>
      <c r="B1898" s="217" t="s">
        <v>23</v>
      </c>
      <c r="C1898" s="217" t="s">
        <v>37</v>
      </c>
      <c r="D1898" s="217" t="s">
        <v>36</v>
      </c>
      <c r="E1898" s="217" t="s">
        <v>247</v>
      </c>
      <c r="F1898" s="217" t="s">
        <v>246</v>
      </c>
      <c r="G1898" s="217" t="s">
        <v>595</v>
      </c>
      <c r="H1898" s="217" t="s">
        <v>1463</v>
      </c>
      <c r="I1898" s="217" t="s">
        <v>659</v>
      </c>
      <c r="J1898" s="217" t="s">
        <v>1855</v>
      </c>
      <c r="K1898" s="217">
        <v>5</v>
      </c>
      <c r="L1898" s="217">
        <v>25</v>
      </c>
      <c r="M1898" s="217" t="s">
        <v>31</v>
      </c>
      <c r="N1898" s="217" t="s">
        <v>32</v>
      </c>
      <c r="O1898" s="217" t="s">
        <v>141</v>
      </c>
      <c r="P1898" s="217" t="s">
        <v>142</v>
      </c>
      <c r="Q1898" s="217" t="s">
        <v>143</v>
      </c>
      <c r="R1898" s="217" t="s">
        <v>641</v>
      </c>
      <c r="S1898" s="217" t="s">
        <v>642</v>
      </c>
      <c r="T1898" s="217" t="s">
        <v>32</v>
      </c>
      <c r="U1898" s="217" t="s">
        <v>32</v>
      </c>
      <c r="V1898" s="217" t="s">
        <v>32</v>
      </c>
      <c r="W1898" s="217" t="s">
        <v>32</v>
      </c>
    </row>
    <row r="1899" spans="1:23" x14ac:dyDescent="0.25">
      <c r="A1899" s="217" t="s">
        <v>22</v>
      </c>
      <c r="B1899" s="217" t="s">
        <v>23</v>
      </c>
      <c r="C1899" s="217" t="s">
        <v>37</v>
      </c>
      <c r="D1899" s="217" t="s">
        <v>36</v>
      </c>
      <c r="E1899" s="217" t="s">
        <v>247</v>
      </c>
      <c r="F1899" s="217" t="s">
        <v>246</v>
      </c>
      <c r="G1899" s="217" t="s">
        <v>595</v>
      </c>
      <c r="H1899" s="217" t="s">
        <v>1463</v>
      </c>
      <c r="I1899" s="217" t="s">
        <v>659</v>
      </c>
      <c r="J1899" s="217" t="s">
        <v>1856</v>
      </c>
      <c r="K1899" s="217">
        <v>3</v>
      </c>
      <c r="L1899" s="217">
        <v>15</v>
      </c>
      <c r="M1899" s="217" t="s">
        <v>31</v>
      </c>
      <c r="N1899" s="217" t="s">
        <v>32</v>
      </c>
      <c r="O1899" s="217" t="s">
        <v>141</v>
      </c>
      <c r="P1899" s="217" t="s">
        <v>142</v>
      </c>
      <c r="Q1899" s="217" t="s">
        <v>143</v>
      </c>
      <c r="R1899" s="217" t="s">
        <v>641</v>
      </c>
      <c r="S1899" s="217" t="s">
        <v>642</v>
      </c>
      <c r="T1899" s="217" t="s">
        <v>32</v>
      </c>
      <c r="U1899" s="217" t="s">
        <v>32</v>
      </c>
      <c r="V1899" s="217" t="s">
        <v>32</v>
      </c>
      <c r="W1899" s="217" t="s">
        <v>32</v>
      </c>
    </row>
    <row r="1900" spans="1:23" x14ac:dyDescent="0.25">
      <c r="A1900" s="217" t="s">
        <v>22</v>
      </c>
      <c r="B1900" s="217" t="s">
        <v>23</v>
      </c>
      <c r="C1900" s="217" t="s">
        <v>37</v>
      </c>
      <c r="D1900" s="217" t="s">
        <v>36</v>
      </c>
      <c r="E1900" s="217" t="s">
        <v>247</v>
      </c>
      <c r="F1900" s="217" t="s">
        <v>246</v>
      </c>
      <c r="G1900" s="217" t="s">
        <v>596</v>
      </c>
      <c r="H1900" s="217" t="s">
        <v>1464</v>
      </c>
      <c r="I1900" s="217" t="s">
        <v>659</v>
      </c>
      <c r="J1900" s="217" t="s">
        <v>1855</v>
      </c>
      <c r="K1900" s="217">
        <v>20</v>
      </c>
      <c r="L1900" s="217">
        <v>100</v>
      </c>
      <c r="M1900" s="217" t="s">
        <v>31</v>
      </c>
      <c r="N1900" s="217" t="s">
        <v>32</v>
      </c>
      <c r="O1900" s="217" t="s">
        <v>141</v>
      </c>
      <c r="P1900" s="217" t="s">
        <v>142</v>
      </c>
      <c r="Q1900" s="217" t="s">
        <v>143</v>
      </c>
      <c r="R1900" s="217" t="s">
        <v>641</v>
      </c>
      <c r="S1900" s="217" t="s">
        <v>642</v>
      </c>
      <c r="T1900" s="217" t="s">
        <v>32</v>
      </c>
      <c r="U1900" s="217" t="s">
        <v>32</v>
      </c>
      <c r="V1900" s="217" t="s">
        <v>32</v>
      </c>
      <c r="W1900" s="217" t="s">
        <v>32</v>
      </c>
    </row>
    <row r="1901" spans="1:23" x14ac:dyDescent="0.25">
      <c r="A1901" s="217" t="s">
        <v>22</v>
      </c>
      <c r="B1901" s="217" t="s">
        <v>23</v>
      </c>
      <c r="C1901" s="217" t="s">
        <v>37</v>
      </c>
      <c r="D1901" s="217" t="s">
        <v>36</v>
      </c>
      <c r="E1901" s="217" t="s">
        <v>247</v>
      </c>
      <c r="F1901" s="217" t="s">
        <v>246</v>
      </c>
      <c r="G1901" s="217" t="s">
        <v>596</v>
      </c>
      <c r="H1901" s="217" t="s">
        <v>1464</v>
      </c>
      <c r="I1901" s="217" t="s">
        <v>659</v>
      </c>
      <c r="J1901" s="217" t="s">
        <v>1857</v>
      </c>
      <c r="K1901" s="217">
        <v>3</v>
      </c>
      <c r="L1901" s="217">
        <v>16</v>
      </c>
      <c r="M1901" s="217" t="s">
        <v>31</v>
      </c>
      <c r="N1901" s="217" t="s">
        <v>32</v>
      </c>
      <c r="O1901" s="217" t="s">
        <v>141</v>
      </c>
      <c r="P1901" s="217" t="s">
        <v>142</v>
      </c>
      <c r="Q1901" s="217" t="s">
        <v>143</v>
      </c>
      <c r="R1901" s="217" t="s">
        <v>641</v>
      </c>
      <c r="S1901" s="217" t="s">
        <v>642</v>
      </c>
      <c r="T1901" s="217" t="s">
        <v>32</v>
      </c>
      <c r="U1901" s="217" t="s">
        <v>32</v>
      </c>
      <c r="V1901" s="217" t="s">
        <v>32</v>
      </c>
      <c r="W1901" s="217" t="s">
        <v>32</v>
      </c>
    </row>
    <row r="1902" spans="1:23" x14ac:dyDescent="0.25">
      <c r="A1902" s="217" t="s">
        <v>22</v>
      </c>
      <c r="B1902" s="217" t="s">
        <v>23</v>
      </c>
      <c r="C1902" s="217" t="s">
        <v>37</v>
      </c>
      <c r="D1902" s="217" t="s">
        <v>36</v>
      </c>
      <c r="E1902" s="217" t="s">
        <v>247</v>
      </c>
      <c r="F1902" s="217" t="s">
        <v>246</v>
      </c>
      <c r="G1902" s="217" t="s">
        <v>596</v>
      </c>
      <c r="H1902" s="217" t="s">
        <v>1464</v>
      </c>
      <c r="I1902" s="217" t="s">
        <v>659</v>
      </c>
      <c r="J1902" s="217" t="s">
        <v>1858</v>
      </c>
      <c r="K1902" s="217">
        <v>2</v>
      </c>
      <c r="L1902" s="217">
        <v>13</v>
      </c>
      <c r="M1902" s="217" t="s">
        <v>31</v>
      </c>
      <c r="N1902" s="217" t="s">
        <v>32</v>
      </c>
      <c r="O1902" s="217" t="s">
        <v>141</v>
      </c>
      <c r="P1902" s="217" t="s">
        <v>142</v>
      </c>
      <c r="Q1902" s="217" t="s">
        <v>143</v>
      </c>
      <c r="R1902" s="217" t="s">
        <v>641</v>
      </c>
      <c r="S1902" s="217" t="s">
        <v>642</v>
      </c>
      <c r="T1902" s="217" t="s">
        <v>32</v>
      </c>
      <c r="U1902" s="217" t="s">
        <v>32</v>
      </c>
      <c r="V1902" s="217" t="s">
        <v>32</v>
      </c>
      <c r="W1902" s="217" t="s">
        <v>32</v>
      </c>
    </row>
    <row r="1903" spans="1:23" x14ac:dyDescent="0.25">
      <c r="A1903" s="217" t="s">
        <v>22</v>
      </c>
      <c r="B1903" s="217" t="s">
        <v>23</v>
      </c>
      <c r="C1903" s="217" t="s">
        <v>37</v>
      </c>
      <c r="D1903" s="217" t="s">
        <v>36</v>
      </c>
      <c r="E1903" s="217" t="s">
        <v>247</v>
      </c>
      <c r="F1903" s="217" t="s">
        <v>246</v>
      </c>
      <c r="G1903" s="217" t="s">
        <v>252</v>
      </c>
      <c r="H1903" s="217" t="s">
        <v>1465</v>
      </c>
      <c r="I1903" s="217" t="s">
        <v>659</v>
      </c>
      <c r="J1903" s="217" t="s">
        <v>1855</v>
      </c>
      <c r="K1903" s="217">
        <v>16</v>
      </c>
      <c r="L1903" s="217">
        <v>80</v>
      </c>
      <c r="M1903" s="217" t="s">
        <v>31</v>
      </c>
      <c r="N1903" s="217" t="s">
        <v>32</v>
      </c>
      <c r="O1903" s="217" t="s">
        <v>141</v>
      </c>
      <c r="P1903" s="217" t="s">
        <v>142</v>
      </c>
      <c r="Q1903" s="217" t="s">
        <v>143</v>
      </c>
      <c r="R1903" s="217" t="s">
        <v>641</v>
      </c>
      <c r="S1903" s="217" t="s">
        <v>642</v>
      </c>
      <c r="T1903" s="217" t="s">
        <v>32</v>
      </c>
      <c r="U1903" s="217" t="s">
        <v>32</v>
      </c>
      <c r="V1903" s="217" t="s">
        <v>32</v>
      </c>
      <c r="W1903" s="217" t="s">
        <v>32</v>
      </c>
    </row>
    <row r="1904" spans="1:23" x14ac:dyDescent="0.25">
      <c r="A1904" s="217" t="s">
        <v>22</v>
      </c>
      <c r="B1904" s="217" t="s">
        <v>23</v>
      </c>
      <c r="C1904" s="217" t="s">
        <v>37</v>
      </c>
      <c r="D1904" s="217" t="s">
        <v>36</v>
      </c>
      <c r="E1904" s="217" t="s">
        <v>247</v>
      </c>
      <c r="F1904" s="217" t="s">
        <v>246</v>
      </c>
      <c r="G1904" s="217" t="s">
        <v>252</v>
      </c>
      <c r="H1904" s="217" t="s">
        <v>1465</v>
      </c>
      <c r="I1904" s="217" t="s">
        <v>659</v>
      </c>
      <c r="J1904" s="217" t="s">
        <v>1857</v>
      </c>
      <c r="K1904" s="217">
        <v>6</v>
      </c>
      <c r="L1904" s="217">
        <v>30</v>
      </c>
      <c r="M1904" s="217" t="s">
        <v>31</v>
      </c>
      <c r="N1904" s="217" t="s">
        <v>32</v>
      </c>
      <c r="O1904" s="217" t="s">
        <v>141</v>
      </c>
      <c r="P1904" s="217" t="s">
        <v>142</v>
      </c>
      <c r="Q1904" s="217" t="s">
        <v>143</v>
      </c>
      <c r="R1904" s="217" t="s">
        <v>641</v>
      </c>
      <c r="S1904" s="217" t="s">
        <v>642</v>
      </c>
      <c r="T1904" s="217" t="s">
        <v>32</v>
      </c>
      <c r="U1904" s="217" t="s">
        <v>32</v>
      </c>
      <c r="V1904" s="217" t="s">
        <v>32</v>
      </c>
      <c r="W1904" s="217" t="s">
        <v>32</v>
      </c>
    </row>
    <row r="1905" spans="1:23" x14ac:dyDescent="0.25">
      <c r="A1905" s="217" t="s">
        <v>22</v>
      </c>
      <c r="B1905" s="217" t="s">
        <v>23</v>
      </c>
      <c r="C1905" s="217" t="s">
        <v>37</v>
      </c>
      <c r="D1905" s="217" t="s">
        <v>36</v>
      </c>
      <c r="E1905" s="217" t="s">
        <v>247</v>
      </c>
      <c r="F1905" s="217" t="s">
        <v>246</v>
      </c>
      <c r="G1905" s="217" t="s">
        <v>252</v>
      </c>
      <c r="H1905" s="217" t="s">
        <v>1465</v>
      </c>
      <c r="I1905" s="217" t="s">
        <v>659</v>
      </c>
      <c r="J1905" s="217" t="s">
        <v>1858</v>
      </c>
      <c r="K1905" s="217">
        <v>29</v>
      </c>
      <c r="L1905" s="217">
        <v>143</v>
      </c>
      <c r="M1905" s="217" t="s">
        <v>31</v>
      </c>
      <c r="N1905" s="217" t="s">
        <v>32</v>
      </c>
      <c r="O1905" s="217" t="s">
        <v>141</v>
      </c>
      <c r="P1905" s="217" t="s">
        <v>142</v>
      </c>
      <c r="Q1905" s="217" t="s">
        <v>143</v>
      </c>
      <c r="R1905" s="217" t="s">
        <v>641</v>
      </c>
      <c r="S1905" s="217" t="s">
        <v>642</v>
      </c>
      <c r="T1905" s="217" t="s">
        <v>32</v>
      </c>
      <c r="U1905" s="217" t="s">
        <v>32</v>
      </c>
      <c r="V1905" s="217" t="s">
        <v>32</v>
      </c>
      <c r="W1905" s="217" t="s">
        <v>32</v>
      </c>
    </row>
    <row r="1906" spans="1:23" x14ac:dyDescent="0.25">
      <c r="A1906" s="217" t="s">
        <v>22</v>
      </c>
      <c r="B1906" s="217" t="s">
        <v>23</v>
      </c>
      <c r="C1906" s="217" t="s">
        <v>37</v>
      </c>
      <c r="D1906" s="217" t="s">
        <v>36</v>
      </c>
      <c r="E1906" s="217" t="s">
        <v>247</v>
      </c>
      <c r="F1906" s="217" t="s">
        <v>246</v>
      </c>
      <c r="G1906" s="217" t="s">
        <v>252</v>
      </c>
      <c r="H1906" s="217" t="s">
        <v>1465</v>
      </c>
      <c r="I1906" s="217" t="s">
        <v>659</v>
      </c>
      <c r="J1906" s="217" t="s">
        <v>1859</v>
      </c>
      <c r="K1906" s="217">
        <v>6</v>
      </c>
      <c r="L1906" s="217">
        <v>30</v>
      </c>
      <c r="M1906" s="217" t="s">
        <v>31</v>
      </c>
      <c r="N1906" s="217" t="s">
        <v>32</v>
      </c>
      <c r="O1906" s="217" t="s">
        <v>141</v>
      </c>
      <c r="P1906" s="217" t="s">
        <v>142</v>
      </c>
      <c r="Q1906" s="217" t="s">
        <v>143</v>
      </c>
      <c r="R1906" s="217" t="s">
        <v>641</v>
      </c>
      <c r="S1906" s="217" t="s">
        <v>642</v>
      </c>
      <c r="T1906" s="217" t="s">
        <v>32</v>
      </c>
      <c r="U1906" s="217" t="s">
        <v>32</v>
      </c>
      <c r="V1906" s="217" t="s">
        <v>32</v>
      </c>
      <c r="W1906" s="217" t="s">
        <v>32</v>
      </c>
    </row>
    <row r="1907" spans="1:23" x14ac:dyDescent="0.25">
      <c r="A1907" s="217" t="s">
        <v>22</v>
      </c>
      <c r="B1907" s="217" t="s">
        <v>23</v>
      </c>
      <c r="C1907" s="217" t="s">
        <v>37</v>
      </c>
      <c r="D1907" s="217" t="s">
        <v>36</v>
      </c>
      <c r="E1907" s="217" t="s">
        <v>247</v>
      </c>
      <c r="F1907" s="217" t="s">
        <v>246</v>
      </c>
      <c r="G1907" s="217" t="s">
        <v>597</v>
      </c>
      <c r="H1907" s="217" t="s">
        <v>1466</v>
      </c>
      <c r="I1907" s="217" t="s">
        <v>659</v>
      </c>
      <c r="J1907" s="217" t="s">
        <v>1855</v>
      </c>
      <c r="K1907" s="217">
        <v>4</v>
      </c>
      <c r="L1907" s="217">
        <v>20</v>
      </c>
      <c r="M1907" s="217" t="s">
        <v>31</v>
      </c>
      <c r="N1907" s="217" t="s">
        <v>32</v>
      </c>
      <c r="O1907" s="217" t="s">
        <v>668</v>
      </c>
      <c r="P1907" s="217" t="s">
        <v>34</v>
      </c>
      <c r="Q1907" s="217" t="s">
        <v>35</v>
      </c>
      <c r="R1907" s="217" t="s">
        <v>23</v>
      </c>
      <c r="S1907" s="217" t="s">
        <v>22</v>
      </c>
      <c r="T1907" s="217" t="s">
        <v>47</v>
      </c>
      <c r="U1907" s="217" t="s">
        <v>48</v>
      </c>
      <c r="V1907" s="217" t="s">
        <v>32</v>
      </c>
      <c r="W1907" s="217" t="s">
        <v>32</v>
      </c>
    </row>
    <row r="1908" spans="1:23" x14ac:dyDescent="0.25">
      <c r="A1908" s="217" t="s">
        <v>22</v>
      </c>
      <c r="B1908" s="217" t="s">
        <v>23</v>
      </c>
      <c r="C1908" s="217" t="s">
        <v>37</v>
      </c>
      <c r="D1908" s="217" t="s">
        <v>36</v>
      </c>
      <c r="E1908" s="217" t="s">
        <v>247</v>
      </c>
      <c r="F1908" s="217" t="s">
        <v>246</v>
      </c>
      <c r="G1908" s="217" t="s">
        <v>597</v>
      </c>
      <c r="H1908" s="217" t="s">
        <v>1466</v>
      </c>
      <c r="I1908" s="217" t="s">
        <v>659</v>
      </c>
      <c r="J1908" s="217" t="s">
        <v>1856</v>
      </c>
      <c r="K1908" s="217">
        <v>2</v>
      </c>
      <c r="L1908" s="217">
        <v>10</v>
      </c>
      <c r="M1908" s="217" t="s">
        <v>31</v>
      </c>
      <c r="N1908" s="217" t="s">
        <v>32</v>
      </c>
      <c r="O1908" s="217" t="s">
        <v>668</v>
      </c>
      <c r="P1908" s="217" t="s">
        <v>34</v>
      </c>
      <c r="Q1908" s="217" t="s">
        <v>35</v>
      </c>
      <c r="R1908" s="217" t="s">
        <v>23</v>
      </c>
      <c r="S1908" s="217" t="s">
        <v>22</v>
      </c>
      <c r="T1908" s="217" t="s">
        <v>47</v>
      </c>
      <c r="U1908" s="217" t="s">
        <v>48</v>
      </c>
      <c r="V1908" s="217" t="s">
        <v>32</v>
      </c>
      <c r="W1908" s="217" t="s">
        <v>32</v>
      </c>
    </row>
    <row r="1909" spans="1:23" x14ac:dyDescent="0.25">
      <c r="A1909" s="217" t="s">
        <v>22</v>
      </c>
      <c r="B1909" s="217" t="s">
        <v>23</v>
      </c>
      <c r="C1909" s="217" t="s">
        <v>37</v>
      </c>
      <c r="D1909" s="217" t="s">
        <v>36</v>
      </c>
      <c r="E1909" s="217" t="s">
        <v>247</v>
      </c>
      <c r="F1909" s="217" t="s">
        <v>246</v>
      </c>
      <c r="G1909" s="217" t="s">
        <v>597</v>
      </c>
      <c r="H1909" s="217" t="s">
        <v>1466</v>
      </c>
      <c r="I1909" s="217" t="s">
        <v>659</v>
      </c>
      <c r="J1909" s="217" t="s">
        <v>1857</v>
      </c>
      <c r="K1909" s="217">
        <v>2</v>
      </c>
      <c r="L1909" s="217">
        <v>10</v>
      </c>
      <c r="M1909" s="217" t="s">
        <v>31</v>
      </c>
      <c r="N1909" s="217" t="s">
        <v>32</v>
      </c>
      <c r="O1909" s="217" t="s">
        <v>668</v>
      </c>
      <c r="P1909" s="217" t="s">
        <v>34</v>
      </c>
      <c r="Q1909" s="217" t="s">
        <v>35</v>
      </c>
      <c r="R1909" s="217" t="s">
        <v>23</v>
      </c>
      <c r="S1909" s="217" t="s">
        <v>22</v>
      </c>
      <c r="T1909" s="217" t="s">
        <v>36</v>
      </c>
      <c r="U1909" s="217" t="s">
        <v>37</v>
      </c>
      <c r="V1909" s="217" t="s">
        <v>32</v>
      </c>
      <c r="W1909" s="217" t="s">
        <v>32</v>
      </c>
    </row>
    <row r="1910" spans="1:23" x14ac:dyDescent="0.25">
      <c r="A1910" s="217" t="s">
        <v>22</v>
      </c>
      <c r="B1910" s="217" t="s">
        <v>23</v>
      </c>
      <c r="C1910" s="217" t="s">
        <v>37</v>
      </c>
      <c r="D1910" s="217" t="s">
        <v>36</v>
      </c>
      <c r="E1910" s="217" t="s">
        <v>247</v>
      </c>
      <c r="F1910" s="217" t="s">
        <v>246</v>
      </c>
      <c r="G1910" s="217" t="s">
        <v>684</v>
      </c>
      <c r="H1910" s="217" t="s">
        <v>1552</v>
      </c>
      <c r="I1910" s="217" t="s">
        <v>659</v>
      </c>
      <c r="J1910" s="217" t="s">
        <v>1854</v>
      </c>
      <c r="K1910" s="217">
        <v>20</v>
      </c>
      <c r="L1910" s="217">
        <v>160</v>
      </c>
      <c r="M1910" s="217" t="s">
        <v>31</v>
      </c>
      <c r="N1910" s="217" t="s">
        <v>32</v>
      </c>
      <c r="O1910" s="217" t="s">
        <v>668</v>
      </c>
      <c r="P1910" s="217" t="s">
        <v>34</v>
      </c>
      <c r="Q1910" s="217" t="s">
        <v>35</v>
      </c>
      <c r="R1910" s="217" t="s">
        <v>23</v>
      </c>
      <c r="S1910" s="217" t="s">
        <v>22</v>
      </c>
      <c r="T1910" s="217" t="s">
        <v>36</v>
      </c>
      <c r="U1910" s="217" t="s">
        <v>37</v>
      </c>
      <c r="V1910" s="217" t="s">
        <v>32</v>
      </c>
      <c r="W1910" s="217" t="s">
        <v>32</v>
      </c>
    </row>
    <row r="1911" spans="1:23" x14ac:dyDescent="0.25">
      <c r="A1911" s="217" t="s">
        <v>22</v>
      </c>
      <c r="B1911" s="217" t="s">
        <v>23</v>
      </c>
      <c r="C1911" s="217" t="s">
        <v>37</v>
      </c>
      <c r="D1911" s="217" t="s">
        <v>36</v>
      </c>
      <c r="E1911" s="217" t="s">
        <v>247</v>
      </c>
      <c r="F1911" s="217" t="s">
        <v>246</v>
      </c>
      <c r="G1911" s="217" t="s">
        <v>684</v>
      </c>
      <c r="H1911" s="217" t="s">
        <v>1552</v>
      </c>
      <c r="I1911" s="217" t="s">
        <v>659</v>
      </c>
      <c r="J1911" s="217" t="s">
        <v>1855</v>
      </c>
      <c r="K1911" s="217">
        <v>90</v>
      </c>
      <c r="L1911" s="217">
        <v>720</v>
      </c>
      <c r="M1911" s="217" t="s">
        <v>31</v>
      </c>
      <c r="N1911" s="217" t="s">
        <v>32</v>
      </c>
      <c r="O1911" s="217" t="s">
        <v>668</v>
      </c>
      <c r="P1911" s="217" t="s">
        <v>34</v>
      </c>
      <c r="Q1911" s="217" t="s">
        <v>35</v>
      </c>
      <c r="R1911" s="217" t="s">
        <v>23</v>
      </c>
      <c r="S1911" s="217" t="s">
        <v>22</v>
      </c>
      <c r="T1911" s="217" t="s">
        <v>36</v>
      </c>
      <c r="U1911" s="217" t="s">
        <v>37</v>
      </c>
      <c r="V1911" s="217" t="s">
        <v>32</v>
      </c>
      <c r="W1911" s="217" t="s">
        <v>32</v>
      </c>
    </row>
    <row r="1912" spans="1:23" x14ac:dyDescent="0.25">
      <c r="A1912" s="217" t="s">
        <v>22</v>
      </c>
      <c r="B1912" s="217" t="s">
        <v>23</v>
      </c>
      <c r="C1912" s="217" t="s">
        <v>37</v>
      </c>
      <c r="D1912" s="217" t="s">
        <v>36</v>
      </c>
      <c r="E1912" s="217" t="s">
        <v>247</v>
      </c>
      <c r="F1912" s="217" t="s">
        <v>246</v>
      </c>
      <c r="G1912" s="217" t="s">
        <v>684</v>
      </c>
      <c r="H1912" s="217" t="s">
        <v>1552</v>
      </c>
      <c r="I1912" s="217" t="s">
        <v>659</v>
      </c>
      <c r="J1912" s="217" t="s">
        <v>1856</v>
      </c>
      <c r="K1912" s="217">
        <v>50</v>
      </c>
      <c r="L1912" s="217">
        <v>400</v>
      </c>
      <c r="M1912" s="217" t="s">
        <v>31</v>
      </c>
      <c r="N1912" s="217" t="s">
        <v>32</v>
      </c>
      <c r="O1912" s="217" t="s">
        <v>668</v>
      </c>
      <c r="P1912" s="217" t="s">
        <v>34</v>
      </c>
      <c r="Q1912" s="217" t="s">
        <v>35</v>
      </c>
      <c r="R1912" s="217" t="s">
        <v>23</v>
      </c>
      <c r="S1912" s="217" t="s">
        <v>22</v>
      </c>
      <c r="T1912" s="217" t="s">
        <v>47</v>
      </c>
      <c r="U1912" s="217" t="s">
        <v>48</v>
      </c>
      <c r="V1912" s="217" t="s">
        <v>32</v>
      </c>
      <c r="W1912" s="217" t="s">
        <v>32</v>
      </c>
    </row>
    <row r="1913" spans="1:23" x14ac:dyDescent="0.25">
      <c r="A1913" s="217" t="s">
        <v>22</v>
      </c>
      <c r="B1913" s="217" t="s">
        <v>23</v>
      </c>
      <c r="C1913" s="217" t="s">
        <v>37</v>
      </c>
      <c r="D1913" s="217" t="s">
        <v>36</v>
      </c>
      <c r="E1913" s="217" t="s">
        <v>247</v>
      </c>
      <c r="F1913" s="217" t="s">
        <v>246</v>
      </c>
      <c r="G1913" s="217" t="s">
        <v>684</v>
      </c>
      <c r="H1913" s="217" t="s">
        <v>1552</v>
      </c>
      <c r="I1913" s="217" t="s">
        <v>659</v>
      </c>
      <c r="J1913" s="217" t="s">
        <v>1857</v>
      </c>
      <c r="K1913" s="217">
        <v>20</v>
      </c>
      <c r="L1913" s="217">
        <v>160</v>
      </c>
      <c r="M1913" s="217" t="s">
        <v>31</v>
      </c>
      <c r="N1913" s="217" t="s">
        <v>32</v>
      </c>
      <c r="O1913" s="217" t="s">
        <v>668</v>
      </c>
      <c r="P1913" s="217" t="s">
        <v>34</v>
      </c>
      <c r="Q1913" s="217" t="s">
        <v>35</v>
      </c>
      <c r="R1913" s="217" t="s">
        <v>23</v>
      </c>
      <c r="S1913" s="217" t="s">
        <v>22</v>
      </c>
      <c r="T1913" s="217" t="s">
        <v>47</v>
      </c>
      <c r="U1913" s="217" t="s">
        <v>48</v>
      </c>
      <c r="V1913" s="217" t="s">
        <v>32</v>
      </c>
      <c r="W1913" s="217" t="s">
        <v>32</v>
      </c>
    </row>
    <row r="1914" spans="1:23" x14ac:dyDescent="0.25">
      <c r="A1914" s="217" t="s">
        <v>22</v>
      </c>
      <c r="B1914" s="217" t="s">
        <v>23</v>
      </c>
      <c r="C1914" s="217" t="s">
        <v>37</v>
      </c>
      <c r="D1914" s="217" t="s">
        <v>36</v>
      </c>
      <c r="E1914" s="217" t="s">
        <v>247</v>
      </c>
      <c r="F1914" s="217" t="s">
        <v>246</v>
      </c>
      <c r="G1914" s="217" t="s">
        <v>684</v>
      </c>
      <c r="H1914" s="217" t="s">
        <v>1552</v>
      </c>
      <c r="I1914" s="217" t="s">
        <v>659</v>
      </c>
      <c r="J1914" s="217" t="s">
        <v>1858</v>
      </c>
      <c r="K1914" s="217">
        <v>3</v>
      </c>
      <c r="L1914" s="217">
        <v>8</v>
      </c>
      <c r="M1914" s="217" t="s">
        <v>31</v>
      </c>
      <c r="N1914" s="217" t="s">
        <v>32</v>
      </c>
      <c r="O1914" s="217" t="s">
        <v>141</v>
      </c>
      <c r="P1914" s="217" t="s">
        <v>142</v>
      </c>
      <c r="Q1914" s="217" t="s">
        <v>143</v>
      </c>
      <c r="R1914" s="217" t="s">
        <v>641</v>
      </c>
      <c r="S1914" s="217" t="s">
        <v>642</v>
      </c>
      <c r="T1914" s="217" t="s">
        <v>32</v>
      </c>
      <c r="U1914" s="217" t="s">
        <v>32</v>
      </c>
      <c r="V1914" s="217" t="s">
        <v>32</v>
      </c>
      <c r="W1914" s="217" t="s">
        <v>32</v>
      </c>
    </row>
    <row r="1915" spans="1:23" x14ac:dyDescent="0.25">
      <c r="A1915" s="217" t="s">
        <v>22</v>
      </c>
      <c r="B1915" s="217" t="s">
        <v>23</v>
      </c>
      <c r="C1915" s="217" t="s">
        <v>37</v>
      </c>
      <c r="D1915" s="217" t="s">
        <v>36</v>
      </c>
      <c r="E1915" s="217" t="s">
        <v>250</v>
      </c>
      <c r="F1915" s="217" t="s">
        <v>249</v>
      </c>
      <c r="G1915" s="217" t="s">
        <v>2142</v>
      </c>
      <c r="H1915" s="217" t="s">
        <v>2143</v>
      </c>
      <c r="I1915" s="217" t="s">
        <v>659</v>
      </c>
      <c r="J1915" s="217" t="s">
        <v>1857</v>
      </c>
      <c r="K1915" s="217">
        <v>90</v>
      </c>
      <c r="L1915" s="217">
        <v>580</v>
      </c>
      <c r="M1915" s="217" t="s">
        <v>31</v>
      </c>
      <c r="N1915" s="217" t="s">
        <v>32</v>
      </c>
      <c r="O1915" s="217" t="s">
        <v>668</v>
      </c>
      <c r="P1915" s="217" t="s">
        <v>34</v>
      </c>
      <c r="Q1915" s="217" t="s">
        <v>35</v>
      </c>
      <c r="R1915" s="217" t="s">
        <v>23</v>
      </c>
      <c r="S1915" s="217" t="s">
        <v>22</v>
      </c>
      <c r="T1915" s="217" t="s">
        <v>36</v>
      </c>
      <c r="U1915" s="217" t="s">
        <v>37</v>
      </c>
      <c r="V1915" s="217" t="s">
        <v>32</v>
      </c>
      <c r="W1915" s="217" t="s">
        <v>32</v>
      </c>
    </row>
    <row r="1916" spans="1:23" x14ac:dyDescent="0.25">
      <c r="A1916" s="217" t="s">
        <v>22</v>
      </c>
      <c r="B1916" s="217" t="s">
        <v>23</v>
      </c>
      <c r="C1916" s="217" t="s">
        <v>37</v>
      </c>
      <c r="D1916" s="217" t="s">
        <v>36</v>
      </c>
      <c r="E1916" s="217" t="s">
        <v>250</v>
      </c>
      <c r="F1916" s="217" t="s">
        <v>249</v>
      </c>
      <c r="G1916" s="217" t="s">
        <v>2049</v>
      </c>
      <c r="H1916" s="217" t="s">
        <v>2048</v>
      </c>
      <c r="I1916" s="217" t="s">
        <v>659</v>
      </c>
      <c r="J1916" s="217" t="s">
        <v>1856</v>
      </c>
      <c r="K1916" s="217">
        <v>6</v>
      </c>
      <c r="L1916" s="217">
        <v>31</v>
      </c>
      <c r="M1916" s="217" t="s">
        <v>31</v>
      </c>
      <c r="N1916" s="217" t="s">
        <v>32</v>
      </c>
      <c r="O1916" s="217" t="s">
        <v>141</v>
      </c>
      <c r="P1916" s="217" t="s">
        <v>142</v>
      </c>
      <c r="Q1916" s="217" t="s">
        <v>143</v>
      </c>
      <c r="R1916" s="217" t="s">
        <v>618</v>
      </c>
      <c r="S1916" s="217" t="s">
        <v>619</v>
      </c>
      <c r="T1916" s="217" t="s">
        <v>32</v>
      </c>
      <c r="U1916" s="217" t="s">
        <v>32</v>
      </c>
      <c r="V1916" s="217" t="s">
        <v>32</v>
      </c>
      <c r="W1916" s="217" t="s">
        <v>32</v>
      </c>
    </row>
    <row r="1917" spans="1:23" x14ac:dyDescent="0.25">
      <c r="A1917" s="217" t="s">
        <v>22</v>
      </c>
      <c r="B1917" s="217" t="s">
        <v>23</v>
      </c>
      <c r="C1917" s="217" t="s">
        <v>37</v>
      </c>
      <c r="D1917" s="217" t="s">
        <v>36</v>
      </c>
      <c r="E1917" s="217" t="s">
        <v>250</v>
      </c>
      <c r="F1917" s="217" t="s">
        <v>249</v>
      </c>
      <c r="G1917" s="217" t="s">
        <v>253</v>
      </c>
      <c r="H1917" s="217" t="s">
        <v>1467</v>
      </c>
      <c r="I1917" s="217" t="s">
        <v>659</v>
      </c>
      <c r="J1917" s="217" t="s">
        <v>1855</v>
      </c>
      <c r="K1917" s="217">
        <v>6</v>
      </c>
      <c r="L1917" s="217">
        <v>30</v>
      </c>
      <c r="M1917" s="217" t="s">
        <v>31</v>
      </c>
      <c r="N1917" s="217" t="s">
        <v>32</v>
      </c>
      <c r="O1917" s="217" t="s">
        <v>668</v>
      </c>
      <c r="P1917" s="217" t="s">
        <v>34</v>
      </c>
      <c r="Q1917" s="217" t="s">
        <v>35</v>
      </c>
      <c r="R1917" s="217" t="s">
        <v>199</v>
      </c>
      <c r="S1917" s="217" t="s">
        <v>200</v>
      </c>
      <c r="T1917" s="217" t="s">
        <v>2159</v>
      </c>
      <c r="U1917" s="217" t="s">
        <v>2160</v>
      </c>
      <c r="V1917" s="217" t="s">
        <v>32</v>
      </c>
      <c r="W1917" s="217" t="s">
        <v>32</v>
      </c>
    </row>
    <row r="1918" spans="1:23" x14ac:dyDescent="0.25">
      <c r="A1918" s="217" t="s">
        <v>22</v>
      </c>
      <c r="B1918" s="217" t="s">
        <v>23</v>
      </c>
      <c r="C1918" s="217" t="s">
        <v>37</v>
      </c>
      <c r="D1918" s="217" t="s">
        <v>36</v>
      </c>
      <c r="E1918" s="217" t="s">
        <v>250</v>
      </c>
      <c r="F1918" s="217" t="s">
        <v>249</v>
      </c>
      <c r="G1918" s="217" t="s">
        <v>253</v>
      </c>
      <c r="H1918" s="217" t="s">
        <v>1467</v>
      </c>
      <c r="I1918" s="217" t="s">
        <v>659</v>
      </c>
      <c r="J1918" s="217" t="s">
        <v>1856</v>
      </c>
      <c r="K1918" s="217">
        <v>8</v>
      </c>
      <c r="L1918" s="217">
        <v>40</v>
      </c>
      <c r="M1918" s="217" t="s">
        <v>31</v>
      </c>
      <c r="N1918" s="217" t="s">
        <v>32</v>
      </c>
      <c r="O1918" s="217" t="s">
        <v>668</v>
      </c>
      <c r="P1918" s="217" t="s">
        <v>34</v>
      </c>
      <c r="Q1918" s="217" t="s">
        <v>35</v>
      </c>
      <c r="R1918" s="217" t="s">
        <v>199</v>
      </c>
      <c r="S1918" s="217" t="s">
        <v>200</v>
      </c>
      <c r="T1918" s="217" t="s">
        <v>1848</v>
      </c>
      <c r="U1918" s="217" t="s">
        <v>1849</v>
      </c>
      <c r="V1918" s="217" t="s">
        <v>32</v>
      </c>
      <c r="W1918" s="217" t="s">
        <v>32</v>
      </c>
    </row>
    <row r="1919" spans="1:23" x14ac:dyDescent="0.25">
      <c r="A1919" s="217" t="s">
        <v>22</v>
      </c>
      <c r="B1919" s="217" t="s">
        <v>23</v>
      </c>
      <c r="C1919" s="217" t="s">
        <v>37</v>
      </c>
      <c r="D1919" s="217" t="s">
        <v>36</v>
      </c>
      <c r="E1919" s="217" t="s">
        <v>250</v>
      </c>
      <c r="F1919" s="217" t="s">
        <v>249</v>
      </c>
      <c r="G1919" s="217" t="s">
        <v>253</v>
      </c>
      <c r="H1919" s="217" t="s">
        <v>1467</v>
      </c>
      <c r="I1919" s="217" t="s">
        <v>659</v>
      </c>
      <c r="J1919" s="217" t="s">
        <v>1858</v>
      </c>
      <c r="K1919" s="217">
        <v>2</v>
      </c>
      <c r="L1919" s="217">
        <v>10</v>
      </c>
      <c r="M1919" s="217" t="s">
        <v>31</v>
      </c>
      <c r="N1919" s="217" t="s">
        <v>32</v>
      </c>
      <c r="O1919" s="217" t="s">
        <v>668</v>
      </c>
      <c r="P1919" s="217" t="s">
        <v>34</v>
      </c>
      <c r="Q1919" s="217" t="s">
        <v>35</v>
      </c>
      <c r="R1919" s="217" t="s">
        <v>199</v>
      </c>
      <c r="S1919" s="217" t="s">
        <v>200</v>
      </c>
      <c r="T1919" s="217" t="s">
        <v>2159</v>
      </c>
      <c r="U1919" s="217" t="s">
        <v>2160</v>
      </c>
      <c r="V1919" s="217" t="s">
        <v>32</v>
      </c>
      <c r="W1919" s="217" t="s">
        <v>32</v>
      </c>
    </row>
    <row r="1920" spans="1:23" x14ac:dyDescent="0.25">
      <c r="A1920" s="217" t="s">
        <v>22</v>
      </c>
      <c r="B1920" s="217" t="s">
        <v>23</v>
      </c>
      <c r="C1920" s="217" t="s">
        <v>37</v>
      </c>
      <c r="D1920" s="217" t="s">
        <v>36</v>
      </c>
      <c r="E1920" s="217" t="s">
        <v>250</v>
      </c>
      <c r="F1920" s="217" t="s">
        <v>249</v>
      </c>
      <c r="G1920" s="217" t="s">
        <v>253</v>
      </c>
      <c r="H1920" s="217" t="s">
        <v>1467</v>
      </c>
      <c r="I1920" s="217" t="s">
        <v>659</v>
      </c>
      <c r="J1920" s="217" t="s">
        <v>1857</v>
      </c>
      <c r="K1920" s="217">
        <v>1</v>
      </c>
      <c r="L1920" s="217">
        <v>5</v>
      </c>
      <c r="M1920" s="217" t="s">
        <v>31</v>
      </c>
      <c r="N1920" s="217" t="s">
        <v>32</v>
      </c>
      <c r="O1920" s="217" t="s">
        <v>668</v>
      </c>
      <c r="P1920" s="217" t="s">
        <v>34</v>
      </c>
      <c r="Q1920" s="217" t="s">
        <v>35</v>
      </c>
      <c r="R1920" s="217" t="s">
        <v>239</v>
      </c>
      <c r="S1920" s="217" t="s">
        <v>240</v>
      </c>
      <c r="T1920" s="217" t="s">
        <v>2069</v>
      </c>
      <c r="U1920" s="217" t="s">
        <v>2070</v>
      </c>
      <c r="V1920" s="217" t="s">
        <v>32</v>
      </c>
      <c r="W1920" s="217" t="s">
        <v>32</v>
      </c>
    </row>
    <row r="1921" spans="1:23" x14ac:dyDescent="0.25">
      <c r="A1921" s="217" t="s">
        <v>22</v>
      </c>
      <c r="B1921" s="217" t="s">
        <v>23</v>
      </c>
      <c r="C1921" s="217" t="s">
        <v>37</v>
      </c>
      <c r="D1921" s="217" t="s">
        <v>36</v>
      </c>
      <c r="E1921" s="217" t="s">
        <v>250</v>
      </c>
      <c r="F1921" s="217" t="s">
        <v>249</v>
      </c>
      <c r="G1921" s="217" t="s">
        <v>255</v>
      </c>
      <c r="H1921" s="217" t="s">
        <v>1469</v>
      </c>
      <c r="I1921" s="217" t="s">
        <v>659</v>
      </c>
      <c r="J1921" s="217" t="s">
        <v>1857</v>
      </c>
      <c r="K1921" s="217">
        <v>44</v>
      </c>
      <c r="L1921" s="217">
        <v>226</v>
      </c>
      <c r="M1921" s="217" t="s">
        <v>31</v>
      </c>
      <c r="N1921" s="217" t="s">
        <v>32</v>
      </c>
      <c r="O1921" s="217" t="s">
        <v>668</v>
      </c>
      <c r="P1921" s="217" t="s">
        <v>34</v>
      </c>
      <c r="Q1921" s="217" t="s">
        <v>35</v>
      </c>
      <c r="R1921" s="217" t="s">
        <v>23</v>
      </c>
      <c r="S1921" s="217" t="s">
        <v>22</v>
      </c>
      <c r="T1921" s="217" t="s">
        <v>36</v>
      </c>
      <c r="U1921" s="217" t="s">
        <v>37</v>
      </c>
      <c r="V1921" s="217" t="s">
        <v>32</v>
      </c>
      <c r="W1921" s="217" t="s">
        <v>32</v>
      </c>
    </row>
    <row r="1922" spans="1:23" x14ac:dyDescent="0.25">
      <c r="A1922" s="217" t="s">
        <v>22</v>
      </c>
      <c r="B1922" s="217" t="s">
        <v>23</v>
      </c>
      <c r="C1922" s="217" t="s">
        <v>37</v>
      </c>
      <c r="D1922" s="217" t="s">
        <v>36</v>
      </c>
      <c r="E1922" s="217" t="s">
        <v>250</v>
      </c>
      <c r="F1922" s="217" t="s">
        <v>249</v>
      </c>
      <c r="G1922" s="217" t="s">
        <v>255</v>
      </c>
      <c r="H1922" s="217" t="s">
        <v>1469</v>
      </c>
      <c r="I1922" s="217" t="s">
        <v>659</v>
      </c>
      <c r="J1922" s="217" t="s">
        <v>1858</v>
      </c>
      <c r="K1922" s="217">
        <v>16</v>
      </c>
      <c r="L1922" s="217">
        <v>98</v>
      </c>
      <c r="M1922" s="217" t="s">
        <v>31</v>
      </c>
      <c r="N1922" s="217" t="s">
        <v>32</v>
      </c>
      <c r="O1922" s="217" t="s">
        <v>668</v>
      </c>
      <c r="P1922" s="217" t="s">
        <v>34</v>
      </c>
      <c r="Q1922" s="217" t="s">
        <v>35</v>
      </c>
      <c r="R1922" s="217" t="s">
        <v>23</v>
      </c>
      <c r="S1922" s="217" t="s">
        <v>22</v>
      </c>
      <c r="T1922" s="217" t="s">
        <v>36</v>
      </c>
      <c r="U1922" s="217" t="s">
        <v>37</v>
      </c>
      <c r="V1922" s="217" t="s">
        <v>32</v>
      </c>
      <c r="W1922" s="217" t="s">
        <v>32</v>
      </c>
    </row>
    <row r="1923" spans="1:23" x14ac:dyDescent="0.25">
      <c r="A1923" s="217" t="s">
        <v>22</v>
      </c>
      <c r="B1923" s="217" t="s">
        <v>23</v>
      </c>
      <c r="C1923" s="217" t="s">
        <v>37</v>
      </c>
      <c r="D1923" s="217" t="s">
        <v>36</v>
      </c>
      <c r="E1923" s="217" t="s">
        <v>250</v>
      </c>
      <c r="F1923" s="217" t="s">
        <v>249</v>
      </c>
      <c r="G1923" s="217" t="s">
        <v>846</v>
      </c>
      <c r="H1923" s="217" t="s">
        <v>1470</v>
      </c>
      <c r="I1923" s="217" t="s">
        <v>659</v>
      </c>
      <c r="J1923" s="217" t="s">
        <v>1855</v>
      </c>
      <c r="K1923" s="217">
        <v>17</v>
      </c>
      <c r="L1923" s="217">
        <v>85</v>
      </c>
      <c r="M1923" s="217" t="s">
        <v>31</v>
      </c>
      <c r="N1923" s="217" t="s">
        <v>32</v>
      </c>
      <c r="O1923" s="217" t="s">
        <v>668</v>
      </c>
      <c r="P1923" s="217" t="s">
        <v>34</v>
      </c>
      <c r="Q1923" s="217" t="s">
        <v>35</v>
      </c>
      <c r="R1923" s="217" t="s">
        <v>199</v>
      </c>
      <c r="S1923" s="217" t="s">
        <v>200</v>
      </c>
      <c r="T1923" s="217" t="s">
        <v>2159</v>
      </c>
      <c r="U1923" s="217" t="s">
        <v>2160</v>
      </c>
      <c r="V1923" s="217" t="s">
        <v>32</v>
      </c>
      <c r="W1923" s="217" t="s">
        <v>32</v>
      </c>
    </row>
    <row r="1924" spans="1:23" x14ac:dyDescent="0.25">
      <c r="A1924" s="217" t="s">
        <v>22</v>
      </c>
      <c r="B1924" s="217" t="s">
        <v>23</v>
      </c>
      <c r="C1924" s="217" t="s">
        <v>37</v>
      </c>
      <c r="D1924" s="217" t="s">
        <v>36</v>
      </c>
      <c r="E1924" s="217" t="s">
        <v>250</v>
      </c>
      <c r="F1924" s="217" t="s">
        <v>249</v>
      </c>
      <c r="G1924" s="217" t="s">
        <v>846</v>
      </c>
      <c r="H1924" s="217" t="s">
        <v>1470</v>
      </c>
      <c r="I1924" s="217" t="s">
        <v>659</v>
      </c>
      <c r="J1924" s="217" t="s">
        <v>1856</v>
      </c>
      <c r="K1924" s="217">
        <v>8</v>
      </c>
      <c r="L1924" s="217">
        <v>40</v>
      </c>
      <c r="M1924" s="217" t="s">
        <v>31</v>
      </c>
      <c r="N1924" s="217" t="s">
        <v>32</v>
      </c>
      <c r="O1924" s="217" t="s">
        <v>668</v>
      </c>
      <c r="P1924" s="217" t="s">
        <v>34</v>
      </c>
      <c r="Q1924" s="217" t="s">
        <v>35</v>
      </c>
      <c r="R1924" s="217" t="s">
        <v>199</v>
      </c>
      <c r="S1924" s="217" t="s">
        <v>200</v>
      </c>
      <c r="T1924" s="217" t="s">
        <v>2161</v>
      </c>
      <c r="U1924" s="217" t="s">
        <v>2162</v>
      </c>
      <c r="V1924" s="217" t="s">
        <v>32</v>
      </c>
      <c r="W1924" s="217" t="s">
        <v>32</v>
      </c>
    </row>
    <row r="1925" spans="1:23" x14ac:dyDescent="0.25">
      <c r="A1925" s="217" t="s">
        <v>22</v>
      </c>
      <c r="B1925" s="217" t="s">
        <v>23</v>
      </c>
      <c r="C1925" s="217" t="s">
        <v>37</v>
      </c>
      <c r="D1925" s="217" t="s">
        <v>36</v>
      </c>
      <c r="E1925" s="217" t="s">
        <v>250</v>
      </c>
      <c r="F1925" s="217" t="s">
        <v>249</v>
      </c>
      <c r="G1925" s="217" t="s">
        <v>846</v>
      </c>
      <c r="H1925" s="217" t="s">
        <v>1470</v>
      </c>
      <c r="I1925" s="217" t="s">
        <v>659</v>
      </c>
      <c r="J1925" s="217" t="s">
        <v>1857</v>
      </c>
      <c r="K1925" s="217">
        <v>4</v>
      </c>
      <c r="L1925" s="217">
        <v>20</v>
      </c>
      <c r="M1925" s="217" t="s">
        <v>31</v>
      </c>
      <c r="N1925" s="217" t="s">
        <v>32</v>
      </c>
      <c r="O1925" s="217" t="s">
        <v>668</v>
      </c>
      <c r="P1925" s="217" t="s">
        <v>34</v>
      </c>
      <c r="Q1925" s="217" t="s">
        <v>35</v>
      </c>
      <c r="R1925" s="217" t="s">
        <v>199</v>
      </c>
      <c r="S1925" s="217" t="s">
        <v>200</v>
      </c>
      <c r="T1925" s="217" t="s">
        <v>2159</v>
      </c>
      <c r="U1925" s="217" t="s">
        <v>2160</v>
      </c>
      <c r="V1925" s="217" t="s">
        <v>32</v>
      </c>
      <c r="W1925" s="217" t="s">
        <v>32</v>
      </c>
    </row>
    <row r="1926" spans="1:23" x14ac:dyDescent="0.25">
      <c r="A1926" s="217" t="s">
        <v>22</v>
      </c>
      <c r="B1926" s="217" t="s">
        <v>23</v>
      </c>
      <c r="C1926" s="217" t="s">
        <v>37</v>
      </c>
      <c r="D1926" s="217" t="s">
        <v>36</v>
      </c>
      <c r="E1926" s="217" t="s">
        <v>250</v>
      </c>
      <c r="F1926" s="217" t="s">
        <v>249</v>
      </c>
      <c r="G1926" s="217" t="s">
        <v>846</v>
      </c>
      <c r="H1926" s="217" t="s">
        <v>1470</v>
      </c>
      <c r="I1926" s="217" t="s">
        <v>659</v>
      </c>
      <c r="J1926" s="217" t="s">
        <v>1858</v>
      </c>
      <c r="K1926" s="217">
        <v>23</v>
      </c>
      <c r="L1926" s="217">
        <v>120</v>
      </c>
      <c r="M1926" s="217" t="s">
        <v>31</v>
      </c>
      <c r="N1926" s="217" t="s">
        <v>32</v>
      </c>
      <c r="O1926" s="217" t="s">
        <v>668</v>
      </c>
      <c r="P1926" s="217" t="s">
        <v>34</v>
      </c>
      <c r="Q1926" s="217" t="s">
        <v>35</v>
      </c>
      <c r="R1926" s="217" t="s">
        <v>23</v>
      </c>
      <c r="S1926" s="217" t="s">
        <v>22</v>
      </c>
      <c r="T1926" s="217" t="s">
        <v>36</v>
      </c>
      <c r="U1926" s="217" t="s">
        <v>37</v>
      </c>
      <c r="V1926" s="217" t="s">
        <v>32</v>
      </c>
      <c r="W1926" s="217" t="s">
        <v>32</v>
      </c>
    </row>
    <row r="1927" spans="1:23" x14ac:dyDescent="0.25">
      <c r="A1927" s="217" t="s">
        <v>22</v>
      </c>
      <c r="B1927" s="217" t="s">
        <v>23</v>
      </c>
      <c r="C1927" s="217" t="s">
        <v>37</v>
      </c>
      <c r="D1927" s="217" t="s">
        <v>36</v>
      </c>
      <c r="E1927" s="217" t="s">
        <v>250</v>
      </c>
      <c r="F1927" s="217" t="s">
        <v>249</v>
      </c>
      <c r="G1927" s="217" t="s">
        <v>846</v>
      </c>
      <c r="H1927" s="217" t="s">
        <v>1470</v>
      </c>
      <c r="I1927" s="217" t="s">
        <v>659</v>
      </c>
      <c r="J1927" s="217" t="s">
        <v>1859</v>
      </c>
      <c r="K1927" s="217">
        <v>4</v>
      </c>
      <c r="L1927" s="217">
        <v>21</v>
      </c>
      <c r="M1927" s="217" t="s">
        <v>31</v>
      </c>
      <c r="N1927" s="217" t="s">
        <v>32</v>
      </c>
      <c r="O1927" s="217" t="s">
        <v>668</v>
      </c>
      <c r="P1927" s="217" t="s">
        <v>34</v>
      </c>
      <c r="Q1927" s="217" t="s">
        <v>35</v>
      </c>
      <c r="R1927" s="217" t="s">
        <v>23</v>
      </c>
      <c r="S1927" s="217" t="s">
        <v>22</v>
      </c>
      <c r="T1927" s="217" t="s">
        <v>36</v>
      </c>
      <c r="U1927" s="217" t="s">
        <v>37</v>
      </c>
      <c r="V1927" s="217" t="s">
        <v>32</v>
      </c>
      <c r="W1927" s="217" t="s">
        <v>32</v>
      </c>
    </row>
    <row r="1928" spans="1:23" x14ac:dyDescent="0.25">
      <c r="A1928" s="217" t="s">
        <v>22</v>
      </c>
      <c r="B1928" s="217" t="s">
        <v>23</v>
      </c>
      <c r="C1928" s="217" t="s">
        <v>37</v>
      </c>
      <c r="D1928" s="217" t="s">
        <v>36</v>
      </c>
      <c r="E1928" s="217" t="s">
        <v>250</v>
      </c>
      <c r="F1928" s="217" t="s">
        <v>249</v>
      </c>
      <c r="G1928" s="217" t="s">
        <v>256</v>
      </c>
      <c r="H1928" s="217" t="s">
        <v>1472</v>
      </c>
      <c r="I1928" s="217" t="s">
        <v>659</v>
      </c>
      <c r="J1928" s="217" t="s">
        <v>1857</v>
      </c>
      <c r="K1928" s="217">
        <v>14</v>
      </c>
      <c r="L1928" s="217">
        <v>83</v>
      </c>
      <c r="M1928" s="217" t="s">
        <v>31</v>
      </c>
      <c r="N1928" s="217" t="s">
        <v>32</v>
      </c>
      <c r="O1928" s="217" t="s">
        <v>668</v>
      </c>
      <c r="P1928" s="217" t="s">
        <v>34</v>
      </c>
      <c r="Q1928" s="217" t="s">
        <v>35</v>
      </c>
      <c r="R1928" s="217" t="s">
        <v>23</v>
      </c>
      <c r="S1928" s="217" t="s">
        <v>22</v>
      </c>
      <c r="T1928" s="217" t="s">
        <v>36</v>
      </c>
      <c r="U1928" s="217" t="s">
        <v>37</v>
      </c>
      <c r="V1928" s="217" t="s">
        <v>32</v>
      </c>
      <c r="W1928" s="217" t="s">
        <v>32</v>
      </c>
    </row>
    <row r="1929" spans="1:23" x14ac:dyDescent="0.25">
      <c r="A1929" s="217" t="s">
        <v>22</v>
      </c>
      <c r="B1929" s="217" t="s">
        <v>23</v>
      </c>
      <c r="C1929" s="217" t="s">
        <v>37</v>
      </c>
      <c r="D1929" s="217" t="s">
        <v>36</v>
      </c>
      <c r="E1929" s="217" t="s">
        <v>250</v>
      </c>
      <c r="F1929" s="217" t="s">
        <v>249</v>
      </c>
      <c r="G1929" s="217" t="s">
        <v>256</v>
      </c>
      <c r="H1929" s="217" t="s">
        <v>1472</v>
      </c>
      <c r="I1929" s="217" t="s">
        <v>659</v>
      </c>
      <c r="J1929" s="217" t="s">
        <v>1858</v>
      </c>
      <c r="K1929" s="217">
        <v>3</v>
      </c>
      <c r="L1929" s="217">
        <v>19</v>
      </c>
      <c r="M1929" s="217" t="s">
        <v>31</v>
      </c>
      <c r="N1929" s="217" t="s">
        <v>32</v>
      </c>
      <c r="O1929" s="217" t="s">
        <v>668</v>
      </c>
      <c r="P1929" s="217" t="s">
        <v>34</v>
      </c>
      <c r="Q1929" s="217" t="s">
        <v>35</v>
      </c>
      <c r="R1929" s="217" t="s">
        <v>23</v>
      </c>
      <c r="S1929" s="217" t="s">
        <v>22</v>
      </c>
      <c r="T1929" s="217" t="s">
        <v>36</v>
      </c>
      <c r="U1929" s="217" t="s">
        <v>37</v>
      </c>
      <c r="V1929" s="217" t="s">
        <v>32</v>
      </c>
      <c r="W1929" s="217" t="s">
        <v>32</v>
      </c>
    </row>
    <row r="1930" spans="1:23" x14ac:dyDescent="0.25">
      <c r="A1930" s="217" t="s">
        <v>22</v>
      </c>
      <c r="B1930" s="217" t="s">
        <v>23</v>
      </c>
      <c r="C1930" s="217" t="s">
        <v>37</v>
      </c>
      <c r="D1930" s="217" t="s">
        <v>36</v>
      </c>
      <c r="E1930" s="217" t="s">
        <v>250</v>
      </c>
      <c r="F1930" s="217" t="s">
        <v>249</v>
      </c>
      <c r="G1930" s="217" t="s">
        <v>257</v>
      </c>
      <c r="H1930" s="217" t="s">
        <v>1473</v>
      </c>
      <c r="I1930" s="217" t="s">
        <v>659</v>
      </c>
      <c r="J1930" s="217" t="s">
        <v>1855</v>
      </c>
      <c r="K1930" s="217">
        <v>3</v>
      </c>
      <c r="L1930" s="217">
        <v>15</v>
      </c>
      <c r="M1930" s="217" t="s">
        <v>637</v>
      </c>
      <c r="N1930" s="217" t="s">
        <v>2163</v>
      </c>
      <c r="O1930" s="217" t="s">
        <v>668</v>
      </c>
      <c r="P1930" s="217" t="s">
        <v>34</v>
      </c>
      <c r="Q1930" s="217" t="s">
        <v>35</v>
      </c>
      <c r="R1930" s="217" t="s">
        <v>199</v>
      </c>
      <c r="S1930" s="217" t="s">
        <v>200</v>
      </c>
      <c r="T1930" s="217" t="s">
        <v>1591</v>
      </c>
      <c r="U1930" s="217" t="s">
        <v>1592</v>
      </c>
      <c r="V1930" s="217" t="s">
        <v>32</v>
      </c>
      <c r="W1930" s="217" t="s">
        <v>32</v>
      </c>
    </row>
    <row r="1931" spans="1:23" x14ac:dyDescent="0.25">
      <c r="A1931" s="217" t="s">
        <v>22</v>
      </c>
      <c r="B1931" s="217" t="s">
        <v>23</v>
      </c>
      <c r="C1931" s="217" t="s">
        <v>37</v>
      </c>
      <c r="D1931" s="217" t="s">
        <v>36</v>
      </c>
      <c r="E1931" s="217" t="s">
        <v>250</v>
      </c>
      <c r="F1931" s="217" t="s">
        <v>249</v>
      </c>
      <c r="G1931" s="217" t="s">
        <v>257</v>
      </c>
      <c r="H1931" s="217" t="s">
        <v>1473</v>
      </c>
      <c r="I1931" s="217" t="s">
        <v>659</v>
      </c>
      <c r="J1931" s="217" t="s">
        <v>1856</v>
      </c>
      <c r="K1931" s="217">
        <v>1</v>
      </c>
      <c r="L1931" s="217">
        <v>5</v>
      </c>
      <c r="M1931" s="217" t="s">
        <v>31</v>
      </c>
      <c r="N1931" s="217" t="s">
        <v>32</v>
      </c>
      <c r="O1931" s="217" t="s">
        <v>668</v>
      </c>
      <c r="P1931" s="217" t="s">
        <v>34</v>
      </c>
      <c r="Q1931" s="217" t="s">
        <v>35</v>
      </c>
      <c r="R1931" s="217" t="s">
        <v>23</v>
      </c>
      <c r="S1931" s="217" t="s">
        <v>22</v>
      </c>
      <c r="T1931" s="217" t="s">
        <v>47</v>
      </c>
      <c r="U1931" s="217" t="s">
        <v>48</v>
      </c>
      <c r="V1931" s="217" t="s">
        <v>32</v>
      </c>
      <c r="W1931" s="217" t="s">
        <v>32</v>
      </c>
    </row>
    <row r="1932" spans="1:23" x14ac:dyDescent="0.25">
      <c r="A1932" s="217" t="s">
        <v>22</v>
      </c>
      <c r="B1932" s="217" t="s">
        <v>23</v>
      </c>
      <c r="C1932" s="217" t="s">
        <v>37</v>
      </c>
      <c r="D1932" s="217" t="s">
        <v>36</v>
      </c>
      <c r="E1932" s="217" t="s">
        <v>250</v>
      </c>
      <c r="F1932" s="217" t="s">
        <v>249</v>
      </c>
      <c r="G1932" s="217" t="s">
        <v>257</v>
      </c>
      <c r="H1932" s="217" t="s">
        <v>1473</v>
      </c>
      <c r="I1932" s="217" t="s">
        <v>659</v>
      </c>
      <c r="J1932" s="217" t="s">
        <v>1858</v>
      </c>
      <c r="K1932" s="217">
        <v>2</v>
      </c>
      <c r="L1932" s="217">
        <v>10</v>
      </c>
      <c r="M1932" s="217" t="s">
        <v>637</v>
      </c>
      <c r="N1932" s="217" t="s">
        <v>2163</v>
      </c>
      <c r="O1932" s="217" t="s">
        <v>668</v>
      </c>
      <c r="P1932" s="217" t="s">
        <v>34</v>
      </c>
      <c r="Q1932" s="217" t="s">
        <v>35</v>
      </c>
      <c r="R1932" s="217" t="s">
        <v>23</v>
      </c>
      <c r="S1932" s="217" t="s">
        <v>22</v>
      </c>
      <c r="T1932" s="217" t="s">
        <v>36</v>
      </c>
      <c r="U1932" s="217" t="s">
        <v>37</v>
      </c>
      <c r="V1932" s="217" t="s">
        <v>32</v>
      </c>
      <c r="W1932" s="217" t="s">
        <v>32</v>
      </c>
    </row>
    <row r="1933" spans="1:23" x14ac:dyDescent="0.25">
      <c r="A1933" s="217" t="s">
        <v>22</v>
      </c>
      <c r="B1933" s="217" t="s">
        <v>23</v>
      </c>
      <c r="C1933" s="217" t="s">
        <v>37</v>
      </c>
      <c r="D1933" s="217" t="s">
        <v>36</v>
      </c>
      <c r="E1933" s="217" t="s">
        <v>250</v>
      </c>
      <c r="F1933" s="217" t="s">
        <v>249</v>
      </c>
      <c r="G1933" s="217" t="s">
        <v>258</v>
      </c>
      <c r="H1933" s="217" t="s">
        <v>1474</v>
      </c>
      <c r="I1933" s="217" t="s">
        <v>659</v>
      </c>
      <c r="J1933" s="217" t="s">
        <v>1855</v>
      </c>
      <c r="K1933" s="217">
        <v>4</v>
      </c>
      <c r="L1933" s="217">
        <v>20</v>
      </c>
      <c r="M1933" s="217" t="s">
        <v>31</v>
      </c>
      <c r="N1933" s="217" t="s">
        <v>32</v>
      </c>
      <c r="O1933" s="217" t="s">
        <v>668</v>
      </c>
      <c r="P1933" s="217" t="s">
        <v>34</v>
      </c>
      <c r="Q1933" s="217" t="s">
        <v>35</v>
      </c>
      <c r="R1933" s="217" t="s">
        <v>23</v>
      </c>
      <c r="S1933" s="217" t="s">
        <v>22</v>
      </c>
      <c r="T1933" s="217" t="s">
        <v>36</v>
      </c>
      <c r="U1933" s="217" t="s">
        <v>37</v>
      </c>
      <c r="V1933" s="217" t="s">
        <v>32</v>
      </c>
      <c r="W1933" s="217" t="s">
        <v>32</v>
      </c>
    </row>
    <row r="1934" spans="1:23" x14ac:dyDescent="0.25">
      <c r="A1934" s="217" t="s">
        <v>22</v>
      </c>
      <c r="B1934" s="217" t="s">
        <v>23</v>
      </c>
      <c r="C1934" s="217" t="s">
        <v>37</v>
      </c>
      <c r="D1934" s="217" t="s">
        <v>36</v>
      </c>
      <c r="E1934" s="217" t="s">
        <v>250</v>
      </c>
      <c r="F1934" s="217" t="s">
        <v>249</v>
      </c>
      <c r="G1934" s="217" t="s">
        <v>258</v>
      </c>
      <c r="H1934" s="217" t="s">
        <v>1474</v>
      </c>
      <c r="I1934" s="217" t="s">
        <v>659</v>
      </c>
      <c r="J1934" s="217" t="s">
        <v>1856</v>
      </c>
      <c r="K1934" s="217">
        <v>2</v>
      </c>
      <c r="L1934" s="217">
        <v>10</v>
      </c>
      <c r="M1934" s="217" t="s">
        <v>31</v>
      </c>
      <c r="N1934" s="217" t="s">
        <v>32</v>
      </c>
      <c r="O1934" s="217" t="s">
        <v>668</v>
      </c>
      <c r="P1934" s="217" t="s">
        <v>34</v>
      </c>
      <c r="Q1934" s="217" t="s">
        <v>35</v>
      </c>
      <c r="R1934" s="217" t="s">
        <v>23</v>
      </c>
      <c r="S1934" s="217" t="s">
        <v>22</v>
      </c>
      <c r="T1934" s="217" t="s">
        <v>36</v>
      </c>
      <c r="U1934" s="217" t="s">
        <v>37</v>
      </c>
      <c r="V1934" s="217" t="s">
        <v>32</v>
      </c>
      <c r="W1934" s="217" t="s">
        <v>32</v>
      </c>
    </row>
    <row r="1935" spans="1:23" x14ac:dyDescent="0.25">
      <c r="A1935" s="217" t="s">
        <v>22</v>
      </c>
      <c r="B1935" s="217" t="s">
        <v>23</v>
      </c>
      <c r="C1935" s="217" t="s">
        <v>37</v>
      </c>
      <c r="D1935" s="217" t="s">
        <v>36</v>
      </c>
      <c r="E1935" s="217" t="s">
        <v>250</v>
      </c>
      <c r="F1935" s="217" t="s">
        <v>249</v>
      </c>
      <c r="G1935" s="217" t="s">
        <v>258</v>
      </c>
      <c r="H1935" s="217" t="s">
        <v>1474</v>
      </c>
      <c r="I1935" s="217" t="s">
        <v>659</v>
      </c>
      <c r="J1935" s="217" t="s">
        <v>1857</v>
      </c>
      <c r="K1935" s="217">
        <v>1</v>
      </c>
      <c r="L1935" s="217">
        <v>5</v>
      </c>
      <c r="M1935" s="217" t="s">
        <v>31</v>
      </c>
      <c r="N1935" s="217" t="s">
        <v>32</v>
      </c>
      <c r="O1935" s="217" t="s">
        <v>668</v>
      </c>
      <c r="P1935" s="217" t="s">
        <v>34</v>
      </c>
      <c r="Q1935" s="217" t="s">
        <v>35</v>
      </c>
      <c r="R1935" s="217" t="s">
        <v>23</v>
      </c>
      <c r="S1935" s="217" t="s">
        <v>22</v>
      </c>
      <c r="T1935" s="217" t="s">
        <v>36</v>
      </c>
      <c r="U1935" s="217" t="s">
        <v>37</v>
      </c>
      <c r="V1935" s="217" t="s">
        <v>32</v>
      </c>
      <c r="W1935" s="217" t="s">
        <v>32</v>
      </c>
    </row>
    <row r="1936" spans="1:23" x14ac:dyDescent="0.25">
      <c r="A1936" s="217" t="s">
        <v>22</v>
      </c>
      <c r="B1936" s="217" t="s">
        <v>23</v>
      </c>
      <c r="C1936" s="217" t="s">
        <v>37</v>
      </c>
      <c r="D1936" s="217" t="s">
        <v>36</v>
      </c>
      <c r="E1936" s="217" t="s">
        <v>250</v>
      </c>
      <c r="F1936" s="217" t="s">
        <v>249</v>
      </c>
      <c r="G1936" s="217" t="s">
        <v>258</v>
      </c>
      <c r="H1936" s="217" t="s">
        <v>1474</v>
      </c>
      <c r="I1936" s="217" t="s">
        <v>659</v>
      </c>
      <c r="J1936" s="217" t="s">
        <v>1858</v>
      </c>
      <c r="K1936" s="217">
        <v>4</v>
      </c>
      <c r="L1936" s="217">
        <v>20</v>
      </c>
      <c r="M1936" s="217" t="s">
        <v>31</v>
      </c>
      <c r="N1936" s="217" t="s">
        <v>32</v>
      </c>
      <c r="O1936" s="217" t="s">
        <v>668</v>
      </c>
      <c r="P1936" s="217" t="s">
        <v>34</v>
      </c>
      <c r="Q1936" s="217" t="s">
        <v>35</v>
      </c>
      <c r="R1936" s="217" t="s">
        <v>23</v>
      </c>
      <c r="S1936" s="217" t="s">
        <v>22</v>
      </c>
      <c r="T1936" s="217" t="s">
        <v>36</v>
      </c>
      <c r="U1936" s="217" t="s">
        <v>37</v>
      </c>
      <c r="V1936" s="217" t="s">
        <v>32</v>
      </c>
      <c r="W1936" s="217" t="s">
        <v>32</v>
      </c>
    </row>
    <row r="1937" spans="1:23" x14ac:dyDescent="0.25">
      <c r="A1937" s="217" t="s">
        <v>22</v>
      </c>
      <c r="B1937" s="217" t="s">
        <v>23</v>
      </c>
      <c r="C1937" s="217" t="s">
        <v>37</v>
      </c>
      <c r="D1937" s="217" t="s">
        <v>36</v>
      </c>
      <c r="E1937" s="217" t="s">
        <v>250</v>
      </c>
      <c r="F1937" s="217" t="s">
        <v>249</v>
      </c>
      <c r="G1937" s="217" t="s">
        <v>259</v>
      </c>
      <c r="H1937" s="217" t="s">
        <v>1475</v>
      </c>
      <c r="I1937" s="217" t="s">
        <v>659</v>
      </c>
      <c r="J1937" s="217" t="s">
        <v>1857</v>
      </c>
      <c r="K1937" s="217">
        <v>4</v>
      </c>
      <c r="L1937" s="217">
        <v>23</v>
      </c>
      <c r="M1937" s="217" t="s">
        <v>31</v>
      </c>
      <c r="N1937" s="217" t="s">
        <v>32</v>
      </c>
      <c r="O1937" s="217" t="s">
        <v>668</v>
      </c>
      <c r="P1937" s="217" t="s">
        <v>34</v>
      </c>
      <c r="Q1937" s="217" t="s">
        <v>35</v>
      </c>
      <c r="R1937" s="217" t="s">
        <v>199</v>
      </c>
      <c r="S1937" s="217" t="s">
        <v>200</v>
      </c>
      <c r="T1937" s="217" t="s">
        <v>2159</v>
      </c>
      <c r="U1937" s="217" t="s">
        <v>2160</v>
      </c>
      <c r="V1937" s="217" t="s">
        <v>32</v>
      </c>
      <c r="W1937" s="217" t="s">
        <v>32</v>
      </c>
    </row>
    <row r="1938" spans="1:23" x14ac:dyDescent="0.25">
      <c r="A1938" s="217" t="s">
        <v>22</v>
      </c>
      <c r="B1938" s="217" t="s">
        <v>23</v>
      </c>
      <c r="C1938" s="217" t="s">
        <v>37</v>
      </c>
      <c r="D1938" s="217" t="s">
        <v>36</v>
      </c>
      <c r="E1938" s="217" t="s">
        <v>250</v>
      </c>
      <c r="F1938" s="217" t="s">
        <v>249</v>
      </c>
      <c r="G1938" s="217" t="s">
        <v>259</v>
      </c>
      <c r="H1938" s="217" t="s">
        <v>1475</v>
      </c>
      <c r="I1938" s="217" t="s">
        <v>659</v>
      </c>
      <c r="J1938" s="217" t="s">
        <v>1856</v>
      </c>
      <c r="K1938" s="217">
        <v>13</v>
      </c>
      <c r="L1938" s="217">
        <v>82</v>
      </c>
      <c r="M1938" s="217" t="s">
        <v>31</v>
      </c>
      <c r="N1938" s="217" t="s">
        <v>32</v>
      </c>
      <c r="O1938" s="217" t="s">
        <v>668</v>
      </c>
      <c r="P1938" s="217" t="s">
        <v>34</v>
      </c>
      <c r="Q1938" s="217" t="s">
        <v>35</v>
      </c>
      <c r="R1938" s="217" t="s">
        <v>23</v>
      </c>
      <c r="S1938" s="217" t="s">
        <v>22</v>
      </c>
      <c r="T1938" s="217" t="s">
        <v>36</v>
      </c>
      <c r="U1938" s="217" t="s">
        <v>37</v>
      </c>
      <c r="V1938" s="217" t="s">
        <v>32</v>
      </c>
      <c r="W1938" s="217" t="s">
        <v>32</v>
      </c>
    </row>
    <row r="1939" spans="1:23" x14ac:dyDescent="0.25">
      <c r="A1939" s="217" t="s">
        <v>22</v>
      </c>
      <c r="B1939" s="217" t="s">
        <v>23</v>
      </c>
      <c r="C1939" s="217" t="s">
        <v>37</v>
      </c>
      <c r="D1939" s="217" t="s">
        <v>36</v>
      </c>
      <c r="E1939" s="217" t="s">
        <v>250</v>
      </c>
      <c r="F1939" s="217" t="s">
        <v>249</v>
      </c>
      <c r="G1939" s="217" t="s">
        <v>259</v>
      </c>
      <c r="H1939" s="217" t="s">
        <v>1475</v>
      </c>
      <c r="I1939" s="217" t="s">
        <v>659</v>
      </c>
      <c r="J1939" s="217" t="s">
        <v>1858</v>
      </c>
      <c r="K1939" s="217">
        <v>16</v>
      </c>
      <c r="L1939" s="217">
        <v>80</v>
      </c>
      <c r="M1939" s="217" t="s">
        <v>31</v>
      </c>
      <c r="N1939" s="217" t="s">
        <v>32</v>
      </c>
      <c r="O1939" s="217" t="s">
        <v>141</v>
      </c>
      <c r="P1939" s="217" t="s">
        <v>142</v>
      </c>
      <c r="Q1939" s="217" t="s">
        <v>143</v>
      </c>
      <c r="R1939" s="217" t="s">
        <v>618</v>
      </c>
      <c r="S1939" s="217" t="s">
        <v>619</v>
      </c>
      <c r="T1939" s="217" t="s">
        <v>32</v>
      </c>
      <c r="U1939" s="217" t="s">
        <v>32</v>
      </c>
      <c r="V1939" s="217" t="s">
        <v>32</v>
      </c>
      <c r="W1939" s="217" t="s">
        <v>32</v>
      </c>
    </row>
    <row r="1940" spans="1:23" x14ac:dyDescent="0.25">
      <c r="A1940" s="217" t="s">
        <v>22</v>
      </c>
      <c r="B1940" s="217" t="s">
        <v>23</v>
      </c>
      <c r="C1940" s="217" t="s">
        <v>37</v>
      </c>
      <c r="D1940" s="217" t="s">
        <v>36</v>
      </c>
      <c r="E1940" s="217" t="s">
        <v>250</v>
      </c>
      <c r="F1940" s="217" t="s">
        <v>249</v>
      </c>
      <c r="G1940" s="217" t="s">
        <v>260</v>
      </c>
      <c r="H1940" s="217" t="s">
        <v>1476</v>
      </c>
      <c r="I1940" s="217" t="s">
        <v>659</v>
      </c>
      <c r="J1940" s="217" t="s">
        <v>1855</v>
      </c>
      <c r="K1940" s="217">
        <v>2</v>
      </c>
      <c r="L1940" s="217">
        <v>10</v>
      </c>
      <c r="M1940" s="217" t="s">
        <v>31</v>
      </c>
      <c r="N1940" s="217" t="s">
        <v>32</v>
      </c>
      <c r="O1940" s="217" t="s">
        <v>668</v>
      </c>
      <c r="P1940" s="217" t="s">
        <v>34</v>
      </c>
      <c r="Q1940" s="217" t="s">
        <v>35</v>
      </c>
      <c r="R1940" s="217" t="s">
        <v>199</v>
      </c>
      <c r="S1940" s="217" t="s">
        <v>200</v>
      </c>
      <c r="T1940" s="217" t="s">
        <v>2159</v>
      </c>
      <c r="U1940" s="217" t="s">
        <v>2160</v>
      </c>
      <c r="V1940" s="217" t="s">
        <v>32</v>
      </c>
      <c r="W1940" s="217" t="s">
        <v>32</v>
      </c>
    </row>
    <row r="1941" spans="1:23" x14ac:dyDescent="0.25">
      <c r="A1941" s="217" t="s">
        <v>22</v>
      </c>
      <c r="B1941" s="217" t="s">
        <v>23</v>
      </c>
      <c r="C1941" s="217" t="s">
        <v>37</v>
      </c>
      <c r="D1941" s="217" t="s">
        <v>36</v>
      </c>
      <c r="E1941" s="217" t="s">
        <v>250</v>
      </c>
      <c r="F1941" s="217" t="s">
        <v>249</v>
      </c>
      <c r="G1941" s="217" t="s">
        <v>260</v>
      </c>
      <c r="H1941" s="217" t="s">
        <v>1476</v>
      </c>
      <c r="I1941" s="217" t="s">
        <v>659</v>
      </c>
      <c r="J1941" s="217" t="s">
        <v>1856</v>
      </c>
      <c r="K1941" s="217">
        <v>14</v>
      </c>
      <c r="L1941" s="217">
        <v>70</v>
      </c>
      <c r="M1941" s="217" t="s">
        <v>31</v>
      </c>
      <c r="N1941" s="217" t="s">
        <v>32</v>
      </c>
      <c r="O1941" s="217" t="s">
        <v>668</v>
      </c>
      <c r="P1941" s="217" t="s">
        <v>34</v>
      </c>
      <c r="Q1941" s="217" t="s">
        <v>35</v>
      </c>
      <c r="R1941" s="217" t="s">
        <v>199</v>
      </c>
      <c r="S1941" s="217" t="s">
        <v>200</v>
      </c>
      <c r="T1941" s="217" t="s">
        <v>1848</v>
      </c>
      <c r="U1941" s="217" t="s">
        <v>1849</v>
      </c>
      <c r="V1941" s="217" t="s">
        <v>32</v>
      </c>
      <c r="W1941" s="217" t="s">
        <v>32</v>
      </c>
    </row>
    <row r="1942" spans="1:23" x14ac:dyDescent="0.25">
      <c r="A1942" s="217" t="s">
        <v>22</v>
      </c>
      <c r="B1942" s="217" t="s">
        <v>23</v>
      </c>
      <c r="C1942" s="217" t="s">
        <v>37</v>
      </c>
      <c r="D1942" s="217" t="s">
        <v>36</v>
      </c>
      <c r="E1942" s="217" t="s">
        <v>250</v>
      </c>
      <c r="F1942" s="217" t="s">
        <v>249</v>
      </c>
      <c r="G1942" s="217" t="s">
        <v>260</v>
      </c>
      <c r="H1942" s="217" t="s">
        <v>1476</v>
      </c>
      <c r="I1942" s="217" t="s">
        <v>659</v>
      </c>
      <c r="J1942" s="217" t="s">
        <v>1858</v>
      </c>
      <c r="K1942" s="217">
        <v>9</v>
      </c>
      <c r="L1942" s="217">
        <v>45</v>
      </c>
      <c r="M1942" s="217" t="s">
        <v>31</v>
      </c>
      <c r="N1942" s="217" t="s">
        <v>32</v>
      </c>
      <c r="O1942" s="217" t="s">
        <v>668</v>
      </c>
      <c r="P1942" s="217" t="s">
        <v>34</v>
      </c>
      <c r="Q1942" s="217" t="s">
        <v>35</v>
      </c>
      <c r="R1942" s="217" t="s">
        <v>199</v>
      </c>
      <c r="S1942" s="217" t="s">
        <v>200</v>
      </c>
      <c r="T1942" s="217" t="s">
        <v>2161</v>
      </c>
      <c r="U1942" s="217" t="s">
        <v>2162</v>
      </c>
      <c r="V1942" s="217" t="s">
        <v>32</v>
      </c>
      <c r="W1942" s="217" t="s">
        <v>32</v>
      </c>
    </row>
    <row r="1943" spans="1:23" x14ac:dyDescent="0.25">
      <c r="A1943" s="217" t="s">
        <v>22</v>
      </c>
      <c r="B1943" s="217" t="s">
        <v>23</v>
      </c>
      <c r="C1943" s="217" t="s">
        <v>37</v>
      </c>
      <c r="D1943" s="217" t="s">
        <v>36</v>
      </c>
      <c r="E1943" s="217" t="s">
        <v>250</v>
      </c>
      <c r="F1943" s="217" t="s">
        <v>249</v>
      </c>
      <c r="G1943" s="217" t="s">
        <v>260</v>
      </c>
      <c r="H1943" s="217" t="s">
        <v>1476</v>
      </c>
      <c r="I1943" s="217" t="s">
        <v>659</v>
      </c>
      <c r="J1943" s="217" t="s">
        <v>1857</v>
      </c>
      <c r="K1943" s="217">
        <v>2</v>
      </c>
      <c r="L1943" s="217">
        <v>10</v>
      </c>
      <c r="M1943" s="217" t="s">
        <v>31</v>
      </c>
      <c r="N1943" s="217" t="s">
        <v>32</v>
      </c>
      <c r="O1943" s="217" t="s">
        <v>668</v>
      </c>
      <c r="P1943" s="217" t="s">
        <v>34</v>
      </c>
      <c r="Q1943" s="217" t="s">
        <v>35</v>
      </c>
      <c r="R1943" s="217" t="s">
        <v>23</v>
      </c>
      <c r="S1943" s="217" t="s">
        <v>22</v>
      </c>
      <c r="T1943" s="217" t="s">
        <v>25</v>
      </c>
      <c r="U1943" s="217" t="s">
        <v>24</v>
      </c>
      <c r="V1943" s="217" t="s">
        <v>32</v>
      </c>
      <c r="W1943" s="217" t="s">
        <v>32</v>
      </c>
    </row>
    <row r="1944" spans="1:23" x14ac:dyDescent="0.25">
      <c r="A1944" s="217" t="s">
        <v>22</v>
      </c>
      <c r="B1944" s="217" t="s">
        <v>23</v>
      </c>
      <c r="C1944" s="217" t="s">
        <v>37</v>
      </c>
      <c r="D1944" s="217" t="s">
        <v>36</v>
      </c>
      <c r="E1944" s="217" t="s">
        <v>250</v>
      </c>
      <c r="F1944" s="217" t="s">
        <v>249</v>
      </c>
      <c r="G1944" s="217" t="s">
        <v>261</v>
      </c>
      <c r="H1944" s="217" t="s">
        <v>1477</v>
      </c>
      <c r="I1944" s="217" t="s">
        <v>659</v>
      </c>
      <c r="J1944" s="217" t="s">
        <v>1856</v>
      </c>
      <c r="K1944" s="217">
        <v>2</v>
      </c>
      <c r="L1944" s="217">
        <v>10</v>
      </c>
      <c r="M1944" s="217" t="s">
        <v>31</v>
      </c>
      <c r="N1944" s="217" t="s">
        <v>32</v>
      </c>
      <c r="O1944" s="217" t="s">
        <v>668</v>
      </c>
      <c r="P1944" s="217" t="s">
        <v>34</v>
      </c>
      <c r="Q1944" s="217" t="s">
        <v>35</v>
      </c>
      <c r="R1944" s="217" t="s">
        <v>23</v>
      </c>
      <c r="S1944" s="217" t="s">
        <v>22</v>
      </c>
      <c r="T1944" s="217" t="s">
        <v>36</v>
      </c>
      <c r="U1944" s="217" t="s">
        <v>37</v>
      </c>
      <c r="V1944" s="217" t="s">
        <v>32</v>
      </c>
      <c r="W1944" s="217" t="s">
        <v>32</v>
      </c>
    </row>
    <row r="1945" spans="1:23" x14ac:dyDescent="0.25">
      <c r="A1945" s="217" t="s">
        <v>22</v>
      </c>
      <c r="B1945" s="217" t="s">
        <v>23</v>
      </c>
      <c r="C1945" s="217" t="s">
        <v>37</v>
      </c>
      <c r="D1945" s="217" t="s">
        <v>36</v>
      </c>
      <c r="E1945" s="217" t="s">
        <v>250</v>
      </c>
      <c r="F1945" s="217" t="s">
        <v>249</v>
      </c>
      <c r="G1945" s="217" t="s">
        <v>262</v>
      </c>
      <c r="H1945" s="217" t="s">
        <v>1478</v>
      </c>
      <c r="I1945" s="217" t="s">
        <v>659</v>
      </c>
      <c r="J1945" s="217" t="s">
        <v>1855</v>
      </c>
      <c r="K1945" s="217">
        <v>4</v>
      </c>
      <c r="L1945" s="217">
        <v>20</v>
      </c>
      <c r="M1945" s="217" t="s">
        <v>99</v>
      </c>
      <c r="N1945" s="217" t="s">
        <v>32</v>
      </c>
      <c r="O1945" s="217" t="s">
        <v>668</v>
      </c>
      <c r="P1945" s="217" t="s">
        <v>34</v>
      </c>
      <c r="Q1945" s="217" t="s">
        <v>35</v>
      </c>
      <c r="R1945" s="217" t="s">
        <v>199</v>
      </c>
      <c r="S1945" s="217" t="s">
        <v>200</v>
      </c>
      <c r="T1945" s="217" t="s">
        <v>1848</v>
      </c>
      <c r="U1945" s="217" t="s">
        <v>1849</v>
      </c>
      <c r="V1945" s="217" t="s">
        <v>32</v>
      </c>
      <c r="W1945" s="217" t="s">
        <v>32</v>
      </c>
    </row>
    <row r="1946" spans="1:23" x14ac:dyDescent="0.25">
      <c r="A1946" s="217" t="s">
        <v>22</v>
      </c>
      <c r="B1946" s="217" t="s">
        <v>23</v>
      </c>
      <c r="C1946" s="217" t="s">
        <v>37</v>
      </c>
      <c r="D1946" s="217" t="s">
        <v>36</v>
      </c>
      <c r="E1946" s="217" t="s">
        <v>250</v>
      </c>
      <c r="F1946" s="217" t="s">
        <v>249</v>
      </c>
      <c r="G1946" s="217" t="s">
        <v>262</v>
      </c>
      <c r="H1946" s="217" t="s">
        <v>1478</v>
      </c>
      <c r="I1946" s="217" t="s">
        <v>659</v>
      </c>
      <c r="J1946" s="217" t="s">
        <v>1856</v>
      </c>
      <c r="K1946" s="217">
        <v>10</v>
      </c>
      <c r="L1946" s="217">
        <v>50</v>
      </c>
      <c r="M1946" s="217" t="s">
        <v>99</v>
      </c>
      <c r="N1946" s="217" t="s">
        <v>32</v>
      </c>
      <c r="O1946" s="217" t="s">
        <v>668</v>
      </c>
      <c r="P1946" s="217" t="s">
        <v>34</v>
      </c>
      <c r="Q1946" s="217" t="s">
        <v>35</v>
      </c>
      <c r="R1946" s="217" t="s">
        <v>199</v>
      </c>
      <c r="S1946" s="217" t="s">
        <v>200</v>
      </c>
      <c r="T1946" s="217" t="s">
        <v>1848</v>
      </c>
      <c r="U1946" s="217" t="s">
        <v>1849</v>
      </c>
      <c r="V1946" s="217" t="s">
        <v>32</v>
      </c>
      <c r="W1946" s="217" t="s">
        <v>32</v>
      </c>
    </row>
    <row r="1947" spans="1:23" x14ac:dyDescent="0.25">
      <c r="A1947" s="217" t="s">
        <v>22</v>
      </c>
      <c r="B1947" s="217" t="s">
        <v>23</v>
      </c>
      <c r="C1947" s="217" t="s">
        <v>37</v>
      </c>
      <c r="D1947" s="217" t="s">
        <v>36</v>
      </c>
      <c r="E1947" s="217" t="s">
        <v>250</v>
      </c>
      <c r="F1947" s="217" t="s">
        <v>249</v>
      </c>
      <c r="G1947" s="217" t="s">
        <v>262</v>
      </c>
      <c r="H1947" s="217" t="s">
        <v>1478</v>
      </c>
      <c r="I1947" s="217" t="s">
        <v>659</v>
      </c>
      <c r="J1947" s="217" t="s">
        <v>1857</v>
      </c>
      <c r="K1947" s="217">
        <v>2</v>
      </c>
      <c r="L1947" s="217">
        <v>10</v>
      </c>
      <c r="M1947" s="217" t="s">
        <v>637</v>
      </c>
      <c r="N1947" s="217" t="s">
        <v>2164</v>
      </c>
      <c r="O1947" s="217" t="s">
        <v>668</v>
      </c>
      <c r="P1947" s="217" t="s">
        <v>34</v>
      </c>
      <c r="Q1947" s="217" t="s">
        <v>35</v>
      </c>
      <c r="R1947" s="217" t="s">
        <v>199</v>
      </c>
      <c r="S1947" s="217" t="s">
        <v>200</v>
      </c>
      <c r="T1947" s="217" t="s">
        <v>1848</v>
      </c>
      <c r="U1947" s="217" t="s">
        <v>1849</v>
      </c>
      <c r="V1947" s="217" t="s">
        <v>32</v>
      </c>
      <c r="W1947" s="217" t="s">
        <v>32</v>
      </c>
    </row>
    <row r="1948" spans="1:23" x14ac:dyDescent="0.25">
      <c r="A1948" s="217" t="s">
        <v>22</v>
      </c>
      <c r="B1948" s="217" t="s">
        <v>23</v>
      </c>
      <c r="C1948" s="217" t="s">
        <v>37</v>
      </c>
      <c r="D1948" s="217" t="s">
        <v>36</v>
      </c>
      <c r="E1948" s="217" t="s">
        <v>250</v>
      </c>
      <c r="F1948" s="217" t="s">
        <v>249</v>
      </c>
      <c r="G1948" s="217" t="s">
        <v>262</v>
      </c>
      <c r="H1948" s="217" t="s">
        <v>1478</v>
      </c>
      <c r="I1948" s="217" t="s">
        <v>659</v>
      </c>
      <c r="J1948" s="217" t="s">
        <v>1858</v>
      </c>
      <c r="K1948" s="217">
        <v>1</v>
      </c>
      <c r="L1948" s="217">
        <v>5</v>
      </c>
      <c r="M1948" s="217" t="s">
        <v>99</v>
      </c>
      <c r="N1948" s="217" t="s">
        <v>32</v>
      </c>
      <c r="O1948" s="217" t="s">
        <v>668</v>
      </c>
      <c r="P1948" s="217" t="s">
        <v>34</v>
      </c>
      <c r="Q1948" s="217" t="s">
        <v>35</v>
      </c>
      <c r="R1948" s="217" t="s">
        <v>199</v>
      </c>
      <c r="S1948" s="217" t="s">
        <v>200</v>
      </c>
      <c r="T1948" s="217" t="s">
        <v>1848</v>
      </c>
      <c r="U1948" s="217" t="s">
        <v>1849</v>
      </c>
      <c r="V1948" s="217" t="s">
        <v>32</v>
      </c>
      <c r="W1948" s="217" t="s">
        <v>32</v>
      </c>
    </row>
    <row r="1949" spans="1:23" x14ac:dyDescent="0.25">
      <c r="A1949" s="217" t="s">
        <v>22</v>
      </c>
      <c r="B1949" s="217" t="s">
        <v>23</v>
      </c>
      <c r="C1949" s="217" t="s">
        <v>37</v>
      </c>
      <c r="D1949" s="217" t="s">
        <v>36</v>
      </c>
      <c r="E1949" s="217" t="s">
        <v>250</v>
      </c>
      <c r="F1949" s="217" t="s">
        <v>249</v>
      </c>
      <c r="G1949" s="217" t="s">
        <v>599</v>
      </c>
      <c r="H1949" s="217" t="s">
        <v>1479</v>
      </c>
      <c r="I1949" s="217" t="s">
        <v>659</v>
      </c>
      <c r="J1949" s="217" t="s">
        <v>1857</v>
      </c>
      <c r="K1949" s="217">
        <v>2</v>
      </c>
      <c r="L1949" s="217">
        <v>10</v>
      </c>
      <c r="M1949" s="217" t="s">
        <v>31</v>
      </c>
      <c r="N1949" s="217" t="s">
        <v>32</v>
      </c>
      <c r="O1949" s="217" t="s">
        <v>668</v>
      </c>
      <c r="P1949" s="217" t="s">
        <v>34</v>
      </c>
      <c r="Q1949" s="217" t="s">
        <v>35</v>
      </c>
      <c r="R1949" s="217" t="s">
        <v>199</v>
      </c>
      <c r="S1949" s="217" t="s">
        <v>200</v>
      </c>
      <c r="T1949" s="217" t="s">
        <v>1591</v>
      </c>
      <c r="U1949" s="217" t="s">
        <v>1592</v>
      </c>
      <c r="V1949" s="217" t="s">
        <v>32</v>
      </c>
      <c r="W1949" s="217" t="s">
        <v>32</v>
      </c>
    </row>
    <row r="1950" spans="1:23" x14ac:dyDescent="0.25">
      <c r="A1950" s="217" t="s">
        <v>22</v>
      </c>
      <c r="B1950" s="217" t="s">
        <v>23</v>
      </c>
      <c r="C1950" s="217" t="s">
        <v>37</v>
      </c>
      <c r="D1950" s="217" t="s">
        <v>36</v>
      </c>
      <c r="E1950" s="217" t="s">
        <v>250</v>
      </c>
      <c r="F1950" s="217" t="s">
        <v>249</v>
      </c>
      <c r="G1950" s="217" t="s">
        <v>599</v>
      </c>
      <c r="H1950" s="217" t="s">
        <v>1479</v>
      </c>
      <c r="I1950" s="217" t="s">
        <v>659</v>
      </c>
      <c r="J1950" s="217" t="s">
        <v>1855</v>
      </c>
      <c r="K1950" s="217">
        <v>1</v>
      </c>
      <c r="L1950" s="217">
        <v>5</v>
      </c>
      <c r="M1950" s="217" t="s">
        <v>31</v>
      </c>
      <c r="N1950" s="217" t="s">
        <v>32</v>
      </c>
      <c r="O1950" s="217" t="s">
        <v>668</v>
      </c>
      <c r="P1950" s="217" t="s">
        <v>34</v>
      </c>
      <c r="Q1950" s="217" t="s">
        <v>35</v>
      </c>
      <c r="R1950" s="217" t="s">
        <v>23</v>
      </c>
      <c r="S1950" s="217" t="s">
        <v>22</v>
      </c>
      <c r="T1950" s="217" t="s">
        <v>36</v>
      </c>
      <c r="U1950" s="217" t="s">
        <v>37</v>
      </c>
      <c r="V1950" s="217" t="s">
        <v>32</v>
      </c>
      <c r="W1950" s="217" t="s">
        <v>32</v>
      </c>
    </row>
    <row r="1951" spans="1:23" x14ac:dyDescent="0.25">
      <c r="A1951" s="217" t="s">
        <v>22</v>
      </c>
      <c r="B1951" s="217" t="s">
        <v>23</v>
      </c>
      <c r="C1951" s="217" t="s">
        <v>37</v>
      </c>
      <c r="D1951" s="217" t="s">
        <v>36</v>
      </c>
      <c r="E1951" s="217" t="s">
        <v>250</v>
      </c>
      <c r="F1951" s="217" t="s">
        <v>249</v>
      </c>
      <c r="G1951" s="217" t="s">
        <v>599</v>
      </c>
      <c r="H1951" s="217" t="s">
        <v>1479</v>
      </c>
      <c r="I1951" s="217" t="s">
        <v>659</v>
      </c>
      <c r="J1951" s="217" t="s">
        <v>1856</v>
      </c>
      <c r="K1951" s="217">
        <v>2</v>
      </c>
      <c r="L1951" s="217">
        <v>10</v>
      </c>
      <c r="M1951" s="217" t="s">
        <v>31</v>
      </c>
      <c r="N1951" s="217" t="s">
        <v>32</v>
      </c>
      <c r="O1951" s="217" t="s">
        <v>668</v>
      </c>
      <c r="P1951" s="217" t="s">
        <v>34</v>
      </c>
      <c r="Q1951" s="217" t="s">
        <v>35</v>
      </c>
      <c r="R1951" s="217" t="s">
        <v>23</v>
      </c>
      <c r="S1951" s="217" t="s">
        <v>22</v>
      </c>
      <c r="T1951" s="217" t="s">
        <v>36</v>
      </c>
      <c r="U1951" s="217" t="s">
        <v>37</v>
      </c>
      <c r="V1951" s="217" t="s">
        <v>32</v>
      </c>
      <c r="W1951" s="217" t="s">
        <v>32</v>
      </c>
    </row>
    <row r="1952" spans="1:23" x14ac:dyDescent="0.25">
      <c r="A1952" s="217" t="s">
        <v>22</v>
      </c>
      <c r="B1952" s="217" t="s">
        <v>23</v>
      </c>
      <c r="C1952" s="217" t="s">
        <v>37</v>
      </c>
      <c r="D1952" s="217" t="s">
        <v>36</v>
      </c>
      <c r="E1952" s="217" t="s">
        <v>250</v>
      </c>
      <c r="F1952" s="217" t="s">
        <v>249</v>
      </c>
      <c r="G1952" s="217" t="s">
        <v>599</v>
      </c>
      <c r="H1952" s="217" t="s">
        <v>1479</v>
      </c>
      <c r="I1952" s="217" t="s">
        <v>659</v>
      </c>
      <c r="J1952" s="217" t="s">
        <v>1858</v>
      </c>
      <c r="K1952" s="217">
        <v>1</v>
      </c>
      <c r="L1952" s="217">
        <v>5</v>
      </c>
      <c r="M1952" s="217" t="s">
        <v>31</v>
      </c>
      <c r="N1952" s="217" t="s">
        <v>32</v>
      </c>
      <c r="O1952" s="217" t="s">
        <v>668</v>
      </c>
      <c r="P1952" s="217" t="s">
        <v>34</v>
      </c>
      <c r="Q1952" s="217" t="s">
        <v>35</v>
      </c>
      <c r="R1952" s="217" t="s">
        <v>23</v>
      </c>
      <c r="S1952" s="217" t="s">
        <v>22</v>
      </c>
      <c r="T1952" s="217" t="s">
        <v>36</v>
      </c>
      <c r="U1952" s="217" t="s">
        <v>37</v>
      </c>
      <c r="V1952" s="217" t="s">
        <v>32</v>
      </c>
      <c r="W1952" s="217" t="s">
        <v>32</v>
      </c>
    </row>
    <row r="1953" spans="1:23" x14ac:dyDescent="0.25">
      <c r="A1953" s="217" t="s">
        <v>22</v>
      </c>
      <c r="B1953" s="217" t="s">
        <v>23</v>
      </c>
      <c r="C1953" s="217" t="s">
        <v>37</v>
      </c>
      <c r="D1953" s="217" t="s">
        <v>36</v>
      </c>
      <c r="E1953" s="217" t="s">
        <v>250</v>
      </c>
      <c r="F1953" s="217" t="s">
        <v>249</v>
      </c>
      <c r="G1953" s="217" t="s">
        <v>600</v>
      </c>
      <c r="H1953" s="217" t="s">
        <v>1480</v>
      </c>
      <c r="I1953" s="217" t="s">
        <v>659</v>
      </c>
      <c r="J1953" s="217" t="s">
        <v>1858</v>
      </c>
      <c r="K1953" s="217">
        <v>1</v>
      </c>
      <c r="L1953" s="217">
        <v>3</v>
      </c>
      <c r="M1953" s="217" t="s">
        <v>31</v>
      </c>
      <c r="N1953" s="217" t="s">
        <v>32</v>
      </c>
      <c r="O1953" s="217" t="s">
        <v>668</v>
      </c>
      <c r="P1953" s="217" t="s">
        <v>34</v>
      </c>
      <c r="Q1953" s="217" t="s">
        <v>35</v>
      </c>
      <c r="R1953" s="217" t="s">
        <v>199</v>
      </c>
      <c r="S1953" s="217" t="s">
        <v>200</v>
      </c>
      <c r="T1953" s="217" t="s">
        <v>1848</v>
      </c>
      <c r="U1953" s="217" t="s">
        <v>1849</v>
      </c>
      <c r="V1953" s="217" t="s">
        <v>32</v>
      </c>
      <c r="W1953" s="217" t="s">
        <v>32</v>
      </c>
    </row>
    <row r="1954" spans="1:23" x14ac:dyDescent="0.25">
      <c r="A1954" s="217" t="s">
        <v>22</v>
      </c>
      <c r="B1954" s="217" t="s">
        <v>23</v>
      </c>
      <c r="C1954" s="217" t="s">
        <v>37</v>
      </c>
      <c r="D1954" s="217" t="s">
        <v>36</v>
      </c>
      <c r="E1954" s="217" t="s">
        <v>250</v>
      </c>
      <c r="F1954" s="217" t="s">
        <v>249</v>
      </c>
      <c r="G1954" s="217" t="s">
        <v>600</v>
      </c>
      <c r="H1954" s="217" t="s">
        <v>1480</v>
      </c>
      <c r="I1954" s="217" t="s">
        <v>659</v>
      </c>
      <c r="J1954" s="217" t="s">
        <v>1857</v>
      </c>
      <c r="K1954" s="217">
        <v>9</v>
      </c>
      <c r="L1954" s="217">
        <v>45</v>
      </c>
      <c r="M1954" s="217" t="s">
        <v>31</v>
      </c>
      <c r="N1954" s="217" t="s">
        <v>32</v>
      </c>
      <c r="O1954" s="217" t="s">
        <v>141</v>
      </c>
      <c r="P1954" s="217" t="s">
        <v>142</v>
      </c>
      <c r="Q1954" s="217" t="s">
        <v>143</v>
      </c>
      <c r="R1954" s="217" t="s">
        <v>618</v>
      </c>
      <c r="S1954" s="217" t="s">
        <v>619</v>
      </c>
      <c r="T1954" s="217" t="s">
        <v>32</v>
      </c>
      <c r="U1954" s="217" t="s">
        <v>32</v>
      </c>
      <c r="V1954" s="217" t="s">
        <v>32</v>
      </c>
      <c r="W1954" s="217" t="s">
        <v>32</v>
      </c>
    </row>
    <row r="1955" spans="1:23" x14ac:dyDescent="0.25">
      <c r="A1955" s="217" t="s">
        <v>22</v>
      </c>
      <c r="B1955" s="217" t="s">
        <v>23</v>
      </c>
      <c r="C1955" s="217" t="s">
        <v>37</v>
      </c>
      <c r="D1955" s="217" t="s">
        <v>36</v>
      </c>
      <c r="E1955" s="217" t="s">
        <v>250</v>
      </c>
      <c r="F1955" s="217" t="s">
        <v>249</v>
      </c>
      <c r="G1955" s="217" t="s">
        <v>601</v>
      </c>
      <c r="H1955" s="217" t="s">
        <v>1481</v>
      </c>
      <c r="I1955" s="217" t="s">
        <v>659</v>
      </c>
      <c r="J1955" s="217" t="s">
        <v>1857</v>
      </c>
      <c r="K1955" s="217">
        <v>45</v>
      </c>
      <c r="L1955" s="217">
        <v>231</v>
      </c>
      <c r="M1955" s="217" t="s">
        <v>31</v>
      </c>
      <c r="N1955" s="217" t="s">
        <v>32</v>
      </c>
      <c r="O1955" s="217" t="s">
        <v>668</v>
      </c>
      <c r="P1955" s="217" t="s">
        <v>34</v>
      </c>
      <c r="Q1955" s="217" t="s">
        <v>35</v>
      </c>
      <c r="R1955" s="217" t="s">
        <v>199</v>
      </c>
      <c r="S1955" s="217" t="s">
        <v>200</v>
      </c>
      <c r="T1955" s="217" t="s">
        <v>1591</v>
      </c>
      <c r="U1955" s="217" t="s">
        <v>1592</v>
      </c>
      <c r="V1955" s="217" t="s">
        <v>32</v>
      </c>
      <c r="W1955" s="217" t="s">
        <v>32</v>
      </c>
    </row>
    <row r="1956" spans="1:23" x14ac:dyDescent="0.25">
      <c r="A1956" s="217" t="s">
        <v>22</v>
      </c>
      <c r="B1956" s="217" t="s">
        <v>23</v>
      </c>
      <c r="C1956" s="217" t="s">
        <v>37</v>
      </c>
      <c r="D1956" s="217" t="s">
        <v>36</v>
      </c>
      <c r="E1956" s="217" t="s">
        <v>250</v>
      </c>
      <c r="F1956" s="217" t="s">
        <v>249</v>
      </c>
      <c r="G1956" s="217" t="s">
        <v>601</v>
      </c>
      <c r="H1956" s="217" t="s">
        <v>1481</v>
      </c>
      <c r="I1956" s="217" t="s">
        <v>659</v>
      </c>
      <c r="J1956" s="217" t="s">
        <v>1858</v>
      </c>
      <c r="K1956" s="217">
        <v>15</v>
      </c>
      <c r="L1956" s="217">
        <v>69</v>
      </c>
      <c r="M1956" s="217" t="s">
        <v>31</v>
      </c>
      <c r="N1956" s="217" t="s">
        <v>32</v>
      </c>
      <c r="O1956" s="217" t="s">
        <v>668</v>
      </c>
      <c r="P1956" s="217" t="s">
        <v>34</v>
      </c>
      <c r="Q1956" s="217" t="s">
        <v>35</v>
      </c>
      <c r="R1956" s="217" t="s">
        <v>199</v>
      </c>
      <c r="S1956" s="217" t="s">
        <v>200</v>
      </c>
      <c r="T1956" s="217" t="s">
        <v>1591</v>
      </c>
      <c r="U1956" s="217" t="s">
        <v>1592</v>
      </c>
      <c r="V1956" s="217" t="s">
        <v>32</v>
      </c>
      <c r="W1956" s="217" t="s">
        <v>32</v>
      </c>
    </row>
    <row r="1957" spans="1:23" x14ac:dyDescent="0.25">
      <c r="A1957" s="217" t="s">
        <v>22</v>
      </c>
      <c r="B1957" s="217" t="s">
        <v>23</v>
      </c>
      <c r="C1957" s="217" t="s">
        <v>37</v>
      </c>
      <c r="D1957" s="217" t="s">
        <v>36</v>
      </c>
      <c r="E1957" s="217" t="s">
        <v>250</v>
      </c>
      <c r="F1957" s="217" t="s">
        <v>249</v>
      </c>
      <c r="G1957" s="217" t="s">
        <v>601</v>
      </c>
      <c r="H1957" s="217" t="s">
        <v>1481</v>
      </c>
      <c r="I1957" s="217" t="s">
        <v>659</v>
      </c>
      <c r="J1957" s="217" t="s">
        <v>1856</v>
      </c>
      <c r="K1957" s="217">
        <v>80</v>
      </c>
      <c r="L1957" s="217">
        <v>400</v>
      </c>
      <c r="M1957" s="217" t="s">
        <v>31</v>
      </c>
      <c r="N1957" s="217" t="s">
        <v>32</v>
      </c>
      <c r="O1957" s="217" t="s">
        <v>668</v>
      </c>
      <c r="P1957" s="217" t="s">
        <v>34</v>
      </c>
      <c r="Q1957" s="217" t="s">
        <v>35</v>
      </c>
      <c r="R1957" s="217" t="s">
        <v>23</v>
      </c>
      <c r="S1957" s="217" t="s">
        <v>22</v>
      </c>
      <c r="T1957" s="217" t="s">
        <v>36</v>
      </c>
      <c r="U1957" s="217" t="s">
        <v>37</v>
      </c>
      <c r="V1957" s="217" t="s">
        <v>32</v>
      </c>
      <c r="W1957" s="217" t="s">
        <v>32</v>
      </c>
    </row>
    <row r="1958" spans="1:23" x14ac:dyDescent="0.25">
      <c r="A1958" s="217" t="s">
        <v>22</v>
      </c>
      <c r="B1958" s="217" t="s">
        <v>23</v>
      </c>
      <c r="C1958" s="217" t="s">
        <v>37</v>
      </c>
      <c r="D1958" s="217" t="s">
        <v>36</v>
      </c>
      <c r="E1958" s="217" t="s">
        <v>250</v>
      </c>
      <c r="F1958" s="217" t="s">
        <v>249</v>
      </c>
      <c r="G1958" s="217" t="s">
        <v>602</v>
      </c>
      <c r="H1958" s="217" t="s">
        <v>1482</v>
      </c>
      <c r="I1958" s="217" t="s">
        <v>659</v>
      </c>
      <c r="J1958" s="217" t="s">
        <v>1858</v>
      </c>
      <c r="K1958" s="217">
        <v>18</v>
      </c>
      <c r="L1958" s="217">
        <v>119</v>
      </c>
      <c r="M1958" s="217" t="s">
        <v>31</v>
      </c>
      <c r="N1958" s="217" t="s">
        <v>32</v>
      </c>
      <c r="O1958" s="217" t="s">
        <v>668</v>
      </c>
      <c r="P1958" s="217" t="s">
        <v>34</v>
      </c>
      <c r="Q1958" s="217" t="s">
        <v>35</v>
      </c>
      <c r="R1958" s="217" t="s">
        <v>199</v>
      </c>
      <c r="S1958" s="217" t="s">
        <v>200</v>
      </c>
      <c r="T1958" s="217" t="s">
        <v>2159</v>
      </c>
      <c r="U1958" s="217" t="s">
        <v>2160</v>
      </c>
      <c r="V1958" s="217" t="s">
        <v>32</v>
      </c>
      <c r="W1958" s="217" t="s">
        <v>32</v>
      </c>
    </row>
    <row r="1959" spans="1:23" x14ac:dyDescent="0.25">
      <c r="A1959" s="217" t="s">
        <v>22</v>
      </c>
      <c r="B1959" s="217" t="s">
        <v>23</v>
      </c>
      <c r="C1959" s="217" t="s">
        <v>37</v>
      </c>
      <c r="D1959" s="217" t="s">
        <v>36</v>
      </c>
      <c r="E1959" s="217" t="s">
        <v>250</v>
      </c>
      <c r="F1959" s="217" t="s">
        <v>249</v>
      </c>
      <c r="G1959" s="217" t="s">
        <v>602</v>
      </c>
      <c r="H1959" s="217" t="s">
        <v>1482</v>
      </c>
      <c r="I1959" s="217" t="s">
        <v>659</v>
      </c>
      <c r="J1959" s="217" t="s">
        <v>1857</v>
      </c>
      <c r="K1959" s="217">
        <v>57</v>
      </c>
      <c r="L1959" s="217">
        <v>309</v>
      </c>
      <c r="M1959" s="217" t="s">
        <v>31</v>
      </c>
      <c r="N1959" s="217" t="s">
        <v>32</v>
      </c>
      <c r="O1959" s="217" t="s">
        <v>668</v>
      </c>
      <c r="P1959" s="217" t="s">
        <v>34</v>
      </c>
      <c r="Q1959" s="217" t="s">
        <v>35</v>
      </c>
      <c r="R1959" s="217" t="s">
        <v>23</v>
      </c>
      <c r="S1959" s="217" t="s">
        <v>22</v>
      </c>
      <c r="T1959" s="217" t="s">
        <v>47</v>
      </c>
      <c r="U1959" s="217" t="s">
        <v>48</v>
      </c>
      <c r="V1959" s="217" t="s">
        <v>32</v>
      </c>
      <c r="W1959" s="217" t="s">
        <v>32</v>
      </c>
    </row>
    <row r="1960" spans="1:23" x14ac:dyDescent="0.25">
      <c r="A1960" s="217" t="s">
        <v>22</v>
      </c>
      <c r="B1960" s="217" t="s">
        <v>23</v>
      </c>
      <c r="C1960" s="217" t="s">
        <v>37</v>
      </c>
      <c r="D1960" s="217" t="s">
        <v>36</v>
      </c>
      <c r="E1960" s="217" t="s">
        <v>250</v>
      </c>
      <c r="F1960" s="217" t="s">
        <v>249</v>
      </c>
      <c r="G1960" s="217" t="s">
        <v>603</v>
      </c>
      <c r="H1960" s="217" t="s">
        <v>1483</v>
      </c>
      <c r="I1960" s="217" t="s">
        <v>659</v>
      </c>
      <c r="J1960" s="217" t="s">
        <v>1857</v>
      </c>
      <c r="K1960" s="217">
        <v>53</v>
      </c>
      <c r="L1960" s="217">
        <v>289</v>
      </c>
      <c r="M1960" s="217" t="s">
        <v>31</v>
      </c>
      <c r="N1960" s="217" t="s">
        <v>32</v>
      </c>
      <c r="O1960" s="217" t="s">
        <v>668</v>
      </c>
      <c r="P1960" s="217" t="s">
        <v>34</v>
      </c>
      <c r="Q1960" s="217" t="s">
        <v>35</v>
      </c>
      <c r="R1960" s="217" t="s">
        <v>23</v>
      </c>
      <c r="S1960" s="217" t="s">
        <v>22</v>
      </c>
      <c r="T1960" s="217" t="s">
        <v>36</v>
      </c>
      <c r="U1960" s="217" t="s">
        <v>37</v>
      </c>
      <c r="V1960" s="217" t="s">
        <v>32</v>
      </c>
      <c r="W1960" s="217" t="s">
        <v>32</v>
      </c>
    </row>
    <row r="1961" spans="1:23" x14ac:dyDescent="0.25">
      <c r="A1961" s="217" t="s">
        <v>22</v>
      </c>
      <c r="B1961" s="217" t="s">
        <v>23</v>
      </c>
      <c r="C1961" s="217" t="s">
        <v>37</v>
      </c>
      <c r="D1961" s="217" t="s">
        <v>36</v>
      </c>
      <c r="E1961" s="217" t="s">
        <v>250</v>
      </c>
      <c r="F1961" s="217" t="s">
        <v>249</v>
      </c>
      <c r="G1961" s="217" t="s">
        <v>603</v>
      </c>
      <c r="H1961" s="217" t="s">
        <v>1483</v>
      </c>
      <c r="I1961" s="217" t="s">
        <v>659</v>
      </c>
      <c r="J1961" s="217" t="s">
        <v>1858</v>
      </c>
      <c r="K1961" s="217">
        <v>22</v>
      </c>
      <c r="L1961" s="217">
        <v>121</v>
      </c>
      <c r="M1961" s="217" t="s">
        <v>31</v>
      </c>
      <c r="N1961" s="217" t="s">
        <v>32</v>
      </c>
      <c r="O1961" s="217" t="s">
        <v>668</v>
      </c>
      <c r="P1961" s="217" t="s">
        <v>34</v>
      </c>
      <c r="Q1961" s="217" t="s">
        <v>35</v>
      </c>
      <c r="R1961" s="217" t="s">
        <v>23</v>
      </c>
      <c r="S1961" s="217" t="s">
        <v>22</v>
      </c>
      <c r="T1961" s="217" t="s">
        <v>36</v>
      </c>
      <c r="U1961" s="217" t="s">
        <v>37</v>
      </c>
      <c r="V1961" s="217" t="s">
        <v>32</v>
      </c>
      <c r="W1961" s="217" t="s">
        <v>32</v>
      </c>
    </row>
    <row r="1962" spans="1:23" x14ac:dyDescent="0.25">
      <c r="A1962" s="217" t="s">
        <v>22</v>
      </c>
      <c r="B1962" s="217" t="s">
        <v>23</v>
      </c>
      <c r="C1962" s="217" t="s">
        <v>37</v>
      </c>
      <c r="D1962" s="217" t="s">
        <v>36</v>
      </c>
      <c r="E1962" s="217" t="s">
        <v>250</v>
      </c>
      <c r="F1962" s="217" t="s">
        <v>249</v>
      </c>
      <c r="G1962" s="217" t="s">
        <v>604</v>
      </c>
      <c r="H1962" s="217" t="s">
        <v>1484</v>
      </c>
      <c r="I1962" s="217" t="s">
        <v>659</v>
      </c>
      <c r="J1962" s="217" t="s">
        <v>1858</v>
      </c>
      <c r="K1962" s="217">
        <v>11</v>
      </c>
      <c r="L1962" s="217">
        <v>76</v>
      </c>
      <c r="M1962" s="217" t="s">
        <v>31</v>
      </c>
      <c r="N1962" s="217" t="s">
        <v>32</v>
      </c>
      <c r="O1962" s="217" t="s">
        <v>668</v>
      </c>
      <c r="P1962" s="217" t="s">
        <v>34</v>
      </c>
      <c r="Q1962" s="217" t="s">
        <v>35</v>
      </c>
      <c r="R1962" s="217" t="s">
        <v>199</v>
      </c>
      <c r="S1962" s="217" t="s">
        <v>200</v>
      </c>
      <c r="T1962" s="217" t="s">
        <v>2159</v>
      </c>
      <c r="U1962" s="217" t="s">
        <v>2160</v>
      </c>
      <c r="V1962" s="217" t="s">
        <v>32</v>
      </c>
      <c r="W1962" s="217" t="s">
        <v>32</v>
      </c>
    </row>
    <row r="1963" spans="1:23" x14ac:dyDescent="0.25">
      <c r="A1963" s="217" t="s">
        <v>22</v>
      </c>
      <c r="B1963" s="217" t="s">
        <v>23</v>
      </c>
      <c r="C1963" s="217" t="s">
        <v>37</v>
      </c>
      <c r="D1963" s="217" t="s">
        <v>36</v>
      </c>
      <c r="E1963" s="217" t="s">
        <v>250</v>
      </c>
      <c r="F1963" s="217" t="s">
        <v>249</v>
      </c>
      <c r="G1963" s="217" t="s">
        <v>604</v>
      </c>
      <c r="H1963" s="217" t="s">
        <v>1484</v>
      </c>
      <c r="I1963" s="217" t="s">
        <v>659</v>
      </c>
      <c r="J1963" s="217" t="s">
        <v>1857</v>
      </c>
      <c r="K1963" s="217">
        <v>76</v>
      </c>
      <c r="L1963" s="217">
        <v>398</v>
      </c>
      <c r="M1963" s="217" t="s">
        <v>31</v>
      </c>
      <c r="N1963" s="217" t="s">
        <v>32</v>
      </c>
      <c r="O1963" s="217" t="s">
        <v>668</v>
      </c>
      <c r="P1963" s="217" t="s">
        <v>34</v>
      </c>
      <c r="Q1963" s="217" t="s">
        <v>35</v>
      </c>
      <c r="R1963" s="217" t="s">
        <v>23</v>
      </c>
      <c r="S1963" s="217" t="s">
        <v>22</v>
      </c>
      <c r="T1963" s="217" t="s">
        <v>47</v>
      </c>
      <c r="U1963" s="217" t="s">
        <v>48</v>
      </c>
      <c r="V1963" s="217" t="s">
        <v>32</v>
      </c>
      <c r="W1963" s="217" t="s">
        <v>32</v>
      </c>
    </row>
    <row r="1964" spans="1:23" x14ac:dyDescent="0.25">
      <c r="A1964" s="217" t="s">
        <v>22</v>
      </c>
      <c r="B1964" s="217" t="s">
        <v>23</v>
      </c>
      <c r="C1964" s="217" t="s">
        <v>37</v>
      </c>
      <c r="D1964" s="217" t="s">
        <v>36</v>
      </c>
      <c r="E1964" s="217" t="s">
        <v>250</v>
      </c>
      <c r="F1964" s="217" t="s">
        <v>249</v>
      </c>
      <c r="G1964" s="217" t="s">
        <v>605</v>
      </c>
      <c r="H1964" s="217" t="s">
        <v>1485</v>
      </c>
      <c r="I1964" s="217" t="s">
        <v>659</v>
      </c>
      <c r="J1964" s="217" t="s">
        <v>1857</v>
      </c>
      <c r="K1964" s="217">
        <v>163</v>
      </c>
      <c r="L1964" s="217">
        <v>828</v>
      </c>
      <c r="M1964" s="217" t="s">
        <v>31</v>
      </c>
      <c r="N1964" s="217" t="s">
        <v>32</v>
      </c>
      <c r="O1964" s="217" t="s">
        <v>668</v>
      </c>
      <c r="P1964" s="217" t="s">
        <v>34</v>
      </c>
      <c r="Q1964" s="217" t="s">
        <v>35</v>
      </c>
      <c r="R1964" s="217" t="s">
        <v>23</v>
      </c>
      <c r="S1964" s="217" t="s">
        <v>22</v>
      </c>
      <c r="T1964" s="217" t="s">
        <v>36</v>
      </c>
      <c r="U1964" s="217" t="s">
        <v>37</v>
      </c>
      <c r="V1964" s="217" t="s">
        <v>32</v>
      </c>
      <c r="W1964" s="217" t="s">
        <v>32</v>
      </c>
    </row>
    <row r="1965" spans="1:23" x14ac:dyDescent="0.25">
      <c r="A1965" s="217" t="s">
        <v>22</v>
      </c>
      <c r="B1965" s="217" t="s">
        <v>23</v>
      </c>
      <c r="C1965" s="217" t="s">
        <v>37</v>
      </c>
      <c r="D1965" s="217" t="s">
        <v>36</v>
      </c>
      <c r="E1965" s="217" t="s">
        <v>250</v>
      </c>
      <c r="F1965" s="217" t="s">
        <v>249</v>
      </c>
      <c r="G1965" s="217" t="s">
        <v>605</v>
      </c>
      <c r="H1965" s="217" t="s">
        <v>1485</v>
      </c>
      <c r="I1965" s="217" t="s">
        <v>659</v>
      </c>
      <c r="J1965" s="217" t="s">
        <v>1858</v>
      </c>
      <c r="K1965" s="217">
        <v>13</v>
      </c>
      <c r="L1965" s="217">
        <v>77</v>
      </c>
      <c r="M1965" s="217" t="s">
        <v>31</v>
      </c>
      <c r="N1965" s="217" t="s">
        <v>32</v>
      </c>
      <c r="O1965" s="217" t="s">
        <v>668</v>
      </c>
      <c r="P1965" s="217" t="s">
        <v>34</v>
      </c>
      <c r="Q1965" s="217" t="s">
        <v>35</v>
      </c>
      <c r="R1965" s="217" t="s">
        <v>23</v>
      </c>
      <c r="S1965" s="217" t="s">
        <v>22</v>
      </c>
      <c r="T1965" s="217" t="s">
        <v>36</v>
      </c>
      <c r="U1965" s="217" t="s">
        <v>37</v>
      </c>
      <c r="V1965" s="217" t="s">
        <v>32</v>
      </c>
      <c r="W1965" s="217" t="s">
        <v>32</v>
      </c>
    </row>
    <row r="1966" spans="1:23" x14ac:dyDescent="0.25">
      <c r="A1966" s="217" t="s">
        <v>22</v>
      </c>
      <c r="B1966" s="217" t="s">
        <v>23</v>
      </c>
      <c r="C1966" s="217" t="s">
        <v>37</v>
      </c>
      <c r="D1966" s="217" t="s">
        <v>36</v>
      </c>
      <c r="E1966" s="217" t="s">
        <v>250</v>
      </c>
      <c r="F1966" s="217" t="s">
        <v>249</v>
      </c>
      <c r="G1966" s="217" t="s">
        <v>607</v>
      </c>
      <c r="H1966" s="217" t="s">
        <v>1487</v>
      </c>
      <c r="I1966" s="217" t="s">
        <v>659</v>
      </c>
      <c r="J1966" s="217" t="s">
        <v>1855</v>
      </c>
      <c r="K1966" s="217">
        <v>4</v>
      </c>
      <c r="L1966" s="217">
        <v>20</v>
      </c>
      <c r="M1966" s="217" t="s">
        <v>31</v>
      </c>
      <c r="N1966" s="217" t="s">
        <v>32</v>
      </c>
      <c r="O1966" s="217" t="s">
        <v>668</v>
      </c>
      <c r="P1966" s="217" t="s">
        <v>34</v>
      </c>
      <c r="Q1966" s="217" t="s">
        <v>35</v>
      </c>
      <c r="R1966" s="217" t="s">
        <v>199</v>
      </c>
      <c r="S1966" s="217" t="s">
        <v>200</v>
      </c>
      <c r="T1966" s="217" t="s">
        <v>2159</v>
      </c>
      <c r="U1966" s="217" t="s">
        <v>2160</v>
      </c>
      <c r="V1966" s="217" t="s">
        <v>32</v>
      </c>
      <c r="W1966" s="217" t="s">
        <v>32</v>
      </c>
    </row>
    <row r="1967" spans="1:23" x14ac:dyDescent="0.25">
      <c r="A1967" s="217" t="s">
        <v>22</v>
      </c>
      <c r="B1967" s="217" t="s">
        <v>23</v>
      </c>
      <c r="C1967" s="217" t="s">
        <v>37</v>
      </c>
      <c r="D1967" s="217" t="s">
        <v>36</v>
      </c>
      <c r="E1967" s="217" t="s">
        <v>250</v>
      </c>
      <c r="F1967" s="217" t="s">
        <v>249</v>
      </c>
      <c r="G1967" s="217" t="s">
        <v>607</v>
      </c>
      <c r="H1967" s="217" t="s">
        <v>1487</v>
      </c>
      <c r="I1967" s="217" t="s">
        <v>659</v>
      </c>
      <c r="J1967" s="217" t="s">
        <v>1856</v>
      </c>
      <c r="K1967" s="217">
        <v>1</v>
      </c>
      <c r="L1967" s="217">
        <v>5</v>
      </c>
      <c r="M1967" s="217" t="s">
        <v>31</v>
      </c>
      <c r="N1967" s="217" t="s">
        <v>32</v>
      </c>
      <c r="O1967" s="217" t="s">
        <v>668</v>
      </c>
      <c r="P1967" s="217" t="s">
        <v>34</v>
      </c>
      <c r="Q1967" s="217" t="s">
        <v>35</v>
      </c>
      <c r="R1967" s="217" t="s">
        <v>23</v>
      </c>
      <c r="S1967" s="217" t="s">
        <v>22</v>
      </c>
      <c r="T1967" s="217" t="s">
        <v>36</v>
      </c>
      <c r="U1967" s="217" t="s">
        <v>37</v>
      </c>
      <c r="V1967" s="217" t="s">
        <v>32</v>
      </c>
      <c r="W1967" s="217" t="s">
        <v>32</v>
      </c>
    </row>
    <row r="1968" spans="1:23" x14ac:dyDescent="0.25">
      <c r="A1968" s="217" t="s">
        <v>22</v>
      </c>
      <c r="B1968" s="217" t="s">
        <v>23</v>
      </c>
      <c r="C1968" s="217" t="s">
        <v>37</v>
      </c>
      <c r="D1968" s="217" t="s">
        <v>36</v>
      </c>
      <c r="E1968" s="217" t="s">
        <v>250</v>
      </c>
      <c r="F1968" s="217" t="s">
        <v>249</v>
      </c>
      <c r="G1968" s="217" t="s">
        <v>607</v>
      </c>
      <c r="H1968" s="217" t="s">
        <v>1487</v>
      </c>
      <c r="I1968" s="217" t="s">
        <v>659</v>
      </c>
      <c r="J1968" s="217" t="s">
        <v>1857</v>
      </c>
      <c r="K1968" s="217">
        <v>1</v>
      </c>
      <c r="L1968" s="217">
        <v>5</v>
      </c>
      <c r="M1968" s="217" t="s">
        <v>31</v>
      </c>
      <c r="N1968" s="217" t="s">
        <v>32</v>
      </c>
      <c r="O1968" s="217" t="s">
        <v>668</v>
      </c>
      <c r="P1968" s="217" t="s">
        <v>34</v>
      </c>
      <c r="Q1968" s="217" t="s">
        <v>35</v>
      </c>
      <c r="R1968" s="217" t="s">
        <v>23</v>
      </c>
      <c r="S1968" s="217" t="s">
        <v>22</v>
      </c>
      <c r="T1968" s="217" t="s">
        <v>36</v>
      </c>
      <c r="U1968" s="217" t="s">
        <v>37</v>
      </c>
      <c r="V1968" s="217" t="s">
        <v>32</v>
      </c>
      <c r="W1968" s="217" t="s">
        <v>32</v>
      </c>
    </row>
    <row r="1969" spans="1:23" x14ac:dyDescent="0.25">
      <c r="A1969" s="217" t="s">
        <v>22</v>
      </c>
      <c r="B1969" s="217" t="s">
        <v>23</v>
      </c>
      <c r="C1969" s="217" t="s">
        <v>37</v>
      </c>
      <c r="D1969" s="217" t="s">
        <v>36</v>
      </c>
      <c r="E1969" s="217" t="s">
        <v>250</v>
      </c>
      <c r="F1969" s="217" t="s">
        <v>249</v>
      </c>
      <c r="G1969" s="217" t="s">
        <v>2051</v>
      </c>
      <c r="H1969" s="217" t="s">
        <v>2050</v>
      </c>
      <c r="I1969" s="217" t="s">
        <v>659</v>
      </c>
      <c r="J1969" s="217" t="s">
        <v>1855</v>
      </c>
      <c r="K1969" s="217">
        <v>18</v>
      </c>
      <c r="L1969" s="217">
        <v>98</v>
      </c>
      <c r="M1969" s="217" t="s">
        <v>31</v>
      </c>
      <c r="N1969" s="217" t="s">
        <v>32</v>
      </c>
      <c r="O1969" s="217" t="s">
        <v>141</v>
      </c>
      <c r="P1969" s="217" t="s">
        <v>142</v>
      </c>
      <c r="Q1969" s="217" t="s">
        <v>143</v>
      </c>
      <c r="R1969" s="217" t="s">
        <v>618</v>
      </c>
      <c r="S1969" s="217" t="s">
        <v>619</v>
      </c>
      <c r="T1969" s="217" t="s">
        <v>32</v>
      </c>
      <c r="U1969" s="217" t="s">
        <v>32</v>
      </c>
      <c r="V1969" s="217" t="s">
        <v>32</v>
      </c>
      <c r="W1969" s="217" t="s">
        <v>32</v>
      </c>
    </row>
    <row r="1970" spans="1:23" x14ac:dyDescent="0.25">
      <c r="A1970" s="217" t="s">
        <v>22</v>
      </c>
      <c r="B1970" s="217" t="s">
        <v>23</v>
      </c>
      <c r="C1970" s="217" t="s">
        <v>37</v>
      </c>
      <c r="D1970" s="217" t="s">
        <v>36</v>
      </c>
      <c r="E1970" s="217" t="s">
        <v>250</v>
      </c>
      <c r="F1970" s="217" t="s">
        <v>249</v>
      </c>
      <c r="G1970" s="217" t="s">
        <v>2051</v>
      </c>
      <c r="H1970" s="217" t="s">
        <v>2050</v>
      </c>
      <c r="I1970" s="217" t="s">
        <v>659</v>
      </c>
      <c r="J1970" s="217" t="s">
        <v>1856</v>
      </c>
      <c r="K1970" s="217">
        <v>9</v>
      </c>
      <c r="L1970" s="217">
        <v>48</v>
      </c>
      <c r="M1970" s="217" t="s">
        <v>31</v>
      </c>
      <c r="N1970" s="217" t="s">
        <v>32</v>
      </c>
      <c r="O1970" s="217" t="s">
        <v>141</v>
      </c>
      <c r="P1970" s="217" t="s">
        <v>142</v>
      </c>
      <c r="Q1970" s="217" t="s">
        <v>143</v>
      </c>
      <c r="R1970" s="217" t="s">
        <v>618</v>
      </c>
      <c r="S1970" s="217" t="s">
        <v>619</v>
      </c>
      <c r="T1970" s="217" t="s">
        <v>32</v>
      </c>
      <c r="U1970" s="217" t="s">
        <v>32</v>
      </c>
      <c r="V1970" s="217" t="s">
        <v>32</v>
      </c>
      <c r="W1970" s="217" t="s">
        <v>32</v>
      </c>
    </row>
    <row r="1971" spans="1:23" x14ac:dyDescent="0.25">
      <c r="A1971" s="217" t="s">
        <v>22</v>
      </c>
      <c r="B1971" s="217" t="s">
        <v>23</v>
      </c>
      <c r="C1971" s="217" t="s">
        <v>37</v>
      </c>
      <c r="D1971" s="217" t="s">
        <v>36</v>
      </c>
      <c r="E1971" s="217" t="s">
        <v>250</v>
      </c>
      <c r="F1971" s="217" t="s">
        <v>249</v>
      </c>
      <c r="G1971" s="217" t="s">
        <v>2051</v>
      </c>
      <c r="H1971" s="217" t="s">
        <v>2050</v>
      </c>
      <c r="I1971" s="217" t="s">
        <v>659</v>
      </c>
      <c r="J1971" s="217" t="s">
        <v>1857</v>
      </c>
      <c r="K1971" s="217">
        <v>12</v>
      </c>
      <c r="L1971" s="217">
        <v>87</v>
      </c>
      <c r="M1971" s="217" t="s">
        <v>31</v>
      </c>
      <c r="N1971" s="217" t="s">
        <v>32</v>
      </c>
      <c r="O1971" s="217" t="s">
        <v>141</v>
      </c>
      <c r="P1971" s="217" t="s">
        <v>142</v>
      </c>
      <c r="Q1971" s="217" t="s">
        <v>143</v>
      </c>
      <c r="R1971" s="217" t="s">
        <v>618</v>
      </c>
      <c r="S1971" s="217" t="s">
        <v>619</v>
      </c>
      <c r="T1971" s="217" t="s">
        <v>32</v>
      </c>
      <c r="U1971" s="217" t="s">
        <v>32</v>
      </c>
      <c r="V1971" s="217" t="s">
        <v>32</v>
      </c>
      <c r="W1971" s="217" t="s">
        <v>32</v>
      </c>
    </row>
    <row r="1972" spans="1:23" x14ac:dyDescent="0.25">
      <c r="A1972" s="217" t="s">
        <v>22</v>
      </c>
      <c r="B1972" s="217" t="s">
        <v>23</v>
      </c>
      <c r="C1972" s="217" t="s">
        <v>37</v>
      </c>
      <c r="D1972" s="217" t="s">
        <v>36</v>
      </c>
      <c r="E1972" s="217" t="s">
        <v>250</v>
      </c>
      <c r="F1972" s="217" t="s">
        <v>249</v>
      </c>
      <c r="G1972" s="217" t="s">
        <v>2051</v>
      </c>
      <c r="H1972" s="217" t="s">
        <v>2050</v>
      </c>
      <c r="I1972" s="217" t="s">
        <v>659</v>
      </c>
      <c r="J1972" s="217" t="s">
        <v>1858</v>
      </c>
      <c r="K1972" s="217">
        <v>7</v>
      </c>
      <c r="L1972" s="217">
        <v>43</v>
      </c>
      <c r="M1972" s="217" t="s">
        <v>31</v>
      </c>
      <c r="N1972" s="217" t="s">
        <v>32</v>
      </c>
      <c r="O1972" s="217" t="s">
        <v>141</v>
      </c>
      <c r="P1972" s="217" t="s">
        <v>142</v>
      </c>
      <c r="Q1972" s="217" t="s">
        <v>143</v>
      </c>
      <c r="R1972" s="217" t="s">
        <v>618</v>
      </c>
      <c r="S1972" s="217" t="s">
        <v>619</v>
      </c>
      <c r="T1972" s="217" t="s">
        <v>32</v>
      </c>
      <c r="U1972" s="217" t="s">
        <v>32</v>
      </c>
      <c r="V1972" s="217" t="s">
        <v>32</v>
      </c>
      <c r="W1972" s="217" t="s">
        <v>32</v>
      </c>
    </row>
    <row r="1973" spans="1:23" x14ac:dyDescent="0.25">
      <c r="A1973" s="217" t="s">
        <v>22</v>
      </c>
      <c r="B1973" s="217" t="s">
        <v>23</v>
      </c>
      <c r="C1973" s="217" t="s">
        <v>37</v>
      </c>
      <c r="D1973" s="217" t="s">
        <v>36</v>
      </c>
      <c r="E1973" s="217" t="s">
        <v>250</v>
      </c>
      <c r="F1973" s="217" t="s">
        <v>249</v>
      </c>
      <c r="G1973" s="217" t="s">
        <v>685</v>
      </c>
      <c r="H1973" s="217" t="s">
        <v>1488</v>
      </c>
      <c r="I1973" s="217" t="s">
        <v>659</v>
      </c>
      <c r="J1973" s="217" t="s">
        <v>1856</v>
      </c>
      <c r="K1973" s="217">
        <v>7</v>
      </c>
      <c r="L1973" s="217">
        <v>43</v>
      </c>
      <c r="M1973" s="217" t="s">
        <v>31</v>
      </c>
      <c r="N1973" s="217" t="s">
        <v>32</v>
      </c>
      <c r="O1973" s="217" t="s">
        <v>668</v>
      </c>
      <c r="P1973" s="217" t="s">
        <v>34</v>
      </c>
      <c r="Q1973" s="217" t="s">
        <v>35</v>
      </c>
      <c r="R1973" s="217" t="s">
        <v>23</v>
      </c>
      <c r="S1973" s="217" t="s">
        <v>22</v>
      </c>
      <c r="T1973" s="217" t="s">
        <v>36</v>
      </c>
      <c r="U1973" s="217" t="s">
        <v>37</v>
      </c>
      <c r="V1973" s="217" t="s">
        <v>32</v>
      </c>
      <c r="W1973" s="217" t="s">
        <v>32</v>
      </c>
    </row>
    <row r="1974" spans="1:23" x14ac:dyDescent="0.25">
      <c r="A1974" s="217" t="s">
        <v>22</v>
      </c>
      <c r="B1974" s="217" t="s">
        <v>23</v>
      </c>
      <c r="C1974" s="217" t="s">
        <v>37</v>
      </c>
      <c r="D1974" s="217" t="s">
        <v>36</v>
      </c>
      <c r="E1974" s="217" t="s">
        <v>250</v>
      </c>
      <c r="F1974" s="217" t="s">
        <v>249</v>
      </c>
      <c r="G1974" s="217" t="s">
        <v>685</v>
      </c>
      <c r="H1974" s="217" t="s">
        <v>1488</v>
      </c>
      <c r="I1974" s="217" t="s">
        <v>659</v>
      </c>
      <c r="J1974" s="217" t="s">
        <v>1857</v>
      </c>
      <c r="K1974" s="217">
        <v>18</v>
      </c>
      <c r="L1974" s="217">
        <v>99</v>
      </c>
      <c r="M1974" s="217" t="s">
        <v>31</v>
      </c>
      <c r="N1974" s="217" t="s">
        <v>32</v>
      </c>
      <c r="O1974" s="217" t="s">
        <v>668</v>
      </c>
      <c r="P1974" s="217" t="s">
        <v>34</v>
      </c>
      <c r="Q1974" s="217" t="s">
        <v>35</v>
      </c>
      <c r="R1974" s="217" t="s">
        <v>23</v>
      </c>
      <c r="S1974" s="217" t="s">
        <v>22</v>
      </c>
      <c r="T1974" s="217" t="s">
        <v>47</v>
      </c>
      <c r="U1974" s="217" t="s">
        <v>48</v>
      </c>
      <c r="V1974" s="217" t="s">
        <v>32</v>
      </c>
      <c r="W1974" s="217" t="s">
        <v>32</v>
      </c>
    </row>
    <row r="1975" spans="1:23" x14ac:dyDescent="0.25">
      <c r="A1975" s="217" t="s">
        <v>22</v>
      </c>
      <c r="B1975" s="217" t="s">
        <v>23</v>
      </c>
      <c r="C1975" s="217" t="s">
        <v>37</v>
      </c>
      <c r="D1975" s="217" t="s">
        <v>36</v>
      </c>
      <c r="E1975" s="217" t="s">
        <v>250</v>
      </c>
      <c r="F1975" s="217" t="s">
        <v>249</v>
      </c>
      <c r="G1975" s="217" t="s">
        <v>685</v>
      </c>
      <c r="H1975" s="217" t="s">
        <v>1488</v>
      </c>
      <c r="I1975" s="217" t="s">
        <v>659</v>
      </c>
      <c r="J1975" s="217" t="s">
        <v>1858</v>
      </c>
      <c r="K1975" s="217">
        <v>29</v>
      </c>
      <c r="L1975" s="217">
        <v>208</v>
      </c>
      <c r="M1975" s="217" t="s">
        <v>31</v>
      </c>
      <c r="N1975" s="217" t="s">
        <v>32</v>
      </c>
      <c r="O1975" s="217" t="s">
        <v>668</v>
      </c>
      <c r="P1975" s="217" t="s">
        <v>34</v>
      </c>
      <c r="Q1975" s="217" t="s">
        <v>35</v>
      </c>
      <c r="R1975" s="217" t="s">
        <v>23</v>
      </c>
      <c r="S1975" s="217" t="s">
        <v>22</v>
      </c>
      <c r="T1975" s="217" t="s">
        <v>47</v>
      </c>
      <c r="U1975" s="217" t="s">
        <v>48</v>
      </c>
      <c r="V1975" s="217" t="s">
        <v>32</v>
      </c>
      <c r="W1975" s="217" t="s">
        <v>32</v>
      </c>
    </row>
    <row r="1976" spans="1:23" x14ac:dyDescent="0.25">
      <c r="A1976" s="217" t="s">
        <v>22</v>
      </c>
      <c r="B1976" s="217" t="s">
        <v>23</v>
      </c>
      <c r="C1976" s="217" t="s">
        <v>37</v>
      </c>
      <c r="D1976" s="217" t="s">
        <v>36</v>
      </c>
      <c r="E1976" s="217" t="s">
        <v>250</v>
      </c>
      <c r="F1976" s="217" t="s">
        <v>249</v>
      </c>
      <c r="G1976" s="217" t="s">
        <v>2053</v>
      </c>
      <c r="H1976" s="217" t="s">
        <v>2052</v>
      </c>
      <c r="I1976" s="217" t="s">
        <v>659</v>
      </c>
      <c r="J1976" s="217" t="s">
        <v>1855</v>
      </c>
      <c r="K1976" s="217">
        <v>17</v>
      </c>
      <c r="L1976" s="217">
        <v>89</v>
      </c>
      <c r="M1976" s="217" t="s">
        <v>31</v>
      </c>
      <c r="N1976" s="217" t="s">
        <v>32</v>
      </c>
      <c r="O1976" s="217" t="s">
        <v>141</v>
      </c>
      <c r="P1976" s="217" t="s">
        <v>142</v>
      </c>
      <c r="Q1976" s="217" t="s">
        <v>143</v>
      </c>
      <c r="R1976" s="217" t="s">
        <v>618</v>
      </c>
      <c r="S1976" s="217" t="s">
        <v>619</v>
      </c>
      <c r="T1976" s="217" t="s">
        <v>32</v>
      </c>
      <c r="U1976" s="217" t="s">
        <v>32</v>
      </c>
      <c r="V1976" s="217" t="s">
        <v>32</v>
      </c>
      <c r="W1976" s="217" t="s">
        <v>32</v>
      </c>
    </row>
    <row r="1977" spans="1:23" x14ac:dyDescent="0.25">
      <c r="A1977" s="217" t="s">
        <v>22</v>
      </c>
      <c r="B1977" s="217" t="s">
        <v>23</v>
      </c>
      <c r="C1977" s="217" t="s">
        <v>37</v>
      </c>
      <c r="D1977" s="217" t="s">
        <v>36</v>
      </c>
      <c r="E1977" s="217" t="s">
        <v>250</v>
      </c>
      <c r="F1977" s="217" t="s">
        <v>249</v>
      </c>
      <c r="G1977" s="217" t="s">
        <v>2053</v>
      </c>
      <c r="H1977" s="217" t="s">
        <v>2052</v>
      </c>
      <c r="I1977" s="217" t="s">
        <v>659</v>
      </c>
      <c r="J1977" s="217" t="s">
        <v>1856</v>
      </c>
      <c r="K1977" s="217">
        <v>12</v>
      </c>
      <c r="L1977" s="217">
        <v>61</v>
      </c>
      <c r="M1977" s="217" t="s">
        <v>31</v>
      </c>
      <c r="N1977" s="217" t="s">
        <v>32</v>
      </c>
      <c r="O1977" s="217" t="s">
        <v>141</v>
      </c>
      <c r="P1977" s="217" t="s">
        <v>142</v>
      </c>
      <c r="Q1977" s="217" t="s">
        <v>143</v>
      </c>
      <c r="R1977" s="217" t="s">
        <v>618</v>
      </c>
      <c r="S1977" s="217" t="s">
        <v>619</v>
      </c>
      <c r="T1977" s="217" t="s">
        <v>32</v>
      </c>
      <c r="U1977" s="217" t="s">
        <v>32</v>
      </c>
      <c r="V1977" s="217" t="s">
        <v>32</v>
      </c>
      <c r="W1977" s="217" t="s">
        <v>32</v>
      </c>
    </row>
    <row r="1978" spans="1:23" x14ac:dyDescent="0.25">
      <c r="A1978" s="217" t="s">
        <v>22</v>
      </c>
      <c r="B1978" s="217" t="s">
        <v>23</v>
      </c>
      <c r="C1978" s="217" t="s">
        <v>37</v>
      </c>
      <c r="D1978" s="217" t="s">
        <v>36</v>
      </c>
      <c r="E1978" s="217" t="s">
        <v>250</v>
      </c>
      <c r="F1978" s="217" t="s">
        <v>249</v>
      </c>
      <c r="G1978" s="217" t="s">
        <v>2053</v>
      </c>
      <c r="H1978" s="217" t="s">
        <v>2052</v>
      </c>
      <c r="I1978" s="217" t="s">
        <v>659</v>
      </c>
      <c r="J1978" s="217" t="s">
        <v>1857</v>
      </c>
      <c r="K1978" s="217">
        <v>3</v>
      </c>
      <c r="L1978" s="217">
        <v>17</v>
      </c>
      <c r="M1978" s="217" t="s">
        <v>31</v>
      </c>
      <c r="N1978" s="217" t="s">
        <v>32</v>
      </c>
      <c r="O1978" s="217" t="s">
        <v>141</v>
      </c>
      <c r="P1978" s="217" t="s">
        <v>142</v>
      </c>
      <c r="Q1978" s="217" t="s">
        <v>143</v>
      </c>
      <c r="R1978" s="217" t="s">
        <v>618</v>
      </c>
      <c r="S1978" s="217" t="s">
        <v>619</v>
      </c>
      <c r="T1978" s="217" t="s">
        <v>32</v>
      </c>
      <c r="U1978" s="217" t="s">
        <v>32</v>
      </c>
      <c r="V1978" s="217" t="s">
        <v>32</v>
      </c>
      <c r="W1978" s="217" t="s">
        <v>32</v>
      </c>
    </row>
    <row r="1979" spans="1:23" x14ac:dyDescent="0.25">
      <c r="A1979" s="217" t="s">
        <v>22</v>
      </c>
      <c r="B1979" s="217" t="s">
        <v>23</v>
      </c>
      <c r="C1979" s="217" t="s">
        <v>37</v>
      </c>
      <c r="D1979" s="217" t="s">
        <v>36</v>
      </c>
      <c r="E1979" s="217" t="s">
        <v>608</v>
      </c>
      <c r="F1979" s="217" t="s">
        <v>609</v>
      </c>
      <c r="G1979" s="217" t="s">
        <v>2144</v>
      </c>
      <c r="H1979" s="217" t="s">
        <v>1489</v>
      </c>
      <c r="I1979" s="217" t="s">
        <v>659</v>
      </c>
      <c r="J1979" s="217" t="s">
        <v>1855</v>
      </c>
      <c r="K1979" s="217">
        <v>6</v>
      </c>
      <c r="L1979" s="217">
        <v>30</v>
      </c>
      <c r="M1979" s="217" t="s">
        <v>31</v>
      </c>
      <c r="N1979" s="217" t="s">
        <v>32</v>
      </c>
      <c r="O1979" s="217" t="s">
        <v>668</v>
      </c>
      <c r="P1979" s="217" t="s">
        <v>34</v>
      </c>
      <c r="Q1979" s="217" t="s">
        <v>35</v>
      </c>
      <c r="R1979" s="217" t="s">
        <v>199</v>
      </c>
      <c r="S1979" s="217" t="s">
        <v>200</v>
      </c>
      <c r="T1979" s="217" t="s">
        <v>1848</v>
      </c>
      <c r="U1979" s="217" t="s">
        <v>1849</v>
      </c>
      <c r="V1979" s="217" t="s">
        <v>32</v>
      </c>
      <c r="W1979" s="217" t="s">
        <v>32</v>
      </c>
    </row>
    <row r="1980" spans="1:23" x14ac:dyDescent="0.25">
      <c r="A1980" s="217" t="s">
        <v>22</v>
      </c>
      <c r="B1980" s="217" t="s">
        <v>23</v>
      </c>
      <c r="C1980" s="217" t="s">
        <v>37</v>
      </c>
      <c r="D1980" s="217" t="s">
        <v>36</v>
      </c>
      <c r="E1980" s="217" t="s">
        <v>608</v>
      </c>
      <c r="F1980" s="217" t="s">
        <v>609</v>
      </c>
      <c r="G1980" s="217" t="s">
        <v>610</v>
      </c>
      <c r="H1980" s="217" t="s">
        <v>1490</v>
      </c>
      <c r="I1980" s="217" t="s">
        <v>659</v>
      </c>
      <c r="J1980" s="217" t="s">
        <v>1857</v>
      </c>
      <c r="K1980" s="217">
        <v>5</v>
      </c>
      <c r="L1980" s="217">
        <v>22</v>
      </c>
      <c r="M1980" s="217" t="s">
        <v>31</v>
      </c>
      <c r="N1980" s="217" t="s">
        <v>32</v>
      </c>
      <c r="O1980" s="217" t="s">
        <v>668</v>
      </c>
      <c r="P1980" s="217" t="s">
        <v>34</v>
      </c>
      <c r="Q1980" s="217" t="s">
        <v>35</v>
      </c>
      <c r="R1980" s="217" t="s">
        <v>199</v>
      </c>
      <c r="S1980" s="217" t="s">
        <v>200</v>
      </c>
      <c r="T1980" s="217" t="s">
        <v>1591</v>
      </c>
      <c r="U1980" s="217" t="s">
        <v>1592</v>
      </c>
      <c r="V1980" s="217" t="s">
        <v>32</v>
      </c>
      <c r="W1980" s="217" t="s">
        <v>32</v>
      </c>
    </row>
    <row r="1981" spans="1:23" x14ac:dyDescent="0.25">
      <c r="A1981" s="217" t="s">
        <v>22</v>
      </c>
      <c r="B1981" s="217" t="s">
        <v>23</v>
      </c>
      <c r="C1981" s="217" t="s">
        <v>37</v>
      </c>
      <c r="D1981" s="217" t="s">
        <v>36</v>
      </c>
      <c r="E1981" s="217" t="s">
        <v>608</v>
      </c>
      <c r="F1981" s="217" t="s">
        <v>609</v>
      </c>
      <c r="G1981" s="217" t="s">
        <v>612</v>
      </c>
      <c r="H1981" s="217" t="s">
        <v>1492</v>
      </c>
      <c r="I1981" s="217" t="s">
        <v>659</v>
      </c>
      <c r="J1981" s="217" t="s">
        <v>1857</v>
      </c>
      <c r="K1981" s="217">
        <v>3</v>
      </c>
      <c r="L1981" s="217">
        <v>14</v>
      </c>
      <c r="M1981" s="217" t="s">
        <v>31</v>
      </c>
      <c r="N1981" s="217" t="s">
        <v>32</v>
      </c>
      <c r="O1981" s="217" t="s">
        <v>668</v>
      </c>
      <c r="P1981" s="217" t="s">
        <v>34</v>
      </c>
      <c r="Q1981" s="217" t="s">
        <v>35</v>
      </c>
      <c r="R1981" s="217" t="s">
        <v>199</v>
      </c>
      <c r="S1981" s="217" t="s">
        <v>200</v>
      </c>
      <c r="T1981" s="217" t="s">
        <v>1591</v>
      </c>
      <c r="U1981" s="217" t="s">
        <v>1592</v>
      </c>
      <c r="V1981" s="217" t="s">
        <v>32</v>
      </c>
      <c r="W1981" s="217" t="s">
        <v>32</v>
      </c>
    </row>
    <row r="1982" spans="1:23" x14ac:dyDescent="0.25">
      <c r="A1982" s="217" t="s">
        <v>22</v>
      </c>
      <c r="B1982" s="217" t="s">
        <v>23</v>
      </c>
      <c r="C1982" s="217" t="s">
        <v>37</v>
      </c>
      <c r="D1982" s="217" t="s">
        <v>36</v>
      </c>
      <c r="E1982" s="217" t="s">
        <v>608</v>
      </c>
      <c r="F1982" s="217" t="s">
        <v>609</v>
      </c>
      <c r="G1982" s="217" t="s">
        <v>612</v>
      </c>
      <c r="H1982" s="217" t="s">
        <v>1492</v>
      </c>
      <c r="I1982" s="217" t="s">
        <v>659</v>
      </c>
      <c r="J1982" s="217" t="s">
        <v>1858</v>
      </c>
      <c r="K1982" s="217">
        <v>3</v>
      </c>
      <c r="L1982" s="217">
        <v>17</v>
      </c>
      <c r="M1982" s="217" t="s">
        <v>31</v>
      </c>
      <c r="N1982" s="217" t="s">
        <v>32</v>
      </c>
      <c r="O1982" s="217" t="s">
        <v>668</v>
      </c>
      <c r="P1982" s="217" t="s">
        <v>34</v>
      </c>
      <c r="Q1982" s="217" t="s">
        <v>35</v>
      </c>
      <c r="R1982" s="217" t="s">
        <v>23</v>
      </c>
      <c r="S1982" s="217" t="s">
        <v>22</v>
      </c>
      <c r="T1982" s="217" t="s">
        <v>36</v>
      </c>
      <c r="U1982" s="217" t="s">
        <v>37</v>
      </c>
      <c r="V1982" s="217" t="s">
        <v>32</v>
      </c>
      <c r="W1982" s="217" t="s">
        <v>32</v>
      </c>
    </row>
    <row r="1983" spans="1:23" x14ac:dyDescent="0.25">
      <c r="A1983" s="217" t="s">
        <v>22</v>
      </c>
      <c r="B1983" s="217" t="s">
        <v>23</v>
      </c>
      <c r="C1983" s="217" t="s">
        <v>37</v>
      </c>
      <c r="D1983" s="217" t="s">
        <v>36</v>
      </c>
      <c r="E1983" s="217" t="s">
        <v>608</v>
      </c>
      <c r="F1983" s="217" t="s">
        <v>609</v>
      </c>
      <c r="G1983" s="217" t="s">
        <v>613</v>
      </c>
      <c r="H1983" s="217" t="s">
        <v>1493</v>
      </c>
      <c r="I1983" s="217" t="s">
        <v>659</v>
      </c>
      <c r="J1983" s="217" t="s">
        <v>1857</v>
      </c>
      <c r="K1983" s="217">
        <v>4</v>
      </c>
      <c r="L1983" s="217">
        <v>17</v>
      </c>
      <c r="M1983" s="217" t="s">
        <v>31</v>
      </c>
      <c r="N1983" s="217" t="s">
        <v>32</v>
      </c>
      <c r="O1983" s="217" t="s">
        <v>668</v>
      </c>
      <c r="P1983" s="217" t="s">
        <v>34</v>
      </c>
      <c r="Q1983" s="217" t="s">
        <v>35</v>
      </c>
      <c r="R1983" s="217" t="s">
        <v>199</v>
      </c>
      <c r="S1983" s="217" t="s">
        <v>200</v>
      </c>
      <c r="T1983" s="217" t="s">
        <v>1591</v>
      </c>
      <c r="U1983" s="217" t="s">
        <v>1592</v>
      </c>
      <c r="V1983" s="217" t="s">
        <v>32</v>
      </c>
      <c r="W1983" s="217" t="s">
        <v>32</v>
      </c>
    </row>
    <row r="1984" spans="1:23" x14ac:dyDescent="0.25">
      <c r="A1984" s="217" t="s">
        <v>22</v>
      </c>
      <c r="B1984" s="217" t="s">
        <v>23</v>
      </c>
      <c r="C1984" s="217" t="s">
        <v>37</v>
      </c>
      <c r="D1984" s="217" t="s">
        <v>36</v>
      </c>
      <c r="E1984" s="217" t="s">
        <v>608</v>
      </c>
      <c r="F1984" s="217" t="s">
        <v>609</v>
      </c>
      <c r="G1984" s="217" t="s">
        <v>614</v>
      </c>
      <c r="H1984" s="217" t="s">
        <v>1494</v>
      </c>
      <c r="I1984" s="217" t="s">
        <v>659</v>
      </c>
      <c r="J1984" s="217" t="s">
        <v>1857</v>
      </c>
      <c r="K1984" s="217">
        <v>4</v>
      </c>
      <c r="L1984" s="217">
        <v>18</v>
      </c>
      <c r="M1984" s="217" t="s">
        <v>31</v>
      </c>
      <c r="N1984" s="217" t="s">
        <v>32</v>
      </c>
      <c r="O1984" s="217" t="s">
        <v>668</v>
      </c>
      <c r="P1984" s="217" t="s">
        <v>34</v>
      </c>
      <c r="Q1984" s="217" t="s">
        <v>35</v>
      </c>
      <c r="R1984" s="217" t="s">
        <v>23</v>
      </c>
      <c r="S1984" s="217" t="s">
        <v>22</v>
      </c>
      <c r="T1984" s="217" t="s">
        <v>36</v>
      </c>
      <c r="U1984" s="217" t="s">
        <v>37</v>
      </c>
      <c r="V1984" s="217" t="s">
        <v>32</v>
      </c>
      <c r="W1984" s="217" t="s">
        <v>32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E475"/>
  <sheetViews>
    <sheetView zoomScale="80" zoomScaleNormal="80" workbookViewId="0">
      <selection activeCell="E14" sqref="E14"/>
    </sheetView>
  </sheetViews>
  <sheetFormatPr defaultColWidth="11.42578125" defaultRowHeight="15" x14ac:dyDescent="0.25"/>
  <cols>
    <col min="1" max="1" width="16.28515625" style="5" bestFit="1" customWidth="1"/>
    <col min="2" max="2" width="26" style="5" bestFit="1" customWidth="1"/>
    <col min="3" max="3" width="25" style="5" bestFit="1" customWidth="1"/>
    <col min="4" max="4" width="26" style="5" bestFit="1" customWidth="1"/>
    <col min="5" max="5" width="25" style="5" bestFit="1" customWidth="1"/>
    <col min="6" max="6" width="27" style="5" customWidth="1"/>
    <col min="7" max="7" width="26" style="5" hidden="1" customWidth="1"/>
    <col min="8" max="8" width="25.5703125" style="5" hidden="1" customWidth="1"/>
    <col min="9" max="9" width="24.140625" style="5" hidden="1" customWidth="1"/>
    <col min="10" max="10" width="28.5703125" style="5" hidden="1" customWidth="1"/>
    <col min="11" max="11" width="8.85546875" style="5" bestFit="1" customWidth="1"/>
    <col min="12" max="12" width="10" style="5" bestFit="1" customWidth="1"/>
    <col min="13" max="13" width="11.5703125" style="5" bestFit="1" customWidth="1"/>
    <col min="14" max="14" width="14.42578125" style="5" bestFit="1" customWidth="1"/>
    <col min="15" max="15" width="11.5703125" style="5" bestFit="1" customWidth="1"/>
    <col min="16" max="16" width="12.7109375" style="5" bestFit="1" customWidth="1"/>
    <col min="17" max="17" width="11.7109375" style="5" bestFit="1" customWidth="1"/>
    <col min="18" max="18" width="10.140625" style="5" bestFit="1" customWidth="1"/>
    <col min="19" max="19" width="20.28515625" style="5" bestFit="1" customWidth="1"/>
    <col min="20" max="20" width="13.85546875" style="5" bestFit="1" customWidth="1"/>
    <col min="21" max="21" width="11" style="5" bestFit="1" customWidth="1"/>
    <col min="22" max="22" width="11.5703125" style="5" bestFit="1" customWidth="1"/>
    <col min="23" max="23" width="13.7109375" style="5" bestFit="1" customWidth="1"/>
    <col min="24" max="24" width="15" style="5" bestFit="1" customWidth="1"/>
    <col min="25" max="25" width="14.42578125" style="5" bestFit="1" customWidth="1"/>
    <col min="26" max="26" width="21" style="5" bestFit="1" customWidth="1"/>
    <col min="27" max="27" width="16" style="5" bestFit="1" customWidth="1"/>
    <col min="28" max="28" width="7.140625" style="5" bestFit="1" customWidth="1"/>
    <col min="29" max="29" width="16.7109375" style="5" bestFit="1" customWidth="1"/>
    <col min="30" max="30" width="9.5703125" style="5" bestFit="1" customWidth="1"/>
    <col min="31" max="31" width="9.42578125" style="5" customWidth="1"/>
    <col min="32" max="32" width="9.42578125" customWidth="1"/>
    <col min="33" max="33" width="24.7109375" bestFit="1" customWidth="1"/>
    <col min="34" max="34" width="24" bestFit="1" customWidth="1"/>
    <col min="35" max="35" width="24.7109375" bestFit="1" customWidth="1"/>
    <col min="36" max="36" width="24" bestFit="1" customWidth="1"/>
    <col min="37" max="37" width="25.7109375" bestFit="1" customWidth="1"/>
    <col min="38" max="38" width="25" bestFit="1" customWidth="1"/>
    <col min="39" max="39" width="24.5703125" bestFit="1" customWidth="1"/>
    <col min="40" max="40" width="22.85546875" bestFit="1" customWidth="1"/>
    <col min="41" max="41" width="27.28515625" bestFit="1" customWidth="1"/>
    <col min="42" max="42" width="8.5703125" customWidth="1"/>
    <col min="43" max="43" width="9.5703125" customWidth="1"/>
    <col min="44" max="44" width="11" customWidth="1"/>
    <col min="45" max="45" width="13.85546875" bestFit="1" customWidth="1"/>
    <col min="46" max="46" width="10.7109375" customWidth="1"/>
    <col min="47" max="47" width="11.85546875" bestFit="1" customWidth="1"/>
    <col min="48" max="48" width="10.85546875" customWidth="1"/>
    <col min="49" max="49" width="9.28515625" customWidth="1"/>
    <col min="50" max="50" width="19.7109375" bestFit="1" customWidth="1"/>
    <col min="51" max="51" width="12.85546875" bestFit="1" customWidth="1"/>
    <col min="52" max="52" width="10.42578125" customWidth="1"/>
    <col min="53" max="53" width="11" customWidth="1"/>
    <col min="54" max="54" width="12.85546875" bestFit="1" customWidth="1"/>
    <col min="55" max="55" width="14.140625" bestFit="1" customWidth="1"/>
    <col min="56" max="56" width="12.140625" bestFit="1" customWidth="1"/>
    <col min="57" max="57" width="13.42578125" bestFit="1" customWidth="1"/>
    <col min="58" max="58" width="15.28515625" bestFit="1" customWidth="1"/>
    <col min="59" max="59" width="6.28515625" customWidth="1"/>
    <col min="60" max="60" width="11.140625" customWidth="1"/>
    <col min="61" max="61" width="14.42578125" bestFit="1" customWidth="1"/>
    <col min="62" max="62" width="18" bestFit="1" customWidth="1"/>
    <col min="63" max="63" width="8.85546875" customWidth="1"/>
  </cols>
  <sheetData>
    <row r="1" spans="1:31" x14ac:dyDescent="0.25">
      <c r="A1" s="2" t="s">
        <v>1706</v>
      </c>
      <c r="B1" s="2" t="s">
        <v>123</v>
      </c>
      <c r="C1" s="2" t="s">
        <v>122</v>
      </c>
      <c r="D1" s="2" t="s">
        <v>125</v>
      </c>
      <c r="E1" s="2" t="s">
        <v>124</v>
      </c>
      <c r="F1" s="2" t="s">
        <v>1596</v>
      </c>
      <c r="G1" s="2" t="s">
        <v>1707</v>
      </c>
      <c r="H1" s="2" t="s">
        <v>1597</v>
      </c>
      <c r="I1" s="2" t="s">
        <v>1598</v>
      </c>
      <c r="J1" s="2" t="s">
        <v>1599</v>
      </c>
      <c r="K1" s="2" t="s">
        <v>856</v>
      </c>
      <c r="L1" s="2" t="s">
        <v>1708</v>
      </c>
      <c r="M1" s="2" t="s">
        <v>1709</v>
      </c>
      <c r="N1" s="2" t="s">
        <v>1710</v>
      </c>
      <c r="O1" s="2" t="s">
        <v>1711</v>
      </c>
      <c r="P1" s="2" t="s">
        <v>1712</v>
      </c>
      <c r="Q1" s="2" t="s">
        <v>1713</v>
      </c>
      <c r="R1" s="2" t="s">
        <v>1714</v>
      </c>
      <c r="S1" s="2" t="s">
        <v>1715</v>
      </c>
      <c r="T1" s="2" t="s">
        <v>1716</v>
      </c>
      <c r="U1" s="2" t="s">
        <v>1717</v>
      </c>
      <c r="V1" s="2" t="s">
        <v>1718</v>
      </c>
      <c r="W1" s="2" t="s">
        <v>1719</v>
      </c>
      <c r="X1" s="2" t="s">
        <v>1720</v>
      </c>
      <c r="Y1" s="2" t="s">
        <v>1721</v>
      </c>
      <c r="Z1" s="2" t="s">
        <v>1852</v>
      </c>
      <c r="AA1" s="2" t="s">
        <v>1722</v>
      </c>
      <c r="AB1" s="2" t="s">
        <v>1723</v>
      </c>
      <c r="AC1" s="2" t="s">
        <v>1853</v>
      </c>
      <c r="AD1" s="2" t="s">
        <v>1724</v>
      </c>
      <c r="AE1"/>
    </row>
    <row r="2" spans="1:31" x14ac:dyDescent="0.25">
      <c r="A2" s="2" t="s">
        <v>23</v>
      </c>
      <c r="B2" s="2" t="s">
        <v>85</v>
      </c>
      <c r="C2" s="2" t="s">
        <v>84</v>
      </c>
      <c r="D2" s="2" t="s">
        <v>88</v>
      </c>
      <c r="E2" s="2" t="s">
        <v>89</v>
      </c>
      <c r="F2" s="2" t="s">
        <v>90</v>
      </c>
      <c r="G2" s="2" t="s">
        <v>906</v>
      </c>
      <c r="H2" s="2" t="s">
        <v>2290</v>
      </c>
      <c r="I2" s="2" t="s">
        <v>2291</v>
      </c>
      <c r="J2" s="2" t="s">
        <v>3693</v>
      </c>
      <c r="K2" s="2">
        <v>0</v>
      </c>
      <c r="L2" s="2">
        <v>0</v>
      </c>
      <c r="M2" s="2">
        <v>0</v>
      </c>
      <c r="N2" s="2">
        <v>1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/>
    </row>
    <row r="3" spans="1:31" x14ac:dyDescent="0.25">
      <c r="A3" s="2" t="s">
        <v>23</v>
      </c>
      <c r="B3" s="2" t="s">
        <v>85</v>
      </c>
      <c r="C3" s="2" t="s">
        <v>84</v>
      </c>
      <c r="D3" s="2" t="s">
        <v>88</v>
      </c>
      <c r="E3" s="2" t="s">
        <v>89</v>
      </c>
      <c r="F3" s="2" t="s">
        <v>93</v>
      </c>
      <c r="G3" s="2" t="s">
        <v>907</v>
      </c>
      <c r="H3" s="2" t="s">
        <v>2292</v>
      </c>
      <c r="I3" s="2" t="s">
        <v>2293</v>
      </c>
      <c r="J3" s="2" t="s">
        <v>3693</v>
      </c>
      <c r="K3" s="2">
        <v>3</v>
      </c>
      <c r="L3" s="2">
        <v>0</v>
      </c>
      <c r="M3" s="2">
        <v>0</v>
      </c>
      <c r="N3" s="2">
        <v>1</v>
      </c>
      <c r="O3" s="2">
        <v>0</v>
      </c>
      <c r="P3" s="2">
        <v>0</v>
      </c>
      <c r="Q3" s="2">
        <v>0</v>
      </c>
      <c r="R3" s="2">
        <v>1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1</v>
      </c>
      <c r="AD3" s="2">
        <v>1</v>
      </c>
      <c r="AE3"/>
    </row>
    <row r="4" spans="1:31" x14ac:dyDescent="0.25">
      <c r="A4" s="2" t="s">
        <v>23</v>
      </c>
      <c r="B4" s="2" t="s">
        <v>85</v>
      </c>
      <c r="C4" s="2" t="s">
        <v>84</v>
      </c>
      <c r="D4" s="2" t="s">
        <v>88</v>
      </c>
      <c r="E4" s="2" t="s">
        <v>89</v>
      </c>
      <c r="F4" s="2" t="s">
        <v>96</v>
      </c>
      <c r="G4" s="2" t="s">
        <v>908</v>
      </c>
      <c r="H4" s="2" t="s">
        <v>2294</v>
      </c>
      <c r="I4" s="2" t="s">
        <v>2295</v>
      </c>
      <c r="J4" s="2" t="s">
        <v>3693</v>
      </c>
      <c r="K4" s="2">
        <v>0</v>
      </c>
      <c r="L4" s="2">
        <v>0</v>
      </c>
      <c r="M4" s="2">
        <v>0</v>
      </c>
      <c r="N4" s="2">
        <v>1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/>
    </row>
    <row r="5" spans="1:31" x14ac:dyDescent="0.25">
      <c r="A5" s="2" t="s">
        <v>23</v>
      </c>
      <c r="B5" s="2" t="s">
        <v>85</v>
      </c>
      <c r="C5" s="2" t="s">
        <v>84</v>
      </c>
      <c r="D5" s="2" t="s">
        <v>88</v>
      </c>
      <c r="E5" s="2" t="s">
        <v>89</v>
      </c>
      <c r="F5" s="2" t="s">
        <v>101</v>
      </c>
      <c r="G5" s="2" t="s">
        <v>909</v>
      </c>
      <c r="H5" s="2" t="s">
        <v>2296</v>
      </c>
      <c r="I5" s="2" t="s">
        <v>2297</v>
      </c>
      <c r="J5" s="2" t="s">
        <v>2074</v>
      </c>
      <c r="K5" s="2">
        <v>0</v>
      </c>
      <c r="L5" s="2">
        <v>0</v>
      </c>
      <c r="M5" s="2">
        <v>0</v>
      </c>
      <c r="N5" s="2">
        <v>1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/>
    </row>
    <row r="6" spans="1:31" x14ac:dyDescent="0.25">
      <c r="A6" s="2" t="s">
        <v>23</v>
      </c>
      <c r="B6" s="2" t="s">
        <v>85</v>
      </c>
      <c r="C6" s="2" t="s">
        <v>84</v>
      </c>
      <c r="D6" s="2" t="s">
        <v>88</v>
      </c>
      <c r="E6" s="2" t="s">
        <v>89</v>
      </c>
      <c r="F6" s="2" t="s">
        <v>102</v>
      </c>
      <c r="G6" s="2" t="s">
        <v>910</v>
      </c>
      <c r="H6" s="2" t="s">
        <v>2298</v>
      </c>
      <c r="I6" s="2" t="s">
        <v>2299</v>
      </c>
      <c r="J6" s="2" t="s">
        <v>2074</v>
      </c>
      <c r="K6" s="2">
        <v>0</v>
      </c>
      <c r="L6" s="2">
        <v>0</v>
      </c>
      <c r="M6" s="2">
        <v>0</v>
      </c>
      <c r="N6" s="2">
        <v>1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/>
    </row>
    <row r="7" spans="1:31" x14ac:dyDescent="0.25">
      <c r="A7" s="2" t="s">
        <v>23</v>
      </c>
      <c r="B7" s="2" t="s">
        <v>85</v>
      </c>
      <c r="C7" s="2" t="s">
        <v>84</v>
      </c>
      <c r="D7" s="2" t="s">
        <v>88</v>
      </c>
      <c r="E7" s="2" t="s">
        <v>89</v>
      </c>
      <c r="F7" s="2" t="s">
        <v>103</v>
      </c>
      <c r="G7" s="2" t="s">
        <v>911</v>
      </c>
      <c r="H7" s="2" t="s">
        <v>2300</v>
      </c>
      <c r="I7" s="2" t="s">
        <v>2301</v>
      </c>
      <c r="J7" s="2" t="s">
        <v>3693</v>
      </c>
      <c r="K7" s="2">
        <v>0</v>
      </c>
      <c r="L7" s="2">
        <v>0</v>
      </c>
      <c r="M7" s="2">
        <v>0</v>
      </c>
      <c r="N7" s="2">
        <v>1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/>
    </row>
    <row r="8" spans="1:31" x14ac:dyDescent="0.25">
      <c r="A8" s="2" t="s">
        <v>23</v>
      </c>
      <c r="B8" s="2" t="s">
        <v>85</v>
      </c>
      <c r="C8" s="2" t="s">
        <v>84</v>
      </c>
      <c r="D8" s="2" t="s">
        <v>88</v>
      </c>
      <c r="E8" s="2" t="s">
        <v>89</v>
      </c>
      <c r="F8" s="2" t="s">
        <v>104</v>
      </c>
      <c r="G8" s="2" t="s">
        <v>912</v>
      </c>
      <c r="H8" s="2" t="s">
        <v>2302</v>
      </c>
      <c r="I8" s="2" t="s">
        <v>2303</v>
      </c>
      <c r="J8" s="2" t="s">
        <v>2074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/>
    </row>
    <row r="9" spans="1:31" x14ac:dyDescent="0.25">
      <c r="A9" s="2" t="s">
        <v>23</v>
      </c>
      <c r="B9" s="2" t="s">
        <v>85</v>
      </c>
      <c r="C9" s="2" t="s">
        <v>84</v>
      </c>
      <c r="D9" s="2" t="s">
        <v>88</v>
      </c>
      <c r="E9" s="2" t="s">
        <v>89</v>
      </c>
      <c r="F9" s="2" t="s">
        <v>105</v>
      </c>
      <c r="G9" s="2" t="s">
        <v>913</v>
      </c>
      <c r="H9" s="2" t="s">
        <v>2304</v>
      </c>
      <c r="I9" s="2" t="s">
        <v>2305</v>
      </c>
      <c r="J9" s="2" t="s">
        <v>2074</v>
      </c>
      <c r="K9" s="2">
        <v>0</v>
      </c>
      <c r="L9" s="2">
        <v>0</v>
      </c>
      <c r="M9" s="2">
        <v>0</v>
      </c>
      <c r="N9" s="2">
        <v>1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/>
    </row>
    <row r="10" spans="1:31" x14ac:dyDescent="0.25">
      <c r="A10" s="2" t="s">
        <v>23</v>
      </c>
      <c r="B10" s="2" t="s">
        <v>85</v>
      </c>
      <c r="C10" s="2" t="s">
        <v>84</v>
      </c>
      <c r="D10" s="2" t="s">
        <v>88</v>
      </c>
      <c r="E10" s="2" t="s">
        <v>89</v>
      </c>
      <c r="F10" s="2" t="s">
        <v>106</v>
      </c>
      <c r="G10" s="2" t="s">
        <v>914</v>
      </c>
      <c r="H10" s="2" t="s">
        <v>2306</v>
      </c>
      <c r="I10" s="2" t="s">
        <v>2307</v>
      </c>
      <c r="J10" s="2" t="s">
        <v>2074</v>
      </c>
      <c r="K10" s="2">
        <v>1</v>
      </c>
      <c r="L10" s="2">
        <v>0</v>
      </c>
      <c r="M10" s="2">
        <v>0</v>
      </c>
      <c r="N10" s="2">
        <v>1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/>
    </row>
    <row r="11" spans="1:31" x14ac:dyDescent="0.25">
      <c r="A11" s="2" t="s">
        <v>23</v>
      </c>
      <c r="B11" s="2" t="s">
        <v>85</v>
      </c>
      <c r="C11" s="2" t="s">
        <v>84</v>
      </c>
      <c r="D11" s="2" t="s">
        <v>88</v>
      </c>
      <c r="E11" s="2" t="s">
        <v>89</v>
      </c>
      <c r="F11" s="2" t="s">
        <v>107</v>
      </c>
      <c r="G11" s="2" t="s">
        <v>915</v>
      </c>
      <c r="H11" s="2" t="s">
        <v>2308</v>
      </c>
      <c r="I11" s="2" t="s">
        <v>2309</v>
      </c>
      <c r="J11" s="2" t="s">
        <v>2074</v>
      </c>
      <c r="K11" s="2">
        <v>0</v>
      </c>
      <c r="L11" s="2">
        <v>0</v>
      </c>
      <c r="M11" s="2">
        <v>0</v>
      </c>
      <c r="N11" s="2">
        <v>1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/>
    </row>
    <row r="12" spans="1:31" x14ac:dyDescent="0.25">
      <c r="A12" s="2" t="s">
        <v>23</v>
      </c>
      <c r="B12" s="2" t="s">
        <v>85</v>
      </c>
      <c r="C12" s="2" t="s">
        <v>84</v>
      </c>
      <c r="D12" s="2" t="s">
        <v>88</v>
      </c>
      <c r="E12" s="2" t="s">
        <v>89</v>
      </c>
      <c r="F12" s="2" t="s">
        <v>669</v>
      </c>
      <c r="G12" s="2" t="s">
        <v>1558</v>
      </c>
      <c r="H12" s="2" t="s">
        <v>2312</v>
      </c>
      <c r="I12" s="2" t="s">
        <v>2313</v>
      </c>
      <c r="J12" s="2" t="s">
        <v>2074</v>
      </c>
      <c r="K12" s="2">
        <v>0</v>
      </c>
      <c r="L12" s="2">
        <v>0</v>
      </c>
      <c r="M12" s="2">
        <v>0</v>
      </c>
      <c r="N12" s="2">
        <v>1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/>
    </row>
    <row r="13" spans="1:31" x14ac:dyDescent="0.25">
      <c r="A13" s="2" t="s">
        <v>23</v>
      </c>
      <c r="B13" s="2" t="s">
        <v>85</v>
      </c>
      <c r="C13" s="2" t="s">
        <v>84</v>
      </c>
      <c r="D13" s="2" t="s">
        <v>88</v>
      </c>
      <c r="E13" s="2" t="s">
        <v>89</v>
      </c>
      <c r="F13" s="2" t="s">
        <v>108</v>
      </c>
      <c r="G13" s="2" t="s">
        <v>917</v>
      </c>
      <c r="H13" s="2" t="s">
        <v>2318</v>
      </c>
      <c r="I13" s="2" t="s">
        <v>2319</v>
      </c>
      <c r="J13" s="2" t="s">
        <v>2074</v>
      </c>
      <c r="K13" s="2">
        <v>0</v>
      </c>
      <c r="L13" s="2">
        <v>0</v>
      </c>
      <c r="M13" s="2">
        <v>0</v>
      </c>
      <c r="N13" s="2">
        <v>1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/>
    </row>
    <row r="14" spans="1:31" x14ac:dyDescent="0.25">
      <c r="A14" s="2" t="s">
        <v>23</v>
      </c>
      <c r="B14" s="2" t="s">
        <v>85</v>
      </c>
      <c r="C14" s="2" t="s">
        <v>84</v>
      </c>
      <c r="D14" s="2" t="s">
        <v>88</v>
      </c>
      <c r="E14" s="2" t="s">
        <v>89</v>
      </c>
      <c r="F14" s="2" t="s">
        <v>111</v>
      </c>
      <c r="G14" s="2" t="s">
        <v>919</v>
      </c>
      <c r="H14" s="2" t="s">
        <v>2322</v>
      </c>
      <c r="I14" s="2" t="s">
        <v>2323</v>
      </c>
      <c r="J14" s="2" t="s">
        <v>2074</v>
      </c>
      <c r="K14" s="2">
        <v>0</v>
      </c>
      <c r="L14" s="2">
        <v>0</v>
      </c>
      <c r="M14" s="2">
        <v>0</v>
      </c>
      <c r="N14" s="2">
        <v>1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/>
    </row>
    <row r="15" spans="1:31" x14ac:dyDescent="0.25">
      <c r="A15" s="2" t="s">
        <v>23</v>
      </c>
      <c r="B15" s="2" t="s">
        <v>85</v>
      </c>
      <c r="C15" s="2" t="s">
        <v>84</v>
      </c>
      <c r="D15" s="2" t="s">
        <v>88</v>
      </c>
      <c r="E15" s="2" t="s">
        <v>89</v>
      </c>
      <c r="F15" s="2" t="s">
        <v>766</v>
      </c>
      <c r="G15" s="2" t="s">
        <v>916</v>
      </c>
      <c r="H15" s="2" t="s">
        <v>2310</v>
      </c>
      <c r="I15" s="2" t="s">
        <v>2311</v>
      </c>
      <c r="J15" s="2" t="s">
        <v>2074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/>
    </row>
    <row r="16" spans="1:31" x14ac:dyDescent="0.25">
      <c r="A16" s="2" t="s">
        <v>23</v>
      </c>
      <c r="B16" s="2" t="s">
        <v>85</v>
      </c>
      <c r="C16" s="2" t="s">
        <v>84</v>
      </c>
      <c r="D16" s="2" t="s">
        <v>88</v>
      </c>
      <c r="E16" s="2" t="s">
        <v>89</v>
      </c>
      <c r="F16" s="2" t="s">
        <v>767</v>
      </c>
      <c r="G16" s="2" t="s">
        <v>918</v>
      </c>
      <c r="H16" s="2" t="s">
        <v>2320</v>
      </c>
      <c r="I16" s="2" t="s">
        <v>2321</v>
      </c>
      <c r="J16" s="2" t="s">
        <v>2074</v>
      </c>
      <c r="K16" s="2">
        <v>0</v>
      </c>
      <c r="L16" s="2">
        <v>0</v>
      </c>
      <c r="M16" s="2">
        <v>0</v>
      </c>
      <c r="N16" s="2">
        <v>1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/>
    </row>
    <row r="17" spans="1:31" x14ac:dyDescent="0.25">
      <c r="A17" s="2" t="s">
        <v>23</v>
      </c>
      <c r="B17" s="2" t="s">
        <v>85</v>
      </c>
      <c r="C17" s="2" t="s">
        <v>84</v>
      </c>
      <c r="D17" s="2" t="s">
        <v>88</v>
      </c>
      <c r="E17" s="2" t="s">
        <v>89</v>
      </c>
      <c r="F17" s="2" t="s">
        <v>1809</v>
      </c>
      <c r="G17" s="2" t="s">
        <v>1808</v>
      </c>
      <c r="H17" s="2" t="s">
        <v>2316</v>
      </c>
      <c r="I17" s="2" t="s">
        <v>2317</v>
      </c>
      <c r="J17" s="2" t="s">
        <v>2074</v>
      </c>
      <c r="K17" s="2">
        <v>0</v>
      </c>
      <c r="L17" s="2">
        <v>0</v>
      </c>
      <c r="M17" s="2">
        <v>0</v>
      </c>
      <c r="N17" s="2">
        <v>1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/>
    </row>
    <row r="18" spans="1:31" x14ac:dyDescent="0.25">
      <c r="A18" s="2" t="s">
        <v>23</v>
      </c>
      <c r="B18" s="2" t="s">
        <v>37</v>
      </c>
      <c r="C18" s="2" t="s">
        <v>36</v>
      </c>
      <c r="D18" s="2" t="s">
        <v>236</v>
      </c>
      <c r="E18" s="2" t="s">
        <v>235</v>
      </c>
      <c r="F18" s="2" t="s">
        <v>237</v>
      </c>
      <c r="G18" s="2" t="s">
        <v>1588</v>
      </c>
      <c r="H18" s="2" t="s">
        <v>3442</v>
      </c>
      <c r="I18" s="2" t="s">
        <v>3443</v>
      </c>
      <c r="J18" s="2" t="s">
        <v>2074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1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1</v>
      </c>
      <c r="AB18" s="2">
        <v>0</v>
      </c>
      <c r="AC18" s="2">
        <v>0</v>
      </c>
      <c r="AD18" s="2">
        <v>0</v>
      </c>
      <c r="AE18"/>
    </row>
    <row r="19" spans="1:31" x14ac:dyDescent="0.25">
      <c r="A19" s="2" t="s">
        <v>23</v>
      </c>
      <c r="B19" s="2" t="s">
        <v>37</v>
      </c>
      <c r="C19" s="2" t="s">
        <v>36</v>
      </c>
      <c r="D19" s="2" t="s">
        <v>236</v>
      </c>
      <c r="E19" s="2" t="s">
        <v>235</v>
      </c>
      <c r="F19" s="2" t="s">
        <v>238</v>
      </c>
      <c r="G19" s="2" t="s">
        <v>1701</v>
      </c>
      <c r="H19" s="2" t="s">
        <v>3444</v>
      </c>
      <c r="I19" s="2" t="s">
        <v>3445</v>
      </c>
      <c r="J19" s="2" t="s">
        <v>3693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1</v>
      </c>
      <c r="S19" s="2">
        <v>0</v>
      </c>
      <c r="T19" s="2">
        <v>1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/>
    </row>
    <row r="20" spans="1:31" x14ac:dyDescent="0.25">
      <c r="A20" s="2" t="s">
        <v>23</v>
      </c>
      <c r="B20" s="2" t="s">
        <v>37</v>
      </c>
      <c r="C20" s="2" t="s">
        <v>36</v>
      </c>
      <c r="D20" s="2" t="s">
        <v>236</v>
      </c>
      <c r="E20" s="2" t="s">
        <v>235</v>
      </c>
      <c r="F20" s="2" t="s">
        <v>241</v>
      </c>
      <c r="G20" s="2" t="s">
        <v>1589</v>
      </c>
      <c r="H20" s="2" t="s">
        <v>3446</v>
      </c>
      <c r="I20" s="2" t="s">
        <v>3447</v>
      </c>
      <c r="J20" s="2" t="s">
        <v>2074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1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1</v>
      </c>
      <c r="AB20" s="2">
        <v>0</v>
      </c>
      <c r="AC20" s="2">
        <v>0</v>
      </c>
      <c r="AD20" s="2">
        <v>0</v>
      </c>
      <c r="AE20"/>
    </row>
    <row r="21" spans="1:31" x14ac:dyDescent="0.25">
      <c r="A21" s="2" t="s">
        <v>23</v>
      </c>
      <c r="B21" s="2" t="s">
        <v>37</v>
      </c>
      <c r="C21" s="2" t="s">
        <v>36</v>
      </c>
      <c r="D21" s="2" t="s">
        <v>236</v>
      </c>
      <c r="E21" s="2" t="s">
        <v>235</v>
      </c>
      <c r="F21" s="2" t="s">
        <v>242</v>
      </c>
      <c r="G21" s="2" t="s">
        <v>1404</v>
      </c>
      <c r="H21" s="2" t="s">
        <v>3448</v>
      </c>
      <c r="I21" s="2" t="s">
        <v>3449</v>
      </c>
      <c r="J21" s="2" t="s">
        <v>2074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1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/>
    </row>
    <row r="22" spans="1:31" x14ac:dyDescent="0.25">
      <c r="A22" s="2" t="s">
        <v>23</v>
      </c>
      <c r="B22" s="2" t="s">
        <v>37</v>
      </c>
      <c r="C22" s="2" t="s">
        <v>36</v>
      </c>
      <c r="D22" s="2" t="s">
        <v>236</v>
      </c>
      <c r="E22" s="2" t="s">
        <v>235</v>
      </c>
      <c r="F22" s="2" t="s">
        <v>643</v>
      </c>
      <c r="G22" s="2" t="s">
        <v>1536</v>
      </c>
      <c r="H22" s="2" t="s">
        <v>3450</v>
      </c>
      <c r="I22" s="2" t="s">
        <v>3451</v>
      </c>
      <c r="J22" s="2" t="s">
        <v>2074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1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/>
    </row>
    <row r="23" spans="1:31" x14ac:dyDescent="0.25">
      <c r="A23" s="2" t="s">
        <v>23</v>
      </c>
      <c r="B23" s="2" t="s">
        <v>85</v>
      </c>
      <c r="C23" s="2" t="s">
        <v>84</v>
      </c>
      <c r="D23" s="2" t="s">
        <v>95</v>
      </c>
      <c r="E23" s="2" t="s">
        <v>94</v>
      </c>
      <c r="F23" s="2" t="s">
        <v>112</v>
      </c>
      <c r="G23" s="2" t="s">
        <v>920</v>
      </c>
      <c r="H23" s="2" t="s">
        <v>2324</v>
      </c>
      <c r="I23" s="2" t="s">
        <v>2325</v>
      </c>
      <c r="J23" s="2" t="s">
        <v>2074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3</v>
      </c>
      <c r="AE23"/>
    </row>
    <row r="24" spans="1:31" x14ac:dyDescent="0.25">
      <c r="A24" s="2" t="s">
        <v>23</v>
      </c>
      <c r="B24" s="2" t="s">
        <v>85</v>
      </c>
      <c r="C24" s="2" t="s">
        <v>84</v>
      </c>
      <c r="D24" s="2" t="s">
        <v>95</v>
      </c>
      <c r="E24" s="2" t="s">
        <v>94</v>
      </c>
      <c r="F24" s="2" t="s">
        <v>114</v>
      </c>
      <c r="G24" s="2" t="s">
        <v>922</v>
      </c>
      <c r="H24" s="2" t="s">
        <v>2328</v>
      </c>
      <c r="I24" s="2" t="s">
        <v>2329</v>
      </c>
      <c r="J24" s="2" t="s">
        <v>2074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1</v>
      </c>
      <c r="AC24" s="2">
        <v>0</v>
      </c>
      <c r="AD24" s="2">
        <v>2</v>
      </c>
      <c r="AE24"/>
    </row>
    <row r="25" spans="1:31" x14ac:dyDescent="0.25">
      <c r="A25" s="2" t="s">
        <v>23</v>
      </c>
      <c r="B25" s="2" t="s">
        <v>85</v>
      </c>
      <c r="C25" s="2" t="s">
        <v>84</v>
      </c>
      <c r="D25" s="2" t="s">
        <v>95</v>
      </c>
      <c r="E25" s="2" t="s">
        <v>94</v>
      </c>
      <c r="F25" s="2" t="s">
        <v>622</v>
      </c>
      <c r="G25" s="2" t="s">
        <v>1499</v>
      </c>
      <c r="H25" s="2" t="s">
        <v>2334</v>
      </c>
      <c r="I25" s="2" t="s">
        <v>2335</v>
      </c>
      <c r="J25" s="2" t="s">
        <v>2074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2</v>
      </c>
      <c r="AE25"/>
    </row>
    <row r="26" spans="1:31" x14ac:dyDescent="0.25">
      <c r="A26" s="2" t="s">
        <v>23</v>
      </c>
      <c r="B26" s="2" t="s">
        <v>85</v>
      </c>
      <c r="C26" s="2" t="s">
        <v>84</v>
      </c>
      <c r="D26" s="2" t="s">
        <v>95</v>
      </c>
      <c r="E26" s="2" t="s">
        <v>94</v>
      </c>
      <c r="F26" s="2" t="s">
        <v>670</v>
      </c>
      <c r="G26" s="2" t="s">
        <v>1668</v>
      </c>
      <c r="H26" s="2" t="s">
        <v>2336</v>
      </c>
      <c r="I26" s="2" t="s">
        <v>2337</v>
      </c>
      <c r="J26" s="2" t="s">
        <v>2074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1</v>
      </c>
      <c r="AC26" s="2">
        <v>0</v>
      </c>
      <c r="AD26" s="2">
        <v>2</v>
      </c>
      <c r="AE26"/>
    </row>
    <row r="27" spans="1:31" x14ac:dyDescent="0.25">
      <c r="A27" s="2" t="s">
        <v>23</v>
      </c>
      <c r="B27" s="2" t="s">
        <v>85</v>
      </c>
      <c r="C27" s="2" t="s">
        <v>84</v>
      </c>
      <c r="D27" s="2" t="s">
        <v>95</v>
      </c>
      <c r="E27" s="2" t="s">
        <v>94</v>
      </c>
      <c r="F27" s="2" t="s">
        <v>118</v>
      </c>
      <c r="G27" s="2" t="s">
        <v>926</v>
      </c>
      <c r="H27" s="2" t="s">
        <v>2340</v>
      </c>
      <c r="I27" s="2" t="s">
        <v>2341</v>
      </c>
      <c r="J27" s="2" t="s">
        <v>2074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1</v>
      </c>
      <c r="AE27"/>
    </row>
    <row r="28" spans="1:31" x14ac:dyDescent="0.25">
      <c r="A28" s="2" t="s">
        <v>23</v>
      </c>
      <c r="B28" s="2" t="s">
        <v>85</v>
      </c>
      <c r="C28" s="2" t="s">
        <v>84</v>
      </c>
      <c r="D28" s="2" t="s">
        <v>95</v>
      </c>
      <c r="E28" s="2" t="s">
        <v>94</v>
      </c>
      <c r="F28" s="2" t="s">
        <v>119</v>
      </c>
      <c r="G28" s="2" t="s">
        <v>927</v>
      </c>
      <c r="H28" s="2" t="s">
        <v>2342</v>
      </c>
      <c r="I28" s="2" t="s">
        <v>2343</v>
      </c>
      <c r="J28" s="2" t="s">
        <v>2074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</v>
      </c>
      <c r="AE28"/>
    </row>
    <row r="29" spans="1:31" x14ac:dyDescent="0.25">
      <c r="A29" s="2" t="s">
        <v>23</v>
      </c>
      <c r="B29" s="2" t="s">
        <v>85</v>
      </c>
      <c r="C29" s="2" t="s">
        <v>84</v>
      </c>
      <c r="D29" s="2" t="s">
        <v>95</v>
      </c>
      <c r="E29" s="2" t="s">
        <v>94</v>
      </c>
      <c r="F29" s="2" t="s">
        <v>120</v>
      </c>
      <c r="G29" s="2" t="s">
        <v>928</v>
      </c>
      <c r="H29" s="2" t="s">
        <v>2344</v>
      </c>
      <c r="I29" s="2" t="s">
        <v>2345</v>
      </c>
      <c r="J29" s="2" t="s">
        <v>2074</v>
      </c>
      <c r="K29" s="2">
        <v>0</v>
      </c>
      <c r="L29" s="2">
        <v>0</v>
      </c>
      <c r="M29" s="2">
        <v>2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1</v>
      </c>
      <c r="AC29" s="2">
        <v>0</v>
      </c>
      <c r="AD29" s="2">
        <v>1</v>
      </c>
      <c r="AE29"/>
    </row>
    <row r="30" spans="1:31" x14ac:dyDescent="0.25">
      <c r="A30" s="2" t="s">
        <v>23</v>
      </c>
      <c r="B30" s="2" t="s">
        <v>85</v>
      </c>
      <c r="C30" s="2" t="s">
        <v>84</v>
      </c>
      <c r="D30" s="2" t="s">
        <v>95</v>
      </c>
      <c r="E30" s="2" t="s">
        <v>94</v>
      </c>
      <c r="F30" s="2" t="s">
        <v>121</v>
      </c>
      <c r="G30" s="2" t="s">
        <v>929</v>
      </c>
      <c r="H30" s="2" t="s">
        <v>2346</v>
      </c>
      <c r="I30" s="2" t="s">
        <v>2347</v>
      </c>
      <c r="J30" s="2" t="s">
        <v>2074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1</v>
      </c>
      <c r="AC30" s="2">
        <v>0</v>
      </c>
      <c r="AD30" s="2">
        <v>2</v>
      </c>
      <c r="AE30"/>
    </row>
    <row r="31" spans="1:31" x14ac:dyDescent="0.25">
      <c r="A31" s="2" t="s">
        <v>23</v>
      </c>
      <c r="B31" s="2" t="s">
        <v>85</v>
      </c>
      <c r="C31" s="2" t="s">
        <v>84</v>
      </c>
      <c r="D31" s="2" t="s">
        <v>95</v>
      </c>
      <c r="E31" s="2" t="s">
        <v>94</v>
      </c>
      <c r="F31" s="2" t="s">
        <v>263</v>
      </c>
      <c r="G31" s="2" t="s">
        <v>930</v>
      </c>
      <c r="H31" s="2" t="s">
        <v>2348</v>
      </c>
      <c r="I31" s="2" t="s">
        <v>2349</v>
      </c>
      <c r="J31" s="2" t="s">
        <v>2074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1</v>
      </c>
      <c r="AC31" s="2">
        <v>0</v>
      </c>
      <c r="AD31" s="2">
        <v>2</v>
      </c>
      <c r="AE31"/>
    </row>
    <row r="32" spans="1:31" x14ac:dyDescent="0.25">
      <c r="A32" s="2" t="s">
        <v>23</v>
      </c>
      <c r="B32" s="2" t="s">
        <v>85</v>
      </c>
      <c r="C32" s="2" t="s">
        <v>84</v>
      </c>
      <c r="D32" s="2" t="s">
        <v>95</v>
      </c>
      <c r="E32" s="2" t="s">
        <v>94</v>
      </c>
      <c r="F32" s="2" t="s">
        <v>264</v>
      </c>
      <c r="G32" s="2" t="s">
        <v>931</v>
      </c>
      <c r="H32" s="2" t="s">
        <v>2350</v>
      </c>
      <c r="I32" s="2" t="s">
        <v>2351</v>
      </c>
      <c r="J32" s="2" t="s">
        <v>2074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1</v>
      </c>
      <c r="AE32"/>
    </row>
    <row r="33" spans="1:31" x14ac:dyDescent="0.25">
      <c r="A33" s="2" t="s">
        <v>23</v>
      </c>
      <c r="B33" s="2" t="s">
        <v>85</v>
      </c>
      <c r="C33" s="2" t="s">
        <v>84</v>
      </c>
      <c r="D33" s="2" t="s">
        <v>95</v>
      </c>
      <c r="E33" s="2" t="s">
        <v>94</v>
      </c>
      <c r="F33" s="2" t="s">
        <v>266</v>
      </c>
      <c r="G33" s="2" t="s">
        <v>933</v>
      </c>
      <c r="H33" s="2" t="s">
        <v>2354</v>
      </c>
      <c r="I33" s="2" t="s">
        <v>2355</v>
      </c>
      <c r="J33" s="2" t="s">
        <v>2074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1</v>
      </c>
      <c r="AC33" s="2">
        <v>0</v>
      </c>
      <c r="AD33" s="2">
        <v>2</v>
      </c>
      <c r="AE33"/>
    </row>
    <row r="34" spans="1:31" x14ac:dyDescent="0.25">
      <c r="A34" s="2" t="s">
        <v>23</v>
      </c>
      <c r="B34" s="2" t="s">
        <v>85</v>
      </c>
      <c r="C34" s="2" t="s">
        <v>84</v>
      </c>
      <c r="D34" s="2" t="s">
        <v>95</v>
      </c>
      <c r="E34" s="2" t="s">
        <v>94</v>
      </c>
      <c r="F34" s="2" t="s">
        <v>267</v>
      </c>
      <c r="G34" s="2" t="s">
        <v>934</v>
      </c>
      <c r="H34" s="2" t="s">
        <v>2356</v>
      </c>
      <c r="I34" s="2" t="s">
        <v>2357</v>
      </c>
      <c r="J34" s="2" t="s">
        <v>2074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1</v>
      </c>
      <c r="AC34" s="2">
        <v>0</v>
      </c>
      <c r="AD34" s="2">
        <v>2</v>
      </c>
      <c r="AE34"/>
    </row>
    <row r="35" spans="1:31" x14ac:dyDescent="0.25">
      <c r="A35" s="2" t="s">
        <v>23</v>
      </c>
      <c r="B35" s="2" t="s">
        <v>85</v>
      </c>
      <c r="C35" s="2" t="s">
        <v>84</v>
      </c>
      <c r="D35" s="2" t="s">
        <v>95</v>
      </c>
      <c r="E35" s="2" t="s">
        <v>94</v>
      </c>
      <c r="F35" s="2" t="s">
        <v>268</v>
      </c>
      <c r="G35" s="2" t="s">
        <v>935</v>
      </c>
      <c r="H35" s="2" t="s">
        <v>2358</v>
      </c>
      <c r="I35" s="2" t="s">
        <v>2359</v>
      </c>
      <c r="J35" s="2" t="s">
        <v>3693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3</v>
      </c>
      <c r="AE35"/>
    </row>
    <row r="36" spans="1:31" x14ac:dyDescent="0.25">
      <c r="A36" s="2" t="s">
        <v>23</v>
      </c>
      <c r="B36" s="2" t="s">
        <v>85</v>
      </c>
      <c r="C36" s="2" t="s">
        <v>84</v>
      </c>
      <c r="D36" s="2" t="s">
        <v>95</v>
      </c>
      <c r="E36" s="2" t="s">
        <v>94</v>
      </c>
      <c r="F36" s="2" t="s">
        <v>269</v>
      </c>
      <c r="G36" s="2" t="s">
        <v>936</v>
      </c>
      <c r="H36" s="2" t="s">
        <v>2360</v>
      </c>
      <c r="I36" s="2" t="s">
        <v>2361</v>
      </c>
      <c r="J36" s="2" t="s">
        <v>2074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C36" s="2">
        <v>0</v>
      </c>
      <c r="AD36" s="2">
        <v>2</v>
      </c>
      <c r="AE36"/>
    </row>
    <row r="37" spans="1:31" x14ac:dyDescent="0.25">
      <c r="A37" s="2" t="s">
        <v>23</v>
      </c>
      <c r="B37" s="2" t="s">
        <v>85</v>
      </c>
      <c r="C37" s="2" t="s">
        <v>84</v>
      </c>
      <c r="D37" s="2" t="s">
        <v>95</v>
      </c>
      <c r="E37" s="2" t="s">
        <v>94</v>
      </c>
      <c r="F37" s="2" t="s">
        <v>270</v>
      </c>
      <c r="G37" s="2" t="s">
        <v>937</v>
      </c>
      <c r="H37" s="2" t="s">
        <v>2362</v>
      </c>
      <c r="I37" s="2" t="s">
        <v>2363</v>
      </c>
      <c r="J37" s="2" t="s">
        <v>2074</v>
      </c>
      <c r="K37" s="2">
        <v>1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3</v>
      </c>
      <c r="AE37"/>
    </row>
    <row r="38" spans="1:31" x14ac:dyDescent="0.25">
      <c r="A38" s="2" t="s">
        <v>23</v>
      </c>
      <c r="B38" s="2" t="s">
        <v>85</v>
      </c>
      <c r="C38" s="2" t="s">
        <v>84</v>
      </c>
      <c r="D38" s="2" t="s">
        <v>95</v>
      </c>
      <c r="E38" s="2" t="s">
        <v>94</v>
      </c>
      <c r="F38" s="2" t="s">
        <v>271</v>
      </c>
      <c r="G38" s="2" t="s">
        <v>938</v>
      </c>
      <c r="H38" s="2" t="s">
        <v>2364</v>
      </c>
      <c r="I38" s="2" t="s">
        <v>2365</v>
      </c>
      <c r="J38" s="2" t="s">
        <v>2074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2</v>
      </c>
      <c r="AE38"/>
    </row>
    <row r="39" spans="1:31" x14ac:dyDescent="0.25">
      <c r="A39" s="2" t="s">
        <v>23</v>
      </c>
      <c r="B39" s="2" t="s">
        <v>85</v>
      </c>
      <c r="C39" s="2" t="s">
        <v>84</v>
      </c>
      <c r="D39" s="2" t="s">
        <v>95</v>
      </c>
      <c r="E39" s="2" t="s">
        <v>94</v>
      </c>
      <c r="F39" s="2" t="s">
        <v>273</v>
      </c>
      <c r="G39" s="2" t="s">
        <v>940</v>
      </c>
      <c r="H39" s="2" t="s">
        <v>2368</v>
      </c>
      <c r="I39" s="2" t="s">
        <v>2369</v>
      </c>
      <c r="J39" s="2" t="s">
        <v>2074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1</v>
      </c>
      <c r="AE39"/>
    </row>
    <row r="40" spans="1:31" x14ac:dyDescent="0.25">
      <c r="A40" s="2" t="s">
        <v>23</v>
      </c>
      <c r="B40" s="2" t="s">
        <v>85</v>
      </c>
      <c r="C40" s="2" t="s">
        <v>84</v>
      </c>
      <c r="D40" s="2" t="s">
        <v>95</v>
      </c>
      <c r="E40" s="2" t="s">
        <v>94</v>
      </c>
      <c r="F40" s="2" t="s">
        <v>117</v>
      </c>
      <c r="G40" s="2" t="s">
        <v>925</v>
      </c>
      <c r="H40" s="2" t="s">
        <v>2338</v>
      </c>
      <c r="I40" s="2" t="s">
        <v>2339</v>
      </c>
      <c r="J40" s="2" t="s">
        <v>2074</v>
      </c>
      <c r="K40" s="2">
        <v>1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1</v>
      </c>
      <c r="AE40"/>
    </row>
    <row r="41" spans="1:31" x14ac:dyDescent="0.25">
      <c r="A41" s="2" t="s">
        <v>23</v>
      </c>
      <c r="B41" s="2" t="s">
        <v>85</v>
      </c>
      <c r="C41" s="2" t="s">
        <v>84</v>
      </c>
      <c r="D41" s="2" t="s">
        <v>95</v>
      </c>
      <c r="E41" s="2" t="s">
        <v>94</v>
      </c>
      <c r="F41" s="2" t="s">
        <v>265</v>
      </c>
      <c r="G41" s="2" t="s">
        <v>932</v>
      </c>
      <c r="H41" s="2" t="s">
        <v>2352</v>
      </c>
      <c r="I41" s="2" t="s">
        <v>2353</v>
      </c>
      <c r="J41" s="2" t="s">
        <v>2074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1</v>
      </c>
      <c r="AE41"/>
    </row>
    <row r="42" spans="1:31" x14ac:dyDescent="0.25">
      <c r="A42" s="2" t="s">
        <v>23</v>
      </c>
      <c r="B42" s="2" t="s">
        <v>85</v>
      </c>
      <c r="C42" s="2" t="s">
        <v>84</v>
      </c>
      <c r="D42" s="2" t="s">
        <v>92</v>
      </c>
      <c r="E42" s="2" t="s">
        <v>91</v>
      </c>
      <c r="F42" s="2" t="s">
        <v>274</v>
      </c>
      <c r="G42" s="2" t="s">
        <v>941</v>
      </c>
      <c r="H42" s="2" t="s">
        <v>2370</v>
      </c>
      <c r="I42" s="2" t="s">
        <v>2371</v>
      </c>
      <c r="J42" s="2" t="s">
        <v>2074</v>
      </c>
      <c r="K42" s="2">
        <v>0</v>
      </c>
      <c r="L42" s="2">
        <v>0</v>
      </c>
      <c r="M42" s="2">
        <v>1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1</v>
      </c>
      <c r="AE42"/>
    </row>
    <row r="43" spans="1:31" x14ac:dyDescent="0.25">
      <c r="A43" s="2" t="s">
        <v>23</v>
      </c>
      <c r="B43" s="2" t="s">
        <v>85</v>
      </c>
      <c r="C43" s="2" t="s">
        <v>84</v>
      </c>
      <c r="D43" s="2" t="s">
        <v>92</v>
      </c>
      <c r="E43" s="2" t="s">
        <v>91</v>
      </c>
      <c r="F43" s="2" t="s">
        <v>275</v>
      </c>
      <c r="G43" s="2" t="s">
        <v>944</v>
      </c>
      <c r="H43" s="2" t="s">
        <v>2378</v>
      </c>
      <c r="I43" s="2" t="s">
        <v>2379</v>
      </c>
      <c r="J43" s="2" t="s">
        <v>3693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1</v>
      </c>
      <c r="AE43"/>
    </row>
    <row r="44" spans="1:31" x14ac:dyDescent="0.25">
      <c r="A44" s="2" t="s">
        <v>23</v>
      </c>
      <c r="B44" s="2" t="s">
        <v>85</v>
      </c>
      <c r="C44" s="2" t="s">
        <v>84</v>
      </c>
      <c r="D44" s="2" t="s">
        <v>92</v>
      </c>
      <c r="E44" s="2" t="s">
        <v>91</v>
      </c>
      <c r="F44" s="2" t="s">
        <v>280</v>
      </c>
      <c r="G44" s="2" t="s">
        <v>948</v>
      </c>
      <c r="H44" s="2" t="s">
        <v>2390</v>
      </c>
      <c r="I44" s="2" t="s">
        <v>2391</v>
      </c>
      <c r="J44" s="2" t="s">
        <v>2074</v>
      </c>
      <c r="K44" s="2">
        <v>0</v>
      </c>
      <c r="L44" s="2">
        <v>0</v>
      </c>
      <c r="M44" s="2">
        <v>1</v>
      </c>
      <c r="N44" s="2">
        <v>1</v>
      </c>
      <c r="O44" s="2">
        <v>0</v>
      </c>
      <c r="P44" s="2">
        <v>0</v>
      </c>
      <c r="Q44" s="2">
        <v>0</v>
      </c>
      <c r="R44" s="2">
        <v>1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1</v>
      </c>
      <c r="Y44" s="2">
        <v>0</v>
      </c>
      <c r="Z44" s="2">
        <v>0</v>
      </c>
      <c r="AA44" s="2">
        <v>0</v>
      </c>
      <c r="AB44" s="2">
        <v>1</v>
      </c>
      <c r="AC44" s="2">
        <v>1</v>
      </c>
      <c r="AD44" s="2">
        <v>1</v>
      </c>
      <c r="AE44"/>
    </row>
    <row r="45" spans="1:31" x14ac:dyDescent="0.25">
      <c r="A45" s="2" t="s">
        <v>23</v>
      </c>
      <c r="B45" s="2" t="s">
        <v>85</v>
      </c>
      <c r="C45" s="2" t="s">
        <v>84</v>
      </c>
      <c r="D45" s="2" t="s">
        <v>92</v>
      </c>
      <c r="E45" s="2" t="s">
        <v>91</v>
      </c>
      <c r="F45" s="2" t="s">
        <v>285</v>
      </c>
      <c r="G45" s="2" t="s">
        <v>959</v>
      </c>
      <c r="H45" s="2" t="s">
        <v>2414</v>
      </c>
      <c r="I45" s="2" t="s">
        <v>2415</v>
      </c>
      <c r="J45" s="2" t="s">
        <v>2074</v>
      </c>
      <c r="K45" s="2">
        <v>0</v>
      </c>
      <c r="L45" s="2">
        <v>0</v>
      </c>
      <c r="M45" s="2">
        <v>0</v>
      </c>
      <c r="N45" s="2">
        <v>1</v>
      </c>
      <c r="O45" s="2">
        <v>0</v>
      </c>
      <c r="P45" s="2">
        <v>0</v>
      </c>
      <c r="Q45" s="2">
        <v>0</v>
      </c>
      <c r="R45" s="2">
        <v>0</v>
      </c>
      <c r="S45" s="2">
        <v>1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/>
    </row>
    <row r="46" spans="1:31" x14ac:dyDescent="0.25">
      <c r="A46" s="2" t="s">
        <v>23</v>
      </c>
      <c r="B46" s="2" t="s">
        <v>85</v>
      </c>
      <c r="C46" s="2" t="s">
        <v>84</v>
      </c>
      <c r="D46" s="2" t="s">
        <v>92</v>
      </c>
      <c r="E46" s="2" t="s">
        <v>91</v>
      </c>
      <c r="F46" s="2" t="s">
        <v>286</v>
      </c>
      <c r="G46" s="2" t="s">
        <v>962</v>
      </c>
      <c r="H46" s="2" t="s">
        <v>2420</v>
      </c>
      <c r="I46" s="2" t="s">
        <v>2421</v>
      </c>
      <c r="J46" s="2" t="s">
        <v>2074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1</v>
      </c>
      <c r="Q46" s="2">
        <v>0</v>
      </c>
      <c r="R46" s="2">
        <v>0</v>
      </c>
      <c r="S46" s="2">
        <v>1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1</v>
      </c>
      <c r="AD46" s="2">
        <v>0</v>
      </c>
      <c r="AE46"/>
    </row>
    <row r="47" spans="1:31" x14ac:dyDescent="0.25">
      <c r="A47" s="2" t="s">
        <v>23</v>
      </c>
      <c r="B47" s="2" t="s">
        <v>85</v>
      </c>
      <c r="C47" s="2" t="s">
        <v>84</v>
      </c>
      <c r="D47" s="2" t="s">
        <v>92</v>
      </c>
      <c r="E47" s="2" t="s">
        <v>91</v>
      </c>
      <c r="F47" s="2" t="s">
        <v>290</v>
      </c>
      <c r="G47" s="2" t="s">
        <v>968</v>
      </c>
      <c r="H47" s="2" t="s">
        <v>2436</v>
      </c>
      <c r="I47" s="2" t="s">
        <v>2437</v>
      </c>
      <c r="J47" s="2" t="s">
        <v>2074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1</v>
      </c>
      <c r="AE47"/>
    </row>
    <row r="48" spans="1:31" x14ac:dyDescent="0.25">
      <c r="A48" s="2" t="s">
        <v>23</v>
      </c>
      <c r="B48" s="2" t="s">
        <v>85</v>
      </c>
      <c r="C48" s="2" t="s">
        <v>84</v>
      </c>
      <c r="D48" s="2" t="s">
        <v>92</v>
      </c>
      <c r="E48" s="2" t="s">
        <v>91</v>
      </c>
      <c r="F48" s="2" t="s">
        <v>292</v>
      </c>
      <c r="G48" s="2" t="s">
        <v>970</v>
      </c>
      <c r="H48" s="2" t="s">
        <v>2442</v>
      </c>
      <c r="I48" s="2" t="s">
        <v>2443</v>
      </c>
      <c r="J48" s="2" t="s">
        <v>2074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1</v>
      </c>
      <c r="U48" s="2">
        <v>0</v>
      </c>
      <c r="V48" s="2">
        <v>1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1</v>
      </c>
      <c r="AC48" s="2">
        <v>0</v>
      </c>
      <c r="AD48" s="2">
        <v>0</v>
      </c>
      <c r="AE48"/>
    </row>
    <row r="49" spans="1:31" x14ac:dyDescent="0.25">
      <c r="A49" s="2" t="s">
        <v>23</v>
      </c>
      <c r="B49" s="2" t="s">
        <v>85</v>
      </c>
      <c r="C49" s="2" t="s">
        <v>84</v>
      </c>
      <c r="D49" s="2" t="s">
        <v>92</v>
      </c>
      <c r="E49" s="2" t="s">
        <v>91</v>
      </c>
      <c r="F49" s="2" t="s">
        <v>276</v>
      </c>
      <c r="G49" s="2" t="s">
        <v>945</v>
      </c>
      <c r="H49" s="2" t="s">
        <v>2380</v>
      </c>
      <c r="I49" s="2" t="s">
        <v>2381</v>
      </c>
      <c r="J49" s="2" t="s">
        <v>2074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1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1</v>
      </c>
      <c r="AD49" s="2">
        <v>0</v>
      </c>
      <c r="AE49"/>
    </row>
    <row r="50" spans="1:31" x14ac:dyDescent="0.25">
      <c r="A50" s="2" t="s">
        <v>23</v>
      </c>
      <c r="B50" s="2" t="s">
        <v>85</v>
      </c>
      <c r="C50" s="2" t="s">
        <v>84</v>
      </c>
      <c r="D50" s="2" t="s">
        <v>92</v>
      </c>
      <c r="E50" s="2" t="s">
        <v>91</v>
      </c>
      <c r="F50" s="2" t="s">
        <v>769</v>
      </c>
      <c r="G50" s="2" t="s">
        <v>942</v>
      </c>
      <c r="H50" s="2" t="s">
        <v>2374</v>
      </c>
      <c r="I50" s="2" t="s">
        <v>2375</v>
      </c>
      <c r="J50" s="2" t="s">
        <v>2074</v>
      </c>
      <c r="K50" s="2">
        <v>0</v>
      </c>
      <c r="L50" s="2">
        <v>0</v>
      </c>
      <c r="M50" s="2">
        <v>1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/>
    </row>
    <row r="51" spans="1:31" x14ac:dyDescent="0.25">
      <c r="A51" s="2" t="s">
        <v>23</v>
      </c>
      <c r="B51" s="2" t="s">
        <v>85</v>
      </c>
      <c r="C51" s="2" t="s">
        <v>84</v>
      </c>
      <c r="D51" s="2" t="s">
        <v>92</v>
      </c>
      <c r="E51" s="2" t="s">
        <v>91</v>
      </c>
      <c r="F51" s="2" t="s">
        <v>768</v>
      </c>
      <c r="G51" s="2" t="s">
        <v>949</v>
      </c>
      <c r="H51" s="2" t="s">
        <v>2394</v>
      </c>
      <c r="I51" s="2" t="s">
        <v>2395</v>
      </c>
      <c r="J51" s="2" t="s">
        <v>2074</v>
      </c>
      <c r="K51" s="2">
        <v>0</v>
      </c>
      <c r="L51" s="2">
        <v>0</v>
      </c>
      <c r="M51" s="2">
        <v>2</v>
      </c>
      <c r="N51" s="2">
        <v>1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2</v>
      </c>
      <c r="AE51"/>
    </row>
    <row r="52" spans="1:31" x14ac:dyDescent="0.25">
      <c r="A52" s="2" t="s">
        <v>23</v>
      </c>
      <c r="B52" s="2" t="s">
        <v>85</v>
      </c>
      <c r="C52" s="2" t="s">
        <v>84</v>
      </c>
      <c r="D52" s="2" t="s">
        <v>92</v>
      </c>
      <c r="E52" s="2" t="s">
        <v>91</v>
      </c>
      <c r="F52" s="2" t="s">
        <v>385</v>
      </c>
      <c r="G52" s="2" t="s">
        <v>943</v>
      </c>
      <c r="H52" s="2" t="s">
        <v>2376</v>
      </c>
      <c r="I52" s="2" t="s">
        <v>2377</v>
      </c>
      <c r="J52" s="2" t="s">
        <v>2074</v>
      </c>
      <c r="K52" s="2">
        <v>0</v>
      </c>
      <c r="L52" s="2">
        <v>0</v>
      </c>
      <c r="M52" s="2">
        <v>0</v>
      </c>
      <c r="N52" s="2">
        <v>1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1</v>
      </c>
      <c r="Y52" s="2">
        <v>0</v>
      </c>
      <c r="Z52" s="2">
        <v>0</v>
      </c>
      <c r="AA52" s="2">
        <v>0</v>
      </c>
      <c r="AB52" s="2">
        <v>1</v>
      </c>
      <c r="AC52" s="2">
        <v>0</v>
      </c>
      <c r="AD52" s="2">
        <v>0</v>
      </c>
      <c r="AE52"/>
    </row>
    <row r="53" spans="1:31" x14ac:dyDescent="0.25">
      <c r="A53" s="2" t="s">
        <v>23</v>
      </c>
      <c r="B53" s="2" t="s">
        <v>85</v>
      </c>
      <c r="C53" s="2" t="s">
        <v>84</v>
      </c>
      <c r="D53" s="2" t="s">
        <v>92</v>
      </c>
      <c r="E53" s="2" t="s">
        <v>91</v>
      </c>
      <c r="F53" s="2" t="s">
        <v>950</v>
      </c>
      <c r="G53" s="2" t="s">
        <v>951</v>
      </c>
      <c r="H53" s="2" t="s">
        <v>2396</v>
      </c>
      <c r="I53" s="2" t="s">
        <v>2397</v>
      </c>
      <c r="J53" s="2" t="s">
        <v>2074</v>
      </c>
      <c r="K53" s="2">
        <v>0</v>
      </c>
      <c r="L53" s="2">
        <v>0</v>
      </c>
      <c r="M53" s="2">
        <v>0</v>
      </c>
      <c r="N53" s="2">
        <v>1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1</v>
      </c>
      <c r="Y53" s="2">
        <v>0</v>
      </c>
      <c r="Z53" s="2">
        <v>0</v>
      </c>
      <c r="AA53" s="2">
        <v>0</v>
      </c>
      <c r="AB53" s="2">
        <v>1</v>
      </c>
      <c r="AC53" s="2">
        <v>0</v>
      </c>
      <c r="AD53" s="2">
        <v>0</v>
      </c>
      <c r="AE53"/>
    </row>
    <row r="54" spans="1:31" x14ac:dyDescent="0.25">
      <c r="A54" s="2" t="s">
        <v>23</v>
      </c>
      <c r="B54" s="2" t="s">
        <v>85</v>
      </c>
      <c r="C54" s="2" t="s">
        <v>84</v>
      </c>
      <c r="D54" s="2" t="s">
        <v>92</v>
      </c>
      <c r="E54" s="2" t="s">
        <v>91</v>
      </c>
      <c r="F54" s="2" t="s">
        <v>952</v>
      </c>
      <c r="G54" s="2" t="s">
        <v>953</v>
      </c>
      <c r="H54" s="2" t="s">
        <v>2398</v>
      </c>
      <c r="I54" s="2" t="s">
        <v>2399</v>
      </c>
      <c r="J54" s="2" t="s">
        <v>2074</v>
      </c>
      <c r="K54" s="2">
        <v>0</v>
      </c>
      <c r="L54" s="2">
        <v>0</v>
      </c>
      <c r="M54" s="2">
        <v>0</v>
      </c>
      <c r="N54" s="2">
        <v>1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1</v>
      </c>
      <c r="AC54" s="2">
        <v>0</v>
      </c>
      <c r="AD54" s="2">
        <v>1</v>
      </c>
      <c r="AE54"/>
    </row>
    <row r="55" spans="1:31" x14ac:dyDescent="0.25">
      <c r="A55" s="2" t="s">
        <v>23</v>
      </c>
      <c r="B55" s="2" t="s">
        <v>85</v>
      </c>
      <c r="C55" s="2" t="s">
        <v>84</v>
      </c>
      <c r="D55" s="2" t="s">
        <v>92</v>
      </c>
      <c r="E55" s="2" t="s">
        <v>91</v>
      </c>
      <c r="F55" s="2" t="s">
        <v>954</v>
      </c>
      <c r="G55" s="2" t="s">
        <v>955</v>
      </c>
      <c r="H55" s="2" t="s">
        <v>2402</v>
      </c>
      <c r="I55" s="2" t="s">
        <v>2403</v>
      </c>
      <c r="J55" s="2" t="s">
        <v>2074</v>
      </c>
      <c r="K55" s="2">
        <v>0</v>
      </c>
      <c r="L55" s="2">
        <v>0</v>
      </c>
      <c r="M55" s="2">
        <v>0</v>
      </c>
      <c r="N55" s="2">
        <v>1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1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/>
    </row>
    <row r="56" spans="1:31" x14ac:dyDescent="0.25">
      <c r="A56" s="2" t="s">
        <v>23</v>
      </c>
      <c r="B56" s="2" t="s">
        <v>85</v>
      </c>
      <c r="C56" s="2" t="s">
        <v>84</v>
      </c>
      <c r="D56" s="2" t="s">
        <v>92</v>
      </c>
      <c r="E56" s="2" t="s">
        <v>91</v>
      </c>
      <c r="F56" s="2" t="s">
        <v>966</v>
      </c>
      <c r="G56" s="2" t="s">
        <v>967</v>
      </c>
      <c r="H56" s="2" t="s">
        <v>2434</v>
      </c>
      <c r="I56" s="2" t="s">
        <v>2435</v>
      </c>
      <c r="J56" s="2" t="s">
        <v>2074</v>
      </c>
      <c r="K56" s="2">
        <v>0</v>
      </c>
      <c r="L56" s="2">
        <v>0</v>
      </c>
      <c r="M56" s="2">
        <v>0</v>
      </c>
      <c r="N56" s="2">
        <v>1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1</v>
      </c>
      <c r="Y56" s="2">
        <v>0</v>
      </c>
      <c r="Z56" s="2">
        <v>0</v>
      </c>
      <c r="AA56" s="2">
        <v>0</v>
      </c>
      <c r="AB56" s="2">
        <v>1</v>
      </c>
      <c r="AC56" s="2">
        <v>0</v>
      </c>
      <c r="AD56" s="2">
        <v>0</v>
      </c>
      <c r="AE56"/>
    </row>
    <row r="57" spans="1:31" x14ac:dyDescent="0.25">
      <c r="A57" s="2" t="s">
        <v>23</v>
      </c>
      <c r="B57" s="2" t="s">
        <v>85</v>
      </c>
      <c r="C57" s="2" t="s">
        <v>84</v>
      </c>
      <c r="D57" s="2" t="s">
        <v>92</v>
      </c>
      <c r="E57" s="2" t="s">
        <v>91</v>
      </c>
      <c r="F57" s="2" t="s">
        <v>1816</v>
      </c>
      <c r="G57" s="2" t="s">
        <v>1815</v>
      </c>
      <c r="H57" s="2" t="s">
        <v>2392</v>
      </c>
      <c r="I57" s="2" t="s">
        <v>2393</v>
      </c>
      <c r="J57" s="2" t="s">
        <v>2074</v>
      </c>
      <c r="K57" s="2">
        <v>0</v>
      </c>
      <c r="L57" s="2">
        <v>0</v>
      </c>
      <c r="M57" s="2">
        <v>0</v>
      </c>
      <c r="N57" s="2">
        <v>1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/>
    </row>
    <row r="58" spans="1:31" x14ac:dyDescent="0.25">
      <c r="A58" s="2" t="s">
        <v>23</v>
      </c>
      <c r="B58" s="2" t="s">
        <v>85</v>
      </c>
      <c r="C58" s="2" t="s">
        <v>84</v>
      </c>
      <c r="D58" s="2" t="s">
        <v>92</v>
      </c>
      <c r="E58" s="2" t="s">
        <v>91</v>
      </c>
      <c r="F58" s="2" t="s">
        <v>1812</v>
      </c>
      <c r="G58" s="2" t="s">
        <v>1811</v>
      </c>
      <c r="H58" s="2" t="s">
        <v>2430</v>
      </c>
      <c r="I58" s="2" t="s">
        <v>2431</v>
      </c>
      <c r="J58" s="2" t="s">
        <v>2074</v>
      </c>
      <c r="K58" s="2">
        <v>0</v>
      </c>
      <c r="L58" s="2">
        <v>0</v>
      </c>
      <c r="M58" s="2">
        <v>0</v>
      </c>
      <c r="N58" s="2">
        <v>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/>
    </row>
    <row r="59" spans="1:31" x14ac:dyDescent="0.25">
      <c r="A59" s="2" t="s">
        <v>23</v>
      </c>
      <c r="B59" s="2" t="s">
        <v>85</v>
      </c>
      <c r="C59" s="2" t="s">
        <v>84</v>
      </c>
      <c r="D59" s="2" t="s">
        <v>92</v>
      </c>
      <c r="E59" s="2" t="s">
        <v>91</v>
      </c>
      <c r="F59" s="2" t="s">
        <v>1818</v>
      </c>
      <c r="G59" s="2" t="s">
        <v>1817</v>
      </c>
      <c r="H59" s="2" t="s">
        <v>2440</v>
      </c>
      <c r="I59" s="2" t="s">
        <v>2441</v>
      </c>
      <c r="J59" s="2" t="s">
        <v>2074</v>
      </c>
      <c r="K59" s="2">
        <v>0</v>
      </c>
      <c r="L59" s="2">
        <v>0</v>
      </c>
      <c r="M59" s="2">
        <v>0</v>
      </c>
      <c r="N59" s="2">
        <v>1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1</v>
      </c>
      <c r="Y59" s="2">
        <v>0</v>
      </c>
      <c r="Z59" s="2">
        <v>0</v>
      </c>
      <c r="AA59" s="2">
        <v>0</v>
      </c>
      <c r="AB59" s="2">
        <v>1</v>
      </c>
      <c r="AC59" s="2">
        <v>0</v>
      </c>
      <c r="AD59" s="2">
        <v>0</v>
      </c>
      <c r="AE59"/>
    </row>
    <row r="60" spans="1:31" x14ac:dyDescent="0.25">
      <c r="A60" s="2" t="s">
        <v>23</v>
      </c>
      <c r="B60" s="2" t="s">
        <v>85</v>
      </c>
      <c r="C60" s="2" t="s">
        <v>84</v>
      </c>
      <c r="D60" s="2" t="s">
        <v>92</v>
      </c>
      <c r="E60" s="2" t="s">
        <v>91</v>
      </c>
      <c r="F60" s="2" t="s">
        <v>1814</v>
      </c>
      <c r="G60" s="2" t="s">
        <v>1813</v>
      </c>
      <c r="H60" s="2" t="s">
        <v>2400</v>
      </c>
      <c r="I60" s="2" t="s">
        <v>2401</v>
      </c>
      <c r="J60" s="2" t="s">
        <v>2074</v>
      </c>
      <c r="K60" s="2">
        <v>0</v>
      </c>
      <c r="L60" s="2">
        <v>0</v>
      </c>
      <c r="M60" s="2">
        <v>0</v>
      </c>
      <c r="N60" s="2">
        <v>1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/>
    </row>
    <row r="61" spans="1:31" x14ac:dyDescent="0.25">
      <c r="A61" s="2" t="s">
        <v>23</v>
      </c>
      <c r="B61" s="2" t="s">
        <v>85</v>
      </c>
      <c r="C61" s="2" t="s">
        <v>84</v>
      </c>
      <c r="D61" s="2" t="s">
        <v>92</v>
      </c>
      <c r="E61" s="2" t="s">
        <v>91</v>
      </c>
      <c r="F61" s="2" t="s">
        <v>2030</v>
      </c>
      <c r="G61" s="2" t="s">
        <v>2029</v>
      </c>
      <c r="H61" s="2" t="s">
        <v>2422</v>
      </c>
      <c r="I61" s="2" t="s">
        <v>2423</v>
      </c>
      <c r="J61" s="2" t="s">
        <v>2074</v>
      </c>
      <c r="K61" s="2">
        <v>0</v>
      </c>
      <c r="L61" s="2">
        <v>0</v>
      </c>
      <c r="M61" s="2">
        <v>1</v>
      </c>
      <c r="N61" s="2">
        <v>1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1</v>
      </c>
      <c r="AE61"/>
    </row>
    <row r="62" spans="1:31" x14ac:dyDescent="0.25">
      <c r="A62" s="2" t="s">
        <v>23</v>
      </c>
      <c r="B62" s="2" t="s">
        <v>24</v>
      </c>
      <c r="C62" s="2" t="s">
        <v>25</v>
      </c>
      <c r="D62" s="2" t="s">
        <v>26</v>
      </c>
      <c r="E62" s="2" t="s">
        <v>27</v>
      </c>
      <c r="F62" s="2" t="s">
        <v>28</v>
      </c>
      <c r="G62" s="2" t="s">
        <v>866</v>
      </c>
      <c r="H62" s="2" t="s">
        <v>2208</v>
      </c>
      <c r="I62" s="2" t="s">
        <v>2209</v>
      </c>
      <c r="J62" s="2" t="s">
        <v>3694</v>
      </c>
      <c r="K62" s="2">
        <v>0</v>
      </c>
      <c r="L62" s="2">
        <v>0</v>
      </c>
      <c r="M62" s="2">
        <v>0</v>
      </c>
      <c r="N62" s="2">
        <v>1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1</v>
      </c>
      <c r="AE62"/>
    </row>
    <row r="63" spans="1:31" x14ac:dyDescent="0.25">
      <c r="A63" s="2" t="s">
        <v>23</v>
      </c>
      <c r="B63" s="2" t="s">
        <v>24</v>
      </c>
      <c r="C63" s="2" t="s">
        <v>25</v>
      </c>
      <c r="D63" s="2" t="s">
        <v>26</v>
      </c>
      <c r="E63" s="2" t="s">
        <v>27</v>
      </c>
      <c r="F63" s="2" t="s">
        <v>38</v>
      </c>
      <c r="G63" s="2" t="s">
        <v>867</v>
      </c>
      <c r="H63" s="2" t="s">
        <v>2210</v>
      </c>
      <c r="I63" s="2" t="s">
        <v>2211</v>
      </c>
      <c r="J63" s="2" t="s">
        <v>3695</v>
      </c>
      <c r="K63" s="2">
        <v>0</v>
      </c>
      <c r="L63" s="2">
        <v>0</v>
      </c>
      <c r="M63" s="2">
        <v>0</v>
      </c>
      <c r="N63" s="2">
        <v>1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/>
    </row>
    <row r="64" spans="1:31" x14ac:dyDescent="0.25">
      <c r="A64" s="2" t="s">
        <v>23</v>
      </c>
      <c r="B64" s="2" t="s">
        <v>24</v>
      </c>
      <c r="C64" s="2" t="s">
        <v>25</v>
      </c>
      <c r="D64" s="2" t="s">
        <v>26</v>
      </c>
      <c r="E64" s="2" t="s">
        <v>27</v>
      </c>
      <c r="F64" s="2" t="s">
        <v>39</v>
      </c>
      <c r="G64" s="2" t="s">
        <v>868</v>
      </c>
      <c r="H64" s="2" t="s">
        <v>2212</v>
      </c>
      <c r="I64" s="2" t="s">
        <v>2213</v>
      </c>
      <c r="J64" s="2" t="s">
        <v>2077</v>
      </c>
      <c r="K64" s="2">
        <v>0</v>
      </c>
      <c r="L64" s="2">
        <v>0</v>
      </c>
      <c r="M64" s="2">
        <v>0</v>
      </c>
      <c r="N64" s="2">
        <v>1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1</v>
      </c>
      <c r="AE64"/>
    </row>
    <row r="65" spans="1:31" x14ac:dyDescent="0.25">
      <c r="A65" s="2" t="s">
        <v>23</v>
      </c>
      <c r="B65" s="2" t="s">
        <v>24</v>
      </c>
      <c r="C65" s="2" t="s">
        <v>25</v>
      </c>
      <c r="D65" s="2" t="s">
        <v>26</v>
      </c>
      <c r="E65" s="2" t="s">
        <v>27</v>
      </c>
      <c r="F65" s="2" t="s">
        <v>40</v>
      </c>
      <c r="G65" s="2" t="s">
        <v>869</v>
      </c>
      <c r="H65" s="2" t="s">
        <v>2214</v>
      </c>
      <c r="I65" s="2" t="s">
        <v>2215</v>
      </c>
      <c r="J65" s="2" t="s">
        <v>2077</v>
      </c>
      <c r="K65" s="2">
        <v>0</v>
      </c>
      <c r="L65" s="2">
        <v>0</v>
      </c>
      <c r="M65" s="2">
        <v>1</v>
      </c>
      <c r="N65" s="2">
        <v>2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1</v>
      </c>
      <c r="AD65" s="2">
        <v>0</v>
      </c>
      <c r="AE65"/>
    </row>
    <row r="66" spans="1:31" x14ac:dyDescent="0.25">
      <c r="A66" s="2" t="s">
        <v>23</v>
      </c>
      <c r="B66" s="2" t="s">
        <v>24</v>
      </c>
      <c r="C66" s="2" t="s">
        <v>25</v>
      </c>
      <c r="D66" s="2" t="s">
        <v>26</v>
      </c>
      <c r="E66" s="2" t="s">
        <v>27</v>
      </c>
      <c r="F66" s="2" t="s">
        <v>41</v>
      </c>
      <c r="G66" s="2" t="s">
        <v>870</v>
      </c>
      <c r="H66" s="2" t="s">
        <v>2216</v>
      </c>
      <c r="I66" s="2" t="s">
        <v>2217</v>
      </c>
      <c r="J66" s="2" t="s">
        <v>2077</v>
      </c>
      <c r="K66" s="2">
        <v>0</v>
      </c>
      <c r="L66" s="2">
        <v>0</v>
      </c>
      <c r="M66" s="2">
        <v>1</v>
      </c>
      <c r="N66" s="2">
        <v>1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/>
    </row>
    <row r="67" spans="1:31" x14ac:dyDescent="0.25">
      <c r="A67" s="2" t="s">
        <v>23</v>
      </c>
      <c r="B67" s="2" t="s">
        <v>24</v>
      </c>
      <c r="C67" s="2" t="s">
        <v>25</v>
      </c>
      <c r="D67" s="2" t="s">
        <v>26</v>
      </c>
      <c r="E67" s="2" t="s">
        <v>27</v>
      </c>
      <c r="F67" s="2" t="s">
        <v>43</v>
      </c>
      <c r="G67" s="2" t="s">
        <v>871</v>
      </c>
      <c r="H67" s="2" t="s">
        <v>2218</v>
      </c>
      <c r="I67" s="2" t="s">
        <v>2219</v>
      </c>
      <c r="J67" s="2" t="s">
        <v>2075</v>
      </c>
      <c r="K67" s="2">
        <v>0</v>
      </c>
      <c r="L67" s="2">
        <v>0</v>
      </c>
      <c r="M67" s="2">
        <v>0</v>
      </c>
      <c r="N67" s="2">
        <v>1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1</v>
      </c>
      <c r="AE67"/>
    </row>
    <row r="68" spans="1:31" x14ac:dyDescent="0.25">
      <c r="A68" s="2" t="s">
        <v>23</v>
      </c>
      <c r="B68" s="2" t="s">
        <v>184</v>
      </c>
      <c r="C68" s="2" t="s">
        <v>183</v>
      </c>
      <c r="D68" s="2" t="s">
        <v>471</v>
      </c>
      <c r="E68" s="2" t="s">
        <v>472</v>
      </c>
      <c r="F68" s="2" t="s">
        <v>473</v>
      </c>
      <c r="G68" s="2" t="s">
        <v>1323</v>
      </c>
      <c r="H68" s="2" t="s">
        <v>3204</v>
      </c>
      <c r="I68" s="2" t="s">
        <v>3205</v>
      </c>
      <c r="J68" s="2" t="s">
        <v>2074</v>
      </c>
      <c r="K68" s="2">
        <v>0</v>
      </c>
      <c r="L68" s="2">
        <v>0</v>
      </c>
      <c r="M68" s="2">
        <v>0</v>
      </c>
      <c r="N68" s="2">
        <v>1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1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/>
    </row>
    <row r="69" spans="1:31" x14ac:dyDescent="0.25">
      <c r="A69" s="2" t="s">
        <v>23</v>
      </c>
      <c r="B69" s="2" t="s">
        <v>184</v>
      </c>
      <c r="C69" s="2" t="s">
        <v>183</v>
      </c>
      <c r="D69" s="2" t="s">
        <v>471</v>
      </c>
      <c r="E69" s="2" t="s">
        <v>472</v>
      </c>
      <c r="F69" s="2" t="s">
        <v>474</v>
      </c>
      <c r="G69" s="2" t="s">
        <v>1324</v>
      </c>
      <c r="H69" s="2" t="s">
        <v>3206</v>
      </c>
      <c r="I69" s="2" t="s">
        <v>3207</v>
      </c>
      <c r="J69" s="2" t="s">
        <v>2074</v>
      </c>
      <c r="K69" s="2">
        <v>0</v>
      </c>
      <c r="L69" s="2">
        <v>0</v>
      </c>
      <c r="M69" s="2">
        <v>0</v>
      </c>
      <c r="N69" s="2">
        <v>1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/>
    </row>
    <row r="70" spans="1:31" x14ac:dyDescent="0.25">
      <c r="A70" s="2" t="s">
        <v>23</v>
      </c>
      <c r="B70" s="2" t="s">
        <v>184</v>
      </c>
      <c r="C70" s="2" t="s">
        <v>183</v>
      </c>
      <c r="D70" s="2" t="s">
        <v>471</v>
      </c>
      <c r="E70" s="2" t="s">
        <v>472</v>
      </c>
      <c r="F70" s="2" t="s">
        <v>475</v>
      </c>
      <c r="G70" s="2" t="s">
        <v>1325</v>
      </c>
      <c r="H70" s="2" t="s">
        <v>3208</v>
      </c>
      <c r="I70" s="2" t="s">
        <v>3209</v>
      </c>
      <c r="J70" s="2" t="s">
        <v>2074</v>
      </c>
      <c r="K70" s="2">
        <v>0</v>
      </c>
      <c r="L70" s="2">
        <v>0</v>
      </c>
      <c r="M70" s="2">
        <v>0</v>
      </c>
      <c r="N70" s="2">
        <v>1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1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/>
    </row>
    <row r="71" spans="1:31" x14ac:dyDescent="0.25">
      <c r="A71" s="2" t="s">
        <v>23</v>
      </c>
      <c r="B71" s="2" t="s">
        <v>184</v>
      </c>
      <c r="C71" s="2" t="s">
        <v>183</v>
      </c>
      <c r="D71" s="2" t="s">
        <v>471</v>
      </c>
      <c r="E71" s="2" t="s">
        <v>472</v>
      </c>
      <c r="F71" s="2" t="s">
        <v>638</v>
      </c>
      <c r="G71" s="2" t="s">
        <v>1533</v>
      </c>
      <c r="H71" s="2" t="s">
        <v>3210</v>
      </c>
      <c r="I71" s="2" t="s">
        <v>3211</v>
      </c>
      <c r="J71" s="2" t="s">
        <v>3693</v>
      </c>
      <c r="K71" s="2">
        <v>0</v>
      </c>
      <c r="L71" s="2">
        <v>0</v>
      </c>
      <c r="M71" s="2">
        <v>0</v>
      </c>
      <c r="N71" s="2">
        <v>3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/>
    </row>
    <row r="72" spans="1:31" x14ac:dyDescent="0.25">
      <c r="A72" s="2" t="s">
        <v>23</v>
      </c>
      <c r="B72" s="2" t="s">
        <v>184</v>
      </c>
      <c r="C72" s="2" t="s">
        <v>183</v>
      </c>
      <c r="D72" s="2" t="s">
        <v>471</v>
      </c>
      <c r="E72" s="2" t="s">
        <v>472</v>
      </c>
      <c r="F72" s="2" t="s">
        <v>477</v>
      </c>
      <c r="G72" s="2" t="s">
        <v>1327</v>
      </c>
      <c r="H72" s="2" t="s">
        <v>3214</v>
      </c>
      <c r="I72" s="2" t="s">
        <v>3215</v>
      </c>
      <c r="J72" s="2" t="s">
        <v>2074</v>
      </c>
      <c r="K72" s="2">
        <v>0</v>
      </c>
      <c r="L72" s="2">
        <v>0</v>
      </c>
      <c r="M72" s="2">
        <v>0</v>
      </c>
      <c r="N72" s="2">
        <v>1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/>
    </row>
    <row r="73" spans="1:31" x14ac:dyDescent="0.25">
      <c r="A73" s="2" t="s">
        <v>23</v>
      </c>
      <c r="B73" s="2" t="s">
        <v>184</v>
      </c>
      <c r="C73" s="2" t="s">
        <v>183</v>
      </c>
      <c r="D73" s="2" t="s">
        <v>471</v>
      </c>
      <c r="E73" s="2" t="s">
        <v>472</v>
      </c>
      <c r="F73" s="2" t="s">
        <v>476</v>
      </c>
      <c r="G73" s="2" t="s">
        <v>1326</v>
      </c>
      <c r="H73" s="2" t="s">
        <v>3212</v>
      </c>
      <c r="I73" s="2" t="s">
        <v>3213</v>
      </c>
      <c r="J73" s="2" t="s">
        <v>2074</v>
      </c>
      <c r="K73" s="2">
        <v>0</v>
      </c>
      <c r="L73" s="2">
        <v>0</v>
      </c>
      <c r="M73" s="2">
        <v>0</v>
      </c>
      <c r="N73" s="2">
        <v>1</v>
      </c>
      <c r="O73" s="2">
        <v>1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1</v>
      </c>
      <c r="AC73" s="2">
        <v>0</v>
      </c>
      <c r="AD73" s="2">
        <v>1</v>
      </c>
      <c r="AE73"/>
    </row>
    <row r="74" spans="1:31" x14ac:dyDescent="0.25">
      <c r="A74" s="2" t="s">
        <v>23</v>
      </c>
      <c r="B74" s="2" t="s">
        <v>184</v>
      </c>
      <c r="C74" s="2" t="s">
        <v>183</v>
      </c>
      <c r="D74" s="2" t="s">
        <v>471</v>
      </c>
      <c r="E74" s="2" t="s">
        <v>472</v>
      </c>
      <c r="F74" s="2" t="s">
        <v>478</v>
      </c>
      <c r="G74" s="2" t="s">
        <v>1328</v>
      </c>
      <c r="H74" s="2" t="s">
        <v>3216</v>
      </c>
      <c r="I74" s="2" t="s">
        <v>3217</v>
      </c>
      <c r="J74" s="2" t="s">
        <v>2074</v>
      </c>
      <c r="K74" s="2">
        <v>0</v>
      </c>
      <c r="L74" s="2">
        <v>0</v>
      </c>
      <c r="M74" s="2">
        <v>0</v>
      </c>
      <c r="N74" s="2">
        <v>2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1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/>
    </row>
    <row r="75" spans="1:31" x14ac:dyDescent="0.25">
      <c r="A75" s="2" t="s">
        <v>23</v>
      </c>
      <c r="B75" s="2" t="s">
        <v>184</v>
      </c>
      <c r="C75" s="2" t="s">
        <v>183</v>
      </c>
      <c r="D75" s="2" t="s">
        <v>471</v>
      </c>
      <c r="E75" s="2" t="s">
        <v>472</v>
      </c>
      <c r="F75" s="2" t="s">
        <v>479</v>
      </c>
      <c r="G75" s="2" t="s">
        <v>1329</v>
      </c>
      <c r="H75" s="2" t="s">
        <v>3218</v>
      </c>
      <c r="I75" s="2" t="s">
        <v>3219</v>
      </c>
      <c r="J75" s="2" t="s">
        <v>2074</v>
      </c>
      <c r="K75" s="2">
        <v>0</v>
      </c>
      <c r="L75" s="2">
        <v>0</v>
      </c>
      <c r="M75" s="2">
        <v>0</v>
      </c>
      <c r="N75" s="2">
        <v>1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1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/>
    </row>
    <row r="76" spans="1:31" x14ac:dyDescent="0.25">
      <c r="A76" s="2" t="s">
        <v>23</v>
      </c>
      <c r="B76" s="2" t="s">
        <v>184</v>
      </c>
      <c r="C76" s="2" t="s">
        <v>183</v>
      </c>
      <c r="D76" s="2" t="s">
        <v>471</v>
      </c>
      <c r="E76" s="2" t="s">
        <v>472</v>
      </c>
      <c r="F76" s="2" t="s">
        <v>480</v>
      </c>
      <c r="G76" s="2" t="s">
        <v>1330</v>
      </c>
      <c r="H76" s="2" t="s">
        <v>3220</v>
      </c>
      <c r="I76" s="2" t="s">
        <v>3221</v>
      </c>
      <c r="J76" s="2" t="s">
        <v>2074</v>
      </c>
      <c r="K76" s="2">
        <v>0</v>
      </c>
      <c r="L76" s="2">
        <v>0</v>
      </c>
      <c r="M76" s="2">
        <v>0</v>
      </c>
      <c r="N76" s="2">
        <v>1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/>
    </row>
    <row r="77" spans="1:31" x14ac:dyDescent="0.25">
      <c r="A77" s="2" t="s">
        <v>23</v>
      </c>
      <c r="B77" s="2" t="s">
        <v>85</v>
      </c>
      <c r="C77" s="2" t="s">
        <v>84</v>
      </c>
      <c r="D77" s="2" t="s">
        <v>173</v>
      </c>
      <c r="E77" s="2" t="s">
        <v>172</v>
      </c>
      <c r="F77" s="2" t="s">
        <v>294</v>
      </c>
      <c r="G77" s="2" t="s">
        <v>973</v>
      </c>
      <c r="H77" s="2" t="s">
        <v>2450</v>
      </c>
      <c r="I77" s="2" t="s">
        <v>2451</v>
      </c>
      <c r="J77" s="2" t="s">
        <v>2074</v>
      </c>
      <c r="K77" s="2">
        <v>0</v>
      </c>
      <c r="L77" s="2">
        <v>0</v>
      </c>
      <c r="M77" s="2">
        <v>0</v>
      </c>
      <c r="N77" s="2">
        <v>2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2</v>
      </c>
      <c r="Y77" s="2">
        <v>2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/>
    </row>
    <row r="78" spans="1:31" x14ac:dyDescent="0.25">
      <c r="A78" s="2" t="s">
        <v>23</v>
      </c>
      <c r="B78" s="2" t="s">
        <v>85</v>
      </c>
      <c r="C78" s="2" t="s">
        <v>84</v>
      </c>
      <c r="D78" s="2" t="s">
        <v>173</v>
      </c>
      <c r="E78" s="2" t="s">
        <v>172</v>
      </c>
      <c r="F78" s="2" t="s">
        <v>295</v>
      </c>
      <c r="G78" s="2" t="s">
        <v>974</v>
      </c>
      <c r="H78" s="2" t="s">
        <v>2452</v>
      </c>
      <c r="I78" s="2" t="s">
        <v>2453</v>
      </c>
      <c r="J78" s="2" t="s">
        <v>2074</v>
      </c>
      <c r="K78" s="2">
        <v>0</v>
      </c>
      <c r="L78" s="2">
        <v>1</v>
      </c>
      <c r="M78" s="2">
        <v>0</v>
      </c>
      <c r="N78" s="2">
        <v>2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1</v>
      </c>
      <c r="W78" s="2">
        <v>2</v>
      </c>
      <c r="X78" s="2">
        <v>2</v>
      </c>
      <c r="Y78" s="2">
        <v>2</v>
      </c>
      <c r="Z78" s="2">
        <v>0</v>
      </c>
      <c r="AA78" s="2">
        <v>0</v>
      </c>
      <c r="AB78" s="2">
        <v>0</v>
      </c>
      <c r="AC78" s="2">
        <v>0</v>
      </c>
      <c r="AD78" s="2">
        <v>1</v>
      </c>
      <c r="AE78"/>
    </row>
    <row r="79" spans="1:31" x14ac:dyDescent="0.25">
      <c r="A79" s="2" t="s">
        <v>23</v>
      </c>
      <c r="B79" s="2" t="s">
        <v>85</v>
      </c>
      <c r="C79" s="2" t="s">
        <v>84</v>
      </c>
      <c r="D79" s="2" t="s">
        <v>173</v>
      </c>
      <c r="E79" s="2" t="s">
        <v>172</v>
      </c>
      <c r="F79" s="2" t="s">
        <v>296</v>
      </c>
      <c r="G79" s="2" t="s">
        <v>975</v>
      </c>
      <c r="H79" s="2" t="s">
        <v>2454</v>
      </c>
      <c r="I79" s="2" t="s">
        <v>2455</v>
      </c>
      <c r="J79" s="2" t="s">
        <v>2074</v>
      </c>
      <c r="K79" s="2">
        <v>0</v>
      </c>
      <c r="L79" s="2">
        <v>0</v>
      </c>
      <c r="M79" s="2">
        <v>0</v>
      </c>
      <c r="N79" s="2">
        <v>2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/>
    </row>
    <row r="80" spans="1:31" x14ac:dyDescent="0.25">
      <c r="A80" s="2" t="s">
        <v>23</v>
      </c>
      <c r="B80" s="2" t="s">
        <v>85</v>
      </c>
      <c r="C80" s="2" t="s">
        <v>84</v>
      </c>
      <c r="D80" s="2" t="s">
        <v>173</v>
      </c>
      <c r="E80" s="2" t="s">
        <v>172</v>
      </c>
      <c r="F80" s="2" t="s">
        <v>318</v>
      </c>
      <c r="G80" s="2" t="s">
        <v>1002</v>
      </c>
      <c r="H80" s="2" t="s">
        <v>2508</v>
      </c>
      <c r="I80" s="2" t="s">
        <v>2509</v>
      </c>
      <c r="J80" s="2" t="s">
        <v>2074</v>
      </c>
      <c r="K80" s="2">
        <v>0</v>
      </c>
      <c r="L80" s="2">
        <v>0</v>
      </c>
      <c r="M80" s="2">
        <v>0</v>
      </c>
      <c r="N80" s="2">
        <v>2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1</v>
      </c>
      <c r="AD80" s="2">
        <v>1</v>
      </c>
      <c r="AE80"/>
    </row>
    <row r="81" spans="1:31" x14ac:dyDescent="0.25">
      <c r="A81" s="2" t="s">
        <v>23</v>
      </c>
      <c r="B81" s="2" t="s">
        <v>85</v>
      </c>
      <c r="C81" s="2" t="s">
        <v>84</v>
      </c>
      <c r="D81" s="2" t="s">
        <v>173</v>
      </c>
      <c r="E81" s="2" t="s">
        <v>172</v>
      </c>
      <c r="F81" s="2" t="s">
        <v>297</v>
      </c>
      <c r="G81" s="2" t="s">
        <v>976</v>
      </c>
      <c r="H81" s="2" t="s">
        <v>2456</v>
      </c>
      <c r="I81" s="2" t="s">
        <v>2457</v>
      </c>
      <c r="J81" s="2" t="s">
        <v>2074</v>
      </c>
      <c r="K81" s="2">
        <v>0</v>
      </c>
      <c r="L81" s="2">
        <v>0</v>
      </c>
      <c r="M81" s="2">
        <v>0</v>
      </c>
      <c r="N81" s="2">
        <v>2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2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/>
    </row>
    <row r="82" spans="1:31" x14ac:dyDescent="0.25">
      <c r="A82" s="2" t="s">
        <v>23</v>
      </c>
      <c r="B82" s="2" t="s">
        <v>85</v>
      </c>
      <c r="C82" s="2" t="s">
        <v>84</v>
      </c>
      <c r="D82" s="2" t="s">
        <v>173</v>
      </c>
      <c r="E82" s="2" t="s">
        <v>172</v>
      </c>
      <c r="F82" s="2" t="s">
        <v>299</v>
      </c>
      <c r="G82" s="2" t="s">
        <v>978</v>
      </c>
      <c r="H82" s="2" t="s">
        <v>2460</v>
      </c>
      <c r="I82" s="2" t="s">
        <v>2461</v>
      </c>
      <c r="J82" s="2" t="s">
        <v>2074</v>
      </c>
      <c r="K82" s="2">
        <v>0</v>
      </c>
      <c r="L82" s="2">
        <v>1</v>
      </c>
      <c r="M82" s="2">
        <v>0</v>
      </c>
      <c r="N82" s="2">
        <v>2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2</v>
      </c>
      <c r="X82" s="2">
        <v>2</v>
      </c>
      <c r="Y82" s="2">
        <v>2</v>
      </c>
      <c r="Z82" s="2">
        <v>1</v>
      </c>
      <c r="AA82" s="2">
        <v>0</v>
      </c>
      <c r="AB82" s="2">
        <v>0</v>
      </c>
      <c r="AC82" s="2">
        <v>0</v>
      </c>
      <c r="AD82" s="2">
        <v>1</v>
      </c>
      <c r="AE82"/>
    </row>
    <row r="83" spans="1:31" x14ac:dyDescent="0.25">
      <c r="A83" s="2" t="s">
        <v>23</v>
      </c>
      <c r="B83" s="2" t="s">
        <v>85</v>
      </c>
      <c r="C83" s="2" t="s">
        <v>84</v>
      </c>
      <c r="D83" s="2" t="s">
        <v>173</v>
      </c>
      <c r="E83" s="2" t="s">
        <v>172</v>
      </c>
      <c r="F83" s="2" t="s">
        <v>300</v>
      </c>
      <c r="G83" s="2" t="s">
        <v>979</v>
      </c>
      <c r="H83" s="2" t="s">
        <v>2462</v>
      </c>
      <c r="I83" s="2" t="s">
        <v>2463</v>
      </c>
      <c r="J83" s="2" t="s">
        <v>3693</v>
      </c>
      <c r="K83" s="2">
        <v>0</v>
      </c>
      <c r="L83" s="2">
        <v>1</v>
      </c>
      <c r="M83" s="2">
        <v>0</v>
      </c>
      <c r="N83" s="2">
        <v>2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2</v>
      </c>
      <c r="X83" s="2">
        <v>2</v>
      </c>
      <c r="Y83" s="2">
        <v>2</v>
      </c>
      <c r="Z83" s="2">
        <v>0</v>
      </c>
      <c r="AA83" s="2">
        <v>0</v>
      </c>
      <c r="AB83" s="2">
        <v>0</v>
      </c>
      <c r="AC83" s="2">
        <v>1</v>
      </c>
      <c r="AD83" s="2">
        <v>1</v>
      </c>
      <c r="AE83"/>
    </row>
    <row r="84" spans="1:31" x14ac:dyDescent="0.25">
      <c r="A84" s="2" t="s">
        <v>23</v>
      </c>
      <c r="B84" s="2" t="s">
        <v>85</v>
      </c>
      <c r="C84" s="2" t="s">
        <v>84</v>
      </c>
      <c r="D84" s="2" t="s">
        <v>173</v>
      </c>
      <c r="E84" s="2" t="s">
        <v>172</v>
      </c>
      <c r="F84" s="2" t="s">
        <v>301</v>
      </c>
      <c r="G84" s="2" t="s">
        <v>980</v>
      </c>
      <c r="H84" s="2" t="s">
        <v>2464</v>
      </c>
      <c r="I84" s="2" t="s">
        <v>2465</v>
      </c>
      <c r="J84" s="2" t="s">
        <v>2074</v>
      </c>
      <c r="K84" s="2">
        <v>0</v>
      </c>
      <c r="L84" s="2">
        <v>0</v>
      </c>
      <c r="M84" s="2">
        <v>0</v>
      </c>
      <c r="N84" s="2">
        <v>2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1</v>
      </c>
      <c r="AD84" s="2">
        <v>0</v>
      </c>
      <c r="AE84"/>
    </row>
    <row r="85" spans="1:31" x14ac:dyDescent="0.25">
      <c r="A85" s="2" t="s">
        <v>23</v>
      </c>
      <c r="B85" s="2" t="s">
        <v>85</v>
      </c>
      <c r="C85" s="2" t="s">
        <v>84</v>
      </c>
      <c r="D85" s="2" t="s">
        <v>173</v>
      </c>
      <c r="E85" s="2" t="s">
        <v>172</v>
      </c>
      <c r="F85" s="2" t="s">
        <v>302</v>
      </c>
      <c r="G85" s="2" t="s">
        <v>981</v>
      </c>
      <c r="H85" s="2" t="s">
        <v>2466</v>
      </c>
      <c r="I85" s="2" t="s">
        <v>2467</v>
      </c>
      <c r="J85" s="2" t="s">
        <v>2074</v>
      </c>
      <c r="K85" s="2">
        <v>0</v>
      </c>
      <c r="L85" s="2">
        <v>0</v>
      </c>
      <c r="M85" s="2">
        <v>0</v>
      </c>
      <c r="N85" s="2">
        <v>2</v>
      </c>
      <c r="O85" s="2">
        <v>0</v>
      </c>
      <c r="P85" s="2">
        <v>0</v>
      </c>
      <c r="Q85" s="2">
        <v>0</v>
      </c>
      <c r="R85" s="2">
        <v>0</v>
      </c>
      <c r="S85" s="2">
        <v>1</v>
      </c>
      <c r="T85" s="2">
        <v>0</v>
      </c>
      <c r="U85" s="2">
        <v>0</v>
      </c>
      <c r="V85" s="2">
        <v>0</v>
      </c>
      <c r="W85" s="2">
        <v>2</v>
      </c>
      <c r="X85" s="2">
        <v>2</v>
      </c>
      <c r="Y85" s="2">
        <v>2</v>
      </c>
      <c r="Z85" s="2">
        <v>0</v>
      </c>
      <c r="AA85" s="2">
        <v>0</v>
      </c>
      <c r="AB85" s="2">
        <v>0</v>
      </c>
      <c r="AC85" s="2">
        <v>1</v>
      </c>
      <c r="AD85" s="2">
        <v>0</v>
      </c>
      <c r="AE85"/>
    </row>
    <row r="86" spans="1:31" x14ac:dyDescent="0.25">
      <c r="A86" s="2" t="s">
        <v>23</v>
      </c>
      <c r="B86" s="2" t="s">
        <v>85</v>
      </c>
      <c r="C86" s="2" t="s">
        <v>84</v>
      </c>
      <c r="D86" s="2" t="s">
        <v>173</v>
      </c>
      <c r="E86" s="2" t="s">
        <v>172</v>
      </c>
      <c r="F86" s="2" t="s">
        <v>303</v>
      </c>
      <c r="G86" s="2" t="s">
        <v>984</v>
      </c>
      <c r="H86" s="2" t="s">
        <v>2472</v>
      </c>
      <c r="I86" s="2" t="s">
        <v>2473</v>
      </c>
      <c r="J86" s="2" t="s">
        <v>2074</v>
      </c>
      <c r="K86" s="2">
        <v>0</v>
      </c>
      <c r="L86" s="2">
        <v>1</v>
      </c>
      <c r="M86" s="2">
        <v>0</v>
      </c>
      <c r="N86" s="2">
        <v>2</v>
      </c>
      <c r="O86" s="2">
        <v>0</v>
      </c>
      <c r="P86" s="2">
        <v>0</v>
      </c>
      <c r="Q86" s="2">
        <v>0</v>
      </c>
      <c r="R86" s="2">
        <v>1</v>
      </c>
      <c r="S86" s="2">
        <v>0</v>
      </c>
      <c r="T86" s="2">
        <v>0</v>
      </c>
      <c r="U86" s="2">
        <v>0</v>
      </c>
      <c r="V86" s="2">
        <v>0</v>
      </c>
      <c r="W86" s="2">
        <v>2</v>
      </c>
      <c r="X86" s="2">
        <v>2</v>
      </c>
      <c r="Y86" s="2">
        <v>2</v>
      </c>
      <c r="Z86" s="2">
        <v>0</v>
      </c>
      <c r="AA86" s="2">
        <v>0</v>
      </c>
      <c r="AB86" s="2">
        <v>0</v>
      </c>
      <c r="AC86" s="2">
        <v>0</v>
      </c>
      <c r="AD86" s="2">
        <v>1</v>
      </c>
      <c r="AE86"/>
    </row>
    <row r="87" spans="1:31" x14ac:dyDescent="0.25">
      <c r="A87" s="2" t="s">
        <v>23</v>
      </c>
      <c r="B87" s="2" t="s">
        <v>85</v>
      </c>
      <c r="C87" s="2" t="s">
        <v>84</v>
      </c>
      <c r="D87" s="2" t="s">
        <v>173</v>
      </c>
      <c r="E87" s="2" t="s">
        <v>172</v>
      </c>
      <c r="F87" s="2" t="s">
        <v>304</v>
      </c>
      <c r="G87" s="2" t="s">
        <v>985</v>
      </c>
      <c r="H87" s="2" t="s">
        <v>2474</v>
      </c>
      <c r="I87" s="2" t="s">
        <v>2475</v>
      </c>
      <c r="J87" s="2" t="s">
        <v>2074</v>
      </c>
      <c r="K87" s="2">
        <v>0</v>
      </c>
      <c r="L87" s="2">
        <v>0</v>
      </c>
      <c r="M87" s="2">
        <v>0</v>
      </c>
      <c r="N87" s="2">
        <v>2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2</v>
      </c>
      <c r="Y87" s="2">
        <v>2</v>
      </c>
      <c r="Z87" s="2">
        <v>0</v>
      </c>
      <c r="AA87" s="2">
        <v>0</v>
      </c>
      <c r="AB87" s="2">
        <v>0</v>
      </c>
      <c r="AC87" s="2">
        <v>1</v>
      </c>
      <c r="AD87" s="2">
        <v>0</v>
      </c>
      <c r="AE87"/>
    </row>
    <row r="88" spans="1:31" x14ac:dyDescent="0.25">
      <c r="A88" s="2" t="s">
        <v>23</v>
      </c>
      <c r="B88" s="2" t="s">
        <v>85</v>
      </c>
      <c r="C88" s="2" t="s">
        <v>84</v>
      </c>
      <c r="D88" s="2" t="s">
        <v>173</v>
      </c>
      <c r="E88" s="2" t="s">
        <v>172</v>
      </c>
      <c r="F88" s="2" t="s">
        <v>305</v>
      </c>
      <c r="G88" s="2" t="s">
        <v>987</v>
      </c>
      <c r="H88" s="2" t="s">
        <v>2478</v>
      </c>
      <c r="I88" s="2" t="s">
        <v>2479</v>
      </c>
      <c r="J88" s="2" t="s">
        <v>3693</v>
      </c>
      <c r="K88" s="2">
        <v>0</v>
      </c>
      <c r="L88" s="2">
        <v>0</v>
      </c>
      <c r="M88" s="2">
        <v>0</v>
      </c>
      <c r="N88" s="2">
        <v>2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1</v>
      </c>
      <c r="AE88"/>
    </row>
    <row r="89" spans="1:31" x14ac:dyDescent="0.25">
      <c r="A89" s="2" t="s">
        <v>23</v>
      </c>
      <c r="B89" s="2" t="s">
        <v>85</v>
      </c>
      <c r="C89" s="2" t="s">
        <v>84</v>
      </c>
      <c r="D89" s="2" t="s">
        <v>173</v>
      </c>
      <c r="E89" s="2" t="s">
        <v>172</v>
      </c>
      <c r="F89" s="2" t="s">
        <v>306</v>
      </c>
      <c r="G89" s="2" t="s">
        <v>988</v>
      </c>
      <c r="H89" s="2" t="s">
        <v>2480</v>
      </c>
      <c r="I89" s="2" t="s">
        <v>2481</v>
      </c>
      <c r="J89" s="2" t="s">
        <v>2074</v>
      </c>
      <c r="K89" s="2">
        <v>0</v>
      </c>
      <c r="L89" s="2">
        <v>0</v>
      </c>
      <c r="M89" s="2">
        <v>0</v>
      </c>
      <c r="N89" s="2">
        <v>3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1</v>
      </c>
      <c r="V89" s="2">
        <v>0</v>
      </c>
      <c r="W89" s="2">
        <v>3</v>
      </c>
      <c r="X89" s="2">
        <v>3</v>
      </c>
      <c r="Y89" s="2">
        <v>3</v>
      </c>
      <c r="Z89" s="2">
        <v>0</v>
      </c>
      <c r="AA89" s="2">
        <v>0</v>
      </c>
      <c r="AB89" s="2">
        <v>0</v>
      </c>
      <c r="AC89" s="2">
        <v>1</v>
      </c>
      <c r="AD89" s="2">
        <v>0</v>
      </c>
      <c r="AE89"/>
    </row>
    <row r="90" spans="1:31" x14ac:dyDescent="0.25">
      <c r="A90" s="2" t="s">
        <v>23</v>
      </c>
      <c r="B90" s="2" t="s">
        <v>85</v>
      </c>
      <c r="C90" s="2" t="s">
        <v>84</v>
      </c>
      <c r="D90" s="2" t="s">
        <v>173</v>
      </c>
      <c r="E90" s="2" t="s">
        <v>172</v>
      </c>
      <c r="F90" s="2" t="s">
        <v>307</v>
      </c>
      <c r="G90" s="2" t="s">
        <v>989</v>
      </c>
      <c r="H90" s="2" t="s">
        <v>2482</v>
      </c>
      <c r="I90" s="2" t="s">
        <v>2483</v>
      </c>
      <c r="J90" s="2" t="s">
        <v>2074</v>
      </c>
      <c r="K90" s="2">
        <v>0</v>
      </c>
      <c r="L90" s="2">
        <v>0</v>
      </c>
      <c r="M90" s="2">
        <v>0</v>
      </c>
      <c r="N90" s="2">
        <v>2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2</v>
      </c>
      <c r="X90" s="2">
        <v>2</v>
      </c>
      <c r="Y90" s="2">
        <v>1</v>
      </c>
      <c r="Z90" s="2">
        <v>0</v>
      </c>
      <c r="AA90" s="2">
        <v>0</v>
      </c>
      <c r="AB90" s="2">
        <v>0</v>
      </c>
      <c r="AC90" s="2">
        <v>1</v>
      </c>
      <c r="AD90" s="2">
        <v>1</v>
      </c>
      <c r="AE90"/>
    </row>
    <row r="91" spans="1:31" x14ac:dyDescent="0.25">
      <c r="A91" s="2" t="s">
        <v>23</v>
      </c>
      <c r="B91" s="2" t="s">
        <v>85</v>
      </c>
      <c r="C91" s="2" t="s">
        <v>84</v>
      </c>
      <c r="D91" s="2" t="s">
        <v>173</v>
      </c>
      <c r="E91" s="2" t="s">
        <v>172</v>
      </c>
      <c r="F91" s="2" t="s">
        <v>308</v>
      </c>
      <c r="G91" s="2" t="s">
        <v>991</v>
      </c>
      <c r="H91" s="2" t="s">
        <v>2486</v>
      </c>
      <c r="I91" s="2" t="s">
        <v>2487</v>
      </c>
      <c r="J91" s="2" t="s">
        <v>2074</v>
      </c>
      <c r="K91" s="2">
        <v>0</v>
      </c>
      <c r="L91" s="2">
        <v>0</v>
      </c>
      <c r="M91" s="2">
        <v>0</v>
      </c>
      <c r="N91" s="2">
        <v>2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2</v>
      </c>
      <c r="Y91" s="2">
        <v>2</v>
      </c>
      <c r="Z91" s="2">
        <v>0</v>
      </c>
      <c r="AA91" s="2">
        <v>0</v>
      </c>
      <c r="AB91" s="2">
        <v>0</v>
      </c>
      <c r="AC91" s="2">
        <v>1</v>
      </c>
      <c r="AD91" s="2">
        <v>0</v>
      </c>
      <c r="AE91"/>
    </row>
    <row r="92" spans="1:31" x14ac:dyDescent="0.25">
      <c r="A92" s="2" t="s">
        <v>23</v>
      </c>
      <c r="B92" s="2" t="s">
        <v>85</v>
      </c>
      <c r="C92" s="2" t="s">
        <v>84</v>
      </c>
      <c r="D92" s="2" t="s">
        <v>173</v>
      </c>
      <c r="E92" s="2" t="s">
        <v>172</v>
      </c>
      <c r="F92" s="2" t="s">
        <v>309</v>
      </c>
      <c r="G92" s="2" t="s">
        <v>992</v>
      </c>
      <c r="H92" s="2" t="s">
        <v>2488</v>
      </c>
      <c r="I92" s="2" t="s">
        <v>2489</v>
      </c>
      <c r="J92" s="2" t="s">
        <v>2074</v>
      </c>
      <c r="K92" s="2">
        <v>0</v>
      </c>
      <c r="L92" s="2">
        <v>0</v>
      </c>
      <c r="M92" s="2">
        <v>0</v>
      </c>
      <c r="N92" s="2">
        <v>2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1</v>
      </c>
      <c r="AD92" s="2">
        <v>0</v>
      </c>
      <c r="AE92"/>
    </row>
    <row r="93" spans="1:31" x14ac:dyDescent="0.25">
      <c r="A93" s="2" t="s">
        <v>23</v>
      </c>
      <c r="B93" s="2" t="s">
        <v>85</v>
      </c>
      <c r="C93" s="2" t="s">
        <v>84</v>
      </c>
      <c r="D93" s="2" t="s">
        <v>173</v>
      </c>
      <c r="E93" s="2" t="s">
        <v>172</v>
      </c>
      <c r="F93" s="2" t="s">
        <v>311</v>
      </c>
      <c r="G93" s="2" t="s">
        <v>994</v>
      </c>
      <c r="H93" s="2" t="s">
        <v>2492</v>
      </c>
      <c r="I93" s="2" t="s">
        <v>2493</v>
      </c>
      <c r="J93" s="2" t="s">
        <v>2074</v>
      </c>
      <c r="K93" s="2">
        <v>0</v>
      </c>
      <c r="L93" s="2">
        <v>0</v>
      </c>
      <c r="M93" s="2">
        <v>0</v>
      </c>
      <c r="N93" s="2">
        <v>2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1</v>
      </c>
      <c r="X93" s="2">
        <v>2</v>
      </c>
      <c r="Y93" s="2">
        <v>2</v>
      </c>
      <c r="Z93" s="2">
        <v>1</v>
      </c>
      <c r="AA93" s="2">
        <v>0</v>
      </c>
      <c r="AB93" s="2">
        <v>0</v>
      </c>
      <c r="AC93" s="2">
        <v>0</v>
      </c>
      <c r="AD93" s="2">
        <v>0</v>
      </c>
      <c r="AE93"/>
    </row>
    <row r="94" spans="1:31" x14ac:dyDescent="0.25">
      <c r="A94" s="2" t="s">
        <v>23</v>
      </c>
      <c r="B94" s="2" t="s">
        <v>85</v>
      </c>
      <c r="C94" s="2" t="s">
        <v>84</v>
      </c>
      <c r="D94" s="2" t="s">
        <v>173</v>
      </c>
      <c r="E94" s="2" t="s">
        <v>172</v>
      </c>
      <c r="F94" s="2" t="s">
        <v>312</v>
      </c>
      <c r="G94" s="2" t="s">
        <v>995</v>
      </c>
      <c r="H94" s="2" t="s">
        <v>2494</v>
      </c>
      <c r="I94" s="2" t="s">
        <v>2495</v>
      </c>
      <c r="J94" s="2" t="s">
        <v>3693</v>
      </c>
      <c r="K94" s="2">
        <v>0</v>
      </c>
      <c r="L94" s="2">
        <v>1</v>
      </c>
      <c r="M94" s="2">
        <v>0</v>
      </c>
      <c r="N94" s="2">
        <v>2</v>
      </c>
      <c r="O94" s="2">
        <v>0</v>
      </c>
      <c r="P94" s="2">
        <v>0</v>
      </c>
      <c r="Q94" s="2">
        <v>0</v>
      </c>
      <c r="R94" s="2">
        <v>0</v>
      </c>
      <c r="S94" s="2">
        <v>1</v>
      </c>
      <c r="T94" s="2">
        <v>0</v>
      </c>
      <c r="U94" s="2">
        <v>0</v>
      </c>
      <c r="V94" s="2">
        <v>0</v>
      </c>
      <c r="W94" s="2">
        <v>2</v>
      </c>
      <c r="X94" s="2">
        <v>2</v>
      </c>
      <c r="Y94" s="2">
        <v>2</v>
      </c>
      <c r="Z94" s="2">
        <v>0</v>
      </c>
      <c r="AA94" s="2">
        <v>0</v>
      </c>
      <c r="AB94" s="2">
        <v>0</v>
      </c>
      <c r="AC94" s="2">
        <v>2</v>
      </c>
      <c r="AD94" s="2">
        <v>1</v>
      </c>
      <c r="AE94"/>
    </row>
    <row r="95" spans="1:31" x14ac:dyDescent="0.25">
      <c r="A95" s="2" t="s">
        <v>23</v>
      </c>
      <c r="B95" s="2" t="s">
        <v>85</v>
      </c>
      <c r="C95" s="2" t="s">
        <v>84</v>
      </c>
      <c r="D95" s="2" t="s">
        <v>173</v>
      </c>
      <c r="E95" s="2" t="s">
        <v>172</v>
      </c>
      <c r="F95" s="2" t="s">
        <v>313</v>
      </c>
      <c r="G95" s="2" t="s">
        <v>996</v>
      </c>
      <c r="H95" s="2" t="s">
        <v>2496</v>
      </c>
      <c r="I95" s="2" t="s">
        <v>2497</v>
      </c>
      <c r="J95" s="2" t="s">
        <v>2074</v>
      </c>
      <c r="K95" s="2">
        <v>0</v>
      </c>
      <c r="L95" s="2">
        <v>1</v>
      </c>
      <c r="M95" s="2">
        <v>0</v>
      </c>
      <c r="N95" s="2">
        <v>2</v>
      </c>
      <c r="O95" s="2">
        <v>0</v>
      </c>
      <c r="P95" s="2">
        <v>0</v>
      </c>
      <c r="Q95" s="2">
        <v>0</v>
      </c>
      <c r="R95" s="2">
        <v>0</v>
      </c>
      <c r="S95" s="2">
        <v>1</v>
      </c>
      <c r="T95" s="2">
        <v>0</v>
      </c>
      <c r="U95" s="2">
        <v>0</v>
      </c>
      <c r="V95" s="2">
        <v>0</v>
      </c>
      <c r="W95" s="2">
        <v>2</v>
      </c>
      <c r="X95" s="2">
        <v>2</v>
      </c>
      <c r="Y95" s="2">
        <v>2</v>
      </c>
      <c r="Z95" s="2">
        <v>0</v>
      </c>
      <c r="AA95" s="2">
        <v>0</v>
      </c>
      <c r="AB95" s="2">
        <v>0</v>
      </c>
      <c r="AC95" s="2">
        <v>0</v>
      </c>
      <c r="AD95" s="2">
        <v>1</v>
      </c>
      <c r="AE95"/>
    </row>
    <row r="96" spans="1:31" x14ac:dyDescent="0.25">
      <c r="A96" s="2" t="s">
        <v>23</v>
      </c>
      <c r="B96" s="2" t="s">
        <v>85</v>
      </c>
      <c r="C96" s="2" t="s">
        <v>84</v>
      </c>
      <c r="D96" s="2" t="s">
        <v>173</v>
      </c>
      <c r="E96" s="2" t="s">
        <v>172</v>
      </c>
      <c r="F96" s="2" t="s">
        <v>314</v>
      </c>
      <c r="G96" s="2" t="s">
        <v>997</v>
      </c>
      <c r="H96" s="2" t="s">
        <v>2498</v>
      </c>
      <c r="I96" s="2" t="s">
        <v>2499</v>
      </c>
      <c r="J96" s="2" t="s">
        <v>3693</v>
      </c>
      <c r="K96" s="2">
        <v>0</v>
      </c>
      <c r="L96" s="2">
        <v>0</v>
      </c>
      <c r="M96" s="2">
        <v>0</v>
      </c>
      <c r="N96" s="2">
        <v>2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2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1</v>
      </c>
      <c r="AD96" s="2">
        <v>1</v>
      </c>
      <c r="AE96"/>
    </row>
    <row r="97" spans="1:31" x14ac:dyDescent="0.25">
      <c r="A97" s="2" t="s">
        <v>23</v>
      </c>
      <c r="B97" s="2" t="s">
        <v>85</v>
      </c>
      <c r="C97" s="2" t="s">
        <v>84</v>
      </c>
      <c r="D97" s="2" t="s">
        <v>173</v>
      </c>
      <c r="E97" s="2" t="s">
        <v>172</v>
      </c>
      <c r="F97" s="2" t="s">
        <v>315</v>
      </c>
      <c r="G97" s="2" t="s">
        <v>998</v>
      </c>
      <c r="H97" s="2" t="s">
        <v>2500</v>
      </c>
      <c r="I97" s="2" t="s">
        <v>2501</v>
      </c>
      <c r="J97" s="2" t="s">
        <v>2078</v>
      </c>
      <c r="K97" s="2">
        <v>0</v>
      </c>
      <c r="L97" s="2">
        <v>0</v>
      </c>
      <c r="M97" s="2">
        <v>0</v>
      </c>
      <c r="N97" s="2">
        <v>2</v>
      </c>
      <c r="O97" s="2">
        <v>0</v>
      </c>
      <c r="P97" s="2">
        <v>0</v>
      </c>
      <c r="Q97" s="2">
        <v>0</v>
      </c>
      <c r="R97" s="2">
        <v>1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2</v>
      </c>
      <c r="Y97" s="2">
        <v>2</v>
      </c>
      <c r="Z97" s="2">
        <v>0</v>
      </c>
      <c r="AA97" s="2">
        <v>0</v>
      </c>
      <c r="AB97" s="2">
        <v>0</v>
      </c>
      <c r="AC97" s="2">
        <v>1</v>
      </c>
      <c r="AD97" s="2">
        <v>0</v>
      </c>
      <c r="AE97"/>
    </row>
    <row r="98" spans="1:31" x14ac:dyDescent="0.25">
      <c r="A98" s="2" t="s">
        <v>23</v>
      </c>
      <c r="B98" s="2" t="s">
        <v>85</v>
      </c>
      <c r="C98" s="2" t="s">
        <v>84</v>
      </c>
      <c r="D98" s="2" t="s">
        <v>173</v>
      </c>
      <c r="E98" s="2" t="s">
        <v>172</v>
      </c>
      <c r="F98" s="2" t="s">
        <v>316</v>
      </c>
      <c r="G98" s="2" t="s">
        <v>999</v>
      </c>
      <c r="H98" s="2" t="s">
        <v>2502</v>
      </c>
      <c r="I98" s="2" t="s">
        <v>2503</v>
      </c>
      <c r="J98" s="2" t="s">
        <v>2074</v>
      </c>
      <c r="K98" s="2">
        <v>0</v>
      </c>
      <c r="L98" s="2">
        <v>0</v>
      </c>
      <c r="M98" s="2">
        <v>0</v>
      </c>
      <c r="N98" s="2">
        <v>2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</v>
      </c>
      <c r="AE98"/>
    </row>
    <row r="99" spans="1:31" x14ac:dyDescent="0.25">
      <c r="A99" s="2" t="s">
        <v>23</v>
      </c>
      <c r="B99" s="2" t="s">
        <v>85</v>
      </c>
      <c r="C99" s="2" t="s">
        <v>84</v>
      </c>
      <c r="D99" s="2" t="s">
        <v>173</v>
      </c>
      <c r="E99" s="2" t="s">
        <v>172</v>
      </c>
      <c r="F99" s="2" t="s">
        <v>773</v>
      </c>
      <c r="G99" s="2" t="s">
        <v>1000</v>
      </c>
      <c r="H99" s="2" t="s">
        <v>2504</v>
      </c>
      <c r="I99" s="2" t="s">
        <v>2505</v>
      </c>
      <c r="J99" s="2" t="s">
        <v>3693</v>
      </c>
      <c r="K99" s="2">
        <v>0</v>
      </c>
      <c r="L99" s="2">
        <v>0</v>
      </c>
      <c r="M99" s="2">
        <v>0</v>
      </c>
      <c r="N99" s="2">
        <v>2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/>
    </row>
    <row r="100" spans="1:31" x14ac:dyDescent="0.25">
      <c r="A100" s="2" t="s">
        <v>23</v>
      </c>
      <c r="B100" s="2" t="s">
        <v>85</v>
      </c>
      <c r="C100" s="2" t="s">
        <v>84</v>
      </c>
      <c r="D100" s="2" t="s">
        <v>173</v>
      </c>
      <c r="E100" s="2" t="s">
        <v>172</v>
      </c>
      <c r="F100" s="2" t="s">
        <v>317</v>
      </c>
      <c r="G100" s="2" t="s">
        <v>1001</v>
      </c>
      <c r="H100" s="2" t="s">
        <v>2506</v>
      </c>
      <c r="I100" s="2" t="s">
        <v>2507</v>
      </c>
      <c r="J100" s="2" t="s">
        <v>2078</v>
      </c>
      <c r="K100" s="2">
        <v>0</v>
      </c>
      <c r="L100" s="2">
        <v>0</v>
      </c>
      <c r="M100" s="2">
        <v>0</v>
      </c>
      <c r="N100" s="2">
        <v>2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/>
    </row>
    <row r="101" spans="1:31" x14ac:dyDescent="0.25">
      <c r="A101" s="2" t="s">
        <v>23</v>
      </c>
      <c r="B101" s="2" t="s">
        <v>85</v>
      </c>
      <c r="C101" s="2" t="s">
        <v>84</v>
      </c>
      <c r="D101" s="2" t="s">
        <v>173</v>
      </c>
      <c r="E101" s="2" t="s">
        <v>172</v>
      </c>
      <c r="F101" s="2" t="s">
        <v>298</v>
      </c>
      <c r="G101" s="2" t="s">
        <v>977</v>
      </c>
      <c r="H101" s="2" t="s">
        <v>2458</v>
      </c>
      <c r="I101" s="2" t="s">
        <v>2459</v>
      </c>
      <c r="J101" s="2" t="s">
        <v>3693</v>
      </c>
      <c r="K101" s="2">
        <v>0</v>
      </c>
      <c r="L101" s="2">
        <v>0</v>
      </c>
      <c r="M101" s="2">
        <v>0</v>
      </c>
      <c r="N101" s="2">
        <v>2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2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1</v>
      </c>
      <c r="AE101"/>
    </row>
    <row r="102" spans="1:31" x14ac:dyDescent="0.25">
      <c r="A102" s="2" t="s">
        <v>23</v>
      </c>
      <c r="B102" s="2" t="s">
        <v>85</v>
      </c>
      <c r="C102" s="2" t="s">
        <v>84</v>
      </c>
      <c r="D102" s="2" t="s">
        <v>173</v>
      </c>
      <c r="E102" s="2" t="s">
        <v>172</v>
      </c>
      <c r="F102" s="2" t="s">
        <v>293</v>
      </c>
      <c r="G102" s="2" t="s">
        <v>972</v>
      </c>
      <c r="H102" s="2" t="s">
        <v>2448</v>
      </c>
      <c r="I102" s="2" t="s">
        <v>2449</v>
      </c>
      <c r="J102" s="2" t="s">
        <v>2074</v>
      </c>
      <c r="K102" s="2">
        <v>0</v>
      </c>
      <c r="L102" s="2">
        <v>0</v>
      </c>
      <c r="M102" s="2">
        <v>0</v>
      </c>
      <c r="N102" s="2">
        <v>2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/>
    </row>
    <row r="103" spans="1:31" x14ac:dyDescent="0.25">
      <c r="A103" s="2" t="s">
        <v>23</v>
      </c>
      <c r="B103" s="2" t="s">
        <v>85</v>
      </c>
      <c r="C103" s="2" t="s">
        <v>84</v>
      </c>
      <c r="D103" s="2" t="s">
        <v>173</v>
      </c>
      <c r="E103" s="2" t="s">
        <v>172</v>
      </c>
      <c r="F103" s="2" t="s">
        <v>310</v>
      </c>
      <c r="G103" s="2" t="s">
        <v>993</v>
      </c>
      <c r="H103" s="2" t="s">
        <v>2490</v>
      </c>
      <c r="I103" s="2" t="s">
        <v>2491</v>
      </c>
      <c r="J103" s="2" t="s">
        <v>3693</v>
      </c>
      <c r="K103" s="2">
        <v>0</v>
      </c>
      <c r="L103" s="2">
        <v>0</v>
      </c>
      <c r="M103" s="2">
        <v>0</v>
      </c>
      <c r="N103" s="2">
        <v>2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/>
    </row>
    <row r="104" spans="1:31" x14ac:dyDescent="0.25">
      <c r="A104" s="2" t="s">
        <v>23</v>
      </c>
      <c r="B104" s="2" t="s">
        <v>85</v>
      </c>
      <c r="C104" s="2" t="s">
        <v>84</v>
      </c>
      <c r="D104" s="2" t="s">
        <v>173</v>
      </c>
      <c r="E104" s="2" t="s">
        <v>172</v>
      </c>
      <c r="F104" s="2" t="s">
        <v>697</v>
      </c>
      <c r="G104" s="2" t="s">
        <v>982</v>
      </c>
      <c r="H104" s="2" t="s">
        <v>2468</v>
      </c>
      <c r="I104" s="2" t="s">
        <v>2469</v>
      </c>
      <c r="J104" s="2" t="s">
        <v>3693</v>
      </c>
      <c r="K104" s="2">
        <v>0</v>
      </c>
      <c r="L104" s="2">
        <v>0</v>
      </c>
      <c r="M104" s="2">
        <v>0</v>
      </c>
      <c r="N104" s="2">
        <v>2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/>
    </row>
    <row r="105" spans="1:31" x14ac:dyDescent="0.25">
      <c r="A105" s="2" t="s">
        <v>23</v>
      </c>
      <c r="B105" s="2" t="s">
        <v>85</v>
      </c>
      <c r="C105" s="2" t="s">
        <v>84</v>
      </c>
      <c r="D105" s="2" t="s">
        <v>173</v>
      </c>
      <c r="E105" s="2" t="s">
        <v>172</v>
      </c>
      <c r="F105" s="2" t="s">
        <v>285</v>
      </c>
      <c r="G105" s="2" t="s">
        <v>983</v>
      </c>
      <c r="H105" s="2" t="s">
        <v>2470</v>
      </c>
      <c r="I105" s="2" t="s">
        <v>2471</v>
      </c>
      <c r="J105" s="2" t="s">
        <v>3693</v>
      </c>
      <c r="K105" s="2">
        <v>0</v>
      </c>
      <c r="L105" s="2">
        <v>0</v>
      </c>
      <c r="M105" s="2">
        <v>0</v>
      </c>
      <c r="N105" s="2">
        <v>2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1</v>
      </c>
      <c r="AD105" s="2">
        <v>0</v>
      </c>
      <c r="AE105"/>
    </row>
    <row r="106" spans="1:31" x14ac:dyDescent="0.25">
      <c r="A106" s="2" t="s">
        <v>23</v>
      </c>
      <c r="B106" s="2" t="s">
        <v>85</v>
      </c>
      <c r="C106" s="2" t="s">
        <v>84</v>
      </c>
      <c r="D106" s="2" t="s">
        <v>173</v>
      </c>
      <c r="E106" s="2" t="s">
        <v>172</v>
      </c>
      <c r="F106" s="2" t="s">
        <v>771</v>
      </c>
      <c r="G106" s="2" t="s">
        <v>986</v>
      </c>
      <c r="H106" s="2" t="s">
        <v>2476</v>
      </c>
      <c r="I106" s="2" t="s">
        <v>2477</v>
      </c>
      <c r="J106" s="2" t="s">
        <v>2074</v>
      </c>
      <c r="K106" s="2">
        <v>0</v>
      </c>
      <c r="L106" s="2">
        <v>0</v>
      </c>
      <c r="M106" s="2">
        <v>0</v>
      </c>
      <c r="N106" s="2">
        <v>2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/>
    </row>
    <row r="107" spans="1:31" x14ac:dyDescent="0.25">
      <c r="A107" s="2" t="s">
        <v>23</v>
      </c>
      <c r="B107" s="2" t="s">
        <v>85</v>
      </c>
      <c r="C107" s="2" t="s">
        <v>84</v>
      </c>
      <c r="D107" s="2" t="s">
        <v>173</v>
      </c>
      <c r="E107" s="2" t="s">
        <v>172</v>
      </c>
      <c r="F107" s="2" t="s">
        <v>772</v>
      </c>
      <c r="G107" s="2" t="s">
        <v>990</v>
      </c>
      <c r="H107" s="2" t="s">
        <v>2484</v>
      </c>
      <c r="I107" s="2" t="s">
        <v>2485</v>
      </c>
      <c r="J107" s="2" t="s">
        <v>3693</v>
      </c>
      <c r="K107" s="2">
        <v>0</v>
      </c>
      <c r="L107" s="2">
        <v>0</v>
      </c>
      <c r="M107" s="2">
        <v>0</v>
      </c>
      <c r="N107" s="2">
        <v>2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/>
    </row>
    <row r="108" spans="1:31" x14ac:dyDescent="0.25">
      <c r="A108" s="2" t="s">
        <v>23</v>
      </c>
      <c r="B108" s="2" t="s">
        <v>184</v>
      </c>
      <c r="C108" s="2" t="s">
        <v>183</v>
      </c>
      <c r="D108" s="2" t="s">
        <v>196</v>
      </c>
      <c r="E108" s="2" t="s">
        <v>195</v>
      </c>
      <c r="F108" s="2" t="s">
        <v>481</v>
      </c>
      <c r="G108" s="2" t="s">
        <v>1331</v>
      </c>
      <c r="H108" s="2" t="s">
        <v>3222</v>
      </c>
      <c r="I108" s="2" t="s">
        <v>3223</v>
      </c>
      <c r="J108" s="2" t="s">
        <v>2074</v>
      </c>
      <c r="K108" s="2">
        <v>0</v>
      </c>
      <c r="L108" s="2">
        <v>0</v>
      </c>
      <c r="M108" s="2">
        <v>0</v>
      </c>
      <c r="N108" s="2">
        <v>1</v>
      </c>
      <c r="O108" s="2">
        <v>0</v>
      </c>
      <c r="P108" s="2">
        <v>0</v>
      </c>
      <c r="Q108" s="2">
        <v>0</v>
      </c>
      <c r="R108" s="2">
        <v>0</v>
      </c>
      <c r="S108" s="2">
        <v>1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1</v>
      </c>
      <c r="AE108"/>
    </row>
    <row r="109" spans="1:31" x14ac:dyDescent="0.25">
      <c r="A109" s="2" t="s">
        <v>23</v>
      </c>
      <c r="B109" s="2" t="s">
        <v>184</v>
      </c>
      <c r="C109" s="2" t="s">
        <v>183</v>
      </c>
      <c r="D109" s="2" t="s">
        <v>196</v>
      </c>
      <c r="E109" s="2" t="s">
        <v>195</v>
      </c>
      <c r="F109" s="2" t="s">
        <v>197</v>
      </c>
      <c r="G109" s="2" t="s">
        <v>1332</v>
      </c>
      <c r="H109" s="2" t="s">
        <v>3224</v>
      </c>
      <c r="I109" s="2" t="s">
        <v>3225</v>
      </c>
      <c r="J109" s="2" t="s">
        <v>2074</v>
      </c>
      <c r="K109" s="2">
        <v>0</v>
      </c>
      <c r="L109" s="2">
        <v>0</v>
      </c>
      <c r="M109" s="2">
        <v>1</v>
      </c>
      <c r="N109" s="2">
        <v>1</v>
      </c>
      <c r="O109" s="2">
        <v>0</v>
      </c>
      <c r="P109" s="2">
        <v>1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/>
    </row>
    <row r="110" spans="1:31" x14ac:dyDescent="0.25">
      <c r="A110" s="2" t="s">
        <v>23</v>
      </c>
      <c r="B110" s="2" t="s">
        <v>184</v>
      </c>
      <c r="C110" s="2" t="s">
        <v>183</v>
      </c>
      <c r="D110" s="2" t="s">
        <v>196</v>
      </c>
      <c r="E110" s="2" t="s">
        <v>195</v>
      </c>
      <c r="F110" s="2" t="s">
        <v>198</v>
      </c>
      <c r="G110" s="2" t="s">
        <v>1333</v>
      </c>
      <c r="H110" s="2" t="s">
        <v>3226</v>
      </c>
      <c r="I110" s="2" t="s">
        <v>3227</v>
      </c>
      <c r="J110" s="2" t="s">
        <v>2074</v>
      </c>
      <c r="K110" s="2">
        <v>0</v>
      </c>
      <c r="L110" s="2">
        <v>0</v>
      </c>
      <c r="M110" s="2">
        <v>1</v>
      </c>
      <c r="N110" s="2">
        <v>1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1</v>
      </c>
      <c r="AC110" s="2">
        <v>0</v>
      </c>
      <c r="AD110" s="2">
        <v>1</v>
      </c>
      <c r="AE110"/>
    </row>
    <row r="111" spans="1:31" x14ac:dyDescent="0.25">
      <c r="A111" s="2" t="s">
        <v>23</v>
      </c>
      <c r="B111" s="2" t="s">
        <v>184</v>
      </c>
      <c r="C111" s="2" t="s">
        <v>183</v>
      </c>
      <c r="D111" s="2" t="s">
        <v>196</v>
      </c>
      <c r="E111" s="2" t="s">
        <v>195</v>
      </c>
      <c r="F111" s="2" t="s">
        <v>201</v>
      </c>
      <c r="G111" s="2" t="s">
        <v>1334</v>
      </c>
      <c r="H111" s="2" t="s">
        <v>3228</v>
      </c>
      <c r="I111" s="2" t="s">
        <v>3229</v>
      </c>
      <c r="J111" s="2" t="s">
        <v>2078</v>
      </c>
      <c r="K111" s="2">
        <v>0</v>
      </c>
      <c r="L111" s="2">
        <v>0</v>
      </c>
      <c r="M111" s="2">
        <v>1</v>
      </c>
      <c r="N111" s="2">
        <v>1</v>
      </c>
      <c r="O111" s="2">
        <v>0</v>
      </c>
      <c r="P111" s="2">
        <v>0</v>
      </c>
      <c r="Q111" s="2">
        <v>0</v>
      </c>
      <c r="R111" s="2">
        <v>1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1</v>
      </c>
      <c r="AE111"/>
    </row>
    <row r="112" spans="1:31" x14ac:dyDescent="0.25">
      <c r="A112" s="2" t="s">
        <v>23</v>
      </c>
      <c r="B112" s="2" t="s">
        <v>184</v>
      </c>
      <c r="C112" s="2" t="s">
        <v>183</v>
      </c>
      <c r="D112" s="2" t="s">
        <v>196</v>
      </c>
      <c r="E112" s="2" t="s">
        <v>195</v>
      </c>
      <c r="F112" s="2" t="s">
        <v>482</v>
      </c>
      <c r="G112" s="2" t="s">
        <v>1335</v>
      </c>
      <c r="H112" s="2" t="s">
        <v>3230</v>
      </c>
      <c r="I112" s="2" t="s">
        <v>3231</v>
      </c>
      <c r="J112" s="2" t="s">
        <v>2074</v>
      </c>
      <c r="K112" s="2">
        <v>0</v>
      </c>
      <c r="L112" s="2">
        <v>1</v>
      </c>
      <c r="M112" s="2">
        <v>0</v>
      </c>
      <c r="N112" s="2">
        <v>1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1</v>
      </c>
      <c r="AE112"/>
    </row>
    <row r="113" spans="1:31" x14ac:dyDescent="0.25">
      <c r="A113" s="2" t="s">
        <v>23</v>
      </c>
      <c r="B113" s="2" t="s">
        <v>184</v>
      </c>
      <c r="C113" s="2" t="s">
        <v>183</v>
      </c>
      <c r="D113" s="2" t="s">
        <v>203</v>
      </c>
      <c r="E113" s="2" t="s">
        <v>202</v>
      </c>
      <c r="F113" s="2" t="s">
        <v>671</v>
      </c>
      <c r="G113" s="2" t="s">
        <v>1564</v>
      </c>
      <c r="H113" s="2" t="s">
        <v>3232</v>
      </c>
      <c r="I113" s="2" t="s">
        <v>3233</v>
      </c>
      <c r="J113" s="2" t="s">
        <v>3693</v>
      </c>
      <c r="K113" s="2">
        <v>0</v>
      </c>
      <c r="L113" s="2">
        <v>1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1</v>
      </c>
      <c r="AE113"/>
    </row>
    <row r="114" spans="1:31" x14ac:dyDescent="0.25">
      <c r="A114" s="2" t="s">
        <v>23</v>
      </c>
      <c r="B114" s="2" t="s">
        <v>184</v>
      </c>
      <c r="C114" s="2" t="s">
        <v>183</v>
      </c>
      <c r="D114" s="2" t="s">
        <v>203</v>
      </c>
      <c r="E114" s="2" t="s">
        <v>202</v>
      </c>
      <c r="F114" s="2" t="s">
        <v>704</v>
      </c>
      <c r="G114" s="2" t="s">
        <v>1565</v>
      </c>
      <c r="H114" s="2" t="s">
        <v>3234</v>
      </c>
      <c r="I114" s="2" t="s">
        <v>3235</v>
      </c>
      <c r="J114" s="2" t="s">
        <v>2074</v>
      </c>
      <c r="K114" s="2">
        <v>0</v>
      </c>
      <c r="L114" s="2">
        <v>0</v>
      </c>
      <c r="M114" s="2">
        <v>0</v>
      </c>
      <c r="N114" s="2">
        <v>2</v>
      </c>
      <c r="O114" s="2">
        <v>0</v>
      </c>
      <c r="P114" s="2">
        <v>2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/>
    </row>
    <row r="115" spans="1:31" x14ac:dyDescent="0.25">
      <c r="A115" s="2" t="s">
        <v>23</v>
      </c>
      <c r="B115" s="2" t="s">
        <v>184</v>
      </c>
      <c r="C115" s="2" t="s">
        <v>183</v>
      </c>
      <c r="D115" s="2" t="s">
        <v>203</v>
      </c>
      <c r="E115" s="2" t="s">
        <v>202</v>
      </c>
      <c r="F115" s="2" t="s">
        <v>673</v>
      </c>
      <c r="G115" s="2" t="s">
        <v>1567</v>
      </c>
      <c r="H115" s="2" t="s">
        <v>3238</v>
      </c>
      <c r="I115" s="2" t="s">
        <v>3239</v>
      </c>
      <c r="J115" s="2" t="s">
        <v>2074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1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/>
    </row>
    <row r="116" spans="1:31" x14ac:dyDescent="0.25">
      <c r="A116" s="2" t="s">
        <v>23</v>
      </c>
      <c r="B116" s="2" t="s">
        <v>184</v>
      </c>
      <c r="C116" s="2" t="s">
        <v>183</v>
      </c>
      <c r="D116" s="2" t="s">
        <v>203</v>
      </c>
      <c r="E116" s="2" t="s">
        <v>202</v>
      </c>
      <c r="F116" s="2" t="s">
        <v>204</v>
      </c>
      <c r="G116" s="2" t="s">
        <v>1336</v>
      </c>
      <c r="H116" s="2" t="s">
        <v>3240</v>
      </c>
      <c r="I116" s="2" t="s">
        <v>3241</v>
      </c>
      <c r="J116" s="2" t="s">
        <v>2074</v>
      </c>
      <c r="K116" s="2">
        <v>0</v>
      </c>
      <c r="L116" s="2">
        <v>1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1</v>
      </c>
      <c r="Z116" s="2">
        <v>1</v>
      </c>
      <c r="AA116" s="2">
        <v>0</v>
      </c>
      <c r="AB116" s="2">
        <v>0</v>
      </c>
      <c r="AC116" s="2">
        <v>0</v>
      </c>
      <c r="AD116" s="2">
        <v>1</v>
      </c>
      <c r="AE116"/>
    </row>
    <row r="117" spans="1:31" x14ac:dyDescent="0.25">
      <c r="A117" s="2" t="s">
        <v>23</v>
      </c>
      <c r="B117" s="2" t="s">
        <v>184</v>
      </c>
      <c r="C117" s="2" t="s">
        <v>183</v>
      </c>
      <c r="D117" s="2" t="s">
        <v>203</v>
      </c>
      <c r="E117" s="2" t="s">
        <v>202</v>
      </c>
      <c r="F117" s="2" t="s">
        <v>672</v>
      </c>
      <c r="G117" s="2" t="s">
        <v>1566</v>
      </c>
      <c r="H117" s="2" t="s">
        <v>3236</v>
      </c>
      <c r="I117" s="2" t="s">
        <v>3237</v>
      </c>
      <c r="J117" s="2" t="s">
        <v>2074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1</v>
      </c>
      <c r="AE117"/>
    </row>
    <row r="118" spans="1:31" x14ac:dyDescent="0.25">
      <c r="A118" s="2" t="s">
        <v>23</v>
      </c>
      <c r="B118" s="2" t="s">
        <v>85</v>
      </c>
      <c r="C118" s="2" t="s">
        <v>84</v>
      </c>
      <c r="D118" s="2" t="s">
        <v>110</v>
      </c>
      <c r="E118" s="2" t="s">
        <v>109</v>
      </c>
      <c r="F118" s="2" t="s">
        <v>319</v>
      </c>
      <c r="G118" s="2" t="s">
        <v>1003</v>
      </c>
      <c r="H118" s="2" t="s">
        <v>2510</v>
      </c>
      <c r="I118" s="2" t="s">
        <v>2511</v>
      </c>
      <c r="J118" s="2" t="s">
        <v>2074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1</v>
      </c>
      <c r="AA118" s="2">
        <v>1</v>
      </c>
      <c r="AB118" s="2">
        <v>1</v>
      </c>
      <c r="AC118" s="2">
        <v>1</v>
      </c>
      <c r="AD118" s="2">
        <v>1</v>
      </c>
      <c r="AE118"/>
    </row>
    <row r="119" spans="1:31" x14ac:dyDescent="0.25">
      <c r="A119" s="2" t="s">
        <v>23</v>
      </c>
      <c r="B119" s="2" t="s">
        <v>85</v>
      </c>
      <c r="C119" s="2" t="s">
        <v>84</v>
      </c>
      <c r="D119" s="2" t="s">
        <v>110</v>
      </c>
      <c r="E119" s="2" t="s">
        <v>109</v>
      </c>
      <c r="F119" s="2" t="s">
        <v>320</v>
      </c>
      <c r="G119" s="2" t="s">
        <v>1004</v>
      </c>
      <c r="H119" s="2" t="s">
        <v>2512</v>
      </c>
      <c r="I119" s="2" t="s">
        <v>2513</v>
      </c>
      <c r="J119" s="2" t="s">
        <v>2074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1</v>
      </c>
      <c r="AC119" s="2">
        <v>0</v>
      </c>
      <c r="AD119" s="2">
        <v>1</v>
      </c>
      <c r="AE119"/>
    </row>
    <row r="120" spans="1:31" x14ac:dyDescent="0.25">
      <c r="A120" s="2" t="s">
        <v>23</v>
      </c>
      <c r="B120" s="2" t="s">
        <v>85</v>
      </c>
      <c r="C120" s="2" t="s">
        <v>84</v>
      </c>
      <c r="D120" s="2" t="s">
        <v>110</v>
      </c>
      <c r="E120" s="2" t="s">
        <v>109</v>
      </c>
      <c r="F120" s="2" t="s">
        <v>321</v>
      </c>
      <c r="G120" s="2" t="s">
        <v>1005</v>
      </c>
      <c r="H120" s="2" t="s">
        <v>2514</v>
      </c>
      <c r="I120" s="2" t="s">
        <v>2515</v>
      </c>
      <c r="J120" s="2" t="s">
        <v>2074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1</v>
      </c>
      <c r="AD120" s="2">
        <v>1</v>
      </c>
      <c r="AE120"/>
    </row>
    <row r="121" spans="1:31" x14ac:dyDescent="0.25">
      <c r="A121" s="2" t="s">
        <v>23</v>
      </c>
      <c r="B121" s="2" t="s">
        <v>85</v>
      </c>
      <c r="C121" s="2" t="s">
        <v>84</v>
      </c>
      <c r="D121" s="2" t="s">
        <v>110</v>
      </c>
      <c r="E121" s="2" t="s">
        <v>109</v>
      </c>
      <c r="F121" s="2" t="s">
        <v>322</v>
      </c>
      <c r="G121" s="2" t="s">
        <v>1006</v>
      </c>
      <c r="H121" s="2" t="s">
        <v>2516</v>
      </c>
      <c r="I121" s="2" t="s">
        <v>2517</v>
      </c>
      <c r="J121" s="2" t="s">
        <v>2074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1</v>
      </c>
      <c r="AE121"/>
    </row>
    <row r="122" spans="1:31" x14ac:dyDescent="0.25">
      <c r="A122" s="2" t="s">
        <v>23</v>
      </c>
      <c r="B122" s="2" t="s">
        <v>85</v>
      </c>
      <c r="C122" s="2" t="s">
        <v>84</v>
      </c>
      <c r="D122" s="2" t="s">
        <v>110</v>
      </c>
      <c r="E122" s="2" t="s">
        <v>109</v>
      </c>
      <c r="F122" s="2" t="s">
        <v>324</v>
      </c>
      <c r="G122" s="2" t="s">
        <v>1008</v>
      </c>
      <c r="H122" s="2" t="s">
        <v>2530</v>
      </c>
      <c r="I122" s="2" t="s">
        <v>2531</v>
      </c>
      <c r="J122" s="2" t="s">
        <v>3709</v>
      </c>
      <c r="K122" s="2">
        <v>0</v>
      </c>
      <c r="L122" s="2">
        <v>1</v>
      </c>
      <c r="M122" s="2">
        <v>1</v>
      </c>
      <c r="N122" s="2">
        <v>0</v>
      </c>
      <c r="O122" s="2">
        <v>0</v>
      </c>
      <c r="P122" s="2">
        <v>0</v>
      </c>
      <c r="Q122" s="2">
        <v>0</v>
      </c>
      <c r="R122" s="2">
        <v>1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2</v>
      </c>
      <c r="AC122" s="2">
        <v>0</v>
      </c>
      <c r="AD122" s="2">
        <v>4</v>
      </c>
      <c r="AE122"/>
    </row>
    <row r="123" spans="1:31" x14ac:dyDescent="0.25">
      <c r="A123" s="2" t="s">
        <v>23</v>
      </c>
      <c r="B123" s="2" t="s">
        <v>85</v>
      </c>
      <c r="C123" s="2" t="s">
        <v>84</v>
      </c>
      <c r="D123" s="2" t="s">
        <v>110</v>
      </c>
      <c r="E123" s="2" t="s">
        <v>109</v>
      </c>
      <c r="F123" s="2" t="s">
        <v>325</v>
      </c>
      <c r="G123" s="2" t="s">
        <v>1009</v>
      </c>
      <c r="H123" s="2" t="s">
        <v>2532</v>
      </c>
      <c r="I123" s="2" t="s">
        <v>2533</v>
      </c>
      <c r="J123" s="2" t="s">
        <v>2074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1</v>
      </c>
      <c r="AA123" s="2">
        <v>1</v>
      </c>
      <c r="AB123" s="2">
        <v>0</v>
      </c>
      <c r="AC123" s="2">
        <v>0</v>
      </c>
      <c r="AD123" s="2">
        <v>2</v>
      </c>
      <c r="AE123"/>
    </row>
    <row r="124" spans="1:31" x14ac:dyDescent="0.25">
      <c r="A124" s="2" t="s">
        <v>23</v>
      </c>
      <c r="B124" s="2" t="s">
        <v>85</v>
      </c>
      <c r="C124" s="2" t="s">
        <v>84</v>
      </c>
      <c r="D124" s="2" t="s">
        <v>110</v>
      </c>
      <c r="E124" s="2" t="s">
        <v>109</v>
      </c>
      <c r="F124" s="2" t="s">
        <v>285</v>
      </c>
      <c r="G124" s="2" t="s">
        <v>1011</v>
      </c>
      <c r="H124" s="2" t="s">
        <v>2538</v>
      </c>
      <c r="I124" s="2" t="s">
        <v>2539</v>
      </c>
      <c r="J124" s="2" t="s">
        <v>2074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1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1</v>
      </c>
      <c r="AB124" s="2">
        <v>1</v>
      </c>
      <c r="AC124" s="2">
        <v>0</v>
      </c>
      <c r="AD124" s="2">
        <v>1</v>
      </c>
      <c r="AE124"/>
    </row>
    <row r="125" spans="1:31" x14ac:dyDescent="0.25">
      <c r="A125" s="2" t="s">
        <v>23</v>
      </c>
      <c r="B125" s="2" t="s">
        <v>85</v>
      </c>
      <c r="C125" s="2" t="s">
        <v>84</v>
      </c>
      <c r="D125" s="2" t="s">
        <v>110</v>
      </c>
      <c r="E125" s="2" t="s">
        <v>109</v>
      </c>
      <c r="F125" s="2" t="s">
        <v>148</v>
      </c>
      <c r="G125" s="2" t="s">
        <v>1012</v>
      </c>
      <c r="H125" s="2" t="s">
        <v>2546</v>
      </c>
      <c r="I125" s="2" t="s">
        <v>2547</v>
      </c>
      <c r="J125" s="2" t="s">
        <v>2074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1</v>
      </c>
      <c r="AC125" s="2">
        <v>0</v>
      </c>
      <c r="AD125" s="2">
        <v>1</v>
      </c>
      <c r="AE125"/>
    </row>
    <row r="126" spans="1:31" x14ac:dyDescent="0.25">
      <c r="A126" s="2" t="s">
        <v>23</v>
      </c>
      <c r="B126" s="2" t="s">
        <v>85</v>
      </c>
      <c r="C126" s="2" t="s">
        <v>84</v>
      </c>
      <c r="D126" s="2" t="s">
        <v>110</v>
      </c>
      <c r="E126" s="2" t="s">
        <v>109</v>
      </c>
      <c r="F126" s="2" t="s">
        <v>149</v>
      </c>
      <c r="G126" s="2" t="s">
        <v>1013</v>
      </c>
      <c r="H126" s="2" t="s">
        <v>2548</v>
      </c>
      <c r="I126" s="2" t="s">
        <v>2549</v>
      </c>
      <c r="J126" s="2" t="s">
        <v>2074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1</v>
      </c>
      <c r="AB126" s="2">
        <v>0</v>
      </c>
      <c r="AC126" s="2">
        <v>0</v>
      </c>
      <c r="AD126" s="2">
        <v>2</v>
      </c>
      <c r="AE126"/>
    </row>
    <row r="127" spans="1:31" x14ac:dyDescent="0.25">
      <c r="A127" s="2" t="s">
        <v>23</v>
      </c>
      <c r="B127" s="2" t="s">
        <v>85</v>
      </c>
      <c r="C127" s="2" t="s">
        <v>84</v>
      </c>
      <c r="D127" s="2" t="s">
        <v>110</v>
      </c>
      <c r="E127" s="2" t="s">
        <v>109</v>
      </c>
      <c r="F127" s="2" t="s">
        <v>1829</v>
      </c>
      <c r="G127" s="2" t="s">
        <v>1828</v>
      </c>
      <c r="H127" s="2" t="s">
        <v>2520</v>
      </c>
      <c r="I127" s="2" t="s">
        <v>2521</v>
      </c>
      <c r="J127" s="2" t="s">
        <v>3695</v>
      </c>
      <c r="K127" s="2">
        <v>0</v>
      </c>
      <c r="L127" s="2">
        <v>0</v>
      </c>
      <c r="M127" s="2">
        <v>1</v>
      </c>
      <c r="N127" s="2">
        <v>0</v>
      </c>
      <c r="O127" s="2">
        <v>0</v>
      </c>
      <c r="P127" s="2">
        <v>0</v>
      </c>
      <c r="Q127" s="2">
        <v>0</v>
      </c>
      <c r="R127" s="2">
        <v>1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2</v>
      </c>
      <c r="AE127"/>
    </row>
    <row r="128" spans="1:31" x14ac:dyDescent="0.25">
      <c r="A128" s="2" t="s">
        <v>23</v>
      </c>
      <c r="B128" s="2" t="s">
        <v>85</v>
      </c>
      <c r="C128" s="2" t="s">
        <v>84</v>
      </c>
      <c r="D128" s="2" t="s">
        <v>110</v>
      </c>
      <c r="E128" s="2" t="s">
        <v>109</v>
      </c>
      <c r="F128" s="2" t="s">
        <v>1825</v>
      </c>
      <c r="G128" s="2" t="s">
        <v>1824</v>
      </c>
      <c r="H128" s="2" t="s">
        <v>2522</v>
      </c>
      <c r="I128" s="2" t="s">
        <v>2523</v>
      </c>
      <c r="J128" s="2" t="s">
        <v>2079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</v>
      </c>
      <c r="AE128"/>
    </row>
    <row r="129" spans="1:31" x14ac:dyDescent="0.25">
      <c r="A129" s="2" t="s">
        <v>23</v>
      </c>
      <c r="B129" s="2" t="s">
        <v>85</v>
      </c>
      <c r="C129" s="2" t="s">
        <v>84</v>
      </c>
      <c r="D129" s="2" t="s">
        <v>110</v>
      </c>
      <c r="E129" s="2" t="s">
        <v>109</v>
      </c>
      <c r="F129" s="2" t="s">
        <v>1827</v>
      </c>
      <c r="G129" s="2" t="s">
        <v>1826</v>
      </c>
      <c r="H129" s="2" t="s">
        <v>2524</v>
      </c>
      <c r="I129" s="2" t="s">
        <v>2525</v>
      </c>
      <c r="J129" s="2" t="s">
        <v>2076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1</v>
      </c>
      <c r="AE129"/>
    </row>
    <row r="130" spans="1:31" x14ac:dyDescent="0.25">
      <c r="A130" s="2" t="s">
        <v>23</v>
      </c>
      <c r="B130" s="2" t="s">
        <v>85</v>
      </c>
      <c r="C130" s="2" t="s">
        <v>84</v>
      </c>
      <c r="D130" s="2" t="s">
        <v>110</v>
      </c>
      <c r="E130" s="2" t="s">
        <v>109</v>
      </c>
      <c r="F130" s="2" t="s">
        <v>1835</v>
      </c>
      <c r="G130" s="2" t="s">
        <v>1834</v>
      </c>
      <c r="H130" s="2" t="s">
        <v>2540</v>
      </c>
      <c r="I130" s="2" t="s">
        <v>2541</v>
      </c>
      <c r="J130" s="2" t="s">
        <v>3693</v>
      </c>
      <c r="K130" s="2">
        <v>0</v>
      </c>
      <c r="L130" s="2">
        <v>1</v>
      </c>
      <c r="M130" s="2">
        <v>2</v>
      </c>
      <c r="N130" s="2">
        <v>0</v>
      </c>
      <c r="O130" s="2">
        <v>0</v>
      </c>
      <c r="P130" s="2">
        <v>0</v>
      </c>
      <c r="Q130" s="2">
        <v>0</v>
      </c>
      <c r="R130" s="2">
        <v>1</v>
      </c>
      <c r="S130" s="2">
        <v>0</v>
      </c>
      <c r="T130" s="2">
        <v>0</v>
      </c>
      <c r="U130" s="2">
        <v>0</v>
      </c>
      <c r="V130" s="2">
        <v>0</v>
      </c>
      <c r="W130" s="2">
        <v>1</v>
      </c>
      <c r="X130" s="2">
        <v>0</v>
      </c>
      <c r="Y130" s="2">
        <v>0</v>
      </c>
      <c r="Z130" s="2">
        <v>0</v>
      </c>
      <c r="AA130" s="2">
        <v>1</v>
      </c>
      <c r="AB130" s="2">
        <v>1</v>
      </c>
      <c r="AC130" s="2">
        <v>0</v>
      </c>
      <c r="AD130" s="2">
        <v>3</v>
      </c>
      <c r="AE130"/>
    </row>
    <row r="131" spans="1:31" x14ac:dyDescent="0.25">
      <c r="A131" s="2" t="s">
        <v>23</v>
      </c>
      <c r="B131" s="2" t="s">
        <v>85</v>
      </c>
      <c r="C131" s="2" t="s">
        <v>84</v>
      </c>
      <c r="D131" s="2" t="s">
        <v>110</v>
      </c>
      <c r="E131" s="2" t="s">
        <v>109</v>
      </c>
      <c r="F131" s="2" t="s">
        <v>1837</v>
      </c>
      <c r="G131" s="2" t="s">
        <v>1836</v>
      </c>
      <c r="H131" s="2" t="s">
        <v>2542</v>
      </c>
      <c r="I131" s="2" t="s">
        <v>2543</v>
      </c>
      <c r="J131" s="2" t="s">
        <v>2074</v>
      </c>
      <c r="K131" s="2">
        <v>0</v>
      </c>
      <c r="L131" s="2">
        <v>0</v>
      </c>
      <c r="M131" s="2">
        <v>0</v>
      </c>
      <c r="N131" s="2">
        <v>1</v>
      </c>
      <c r="O131" s="2">
        <v>0</v>
      </c>
      <c r="P131" s="2">
        <v>0</v>
      </c>
      <c r="Q131" s="2">
        <v>0</v>
      </c>
      <c r="R131" s="2">
        <v>1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3</v>
      </c>
      <c r="AC131" s="2">
        <v>0</v>
      </c>
      <c r="AD131" s="2">
        <v>2</v>
      </c>
      <c r="AE131"/>
    </row>
    <row r="132" spans="1:31" x14ac:dyDescent="0.25">
      <c r="A132" s="2" t="s">
        <v>23</v>
      </c>
      <c r="B132" s="2" t="s">
        <v>85</v>
      </c>
      <c r="C132" s="2" t="s">
        <v>84</v>
      </c>
      <c r="D132" s="2" t="s">
        <v>110</v>
      </c>
      <c r="E132" s="2" t="s">
        <v>109</v>
      </c>
      <c r="F132" s="2" t="s">
        <v>1831</v>
      </c>
      <c r="G132" s="2" t="s">
        <v>1830</v>
      </c>
      <c r="H132" s="2" t="s">
        <v>2544</v>
      </c>
      <c r="I132" s="2" t="s">
        <v>2545</v>
      </c>
      <c r="J132" s="2" t="s">
        <v>3697</v>
      </c>
      <c r="K132" s="2">
        <v>0</v>
      </c>
      <c r="L132" s="2">
        <v>1</v>
      </c>
      <c r="M132" s="2">
        <v>1</v>
      </c>
      <c r="N132" s="2">
        <v>0</v>
      </c>
      <c r="O132" s="2">
        <v>0</v>
      </c>
      <c r="P132" s="2">
        <v>0</v>
      </c>
      <c r="Q132" s="2">
        <v>0</v>
      </c>
      <c r="R132" s="2">
        <v>2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2</v>
      </c>
      <c r="AC132" s="2">
        <v>0</v>
      </c>
      <c r="AD132" s="2">
        <v>1</v>
      </c>
      <c r="AE132"/>
    </row>
    <row r="133" spans="1:31" x14ac:dyDescent="0.25">
      <c r="A133" s="2" t="s">
        <v>23</v>
      </c>
      <c r="B133" s="2" t="s">
        <v>85</v>
      </c>
      <c r="C133" s="2" t="s">
        <v>84</v>
      </c>
      <c r="D133" s="2" t="s">
        <v>110</v>
      </c>
      <c r="E133" s="2" t="s">
        <v>109</v>
      </c>
      <c r="F133" s="2" t="s">
        <v>1833</v>
      </c>
      <c r="G133" s="2" t="s">
        <v>1832</v>
      </c>
      <c r="H133" s="2" t="s">
        <v>2550</v>
      </c>
      <c r="I133" s="2" t="s">
        <v>2551</v>
      </c>
      <c r="J133" s="2" t="s">
        <v>3697</v>
      </c>
      <c r="K133" s="2">
        <v>0</v>
      </c>
      <c r="L133" s="2">
        <v>1</v>
      </c>
      <c r="M133" s="2">
        <v>1</v>
      </c>
      <c r="N133" s="2">
        <v>1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1</v>
      </c>
      <c r="AB133" s="2">
        <v>1</v>
      </c>
      <c r="AC133" s="2">
        <v>0</v>
      </c>
      <c r="AD133" s="2">
        <v>1</v>
      </c>
      <c r="AE133"/>
    </row>
    <row r="134" spans="1:31" x14ac:dyDescent="0.25">
      <c r="A134" s="2" t="s">
        <v>23</v>
      </c>
      <c r="B134" s="2" t="s">
        <v>37</v>
      </c>
      <c r="C134" s="2" t="s">
        <v>36</v>
      </c>
      <c r="D134" s="2" t="s">
        <v>540</v>
      </c>
      <c r="E134" s="2" t="s">
        <v>541</v>
      </c>
      <c r="F134" s="2" t="s">
        <v>542</v>
      </c>
      <c r="G134" s="2" t="s">
        <v>1405</v>
      </c>
      <c r="H134" s="2" t="s">
        <v>3452</v>
      </c>
      <c r="I134" s="2" t="s">
        <v>3453</v>
      </c>
      <c r="J134" s="2" t="s">
        <v>2074</v>
      </c>
      <c r="K134" s="2">
        <v>0</v>
      </c>
      <c r="L134" s="2">
        <v>0</v>
      </c>
      <c r="M134" s="2">
        <v>1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1</v>
      </c>
      <c r="X134" s="2">
        <v>0</v>
      </c>
      <c r="Y134" s="2">
        <v>0</v>
      </c>
      <c r="Z134" s="2">
        <v>0</v>
      </c>
      <c r="AA134" s="2">
        <v>0</v>
      </c>
      <c r="AB134" s="2">
        <v>1</v>
      </c>
      <c r="AC134" s="2">
        <v>0</v>
      </c>
      <c r="AD134" s="2">
        <v>0</v>
      </c>
      <c r="AE134"/>
    </row>
    <row r="135" spans="1:31" x14ac:dyDescent="0.25">
      <c r="A135" s="2" t="s">
        <v>23</v>
      </c>
      <c r="B135" s="2" t="s">
        <v>37</v>
      </c>
      <c r="C135" s="2" t="s">
        <v>36</v>
      </c>
      <c r="D135" s="2" t="s">
        <v>540</v>
      </c>
      <c r="E135" s="2" t="s">
        <v>541</v>
      </c>
      <c r="F135" s="2" t="s">
        <v>543</v>
      </c>
      <c r="G135" s="2" t="s">
        <v>1406</v>
      </c>
      <c r="H135" s="2" t="s">
        <v>3454</v>
      </c>
      <c r="I135" s="2" t="s">
        <v>3455</v>
      </c>
      <c r="J135" s="2" t="s">
        <v>2074</v>
      </c>
      <c r="K135" s="2">
        <v>0</v>
      </c>
      <c r="L135" s="2">
        <v>0</v>
      </c>
      <c r="M135" s="2">
        <v>2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1</v>
      </c>
      <c r="AC135" s="2">
        <v>0</v>
      </c>
      <c r="AD135" s="2">
        <v>1</v>
      </c>
      <c r="AE135"/>
    </row>
    <row r="136" spans="1:31" x14ac:dyDescent="0.25">
      <c r="A136" s="2" t="s">
        <v>23</v>
      </c>
      <c r="B136" s="2" t="s">
        <v>37</v>
      </c>
      <c r="C136" s="2" t="s">
        <v>36</v>
      </c>
      <c r="D136" s="2" t="s">
        <v>540</v>
      </c>
      <c r="E136" s="2" t="s">
        <v>541</v>
      </c>
      <c r="F136" s="2" t="s">
        <v>544</v>
      </c>
      <c r="G136" s="2" t="s">
        <v>1407</v>
      </c>
      <c r="H136" s="2" t="s">
        <v>3456</v>
      </c>
      <c r="I136" s="2" t="s">
        <v>3457</v>
      </c>
      <c r="J136" s="2" t="s">
        <v>2074</v>
      </c>
      <c r="K136" s="2">
        <v>0</v>
      </c>
      <c r="L136" s="2">
        <v>0</v>
      </c>
      <c r="M136" s="2">
        <v>1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1</v>
      </c>
      <c r="AB136" s="2">
        <v>1</v>
      </c>
      <c r="AC136" s="2">
        <v>0</v>
      </c>
      <c r="AD136" s="2">
        <v>0</v>
      </c>
      <c r="AE136"/>
    </row>
    <row r="137" spans="1:31" x14ac:dyDescent="0.25">
      <c r="A137" s="2" t="s">
        <v>23</v>
      </c>
      <c r="B137" s="2" t="s">
        <v>37</v>
      </c>
      <c r="C137" s="2" t="s">
        <v>36</v>
      </c>
      <c r="D137" s="2" t="s">
        <v>540</v>
      </c>
      <c r="E137" s="2" t="s">
        <v>541</v>
      </c>
      <c r="F137" s="2" t="s">
        <v>545</v>
      </c>
      <c r="G137" s="2" t="s">
        <v>1408</v>
      </c>
      <c r="H137" s="2" t="s">
        <v>3458</v>
      </c>
      <c r="I137" s="2" t="s">
        <v>3459</v>
      </c>
      <c r="J137" s="2" t="s">
        <v>2074</v>
      </c>
      <c r="K137" s="2">
        <v>0</v>
      </c>
      <c r="L137" s="2">
        <v>0</v>
      </c>
      <c r="M137" s="2">
        <v>2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1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2</v>
      </c>
      <c r="AE137"/>
    </row>
    <row r="138" spans="1:31" x14ac:dyDescent="0.25">
      <c r="A138" s="2" t="s">
        <v>23</v>
      </c>
      <c r="B138" s="2" t="s">
        <v>37</v>
      </c>
      <c r="C138" s="2" t="s">
        <v>36</v>
      </c>
      <c r="D138" s="2" t="s">
        <v>540</v>
      </c>
      <c r="E138" s="2" t="s">
        <v>541</v>
      </c>
      <c r="F138" s="2" t="s">
        <v>285</v>
      </c>
      <c r="G138" s="2" t="s">
        <v>1409</v>
      </c>
      <c r="H138" s="2" t="s">
        <v>3460</v>
      </c>
      <c r="I138" s="2" t="s">
        <v>3461</v>
      </c>
      <c r="J138" s="2" t="s">
        <v>2074</v>
      </c>
      <c r="K138" s="2">
        <v>0</v>
      </c>
      <c r="L138" s="2">
        <v>0</v>
      </c>
      <c r="M138" s="2">
        <v>1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1</v>
      </c>
      <c r="AC138" s="2">
        <v>0</v>
      </c>
      <c r="AD138" s="2">
        <v>1</v>
      </c>
      <c r="AE138"/>
    </row>
    <row r="139" spans="1:31" x14ac:dyDescent="0.25">
      <c r="A139" s="2" t="s">
        <v>23</v>
      </c>
      <c r="B139" s="2" t="s">
        <v>37</v>
      </c>
      <c r="C139" s="2" t="s">
        <v>36</v>
      </c>
      <c r="D139" s="2" t="s">
        <v>540</v>
      </c>
      <c r="E139" s="2" t="s">
        <v>541</v>
      </c>
      <c r="F139" s="2" t="s">
        <v>546</v>
      </c>
      <c r="G139" s="2" t="s">
        <v>1410</v>
      </c>
      <c r="H139" s="2" t="s">
        <v>3462</v>
      </c>
      <c r="I139" s="2" t="s">
        <v>3463</v>
      </c>
      <c r="J139" s="2" t="s">
        <v>2074</v>
      </c>
      <c r="K139" s="2">
        <v>0</v>
      </c>
      <c r="L139" s="2">
        <v>0</v>
      </c>
      <c r="M139" s="2">
        <v>1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1</v>
      </c>
      <c r="AC139" s="2">
        <v>0</v>
      </c>
      <c r="AD139" s="2">
        <v>0</v>
      </c>
      <c r="AE139"/>
    </row>
    <row r="140" spans="1:31" x14ac:dyDescent="0.25">
      <c r="A140" s="2" t="s">
        <v>23</v>
      </c>
      <c r="B140" s="2" t="s">
        <v>184</v>
      </c>
      <c r="C140" s="2" t="s">
        <v>183</v>
      </c>
      <c r="D140" s="2" t="s">
        <v>206</v>
      </c>
      <c r="E140" s="2" t="s">
        <v>205</v>
      </c>
      <c r="F140" s="2" t="s">
        <v>207</v>
      </c>
      <c r="G140" s="2" t="s">
        <v>1568</v>
      </c>
      <c r="H140" s="2" t="s">
        <v>3242</v>
      </c>
      <c r="I140" s="2" t="s">
        <v>3243</v>
      </c>
      <c r="J140" s="2" t="s">
        <v>3693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1</v>
      </c>
      <c r="AC140" s="2">
        <v>2</v>
      </c>
      <c r="AD140" s="2">
        <v>0</v>
      </c>
      <c r="AE140"/>
    </row>
    <row r="141" spans="1:31" x14ac:dyDescent="0.25">
      <c r="A141" s="2" t="s">
        <v>23</v>
      </c>
      <c r="B141" s="2" t="s">
        <v>184</v>
      </c>
      <c r="C141" s="2" t="s">
        <v>183</v>
      </c>
      <c r="D141" s="2" t="s">
        <v>206</v>
      </c>
      <c r="E141" s="2" t="s">
        <v>205</v>
      </c>
      <c r="F141" s="2" t="s">
        <v>208</v>
      </c>
      <c r="G141" s="2" t="s">
        <v>1337</v>
      </c>
      <c r="H141" s="2" t="s">
        <v>3244</v>
      </c>
      <c r="I141" s="2" t="s">
        <v>3245</v>
      </c>
      <c r="J141" s="2" t="s">
        <v>2074</v>
      </c>
      <c r="K141" s="2">
        <v>0</v>
      </c>
      <c r="L141" s="2">
        <v>0</v>
      </c>
      <c r="M141" s="2">
        <v>1</v>
      </c>
      <c r="N141" s="2">
        <v>0</v>
      </c>
      <c r="O141" s="2">
        <v>0</v>
      </c>
      <c r="P141" s="2">
        <v>1</v>
      </c>
      <c r="Q141" s="2">
        <v>0</v>
      </c>
      <c r="R141" s="2">
        <v>1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1</v>
      </c>
      <c r="AD141" s="2">
        <v>1</v>
      </c>
      <c r="AE141"/>
    </row>
    <row r="142" spans="1:31" x14ac:dyDescent="0.25">
      <c r="A142" s="2" t="s">
        <v>23</v>
      </c>
      <c r="B142" s="2" t="s">
        <v>184</v>
      </c>
      <c r="C142" s="2" t="s">
        <v>183</v>
      </c>
      <c r="D142" s="2" t="s">
        <v>206</v>
      </c>
      <c r="E142" s="2" t="s">
        <v>205</v>
      </c>
      <c r="F142" s="2" t="s">
        <v>209</v>
      </c>
      <c r="G142" s="2" t="s">
        <v>1569</v>
      </c>
      <c r="H142" s="2" t="s">
        <v>3246</v>
      </c>
      <c r="I142" s="2" t="s">
        <v>3247</v>
      </c>
      <c r="J142" s="2" t="s">
        <v>3693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2</v>
      </c>
      <c r="AE142"/>
    </row>
    <row r="143" spans="1:31" x14ac:dyDescent="0.25">
      <c r="A143" s="2" t="s">
        <v>23</v>
      </c>
      <c r="B143" s="2" t="s">
        <v>184</v>
      </c>
      <c r="C143" s="2" t="s">
        <v>183</v>
      </c>
      <c r="D143" s="2" t="s">
        <v>206</v>
      </c>
      <c r="E143" s="2" t="s">
        <v>205</v>
      </c>
      <c r="F143" s="2" t="s">
        <v>483</v>
      </c>
      <c r="G143" s="2" t="s">
        <v>1338</v>
      </c>
      <c r="H143" s="2" t="s">
        <v>3248</v>
      </c>
      <c r="I143" s="2" t="s">
        <v>3249</v>
      </c>
      <c r="J143" s="2" t="s">
        <v>2074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1</v>
      </c>
      <c r="S143" s="2">
        <v>0</v>
      </c>
      <c r="T143" s="2">
        <v>0</v>
      </c>
      <c r="U143" s="2">
        <v>0</v>
      </c>
      <c r="V143" s="2">
        <v>0</v>
      </c>
      <c r="W143" s="2">
        <v>2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/>
    </row>
    <row r="144" spans="1:31" x14ac:dyDescent="0.25">
      <c r="A144" s="2" t="s">
        <v>23</v>
      </c>
      <c r="B144" s="2" t="s">
        <v>184</v>
      </c>
      <c r="C144" s="2" t="s">
        <v>183</v>
      </c>
      <c r="D144" s="2" t="s">
        <v>206</v>
      </c>
      <c r="E144" s="2" t="s">
        <v>205</v>
      </c>
      <c r="F144" s="2" t="s">
        <v>210</v>
      </c>
      <c r="G144" s="2" t="s">
        <v>1339</v>
      </c>
      <c r="H144" s="2" t="s">
        <v>3250</v>
      </c>
      <c r="I144" s="2" t="s">
        <v>3251</v>
      </c>
      <c r="J144" s="2" t="s">
        <v>2074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1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1</v>
      </c>
      <c r="AD144" s="2">
        <v>1</v>
      </c>
      <c r="AE144"/>
    </row>
    <row r="145" spans="1:31" x14ac:dyDescent="0.25">
      <c r="A145" s="2" t="s">
        <v>23</v>
      </c>
      <c r="B145" s="2" t="s">
        <v>184</v>
      </c>
      <c r="C145" s="2" t="s">
        <v>183</v>
      </c>
      <c r="D145" s="2" t="s">
        <v>206</v>
      </c>
      <c r="E145" s="2" t="s">
        <v>205</v>
      </c>
      <c r="F145" s="2" t="s">
        <v>674</v>
      </c>
      <c r="G145" s="2" t="s">
        <v>1570</v>
      </c>
      <c r="H145" s="2" t="s">
        <v>3252</v>
      </c>
      <c r="I145" s="2" t="s">
        <v>3253</v>
      </c>
      <c r="J145" s="2" t="s">
        <v>2074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1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1</v>
      </c>
      <c r="AC145" s="2">
        <v>0</v>
      </c>
      <c r="AD145" s="2">
        <v>0</v>
      </c>
      <c r="AE145"/>
    </row>
    <row r="146" spans="1:31" x14ac:dyDescent="0.25">
      <c r="A146" s="2" t="s">
        <v>23</v>
      </c>
      <c r="B146" s="2" t="s">
        <v>184</v>
      </c>
      <c r="C146" s="2" t="s">
        <v>183</v>
      </c>
      <c r="D146" s="2" t="s">
        <v>206</v>
      </c>
      <c r="E146" s="2" t="s">
        <v>205</v>
      </c>
      <c r="F146" s="2" t="s">
        <v>484</v>
      </c>
      <c r="G146" s="2" t="s">
        <v>1340</v>
      </c>
      <c r="H146" s="2" t="s">
        <v>3254</v>
      </c>
      <c r="I146" s="2" t="s">
        <v>3255</v>
      </c>
      <c r="J146" s="2" t="s">
        <v>2074</v>
      </c>
      <c r="K146" s="2">
        <v>0</v>
      </c>
      <c r="L146" s="2">
        <v>0</v>
      </c>
      <c r="M146" s="2">
        <v>1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1</v>
      </c>
      <c r="AC146" s="2">
        <v>1</v>
      </c>
      <c r="AD146" s="2">
        <v>1</v>
      </c>
      <c r="AE146"/>
    </row>
    <row r="147" spans="1:31" x14ac:dyDescent="0.25">
      <c r="A147" s="2" t="s">
        <v>23</v>
      </c>
      <c r="B147" s="2" t="s">
        <v>184</v>
      </c>
      <c r="C147" s="2" t="s">
        <v>183</v>
      </c>
      <c r="D147" s="2" t="s">
        <v>206</v>
      </c>
      <c r="E147" s="2" t="s">
        <v>205</v>
      </c>
      <c r="F147" s="2" t="s">
        <v>211</v>
      </c>
      <c r="G147" s="2" t="s">
        <v>1341</v>
      </c>
      <c r="H147" s="2" t="s">
        <v>3256</v>
      </c>
      <c r="I147" s="2" t="s">
        <v>3257</v>
      </c>
      <c r="J147" s="2" t="s">
        <v>2074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2</v>
      </c>
      <c r="AE147"/>
    </row>
    <row r="148" spans="1:31" x14ac:dyDescent="0.25">
      <c r="A148" s="2" t="s">
        <v>23</v>
      </c>
      <c r="B148" s="2" t="s">
        <v>184</v>
      </c>
      <c r="C148" s="2" t="s">
        <v>183</v>
      </c>
      <c r="D148" s="2" t="s">
        <v>206</v>
      </c>
      <c r="E148" s="2" t="s">
        <v>205</v>
      </c>
      <c r="F148" s="2" t="s">
        <v>675</v>
      </c>
      <c r="G148" s="2" t="s">
        <v>1571</v>
      </c>
      <c r="H148" s="2" t="s">
        <v>3258</v>
      </c>
      <c r="I148" s="2" t="s">
        <v>3259</v>
      </c>
      <c r="J148" s="2" t="s">
        <v>3693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1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/>
    </row>
    <row r="149" spans="1:31" x14ac:dyDescent="0.25">
      <c r="A149" s="2" t="s">
        <v>23</v>
      </c>
      <c r="B149" s="2" t="s">
        <v>48</v>
      </c>
      <c r="C149" s="2" t="s">
        <v>47</v>
      </c>
      <c r="D149" s="2" t="s">
        <v>232</v>
      </c>
      <c r="E149" s="2" t="s">
        <v>231</v>
      </c>
      <c r="F149" s="2" t="s">
        <v>233</v>
      </c>
      <c r="G149" s="2" t="s">
        <v>1358</v>
      </c>
      <c r="H149" s="2" t="s">
        <v>3326</v>
      </c>
      <c r="I149" s="2" t="s">
        <v>3327</v>
      </c>
      <c r="J149" s="2" t="s">
        <v>2074</v>
      </c>
      <c r="K149" s="2">
        <v>0</v>
      </c>
      <c r="L149" s="2">
        <v>0</v>
      </c>
      <c r="M149" s="2">
        <v>0</v>
      </c>
      <c r="N149" s="2">
        <v>3</v>
      </c>
      <c r="O149" s="2">
        <v>1</v>
      </c>
      <c r="P149" s="2">
        <v>1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2</v>
      </c>
      <c r="Y149" s="2">
        <v>0</v>
      </c>
      <c r="Z149" s="2">
        <v>0</v>
      </c>
      <c r="AA149" s="2">
        <v>0</v>
      </c>
      <c r="AB149" s="2">
        <v>0</v>
      </c>
      <c r="AC149" s="2">
        <v>1</v>
      </c>
      <c r="AD149" s="2">
        <v>0</v>
      </c>
      <c r="AE149"/>
    </row>
    <row r="150" spans="1:31" x14ac:dyDescent="0.25">
      <c r="A150" s="2" t="s">
        <v>23</v>
      </c>
      <c r="B150" s="2" t="s">
        <v>48</v>
      </c>
      <c r="C150" s="2" t="s">
        <v>47</v>
      </c>
      <c r="D150" s="2" t="s">
        <v>232</v>
      </c>
      <c r="E150" s="2" t="s">
        <v>231</v>
      </c>
      <c r="F150" s="2" t="s">
        <v>234</v>
      </c>
      <c r="G150" s="2" t="s">
        <v>1362</v>
      </c>
      <c r="H150" s="2" t="s">
        <v>3340</v>
      </c>
      <c r="I150" s="2" t="s">
        <v>3341</v>
      </c>
      <c r="J150" s="2" t="s">
        <v>2078</v>
      </c>
      <c r="K150" s="2">
        <v>0</v>
      </c>
      <c r="L150" s="2">
        <v>0</v>
      </c>
      <c r="M150" s="2">
        <v>1</v>
      </c>
      <c r="N150" s="2">
        <v>2</v>
      </c>
      <c r="O150" s="2">
        <v>1</v>
      </c>
      <c r="P150" s="2">
        <v>2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1</v>
      </c>
      <c r="Y150" s="2">
        <v>0</v>
      </c>
      <c r="Z150" s="2">
        <v>0</v>
      </c>
      <c r="AA150" s="2">
        <v>0</v>
      </c>
      <c r="AB150" s="2">
        <v>0</v>
      </c>
      <c r="AC150" s="2">
        <v>1</v>
      </c>
      <c r="AD150" s="2">
        <v>1</v>
      </c>
      <c r="AE150"/>
    </row>
    <row r="151" spans="1:31" x14ac:dyDescent="0.25">
      <c r="A151" s="2" t="s">
        <v>23</v>
      </c>
      <c r="B151" s="2" t="s">
        <v>48</v>
      </c>
      <c r="C151" s="2" t="s">
        <v>47</v>
      </c>
      <c r="D151" s="2" t="s">
        <v>232</v>
      </c>
      <c r="E151" s="2" t="s">
        <v>231</v>
      </c>
      <c r="F151" s="2" t="s">
        <v>834</v>
      </c>
      <c r="G151" s="2" t="s">
        <v>1359</v>
      </c>
      <c r="H151" s="2" t="s">
        <v>3336</v>
      </c>
      <c r="I151" s="2" t="s">
        <v>3337</v>
      </c>
      <c r="J151" s="2" t="s">
        <v>2074</v>
      </c>
      <c r="K151" s="2">
        <v>0</v>
      </c>
      <c r="L151" s="2">
        <v>0</v>
      </c>
      <c r="M151" s="2">
        <v>0</v>
      </c>
      <c r="N151" s="2">
        <v>3</v>
      </c>
      <c r="O151" s="2">
        <v>0</v>
      </c>
      <c r="P151" s="2">
        <v>2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1</v>
      </c>
      <c r="AD151" s="2">
        <v>0</v>
      </c>
      <c r="AE151"/>
    </row>
    <row r="152" spans="1:31" x14ac:dyDescent="0.25">
      <c r="A152" s="2" t="s">
        <v>23</v>
      </c>
      <c r="B152" s="2" t="s">
        <v>85</v>
      </c>
      <c r="C152" s="2" t="s">
        <v>84</v>
      </c>
      <c r="D152" s="2" t="s">
        <v>157</v>
      </c>
      <c r="E152" s="2" t="s">
        <v>156</v>
      </c>
      <c r="F152" s="2" t="s">
        <v>327</v>
      </c>
      <c r="G152" s="2" t="s">
        <v>1014</v>
      </c>
      <c r="H152" s="2" t="s">
        <v>2552</v>
      </c>
      <c r="I152" s="2" t="s">
        <v>2553</v>
      </c>
      <c r="J152" s="2" t="s">
        <v>2074</v>
      </c>
      <c r="K152" s="2">
        <v>0</v>
      </c>
      <c r="L152" s="2">
        <v>0</v>
      </c>
      <c r="M152" s="2">
        <v>0</v>
      </c>
      <c r="N152" s="2">
        <v>1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2</v>
      </c>
      <c r="AE152"/>
    </row>
    <row r="153" spans="1:31" x14ac:dyDescent="0.25">
      <c r="A153" s="2" t="s">
        <v>23</v>
      </c>
      <c r="B153" s="2" t="s">
        <v>85</v>
      </c>
      <c r="C153" s="2" t="s">
        <v>84</v>
      </c>
      <c r="D153" s="2" t="s">
        <v>157</v>
      </c>
      <c r="E153" s="2" t="s">
        <v>156</v>
      </c>
      <c r="F153" s="2" t="s">
        <v>328</v>
      </c>
      <c r="G153" s="2" t="s">
        <v>1015</v>
      </c>
      <c r="H153" s="2" t="s">
        <v>2554</v>
      </c>
      <c r="I153" s="2" t="s">
        <v>2555</v>
      </c>
      <c r="J153" s="2" t="s">
        <v>2074</v>
      </c>
      <c r="K153" s="2">
        <v>0</v>
      </c>
      <c r="L153" s="2">
        <v>0</v>
      </c>
      <c r="M153" s="2">
        <v>1</v>
      </c>
      <c r="N153" s="2">
        <v>1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1</v>
      </c>
      <c r="AE153"/>
    </row>
    <row r="154" spans="1:31" x14ac:dyDescent="0.25">
      <c r="A154" s="2" t="s">
        <v>23</v>
      </c>
      <c r="B154" s="2" t="s">
        <v>85</v>
      </c>
      <c r="C154" s="2" t="s">
        <v>84</v>
      </c>
      <c r="D154" s="2" t="s">
        <v>157</v>
      </c>
      <c r="E154" s="2" t="s">
        <v>156</v>
      </c>
      <c r="F154" s="2" t="s">
        <v>330</v>
      </c>
      <c r="G154" s="2" t="s">
        <v>1017</v>
      </c>
      <c r="H154" s="2" t="s">
        <v>2558</v>
      </c>
      <c r="I154" s="2" t="s">
        <v>2559</v>
      </c>
      <c r="J154" s="2" t="s">
        <v>3706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1</v>
      </c>
      <c r="AE154"/>
    </row>
    <row r="155" spans="1:31" x14ac:dyDescent="0.25">
      <c r="A155" s="2" t="s">
        <v>23</v>
      </c>
      <c r="B155" s="2" t="s">
        <v>85</v>
      </c>
      <c r="C155" s="2" t="s">
        <v>84</v>
      </c>
      <c r="D155" s="2" t="s">
        <v>157</v>
      </c>
      <c r="E155" s="2" t="s">
        <v>156</v>
      </c>
      <c r="F155" s="2" t="s">
        <v>331</v>
      </c>
      <c r="G155" s="2" t="s">
        <v>1018</v>
      </c>
      <c r="H155" s="2" t="s">
        <v>2560</v>
      </c>
      <c r="I155" s="2" t="s">
        <v>2561</v>
      </c>
      <c r="J155" s="2" t="s">
        <v>2074</v>
      </c>
      <c r="K155" s="2">
        <v>0</v>
      </c>
      <c r="L155" s="2">
        <v>0</v>
      </c>
      <c r="M155" s="2">
        <v>1</v>
      </c>
      <c r="N155" s="2">
        <v>2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1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/>
    </row>
    <row r="156" spans="1:31" x14ac:dyDescent="0.25">
      <c r="A156" s="2" t="s">
        <v>23</v>
      </c>
      <c r="B156" s="2" t="s">
        <v>85</v>
      </c>
      <c r="C156" s="2" t="s">
        <v>84</v>
      </c>
      <c r="D156" s="2" t="s">
        <v>157</v>
      </c>
      <c r="E156" s="2" t="s">
        <v>156</v>
      </c>
      <c r="F156" s="2" t="s">
        <v>332</v>
      </c>
      <c r="G156" s="2" t="s">
        <v>1019</v>
      </c>
      <c r="H156" s="2" t="s">
        <v>2562</v>
      </c>
      <c r="I156" s="2" t="s">
        <v>2563</v>
      </c>
      <c r="J156" s="2" t="s">
        <v>2074</v>
      </c>
      <c r="K156" s="2">
        <v>0</v>
      </c>
      <c r="L156" s="2">
        <v>0</v>
      </c>
      <c r="M156" s="2">
        <v>0</v>
      </c>
      <c r="N156" s="2">
        <v>1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2</v>
      </c>
      <c r="AE156"/>
    </row>
    <row r="157" spans="1:31" x14ac:dyDescent="0.25">
      <c r="A157" s="2" t="s">
        <v>23</v>
      </c>
      <c r="B157" s="2" t="s">
        <v>85</v>
      </c>
      <c r="C157" s="2" t="s">
        <v>84</v>
      </c>
      <c r="D157" s="2" t="s">
        <v>157</v>
      </c>
      <c r="E157" s="2" t="s">
        <v>156</v>
      </c>
      <c r="F157" s="2" t="s">
        <v>333</v>
      </c>
      <c r="G157" s="2" t="s">
        <v>1020</v>
      </c>
      <c r="H157" s="2" t="s">
        <v>2564</v>
      </c>
      <c r="I157" s="2" t="s">
        <v>2565</v>
      </c>
      <c r="J157" s="2" t="s">
        <v>2074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1</v>
      </c>
      <c r="AD157" s="2">
        <v>2</v>
      </c>
      <c r="AE157"/>
    </row>
    <row r="158" spans="1:31" x14ac:dyDescent="0.25">
      <c r="A158" s="2" t="s">
        <v>23</v>
      </c>
      <c r="B158" s="2" t="s">
        <v>85</v>
      </c>
      <c r="C158" s="2" t="s">
        <v>84</v>
      </c>
      <c r="D158" s="2" t="s">
        <v>157</v>
      </c>
      <c r="E158" s="2" t="s">
        <v>156</v>
      </c>
      <c r="F158" s="2" t="s">
        <v>334</v>
      </c>
      <c r="G158" s="2" t="s">
        <v>1021</v>
      </c>
      <c r="H158" s="2" t="s">
        <v>2566</v>
      </c>
      <c r="I158" s="2" t="s">
        <v>2567</v>
      </c>
      <c r="J158" s="2" t="s">
        <v>3704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1</v>
      </c>
      <c r="AD158" s="2">
        <v>2</v>
      </c>
      <c r="AE158"/>
    </row>
    <row r="159" spans="1:31" x14ac:dyDescent="0.25">
      <c r="A159" s="2" t="s">
        <v>23</v>
      </c>
      <c r="B159" s="2" t="s">
        <v>85</v>
      </c>
      <c r="C159" s="2" t="s">
        <v>84</v>
      </c>
      <c r="D159" s="2" t="s">
        <v>157</v>
      </c>
      <c r="E159" s="2" t="s">
        <v>156</v>
      </c>
      <c r="F159" s="2" t="s">
        <v>335</v>
      </c>
      <c r="G159" s="2" t="s">
        <v>1022</v>
      </c>
      <c r="H159" s="2" t="s">
        <v>2568</v>
      </c>
      <c r="I159" s="2" t="s">
        <v>2569</v>
      </c>
      <c r="J159" s="2" t="s">
        <v>3693</v>
      </c>
      <c r="K159" s="2">
        <v>0</v>
      </c>
      <c r="L159" s="2">
        <v>0</v>
      </c>
      <c r="M159" s="2">
        <v>0</v>
      </c>
      <c r="N159" s="2">
        <v>1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1</v>
      </c>
      <c r="AC159" s="2">
        <v>0</v>
      </c>
      <c r="AD159" s="2">
        <v>1</v>
      </c>
      <c r="AE159"/>
    </row>
    <row r="160" spans="1:31" x14ac:dyDescent="0.25">
      <c r="A160" s="2" t="s">
        <v>23</v>
      </c>
      <c r="B160" s="2" t="s">
        <v>85</v>
      </c>
      <c r="C160" s="2" t="s">
        <v>84</v>
      </c>
      <c r="D160" s="2" t="s">
        <v>157</v>
      </c>
      <c r="E160" s="2" t="s">
        <v>156</v>
      </c>
      <c r="F160" s="2" t="s">
        <v>336</v>
      </c>
      <c r="G160" s="2" t="s">
        <v>1023</v>
      </c>
      <c r="H160" s="2" t="s">
        <v>2570</v>
      </c>
      <c r="I160" s="2" t="s">
        <v>2571</v>
      </c>
      <c r="J160" s="2" t="s">
        <v>2074</v>
      </c>
      <c r="K160" s="2">
        <v>0</v>
      </c>
      <c r="L160" s="2">
        <v>0</v>
      </c>
      <c r="M160" s="2">
        <v>0</v>
      </c>
      <c r="N160" s="2">
        <v>1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1</v>
      </c>
      <c r="AE160"/>
    </row>
    <row r="161" spans="1:31" x14ac:dyDescent="0.25">
      <c r="A161" s="2" t="s">
        <v>23</v>
      </c>
      <c r="B161" s="2" t="s">
        <v>85</v>
      </c>
      <c r="C161" s="2" t="s">
        <v>84</v>
      </c>
      <c r="D161" s="2" t="s">
        <v>157</v>
      </c>
      <c r="E161" s="2" t="s">
        <v>156</v>
      </c>
      <c r="F161" s="2" t="s">
        <v>337</v>
      </c>
      <c r="G161" s="2" t="s">
        <v>1024</v>
      </c>
      <c r="H161" s="2" t="s">
        <v>2572</v>
      </c>
      <c r="I161" s="2" t="s">
        <v>2573</v>
      </c>
      <c r="J161" s="2" t="s">
        <v>2074</v>
      </c>
      <c r="K161" s="2">
        <v>0</v>
      </c>
      <c r="L161" s="2">
        <v>0</v>
      </c>
      <c r="M161" s="2">
        <v>0</v>
      </c>
      <c r="N161" s="2">
        <v>1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1</v>
      </c>
      <c r="AC161" s="2">
        <v>0</v>
      </c>
      <c r="AD161" s="2">
        <v>1</v>
      </c>
      <c r="AE161"/>
    </row>
    <row r="162" spans="1:31" x14ac:dyDescent="0.25">
      <c r="A162" s="2" t="s">
        <v>23</v>
      </c>
      <c r="B162" s="2" t="s">
        <v>85</v>
      </c>
      <c r="C162" s="2" t="s">
        <v>84</v>
      </c>
      <c r="D162" s="2" t="s">
        <v>157</v>
      </c>
      <c r="E162" s="2" t="s">
        <v>156</v>
      </c>
      <c r="F162" s="2" t="s">
        <v>341</v>
      </c>
      <c r="G162" s="2" t="s">
        <v>1028</v>
      </c>
      <c r="H162" s="2" t="s">
        <v>2580</v>
      </c>
      <c r="I162" s="2" t="s">
        <v>2581</v>
      </c>
      <c r="J162" s="2" t="s">
        <v>2074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1</v>
      </c>
      <c r="AE162"/>
    </row>
    <row r="163" spans="1:31" x14ac:dyDescent="0.25">
      <c r="A163" s="2" t="s">
        <v>23</v>
      </c>
      <c r="B163" s="2" t="s">
        <v>85</v>
      </c>
      <c r="C163" s="2" t="s">
        <v>84</v>
      </c>
      <c r="D163" s="2" t="s">
        <v>157</v>
      </c>
      <c r="E163" s="2" t="s">
        <v>156</v>
      </c>
      <c r="F163" s="2" t="s">
        <v>342</v>
      </c>
      <c r="G163" s="2" t="s">
        <v>1029</v>
      </c>
      <c r="H163" s="2" t="s">
        <v>2582</v>
      </c>
      <c r="I163" s="2" t="s">
        <v>2583</v>
      </c>
      <c r="J163" s="2" t="s">
        <v>3693</v>
      </c>
      <c r="K163" s="2">
        <v>0</v>
      </c>
      <c r="L163" s="2">
        <v>0</v>
      </c>
      <c r="M163" s="2">
        <v>0</v>
      </c>
      <c r="N163" s="2">
        <v>1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1</v>
      </c>
      <c r="Y163" s="2">
        <v>1</v>
      </c>
      <c r="Z163" s="2">
        <v>0</v>
      </c>
      <c r="AA163" s="2">
        <v>0</v>
      </c>
      <c r="AB163" s="2">
        <v>0</v>
      </c>
      <c r="AC163" s="2">
        <v>0</v>
      </c>
      <c r="AD163" s="2">
        <v>1</v>
      </c>
      <c r="AE163"/>
    </row>
    <row r="164" spans="1:31" x14ac:dyDescent="0.25">
      <c r="A164" s="2" t="s">
        <v>23</v>
      </c>
      <c r="B164" s="2" t="s">
        <v>85</v>
      </c>
      <c r="C164" s="2" t="s">
        <v>84</v>
      </c>
      <c r="D164" s="2" t="s">
        <v>157</v>
      </c>
      <c r="E164" s="2" t="s">
        <v>156</v>
      </c>
      <c r="F164" s="2" t="s">
        <v>343</v>
      </c>
      <c r="G164" s="2" t="s">
        <v>1030</v>
      </c>
      <c r="H164" s="2" t="s">
        <v>2584</v>
      </c>
      <c r="I164" s="2" t="s">
        <v>2585</v>
      </c>
      <c r="J164" s="2" t="s">
        <v>3705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1</v>
      </c>
      <c r="AE164"/>
    </row>
    <row r="165" spans="1:31" x14ac:dyDescent="0.25">
      <c r="A165" s="2" t="s">
        <v>23</v>
      </c>
      <c r="B165" s="2" t="s">
        <v>85</v>
      </c>
      <c r="C165" s="2" t="s">
        <v>84</v>
      </c>
      <c r="D165" s="2" t="s">
        <v>157</v>
      </c>
      <c r="E165" s="2" t="s">
        <v>156</v>
      </c>
      <c r="F165" s="2" t="s">
        <v>344</v>
      </c>
      <c r="G165" s="2" t="s">
        <v>1031</v>
      </c>
      <c r="H165" s="2" t="s">
        <v>2586</v>
      </c>
      <c r="I165" s="2" t="s">
        <v>2587</v>
      </c>
      <c r="J165" s="2" t="s">
        <v>2074</v>
      </c>
      <c r="K165" s="2">
        <v>0</v>
      </c>
      <c r="L165" s="2">
        <v>0</v>
      </c>
      <c r="M165" s="2">
        <v>0</v>
      </c>
      <c r="N165" s="2">
        <v>1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2</v>
      </c>
      <c r="AE165"/>
    </row>
    <row r="166" spans="1:31" x14ac:dyDescent="0.25">
      <c r="A166" s="2" t="s">
        <v>23</v>
      </c>
      <c r="B166" s="2" t="s">
        <v>85</v>
      </c>
      <c r="C166" s="2" t="s">
        <v>84</v>
      </c>
      <c r="D166" s="2" t="s">
        <v>157</v>
      </c>
      <c r="E166" s="2" t="s">
        <v>156</v>
      </c>
      <c r="F166" s="2" t="s">
        <v>345</v>
      </c>
      <c r="G166" s="2" t="s">
        <v>1032</v>
      </c>
      <c r="H166" s="2" t="s">
        <v>2588</v>
      </c>
      <c r="I166" s="2" t="s">
        <v>2589</v>
      </c>
      <c r="J166" s="2" t="s">
        <v>2074</v>
      </c>
      <c r="K166" s="2">
        <v>0</v>
      </c>
      <c r="L166" s="2">
        <v>0</v>
      </c>
      <c r="M166" s="2">
        <v>1</v>
      </c>
      <c r="N166" s="2">
        <v>2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2</v>
      </c>
      <c r="U166" s="2">
        <v>0</v>
      </c>
      <c r="V166" s="2">
        <v>0</v>
      </c>
      <c r="W166" s="2">
        <v>1</v>
      </c>
      <c r="X166" s="2">
        <v>0</v>
      </c>
      <c r="Y166" s="2">
        <v>1</v>
      </c>
      <c r="Z166" s="2">
        <v>0</v>
      </c>
      <c r="AA166" s="2">
        <v>1</v>
      </c>
      <c r="AB166" s="2">
        <v>0</v>
      </c>
      <c r="AC166" s="2">
        <v>0</v>
      </c>
      <c r="AD166" s="2">
        <v>1</v>
      </c>
      <c r="AE166"/>
    </row>
    <row r="167" spans="1:31" x14ac:dyDescent="0.25">
      <c r="A167" s="2" t="s">
        <v>23</v>
      </c>
      <c r="B167" s="2" t="s">
        <v>85</v>
      </c>
      <c r="C167" s="2" t="s">
        <v>84</v>
      </c>
      <c r="D167" s="2" t="s">
        <v>157</v>
      </c>
      <c r="E167" s="2" t="s">
        <v>156</v>
      </c>
      <c r="F167" s="2" t="s">
        <v>346</v>
      </c>
      <c r="G167" s="2" t="s">
        <v>1033</v>
      </c>
      <c r="H167" s="2" t="s">
        <v>2590</v>
      </c>
      <c r="I167" s="2" t="s">
        <v>2591</v>
      </c>
      <c r="J167" s="2" t="s">
        <v>2074</v>
      </c>
      <c r="K167" s="2">
        <v>0</v>
      </c>
      <c r="L167" s="2">
        <v>0</v>
      </c>
      <c r="M167" s="2">
        <v>0</v>
      </c>
      <c r="N167" s="2">
        <v>1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1</v>
      </c>
      <c r="AE167"/>
    </row>
    <row r="168" spans="1:31" x14ac:dyDescent="0.25">
      <c r="A168" s="2" t="s">
        <v>23</v>
      </c>
      <c r="B168" s="2" t="s">
        <v>85</v>
      </c>
      <c r="C168" s="2" t="s">
        <v>84</v>
      </c>
      <c r="D168" s="2" t="s">
        <v>157</v>
      </c>
      <c r="E168" s="2" t="s">
        <v>156</v>
      </c>
      <c r="F168" s="2" t="s">
        <v>347</v>
      </c>
      <c r="G168" s="2" t="s">
        <v>1034</v>
      </c>
      <c r="H168" s="2" t="s">
        <v>2592</v>
      </c>
      <c r="I168" s="2" t="s">
        <v>2593</v>
      </c>
      <c r="J168" s="2" t="s">
        <v>2074</v>
      </c>
      <c r="K168" s="2">
        <v>0</v>
      </c>
      <c r="L168" s="2">
        <v>0</v>
      </c>
      <c r="M168" s="2">
        <v>0</v>
      </c>
      <c r="N168" s="2">
        <v>1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1</v>
      </c>
      <c r="AE168"/>
    </row>
    <row r="169" spans="1:31" x14ac:dyDescent="0.25">
      <c r="A169" s="2" t="s">
        <v>23</v>
      </c>
      <c r="B169" s="2" t="s">
        <v>85</v>
      </c>
      <c r="C169" s="2" t="s">
        <v>84</v>
      </c>
      <c r="D169" s="2" t="s">
        <v>157</v>
      </c>
      <c r="E169" s="2" t="s">
        <v>156</v>
      </c>
      <c r="F169" s="2" t="s">
        <v>348</v>
      </c>
      <c r="G169" s="2" t="s">
        <v>1035</v>
      </c>
      <c r="H169" s="2" t="s">
        <v>2594</v>
      </c>
      <c r="I169" s="2" t="s">
        <v>2595</v>
      </c>
      <c r="J169" s="2" t="s">
        <v>2074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1</v>
      </c>
      <c r="V169" s="2">
        <v>0</v>
      </c>
      <c r="W169" s="2">
        <v>0</v>
      </c>
      <c r="X169" s="2">
        <v>1</v>
      </c>
      <c r="Y169" s="2">
        <v>1</v>
      </c>
      <c r="Z169" s="2">
        <v>0</v>
      </c>
      <c r="AA169" s="2">
        <v>0</v>
      </c>
      <c r="AB169" s="2">
        <v>0</v>
      </c>
      <c r="AC169" s="2">
        <v>1</v>
      </c>
      <c r="AD169" s="2">
        <v>2</v>
      </c>
      <c r="AE169"/>
    </row>
    <row r="170" spans="1:31" x14ac:dyDescent="0.25">
      <c r="A170" s="2" t="s">
        <v>23</v>
      </c>
      <c r="B170" s="2" t="s">
        <v>85</v>
      </c>
      <c r="C170" s="2" t="s">
        <v>84</v>
      </c>
      <c r="D170" s="2" t="s">
        <v>157</v>
      </c>
      <c r="E170" s="2" t="s">
        <v>156</v>
      </c>
      <c r="F170" s="2" t="s">
        <v>349</v>
      </c>
      <c r="G170" s="2" t="s">
        <v>1036</v>
      </c>
      <c r="H170" s="2" t="s">
        <v>2596</v>
      </c>
      <c r="I170" s="2" t="s">
        <v>2597</v>
      </c>
      <c r="J170" s="2" t="s">
        <v>2074</v>
      </c>
      <c r="K170" s="2">
        <v>0</v>
      </c>
      <c r="L170" s="2">
        <v>0</v>
      </c>
      <c r="M170" s="2">
        <v>0</v>
      </c>
      <c r="N170" s="2">
        <v>1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1</v>
      </c>
      <c r="Y170" s="2">
        <v>1</v>
      </c>
      <c r="Z170" s="2">
        <v>0</v>
      </c>
      <c r="AA170" s="2">
        <v>0</v>
      </c>
      <c r="AB170" s="2">
        <v>0</v>
      </c>
      <c r="AC170" s="2">
        <v>0</v>
      </c>
      <c r="AD170" s="2">
        <v>2</v>
      </c>
      <c r="AE170"/>
    </row>
    <row r="171" spans="1:31" x14ac:dyDescent="0.25">
      <c r="A171" s="2" t="s">
        <v>23</v>
      </c>
      <c r="B171" s="2" t="s">
        <v>85</v>
      </c>
      <c r="C171" s="2" t="s">
        <v>84</v>
      </c>
      <c r="D171" s="2" t="s">
        <v>157</v>
      </c>
      <c r="E171" s="2" t="s">
        <v>156</v>
      </c>
      <c r="F171" s="2" t="s">
        <v>350</v>
      </c>
      <c r="G171" s="2" t="s">
        <v>1037</v>
      </c>
      <c r="H171" s="2" t="s">
        <v>2598</v>
      </c>
      <c r="I171" s="2" t="s">
        <v>2599</v>
      </c>
      <c r="J171" s="2" t="s">
        <v>2074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1</v>
      </c>
      <c r="AE171"/>
    </row>
    <row r="172" spans="1:31" x14ac:dyDescent="0.25">
      <c r="A172" s="2" t="s">
        <v>23</v>
      </c>
      <c r="B172" s="2" t="s">
        <v>85</v>
      </c>
      <c r="C172" s="2" t="s">
        <v>84</v>
      </c>
      <c r="D172" s="2" t="s">
        <v>157</v>
      </c>
      <c r="E172" s="2" t="s">
        <v>156</v>
      </c>
      <c r="F172" s="2" t="s">
        <v>351</v>
      </c>
      <c r="G172" s="2" t="s">
        <v>1038</v>
      </c>
      <c r="H172" s="2" t="s">
        <v>2600</v>
      </c>
      <c r="I172" s="2" t="s">
        <v>2601</v>
      </c>
      <c r="J172" s="2" t="s">
        <v>2074</v>
      </c>
      <c r="K172" s="2">
        <v>0</v>
      </c>
      <c r="L172" s="2">
        <v>1</v>
      </c>
      <c r="M172" s="2">
        <v>0</v>
      </c>
      <c r="N172" s="2">
        <v>1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1</v>
      </c>
      <c r="AE172"/>
    </row>
    <row r="173" spans="1:31" x14ac:dyDescent="0.25">
      <c r="A173" s="2" t="s">
        <v>23</v>
      </c>
      <c r="B173" s="2" t="s">
        <v>85</v>
      </c>
      <c r="C173" s="2" t="s">
        <v>84</v>
      </c>
      <c r="D173" s="2" t="s">
        <v>157</v>
      </c>
      <c r="E173" s="2" t="s">
        <v>156</v>
      </c>
      <c r="F173" s="2" t="s">
        <v>355</v>
      </c>
      <c r="G173" s="2" t="s">
        <v>1042</v>
      </c>
      <c r="H173" s="2" t="s">
        <v>2608</v>
      </c>
      <c r="I173" s="2" t="s">
        <v>2609</v>
      </c>
      <c r="J173" s="2" t="s">
        <v>2074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1</v>
      </c>
      <c r="AE173"/>
    </row>
    <row r="174" spans="1:31" x14ac:dyDescent="0.25">
      <c r="A174" s="2" t="s">
        <v>23</v>
      </c>
      <c r="B174" s="2" t="s">
        <v>85</v>
      </c>
      <c r="C174" s="2" t="s">
        <v>84</v>
      </c>
      <c r="D174" s="2" t="s">
        <v>157</v>
      </c>
      <c r="E174" s="2" t="s">
        <v>156</v>
      </c>
      <c r="F174" s="2" t="s">
        <v>82</v>
      </c>
      <c r="G174" s="2" t="s">
        <v>1045</v>
      </c>
      <c r="H174" s="2" t="s">
        <v>2614</v>
      </c>
      <c r="I174" s="2" t="s">
        <v>2615</v>
      </c>
      <c r="J174" s="2" t="s">
        <v>2074</v>
      </c>
      <c r="K174" s="2">
        <v>0</v>
      </c>
      <c r="L174" s="2">
        <v>0</v>
      </c>
      <c r="M174" s="2">
        <v>0</v>
      </c>
      <c r="N174" s="2">
        <v>1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1</v>
      </c>
      <c r="AE174"/>
    </row>
    <row r="175" spans="1:31" x14ac:dyDescent="0.25">
      <c r="A175" s="2" t="s">
        <v>23</v>
      </c>
      <c r="B175" s="2" t="s">
        <v>85</v>
      </c>
      <c r="C175" s="2" t="s">
        <v>84</v>
      </c>
      <c r="D175" s="2" t="s">
        <v>157</v>
      </c>
      <c r="E175" s="2" t="s">
        <v>156</v>
      </c>
      <c r="F175" s="2" t="s">
        <v>358</v>
      </c>
      <c r="G175" s="2" t="s">
        <v>1046</v>
      </c>
      <c r="H175" s="2" t="s">
        <v>2616</v>
      </c>
      <c r="I175" s="2" t="s">
        <v>2617</v>
      </c>
      <c r="J175" s="2" t="s">
        <v>3692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3</v>
      </c>
      <c r="AE175"/>
    </row>
    <row r="176" spans="1:31" x14ac:dyDescent="0.25">
      <c r="A176" s="2" t="s">
        <v>23</v>
      </c>
      <c r="B176" s="2" t="s">
        <v>85</v>
      </c>
      <c r="C176" s="2" t="s">
        <v>84</v>
      </c>
      <c r="D176" s="2" t="s">
        <v>157</v>
      </c>
      <c r="E176" s="2" t="s">
        <v>156</v>
      </c>
      <c r="F176" s="2" t="s">
        <v>359</v>
      </c>
      <c r="G176" s="2" t="s">
        <v>1047</v>
      </c>
      <c r="H176" s="2" t="s">
        <v>2618</v>
      </c>
      <c r="I176" s="2" t="s">
        <v>2619</v>
      </c>
      <c r="J176" s="2" t="s">
        <v>2074</v>
      </c>
      <c r="K176" s="2">
        <v>0</v>
      </c>
      <c r="L176" s="2">
        <v>0</v>
      </c>
      <c r="M176" s="2">
        <v>0</v>
      </c>
      <c r="N176" s="2">
        <v>1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1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/>
    </row>
    <row r="177" spans="1:31" x14ac:dyDescent="0.25">
      <c r="A177" s="2" t="s">
        <v>23</v>
      </c>
      <c r="B177" s="2" t="s">
        <v>85</v>
      </c>
      <c r="C177" s="2" t="s">
        <v>84</v>
      </c>
      <c r="D177" s="2" t="s">
        <v>157</v>
      </c>
      <c r="E177" s="2" t="s">
        <v>156</v>
      </c>
      <c r="F177" s="2" t="s">
        <v>360</v>
      </c>
      <c r="G177" s="2" t="s">
        <v>1048</v>
      </c>
      <c r="H177" s="2" t="s">
        <v>2620</v>
      </c>
      <c r="I177" s="2" t="s">
        <v>2621</v>
      </c>
      <c r="J177" s="2" t="s">
        <v>2074</v>
      </c>
      <c r="K177" s="2">
        <v>0</v>
      </c>
      <c r="L177" s="2">
        <v>0</v>
      </c>
      <c r="M177" s="2">
        <v>0</v>
      </c>
      <c r="N177" s="2">
        <v>1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2</v>
      </c>
      <c r="AE177"/>
    </row>
    <row r="178" spans="1:31" x14ac:dyDescent="0.25">
      <c r="A178" s="2" t="s">
        <v>23</v>
      </c>
      <c r="B178" s="2" t="s">
        <v>85</v>
      </c>
      <c r="C178" s="2" t="s">
        <v>84</v>
      </c>
      <c r="D178" s="2" t="s">
        <v>157</v>
      </c>
      <c r="E178" s="2" t="s">
        <v>156</v>
      </c>
      <c r="F178" s="2" t="s">
        <v>361</v>
      </c>
      <c r="G178" s="2" t="s">
        <v>1049</v>
      </c>
      <c r="H178" s="2" t="s">
        <v>2622</v>
      </c>
      <c r="I178" s="2" t="s">
        <v>2623</v>
      </c>
      <c r="J178" s="2" t="s">
        <v>2074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1</v>
      </c>
      <c r="AE178"/>
    </row>
    <row r="179" spans="1:31" x14ac:dyDescent="0.25">
      <c r="A179" s="2" t="s">
        <v>23</v>
      </c>
      <c r="B179" s="2" t="s">
        <v>85</v>
      </c>
      <c r="C179" s="2" t="s">
        <v>84</v>
      </c>
      <c r="D179" s="2" t="s">
        <v>157</v>
      </c>
      <c r="E179" s="2" t="s">
        <v>156</v>
      </c>
      <c r="F179" s="2" t="s">
        <v>364</v>
      </c>
      <c r="G179" s="2" t="s">
        <v>1052</v>
      </c>
      <c r="H179" s="2" t="s">
        <v>2628</v>
      </c>
      <c r="I179" s="2" t="s">
        <v>2629</v>
      </c>
      <c r="J179" s="2" t="s">
        <v>3692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2</v>
      </c>
      <c r="AE179"/>
    </row>
    <row r="180" spans="1:31" x14ac:dyDescent="0.25">
      <c r="A180" s="2" t="s">
        <v>23</v>
      </c>
      <c r="B180" s="2" t="s">
        <v>85</v>
      </c>
      <c r="C180" s="2" t="s">
        <v>84</v>
      </c>
      <c r="D180" s="2" t="s">
        <v>157</v>
      </c>
      <c r="E180" s="2" t="s">
        <v>156</v>
      </c>
      <c r="F180" s="2" t="s">
        <v>365</v>
      </c>
      <c r="G180" s="2" t="s">
        <v>1053</v>
      </c>
      <c r="H180" s="2" t="s">
        <v>2630</v>
      </c>
      <c r="I180" s="2" t="s">
        <v>2631</v>
      </c>
      <c r="J180" s="2" t="s">
        <v>2074</v>
      </c>
      <c r="K180" s="2">
        <v>0</v>
      </c>
      <c r="L180" s="2">
        <v>1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1</v>
      </c>
      <c r="AE180"/>
    </row>
    <row r="181" spans="1:31" x14ac:dyDescent="0.25">
      <c r="A181" s="2" t="s">
        <v>23</v>
      </c>
      <c r="B181" s="2" t="s">
        <v>85</v>
      </c>
      <c r="C181" s="2" t="s">
        <v>84</v>
      </c>
      <c r="D181" s="2" t="s">
        <v>157</v>
      </c>
      <c r="E181" s="2" t="s">
        <v>156</v>
      </c>
      <c r="F181" s="2" t="s">
        <v>340</v>
      </c>
      <c r="G181" s="2" t="s">
        <v>1027</v>
      </c>
      <c r="H181" s="2" t="s">
        <v>2578</v>
      </c>
      <c r="I181" s="2" t="s">
        <v>2579</v>
      </c>
      <c r="J181" s="2" t="s">
        <v>2074</v>
      </c>
      <c r="K181" s="2">
        <v>0</v>
      </c>
      <c r="L181" s="2">
        <v>0</v>
      </c>
      <c r="M181" s="2">
        <v>0</v>
      </c>
      <c r="N181" s="2">
        <v>2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/>
    </row>
    <row r="182" spans="1:31" x14ac:dyDescent="0.25">
      <c r="A182" s="2" t="s">
        <v>23</v>
      </c>
      <c r="B182" s="2" t="s">
        <v>37</v>
      </c>
      <c r="C182" s="2" t="s">
        <v>36</v>
      </c>
      <c r="D182" s="2" t="s">
        <v>547</v>
      </c>
      <c r="E182" s="2" t="s">
        <v>548</v>
      </c>
      <c r="F182" s="2" t="s">
        <v>549</v>
      </c>
      <c r="G182" s="2" t="s">
        <v>1411</v>
      </c>
      <c r="H182" s="2" t="s">
        <v>3464</v>
      </c>
      <c r="I182" s="2" t="s">
        <v>3465</v>
      </c>
      <c r="J182" s="2" t="s">
        <v>2074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1</v>
      </c>
      <c r="AD182" s="2">
        <v>1</v>
      </c>
      <c r="AE182"/>
    </row>
    <row r="183" spans="1:31" x14ac:dyDescent="0.25">
      <c r="A183" s="2" t="s">
        <v>23</v>
      </c>
      <c r="B183" s="2" t="s">
        <v>37</v>
      </c>
      <c r="C183" s="2" t="s">
        <v>36</v>
      </c>
      <c r="D183" s="2" t="s">
        <v>547</v>
      </c>
      <c r="E183" s="2" t="s">
        <v>548</v>
      </c>
      <c r="F183" s="2" t="s">
        <v>550</v>
      </c>
      <c r="G183" s="2" t="s">
        <v>1412</v>
      </c>
      <c r="H183" s="2" t="s">
        <v>3466</v>
      </c>
      <c r="I183" s="2" t="s">
        <v>3467</v>
      </c>
      <c r="J183" s="2" t="s">
        <v>2074</v>
      </c>
      <c r="K183" s="2">
        <v>0</v>
      </c>
      <c r="L183" s="2">
        <v>0</v>
      </c>
      <c r="M183" s="2">
        <v>0</v>
      </c>
      <c r="N183" s="2">
        <v>1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1</v>
      </c>
      <c r="AD183" s="2">
        <v>0</v>
      </c>
      <c r="AE183"/>
    </row>
    <row r="184" spans="1:31" x14ac:dyDescent="0.25">
      <c r="A184" s="2" t="s">
        <v>23</v>
      </c>
      <c r="B184" s="2" t="s">
        <v>37</v>
      </c>
      <c r="C184" s="2" t="s">
        <v>36</v>
      </c>
      <c r="D184" s="2" t="s">
        <v>547</v>
      </c>
      <c r="E184" s="2" t="s">
        <v>548</v>
      </c>
      <c r="F184" s="2" t="s">
        <v>551</v>
      </c>
      <c r="G184" s="2" t="s">
        <v>1413</v>
      </c>
      <c r="H184" s="2" t="s">
        <v>3468</v>
      </c>
      <c r="I184" s="2" t="s">
        <v>3469</v>
      </c>
      <c r="J184" s="2" t="s">
        <v>2074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/>
    </row>
    <row r="185" spans="1:31" x14ac:dyDescent="0.25">
      <c r="A185" s="2" t="s">
        <v>23</v>
      </c>
      <c r="B185" s="2" t="s">
        <v>37</v>
      </c>
      <c r="C185" s="2" t="s">
        <v>36</v>
      </c>
      <c r="D185" s="2" t="s">
        <v>547</v>
      </c>
      <c r="E185" s="2" t="s">
        <v>548</v>
      </c>
      <c r="F185" s="2" t="s">
        <v>552</v>
      </c>
      <c r="G185" s="2" t="s">
        <v>1414</v>
      </c>
      <c r="H185" s="2" t="s">
        <v>3470</v>
      </c>
      <c r="I185" s="2" t="s">
        <v>3471</v>
      </c>
      <c r="J185" s="2" t="s">
        <v>2074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1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/>
    </row>
    <row r="186" spans="1:31" x14ac:dyDescent="0.25">
      <c r="A186" s="2" t="s">
        <v>23</v>
      </c>
      <c r="B186" s="2" t="s">
        <v>37</v>
      </c>
      <c r="C186" s="2" t="s">
        <v>36</v>
      </c>
      <c r="D186" s="2" t="s">
        <v>547</v>
      </c>
      <c r="E186" s="2" t="s">
        <v>548</v>
      </c>
      <c r="F186" s="2" t="s">
        <v>553</v>
      </c>
      <c r="G186" s="2" t="s">
        <v>1415</v>
      </c>
      <c r="H186" s="2" t="s">
        <v>3472</v>
      </c>
      <c r="I186" s="2" t="s">
        <v>3473</v>
      </c>
      <c r="J186" s="2" t="s">
        <v>2074</v>
      </c>
      <c r="K186" s="2">
        <v>0</v>
      </c>
      <c r="L186" s="2">
        <v>0</v>
      </c>
      <c r="M186" s="2">
        <v>0</v>
      </c>
      <c r="N186" s="2">
        <v>1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/>
    </row>
    <row r="187" spans="1:31" x14ac:dyDescent="0.25">
      <c r="A187" s="2" t="s">
        <v>23</v>
      </c>
      <c r="B187" s="2" t="s">
        <v>37</v>
      </c>
      <c r="C187" s="2" t="s">
        <v>36</v>
      </c>
      <c r="D187" s="2" t="s">
        <v>547</v>
      </c>
      <c r="E187" s="2" t="s">
        <v>548</v>
      </c>
      <c r="F187" s="2" t="s">
        <v>554</v>
      </c>
      <c r="G187" s="2" t="s">
        <v>1416</v>
      </c>
      <c r="H187" s="2" t="s">
        <v>3474</v>
      </c>
      <c r="I187" s="2" t="s">
        <v>3475</v>
      </c>
      <c r="J187" s="2" t="s">
        <v>2074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1</v>
      </c>
      <c r="AE187"/>
    </row>
    <row r="188" spans="1:31" x14ac:dyDescent="0.25">
      <c r="A188" s="2" t="s">
        <v>23</v>
      </c>
      <c r="B188" s="2" t="s">
        <v>37</v>
      </c>
      <c r="C188" s="2" t="s">
        <v>36</v>
      </c>
      <c r="D188" s="2" t="s">
        <v>547</v>
      </c>
      <c r="E188" s="2" t="s">
        <v>548</v>
      </c>
      <c r="F188" s="2" t="s">
        <v>555</v>
      </c>
      <c r="G188" s="2" t="s">
        <v>1417</v>
      </c>
      <c r="H188" s="2" t="s">
        <v>3476</v>
      </c>
      <c r="I188" s="2" t="s">
        <v>3477</v>
      </c>
      <c r="J188" s="2" t="s">
        <v>3693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1</v>
      </c>
      <c r="AD188" s="2">
        <v>1</v>
      </c>
      <c r="AE188"/>
    </row>
    <row r="189" spans="1:31" x14ac:dyDescent="0.25">
      <c r="A189" s="2" t="s">
        <v>23</v>
      </c>
      <c r="B189" s="2" t="s">
        <v>37</v>
      </c>
      <c r="C189" s="2" t="s">
        <v>36</v>
      </c>
      <c r="D189" s="2" t="s">
        <v>547</v>
      </c>
      <c r="E189" s="2" t="s">
        <v>548</v>
      </c>
      <c r="F189" s="2" t="s">
        <v>556</v>
      </c>
      <c r="G189" s="2" t="s">
        <v>1418</v>
      </c>
      <c r="H189" s="2" t="s">
        <v>3478</v>
      </c>
      <c r="I189" s="2" t="s">
        <v>3479</v>
      </c>
      <c r="J189" s="2" t="s">
        <v>2074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1</v>
      </c>
      <c r="AC189" s="2">
        <v>0</v>
      </c>
      <c r="AD189" s="2">
        <v>0</v>
      </c>
      <c r="AE189"/>
    </row>
    <row r="190" spans="1:31" x14ac:dyDescent="0.25">
      <c r="A190" s="2" t="s">
        <v>23</v>
      </c>
      <c r="B190" s="2" t="s">
        <v>37</v>
      </c>
      <c r="C190" s="2" t="s">
        <v>36</v>
      </c>
      <c r="D190" s="2" t="s">
        <v>547</v>
      </c>
      <c r="E190" s="2" t="s">
        <v>548</v>
      </c>
      <c r="F190" s="2" t="s">
        <v>557</v>
      </c>
      <c r="G190" s="2" t="s">
        <v>1419</v>
      </c>
      <c r="H190" s="2" t="s">
        <v>3480</v>
      </c>
      <c r="I190" s="2" t="s">
        <v>3481</v>
      </c>
      <c r="J190" s="2" t="s">
        <v>3693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1</v>
      </c>
      <c r="AE190"/>
    </row>
    <row r="191" spans="1:31" x14ac:dyDescent="0.25">
      <c r="A191" s="2" t="s">
        <v>23</v>
      </c>
      <c r="B191" s="2" t="s">
        <v>37</v>
      </c>
      <c r="C191" s="2" t="s">
        <v>36</v>
      </c>
      <c r="D191" s="2" t="s">
        <v>547</v>
      </c>
      <c r="E191" s="2" t="s">
        <v>548</v>
      </c>
      <c r="F191" s="2" t="s">
        <v>558</v>
      </c>
      <c r="G191" s="2" t="s">
        <v>1420</v>
      </c>
      <c r="H191" s="2" t="s">
        <v>3484</v>
      </c>
      <c r="I191" s="2" t="s">
        <v>3485</v>
      </c>
      <c r="J191" s="2" t="s">
        <v>2074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1</v>
      </c>
      <c r="AD191" s="2">
        <v>0</v>
      </c>
      <c r="AE191"/>
    </row>
    <row r="192" spans="1:31" x14ac:dyDescent="0.25">
      <c r="A192" s="2" t="s">
        <v>23</v>
      </c>
      <c r="B192" s="2" t="s">
        <v>37</v>
      </c>
      <c r="C192" s="2" t="s">
        <v>36</v>
      </c>
      <c r="D192" s="2" t="s">
        <v>547</v>
      </c>
      <c r="E192" s="2" t="s">
        <v>548</v>
      </c>
      <c r="F192" s="2" t="s">
        <v>559</v>
      </c>
      <c r="G192" s="2" t="s">
        <v>1421</v>
      </c>
      <c r="H192" s="2" t="s">
        <v>3486</v>
      </c>
      <c r="I192" s="2" t="s">
        <v>3487</v>
      </c>
      <c r="J192" s="2" t="s">
        <v>2074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1</v>
      </c>
      <c r="AE192"/>
    </row>
    <row r="193" spans="1:31" x14ac:dyDescent="0.25">
      <c r="A193" s="2" t="s">
        <v>23</v>
      </c>
      <c r="B193" s="2" t="s">
        <v>37</v>
      </c>
      <c r="C193" s="2" t="s">
        <v>36</v>
      </c>
      <c r="D193" s="2" t="s">
        <v>547</v>
      </c>
      <c r="E193" s="2" t="s">
        <v>548</v>
      </c>
      <c r="F193" s="2" t="s">
        <v>560</v>
      </c>
      <c r="G193" s="2" t="s">
        <v>1422</v>
      </c>
      <c r="H193" s="2" t="s">
        <v>3488</v>
      </c>
      <c r="I193" s="2" t="s">
        <v>3489</v>
      </c>
      <c r="J193" s="2" t="s">
        <v>2074</v>
      </c>
      <c r="K193" s="2">
        <v>0</v>
      </c>
      <c r="L193" s="2">
        <v>0</v>
      </c>
      <c r="M193" s="2">
        <v>1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1</v>
      </c>
      <c r="AE193"/>
    </row>
    <row r="194" spans="1:31" x14ac:dyDescent="0.25">
      <c r="A194" s="2" t="s">
        <v>23</v>
      </c>
      <c r="B194" s="2" t="s">
        <v>37</v>
      </c>
      <c r="C194" s="2" t="s">
        <v>36</v>
      </c>
      <c r="D194" s="2" t="s">
        <v>547</v>
      </c>
      <c r="E194" s="2" t="s">
        <v>548</v>
      </c>
      <c r="F194" s="2" t="s">
        <v>561</v>
      </c>
      <c r="G194" s="2" t="s">
        <v>1423</v>
      </c>
      <c r="H194" s="2" t="s">
        <v>3490</v>
      </c>
      <c r="I194" s="2" t="s">
        <v>3491</v>
      </c>
      <c r="J194" s="2" t="s">
        <v>2074</v>
      </c>
      <c r="K194" s="2">
        <v>0</v>
      </c>
      <c r="L194" s="2">
        <v>0</v>
      </c>
      <c r="M194" s="2">
        <v>0</v>
      </c>
      <c r="N194" s="2">
        <v>1</v>
      </c>
      <c r="O194" s="2">
        <v>0</v>
      </c>
      <c r="P194" s="2">
        <v>0</v>
      </c>
      <c r="Q194" s="2">
        <v>0</v>
      </c>
      <c r="R194" s="2">
        <v>1</v>
      </c>
      <c r="S194" s="2">
        <v>0</v>
      </c>
      <c r="T194" s="2">
        <v>0</v>
      </c>
      <c r="U194" s="2">
        <v>1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/>
    </row>
    <row r="195" spans="1:31" x14ac:dyDescent="0.25">
      <c r="A195" s="2" t="s">
        <v>23</v>
      </c>
      <c r="B195" s="2" t="s">
        <v>37</v>
      </c>
      <c r="C195" s="2" t="s">
        <v>36</v>
      </c>
      <c r="D195" s="2" t="s">
        <v>547</v>
      </c>
      <c r="E195" s="2" t="s">
        <v>548</v>
      </c>
      <c r="F195" s="2" t="s">
        <v>562</v>
      </c>
      <c r="G195" s="2" t="s">
        <v>1424</v>
      </c>
      <c r="H195" s="2" t="s">
        <v>3492</v>
      </c>
      <c r="I195" s="2" t="s">
        <v>3493</v>
      </c>
      <c r="J195" s="2" t="s">
        <v>2074</v>
      </c>
      <c r="K195" s="2">
        <v>0</v>
      </c>
      <c r="L195" s="2">
        <v>0</v>
      </c>
      <c r="M195" s="2">
        <v>0</v>
      </c>
      <c r="N195" s="2">
        <v>1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1</v>
      </c>
      <c r="AD195" s="2">
        <v>2</v>
      </c>
      <c r="AE195"/>
    </row>
    <row r="196" spans="1:31" x14ac:dyDescent="0.25">
      <c r="A196" s="2" t="s">
        <v>23</v>
      </c>
      <c r="B196" s="2" t="s">
        <v>37</v>
      </c>
      <c r="C196" s="2" t="s">
        <v>36</v>
      </c>
      <c r="D196" s="2" t="s">
        <v>547</v>
      </c>
      <c r="E196" s="2" t="s">
        <v>548</v>
      </c>
      <c r="F196" s="2" t="s">
        <v>563</v>
      </c>
      <c r="G196" s="2" t="s">
        <v>1425</v>
      </c>
      <c r="H196" s="2" t="s">
        <v>3494</v>
      </c>
      <c r="I196" s="2" t="s">
        <v>3495</v>
      </c>
      <c r="J196" s="2" t="s">
        <v>2074</v>
      </c>
      <c r="K196" s="2">
        <v>0</v>
      </c>
      <c r="L196" s="2">
        <v>0</v>
      </c>
      <c r="M196" s="2">
        <v>0</v>
      </c>
      <c r="N196" s="2">
        <v>1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/>
    </row>
    <row r="197" spans="1:31" x14ac:dyDescent="0.25">
      <c r="A197" s="2" t="s">
        <v>23</v>
      </c>
      <c r="B197" s="2" t="s">
        <v>37</v>
      </c>
      <c r="C197" s="2" t="s">
        <v>36</v>
      </c>
      <c r="D197" s="2" t="s">
        <v>547</v>
      </c>
      <c r="E197" s="2" t="s">
        <v>548</v>
      </c>
      <c r="F197" s="2" t="s">
        <v>564</v>
      </c>
      <c r="G197" s="2" t="s">
        <v>1426</v>
      </c>
      <c r="H197" s="2" t="s">
        <v>3500</v>
      </c>
      <c r="I197" s="2" t="s">
        <v>3501</v>
      </c>
      <c r="J197" s="2" t="s">
        <v>2074</v>
      </c>
      <c r="K197" s="2">
        <v>0</v>
      </c>
      <c r="L197" s="2">
        <v>0</v>
      </c>
      <c r="M197" s="2">
        <v>0</v>
      </c>
      <c r="N197" s="2">
        <v>1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1</v>
      </c>
      <c r="AE197"/>
    </row>
    <row r="198" spans="1:31" x14ac:dyDescent="0.25">
      <c r="A198" s="2" t="s">
        <v>23</v>
      </c>
      <c r="B198" s="2" t="s">
        <v>37</v>
      </c>
      <c r="C198" s="2" t="s">
        <v>36</v>
      </c>
      <c r="D198" s="2" t="s">
        <v>547</v>
      </c>
      <c r="E198" s="2" t="s">
        <v>548</v>
      </c>
      <c r="F198" s="2" t="s">
        <v>565</v>
      </c>
      <c r="G198" s="2" t="s">
        <v>1427</v>
      </c>
      <c r="H198" s="2" t="s">
        <v>3502</v>
      </c>
      <c r="I198" s="2" t="s">
        <v>3503</v>
      </c>
      <c r="J198" s="2" t="s">
        <v>2074</v>
      </c>
      <c r="K198" s="2">
        <v>0</v>
      </c>
      <c r="L198" s="2">
        <v>0</v>
      </c>
      <c r="M198" s="2">
        <v>0</v>
      </c>
      <c r="N198" s="2">
        <v>1</v>
      </c>
      <c r="O198" s="2">
        <v>0</v>
      </c>
      <c r="P198" s="2">
        <v>0</v>
      </c>
      <c r="Q198" s="2">
        <v>0</v>
      </c>
      <c r="R198" s="2">
        <v>1</v>
      </c>
      <c r="S198" s="2">
        <v>1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/>
    </row>
    <row r="199" spans="1:31" x14ac:dyDescent="0.25">
      <c r="A199" s="2" t="s">
        <v>23</v>
      </c>
      <c r="B199" s="2" t="s">
        <v>37</v>
      </c>
      <c r="C199" s="2" t="s">
        <v>36</v>
      </c>
      <c r="D199" s="2" t="s">
        <v>547</v>
      </c>
      <c r="E199" s="2" t="s">
        <v>548</v>
      </c>
      <c r="F199" s="2" t="s">
        <v>242</v>
      </c>
      <c r="G199" s="2" t="s">
        <v>1428</v>
      </c>
      <c r="H199" s="2" t="s">
        <v>3504</v>
      </c>
      <c r="I199" s="2" t="s">
        <v>3505</v>
      </c>
      <c r="J199" s="2" t="s">
        <v>2074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1</v>
      </c>
      <c r="AE199"/>
    </row>
    <row r="200" spans="1:31" x14ac:dyDescent="0.25">
      <c r="A200" s="2" t="s">
        <v>23</v>
      </c>
      <c r="B200" s="2" t="s">
        <v>37</v>
      </c>
      <c r="C200" s="2" t="s">
        <v>36</v>
      </c>
      <c r="D200" s="2" t="s">
        <v>547</v>
      </c>
      <c r="E200" s="2" t="s">
        <v>548</v>
      </c>
      <c r="F200" s="2" t="s">
        <v>566</v>
      </c>
      <c r="G200" s="2" t="s">
        <v>1429</v>
      </c>
      <c r="H200" s="2" t="s">
        <v>3506</v>
      </c>
      <c r="I200" s="2" t="s">
        <v>3507</v>
      </c>
      <c r="J200" s="2" t="s">
        <v>2074</v>
      </c>
      <c r="K200" s="2">
        <v>0</v>
      </c>
      <c r="L200" s="2">
        <v>0</v>
      </c>
      <c r="M200" s="2">
        <v>0</v>
      </c>
      <c r="N200" s="2">
        <v>1</v>
      </c>
      <c r="O200" s="2">
        <v>0</v>
      </c>
      <c r="P200" s="2">
        <v>0</v>
      </c>
      <c r="Q200" s="2">
        <v>0</v>
      </c>
      <c r="R200" s="2">
        <v>1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1</v>
      </c>
      <c r="AD200" s="2">
        <v>0</v>
      </c>
      <c r="AE200"/>
    </row>
    <row r="201" spans="1:31" x14ac:dyDescent="0.25">
      <c r="A201" s="2" t="s">
        <v>23</v>
      </c>
      <c r="B201" s="2" t="s">
        <v>37</v>
      </c>
      <c r="C201" s="2" t="s">
        <v>36</v>
      </c>
      <c r="D201" s="2" t="s">
        <v>547</v>
      </c>
      <c r="E201" s="2" t="s">
        <v>548</v>
      </c>
      <c r="F201" s="2" t="s">
        <v>599</v>
      </c>
      <c r="G201" s="2" t="s">
        <v>1431</v>
      </c>
      <c r="H201" s="2" t="s">
        <v>3512</v>
      </c>
      <c r="I201" s="2" t="s">
        <v>3513</v>
      </c>
      <c r="J201" s="2" t="s">
        <v>2074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1</v>
      </c>
      <c r="AC201" s="2">
        <v>1</v>
      </c>
      <c r="AD201" s="2">
        <v>0</v>
      </c>
      <c r="AE201"/>
    </row>
    <row r="202" spans="1:31" x14ac:dyDescent="0.25">
      <c r="A202" s="2" t="s">
        <v>23</v>
      </c>
      <c r="B202" s="2" t="s">
        <v>37</v>
      </c>
      <c r="C202" s="2" t="s">
        <v>36</v>
      </c>
      <c r="D202" s="2" t="s">
        <v>547</v>
      </c>
      <c r="E202" s="2" t="s">
        <v>548</v>
      </c>
      <c r="F202" s="2" t="s">
        <v>568</v>
      </c>
      <c r="G202" s="2" t="s">
        <v>1432</v>
      </c>
      <c r="H202" s="2" t="s">
        <v>3514</v>
      </c>
      <c r="I202" s="2" t="s">
        <v>3515</v>
      </c>
      <c r="J202" s="2" t="s">
        <v>2074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2</v>
      </c>
      <c r="AC202" s="2">
        <v>1</v>
      </c>
      <c r="AD202" s="2">
        <v>0</v>
      </c>
      <c r="AE202"/>
    </row>
    <row r="203" spans="1:31" x14ac:dyDescent="0.25">
      <c r="A203" s="2" t="s">
        <v>23</v>
      </c>
      <c r="B203" s="2" t="s">
        <v>37</v>
      </c>
      <c r="C203" s="2" t="s">
        <v>36</v>
      </c>
      <c r="D203" s="2" t="s">
        <v>547</v>
      </c>
      <c r="E203" s="2" t="s">
        <v>548</v>
      </c>
      <c r="F203" s="2" t="s">
        <v>569</v>
      </c>
      <c r="G203" s="2" t="s">
        <v>1433</v>
      </c>
      <c r="H203" s="2" t="s">
        <v>3516</v>
      </c>
      <c r="I203" s="2" t="s">
        <v>3517</v>
      </c>
      <c r="J203" s="2" t="s">
        <v>2074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1</v>
      </c>
      <c r="AC203" s="2">
        <v>0</v>
      </c>
      <c r="AD203" s="2">
        <v>0</v>
      </c>
      <c r="AE203"/>
    </row>
    <row r="204" spans="1:31" x14ac:dyDescent="0.25">
      <c r="A204" s="2" t="s">
        <v>23</v>
      </c>
      <c r="B204" s="2" t="s">
        <v>37</v>
      </c>
      <c r="C204" s="2" t="s">
        <v>36</v>
      </c>
      <c r="D204" s="2" t="s">
        <v>547</v>
      </c>
      <c r="E204" s="2" t="s">
        <v>548</v>
      </c>
      <c r="F204" s="2" t="s">
        <v>570</v>
      </c>
      <c r="G204" s="2" t="s">
        <v>1434</v>
      </c>
      <c r="H204" s="2" t="s">
        <v>3518</v>
      </c>
      <c r="I204" s="2" t="s">
        <v>3519</v>
      </c>
      <c r="J204" s="2" t="s">
        <v>2074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1</v>
      </c>
      <c r="AD204" s="2">
        <v>1</v>
      </c>
      <c r="AE204"/>
    </row>
    <row r="205" spans="1:31" x14ac:dyDescent="0.25">
      <c r="A205" s="2" t="s">
        <v>23</v>
      </c>
      <c r="B205" s="2" t="s">
        <v>37</v>
      </c>
      <c r="C205" s="2" t="s">
        <v>36</v>
      </c>
      <c r="D205" s="2" t="s">
        <v>547</v>
      </c>
      <c r="E205" s="2" t="s">
        <v>548</v>
      </c>
      <c r="F205" s="2" t="s">
        <v>571</v>
      </c>
      <c r="G205" s="2" t="s">
        <v>1435</v>
      </c>
      <c r="H205" s="2" t="s">
        <v>3520</v>
      </c>
      <c r="I205" s="2" t="s">
        <v>3521</v>
      </c>
      <c r="J205" s="2" t="s">
        <v>2074</v>
      </c>
      <c r="K205" s="2">
        <v>0</v>
      </c>
      <c r="L205" s="2">
        <v>0</v>
      </c>
      <c r="M205" s="2">
        <v>0</v>
      </c>
      <c r="N205" s="2">
        <v>1</v>
      </c>
      <c r="O205" s="2">
        <v>0</v>
      </c>
      <c r="P205" s="2">
        <v>0</v>
      </c>
      <c r="Q205" s="2">
        <v>0</v>
      </c>
      <c r="R205" s="2">
        <v>1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1</v>
      </c>
      <c r="AD205" s="2">
        <v>0</v>
      </c>
      <c r="AE205"/>
    </row>
    <row r="206" spans="1:31" x14ac:dyDescent="0.25">
      <c r="A206" s="2" t="s">
        <v>23</v>
      </c>
      <c r="B206" s="2" t="s">
        <v>37</v>
      </c>
      <c r="C206" s="2" t="s">
        <v>36</v>
      </c>
      <c r="D206" s="2" t="s">
        <v>547</v>
      </c>
      <c r="E206" s="2" t="s">
        <v>548</v>
      </c>
      <c r="F206" s="2" t="s">
        <v>572</v>
      </c>
      <c r="G206" s="2" t="s">
        <v>1436</v>
      </c>
      <c r="H206" s="2" t="s">
        <v>3522</v>
      </c>
      <c r="I206" s="2" t="s">
        <v>3523</v>
      </c>
      <c r="J206" s="2" t="s">
        <v>2074</v>
      </c>
      <c r="K206" s="2">
        <v>0</v>
      </c>
      <c r="L206" s="2">
        <v>0</v>
      </c>
      <c r="M206" s="2">
        <v>0</v>
      </c>
      <c r="N206" s="2">
        <v>1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1</v>
      </c>
      <c r="AC206" s="2">
        <v>0</v>
      </c>
      <c r="AD206" s="2">
        <v>1</v>
      </c>
      <c r="AE206"/>
    </row>
    <row r="207" spans="1:31" x14ac:dyDescent="0.25">
      <c r="A207" s="2" t="s">
        <v>23</v>
      </c>
      <c r="B207" s="2" t="s">
        <v>37</v>
      </c>
      <c r="C207" s="2" t="s">
        <v>36</v>
      </c>
      <c r="D207" s="2" t="s">
        <v>547</v>
      </c>
      <c r="E207" s="2" t="s">
        <v>548</v>
      </c>
      <c r="F207" s="2" t="s">
        <v>573</v>
      </c>
      <c r="G207" s="2" t="s">
        <v>1437</v>
      </c>
      <c r="H207" s="2" t="s">
        <v>3524</v>
      </c>
      <c r="I207" s="2" t="s">
        <v>3525</v>
      </c>
      <c r="J207" s="2" t="s">
        <v>2074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1</v>
      </c>
      <c r="AD207" s="2">
        <v>0</v>
      </c>
      <c r="AE207"/>
    </row>
    <row r="208" spans="1:31" x14ac:dyDescent="0.25">
      <c r="A208" s="2" t="s">
        <v>23</v>
      </c>
      <c r="B208" s="2" t="s">
        <v>37</v>
      </c>
      <c r="C208" s="2" t="s">
        <v>36</v>
      </c>
      <c r="D208" s="2" t="s">
        <v>547</v>
      </c>
      <c r="E208" s="2" t="s">
        <v>548</v>
      </c>
      <c r="F208" s="2" t="s">
        <v>574</v>
      </c>
      <c r="G208" s="2" t="s">
        <v>1438</v>
      </c>
      <c r="H208" s="2" t="s">
        <v>3526</v>
      </c>
      <c r="I208" s="2" t="s">
        <v>3527</v>
      </c>
      <c r="J208" s="2" t="s">
        <v>2074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1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1</v>
      </c>
      <c r="AE208"/>
    </row>
    <row r="209" spans="1:31" x14ac:dyDescent="0.25">
      <c r="A209" s="2" t="s">
        <v>23</v>
      </c>
      <c r="B209" s="2" t="s">
        <v>37</v>
      </c>
      <c r="C209" s="2" t="s">
        <v>36</v>
      </c>
      <c r="D209" s="2" t="s">
        <v>547</v>
      </c>
      <c r="E209" s="2" t="s">
        <v>548</v>
      </c>
      <c r="F209" s="2" t="s">
        <v>575</v>
      </c>
      <c r="G209" s="2" t="s">
        <v>1439</v>
      </c>
      <c r="H209" s="2" t="s">
        <v>3528</v>
      </c>
      <c r="I209" s="2" t="s">
        <v>3529</v>
      </c>
      <c r="J209" s="2" t="s">
        <v>2074</v>
      </c>
      <c r="K209" s="2">
        <v>0</v>
      </c>
      <c r="L209" s="2">
        <v>0</v>
      </c>
      <c r="M209" s="2">
        <v>0</v>
      </c>
      <c r="N209" s="2">
        <v>1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1</v>
      </c>
      <c r="AD209" s="2">
        <v>0</v>
      </c>
      <c r="AE209"/>
    </row>
    <row r="210" spans="1:31" x14ac:dyDescent="0.25">
      <c r="A210" s="2" t="s">
        <v>23</v>
      </c>
      <c r="B210" s="2" t="s">
        <v>37</v>
      </c>
      <c r="C210" s="2" t="s">
        <v>36</v>
      </c>
      <c r="D210" s="2" t="s">
        <v>547</v>
      </c>
      <c r="E210" s="2" t="s">
        <v>548</v>
      </c>
      <c r="F210" s="2" t="s">
        <v>576</v>
      </c>
      <c r="G210" s="2" t="s">
        <v>1440</v>
      </c>
      <c r="H210" s="2" t="s">
        <v>3532</v>
      </c>
      <c r="I210" s="2" t="s">
        <v>3533</v>
      </c>
      <c r="J210" s="2" t="s">
        <v>2074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1</v>
      </c>
      <c r="AC210" s="2">
        <v>0</v>
      </c>
      <c r="AD210" s="2">
        <v>1</v>
      </c>
      <c r="AE210"/>
    </row>
    <row r="211" spans="1:31" x14ac:dyDescent="0.25">
      <c r="A211" s="2" t="s">
        <v>23</v>
      </c>
      <c r="B211" s="2" t="s">
        <v>37</v>
      </c>
      <c r="C211" s="2" t="s">
        <v>36</v>
      </c>
      <c r="D211" s="2" t="s">
        <v>547</v>
      </c>
      <c r="E211" s="2" t="s">
        <v>548</v>
      </c>
      <c r="F211" s="2" t="s">
        <v>845</v>
      </c>
      <c r="G211" s="2" t="s">
        <v>1840</v>
      </c>
      <c r="H211" s="2" t="s">
        <v>3482</v>
      </c>
      <c r="I211" s="2" t="s">
        <v>3483</v>
      </c>
      <c r="J211" s="2" t="s">
        <v>2074</v>
      </c>
      <c r="K211" s="2">
        <v>0</v>
      </c>
      <c r="L211" s="2">
        <v>0</v>
      </c>
      <c r="M211" s="2">
        <v>0</v>
      </c>
      <c r="N211" s="2">
        <v>1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/>
    </row>
    <row r="212" spans="1:31" x14ac:dyDescent="0.25">
      <c r="A212" s="2" t="s">
        <v>23</v>
      </c>
      <c r="B212" s="2" t="s">
        <v>37</v>
      </c>
      <c r="C212" s="2" t="s">
        <v>36</v>
      </c>
      <c r="D212" s="2" t="s">
        <v>547</v>
      </c>
      <c r="E212" s="2" t="s">
        <v>548</v>
      </c>
      <c r="F212" s="2" t="s">
        <v>2038</v>
      </c>
      <c r="G212" s="2" t="s">
        <v>2037</v>
      </c>
      <c r="H212" s="2" t="s">
        <v>3498</v>
      </c>
      <c r="I212" s="2" t="s">
        <v>3499</v>
      </c>
      <c r="J212" s="2" t="s">
        <v>2074</v>
      </c>
      <c r="K212" s="2">
        <v>0</v>
      </c>
      <c r="L212" s="2">
        <v>0</v>
      </c>
      <c r="M212" s="2">
        <v>0</v>
      </c>
      <c r="N212" s="2">
        <v>1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1</v>
      </c>
      <c r="Z212" s="2">
        <v>0</v>
      </c>
      <c r="AA212" s="2">
        <v>0</v>
      </c>
      <c r="AB212" s="2">
        <v>0</v>
      </c>
      <c r="AC212" s="2">
        <v>1</v>
      </c>
      <c r="AD212" s="2">
        <v>0</v>
      </c>
      <c r="AE212"/>
    </row>
    <row r="213" spans="1:31" x14ac:dyDescent="0.25">
      <c r="A213" s="2" t="s">
        <v>23</v>
      </c>
      <c r="B213" s="2" t="s">
        <v>37</v>
      </c>
      <c r="C213" s="2" t="s">
        <v>36</v>
      </c>
      <c r="D213" s="2" t="s">
        <v>547</v>
      </c>
      <c r="E213" s="2" t="s">
        <v>548</v>
      </c>
      <c r="F213" s="2" t="s">
        <v>586</v>
      </c>
      <c r="G213" s="2" t="s">
        <v>2039</v>
      </c>
      <c r="H213" s="2" t="s">
        <v>3510</v>
      </c>
      <c r="I213" s="2" t="s">
        <v>3511</v>
      </c>
      <c r="J213" s="2" t="s">
        <v>2074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1</v>
      </c>
      <c r="AD213" s="2">
        <v>0</v>
      </c>
      <c r="AE213"/>
    </row>
    <row r="214" spans="1:31" x14ac:dyDescent="0.25">
      <c r="A214" s="2" t="s">
        <v>23</v>
      </c>
      <c r="B214" s="2" t="s">
        <v>85</v>
      </c>
      <c r="C214" s="2" t="s">
        <v>84</v>
      </c>
      <c r="D214" s="2" t="s">
        <v>151</v>
      </c>
      <c r="E214" s="2" t="s">
        <v>150</v>
      </c>
      <c r="F214" s="2" t="s">
        <v>368</v>
      </c>
      <c r="G214" s="2" t="s">
        <v>1081</v>
      </c>
      <c r="H214" s="2" t="s">
        <v>2666</v>
      </c>
      <c r="I214" s="2" t="s">
        <v>2667</v>
      </c>
      <c r="J214" s="2" t="s">
        <v>2075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1</v>
      </c>
      <c r="AC214" s="2">
        <v>0</v>
      </c>
      <c r="AD214" s="2">
        <v>2</v>
      </c>
      <c r="AE214"/>
    </row>
    <row r="215" spans="1:31" x14ac:dyDescent="0.25">
      <c r="A215" s="2" t="s">
        <v>23</v>
      </c>
      <c r="B215" s="2" t="s">
        <v>85</v>
      </c>
      <c r="C215" s="2" t="s">
        <v>84</v>
      </c>
      <c r="D215" s="2" t="s">
        <v>151</v>
      </c>
      <c r="E215" s="2" t="s">
        <v>150</v>
      </c>
      <c r="F215" s="2" t="s">
        <v>152</v>
      </c>
      <c r="G215" s="2" t="s">
        <v>1084</v>
      </c>
      <c r="H215" s="2" t="s">
        <v>2676</v>
      </c>
      <c r="I215" s="2" t="s">
        <v>2677</v>
      </c>
      <c r="J215" s="2" t="s">
        <v>2074</v>
      </c>
      <c r="K215" s="2">
        <v>0</v>
      </c>
      <c r="L215" s="2">
        <v>0</v>
      </c>
      <c r="M215" s="2">
        <v>0</v>
      </c>
      <c r="N215" s="2">
        <v>1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2</v>
      </c>
      <c r="AE215"/>
    </row>
    <row r="216" spans="1:31" x14ac:dyDescent="0.25">
      <c r="A216" s="2" t="s">
        <v>23</v>
      </c>
      <c r="B216" s="2" t="s">
        <v>85</v>
      </c>
      <c r="C216" s="2" t="s">
        <v>84</v>
      </c>
      <c r="D216" s="2" t="s">
        <v>151</v>
      </c>
      <c r="E216" s="2" t="s">
        <v>150</v>
      </c>
      <c r="F216" s="2" t="s">
        <v>369</v>
      </c>
      <c r="G216" s="2" t="s">
        <v>1106</v>
      </c>
      <c r="H216" s="2" t="s">
        <v>2710</v>
      </c>
      <c r="I216" s="2" t="s">
        <v>2711</v>
      </c>
      <c r="J216" s="2" t="s">
        <v>3693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1</v>
      </c>
      <c r="AE216"/>
    </row>
    <row r="217" spans="1:31" x14ac:dyDescent="0.25">
      <c r="A217" s="2" t="s">
        <v>23</v>
      </c>
      <c r="B217" s="2" t="s">
        <v>85</v>
      </c>
      <c r="C217" s="2" t="s">
        <v>84</v>
      </c>
      <c r="D217" s="2" t="s">
        <v>151</v>
      </c>
      <c r="E217" s="2" t="s">
        <v>150</v>
      </c>
      <c r="F217" s="2" t="s">
        <v>370</v>
      </c>
      <c r="G217" s="2" t="s">
        <v>1108</v>
      </c>
      <c r="H217" s="2" t="s">
        <v>2714</v>
      </c>
      <c r="I217" s="2" t="s">
        <v>2715</v>
      </c>
      <c r="J217" s="2" t="s">
        <v>2074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1</v>
      </c>
      <c r="AE217"/>
    </row>
    <row r="218" spans="1:31" x14ac:dyDescent="0.25">
      <c r="A218" s="2" t="s">
        <v>23</v>
      </c>
      <c r="B218" s="2" t="s">
        <v>85</v>
      </c>
      <c r="C218" s="2" t="s">
        <v>84</v>
      </c>
      <c r="D218" s="2" t="s">
        <v>151</v>
      </c>
      <c r="E218" s="2" t="s">
        <v>150</v>
      </c>
      <c r="F218" s="2" t="s">
        <v>774</v>
      </c>
      <c r="G218" s="2" t="s">
        <v>1061</v>
      </c>
      <c r="H218" s="2" t="s">
        <v>2640</v>
      </c>
      <c r="I218" s="2" t="s">
        <v>2641</v>
      </c>
      <c r="J218" s="2" t="s">
        <v>3698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1</v>
      </c>
      <c r="AC218" s="2">
        <v>0</v>
      </c>
      <c r="AD218" s="2">
        <v>1</v>
      </c>
      <c r="AE218"/>
    </row>
    <row r="219" spans="1:31" x14ac:dyDescent="0.25">
      <c r="A219" s="2" t="s">
        <v>23</v>
      </c>
      <c r="B219" s="2" t="s">
        <v>85</v>
      </c>
      <c r="C219" s="2" t="s">
        <v>84</v>
      </c>
      <c r="D219" s="2" t="s">
        <v>151</v>
      </c>
      <c r="E219" s="2" t="s">
        <v>150</v>
      </c>
      <c r="F219" s="2" t="s">
        <v>780</v>
      </c>
      <c r="G219" s="2" t="s">
        <v>1068</v>
      </c>
      <c r="H219" s="2" t="s">
        <v>2650</v>
      </c>
      <c r="I219" s="2" t="s">
        <v>2651</v>
      </c>
      <c r="J219" s="2" t="s">
        <v>2074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1</v>
      </c>
      <c r="AE219"/>
    </row>
    <row r="220" spans="1:31" x14ac:dyDescent="0.25">
      <c r="A220" s="2" t="s">
        <v>23</v>
      </c>
      <c r="B220" s="2" t="s">
        <v>85</v>
      </c>
      <c r="C220" s="2" t="s">
        <v>84</v>
      </c>
      <c r="D220" s="2" t="s">
        <v>151</v>
      </c>
      <c r="E220" s="2" t="s">
        <v>150</v>
      </c>
      <c r="F220" s="2" t="s">
        <v>775</v>
      </c>
      <c r="G220" s="2" t="s">
        <v>1102</v>
      </c>
      <c r="H220" s="2" t="s">
        <v>2704</v>
      </c>
      <c r="I220" s="2" t="s">
        <v>2705</v>
      </c>
      <c r="J220" s="2" t="s">
        <v>3697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1</v>
      </c>
      <c r="AC220" s="2">
        <v>0</v>
      </c>
      <c r="AD220" s="2">
        <v>0</v>
      </c>
      <c r="AE220"/>
    </row>
    <row r="221" spans="1:31" x14ac:dyDescent="0.25">
      <c r="A221" s="2" t="s">
        <v>23</v>
      </c>
      <c r="B221" s="2" t="s">
        <v>85</v>
      </c>
      <c r="C221" s="2" t="s">
        <v>84</v>
      </c>
      <c r="D221" s="2" t="s">
        <v>151</v>
      </c>
      <c r="E221" s="2" t="s">
        <v>150</v>
      </c>
      <c r="F221" s="2" t="s">
        <v>778</v>
      </c>
      <c r="G221" s="2" t="s">
        <v>1067</v>
      </c>
      <c r="H221" s="2" t="s">
        <v>2648</v>
      </c>
      <c r="I221" s="2" t="s">
        <v>2649</v>
      </c>
      <c r="J221" s="2" t="s">
        <v>3692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1</v>
      </c>
      <c r="AC221" s="2">
        <v>0</v>
      </c>
      <c r="AD221" s="2">
        <v>1</v>
      </c>
      <c r="AE221"/>
    </row>
    <row r="222" spans="1:31" x14ac:dyDescent="0.25">
      <c r="A222" s="2" t="s">
        <v>23</v>
      </c>
      <c r="B222" s="2" t="s">
        <v>85</v>
      </c>
      <c r="C222" s="2" t="s">
        <v>84</v>
      </c>
      <c r="D222" s="2" t="s">
        <v>151</v>
      </c>
      <c r="E222" s="2" t="s">
        <v>150</v>
      </c>
      <c r="F222" s="2" t="s">
        <v>784</v>
      </c>
      <c r="G222" s="2" t="s">
        <v>1093</v>
      </c>
      <c r="H222" s="2" t="s">
        <v>2688</v>
      </c>
      <c r="I222" s="2" t="s">
        <v>2689</v>
      </c>
      <c r="J222" s="2" t="s">
        <v>3702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1</v>
      </c>
      <c r="AC222" s="2">
        <v>0</v>
      </c>
      <c r="AD222" s="2">
        <v>1</v>
      </c>
      <c r="AE222"/>
    </row>
    <row r="223" spans="1:31" x14ac:dyDescent="0.25">
      <c r="A223" s="2" t="s">
        <v>23</v>
      </c>
      <c r="B223" s="2" t="s">
        <v>85</v>
      </c>
      <c r="C223" s="2" t="s">
        <v>84</v>
      </c>
      <c r="D223" s="2" t="s">
        <v>151</v>
      </c>
      <c r="E223" s="2" t="s">
        <v>150</v>
      </c>
      <c r="F223" s="2" t="s">
        <v>788</v>
      </c>
      <c r="G223" s="2" t="s">
        <v>1101</v>
      </c>
      <c r="H223" s="2" t="s">
        <v>2702</v>
      </c>
      <c r="I223" s="2" t="s">
        <v>2703</v>
      </c>
      <c r="J223" s="2" t="s">
        <v>3695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1</v>
      </c>
      <c r="AC223" s="2">
        <v>0</v>
      </c>
      <c r="AD223" s="2">
        <v>0</v>
      </c>
      <c r="AE223"/>
    </row>
    <row r="224" spans="1:31" x14ac:dyDescent="0.25">
      <c r="A224" s="2" t="s">
        <v>23</v>
      </c>
      <c r="B224" s="2" t="s">
        <v>85</v>
      </c>
      <c r="C224" s="2" t="s">
        <v>84</v>
      </c>
      <c r="D224" s="2" t="s">
        <v>151</v>
      </c>
      <c r="E224" s="2" t="s">
        <v>150</v>
      </c>
      <c r="F224" s="2" t="s">
        <v>1054</v>
      </c>
      <c r="G224" s="2" t="s">
        <v>1055</v>
      </c>
      <c r="H224" s="2" t="s">
        <v>2632</v>
      </c>
      <c r="I224" s="2" t="s">
        <v>2633</v>
      </c>
      <c r="J224" s="2" t="s">
        <v>2074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2</v>
      </c>
      <c r="AE224"/>
    </row>
    <row r="225" spans="1:31" x14ac:dyDescent="0.25">
      <c r="A225" s="2" t="s">
        <v>23</v>
      </c>
      <c r="B225" s="2" t="s">
        <v>24</v>
      </c>
      <c r="C225" s="2" t="s">
        <v>25</v>
      </c>
      <c r="D225" s="2" t="s">
        <v>44</v>
      </c>
      <c r="E225" s="2" t="s">
        <v>45</v>
      </c>
      <c r="F225" s="2" t="s">
        <v>46</v>
      </c>
      <c r="G225" s="2" t="s">
        <v>872</v>
      </c>
      <c r="H225" s="2" t="s">
        <v>2220</v>
      </c>
      <c r="I225" s="2" t="s">
        <v>2221</v>
      </c>
      <c r="J225" s="2" t="s">
        <v>2074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1</v>
      </c>
      <c r="AE225"/>
    </row>
    <row r="226" spans="1:31" x14ac:dyDescent="0.25">
      <c r="A226" s="2" t="s">
        <v>23</v>
      </c>
      <c r="B226" s="2" t="s">
        <v>24</v>
      </c>
      <c r="C226" s="2" t="s">
        <v>25</v>
      </c>
      <c r="D226" s="2" t="s">
        <v>44</v>
      </c>
      <c r="E226" s="2" t="s">
        <v>45</v>
      </c>
      <c r="F226" s="2" t="s">
        <v>49</v>
      </c>
      <c r="G226" s="2" t="s">
        <v>873</v>
      </c>
      <c r="H226" s="2" t="s">
        <v>2222</v>
      </c>
      <c r="I226" s="2" t="s">
        <v>2223</v>
      </c>
      <c r="J226" s="2" t="s">
        <v>2074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1</v>
      </c>
      <c r="AE226"/>
    </row>
    <row r="227" spans="1:31" x14ac:dyDescent="0.25">
      <c r="A227" s="2" t="s">
        <v>23</v>
      </c>
      <c r="B227" s="2" t="s">
        <v>24</v>
      </c>
      <c r="C227" s="2" t="s">
        <v>25</v>
      </c>
      <c r="D227" s="2" t="s">
        <v>50</v>
      </c>
      <c r="E227" s="2" t="s">
        <v>51</v>
      </c>
      <c r="F227" s="2" t="s">
        <v>54</v>
      </c>
      <c r="G227" s="2" t="s">
        <v>876</v>
      </c>
      <c r="H227" s="2" t="s">
        <v>2228</v>
      </c>
      <c r="I227" s="2" t="s">
        <v>2229</v>
      </c>
      <c r="J227" s="2" t="s">
        <v>2074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2</v>
      </c>
      <c r="AC227" s="2">
        <v>0</v>
      </c>
      <c r="AD227" s="2">
        <v>2</v>
      </c>
      <c r="AE227"/>
    </row>
    <row r="228" spans="1:31" x14ac:dyDescent="0.25">
      <c r="A228" s="2" t="s">
        <v>23</v>
      </c>
      <c r="B228" s="2" t="s">
        <v>24</v>
      </c>
      <c r="C228" s="2" t="s">
        <v>25</v>
      </c>
      <c r="D228" s="2" t="s">
        <v>50</v>
      </c>
      <c r="E228" s="2" t="s">
        <v>51</v>
      </c>
      <c r="F228" s="2" t="s">
        <v>55</v>
      </c>
      <c r="G228" s="2" t="s">
        <v>877</v>
      </c>
      <c r="H228" s="2" t="s">
        <v>2230</v>
      </c>
      <c r="I228" s="2" t="s">
        <v>2231</v>
      </c>
      <c r="J228" s="2" t="s">
        <v>2074</v>
      </c>
      <c r="K228" s="2">
        <v>0</v>
      </c>
      <c r="L228" s="2">
        <v>0</v>
      </c>
      <c r="M228" s="2">
        <v>0</v>
      </c>
      <c r="N228" s="2">
        <v>2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2</v>
      </c>
      <c r="AE228"/>
    </row>
    <row r="229" spans="1:31" x14ac:dyDescent="0.25">
      <c r="A229" s="2" t="s">
        <v>23</v>
      </c>
      <c r="B229" s="2" t="s">
        <v>184</v>
      </c>
      <c r="C229" s="2" t="s">
        <v>183</v>
      </c>
      <c r="D229" s="2" t="s">
        <v>215</v>
      </c>
      <c r="E229" s="2" t="s">
        <v>214</v>
      </c>
      <c r="F229" s="2" t="s">
        <v>216</v>
      </c>
      <c r="G229" s="2" t="s">
        <v>1342</v>
      </c>
      <c r="H229" s="2" t="s">
        <v>3260</v>
      </c>
      <c r="I229" s="2" t="s">
        <v>3261</v>
      </c>
      <c r="J229" s="2" t="s">
        <v>2074</v>
      </c>
      <c r="K229" s="2">
        <v>1</v>
      </c>
      <c r="L229" s="2">
        <v>1</v>
      </c>
      <c r="M229" s="2">
        <v>1</v>
      </c>
      <c r="N229" s="2">
        <v>1</v>
      </c>
      <c r="O229" s="2">
        <v>0</v>
      </c>
      <c r="P229" s="2">
        <v>0</v>
      </c>
      <c r="Q229" s="2">
        <v>0</v>
      </c>
      <c r="R229" s="2">
        <v>1</v>
      </c>
      <c r="S229" s="2">
        <v>1</v>
      </c>
      <c r="T229" s="2">
        <v>0</v>
      </c>
      <c r="U229" s="2">
        <v>1</v>
      </c>
      <c r="V229" s="2">
        <v>0</v>
      </c>
      <c r="W229" s="2">
        <v>1</v>
      </c>
      <c r="X229" s="2">
        <v>0</v>
      </c>
      <c r="Y229" s="2">
        <v>2</v>
      </c>
      <c r="Z229" s="2">
        <v>0</v>
      </c>
      <c r="AA229" s="2">
        <v>0</v>
      </c>
      <c r="AB229" s="2">
        <v>2</v>
      </c>
      <c r="AC229" s="2">
        <v>1</v>
      </c>
      <c r="AD229" s="2">
        <v>0</v>
      </c>
      <c r="AE229"/>
    </row>
    <row r="230" spans="1:31" x14ac:dyDescent="0.25">
      <c r="A230" s="2" t="s">
        <v>23</v>
      </c>
      <c r="B230" s="2" t="s">
        <v>184</v>
      </c>
      <c r="C230" s="2" t="s">
        <v>183</v>
      </c>
      <c r="D230" s="2" t="s">
        <v>215</v>
      </c>
      <c r="E230" s="2" t="s">
        <v>214</v>
      </c>
      <c r="F230" s="2" t="s">
        <v>485</v>
      </c>
      <c r="G230" s="2" t="s">
        <v>1343</v>
      </c>
      <c r="H230" s="2" t="s">
        <v>3262</v>
      </c>
      <c r="I230" s="2" t="s">
        <v>3263</v>
      </c>
      <c r="J230" s="2" t="s">
        <v>2074</v>
      </c>
      <c r="K230" s="2">
        <v>0</v>
      </c>
      <c r="L230" s="2">
        <v>1</v>
      </c>
      <c r="M230" s="2">
        <v>1</v>
      </c>
      <c r="N230" s="2">
        <v>1</v>
      </c>
      <c r="O230" s="2">
        <v>0</v>
      </c>
      <c r="P230" s="2">
        <v>0</v>
      </c>
      <c r="Q230" s="2">
        <v>0</v>
      </c>
      <c r="R230" s="2">
        <v>3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1</v>
      </c>
      <c r="AD230" s="2">
        <v>1</v>
      </c>
      <c r="AE230"/>
    </row>
    <row r="231" spans="1:31" x14ac:dyDescent="0.25">
      <c r="A231" s="2" t="s">
        <v>23</v>
      </c>
      <c r="B231" s="2" t="s">
        <v>184</v>
      </c>
      <c r="C231" s="2" t="s">
        <v>183</v>
      </c>
      <c r="D231" s="2" t="s">
        <v>215</v>
      </c>
      <c r="E231" s="2" t="s">
        <v>214</v>
      </c>
      <c r="F231" s="2" t="s">
        <v>486</v>
      </c>
      <c r="G231" s="2" t="s">
        <v>1344</v>
      </c>
      <c r="H231" s="2" t="s">
        <v>3264</v>
      </c>
      <c r="I231" s="2" t="s">
        <v>3265</v>
      </c>
      <c r="J231" s="2" t="s">
        <v>2074</v>
      </c>
      <c r="K231" s="2">
        <v>0</v>
      </c>
      <c r="L231" s="2">
        <v>0</v>
      </c>
      <c r="M231" s="2">
        <v>0</v>
      </c>
      <c r="N231" s="2">
        <v>1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1</v>
      </c>
      <c r="AD231" s="2">
        <v>0</v>
      </c>
      <c r="AE231"/>
    </row>
    <row r="232" spans="1:31" x14ac:dyDescent="0.25">
      <c r="A232" s="2" t="s">
        <v>23</v>
      </c>
      <c r="B232" s="2" t="s">
        <v>184</v>
      </c>
      <c r="C232" s="2" t="s">
        <v>183</v>
      </c>
      <c r="D232" s="2" t="s">
        <v>215</v>
      </c>
      <c r="E232" s="2" t="s">
        <v>214</v>
      </c>
      <c r="F232" s="2" t="s">
        <v>487</v>
      </c>
      <c r="G232" s="2" t="s">
        <v>1345</v>
      </c>
      <c r="H232" s="2" t="s">
        <v>3266</v>
      </c>
      <c r="I232" s="2" t="s">
        <v>3267</v>
      </c>
      <c r="J232" s="2" t="s">
        <v>2074</v>
      </c>
      <c r="K232" s="2">
        <v>0</v>
      </c>
      <c r="L232" s="2">
        <v>2</v>
      </c>
      <c r="M232" s="2">
        <v>0</v>
      </c>
      <c r="N232" s="2">
        <v>1</v>
      </c>
      <c r="O232" s="2">
        <v>0</v>
      </c>
      <c r="P232" s="2">
        <v>0</v>
      </c>
      <c r="Q232" s="2">
        <v>0</v>
      </c>
      <c r="R232" s="2">
        <v>1</v>
      </c>
      <c r="S232" s="2">
        <v>0</v>
      </c>
      <c r="T232" s="2">
        <v>0</v>
      </c>
      <c r="U232" s="2">
        <v>1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1</v>
      </c>
      <c r="AD232" s="2">
        <v>1</v>
      </c>
      <c r="AE232"/>
    </row>
    <row r="233" spans="1:31" x14ac:dyDescent="0.25">
      <c r="A233" s="2" t="s">
        <v>23</v>
      </c>
      <c r="B233" s="2" t="s">
        <v>184</v>
      </c>
      <c r="C233" s="2" t="s">
        <v>183</v>
      </c>
      <c r="D233" s="2" t="s">
        <v>215</v>
      </c>
      <c r="E233" s="2" t="s">
        <v>214</v>
      </c>
      <c r="F233" s="2" t="s">
        <v>488</v>
      </c>
      <c r="G233" s="2" t="s">
        <v>1346</v>
      </c>
      <c r="H233" s="2" t="s">
        <v>3268</v>
      </c>
      <c r="I233" s="2" t="s">
        <v>3269</v>
      </c>
      <c r="J233" s="2" t="s">
        <v>2074</v>
      </c>
      <c r="K233" s="2">
        <v>0</v>
      </c>
      <c r="L233" s="2">
        <v>1</v>
      </c>
      <c r="M233" s="2">
        <v>1</v>
      </c>
      <c r="N233" s="2">
        <v>1</v>
      </c>
      <c r="O233" s="2">
        <v>1</v>
      </c>
      <c r="P233" s="2">
        <v>0</v>
      </c>
      <c r="Q233" s="2">
        <v>0</v>
      </c>
      <c r="R233" s="2">
        <v>1</v>
      </c>
      <c r="S233" s="2">
        <v>1</v>
      </c>
      <c r="T233" s="2">
        <v>0</v>
      </c>
      <c r="U233" s="2">
        <v>0</v>
      </c>
      <c r="V233" s="2">
        <v>0</v>
      </c>
      <c r="W233" s="2">
        <v>0</v>
      </c>
      <c r="X233" s="2">
        <v>1</v>
      </c>
      <c r="Y233" s="2">
        <v>0</v>
      </c>
      <c r="Z233" s="2">
        <v>0</v>
      </c>
      <c r="AA233" s="2">
        <v>0</v>
      </c>
      <c r="AB233" s="2">
        <v>1</v>
      </c>
      <c r="AC233" s="2">
        <v>0</v>
      </c>
      <c r="AD233" s="2">
        <v>2</v>
      </c>
      <c r="AE233"/>
    </row>
    <row r="234" spans="1:31" x14ac:dyDescent="0.25">
      <c r="A234" s="2" t="s">
        <v>23</v>
      </c>
      <c r="B234" s="2" t="s">
        <v>184</v>
      </c>
      <c r="C234" s="2" t="s">
        <v>183</v>
      </c>
      <c r="D234" s="2" t="s">
        <v>215</v>
      </c>
      <c r="E234" s="2" t="s">
        <v>214</v>
      </c>
      <c r="F234" s="2" t="s">
        <v>1838</v>
      </c>
      <c r="G234" s="2" t="s">
        <v>1347</v>
      </c>
      <c r="H234" s="2" t="s">
        <v>3270</v>
      </c>
      <c r="I234" s="2" t="s">
        <v>3271</v>
      </c>
      <c r="J234" s="2" t="s">
        <v>2074</v>
      </c>
      <c r="K234" s="2">
        <v>0</v>
      </c>
      <c r="L234" s="2">
        <v>1</v>
      </c>
      <c r="M234" s="2">
        <v>2</v>
      </c>
      <c r="N234" s="2">
        <v>1</v>
      </c>
      <c r="O234" s="2">
        <v>0</v>
      </c>
      <c r="P234" s="2">
        <v>0</v>
      </c>
      <c r="Q234" s="2">
        <v>0</v>
      </c>
      <c r="R234" s="2">
        <v>0</v>
      </c>
      <c r="S234" s="2">
        <v>1</v>
      </c>
      <c r="T234" s="2">
        <v>0</v>
      </c>
      <c r="U234" s="2">
        <v>1</v>
      </c>
      <c r="V234" s="2">
        <v>0</v>
      </c>
      <c r="W234" s="2">
        <v>0</v>
      </c>
      <c r="X234" s="2">
        <v>2</v>
      </c>
      <c r="Y234" s="2">
        <v>2</v>
      </c>
      <c r="Z234" s="2">
        <v>0</v>
      </c>
      <c r="AA234" s="2">
        <v>0</v>
      </c>
      <c r="AB234" s="2">
        <v>4</v>
      </c>
      <c r="AC234" s="2">
        <v>0</v>
      </c>
      <c r="AD234" s="2">
        <v>2</v>
      </c>
      <c r="AE234"/>
    </row>
    <row r="235" spans="1:31" x14ac:dyDescent="0.25">
      <c r="A235" s="2" t="s">
        <v>23</v>
      </c>
      <c r="B235" s="2" t="s">
        <v>85</v>
      </c>
      <c r="C235" s="2" t="s">
        <v>84</v>
      </c>
      <c r="D235" s="2" t="s">
        <v>98</v>
      </c>
      <c r="E235" s="2" t="s">
        <v>97</v>
      </c>
      <c r="F235" s="2" t="s">
        <v>371</v>
      </c>
      <c r="G235" s="2" t="s">
        <v>1109</v>
      </c>
      <c r="H235" s="2" t="s">
        <v>2718</v>
      </c>
      <c r="I235" s="2" t="s">
        <v>2719</v>
      </c>
      <c r="J235" s="2" t="s">
        <v>2074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1</v>
      </c>
      <c r="AC235" s="2">
        <v>0</v>
      </c>
      <c r="AD235" s="2">
        <v>1</v>
      </c>
      <c r="AE235"/>
    </row>
    <row r="236" spans="1:31" x14ac:dyDescent="0.25">
      <c r="A236" s="2" t="s">
        <v>23</v>
      </c>
      <c r="B236" s="2" t="s">
        <v>85</v>
      </c>
      <c r="C236" s="2" t="s">
        <v>84</v>
      </c>
      <c r="D236" s="2" t="s">
        <v>98</v>
      </c>
      <c r="E236" s="2" t="s">
        <v>97</v>
      </c>
      <c r="F236" s="2" t="s">
        <v>153</v>
      </c>
      <c r="G236" s="2" t="s">
        <v>1117</v>
      </c>
      <c r="H236" s="2" t="s">
        <v>2732</v>
      </c>
      <c r="I236" s="2" t="s">
        <v>2733</v>
      </c>
      <c r="J236" s="2" t="s">
        <v>2074</v>
      </c>
      <c r="K236" s="2">
        <v>0</v>
      </c>
      <c r="L236" s="2">
        <v>0</v>
      </c>
      <c r="M236" s="2">
        <v>1</v>
      </c>
      <c r="N236" s="2">
        <v>0</v>
      </c>
      <c r="O236" s="2">
        <v>0</v>
      </c>
      <c r="P236" s="2">
        <v>0</v>
      </c>
      <c r="Q236" s="2">
        <v>0</v>
      </c>
      <c r="R236" s="2">
        <v>1</v>
      </c>
      <c r="S236" s="2">
        <v>0</v>
      </c>
      <c r="T236" s="2">
        <v>1</v>
      </c>
      <c r="U236" s="2">
        <v>1</v>
      </c>
      <c r="V236" s="2">
        <v>0</v>
      </c>
      <c r="W236" s="2">
        <v>0</v>
      </c>
      <c r="X236" s="2">
        <v>1</v>
      </c>
      <c r="Y236" s="2">
        <v>1</v>
      </c>
      <c r="Z236" s="2">
        <v>1</v>
      </c>
      <c r="AA236" s="2">
        <v>0</v>
      </c>
      <c r="AB236" s="2">
        <v>0</v>
      </c>
      <c r="AC236" s="2">
        <v>1</v>
      </c>
      <c r="AD236" s="2">
        <v>1</v>
      </c>
      <c r="AE236"/>
    </row>
    <row r="237" spans="1:31" x14ac:dyDescent="0.25">
      <c r="A237" s="2" t="s">
        <v>23</v>
      </c>
      <c r="B237" s="2" t="s">
        <v>85</v>
      </c>
      <c r="C237" s="2" t="s">
        <v>84</v>
      </c>
      <c r="D237" s="2" t="s">
        <v>98</v>
      </c>
      <c r="E237" s="2" t="s">
        <v>97</v>
      </c>
      <c r="F237" s="2" t="s">
        <v>373</v>
      </c>
      <c r="G237" s="2" t="s">
        <v>1118</v>
      </c>
      <c r="H237" s="2" t="s">
        <v>2734</v>
      </c>
      <c r="I237" s="2" t="s">
        <v>2735</v>
      </c>
      <c r="J237" s="2" t="s">
        <v>2074</v>
      </c>
      <c r="K237" s="2">
        <v>0</v>
      </c>
      <c r="L237" s="2">
        <v>0</v>
      </c>
      <c r="M237" s="2">
        <v>1</v>
      </c>
      <c r="N237" s="2">
        <v>1</v>
      </c>
      <c r="O237" s="2">
        <v>0</v>
      </c>
      <c r="P237" s="2">
        <v>0</v>
      </c>
      <c r="Q237" s="2">
        <v>0</v>
      </c>
      <c r="R237" s="2">
        <v>1</v>
      </c>
      <c r="S237" s="2">
        <v>0</v>
      </c>
      <c r="T237" s="2">
        <v>0</v>
      </c>
      <c r="U237" s="2">
        <v>1</v>
      </c>
      <c r="V237" s="2">
        <v>0</v>
      </c>
      <c r="W237" s="2">
        <v>0</v>
      </c>
      <c r="X237" s="2">
        <v>2</v>
      </c>
      <c r="Y237" s="2">
        <v>3</v>
      </c>
      <c r="Z237" s="2">
        <v>1</v>
      </c>
      <c r="AA237" s="2">
        <v>2</v>
      </c>
      <c r="AB237" s="2">
        <v>0</v>
      </c>
      <c r="AC237" s="2">
        <v>0</v>
      </c>
      <c r="AD237" s="2">
        <v>1</v>
      </c>
      <c r="AE237"/>
    </row>
    <row r="238" spans="1:31" x14ac:dyDescent="0.25">
      <c r="A238" s="2" t="s">
        <v>23</v>
      </c>
      <c r="B238" s="2" t="s">
        <v>85</v>
      </c>
      <c r="C238" s="2" t="s">
        <v>84</v>
      </c>
      <c r="D238" s="2" t="s">
        <v>98</v>
      </c>
      <c r="E238" s="2" t="s">
        <v>97</v>
      </c>
      <c r="F238" s="2" t="s">
        <v>374</v>
      </c>
      <c r="G238" s="2" t="s">
        <v>1121</v>
      </c>
      <c r="H238" s="2" t="s">
        <v>2744</v>
      </c>
      <c r="I238" s="2" t="s">
        <v>2745</v>
      </c>
      <c r="J238" s="2" t="s">
        <v>2074</v>
      </c>
      <c r="K238" s="2">
        <v>0</v>
      </c>
      <c r="L238" s="2">
        <v>1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1</v>
      </c>
      <c r="AC238" s="2">
        <v>0</v>
      </c>
      <c r="AD238" s="2">
        <v>1</v>
      </c>
      <c r="AE238"/>
    </row>
    <row r="239" spans="1:31" x14ac:dyDescent="0.25">
      <c r="A239" s="2" t="s">
        <v>23</v>
      </c>
      <c r="B239" s="2" t="s">
        <v>85</v>
      </c>
      <c r="C239" s="2" t="s">
        <v>84</v>
      </c>
      <c r="D239" s="2" t="s">
        <v>98</v>
      </c>
      <c r="E239" s="2" t="s">
        <v>97</v>
      </c>
      <c r="F239" s="2" t="s">
        <v>375</v>
      </c>
      <c r="G239" s="2" t="s">
        <v>1122</v>
      </c>
      <c r="H239" s="2" t="s">
        <v>2746</v>
      </c>
      <c r="I239" s="2" t="s">
        <v>2747</v>
      </c>
      <c r="J239" s="2" t="s">
        <v>2074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1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1</v>
      </c>
      <c r="AE239"/>
    </row>
    <row r="240" spans="1:31" x14ac:dyDescent="0.25">
      <c r="A240" s="2" t="s">
        <v>23</v>
      </c>
      <c r="B240" s="2" t="s">
        <v>85</v>
      </c>
      <c r="C240" s="2" t="s">
        <v>84</v>
      </c>
      <c r="D240" s="2" t="s">
        <v>98</v>
      </c>
      <c r="E240" s="2" t="s">
        <v>97</v>
      </c>
      <c r="F240" s="2" t="s">
        <v>376</v>
      </c>
      <c r="G240" s="2" t="s">
        <v>1123</v>
      </c>
      <c r="H240" s="2" t="s">
        <v>2748</v>
      </c>
      <c r="I240" s="2" t="s">
        <v>2749</v>
      </c>
      <c r="J240" s="2" t="s">
        <v>2074</v>
      </c>
      <c r="K240" s="2">
        <v>0</v>
      </c>
      <c r="L240" s="2">
        <v>0</v>
      </c>
      <c r="M240" s="2">
        <v>0</v>
      </c>
      <c r="N240" s="2">
        <v>1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1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1</v>
      </c>
      <c r="AE240"/>
    </row>
    <row r="241" spans="1:31" x14ac:dyDescent="0.25">
      <c r="A241" s="2" t="s">
        <v>23</v>
      </c>
      <c r="B241" s="2" t="s">
        <v>85</v>
      </c>
      <c r="C241" s="2" t="s">
        <v>84</v>
      </c>
      <c r="D241" s="2" t="s">
        <v>98</v>
      </c>
      <c r="E241" s="2" t="s">
        <v>97</v>
      </c>
      <c r="F241" s="2" t="s">
        <v>377</v>
      </c>
      <c r="G241" s="2" t="s">
        <v>1124</v>
      </c>
      <c r="H241" s="2" t="s">
        <v>2750</v>
      </c>
      <c r="I241" s="2" t="s">
        <v>2751</v>
      </c>
      <c r="J241" s="2" t="s">
        <v>2074</v>
      </c>
      <c r="K241" s="2">
        <v>0</v>
      </c>
      <c r="L241" s="2">
        <v>1</v>
      </c>
      <c r="M241" s="2">
        <v>0</v>
      </c>
      <c r="N241" s="2">
        <v>1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/>
    </row>
    <row r="242" spans="1:31" x14ac:dyDescent="0.25">
      <c r="A242" s="2" t="s">
        <v>23</v>
      </c>
      <c r="B242" s="2" t="s">
        <v>85</v>
      </c>
      <c r="C242" s="2" t="s">
        <v>84</v>
      </c>
      <c r="D242" s="2" t="s">
        <v>98</v>
      </c>
      <c r="E242" s="2" t="s">
        <v>97</v>
      </c>
      <c r="F242" s="2" t="s">
        <v>380</v>
      </c>
      <c r="G242" s="2" t="s">
        <v>1138</v>
      </c>
      <c r="H242" s="2" t="s">
        <v>2772</v>
      </c>
      <c r="I242" s="2" t="s">
        <v>2773</v>
      </c>
      <c r="J242" s="2" t="s">
        <v>2074</v>
      </c>
      <c r="K242" s="2">
        <v>0</v>
      </c>
      <c r="L242" s="2">
        <v>0</v>
      </c>
      <c r="M242" s="2">
        <v>1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/>
    </row>
    <row r="243" spans="1:31" x14ac:dyDescent="0.25">
      <c r="A243" s="2" t="s">
        <v>23</v>
      </c>
      <c r="B243" s="2" t="s">
        <v>85</v>
      </c>
      <c r="C243" s="2" t="s">
        <v>84</v>
      </c>
      <c r="D243" s="2" t="s">
        <v>98</v>
      </c>
      <c r="E243" s="2" t="s">
        <v>97</v>
      </c>
      <c r="F243" s="2" t="s">
        <v>381</v>
      </c>
      <c r="G243" s="2" t="s">
        <v>1139</v>
      </c>
      <c r="H243" s="2" t="s">
        <v>2774</v>
      </c>
      <c r="I243" s="2" t="s">
        <v>2775</v>
      </c>
      <c r="J243" s="2" t="s">
        <v>2074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1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1</v>
      </c>
      <c r="AE243"/>
    </row>
    <row r="244" spans="1:31" x14ac:dyDescent="0.25">
      <c r="A244" s="2" t="s">
        <v>23</v>
      </c>
      <c r="B244" s="2" t="s">
        <v>85</v>
      </c>
      <c r="C244" s="2" t="s">
        <v>84</v>
      </c>
      <c r="D244" s="2" t="s">
        <v>98</v>
      </c>
      <c r="E244" s="2" t="s">
        <v>97</v>
      </c>
      <c r="F244" s="2" t="s">
        <v>383</v>
      </c>
      <c r="G244" s="2" t="s">
        <v>1141</v>
      </c>
      <c r="H244" s="2" t="s">
        <v>2778</v>
      </c>
      <c r="I244" s="2" t="s">
        <v>2779</v>
      </c>
      <c r="J244" s="2" t="s">
        <v>3693</v>
      </c>
      <c r="K244" s="2">
        <v>0</v>
      </c>
      <c r="L244" s="2">
        <v>0</v>
      </c>
      <c r="M244" s="2">
        <v>1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/>
    </row>
    <row r="245" spans="1:31" x14ac:dyDescent="0.25">
      <c r="A245" s="2" t="s">
        <v>23</v>
      </c>
      <c r="B245" s="2" t="s">
        <v>85</v>
      </c>
      <c r="C245" s="2" t="s">
        <v>84</v>
      </c>
      <c r="D245" s="2" t="s">
        <v>98</v>
      </c>
      <c r="E245" s="2" t="s">
        <v>97</v>
      </c>
      <c r="F245" s="2" t="s">
        <v>384</v>
      </c>
      <c r="G245" s="2" t="s">
        <v>1144</v>
      </c>
      <c r="H245" s="2" t="s">
        <v>2786</v>
      </c>
      <c r="I245" s="2" t="s">
        <v>2787</v>
      </c>
      <c r="J245" s="2" t="s">
        <v>3693</v>
      </c>
      <c r="K245" s="2">
        <v>0</v>
      </c>
      <c r="L245" s="2">
        <v>1</v>
      </c>
      <c r="M245" s="2">
        <v>0</v>
      </c>
      <c r="N245" s="2">
        <v>1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1</v>
      </c>
      <c r="X245" s="2">
        <v>1</v>
      </c>
      <c r="Y245" s="2">
        <v>0</v>
      </c>
      <c r="Z245" s="2">
        <v>0</v>
      </c>
      <c r="AA245" s="2">
        <v>1</v>
      </c>
      <c r="AB245" s="2">
        <v>0</v>
      </c>
      <c r="AC245" s="2">
        <v>1</v>
      </c>
      <c r="AD245" s="2">
        <v>2</v>
      </c>
      <c r="AE245"/>
    </row>
    <row r="246" spans="1:31" x14ac:dyDescent="0.25">
      <c r="A246" s="2" t="s">
        <v>23</v>
      </c>
      <c r="B246" s="2" t="s">
        <v>85</v>
      </c>
      <c r="C246" s="2" t="s">
        <v>84</v>
      </c>
      <c r="D246" s="2" t="s">
        <v>98</v>
      </c>
      <c r="E246" s="2" t="s">
        <v>97</v>
      </c>
      <c r="F246" s="2" t="s">
        <v>159</v>
      </c>
      <c r="G246" s="2" t="s">
        <v>1149</v>
      </c>
      <c r="H246" s="2" t="s">
        <v>2796</v>
      </c>
      <c r="I246" s="2" t="s">
        <v>2797</v>
      </c>
      <c r="J246" s="2" t="s">
        <v>2074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1</v>
      </c>
      <c r="AE246"/>
    </row>
    <row r="247" spans="1:31" x14ac:dyDescent="0.25">
      <c r="A247" s="2" t="s">
        <v>23</v>
      </c>
      <c r="B247" s="2" t="s">
        <v>85</v>
      </c>
      <c r="C247" s="2" t="s">
        <v>84</v>
      </c>
      <c r="D247" s="2" t="s">
        <v>98</v>
      </c>
      <c r="E247" s="2" t="s">
        <v>97</v>
      </c>
      <c r="F247" s="2" t="s">
        <v>161</v>
      </c>
      <c r="G247" s="2" t="s">
        <v>1151</v>
      </c>
      <c r="H247" s="2" t="s">
        <v>2804</v>
      </c>
      <c r="I247" s="2" t="s">
        <v>2805</v>
      </c>
      <c r="J247" s="2" t="s">
        <v>2074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1</v>
      </c>
      <c r="AC247" s="2">
        <v>0</v>
      </c>
      <c r="AD247" s="2">
        <v>1</v>
      </c>
      <c r="AE247"/>
    </row>
    <row r="248" spans="1:31" x14ac:dyDescent="0.25">
      <c r="A248" s="2" t="s">
        <v>23</v>
      </c>
      <c r="B248" s="2" t="s">
        <v>85</v>
      </c>
      <c r="C248" s="2" t="s">
        <v>84</v>
      </c>
      <c r="D248" s="2" t="s">
        <v>98</v>
      </c>
      <c r="E248" s="2" t="s">
        <v>97</v>
      </c>
      <c r="F248" s="2" t="s">
        <v>386</v>
      </c>
      <c r="G248" s="2" t="s">
        <v>1154</v>
      </c>
      <c r="H248" s="2" t="s">
        <v>2808</v>
      </c>
      <c r="I248" s="2" t="s">
        <v>2809</v>
      </c>
      <c r="J248" s="2" t="s">
        <v>2074</v>
      </c>
      <c r="K248" s="2">
        <v>0</v>
      </c>
      <c r="L248" s="2">
        <v>0</v>
      </c>
      <c r="M248" s="2">
        <v>1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/>
    </row>
    <row r="249" spans="1:31" x14ac:dyDescent="0.25">
      <c r="A249" s="2" t="s">
        <v>23</v>
      </c>
      <c r="B249" s="2" t="s">
        <v>85</v>
      </c>
      <c r="C249" s="2" t="s">
        <v>84</v>
      </c>
      <c r="D249" s="2" t="s">
        <v>98</v>
      </c>
      <c r="E249" s="2" t="s">
        <v>97</v>
      </c>
      <c r="F249" s="2" t="s">
        <v>387</v>
      </c>
      <c r="G249" s="2" t="s">
        <v>1155</v>
      </c>
      <c r="H249" s="2" t="s">
        <v>2810</v>
      </c>
      <c r="I249" s="2" t="s">
        <v>2811</v>
      </c>
      <c r="J249" s="2" t="s">
        <v>3693</v>
      </c>
      <c r="K249" s="2">
        <v>0</v>
      </c>
      <c r="L249" s="2">
        <v>0</v>
      </c>
      <c r="M249" s="2">
        <v>1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/>
    </row>
    <row r="250" spans="1:31" x14ac:dyDescent="0.25">
      <c r="A250" s="2" t="s">
        <v>23</v>
      </c>
      <c r="B250" s="2" t="s">
        <v>85</v>
      </c>
      <c r="C250" s="2" t="s">
        <v>84</v>
      </c>
      <c r="D250" s="2" t="s">
        <v>98</v>
      </c>
      <c r="E250" s="2" t="s">
        <v>97</v>
      </c>
      <c r="F250" s="2" t="s">
        <v>162</v>
      </c>
      <c r="G250" s="2" t="s">
        <v>1158</v>
      </c>
      <c r="H250" s="2" t="s">
        <v>2814</v>
      </c>
      <c r="I250" s="2" t="s">
        <v>2815</v>
      </c>
      <c r="J250" s="2" t="s">
        <v>2074</v>
      </c>
      <c r="K250" s="2">
        <v>0</v>
      </c>
      <c r="L250" s="2">
        <v>0</v>
      </c>
      <c r="M250" s="2">
        <v>3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1</v>
      </c>
      <c r="V250" s="2">
        <v>0</v>
      </c>
      <c r="W250" s="2">
        <v>0</v>
      </c>
      <c r="X250" s="2">
        <v>1</v>
      </c>
      <c r="Y250" s="2">
        <v>0</v>
      </c>
      <c r="Z250" s="2">
        <v>0</v>
      </c>
      <c r="AA250" s="2">
        <v>0</v>
      </c>
      <c r="AB250" s="2">
        <v>0</v>
      </c>
      <c r="AC250" s="2">
        <v>1</v>
      </c>
      <c r="AD250" s="2">
        <v>0</v>
      </c>
      <c r="AE250"/>
    </row>
    <row r="251" spans="1:31" x14ac:dyDescent="0.25">
      <c r="A251" s="2" t="s">
        <v>23</v>
      </c>
      <c r="B251" s="2" t="s">
        <v>85</v>
      </c>
      <c r="C251" s="2" t="s">
        <v>84</v>
      </c>
      <c r="D251" s="2" t="s">
        <v>98</v>
      </c>
      <c r="E251" s="2" t="s">
        <v>97</v>
      </c>
      <c r="F251" s="2" t="s">
        <v>397</v>
      </c>
      <c r="G251" s="2" t="s">
        <v>1176</v>
      </c>
      <c r="H251" s="2" t="s">
        <v>2854</v>
      </c>
      <c r="I251" s="2" t="s">
        <v>2855</v>
      </c>
      <c r="J251" s="2" t="s">
        <v>2074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1</v>
      </c>
      <c r="AB251" s="2">
        <v>0</v>
      </c>
      <c r="AC251" s="2">
        <v>0</v>
      </c>
      <c r="AD251" s="2">
        <v>1</v>
      </c>
      <c r="AE251"/>
    </row>
    <row r="252" spans="1:31" x14ac:dyDescent="0.25">
      <c r="A252" s="2" t="s">
        <v>23</v>
      </c>
      <c r="B252" s="2" t="s">
        <v>85</v>
      </c>
      <c r="C252" s="2" t="s">
        <v>84</v>
      </c>
      <c r="D252" s="2" t="s">
        <v>98</v>
      </c>
      <c r="E252" s="2" t="s">
        <v>97</v>
      </c>
      <c r="F252" s="2" t="s">
        <v>391</v>
      </c>
      <c r="G252" s="2" t="s">
        <v>1167</v>
      </c>
      <c r="H252" s="2" t="s">
        <v>2836</v>
      </c>
      <c r="I252" s="2" t="s">
        <v>2837</v>
      </c>
      <c r="J252" s="2" t="s">
        <v>2074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1</v>
      </c>
      <c r="U252" s="2">
        <v>0</v>
      </c>
      <c r="V252" s="2">
        <v>0</v>
      </c>
      <c r="W252" s="2">
        <v>1</v>
      </c>
      <c r="X252" s="2">
        <v>1</v>
      </c>
      <c r="Y252" s="2">
        <v>1</v>
      </c>
      <c r="Z252" s="2">
        <v>0</v>
      </c>
      <c r="AA252" s="2">
        <v>0</v>
      </c>
      <c r="AB252" s="2">
        <v>0</v>
      </c>
      <c r="AC252" s="2">
        <v>0</v>
      </c>
      <c r="AD252" s="2">
        <v>1</v>
      </c>
      <c r="AE252"/>
    </row>
    <row r="253" spans="1:31" x14ac:dyDescent="0.25">
      <c r="A253" s="2" t="s">
        <v>23</v>
      </c>
      <c r="B253" s="2" t="s">
        <v>85</v>
      </c>
      <c r="C253" s="2" t="s">
        <v>84</v>
      </c>
      <c r="D253" s="2" t="s">
        <v>98</v>
      </c>
      <c r="E253" s="2" t="s">
        <v>97</v>
      </c>
      <c r="F253" s="2" t="s">
        <v>163</v>
      </c>
      <c r="G253" s="2" t="s">
        <v>1171</v>
      </c>
      <c r="H253" s="2" t="s">
        <v>2844</v>
      </c>
      <c r="I253" s="2" t="s">
        <v>2845</v>
      </c>
      <c r="J253" s="2" t="s">
        <v>2074</v>
      </c>
      <c r="K253" s="2">
        <v>0</v>
      </c>
      <c r="L253" s="2">
        <v>0</v>
      </c>
      <c r="M253" s="2">
        <v>3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3</v>
      </c>
      <c r="AE253"/>
    </row>
    <row r="254" spans="1:31" x14ac:dyDescent="0.25">
      <c r="A254" s="2" t="s">
        <v>23</v>
      </c>
      <c r="B254" s="2" t="s">
        <v>85</v>
      </c>
      <c r="C254" s="2" t="s">
        <v>84</v>
      </c>
      <c r="D254" s="2" t="s">
        <v>98</v>
      </c>
      <c r="E254" s="2" t="s">
        <v>97</v>
      </c>
      <c r="F254" s="2" t="s">
        <v>393</v>
      </c>
      <c r="G254" s="2" t="s">
        <v>1172</v>
      </c>
      <c r="H254" s="2" t="s">
        <v>2846</v>
      </c>
      <c r="I254" s="2" t="s">
        <v>2847</v>
      </c>
      <c r="J254" s="2" t="s">
        <v>2074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1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1</v>
      </c>
      <c r="AE254"/>
    </row>
    <row r="255" spans="1:31" x14ac:dyDescent="0.25">
      <c r="A255" s="2" t="s">
        <v>23</v>
      </c>
      <c r="B255" s="2" t="s">
        <v>85</v>
      </c>
      <c r="C255" s="2" t="s">
        <v>84</v>
      </c>
      <c r="D255" s="2" t="s">
        <v>98</v>
      </c>
      <c r="E255" s="2" t="s">
        <v>97</v>
      </c>
      <c r="F255" s="2" t="s">
        <v>395</v>
      </c>
      <c r="G255" s="2" t="s">
        <v>1174</v>
      </c>
      <c r="H255" s="2" t="s">
        <v>2850</v>
      </c>
      <c r="I255" s="2" t="s">
        <v>2851</v>
      </c>
      <c r="J255" s="2" t="s">
        <v>2074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1</v>
      </c>
      <c r="U255" s="2">
        <v>0</v>
      </c>
      <c r="V255" s="2">
        <v>0</v>
      </c>
      <c r="W255" s="2">
        <v>1</v>
      </c>
      <c r="X255" s="2">
        <v>1</v>
      </c>
      <c r="Y255" s="2">
        <v>1</v>
      </c>
      <c r="Z255" s="2">
        <v>0</v>
      </c>
      <c r="AA255" s="2">
        <v>0</v>
      </c>
      <c r="AB255" s="2">
        <v>0</v>
      </c>
      <c r="AC255" s="2">
        <v>1</v>
      </c>
      <c r="AD255" s="2">
        <v>2</v>
      </c>
      <c r="AE255"/>
    </row>
    <row r="256" spans="1:31" x14ac:dyDescent="0.25">
      <c r="A256" s="2" t="s">
        <v>23</v>
      </c>
      <c r="B256" s="2" t="s">
        <v>85</v>
      </c>
      <c r="C256" s="2" t="s">
        <v>84</v>
      </c>
      <c r="D256" s="2" t="s">
        <v>98</v>
      </c>
      <c r="E256" s="2" t="s">
        <v>97</v>
      </c>
      <c r="F256" s="2" t="s">
        <v>396</v>
      </c>
      <c r="G256" s="2" t="s">
        <v>1175</v>
      </c>
      <c r="H256" s="2" t="s">
        <v>2852</v>
      </c>
      <c r="I256" s="2" t="s">
        <v>2853</v>
      </c>
      <c r="J256" s="2" t="s">
        <v>2074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1</v>
      </c>
      <c r="AE256"/>
    </row>
    <row r="257" spans="1:31" x14ac:dyDescent="0.25">
      <c r="A257" s="2" t="s">
        <v>23</v>
      </c>
      <c r="B257" s="2" t="s">
        <v>85</v>
      </c>
      <c r="C257" s="2" t="s">
        <v>84</v>
      </c>
      <c r="D257" s="2" t="s">
        <v>98</v>
      </c>
      <c r="E257" s="2" t="s">
        <v>97</v>
      </c>
      <c r="F257" s="2" t="s">
        <v>398</v>
      </c>
      <c r="G257" s="2" t="s">
        <v>1177</v>
      </c>
      <c r="H257" s="2" t="s">
        <v>2856</v>
      </c>
      <c r="I257" s="2" t="s">
        <v>2857</v>
      </c>
      <c r="J257" s="2" t="s">
        <v>3693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1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1</v>
      </c>
      <c r="AE257"/>
    </row>
    <row r="258" spans="1:31" x14ac:dyDescent="0.25">
      <c r="A258" s="2" t="s">
        <v>23</v>
      </c>
      <c r="B258" s="2" t="s">
        <v>85</v>
      </c>
      <c r="C258" s="2" t="s">
        <v>84</v>
      </c>
      <c r="D258" s="2" t="s">
        <v>98</v>
      </c>
      <c r="E258" s="2" t="s">
        <v>97</v>
      </c>
      <c r="F258" s="2" t="s">
        <v>298</v>
      </c>
      <c r="G258" s="2" t="s">
        <v>1181</v>
      </c>
      <c r="H258" s="2" t="s">
        <v>2866</v>
      </c>
      <c r="I258" s="2" t="s">
        <v>2867</v>
      </c>
      <c r="J258" s="2" t="s">
        <v>2074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1</v>
      </c>
      <c r="AE258"/>
    </row>
    <row r="259" spans="1:31" x14ac:dyDescent="0.25">
      <c r="A259" s="2" t="s">
        <v>23</v>
      </c>
      <c r="B259" s="2" t="s">
        <v>85</v>
      </c>
      <c r="C259" s="2" t="s">
        <v>84</v>
      </c>
      <c r="D259" s="2" t="s">
        <v>98</v>
      </c>
      <c r="E259" s="2" t="s">
        <v>97</v>
      </c>
      <c r="F259" s="2" t="s">
        <v>404</v>
      </c>
      <c r="G259" s="2" t="s">
        <v>1191</v>
      </c>
      <c r="H259" s="2" t="s">
        <v>2886</v>
      </c>
      <c r="I259" s="2" t="s">
        <v>2887</v>
      </c>
      <c r="J259" s="2" t="s">
        <v>2074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1</v>
      </c>
      <c r="U259" s="2">
        <v>0</v>
      </c>
      <c r="V259" s="2">
        <v>0</v>
      </c>
      <c r="W259" s="2">
        <v>1</v>
      </c>
      <c r="X259" s="2">
        <v>1</v>
      </c>
      <c r="Y259" s="2">
        <v>1</v>
      </c>
      <c r="Z259" s="2">
        <v>0</v>
      </c>
      <c r="AA259" s="2">
        <v>0</v>
      </c>
      <c r="AB259" s="2">
        <v>0</v>
      </c>
      <c r="AC259" s="2">
        <v>1</v>
      </c>
      <c r="AD259" s="2">
        <v>1</v>
      </c>
      <c r="AE259"/>
    </row>
    <row r="260" spans="1:31" x14ac:dyDescent="0.25">
      <c r="A260" s="2" t="s">
        <v>23</v>
      </c>
      <c r="B260" s="2" t="s">
        <v>85</v>
      </c>
      <c r="C260" s="2" t="s">
        <v>84</v>
      </c>
      <c r="D260" s="2" t="s">
        <v>98</v>
      </c>
      <c r="E260" s="2" t="s">
        <v>97</v>
      </c>
      <c r="F260" s="2" t="s">
        <v>407</v>
      </c>
      <c r="G260" s="2" t="s">
        <v>1197</v>
      </c>
      <c r="H260" s="2" t="s">
        <v>2900</v>
      </c>
      <c r="I260" s="2" t="s">
        <v>2901</v>
      </c>
      <c r="J260" s="2" t="s">
        <v>2074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1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1</v>
      </c>
      <c r="AE260"/>
    </row>
    <row r="261" spans="1:31" x14ac:dyDescent="0.25">
      <c r="A261" s="2" t="s">
        <v>23</v>
      </c>
      <c r="B261" s="2" t="s">
        <v>85</v>
      </c>
      <c r="C261" s="2" t="s">
        <v>84</v>
      </c>
      <c r="D261" s="2" t="s">
        <v>98</v>
      </c>
      <c r="E261" s="2" t="s">
        <v>97</v>
      </c>
      <c r="F261" s="2" t="s">
        <v>379</v>
      </c>
      <c r="G261" s="2" t="s">
        <v>1137</v>
      </c>
      <c r="H261" s="2" t="s">
        <v>2770</v>
      </c>
      <c r="I261" s="2" t="s">
        <v>2771</v>
      </c>
      <c r="J261" s="2" t="s">
        <v>2074</v>
      </c>
      <c r="K261" s="2">
        <v>0</v>
      </c>
      <c r="L261" s="2">
        <v>0</v>
      </c>
      <c r="M261" s="2">
        <v>1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/>
    </row>
    <row r="262" spans="1:31" x14ac:dyDescent="0.25">
      <c r="A262" s="2" t="s">
        <v>23</v>
      </c>
      <c r="B262" s="2" t="s">
        <v>85</v>
      </c>
      <c r="C262" s="2" t="s">
        <v>84</v>
      </c>
      <c r="D262" s="2" t="s">
        <v>98</v>
      </c>
      <c r="E262" s="2" t="s">
        <v>97</v>
      </c>
      <c r="F262" s="2" t="s">
        <v>410</v>
      </c>
      <c r="G262" s="2" t="s">
        <v>1206</v>
      </c>
      <c r="H262" s="2" t="s">
        <v>2928</v>
      </c>
      <c r="I262" s="2" t="s">
        <v>2929</v>
      </c>
      <c r="J262" s="2" t="s">
        <v>2074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1</v>
      </c>
      <c r="AC262" s="2">
        <v>0</v>
      </c>
      <c r="AD262" s="2">
        <v>1</v>
      </c>
      <c r="AE262"/>
    </row>
    <row r="263" spans="1:31" x14ac:dyDescent="0.25">
      <c r="A263" s="2" t="s">
        <v>23</v>
      </c>
      <c r="B263" s="2" t="s">
        <v>85</v>
      </c>
      <c r="C263" s="2" t="s">
        <v>84</v>
      </c>
      <c r="D263" s="2" t="s">
        <v>98</v>
      </c>
      <c r="E263" s="2" t="s">
        <v>97</v>
      </c>
      <c r="F263" s="2" t="s">
        <v>165</v>
      </c>
      <c r="G263" s="2" t="s">
        <v>1208</v>
      </c>
      <c r="H263" s="2" t="s">
        <v>2934</v>
      </c>
      <c r="I263" s="2" t="s">
        <v>2935</v>
      </c>
      <c r="J263" s="2" t="s">
        <v>2074</v>
      </c>
      <c r="K263" s="2">
        <v>0</v>
      </c>
      <c r="L263" s="2">
        <v>0</v>
      </c>
      <c r="M263" s="2">
        <v>1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/>
    </row>
    <row r="264" spans="1:31" x14ac:dyDescent="0.25">
      <c r="A264" s="2" t="s">
        <v>23</v>
      </c>
      <c r="B264" s="2" t="s">
        <v>85</v>
      </c>
      <c r="C264" s="2" t="s">
        <v>84</v>
      </c>
      <c r="D264" s="2" t="s">
        <v>98</v>
      </c>
      <c r="E264" s="2" t="s">
        <v>97</v>
      </c>
      <c r="F264" s="2" t="s">
        <v>411</v>
      </c>
      <c r="G264" s="2" t="s">
        <v>1209</v>
      </c>
      <c r="H264" s="2" t="s">
        <v>2936</v>
      </c>
      <c r="I264" s="2" t="s">
        <v>2937</v>
      </c>
      <c r="J264" s="2" t="s">
        <v>2074</v>
      </c>
      <c r="K264" s="2">
        <v>0</v>
      </c>
      <c r="L264" s="2">
        <v>0</v>
      </c>
      <c r="M264" s="2">
        <v>1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/>
    </row>
    <row r="265" spans="1:31" x14ac:dyDescent="0.25">
      <c r="A265" s="2" t="s">
        <v>23</v>
      </c>
      <c r="B265" s="2" t="s">
        <v>85</v>
      </c>
      <c r="C265" s="2" t="s">
        <v>84</v>
      </c>
      <c r="D265" s="2" t="s">
        <v>98</v>
      </c>
      <c r="E265" s="2" t="s">
        <v>97</v>
      </c>
      <c r="F265" s="2" t="s">
        <v>415</v>
      </c>
      <c r="G265" s="2" t="s">
        <v>1213</v>
      </c>
      <c r="H265" s="2" t="s">
        <v>2946</v>
      </c>
      <c r="I265" s="2" t="s">
        <v>2947</v>
      </c>
      <c r="J265" s="2" t="s">
        <v>2074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1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1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1</v>
      </c>
      <c r="AE265"/>
    </row>
    <row r="266" spans="1:31" x14ac:dyDescent="0.25">
      <c r="A266" s="2" t="s">
        <v>23</v>
      </c>
      <c r="B266" s="2" t="s">
        <v>85</v>
      </c>
      <c r="C266" s="2" t="s">
        <v>84</v>
      </c>
      <c r="D266" s="2" t="s">
        <v>98</v>
      </c>
      <c r="E266" s="2" t="s">
        <v>97</v>
      </c>
      <c r="F266" s="2" t="s">
        <v>418</v>
      </c>
      <c r="G266" s="2" t="s">
        <v>1218</v>
      </c>
      <c r="H266" s="2" t="s">
        <v>2956</v>
      </c>
      <c r="I266" s="2" t="s">
        <v>2957</v>
      </c>
      <c r="J266" s="2" t="s">
        <v>2074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1</v>
      </c>
      <c r="AE266"/>
    </row>
    <row r="267" spans="1:31" x14ac:dyDescent="0.25">
      <c r="A267" s="2" t="s">
        <v>23</v>
      </c>
      <c r="B267" s="2" t="s">
        <v>85</v>
      </c>
      <c r="C267" s="2" t="s">
        <v>84</v>
      </c>
      <c r="D267" s="2" t="s">
        <v>98</v>
      </c>
      <c r="E267" s="2" t="s">
        <v>97</v>
      </c>
      <c r="F267" s="2" t="s">
        <v>420</v>
      </c>
      <c r="G267" s="2" t="s">
        <v>1220</v>
      </c>
      <c r="H267" s="2" t="s">
        <v>2962</v>
      </c>
      <c r="I267" s="2" t="s">
        <v>2963</v>
      </c>
      <c r="J267" s="2" t="s">
        <v>2074</v>
      </c>
      <c r="K267" s="2">
        <v>0</v>
      </c>
      <c r="L267" s="2">
        <v>0</v>
      </c>
      <c r="M267" s="2">
        <v>0</v>
      </c>
      <c r="N267" s="2">
        <v>1</v>
      </c>
      <c r="O267" s="2">
        <v>0</v>
      </c>
      <c r="P267" s="2">
        <v>0</v>
      </c>
      <c r="Q267" s="2">
        <v>0</v>
      </c>
      <c r="R267" s="2">
        <v>1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1</v>
      </c>
      <c r="AC267" s="2">
        <v>0</v>
      </c>
      <c r="AD267" s="2">
        <v>1</v>
      </c>
      <c r="AE267"/>
    </row>
    <row r="268" spans="1:31" x14ac:dyDescent="0.25">
      <c r="A268" s="2" t="s">
        <v>23</v>
      </c>
      <c r="B268" s="2" t="s">
        <v>85</v>
      </c>
      <c r="C268" s="2" t="s">
        <v>84</v>
      </c>
      <c r="D268" s="2" t="s">
        <v>98</v>
      </c>
      <c r="E268" s="2" t="s">
        <v>97</v>
      </c>
      <c r="F268" s="2" t="s">
        <v>422</v>
      </c>
      <c r="G268" s="2" t="s">
        <v>1223</v>
      </c>
      <c r="H268" s="2" t="s">
        <v>2968</v>
      </c>
      <c r="I268" s="2" t="s">
        <v>2969</v>
      </c>
      <c r="J268" s="2" t="s">
        <v>2074</v>
      </c>
      <c r="K268" s="2">
        <v>0</v>
      </c>
      <c r="L268" s="2">
        <v>0</v>
      </c>
      <c r="M268" s="2">
        <v>1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/>
    </row>
    <row r="269" spans="1:31" x14ac:dyDescent="0.25">
      <c r="A269" s="2" t="s">
        <v>23</v>
      </c>
      <c r="B269" s="2" t="s">
        <v>85</v>
      </c>
      <c r="C269" s="2" t="s">
        <v>84</v>
      </c>
      <c r="D269" s="2" t="s">
        <v>98</v>
      </c>
      <c r="E269" s="2" t="s">
        <v>97</v>
      </c>
      <c r="F269" s="2" t="s">
        <v>423</v>
      </c>
      <c r="G269" s="2" t="s">
        <v>1224</v>
      </c>
      <c r="H269" s="2" t="s">
        <v>2972</v>
      </c>
      <c r="I269" s="2" t="s">
        <v>2973</v>
      </c>
      <c r="J269" s="2" t="s">
        <v>2074</v>
      </c>
      <c r="K269" s="2">
        <v>0</v>
      </c>
      <c r="L269" s="2">
        <v>0</v>
      </c>
      <c r="M269" s="2">
        <v>1</v>
      </c>
      <c r="N269" s="2">
        <v>1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1</v>
      </c>
      <c r="U269" s="2">
        <v>0</v>
      </c>
      <c r="V269" s="2">
        <v>0</v>
      </c>
      <c r="W269" s="2">
        <v>0</v>
      </c>
      <c r="X269" s="2">
        <v>0</v>
      </c>
      <c r="Y269" s="2">
        <v>1</v>
      </c>
      <c r="Z269" s="2">
        <v>0</v>
      </c>
      <c r="AA269" s="2">
        <v>0</v>
      </c>
      <c r="AB269" s="2">
        <v>0</v>
      </c>
      <c r="AC269" s="2">
        <v>2</v>
      </c>
      <c r="AD269" s="2">
        <v>3</v>
      </c>
      <c r="AE269"/>
    </row>
    <row r="270" spans="1:31" x14ac:dyDescent="0.25">
      <c r="A270" s="2" t="s">
        <v>23</v>
      </c>
      <c r="B270" s="2" t="s">
        <v>85</v>
      </c>
      <c r="C270" s="2" t="s">
        <v>84</v>
      </c>
      <c r="D270" s="2" t="s">
        <v>98</v>
      </c>
      <c r="E270" s="2" t="s">
        <v>97</v>
      </c>
      <c r="F270" s="2" t="s">
        <v>424</v>
      </c>
      <c r="G270" s="2" t="s">
        <v>1225</v>
      </c>
      <c r="H270" s="2" t="s">
        <v>2974</v>
      </c>
      <c r="I270" s="2" t="s">
        <v>2975</v>
      </c>
      <c r="J270" s="2" t="s">
        <v>2074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1</v>
      </c>
      <c r="X270" s="2">
        <v>1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1</v>
      </c>
      <c r="AE270"/>
    </row>
    <row r="271" spans="1:31" x14ac:dyDescent="0.25">
      <c r="A271" s="2" t="s">
        <v>23</v>
      </c>
      <c r="B271" s="2" t="s">
        <v>85</v>
      </c>
      <c r="C271" s="2" t="s">
        <v>84</v>
      </c>
      <c r="D271" s="2" t="s">
        <v>98</v>
      </c>
      <c r="E271" s="2" t="s">
        <v>97</v>
      </c>
      <c r="F271" s="2" t="s">
        <v>425</v>
      </c>
      <c r="G271" s="2" t="s">
        <v>1226</v>
      </c>
      <c r="H271" s="2" t="s">
        <v>2976</v>
      </c>
      <c r="I271" s="2" t="s">
        <v>2977</v>
      </c>
      <c r="J271" s="2" t="s">
        <v>3693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1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1</v>
      </c>
      <c r="AD271" s="2">
        <v>2</v>
      </c>
      <c r="AE271"/>
    </row>
    <row r="272" spans="1:31" x14ac:dyDescent="0.25">
      <c r="A272" s="2" t="s">
        <v>23</v>
      </c>
      <c r="B272" s="2" t="s">
        <v>85</v>
      </c>
      <c r="C272" s="2" t="s">
        <v>84</v>
      </c>
      <c r="D272" s="2" t="s">
        <v>98</v>
      </c>
      <c r="E272" s="2" t="s">
        <v>97</v>
      </c>
      <c r="F272" s="2" t="s">
        <v>426</v>
      </c>
      <c r="G272" s="2" t="s">
        <v>1227</v>
      </c>
      <c r="H272" s="2" t="s">
        <v>2978</v>
      </c>
      <c r="I272" s="2" t="s">
        <v>2979</v>
      </c>
      <c r="J272" s="2" t="s">
        <v>2074</v>
      </c>
      <c r="K272" s="2">
        <v>0</v>
      </c>
      <c r="L272" s="2">
        <v>0</v>
      </c>
      <c r="M272" s="2">
        <v>2</v>
      </c>
      <c r="N272" s="2">
        <v>0</v>
      </c>
      <c r="O272" s="2">
        <v>0</v>
      </c>
      <c r="P272" s="2">
        <v>0</v>
      </c>
      <c r="Q272" s="2">
        <v>1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2</v>
      </c>
      <c r="AE272"/>
    </row>
    <row r="273" spans="1:31" x14ac:dyDescent="0.25">
      <c r="A273" s="2" t="s">
        <v>23</v>
      </c>
      <c r="B273" s="2" t="s">
        <v>85</v>
      </c>
      <c r="C273" s="2" t="s">
        <v>84</v>
      </c>
      <c r="D273" s="2" t="s">
        <v>98</v>
      </c>
      <c r="E273" s="2" t="s">
        <v>97</v>
      </c>
      <c r="F273" s="2" t="s">
        <v>429</v>
      </c>
      <c r="G273" s="2" t="s">
        <v>1230</v>
      </c>
      <c r="H273" s="2" t="s">
        <v>2988</v>
      </c>
      <c r="I273" s="2" t="s">
        <v>2989</v>
      </c>
      <c r="J273" s="2" t="s">
        <v>2074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1</v>
      </c>
      <c r="AC273" s="2">
        <v>0</v>
      </c>
      <c r="AD273" s="2">
        <v>1</v>
      </c>
      <c r="AE273"/>
    </row>
    <row r="274" spans="1:31" x14ac:dyDescent="0.25">
      <c r="A274" s="2" t="s">
        <v>23</v>
      </c>
      <c r="B274" s="2" t="s">
        <v>85</v>
      </c>
      <c r="C274" s="2" t="s">
        <v>84</v>
      </c>
      <c r="D274" s="2" t="s">
        <v>98</v>
      </c>
      <c r="E274" s="2" t="s">
        <v>97</v>
      </c>
      <c r="F274" s="2" t="s">
        <v>431</v>
      </c>
      <c r="G274" s="2" t="s">
        <v>1685</v>
      </c>
      <c r="H274" s="2" t="s">
        <v>2998</v>
      </c>
      <c r="I274" s="2" t="s">
        <v>2999</v>
      </c>
      <c r="J274" s="2" t="s">
        <v>2074</v>
      </c>
      <c r="K274" s="2">
        <v>0</v>
      </c>
      <c r="L274" s="2">
        <v>0</v>
      </c>
      <c r="M274" s="2">
        <v>1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1</v>
      </c>
      <c r="AE274"/>
    </row>
    <row r="275" spans="1:31" x14ac:dyDescent="0.25">
      <c r="A275" s="2" t="s">
        <v>23</v>
      </c>
      <c r="B275" s="2" t="s">
        <v>85</v>
      </c>
      <c r="C275" s="2" t="s">
        <v>84</v>
      </c>
      <c r="D275" s="2" t="s">
        <v>98</v>
      </c>
      <c r="E275" s="2" t="s">
        <v>97</v>
      </c>
      <c r="F275" s="2" t="s">
        <v>442</v>
      </c>
      <c r="G275" s="2" t="s">
        <v>1259</v>
      </c>
      <c r="H275" s="2" t="s">
        <v>3042</v>
      </c>
      <c r="I275" s="2" t="s">
        <v>3043</v>
      </c>
      <c r="J275" s="2" t="s">
        <v>2074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1</v>
      </c>
      <c r="AE275"/>
    </row>
    <row r="276" spans="1:31" x14ac:dyDescent="0.25">
      <c r="A276" s="2" t="s">
        <v>23</v>
      </c>
      <c r="B276" s="2" t="s">
        <v>85</v>
      </c>
      <c r="C276" s="2" t="s">
        <v>84</v>
      </c>
      <c r="D276" s="2" t="s">
        <v>98</v>
      </c>
      <c r="E276" s="2" t="s">
        <v>97</v>
      </c>
      <c r="F276" s="2" t="s">
        <v>441</v>
      </c>
      <c r="G276" s="2" t="s">
        <v>1258</v>
      </c>
      <c r="H276" s="2" t="s">
        <v>3040</v>
      </c>
      <c r="I276" s="2" t="s">
        <v>3041</v>
      </c>
      <c r="J276" s="2" t="s">
        <v>2074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1</v>
      </c>
      <c r="AE276"/>
    </row>
    <row r="277" spans="1:31" x14ac:dyDescent="0.25">
      <c r="A277" s="2" t="s">
        <v>23</v>
      </c>
      <c r="B277" s="2" t="s">
        <v>85</v>
      </c>
      <c r="C277" s="2" t="s">
        <v>84</v>
      </c>
      <c r="D277" s="2" t="s">
        <v>98</v>
      </c>
      <c r="E277" s="2" t="s">
        <v>97</v>
      </c>
      <c r="F277" s="2" t="s">
        <v>695</v>
      </c>
      <c r="G277" s="2" t="s">
        <v>1686</v>
      </c>
      <c r="H277" s="2" t="s">
        <v>3046</v>
      </c>
      <c r="I277" s="2" t="s">
        <v>3047</v>
      </c>
      <c r="J277" s="2" t="s">
        <v>2074</v>
      </c>
      <c r="K277" s="2">
        <v>0</v>
      </c>
      <c r="L277" s="2">
        <v>0</v>
      </c>
      <c r="M277" s="2">
        <v>1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1</v>
      </c>
      <c r="AE277"/>
    </row>
    <row r="278" spans="1:31" x14ac:dyDescent="0.25">
      <c r="A278" s="2" t="s">
        <v>23</v>
      </c>
      <c r="B278" s="2" t="s">
        <v>85</v>
      </c>
      <c r="C278" s="2" t="s">
        <v>84</v>
      </c>
      <c r="D278" s="2" t="s">
        <v>98</v>
      </c>
      <c r="E278" s="2" t="s">
        <v>97</v>
      </c>
      <c r="F278" s="2" t="s">
        <v>444</v>
      </c>
      <c r="G278" s="2" t="s">
        <v>1261</v>
      </c>
      <c r="H278" s="2" t="s">
        <v>3048</v>
      </c>
      <c r="I278" s="2" t="s">
        <v>3049</v>
      </c>
      <c r="J278" s="2" t="s">
        <v>2074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1</v>
      </c>
      <c r="AE278"/>
    </row>
    <row r="279" spans="1:31" x14ac:dyDescent="0.25">
      <c r="A279" s="2" t="s">
        <v>23</v>
      </c>
      <c r="B279" s="2" t="s">
        <v>85</v>
      </c>
      <c r="C279" s="2" t="s">
        <v>84</v>
      </c>
      <c r="D279" s="2" t="s">
        <v>98</v>
      </c>
      <c r="E279" s="2" t="s">
        <v>97</v>
      </c>
      <c r="F279" s="2" t="s">
        <v>169</v>
      </c>
      <c r="G279" s="2" t="s">
        <v>1262</v>
      </c>
      <c r="H279" s="2" t="s">
        <v>3050</v>
      </c>
      <c r="I279" s="2" t="s">
        <v>3051</v>
      </c>
      <c r="J279" s="2" t="s">
        <v>2074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1</v>
      </c>
      <c r="AE279"/>
    </row>
    <row r="280" spans="1:31" x14ac:dyDescent="0.25">
      <c r="A280" s="2" t="s">
        <v>23</v>
      </c>
      <c r="B280" s="2" t="s">
        <v>85</v>
      </c>
      <c r="C280" s="2" t="s">
        <v>84</v>
      </c>
      <c r="D280" s="2" t="s">
        <v>98</v>
      </c>
      <c r="E280" s="2" t="s">
        <v>97</v>
      </c>
      <c r="F280" s="2" t="s">
        <v>451</v>
      </c>
      <c r="G280" s="2" t="s">
        <v>1272</v>
      </c>
      <c r="H280" s="2" t="s">
        <v>3070</v>
      </c>
      <c r="I280" s="2" t="s">
        <v>3071</v>
      </c>
      <c r="J280" s="2" t="s">
        <v>2074</v>
      </c>
      <c r="K280" s="2">
        <v>0</v>
      </c>
      <c r="L280" s="2">
        <v>0</v>
      </c>
      <c r="M280" s="2">
        <v>0</v>
      </c>
      <c r="N280" s="2">
        <v>1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1</v>
      </c>
      <c r="Y280" s="2">
        <v>1</v>
      </c>
      <c r="Z280" s="2">
        <v>0</v>
      </c>
      <c r="AA280" s="2">
        <v>0</v>
      </c>
      <c r="AB280" s="2">
        <v>0</v>
      </c>
      <c r="AC280" s="2">
        <v>1</v>
      </c>
      <c r="AD280" s="2">
        <v>2</v>
      </c>
      <c r="AE280"/>
    </row>
    <row r="281" spans="1:31" x14ac:dyDescent="0.25">
      <c r="A281" s="2" t="s">
        <v>23</v>
      </c>
      <c r="B281" s="2" t="s">
        <v>85</v>
      </c>
      <c r="C281" s="2" t="s">
        <v>84</v>
      </c>
      <c r="D281" s="2" t="s">
        <v>98</v>
      </c>
      <c r="E281" s="2" t="s">
        <v>97</v>
      </c>
      <c r="F281" s="2" t="s">
        <v>455</v>
      </c>
      <c r="G281" s="2" t="s">
        <v>1282</v>
      </c>
      <c r="H281" s="2" t="s">
        <v>3094</v>
      </c>
      <c r="I281" s="2" t="s">
        <v>3095</v>
      </c>
      <c r="J281" s="2" t="s">
        <v>2074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1</v>
      </c>
      <c r="AE281"/>
    </row>
    <row r="282" spans="1:31" x14ac:dyDescent="0.25">
      <c r="A282" s="2" t="s">
        <v>23</v>
      </c>
      <c r="B282" s="2" t="s">
        <v>85</v>
      </c>
      <c r="C282" s="2" t="s">
        <v>84</v>
      </c>
      <c r="D282" s="2" t="s">
        <v>98</v>
      </c>
      <c r="E282" s="2" t="s">
        <v>97</v>
      </c>
      <c r="F282" s="2" t="s">
        <v>457</v>
      </c>
      <c r="G282" s="2" t="s">
        <v>1289</v>
      </c>
      <c r="H282" s="2" t="s">
        <v>3104</v>
      </c>
      <c r="I282" s="2" t="s">
        <v>3105</v>
      </c>
      <c r="J282" s="2" t="s">
        <v>2074</v>
      </c>
      <c r="K282" s="2">
        <v>0</v>
      </c>
      <c r="L282" s="2">
        <v>0</v>
      </c>
      <c r="M282" s="2">
        <v>1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1</v>
      </c>
      <c r="AE282"/>
    </row>
    <row r="283" spans="1:31" x14ac:dyDescent="0.25">
      <c r="A283" s="2" t="s">
        <v>23</v>
      </c>
      <c r="B283" s="2" t="s">
        <v>85</v>
      </c>
      <c r="C283" s="2" t="s">
        <v>84</v>
      </c>
      <c r="D283" s="2" t="s">
        <v>98</v>
      </c>
      <c r="E283" s="2" t="s">
        <v>97</v>
      </c>
      <c r="F283" s="2" t="s">
        <v>461</v>
      </c>
      <c r="G283" s="2" t="s">
        <v>1299</v>
      </c>
      <c r="H283" s="2" t="s">
        <v>3122</v>
      </c>
      <c r="I283" s="2" t="s">
        <v>3123</v>
      </c>
      <c r="J283" s="2" t="s">
        <v>2074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1</v>
      </c>
      <c r="U283" s="2">
        <v>0</v>
      </c>
      <c r="V283" s="2">
        <v>0</v>
      </c>
      <c r="W283" s="2">
        <v>1</v>
      </c>
      <c r="X283" s="2">
        <v>1</v>
      </c>
      <c r="Y283" s="2">
        <v>1</v>
      </c>
      <c r="Z283" s="2">
        <v>0</v>
      </c>
      <c r="AA283" s="2">
        <v>0</v>
      </c>
      <c r="AB283" s="2">
        <v>0</v>
      </c>
      <c r="AC283" s="2">
        <v>1</v>
      </c>
      <c r="AD283" s="2">
        <v>2</v>
      </c>
      <c r="AE283"/>
    </row>
    <row r="284" spans="1:31" x14ac:dyDescent="0.25">
      <c r="A284" s="2" t="s">
        <v>23</v>
      </c>
      <c r="B284" s="2" t="s">
        <v>85</v>
      </c>
      <c r="C284" s="2" t="s">
        <v>84</v>
      </c>
      <c r="D284" s="2" t="s">
        <v>98</v>
      </c>
      <c r="E284" s="2" t="s">
        <v>97</v>
      </c>
      <c r="F284" s="2" t="s">
        <v>462</v>
      </c>
      <c r="G284" s="2" t="s">
        <v>1300</v>
      </c>
      <c r="H284" s="2" t="s">
        <v>3126</v>
      </c>
      <c r="I284" s="2" t="s">
        <v>3127</v>
      </c>
      <c r="J284" s="2" t="s">
        <v>2074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1</v>
      </c>
      <c r="AE284"/>
    </row>
    <row r="285" spans="1:31" x14ac:dyDescent="0.25">
      <c r="A285" s="2" t="s">
        <v>23</v>
      </c>
      <c r="B285" s="2" t="s">
        <v>85</v>
      </c>
      <c r="C285" s="2" t="s">
        <v>84</v>
      </c>
      <c r="D285" s="2" t="s">
        <v>98</v>
      </c>
      <c r="E285" s="2" t="s">
        <v>97</v>
      </c>
      <c r="F285" s="2" t="s">
        <v>155</v>
      </c>
      <c r="G285" s="2" t="s">
        <v>1143</v>
      </c>
      <c r="H285" s="2" t="s">
        <v>2782</v>
      </c>
      <c r="I285" s="2" t="s">
        <v>2783</v>
      </c>
      <c r="J285" s="2" t="s">
        <v>2074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1</v>
      </c>
      <c r="AE285"/>
    </row>
    <row r="286" spans="1:31" x14ac:dyDescent="0.25">
      <c r="A286" s="2" t="s">
        <v>23</v>
      </c>
      <c r="B286" s="2" t="s">
        <v>85</v>
      </c>
      <c r="C286" s="2" t="s">
        <v>84</v>
      </c>
      <c r="D286" s="2" t="s">
        <v>98</v>
      </c>
      <c r="E286" s="2" t="s">
        <v>97</v>
      </c>
      <c r="F286" s="2" t="s">
        <v>390</v>
      </c>
      <c r="G286" s="2" t="s">
        <v>1166</v>
      </c>
      <c r="H286" s="2" t="s">
        <v>2834</v>
      </c>
      <c r="I286" s="2" t="s">
        <v>2835</v>
      </c>
      <c r="J286" s="2" t="s">
        <v>2074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1</v>
      </c>
      <c r="Y286" s="2">
        <v>1</v>
      </c>
      <c r="Z286" s="2">
        <v>1</v>
      </c>
      <c r="AA286" s="2">
        <v>0</v>
      </c>
      <c r="AB286" s="2">
        <v>0</v>
      </c>
      <c r="AC286" s="2">
        <v>0</v>
      </c>
      <c r="AD286" s="2">
        <v>2</v>
      </c>
      <c r="AE286"/>
    </row>
    <row r="287" spans="1:31" x14ac:dyDescent="0.25">
      <c r="A287" s="2" t="s">
        <v>23</v>
      </c>
      <c r="B287" s="2" t="s">
        <v>85</v>
      </c>
      <c r="C287" s="2" t="s">
        <v>84</v>
      </c>
      <c r="D287" s="2" t="s">
        <v>98</v>
      </c>
      <c r="E287" s="2" t="s">
        <v>97</v>
      </c>
      <c r="F287" s="2" t="s">
        <v>414</v>
      </c>
      <c r="G287" s="2" t="s">
        <v>1212</v>
      </c>
      <c r="H287" s="2" t="s">
        <v>2942</v>
      </c>
      <c r="I287" s="2" t="s">
        <v>2943</v>
      </c>
      <c r="J287" s="2" t="s">
        <v>3693</v>
      </c>
      <c r="K287" s="2">
        <v>1</v>
      </c>
      <c r="L287" s="2">
        <v>0</v>
      </c>
      <c r="M287" s="2">
        <v>1</v>
      </c>
      <c r="N287" s="2">
        <v>0</v>
      </c>
      <c r="O287" s="2">
        <v>0</v>
      </c>
      <c r="P287" s="2">
        <v>0</v>
      </c>
      <c r="Q287" s="2">
        <v>1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1</v>
      </c>
      <c r="Y287" s="2">
        <v>1</v>
      </c>
      <c r="Z287" s="2">
        <v>0</v>
      </c>
      <c r="AA287" s="2">
        <v>0</v>
      </c>
      <c r="AB287" s="2">
        <v>0</v>
      </c>
      <c r="AC287" s="2">
        <v>0</v>
      </c>
      <c r="AD287" s="2">
        <v>1</v>
      </c>
      <c r="AE287"/>
    </row>
    <row r="288" spans="1:31" x14ac:dyDescent="0.25">
      <c r="A288" s="2" t="s">
        <v>23</v>
      </c>
      <c r="B288" s="2" t="s">
        <v>85</v>
      </c>
      <c r="C288" s="2" t="s">
        <v>84</v>
      </c>
      <c r="D288" s="2" t="s">
        <v>98</v>
      </c>
      <c r="E288" s="2" t="s">
        <v>97</v>
      </c>
      <c r="F288" s="2" t="s">
        <v>167</v>
      </c>
      <c r="G288" s="2" t="s">
        <v>1232</v>
      </c>
      <c r="H288" s="2" t="s">
        <v>2996</v>
      </c>
      <c r="I288" s="2" t="s">
        <v>2997</v>
      </c>
      <c r="J288" s="2" t="s">
        <v>3693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1</v>
      </c>
      <c r="AE288"/>
    </row>
    <row r="289" spans="1:31" x14ac:dyDescent="0.25">
      <c r="A289" s="2" t="s">
        <v>23</v>
      </c>
      <c r="B289" s="2" t="s">
        <v>85</v>
      </c>
      <c r="C289" s="2" t="s">
        <v>84</v>
      </c>
      <c r="D289" s="2" t="s">
        <v>98</v>
      </c>
      <c r="E289" s="2" t="s">
        <v>97</v>
      </c>
      <c r="F289" s="2" t="s">
        <v>434</v>
      </c>
      <c r="G289" s="2" t="s">
        <v>1242</v>
      </c>
      <c r="H289" s="2" t="s">
        <v>3014</v>
      </c>
      <c r="I289" s="2" t="s">
        <v>3015</v>
      </c>
      <c r="J289" s="2" t="s">
        <v>2074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1</v>
      </c>
      <c r="AE289"/>
    </row>
    <row r="290" spans="1:31" x14ac:dyDescent="0.25">
      <c r="A290" s="2" t="s">
        <v>23</v>
      </c>
      <c r="B290" s="2" t="s">
        <v>85</v>
      </c>
      <c r="C290" s="2" t="s">
        <v>84</v>
      </c>
      <c r="D290" s="2" t="s">
        <v>98</v>
      </c>
      <c r="E290" s="2" t="s">
        <v>97</v>
      </c>
      <c r="F290" s="2" t="s">
        <v>170</v>
      </c>
      <c r="G290" s="2" t="s">
        <v>1274</v>
      </c>
      <c r="H290" s="2" t="s">
        <v>3074</v>
      </c>
      <c r="I290" s="2" t="s">
        <v>3075</v>
      </c>
      <c r="J290" s="2" t="s">
        <v>2074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1</v>
      </c>
      <c r="AE290"/>
    </row>
    <row r="291" spans="1:31" x14ac:dyDescent="0.25">
      <c r="A291" s="2" t="s">
        <v>23</v>
      </c>
      <c r="B291" s="2" t="s">
        <v>85</v>
      </c>
      <c r="C291" s="2" t="s">
        <v>84</v>
      </c>
      <c r="D291" s="2" t="s">
        <v>98</v>
      </c>
      <c r="E291" s="2" t="s">
        <v>97</v>
      </c>
      <c r="F291" s="2" t="s">
        <v>416</v>
      </c>
      <c r="G291" s="2" t="s">
        <v>1214</v>
      </c>
      <c r="H291" s="2" t="s">
        <v>2948</v>
      </c>
      <c r="I291" s="2" t="s">
        <v>2949</v>
      </c>
      <c r="J291" s="2" t="s">
        <v>3693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1</v>
      </c>
      <c r="Y291" s="2">
        <v>0</v>
      </c>
      <c r="Z291" s="2">
        <v>0</v>
      </c>
      <c r="AA291" s="2">
        <v>0</v>
      </c>
      <c r="AB291" s="2">
        <v>0</v>
      </c>
      <c r="AC291" s="2">
        <v>1</v>
      </c>
      <c r="AD291" s="2">
        <v>2</v>
      </c>
      <c r="AE291"/>
    </row>
    <row r="292" spans="1:31" x14ac:dyDescent="0.25">
      <c r="A292" s="2" t="s">
        <v>23</v>
      </c>
      <c r="B292" s="2" t="s">
        <v>85</v>
      </c>
      <c r="C292" s="2" t="s">
        <v>84</v>
      </c>
      <c r="D292" s="2" t="s">
        <v>98</v>
      </c>
      <c r="E292" s="2" t="s">
        <v>97</v>
      </c>
      <c r="F292" s="2" t="s">
        <v>392</v>
      </c>
      <c r="G292" s="2" t="s">
        <v>1169</v>
      </c>
      <c r="H292" s="2" t="s">
        <v>2840</v>
      </c>
      <c r="I292" s="2" t="s">
        <v>2841</v>
      </c>
      <c r="J292" s="2" t="s">
        <v>2074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2</v>
      </c>
      <c r="AC292" s="2">
        <v>0</v>
      </c>
      <c r="AD292" s="2">
        <v>2</v>
      </c>
      <c r="AE292"/>
    </row>
    <row r="293" spans="1:31" x14ac:dyDescent="0.25">
      <c r="A293" s="2" t="s">
        <v>23</v>
      </c>
      <c r="B293" s="2" t="s">
        <v>85</v>
      </c>
      <c r="C293" s="2" t="s">
        <v>84</v>
      </c>
      <c r="D293" s="2" t="s">
        <v>98</v>
      </c>
      <c r="E293" s="2" t="s">
        <v>97</v>
      </c>
      <c r="F293" s="2" t="s">
        <v>454</v>
      </c>
      <c r="G293" s="2" t="s">
        <v>1280</v>
      </c>
      <c r="H293" s="2" t="s">
        <v>3086</v>
      </c>
      <c r="I293" s="2" t="s">
        <v>3087</v>
      </c>
      <c r="J293" s="2" t="s">
        <v>2074</v>
      </c>
      <c r="K293" s="2">
        <v>0</v>
      </c>
      <c r="L293" s="2">
        <v>0</v>
      </c>
      <c r="M293" s="2">
        <v>1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/>
    </row>
    <row r="294" spans="1:31" x14ac:dyDescent="0.25">
      <c r="A294" s="2" t="s">
        <v>23</v>
      </c>
      <c r="B294" s="2" t="s">
        <v>85</v>
      </c>
      <c r="C294" s="2" t="s">
        <v>84</v>
      </c>
      <c r="D294" s="2" t="s">
        <v>98</v>
      </c>
      <c r="E294" s="2" t="s">
        <v>97</v>
      </c>
      <c r="F294" s="2" t="s">
        <v>460</v>
      </c>
      <c r="G294" s="2" t="s">
        <v>1298</v>
      </c>
      <c r="H294" s="2" t="s">
        <v>3120</v>
      </c>
      <c r="I294" s="2" t="s">
        <v>3121</v>
      </c>
      <c r="J294" s="2" t="s">
        <v>2074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1</v>
      </c>
      <c r="X294" s="2">
        <v>1</v>
      </c>
      <c r="Y294" s="2">
        <v>1</v>
      </c>
      <c r="Z294" s="2">
        <v>0</v>
      </c>
      <c r="AA294" s="2">
        <v>0</v>
      </c>
      <c r="AB294" s="2">
        <v>0</v>
      </c>
      <c r="AC294" s="2">
        <v>0</v>
      </c>
      <c r="AD294" s="2">
        <v>3</v>
      </c>
      <c r="AE294"/>
    </row>
    <row r="295" spans="1:31" x14ac:dyDescent="0.25">
      <c r="A295" s="2" t="s">
        <v>23</v>
      </c>
      <c r="B295" s="2" t="s">
        <v>85</v>
      </c>
      <c r="C295" s="2" t="s">
        <v>84</v>
      </c>
      <c r="D295" s="2" t="s">
        <v>98</v>
      </c>
      <c r="E295" s="2" t="s">
        <v>97</v>
      </c>
      <c r="F295" s="2" t="s">
        <v>817</v>
      </c>
      <c r="G295" s="2" t="s">
        <v>1678</v>
      </c>
      <c r="H295" s="2" t="s">
        <v>2728</v>
      </c>
      <c r="I295" s="2" t="s">
        <v>2729</v>
      </c>
      <c r="J295" s="2" t="s">
        <v>2074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2</v>
      </c>
      <c r="AE295"/>
    </row>
    <row r="296" spans="1:31" x14ac:dyDescent="0.25">
      <c r="A296" s="2" t="s">
        <v>23</v>
      </c>
      <c r="B296" s="2" t="s">
        <v>85</v>
      </c>
      <c r="C296" s="2" t="s">
        <v>84</v>
      </c>
      <c r="D296" s="2" t="s">
        <v>98</v>
      </c>
      <c r="E296" s="2" t="s">
        <v>97</v>
      </c>
      <c r="F296" s="2" t="s">
        <v>803</v>
      </c>
      <c r="G296" s="2" t="s">
        <v>1504</v>
      </c>
      <c r="H296" s="2" t="s">
        <v>2736</v>
      </c>
      <c r="I296" s="2" t="s">
        <v>2737</v>
      </c>
      <c r="J296" s="2" t="s">
        <v>2074</v>
      </c>
      <c r="K296" s="2">
        <v>0</v>
      </c>
      <c r="L296" s="2">
        <v>0</v>
      </c>
      <c r="M296" s="2">
        <v>1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/>
    </row>
    <row r="297" spans="1:31" x14ac:dyDescent="0.25">
      <c r="A297" s="2" t="s">
        <v>23</v>
      </c>
      <c r="B297" s="2" t="s">
        <v>85</v>
      </c>
      <c r="C297" s="2" t="s">
        <v>84</v>
      </c>
      <c r="D297" s="2" t="s">
        <v>98</v>
      </c>
      <c r="E297" s="2" t="s">
        <v>97</v>
      </c>
      <c r="F297" s="2" t="s">
        <v>819</v>
      </c>
      <c r="G297" s="2" t="s">
        <v>1134</v>
      </c>
      <c r="H297" s="2" t="s">
        <v>2764</v>
      </c>
      <c r="I297" s="2" t="s">
        <v>2765</v>
      </c>
      <c r="J297" s="2" t="s">
        <v>2074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1</v>
      </c>
      <c r="AE297"/>
    </row>
    <row r="298" spans="1:31" x14ac:dyDescent="0.25">
      <c r="A298" s="2" t="s">
        <v>23</v>
      </c>
      <c r="B298" s="2" t="s">
        <v>85</v>
      </c>
      <c r="C298" s="2" t="s">
        <v>84</v>
      </c>
      <c r="D298" s="2" t="s">
        <v>98</v>
      </c>
      <c r="E298" s="2" t="s">
        <v>97</v>
      </c>
      <c r="F298" s="2" t="s">
        <v>795</v>
      </c>
      <c r="G298" s="2" t="s">
        <v>1135</v>
      </c>
      <c r="H298" s="2" t="s">
        <v>2766</v>
      </c>
      <c r="I298" s="2" t="s">
        <v>2767</v>
      </c>
      <c r="J298" s="2" t="s">
        <v>2074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1</v>
      </c>
      <c r="AE298"/>
    </row>
    <row r="299" spans="1:31" x14ac:dyDescent="0.25">
      <c r="A299" s="2" t="s">
        <v>23</v>
      </c>
      <c r="B299" s="2" t="s">
        <v>85</v>
      </c>
      <c r="C299" s="2" t="s">
        <v>84</v>
      </c>
      <c r="D299" s="2" t="s">
        <v>98</v>
      </c>
      <c r="E299" s="2" t="s">
        <v>97</v>
      </c>
      <c r="F299" s="2" t="s">
        <v>801</v>
      </c>
      <c r="G299" s="2" t="s">
        <v>1142</v>
      </c>
      <c r="H299" s="2" t="s">
        <v>2780</v>
      </c>
      <c r="I299" s="2" t="s">
        <v>2781</v>
      </c>
      <c r="J299" s="2" t="s">
        <v>2074</v>
      </c>
      <c r="K299" s="2">
        <v>0</v>
      </c>
      <c r="L299" s="2">
        <v>1</v>
      </c>
      <c r="M299" s="2">
        <v>0</v>
      </c>
      <c r="N299" s="2">
        <v>1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1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1</v>
      </c>
      <c r="AE299"/>
    </row>
    <row r="300" spans="1:31" x14ac:dyDescent="0.25">
      <c r="A300" s="2" t="s">
        <v>23</v>
      </c>
      <c r="B300" s="2" t="s">
        <v>85</v>
      </c>
      <c r="C300" s="2" t="s">
        <v>84</v>
      </c>
      <c r="D300" s="2" t="s">
        <v>98</v>
      </c>
      <c r="E300" s="2" t="s">
        <v>97</v>
      </c>
      <c r="F300" s="2" t="s">
        <v>807</v>
      </c>
      <c r="G300" s="2" t="s">
        <v>1159</v>
      </c>
      <c r="H300" s="2" t="s">
        <v>2816</v>
      </c>
      <c r="I300" s="2" t="s">
        <v>2817</v>
      </c>
      <c r="J300" s="2" t="s">
        <v>2074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1</v>
      </c>
      <c r="AE300"/>
    </row>
    <row r="301" spans="1:31" x14ac:dyDescent="0.25">
      <c r="A301" s="2" t="s">
        <v>23</v>
      </c>
      <c r="B301" s="2" t="s">
        <v>85</v>
      </c>
      <c r="C301" s="2" t="s">
        <v>84</v>
      </c>
      <c r="D301" s="2" t="s">
        <v>98</v>
      </c>
      <c r="E301" s="2" t="s">
        <v>97</v>
      </c>
      <c r="F301" s="2" t="s">
        <v>814</v>
      </c>
      <c r="G301" s="2" t="s">
        <v>1201</v>
      </c>
      <c r="H301" s="2" t="s">
        <v>2910</v>
      </c>
      <c r="I301" s="2" t="s">
        <v>2911</v>
      </c>
      <c r="J301" s="2" t="s">
        <v>2074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1</v>
      </c>
      <c r="AE301"/>
    </row>
    <row r="302" spans="1:31" x14ac:dyDescent="0.25">
      <c r="A302" s="2" t="s">
        <v>23</v>
      </c>
      <c r="B302" s="2" t="s">
        <v>85</v>
      </c>
      <c r="C302" s="2" t="s">
        <v>84</v>
      </c>
      <c r="D302" s="2" t="s">
        <v>98</v>
      </c>
      <c r="E302" s="2" t="s">
        <v>97</v>
      </c>
      <c r="F302" s="2" t="s">
        <v>821</v>
      </c>
      <c r="G302" s="2" t="s">
        <v>1256</v>
      </c>
      <c r="H302" s="2" t="s">
        <v>3036</v>
      </c>
      <c r="I302" s="2" t="s">
        <v>3037</v>
      </c>
      <c r="J302" s="2" t="s">
        <v>2074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1</v>
      </c>
      <c r="AE302"/>
    </row>
    <row r="303" spans="1:31" x14ac:dyDescent="0.25">
      <c r="A303" s="2" t="s">
        <v>23</v>
      </c>
      <c r="B303" s="2" t="s">
        <v>85</v>
      </c>
      <c r="C303" s="2" t="s">
        <v>84</v>
      </c>
      <c r="D303" s="2" t="s">
        <v>98</v>
      </c>
      <c r="E303" s="2" t="s">
        <v>97</v>
      </c>
      <c r="F303" s="2" t="s">
        <v>808</v>
      </c>
      <c r="G303" s="2" t="s">
        <v>1273</v>
      </c>
      <c r="H303" s="2" t="s">
        <v>3072</v>
      </c>
      <c r="I303" s="2" t="s">
        <v>3073</v>
      </c>
      <c r="J303" s="2" t="s">
        <v>2074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1</v>
      </c>
      <c r="Q303" s="2">
        <v>0</v>
      </c>
      <c r="R303" s="2">
        <v>0</v>
      </c>
      <c r="S303" s="2">
        <v>0</v>
      </c>
      <c r="T303" s="2">
        <v>1</v>
      </c>
      <c r="U303" s="2">
        <v>0</v>
      </c>
      <c r="V303" s="2">
        <v>0</v>
      </c>
      <c r="W303" s="2">
        <v>1</v>
      </c>
      <c r="X303" s="2">
        <v>1</v>
      </c>
      <c r="Y303" s="2">
        <v>1</v>
      </c>
      <c r="Z303" s="2">
        <v>0</v>
      </c>
      <c r="AA303" s="2">
        <v>0</v>
      </c>
      <c r="AB303" s="2">
        <v>0</v>
      </c>
      <c r="AC303" s="2">
        <v>1</v>
      </c>
      <c r="AD303" s="2">
        <v>2</v>
      </c>
      <c r="AE303"/>
    </row>
    <row r="304" spans="1:31" x14ac:dyDescent="0.25">
      <c r="A304" s="2" t="s">
        <v>23</v>
      </c>
      <c r="B304" s="2" t="s">
        <v>85</v>
      </c>
      <c r="C304" s="2" t="s">
        <v>84</v>
      </c>
      <c r="D304" s="2" t="s">
        <v>98</v>
      </c>
      <c r="E304" s="2" t="s">
        <v>97</v>
      </c>
      <c r="F304" s="2" t="s">
        <v>815</v>
      </c>
      <c r="G304" s="2" t="s">
        <v>1524</v>
      </c>
      <c r="H304" s="2" t="s">
        <v>3114</v>
      </c>
      <c r="I304" s="2" t="s">
        <v>3115</v>
      </c>
      <c r="J304" s="2" t="s">
        <v>2074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1</v>
      </c>
      <c r="X304" s="2">
        <v>1</v>
      </c>
      <c r="Y304" s="2">
        <v>1</v>
      </c>
      <c r="Z304" s="2">
        <v>0</v>
      </c>
      <c r="AA304" s="2">
        <v>0</v>
      </c>
      <c r="AB304" s="2">
        <v>0</v>
      </c>
      <c r="AC304" s="2">
        <v>0</v>
      </c>
      <c r="AD304" s="2">
        <v>1</v>
      </c>
      <c r="AE304"/>
    </row>
    <row r="305" spans="1:31" x14ac:dyDescent="0.25">
      <c r="A305" s="2" t="s">
        <v>23</v>
      </c>
      <c r="B305" s="2" t="s">
        <v>85</v>
      </c>
      <c r="C305" s="2" t="s">
        <v>84</v>
      </c>
      <c r="D305" s="2" t="s">
        <v>98</v>
      </c>
      <c r="E305" s="2" t="s">
        <v>97</v>
      </c>
      <c r="F305" s="2" t="s">
        <v>825</v>
      </c>
      <c r="G305" s="2" t="s">
        <v>1192</v>
      </c>
      <c r="H305" s="2" t="s">
        <v>2888</v>
      </c>
      <c r="I305" s="2" t="s">
        <v>2889</v>
      </c>
      <c r="J305" s="2" t="s">
        <v>2074</v>
      </c>
      <c r="K305" s="2">
        <v>0</v>
      </c>
      <c r="L305" s="2">
        <v>0</v>
      </c>
      <c r="M305" s="2">
        <v>0</v>
      </c>
      <c r="N305" s="2">
        <v>1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1</v>
      </c>
      <c r="AD305" s="2">
        <v>0</v>
      </c>
      <c r="AE305"/>
    </row>
    <row r="306" spans="1:31" x14ac:dyDescent="0.25">
      <c r="A306" s="2" t="s">
        <v>23</v>
      </c>
      <c r="B306" s="2" t="s">
        <v>85</v>
      </c>
      <c r="C306" s="2" t="s">
        <v>84</v>
      </c>
      <c r="D306" s="2" t="s">
        <v>98</v>
      </c>
      <c r="E306" s="2" t="s">
        <v>97</v>
      </c>
      <c r="F306" s="2" t="s">
        <v>827</v>
      </c>
      <c r="G306" s="2" t="s">
        <v>1513</v>
      </c>
      <c r="H306" s="2" t="s">
        <v>2926</v>
      </c>
      <c r="I306" s="2" t="s">
        <v>2927</v>
      </c>
      <c r="J306" s="2" t="s">
        <v>2074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1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1</v>
      </c>
      <c r="AD306" s="2">
        <v>0</v>
      </c>
      <c r="AE306"/>
    </row>
    <row r="307" spans="1:31" x14ac:dyDescent="0.25">
      <c r="A307" s="2" t="s">
        <v>23</v>
      </c>
      <c r="B307" s="2" t="s">
        <v>85</v>
      </c>
      <c r="C307" s="2" t="s">
        <v>84</v>
      </c>
      <c r="D307" s="2" t="s">
        <v>98</v>
      </c>
      <c r="E307" s="2" t="s">
        <v>97</v>
      </c>
      <c r="F307" s="2" t="s">
        <v>1145</v>
      </c>
      <c r="G307" s="2" t="s">
        <v>1146</v>
      </c>
      <c r="H307" s="2" t="s">
        <v>2788</v>
      </c>
      <c r="I307" s="2" t="s">
        <v>2789</v>
      </c>
      <c r="J307" s="2" t="s">
        <v>2074</v>
      </c>
      <c r="K307" s="2">
        <v>0</v>
      </c>
      <c r="L307" s="2">
        <v>0</v>
      </c>
      <c r="M307" s="2">
        <v>2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1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2</v>
      </c>
      <c r="AE307"/>
    </row>
    <row r="308" spans="1:31" x14ac:dyDescent="0.25">
      <c r="A308" s="2" t="s">
        <v>23</v>
      </c>
      <c r="B308" s="2" t="s">
        <v>85</v>
      </c>
      <c r="C308" s="2" t="s">
        <v>84</v>
      </c>
      <c r="D308" s="2" t="s">
        <v>98</v>
      </c>
      <c r="E308" s="2" t="s">
        <v>97</v>
      </c>
      <c r="F308" s="2" t="s">
        <v>1676</v>
      </c>
      <c r="G308" s="2" t="s">
        <v>1675</v>
      </c>
      <c r="H308" s="2" t="s">
        <v>2792</v>
      </c>
      <c r="I308" s="2" t="s">
        <v>2793</v>
      </c>
      <c r="J308" s="2" t="s">
        <v>2074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1</v>
      </c>
      <c r="X308" s="2">
        <v>1</v>
      </c>
      <c r="Y308" s="2">
        <v>1</v>
      </c>
      <c r="Z308" s="2">
        <v>0</v>
      </c>
      <c r="AA308" s="2">
        <v>0</v>
      </c>
      <c r="AB308" s="2">
        <v>0</v>
      </c>
      <c r="AC308" s="2">
        <v>0</v>
      </c>
      <c r="AD308" s="2">
        <v>1</v>
      </c>
      <c r="AE308"/>
    </row>
    <row r="309" spans="1:31" x14ac:dyDescent="0.25">
      <c r="A309" s="2" t="s">
        <v>23</v>
      </c>
      <c r="B309" s="2" t="s">
        <v>85</v>
      </c>
      <c r="C309" s="2" t="s">
        <v>84</v>
      </c>
      <c r="D309" s="2" t="s">
        <v>98</v>
      </c>
      <c r="E309" s="2" t="s">
        <v>97</v>
      </c>
      <c r="F309" s="2" t="s">
        <v>1239</v>
      </c>
      <c r="G309" s="2" t="s">
        <v>1240</v>
      </c>
      <c r="H309" s="2" t="s">
        <v>3008</v>
      </c>
      <c r="I309" s="2" t="s">
        <v>3009</v>
      </c>
      <c r="J309" s="2" t="s">
        <v>3693</v>
      </c>
      <c r="K309" s="2">
        <v>0</v>
      </c>
      <c r="L309" s="2">
        <v>0</v>
      </c>
      <c r="M309" s="2">
        <v>1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/>
    </row>
    <row r="310" spans="1:31" x14ac:dyDescent="0.25">
      <c r="A310" s="2" t="s">
        <v>23</v>
      </c>
      <c r="B310" s="2" t="s">
        <v>85</v>
      </c>
      <c r="C310" s="2" t="s">
        <v>84</v>
      </c>
      <c r="D310" s="2" t="s">
        <v>98</v>
      </c>
      <c r="E310" s="2" t="s">
        <v>97</v>
      </c>
      <c r="F310" s="2" t="s">
        <v>1820</v>
      </c>
      <c r="G310" s="2" t="s">
        <v>1819</v>
      </c>
      <c r="H310" s="2" t="s">
        <v>2716</v>
      </c>
      <c r="I310" s="2" t="s">
        <v>2717</v>
      </c>
      <c r="J310" s="2" t="s">
        <v>2074</v>
      </c>
      <c r="K310" s="2">
        <v>0</v>
      </c>
      <c r="L310" s="2">
        <v>0</v>
      </c>
      <c r="M310" s="2">
        <v>0</v>
      </c>
      <c r="N310" s="2">
        <v>1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1</v>
      </c>
      <c r="Y310" s="2">
        <v>1</v>
      </c>
      <c r="Z310" s="2">
        <v>0</v>
      </c>
      <c r="AA310" s="2">
        <v>0</v>
      </c>
      <c r="AB310" s="2">
        <v>1</v>
      </c>
      <c r="AC310" s="2">
        <v>0</v>
      </c>
      <c r="AD310" s="2">
        <v>1</v>
      </c>
      <c r="AE310"/>
    </row>
    <row r="311" spans="1:31" x14ac:dyDescent="0.25">
      <c r="A311" s="2" t="s">
        <v>23</v>
      </c>
      <c r="B311" s="2" t="s">
        <v>218</v>
      </c>
      <c r="C311" s="2" t="s">
        <v>217</v>
      </c>
      <c r="D311" s="2" t="s">
        <v>220</v>
      </c>
      <c r="E311" s="2" t="s">
        <v>219</v>
      </c>
      <c r="F311" s="2" t="s">
        <v>225</v>
      </c>
      <c r="G311" s="2" t="s">
        <v>1534</v>
      </c>
      <c r="H311" s="2" t="s">
        <v>3306</v>
      </c>
      <c r="I311" s="2" t="s">
        <v>3307</v>
      </c>
      <c r="J311" s="2" t="s">
        <v>2074</v>
      </c>
      <c r="K311" s="2">
        <v>0</v>
      </c>
      <c r="L311" s="2">
        <v>0</v>
      </c>
      <c r="M311" s="2">
        <v>0</v>
      </c>
      <c r="N311" s="2">
        <v>1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1</v>
      </c>
      <c r="AA311" s="2">
        <v>0</v>
      </c>
      <c r="AB311" s="2">
        <v>0</v>
      </c>
      <c r="AC311" s="2">
        <v>1</v>
      </c>
      <c r="AD311" s="2">
        <v>0</v>
      </c>
      <c r="AE311"/>
    </row>
    <row r="312" spans="1:31" x14ac:dyDescent="0.25">
      <c r="A312" s="2" t="s">
        <v>23</v>
      </c>
      <c r="B312" s="2" t="s">
        <v>37</v>
      </c>
      <c r="C312" s="2" t="s">
        <v>36</v>
      </c>
      <c r="D312" s="2" t="s">
        <v>244</v>
      </c>
      <c r="E312" s="2" t="s">
        <v>243</v>
      </c>
      <c r="F312" s="2" t="s">
        <v>644</v>
      </c>
      <c r="G312" s="2" t="s">
        <v>1537</v>
      </c>
      <c r="H312" s="2" t="s">
        <v>3534</v>
      </c>
      <c r="I312" s="2" t="s">
        <v>3535</v>
      </c>
      <c r="J312" s="2" t="s">
        <v>2074</v>
      </c>
      <c r="K312" s="2">
        <v>0</v>
      </c>
      <c r="L312" s="2">
        <v>0</v>
      </c>
      <c r="M312" s="2">
        <v>0</v>
      </c>
      <c r="N312" s="2">
        <v>1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1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1</v>
      </c>
      <c r="AD312" s="2">
        <v>1</v>
      </c>
      <c r="AE312"/>
    </row>
    <row r="313" spans="1:31" x14ac:dyDescent="0.25">
      <c r="A313" s="2" t="s">
        <v>23</v>
      </c>
      <c r="B313" s="2" t="s">
        <v>37</v>
      </c>
      <c r="C313" s="2" t="s">
        <v>36</v>
      </c>
      <c r="D313" s="2" t="s">
        <v>244</v>
      </c>
      <c r="E313" s="2" t="s">
        <v>243</v>
      </c>
      <c r="F313" s="2" t="s">
        <v>645</v>
      </c>
      <c r="G313" s="2" t="s">
        <v>1538</v>
      </c>
      <c r="H313" s="2" t="s">
        <v>3536</v>
      </c>
      <c r="I313" s="2" t="s">
        <v>3537</v>
      </c>
      <c r="J313" s="2" t="s">
        <v>2074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1</v>
      </c>
      <c r="AD313" s="2">
        <v>1</v>
      </c>
      <c r="AE313"/>
    </row>
    <row r="314" spans="1:31" x14ac:dyDescent="0.25">
      <c r="A314" s="2" t="s">
        <v>23</v>
      </c>
      <c r="B314" s="2" t="s">
        <v>37</v>
      </c>
      <c r="C314" s="2" t="s">
        <v>36</v>
      </c>
      <c r="D314" s="2" t="s">
        <v>244</v>
      </c>
      <c r="E314" s="2" t="s">
        <v>243</v>
      </c>
      <c r="F314" s="2" t="s">
        <v>646</v>
      </c>
      <c r="G314" s="2" t="s">
        <v>1539</v>
      </c>
      <c r="H314" s="2" t="s">
        <v>3538</v>
      </c>
      <c r="I314" s="2" t="s">
        <v>3539</v>
      </c>
      <c r="J314" s="2" t="s">
        <v>2074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1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1</v>
      </c>
      <c r="AE314"/>
    </row>
    <row r="315" spans="1:31" x14ac:dyDescent="0.25">
      <c r="A315" s="2" t="s">
        <v>23</v>
      </c>
      <c r="B315" s="2" t="s">
        <v>37</v>
      </c>
      <c r="C315" s="2" t="s">
        <v>36</v>
      </c>
      <c r="D315" s="2" t="s">
        <v>244</v>
      </c>
      <c r="E315" s="2" t="s">
        <v>243</v>
      </c>
      <c r="F315" s="2" t="s">
        <v>647</v>
      </c>
      <c r="G315" s="2" t="s">
        <v>1542</v>
      </c>
      <c r="H315" s="2" t="s">
        <v>3542</v>
      </c>
      <c r="I315" s="2" t="s">
        <v>3543</v>
      </c>
      <c r="J315" s="2" t="s">
        <v>2074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1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1</v>
      </c>
      <c r="AD315" s="2">
        <v>1</v>
      </c>
      <c r="AE315"/>
    </row>
    <row r="316" spans="1:31" x14ac:dyDescent="0.25">
      <c r="A316" s="2" t="s">
        <v>23</v>
      </c>
      <c r="B316" s="2" t="s">
        <v>37</v>
      </c>
      <c r="C316" s="2" t="s">
        <v>36</v>
      </c>
      <c r="D316" s="2" t="s">
        <v>244</v>
      </c>
      <c r="E316" s="2" t="s">
        <v>243</v>
      </c>
      <c r="F316" s="2" t="s">
        <v>245</v>
      </c>
      <c r="G316" s="2" t="s">
        <v>1543</v>
      </c>
      <c r="H316" s="2" t="s">
        <v>3544</v>
      </c>
      <c r="I316" s="2" t="s">
        <v>3545</v>
      </c>
      <c r="J316" s="2" t="s">
        <v>2074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1</v>
      </c>
      <c r="AC316" s="2">
        <v>1</v>
      </c>
      <c r="AD316" s="2">
        <v>1</v>
      </c>
      <c r="AE316"/>
    </row>
    <row r="317" spans="1:31" x14ac:dyDescent="0.25">
      <c r="A317" s="2" t="s">
        <v>23</v>
      </c>
      <c r="B317" s="2" t="s">
        <v>37</v>
      </c>
      <c r="C317" s="2" t="s">
        <v>36</v>
      </c>
      <c r="D317" s="2" t="s">
        <v>244</v>
      </c>
      <c r="E317" s="2" t="s">
        <v>243</v>
      </c>
      <c r="F317" s="2" t="s">
        <v>649</v>
      </c>
      <c r="G317" s="2" t="s">
        <v>1545</v>
      </c>
      <c r="H317" s="2" t="s">
        <v>3548</v>
      </c>
      <c r="I317" s="2" t="s">
        <v>3549</v>
      </c>
      <c r="J317" s="2" t="s">
        <v>2074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1</v>
      </c>
      <c r="AE317"/>
    </row>
    <row r="318" spans="1:31" x14ac:dyDescent="0.25">
      <c r="A318" s="2" t="s">
        <v>23</v>
      </c>
      <c r="B318" s="2" t="s">
        <v>37</v>
      </c>
      <c r="C318" s="2" t="s">
        <v>36</v>
      </c>
      <c r="D318" s="2" t="s">
        <v>244</v>
      </c>
      <c r="E318" s="2" t="s">
        <v>243</v>
      </c>
      <c r="F318" s="2" t="s">
        <v>650</v>
      </c>
      <c r="G318" s="2" t="s">
        <v>1546</v>
      </c>
      <c r="H318" s="2" t="s">
        <v>3550</v>
      </c>
      <c r="I318" s="2" t="s">
        <v>3551</v>
      </c>
      <c r="J318" s="2" t="s">
        <v>3693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1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1</v>
      </c>
      <c r="AD318" s="2">
        <v>1</v>
      </c>
      <c r="AE318"/>
    </row>
    <row r="319" spans="1:31" x14ac:dyDescent="0.25">
      <c r="A319" s="2" t="s">
        <v>23</v>
      </c>
      <c r="B319" s="2" t="s">
        <v>37</v>
      </c>
      <c r="C319" s="2" t="s">
        <v>36</v>
      </c>
      <c r="D319" s="2" t="s">
        <v>244</v>
      </c>
      <c r="E319" s="2" t="s">
        <v>243</v>
      </c>
      <c r="F319" s="2" t="s">
        <v>651</v>
      </c>
      <c r="G319" s="2" t="s">
        <v>1547</v>
      </c>
      <c r="H319" s="2" t="s">
        <v>3552</v>
      </c>
      <c r="I319" s="2" t="s">
        <v>3553</v>
      </c>
      <c r="J319" s="2" t="s">
        <v>2074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1</v>
      </c>
      <c r="AD319" s="2">
        <v>1</v>
      </c>
      <c r="AE319"/>
    </row>
    <row r="320" spans="1:31" x14ac:dyDescent="0.25">
      <c r="A320" s="2" t="s">
        <v>23</v>
      </c>
      <c r="B320" s="2" t="s">
        <v>37</v>
      </c>
      <c r="C320" s="2" t="s">
        <v>36</v>
      </c>
      <c r="D320" s="2" t="s">
        <v>244</v>
      </c>
      <c r="E320" s="2" t="s">
        <v>243</v>
      </c>
      <c r="F320" s="2" t="s">
        <v>652</v>
      </c>
      <c r="G320" s="2" t="s">
        <v>1548</v>
      </c>
      <c r="H320" s="2" t="s">
        <v>3554</v>
      </c>
      <c r="I320" s="2" t="s">
        <v>3555</v>
      </c>
      <c r="J320" s="2" t="s">
        <v>2074</v>
      </c>
      <c r="K320" s="2">
        <v>0</v>
      </c>
      <c r="L320" s="2">
        <v>0</v>
      </c>
      <c r="M320" s="2">
        <v>0</v>
      </c>
      <c r="N320" s="2">
        <v>1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1</v>
      </c>
      <c r="AC320" s="2">
        <v>1</v>
      </c>
      <c r="AD320" s="2">
        <v>1</v>
      </c>
      <c r="AE320"/>
    </row>
    <row r="321" spans="1:31" x14ac:dyDescent="0.25">
      <c r="A321" s="2" t="s">
        <v>23</v>
      </c>
      <c r="B321" s="2" t="s">
        <v>37</v>
      </c>
      <c r="C321" s="2" t="s">
        <v>36</v>
      </c>
      <c r="D321" s="2" t="s">
        <v>244</v>
      </c>
      <c r="E321" s="2" t="s">
        <v>243</v>
      </c>
      <c r="F321" s="2" t="s">
        <v>653</v>
      </c>
      <c r="G321" s="2" t="s">
        <v>1549</v>
      </c>
      <c r="H321" s="2" t="s">
        <v>3556</v>
      </c>
      <c r="I321" s="2" t="s">
        <v>3557</v>
      </c>
      <c r="J321" s="2" t="s">
        <v>2074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2</v>
      </c>
      <c r="AD321" s="2">
        <v>1</v>
      </c>
      <c r="AE321"/>
    </row>
    <row r="322" spans="1:31" x14ac:dyDescent="0.25">
      <c r="A322" s="2" t="s">
        <v>23</v>
      </c>
      <c r="B322" s="2" t="s">
        <v>37</v>
      </c>
      <c r="C322" s="2" t="s">
        <v>36</v>
      </c>
      <c r="D322" s="2" t="s">
        <v>244</v>
      </c>
      <c r="E322" s="2" t="s">
        <v>243</v>
      </c>
      <c r="F322" s="2" t="s">
        <v>654</v>
      </c>
      <c r="G322" s="2" t="s">
        <v>1550</v>
      </c>
      <c r="H322" s="2" t="s">
        <v>3558</v>
      </c>
      <c r="I322" s="2" t="s">
        <v>3559</v>
      </c>
      <c r="J322" s="2" t="s">
        <v>2074</v>
      </c>
      <c r="K322" s="2">
        <v>0</v>
      </c>
      <c r="L322" s="2">
        <v>0</v>
      </c>
      <c r="M322" s="2">
        <v>0</v>
      </c>
      <c r="N322" s="2">
        <v>1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1</v>
      </c>
      <c r="AD322" s="2">
        <v>0</v>
      </c>
      <c r="AE322"/>
    </row>
    <row r="323" spans="1:31" x14ac:dyDescent="0.25">
      <c r="A323" s="2" t="s">
        <v>23</v>
      </c>
      <c r="B323" s="2" t="s">
        <v>37</v>
      </c>
      <c r="C323" s="2" t="s">
        <v>36</v>
      </c>
      <c r="D323" s="2" t="s">
        <v>244</v>
      </c>
      <c r="E323" s="2" t="s">
        <v>243</v>
      </c>
      <c r="F323" s="2" t="s">
        <v>655</v>
      </c>
      <c r="G323" s="2" t="s">
        <v>1551</v>
      </c>
      <c r="H323" s="2" t="s">
        <v>3560</v>
      </c>
      <c r="I323" s="2" t="s">
        <v>3561</v>
      </c>
      <c r="J323" s="2" t="s">
        <v>2074</v>
      </c>
      <c r="K323" s="2">
        <v>0</v>
      </c>
      <c r="L323" s="2">
        <v>0</v>
      </c>
      <c r="M323" s="2">
        <v>0</v>
      </c>
      <c r="N323" s="2">
        <v>1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1</v>
      </c>
      <c r="AC323" s="2">
        <v>1</v>
      </c>
      <c r="AD323" s="2">
        <v>1</v>
      </c>
      <c r="AE323"/>
    </row>
    <row r="324" spans="1:31" x14ac:dyDescent="0.25">
      <c r="A324" s="2" t="s">
        <v>23</v>
      </c>
      <c r="B324" s="2" t="s">
        <v>37</v>
      </c>
      <c r="C324" s="2" t="s">
        <v>36</v>
      </c>
      <c r="D324" s="2" t="s">
        <v>244</v>
      </c>
      <c r="E324" s="2" t="s">
        <v>243</v>
      </c>
      <c r="F324" s="2" t="s">
        <v>2043</v>
      </c>
      <c r="G324" s="2" t="s">
        <v>2042</v>
      </c>
      <c r="H324" s="2" t="s">
        <v>3540</v>
      </c>
      <c r="I324" s="2" t="s">
        <v>3541</v>
      </c>
      <c r="J324" s="2" t="s">
        <v>2074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1</v>
      </c>
      <c r="AE324"/>
    </row>
    <row r="325" spans="1:31" x14ac:dyDescent="0.25">
      <c r="A325" s="2" t="s">
        <v>23</v>
      </c>
      <c r="B325" s="2" t="s">
        <v>37</v>
      </c>
      <c r="C325" s="2" t="s">
        <v>36</v>
      </c>
      <c r="D325" s="2" t="s">
        <v>247</v>
      </c>
      <c r="E325" s="2" t="s">
        <v>246</v>
      </c>
      <c r="F325" s="2" t="s">
        <v>577</v>
      </c>
      <c r="G325" s="2" t="s">
        <v>1441</v>
      </c>
      <c r="H325" s="2" t="s">
        <v>3564</v>
      </c>
      <c r="I325" s="2" t="s">
        <v>3565</v>
      </c>
      <c r="J325" s="2" t="s">
        <v>2074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1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2</v>
      </c>
      <c r="AE325"/>
    </row>
    <row r="326" spans="1:31" x14ac:dyDescent="0.25">
      <c r="A326" s="2" t="s">
        <v>23</v>
      </c>
      <c r="B326" s="2" t="s">
        <v>37</v>
      </c>
      <c r="C326" s="2" t="s">
        <v>36</v>
      </c>
      <c r="D326" s="2" t="s">
        <v>247</v>
      </c>
      <c r="E326" s="2" t="s">
        <v>246</v>
      </c>
      <c r="F326" s="2" t="s">
        <v>683</v>
      </c>
      <c r="G326" s="2" t="s">
        <v>1590</v>
      </c>
      <c r="H326" s="2" t="s">
        <v>3566</v>
      </c>
      <c r="I326" s="2" t="s">
        <v>3567</v>
      </c>
      <c r="J326" s="2" t="s">
        <v>2078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1</v>
      </c>
      <c r="AE326"/>
    </row>
    <row r="327" spans="1:31" x14ac:dyDescent="0.25">
      <c r="A327" s="2" t="s">
        <v>23</v>
      </c>
      <c r="B327" s="2" t="s">
        <v>37</v>
      </c>
      <c r="C327" s="2" t="s">
        <v>36</v>
      </c>
      <c r="D327" s="2" t="s">
        <v>247</v>
      </c>
      <c r="E327" s="2" t="s">
        <v>246</v>
      </c>
      <c r="F327" s="2" t="s">
        <v>578</v>
      </c>
      <c r="G327" s="2" t="s">
        <v>1442</v>
      </c>
      <c r="H327" s="2" t="s">
        <v>3568</v>
      </c>
      <c r="I327" s="2" t="s">
        <v>3569</v>
      </c>
      <c r="J327" s="2" t="s">
        <v>2074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1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/>
    </row>
    <row r="328" spans="1:31" x14ac:dyDescent="0.25">
      <c r="A328" s="2" t="s">
        <v>23</v>
      </c>
      <c r="B328" s="2" t="s">
        <v>37</v>
      </c>
      <c r="C328" s="2" t="s">
        <v>36</v>
      </c>
      <c r="D328" s="2" t="s">
        <v>247</v>
      </c>
      <c r="E328" s="2" t="s">
        <v>246</v>
      </c>
      <c r="F328" s="2" t="s">
        <v>579</v>
      </c>
      <c r="G328" s="2" t="s">
        <v>1443</v>
      </c>
      <c r="H328" s="2" t="s">
        <v>3570</v>
      </c>
      <c r="I328" s="2" t="s">
        <v>3571</v>
      </c>
      <c r="J328" s="2" t="s">
        <v>2074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1</v>
      </c>
      <c r="Y328" s="2">
        <v>0</v>
      </c>
      <c r="Z328" s="2">
        <v>0</v>
      </c>
      <c r="AA328" s="2">
        <v>0</v>
      </c>
      <c r="AB328" s="2">
        <v>0</v>
      </c>
      <c r="AC328" s="2">
        <v>1</v>
      </c>
      <c r="AD328" s="2">
        <v>1</v>
      </c>
      <c r="AE328"/>
    </row>
    <row r="329" spans="1:31" x14ac:dyDescent="0.25">
      <c r="A329" s="2" t="s">
        <v>23</v>
      </c>
      <c r="B329" s="2" t="s">
        <v>37</v>
      </c>
      <c r="C329" s="2" t="s">
        <v>36</v>
      </c>
      <c r="D329" s="2" t="s">
        <v>247</v>
      </c>
      <c r="E329" s="2" t="s">
        <v>246</v>
      </c>
      <c r="F329" s="2" t="s">
        <v>580</v>
      </c>
      <c r="G329" s="2" t="s">
        <v>1444</v>
      </c>
      <c r="H329" s="2" t="s">
        <v>3572</v>
      </c>
      <c r="I329" s="2" t="s">
        <v>3573</v>
      </c>
      <c r="J329" s="2" t="s">
        <v>2074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1</v>
      </c>
      <c r="Q329" s="2">
        <v>1</v>
      </c>
      <c r="R329" s="2">
        <v>0</v>
      </c>
      <c r="S329" s="2">
        <v>1</v>
      </c>
      <c r="T329" s="2">
        <v>2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1</v>
      </c>
      <c r="AD329" s="2">
        <v>1</v>
      </c>
      <c r="AE329"/>
    </row>
    <row r="330" spans="1:31" x14ac:dyDescent="0.25">
      <c r="A330" s="2" t="s">
        <v>23</v>
      </c>
      <c r="B330" s="2" t="s">
        <v>37</v>
      </c>
      <c r="C330" s="2" t="s">
        <v>36</v>
      </c>
      <c r="D330" s="2" t="s">
        <v>247</v>
      </c>
      <c r="E330" s="2" t="s">
        <v>246</v>
      </c>
      <c r="F330" s="2" t="s">
        <v>582</v>
      </c>
      <c r="G330" s="2" t="s">
        <v>1446</v>
      </c>
      <c r="H330" s="2" t="s">
        <v>3578</v>
      </c>
      <c r="I330" s="2" t="s">
        <v>3579</v>
      </c>
      <c r="J330" s="2" t="s">
        <v>2074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1</v>
      </c>
      <c r="AD330" s="2">
        <v>2</v>
      </c>
      <c r="AE330"/>
    </row>
    <row r="331" spans="1:31" x14ac:dyDescent="0.25">
      <c r="A331" s="2" t="s">
        <v>23</v>
      </c>
      <c r="B331" s="2" t="s">
        <v>37</v>
      </c>
      <c r="C331" s="2" t="s">
        <v>36</v>
      </c>
      <c r="D331" s="2" t="s">
        <v>247</v>
      </c>
      <c r="E331" s="2" t="s">
        <v>246</v>
      </c>
      <c r="F331" s="2" t="s">
        <v>242</v>
      </c>
      <c r="G331" s="2" t="s">
        <v>1448</v>
      </c>
      <c r="H331" s="2" t="s">
        <v>3582</v>
      </c>
      <c r="I331" s="2" t="s">
        <v>3583</v>
      </c>
      <c r="J331" s="2" t="s">
        <v>2074</v>
      </c>
      <c r="K331" s="2">
        <v>0</v>
      </c>
      <c r="L331" s="2">
        <v>1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1</v>
      </c>
      <c r="AE331"/>
    </row>
    <row r="332" spans="1:31" x14ac:dyDescent="0.25">
      <c r="A332" s="2" t="s">
        <v>23</v>
      </c>
      <c r="B332" s="2" t="s">
        <v>37</v>
      </c>
      <c r="C332" s="2" t="s">
        <v>36</v>
      </c>
      <c r="D332" s="2" t="s">
        <v>247</v>
      </c>
      <c r="E332" s="2" t="s">
        <v>246</v>
      </c>
      <c r="F332" s="2" t="s">
        <v>584</v>
      </c>
      <c r="G332" s="2" t="s">
        <v>1449</v>
      </c>
      <c r="H332" s="2" t="s">
        <v>3586</v>
      </c>
      <c r="I332" s="2" t="s">
        <v>3587</v>
      </c>
      <c r="J332" s="2" t="s">
        <v>2074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2</v>
      </c>
      <c r="AE332"/>
    </row>
    <row r="333" spans="1:31" x14ac:dyDescent="0.25">
      <c r="A333" s="2" t="s">
        <v>23</v>
      </c>
      <c r="B333" s="2" t="s">
        <v>37</v>
      </c>
      <c r="C333" s="2" t="s">
        <v>36</v>
      </c>
      <c r="D333" s="2" t="s">
        <v>247</v>
      </c>
      <c r="E333" s="2" t="s">
        <v>246</v>
      </c>
      <c r="F333" s="2" t="s">
        <v>585</v>
      </c>
      <c r="G333" s="2" t="s">
        <v>1450</v>
      </c>
      <c r="H333" s="2" t="s">
        <v>3588</v>
      </c>
      <c r="I333" s="2" t="s">
        <v>3589</v>
      </c>
      <c r="J333" s="2" t="s">
        <v>2074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1</v>
      </c>
      <c r="AC333" s="2">
        <v>1</v>
      </c>
      <c r="AD333" s="2">
        <v>1</v>
      </c>
      <c r="AE333"/>
    </row>
    <row r="334" spans="1:31" x14ac:dyDescent="0.25">
      <c r="A334" s="2" t="s">
        <v>23</v>
      </c>
      <c r="B334" s="2" t="s">
        <v>37</v>
      </c>
      <c r="C334" s="2" t="s">
        <v>36</v>
      </c>
      <c r="D334" s="2" t="s">
        <v>247</v>
      </c>
      <c r="E334" s="2" t="s">
        <v>246</v>
      </c>
      <c r="F334" s="2" t="s">
        <v>586</v>
      </c>
      <c r="G334" s="2" t="s">
        <v>1451</v>
      </c>
      <c r="H334" s="2" t="s">
        <v>3590</v>
      </c>
      <c r="I334" s="2" t="s">
        <v>3591</v>
      </c>
      <c r="J334" s="2" t="s">
        <v>2074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1</v>
      </c>
      <c r="AE334"/>
    </row>
    <row r="335" spans="1:31" x14ac:dyDescent="0.25">
      <c r="A335" s="2" t="s">
        <v>23</v>
      </c>
      <c r="B335" s="2" t="s">
        <v>37</v>
      </c>
      <c r="C335" s="2" t="s">
        <v>36</v>
      </c>
      <c r="D335" s="2" t="s">
        <v>247</v>
      </c>
      <c r="E335" s="2" t="s">
        <v>246</v>
      </c>
      <c r="F335" s="2" t="s">
        <v>587</v>
      </c>
      <c r="G335" s="2" t="s">
        <v>1453</v>
      </c>
      <c r="H335" s="2" t="s">
        <v>3594</v>
      </c>
      <c r="I335" s="2" t="s">
        <v>3595</v>
      </c>
      <c r="J335" s="2" t="s">
        <v>2074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1</v>
      </c>
      <c r="AE335"/>
    </row>
    <row r="336" spans="1:31" x14ac:dyDescent="0.25">
      <c r="A336" s="2" t="s">
        <v>23</v>
      </c>
      <c r="B336" s="2" t="s">
        <v>37</v>
      </c>
      <c r="C336" s="2" t="s">
        <v>36</v>
      </c>
      <c r="D336" s="2" t="s">
        <v>247</v>
      </c>
      <c r="E336" s="2" t="s">
        <v>246</v>
      </c>
      <c r="F336" s="2" t="s">
        <v>251</v>
      </c>
      <c r="G336" s="2" t="s">
        <v>1454</v>
      </c>
      <c r="H336" s="2" t="s">
        <v>3596</v>
      </c>
      <c r="I336" s="2" t="s">
        <v>3597</v>
      </c>
      <c r="J336" s="2" t="s">
        <v>2074</v>
      </c>
      <c r="K336" s="2">
        <v>0</v>
      </c>
      <c r="L336" s="2">
        <v>0</v>
      </c>
      <c r="M336" s="2">
        <v>1</v>
      </c>
      <c r="N336" s="2">
        <v>0</v>
      </c>
      <c r="O336" s="2">
        <v>0</v>
      </c>
      <c r="P336" s="2">
        <v>0</v>
      </c>
      <c r="Q336" s="2">
        <v>0</v>
      </c>
      <c r="R336" s="2">
        <v>1</v>
      </c>
      <c r="S336" s="2">
        <v>0</v>
      </c>
      <c r="T336" s="2">
        <v>0</v>
      </c>
      <c r="U336" s="2">
        <v>0</v>
      </c>
      <c r="V336" s="2">
        <v>0</v>
      </c>
      <c r="W336" s="2">
        <v>1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1</v>
      </c>
      <c r="AE336"/>
    </row>
    <row r="337" spans="1:31" x14ac:dyDescent="0.25">
      <c r="A337" s="2" t="s">
        <v>23</v>
      </c>
      <c r="B337" s="2" t="s">
        <v>37</v>
      </c>
      <c r="C337" s="2" t="s">
        <v>36</v>
      </c>
      <c r="D337" s="2" t="s">
        <v>247</v>
      </c>
      <c r="E337" s="2" t="s">
        <v>246</v>
      </c>
      <c r="F337" s="2" t="s">
        <v>588</v>
      </c>
      <c r="G337" s="2" t="s">
        <v>1455</v>
      </c>
      <c r="H337" s="2" t="s">
        <v>3598</v>
      </c>
      <c r="I337" s="2" t="s">
        <v>3599</v>
      </c>
      <c r="J337" s="2" t="s">
        <v>2074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1</v>
      </c>
      <c r="AE337"/>
    </row>
    <row r="338" spans="1:31" x14ac:dyDescent="0.25">
      <c r="A338" s="2" t="s">
        <v>23</v>
      </c>
      <c r="B338" s="2" t="s">
        <v>37</v>
      </c>
      <c r="C338" s="2" t="s">
        <v>36</v>
      </c>
      <c r="D338" s="2" t="s">
        <v>247</v>
      </c>
      <c r="E338" s="2" t="s">
        <v>246</v>
      </c>
      <c r="F338" s="2" t="s">
        <v>589</v>
      </c>
      <c r="G338" s="2" t="s">
        <v>1456</v>
      </c>
      <c r="H338" s="2" t="s">
        <v>3600</v>
      </c>
      <c r="I338" s="2" t="s">
        <v>3601</v>
      </c>
      <c r="J338" s="2" t="s">
        <v>2074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1</v>
      </c>
      <c r="AE338"/>
    </row>
    <row r="339" spans="1:31" x14ac:dyDescent="0.25">
      <c r="A339" s="2" t="s">
        <v>23</v>
      </c>
      <c r="B339" s="2" t="s">
        <v>37</v>
      </c>
      <c r="C339" s="2" t="s">
        <v>36</v>
      </c>
      <c r="D339" s="2" t="s">
        <v>247</v>
      </c>
      <c r="E339" s="2" t="s">
        <v>246</v>
      </c>
      <c r="F339" s="2" t="s">
        <v>1968</v>
      </c>
      <c r="G339" s="2" t="s">
        <v>1457</v>
      </c>
      <c r="H339" s="2" t="s">
        <v>3602</v>
      </c>
      <c r="I339" s="2" t="s">
        <v>3603</v>
      </c>
      <c r="J339" s="2" t="s">
        <v>2074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1</v>
      </c>
      <c r="AD339" s="2">
        <v>1</v>
      </c>
      <c r="AE339"/>
    </row>
    <row r="340" spans="1:31" x14ac:dyDescent="0.25">
      <c r="A340" s="2" t="s">
        <v>23</v>
      </c>
      <c r="B340" s="2" t="s">
        <v>37</v>
      </c>
      <c r="C340" s="2" t="s">
        <v>36</v>
      </c>
      <c r="D340" s="2" t="s">
        <v>247</v>
      </c>
      <c r="E340" s="2" t="s">
        <v>246</v>
      </c>
      <c r="F340" s="2" t="s">
        <v>590</v>
      </c>
      <c r="G340" s="2" t="s">
        <v>1458</v>
      </c>
      <c r="H340" s="2" t="s">
        <v>3604</v>
      </c>
      <c r="I340" s="2" t="s">
        <v>3605</v>
      </c>
      <c r="J340" s="2" t="s">
        <v>2074</v>
      </c>
      <c r="K340" s="2">
        <v>1</v>
      </c>
      <c r="L340" s="2">
        <v>0</v>
      </c>
      <c r="M340" s="2">
        <v>1</v>
      </c>
      <c r="N340" s="2">
        <v>0</v>
      </c>
      <c r="O340" s="2">
        <v>0</v>
      </c>
      <c r="P340" s="2">
        <v>0</v>
      </c>
      <c r="Q340" s="2">
        <v>0</v>
      </c>
      <c r="R340" s="2">
        <v>2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1</v>
      </c>
      <c r="AD340" s="2">
        <v>0</v>
      </c>
      <c r="AE340"/>
    </row>
    <row r="341" spans="1:31" x14ac:dyDescent="0.25">
      <c r="A341" s="2" t="s">
        <v>23</v>
      </c>
      <c r="B341" s="2" t="s">
        <v>37</v>
      </c>
      <c r="C341" s="2" t="s">
        <v>36</v>
      </c>
      <c r="D341" s="2" t="s">
        <v>247</v>
      </c>
      <c r="E341" s="2" t="s">
        <v>246</v>
      </c>
      <c r="F341" s="2" t="s">
        <v>591</v>
      </c>
      <c r="G341" s="2" t="s">
        <v>1459</v>
      </c>
      <c r="H341" s="2" t="s">
        <v>3606</v>
      </c>
      <c r="I341" s="2" t="s">
        <v>3607</v>
      </c>
      <c r="J341" s="2" t="s">
        <v>2074</v>
      </c>
      <c r="K341" s="2">
        <v>0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1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3</v>
      </c>
      <c r="AE341"/>
    </row>
    <row r="342" spans="1:31" x14ac:dyDescent="0.25">
      <c r="A342" s="2" t="s">
        <v>23</v>
      </c>
      <c r="B342" s="2" t="s">
        <v>37</v>
      </c>
      <c r="C342" s="2" t="s">
        <v>36</v>
      </c>
      <c r="D342" s="2" t="s">
        <v>247</v>
      </c>
      <c r="E342" s="2" t="s">
        <v>246</v>
      </c>
      <c r="F342" s="2" t="s">
        <v>593</v>
      </c>
      <c r="G342" s="2" t="s">
        <v>1461</v>
      </c>
      <c r="H342" s="2" t="s">
        <v>3610</v>
      </c>
      <c r="I342" s="2" t="s">
        <v>3611</v>
      </c>
      <c r="J342" s="2" t="s">
        <v>2074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1</v>
      </c>
      <c r="AE342"/>
    </row>
    <row r="343" spans="1:31" x14ac:dyDescent="0.25">
      <c r="A343" s="2" t="s">
        <v>23</v>
      </c>
      <c r="B343" s="2" t="s">
        <v>37</v>
      </c>
      <c r="C343" s="2" t="s">
        <v>36</v>
      </c>
      <c r="D343" s="2" t="s">
        <v>247</v>
      </c>
      <c r="E343" s="2" t="s">
        <v>246</v>
      </c>
      <c r="F343" s="2" t="s">
        <v>594</v>
      </c>
      <c r="G343" s="2" t="s">
        <v>1462</v>
      </c>
      <c r="H343" s="2" t="s">
        <v>3612</v>
      </c>
      <c r="I343" s="2" t="s">
        <v>3613</v>
      </c>
      <c r="J343" s="2" t="s">
        <v>2074</v>
      </c>
      <c r="K343" s="2">
        <v>0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1</v>
      </c>
      <c r="AC343" s="2">
        <v>1</v>
      </c>
      <c r="AD343" s="2">
        <v>1</v>
      </c>
      <c r="AE343"/>
    </row>
    <row r="344" spans="1:31" x14ac:dyDescent="0.25">
      <c r="A344" s="2" t="s">
        <v>23</v>
      </c>
      <c r="B344" s="2" t="s">
        <v>37</v>
      </c>
      <c r="C344" s="2" t="s">
        <v>36</v>
      </c>
      <c r="D344" s="2" t="s">
        <v>247</v>
      </c>
      <c r="E344" s="2" t="s">
        <v>246</v>
      </c>
      <c r="F344" s="2" t="s">
        <v>595</v>
      </c>
      <c r="G344" s="2" t="s">
        <v>1463</v>
      </c>
      <c r="H344" s="2" t="s">
        <v>3614</v>
      </c>
      <c r="I344" s="2" t="s">
        <v>3615</v>
      </c>
      <c r="J344" s="2" t="s">
        <v>2074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1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1</v>
      </c>
      <c r="AC344" s="2">
        <v>1</v>
      </c>
      <c r="AD344" s="2">
        <v>1</v>
      </c>
      <c r="AE344"/>
    </row>
    <row r="345" spans="1:31" x14ac:dyDescent="0.25">
      <c r="A345" s="2" t="s">
        <v>23</v>
      </c>
      <c r="B345" s="2" t="s">
        <v>37</v>
      </c>
      <c r="C345" s="2" t="s">
        <v>36</v>
      </c>
      <c r="D345" s="2" t="s">
        <v>247</v>
      </c>
      <c r="E345" s="2" t="s">
        <v>246</v>
      </c>
      <c r="F345" s="2" t="s">
        <v>596</v>
      </c>
      <c r="G345" s="2" t="s">
        <v>1464</v>
      </c>
      <c r="H345" s="2" t="s">
        <v>3616</v>
      </c>
      <c r="I345" s="2" t="s">
        <v>3617</v>
      </c>
      <c r="J345" s="2" t="s">
        <v>2074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1</v>
      </c>
      <c r="AC345" s="2">
        <v>2</v>
      </c>
      <c r="AD345" s="2">
        <v>0</v>
      </c>
      <c r="AE345"/>
    </row>
    <row r="346" spans="1:31" x14ac:dyDescent="0.25">
      <c r="A346" s="2" t="s">
        <v>23</v>
      </c>
      <c r="B346" s="2" t="s">
        <v>37</v>
      </c>
      <c r="C346" s="2" t="s">
        <v>36</v>
      </c>
      <c r="D346" s="2" t="s">
        <v>247</v>
      </c>
      <c r="E346" s="2" t="s">
        <v>246</v>
      </c>
      <c r="F346" s="2" t="s">
        <v>252</v>
      </c>
      <c r="G346" s="2" t="s">
        <v>1465</v>
      </c>
      <c r="H346" s="2" t="s">
        <v>3618</v>
      </c>
      <c r="I346" s="2" t="s">
        <v>3619</v>
      </c>
      <c r="J346" s="2" t="s">
        <v>2074</v>
      </c>
      <c r="K346" s="2">
        <v>0</v>
      </c>
      <c r="L346" s="2">
        <v>1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1</v>
      </c>
      <c r="AC346" s="2">
        <v>0</v>
      </c>
      <c r="AD346" s="2">
        <v>0</v>
      </c>
      <c r="AE346"/>
    </row>
    <row r="347" spans="1:31" x14ac:dyDescent="0.25">
      <c r="A347" s="2" t="s">
        <v>23</v>
      </c>
      <c r="B347" s="2" t="s">
        <v>37</v>
      </c>
      <c r="C347" s="2" t="s">
        <v>36</v>
      </c>
      <c r="D347" s="2" t="s">
        <v>247</v>
      </c>
      <c r="E347" s="2" t="s">
        <v>246</v>
      </c>
      <c r="F347" s="2" t="s">
        <v>597</v>
      </c>
      <c r="G347" s="2" t="s">
        <v>1466</v>
      </c>
      <c r="H347" s="2" t="s">
        <v>3620</v>
      </c>
      <c r="I347" s="2" t="s">
        <v>3621</v>
      </c>
      <c r="J347" s="2" t="s">
        <v>3693</v>
      </c>
      <c r="K347" s="2">
        <v>1</v>
      </c>
      <c r="L347" s="2">
        <v>0</v>
      </c>
      <c r="M347" s="2">
        <v>0</v>
      </c>
      <c r="N347" s="2">
        <v>0</v>
      </c>
      <c r="O347" s="2">
        <v>0</v>
      </c>
      <c r="P347" s="2">
        <v>1</v>
      </c>
      <c r="Q347" s="2">
        <v>0</v>
      </c>
      <c r="R347" s="2">
        <v>0</v>
      </c>
      <c r="S347" s="2">
        <v>0</v>
      </c>
      <c r="T347" s="2">
        <v>0</v>
      </c>
      <c r="U347" s="2">
        <v>1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1</v>
      </c>
      <c r="AE347"/>
    </row>
    <row r="348" spans="1:31" x14ac:dyDescent="0.25">
      <c r="A348" s="2" t="s">
        <v>23</v>
      </c>
      <c r="B348" s="2" t="s">
        <v>37</v>
      </c>
      <c r="C348" s="2" t="s">
        <v>36</v>
      </c>
      <c r="D348" s="2" t="s">
        <v>247</v>
      </c>
      <c r="E348" s="2" t="s">
        <v>246</v>
      </c>
      <c r="F348" s="2" t="s">
        <v>592</v>
      </c>
      <c r="G348" s="2" t="s">
        <v>1460</v>
      </c>
      <c r="H348" s="2" t="s">
        <v>3608</v>
      </c>
      <c r="I348" s="2" t="s">
        <v>3609</v>
      </c>
      <c r="J348" s="2" t="s">
        <v>2074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1</v>
      </c>
      <c r="AE348"/>
    </row>
    <row r="349" spans="1:31" x14ac:dyDescent="0.25">
      <c r="A349" s="2" t="s">
        <v>23</v>
      </c>
      <c r="B349" s="2" t="s">
        <v>37</v>
      </c>
      <c r="C349" s="2" t="s">
        <v>36</v>
      </c>
      <c r="D349" s="2" t="s">
        <v>247</v>
      </c>
      <c r="E349" s="2" t="s">
        <v>246</v>
      </c>
      <c r="F349" s="2" t="s">
        <v>1973</v>
      </c>
      <c r="G349" s="2" t="s">
        <v>1974</v>
      </c>
      <c r="H349" s="2" t="s">
        <v>3584</v>
      </c>
      <c r="I349" s="2" t="s">
        <v>3585</v>
      </c>
      <c r="J349" s="2" t="s">
        <v>2074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1</v>
      </c>
      <c r="Q349" s="2">
        <v>0</v>
      </c>
      <c r="R349" s="2">
        <v>0</v>
      </c>
      <c r="S349" s="2">
        <v>1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/>
    </row>
    <row r="350" spans="1:31" x14ac:dyDescent="0.25">
      <c r="A350" s="2" t="s">
        <v>23</v>
      </c>
      <c r="B350" s="2" t="s">
        <v>37</v>
      </c>
      <c r="C350" s="2" t="s">
        <v>36</v>
      </c>
      <c r="D350" s="2" t="s">
        <v>247</v>
      </c>
      <c r="E350" s="2" t="s">
        <v>246</v>
      </c>
      <c r="F350" s="2" t="s">
        <v>2045</v>
      </c>
      <c r="G350" s="2" t="s">
        <v>2044</v>
      </c>
      <c r="H350" s="2" t="s">
        <v>3562</v>
      </c>
      <c r="I350" s="2" t="s">
        <v>3563</v>
      </c>
      <c r="J350" s="2" t="s">
        <v>3693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2</v>
      </c>
      <c r="AE350"/>
    </row>
    <row r="351" spans="1:31" x14ac:dyDescent="0.25">
      <c r="A351" s="2" t="s">
        <v>23</v>
      </c>
      <c r="B351" s="2" t="s">
        <v>37</v>
      </c>
      <c r="C351" s="2" t="s">
        <v>36</v>
      </c>
      <c r="D351" s="2" t="s">
        <v>247</v>
      </c>
      <c r="E351" s="2" t="s">
        <v>246</v>
      </c>
      <c r="F351" s="2" t="s">
        <v>2047</v>
      </c>
      <c r="G351" s="2" t="s">
        <v>2046</v>
      </c>
      <c r="H351" s="2" t="s">
        <v>3576</v>
      </c>
      <c r="I351" s="2" t="s">
        <v>3577</v>
      </c>
      <c r="J351" s="2" t="s">
        <v>2074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1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1</v>
      </c>
      <c r="AE351"/>
    </row>
    <row r="352" spans="1:31" x14ac:dyDescent="0.25">
      <c r="A352" s="2" t="s">
        <v>23</v>
      </c>
      <c r="B352" s="2" t="s">
        <v>218</v>
      </c>
      <c r="C352" s="2" t="s">
        <v>217</v>
      </c>
      <c r="D352" s="2" t="s">
        <v>228</v>
      </c>
      <c r="E352" s="2" t="s">
        <v>227</v>
      </c>
      <c r="F352" s="2" t="s">
        <v>230</v>
      </c>
      <c r="G352" s="2" t="s">
        <v>1582</v>
      </c>
      <c r="H352" s="2" t="s">
        <v>3314</v>
      </c>
      <c r="I352" s="2" t="s">
        <v>3315</v>
      </c>
      <c r="J352" s="2" t="s">
        <v>2074</v>
      </c>
      <c r="K352" s="2">
        <v>0</v>
      </c>
      <c r="L352" s="2">
        <v>0</v>
      </c>
      <c r="M352" s="2">
        <v>0</v>
      </c>
      <c r="N352" s="2">
        <v>1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/>
    </row>
    <row r="353" spans="1:31" x14ac:dyDescent="0.25">
      <c r="A353" s="2" t="s">
        <v>23</v>
      </c>
      <c r="B353" s="2" t="s">
        <v>48</v>
      </c>
      <c r="C353" s="2" t="s">
        <v>47</v>
      </c>
      <c r="D353" s="2" t="s">
        <v>62</v>
      </c>
      <c r="E353" s="2" t="s">
        <v>61</v>
      </c>
      <c r="F353" s="2" t="s">
        <v>502</v>
      </c>
      <c r="G353" s="2" t="s">
        <v>1363</v>
      </c>
      <c r="H353" s="2" t="s">
        <v>3350</v>
      </c>
      <c r="I353" s="2" t="s">
        <v>3351</v>
      </c>
      <c r="J353" s="2" t="s">
        <v>2076</v>
      </c>
      <c r="K353" s="2">
        <v>0</v>
      </c>
      <c r="L353" s="2">
        <v>0</v>
      </c>
      <c r="M353" s="2">
        <v>1</v>
      </c>
      <c r="N353" s="2">
        <v>1</v>
      </c>
      <c r="O353" s="2">
        <v>0</v>
      </c>
      <c r="P353" s="2">
        <v>1</v>
      </c>
      <c r="Q353" s="2">
        <v>0</v>
      </c>
      <c r="R353" s="2">
        <v>0</v>
      </c>
      <c r="S353" s="2">
        <v>1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2</v>
      </c>
      <c r="AE353"/>
    </row>
    <row r="354" spans="1:31" x14ac:dyDescent="0.25">
      <c r="A354" s="2" t="s">
        <v>23</v>
      </c>
      <c r="B354" s="2" t="s">
        <v>48</v>
      </c>
      <c r="C354" s="2" t="s">
        <v>47</v>
      </c>
      <c r="D354" s="2" t="s">
        <v>62</v>
      </c>
      <c r="E354" s="2" t="s">
        <v>61</v>
      </c>
      <c r="F354" s="2" t="s">
        <v>503</v>
      </c>
      <c r="G354" s="2" t="s">
        <v>1364</v>
      </c>
      <c r="H354" s="2" t="s">
        <v>3352</v>
      </c>
      <c r="I354" s="2" t="s">
        <v>3353</v>
      </c>
      <c r="J354" s="2" t="s">
        <v>2074</v>
      </c>
      <c r="K354" s="2">
        <v>0</v>
      </c>
      <c r="L354" s="2">
        <v>0</v>
      </c>
      <c r="M354" s="2">
        <v>1</v>
      </c>
      <c r="N354" s="2">
        <v>2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/>
    </row>
    <row r="355" spans="1:31" x14ac:dyDescent="0.25">
      <c r="A355" s="2" t="s">
        <v>23</v>
      </c>
      <c r="B355" s="2" t="s">
        <v>48</v>
      </c>
      <c r="C355" s="2" t="s">
        <v>47</v>
      </c>
      <c r="D355" s="2" t="s">
        <v>62</v>
      </c>
      <c r="E355" s="2" t="s">
        <v>61</v>
      </c>
      <c r="F355" s="2" t="s">
        <v>505</v>
      </c>
      <c r="G355" s="2" t="s">
        <v>1367</v>
      </c>
      <c r="H355" s="2" t="s">
        <v>3360</v>
      </c>
      <c r="I355" s="2" t="s">
        <v>3361</v>
      </c>
      <c r="J355" s="2" t="s">
        <v>2074</v>
      </c>
      <c r="K355" s="2">
        <v>0</v>
      </c>
      <c r="L355" s="2">
        <v>0</v>
      </c>
      <c r="M355" s="2">
        <v>1</v>
      </c>
      <c r="N355" s="2">
        <v>2</v>
      </c>
      <c r="O355" s="2">
        <v>0</v>
      </c>
      <c r="P355" s="2">
        <v>1</v>
      </c>
      <c r="Q355" s="2">
        <v>0</v>
      </c>
      <c r="R355" s="2">
        <v>0</v>
      </c>
      <c r="S355" s="2">
        <v>1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1</v>
      </c>
      <c r="Z355" s="2">
        <v>0</v>
      </c>
      <c r="AA355" s="2">
        <v>0</v>
      </c>
      <c r="AB355" s="2">
        <v>0</v>
      </c>
      <c r="AC355" s="2">
        <v>1</v>
      </c>
      <c r="AD355" s="2">
        <v>0</v>
      </c>
      <c r="AE355"/>
    </row>
    <row r="356" spans="1:31" x14ac:dyDescent="0.25">
      <c r="A356" s="2" t="s">
        <v>23</v>
      </c>
      <c r="B356" s="2" t="s">
        <v>48</v>
      </c>
      <c r="C356" s="2" t="s">
        <v>47</v>
      </c>
      <c r="D356" s="2" t="s">
        <v>62</v>
      </c>
      <c r="E356" s="2" t="s">
        <v>61</v>
      </c>
      <c r="F356" s="2" t="s">
        <v>506</v>
      </c>
      <c r="G356" s="2" t="s">
        <v>1368</v>
      </c>
      <c r="H356" s="2" t="s">
        <v>3362</v>
      </c>
      <c r="I356" s="2" t="s">
        <v>3363</v>
      </c>
      <c r="J356" s="2" t="s">
        <v>2074</v>
      </c>
      <c r="K356" s="2">
        <v>0</v>
      </c>
      <c r="L356" s="2">
        <v>0</v>
      </c>
      <c r="M356" s="2">
        <v>0</v>
      </c>
      <c r="N356" s="2">
        <v>1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1</v>
      </c>
      <c r="AE356"/>
    </row>
    <row r="357" spans="1:31" x14ac:dyDescent="0.25">
      <c r="A357" s="2" t="s">
        <v>23</v>
      </c>
      <c r="B357" s="2" t="s">
        <v>48</v>
      </c>
      <c r="C357" s="2" t="s">
        <v>47</v>
      </c>
      <c r="D357" s="2" t="s">
        <v>62</v>
      </c>
      <c r="E357" s="2" t="s">
        <v>61</v>
      </c>
      <c r="F357" s="2" t="s">
        <v>507</v>
      </c>
      <c r="G357" s="2" t="s">
        <v>1369</v>
      </c>
      <c r="H357" s="2" t="s">
        <v>3364</v>
      </c>
      <c r="I357" s="2" t="s">
        <v>3365</v>
      </c>
      <c r="J357" s="2" t="s">
        <v>3713</v>
      </c>
      <c r="K357" s="2">
        <v>0</v>
      </c>
      <c r="L357" s="2">
        <v>0</v>
      </c>
      <c r="M357" s="2">
        <v>1</v>
      </c>
      <c r="N357" s="2">
        <v>1</v>
      </c>
      <c r="O357" s="2">
        <v>0</v>
      </c>
      <c r="P357" s="2">
        <v>1</v>
      </c>
      <c r="Q357" s="2">
        <v>0</v>
      </c>
      <c r="R357" s="2">
        <v>0</v>
      </c>
      <c r="S357" s="2">
        <v>1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1</v>
      </c>
      <c r="Z357" s="2">
        <v>0</v>
      </c>
      <c r="AA357" s="2">
        <v>0</v>
      </c>
      <c r="AB357" s="2">
        <v>1</v>
      </c>
      <c r="AC357" s="2">
        <v>1</v>
      </c>
      <c r="AD357" s="2">
        <v>1</v>
      </c>
      <c r="AE357"/>
    </row>
    <row r="358" spans="1:31" x14ac:dyDescent="0.25">
      <c r="A358" s="2" t="s">
        <v>23</v>
      </c>
      <c r="B358" s="2" t="s">
        <v>48</v>
      </c>
      <c r="C358" s="2" t="s">
        <v>47</v>
      </c>
      <c r="D358" s="2" t="s">
        <v>62</v>
      </c>
      <c r="E358" s="2" t="s">
        <v>61</v>
      </c>
      <c r="F358" s="2" t="s">
        <v>508</v>
      </c>
      <c r="G358" s="2" t="s">
        <v>1370</v>
      </c>
      <c r="H358" s="2" t="s">
        <v>3366</v>
      </c>
      <c r="I358" s="2" t="s">
        <v>3367</v>
      </c>
      <c r="J358" s="2" t="s">
        <v>2074</v>
      </c>
      <c r="K358" s="2">
        <v>0</v>
      </c>
      <c r="L358" s="2">
        <v>0</v>
      </c>
      <c r="M358" s="2">
        <v>0</v>
      </c>
      <c r="N358" s="2">
        <v>1</v>
      </c>
      <c r="O358" s="2">
        <v>0</v>
      </c>
      <c r="P358" s="2">
        <v>1</v>
      </c>
      <c r="Q358" s="2">
        <v>0</v>
      </c>
      <c r="R358" s="2">
        <v>0</v>
      </c>
      <c r="S358" s="2">
        <v>1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1</v>
      </c>
      <c r="Z358" s="2">
        <v>0</v>
      </c>
      <c r="AA358" s="2">
        <v>0</v>
      </c>
      <c r="AB358" s="2">
        <v>0</v>
      </c>
      <c r="AC358" s="2">
        <v>1</v>
      </c>
      <c r="AD358" s="2">
        <v>2</v>
      </c>
      <c r="AE358"/>
    </row>
    <row r="359" spans="1:31" x14ac:dyDescent="0.25">
      <c r="A359" s="2" t="s">
        <v>23</v>
      </c>
      <c r="B359" s="2" t="s">
        <v>48</v>
      </c>
      <c r="C359" s="2" t="s">
        <v>47</v>
      </c>
      <c r="D359" s="2" t="s">
        <v>62</v>
      </c>
      <c r="E359" s="2" t="s">
        <v>61</v>
      </c>
      <c r="F359" s="2" t="s">
        <v>509</v>
      </c>
      <c r="G359" s="2" t="s">
        <v>1371</v>
      </c>
      <c r="H359" s="2" t="s">
        <v>3368</v>
      </c>
      <c r="I359" s="2" t="s">
        <v>3369</v>
      </c>
      <c r="J359" s="2" t="s">
        <v>3693</v>
      </c>
      <c r="K359" s="2">
        <v>0</v>
      </c>
      <c r="L359" s="2">
        <v>0</v>
      </c>
      <c r="M359" s="2">
        <v>0</v>
      </c>
      <c r="N359" s="2">
        <v>2</v>
      </c>
      <c r="O359" s="2">
        <v>0</v>
      </c>
      <c r="P359" s="2">
        <v>1</v>
      </c>
      <c r="Q359" s="2">
        <v>0</v>
      </c>
      <c r="R359" s="2">
        <v>0</v>
      </c>
      <c r="S359" s="2">
        <v>1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/>
    </row>
    <row r="360" spans="1:31" x14ac:dyDescent="0.25">
      <c r="A360" s="2" t="s">
        <v>23</v>
      </c>
      <c r="B360" s="2" t="s">
        <v>48</v>
      </c>
      <c r="C360" s="2" t="s">
        <v>47</v>
      </c>
      <c r="D360" s="2" t="s">
        <v>62</v>
      </c>
      <c r="E360" s="2" t="s">
        <v>61</v>
      </c>
      <c r="F360" s="2" t="s">
        <v>511</v>
      </c>
      <c r="G360" s="2" t="s">
        <v>1374</v>
      </c>
      <c r="H360" s="2" t="s">
        <v>3374</v>
      </c>
      <c r="I360" s="2" t="s">
        <v>3375</v>
      </c>
      <c r="J360" s="2" t="s">
        <v>3714</v>
      </c>
      <c r="K360" s="2">
        <v>0</v>
      </c>
      <c r="L360" s="2">
        <v>0</v>
      </c>
      <c r="M360" s="2">
        <v>0</v>
      </c>
      <c r="N360" s="2">
        <v>2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1</v>
      </c>
      <c r="Z360" s="2">
        <v>0</v>
      </c>
      <c r="AA360" s="2">
        <v>0</v>
      </c>
      <c r="AB360" s="2">
        <v>0</v>
      </c>
      <c r="AC360" s="2">
        <v>1</v>
      </c>
      <c r="AD360" s="2">
        <v>2</v>
      </c>
      <c r="AE360"/>
    </row>
    <row r="361" spans="1:31" x14ac:dyDescent="0.25">
      <c r="A361" s="2" t="s">
        <v>23</v>
      </c>
      <c r="B361" s="2" t="s">
        <v>48</v>
      </c>
      <c r="C361" s="2" t="s">
        <v>47</v>
      </c>
      <c r="D361" s="2" t="s">
        <v>62</v>
      </c>
      <c r="E361" s="2" t="s">
        <v>61</v>
      </c>
      <c r="F361" s="2" t="s">
        <v>510</v>
      </c>
      <c r="G361" s="2" t="s">
        <v>1373</v>
      </c>
      <c r="H361" s="2" t="s">
        <v>3372</v>
      </c>
      <c r="I361" s="2" t="s">
        <v>3373</v>
      </c>
      <c r="J361" s="2" t="s">
        <v>3715</v>
      </c>
      <c r="K361" s="2">
        <v>0</v>
      </c>
      <c r="L361" s="2">
        <v>0</v>
      </c>
      <c r="M361" s="2">
        <v>1</v>
      </c>
      <c r="N361" s="2">
        <v>1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1</v>
      </c>
      <c r="Z361" s="2">
        <v>0</v>
      </c>
      <c r="AA361" s="2">
        <v>0</v>
      </c>
      <c r="AB361" s="2">
        <v>0</v>
      </c>
      <c r="AC361" s="2">
        <v>1</v>
      </c>
      <c r="AD361" s="2">
        <v>2</v>
      </c>
      <c r="AE361"/>
    </row>
    <row r="362" spans="1:31" x14ac:dyDescent="0.25">
      <c r="A362" s="2" t="s">
        <v>23</v>
      </c>
      <c r="B362" s="2" t="s">
        <v>48</v>
      </c>
      <c r="C362" s="2" t="s">
        <v>47</v>
      </c>
      <c r="D362" s="2" t="s">
        <v>62</v>
      </c>
      <c r="E362" s="2" t="s">
        <v>61</v>
      </c>
      <c r="F362" s="2" t="s">
        <v>513</v>
      </c>
      <c r="G362" s="2" t="s">
        <v>1377</v>
      </c>
      <c r="H362" s="2" t="s">
        <v>3380</v>
      </c>
      <c r="I362" s="2" t="s">
        <v>3381</v>
      </c>
      <c r="J362" s="2" t="s">
        <v>2074</v>
      </c>
      <c r="K362" s="2">
        <v>0</v>
      </c>
      <c r="L362" s="2">
        <v>0</v>
      </c>
      <c r="M362" s="2">
        <v>0</v>
      </c>
      <c r="N362" s="2">
        <v>1</v>
      </c>
      <c r="O362" s="2">
        <v>0</v>
      </c>
      <c r="P362" s="2">
        <v>1</v>
      </c>
      <c r="Q362" s="2">
        <v>0</v>
      </c>
      <c r="R362" s="2">
        <v>0</v>
      </c>
      <c r="S362" s="2">
        <v>1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1</v>
      </c>
      <c r="Z362" s="2">
        <v>0</v>
      </c>
      <c r="AA362" s="2">
        <v>0</v>
      </c>
      <c r="AB362" s="2">
        <v>0</v>
      </c>
      <c r="AC362" s="2">
        <v>2</v>
      </c>
      <c r="AD362" s="2">
        <v>2</v>
      </c>
      <c r="AE362"/>
    </row>
    <row r="363" spans="1:31" x14ac:dyDescent="0.25">
      <c r="A363" s="2" t="s">
        <v>23</v>
      </c>
      <c r="B363" s="2" t="s">
        <v>48</v>
      </c>
      <c r="C363" s="2" t="s">
        <v>47</v>
      </c>
      <c r="D363" s="2" t="s">
        <v>62</v>
      </c>
      <c r="E363" s="2" t="s">
        <v>61</v>
      </c>
      <c r="F363" s="2" t="s">
        <v>514</v>
      </c>
      <c r="G363" s="2" t="s">
        <v>1379</v>
      </c>
      <c r="H363" s="2" t="s">
        <v>3386</v>
      </c>
      <c r="I363" s="2" t="s">
        <v>3387</v>
      </c>
      <c r="J363" s="2" t="s">
        <v>2074</v>
      </c>
      <c r="K363" s="2">
        <v>0</v>
      </c>
      <c r="L363" s="2">
        <v>0</v>
      </c>
      <c r="M363" s="2">
        <v>1</v>
      </c>
      <c r="N363" s="2">
        <v>1</v>
      </c>
      <c r="O363" s="2">
        <v>0</v>
      </c>
      <c r="P363" s="2">
        <v>1</v>
      </c>
      <c r="Q363" s="2">
        <v>0</v>
      </c>
      <c r="R363" s="2">
        <v>0</v>
      </c>
      <c r="S363" s="2">
        <v>1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1</v>
      </c>
      <c r="Z363" s="2">
        <v>0</v>
      </c>
      <c r="AA363" s="2">
        <v>0</v>
      </c>
      <c r="AB363" s="2">
        <v>0</v>
      </c>
      <c r="AC363" s="2">
        <v>1</v>
      </c>
      <c r="AD363" s="2">
        <v>0</v>
      </c>
      <c r="AE363"/>
    </row>
    <row r="364" spans="1:31" x14ac:dyDescent="0.25">
      <c r="A364" s="2" t="s">
        <v>23</v>
      </c>
      <c r="B364" s="2" t="s">
        <v>48</v>
      </c>
      <c r="C364" s="2" t="s">
        <v>47</v>
      </c>
      <c r="D364" s="2" t="s">
        <v>62</v>
      </c>
      <c r="E364" s="2" t="s">
        <v>61</v>
      </c>
      <c r="F364" s="2" t="s">
        <v>515</v>
      </c>
      <c r="G364" s="2" t="s">
        <v>1380</v>
      </c>
      <c r="H364" s="2" t="s">
        <v>3388</v>
      </c>
      <c r="I364" s="2" t="s">
        <v>3389</v>
      </c>
      <c r="J364" s="2" t="s">
        <v>3693</v>
      </c>
      <c r="K364" s="2">
        <v>0</v>
      </c>
      <c r="L364" s="2">
        <v>0</v>
      </c>
      <c r="M364" s="2">
        <v>0</v>
      </c>
      <c r="N364" s="2">
        <v>1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1</v>
      </c>
      <c r="X364" s="2">
        <v>0</v>
      </c>
      <c r="Y364" s="2">
        <v>1</v>
      </c>
      <c r="Z364" s="2">
        <v>0</v>
      </c>
      <c r="AA364" s="2">
        <v>0</v>
      </c>
      <c r="AB364" s="2">
        <v>0</v>
      </c>
      <c r="AC364" s="2">
        <v>2</v>
      </c>
      <c r="AD364" s="2">
        <v>2</v>
      </c>
      <c r="AE364"/>
    </row>
    <row r="365" spans="1:31" x14ac:dyDescent="0.25">
      <c r="A365" s="2" t="s">
        <v>23</v>
      </c>
      <c r="B365" s="2" t="s">
        <v>48</v>
      </c>
      <c r="C365" s="2" t="s">
        <v>47</v>
      </c>
      <c r="D365" s="2" t="s">
        <v>62</v>
      </c>
      <c r="E365" s="2" t="s">
        <v>61</v>
      </c>
      <c r="F365" s="2" t="s">
        <v>517</v>
      </c>
      <c r="G365" s="2" t="s">
        <v>1382</v>
      </c>
      <c r="H365" s="2" t="s">
        <v>3392</v>
      </c>
      <c r="I365" s="2" t="s">
        <v>3393</v>
      </c>
      <c r="J365" s="2" t="s">
        <v>2074</v>
      </c>
      <c r="K365" s="2">
        <v>0</v>
      </c>
      <c r="L365" s="2">
        <v>0</v>
      </c>
      <c r="M365" s="2">
        <v>0</v>
      </c>
      <c r="N365" s="2">
        <v>1</v>
      </c>
      <c r="O365" s="2">
        <v>0</v>
      </c>
      <c r="P365" s="2">
        <v>1</v>
      </c>
      <c r="Q365" s="2">
        <v>0</v>
      </c>
      <c r="R365" s="2">
        <v>0</v>
      </c>
      <c r="S365" s="2">
        <v>1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1</v>
      </c>
      <c r="Z365" s="2">
        <v>0</v>
      </c>
      <c r="AA365" s="2">
        <v>0</v>
      </c>
      <c r="AB365" s="2">
        <v>0</v>
      </c>
      <c r="AC365" s="2">
        <v>1</v>
      </c>
      <c r="AD365" s="2">
        <v>2</v>
      </c>
      <c r="AE365"/>
    </row>
    <row r="366" spans="1:31" x14ac:dyDescent="0.25">
      <c r="A366" s="2" t="s">
        <v>23</v>
      </c>
      <c r="B366" s="2" t="s">
        <v>48</v>
      </c>
      <c r="C366" s="2" t="s">
        <v>47</v>
      </c>
      <c r="D366" s="2" t="s">
        <v>62</v>
      </c>
      <c r="E366" s="2" t="s">
        <v>61</v>
      </c>
      <c r="F366" s="2" t="s">
        <v>518</v>
      </c>
      <c r="G366" s="2" t="s">
        <v>1383</v>
      </c>
      <c r="H366" s="2" t="s">
        <v>3394</v>
      </c>
      <c r="I366" s="2" t="s">
        <v>3395</v>
      </c>
      <c r="J366" s="2" t="s">
        <v>2074</v>
      </c>
      <c r="K366" s="2">
        <v>0</v>
      </c>
      <c r="L366" s="2">
        <v>0</v>
      </c>
      <c r="M366" s="2">
        <v>1</v>
      </c>
      <c r="N366" s="2">
        <v>1</v>
      </c>
      <c r="O366" s="2">
        <v>0</v>
      </c>
      <c r="P366" s="2">
        <v>0</v>
      </c>
      <c r="Q366" s="2">
        <v>0</v>
      </c>
      <c r="R366" s="2">
        <v>1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1</v>
      </c>
      <c r="Z366" s="2">
        <v>0</v>
      </c>
      <c r="AA366" s="2">
        <v>0</v>
      </c>
      <c r="AB366" s="2">
        <v>0</v>
      </c>
      <c r="AC366" s="2">
        <v>2</v>
      </c>
      <c r="AD366" s="2">
        <v>2</v>
      </c>
      <c r="AE366"/>
    </row>
    <row r="367" spans="1:31" x14ac:dyDescent="0.25">
      <c r="A367" s="2" t="s">
        <v>23</v>
      </c>
      <c r="B367" s="2" t="s">
        <v>48</v>
      </c>
      <c r="C367" s="2" t="s">
        <v>47</v>
      </c>
      <c r="D367" s="2" t="s">
        <v>62</v>
      </c>
      <c r="E367" s="2" t="s">
        <v>61</v>
      </c>
      <c r="F367" s="2" t="s">
        <v>519</v>
      </c>
      <c r="G367" s="2" t="s">
        <v>1384</v>
      </c>
      <c r="H367" s="2" t="s">
        <v>3396</v>
      </c>
      <c r="I367" s="2" t="s">
        <v>3397</v>
      </c>
      <c r="J367" s="2" t="s">
        <v>2074</v>
      </c>
      <c r="K367" s="2">
        <v>0</v>
      </c>
      <c r="L367" s="2">
        <v>0</v>
      </c>
      <c r="M367" s="2">
        <v>1</v>
      </c>
      <c r="N367" s="2">
        <v>1</v>
      </c>
      <c r="O367" s="2">
        <v>0</v>
      </c>
      <c r="P367" s="2">
        <v>1</v>
      </c>
      <c r="Q367" s="2">
        <v>0</v>
      </c>
      <c r="R367" s="2">
        <v>0</v>
      </c>
      <c r="S367" s="2">
        <v>1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2</v>
      </c>
      <c r="AD367" s="2">
        <v>1</v>
      </c>
      <c r="AE367"/>
    </row>
    <row r="368" spans="1:31" x14ac:dyDescent="0.25">
      <c r="A368" s="2" t="s">
        <v>23</v>
      </c>
      <c r="B368" s="2" t="s">
        <v>48</v>
      </c>
      <c r="C368" s="2" t="s">
        <v>47</v>
      </c>
      <c r="D368" s="2" t="s">
        <v>62</v>
      </c>
      <c r="E368" s="2" t="s">
        <v>61</v>
      </c>
      <c r="F368" s="2" t="s">
        <v>520</v>
      </c>
      <c r="G368" s="2" t="s">
        <v>1385</v>
      </c>
      <c r="H368" s="2" t="s">
        <v>3398</v>
      </c>
      <c r="I368" s="2" t="s">
        <v>3399</v>
      </c>
      <c r="J368" s="2" t="s">
        <v>2074</v>
      </c>
      <c r="K368" s="2">
        <v>0</v>
      </c>
      <c r="L368" s="2">
        <v>0</v>
      </c>
      <c r="M368" s="2">
        <v>1</v>
      </c>
      <c r="N368" s="2">
        <v>2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/>
    </row>
    <row r="369" spans="1:31" x14ac:dyDescent="0.25">
      <c r="A369" s="2" t="s">
        <v>23</v>
      </c>
      <c r="B369" s="2" t="s">
        <v>48</v>
      </c>
      <c r="C369" s="2" t="s">
        <v>47</v>
      </c>
      <c r="D369" s="2" t="s">
        <v>62</v>
      </c>
      <c r="E369" s="2" t="s">
        <v>61</v>
      </c>
      <c r="F369" s="2" t="s">
        <v>521</v>
      </c>
      <c r="G369" s="2" t="s">
        <v>1386</v>
      </c>
      <c r="H369" s="2" t="s">
        <v>3400</v>
      </c>
      <c r="I369" s="2" t="s">
        <v>3401</v>
      </c>
      <c r="J369" s="2" t="s">
        <v>2074</v>
      </c>
      <c r="K369" s="2">
        <v>0</v>
      </c>
      <c r="L369" s="2">
        <v>0</v>
      </c>
      <c r="M369" s="2">
        <v>1</v>
      </c>
      <c r="N369" s="2">
        <v>1</v>
      </c>
      <c r="O369" s="2">
        <v>0</v>
      </c>
      <c r="P369" s="2">
        <v>1</v>
      </c>
      <c r="Q369" s="2">
        <v>0</v>
      </c>
      <c r="R369" s="2">
        <v>0</v>
      </c>
      <c r="S369" s="2">
        <v>1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2</v>
      </c>
      <c r="AD369" s="2">
        <v>2</v>
      </c>
      <c r="AE369"/>
    </row>
    <row r="370" spans="1:31" x14ac:dyDescent="0.25">
      <c r="A370" s="2" t="s">
        <v>23</v>
      </c>
      <c r="B370" s="2" t="s">
        <v>48</v>
      </c>
      <c r="C370" s="2" t="s">
        <v>47</v>
      </c>
      <c r="D370" s="2" t="s">
        <v>62</v>
      </c>
      <c r="E370" s="2" t="s">
        <v>61</v>
      </c>
      <c r="F370" s="2" t="s">
        <v>522</v>
      </c>
      <c r="G370" s="2" t="s">
        <v>1387</v>
      </c>
      <c r="H370" s="2" t="s">
        <v>3402</v>
      </c>
      <c r="I370" s="2" t="s">
        <v>3403</v>
      </c>
      <c r="J370" s="2" t="s">
        <v>3716</v>
      </c>
      <c r="K370" s="2">
        <v>0</v>
      </c>
      <c r="L370" s="2">
        <v>0</v>
      </c>
      <c r="M370" s="2">
        <v>1</v>
      </c>
      <c r="N370" s="2">
        <v>1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1</v>
      </c>
      <c r="Z370" s="2">
        <v>0</v>
      </c>
      <c r="AA370" s="2">
        <v>0</v>
      </c>
      <c r="AB370" s="2">
        <v>0</v>
      </c>
      <c r="AC370" s="2">
        <v>1</v>
      </c>
      <c r="AD370" s="2">
        <v>2</v>
      </c>
      <c r="AE370"/>
    </row>
    <row r="371" spans="1:31" x14ac:dyDescent="0.25">
      <c r="A371" s="2" t="s">
        <v>23</v>
      </c>
      <c r="B371" s="2" t="s">
        <v>48</v>
      </c>
      <c r="C371" s="2" t="s">
        <v>47</v>
      </c>
      <c r="D371" s="2" t="s">
        <v>62</v>
      </c>
      <c r="E371" s="2" t="s">
        <v>61</v>
      </c>
      <c r="F371" s="2" t="s">
        <v>523</v>
      </c>
      <c r="G371" s="2" t="s">
        <v>1388</v>
      </c>
      <c r="H371" s="2" t="s">
        <v>3404</v>
      </c>
      <c r="I371" s="2" t="s">
        <v>3405</v>
      </c>
      <c r="J371" s="2" t="s">
        <v>2074</v>
      </c>
      <c r="K371" s="2">
        <v>0</v>
      </c>
      <c r="L371" s="2">
        <v>0</v>
      </c>
      <c r="M371" s="2">
        <v>1</v>
      </c>
      <c r="N371" s="2">
        <v>1</v>
      </c>
      <c r="O371" s="2">
        <v>0</v>
      </c>
      <c r="P371" s="2">
        <v>1</v>
      </c>
      <c r="Q371" s="2">
        <v>0</v>
      </c>
      <c r="R371" s="2">
        <v>0</v>
      </c>
      <c r="S371" s="2">
        <v>1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1</v>
      </c>
      <c r="Z371" s="2">
        <v>0</v>
      </c>
      <c r="AA371" s="2">
        <v>0</v>
      </c>
      <c r="AB371" s="2">
        <v>0</v>
      </c>
      <c r="AC371" s="2">
        <v>1</v>
      </c>
      <c r="AD371" s="2">
        <v>2</v>
      </c>
      <c r="AE371"/>
    </row>
    <row r="372" spans="1:31" x14ac:dyDescent="0.25">
      <c r="A372" s="2" t="s">
        <v>23</v>
      </c>
      <c r="B372" s="2" t="s">
        <v>48</v>
      </c>
      <c r="C372" s="2" t="s">
        <v>47</v>
      </c>
      <c r="D372" s="2" t="s">
        <v>62</v>
      </c>
      <c r="E372" s="2" t="s">
        <v>61</v>
      </c>
      <c r="F372" s="2" t="s">
        <v>525</v>
      </c>
      <c r="G372" s="2" t="s">
        <v>1390</v>
      </c>
      <c r="H372" s="2" t="s">
        <v>3408</v>
      </c>
      <c r="I372" s="2" t="s">
        <v>3409</v>
      </c>
      <c r="J372" s="2" t="s">
        <v>2074</v>
      </c>
      <c r="K372" s="2">
        <v>0</v>
      </c>
      <c r="L372" s="2">
        <v>0</v>
      </c>
      <c r="M372" s="2">
        <v>1</v>
      </c>
      <c r="N372" s="2">
        <v>1</v>
      </c>
      <c r="O372" s="2">
        <v>0</v>
      </c>
      <c r="P372" s="2">
        <v>1</v>
      </c>
      <c r="Q372" s="2">
        <v>0</v>
      </c>
      <c r="R372" s="2">
        <v>0</v>
      </c>
      <c r="S372" s="2">
        <v>1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1</v>
      </c>
      <c r="AD372" s="2">
        <v>2</v>
      </c>
      <c r="AE372"/>
    </row>
    <row r="373" spans="1:31" x14ac:dyDescent="0.25">
      <c r="A373" s="2" t="s">
        <v>23</v>
      </c>
      <c r="B373" s="2" t="s">
        <v>48</v>
      </c>
      <c r="C373" s="2" t="s">
        <v>47</v>
      </c>
      <c r="D373" s="2" t="s">
        <v>62</v>
      </c>
      <c r="E373" s="2" t="s">
        <v>61</v>
      </c>
      <c r="F373" s="2" t="s">
        <v>526</v>
      </c>
      <c r="G373" s="2" t="s">
        <v>1391</v>
      </c>
      <c r="H373" s="2" t="s">
        <v>3410</v>
      </c>
      <c r="I373" s="2" t="s">
        <v>3411</v>
      </c>
      <c r="J373" s="2" t="s">
        <v>2074</v>
      </c>
      <c r="K373" s="2">
        <v>0</v>
      </c>
      <c r="L373" s="2">
        <v>0</v>
      </c>
      <c r="M373" s="2">
        <v>1</v>
      </c>
      <c r="N373" s="2">
        <v>1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2</v>
      </c>
      <c r="AD373" s="2">
        <v>2</v>
      </c>
      <c r="AE373"/>
    </row>
    <row r="374" spans="1:31" x14ac:dyDescent="0.25">
      <c r="A374" s="2" t="s">
        <v>23</v>
      </c>
      <c r="B374" s="2" t="s">
        <v>48</v>
      </c>
      <c r="C374" s="2" t="s">
        <v>47</v>
      </c>
      <c r="D374" s="2" t="s">
        <v>62</v>
      </c>
      <c r="E374" s="2" t="s">
        <v>61</v>
      </c>
      <c r="F374" s="2" t="s">
        <v>516</v>
      </c>
      <c r="G374" s="2" t="s">
        <v>1381</v>
      </c>
      <c r="H374" s="2" t="s">
        <v>3390</v>
      </c>
      <c r="I374" s="2" t="s">
        <v>3391</v>
      </c>
      <c r="J374" s="2" t="s">
        <v>2074</v>
      </c>
      <c r="K374" s="2">
        <v>0</v>
      </c>
      <c r="L374" s="2">
        <v>0</v>
      </c>
      <c r="M374" s="2">
        <v>1</v>
      </c>
      <c r="N374" s="2">
        <v>2</v>
      </c>
      <c r="O374" s="2">
        <v>0</v>
      </c>
      <c r="P374" s="2">
        <v>1</v>
      </c>
      <c r="Q374" s="2">
        <v>0</v>
      </c>
      <c r="R374" s="2">
        <v>0</v>
      </c>
      <c r="S374" s="2">
        <v>1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1</v>
      </c>
      <c r="AD374" s="2">
        <v>2</v>
      </c>
      <c r="AE374"/>
    </row>
    <row r="375" spans="1:31" x14ac:dyDescent="0.25">
      <c r="A375" s="2" t="s">
        <v>23</v>
      </c>
      <c r="B375" s="2" t="s">
        <v>48</v>
      </c>
      <c r="C375" s="2" t="s">
        <v>47</v>
      </c>
      <c r="D375" s="2" t="s">
        <v>62</v>
      </c>
      <c r="E375" s="2" t="s">
        <v>61</v>
      </c>
      <c r="F375" s="2" t="s">
        <v>504</v>
      </c>
      <c r="G375" s="2" t="s">
        <v>1366</v>
      </c>
      <c r="H375" s="2" t="s">
        <v>3358</v>
      </c>
      <c r="I375" s="2" t="s">
        <v>3359</v>
      </c>
      <c r="J375" s="2" t="s">
        <v>2074</v>
      </c>
      <c r="K375" s="2">
        <v>0</v>
      </c>
      <c r="L375" s="2">
        <v>0</v>
      </c>
      <c r="M375" s="2">
        <v>1</v>
      </c>
      <c r="N375" s="2">
        <v>1</v>
      </c>
      <c r="O375" s="2">
        <v>0</v>
      </c>
      <c r="P375" s="2">
        <v>1</v>
      </c>
      <c r="Q375" s="2">
        <v>0</v>
      </c>
      <c r="R375" s="2">
        <v>0</v>
      </c>
      <c r="S375" s="2">
        <v>1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1</v>
      </c>
      <c r="AD375" s="2">
        <v>1</v>
      </c>
      <c r="AE375"/>
    </row>
    <row r="376" spans="1:31" x14ac:dyDescent="0.25">
      <c r="A376" s="2" t="s">
        <v>23</v>
      </c>
      <c r="B376" s="2" t="s">
        <v>48</v>
      </c>
      <c r="C376" s="2" t="s">
        <v>47</v>
      </c>
      <c r="D376" s="2" t="s">
        <v>62</v>
      </c>
      <c r="E376" s="2" t="s">
        <v>61</v>
      </c>
      <c r="F376" s="2" t="s">
        <v>512</v>
      </c>
      <c r="G376" s="2" t="s">
        <v>1375</v>
      </c>
      <c r="H376" s="2" t="s">
        <v>3376</v>
      </c>
      <c r="I376" s="2" t="s">
        <v>3377</v>
      </c>
      <c r="J376" s="2" t="s">
        <v>2074</v>
      </c>
      <c r="K376" s="2">
        <v>0</v>
      </c>
      <c r="L376" s="2">
        <v>0</v>
      </c>
      <c r="M376" s="2">
        <v>1</v>
      </c>
      <c r="N376" s="2">
        <v>1</v>
      </c>
      <c r="O376" s="2">
        <v>0</v>
      </c>
      <c r="P376" s="2">
        <v>1</v>
      </c>
      <c r="Q376" s="2">
        <v>0</v>
      </c>
      <c r="R376" s="2">
        <v>0</v>
      </c>
      <c r="S376" s="2">
        <v>1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2</v>
      </c>
      <c r="AE376"/>
    </row>
    <row r="377" spans="1:31" x14ac:dyDescent="0.25">
      <c r="A377" s="2" t="s">
        <v>23</v>
      </c>
      <c r="B377" s="2" t="s">
        <v>48</v>
      </c>
      <c r="C377" s="2" t="s">
        <v>47</v>
      </c>
      <c r="D377" s="2" t="s">
        <v>62</v>
      </c>
      <c r="E377" s="2" t="s">
        <v>61</v>
      </c>
      <c r="F377" s="2" t="s">
        <v>524</v>
      </c>
      <c r="G377" s="2" t="s">
        <v>1389</v>
      </c>
      <c r="H377" s="2" t="s">
        <v>3406</v>
      </c>
      <c r="I377" s="2" t="s">
        <v>3407</v>
      </c>
      <c r="J377" s="2" t="s">
        <v>2074</v>
      </c>
      <c r="K377" s="2">
        <v>0</v>
      </c>
      <c r="L377" s="2">
        <v>0</v>
      </c>
      <c r="M377" s="2">
        <v>1</v>
      </c>
      <c r="N377" s="2">
        <v>1</v>
      </c>
      <c r="O377" s="2">
        <v>0</v>
      </c>
      <c r="P377" s="2">
        <v>1</v>
      </c>
      <c r="Q377" s="2">
        <v>0</v>
      </c>
      <c r="R377" s="2">
        <v>0</v>
      </c>
      <c r="S377" s="2">
        <v>1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2</v>
      </c>
      <c r="AE377"/>
    </row>
    <row r="378" spans="1:31" x14ac:dyDescent="0.25">
      <c r="A378" s="2" t="s">
        <v>23</v>
      </c>
      <c r="B378" s="2" t="s">
        <v>48</v>
      </c>
      <c r="C378" s="2" t="s">
        <v>47</v>
      </c>
      <c r="D378" s="2" t="s">
        <v>62</v>
      </c>
      <c r="E378" s="2" t="s">
        <v>61</v>
      </c>
      <c r="F378" s="2" t="s">
        <v>836</v>
      </c>
      <c r="G378" s="2" t="s">
        <v>1365</v>
      </c>
      <c r="H378" s="2" t="s">
        <v>3354</v>
      </c>
      <c r="I378" s="2" t="s">
        <v>3355</v>
      </c>
      <c r="J378" s="2" t="s">
        <v>2074</v>
      </c>
      <c r="K378" s="2">
        <v>0</v>
      </c>
      <c r="L378" s="2">
        <v>0</v>
      </c>
      <c r="M378" s="2">
        <v>0</v>
      </c>
      <c r="N378" s="2">
        <v>1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/>
    </row>
    <row r="379" spans="1:31" x14ac:dyDescent="0.25">
      <c r="A379" s="2" t="s">
        <v>23</v>
      </c>
      <c r="B379" s="2" t="s">
        <v>48</v>
      </c>
      <c r="C379" s="2" t="s">
        <v>47</v>
      </c>
      <c r="D379" s="2" t="s">
        <v>62</v>
      </c>
      <c r="E379" s="2" t="s">
        <v>61</v>
      </c>
      <c r="F379" s="2" t="s">
        <v>839</v>
      </c>
      <c r="G379" s="2" t="s">
        <v>1585</v>
      </c>
      <c r="H379" s="2" t="s">
        <v>3356</v>
      </c>
      <c r="I379" s="2" t="s">
        <v>3357</v>
      </c>
      <c r="J379" s="2" t="s">
        <v>2074</v>
      </c>
      <c r="K379" s="2">
        <v>0</v>
      </c>
      <c r="L379" s="2">
        <v>0</v>
      </c>
      <c r="M379" s="2">
        <v>0</v>
      </c>
      <c r="N379" s="2">
        <v>1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/>
    </row>
    <row r="380" spans="1:31" x14ac:dyDescent="0.25">
      <c r="A380" s="2" t="s">
        <v>23</v>
      </c>
      <c r="B380" s="2" t="s">
        <v>48</v>
      </c>
      <c r="C380" s="2" t="s">
        <v>47</v>
      </c>
      <c r="D380" s="2" t="s">
        <v>62</v>
      </c>
      <c r="E380" s="2" t="s">
        <v>61</v>
      </c>
      <c r="F380" s="2" t="s">
        <v>835</v>
      </c>
      <c r="G380" s="2" t="s">
        <v>1372</v>
      </c>
      <c r="H380" s="2" t="s">
        <v>3370</v>
      </c>
      <c r="I380" s="2" t="s">
        <v>3371</v>
      </c>
      <c r="J380" s="2" t="s">
        <v>2074</v>
      </c>
      <c r="K380" s="2">
        <v>0</v>
      </c>
      <c r="L380" s="2">
        <v>0</v>
      </c>
      <c r="M380" s="2">
        <v>0</v>
      </c>
      <c r="N380" s="2">
        <v>1</v>
      </c>
      <c r="O380" s="2">
        <v>0</v>
      </c>
      <c r="P380" s="2">
        <v>0</v>
      </c>
      <c r="Q380" s="2">
        <v>0</v>
      </c>
      <c r="R380" s="2">
        <v>1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/>
    </row>
    <row r="381" spans="1:31" x14ac:dyDescent="0.25">
      <c r="A381" s="2" t="s">
        <v>23</v>
      </c>
      <c r="B381" s="2" t="s">
        <v>48</v>
      </c>
      <c r="C381" s="2" t="s">
        <v>47</v>
      </c>
      <c r="D381" s="2" t="s">
        <v>62</v>
      </c>
      <c r="E381" s="2" t="s">
        <v>61</v>
      </c>
      <c r="F381" s="2" t="s">
        <v>837</v>
      </c>
      <c r="G381" s="2" t="s">
        <v>1376</v>
      </c>
      <c r="H381" s="2" t="s">
        <v>3378</v>
      </c>
      <c r="I381" s="2" t="s">
        <v>3379</v>
      </c>
      <c r="J381" s="2" t="s">
        <v>2074</v>
      </c>
      <c r="K381" s="2">
        <v>0</v>
      </c>
      <c r="L381" s="2">
        <v>0</v>
      </c>
      <c r="M381" s="2">
        <v>0</v>
      </c>
      <c r="N381" s="2">
        <v>1</v>
      </c>
      <c r="O381" s="2">
        <v>0</v>
      </c>
      <c r="P381" s="2">
        <v>0</v>
      </c>
      <c r="Q381" s="2">
        <v>1</v>
      </c>
      <c r="R381" s="2">
        <v>1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1</v>
      </c>
      <c r="AE381"/>
    </row>
    <row r="382" spans="1:31" x14ac:dyDescent="0.25">
      <c r="A382" s="2" t="s">
        <v>23</v>
      </c>
      <c r="B382" s="2" t="s">
        <v>48</v>
      </c>
      <c r="C382" s="2" t="s">
        <v>47</v>
      </c>
      <c r="D382" s="2" t="s">
        <v>62</v>
      </c>
      <c r="E382" s="2" t="s">
        <v>61</v>
      </c>
      <c r="F382" s="2" t="s">
        <v>838</v>
      </c>
      <c r="G382" s="2" t="s">
        <v>1586</v>
      </c>
      <c r="H382" s="2" t="s">
        <v>3382</v>
      </c>
      <c r="I382" s="2" t="s">
        <v>3383</v>
      </c>
      <c r="J382" s="2" t="s">
        <v>2074</v>
      </c>
      <c r="K382" s="2">
        <v>0</v>
      </c>
      <c r="L382" s="2">
        <v>0</v>
      </c>
      <c r="M382" s="2">
        <v>0</v>
      </c>
      <c r="N382" s="2">
        <v>1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1</v>
      </c>
      <c r="AD382" s="2">
        <v>0</v>
      </c>
      <c r="AE382"/>
    </row>
    <row r="383" spans="1:31" x14ac:dyDescent="0.25">
      <c r="A383" s="2" t="s">
        <v>23</v>
      </c>
      <c r="B383" s="2" t="s">
        <v>48</v>
      </c>
      <c r="C383" s="2" t="s">
        <v>47</v>
      </c>
      <c r="D383" s="2" t="s">
        <v>62</v>
      </c>
      <c r="E383" s="2" t="s">
        <v>61</v>
      </c>
      <c r="F383" s="2" t="s">
        <v>840</v>
      </c>
      <c r="G383" s="2" t="s">
        <v>1378</v>
      </c>
      <c r="H383" s="2" t="s">
        <v>3384</v>
      </c>
      <c r="I383" s="2" t="s">
        <v>3385</v>
      </c>
      <c r="J383" s="2" t="s">
        <v>2074</v>
      </c>
      <c r="K383" s="2">
        <v>0</v>
      </c>
      <c r="L383" s="2">
        <v>0</v>
      </c>
      <c r="M383" s="2">
        <v>0</v>
      </c>
      <c r="N383" s="2">
        <v>1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1</v>
      </c>
      <c r="Z383" s="2">
        <v>0</v>
      </c>
      <c r="AA383" s="2">
        <v>0</v>
      </c>
      <c r="AB383" s="2">
        <v>0</v>
      </c>
      <c r="AC383" s="2">
        <v>1</v>
      </c>
      <c r="AD383" s="2">
        <v>0</v>
      </c>
      <c r="AE383"/>
    </row>
    <row r="384" spans="1:31" x14ac:dyDescent="0.25">
      <c r="A384" s="2" t="s">
        <v>23</v>
      </c>
      <c r="B384" s="2" t="s">
        <v>48</v>
      </c>
      <c r="C384" s="2" t="s">
        <v>47</v>
      </c>
      <c r="D384" s="2" t="s">
        <v>62</v>
      </c>
      <c r="E384" s="2" t="s">
        <v>61</v>
      </c>
      <c r="F384" s="2" t="s">
        <v>841</v>
      </c>
      <c r="G384" s="2" t="s">
        <v>1587</v>
      </c>
      <c r="H384" s="2" t="s">
        <v>3412</v>
      </c>
      <c r="I384" s="2" t="s">
        <v>3413</v>
      </c>
      <c r="J384" s="2" t="s">
        <v>2074</v>
      </c>
      <c r="K384" s="2">
        <v>0</v>
      </c>
      <c r="L384" s="2">
        <v>0</v>
      </c>
      <c r="M384" s="2">
        <v>0</v>
      </c>
      <c r="N384" s="2">
        <v>1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/>
    </row>
    <row r="385" spans="1:31" x14ac:dyDescent="0.25">
      <c r="A385" s="2" t="s">
        <v>23</v>
      </c>
      <c r="B385" s="2" t="s">
        <v>218</v>
      </c>
      <c r="C385" s="2" t="s">
        <v>217</v>
      </c>
      <c r="D385" s="2" t="s">
        <v>497</v>
      </c>
      <c r="E385" s="2" t="s">
        <v>498</v>
      </c>
      <c r="F385" s="2" t="s">
        <v>640</v>
      </c>
      <c r="G385" s="2" t="s">
        <v>1535</v>
      </c>
      <c r="H385" s="2" t="s">
        <v>3316</v>
      </c>
      <c r="I385" s="2" t="s">
        <v>3317</v>
      </c>
      <c r="J385" s="2" t="s">
        <v>2074</v>
      </c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/>
    </row>
    <row r="386" spans="1:31" x14ac:dyDescent="0.25">
      <c r="A386" s="2" t="s">
        <v>23</v>
      </c>
      <c r="B386" s="2" t="s">
        <v>218</v>
      </c>
      <c r="C386" s="2" t="s">
        <v>217</v>
      </c>
      <c r="D386" s="2" t="s">
        <v>497</v>
      </c>
      <c r="E386" s="2" t="s">
        <v>498</v>
      </c>
      <c r="F386" s="2" t="s">
        <v>499</v>
      </c>
      <c r="G386" s="2" t="s">
        <v>1356</v>
      </c>
      <c r="H386" s="2" t="s">
        <v>3318</v>
      </c>
      <c r="I386" s="2" t="s">
        <v>3319</v>
      </c>
      <c r="J386" s="2" t="s">
        <v>2074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2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1</v>
      </c>
      <c r="AD386" s="2">
        <v>0</v>
      </c>
      <c r="AE386"/>
    </row>
    <row r="387" spans="1:31" x14ac:dyDescent="0.25">
      <c r="A387" s="2" t="s">
        <v>23</v>
      </c>
      <c r="B387" s="2" t="s">
        <v>218</v>
      </c>
      <c r="C387" s="2" t="s">
        <v>217</v>
      </c>
      <c r="D387" s="2" t="s">
        <v>497</v>
      </c>
      <c r="E387" s="2" t="s">
        <v>498</v>
      </c>
      <c r="F387" s="2" t="s">
        <v>500</v>
      </c>
      <c r="G387" s="2" t="s">
        <v>1357</v>
      </c>
      <c r="H387" s="2" t="s">
        <v>3320</v>
      </c>
      <c r="I387" s="2" t="s">
        <v>3321</v>
      </c>
      <c r="J387" s="2" t="s">
        <v>2074</v>
      </c>
      <c r="K387" s="2">
        <v>0</v>
      </c>
      <c r="L387" s="2">
        <v>1</v>
      </c>
      <c r="M387" s="2">
        <v>1</v>
      </c>
      <c r="N387" s="2">
        <v>1</v>
      </c>
      <c r="O387" s="2">
        <v>0</v>
      </c>
      <c r="P387" s="2">
        <v>3</v>
      </c>
      <c r="Q387" s="2">
        <v>0</v>
      </c>
      <c r="R387" s="2">
        <v>2</v>
      </c>
      <c r="S387" s="2">
        <v>1</v>
      </c>
      <c r="T387" s="2">
        <v>0</v>
      </c>
      <c r="U387" s="2">
        <v>1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1</v>
      </c>
      <c r="AB387" s="2">
        <v>0</v>
      </c>
      <c r="AC387" s="2">
        <v>0</v>
      </c>
      <c r="AD387" s="2">
        <v>0</v>
      </c>
      <c r="AE387"/>
    </row>
    <row r="388" spans="1:31" x14ac:dyDescent="0.25">
      <c r="A388" s="2" t="s">
        <v>23</v>
      </c>
      <c r="B388" s="2" t="s">
        <v>37</v>
      </c>
      <c r="C388" s="2" t="s">
        <v>36</v>
      </c>
      <c r="D388" s="2" t="s">
        <v>250</v>
      </c>
      <c r="E388" s="2" t="s">
        <v>249</v>
      </c>
      <c r="F388" s="2" t="s">
        <v>255</v>
      </c>
      <c r="G388" s="2" t="s">
        <v>1469</v>
      </c>
      <c r="H388" s="2" t="s">
        <v>3632</v>
      </c>
      <c r="I388" s="2" t="s">
        <v>3633</v>
      </c>
      <c r="J388" s="2" t="s">
        <v>2074</v>
      </c>
      <c r="K388" s="2">
        <v>0</v>
      </c>
      <c r="L388" s="2">
        <v>1</v>
      </c>
      <c r="M388" s="2">
        <v>0</v>
      </c>
      <c r="N388" s="2">
        <v>1</v>
      </c>
      <c r="O388" s="2">
        <v>1</v>
      </c>
      <c r="P388" s="2">
        <v>0</v>
      </c>
      <c r="Q388" s="2">
        <v>2</v>
      </c>
      <c r="R388" s="2">
        <v>2</v>
      </c>
      <c r="S388" s="2">
        <v>1</v>
      </c>
      <c r="T388" s="2">
        <v>0</v>
      </c>
      <c r="U388" s="2">
        <v>0</v>
      </c>
      <c r="V388" s="2">
        <v>0</v>
      </c>
      <c r="W388" s="2">
        <v>1</v>
      </c>
      <c r="X388" s="2">
        <v>1</v>
      </c>
      <c r="Y388" s="2">
        <v>1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/>
    </row>
    <row r="389" spans="1:31" x14ac:dyDescent="0.25">
      <c r="A389" s="2" t="s">
        <v>23</v>
      </c>
      <c r="B389" s="2" t="s">
        <v>37</v>
      </c>
      <c r="C389" s="2" t="s">
        <v>36</v>
      </c>
      <c r="D389" s="2" t="s">
        <v>250</v>
      </c>
      <c r="E389" s="2" t="s">
        <v>249</v>
      </c>
      <c r="F389" s="2" t="s">
        <v>598</v>
      </c>
      <c r="G389" s="2" t="s">
        <v>1471</v>
      </c>
      <c r="H389" s="2" t="s">
        <v>3636</v>
      </c>
      <c r="I389" s="2" t="s">
        <v>3637</v>
      </c>
      <c r="J389" s="2" t="s">
        <v>2074</v>
      </c>
      <c r="K389" s="2">
        <v>0</v>
      </c>
      <c r="L389" s="2">
        <v>1</v>
      </c>
      <c r="M389" s="2">
        <v>1</v>
      </c>
      <c r="N389" s="2">
        <v>1</v>
      </c>
      <c r="O389" s="2">
        <v>1</v>
      </c>
      <c r="P389" s="2">
        <v>0</v>
      </c>
      <c r="Q389" s="2">
        <v>1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1</v>
      </c>
      <c r="Y389" s="2">
        <v>0</v>
      </c>
      <c r="Z389" s="2">
        <v>0</v>
      </c>
      <c r="AA389" s="2">
        <v>0</v>
      </c>
      <c r="AB389" s="2">
        <v>1</v>
      </c>
      <c r="AC389" s="2">
        <v>1</v>
      </c>
      <c r="AD389" s="2">
        <v>1</v>
      </c>
      <c r="AE389"/>
    </row>
    <row r="390" spans="1:31" x14ac:dyDescent="0.25">
      <c r="A390" s="2" t="s">
        <v>23</v>
      </c>
      <c r="B390" s="2" t="s">
        <v>37</v>
      </c>
      <c r="C390" s="2" t="s">
        <v>36</v>
      </c>
      <c r="D390" s="2" t="s">
        <v>250</v>
      </c>
      <c r="E390" s="2" t="s">
        <v>249</v>
      </c>
      <c r="F390" s="2" t="s">
        <v>257</v>
      </c>
      <c r="G390" s="2" t="s">
        <v>1473</v>
      </c>
      <c r="H390" s="2" t="s">
        <v>3640</v>
      </c>
      <c r="I390" s="2" t="s">
        <v>3641</v>
      </c>
      <c r="J390" s="2" t="s">
        <v>2074</v>
      </c>
      <c r="K390" s="2">
        <v>0</v>
      </c>
      <c r="L390" s="2">
        <v>0</v>
      </c>
      <c r="M390" s="2">
        <v>0</v>
      </c>
      <c r="N390" s="2">
        <v>1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1</v>
      </c>
      <c r="AC390" s="2">
        <v>0</v>
      </c>
      <c r="AD390" s="2">
        <v>1</v>
      </c>
      <c r="AE390"/>
    </row>
    <row r="391" spans="1:31" x14ac:dyDescent="0.25">
      <c r="A391" s="2" t="s">
        <v>23</v>
      </c>
      <c r="B391" s="2" t="s">
        <v>37</v>
      </c>
      <c r="C391" s="2" t="s">
        <v>36</v>
      </c>
      <c r="D391" s="2" t="s">
        <v>250</v>
      </c>
      <c r="E391" s="2" t="s">
        <v>249</v>
      </c>
      <c r="F391" s="2" t="s">
        <v>258</v>
      </c>
      <c r="G391" s="2" t="s">
        <v>1474</v>
      </c>
      <c r="H391" s="2" t="s">
        <v>3642</v>
      </c>
      <c r="I391" s="2" t="s">
        <v>3643</v>
      </c>
      <c r="J391" s="2" t="s">
        <v>2074</v>
      </c>
      <c r="K391" s="2">
        <v>0</v>
      </c>
      <c r="L391" s="2">
        <v>1</v>
      </c>
      <c r="M391" s="2">
        <v>1</v>
      </c>
      <c r="N391" s="2">
        <v>1</v>
      </c>
      <c r="O391" s="2">
        <v>0</v>
      </c>
      <c r="P391" s="2">
        <v>0</v>
      </c>
      <c r="Q391" s="2">
        <v>1</v>
      </c>
      <c r="R391" s="2">
        <v>1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1</v>
      </c>
      <c r="Z391" s="2">
        <v>0</v>
      </c>
      <c r="AA391" s="2">
        <v>0</v>
      </c>
      <c r="AB391" s="2">
        <v>1</v>
      </c>
      <c r="AC391" s="2">
        <v>1</v>
      </c>
      <c r="AD391" s="2">
        <v>1</v>
      </c>
      <c r="AE391"/>
    </row>
    <row r="392" spans="1:31" x14ac:dyDescent="0.25">
      <c r="A392" s="2" t="s">
        <v>23</v>
      </c>
      <c r="B392" s="2" t="s">
        <v>37</v>
      </c>
      <c r="C392" s="2" t="s">
        <v>36</v>
      </c>
      <c r="D392" s="2" t="s">
        <v>250</v>
      </c>
      <c r="E392" s="2" t="s">
        <v>249</v>
      </c>
      <c r="F392" s="2" t="s">
        <v>260</v>
      </c>
      <c r="G392" s="2" t="s">
        <v>1476</v>
      </c>
      <c r="H392" s="2" t="s">
        <v>3646</v>
      </c>
      <c r="I392" s="2" t="s">
        <v>3647</v>
      </c>
      <c r="J392" s="2" t="s">
        <v>2074</v>
      </c>
      <c r="K392" s="2">
        <v>0</v>
      </c>
      <c r="L392" s="2">
        <v>0</v>
      </c>
      <c r="M392" s="2">
        <v>2</v>
      </c>
      <c r="N392" s="2">
        <v>1</v>
      </c>
      <c r="O392" s="2">
        <v>0</v>
      </c>
      <c r="P392" s="2">
        <v>0</v>
      </c>
      <c r="Q392" s="2">
        <v>0</v>
      </c>
      <c r="R392" s="2">
        <v>0</v>
      </c>
      <c r="S392" s="2">
        <v>1</v>
      </c>
      <c r="T392" s="2">
        <v>0</v>
      </c>
      <c r="U392" s="2">
        <v>1</v>
      </c>
      <c r="V392" s="2">
        <v>1</v>
      </c>
      <c r="W392" s="2">
        <v>0</v>
      </c>
      <c r="X392" s="2">
        <v>1</v>
      </c>
      <c r="Y392" s="2">
        <v>1</v>
      </c>
      <c r="Z392" s="2">
        <v>1</v>
      </c>
      <c r="AA392" s="2">
        <v>0</v>
      </c>
      <c r="AB392" s="2">
        <v>1</v>
      </c>
      <c r="AC392" s="2">
        <v>0</v>
      </c>
      <c r="AD392" s="2">
        <v>2</v>
      </c>
      <c r="AE392"/>
    </row>
    <row r="393" spans="1:31" x14ac:dyDescent="0.25">
      <c r="A393" s="2" t="s">
        <v>23</v>
      </c>
      <c r="B393" s="2" t="s">
        <v>37</v>
      </c>
      <c r="C393" s="2" t="s">
        <v>36</v>
      </c>
      <c r="D393" s="2" t="s">
        <v>250</v>
      </c>
      <c r="E393" s="2" t="s">
        <v>249</v>
      </c>
      <c r="F393" s="2" t="s">
        <v>599</v>
      </c>
      <c r="G393" s="2" t="s">
        <v>1479</v>
      </c>
      <c r="H393" s="2" t="s">
        <v>3652</v>
      </c>
      <c r="I393" s="2" t="s">
        <v>3653</v>
      </c>
      <c r="J393" s="2" t="s">
        <v>2074</v>
      </c>
      <c r="K393" s="2">
        <v>0</v>
      </c>
      <c r="L393" s="2">
        <v>0</v>
      </c>
      <c r="M393" s="2">
        <v>0</v>
      </c>
      <c r="N393" s="2">
        <v>2</v>
      </c>
      <c r="O393" s="2">
        <v>0</v>
      </c>
      <c r="P393" s="2">
        <v>0</v>
      </c>
      <c r="Q393" s="2">
        <v>0</v>
      </c>
      <c r="R393" s="2">
        <v>1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/>
    </row>
    <row r="394" spans="1:31" x14ac:dyDescent="0.25">
      <c r="A394" s="2" t="s">
        <v>23</v>
      </c>
      <c r="B394" s="2" t="s">
        <v>37</v>
      </c>
      <c r="C394" s="2" t="s">
        <v>36</v>
      </c>
      <c r="D394" s="2" t="s">
        <v>250</v>
      </c>
      <c r="E394" s="2" t="s">
        <v>249</v>
      </c>
      <c r="F394" s="2" t="s">
        <v>600</v>
      </c>
      <c r="G394" s="2" t="s">
        <v>1480</v>
      </c>
      <c r="H394" s="2" t="s">
        <v>3654</v>
      </c>
      <c r="I394" s="2" t="s">
        <v>3655</v>
      </c>
      <c r="J394" s="2" t="s">
        <v>2074</v>
      </c>
      <c r="K394" s="2">
        <v>0</v>
      </c>
      <c r="L394" s="2">
        <v>0</v>
      </c>
      <c r="M394" s="2">
        <v>0</v>
      </c>
      <c r="N394" s="2">
        <v>2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2</v>
      </c>
      <c r="AE394"/>
    </row>
    <row r="395" spans="1:31" x14ac:dyDescent="0.25">
      <c r="A395" s="2" t="s">
        <v>23</v>
      </c>
      <c r="B395" s="2" t="s">
        <v>37</v>
      </c>
      <c r="C395" s="2" t="s">
        <v>36</v>
      </c>
      <c r="D395" s="2" t="s">
        <v>250</v>
      </c>
      <c r="E395" s="2" t="s">
        <v>249</v>
      </c>
      <c r="F395" s="2" t="s">
        <v>601</v>
      </c>
      <c r="G395" s="2" t="s">
        <v>1481</v>
      </c>
      <c r="H395" s="2" t="s">
        <v>3656</v>
      </c>
      <c r="I395" s="2" t="s">
        <v>3657</v>
      </c>
      <c r="J395" s="2" t="s">
        <v>2074</v>
      </c>
      <c r="K395" s="2">
        <v>0</v>
      </c>
      <c r="L395" s="2">
        <v>2</v>
      </c>
      <c r="M395" s="2">
        <v>0</v>
      </c>
      <c r="N395" s="2">
        <v>2</v>
      </c>
      <c r="O395" s="2">
        <v>0</v>
      </c>
      <c r="P395" s="2">
        <v>0</v>
      </c>
      <c r="Q395" s="2">
        <v>1</v>
      </c>
      <c r="R395" s="2">
        <v>1</v>
      </c>
      <c r="S395" s="2">
        <v>0</v>
      </c>
      <c r="T395" s="2">
        <v>3</v>
      </c>
      <c r="U395" s="2">
        <v>1</v>
      </c>
      <c r="V395" s="2">
        <v>0</v>
      </c>
      <c r="W395" s="2">
        <v>0</v>
      </c>
      <c r="X395" s="2">
        <v>0</v>
      </c>
      <c r="Y395" s="2">
        <v>0</v>
      </c>
      <c r="Z395" s="2">
        <v>1</v>
      </c>
      <c r="AA395" s="2">
        <v>1</v>
      </c>
      <c r="AB395" s="2">
        <v>2</v>
      </c>
      <c r="AC395" s="2">
        <v>1</v>
      </c>
      <c r="AD395" s="2">
        <v>2</v>
      </c>
      <c r="AE395"/>
    </row>
    <row r="396" spans="1:31" x14ac:dyDescent="0.25">
      <c r="A396" s="2" t="s">
        <v>23</v>
      </c>
      <c r="B396" s="2" t="s">
        <v>37</v>
      </c>
      <c r="C396" s="2" t="s">
        <v>36</v>
      </c>
      <c r="D396" s="2" t="s">
        <v>250</v>
      </c>
      <c r="E396" s="2" t="s">
        <v>249</v>
      </c>
      <c r="F396" s="2" t="s">
        <v>602</v>
      </c>
      <c r="G396" s="2" t="s">
        <v>1482</v>
      </c>
      <c r="H396" s="2" t="s">
        <v>3658</v>
      </c>
      <c r="I396" s="2" t="s">
        <v>3659</v>
      </c>
      <c r="J396" s="2" t="s">
        <v>2074</v>
      </c>
      <c r="K396" s="2">
        <v>0</v>
      </c>
      <c r="L396" s="2">
        <v>0</v>
      </c>
      <c r="M396" s="2">
        <v>1</v>
      </c>
      <c r="N396" s="2">
        <v>1</v>
      </c>
      <c r="O396" s="2">
        <v>0</v>
      </c>
      <c r="P396" s="2">
        <v>0</v>
      </c>
      <c r="Q396" s="2">
        <v>1</v>
      </c>
      <c r="R396" s="2">
        <v>1</v>
      </c>
      <c r="S396" s="2">
        <v>0</v>
      </c>
      <c r="T396" s="2">
        <v>1</v>
      </c>
      <c r="U396" s="2">
        <v>0</v>
      </c>
      <c r="V396" s="2">
        <v>0</v>
      </c>
      <c r="W396" s="2">
        <v>0</v>
      </c>
      <c r="X396" s="2">
        <v>0</v>
      </c>
      <c r="Y396" s="2">
        <v>1</v>
      </c>
      <c r="Z396" s="2">
        <v>0</v>
      </c>
      <c r="AA396" s="2">
        <v>0</v>
      </c>
      <c r="AB396" s="2">
        <v>2</v>
      </c>
      <c r="AC396" s="2">
        <v>1</v>
      </c>
      <c r="AD396" s="2">
        <v>0</v>
      </c>
      <c r="AE396"/>
    </row>
    <row r="397" spans="1:31" x14ac:dyDescent="0.25">
      <c r="A397" s="2" t="s">
        <v>23</v>
      </c>
      <c r="B397" s="2" t="s">
        <v>37</v>
      </c>
      <c r="C397" s="2" t="s">
        <v>36</v>
      </c>
      <c r="D397" s="2" t="s">
        <v>250</v>
      </c>
      <c r="E397" s="2" t="s">
        <v>249</v>
      </c>
      <c r="F397" s="2" t="s">
        <v>603</v>
      </c>
      <c r="G397" s="2" t="s">
        <v>1483</v>
      </c>
      <c r="H397" s="2" t="s">
        <v>3660</v>
      </c>
      <c r="I397" s="2" t="s">
        <v>3661</v>
      </c>
      <c r="J397" s="2" t="s">
        <v>2074</v>
      </c>
      <c r="K397" s="2">
        <v>0</v>
      </c>
      <c r="L397" s="2">
        <v>1</v>
      </c>
      <c r="M397" s="2">
        <v>1</v>
      </c>
      <c r="N397" s="2">
        <v>1</v>
      </c>
      <c r="O397" s="2">
        <v>0</v>
      </c>
      <c r="P397" s="2">
        <v>0</v>
      </c>
      <c r="Q397" s="2">
        <v>1</v>
      </c>
      <c r="R397" s="2">
        <v>1</v>
      </c>
      <c r="S397" s="2">
        <v>1</v>
      </c>
      <c r="T397" s="2">
        <v>0</v>
      </c>
      <c r="U397" s="2">
        <v>0</v>
      </c>
      <c r="V397" s="2">
        <v>1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1</v>
      </c>
      <c r="AE397"/>
    </row>
    <row r="398" spans="1:31" x14ac:dyDescent="0.25">
      <c r="A398" s="2" t="s">
        <v>23</v>
      </c>
      <c r="B398" s="2" t="s">
        <v>37</v>
      </c>
      <c r="C398" s="2" t="s">
        <v>36</v>
      </c>
      <c r="D398" s="2" t="s">
        <v>250</v>
      </c>
      <c r="E398" s="2" t="s">
        <v>249</v>
      </c>
      <c r="F398" s="2" t="s">
        <v>604</v>
      </c>
      <c r="G398" s="2" t="s">
        <v>1484</v>
      </c>
      <c r="H398" s="2" t="s">
        <v>3662</v>
      </c>
      <c r="I398" s="2" t="s">
        <v>3663</v>
      </c>
      <c r="J398" s="2" t="s">
        <v>2074</v>
      </c>
      <c r="K398" s="2">
        <v>0</v>
      </c>
      <c r="L398" s="2">
        <v>1</v>
      </c>
      <c r="M398" s="2">
        <v>0</v>
      </c>
      <c r="N398" s="2">
        <v>1</v>
      </c>
      <c r="O398" s="2">
        <v>0</v>
      </c>
      <c r="P398" s="2">
        <v>0</v>
      </c>
      <c r="Q398" s="2">
        <v>2</v>
      </c>
      <c r="R398" s="2">
        <v>1</v>
      </c>
      <c r="S398" s="2">
        <v>1</v>
      </c>
      <c r="T398" s="2">
        <v>0</v>
      </c>
      <c r="U398" s="2">
        <v>1</v>
      </c>
      <c r="V398" s="2">
        <v>0</v>
      </c>
      <c r="W398" s="2">
        <v>1</v>
      </c>
      <c r="X398" s="2">
        <v>0</v>
      </c>
      <c r="Y398" s="2">
        <v>0</v>
      </c>
      <c r="Z398" s="2">
        <v>0</v>
      </c>
      <c r="AA398" s="2">
        <v>1</v>
      </c>
      <c r="AB398" s="2">
        <v>0</v>
      </c>
      <c r="AC398" s="2">
        <v>0</v>
      </c>
      <c r="AD398" s="2">
        <v>0</v>
      </c>
      <c r="AE398"/>
    </row>
    <row r="399" spans="1:31" x14ac:dyDescent="0.25">
      <c r="A399" s="2" t="s">
        <v>23</v>
      </c>
      <c r="B399" s="2" t="s">
        <v>37</v>
      </c>
      <c r="C399" s="2" t="s">
        <v>36</v>
      </c>
      <c r="D399" s="2" t="s">
        <v>250</v>
      </c>
      <c r="E399" s="2" t="s">
        <v>249</v>
      </c>
      <c r="F399" s="2" t="s">
        <v>605</v>
      </c>
      <c r="G399" s="2" t="s">
        <v>1485</v>
      </c>
      <c r="H399" s="2" t="s">
        <v>3664</v>
      </c>
      <c r="I399" s="2" t="s">
        <v>3665</v>
      </c>
      <c r="J399" s="2" t="s">
        <v>2074</v>
      </c>
      <c r="K399" s="2">
        <v>0</v>
      </c>
      <c r="L399" s="2">
        <v>1</v>
      </c>
      <c r="M399" s="2">
        <v>0</v>
      </c>
      <c r="N399" s="2">
        <v>1</v>
      </c>
      <c r="O399" s="2">
        <v>0</v>
      </c>
      <c r="P399" s="2">
        <v>0</v>
      </c>
      <c r="Q399" s="2">
        <v>0</v>
      </c>
      <c r="R399" s="2">
        <v>0</v>
      </c>
      <c r="S399" s="2">
        <v>1</v>
      </c>
      <c r="T399" s="2">
        <v>1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1</v>
      </c>
      <c r="AC399" s="2">
        <v>1</v>
      </c>
      <c r="AD399" s="2">
        <v>0</v>
      </c>
      <c r="AE399"/>
    </row>
    <row r="400" spans="1:31" x14ac:dyDescent="0.25">
      <c r="A400" s="2" t="s">
        <v>23</v>
      </c>
      <c r="B400" s="2" t="s">
        <v>37</v>
      </c>
      <c r="C400" s="2" t="s">
        <v>36</v>
      </c>
      <c r="D400" s="2" t="s">
        <v>250</v>
      </c>
      <c r="E400" s="2" t="s">
        <v>249</v>
      </c>
      <c r="F400" s="2" t="s">
        <v>262</v>
      </c>
      <c r="G400" s="2" t="s">
        <v>1478</v>
      </c>
      <c r="H400" s="2" t="s">
        <v>3650</v>
      </c>
      <c r="I400" s="2" t="s">
        <v>3651</v>
      </c>
      <c r="J400" s="2" t="s">
        <v>3693</v>
      </c>
      <c r="K400" s="2">
        <v>0</v>
      </c>
      <c r="L400" s="2">
        <v>0</v>
      </c>
      <c r="M400" s="2">
        <v>0</v>
      </c>
      <c r="N400" s="2">
        <v>2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1</v>
      </c>
      <c r="AE400"/>
    </row>
    <row r="401" spans="1:31" x14ac:dyDescent="0.25">
      <c r="A401" s="2" t="s">
        <v>23</v>
      </c>
      <c r="B401" s="2" t="s">
        <v>37</v>
      </c>
      <c r="C401" s="2" t="s">
        <v>36</v>
      </c>
      <c r="D401" s="2" t="s">
        <v>250</v>
      </c>
      <c r="E401" s="2" t="s">
        <v>249</v>
      </c>
      <c r="F401" s="2" t="s">
        <v>606</v>
      </c>
      <c r="G401" s="2" t="s">
        <v>1486</v>
      </c>
      <c r="H401" s="2" t="s">
        <v>3666</v>
      </c>
      <c r="I401" s="2" t="s">
        <v>3667</v>
      </c>
      <c r="J401" s="2" t="s">
        <v>2074</v>
      </c>
      <c r="K401" s="2">
        <v>0</v>
      </c>
      <c r="L401" s="2">
        <v>0</v>
      </c>
      <c r="M401" s="2">
        <v>0</v>
      </c>
      <c r="N401" s="2">
        <v>2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1</v>
      </c>
      <c r="AC401" s="2">
        <v>0</v>
      </c>
      <c r="AD401" s="2">
        <v>0</v>
      </c>
      <c r="AE401"/>
    </row>
    <row r="402" spans="1:31" x14ac:dyDescent="0.25">
      <c r="A402" s="2" t="s">
        <v>23</v>
      </c>
      <c r="B402" s="2" t="s">
        <v>37</v>
      </c>
      <c r="C402" s="2" t="s">
        <v>36</v>
      </c>
      <c r="D402" s="2" t="s">
        <v>250</v>
      </c>
      <c r="E402" s="2" t="s">
        <v>249</v>
      </c>
      <c r="F402" s="2" t="s">
        <v>685</v>
      </c>
      <c r="G402" s="2" t="s">
        <v>1488</v>
      </c>
      <c r="H402" s="2" t="s">
        <v>3672</v>
      </c>
      <c r="I402" s="2" t="s">
        <v>3673</v>
      </c>
      <c r="J402" s="2" t="s">
        <v>2075</v>
      </c>
      <c r="K402" s="2">
        <v>0</v>
      </c>
      <c r="L402" s="2">
        <v>0</v>
      </c>
      <c r="M402" s="2">
        <v>0</v>
      </c>
      <c r="N402" s="2">
        <v>3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1</v>
      </c>
      <c r="AC402" s="2">
        <v>0</v>
      </c>
      <c r="AD402" s="2">
        <v>0</v>
      </c>
      <c r="AE402"/>
    </row>
    <row r="403" spans="1:31" x14ac:dyDescent="0.25">
      <c r="A403" s="2" t="s">
        <v>23</v>
      </c>
      <c r="B403" s="2" t="s">
        <v>37</v>
      </c>
      <c r="C403" s="2" t="s">
        <v>36</v>
      </c>
      <c r="D403" s="2" t="s">
        <v>250</v>
      </c>
      <c r="E403" s="2" t="s">
        <v>249</v>
      </c>
      <c r="F403" s="2" t="s">
        <v>254</v>
      </c>
      <c r="G403" s="2" t="s">
        <v>1468</v>
      </c>
      <c r="H403" s="2" t="s">
        <v>3630</v>
      </c>
      <c r="I403" s="2" t="s">
        <v>3631</v>
      </c>
      <c r="J403" s="2" t="s">
        <v>2074</v>
      </c>
      <c r="K403" s="2">
        <v>0</v>
      </c>
      <c r="L403" s="2">
        <v>0</v>
      </c>
      <c r="M403" s="2">
        <v>0</v>
      </c>
      <c r="N403" s="2">
        <v>1</v>
      </c>
      <c r="O403" s="2">
        <v>0</v>
      </c>
      <c r="P403" s="2">
        <v>1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1</v>
      </c>
      <c r="Y403" s="2">
        <v>0</v>
      </c>
      <c r="Z403" s="2">
        <v>0</v>
      </c>
      <c r="AA403" s="2">
        <v>0</v>
      </c>
      <c r="AB403" s="2">
        <v>2</v>
      </c>
      <c r="AC403" s="2">
        <v>0</v>
      </c>
      <c r="AD403" s="2">
        <v>1</v>
      </c>
      <c r="AE403"/>
    </row>
    <row r="404" spans="1:31" x14ac:dyDescent="0.25">
      <c r="A404" s="2" t="s">
        <v>23</v>
      </c>
      <c r="B404" s="2" t="s">
        <v>37</v>
      </c>
      <c r="C404" s="2" t="s">
        <v>36</v>
      </c>
      <c r="D404" s="2" t="s">
        <v>250</v>
      </c>
      <c r="E404" s="2" t="s">
        <v>249</v>
      </c>
      <c r="F404" s="2" t="s">
        <v>253</v>
      </c>
      <c r="G404" s="2" t="s">
        <v>1467</v>
      </c>
      <c r="H404" s="2" t="s">
        <v>3628</v>
      </c>
      <c r="I404" s="2" t="s">
        <v>3629</v>
      </c>
      <c r="J404" s="2" t="s">
        <v>2074</v>
      </c>
      <c r="K404" s="2">
        <v>0</v>
      </c>
      <c r="L404" s="2">
        <v>0</v>
      </c>
      <c r="M404" s="2">
        <v>1</v>
      </c>
      <c r="N404" s="2">
        <v>1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2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1</v>
      </c>
      <c r="AA404" s="2">
        <v>0</v>
      </c>
      <c r="AB404" s="2">
        <v>1</v>
      </c>
      <c r="AC404" s="2">
        <v>1</v>
      </c>
      <c r="AD404" s="2">
        <v>2</v>
      </c>
    </row>
    <row r="405" spans="1:31" x14ac:dyDescent="0.25">
      <c r="A405" s="2" t="s">
        <v>23</v>
      </c>
      <c r="B405" s="2" t="s">
        <v>37</v>
      </c>
      <c r="C405" s="2" t="s">
        <v>36</v>
      </c>
      <c r="D405" s="2" t="s">
        <v>250</v>
      </c>
      <c r="E405" s="2" t="s">
        <v>249</v>
      </c>
      <c r="F405" s="2" t="s">
        <v>259</v>
      </c>
      <c r="G405" s="2" t="s">
        <v>1475</v>
      </c>
      <c r="H405" s="2" t="s">
        <v>3644</v>
      </c>
      <c r="I405" s="2" t="s">
        <v>3645</v>
      </c>
      <c r="J405" s="2" t="s">
        <v>2074</v>
      </c>
      <c r="K405" s="2">
        <v>0</v>
      </c>
      <c r="L405" s="2">
        <v>0</v>
      </c>
      <c r="M405" s="2">
        <v>1</v>
      </c>
      <c r="N405" s="2">
        <v>1</v>
      </c>
      <c r="O405" s="2">
        <v>0</v>
      </c>
      <c r="P405" s="2">
        <v>0</v>
      </c>
      <c r="Q405" s="2">
        <v>1</v>
      </c>
      <c r="R405" s="2">
        <v>1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1</v>
      </c>
      <c r="Z405" s="2">
        <v>0</v>
      </c>
      <c r="AA405" s="2">
        <v>0</v>
      </c>
      <c r="AB405" s="2">
        <v>1</v>
      </c>
      <c r="AC405" s="2">
        <v>0</v>
      </c>
      <c r="AD405" s="2">
        <v>2</v>
      </c>
    </row>
    <row r="406" spans="1:31" x14ac:dyDescent="0.25">
      <c r="A406" s="2" t="s">
        <v>23</v>
      </c>
      <c r="B406" s="2" t="s">
        <v>37</v>
      </c>
      <c r="C406" s="2" t="s">
        <v>36</v>
      </c>
      <c r="D406" s="2" t="s">
        <v>250</v>
      </c>
      <c r="E406" s="2" t="s">
        <v>249</v>
      </c>
      <c r="F406" s="2" t="s">
        <v>607</v>
      </c>
      <c r="G406" s="2" t="s">
        <v>1487</v>
      </c>
      <c r="H406" s="2" t="s">
        <v>3668</v>
      </c>
      <c r="I406" s="2" t="s">
        <v>3669</v>
      </c>
      <c r="J406" s="2" t="s">
        <v>2074</v>
      </c>
      <c r="K406" s="2">
        <v>0</v>
      </c>
      <c r="L406" s="2">
        <v>0</v>
      </c>
      <c r="M406" s="2">
        <v>1</v>
      </c>
      <c r="N406" s="2">
        <v>1</v>
      </c>
      <c r="O406" s="2">
        <v>0</v>
      </c>
      <c r="P406" s="2">
        <v>1</v>
      </c>
      <c r="Q406" s="2">
        <v>1</v>
      </c>
      <c r="R406" s="2">
        <v>0</v>
      </c>
      <c r="S406" s="2">
        <v>1</v>
      </c>
      <c r="T406" s="2">
        <v>1</v>
      </c>
      <c r="U406" s="2">
        <v>0</v>
      </c>
      <c r="V406" s="2">
        <v>0</v>
      </c>
      <c r="W406" s="2">
        <v>1</v>
      </c>
      <c r="X406" s="2">
        <v>0</v>
      </c>
      <c r="Y406" s="2">
        <v>1</v>
      </c>
      <c r="Z406" s="2">
        <v>0</v>
      </c>
      <c r="AA406" s="2">
        <v>0</v>
      </c>
      <c r="AB406" s="2">
        <v>2</v>
      </c>
      <c r="AC406" s="2">
        <v>1</v>
      </c>
      <c r="AD406" s="2">
        <v>1</v>
      </c>
    </row>
    <row r="407" spans="1:31" x14ac:dyDescent="0.25">
      <c r="A407" s="2" t="s">
        <v>23</v>
      </c>
      <c r="B407" s="2" t="s">
        <v>37</v>
      </c>
      <c r="C407" s="2" t="s">
        <v>36</v>
      </c>
      <c r="D407" s="2" t="s">
        <v>250</v>
      </c>
      <c r="E407" s="2" t="s">
        <v>249</v>
      </c>
      <c r="F407" s="2" t="s">
        <v>261</v>
      </c>
      <c r="G407" s="2" t="s">
        <v>1477</v>
      </c>
      <c r="H407" s="2" t="s">
        <v>3648</v>
      </c>
      <c r="I407" s="2" t="s">
        <v>3649</v>
      </c>
      <c r="J407" s="2" t="s">
        <v>3692</v>
      </c>
      <c r="K407" s="2">
        <v>0</v>
      </c>
      <c r="L407" s="2">
        <v>1</v>
      </c>
      <c r="M407" s="2">
        <v>2</v>
      </c>
      <c r="N407" s="2">
        <v>1</v>
      </c>
      <c r="O407" s="2">
        <v>0</v>
      </c>
      <c r="P407" s="2">
        <v>0</v>
      </c>
      <c r="Q407" s="2">
        <v>1</v>
      </c>
      <c r="R407" s="2">
        <v>1</v>
      </c>
      <c r="S407" s="2">
        <v>0</v>
      </c>
      <c r="T407" s="2">
        <v>0</v>
      </c>
      <c r="U407" s="2">
        <v>1</v>
      </c>
      <c r="V407" s="2">
        <v>1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1</v>
      </c>
      <c r="AC407" s="2">
        <v>0</v>
      </c>
      <c r="AD407" s="2">
        <v>1</v>
      </c>
    </row>
    <row r="408" spans="1:31" x14ac:dyDescent="0.25">
      <c r="A408" s="2" t="s">
        <v>23</v>
      </c>
      <c r="B408" s="2" t="s">
        <v>37</v>
      </c>
      <c r="C408" s="2" t="s">
        <v>36</v>
      </c>
      <c r="D408" s="2" t="s">
        <v>250</v>
      </c>
      <c r="E408" s="2" t="s">
        <v>249</v>
      </c>
      <c r="F408" s="2" t="s">
        <v>846</v>
      </c>
      <c r="G408" s="2" t="s">
        <v>1470</v>
      </c>
      <c r="H408" s="2" t="s">
        <v>3634</v>
      </c>
      <c r="I408" s="2" t="s">
        <v>3635</v>
      </c>
      <c r="J408" s="2" t="s">
        <v>2074</v>
      </c>
      <c r="K408" s="2">
        <v>0</v>
      </c>
      <c r="L408" s="2">
        <v>0</v>
      </c>
      <c r="M408" s="2">
        <v>1</v>
      </c>
      <c r="N408" s="2">
        <v>1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2</v>
      </c>
      <c r="U408" s="2">
        <v>1</v>
      </c>
      <c r="V408" s="2">
        <v>0</v>
      </c>
      <c r="W408" s="2">
        <v>0</v>
      </c>
      <c r="X408" s="2">
        <v>1</v>
      </c>
      <c r="Y408" s="2">
        <v>1</v>
      </c>
      <c r="Z408" s="2">
        <v>1</v>
      </c>
      <c r="AA408" s="2">
        <v>1</v>
      </c>
      <c r="AB408" s="2">
        <v>1</v>
      </c>
      <c r="AC408" s="2">
        <v>0</v>
      </c>
      <c r="AD408" s="2">
        <v>2</v>
      </c>
    </row>
    <row r="409" spans="1:31" x14ac:dyDescent="0.25">
      <c r="A409" s="2" t="s">
        <v>23</v>
      </c>
      <c r="B409" s="2" t="s">
        <v>37</v>
      </c>
      <c r="C409" s="2" t="s">
        <v>36</v>
      </c>
      <c r="D409" s="2" t="s">
        <v>250</v>
      </c>
      <c r="E409" s="2" t="s">
        <v>249</v>
      </c>
      <c r="F409" s="2" t="s">
        <v>2053</v>
      </c>
      <c r="G409" s="2" t="s">
        <v>2052</v>
      </c>
      <c r="H409" s="2" t="s">
        <v>3674</v>
      </c>
      <c r="I409" s="2" t="s">
        <v>3675</v>
      </c>
      <c r="J409" s="2" t="s">
        <v>2074</v>
      </c>
      <c r="K409" s="2">
        <v>0</v>
      </c>
      <c r="L409" s="2">
        <v>0</v>
      </c>
      <c r="M409" s="2">
        <v>0</v>
      </c>
      <c r="N409" s="2">
        <v>1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</row>
    <row r="410" spans="1:31" x14ac:dyDescent="0.25">
      <c r="A410" s="2" t="s">
        <v>23</v>
      </c>
      <c r="B410" s="2" t="s">
        <v>37</v>
      </c>
      <c r="C410" s="2" t="s">
        <v>36</v>
      </c>
      <c r="D410" s="2" t="s">
        <v>250</v>
      </c>
      <c r="E410" s="2" t="s">
        <v>249</v>
      </c>
      <c r="F410" s="2" t="s">
        <v>2049</v>
      </c>
      <c r="G410" s="2" t="s">
        <v>2048</v>
      </c>
      <c r="H410" s="2" t="s">
        <v>3626</v>
      </c>
      <c r="I410" s="2" t="s">
        <v>3627</v>
      </c>
      <c r="J410" s="2" t="s">
        <v>2074</v>
      </c>
      <c r="K410" s="2">
        <v>0</v>
      </c>
      <c r="L410" s="2">
        <v>0</v>
      </c>
      <c r="M410" s="2">
        <v>0</v>
      </c>
      <c r="N410" s="2">
        <v>1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</row>
    <row r="411" spans="1:31" x14ac:dyDescent="0.25">
      <c r="A411" s="2" t="s">
        <v>23</v>
      </c>
      <c r="B411" s="2" t="s">
        <v>37</v>
      </c>
      <c r="C411" s="2" t="s">
        <v>36</v>
      </c>
      <c r="D411" s="2" t="s">
        <v>250</v>
      </c>
      <c r="E411" s="2" t="s">
        <v>249</v>
      </c>
      <c r="F411" s="2" t="s">
        <v>2051</v>
      </c>
      <c r="G411" s="2" t="s">
        <v>2050</v>
      </c>
      <c r="H411" s="2" t="s">
        <v>3670</v>
      </c>
      <c r="I411" s="2" t="s">
        <v>3671</v>
      </c>
      <c r="J411" s="2" t="s">
        <v>2074</v>
      </c>
      <c r="K411" s="2">
        <v>0</v>
      </c>
      <c r="L411" s="2">
        <v>0</v>
      </c>
      <c r="M411" s="2">
        <v>0</v>
      </c>
      <c r="N411" s="2">
        <v>2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</row>
    <row r="412" spans="1:31" x14ac:dyDescent="0.25">
      <c r="A412" s="2" t="s">
        <v>23</v>
      </c>
      <c r="B412" s="2" t="s">
        <v>24</v>
      </c>
      <c r="C412" s="2" t="s">
        <v>25</v>
      </c>
      <c r="D412" s="2" t="s">
        <v>56</v>
      </c>
      <c r="E412" s="2" t="s">
        <v>57</v>
      </c>
      <c r="F412" s="2" t="s">
        <v>63</v>
      </c>
      <c r="G412" s="2" t="s">
        <v>882</v>
      </c>
      <c r="H412" s="2" t="s">
        <v>2242</v>
      </c>
      <c r="I412" s="2" t="s">
        <v>2243</v>
      </c>
      <c r="J412" s="2" t="s">
        <v>2074</v>
      </c>
      <c r="K412" s="2">
        <v>0</v>
      </c>
      <c r="L412" s="2">
        <v>0</v>
      </c>
      <c r="M412" s="2">
        <v>1</v>
      </c>
      <c r="N412" s="2">
        <v>0</v>
      </c>
      <c r="O412" s="2">
        <v>0</v>
      </c>
      <c r="P412" s="2">
        <v>0</v>
      </c>
      <c r="Q412" s="2">
        <v>0</v>
      </c>
      <c r="R412" s="2">
        <v>1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1</v>
      </c>
    </row>
    <row r="413" spans="1:31" x14ac:dyDescent="0.25">
      <c r="A413" s="2" t="s">
        <v>23</v>
      </c>
      <c r="B413" s="2" t="s">
        <v>24</v>
      </c>
      <c r="C413" s="2" t="s">
        <v>25</v>
      </c>
      <c r="D413" s="2" t="s">
        <v>56</v>
      </c>
      <c r="E413" s="2" t="s">
        <v>57</v>
      </c>
      <c r="F413" s="2" t="s">
        <v>64</v>
      </c>
      <c r="G413" s="2" t="s">
        <v>883</v>
      </c>
      <c r="H413" s="2" t="s">
        <v>2244</v>
      </c>
      <c r="I413" s="2" t="s">
        <v>2245</v>
      </c>
      <c r="J413" s="2" t="s">
        <v>2074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1</v>
      </c>
    </row>
    <row r="414" spans="1:31" x14ac:dyDescent="0.25">
      <c r="A414" s="2" t="s">
        <v>23</v>
      </c>
      <c r="B414" s="2" t="s">
        <v>24</v>
      </c>
      <c r="C414" s="2" t="s">
        <v>25</v>
      </c>
      <c r="D414" s="2" t="s">
        <v>56</v>
      </c>
      <c r="E414" s="2" t="s">
        <v>57</v>
      </c>
      <c r="F414" s="2" t="s">
        <v>71</v>
      </c>
      <c r="G414" s="2" t="s">
        <v>889</v>
      </c>
      <c r="H414" s="2" t="s">
        <v>2256</v>
      </c>
      <c r="I414" s="2" t="s">
        <v>2257</v>
      </c>
      <c r="J414" s="2" t="s">
        <v>3693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1</v>
      </c>
    </row>
    <row r="415" spans="1:31" x14ac:dyDescent="0.25">
      <c r="A415" s="2" t="s">
        <v>23</v>
      </c>
      <c r="B415" s="2" t="s">
        <v>24</v>
      </c>
      <c r="C415" s="2" t="s">
        <v>25</v>
      </c>
      <c r="D415" s="2" t="s">
        <v>56</v>
      </c>
      <c r="E415" s="2" t="s">
        <v>57</v>
      </c>
      <c r="F415" s="2" t="s">
        <v>72</v>
      </c>
      <c r="G415" s="2" t="s">
        <v>890</v>
      </c>
      <c r="H415" s="2" t="s">
        <v>2258</v>
      </c>
      <c r="I415" s="2" t="s">
        <v>2259</v>
      </c>
      <c r="J415" s="2" t="s">
        <v>2074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1</v>
      </c>
    </row>
    <row r="416" spans="1:31" x14ac:dyDescent="0.25">
      <c r="A416" s="2" t="s">
        <v>23</v>
      </c>
      <c r="B416" s="2" t="s">
        <v>24</v>
      </c>
      <c r="C416" s="2" t="s">
        <v>25</v>
      </c>
      <c r="D416" s="2" t="s">
        <v>56</v>
      </c>
      <c r="E416" s="2" t="s">
        <v>57</v>
      </c>
      <c r="F416" s="2" t="s">
        <v>73</v>
      </c>
      <c r="G416" s="2" t="s">
        <v>891</v>
      </c>
      <c r="H416" s="2" t="s">
        <v>2260</v>
      </c>
      <c r="I416" s="2" t="s">
        <v>2261</v>
      </c>
      <c r="J416" s="2" t="s">
        <v>2077</v>
      </c>
      <c r="K416" s="2">
        <v>0</v>
      </c>
      <c r="L416" s="2">
        <v>0</v>
      </c>
      <c r="M416" s="2">
        <v>0</v>
      </c>
      <c r="N416" s="2">
        <v>1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1</v>
      </c>
    </row>
    <row r="417" spans="1:30" x14ac:dyDescent="0.25">
      <c r="A417" s="2" t="s">
        <v>23</v>
      </c>
      <c r="B417" s="2" t="s">
        <v>24</v>
      </c>
      <c r="C417" s="2" t="s">
        <v>25</v>
      </c>
      <c r="D417" s="2" t="s">
        <v>56</v>
      </c>
      <c r="E417" s="2" t="s">
        <v>57</v>
      </c>
      <c r="F417" s="2" t="s">
        <v>74</v>
      </c>
      <c r="G417" s="2" t="s">
        <v>892</v>
      </c>
      <c r="H417" s="2" t="s">
        <v>2262</v>
      </c>
      <c r="I417" s="2" t="s">
        <v>2263</v>
      </c>
      <c r="J417" s="2" t="s">
        <v>2074</v>
      </c>
      <c r="K417" s="2">
        <v>0</v>
      </c>
      <c r="L417" s="2">
        <v>0</v>
      </c>
      <c r="M417" s="2">
        <v>0</v>
      </c>
      <c r="N417" s="2">
        <v>1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</row>
    <row r="418" spans="1:30" x14ac:dyDescent="0.25">
      <c r="A418" s="2" t="s">
        <v>23</v>
      </c>
      <c r="B418" s="2" t="s">
        <v>24</v>
      </c>
      <c r="C418" s="2" t="s">
        <v>25</v>
      </c>
      <c r="D418" s="2" t="s">
        <v>56</v>
      </c>
      <c r="E418" s="2" t="s">
        <v>57</v>
      </c>
      <c r="F418" s="2" t="s">
        <v>75</v>
      </c>
      <c r="G418" s="2" t="s">
        <v>893</v>
      </c>
      <c r="H418" s="2" t="s">
        <v>2264</v>
      </c>
      <c r="I418" s="2" t="s">
        <v>2265</v>
      </c>
      <c r="J418" s="2" t="s">
        <v>3693</v>
      </c>
      <c r="K418" s="2">
        <v>0</v>
      </c>
      <c r="L418" s="2">
        <v>0</v>
      </c>
      <c r="M418" s="2">
        <v>0</v>
      </c>
      <c r="N418" s="2">
        <v>1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</row>
    <row r="419" spans="1:30" x14ac:dyDescent="0.25">
      <c r="A419" s="2" t="s">
        <v>23</v>
      </c>
      <c r="B419" s="2" t="s">
        <v>24</v>
      </c>
      <c r="C419" s="2" t="s">
        <v>25</v>
      </c>
      <c r="D419" s="2" t="s">
        <v>56</v>
      </c>
      <c r="E419" s="2" t="s">
        <v>57</v>
      </c>
      <c r="F419" s="2" t="s">
        <v>76</v>
      </c>
      <c r="G419" s="2" t="s">
        <v>894</v>
      </c>
      <c r="H419" s="2" t="s">
        <v>2266</v>
      </c>
      <c r="I419" s="2" t="s">
        <v>2267</v>
      </c>
      <c r="J419" s="2" t="s">
        <v>2074</v>
      </c>
      <c r="K419" s="2">
        <v>0</v>
      </c>
      <c r="L419" s="2">
        <v>0</v>
      </c>
      <c r="M419" s="2">
        <v>0</v>
      </c>
      <c r="N419" s="2">
        <v>1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</row>
    <row r="420" spans="1:30" x14ac:dyDescent="0.25">
      <c r="A420" s="2" t="s">
        <v>23</v>
      </c>
      <c r="B420" s="2" t="s">
        <v>24</v>
      </c>
      <c r="C420" s="2" t="s">
        <v>25</v>
      </c>
      <c r="D420" s="2" t="s">
        <v>56</v>
      </c>
      <c r="E420" s="2" t="s">
        <v>57</v>
      </c>
      <c r="F420" s="2" t="s">
        <v>77</v>
      </c>
      <c r="G420" s="2" t="s">
        <v>895</v>
      </c>
      <c r="H420" s="2" t="s">
        <v>2268</v>
      </c>
      <c r="I420" s="2" t="s">
        <v>2269</v>
      </c>
      <c r="J420" s="2" t="s">
        <v>2074</v>
      </c>
      <c r="K420" s="2">
        <v>0</v>
      </c>
      <c r="L420" s="2">
        <v>0</v>
      </c>
      <c r="M420" s="2">
        <v>0</v>
      </c>
      <c r="N420" s="2">
        <v>1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</row>
    <row r="421" spans="1:30" x14ac:dyDescent="0.25">
      <c r="A421" s="2" t="s">
        <v>23</v>
      </c>
      <c r="B421" s="2" t="s">
        <v>24</v>
      </c>
      <c r="C421" s="2" t="s">
        <v>25</v>
      </c>
      <c r="D421" s="2" t="s">
        <v>56</v>
      </c>
      <c r="E421" s="2" t="s">
        <v>57</v>
      </c>
      <c r="F421" s="2" t="s">
        <v>78</v>
      </c>
      <c r="G421" s="2" t="s">
        <v>896</v>
      </c>
      <c r="H421" s="2" t="s">
        <v>2270</v>
      </c>
      <c r="I421" s="2" t="s">
        <v>2271</v>
      </c>
      <c r="J421" s="2" t="s">
        <v>3692</v>
      </c>
      <c r="K421" s="2">
        <v>0</v>
      </c>
      <c r="L421" s="2">
        <v>0</v>
      </c>
      <c r="M421" s="2">
        <v>0</v>
      </c>
      <c r="N421" s="2">
        <v>1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</row>
    <row r="422" spans="1:30" x14ac:dyDescent="0.25">
      <c r="A422" s="2" t="s">
        <v>23</v>
      </c>
      <c r="B422" s="2" t="s">
        <v>24</v>
      </c>
      <c r="C422" s="2" t="s">
        <v>25</v>
      </c>
      <c r="D422" s="2" t="s">
        <v>56</v>
      </c>
      <c r="E422" s="2" t="s">
        <v>57</v>
      </c>
      <c r="F422" s="2" t="s">
        <v>79</v>
      </c>
      <c r="G422" s="2" t="s">
        <v>897</v>
      </c>
      <c r="H422" s="2" t="s">
        <v>2272</v>
      </c>
      <c r="I422" s="2" t="s">
        <v>2273</v>
      </c>
      <c r="J422" s="2" t="s">
        <v>2074</v>
      </c>
      <c r="K422" s="2">
        <v>0</v>
      </c>
      <c r="L422" s="2">
        <v>0</v>
      </c>
      <c r="M422" s="2">
        <v>0</v>
      </c>
      <c r="N422" s="2">
        <v>1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</row>
    <row r="423" spans="1:30" x14ac:dyDescent="0.25">
      <c r="A423" s="2" t="s">
        <v>23</v>
      </c>
      <c r="B423" s="2" t="s">
        <v>24</v>
      </c>
      <c r="C423" s="2" t="s">
        <v>25</v>
      </c>
      <c r="D423" s="2" t="s">
        <v>56</v>
      </c>
      <c r="E423" s="2" t="s">
        <v>57</v>
      </c>
      <c r="F423" s="2" t="s">
        <v>80</v>
      </c>
      <c r="G423" s="2" t="s">
        <v>898</v>
      </c>
      <c r="H423" s="2" t="s">
        <v>2274</v>
      </c>
      <c r="I423" s="2" t="s">
        <v>2275</v>
      </c>
      <c r="J423" s="2" t="s">
        <v>2074</v>
      </c>
      <c r="K423" s="2">
        <v>0</v>
      </c>
      <c r="L423" s="2">
        <v>0</v>
      </c>
      <c r="M423" s="2">
        <v>0</v>
      </c>
      <c r="N423" s="2">
        <v>1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</row>
    <row r="424" spans="1:30" x14ac:dyDescent="0.25">
      <c r="A424" s="2" t="s">
        <v>23</v>
      </c>
      <c r="B424" s="2" t="s">
        <v>24</v>
      </c>
      <c r="C424" s="2" t="s">
        <v>25</v>
      </c>
      <c r="D424" s="2" t="s">
        <v>56</v>
      </c>
      <c r="E424" s="2" t="s">
        <v>57</v>
      </c>
      <c r="F424" s="2" t="s">
        <v>81</v>
      </c>
      <c r="G424" s="2" t="s">
        <v>899</v>
      </c>
      <c r="H424" s="2" t="s">
        <v>2276</v>
      </c>
      <c r="I424" s="2" t="s">
        <v>2277</v>
      </c>
      <c r="J424" s="2" t="s">
        <v>2074</v>
      </c>
      <c r="K424" s="2">
        <v>0</v>
      </c>
      <c r="L424" s="2">
        <v>0</v>
      </c>
      <c r="M424" s="2">
        <v>0</v>
      </c>
      <c r="N424" s="2">
        <v>1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</row>
    <row r="425" spans="1:30" x14ac:dyDescent="0.25">
      <c r="A425" s="2" t="s">
        <v>23</v>
      </c>
      <c r="B425" s="2" t="s">
        <v>24</v>
      </c>
      <c r="C425" s="2" t="s">
        <v>25</v>
      </c>
      <c r="D425" s="2" t="s">
        <v>56</v>
      </c>
      <c r="E425" s="2" t="s">
        <v>57</v>
      </c>
      <c r="F425" s="2" t="s">
        <v>82</v>
      </c>
      <c r="G425" s="2" t="s">
        <v>900</v>
      </c>
      <c r="H425" s="2" t="s">
        <v>2278</v>
      </c>
      <c r="I425" s="2" t="s">
        <v>2279</v>
      </c>
      <c r="J425" s="2" t="s">
        <v>2074</v>
      </c>
      <c r="K425" s="2">
        <v>0</v>
      </c>
      <c r="L425" s="2">
        <v>0</v>
      </c>
      <c r="M425" s="2">
        <v>0</v>
      </c>
      <c r="N425" s="2">
        <v>1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</row>
    <row r="426" spans="1:30" x14ac:dyDescent="0.25">
      <c r="A426" s="2" t="s">
        <v>23</v>
      </c>
      <c r="B426" s="2" t="s">
        <v>24</v>
      </c>
      <c r="C426" s="2" t="s">
        <v>25</v>
      </c>
      <c r="D426" s="2" t="s">
        <v>56</v>
      </c>
      <c r="E426" s="2" t="s">
        <v>57</v>
      </c>
      <c r="F426" s="2" t="s">
        <v>86</v>
      </c>
      <c r="G426" s="2" t="s">
        <v>902</v>
      </c>
      <c r="H426" s="2" t="s">
        <v>2282</v>
      </c>
      <c r="I426" s="2" t="s">
        <v>2283</v>
      </c>
      <c r="J426" s="2" t="s">
        <v>2074</v>
      </c>
      <c r="K426" s="2">
        <v>0</v>
      </c>
      <c r="L426" s="2">
        <v>0</v>
      </c>
      <c r="M426" s="2">
        <v>0</v>
      </c>
      <c r="N426" s="2">
        <v>1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1</v>
      </c>
    </row>
    <row r="427" spans="1:30" x14ac:dyDescent="0.25">
      <c r="A427" s="2" t="s">
        <v>23</v>
      </c>
      <c r="B427" s="2" t="s">
        <v>24</v>
      </c>
      <c r="C427" s="2" t="s">
        <v>25</v>
      </c>
      <c r="D427" s="2" t="s">
        <v>56</v>
      </c>
      <c r="E427" s="2" t="s">
        <v>57</v>
      </c>
      <c r="F427" s="2" t="s">
        <v>140</v>
      </c>
      <c r="G427" s="2" t="s">
        <v>903</v>
      </c>
      <c r="H427" s="2" t="s">
        <v>2284</v>
      </c>
      <c r="I427" s="2" t="s">
        <v>2285</v>
      </c>
      <c r="J427" s="2" t="s">
        <v>2074</v>
      </c>
      <c r="K427" s="2">
        <v>0</v>
      </c>
      <c r="L427" s="2">
        <v>0</v>
      </c>
      <c r="M427" s="2">
        <v>0</v>
      </c>
      <c r="N427" s="2">
        <v>1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1</v>
      </c>
    </row>
    <row r="428" spans="1:30" x14ac:dyDescent="0.25">
      <c r="A428" s="2" t="s">
        <v>23</v>
      </c>
      <c r="B428" s="2" t="s">
        <v>37</v>
      </c>
      <c r="C428" s="2" t="s">
        <v>36</v>
      </c>
      <c r="D428" s="2" t="s">
        <v>608</v>
      </c>
      <c r="E428" s="2" t="s">
        <v>609</v>
      </c>
      <c r="F428" s="2" t="s">
        <v>2144</v>
      </c>
      <c r="G428" s="2" t="s">
        <v>1489</v>
      </c>
      <c r="H428" s="2" t="s">
        <v>3676</v>
      </c>
      <c r="I428" s="2" t="s">
        <v>3677</v>
      </c>
      <c r="J428" s="2" t="s">
        <v>2075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2</v>
      </c>
      <c r="Z428" s="2">
        <v>0</v>
      </c>
      <c r="AA428" s="2">
        <v>0</v>
      </c>
      <c r="AB428" s="2">
        <v>2</v>
      </c>
      <c r="AC428" s="2">
        <v>0</v>
      </c>
      <c r="AD428" s="2">
        <v>2</v>
      </c>
    </row>
    <row r="429" spans="1:30" x14ac:dyDescent="0.25">
      <c r="A429" s="2" t="s">
        <v>23</v>
      </c>
      <c r="B429" s="2" t="s">
        <v>37</v>
      </c>
      <c r="C429" s="2" t="s">
        <v>36</v>
      </c>
      <c r="D429" s="2" t="s">
        <v>608</v>
      </c>
      <c r="E429" s="2" t="s">
        <v>609</v>
      </c>
      <c r="F429" s="2" t="s">
        <v>612</v>
      </c>
      <c r="G429" s="2" t="s">
        <v>1492</v>
      </c>
      <c r="H429" s="2" t="s">
        <v>3682</v>
      </c>
      <c r="I429" s="2" t="s">
        <v>3683</v>
      </c>
      <c r="J429" s="2" t="s">
        <v>2074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1</v>
      </c>
      <c r="AC429" s="2">
        <v>0</v>
      </c>
      <c r="AD429" s="2">
        <v>1</v>
      </c>
    </row>
    <row r="430" spans="1:30" x14ac:dyDescent="0.25">
      <c r="A430" s="2" t="s">
        <v>23</v>
      </c>
      <c r="B430" s="2" t="s">
        <v>37</v>
      </c>
      <c r="C430" s="2" t="s">
        <v>36</v>
      </c>
      <c r="D430" s="2" t="s">
        <v>608</v>
      </c>
      <c r="E430" s="2" t="s">
        <v>609</v>
      </c>
      <c r="F430" s="2" t="s">
        <v>615</v>
      </c>
      <c r="G430" s="2" t="s">
        <v>1495</v>
      </c>
      <c r="H430" s="2" t="s">
        <v>3688</v>
      </c>
      <c r="I430" s="2" t="s">
        <v>3689</v>
      </c>
      <c r="J430" s="2" t="s">
        <v>2074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2</v>
      </c>
    </row>
    <row r="431" spans="1:30" x14ac:dyDescent="0.25">
      <c r="A431" s="2" t="s">
        <v>23</v>
      </c>
      <c r="B431" s="2" t="s">
        <v>37</v>
      </c>
      <c r="C431" s="2" t="s">
        <v>36</v>
      </c>
      <c r="D431" s="2" t="s">
        <v>608</v>
      </c>
      <c r="E431" s="2" t="s">
        <v>609</v>
      </c>
      <c r="F431" s="2" t="s">
        <v>2145</v>
      </c>
      <c r="G431" s="2" t="s">
        <v>1496</v>
      </c>
      <c r="H431" s="2" t="s">
        <v>3690</v>
      </c>
      <c r="I431" s="2" t="s">
        <v>3691</v>
      </c>
      <c r="J431" s="2" t="s">
        <v>3694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2</v>
      </c>
      <c r="AC431" s="2">
        <v>0</v>
      </c>
      <c r="AD431" s="2">
        <v>2</v>
      </c>
    </row>
    <row r="432" spans="1:30" x14ac:dyDescent="0.25">
      <c r="A432" s="2" t="s">
        <v>23</v>
      </c>
      <c r="B432" s="2" t="s">
        <v>37</v>
      </c>
      <c r="C432" s="2" t="s">
        <v>36</v>
      </c>
      <c r="D432" s="2" t="s">
        <v>608</v>
      </c>
      <c r="E432" s="2" t="s">
        <v>609</v>
      </c>
      <c r="F432" s="2" t="s">
        <v>614</v>
      </c>
      <c r="G432" s="2" t="s">
        <v>1494</v>
      </c>
      <c r="H432" s="2" t="s">
        <v>3686</v>
      </c>
      <c r="I432" s="2" t="s">
        <v>3687</v>
      </c>
      <c r="J432" s="2" t="s">
        <v>2074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1</v>
      </c>
      <c r="AC432" s="2">
        <v>0</v>
      </c>
      <c r="AD432" s="2">
        <v>0</v>
      </c>
    </row>
    <row r="433" spans="1:30" x14ac:dyDescent="0.25">
      <c r="A433" s="2" t="s">
        <v>23</v>
      </c>
      <c r="B433" s="2" t="s">
        <v>48</v>
      </c>
      <c r="C433" s="2" t="s">
        <v>47</v>
      </c>
      <c r="D433" s="2" t="s">
        <v>527</v>
      </c>
      <c r="E433" s="2" t="s">
        <v>528</v>
      </c>
      <c r="F433" s="2" t="s">
        <v>529</v>
      </c>
      <c r="G433" s="2" t="s">
        <v>1393</v>
      </c>
      <c r="H433" s="2" t="s">
        <v>3420</v>
      </c>
      <c r="I433" s="2" t="s">
        <v>3421</v>
      </c>
      <c r="J433" s="2" t="s">
        <v>2074</v>
      </c>
      <c r="K433" s="2">
        <v>0</v>
      </c>
      <c r="L433" s="2">
        <v>0</v>
      </c>
      <c r="M433" s="2">
        <v>0</v>
      </c>
      <c r="N433" s="2">
        <v>1</v>
      </c>
      <c r="O433" s="2">
        <v>0</v>
      </c>
      <c r="P433" s="2">
        <v>0</v>
      </c>
      <c r="Q433" s="2">
        <v>0</v>
      </c>
      <c r="R433" s="2">
        <v>1</v>
      </c>
      <c r="S433" s="2">
        <v>1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</row>
    <row r="434" spans="1:30" x14ac:dyDescent="0.25">
      <c r="A434" s="2" t="s">
        <v>23</v>
      </c>
      <c r="B434" s="2" t="s">
        <v>48</v>
      </c>
      <c r="C434" s="2" t="s">
        <v>47</v>
      </c>
      <c r="D434" s="2" t="s">
        <v>527</v>
      </c>
      <c r="E434" s="2" t="s">
        <v>528</v>
      </c>
      <c r="F434" s="2" t="s">
        <v>530</v>
      </c>
      <c r="G434" s="2" t="s">
        <v>1394</v>
      </c>
      <c r="H434" s="2" t="s">
        <v>3422</v>
      </c>
      <c r="I434" s="2" t="s">
        <v>3423</v>
      </c>
      <c r="J434" s="2" t="s">
        <v>2074</v>
      </c>
      <c r="K434" s="2">
        <v>0</v>
      </c>
      <c r="L434" s="2">
        <v>0</v>
      </c>
      <c r="M434" s="2">
        <v>0</v>
      </c>
      <c r="N434" s="2">
        <v>1</v>
      </c>
      <c r="O434" s="2">
        <v>0</v>
      </c>
      <c r="P434" s="2">
        <v>0</v>
      </c>
      <c r="Q434" s="2">
        <v>0</v>
      </c>
      <c r="R434" s="2">
        <v>2</v>
      </c>
      <c r="S434" s="2">
        <v>2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1</v>
      </c>
      <c r="AC434" s="2">
        <v>0</v>
      </c>
      <c r="AD434" s="2">
        <v>0</v>
      </c>
    </row>
    <row r="435" spans="1:30" x14ac:dyDescent="0.25">
      <c r="A435" s="2" t="s">
        <v>23</v>
      </c>
      <c r="B435" s="2" t="s">
        <v>48</v>
      </c>
      <c r="C435" s="2" t="s">
        <v>47</v>
      </c>
      <c r="D435" s="2" t="s">
        <v>527</v>
      </c>
      <c r="E435" s="2" t="s">
        <v>528</v>
      </c>
      <c r="F435" s="2" t="s">
        <v>531</v>
      </c>
      <c r="G435" s="2" t="s">
        <v>1395</v>
      </c>
      <c r="H435" s="2" t="s">
        <v>3424</v>
      </c>
      <c r="I435" s="2" t="s">
        <v>3425</v>
      </c>
      <c r="J435" s="2" t="s">
        <v>2074</v>
      </c>
      <c r="K435" s="2">
        <v>0</v>
      </c>
      <c r="L435" s="2">
        <v>0</v>
      </c>
      <c r="M435" s="2">
        <v>0</v>
      </c>
      <c r="N435" s="2">
        <v>1</v>
      </c>
      <c r="O435" s="2">
        <v>0</v>
      </c>
      <c r="P435" s="2">
        <v>0</v>
      </c>
      <c r="Q435" s="2">
        <v>0</v>
      </c>
      <c r="R435" s="2">
        <v>1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</row>
    <row r="436" spans="1:30" x14ac:dyDescent="0.25">
      <c r="A436" s="2" t="s">
        <v>23</v>
      </c>
      <c r="B436" s="2" t="s">
        <v>48</v>
      </c>
      <c r="C436" s="2" t="s">
        <v>47</v>
      </c>
      <c r="D436" s="2" t="s">
        <v>527</v>
      </c>
      <c r="E436" s="2" t="s">
        <v>528</v>
      </c>
      <c r="F436" s="2" t="s">
        <v>532</v>
      </c>
      <c r="G436" s="2" t="s">
        <v>1396</v>
      </c>
      <c r="H436" s="2" t="s">
        <v>3426</v>
      </c>
      <c r="I436" s="2" t="s">
        <v>3427</v>
      </c>
      <c r="J436" s="2" t="s">
        <v>2074</v>
      </c>
      <c r="K436" s="2">
        <v>0</v>
      </c>
      <c r="L436" s="2">
        <v>0</v>
      </c>
      <c r="M436" s="2">
        <v>0</v>
      </c>
      <c r="N436" s="2">
        <v>2</v>
      </c>
      <c r="O436" s="2">
        <v>0</v>
      </c>
      <c r="P436" s="2">
        <v>1</v>
      </c>
      <c r="Q436" s="2">
        <v>0</v>
      </c>
      <c r="R436" s="2">
        <v>1</v>
      </c>
      <c r="S436" s="2">
        <v>1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1</v>
      </c>
      <c r="AA436" s="2">
        <v>0</v>
      </c>
      <c r="AB436" s="2">
        <v>0</v>
      </c>
      <c r="AC436" s="2">
        <v>1</v>
      </c>
      <c r="AD436" s="2">
        <v>0</v>
      </c>
    </row>
    <row r="437" spans="1:30" x14ac:dyDescent="0.25">
      <c r="A437" s="2" t="s">
        <v>23</v>
      </c>
      <c r="B437" s="2" t="s">
        <v>48</v>
      </c>
      <c r="C437" s="2" t="s">
        <v>47</v>
      </c>
      <c r="D437" s="2" t="s">
        <v>527</v>
      </c>
      <c r="E437" s="2" t="s">
        <v>528</v>
      </c>
      <c r="F437" s="2" t="s">
        <v>533</v>
      </c>
      <c r="G437" s="2" t="s">
        <v>1397</v>
      </c>
      <c r="H437" s="2" t="s">
        <v>3428</v>
      </c>
      <c r="I437" s="2" t="s">
        <v>3429</v>
      </c>
      <c r="J437" s="2" t="s">
        <v>2074</v>
      </c>
      <c r="K437" s="2">
        <v>0</v>
      </c>
      <c r="L437" s="2">
        <v>0</v>
      </c>
      <c r="M437" s="2">
        <v>0</v>
      </c>
      <c r="N437" s="2">
        <v>1</v>
      </c>
      <c r="O437" s="2">
        <v>0</v>
      </c>
      <c r="P437" s="2">
        <v>1</v>
      </c>
      <c r="Q437" s="2">
        <v>0</v>
      </c>
      <c r="R437" s="2">
        <v>1</v>
      </c>
      <c r="S437" s="2">
        <v>1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</row>
    <row r="438" spans="1:30" x14ac:dyDescent="0.25">
      <c r="A438" s="2" t="s">
        <v>23</v>
      </c>
      <c r="B438" s="2" t="s">
        <v>48</v>
      </c>
      <c r="C438" s="2" t="s">
        <v>47</v>
      </c>
      <c r="D438" s="2" t="s">
        <v>527</v>
      </c>
      <c r="E438" s="2" t="s">
        <v>528</v>
      </c>
      <c r="F438" s="2" t="s">
        <v>534</v>
      </c>
      <c r="G438" s="2" t="s">
        <v>1398</v>
      </c>
      <c r="H438" s="2" t="s">
        <v>3430</v>
      </c>
      <c r="I438" s="2" t="s">
        <v>3431</v>
      </c>
      <c r="J438" s="2" t="s">
        <v>3693</v>
      </c>
      <c r="K438" s="2">
        <v>0</v>
      </c>
      <c r="L438" s="2">
        <v>0</v>
      </c>
      <c r="M438" s="2">
        <v>0</v>
      </c>
      <c r="N438" s="2">
        <v>1</v>
      </c>
      <c r="O438" s="2">
        <v>0</v>
      </c>
      <c r="P438" s="2">
        <v>1</v>
      </c>
      <c r="Q438" s="2">
        <v>0</v>
      </c>
      <c r="R438" s="2">
        <v>1</v>
      </c>
      <c r="S438" s="2">
        <v>1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</row>
    <row r="439" spans="1:30" x14ac:dyDescent="0.25">
      <c r="A439" s="2" t="s">
        <v>23</v>
      </c>
      <c r="B439" s="2" t="s">
        <v>48</v>
      </c>
      <c r="C439" s="2" t="s">
        <v>47</v>
      </c>
      <c r="D439" s="2" t="s">
        <v>527</v>
      </c>
      <c r="E439" s="2" t="s">
        <v>528</v>
      </c>
      <c r="F439" s="2" t="s">
        <v>536</v>
      </c>
      <c r="G439" s="2" t="s">
        <v>1400</v>
      </c>
      <c r="H439" s="2" t="s">
        <v>3434</v>
      </c>
      <c r="I439" s="2" t="s">
        <v>3435</v>
      </c>
      <c r="J439" s="2" t="s">
        <v>2074</v>
      </c>
      <c r="K439" s="2">
        <v>0</v>
      </c>
      <c r="L439" s="2">
        <v>0</v>
      </c>
      <c r="M439" s="2">
        <v>0</v>
      </c>
      <c r="N439" s="2">
        <v>2</v>
      </c>
      <c r="O439" s="2">
        <v>0</v>
      </c>
      <c r="P439" s="2">
        <v>1</v>
      </c>
      <c r="Q439" s="2">
        <v>0</v>
      </c>
      <c r="R439" s="2">
        <v>1</v>
      </c>
      <c r="S439" s="2">
        <v>1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1</v>
      </c>
      <c r="AC439" s="2">
        <v>0</v>
      </c>
      <c r="AD439" s="2">
        <v>0</v>
      </c>
    </row>
    <row r="440" spans="1:30" x14ac:dyDescent="0.25">
      <c r="A440" s="2" t="s">
        <v>23</v>
      </c>
      <c r="B440" s="2" t="s">
        <v>48</v>
      </c>
      <c r="C440" s="2" t="s">
        <v>47</v>
      </c>
      <c r="D440" s="2" t="s">
        <v>527</v>
      </c>
      <c r="E440" s="2" t="s">
        <v>528</v>
      </c>
      <c r="F440" s="2" t="s">
        <v>537</v>
      </c>
      <c r="G440" s="2" t="s">
        <v>1401</v>
      </c>
      <c r="H440" s="2" t="s">
        <v>3436</v>
      </c>
      <c r="I440" s="2" t="s">
        <v>3437</v>
      </c>
      <c r="J440" s="2" t="s">
        <v>2074</v>
      </c>
      <c r="K440" s="2">
        <v>0</v>
      </c>
      <c r="L440" s="2">
        <v>0</v>
      </c>
      <c r="M440" s="2">
        <v>1</v>
      </c>
      <c r="N440" s="2">
        <v>1</v>
      </c>
      <c r="O440" s="2">
        <v>0</v>
      </c>
      <c r="P440" s="2">
        <v>0</v>
      </c>
      <c r="Q440" s="2">
        <v>0</v>
      </c>
      <c r="R440" s="2">
        <v>1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</row>
    <row r="441" spans="1:30" x14ac:dyDescent="0.25">
      <c r="A441" s="2" t="s">
        <v>23</v>
      </c>
      <c r="B441" s="2" t="s">
        <v>48</v>
      </c>
      <c r="C441" s="2" t="s">
        <v>47</v>
      </c>
      <c r="D441" s="2" t="s">
        <v>527</v>
      </c>
      <c r="E441" s="2" t="s">
        <v>528</v>
      </c>
      <c r="F441" s="2" t="s">
        <v>539</v>
      </c>
      <c r="G441" s="2" t="s">
        <v>1403</v>
      </c>
      <c r="H441" s="2" t="s">
        <v>3440</v>
      </c>
      <c r="I441" s="2" t="s">
        <v>3441</v>
      </c>
      <c r="J441" s="2" t="s">
        <v>3692</v>
      </c>
      <c r="K441" s="2">
        <v>0</v>
      </c>
      <c r="L441" s="2">
        <v>0</v>
      </c>
      <c r="M441" s="2">
        <v>1</v>
      </c>
      <c r="N441" s="2">
        <v>1</v>
      </c>
      <c r="O441" s="2">
        <v>0</v>
      </c>
      <c r="P441" s="2">
        <v>1</v>
      </c>
      <c r="Q441" s="2">
        <v>0</v>
      </c>
      <c r="R441" s="2">
        <v>0</v>
      </c>
      <c r="S441" s="2">
        <v>1</v>
      </c>
      <c r="T441" s="2">
        <v>0</v>
      </c>
      <c r="U441" s="2">
        <v>0</v>
      </c>
      <c r="V441" s="2">
        <v>1</v>
      </c>
      <c r="W441" s="2">
        <v>0</v>
      </c>
      <c r="X441" s="2">
        <v>0</v>
      </c>
      <c r="Y441" s="2">
        <v>0</v>
      </c>
      <c r="Z441" s="2">
        <v>1</v>
      </c>
      <c r="AA441" s="2">
        <v>0</v>
      </c>
      <c r="AB441" s="2">
        <v>1</v>
      </c>
      <c r="AC441" s="2">
        <v>0</v>
      </c>
      <c r="AD441" s="2">
        <v>0</v>
      </c>
    </row>
    <row r="442" spans="1:30" x14ac:dyDescent="0.25">
      <c r="A442" s="2" t="s">
        <v>23</v>
      </c>
      <c r="B442" s="2" t="s">
        <v>48</v>
      </c>
      <c r="C442" s="2" t="s">
        <v>47</v>
      </c>
      <c r="D442" s="2" t="s">
        <v>527</v>
      </c>
      <c r="E442" s="2" t="s">
        <v>528</v>
      </c>
      <c r="F442" s="2" t="s">
        <v>538</v>
      </c>
      <c r="G442" s="2" t="s">
        <v>1402</v>
      </c>
      <c r="H442" s="2" t="s">
        <v>3438</v>
      </c>
      <c r="I442" s="2" t="s">
        <v>3439</v>
      </c>
      <c r="J442" s="2" t="s">
        <v>2074</v>
      </c>
      <c r="K442" s="2">
        <v>0</v>
      </c>
      <c r="L442" s="2">
        <v>0</v>
      </c>
      <c r="M442" s="2">
        <v>0</v>
      </c>
      <c r="N442" s="2">
        <v>1</v>
      </c>
      <c r="O442" s="2">
        <v>0</v>
      </c>
      <c r="P442" s="2">
        <v>1</v>
      </c>
      <c r="Q442" s="2">
        <v>0</v>
      </c>
      <c r="R442" s="2">
        <v>1</v>
      </c>
      <c r="S442" s="2">
        <v>1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</row>
    <row r="443" spans="1:30" x14ac:dyDescent="0.25">
      <c r="A443" s="2" t="s">
        <v>23</v>
      </c>
      <c r="B443" s="2" t="s">
        <v>48</v>
      </c>
      <c r="C443" s="2" t="s">
        <v>47</v>
      </c>
      <c r="D443" s="2" t="s">
        <v>527</v>
      </c>
      <c r="E443" s="2" t="s">
        <v>528</v>
      </c>
      <c r="F443" s="2" t="s">
        <v>535</v>
      </c>
      <c r="G443" s="2" t="s">
        <v>1399</v>
      </c>
      <c r="H443" s="2" t="s">
        <v>3432</v>
      </c>
      <c r="I443" s="2" t="s">
        <v>3433</v>
      </c>
      <c r="J443" s="2" t="s">
        <v>2074</v>
      </c>
      <c r="K443" s="2">
        <v>0</v>
      </c>
      <c r="L443" s="2">
        <v>0</v>
      </c>
      <c r="M443" s="2">
        <v>0</v>
      </c>
      <c r="N443" s="2">
        <v>1</v>
      </c>
      <c r="O443" s="2">
        <v>0</v>
      </c>
      <c r="P443" s="2">
        <v>1</v>
      </c>
      <c r="Q443" s="2">
        <v>0</v>
      </c>
      <c r="R443" s="2">
        <v>1</v>
      </c>
      <c r="S443" s="2">
        <v>1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</row>
    <row r="444" spans="1:30" x14ac:dyDescent="0.25">
      <c r="A444" s="2" t="s">
        <v>23</v>
      </c>
      <c r="B444" s="2" t="s">
        <v>48</v>
      </c>
      <c r="C444" s="2" t="s">
        <v>47</v>
      </c>
      <c r="D444" s="2" t="s">
        <v>527</v>
      </c>
      <c r="E444" s="2" t="s">
        <v>528</v>
      </c>
      <c r="F444" s="2" t="s">
        <v>842</v>
      </c>
      <c r="G444" s="2" t="s">
        <v>1699</v>
      </c>
      <c r="H444" s="2" t="s">
        <v>3414</v>
      </c>
      <c r="I444" s="2" t="s">
        <v>3415</v>
      </c>
      <c r="J444" s="2" t="s">
        <v>2074</v>
      </c>
      <c r="K444" s="2">
        <v>0</v>
      </c>
      <c r="L444" s="2">
        <v>0</v>
      </c>
      <c r="M444" s="2">
        <v>0</v>
      </c>
      <c r="N444" s="2">
        <v>2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2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</row>
    <row r="445" spans="1:30" x14ac:dyDescent="0.25">
      <c r="A445" s="2" t="s">
        <v>23</v>
      </c>
      <c r="B445" s="2" t="s">
        <v>48</v>
      </c>
      <c r="C445" s="2" t="s">
        <v>47</v>
      </c>
      <c r="D445" s="2" t="s">
        <v>527</v>
      </c>
      <c r="E445" s="2" t="s">
        <v>528</v>
      </c>
      <c r="F445" s="2" t="s">
        <v>844</v>
      </c>
      <c r="G445" s="2" t="s">
        <v>1392</v>
      </c>
      <c r="H445" s="2" t="s">
        <v>3416</v>
      </c>
      <c r="I445" s="2" t="s">
        <v>3417</v>
      </c>
      <c r="J445" s="2" t="s">
        <v>2074</v>
      </c>
      <c r="K445" s="2">
        <v>0</v>
      </c>
      <c r="L445" s="2">
        <v>0</v>
      </c>
      <c r="M445" s="2">
        <v>0</v>
      </c>
      <c r="N445" s="2">
        <v>2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2</v>
      </c>
      <c r="AD445" s="2">
        <v>0</v>
      </c>
    </row>
    <row r="446" spans="1:30" x14ac:dyDescent="0.25">
      <c r="A446" s="2" t="s">
        <v>23</v>
      </c>
      <c r="B446" s="2" t="s">
        <v>48</v>
      </c>
      <c r="C446" s="2" t="s">
        <v>47</v>
      </c>
      <c r="D446" s="2" t="s">
        <v>527</v>
      </c>
      <c r="E446" s="2" t="s">
        <v>528</v>
      </c>
      <c r="F446" s="2" t="s">
        <v>843</v>
      </c>
      <c r="G446" s="2" t="s">
        <v>1700</v>
      </c>
      <c r="H446" s="2" t="s">
        <v>3418</v>
      </c>
      <c r="I446" s="2" t="s">
        <v>3419</v>
      </c>
      <c r="J446" s="2" t="s">
        <v>2074</v>
      </c>
      <c r="K446" s="2">
        <v>0</v>
      </c>
      <c r="L446" s="2">
        <v>0</v>
      </c>
      <c r="M446" s="2">
        <v>0</v>
      </c>
      <c r="N446" s="2">
        <v>2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</row>
    <row r="447" spans="1:30" x14ac:dyDescent="0.25">
      <c r="A447" s="2" t="s">
        <v>23</v>
      </c>
      <c r="B447" s="2" t="s">
        <v>85</v>
      </c>
      <c r="C447" s="2" t="s">
        <v>84</v>
      </c>
      <c r="D447" s="2" t="s">
        <v>175</v>
      </c>
      <c r="E447" s="2" t="s">
        <v>174</v>
      </c>
      <c r="F447" s="2" t="s">
        <v>295</v>
      </c>
      <c r="G447" s="2" t="s">
        <v>1301</v>
      </c>
      <c r="H447" s="2" t="s">
        <v>3128</v>
      </c>
      <c r="I447" s="2" t="s">
        <v>3129</v>
      </c>
      <c r="J447" s="2" t="s">
        <v>3693</v>
      </c>
      <c r="K447" s="2">
        <v>0</v>
      </c>
      <c r="L447" s="2">
        <v>0</v>
      </c>
      <c r="M447" s="2">
        <v>0</v>
      </c>
      <c r="N447" s="2">
        <v>1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1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1</v>
      </c>
      <c r="AC447" s="2">
        <v>0</v>
      </c>
      <c r="AD447" s="2">
        <v>0</v>
      </c>
    </row>
    <row r="448" spans="1:30" x14ac:dyDescent="0.25">
      <c r="A448" s="2" t="s">
        <v>23</v>
      </c>
      <c r="B448" s="2" t="s">
        <v>85</v>
      </c>
      <c r="C448" s="2" t="s">
        <v>84</v>
      </c>
      <c r="D448" s="2" t="s">
        <v>175</v>
      </c>
      <c r="E448" s="2" t="s">
        <v>174</v>
      </c>
      <c r="F448" s="2" t="s">
        <v>464</v>
      </c>
      <c r="G448" s="2" t="s">
        <v>1303</v>
      </c>
      <c r="H448" s="2" t="s">
        <v>3138</v>
      </c>
      <c r="I448" s="2" t="s">
        <v>3139</v>
      </c>
      <c r="J448" s="2" t="s">
        <v>3693</v>
      </c>
      <c r="K448" s="2">
        <v>0</v>
      </c>
      <c r="L448" s="2">
        <v>0</v>
      </c>
      <c r="M448" s="2">
        <v>0</v>
      </c>
      <c r="N448" s="2">
        <v>2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1</v>
      </c>
      <c r="Y448" s="2">
        <v>0</v>
      </c>
      <c r="Z448" s="2">
        <v>0</v>
      </c>
      <c r="AA448" s="2">
        <v>0</v>
      </c>
      <c r="AB448" s="2">
        <v>1</v>
      </c>
      <c r="AC448" s="2">
        <v>0</v>
      </c>
      <c r="AD448" s="2">
        <v>1</v>
      </c>
    </row>
    <row r="449" spans="1:30" x14ac:dyDescent="0.25">
      <c r="A449" s="2" t="s">
        <v>23</v>
      </c>
      <c r="B449" s="2" t="s">
        <v>85</v>
      </c>
      <c r="C449" s="2" t="s">
        <v>84</v>
      </c>
      <c r="D449" s="2" t="s">
        <v>175</v>
      </c>
      <c r="E449" s="2" t="s">
        <v>174</v>
      </c>
      <c r="F449" s="2" t="s">
        <v>177</v>
      </c>
      <c r="G449" s="2" t="s">
        <v>1526</v>
      </c>
      <c r="H449" s="2" t="s">
        <v>3140</v>
      </c>
      <c r="I449" s="2" t="s">
        <v>3141</v>
      </c>
      <c r="J449" s="2" t="s">
        <v>2074</v>
      </c>
      <c r="K449" s="2">
        <v>0</v>
      </c>
      <c r="L449" s="2">
        <v>0</v>
      </c>
      <c r="M449" s="2">
        <v>0</v>
      </c>
      <c r="N449" s="2">
        <v>1</v>
      </c>
      <c r="O449" s="2">
        <v>0</v>
      </c>
      <c r="P449" s="2">
        <v>1</v>
      </c>
      <c r="Q449" s="2">
        <v>0</v>
      </c>
      <c r="R449" s="2">
        <v>1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1</v>
      </c>
      <c r="Y449" s="2">
        <v>1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</row>
    <row r="450" spans="1:30" x14ac:dyDescent="0.25">
      <c r="A450" s="2" t="s">
        <v>23</v>
      </c>
      <c r="B450" s="2" t="s">
        <v>85</v>
      </c>
      <c r="C450" s="2" t="s">
        <v>84</v>
      </c>
      <c r="D450" s="2" t="s">
        <v>175</v>
      </c>
      <c r="E450" s="2" t="s">
        <v>174</v>
      </c>
      <c r="F450" s="2" t="s">
        <v>465</v>
      </c>
      <c r="G450" s="2" t="s">
        <v>1304</v>
      </c>
      <c r="H450" s="2" t="s">
        <v>3142</v>
      </c>
      <c r="I450" s="2" t="s">
        <v>3143</v>
      </c>
      <c r="J450" s="2" t="s">
        <v>3693</v>
      </c>
      <c r="K450" s="2">
        <v>0</v>
      </c>
      <c r="L450" s="2">
        <v>0</v>
      </c>
      <c r="M450" s="2">
        <v>0</v>
      </c>
      <c r="N450" s="2">
        <v>2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</row>
    <row r="451" spans="1:30" x14ac:dyDescent="0.25">
      <c r="A451" s="2" t="s">
        <v>23</v>
      </c>
      <c r="B451" s="2" t="s">
        <v>85</v>
      </c>
      <c r="C451" s="2" t="s">
        <v>84</v>
      </c>
      <c r="D451" s="2" t="s">
        <v>175</v>
      </c>
      <c r="E451" s="2" t="s">
        <v>174</v>
      </c>
      <c r="F451" s="2" t="s">
        <v>691</v>
      </c>
      <c r="G451" s="2" t="s">
        <v>1662</v>
      </c>
      <c r="H451" s="2" t="s">
        <v>3144</v>
      </c>
      <c r="I451" s="2" t="s">
        <v>3145</v>
      </c>
      <c r="J451" s="2" t="s">
        <v>3696</v>
      </c>
      <c r="K451" s="2">
        <v>0</v>
      </c>
      <c r="L451" s="2">
        <v>0</v>
      </c>
      <c r="M451" s="2">
        <v>0</v>
      </c>
      <c r="N451" s="2">
        <v>1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</row>
    <row r="452" spans="1:30" x14ac:dyDescent="0.25">
      <c r="A452" s="2" t="s">
        <v>23</v>
      </c>
      <c r="B452" s="2" t="s">
        <v>85</v>
      </c>
      <c r="C452" s="2" t="s">
        <v>84</v>
      </c>
      <c r="D452" s="2" t="s">
        <v>175</v>
      </c>
      <c r="E452" s="2" t="s">
        <v>174</v>
      </c>
      <c r="F452" s="2" t="s">
        <v>634</v>
      </c>
      <c r="G452" s="2" t="s">
        <v>1527</v>
      </c>
      <c r="H452" s="2" t="s">
        <v>3148</v>
      </c>
      <c r="I452" s="2" t="s">
        <v>3149</v>
      </c>
      <c r="J452" s="2" t="s">
        <v>2074</v>
      </c>
      <c r="K452" s="2">
        <v>0</v>
      </c>
      <c r="L452" s="2">
        <v>0</v>
      </c>
      <c r="M452" s="2">
        <v>0</v>
      </c>
      <c r="N452" s="2">
        <v>1</v>
      </c>
      <c r="O452" s="2">
        <v>0</v>
      </c>
      <c r="P452" s="2">
        <v>1</v>
      </c>
      <c r="Q452" s="2">
        <v>0</v>
      </c>
      <c r="R452" s="2">
        <v>1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1</v>
      </c>
    </row>
    <row r="453" spans="1:30" x14ac:dyDescent="0.25">
      <c r="A453" s="2" t="s">
        <v>23</v>
      </c>
      <c r="B453" s="2" t="s">
        <v>85</v>
      </c>
      <c r="C453" s="2" t="s">
        <v>84</v>
      </c>
      <c r="D453" s="2" t="s">
        <v>175</v>
      </c>
      <c r="E453" s="2" t="s">
        <v>174</v>
      </c>
      <c r="F453" s="2" t="s">
        <v>178</v>
      </c>
      <c r="G453" s="2" t="s">
        <v>1562</v>
      </c>
      <c r="H453" s="2" t="s">
        <v>3156</v>
      </c>
      <c r="I453" s="2" t="s">
        <v>3157</v>
      </c>
      <c r="J453" s="2" t="s">
        <v>2074</v>
      </c>
      <c r="K453" s="2">
        <v>0</v>
      </c>
      <c r="L453" s="2">
        <v>0</v>
      </c>
      <c r="M453" s="2">
        <v>0</v>
      </c>
      <c r="N453" s="2">
        <v>2</v>
      </c>
      <c r="O453" s="2">
        <v>0</v>
      </c>
      <c r="P453" s="2">
        <v>0</v>
      </c>
      <c r="Q453" s="2">
        <v>0</v>
      </c>
      <c r="R453" s="2">
        <v>1</v>
      </c>
      <c r="S453" s="2">
        <v>0</v>
      </c>
      <c r="T453" s="2">
        <v>1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1</v>
      </c>
      <c r="AC453" s="2">
        <v>0</v>
      </c>
      <c r="AD453" s="2">
        <v>0</v>
      </c>
    </row>
    <row r="454" spans="1:30" x14ac:dyDescent="0.25">
      <c r="A454" s="2" t="s">
        <v>23</v>
      </c>
      <c r="B454" s="2" t="s">
        <v>85</v>
      </c>
      <c r="C454" s="2" t="s">
        <v>84</v>
      </c>
      <c r="D454" s="2" t="s">
        <v>175</v>
      </c>
      <c r="E454" s="2" t="s">
        <v>174</v>
      </c>
      <c r="F454" s="2" t="s">
        <v>635</v>
      </c>
      <c r="G454" s="2" t="s">
        <v>1530</v>
      </c>
      <c r="H454" s="2" t="s">
        <v>3160</v>
      </c>
      <c r="I454" s="2" t="s">
        <v>3161</v>
      </c>
      <c r="J454" s="2" t="s">
        <v>3693</v>
      </c>
      <c r="K454" s="2">
        <v>0</v>
      </c>
      <c r="L454" s="2">
        <v>0</v>
      </c>
      <c r="M454" s="2">
        <v>0</v>
      </c>
      <c r="N454" s="2">
        <v>2</v>
      </c>
      <c r="O454" s="2">
        <v>0</v>
      </c>
      <c r="P454" s="2">
        <v>1</v>
      </c>
      <c r="Q454" s="2">
        <v>0</v>
      </c>
      <c r="R454" s="2">
        <v>1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1</v>
      </c>
      <c r="Y454" s="2">
        <v>1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</row>
    <row r="455" spans="1:30" x14ac:dyDescent="0.25">
      <c r="A455" s="2" t="s">
        <v>23</v>
      </c>
      <c r="B455" s="2" t="s">
        <v>85</v>
      </c>
      <c r="C455" s="2" t="s">
        <v>84</v>
      </c>
      <c r="D455" s="2" t="s">
        <v>175</v>
      </c>
      <c r="E455" s="2" t="s">
        <v>174</v>
      </c>
      <c r="F455" s="2" t="s">
        <v>466</v>
      </c>
      <c r="G455" s="2" t="s">
        <v>1307</v>
      </c>
      <c r="H455" s="2" t="s">
        <v>3162</v>
      </c>
      <c r="I455" s="2" t="s">
        <v>3163</v>
      </c>
      <c r="J455" s="2" t="s">
        <v>2074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1</v>
      </c>
      <c r="Q455" s="2">
        <v>0</v>
      </c>
      <c r="R455" s="2">
        <v>0</v>
      </c>
      <c r="S455" s="2">
        <v>1</v>
      </c>
      <c r="T455" s="2">
        <v>0</v>
      </c>
      <c r="U455" s="2">
        <v>0</v>
      </c>
      <c r="V455" s="2">
        <v>1</v>
      </c>
      <c r="W455" s="2">
        <v>0</v>
      </c>
      <c r="X455" s="2">
        <v>1</v>
      </c>
      <c r="Y455" s="2">
        <v>2</v>
      </c>
      <c r="Z455" s="2">
        <v>2</v>
      </c>
      <c r="AA455" s="2">
        <v>1</v>
      </c>
      <c r="AB455" s="2">
        <v>2</v>
      </c>
      <c r="AC455" s="2">
        <v>0</v>
      </c>
      <c r="AD455" s="2">
        <v>0</v>
      </c>
    </row>
    <row r="456" spans="1:30" x14ac:dyDescent="0.25">
      <c r="A456" s="2" t="s">
        <v>23</v>
      </c>
      <c r="B456" s="2" t="s">
        <v>85</v>
      </c>
      <c r="C456" s="2" t="s">
        <v>84</v>
      </c>
      <c r="D456" s="2" t="s">
        <v>175</v>
      </c>
      <c r="E456" s="2" t="s">
        <v>174</v>
      </c>
      <c r="F456" s="2" t="s">
        <v>467</v>
      </c>
      <c r="G456" s="2" t="s">
        <v>1308</v>
      </c>
      <c r="H456" s="2" t="s">
        <v>3164</v>
      </c>
      <c r="I456" s="2" t="s">
        <v>3165</v>
      </c>
      <c r="J456" s="2" t="s">
        <v>2074</v>
      </c>
      <c r="K456" s="2">
        <v>0</v>
      </c>
      <c r="L456" s="2">
        <v>0</v>
      </c>
      <c r="M456" s="2">
        <v>1</v>
      </c>
      <c r="N456" s="2">
        <v>2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1</v>
      </c>
      <c r="Y456" s="2">
        <v>1</v>
      </c>
      <c r="Z456" s="2">
        <v>1</v>
      </c>
      <c r="AA456" s="2">
        <v>1</v>
      </c>
      <c r="AB456" s="2">
        <v>1</v>
      </c>
      <c r="AC456" s="2">
        <v>0</v>
      </c>
      <c r="AD456" s="2">
        <v>2</v>
      </c>
    </row>
    <row r="457" spans="1:30" x14ac:dyDescent="0.25">
      <c r="A457" s="2" t="s">
        <v>23</v>
      </c>
      <c r="B457" s="2" t="s">
        <v>85</v>
      </c>
      <c r="C457" s="2" t="s">
        <v>84</v>
      </c>
      <c r="D457" s="2" t="s">
        <v>175</v>
      </c>
      <c r="E457" s="2" t="s">
        <v>174</v>
      </c>
      <c r="F457" s="2" t="s">
        <v>468</v>
      </c>
      <c r="G457" s="2" t="s">
        <v>1309</v>
      </c>
      <c r="H457" s="2" t="s">
        <v>3166</v>
      </c>
      <c r="I457" s="2" t="s">
        <v>3167</v>
      </c>
      <c r="J457" s="2" t="s">
        <v>2074</v>
      </c>
      <c r="K457" s="2">
        <v>0</v>
      </c>
      <c r="L457" s="2">
        <v>0</v>
      </c>
      <c r="M457" s="2">
        <v>0</v>
      </c>
      <c r="N457" s="2">
        <v>1</v>
      </c>
      <c r="O457" s="2">
        <v>0</v>
      </c>
      <c r="P457" s="2">
        <v>1</v>
      </c>
      <c r="Q457" s="2">
        <v>0</v>
      </c>
      <c r="R457" s="2">
        <v>0</v>
      </c>
      <c r="S457" s="2">
        <v>1</v>
      </c>
      <c r="T457" s="2">
        <v>0</v>
      </c>
      <c r="U457" s="2">
        <v>0</v>
      </c>
      <c r="V457" s="2">
        <v>0</v>
      </c>
      <c r="W457" s="2">
        <v>1</v>
      </c>
      <c r="X457" s="2">
        <v>2</v>
      </c>
      <c r="Y457" s="2">
        <v>1</v>
      </c>
      <c r="Z457" s="2">
        <v>1</v>
      </c>
      <c r="AA457" s="2">
        <v>2</v>
      </c>
      <c r="AB457" s="2">
        <v>2</v>
      </c>
      <c r="AC457" s="2">
        <v>0</v>
      </c>
      <c r="AD457" s="2">
        <v>1</v>
      </c>
    </row>
    <row r="458" spans="1:30" x14ac:dyDescent="0.25">
      <c r="A458" s="2" t="s">
        <v>23</v>
      </c>
      <c r="B458" s="2" t="s">
        <v>85</v>
      </c>
      <c r="C458" s="2" t="s">
        <v>84</v>
      </c>
      <c r="D458" s="2" t="s">
        <v>175</v>
      </c>
      <c r="E458" s="2" t="s">
        <v>174</v>
      </c>
      <c r="F458" s="2" t="s">
        <v>469</v>
      </c>
      <c r="G458" s="2" t="s">
        <v>1531</v>
      </c>
      <c r="H458" s="2" t="s">
        <v>3168</v>
      </c>
      <c r="I458" s="2" t="s">
        <v>3169</v>
      </c>
      <c r="J458" s="2" t="s">
        <v>2074</v>
      </c>
      <c r="K458" s="2">
        <v>0</v>
      </c>
      <c r="L458" s="2">
        <v>0</v>
      </c>
      <c r="M458" s="2">
        <v>1</v>
      </c>
      <c r="N458" s="2">
        <v>2</v>
      </c>
      <c r="O458" s="2">
        <v>0</v>
      </c>
      <c r="P458" s="2">
        <v>0</v>
      </c>
      <c r="Q458" s="2">
        <v>0</v>
      </c>
      <c r="R458" s="2">
        <v>2</v>
      </c>
      <c r="S458" s="2">
        <v>0</v>
      </c>
      <c r="T458" s="2">
        <v>0</v>
      </c>
      <c r="U458" s="2">
        <v>2</v>
      </c>
      <c r="V458" s="2">
        <v>0</v>
      </c>
      <c r="W458" s="2">
        <v>0</v>
      </c>
      <c r="X458" s="2">
        <v>1</v>
      </c>
      <c r="Y458" s="2">
        <v>1</v>
      </c>
      <c r="Z458" s="2">
        <v>0</v>
      </c>
      <c r="AA458" s="2">
        <v>0</v>
      </c>
      <c r="AB458" s="2">
        <v>1</v>
      </c>
      <c r="AC458" s="2">
        <v>0</v>
      </c>
      <c r="AD458" s="2">
        <v>1</v>
      </c>
    </row>
    <row r="459" spans="1:30" x14ac:dyDescent="0.25">
      <c r="A459" s="2" t="s">
        <v>23</v>
      </c>
      <c r="B459" s="2" t="s">
        <v>85</v>
      </c>
      <c r="C459" s="2" t="s">
        <v>84</v>
      </c>
      <c r="D459" s="2" t="s">
        <v>175</v>
      </c>
      <c r="E459" s="2" t="s">
        <v>174</v>
      </c>
      <c r="F459" s="2" t="s">
        <v>470</v>
      </c>
      <c r="G459" s="2" t="s">
        <v>1311</v>
      </c>
      <c r="H459" s="2" t="s">
        <v>3172</v>
      </c>
      <c r="I459" s="2" t="s">
        <v>3173</v>
      </c>
      <c r="J459" s="2" t="s">
        <v>2074</v>
      </c>
      <c r="K459" s="2">
        <v>0</v>
      </c>
      <c r="L459" s="2">
        <v>0</v>
      </c>
      <c r="M459" s="2">
        <v>0</v>
      </c>
      <c r="N459" s="2">
        <v>4</v>
      </c>
      <c r="O459" s="2">
        <v>0</v>
      </c>
      <c r="P459" s="2">
        <v>1</v>
      </c>
      <c r="Q459" s="2">
        <v>0</v>
      </c>
      <c r="R459" s="2">
        <v>1</v>
      </c>
      <c r="S459" s="2">
        <v>1</v>
      </c>
      <c r="T459" s="2">
        <v>1</v>
      </c>
      <c r="U459" s="2">
        <v>1</v>
      </c>
      <c r="V459" s="2">
        <v>0</v>
      </c>
      <c r="W459" s="2">
        <v>1</v>
      </c>
      <c r="X459" s="2">
        <v>1</v>
      </c>
      <c r="Y459" s="2">
        <v>1</v>
      </c>
      <c r="Z459" s="2">
        <v>1</v>
      </c>
      <c r="AA459" s="2">
        <v>1</v>
      </c>
      <c r="AB459" s="2">
        <v>2</v>
      </c>
      <c r="AC459" s="2">
        <v>0</v>
      </c>
      <c r="AD459" s="2">
        <v>0</v>
      </c>
    </row>
    <row r="460" spans="1:30" x14ac:dyDescent="0.25">
      <c r="A460" s="2" t="s">
        <v>23</v>
      </c>
      <c r="B460" s="2" t="s">
        <v>85</v>
      </c>
      <c r="C460" s="2" t="s">
        <v>84</v>
      </c>
      <c r="D460" s="2" t="s">
        <v>175</v>
      </c>
      <c r="E460" s="2" t="s">
        <v>174</v>
      </c>
      <c r="F460" s="2" t="s">
        <v>179</v>
      </c>
      <c r="G460" s="2" t="s">
        <v>1312</v>
      </c>
      <c r="H460" s="2" t="s">
        <v>3176</v>
      </c>
      <c r="I460" s="2" t="s">
        <v>3177</v>
      </c>
      <c r="J460" s="2" t="s">
        <v>2074</v>
      </c>
      <c r="K460" s="2">
        <v>0</v>
      </c>
      <c r="L460" s="2">
        <v>0</v>
      </c>
      <c r="M460" s="2">
        <v>0</v>
      </c>
      <c r="N460" s="2">
        <v>3</v>
      </c>
      <c r="O460" s="2">
        <v>0</v>
      </c>
      <c r="P460" s="2">
        <v>0</v>
      </c>
      <c r="Q460" s="2">
        <v>0</v>
      </c>
      <c r="R460" s="2">
        <v>1</v>
      </c>
      <c r="S460" s="2">
        <v>0</v>
      </c>
      <c r="T460" s="2">
        <v>0</v>
      </c>
      <c r="U460" s="2">
        <v>1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</row>
    <row r="461" spans="1:30" x14ac:dyDescent="0.25">
      <c r="A461" s="2" t="s">
        <v>23</v>
      </c>
      <c r="B461" s="2" t="s">
        <v>85</v>
      </c>
      <c r="C461" s="2" t="s">
        <v>84</v>
      </c>
      <c r="D461" s="2" t="s">
        <v>175</v>
      </c>
      <c r="E461" s="2" t="s">
        <v>174</v>
      </c>
      <c r="F461" s="2" t="s">
        <v>176</v>
      </c>
      <c r="G461" s="2" t="s">
        <v>1525</v>
      </c>
      <c r="H461" s="2" t="s">
        <v>3130</v>
      </c>
      <c r="I461" s="2" t="s">
        <v>3131</v>
      </c>
      <c r="J461" s="2" t="s">
        <v>3693</v>
      </c>
      <c r="K461" s="2">
        <v>0</v>
      </c>
      <c r="L461" s="2">
        <v>0</v>
      </c>
      <c r="M461" s="2">
        <v>0</v>
      </c>
      <c r="N461" s="2">
        <v>2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</row>
    <row r="462" spans="1:30" x14ac:dyDescent="0.25">
      <c r="A462" s="2" t="s">
        <v>23</v>
      </c>
      <c r="B462" s="2" t="s">
        <v>85</v>
      </c>
      <c r="C462" s="2" t="s">
        <v>84</v>
      </c>
      <c r="D462" s="2" t="s">
        <v>175</v>
      </c>
      <c r="E462" s="2" t="s">
        <v>174</v>
      </c>
      <c r="F462" s="2" t="s">
        <v>420</v>
      </c>
      <c r="G462" s="2" t="s">
        <v>1305</v>
      </c>
      <c r="H462" s="2" t="s">
        <v>3146</v>
      </c>
      <c r="I462" s="2" t="s">
        <v>3147</v>
      </c>
      <c r="J462" s="2" t="s">
        <v>3693</v>
      </c>
      <c r="K462" s="2">
        <v>0</v>
      </c>
      <c r="L462" s="2">
        <v>0</v>
      </c>
      <c r="M462" s="2">
        <v>0</v>
      </c>
      <c r="N462" s="2">
        <v>1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</row>
    <row r="463" spans="1:30" x14ac:dyDescent="0.25">
      <c r="A463" s="2" t="s">
        <v>23</v>
      </c>
      <c r="B463" s="2" t="s">
        <v>85</v>
      </c>
      <c r="C463" s="2" t="s">
        <v>84</v>
      </c>
      <c r="D463" s="2" t="s">
        <v>175</v>
      </c>
      <c r="E463" s="2" t="s">
        <v>174</v>
      </c>
      <c r="F463" s="2" t="s">
        <v>636</v>
      </c>
      <c r="G463" s="2" t="s">
        <v>1532</v>
      </c>
      <c r="H463" s="2" t="s">
        <v>3178</v>
      </c>
      <c r="I463" s="2" t="s">
        <v>3179</v>
      </c>
      <c r="J463" s="2" t="s">
        <v>3693</v>
      </c>
      <c r="K463" s="2">
        <v>0</v>
      </c>
      <c r="L463" s="2">
        <v>0</v>
      </c>
      <c r="M463" s="2">
        <v>0</v>
      </c>
      <c r="N463" s="2">
        <v>2</v>
      </c>
      <c r="O463" s="2">
        <v>0</v>
      </c>
      <c r="P463" s="2">
        <v>0</v>
      </c>
      <c r="Q463" s="2">
        <v>0</v>
      </c>
      <c r="R463" s="2">
        <v>0</v>
      </c>
      <c r="S463" s="2">
        <v>1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</row>
    <row r="464" spans="1:30" x14ac:dyDescent="0.25">
      <c r="A464" s="2" t="s">
        <v>23</v>
      </c>
      <c r="B464" s="2" t="s">
        <v>85</v>
      </c>
      <c r="C464" s="2" t="s">
        <v>84</v>
      </c>
      <c r="D464" s="2" t="s">
        <v>175</v>
      </c>
      <c r="E464" s="2" t="s">
        <v>174</v>
      </c>
      <c r="F464" s="2" t="s">
        <v>463</v>
      </c>
      <c r="G464" s="2" t="s">
        <v>1302</v>
      </c>
      <c r="H464" s="2" t="s">
        <v>3132</v>
      </c>
      <c r="I464" s="2" t="s">
        <v>3133</v>
      </c>
      <c r="J464" s="2" t="s">
        <v>2074</v>
      </c>
      <c r="K464" s="2">
        <v>0</v>
      </c>
      <c r="L464" s="2">
        <v>0</v>
      </c>
      <c r="M464" s="2">
        <v>0</v>
      </c>
      <c r="N464" s="2">
        <v>1</v>
      </c>
      <c r="O464" s="2">
        <v>0</v>
      </c>
      <c r="P464" s="2">
        <v>0</v>
      </c>
      <c r="Q464" s="2">
        <v>0</v>
      </c>
      <c r="R464" s="2">
        <v>1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1</v>
      </c>
      <c r="Y464" s="2">
        <v>0</v>
      </c>
      <c r="Z464" s="2">
        <v>0</v>
      </c>
      <c r="AA464" s="2">
        <v>0</v>
      </c>
      <c r="AB464" s="2">
        <v>1</v>
      </c>
      <c r="AC464" s="2">
        <v>0</v>
      </c>
      <c r="AD464" s="2">
        <v>1</v>
      </c>
    </row>
    <row r="465" spans="1:30" x14ac:dyDescent="0.25">
      <c r="A465" s="2" t="s">
        <v>23</v>
      </c>
      <c r="B465" s="2" t="s">
        <v>85</v>
      </c>
      <c r="C465" s="2" t="s">
        <v>84</v>
      </c>
      <c r="D465" s="2" t="s">
        <v>175</v>
      </c>
      <c r="E465" s="2" t="s">
        <v>174</v>
      </c>
      <c r="F465" s="2" t="s">
        <v>829</v>
      </c>
      <c r="G465" s="2" t="s">
        <v>1663</v>
      </c>
      <c r="H465" s="2" t="s">
        <v>3134</v>
      </c>
      <c r="I465" s="2" t="s">
        <v>3135</v>
      </c>
      <c r="J465" s="2" t="s">
        <v>2074</v>
      </c>
      <c r="K465" s="2">
        <v>0</v>
      </c>
      <c r="L465" s="2">
        <v>0</v>
      </c>
      <c r="M465" s="2">
        <v>0</v>
      </c>
      <c r="N465" s="2">
        <v>1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</row>
    <row r="466" spans="1:30" x14ac:dyDescent="0.25">
      <c r="A466" s="2" t="s">
        <v>23</v>
      </c>
      <c r="B466" s="2" t="s">
        <v>85</v>
      </c>
      <c r="C466" s="2" t="s">
        <v>84</v>
      </c>
      <c r="D466" s="2" t="s">
        <v>175</v>
      </c>
      <c r="E466" s="2" t="s">
        <v>174</v>
      </c>
      <c r="F466" s="2" t="s">
        <v>832</v>
      </c>
      <c r="G466" s="2" t="s">
        <v>1528</v>
      </c>
      <c r="H466" s="2" t="s">
        <v>3150</v>
      </c>
      <c r="I466" s="2" t="s">
        <v>3151</v>
      </c>
      <c r="J466" s="2" t="s">
        <v>3693</v>
      </c>
      <c r="K466" s="2">
        <v>0</v>
      </c>
      <c r="L466" s="2">
        <v>0</v>
      </c>
      <c r="M466" s="2">
        <v>0</v>
      </c>
      <c r="N466" s="2">
        <v>1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</row>
    <row r="467" spans="1:30" x14ac:dyDescent="0.25">
      <c r="A467" s="2" t="s">
        <v>23</v>
      </c>
      <c r="B467" s="2" t="s">
        <v>85</v>
      </c>
      <c r="C467" s="2" t="s">
        <v>84</v>
      </c>
      <c r="D467" s="2" t="s">
        <v>175</v>
      </c>
      <c r="E467" s="2" t="s">
        <v>174</v>
      </c>
      <c r="F467" s="2" t="s">
        <v>830</v>
      </c>
      <c r="G467" s="2" t="s">
        <v>1306</v>
      </c>
      <c r="H467" s="2" t="s">
        <v>3152</v>
      </c>
      <c r="I467" s="2" t="s">
        <v>3153</v>
      </c>
      <c r="J467" s="2" t="s">
        <v>3693</v>
      </c>
      <c r="K467" s="2">
        <v>0</v>
      </c>
      <c r="L467" s="2">
        <v>0</v>
      </c>
      <c r="M467" s="2">
        <v>0</v>
      </c>
      <c r="N467" s="2">
        <v>3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</row>
    <row r="468" spans="1:30" x14ac:dyDescent="0.25">
      <c r="A468" s="2" t="s">
        <v>23</v>
      </c>
      <c r="B468" s="2" t="s">
        <v>85</v>
      </c>
      <c r="C468" s="2" t="s">
        <v>84</v>
      </c>
      <c r="D468" s="2" t="s">
        <v>175</v>
      </c>
      <c r="E468" s="2" t="s">
        <v>174</v>
      </c>
      <c r="F468" s="2" t="s">
        <v>853</v>
      </c>
      <c r="G468" s="2" t="s">
        <v>1561</v>
      </c>
      <c r="H468" s="2" t="s">
        <v>3154</v>
      </c>
      <c r="I468" s="2" t="s">
        <v>3155</v>
      </c>
      <c r="J468" s="2" t="s">
        <v>3693</v>
      </c>
      <c r="K468" s="2">
        <v>0</v>
      </c>
      <c r="L468" s="2">
        <v>0</v>
      </c>
      <c r="M468" s="2">
        <v>0</v>
      </c>
      <c r="N468" s="2">
        <v>1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</row>
    <row r="469" spans="1:30" x14ac:dyDescent="0.25">
      <c r="A469" s="2" t="s">
        <v>23</v>
      </c>
      <c r="B469" s="2" t="s">
        <v>85</v>
      </c>
      <c r="C469" s="2" t="s">
        <v>84</v>
      </c>
      <c r="D469" s="2" t="s">
        <v>175</v>
      </c>
      <c r="E469" s="2" t="s">
        <v>174</v>
      </c>
      <c r="F469" s="2" t="s">
        <v>831</v>
      </c>
      <c r="G469" s="2" t="s">
        <v>1529</v>
      </c>
      <c r="H469" s="2" t="s">
        <v>3158</v>
      </c>
      <c r="I469" s="2" t="s">
        <v>3159</v>
      </c>
      <c r="J469" s="2" t="s">
        <v>3693</v>
      </c>
      <c r="K469" s="2">
        <v>0</v>
      </c>
      <c r="L469" s="2">
        <v>0</v>
      </c>
      <c r="M469" s="2">
        <v>0</v>
      </c>
      <c r="N469" s="2">
        <v>1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</row>
    <row r="470" spans="1:30" x14ac:dyDescent="0.25">
      <c r="A470" s="2" t="s">
        <v>23</v>
      </c>
      <c r="B470" s="2" t="s">
        <v>85</v>
      </c>
      <c r="C470" s="2" t="s">
        <v>84</v>
      </c>
      <c r="D470" s="2" t="s">
        <v>175</v>
      </c>
      <c r="E470" s="2" t="s">
        <v>174</v>
      </c>
      <c r="F470" s="2" t="s">
        <v>833</v>
      </c>
      <c r="G470" s="2" t="s">
        <v>1310</v>
      </c>
      <c r="H470" s="2" t="s">
        <v>3170</v>
      </c>
      <c r="I470" s="2" t="s">
        <v>3171</v>
      </c>
      <c r="J470" s="2" t="s">
        <v>2074</v>
      </c>
      <c r="K470" s="2">
        <v>0</v>
      </c>
      <c r="L470" s="2">
        <v>0</v>
      </c>
      <c r="M470" s="2">
        <v>0</v>
      </c>
      <c r="N470" s="2">
        <v>1</v>
      </c>
      <c r="O470" s="2">
        <v>0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</row>
    <row r="471" spans="1:30" x14ac:dyDescent="0.25">
      <c r="A471" s="2" t="s">
        <v>23</v>
      </c>
      <c r="B471" s="2" t="s">
        <v>85</v>
      </c>
      <c r="C471" s="2" t="s">
        <v>84</v>
      </c>
      <c r="D471" s="2" t="s">
        <v>175</v>
      </c>
      <c r="E471" s="2" t="s">
        <v>174</v>
      </c>
      <c r="F471" s="2" t="s">
        <v>1971</v>
      </c>
      <c r="G471" s="2" t="s">
        <v>1972</v>
      </c>
      <c r="H471" s="2" t="s">
        <v>3136</v>
      </c>
      <c r="I471" s="2" t="s">
        <v>3137</v>
      </c>
      <c r="J471" s="2" t="s">
        <v>2074</v>
      </c>
      <c r="K471" s="2">
        <v>0</v>
      </c>
      <c r="L471" s="2">
        <v>0</v>
      </c>
      <c r="M471" s="2">
        <v>0</v>
      </c>
      <c r="N471" s="2">
        <v>1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1</v>
      </c>
      <c r="Y471" s="2">
        <v>1</v>
      </c>
      <c r="Z471" s="2">
        <v>1</v>
      </c>
      <c r="AA471" s="2">
        <v>1</v>
      </c>
      <c r="AB471" s="2">
        <v>1</v>
      </c>
      <c r="AC471" s="2">
        <v>0</v>
      </c>
      <c r="AD471" s="2">
        <v>0</v>
      </c>
    </row>
    <row r="472" spans="1:30" x14ac:dyDescent="0.25">
      <c r="A472" s="2" t="s">
        <v>23</v>
      </c>
      <c r="B472" s="2" t="s">
        <v>85</v>
      </c>
      <c r="C472" s="2" t="s">
        <v>84</v>
      </c>
      <c r="D472" s="2" t="s">
        <v>175</v>
      </c>
      <c r="E472" s="2" t="s">
        <v>174</v>
      </c>
      <c r="F472" s="2" t="s">
        <v>815</v>
      </c>
      <c r="G472" s="2" t="s">
        <v>2141</v>
      </c>
      <c r="H472" s="2" t="s">
        <v>3174</v>
      </c>
      <c r="I472" s="2" t="s">
        <v>3175</v>
      </c>
      <c r="J472" s="2" t="s">
        <v>2074</v>
      </c>
      <c r="K472" s="2">
        <v>0</v>
      </c>
      <c r="L472" s="2">
        <v>0</v>
      </c>
      <c r="M472" s="2">
        <v>0</v>
      </c>
      <c r="N472" s="2">
        <v>2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1</v>
      </c>
      <c r="Y472" s="2">
        <v>0</v>
      </c>
      <c r="Z472" s="2">
        <v>0</v>
      </c>
      <c r="AA472" s="2">
        <v>0</v>
      </c>
      <c r="AB472" s="2">
        <v>2</v>
      </c>
      <c r="AC472" s="2">
        <v>0</v>
      </c>
      <c r="AD472" s="2">
        <v>2</v>
      </c>
    </row>
    <row r="473" spans="1:30" x14ac:dyDescent="0.25">
      <c r="A473" s="2" t="s">
        <v>23</v>
      </c>
      <c r="B473" s="2" t="s">
        <v>184</v>
      </c>
      <c r="C473" s="2" t="s">
        <v>183</v>
      </c>
      <c r="D473" s="2" t="s">
        <v>213</v>
      </c>
      <c r="E473" s="2" t="s">
        <v>212</v>
      </c>
      <c r="F473" s="2" t="s">
        <v>489</v>
      </c>
      <c r="G473" s="2" t="s">
        <v>1348</v>
      </c>
      <c r="H473" s="2" t="s">
        <v>3272</v>
      </c>
      <c r="I473" s="2" t="s">
        <v>3273</v>
      </c>
      <c r="J473" s="2" t="s">
        <v>2074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1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1</v>
      </c>
    </row>
    <row r="474" spans="1:30" x14ac:dyDescent="0.25">
      <c r="A474" s="2" t="s">
        <v>23</v>
      </c>
      <c r="B474" s="2" t="s">
        <v>184</v>
      </c>
      <c r="C474" s="2" t="s">
        <v>183</v>
      </c>
      <c r="D474" s="2" t="s">
        <v>213</v>
      </c>
      <c r="E474" s="2" t="s">
        <v>212</v>
      </c>
      <c r="F474" s="2" t="s">
        <v>2032</v>
      </c>
      <c r="G474" s="2" t="s">
        <v>2031</v>
      </c>
      <c r="H474" s="2" t="s">
        <v>3274</v>
      </c>
      <c r="I474" s="2" t="s">
        <v>3275</v>
      </c>
      <c r="J474" s="2" t="s">
        <v>2074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1</v>
      </c>
      <c r="AC474" s="2">
        <v>0</v>
      </c>
      <c r="AD474" s="2">
        <v>0</v>
      </c>
    </row>
    <row r="475" spans="1:30" x14ac:dyDescent="0.25">
      <c r="A475" s="2" t="s">
        <v>23</v>
      </c>
      <c r="B475" s="2" t="s">
        <v>184</v>
      </c>
      <c r="C475" s="2" t="s">
        <v>183</v>
      </c>
      <c r="D475" s="2" t="s">
        <v>213</v>
      </c>
      <c r="E475" s="2" t="s">
        <v>212</v>
      </c>
      <c r="F475" s="2" t="s">
        <v>2034</v>
      </c>
      <c r="G475" s="2" t="s">
        <v>2033</v>
      </c>
      <c r="H475" s="2" t="s">
        <v>3276</v>
      </c>
      <c r="I475" s="2" t="s">
        <v>3277</v>
      </c>
      <c r="J475" s="2" t="s">
        <v>2074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1</v>
      </c>
      <c r="AD475" s="2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P223"/>
  <sheetViews>
    <sheetView zoomScale="80" zoomScaleNormal="80" workbookViewId="0">
      <selection activeCell="G18" sqref="G18"/>
    </sheetView>
  </sheetViews>
  <sheetFormatPr defaultColWidth="11.42578125" defaultRowHeight="15" x14ac:dyDescent="0.25"/>
  <cols>
    <col min="1" max="1" width="11.42578125" style="96"/>
    <col min="2" max="2" width="25.140625" style="96" customWidth="1"/>
    <col min="3" max="3" width="17.140625" style="96" bestFit="1" customWidth="1"/>
    <col min="4" max="4" width="14.5703125" style="96" bestFit="1" customWidth="1"/>
    <col min="5" max="5" width="26.85546875" style="96" bestFit="1" customWidth="1"/>
    <col min="6" max="7" width="26.85546875" style="96" customWidth="1"/>
    <col min="8" max="8" width="22.85546875" style="96" bestFit="1" customWidth="1"/>
    <col min="9" max="9" width="23.42578125" style="96" customWidth="1"/>
    <col min="10" max="10" width="18.42578125" style="96" customWidth="1"/>
    <col min="11" max="11" width="14.85546875" style="96" customWidth="1"/>
    <col min="12" max="14" width="14.5703125" style="96" customWidth="1"/>
    <col min="15" max="17" width="18.28515625" style="96" customWidth="1"/>
    <col min="18" max="18" width="23.85546875" style="98" customWidth="1"/>
    <col min="19" max="19" width="15.85546875" style="98" bestFit="1" customWidth="1"/>
    <col min="20" max="20" width="20.42578125" style="98" customWidth="1"/>
    <col min="21" max="22" width="11.42578125" style="96"/>
    <col min="23" max="23" width="14.28515625" style="96" customWidth="1"/>
    <col min="24" max="24" width="16.5703125" style="96" bestFit="1" customWidth="1"/>
    <col min="25" max="31" width="11.42578125" style="96"/>
    <col min="32" max="32" width="16.5703125" style="96" bestFit="1" customWidth="1"/>
    <col min="33" max="33" width="13.42578125" style="96" customWidth="1"/>
    <col min="34" max="37" width="11.42578125" style="96"/>
    <col min="38" max="38" width="12.28515625" style="96" customWidth="1"/>
    <col min="39" max="16384" width="11.42578125" style="96"/>
  </cols>
  <sheetData>
    <row r="2" spans="1:41" ht="15.75" thickBot="1" x14ac:dyDescent="0.3">
      <c r="A2" s="98"/>
      <c r="B2" s="9"/>
      <c r="C2" s="383" t="s">
        <v>723</v>
      </c>
      <c r="D2" s="383"/>
      <c r="E2" s="383"/>
      <c r="F2" s="383"/>
      <c r="G2" s="383"/>
      <c r="H2" s="383" t="s">
        <v>721</v>
      </c>
      <c r="I2" s="383"/>
      <c r="J2" s="383"/>
      <c r="K2" s="383"/>
      <c r="L2" s="383"/>
      <c r="M2" s="383" t="s">
        <v>720</v>
      </c>
      <c r="N2" s="383"/>
      <c r="O2" s="383"/>
      <c r="P2" s="383"/>
      <c r="Q2" s="383"/>
    </row>
    <row r="3" spans="1:41" x14ac:dyDescent="0.25">
      <c r="A3" s="98"/>
      <c r="B3" s="161" t="s">
        <v>719</v>
      </c>
      <c r="C3" s="224" t="s">
        <v>1762</v>
      </c>
      <c r="D3" s="225" t="s">
        <v>1939</v>
      </c>
      <c r="E3" s="225" t="s">
        <v>1984</v>
      </c>
      <c r="F3" s="225" t="s">
        <v>2089</v>
      </c>
      <c r="G3" s="226" t="s">
        <v>3743</v>
      </c>
      <c r="H3" s="224" t="s">
        <v>1762</v>
      </c>
      <c r="I3" s="225" t="s">
        <v>1939</v>
      </c>
      <c r="J3" s="225" t="s">
        <v>1984</v>
      </c>
      <c r="K3" s="225" t="s">
        <v>2089</v>
      </c>
      <c r="L3" s="226" t="s">
        <v>3743</v>
      </c>
      <c r="M3" s="224" t="s">
        <v>1762</v>
      </c>
      <c r="N3" s="225" t="s">
        <v>1939</v>
      </c>
      <c r="O3" s="225" t="s">
        <v>1984</v>
      </c>
      <c r="P3" s="225" t="s">
        <v>2089</v>
      </c>
      <c r="Q3" s="226" t="s">
        <v>3743</v>
      </c>
      <c r="S3" s="37" t="s">
        <v>719</v>
      </c>
      <c r="T3" s="54" t="s">
        <v>1762</v>
      </c>
      <c r="U3" s="54" t="s">
        <v>1939</v>
      </c>
      <c r="V3" s="54" t="s">
        <v>1984</v>
      </c>
      <c r="W3" s="54" t="s">
        <v>2089</v>
      </c>
      <c r="X3" s="54" t="s">
        <v>3743</v>
      </c>
      <c r="Y3" s="54" t="s">
        <v>3744</v>
      </c>
      <c r="AF3" s="37" t="s">
        <v>1795</v>
      </c>
      <c r="AG3" s="54" t="s">
        <v>1762</v>
      </c>
      <c r="AH3" s="54" t="s">
        <v>1939</v>
      </c>
      <c r="AI3" s="54" t="s">
        <v>1984</v>
      </c>
      <c r="AJ3" s="54" t="s">
        <v>2089</v>
      </c>
      <c r="AK3" s="54" t="s">
        <v>3743</v>
      </c>
      <c r="AL3" s="54" t="s">
        <v>3744</v>
      </c>
    </row>
    <row r="4" spans="1:41" x14ac:dyDescent="0.25">
      <c r="A4" s="98"/>
      <c r="B4" s="223" t="s">
        <v>24</v>
      </c>
      <c r="C4" s="247">
        <v>5596</v>
      </c>
      <c r="D4" s="248">
        <v>5440</v>
      </c>
      <c r="E4" s="248">
        <v>5469</v>
      </c>
      <c r="F4" s="248">
        <v>5416</v>
      </c>
      <c r="G4" s="249">
        <f>SUMIFS(Locations[Ind_IDPs],Locations[Adm2_Name],Evolution_par_categorie!B4)</f>
        <v>5329</v>
      </c>
      <c r="H4" s="247">
        <v>241</v>
      </c>
      <c r="I4" s="248">
        <v>316</v>
      </c>
      <c r="J4" s="248">
        <v>334</v>
      </c>
      <c r="K4" s="248">
        <v>415</v>
      </c>
      <c r="L4" s="249">
        <f>SUMIFS(Locations[Ind_Returnees],Locations[Adm2_Name],Evolution_par_categorie!B4)</f>
        <v>330</v>
      </c>
      <c r="M4" s="247">
        <v>166</v>
      </c>
      <c r="N4" s="248">
        <v>271</v>
      </c>
      <c r="O4" s="248">
        <v>250</v>
      </c>
      <c r="P4" s="248">
        <v>250</v>
      </c>
      <c r="Q4" s="249">
        <f>SUMIFS(Locations[Ind_Unregistered_Refugees],Locations[Adm2_Name],Evolution_par_categorie!B4)</f>
        <v>253</v>
      </c>
      <c r="S4" s="55" t="s">
        <v>24</v>
      </c>
      <c r="T4" s="47">
        <f t="shared" ref="T4:T9" si="0">C4</f>
        <v>5596</v>
      </c>
      <c r="U4" s="47">
        <f t="shared" ref="U4:U9" si="1">D4</f>
        <v>5440</v>
      </c>
      <c r="V4" s="47">
        <f t="shared" ref="V4:V9" si="2">E4</f>
        <v>5469</v>
      </c>
      <c r="W4" s="47">
        <f t="shared" ref="W4:W9" si="3">F4</f>
        <v>5416</v>
      </c>
      <c r="X4" s="47">
        <f t="shared" ref="X4:X9" si="4">G4</f>
        <v>5329</v>
      </c>
      <c r="Y4" s="49">
        <f>(Tableau22[[#This Row],[Round 12]]-Tableau22[[#This Row],[Round 11]])/Tableau22[[#This Row],[Round 11]]</f>
        <v>-1.6063515509601181E-2</v>
      </c>
      <c r="AF4" s="55" t="s">
        <v>24</v>
      </c>
      <c r="AG4" s="47">
        <f t="shared" ref="AG4:AG9" si="5">C4</f>
        <v>5596</v>
      </c>
      <c r="AH4" s="47">
        <f t="shared" ref="AH4:AH9" si="6">D4</f>
        <v>5440</v>
      </c>
      <c r="AI4" s="47">
        <f t="shared" ref="AI4:AI9" si="7">E4</f>
        <v>5469</v>
      </c>
      <c r="AJ4" s="47">
        <f t="shared" ref="AJ4:AJ9" si="8">F4</f>
        <v>5416</v>
      </c>
      <c r="AK4" s="47">
        <f t="shared" ref="AK4:AK9" si="9">G4</f>
        <v>5329</v>
      </c>
      <c r="AL4" s="49">
        <f>(Tableau2231[[#This Row],[Round 12]]-Tableau2231[[#This Row],[Round 11]])/Tableau2231[[#This Row],[Round 11]]</f>
        <v>-1.6063515509601181E-2</v>
      </c>
      <c r="AN4" s="96" t="str">
        <f>Tableau2231[[#Headers],[Round 12]]</f>
        <v>Round 12</v>
      </c>
      <c r="AO4" s="216">
        <f>Tableau2231[[#Totals],[Round 12]]</f>
        <v>241030</v>
      </c>
    </row>
    <row r="5" spans="1:41" x14ac:dyDescent="0.25">
      <c r="A5" s="98"/>
      <c r="B5" s="223" t="s">
        <v>85</v>
      </c>
      <c r="C5" s="247">
        <v>118336</v>
      </c>
      <c r="D5" s="248">
        <v>125745</v>
      </c>
      <c r="E5" s="248">
        <v>127776</v>
      </c>
      <c r="F5" s="248">
        <v>127264</v>
      </c>
      <c r="G5" s="249">
        <f>SUMIFS(Locations[Ind_IDPs],Locations[Adm2_Name],Evolution_par_categorie!B5)</f>
        <v>125711</v>
      </c>
      <c r="H5" s="247">
        <v>25990</v>
      </c>
      <c r="I5" s="248">
        <v>24177</v>
      </c>
      <c r="J5" s="248">
        <v>25243</v>
      </c>
      <c r="K5" s="248">
        <v>25496</v>
      </c>
      <c r="L5" s="249">
        <f>SUMIFS(Locations[Ind_Returnees],Locations[Adm2_Name],Evolution_par_categorie!B5)</f>
        <v>27980</v>
      </c>
      <c r="M5" s="247">
        <v>28773</v>
      </c>
      <c r="N5" s="248">
        <v>27655</v>
      </c>
      <c r="O5" s="248">
        <v>26893</v>
      </c>
      <c r="P5" s="248">
        <v>26454</v>
      </c>
      <c r="Q5" s="249">
        <f>SUMIFS(Locations[Ind_Unregistered_Refugees],Locations[Adm2_Name],Evolution_par_categorie!B5)</f>
        <v>26067</v>
      </c>
      <c r="S5" s="55" t="s">
        <v>85</v>
      </c>
      <c r="T5" s="47">
        <f t="shared" si="0"/>
        <v>118336</v>
      </c>
      <c r="U5" s="47">
        <f t="shared" si="1"/>
        <v>125745</v>
      </c>
      <c r="V5" s="47">
        <f t="shared" si="2"/>
        <v>127776</v>
      </c>
      <c r="W5" s="47">
        <f t="shared" si="3"/>
        <v>127264</v>
      </c>
      <c r="X5" s="47">
        <f t="shared" si="4"/>
        <v>125711</v>
      </c>
      <c r="Y5" s="49">
        <f>(Tableau22[[#This Row],[Round 12]]-Tableau22[[#This Row],[Round 11]])/Tableau22[[#This Row],[Round 11]]</f>
        <v>-1.2202979632889112E-2</v>
      </c>
      <c r="AF5" s="55" t="s">
        <v>85</v>
      </c>
      <c r="AG5" s="47">
        <f t="shared" si="5"/>
        <v>118336</v>
      </c>
      <c r="AH5" s="47">
        <f t="shared" si="6"/>
        <v>125745</v>
      </c>
      <c r="AI5" s="47">
        <f t="shared" si="7"/>
        <v>127776</v>
      </c>
      <c r="AJ5" s="47">
        <f t="shared" si="8"/>
        <v>127264</v>
      </c>
      <c r="AK5" s="47">
        <f t="shared" si="9"/>
        <v>125711</v>
      </c>
      <c r="AL5" s="49">
        <f>(Tableau2231[[#This Row],[Round 12]]-Tableau2231[[#This Row],[Round 11]])/Tableau2231[[#This Row],[Round 11]]</f>
        <v>-1.2202979632889112E-2</v>
      </c>
      <c r="AN5" s="96" t="str">
        <f>Tableau2231[[#Headers],[Round 11]]</f>
        <v>Round 11</v>
      </c>
      <c r="AO5" s="216">
        <f>Tableau2231[[#Totals],[Round 11]]</f>
        <v>241987</v>
      </c>
    </row>
    <row r="6" spans="1:41" x14ac:dyDescent="0.25">
      <c r="A6" s="98"/>
      <c r="B6" s="223" t="s">
        <v>184</v>
      </c>
      <c r="C6" s="247">
        <v>10073</v>
      </c>
      <c r="D6" s="248">
        <v>9968</v>
      </c>
      <c r="E6" s="248">
        <v>9968</v>
      </c>
      <c r="F6" s="248">
        <v>10297</v>
      </c>
      <c r="G6" s="249">
        <f>SUMIFS(Locations[Ind_IDPs],Locations[Adm2_Name],Evolution_par_categorie!B6)</f>
        <v>10314</v>
      </c>
      <c r="H6" s="247">
        <v>5096</v>
      </c>
      <c r="I6" s="248">
        <v>5282</v>
      </c>
      <c r="J6" s="248">
        <v>5286</v>
      </c>
      <c r="K6" s="248">
        <v>6901</v>
      </c>
      <c r="L6" s="249">
        <f>SUMIFS(Locations[Ind_Returnees],Locations[Adm2_Name],Evolution_par_categorie!B6)</f>
        <v>6429</v>
      </c>
      <c r="M6" s="247">
        <v>143</v>
      </c>
      <c r="N6" s="248">
        <v>140</v>
      </c>
      <c r="O6" s="248">
        <v>143</v>
      </c>
      <c r="P6" s="248">
        <v>125</v>
      </c>
      <c r="Q6" s="249">
        <f>SUMIFS(Locations[Ind_Unregistered_Refugees],Locations[Adm2_Name],Evolution_par_categorie!B6)</f>
        <v>119</v>
      </c>
      <c r="S6" s="55" t="s">
        <v>184</v>
      </c>
      <c r="T6" s="47">
        <f t="shared" si="0"/>
        <v>10073</v>
      </c>
      <c r="U6" s="47">
        <f t="shared" si="1"/>
        <v>9968</v>
      </c>
      <c r="V6" s="47">
        <f t="shared" si="2"/>
        <v>9968</v>
      </c>
      <c r="W6" s="47">
        <f t="shared" si="3"/>
        <v>10297</v>
      </c>
      <c r="X6" s="47">
        <f t="shared" si="4"/>
        <v>10314</v>
      </c>
      <c r="Y6" s="49">
        <f>(Tableau22[[#This Row],[Round 12]]-Tableau22[[#This Row],[Round 11]])/Tableau22[[#This Row],[Round 11]]</f>
        <v>1.6509663008643293E-3</v>
      </c>
      <c r="AF6" s="55" t="s">
        <v>184</v>
      </c>
      <c r="AG6" s="47">
        <f t="shared" si="5"/>
        <v>10073</v>
      </c>
      <c r="AH6" s="47">
        <f t="shared" si="6"/>
        <v>9968</v>
      </c>
      <c r="AI6" s="47">
        <f t="shared" si="7"/>
        <v>9968</v>
      </c>
      <c r="AJ6" s="47">
        <f t="shared" si="8"/>
        <v>10297</v>
      </c>
      <c r="AK6" s="47">
        <f t="shared" si="9"/>
        <v>10314</v>
      </c>
      <c r="AL6" s="49">
        <f>(Tableau2231[[#This Row],[Round 12]]-Tableau2231[[#This Row],[Round 11]])/Tableau2231[[#This Row],[Round 11]]</f>
        <v>1.6509663008643293E-3</v>
      </c>
      <c r="AN6" s="96" t="str">
        <f>Tableau2231[[#Headers],[Round 10]]</f>
        <v>Round 10</v>
      </c>
      <c r="AO6" s="216">
        <f>Tableau2231[[#Totals],[Round 10]]</f>
        <v>237967</v>
      </c>
    </row>
    <row r="7" spans="1:41" x14ac:dyDescent="0.25">
      <c r="A7" s="98"/>
      <c r="B7" s="223" t="s">
        <v>218</v>
      </c>
      <c r="C7" s="247">
        <v>246</v>
      </c>
      <c r="D7" s="248">
        <v>137</v>
      </c>
      <c r="E7" s="248">
        <v>135</v>
      </c>
      <c r="F7" s="248">
        <v>132</v>
      </c>
      <c r="G7" s="249">
        <f>SUMIFS(Locations[Ind_IDPs],Locations[Adm2_Name],Evolution_par_categorie!B7)</f>
        <v>129</v>
      </c>
      <c r="H7" s="247">
        <v>633</v>
      </c>
      <c r="I7" s="248">
        <v>755</v>
      </c>
      <c r="J7" s="248">
        <v>726</v>
      </c>
      <c r="K7" s="248">
        <v>668</v>
      </c>
      <c r="L7" s="249">
        <f>SUMIFS(Locations[Ind_Returnees],Locations[Adm2_Name],Evolution_par_categorie!B7)</f>
        <v>667</v>
      </c>
      <c r="M7" s="247">
        <v>11</v>
      </c>
      <c r="N7" s="248">
        <v>20</v>
      </c>
      <c r="O7" s="248">
        <v>20</v>
      </c>
      <c r="P7" s="248">
        <v>20</v>
      </c>
      <c r="Q7" s="249">
        <f>SUMIFS(Locations[Ind_Unregistered_Refugees],Locations[Adm2_Name],Evolution_par_categorie!B7)</f>
        <v>20</v>
      </c>
      <c r="S7" s="55" t="s">
        <v>218</v>
      </c>
      <c r="T7" s="47">
        <f t="shared" si="0"/>
        <v>246</v>
      </c>
      <c r="U7" s="47">
        <f t="shared" si="1"/>
        <v>137</v>
      </c>
      <c r="V7" s="47">
        <f t="shared" si="2"/>
        <v>135</v>
      </c>
      <c r="W7" s="47">
        <f t="shared" si="3"/>
        <v>132</v>
      </c>
      <c r="X7" s="47">
        <f t="shared" si="4"/>
        <v>129</v>
      </c>
      <c r="Y7" s="49">
        <f>(Tableau22[[#This Row],[Round 12]]-Tableau22[[#This Row],[Round 11]])/Tableau22[[#This Row],[Round 11]]</f>
        <v>-2.2727272727272728E-2</v>
      </c>
      <c r="AF7" s="55" t="s">
        <v>218</v>
      </c>
      <c r="AG7" s="47">
        <f t="shared" si="5"/>
        <v>246</v>
      </c>
      <c r="AH7" s="47">
        <f t="shared" si="6"/>
        <v>137</v>
      </c>
      <c r="AI7" s="47">
        <f t="shared" si="7"/>
        <v>135</v>
      </c>
      <c r="AJ7" s="47">
        <f t="shared" si="8"/>
        <v>132</v>
      </c>
      <c r="AK7" s="47">
        <f t="shared" si="9"/>
        <v>129</v>
      </c>
      <c r="AL7" s="49">
        <f>(Tableau2231[[#This Row],[Round 12]]-Tableau2231[[#This Row],[Round 11]])/Tableau2231[[#This Row],[Round 11]]</f>
        <v>-2.2727272727272728E-2</v>
      </c>
    </row>
    <row r="8" spans="1:41" x14ac:dyDescent="0.25">
      <c r="A8" s="98"/>
      <c r="B8" s="223" t="s">
        <v>48</v>
      </c>
      <c r="C8" s="247">
        <v>56865</v>
      </c>
      <c r="D8" s="248">
        <v>58653</v>
      </c>
      <c r="E8" s="248">
        <v>58544</v>
      </c>
      <c r="F8" s="248">
        <v>59967</v>
      </c>
      <c r="G8" s="249">
        <f>SUMIFS(Locations[Ind_IDPs],Locations[Adm2_Name],Evolution_par_categorie!B8)</f>
        <v>59506</v>
      </c>
      <c r="H8" s="247">
        <v>12265</v>
      </c>
      <c r="I8" s="248">
        <v>13065</v>
      </c>
      <c r="J8" s="248">
        <v>13437</v>
      </c>
      <c r="K8" s="248">
        <v>13467</v>
      </c>
      <c r="L8" s="249">
        <f>SUMIFS(Locations[Ind_Returnees],Locations[Adm2_Name],Evolution_par_categorie!B8)</f>
        <v>17128</v>
      </c>
      <c r="M8" s="247">
        <v>204</v>
      </c>
      <c r="N8" s="248">
        <v>0</v>
      </c>
      <c r="O8" s="248">
        <v>0</v>
      </c>
      <c r="P8" s="248">
        <v>0</v>
      </c>
      <c r="Q8" s="249">
        <f>SUMIFS(Locations[Ind_Unregistered_Refugees],Locations[Adm2_Name],Evolution_par_categorie!B8)</f>
        <v>0</v>
      </c>
      <c r="S8" s="55" t="s">
        <v>48</v>
      </c>
      <c r="T8" s="47">
        <f t="shared" si="0"/>
        <v>56865</v>
      </c>
      <c r="U8" s="47">
        <f t="shared" si="1"/>
        <v>58653</v>
      </c>
      <c r="V8" s="47">
        <f t="shared" si="2"/>
        <v>58544</v>
      </c>
      <c r="W8" s="47">
        <f t="shared" si="3"/>
        <v>59967</v>
      </c>
      <c r="X8" s="47">
        <f t="shared" si="4"/>
        <v>59506</v>
      </c>
      <c r="Y8" s="49">
        <f>(Tableau22[[#This Row],[Round 12]]-Tableau22[[#This Row],[Round 11]])/Tableau22[[#This Row],[Round 11]]</f>
        <v>-7.6875614921540179E-3</v>
      </c>
      <c r="AF8" s="55" t="s">
        <v>48</v>
      </c>
      <c r="AG8" s="47">
        <f t="shared" si="5"/>
        <v>56865</v>
      </c>
      <c r="AH8" s="47">
        <f t="shared" si="6"/>
        <v>58653</v>
      </c>
      <c r="AI8" s="47">
        <f t="shared" si="7"/>
        <v>58544</v>
      </c>
      <c r="AJ8" s="47">
        <f t="shared" si="8"/>
        <v>59967</v>
      </c>
      <c r="AK8" s="47">
        <f t="shared" si="9"/>
        <v>59506</v>
      </c>
      <c r="AL8" s="49">
        <f>(Tableau2231[[#This Row],[Round 12]]-Tableau2231[[#This Row],[Round 11]])/Tableau2231[[#This Row],[Round 11]]</f>
        <v>-7.6875614921540179E-3</v>
      </c>
    </row>
    <row r="9" spans="1:41" ht="15.75" thickBot="1" x14ac:dyDescent="0.3">
      <c r="A9" s="98"/>
      <c r="B9" s="223" t="s">
        <v>37</v>
      </c>
      <c r="C9" s="250">
        <v>37327</v>
      </c>
      <c r="D9" s="251">
        <v>35970</v>
      </c>
      <c r="E9" s="251">
        <v>36075</v>
      </c>
      <c r="F9" s="251">
        <v>38911</v>
      </c>
      <c r="G9" s="252">
        <f>SUMIFS(Locations[Ind_IDPs],Locations[Adm2_Name],Evolution_par_categorie!B9)</f>
        <v>40041</v>
      </c>
      <c r="H9" s="250">
        <v>13802</v>
      </c>
      <c r="I9" s="251">
        <v>15803</v>
      </c>
      <c r="J9" s="251">
        <v>16064</v>
      </c>
      <c r="K9" s="251">
        <v>16745</v>
      </c>
      <c r="L9" s="252">
        <f>SUMIFS(Locations[Ind_Returnees],Locations[Adm2_Name],Evolution_par_categorie!B9)</f>
        <v>17196</v>
      </c>
      <c r="M9" s="250">
        <v>3162</v>
      </c>
      <c r="N9" s="251">
        <v>2192</v>
      </c>
      <c r="O9" s="251">
        <v>2422</v>
      </c>
      <c r="P9" s="251">
        <v>2488</v>
      </c>
      <c r="Q9" s="252">
        <f>SUMIFS(Locations[Ind_Unregistered_Refugees],Locations[Adm2_Name],Evolution_par_categorie!B9)</f>
        <v>5197</v>
      </c>
      <c r="S9" s="55" t="s">
        <v>37</v>
      </c>
      <c r="T9" s="47">
        <f t="shared" si="0"/>
        <v>37327</v>
      </c>
      <c r="U9" s="47">
        <f t="shared" si="1"/>
        <v>35970</v>
      </c>
      <c r="V9" s="47">
        <f t="shared" si="2"/>
        <v>36075</v>
      </c>
      <c r="W9" s="47">
        <f t="shared" si="3"/>
        <v>38911</v>
      </c>
      <c r="X9" s="47">
        <f t="shared" si="4"/>
        <v>40041</v>
      </c>
      <c r="Y9" s="49">
        <f>(Tableau22[[#This Row],[Round 12]]-Tableau22[[#This Row],[Round 11]])/Tableau22[[#This Row],[Round 11]]</f>
        <v>2.9040631183983964E-2</v>
      </c>
      <c r="AF9" s="55" t="s">
        <v>37</v>
      </c>
      <c r="AG9" s="47">
        <f t="shared" si="5"/>
        <v>37327</v>
      </c>
      <c r="AH9" s="47">
        <f t="shared" si="6"/>
        <v>35970</v>
      </c>
      <c r="AI9" s="47">
        <f t="shared" si="7"/>
        <v>36075</v>
      </c>
      <c r="AJ9" s="47">
        <f t="shared" si="8"/>
        <v>38911</v>
      </c>
      <c r="AK9" s="47">
        <f t="shared" si="9"/>
        <v>40041</v>
      </c>
      <c r="AL9" s="49">
        <f>(Tableau2231[[#This Row],[Round 12]]-Tableau2231[[#This Row],[Round 11]])/Tableau2231[[#This Row],[Round 11]]</f>
        <v>2.9040631183983964E-2</v>
      </c>
    </row>
    <row r="10" spans="1:41" x14ac:dyDescent="0.25">
      <c r="A10" s="98"/>
      <c r="B10" s="286" t="s">
        <v>715</v>
      </c>
      <c r="C10" s="219">
        <f>SUM(C4:C9)</f>
        <v>228443</v>
      </c>
      <c r="D10" s="219">
        <f>SUM(D4:D9)</f>
        <v>235913</v>
      </c>
      <c r="E10" s="219">
        <f>SUM(E4:E9)</f>
        <v>237967</v>
      </c>
      <c r="F10" s="219">
        <f>SUM(F4:F9)</f>
        <v>241987</v>
      </c>
      <c r="G10" s="219">
        <f>SUM(G4:G9)</f>
        <v>241030</v>
      </c>
      <c r="H10" s="219">
        <f t="shared" ref="H10:J10" si="10">SUM(H4:H9)</f>
        <v>58027</v>
      </c>
      <c r="I10" s="219">
        <f t="shared" si="10"/>
        <v>59398</v>
      </c>
      <c r="J10" s="219">
        <f t="shared" si="10"/>
        <v>61090</v>
      </c>
      <c r="K10" s="219">
        <f>SUM(K4:K9)</f>
        <v>63692</v>
      </c>
      <c r="L10" s="219">
        <f>SUM(L4:L9)</f>
        <v>69730</v>
      </c>
      <c r="M10" s="219">
        <f>SUM(M4:M9)</f>
        <v>32459</v>
      </c>
      <c r="N10" s="219">
        <f>SUM(N4:N9)</f>
        <v>30278</v>
      </c>
      <c r="O10" s="219">
        <f t="shared" ref="O10" si="11">SUM(O4:O9)</f>
        <v>29728</v>
      </c>
      <c r="P10" s="219">
        <f>SUM(P4:P9)</f>
        <v>29337</v>
      </c>
      <c r="Q10" s="219">
        <f>SUM(Q4:Q9)</f>
        <v>31656</v>
      </c>
      <c r="R10" s="96"/>
      <c r="S10" s="348" t="s">
        <v>715</v>
      </c>
      <c r="T10" s="349">
        <f>SUM(T4:T9)</f>
        <v>228443</v>
      </c>
      <c r="U10" s="349">
        <f>SUM(U4:U9)</f>
        <v>235913</v>
      </c>
      <c r="V10" s="349">
        <f>SUM(V4:V9)</f>
        <v>237967</v>
      </c>
      <c r="W10" s="349">
        <f>SUBTOTAL(109,Tableau22[Round 11])</f>
        <v>241987</v>
      </c>
      <c r="X10" s="350">
        <f>SUBTOTAL(109,Tableau22[Round 12])</f>
        <v>241030</v>
      </c>
      <c r="Y10" s="351"/>
      <c r="AF10" s="348" t="s">
        <v>715</v>
      </c>
      <c r="AG10" s="349">
        <f>SUM(AG4:AG9)</f>
        <v>228443</v>
      </c>
      <c r="AH10" s="349">
        <f>SUM(AH4:AH9)</f>
        <v>235913</v>
      </c>
      <c r="AI10" s="349">
        <f>SUM(AI4:AI9)</f>
        <v>237967</v>
      </c>
      <c r="AJ10" s="349">
        <f>SUBTOTAL(109,Tableau2231[Round 11])</f>
        <v>241987</v>
      </c>
      <c r="AK10" s="350">
        <f>SUBTOTAL(109,Tableau2231[Round 12])</f>
        <v>241030</v>
      </c>
      <c r="AL10" s="351"/>
    </row>
    <row r="11" spans="1:41" x14ac:dyDescent="0.25">
      <c r="A11" s="98"/>
      <c r="B11" s="136" t="s">
        <v>1938</v>
      </c>
      <c r="C11" s="98"/>
      <c r="D11" s="104">
        <f>(D10-C10)/C10</f>
        <v>3.269962310072972E-2</v>
      </c>
      <c r="E11" s="104">
        <f>(E10-C10)/C10</f>
        <v>4.1690925088534121E-2</v>
      </c>
      <c r="F11" s="104">
        <f>(F10-C10)/C10</f>
        <v>5.9288312620653733E-2</v>
      </c>
      <c r="G11" s="104">
        <f>(G10-C10)/C10</f>
        <v>5.5099083797708837E-2</v>
      </c>
      <c r="H11" s="98"/>
      <c r="I11" s="104">
        <f>(I10-H10)/H10</f>
        <v>2.3626932290140797E-2</v>
      </c>
      <c r="J11" s="104">
        <f>(J10-H10)/H10</f>
        <v>5.2785772140555257E-2</v>
      </c>
      <c r="K11" s="104">
        <f>(K10-H10)/H10</f>
        <v>9.7626966756854575E-2</v>
      </c>
      <c r="L11" s="104">
        <f>(L10-H10)/H10</f>
        <v>0.20168197563203336</v>
      </c>
      <c r="M11" s="104"/>
      <c r="N11" s="104">
        <f>(N10-M10)/M10</f>
        <v>-6.7192458178009187E-2</v>
      </c>
      <c r="O11" s="104">
        <f>(O10-M10)/M10</f>
        <v>-8.4136911180258178E-2</v>
      </c>
      <c r="P11" s="104">
        <f>(P10-M10)/M10</f>
        <v>-9.6182876860038818E-2</v>
      </c>
      <c r="Q11" s="104">
        <f>(Q10-M10)/M10</f>
        <v>-2.4738901383283527E-2</v>
      </c>
    </row>
    <row r="12" spans="1:41" x14ac:dyDescent="0.25">
      <c r="A12" s="98"/>
      <c r="B12" s="136" t="s">
        <v>1986</v>
      </c>
      <c r="C12" s="98"/>
      <c r="D12" s="98"/>
      <c r="E12" s="104">
        <f>(E10-D10)/D10</f>
        <v>8.7065994667525747E-3</v>
      </c>
      <c r="F12" s="104">
        <f>(F10-D10)/D10</f>
        <v>2.5746779533132976E-2</v>
      </c>
      <c r="G12" s="104">
        <f>(G10-D10)/D10</f>
        <v>2.1690199353151373E-2</v>
      </c>
      <c r="H12" s="98"/>
      <c r="I12" s="98"/>
      <c r="J12" s="104">
        <f>(J10-I10)/I10</f>
        <v>2.8485807602949595E-2</v>
      </c>
      <c r="K12" s="104">
        <f>(K10-I10)/I10</f>
        <v>7.2291996363513925E-2</v>
      </c>
      <c r="L12" s="104">
        <f>(L10-I10)/I10</f>
        <v>0.17394525068184113</v>
      </c>
      <c r="M12" s="98"/>
      <c r="N12" s="104"/>
      <c r="O12" s="104">
        <f>(O10-N10)/N10</f>
        <v>-1.816500429354647E-2</v>
      </c>
      <c r="P12" s="104">
        <f>(P10-N10)/N10</f>
        <v>-3.1078670982231323E-2</v>
      </c>
      <c r="Q12" s="104">
        <f>(Q10-N10)/N10</f>
        <v>4.5511592575467337E-2</v>
      </c>
    </row>
    <row r="13" spans="1:41" x14ac:dyDescent="0.25">
      <c r="A13" s="98"/>
      <c r="B13" s="136" t="s">
        <v>2090</v>
      </c>
      <c r="C13" s="98"/>
      <c r="D13" s="98"/>
      <c r="E13" s="104"/>
      <c r="F13" s="104">
        <f>(F10-E10)/E10</f>
        <v>1.6893098622918302E-2</v>
      </c>
      <c r="G13" s="104">
        <f>(G10-E10)/E10</f>
        <v>1.2871532607462379E-2</v>
      </c>
      <c r="H13" s="98"/>
      <c r="I13" s="98"/>
      <c r="J13" s="104"/>
      <c r="K13" s="104">
        <f>(K10-J10)/J10</f>
        <v>4.2592895727614995E-2</v>
      </c>
      <c r="L13" s="104">
        <f>(L10-J10)/J10</f>
        <v>0.14143067605172696</v>
      </c>
      <c r="M13" s="98"/>
      <c r="N13" s="98"/>
      <c r="O13" s="104"/>
      <c r="P13" s="104">
        <f>(P10-O10)/O10</f>
        <v>-1.3152583423035522E-2</v>
      </c>
      <c r="Q13" s="104">
        <f>(Q10-O10)/O10</f>
        <v>6.4854682454251883E-2</v>
      </c>
    </row>
    <row r="14" spans="1:41" x14ac:dyDescent="0.25">
      <c r="B14" s="136" t="s">
        <v>3747</v>
      </c>
      <c r="E14" s="227"/>
      <c r="F14" s="227"/>
      <c r="G14" s="227">
        <f>(G10-F10)/F10</f>
        <v>-3.9547579002177802E-3</v>
      </c>
      <c r="J14" s="227"/>
      <c r="K14" s="227"/>
      <c r="L14" s="227">
        <f>(L10-K10)/K10</f>
        <v>9.47999748791057E-2</v>
      </c>
      <c r="O14" s="227"/>
      <c r="P14" s="227"/>
      <c r="Q14" s="227">
        <f>(Q10-P10)/P10</f>
        <v>7.9046937314653856E-2</v>
      </c>
    </row>
    <row r="15" spans="1:41" x14ac:dyDescent="0.25">
      <c r="B15" s="136"/>
      <c r="E15" s="227"/>
      <c r="F15" s="227"/>
      <c r="G15" s="227"/>
      <c r="J15" s="227"/>
      <c r="K15" s="227"/>
      <c r="O15" s="227"/>
      <c r="P15" s="227"/>
      <c r="Q15" s="227"/>
    </row>
    <row r="16" spans="1:41" x14ac:dyDescent="0.25">
      <c r="B16" s="136"/>
      <c r="E16" s="227"/>
      <c r="F16" s="227"/>
      <c r="G16" s="227"/>
      <c r="J16" s="227"/>
      <c r="K16" s="227"/>
      <c r="O16" s="227"/>
      <c r="P16" s="227"/>
      <c r="Q16" s="227"/>
    </row>
    <row r="17" spans="1:23" x14ac:dyDescent="0.25">
      <c r="I17" s="228"/>
      <c r="J17" s="228"/>
      <c r="K17" s="228"/>
      <c r="L17" s="228"/>
      <c r="M17" s="228"/>
      <c r="N17" s="228"/>
      <c r="O17" s="228"/>
      <c r="P17" s="228"/>
      <c r="Q17" s="228"/>
      <c r="R17" s="229"/>
      <c r="S17" s="229"/>
      <c r="T17" s="229"/>
      <c r="U17" s="228"/>
      <c r="V17" s="228"/>
      <c r="W17" s="228"/>
    </row>
    <row r="18" spans="1:23" x14ac:dyDescent="0.25">
      <c r="I18" s="228"/>
      <c r="J18" s="228"/>
      <c r="K18" s="228"/>
      <c r="L18" s="228"/>
      <c r="M18" s="228"/>
      <c r="N18" s="228"/>
      <c r="O18" s="239"/>
      <c r="P18" s="98"/>
      <c r="Q18" s="98"/>
      <c r="R18" s="96"/>
      <c r="S18" s="229"/>
      <c r="T18" s="229"/>
      <c r="U18" s="228"/>
      <c r="V18" s="228"/>
      <c r="W18" s="228"/>
    </row>
    <row r="19" spans="1:23" ht="15.75" thickBot="1" x14ac:dyDescent="0.3">
      <c r="O19" s="239"/>
      <c r="P19" s="98"/>
      <c r="Q19" s="98"/>
      <c r="R19" s="96"/>
    </row>
    <row r="20" spans="1:23" ht="42" customHeight="1" thickBot="1" x14ac:dyDescent="0.3">
      <c r="B20" s="10" t="s">
        <v>859</v>
      </c>
      <c r="C20" s="11" t="s">
        <v>1940</v>
      </c>
      <c r="D20" s="11" t="s">
        <v>1765</v>
      </c>
      <c r="E20" s="11" t="s">
        <v>1941</v>
      </c>
      <c r="F20" s="11" t="s">
        <v>858</v>
      </c>
      <c r="G20" s="230"/>
      <c r="I20" s="10" t="s">
        <v>859</v>
      </c>
      <c r="J20" s="11" t="s">
        <v>723</v>
      </c>
      <c r="K20" s="11" t="s">
        <v>721</v>
      </c>
      <c r="L20" s="11" t="s">
        <v>720</v>
      </c>
      <c r="M20" s="11" t="s">
        <v>858</v>
      </c>
      <c r="O20" s="239"/>
      <c r="P20" s="98"/>
      <c r="Q20" s="98"/>
      <c r="R20" s="96"/>
    </row>
    <row r="21" spans="1:23" ht="15.75" thickBot="1" x14ac:dyDescent="0.3">
      <c r="B21" s="7" t="s">
        <v>24</v>
      </c>
      <c r="C21" s="8">
        <f t="shared" ref="C21:E21" si="12">SUM(C22:C27)</f>
        <v>5329</v>
      </c>
      <c r="D21" s="8">
        <f t="shared" si="12"/>
        <v>330</v>
      </c>
      <c r="E21" s="8">
        <f t="shared" si="12"/>
        <v>253</v>
      </c>
      <c r="F21" s="8">
        <f>SUM(F22:F27)</f>
        <v>5912</v>
      </c>
      <c r="G21" s="231"/>
      <c r="I21" s="7" t="s">
        <v>24</v>
      </c>
      <c r="J21" s="8">
        <f t="shared" ref="J21:L21" si="13">SUM(J22:J27)</f>
        <v>5329</v>
      </c>
      <c r="K21" s="8">
        <f t="shared" si="13"/>
        <v>330</v>
      </c>
      <c r="L21" s="8">
        <f t="shared" si="13"/>
        <v>253</v>
      </c>
      <c r="M21" s="8">
        <f>SUM(M22:M27)</f>
        <v>5912</v>
      </c>
      <c r="O21" s="239"/>
      <c r="P21" s="98"/>
      <c r="Q21" s="98"/>
      <c r="R21" s="96"/>
    </row>
    <row r="22" spans="1:23" ht="15.75" thickBot="1" x14ac:dyDescent="0.3">
      <c r="A22" s="96">
        <v>1</v>
      </c>
      <c r="B22" s="253" t="s">
        <v>656</v>
      </c>
      <c r="C22" s="254">
        <f>GETPIVOTDATA("ind",'Displacement &amp; Returns'!$C$108,"adm2_name","Diamare","adm3_name",B22,"deplacement","idp")</f>
        <v>0</v>
      </c>
      <c r="D22" s="254">
        <f>GETPIVOTDATA("ind",'Displacement &amp; Returns'!$C$108,"adm2_name","Diamare","adm3_name",B22,"deplacement","Retournés")</f>
        <v>311</v>
      </c>
      <c r="E22" s="254">
        <f>GETPIVOTDATA("ind",'Displacement &amp; Returns'!$C$108,"adm2_name","Diamare","adm3_name",B22,"deplacement","réfugiés non-enregistrés")</f>
        <v>0</v>
      </c>
      <c r="F22" s="254">
        <f t="shared" ref="F22:F27" si="14">SUM(C22:E22)</f>
        <v>311</v>
      </c>
      <c r="G22" s="232"/>
      <c r="I22" s="253" t="s">
        <v>656</v>
      </c>
      <c r="J22" s="254">
        <f>GETPIVOTDATA("ind",'Displacement &amp; Returns'!$M$108,"adm2_name","Diamare","adm3_name",I22,"deplacement","idp")</f>
        <v>0</v>
      </c>
      <c r="K22" s="254">
        <f>GETPIVOTDATA("ind",'Displacement &amp; Returns'!$M$108,"adm2_name","Diamare","adm3_name",I22,"deplacement","Returnees")</f>
        <v>311</v>
      </c>
      <c r="L22" s="254">
        <f>GETPIVOTDATA("ind",'Displacement &amp; Returns'!$M$108,"adm2_name","Diamare","adm3_name",I22,"deplacement","Unregistered Refugees")</f>
        <v>0</v>
      </c>
      <c r="M22" s="254">
        <f t="shared" ref="M22:M27" si="15">SUM(J22:L22)</f>
        <v>311</v>
      </c>
      <c r="O22" s="239"/>
      <c r="P22" s="98"/>
      <c r="Q22" s="98"/>
      <c r="R22" s="96"/>
    </row>
    <row r="23" spans="1:23" ht="15.75" thickBot="1" x14ac:dyDescent="0.3">
      <c r="A23" s="96">
        <v>2</v>
      </c>
      <c r="B23" s="253" t="s">
        <v>26</v>
      </c>
      <c r="C23" s="254">
        <f>GETPIVOTDATA("ind",'Displacement &amp; Returns'!$C$108,"adm2_name","Diamare","adm3_name",B23,"deplacement","idp")</f>
        <v>273</v>
      </c>
      <c r="D23" s="254">
        <f>GETPIVOTDATA("ind",'Displacement &amp; Returns'!$C$108,"adm2_name","Diamare","adm3_name",B23,"deplacement","Retournés")</f>
        <v>0</v>
      </c>
      <c r="E23" s="254">
        <f>GETPIVOTDATA("ind",'Displacement &amp; Returns'!$C$108,"adm2_name","Diamare","adm3_name",B23,"deplacement","réfugiés non-enregistrés")</f>
        <v>0</v>
      </c>
      <c r="F23" s="254">
        <f t="shared" si="14"/>
        <v>273</v>
      </c>
      <c r="G23" s="232"/>
      <c r="I23" s="253" t="s">
        <v>26</v>
      </c>
      <c r="J23" s="254">
        <f>GETPIVOTDATA("ind",'Displacement &amp; Returns'!$M$108,"adm2_name","Diamare","adm3_name",I23,"deplacement","idp")</f>
        <v>273</v>
      </c>
      <c r="K23" s="254">
        <f>GETPIVOTDATA("ind",'Displacement &amp; Returns'!$M$108,"adm2_name","Diamare","adm3_name",I23,"deplacement","Returnees")</f>
        <v>0</v>
      </c>
      <c r="L23" s="254">
        <f>GETPIVOTDATA("ind",'Displacement &amp; Returns'!$M$108,"adm2_name","Diamare","adm3_name",I23,"deplacement","Unregistered Refugees")</f>
        <v>0</v>
      </c>
      <c r="M23" s="254">
        <f t="shared" si="15"/>
        <v>273</v>
      </c>
      <c r="O23" s="239"/>
      <c r="P23" s="98"/>
      <c r="Q23" s="98"/>
      <c r="R23" s="96"/>
    </row>
    <row r="24" spans="1:23" ht="15.75" thickBot="1" x14ac:dyDescent="0.3">
      <c r="A24" s="96">
        <v>3</v>
      </c>
      <c r="B24" s="253" t="s">
        <v>44</v>
      </c>
      <c r="C24" s="254">
        <f>GETPIVOTDATA("ind",'Displacement &amp; Returns'!$C$108,"adm2_name","Diamare","adm3_name",B24,"deplacement","idp")</f>
        <v>741</v>
      </c>
      <c r="D24" s="254">
        <f>GETPIVOTDATA("ind",'Displacement &amp; Returns'!$C$108,"adm2_name","Diamare","adm3_name",B24,"deplacement","Retournés")</f>
        <v>0</v>
      </c>
      <c r="E24" s="254">
        <f>GETPIVOTDATA("ind",'Displacement &amp; Returns'!$C$108,"adm2_name","Diamare","adm3_name",B24,"deplacement","réfugiés non-enregistrés")</f>
        <v>0</v>
      </c>
      <c r="F24" s="254">
        <f t="shared" si="14"/>
        <v>741</v>
      </c>
      <c r="G24" s="232"/>
      <c r="I24" s="253" t="s">
        <v>44</v>
      </c>
      <c r="J24" s="254">
        <f>GETPIVOTDATA("ind",'Displacement &amp; Returns'!$M$108,"adm2_name","Diamare","adm3_name",I24,"deplacement","idp")</f>
        <v>741</v>
      </c>
      <c r="K24" s="254">
        <f>GETPIVOTDATA("ind",'Displacement &amp; Returns'!$M$108,"adm2_name","Diamare","adm3_name",I24,"deplacement","Returnees")</f>
        <v>0</v>
      </c>
      <c r="L24" s="254">
        <f>GETPIVOTDATA("ind",'Displacement &amp; Returns'!$M$108,"adm2_name","Diamare","adm3_name",I24,"deplacement","Unregistered Refugees")</f>
        <v>0</v>
      </c>
      <c r="M24" s="254">
        <f t="shared" si="15"/>
        <v>741</v>
      </c>
      <c r="O24" s="239"/>
      <c r="P24" s="98"/>
      <c r="Q24" s="98"/>
      <c r="R24" s="96"/>
    </row>
    <row r="25" spans="1:23" ht="15.75" thickBot="1" x14ac:dyDescent="0.3">
      <c r="A25" s="96">
        <v>4</v>
      </c>
      <c r="B25" s="253" t="s">
        <v>50</v>
      </c>
      <c r="C25" s="254">
        <f>GETPIVOTDATA("ind",'Displacement &amp; Returns'!$C$108,"adm2_name","Diamare","adm3_name",B25,"deplacement","idp")</f>
        <v>2239</v>
      </c>
      <c r="D25" s="254">
        <f>GETPIVOTDATA("ind",'Displacement &amp; Returns'!$C$108,"adm2_name","Diamare","adm3_name",B25,"deplacement","Retournés")</f>
        <v>0</v>
      </c>
      <c r="E25" s="254">
        <f>GETPIVOTDATA("ind",'Displacement &amp; Returns'!$C$108,"adm2_name","Diamare","adm3_name",B25,"deplacement","réfugiés non-enregistrés")</f>
        <v>0</v>
      </c>
      <c r="F25" s="254">
        <f t="shared" si="14"/>
        <v>2239</v>
      </c>
      <c r="G25" s="232"/>
      <c r="I25" s="253" t="s">
        <v>50</v>
      </c>
      <c r="J25" s="254">
        <f>GETPIVOTDATA("ind",'Displacement &amp; Returns'!$M$108,"adm2_name","Diamare","adm3_name",I25,"deplacement","idp")</f>
        <v>2239</v>
      </c>
      <c r="K25" s="254">
        <f>GETPIVOTDATA("ind",'Displacement &amp; Returns'!$M$108,"adm2_name","Diamare","adm3_name",I25,"deplacement","Returnees")</f>
        <v>0</v>
      </c>
      <c r="L25" s="254">
        <f>GETPIVOTDATA("ind",'Displacement &amp; Returns'!$M$108,"adm2_name","Diamare","adm3_name",I25,"deplacement","Unregistered Refugees")</f>
        <v>0</v>
      </c>
      <c r="M25" s="254">
        <f t="shared" si="15"/>
        <v>2239</v>
      </c>
      <c r="R25" s="229"/>
    </row>
    <row r="26" spans="1:23" ht="15.75" thickBot="1" x14ac:dyDescent="0.3">
      <c r="A26" s="96">
        <v>5</v>
      </c>
      <c r="B26" s="253" t="s">
        <v>665</v>
      </c>
      <c r="C26" s="254">
        <f>GETPIVOTDATA("ind",'Displacement &amp; Returns'!$C$108,"adm2_name","Diamare","adm3_name",B26,"deplacement","idp")</f>
        <v>36</v>
      </c>
      <c r="D26" s="254">
        <f>GETPIVOTDATA("ind",'Displacement &amp; Returns'!$C$108,"adm2_name","Diamare","adm3_name",B26,"deplacement","Retournés")</f>
        <v>0</v>
      </c>
      <c r="E26" s="254">
        <f>GETPIVOTDATA("ind",'Displacement &amp; Returns'!$C$108,"adm2_name","Diamare","adm3_name",B26,"deplacement","réfugiés non-enregistrés")</f>
        <v>0</v>
      </c>
      <c r="F26" s="254">
        <f t="shared" si="14"/>
        <v>36</v>
      </c>
      <c r="G26" s="232"/>
      <c r="I26" s="253" t="s">
        <v>665</v>
      </c>
      <c r="J26" s="254">
        <f>GETPIVOTDATA("ind",'Displacement &amp; Returns'!$M$108,"adm2_name","Diamare","adm3_name",I26,"deplacement","idp")</f>
        <v>36</v>
      </c>
      <c r="K26" s="254">
        <f>GETPIVOTDATA("ind",'Displacement &amp; Returns'!$M$108,"adm2_name","Diamare","adm3_name",I26,"deplacement","Returnees")</f>
        <v>0</v>
      </c>
      <c r="L26" s="254">
        <f>GETPIVOTDATA("ind",'Displacement &amp; Returns'!$M$108,"adm2_name","Diamare","adm3_name",I26,"deplacement","Unregistered Refugees")</f>
        <v>0</v>
      </c>
      <c r="M26" s="254">
        <f t="shared" si="15"/>
        <v>36</v>
      </c>
      <c r="R26" s="229"/>
    </row>
    <row r="27" spans="1:23" ht="15.75" thickBot="1" x14ac:dyDescent="0.3">
      <c r="A27" s="96">
        <v>6</v>
      </c>
      <c r="B27" s="253" t="s">
        <v>56</v>
      </c>
      <c r="C27" s="254">
        <f>GETPIVOTDATA("ind",'Displacement &amp; Returns'!$C$108,"adm2_name","Diamare","adm3_name",B27,"deplacement","idp")</f>
        <v>2040</v>
      </c>
      <c r="D27" s="254">
        <f>GETPIVOTDATA("ind",'Displacement &amp; Returns'!$C$108,"adm2_name","Diamare","adm3_name",B27,"deplacement","Retournés")</f>
        <v>19</v>
      </c>
      <c r="E27" s="254">
        <f>GETPIVOTDATA("ind",'Displacement &amp; Returns'!$C$108,"adm2_name","Diamare","adm3_name",B27,"deplacement","réfugiés non-enregistrés")</f>
        <v>253</v>
      </c>
      <c r="F27" s="254">
        <f t="shared" si="14"/>
        <v>2312</v>
      </c>
      <c r="G27" s="232"/>
      <c r="I27" s="253" t="s">
        <v>56</v>
      </c>
      <c r="J27" s="254">
        <f>GETPIVOTDATA("ind",'Displacement &amp; Returns'!$M$108,"adm2_name","Diamare","adm3_name",I27,"deplacement","idp")</f>
        <v>2040</v>
      </c>
      <c r="K27" s="254">
        <f>GETPIVOTDATA("ind",'Displacement &amp; Returns'!$M$108,"adm2_name","Diamare","adm3_name",I27,"deplacement","Returnees")</f>
        <v>19</v>
      </c>
      <c r="L27" s="254">
        <f>GETPIVOTDATA("ind",'Displacement &amp; Returns'!$M$108,"adm2_name","Diamare","adm3_name",I27,"deplacement","Unregistered Refugees")</f>
        <v>253</v>
      </c>
      <c r="M27" s="254">
        <f t="shared" si="15"/>
        <v>2312</v>
      </c>
      <c r="N27" s="228"/>
      <c r="O27" s="228"/>
      <c r="P27" s="228"/>
      <c r="Q27" s="228"/>
      <c r="R27" s="229"/>
      <c r="S27" s="229"/>
      <c r="T27" s="229"/>
      <c r="U27" s="228"/>
      <c r="V27" s="228"/>
      <c r="W27" s="228"/>
    </row>
    <row r="28" spans="1:23" ht="15.75" thickBot="1" x14ac:dyDescent="0.3">
      <c r="B28" s="7" t="s">
        <v>85</v>
      </c>
      <c r="C28" s="8">
        <f>SUM(C29:C38)</f>
        <v>125711</v>
      </c>
      <c r="D28" s="8">
        <f t="shared" ref="D28:F28" si="16">SUM(D29:D38)</f>
        <v>27980</v>
      </c>
      <c r="E28" s="8">
        <f t="shared" si="16"/>
        <v>26067</v>
      </c>
      <c r="F28" s="8">
        <f t="shared" si="16"/>
        <v>179758</v>
      </c>
      <c r="G28" s="231"/>
      <c r="I28" s="7" t="s">
        <v>85</v>
      </c>
      <c r="J28" s="8">
        <f>SUM(J29:J38)</f>
        <v>125711</v>
      </c>
      <c r="K28" s="8">
        <f t="shared" ref="K28:M28" si="17">SUM(K29:K38)</f>
        <v>27980</v>
      </c>
      <c r="L28" s="8">
        <f t="shared" si="17"/>
        <v>26067</v>
      </c>
      <c r="M28" s="8">
        <f t="shared" si="17"/>
        <v>179758</v>
      </c>
      <c r="N28" s="233"/>
      <c r="O28" s="228"/>
      <c r="P28" s="228"/>
      <c r="Q28" s="228"/>
      <c r="R28" s="229"/>
      <c r="S28" s="229"/>
      <c r="T28" s="229"/>
      <c r="U28" s="228"/>
      <c r="V28" s="228"/>
      <c r="W28" s="228"/>
    </row>
    <row r="29" spans="1:23" ht="15.75" thickBot="1" x14ac:dyDescent="0.3">
      <c r="A29" s="96">
        <v>7</v>
      </c>
      <c r="B29" s="253" t="s">
        <v>88</v>
      </c>
      <c r="C29" s="254">
        <f>GETPIVOTDATA("ind",'Displacement &amp; Returns'!$C$108,"adm2_name","Logone-Et-Chari","adm3_name",B29,"deplacement","idp")</f>
        <v>7153</v>
      </c>
      <c r="D29" s="254">
        <f>GETPIVOTDATA("ind",'Displacement &amp; Returns'!$C$108,"adm2_name","Logone-Et-Chari","adm3_name",B29,"deplacement","Retournés")</f>
        <v>643</v>
      </c>
      <c r="E29" s="254">
        <f>GETPIVOTDATA("ind",'Displacement &amp; Returns'!$C$108,"adm2_name","Logone-Et-Chari","adm3_name",B29,"deplacement","réfugiés non-enregistrés")</f>
        <v>861</v>
      </c>
      <c r="F29" s="254">
        <f t="shared" ref="F29:F38" si="18">SUM(C29:E29)</f>
        <v>8657</v>
      </c>
      <c r="G29" s="232"/>
      <c r="I29" s="253" t="s">
        <v>88</v>
      </c>
      <c r="J29" s="254">
        <f>GETPIVOTDATA("ind",'Displacement &amp; Returns'!$M$108,"adm2_name","Logone-Et-Chari","adm3_name",I29,"deplacement","idp")</f>
        <v>7153</v>
      </c>
      <c r="K29" s="254">
        <f>GETPIVOTDATA("ind",'Displacement &amp; Returns'!$M$108,"adm2_name","Logone-Et-Chari","adm3_name",I29,"deplacement","Returnees")</f>
        <v>643</v>
      </c>
      <c r="L29" s="254">
        <f>GETPIVOTDATA("ind",'Displacement &amp; Returns'!$M$108,"adm2_name","Logone-Et-Chari","adm3_name",I29,"deplacement","Unregistered Refugees")</f>
        <v>861</v>
      </c>
      <c r="M29" s="254">
        <f t="shared" ref="M29:M38" si="19">SUM(J29:L29)</f>
        <v>8657</v>
      </c>
      <c r="N29" s="228"/>
      <c r="O29" s="228"/>
      <c r="P29" s="228"/>
      <c r="Q29" s="228"/>
      <c r="R29" s="229"/>
      <c r="S29" s="229"/>
      <c r="T29" s="229"/>
      <c r="U29" s="228"/>
      <c r="V29" s="228"/>
      <c r="W29" s="228"/>
    </row>
    <row r="30" spans="1:23" ht="15.75" thickBot="1" x14ac:dyDescent="0.3">
      <c r="A30" s="96">
        <v>8</v>
      </c>
      <c r="B30" s="253" t="s">
        <v>95</v>
      </c>
      <c r="C30" s="254">
        <f>GETPIVOTDATA("ind",'Displacement &amp; Returns'!$C$108,"adm2_name","Logone-Et-Chari","adm3_name",B30,"deplacement","idp")</f>
        <v>3737</v>
      </c>
      <c r="D30" s="254">
        <f>GETPIVOTDATA("ind",'Displacement &amp; Returns'!$C$108,"adm2_name","Logone-Et-Chari","adm3_name",B30,"deplacement","Retournés")</f>
        <v>429</v>
      </c>
      <c r="E30" s="254">
        <f>GETPIVOTDATA("ind",'Displacement &amp; Returns'!$C$108,"adm2_name","Logone-Et-Chari","adm3_name",B30,"deplacement","réfugiés non-enregistrés")</f>
        <v>764</v>
      </c>
      <c r="F30" s="254">
        <f t="shared" si="18"/>
        <v>4930</v>
      </c>
      <c r="G30" s="232"/>
      <c r="I30" s="253" t="s">
        <v>95</v>
      </c>
      <c r="J30" s="254">
        <f>GETPIVOTDATA("ind",'Displacement &amp; Returns'!$M$108,"adm2_name","Logone-Et-Chari","adm3_name",I30,"deplacement","idp")</f>
        <v>3737</v>
      </c>
      <c r="K30" s="254">
        <f>GETPIVOTDATA("ind",'Displacement &amp; Returns'!$M$108,"adm2_name","Logone-Et-Chari","adm3_name",I30,"deplacement","Returnees")</f>
        <v>429</v>
      </c>
      <c r="L30" s="254">
        <f>GETPIVOTDATA("ind",'Displacement &amp; Returns'!$M$108,"adm2_name","Logone-Et-Chari","adm3_name",I30,"deplacement","Unregistered Refugees")</f>
        <v>764</v>
      </c>
      <c r="M30" s="254">
        <f t="shared" si="19"/>
        <v>4930</v>
      </c>
      <c r="N30" s="228"/>
      <c r="O30" s="228"/>
      <c r="P30" s="228"/>
      <c r="Q30" s="228"/>
      <c r="R30" s="229"/>
      <c r="S30" s="229"/>
      <c r="T30" s="229"/>
      <c r="U30" s="228"/>
      <c r="V30" s="228"/>
      <c r="W30" s="228"/>
    </row>
    <row r="31" spans="1:23" ht="15.75" thickBot="1" x14ac:dyDescent="0.3">
      <c r="A31" s="96">
        <v>9</v>
      </c>
      <c r="B31" s="253" t="s">
        <v>92</v>
      </c>
      <c r="C31" s="254">
        <f>GETPIVOTDATA("ind",'Displacement &amp; Returns'!$C$108,"adm2_name","Logone-Et-Chari","adm3_name",B31,"deplacement","idp")</f>
        <v>16857</v>
      </c>
      <c r="D31" s="254">
        <f>GETPIVOTDATA("ind",'Displacement &amp; Returns'!$C$108,"adm2_name","Logone-Et-Chari","adm3_name",B31,"deplacement","Retournés")</f>
        <v>9288</v>
      </c>
      <c r="E31" s="254">
        <f>GETPIVOTDATA("ind",'Displacement &amp; Returns'!$C$108,"adm2_name","Logone-Et-Chari","adm3_name",B31,"deplacement","réfugiés non-enregistrés")</f>
        <v>5542</v>
      </c>
      <c r="F31" s="254">
        <f t="shared" si="18"/>
        <v>31687</v>
      </c>
      <c r="G31" s="232"/>
      <c r="I31" s="253" t="s">
        <v>92</v>
      </c>
      <c r="J31" s="254">
        <f>GETPIVOTDATA("ind",'Displacement &amp; Returns'!$M$108,"adm2_name","Logone-Et-Chari","adm3_name",I31,"deplacement","idp")</f>
        <v>16857</v>
      </c>
      <c r="K31" s="254">
        <f>GETPIVOTDATA("ind",'Displacement &amp; Returns'!$M$108,"adm2_name","Logone-Et-Chari","adm3_name",I31,"deplacement","Returnees")</f>
        <v>9288</v>
      </c>
      <c r="L31" s="254">
        <f>GETPIVOTDATA("ind",'Displacement &amp; Returns'!$M$108,"adm2_name","Logone-Et-Chari","adm3_name",I31,"deplacement","Unregistered Refugees")</f>
        <v>5542</v>
      </c>
      <c r="M31" s="254">
        <f t="shared" si="19"/>
        <v>31687</v>
      </c>
      <c r="N31" s="228"/>
      <c r="O31" s="228"/>
      <c r="P31" s="228"/>
      <c r="Q31" s="228"/>
      <c r="R31" s="229"/>
      <c r="S31" s="229"/>
      <c r="T31" s="229"/>
      <c r="U31" s="228"/>
      <c r="V31" s="228"/>
      <c r="W31" s="228"/>
    </row>
    <row r="32" spans="1:23" ht="15.75" thickBot="1" x14ac:dyDescent="0.3">
      <c r="A32" s="96">
        <v>10</v>
      </c>
      <c r="B32" s="253" t="s">
        <v>173</v>
      </c>
      <c r="C32" s="254">
        <f>GETPIVOTDATA("ind",'Displacement &amp; Returns'!$C$108,"adm2_name","Logone-Et-Chari","adm3_name",B32,"deplacement","idp")</f>
        <v>2381</v>
      </c>
      <c r="D32" s="254">
        <f>GETPIVOTDATA("ind",'Displacement &amp; Returns'!$C$108,"adm2_name","Logone-Et-Chari","adm3_name",B32,"deplacement","Retournés")</f>
        <v>0</v>
      </c>
      <c r="E32" s="254">
        <f>GETPIVOTDATA("ind",'Displacement &amp; Returns'!$C$108,"adm2_name","Logone-Et-Chari","adm3_name",B32,"deplacement","réfugiés non-enregistrés")</f>
        <v>0</v>
      </c>
      <c r="F32" s="254">
        <f t="shared" si="18"/>
        <v>2381</v>
      </c>
      <c r="G32" s="232"/>
      <c r="I32" s="253" t="s">
        <v>173</v>
      </c>
      <c r="J32" s="254">
        <f>GETPIVOTDATA("ind",'Displacement &amp; Returns'!$M$108,"adm2_name","Logone-Et-Chari","adm3_name",I32,"deplacement","idp")</f>
        <v>2381</v>
      </c>
      <c r="K32" s="254">
        <f>GETPIVOTDATA("ind",'Displacement &amp; Returns'!$M$108,"adm2_name","Logone-Et-Chari","adm3_name",I32,"deplacement","Returnees")</f>
        <v>0</v>
      </c>
      <c r="L32" s="254">
        <f>GETPIVOTDATA("ind",'Displacement &amp; Returns'!$M$108,"adm2_name","Logone-Et-Chari","adm3_name",I32,"deplacement","Unregistered Refugees")</f>
        <v>0</v>
      </c>
      <c r="M32" s="254">
        <f t="shared" si="19"/>
        <v>2381</v>
      </c>
      <c r="N32" s="228"/>
      <c r="O32" s="228"/>
      <c r="P32" s="228"/>
      <c r="Q32" s="228"/>
      <c r="R32" s="229"/>
      <c r="S32" s="229"/>
      <c r="T32" s="229"/>
      <c r="U32" s="228"/>
      <c r="V32" s="228"/>
      <c r="W32" s="228"/>
    </row>
    <row r="33" spans="1:42" ht="15.75" thickBot="1" x14ac:dyDescent="0.3">
      <c r="A33" s="96">
        <v>11</v>
      </c>
      <c r="B33" s="253" t="s">
        <v>110</v>
      </c>
      <c r="C33" s="254">
        <f>GETPIVOTDATA("ind",'Displacement &amp; Returns'!$C$108,"adm2_name","Logone-Et-Chari","adm3_name",B33,"deplacement","idp")</f>
        <v>4836</v>
      </c>
      <c r="D33" s="254">
        <f>GETPIVOTDATA("ind",'Displacement &amp; Returns'!$C$108,"adm2_name","Logone-Et-Chari","adm3_name",B33,"deplacement","Retournés")</f>
        <v>1467</v>
      </c>
      <c r="E33" s="254">
        <f>GETPIVOTDATA("ind",'Displacement &amp; Returns'!$C$108,"adm2_name","Logone-Et-Chari","adm3_name",B33,"deplacement","réfugiés non-enregistrés")</f>
        <v>0</v>
      </c>
      <c r="F33" s="254">
        <f t="shared" si="18"/>
        <v>6303</v>
      </c>
      <c r="G33" s="232"/>
      <c r="I33" s="253" t="s">
        <v>110</v>
      </c>
      <c r="J33" s="254">
        <f>GETPIVOTDATA("ind",'Displacement &amp; Returns'!$M$108,"adm2_name","Logone-Et-Chari","adm3_name",I33,"deplacement","idp")</f>
        <v>4836</v>
      </c>
      <c r="K33" s="254">
        <f>GETPIVOTDATA("ind",'Displacement &amp; Returns'!$M$108,"adm2_name","Logone-Et-Chari","adm3_name",I33,"deplacement","Returnees")</f>
        <v>1467</v>
      </c>
      <c r="L33" s="254">
        <f>GETPIVOTDATA("ind",'Displacement &amp; Returns'!$M$108,"adm2_name","Logone-Et-Chari","adm3_name",I33,"deplacement","Unregistered Refugees")</f>
        <v>0</v>
      </c>
      <c r="M33" s="254">
        <f t="shared" si="19"/>
        <v>6303</v>
      </c>
      <c r="N33" s="228"/>
      <c r="O33" s="228"/>
      <c r="P33" s="228"/>
      <c r="Q33" s="228"/>
      <c r="R33" s="229"/>
      <c r="S33" s="229"/>
      <c r="T33" s="229"/>
      <c r="U33" s="228"/>
      <c r="V33" s="228"/>
      <c r="W33" s="228"/>
    </row>
    <row r="34" spans="1:42" ht="15.75" thickBot="1" x14ac:dyDescent="0.3">
      <c r="A34" s="96">
        <v>12</v>
      </c>
      <c r="B34" s="253" t="s">
        <v>157</v>
      </c>
      <c r="C34" s="254">
        <f>GETPIVOTDATA("ind",'Displacement &amp; Returns'!$C$108,"adm2_name","Logone-Et-Chari","adm3_name",B34,"deplacement","idp")</f>
        <v>19975</v>
      </c>
      <c r="D34" s="254">
        <f>GETPIVOTDATA("ind",'Displacement &amp; Returns'!$C$108,"adm2_name","Logone-Et-Chari","adm3_name",B34,"deplacement","Retournés")</f>
        <v>13</v>
      </c>
      <c r="E34" s="254">
        <f>GETPIVOTDATA("ind",'Displacement &amp; Returns'!$C$108,"adm2_name","Logone-Et-Chari","adm3_name",B34,"deplacement","réfugiés non-enregistrés")</f>
        <v>31</v>
      </c>
      <c r="F34" s="254">
        <f t="shared" si="18"/>
        <v>20019</v>
      </c>
      <c r="G34" s="232"/>
      <c r="I34" s="253" t="s">
        <v>157</v>
      </c>
      <c r="J34" s="254">
        <f>GETPIVOTDATA("ind",'Displacement &amp; Returns'!$M$108,"adm2_name","Logone-Et-Chari","adm3_name",I34,"deplacement","idp")</f>
        <v>19975</v>
      </c>
      <c r="K34" s="254">
        <f>GETPIVOTDATA("ind",'Displacement &amp; Returns'!$M$108,"adm2_name","Logone-Et-Chari","adm3_name",I34,"deplacement","Returnees")</f>
        <v>13</v>
      </c>
      <c r="L34" s="254">
        <f>GETPIVOTDATA("ind",'Displacement &amp; Returns'!$M$108,"adm2_name","Logone-Et-Chari","adm3_name",I34,"deplacement","Unregistered Refugees")</f>
        <v>31</v>
      </c>
      <c r="M34" s="254">
        <f t="shared" si="19"/>
        <v>20019</v>
      </c>
      <c r="R34" s="229"/>
    </row>
    <row r="35" spans="1:42" ht="15.75" thickBot="1" x14ac:dyDescent="0.3">
      <c r="A35" s="96">
        <v>13</v>
      </c>
      <c r="B35" s="253" t="s">
        <v>151</v>
      </c>
      <c r="C35" s="254">
        <f>GETPIVOTDATA("ind",'Displacement &amp; Returns'!$C$108,"adm2_name","Logone-Et-Chari","adm3_name",B35,"deplacement","idp")</f>
        <v>12345</v>
      </c>
      <c r="D35" s="254">
        <f>GETPIVOTDATA("ind",'Displacement &amp; Returns'!$C$108,"adm2_name","Logone-Et-Chari","adm3_name",B35,"deplacement","Retournés")</f>
        <v>70</v>
      </c>
      <c r="E35" s="254">
        <f>GETPIVOTDATA("ind",'Displacement &amp; Returns'!$C$108,"adm2_name","Logone-Et-Chari","adm3_name",B35,"deplacement","réfugiés non-enregistrés")</f>
        <v>1830</v>
      </c>
      <c r="F35" s="254">
        <f t="shared" si="18"/>
        <v>14245</v>
      </c>
      <c r="G35" s="232"/>
      <c r="I35" s="253" t="s">
        <v>151</v>
      </c>
      <c r="J35" s="254">
        <f>GETPIVOTDATA("ind",'Displacement &amp; Returns'!$M$108,"adm2_name","Logone-Et-Chari","adm3_name",I35,"deplacement","idp")</f>
        <v>12345</v>
      </c>
      <c r="K35" s="254">
        <f>GETPIVOTDATA("ind",'Displacement &amp; Returns'!$M$108,"adm2_name","Logone-Et-Chari","adm3_name",I35,"deplacement","Returnees")</f>
        <v>70</v>
      </c>
      <c r="L35" s="254">
        <f>GETPIVOTDATA("ind",'Displacement &amp; Returns'!$M$108,"adm2_name","Logone-Et-Chari","adm3_name",I35,"deplacement","Unregistered Refugees")</f>
        <v>1830</v>
      </c>
      <c r="M35" s="254">
        <f t="shared" si="19"/>
        <v>14245</v>
      </c>
      <c r="R35" s="229"/>
    </row>
    <row r="36" spans="1:42" ht="15.75" thickBot="1" x14ac:dyDescent="0.3">
      <c r="A36" s="96">
        <v>14</v>
      </c>
      <c r="B36" s="253" t="s">
        <v>98</v>
      </c>
      <c r="C36" s="254">
        <f>GETPIVOTDATA("ind",'Displacement &amp; Returns'!$C$108,"adm2_name","Logone-Et-Chari","adm3_name",B36,"deplacement","idp")</f>
        <v>50477</v>
      </c>
      <c r="D36" s="254">
        <f>GETPIVOTDATA("ind",'Displacement &amp; Returns'!$C$108,"adm2_name","Logone-Et-Chari","adm3_name",B36,"deplacement","Retournés")</f>
        <v>8996</v>
      </c>
      <c r="E36" s="254">
        <f>GETPIVOTDATA("ind",'Displacement &amp; Returns'!$C$108,"adm2_name","Logone-Et-Chari","adm3_name",B36,"deplacement","réfugiés non-enregistrés")</f>
        <v>13645</v>
      </c>
      <c r="F36" s="254">
        <f t="shared" si="18"/>
        <v>73118</v>
      </c>
      <c r="G36" s="232"/>
      <c r="I36" s="253" t="s">
        <v>98</v>
      </c>
      <c r="J36" s="254">
        <f>GETPIVOTDATA("ind",'Displacement &amp; Returns'!$M$108,"adm2_name","Logone-Et-Chari","adm3_name",I36,"deplacement","idp")</f>
        <v>50477</v>
      </c>
      <c r="K36" s="254">
        <f>GETPIVOTDATA("ind",'Displacement &amp; Returns'!$M$108,"adm2_name","Logone-Et-Chari","adm3_name",I36,"deplacement","Returnees")</f>
        <v>8996</v>
      </c>
      <c r="L36" s="254">
        <f>GETPIVOTDATA("ind",'Displacement &amp; Returns'!$M$108,"adm2_name","Logone-Et-Chari","adm3_name",I36,"deplacement","Unregistered Refugees")</f>
        <v>13645</v>
      </c>
      <c r="M36" s="254">
        <f t="shared" si="19"/>
        <v>73118</v>
      </c>
      <c r="R36" s="229"/>
    </row>
    <row r="37" spans="1:42" ht="15.75" thickBot="1" x14ac:dyDescent="0.3">
      <c r="A37" s="96">
        <v>15</v>
      </c>
      <c r="B37" s="253" t="s">
        <v>175</v>
      </c>
      <c r="C37" s="254">
        <f>GETPIVOTDATA("ind",'Displacement &amp; Returns'!$C$108,"adm2_name","Logone-Et-Chari","adm3_name",B37,"deplacement","idp")</f>
        <v>3708</v>
      </c>
      <c r="D37" s="254">
        <f>GETPIVOTDATA("ind",'Displacement &amp; Returns'!$C$108,"adm2_name","Logone-Et-Chari","adm3_name",B37,"deplacement","Retournés")</f>
        <v>2728</v>
      </c>
      <c r="E37" s="254">
        <f>GETPIVOTDATA("ind",'Displacement &amp; Returns'!$C$108,"adm2_name","Logone-Et-Chari","adm3_name",B37,"deplacement","réfugiés non-enregistrés")</f>
        <v>3394</v>
      </c>
      <c r="F37" s="254">
        <f t="shared" si="18"/>
        <v>9830</v>
      </c>
      <c r="G37" s="232"/>
      <c r="I37" s="253" t="s">
        <v>175</v>
      </c>
      <c r="J37" s="254">
        <f>GETPIVOTDATA("ind",'Displacement &amp; Returns'!$M$108,"adm2_name","Logone-Et-Chari","adm3_name",I37,"deplacement","idp")</f>
        <v>3708</v>
      </c>
      <c r="K37" s="254">
        <f>GETPIVOTDATA("ind",'Displacement &amp; Returns'!$M$108,"adm2_name","Logone-Et-Chari","adm3_name",I37,"deplacement","Returnees")</f>
        <v>2728</v>
      </c>
      <c r="L37" s="254">
        <f>GETPIVOTDATA("ind",'Displacement &amp; Returns'!$M$108,"adm2_name","Logone-Et-Chari","adm3_name",I37,"deplacement","Unregistered Refugees")</f>
        <v>3394</v>
      </c>
      <c r="M37" s="254">
        <f t="shared" si="19"/>
        <v>9830</v>
      </c>
      <c r="R37" s="229"/>
    </row>
    <row r="38" spans="1:42" ht="15.75" thickBot="1" x14ac:dyDescent="0.3">
      <c r="A38" s="96">
        <v>16</v>
      </c>
      <c r="B38" s="253" t="s">
        <v>181</v>
      </c>
      <c r="C38" s="254">
        <f>GETPIVOTDATA("ind",'Displacement &amp; Returns'!$C$108,"adm2_name","Logone-Et-Chari","adm3_name",B38,"deplacement","idp")</f>
        <v>4242</v>
      </c>
      <c r="D38" s="254">
        <f>GETPIVOTDATA("ind",'Displacement &amp; Returns'!$C$108,"adm2_name","Logone-Et-Chari","adm3_name",B38,"deplacement","Retournés")</f>
        <v>4346</v>
      </c>
      <c r="E38" s="254">
        <f>GETPIVOTDATA("ind",'Displacement &amp; Returns'!$C$108,"adm2_name","Logone-Et-Chari","adm3_name",B38,"deplacement","réfugiés non-enregistrés")</f>
        <v>0</v>
      </c>
      <c r="F38" s="254">
        <f t="shared" si="18"/>
        <v>8588</v>
      </c>
      <c r="G38" s="232"/>
      <c r="I38" s="253" t="s">
        <v>181</v>
      </c>
      <c r="J38" s="254">
        <f>GETPIVOTDATA("ind",'Displacement &amp; Returns'!$M$108,"adm2_name","Logone-Et-Chari","adm3_name",I38,"deplacement","idp")</f>
        <v>4242</v>
      </c>
      <c r="K38" s="254">
        <f>GETPIVOTDATA("ind",'Displacement &amp; Returns'!$M$108,"adm2_name","Logone-Et-Chari","adm3_name",I38,"deplacement","Returnees")</f>
        <v>4346</v>
      </c>
      <c r="L38" s="254">
        <f>GETPIVOTDATA("ind",'Displacement &amp; Returns'!$M$108,"adm2_name","Logone-Et-Chari","adm3_name",I38,"deplacement","Unregistered Refugees")</f>
        <v>0</v>
      </c>
      <c r="M38" s="254">
        <f t="shared" si="19"/>
        <v>8588</v>
      </c>
      <c r="R38" s="229"/>
    </row>
    <row r="39" spans="1:42" ht="15.75" thickBot="1" x14ac:dyDescent="0.3">
      <c r="B39" s="7" t="s">
        <v>184</v>
      </c>
      <c r="C39" s="8">
        <f>SUM(C40:C45)</f>
        <v>10314</v>
      </c>
      <c r="D39" s="8">
        <f t="shared" ref="D39:F39" si="20">SUM(D40:D45)</f>
        <v>6429</v>
      </c>
      <c r="E39" s="8">
        <f t="shared" si="20"/>
        <v>119</v>
      </c>
      <c r="F39" s="8">
        <f t="shared" si="20"/>
        <v>16862</v>
      </c>
      <c r="G39" s="231"/>
      <c r="I39" s="7" t="s">
        <v>184</v>
      </c>
      <c r="J39" s="8">
        <f>SUM(J40:J45)</f>
        <v>10314</v>
      </c>
      <c r="K39" s="8">
        <f t="shared" ref="K39:M39" si="21">SUM(K40:K45)</f>
        <v>6429</v>
      </c>
      <c r="L39" s="8">
        <f t="shared" si="21"/>
        <v>119</v>
      </c>
      <c r="M39" s="8">
        <f t="shared" si="21"/>
        <v>16862</v>
      </c>
      <c r="R39" s="229"/>
      <c r="S39" s="37" t="s">
        <v>719</v>
      </c>
      <c r="T39" s="54" t="s">
        <v>1762</v>
      </c>
      <c r="U39" s="54" t="s">
        <v>1939</v>
      </c>
      <c r="V39" s="54" t="s">
        <v>1984</v>
      </c>
      <c r="W39" s="54" t="s">
        <v>2089</v>
      </c>
      <c r="X39" s="54" t="s">
        <v>3743</v>
      </c>
      <c r="Y39" s="54" t="s">
        <v>3744</v>
      </c>
      <c r="AG39" s="37" t="s">
        <v>1795</v>
      </c>
      <c r="AH39" s="54" t="s">
        <v>1762</v>
      </c>
      <c r="AI39" s="54" t="s">
        <v>1939</v>
      </c>
      <c r="AJ39" s="54" t="s">
        <v>1984</v>
      </c>
      <c r="AK39" s="54" t="s">
        <v>2089</v>
      </c>
      <c r="AL39" s="54" t="s">
        <v>3743</v>
      </c>
      <c r="AM39" s="54" t="s">
        <v>3744</v>
      </c>
    </row>
    <row r="40" spans="1:42" ht="15.75" thickBot="1" x14ac:dyDescent="0.3">
      <c r="A40" s="96">
        <v>17</v>
      </c>
      <c r="B40" s="253" t="s">
        <v>471</v>
      </c>
      <c r="C40" s="254">
        <f>GETPIVOTDATA("ind",'Displacement &amp; Returns'!$C$108,"adm2_name","Mayo-Danay","adm3_name",B40,"deplacement","idp")</f>
        <v>1523</v>
      </c>
      <c r="D40" s="254">
        <f>GETPIVOTDATA("ind",'Displacement &amp; Returns'!$C$108,"adm2_name","Mayo-Danay","adm3_name",B40,"deplacement","Retournés")</f>
        <v>41</v>
      </c>
      <c r="E40" s="254">
        <f>GETPIVOTDATA("ind",'Displacement &amp; Returns'!$C$108,"adm2_name","Mayo-Danay","adm3_name",B40,"deplacement","réfugiés non-enregistrés")</f>
        <v>119</v>
      </c>
      <c r="F40" s="254">
        <f t="shared" ref="F40:F45" si="22">SUM(C40:E40)</f>
        <v>1683</v>
      </c>
      <c r="G40" s="232"/>
      <c r="I40" s="253" t="s">
        <v>471</v>
      </c>
      <c r="J40" s="254">
        <f>GETPIVOTDATA("ind",'Displacement &amp; Returns'!$M$108,"adm2_name","Mayo-Danay","adm3_name",I40,"deplacement","idp")</f>
        <v>1523</v>
      </c>
      <c r="K40" s="254">
        <f>GETPIVOTDATA("ind",'Displacement &amp; Returns'!$M$108,"adm2_name","Mayo-Danay","adm3_name",I40,"deplacement","Returnees")</f>
        <v>41</v>
      </c>
      <c r="L40" s="254">
        <f>GETPIVOTDATA("ind",'Displacement &amp; Returns'!$M$108,"adm2_name","Mayo-Danay","adm3_name",I40,"deplacement","Unregistered Refugees")</f>
        <v>119</v>
      </c>
      <c r="M40" s="254">
        <f t="shared" ref="M40:M45" si="23">SUM(J40:L40)</f>
        <v>1683</v>
      </c>
      <c r="R40" s="229"/>
      <c r="S40" s="55" t="s">
        <v>24</v>
      </c>
      <c r="T40" s="47">
        <f t="shared" ref="T40:T45" si="24">H4</f>
        <v>241</v>
      </c>
      <c r="U40" s="47">
        <f t="shared" ref="U40:U45" si="25">I4</f>
        <v>316</v>
      </c>
      <c r="V40" s="47">
        <f t="shared" ref="V40:V45" si="26">J4</f>
        <v>334</v>
      </c>
      <c r="W40" s="47">
        <f t="shared" ref="W40:W45" si="27">K4</f>
        <v>415</v>
      </c>
      <c r="X40" s="47">
        <f t="shared" ref="X40:X45" si="28">L4</f>
        <v>330</v>
      </c>
      <c r="Y40" s="49">
        <f>(Tableau31[[#This Row],[Round 12]]-Tableau31[[#This Row],[Round 11]])/Tableau31[[#This Row],[Round 11]]</f>
        <v>-0.20481927710843373</v>
      </c>
      <c r="AG40" s="55" t="s">
        <v>24</v>
      </c>
      <c r="AH40" s="47">
        <f t="shared" ref="AH40:AH45" si="29">H4</f>
        <v>241</v>
      </c>
      <c r="AI40" s="47">
        <f t="shared" ref="AI40:AI45" si="30">I4</f>
        <v>316</v>
      </c>
      <c r="AJ40" s="47">
        <f t="shared" ref="AJ40:AJ45" si="31">J4</f>
        <v>334</v>
      </c>
      <c r="AK40" s="47">
        <f t="shared" ref="AK40:AK45" si="32">K4</f>
        <v>415</v>
      </c>
      <c r="AL40" s="47">
        <f t="shared" ref="AL40:AL45" si="33">L4</f>
        <v>330</v>
      </c>
      <c r="AM40" s="49">
        <f>(Tableau32[[#This Row],[Round 12]]-Tableau32[[#This Row],[Round 11]])/Tableau32[[#This Row],[Round 11]]</f>
        <v>-0.20481927710843373</v>
      </c>
      <c r="AO40" s="96" t="str">
        <f>Tableau32[[#Headers],[Round 12]]</f>
        <v>Round 12</v>
      </c>
      <c r="AP40" s="216">
        <f>Tableau32[[#Totals],[Round 12]]</f>
        <v>69730</v>
      </c>
    </row>
    <row r="41" spans="1:42" ht="15.75" thickBot="1" x14ac:dyDescent="0.3">
      <c r="A41" s="96">
        <v>18</v>
      </c>
      <c r="B41" s="253" t="s">
        <v>196</v>
      </c>
      <c r="C41" s="254">
        <f>GETPIVOTDATA("ind",'Displacement &amp; Returns'!$C$108,"adm2_name","Mayo-Danay","adm3_name",B41,"deplacement","idp")</f>
        <v>1618</v>
      </c>
      <c r="D41" s="254">
        <f>GETPIVOTDATA("ind",'Displacement &amp; Returns'!$C$108,"adm2_name","Mayo-Danay","adm3_name",B41,"deplacement","Retournés")</f>
        <v>420</v>
      </c>
      <c r="E41" s="254">
        <f>GETPIVOTDATA("ind",'Displacement &amp; Returns'!$C$108,"adm2_name","Mayo-Danay","adm3_name",B41,"deplacement","réfugiés non-enregistrés")</f>
        <v>0</v>
      </c>
      <c r="F41" s="254">
        <f t="shared" si="22"/>
        <v>2038</v>
      </c>
      <c r="G41" s="232"/>
      <c r="I41" s="253" t="s">
        <v>196</v>
      </c>
      <c r="J41" s="254">
        <f>GETPIVOTDATA("ind",'Displacement &amp; Returns'!$M$108,"adm2_name","Mayo-Danay","adm3_name",I41,"deplacement","idp")</f>
        <v>1618</v>
      </c>
      <c r="K41" s="254">
        <f>GETPIVOTDATA("ind",'Displacement &amp; Returns'!$M$108,"adm2_name","Mayo-Danay","adm3_name",I41,"deplacement","Returnees")</f>
        <v>420</v>
      </c>
      <c r="L41" s="254">
        <f>GETPIVOTDATA("ind",'Displacement &amp; Returns'!$M$108,"adm2_name","Mayo-Danay","adm3_name",I41,"deplacement","Unregistered Refugees")</f>
        <v>0</v>
      </c>
      <c r="M41" s="254">
        <f t="shared" si="23"/>
        <v>2038</v>
      </c>
      <c r="R41" s="229"/>
      <c r="S41" s="55" t="s">
        <v>85</v>
      </c>
      <c r="T41" s="47">
        <f t="shared" si="24"/>
        <v>25990</v>
      </c>
      <c r="U41" s="47">
        <f t="shared" si="25"/>
        <v>24177</v>
      </c>
      <c r="V41" s="47">
        <f t="shared" si="26"/>
        <v>25243</v>
      </c>
      <c r="W41" s="47">
        <f t="shared" si="27"/>
        <v>25496</v>
      </c>
      <c r="X41" s="47">
        <f t="shared" si="28"/>
        <v>27980</v>
      </c>
      <c r="Y41" s="49">
        <f>(Tableau31[[#This Row],[Round 12]]-Tableau31[[#This Row],[Round 11]])/Tableau31[[#This Row],[Round 11]]</f>
        <v>9.7427047379981174E-2</v>
      </c>
      <c r="AG41" s="55" t="s">
        <v>85</v>
      </c>
      <c r="AH41" s="47">
        <f t="shared" si="29"/>
        <v>25990</v>
      </c>
      <c r="AI41" s="47">
        <f t="shared" si="30"/>
        <v>24177</v>
      </c>
      <c r="AJ41" s="47">
        <f t="shared" si="31"/>
        <v>25243</v>
      </c>
      <c r="AK41" s="47">
        <f t="shared" si="32"/>
        <v>25496</v>
      </c>
      <c r="AL41" s="47">
        <f t="shared" si="33"/>
        <v>27980</v>
      </c>
      <c r="AM41" s="49">
        <f>(Tableau32[[#This Row],[Round 12]]-Tableau32[[#This Row],[Round 11]])/Tableau32[[#This Row],[Round 11]]</f>
        <v>9.7427047379981174E-2</v>
      </c>
      <c r="AO41" s="96" t="str">
        <f>Tableau32[[#Headers],[Round 11]]</f>
        <v>Round 11</v>
      </c>
      <c r="AP41" s="216">
        <f>Tableau32[[#Totals],[Round 11]]</f>
        <v>63692</v>
      </c>
    </row>
    <row r="42" spans="1:42" ht="15.75" thickBot="1" x14ac:dyDescent="0.3">
      <c r="A42" s="96">
        <v>19</v>
      </c>
      <c r="B42" s="253" t="s">
        <v>203</v>
      </c>
      <c r="C42" s="254">
        <f>GETPIVOTDATA("ind",'Displacement &amp; Returns'!$C$108,"adm2_name","Mayo-Danay","adm3_name",B42,"deplacement","idp")</f>
        <v>33</v>
      </c>
      <c r="D42" s="254">
        <f>GETPIVOTDATA("ind",'Displacement &amp; Returns'!$C$108,"adm2_name","Mayo-Danay","adm3_name",B42,"deplacement","Retournés")</f>
        <v>1100</v>
      </c>
      <c r="E42" s="254">
        <f>GETPIVOTDATA("ind",'Displacement &amp; Returns'!$C$108,"adm2_name","Mayo-Danay","adm3_name",B42,"deplacement","réfugiés non-enregistrés")</f>
        <v>0</v>
      </c>
      <c r="F42" s="254">
        <f t="shared" si="22"/>
        <v>1133</v>
      </c>
      <c r="G42" s="232"/>
      <c r="I42" s="253" t="s">
        <v>203</v>
      </c>
      <c r="J42" s="254">
        <f>GETPIVOTDATA("ind",'Displacement &amp; Returns'!$M$108,"adm2_name","Mayo-Danay","adm3_name",I42,"deplacement","idp")</f>
        <v>33</v>
      </c>
      <c r="K42" s="254">
        <f>GETPIVOTDATA("ind",'Displacement &amp; Returns'!$M$108,"adm2_name","Mayo-Danay","adm3_name",I42,"deplacement","Returnees")</f>
        <v>1100</v>
      </c>
      <c r="L42" s="254">
        <f>GETPIVOTDATA("ind",'Displacement &amp; Returns'!$M$108,"adm2_name","Mayo-Danay","adm3_name",I42,"deplacement","Unregistered Refugees")</f>
        <v>0</v>
      </c>
      <c r="M42" s="254">
        <f t="shared" si="23"/>
        <v>1133</v>
      </c>
      <c r="N42" s="228"/>
      <c r="O42" s="228"/>
      <c r="P42" s="228"/>
      <c r="Q42" s="228"/>
      <c r="R42" s="229"/>
      <c r="S42" s="55" t="s">
        <v>184</v>
      </c>
      <c r="T42" s="47">
        <f t="shared" si="24"/>
        <v>5096</v>
      </c>
      <c r="U42" s="47">
        <f t="shared" si="25"/>
        <v>5282</v>
      </c>
      <c r="V42" s="47">
        <f t="shared" si="26"/>
        <v>5286</v>
      </c>
      <c r="W42" s="47">
        <f t="shared" si="27"/>
        <v>6901</v>
      </c>
      <c r="X42" s="47">
        <f t="shared" si="28"/>
        <v>6429</v>
      </c>
      <c r="Y42" s="49">
        <f>(Tableau31[[#This Row],[Round 12]]-Tableau31[[#This Row],[Round 11]])/Tableau31[[#This Row],[Round 11]]</f>
        <v>-6.8395884654397915E-2</v>
      </c>
      <c r="AG42" s="55" t="s">
        <v>184</v>
      </c>
      <c r="AH42" s="47">
        <f t="shared" si="29"/>
        <v>5096</v>
      </c>
      <c r="AI42" s="47">
        <f t="shared" si="30"/>
        <v>5282</v>
      </c>
      <c r="AJ42" s="47">
        <f t="shared" si="31"/>
        <v>5286</v>
      </c>
      <c r="AK42" s="47">
        <f t="shared" si="32"/>
        <v>6901</v>
      </c>
      <c r="AL42" s="47">
        <f t="shared" si="33"/>
        <v>6429</v>
      </c>
      <c r="AM42" s="49">
        <f>(Tableau32[[#This Row],[Round 12]]-Tableau32[[#This Row],[Round 11]])/Tableau32[[#This Row],[Round 11]]</f>
        <v>-6.8395884654397915E-2</v>
      </c>
      <c r="AO42" s="96" t="str">
        <f>Tableau32[[#Headers],[Round 10]]</f>
        <v>Round 10</v>
      </c>
      <c r="AP42" s="216">
        <f>Tableau32[[#Totals],[Round 10]]</f>
        <v>61090</v>
      </c>
    </row>
    <row r="43" spans="1:42" ht="15.75" thickBot="1" x14ac:dyDescent="0.3">
      <c r="A43" s="96">
        <v>20</v>
      </c>
      <c r="B43" s="253" t="s">
        <v>206</v>
      </c>
      <c r="C43" s="254">
        <f>GETPIVOTDATA("ind",'Displacement &amp; Returns'!$C$108,"adm2_name","Mayo-Danay","adm3_name",B43,"deplacement","idp")</f>
        <v>574</v>
      </c>
      <c r="D43" s="254">
        <f>GETPIVOTDATA("ind",'Displacement &amp; Returns'!$C$108,"adm2_name","Mayo-Danay","adm3_name",B43,"deplacement","Retournés")</f>
        <v>3699</v>
      </c>
      <c r="E43" s="254">
        <f>GETPIVOTDATA("ind",'Displacement &amp; Returns'!$C$108,"adm2_name","Mayo-Danay","adm3_name",B43,"deplacement","réfugiés non-enregistrés")</f>
        <v>0</v>
      </c>
      <c r="F43" s="254">
        <f t="shared" si="22"/>
        <v>4273</v>
      </c>
      <c r="G43" s="232"/>
      <c r="I43" s="253" t="s">
        <v>206</v>
      </c>
      <c r="J43" s="254">
        <f>GETPIVOTDATA("ind",'Displacement &amp; Returns'!$M$108,"adm2_name","Mayo-Danay","adm3_name",I43,"deplacement","idp")</f>
        <v>574</v>
      </c>
      <c r="K43" s="254">
        <f>GETPIVOTDATA("ind",'Displacement &amp; Returns'!$M$108,"adm2_name","Mayo-Danay","adm3_name",I43,"deplacement","Returnees")</f>
        <v>3699</v>
      </c>
      <c r="L43" s="254">
        <f>GETPIVOTDATA("ind",'Displacement &amp; Returns'!$M$108,"adm2_name","Mayo-Danay","adm3_name",I43,"deplacement","Unregistered Refugees")</f>
        <v>0</v>
      </c>
      <c r="M43" s="254">
        <f t="shared" si="23"/>
        <v>4273</v>
      </c>
      <c r="N43" s="228"/>
      <c r="O43" s="228"/>
      <c r="P43" s="228"/>
      <c r="Q43" s="228"/>
      <c r="R43" s="229"/>
      <c r="S43" s="55" t="s">
        <v>218</v>
      </c>
      <c r="T43" s="47">
        <f t="shared" si="24"/>
        <v>633</v>
      </c>
      <c r="U43" s="47">
        <f t="shared" si="25"/>
        <v>755</v>
      </c>
      <c r="V43" s="47">
        <f t="shared" si="26"/>
        <v>726</v>
      </c>
      <c r="W43" s="47">
        <f t="shared" si="27"/>
        <v>668</v>
      </c>
      <c r="X43" s="47">
        <f t="shared" si="28"/>
        <v>667</v>
      </c>
      <c r="Y43" s="49">
        <f>(Tableau31[[#This Row],[Round 12]]-Tableau31[[#This Row],[Round 11]])/Tableau31[[#This Row],[Round 11]]</f>
        <v>-1.4970059880239522E-3</v>
      </c>
      <c r="AG43" s="55" t="s">
        <v>218</v>
      </c>
      <c r="AH43" s="47">
        <f t="shared" si="29"/>
        <v>633</v>
      </c>
      <c r="AI43" s="47">
        <f t="shared" si="30"/>
        <v>755</v>
      </c>
      <c r="AJ43" s="47">
        <f t="shared" si="31"/>
        <v>726</v>
      </c>
      <c r="AK43" s="47">
        <f t="shared" si="32"/>
        <v>668</v>
      </c>
      <c r="AL43" s="47">
        <f t="shared" si="33"/>
        <v>667</v>
      </c>
      <c r="AM43" s="49">
        <f>(Tableau32[[#This Row],[Round 12]]-Tableau32[[#This Row],[Round 11]])/Tableau32[[#This Row],[Round 11]]</f>
        <v>-1.4970059880239522E-3</v>
      </c>
    </row>
    <row r="44" spans="1:42" ht="15.75" thickBot="1" x14ac:dyDescent="0.3">
      <c r="A44" s="96">
        <v>21</v>
      </c>
      <c r="B44" s="253" t="s">
        <v>215</v>
      </c>
      <c r="C44" s="254">
        <f>GETPIVOTDATA("ind",'Displacement &amp; Returns'!$C$108,"adm2_name","Mayo-Danay","adm3_name",B44,"deplacement","idp")</f>
        <v>5256</v>
      </c>
      <c r="D44" s="254">
        <f>GETPIVOTDATA("ind",'Displacement &amp; Returns'!$C$108,"adm2_name","Mayo-Danay","adm3_name",B44,"deplacement","Retournés")</f>
        <v>369</v>
      </c>
      <c r="E44" s="254">
        <f>GETPIVOTDATA("ind",'Displacement &amp; Returns'!$C$108,"adm2_name","Mayo-Danay","adm3_name",B44,"deplacement","réfugiés non-enregistrés")</f>
        <v>0</v>
      </c>
      <c r="F44" s="254">
        <f t="shared" si="22"/>
        <v>5625</v>
      </c>
      <c r="G44" s="232"/>
      <c r="I44" s="253" t="s">
        <v>215</v>
      </c>
      <c r="J44" s="254">
        <f>GETPIVOTDATA("ind",'Displacement &amp; Returns'!$M$108,"adm2_name","Mayo-Danay","adm3_name",I44,"deplacement","idp")</f>
        <v>5256</v>
      </c>
      <c r="K44" s="254">
        <f>GETPIVOTDATA("ind",'Displacement &amp; Returns'!$M$108,"adm2_name","Mayo-Danay","adm3_name",I44,"deplacement","Returnees")</f>
        <v>369</v>
      </c>
      <c r="L44" s="254">
        <f>GETPIVOTDATA("ind",'Displacement &amp; Returns'!$M$108,"adm2_name","Mayo-Danay","adm3_name",I44,"deplacement","Unregistered Refugees")</f>
        <v>0</v>
      </c>
      <c r="M44" s="254">
        <f t="shared" si="23"/>
        <v>5625</v>
      </c>
      <c r="N44" s="228"/>
      <c r="O44" s="228"/>
      <c r="P44" s="228"/>
      <c r="Q44" s="228"/>
      <c r="R44" s="229"/>
      <c r="S44" s="55" t="s">
        <v>48</v>
      </c>
      <c r="T44" s="47">
        <f t="shared" si="24"/>
        <v>12265</v>
      </c>
      <c r="U44" s="47">
        <f t="shared" si="25"/>
        <v>13065</v>
      </c>
      <c r="V44" s="47">
        <f t="shared" si="26"/>
        <v>13437</v>
      </c>
      <c r="W44" s="47">
        <f t="shared" si="27"/>
        <v>13467</v>
      </c>
      <c r="X44" s="47">
        <f t="shared" si="28"/>
        <v>17128</v>
      </c>
      <c r="Y44" s="49">
        <f>(Tableau31[[#This Row],[Round 12]]-Tableau31[[#This Row],[Round 11]])/Tableau31[[#This Row],[Round 11]]</f>
        <v>0.27184970669042846</v>
      </c>
      <c r="AG44" s="55" t="s">
        <v>48</v>
      </c>
      <c r="AH44" s="47">
        <f t="shared" si="29"/>
        <v>12265</v>
      </c>
      <c r="AI44" s="47">
        <f t="shared" si="30"/>
        <v>13065</v>
      </c>
      <c r="AJ44" s="47">
        <f t="shared" si="31"/>
        <v>13437</v>
      </c>
      <c r="AK44" s="47">
        <f t="shared" si="32"/>
        <v>13467</v>
      </c>
      <c r="AL44" s="47">
        <f t="shared" si="33"/>
        <v>17128</v>
      </c>
      <c r="AM44" s="49">
        <f>(Tableau32[[#This Row],[Round 12]]-Tableau32[[#This Row],[Round 11]])/Tableau32[[#This Row],[Round 11]]</f>
        <v>0.27184970669042846</v>
      </c>
    </row>
    <row r="45" spans="1:42" ht="15.75" thickBot="1" x14ac:dyDescent="0.3">
      <c r="A45" s="96">
        <v>22</v>
      </c>
      <c r="B45" s="253" t="s">
        <v>213</v>
      </c>
      <c r="C45" s="254">
        <f>GETPIVOTDATA("ind",'Displacement &amp; Returns'!$C$108,"adm2_name","Mayo-Danay","adm3_name",B45,"deplacement","idp")</f>
        <v>1310</v>
      </c>
      <c r="D45" s="254">
        <f>GETPIVOTDATA("ind",'Displacement &amp; Returns'!$C$108,"adm2_name","Mayo-Danay","adm3_name",B45,"deplacement","Retournés")</f>
        <v>800</v>
      </c>
      <c r="E45" s="254">
        <f>GETPIVOTDATA("ind",'Displacement &amp; Returns'!$C$108,"adm2_name","Mayo-Danay","adm3_name",B45,"deplacement","réfugiés non-enregistrés")</f>
        <v>0</v>
      </c>
      <c r="F45" s="254">
        <f t="shared" si="22"/>
        <v>2110</v>
      </c>
      <c r="G45" s="232"/>
      <c r="I45" s="253" t="s">
        <v>213</v>
      </c>
      <c r="J45" s="254">
        <f>GETPIVOTDATA("ind",'Displacement &amp; Returns'!$M$108,"adm2_name","Mayo-Danay","adm3_name",I45,"deplacement","idp")</f>
        <v>1310</v>
      </c>
      <c r="K45" s="254">
        <f>GETPIVOTDATA("ind",'Displacement &amp; Returns'!$M$108,"adm2_name","Mayo-Danay","adm3_name",I45,"deplacement","Returnees")</f>
        <v>800</v>
      </c>
      <c r="L45" s="254">
        <f>GETPIVOTDATA("ind",'Displacement &amp; Returns'!$M$108,"adm2_name","Mayo-Danay","adm3_name",I45,"deplacement","Unregistered Refugees")</f>
        <v>0</v>
      </c>
      <c r="M45" s="254">
        <f t="shared" si="23"/>
        <v>2110</v>
      </c>
      <c r="N45" s="228"/>
      <c r="O45" s="228"/>
      <c r="P45" s="228"/>
      <c r="Q45" s="228"/>
      <c r="R45" s="229"/>
      <c r="S45" s="55" t="s">
        <v>37</v>
      </c>
      <c r="T45" s="47">
        <f t="shared" si="24"/>
        <v>13802</v>
      </c>
      <c r="U45" s="47">
        <f t="shared" si="25"/>
        <v>15803</v>
      </c>
      <c r="V45" s="47">
        <f t="shared" si="26"/>
        <v>16064</v>
      </c>
      <c r="W45" s="47">
        <f t="shared" si="27"/>
        <v>16745</v>
      </c>
      <c r="X45" s="47">
        <f t="shared" si="28"/>
        <v>17196</v>
      </c>
      <c r="Y45" s="49">
        <f>(Tableau31[[#This Row],[Round 12]]-Tableau31[[#This Row],[Round 11]])/Tableau31[[#This Row],[Round 11]]</f>
        <v>2.6933412959092268E-2</v>
      </c>
      <c r="AG45" s="55" t="s">
        <v>37</v>
      </c>
      <c r="AH45" s="47">
        <f t="shared" si="29"/>
        <v>13802</v>
      </c>
      <c r="AI45" s="47">
        <f t="shared" si="30"/>
        <v>15803</v>
      </c>
      <c r="AJ45" s="47">
        <f t="shared" si="31"/>
        <v>16064</v>
      </c>
      <c r="AK45" s="47">
        <f t="shared" si="32"/>
        <v>16745</v>
      </c>
      <c r="AL45" s="47">
        <f t="shared" si="33"/>
        <v>17196</v>
      </c>
      <c r="AM45" s="49">
        <f>(Tableau32[[#This Row],[Round 12]]-Tableau32[[#This Row],[Round 11]])/Tableau32[[#This Row],[Round 11]]</f>
        <v>2.6933412959092268E-2</v>
      </c>
    </row>
    <row r="46" spans="1:42" ht="15.75" thickBot="1" x14ac:dyDescent="0.3">
      <c r="B46" s="7" t="s">
        <v>218</v>
      </c>
      <c r="C46" s="8">
        <f>SUM(C47:C51)</f>
        <v>129</v>
      </c>
      <c r="D46" s="8">
        <f t="shared" ref="D46:F46" si="34">SUM(D47:D51)</f>
        <v>667</v>
      </c>
      <c r="E46" s="8">
        <f t="shared" si="34"/>
        <v>20</v>
      </c>
      <c r="F46" s="8">
        <f t="shared" si="34"/>
        <v>816</v>
      </c>
      <c r="G46" s="231"/>
      <c r="I46" s="7" t="s">
        <v>218</v>
      </c>
      <c r="J46" s="8">
        <f>SUM(J47:J51)</f>
        <v>129</v>
      </c>
      <c r="K46" s="8">
        <f t="shared" ref="K46:M46" si="35">SUM(K47:K51)</f>
        <v>667</v>
      </c>
      <c r="L46" s="8">
        <f t="shared" si="35"/>
        <v>20</v>
      </c>
      <c r="M46" s="8">
        <f t="shared" si="35"/>
        <v>816</v>
      </c>
      <c r="N46" s="228"/>
      <c r="O46" s="228"/>
      <c r="P46" s="228"/>
      <c r="Q46" s="228"/>
      <c r="R46" s="229"/>
      <c r="S46" s="348" t="s">
        <v>715</v>
      </c>
      <c r="T46" s="349">
        <f>SUM(T40:T45)</f>
        <v>58027</v>
      </c>
      <c r="U46" s="349">
        <f>SUM(U40:U45)</f>
        <v>59398</v>
      </c>
      <c r="V46" s="349">
        <f>SUM(V40:V45)</f>
        <v>61090</v>
      </c>
      <c r="W46" s="349">
        <f>SUBTOTAL(109,Tableau31[Round 11])</f>
        <v>63692</v>
      </c>
      <c r="X46" s="350">
        <f>SUBTOTAL(109,Tableau31[Round 12])</f>
        <v>69730</v>
      </c>
      <c r="Y46" s="351">
        <f>(Tableau31[[#Totals],[Round 12]]-Tableau31[[#Totals],[Round 11]])/Tableau31[[#Totals],[Round 11]]</f>
        <v>9.47999748791057E-2</v>
      </c>
      <c r="AG46" s="348" t="s">
        <v>715</v>
      </c>
      <c r="AH46" s="349">
        <f>SUM(AH40:AH45)</f>
        <v>58027</v>
      </c>
      <c r="AI46" s="350">
        <f>SUM(AI40:AI45)</f>
        <v>59398</v>
      </c>
      <c r="AJ46" s="350">
        <f>SUM(AJ40:AJ45)</f>
        <v>61090</v>
      </c>
      <c r="AK46" s="350">
        <f>SUBTOTAL(109,Tableau32[Round 11])</f>
        <v>63692</v>
      </c>
      <c r="AL46" s="350">
        <f>SUBTOTAL(109,Tableau32[Round 12])</f>
        <v>69730</v>
      </c>
      <c r="AM46" s="352"/>
    </row>
    <row r="47" spans="1:42" ht="15.75" thickBot="1" x14ac:dyDescent="0.3">
      <c r="A47" s="96">
        <v>23</v>
      </c>
      <c r="B47" s="253" t="s">
        <v>676</v>
      </c>
      <c r="C47" s="254">
        <f>GETPIVOTDATA("ind",'Displacement &amp; Returns'!$C$108,"adm2_name","Mayo-Kani","adm3_name",B47,"deplacement","idp")</f>
        <v>0</v>
      </c>
      <c r="D47" s="254">
        <f>GETPIVOTDATA("ind",'Displacement &amp; Returns'!$C$108,"adm2_name","Mayo-Kani","adm3_name",B47,"deplacement","Retournés")</f>
        <v>82</v>
      </c>
      <c r="E47" s="254">
        <f>GETPIVOTDATA("ind",'Displacement &amp; Returns'!$C$108,"adm2_name","Mayo-Kani","adm3_name",B47,"deplacement","réfugiés non-enregistrés")</f>
        <v>0</v>
      </c>
      <c r="F47" s="254">
        <f>SUM(C47:E47)</f>
        <v>82</v>
      </c>
      <c r="G47" s="232"/>
      <c r="I47" s="253" t="s">
        <v>676</v>
      </c>
      <c r="J47" s="254">
        <f>GETPIVOTDATA("ind",'Displacement &amp; Returns'!$M$108,"adm2_name","Mayo-Kani","adm3_name",I47,"deplacement","idp")</f>
        <v>0</v>
      </c>
      <c r="K47" s="254">
        <f>GETPIVOTDATA("ind",'Displacement &amp; Returns'!$M$108,"adm2_name","Mayo-Kani","adm3_name",I47,"deplacement","Returnees")</f>
        <v>82</v>
      </c>
      <c r="L47" s="254">
        <f>GETPIVOTDATA("ind",'Displacement &amp; Returns'!$M$108,"adm2_name","Mayo-Kani","adm3_name",I47,"deplacement","Unregistered Refugees")</f>
        <v>0</v>
      </c>
      <c r="M47" s="254">
        <f>SUM(J47:L47)</f>
        <v>82</v>
      </c>
      <c r="N47" s="228"/>
      <c r="O47" s="228"/>
      <c r="P47" s="228"/>
      <c r="Q47" s="228"/>
      <c r="R47" s="229"/>
    </row>
    <row r="48" spans="1:42" ht="15.75" thickBot="1" x14ac:dyDescent="0.3">
      <c r="A48" s="96">
        <v>24</v>
      </c>
      <c r="B48" s="253" t="s">
        <v>224</v>
      </c>
      <c r="C48" s="254">
        <f>GETPIVOTDATA("ind",'Displacement &amp; Returns'!$C$108,"adm2_name","Mayo-Kani","adm3_name",B48,"deplacement","idp")</f>
        <v>77</v>
      </c>
      <c r="D48" s="254">
        <f>GETPIVOTDATA("ind",'Displacement &amp; Returns'!$C$108,"adm2_name","Mayo-Kani","adm3_name",B48,"deplacement","Retournés")</f>
        <v>115</v>
      </c>
      <c r="E48" s="254">
        <f>GETPIVOTDATA("ind",'Displacement &amp; Returns'!$C$108,"adm2_name","Mayo-Kani","adm3_name",B48,"deplacement","réfugiés non-enregistrés")</f>
        <v>0</v>
      </c>
      <c r="F48" s="254">
        <f>SUM(C48:E48)</f>
        <v>192</v>
      </c>
      <c r="G48" s="232"/>
      <c r="I48" s="253" t="s">
        <v>224</v>
      </c>
      <c r="J48" s="254">
        <f>GETPIVOTDATA("ind",'Displacement &amp; Returns'!$M$108,"adm2_name","Mayo-Kani","adm3_name",I48,"deplacement","idp")</f>
        <v>77</v>
      </c>
      <c r="K48" s="254">
        <f>GETPIVOTDATA("ind",'Displacement &amp; Returns'!$M$108,"adm2_name","Mayo-Kani","adm3_name",I48,"deplacement","Returnees")</f>
        <v>115</v>
      </c>
      <c r="L48" s="254">
        <f>GETPIVOTDATA("ind",'Displacement &amp; Returns'!$M$108,"adm2_name","Mayo-Kani","adm3_name",I48,"deplacement","Unregistered Refugees")</f>
        <v>0</v>
      </c>
      <c r="M48" s="254">
        <f>SUM(J48:L48)</f>
        <v>192</v>
      </c>
      <c r="N48" s="228"/>
      <c r="O48" s="228"/>
      <c r="P48" s="228"/>
      <c r="Q48" s="228"/>
      <c r="R48" s="229"/>
    </row>
    <row r="49" spans="1:23" ht="15.75" thickBot="1" x14ac:dyDescent="0.3">
      <c r="A49" s="96">
        <v>25</v>
      </c>
      <c r="B49" s="253" t="s">
        <v>220</v>
      </c>
      <c r="C49" s="254">
        <f>GETPIVOTDATA("ind",'Displacement &amp; Returns'!$C$108,"adm2_name","Mayo-Kani","adm3_name",B49,"deplacement","idp")</f>
        <v>0</v>
      </c>
      <c r="D49" s="254">
        <f>GETPIVOTDATA("ind",'Displacement &amp; Returns'!$C$108,"adm2_name","Mayo-Kani","adm3_name",B49,"deplacement","Retournés")</f>
        <v>37</v>
      </c>
      <c r="E49" s="254">
        <f>GETPIVOTDATA("ind",'Displacement &amp; Returns'!$C$108,"adm2_name","Mayo-Kani","adm3_name",B49,"deplacement","réfugiés non-enregistrés")</f>
        <v>9</v>
      </c>
      <c r="F49" s="254">
        <f>SUM(C49:E49)</f>
        <v>46</v>
      </c>
      <c r="G49" s="232"/>
      <c r="I49" s="253" t="s">
        <v>220</v>
      </c>
      <c r="J49" s="254">
        <f>GETPIVOTDATA("ind",'Displacement &amp; Returns'!$M$108,"adm2_name","Mayo-Kani","adm3_name",I49,"deplacement","idp")</f>
        <v>0</v>
      </c>
      <c r="K49" s="254">
        <f>GETPIVOTDATA("ind",'Displacement &amp; Returns'!$M$108,"adm2_name","Mayo-Kani","adm3_name",I49,"deplacement","Returnees")</f>
        <v>37</v>
      </c>
      <c r="L49" s="254">
        <f>GETPIVOTDATA("ind",'Displacement &amp; Returns'!$M$108,"adm2_name","Mayo-Kani","adm3_name",I49,"deplacement","Unregistered Refugees")</f>
        <v>9</v>
      </c>
      <c r="M49" s="254">
        <f>SUM(J49:L49)</f>
        <v>46</v>
      </c>
      <c r="N49" s="228"/>
      <c r="O49" s="228"/>
      <c r="P49" s="228"/>
      <c r="Q49" s="228"/>
      <c r="R49" s="228"/>
    </row>
    <row r="50" spans="1:23" ht="15.75" thickBot="1" x14ac:dyDescent="0.3">
      <c r="A50" s="96">
        <v>26</v>
      </c>
      <c r="B50" s="253" t="s">
        <v>228</v>
      </c>
      <c r="C50" s="254">
        <f>GETPIVOTDATA("ind",'Displacement &amp; Returns'!$C$108,"adm2_name","Mayo-Kani","adm3_name",B50,"deplacement","idp")</f>
        <v>0</v>
      </c>
      <c r="D50" s="254">
        <f>GETPIVOTDATA("ind",'Displacement &amp; Returns'!$C$108,"adm2_name","Mayo-Kani","adm3_name",B50,"deplacement","Retournés")</f>
        <v>429</v>
      </c>
      <c r="E50" s="254">
        <f>GETPIVOTDATA("ind",'Displacement &amp; Returns'!$C$108,"adm2_name","Mayo-Kani","adm3_name",B50,"deplacement","réfugiés non-enregistrés")</f>
        <v>0</v>
      </c>
      <c r="F50" s="254">
        <f>SUM(C50:E50)</f>
        <v>429</v>
      </c>
      <c r="G50" s="232"/>
      <c r="I50" s="253" t="s">
        <v>228</v>
      </c>
      <c r="J50" s="254">
        <f>GETPIVOTDATA("ind",'Displacement &amp; Returns'!$M$108,"adm2_name","Mayo-Kani","adm3_name",I50,"deplacement","idp")</f>
        <v>0</v>
      </c>
      <c r="K50" s="254">
        <f>GETPIVOTDATA("ind",'Displacement &amp; Returns'!$M$108,"adm2_name","Mayo-Kani","adm3_name",I50,"deplacement","Returnees")</f>
        <v>429</v>
      </c>
      <c r="L50" s="254">
        <f>GETPIVOTDATA("ind",'Displacement &amp; Returns'!$M$108,"adm2_name","Mayo-Kani","adm3_name",I50,"deplacement","Unregistered Refugees")</f>
        <v>0</v>
      </c>
      <c r="M50" s="254">
        <f>SUM(J50:L50)</f>
        <v>429</v>
      </c>
      <c r="N50" s="228"/>
      <c r="O50" s="228"/>
      <c r="P50" s="228"/>
      <c r="Q50" s="228"/>
      <c r="R50" s="228"/>
    </row>
    <row r="51" spans="1:23" ht="15.75" thickBot="1" x14ac:dyDescent="0.3">
      <c r="A51" s="96">
        <v>27</v>
      </c>
      <c r="B51" s="253" t="s">
        <v>497</v>
      </c>
      <c r="C51" s="254">
        <f>GETPIVOTDATA("ind",'Displacement &amp; Returns'!$C$108,"adm2_name","Mayo-Kani","adm3_name",B51,"deplacement","idp")</f>
        <v>52</v>
      </c>
      <c r="D51" s="254">
        <f>GETPIVOTDATA("ind",'Displacement &amp; Returns'!$C$108,"adm2_name","Mayo-Kani","adm3_name",B51,"deplacement","Retournés")</f>
        <v>4</v>
      </c>
      <c r="E51" s="254">
        <f>GETPIVOTDATA("ind",'Displacement &amp; Returns'!$C$108,"adm2_name","Mayo-Kani","adm3_name",B51,"deplacement","réfugiés non-enregistrés")</f>
        <v>11</v>
      </c>
      <c r="F51" s="254">
        <f>SUM(C51:E51)</f>
        <v>67</v>
      </c>
      <c r="G51" s="232"/>
      <c r="I51" s="253" t="s">
        <v>497</v>
      </c>
      <c r="J51" s="254">
        <f>GETPIVOTDATA("ind",'Displacement &amp; Returns'!$M$108,"adm2_name","Mayo-Kani","adm3_name",I51,"deplacement","idp")</f>
        <v>52</v>
      </c>
      <c r="K51" s="254">
        <f>GETPIVOTDATA("ind",'Displacement &amp; Returns'!$M$108,"adm2_name","Mayo-Kani","adm3_name",I51,"deplacement","Returnees")</f>
        <v>4</v>
      </c>
      <c r="L51" s="254">
        <f>GETPIVOTDATA("ind",'Displacement &amp; Returns'!$M$108,"adm2_name","Mayo-Kani","adm3_name",I51,"deplacement","Unregistered Refugees")</f>
        <v>11</v>
      </c>
      <c r="M51" s="254">
        <f>SUM(J51:L51)</f>
        <v>67</v>
      </c>
      <c r="N51" s="228"/>
      <c r="O51" s="228"/>
      <c r="P51" s="228"/>
      <c r="Q51" s="228"/>
      <c r="R51" s="228"/>
      <c r="S51" s="228"/>
      <c r="T51" s="228"/>
      <c r="U51" s="228"/>
      <c r="V51" s="228"/>
      <c r="W51" s="228"/>
    </row>
    <row r="52" spans="1:23" ht="15.75" thickBot="1" x14ac:dyDescent="0.3">
      <c r="B52" s="7" t="s">
        <v>48</v>
      </c>
      <c r="C52" s="8">
        <f>SUM(C53:C55)</f>
        <v>59506</v>
      </c>
      <c r="D52" s="8">
        <f t="shared" ref="D52:F52" si="36">SUM(D53:D55)</f>
        <v>17128</v>
      </c>
      <c r="E52" s="8">
        <f t="shared" si="36"/>
        <v>0</v>
      </c>
      <c r="F52" s="8">
        <f t="shared" si="36"/>
        <v>76634</v>
      </c>
      <c r="G52" s="231"/>
      <c r="I52" s="7" t="s">
        <v>48</v>
      </c>
      <c r="J52" s="8">
        <f>SUM(J53:J55)</f>
        <v>59506</v>
      </c>
      <c r="K52" s="8">
        <f t="shared" ref="K52:M52" si="37">SUM(K53:K55)</f>
        <v>17128</v>
      </c>
      <c r="L52" s="8">
        <f t="shared" si="37"/>
        <v>0</v>
      </c>
      <c r="M52" s="8">
        <f t="shared" si="37"/>
        <v>76634</v>
      </c>
      <c r="R52" s="228"/>
    </row>
    <row r="53" spans="1:23" ht="15.75" thickBot="1" x14ac:dyDescent="0.3">
      <c r="A53" s="96">
        <v>28</v>
      </c>
      <c r="B53" s="253" t="s">
        <v>232</v>
      </c>
      <c r="C53" s="254">
        <f>GETPIVOTDATA("ind",'Displacement &amp; Returns'!$C$108,"adm2_name","Mayo-Sava","adm3_name",B53,"deplacement","idp")</f>
        <v>14521</v>
      </c>
      <c r="D53" s="254">
        <f>GETPIVOTDATA("ind",'Displacement &amp; Returns'!$C$108,"adm2_name","Mayo-Sava","adm3_name",B53,"deplacement","Retournés")</f>
        <v>9128</v>
      </c>
      <c r="E53" s="254">
        <f>GETPIVOTDATA("ind",'Displacement &amp; Returns'!$C$108,"adm2_name","Mayo-Sava","adm3_name",B53,"deplacement","réfugiés non-enregistrés")</f>
        <v>0</v>
      </c>
      <c r="F53" s="254">
        <f>SUM(C53:E53)</f>
        <v>23649</v>
      </c>
      <c r="G53" s="232"/>
      <c r="I53" s="253" t="s">
        <v>232</v>
      </c>
      <c r="J53" s="254">
        <f>GETPIVOTDATA("ind",'Displacement &amp; Returns'!$M$108,"adm2_name","Mayo-Sava","adm3_name",I53,"deplacement","idp")</f>
        <v>14521</v>
      </c>
      <c r="K53" s="254">
        <f>GETPIVOTDATA("ind",'Displacement &amp; Returns'!$M$108,"adm2_name","Mayo-Sava","adm3_name",I53,"deplacement","Returnees")</f>
        <v>9128</v>
      </c>
      <c r="L53" s="254">
        <f>GETPIVOTDATA("ind",'Displacement &amp; Returns'!$M$108,"adm2_name","Mayo-Sava","adm3_name",I53,"deplacement","Unregistered Refugees")</f>
        <v>0</v>
      </c>
      <c r="M53" s="254">
        <f>SUM(J53:L53)</f>
        <v>23649</v>
      </c>
      <c r="R53" s="229"/>
    </row>
    <row r="54" spans="1:23" ht="15.75" thickBot="1" x14ac:dyDescent="0.3">
      <c r="A54" s="96">
        <v>29</v>
      </c>
      <c r="B54" s="253" t="s">
        <v>62</v>
      </c>
      <c r="C54" s="254">
        <f>GETPIVOTDATA("ind",'Displacement &amp; Returns'!$C$108,"adm2_name","Mayo-Sava","adm3_name",B54,"deplacement","idp")</f>
        <v>43257</v>
      </c>
      <c r="D54" s="254">
        <f>GETPIVOTDATA("ind",'Displacement &amp; Returns'!$C$108,"adm2_name","Mayo-Sava","adm3_name",B54,"deplacement","Retournés")</f>
        <v>8000</v>
      </c>
      <c r="E54" s="254">
        <f>GETPIVOTDATA("ind",'Displacement &amp; Returns'!$C$108,"adm2_name","Mayo-Sava","adm3_name",B54,"deplacement","réfugiés non-enregistrés")</f>
        <v>0</v>
      </c>
      <c r="F54" s="254">
        <f>SUM(C54:E54)</f>
        <v>51257</v>
      </c>
      <c r="G54" s="232"/>
      <c r="I54" s="253" t="s">
        <v>62</v>
      </c>
      <c r="J54" s="254">
        <f>GETPIVOTDATA("ind",'Displacement &amp; Returns'!$M$108,"adm2_name","Mayo-Sava","adm3_name",I54,"deplacement","idp")</f>
        <v>43257</v>
      </c>
      <c r="K54" s="254">
        <f>GETPIVOTDATA("ind",'Displacement &amp; Returns'!$M$108,"adm2_name","Mayo-Sava","adm3_name",I54,"deplacement","Returnees")</f>
        <v>8000</v>
      </c>
      <c r="L54" s="254">
        <f>GETPIVOTDATA("ind",'Displacement &amp; Returns'!$M$108,"adm2_name","Mayo-Sava","adm3_name",I54,"deplacement","Unregistered Refugees")</f>
        <v>0</v>
      </c>
      <c r="M54" s="254">
        <f>SUM(J54:L54)</f>
        <v>51257</v>
      </c>
      <c r="R54" s="229"/>
    </row>
    <row r="55" spans="1:23" ht="15.75" thickBot="1" x14ac:dyDescent="0.3">
      <c r="A55" s="96">
        <v>30</v>
      </c>
      <c r="B55" s="253" t="s">
        <v>527</v>
      </c>
      <c r="C55" s="254">
        <f>GETPIVOTDATA("ind",'Displacement &amp; Returns'!$C$108,"adm2_name","Mayo-Sava","adm3_name",B55,"deplacement","idp")</f>
        <v>1728</v>
      </c>
      <c r="D55" s="254">
        <f>GETPIVOTDATA("ind",'Displacement &amp; Returns'!$C$108,"adm2_name","Mayo-Sava","adm3_name",B55,"deplacement","Retournés")</f>
        <v>0</v>
      </c>
      <c r="E55" s="254">
        <f>GETPIVOTDATA("ind",'Displacement &amp; Returns'!$C$108,"adm2_name","Mayo-Sava","adm3_name",B55,"deplacement","réfugiés non-enregistrés")</f>
        <v>0</v>
      </c>
      <c r="F55" s="254">
        <f>SUM(C55:E55)</f>
        <v>1728</v>
      </c>
      <c r="G55" s="232"/>
      <c r="I55" s="253" t="s">
        <v>527</v>
      </c>
      <c r="J55" s="254">
        <f>GETPIVOTDATA("ind",'Displacement &amp; Returns'!$M$108,"adm2_name","Mayo-Sava","adm3_name",I55,"deplacement","idp")</f>
        <v>1728</v>
      </c>
      <c r="K55" s="254">
        <f>GETPIVOTDATA("ind",'Displacement &amp; Returns'!$M$108,"adm2_name","Mayo-Sava","adm3_name",I55,"deplacement","Returnees")</f>
        <v>0</v>
      </c>
      <c r="L55" s="254">
        <f>GETPIVOTDATA("ind",'Displacement &amp; Returns'!$M$108,"adm2_name","Mayo-Sava","adm3_name",I55,"deplacement","Unregistered Refugees")</f>
        <v>0</v>
      </c>
      <c r="M55" s="254">
        <f>SUM(J55:L55)</f>
        <v>1728</v>
      </c>
      <c r="R55" s="229"/>
    </row>
    <row r="56" spans="1:23" ht="15.75" thickBot="1" x14ac:dyDescent="0.3">
      <c r="B56" s="7" t="s">
        <v>37</v>
      </c>
      <c r="C56" s="8">
        <f>SUM(C57:C63)</f>
        <v>40041</v>
      </c>
      <c r="D56" s="8">
        <f t="shared" ref="D56:F56" si="38">SUM(D57:D63)</f>
        <v>17196</v>
      </c>
      <c r="E56" s="8">
        <f t="shared" si="38"/>
        <v>5197</v>
      </c>
      <c r="F56" s="8">
        <f t="shared" si="38"/>
        <v>62434</v>
      </c>
      <c r="G56" s="231"/>
      <c r="I56" s="7" t="s">
        <v>37</v>
      </c>
      <c r="J56" s="8">
        <f>SUM(J57:J63)</f>
        <v>40041</v>
      </c>
      <c r="K56" s="8">
        <f t="shared" ref="K56:M56" si="39">SUM(K57:K63)</f>
        <v>17196</v>
      </c>
      <c r="L56" s="8">
        <f t="shared" si="39"/>
        <v>5197</v>
      </c>
      <c r="M56" s="8">
        <f t="shared" si="39"/>
        <v>62434</v>
      </c>
      <c r="R56" s="229"/>
    </row>
    <row r="57" spans="1:23" ht="15.75" thickBot="1" x14ac:dyDescent="0.3">
      <c r="A57" s="96">
        <v>31</v>
      </c>
      <c r="B57" s="253" t="s">
        <v>236</v>
      </c>
      <c r="C57" s="254">
        <f>GETPIVOTDATA("ind",'Displacement &amp; Returns'!$C$108,"adm2_name","Mayo-Tsanaga","adm3_name",B57,"deplacement","idp")</f>
        <v>201</v>
      </c>
      <c r="D57" s="254">
        <f>GETPIVOTDATA("ind",'Displacement &amp; Returns'!$C$108,"adm2_name","Mayo-Tsanaga","adm3_name",B57,"deplacement","Retournés")</f>
        <v>1566</v>
      </c>
      <c r="E57" s="254">
        <f>GETPIVOTDATA("ind",'Displacement &amp; Returns'!$C$108,"adm2_name","Mayo-Tsanaga","adm3_name",B57,"deplacement","réfugiés non-enregistrés")</f>
        <v>90</v>
      </c>
      <c r="F57" s="254">
        <f t="shared" ref="F57:F63" si="40">SUM(C57:E57)</f>
        <v>1857</v>
      </c>
      <c r="G57" s="232"/>
      <c r="I57" s="253" t="s">
        <v>236</v>
      </c>
      <c r="J57" s="254">
        <f>GETPIVOTDATA("ind",'Displacement &amp; Returns'!$M$108,"adm2_name","Mayo-Tsanaga","adm3_name",I57,"deplacement","idp")</f>
        <v>201</v>
      </c>
      <c r="K57" s="254">
        <f>GETPIVOTDATA("ind",'Displacement &amp; Returns'!$M$108,"adm2_name","Mayo-Tsanaga","adm3_name",I57,"deplacement","Returnees")</f>
        <v>1566</v>
      </c>
      <c r="L57" s="254">
        <f>GETPIVOTDATA("ind",'Displacement &amp; Returns'!$M$108,"adm2_name","Mayo-Tsanaga","adm3_name",I57,"deplacement","Unregistered Refugees")</f>
        <v>90</v>
      </c>
      <c r="M57" s="254">
        <f t="shared" ref="M57:M63" si="41">SUM(J57:L57)</f>
        <v>1857</v>
      </c>
      <c r="R57" s="229"/>
    </row>
    <row r="58" spans="1:23" ht="15.75" thickBot="1" x14ac:dyDescent="0.3">
      <c r="A58" s="96">
        <v>32</v>
      </c>
      <c r="B58" s="253" t="s">
        <v>540</v>
      </c>
      <c r="C58" s="254">
        <f>GETPIVOTDATA("ind",'Displacement &amp; Returns'!$C$108,"adm2_name","Mayo-Tsanaga","adm3_name",B58,"deplacement","idp")</f>
        <v>404</v>
      </c>
      <c r="D58" s="254">
        <f>GETPIVOTDATA("ind",'Displacement &amp; Returns'!$C$108,"adm2_name","Mayo-Tsanaga","adm3_name",B58,"deplacement","Retournés")</f>
        <v>253</v>
      </c>
      <c r="E58" s="254">
        <f>GETPIVOTDATA("ind",'Displacement &amp; Returns'!$C$108,"adm2_name","Mayo-Tsanaga","adm3_name",B58,"deplacement","réfugiés non-enregistrés")</f>
        <v>0</v>
      </c>
      <c r="F58" s="254">
        <f t="shared" si="40"/>
        <v>657</v>
      </c>
      <c r="G58" s="232"/>
      <c r="I58" s="253" t="s">
        <v>540</v>
      </c>
      <c r="J58" s="254">
        <f>GETPIVOTDATA("ind",'Displacement &amp; Returns'!$M$108,"adm2_name","Mayo-Tsanaga","adm3_name",I58,"deplacement","idp")</f>
        <v>404</v>
      </c>
      <c r="K58" s="254">
        <f>GETPIVOTDATA("ind",'Displacement &amp; Returns'!$M$108,"adm2_name","Mayo-Tsanaga","adm3_name",I58,"deplacement","Returnees")</f>
        <v>253</v>
      </c>
      <c r="L58" s="254">
        <f>GETPIVOTDATA("ind",'Displacement &amp; Returns'!$M$108,"adm2_name","Mayo-Tsanaga","adm3_name",I58,"deplacement","Unregistered Refugees")</f>
        <v>0</v>
      </c>
      <c r="M58" s="254">
        <f t="shared" si="41"/>
        <v>657</v>
      </c>
      <c r="R58" s="229"/>
    </row>
    <row r="59" spans="1:23" ht="15.75" thickBot="1" x14ac:dyDescent="0.3">
      <c r="A59" s="96">
        <v>33</v>
      </c>
      <c r="B59" s="253" t="s">
        <v>547</v>
      </c>
      <c r="C59" s="254">
        <f>GETPIVOTDATA("ind",'Displacement &amp; Returns'!$C$108,"adm2_name","Mayo-Tsanaga","adm3_name",B59,"deplacement","idp")</f>
        <v>16314</v>
      </c>
      <c r="D59" s="254">
        <f>GETPIVOTDATA("ind",'Displacement &amp; Returns'!$C$108,"adm2_name","Mayo-Tsanaga","adm3_name",B59,"deplacement","Retournés")</f>
        <v>2182</v>
      </c>
      <c r="E59" s="254">
        <f>GETPIVOTDATA("ind",'Displacement &amp; Returns'!$C$108,"adm2_name","Mayo-Tsanaga","adm3_name",B59,"deplacement","réfugiés non-enregistrés")</f>
        <v>30</v>
      </c>
      <c r="F59" s="254">
        <f t="shared" si="40"/>
        <v>18526</v>
      </c>
      <c r="G59" s="232"/>
      <c r="I59" s="253" t="s">
        <v>547</v>
      </c>
      <c r="J59" s="254">
        <f>GETPIVOTDATA("ind",'Displacement &amp; Returns'!$M$108,"adm2_name","Mayo-Tsanaga","adm3_name",I59,"deplacement","idp")</f>
        <v>16314</v>
      </c>
      <c r="K59" s="254">
        <f>GETPIVOTDATA("ind",'Displacement &amp; Returns'!$M$108,"adm2_name","Mayo-Tsanaga","adm3_name",I59,"deplacement","Returnees")</f>
        <v>2182</v>
      </c>
      <c r="L59" s="254">
        <f>GETPIVOTDATA("ind",'Displacement &amp; Returns'!$M$108,"adm2_name","Mayo-Tsanaga","adm3_name",I59,"deplacement","Unregistered Refugees")</f>
        <v>30</v>
      </c>
      <c r="M59" s="254">
        <f t="shared" si="41"/>
        <v>18526</v>
      </c>
      <c r="R59" s="229"/>
    </row>
    <row r="60" spans="1:23" ht="15.75" thickBot="1" x14ac:dyDescent="0.3">
      <c r="A60" s="96">
        <v>34</v>
      </c>
      <c r="B60" s="253" t="s">
        <v>244</v>
      </c>
      <c r="C60" s="254">
        <f>GETPIVOTDATA("ind",'Displacement &amp; Returns'!$C$108,"adm2_name","Mayo-Tsanaga","adm3_name",B60,"deplacement","idp")</f>
        <v>0</v>
      </c>
      <c r="D60" s="254">
        <f>GETPIVOTDATA("ind",'Displacement &amp; Returns'!$C$108,"adm2_name","Mayo-Tsanaga","adm3_name",B60,"deplacement","Retournés")</f>
        <v>983</v>
      </c>
      <c r="E60" s="254">
        <f>GETPIVOTDATA("ind",'Displacement &amp; Returns'!$C$108,"adm2_name","Mayo-Tsanaga","adm3_name",B60,"deplacement","réfugiés non-enregistrés")</f>
        <v>1309</v>
      </c>
      <c r="F60" s="254">
        <f t="shared" si="40"/>
        <v>2292</v>
      </c>
      <c r="G60" s="232"/>
      <c r="I60" s="253" t="s">
        <v>244</v>
      </c>
      <c r="J60" s="254">
        <f>GETPIVOTDATA("ind",'Displacement &amp; Returns'!$M$108,"adm2_name","Mayo-Tsanaga","adm3_name",I60,"deplacement","idp")</f>
        <v>0</v>
      </c>
      <c r="K60" s="254">
        <f>GETPIVOTDATA("ind",'Displacement &amp; Returns'!$M$108,"adm2_name","Mayo-Tsanaga","adm3_name",I60,"deplacement","Returnees")</f>
        <v>983</v>
      </c>
      <c r="L60" s="254">
        <f>GETPIVOTDATA("ind",'Displacement &amp; Returns'!$M$108,"adm2_name","Mayo-Tsanaga","adm3_name",I60,"deplacement","Unregistered Refugees")</f>
        <v>1309</v>
      </c>
      <c r="M60" s="254">
        <f t="shared" si="41"/>
        <v>2292</v>
      </c>
      <c r="N60" s="228"/>
      <c r="O60" s="228"/>
      <c r="P60" s="228"/>
      <c r="Q60" s="228"/>
      <c r="R60" s="229"/>
      <c r="S60" s="229"/>
      <c r="T60" s="229"/>
      <c r="U60" s="228"/>
      <c r="V60" s="228"/>
      <c r="W60" s="228"/>
    </row>
    <row r="61" spans="1:23" ht="15.75" thickBot="1" x14ac:dyDescent="0.3">
      <c r="A61" s="96">
        <v>35</v>
      </c>
      <c r="B61" s="253" t="s">
        <v>247</v>
      </c>
      <c r="C61" s="254">
        <f>GETPIVOTDATA("ind",'Displacement &amp; Returns'!$C$108,"adm2_name","Mayo-Tsanaga","adm3_name",B61,"deplacement","idp")</f>
        <v>10638</v>
      </c>
      <c r="D61" s="254">
        <f>GETPIVOTDATA("ind",'Displacement &amp; Returns'!$C$108,"adm2_name","Mayo-Tsanaga","adm3_name",B61,"deplacement","Retournés")</f>
        <v>6368</v>
      </c>
      <c r="E61" s="254">
        <f>GETPIVOTDATA("ind",'Displacement &amp; Returns'!$C$108,"adm2_name","Mayo-Tsanaga","adm3_name",B61,"deplacement","réfugiés non-enregistrés")</f>
        <v>431</v>
      </c>
      <c r="F61" s="254">
        <f t="shared" si="40"/>
        <v>17437</v>
      </c>
      <c r="G61" s="232"/>
      <c r="I61" s="253" t="s">
        <v>247</v>
      </c>
      <c r="J61" s="254">
        <f>GETPIVOTDATA("ind",'Displacement &amp; Returns'!$M$108,"adm2_name","Mayo-Tsanaga","adm3_name",I61,"deplacement","idp")</f>
        <v>10638</v>
      </c>
      <c r="K61" s="254">
        <f>GETPIVOTDATA("ind",'Displacement &amp; Returns'!$M$108,"adm2_name","Mayo-Tsanaga","adm3_name",I61,"deplacement","Returnees")</f>
        <v>6368</v>
      </c>
      <c r="L61" s="254">
        <f>GETPIVOTDATA("ind",'Displacement &amp; Returns'!$M$108,"adm2_name","Mayo-Tsanaga","adm3_name",I61,"deplacement","Unregistered Refugees")</f>
        <v>431</v>
      </c>
      <c r="M61" s="254">
        <f t="shared" si="41"/>
        <v>17437</v>
      </c>
      <c r="N61" s="228"/>
      <c r="O61" s="228"/>
      <c r="P61" s="228"/>
      <c r="Q61" s="228"/>
      <c r="R61" s="229"/>
    </row>
    <row r="62" spans="1:23" ht="15.75" thickBot="1" x14ac:dyDescent="0.3">
      <c r="A62" s="96">
        <v>36</v>
      </c>
      <c r="B62" s="253" t="s">
        <v>250</v>
      </c>
      <c r="C62" s="254">
        <f>GETPIVOTDATA("ind",'Displacement &amp; Returns'!$C$108,"adm2_name","Mayo-Tsanaga","adm3_name",B62,"deplacement","idp")</f>
        <v>11736</v>
      </c>
      <c r="D62" s="254">
        <f>GETPIVOTDATA("ind",'Displacement &amp; Returns'!$C$108,"adm2_name","Mayo-Tsanaga","adm3_name",B62,"deplacement","Retournés")</f>
        <v>5726</v>
      </c>
      <c r="E62" s="254">
        <f>GETPIVOTDATA("ind",'Displacement &amp; Returns'!$C$108,"adm2_name","Mayo-Tsanaga","adm3_name",B62,"deplacement","réfugiés non-enregistrés")</f>
        <v>3318</v>
      </c>
      <c r="F62" s="254">
        <f t="shared" si="40"/>
        <v>20780</v>
      </c>
      <c r="G62" s="232"/>
      <c r="I62" s="253" t="s">
        <v>250</v>
      </c>
      <c r="J62" s="254">
        <f>GETPIVOTDATA("ind",'Displacement &amp; Returns'!$M$108,"adm2_name","Mayo-Tsanaga","adm3_name",I62,"deplacement","idp")</f>
        <v>11736</v>
      </c>
      <c r="K62" s="254">
        <f>GETPIVOTDATA("ind",'Displacement &amp; Returns'!$M$108,"adm2_name","Mayo-Tsanaga","adm3_name",I62,"deplacement","Returnees")</f>
        <v>5726</v>
      </c>
      <c r="L62" s="254">
        <f>GETPIVOTDATA("ind",'Displacement &amp; Returns'!$M$108,"adm2_name","Mayo-Tsanaga","adm3_name",I62,"deplacement","Unregistered Refugees")</f>
        <v>3318</v>
      </c>
      <c r="M62" s="254">
        <f t="shared" si="41"/>
        <v>20780</v>
      </c>
    </row>
    <row r="63" spans="1:23" ht="15.75" thickBot="1" x14ac:dyDescent="0.3">
      <c r="A63" s="96">
        <v>37</v>
      </c>
      <c r="B63" s="253" t="s">
        <v>608</v>
      </c>
      <c r="C63" s="254">
        <f>GETPIVOTDATA("ind",'Displacement &amp; Returns'!$C$108,"adm2_name","Mayo-Tsanaga","adm3_name",B63,"deplacement","idp")</f>
        <v>748</v>
      </c>
      <c r="D63" s="254">
        <f>GETPIVOTDATA("ind",'Displacement &amp; Returns'!$C$108,"adm2_name","Mayo-Tsanaga","adm3_name",B63,"deplacement","Retournés")</f>
        <v>118</v>
      </c>
      <c r="E63" s="254">
        <f>GETPIVOTDATA("ind",'Displacement &amp; Returns'!$C$108,"adm2_name","Mayo-Tsanaga","adm3_name",B63,"deplacement","réfugiés non-enregistrés")</f>
        <v>19</v>
      </c>
      <c r="F63" s="254">
        <f t="shared" si="40"/>
        <v>885</v>
      </c>
      <c r="G63" s="232"/>
      <c r="I63" s="253" t="s">
        <v>608</v>
      </c>
      <c r="J63" s="254">
        <f>GETPIVOTDATA("ind",'Displacement &amp; Returns'!$M$108,"adm2_name","Mayo-Tsanaga","adm3_name",I63,"deplacement","idp")</f>
        <v>748</v>
      </c>
      <c r="K63" s="254">
        <f>GETPIVOTDATA("ind",'Displacement &amp; Returns'!$M$108,"adm2_name","Mayo-Tsanaga","adm3_name",I63,"deplacement","Returnees")</f>
        <v>118</v>
      </c>
      <c r="L63" s="254">
        <f>GETPIVOTDATA("ind",'Displacement &amp; Returns'!$M$108,"adm2_name","Mayo-Tsanaga","adm3_name",I63,"deplacement","Unregistered Refugees")</f>
        <v>19</v>
      </c>
      <c r="M63" s="254">
        <f t="shared" si="41"/>
        <v>885</v>
      </c>
    </row>
    <row r="64" spans="1:23" ht="15.75" thickBot="1" x14ac:dyDescent="0.3">
      <c r="B64" s="7" t="s">
        <v>715</v>
      </c>
      <c r="C64" s="8">
        <f>C56+C52+C46+C39+C28+C21</f>
        <v>241030</v>
      </c>
      <c r="D64" s="8">
        <f t="shared" ref="D64:F64" si="42">D56+D52+D46+D39+D28+D21</f>
        <v>69730</v>
      </c>
      <c r="E64" s="8">
        <f t="shared" si="42"/>
        <v>31656</v>
      </c>
      <c r="F64" s="8">
        <f t="shared" si="42"/>
        <v>342416</v>
      </c>
      <c r="G64" s="231"/>
      <c r="I64" s="7" t="s">
        <v>715</v>
      </c>
      <c r="J64" s="8">
        <f>J56+J52+J46+J39+J28+J21</f>
        <v>241030</v>
      </c>
      <c r="K64" s="8">
        <f t="shared" ref="K64:M64" si="43">K56+K52+K46+K39+K28+K21</f>
        <v>69730</v>
      </c>
      <c r="L64" s="8">
        <f t="shared" si="43"/>
        <v>31656</v>
      </c>
      <c r="M64" s="8">
        <f t="shared" si="43"/>
        <v>342416</v>
      </c>
    </row>
    <row r="69" spans="2:42" x14ac:dyDescent="0.25">
      <c r="B69" s="100"/>
      <c r="C69" s="234"/>
      <c r="D69" s="234"/>
      <c r="E69" s="234"/>
      <c r="F69" s="234"/>
      <c r="G69" s="234"/>
      <c r="H69" s="234"/>
      <c r="I69" s="100"/>
      <c r="J69" s="100"/>
      <c r="K69" s="100"/>
    </row>
    <row r="70" spans="2:42" x14ac:dyDescent="0.25">
      <c r="B70" s="235" t="s">
        <v>863</v>
      </c>
      <c r="C70" s="229"/>
      <c r="D70" s="229"/>
      <c r="E70" s="229"/>
      <c r="F70" s="229"/>
      <c r="G70" s="229"/>
      <c r="H70" s="229"/>
      <c r="I70" s="229"/>
      <c r="J70" s="229"/>
      <c r="K70" s="229"/>
    </row>
    <row r="71" spans="2:42" ht="15.75" thickBot="1" x14ac:dyDescent="0.3">
      <c r="B71" s="229"/>
      <c r="C71" s="229"/>
      <c r="D71" s="229"/>
      <c r="E71" s="229"/>
      <c r="F71" s="229"/>
      <c r="G71" s="229"/>
      <c r="H71" s="229"/>
      <c r="I71" s="229"/>
      <c r="J71" s="229"/>
      <c r="K71" s="229"/>
    </row>
    <row r="72" spans="2:42" ht="15.75" thickBot="1" x14ac:dyDescent="0.3">
      <c r="B72" s="384" t="s">
        <v>855</v>
      </c>
      <c r="C72" s="386" t="s">
        <v>861</v>
      </c>
      <c r="D72" s="387"/>
      <c r="E72" s="386" t="s">
        <v>862</v>
      </c>
      <c r="F72" s="387"/>
      <c r="G72" s="386" t="s">
        <v>637</v>
      </c>
      <c r="H72" s="387"/>
      <c r="I72" s="386" t="s">
        <v>715</v>
      </c>
      <c r="J72" s="387"/>
    </row>
    <row r="73" spans="2:42" ht="15.75" thickBot="1" x14ac:dyDescent="0.3">
      <c r="B73" s="385"/>
      <c r="C73" s="20" t="s">
        <v>712</v>
      </c>
      <c r="D73" s="20" t="s">
        <v>718</v>
      </c>
      <c r="E73" s="20" t="s">
        <v>712</v>
      </c>
      <c r="F73" s="20" t="s">
        <v>718</v>
      </c>
      <c r="G73" s="20" t="s">
        <v>712</v>
      </c>
      <c r="H73" s="20" t="s">
        <v>718</v>
      </c>
      <c r="I73" s="20" t="s">
        <v>712</v>
      </c>
      <c r="J73" s="20" t="s">
        <v>718</v>
      </c>
      <c r="L73" s="336"/>
      <c r="M73" s="336"/>
      <c r="N73" s="336"/>
      <c r="O73" s="336"/>
      <c r="P73" s="336"/>
    </row>
    <row r="74" spans="2:42" ht="15.75" thickBot="1" x14ac:dyDescent="0.3">
      <c r="B74" s="7" t="s">
        <v>24</v>
      </c>
      <c r="C74" s="8">
        <f>SUM(C75:C80)</f>
        <v>5601</v>
      </c>
      <c r="D74" s="19">
        <f>SUM(D75:D80)</f>
        <v>1.6357296388019252E-2</v>
      </c>
      <c r="E74" s="8">
        <f t="shared" ref="E74:H74" si="44">SUM(E75:E80)</f>
        <v>0</v>
      </c>
      <c r="F74" s="35">
        <f t="shared" si="44"/>
        <v>0</v>
      </c>
      <c r="G74" s="8">
        <f t="shared" si="44"/>
        <v>311</v>
      </c>
      <c r="H74" s="35">
        <f t="shared" si="44"/>
        <v>9.0825195084341854E-4</v>
      </c>
      <c r="I74" s="8">
        <f t="shared" ref="I74" si="45">SUM(I75:I80)</f>
        <v>5912</v>
      </c>
      <c r="J74" s="35">
        <f t="shared" ref="J74" si="46">SUM(J75:J80)</f>
        <v>1.7265548338862673E-2</v>
      </c>
      <c r="L74" s="337"/>
      <c r="M74" s="338"/>
      <c r="N74" s="338"/>
      <c r="O74" s="338"/>
      <c r="P74" s="338"/>
      <c r="S74" s="37" t="s">
        <v>719</v>
      </c>
      <c r="T74" s="54" t="s">
        <v>1762</v>
      </c>
      <c r="U74" s="54" t="s">
        <v>1939</v>
      </c>
      <c r="V74" s="54" t="s">
        <v>1984</v>
      </c>
      <c r="W74" s="54" t="s">
        <v>2089</v>
      </c>
      <c r="X74" s="54" t="s">
        <v>3743</v>
      </c>
      <c r="Y74" s="54" t="s">
        <v>3744</v>
      </c>
      <c r="AF74" s="37" t="s">
        <v>1795</v>
      </c>
      <c r="AG74" s="54" t="s">
        <v>1762</v>
      </c>
      <c r="AH74" s="54" t="s">
        <v>1939</v>
      </c>
      <c r="AI74" s="54" t="s">
        <v>1984</v>
      </c>
      <c r="AJ74" s="54" t="s">
        <v>2089</v>
      </c>
      <c r="AK74" s="54" t="s">
        <v>3743</v>
      </c>
      <c r="AL74" s="54" t="s">
        <v>3744</v>
      </c>
    </row>
    <row r="75" spans="2:42" ht="15.75" thickBot="1" x14ac:dyDescent="0.3">
      <c r="B75" s="253" t="s">
        <v>656</v>
      </c>
      <c r="C75" s="221">
        <f>GETPIVOTDATA("ind",Displacement_Reasons!$D$7,"adm2_name","Diamare","adm3_name",B75,"raison","Conflits EIAO")</f>
        <v>0</v>
      </c>
      <c r="D75" s="222">
        <f t="shared" ref="D75:D80" si="47">C75/$I$117</f>
        <v>0</v>
      </c>
      <c r="E75" s="221">
        <f>GETPIVOTDATA("ind",Displacement_Reasons!$D$7,"adm2_name","Diamare","adm3_name",B75,"raison","Climat")</f>
        <v>0</v>
      </c>
      <c r="F75" s="220">
        <f t="shared" ref="F75:F80" si="48">E75/$I$117</f>
        <v>0</v>
      </c>
      <c r="G75" s="221">
        <f>GETPIVOTDATA("ind",Displacement_Reasons!$D$7,"adm2_name","Diamare","adm3_name",B75,"raison","autre")</f>
        <v>311</v>
      </c>
      <c r="H75" s="222">
        <f t="shared" ref="H75:H80" si="49">G75/$I$117</f>
        <v>9.0825195084341854E-4</v>
      </c>
      <c r="I75" s="221">
        <f t="shared" ref="I75:I116" si="50">C75+E75+G75</f>
        <v>311</v>
      </c>
      <c r="J75" s="222">
        <f t="shared" ref="J75:J80" si="51">H75+F75+D75</f>
        <v>9.0825195084341854E-4</v>
      </c>
      <c r="L75" s="339"/>
      <c r="M75" s="101"/>
      <c r="N75" s="101"/>
      <c r="O75" s="101"/>
      <c r="P75" s="101"/>
      <c r="S75" s="55" t="s">
        <v>24</v>
      </c>
      <c r="T75" s="47">
        <f t="shared" ref="T75:T80" si="52">M4</f>
        <v>166</v>
      </c>
      <c r="U75" s="47">
        <f t="shared" ref="U75:U80" si="53">N4</f>
        <v>271</v>
      </c>
      <c r="V75" s="47">
        <f t="shared" ref="V75:V80" si="54">O4</f>
        <v>250</v>
      </c>
      <c r="W75" s="47">
        <f t="shared" ref="W75:W80" si="55">P4</f>
        <v>250</v>
      </c>
      <c r="X75" s="47">
        <f t="shared" ref="X75:X80" si="56">Q4</f>
        <v>253</v>
      </c>
      <c r="Y75" s="49">
        <f>(Tableau33[[#This Row],[Round 12]]-Tableau33[[#This Row],[Round 11]])/Tableau33[[#This Row],[Round 11]]</f>
        <v>1.2E-2</v>
      </c>
      <c r="AF75" s="55" t="s">
        <v>24</v>
      </c>
      <c r="AG75" s="47">
        <f t="shared" ref="AG75:AG80" si="57">M4</f>
        <v>166</v>
      </c>
      <c r="AH75" s="47">
        <f t="shared" ref="AH75:AH80" si="58">N4</f>
        <v>271</v>
      </c>
      <c r="AI75" s="47">
        <f t="shared" ref="AI75:AI80" si="59">O4</f>
        <v>250</v>
      </c>
      <c r="AJ75" s="47">
        <f t="shared" ref="AJ75:AJ80" si="60">P4</f>
        <v>250</v>
      </c>
      <c r="AK75" s="47">
        <f t="shared" ref="AK75:AK80" si="61">Q4</f>
        <v>253</v>
      </c>
      <c r="AL75" s="49">
        <f>(Tableau34[[#This Row],[Round 12]]-Tableau34[[#This Row],[Round 11]])/Tableau34[[#This Row],[Round 11]]</f>
        <v>1.2E-2</v>
      </c>
      <c r="AO75" s="96" t="str">
        <f>Tableau34[[#Headers],[Round 12]]</f>
        <v>Round 12</v>
      </c>
      <c r="AP75" s="216">
        <f>Tableau34[[#Totals],[Round 12]]</f>
        <v>31656</v>
      </c>
    </row>
    <row r="76" spans="2:42" ht="15.75" thickBot="1" x14ac:dyDescent="0.3">
      <c r="B76" s="253" t="s">
        <v>26</v>
      </c>
      <c r="C76" s="221">
        <f>GETPIVOTDATA("ind",Displacement_Reasons!$D$7,"adm2_name","Diamare","adm3_name",B76,"raison","Conflits EIAO")</f>
        <v>273</v>
      </c>
      <c r="D76" s="222">
        <f t="shared" si="47"/>
        <v>7.9727582823232556E-4</v>
      </c>
      <c r="E76" s="221">
        <f>GETPIVOTDATA("ind",Displacement_Reasons!$D$7,"adm2_name","Diamare","adm3_name",B76,"raison","Climat")</f>
        <v>0</v>
      </c>
      <c r="F76" s="220">
        <f t="shared" si="48"/>
        <v>0</v>
      </c>
      <c r="G76" s="221">
        <f>GETPIVOTDATA("ind",Displacement_Reasons!$D$7,"adm2_name","Diamare","adm3_name",B76,"raison","autre")</f>
        <v>0</v>
      </c>
      <c r="H76" s="222">
        <f t="shared" si="49"/>
        <v>0</v>
      </c>
      <c r="I76" s="221">
        <f t="shared" si="50"/>
        <v>273</v>
      </c>
      <c r="J76" s="222">
        <f t="shared" si="51"/>
        <v>7.9727582823232556E-4</v>
      </c>
      <c r="L76" s="339"/>
      <c r="M76" s="101"/>
      <c r="N76" s="101"/>
      <c r="O76" s="101"/>
      <c r="P76" s="101"/>
      <c r="S76" s="55" t="s">
        <v>85</v>
      </c>
      <c r="T76" s="47">
        <f t="shared" si="52"/>
        <v>28773</v>
      </c>
      <c r="U76" s="47">
        <f t="shared" si="53"/>
        <v>27655</v>
      </c>
      <c r="V76" s="47">
        <f t="shared" si="54"/>
        <v>26893</v>
      </c>
      <c r="W76" s="47">
        <f t="shared" si="55"/>
        <v>26454</v>
      </c>
      <c r="X76" s="47">
        <f t="shared" si="56"/>
        <v>26067</v>
      </c>
      <c r="Y76" s="49">
        <f>(Tableau33[[#This Row],[Round 12]]-Tableau33[[#This Row],[Round 11]])/Tableau33[[#This Row],[Round 11]]</f>
        <v>-1.4629167611703334E-2</v>
      </c>
      <c r="AF76" s="55" t="s">
        <v>85</v>
      </c>
      <c r="AG76" s="47">
        <f t="shared" si="57"/>
        <v>28773</v>
      </c>
      <c r="AH76" s="47">
        <f t="shared" si="58"/>
        <v>27655</v>
      </c>
      <c r="AI76" s="47">
        <f t="shared" si="59"/>
        <v>26893</v>
      </c>
      <c r="AJ76" s="47">
        <f t="shared" si="60"/>
        <v>26454</v>
      </c>
      <c r="AK76" s="47">
        <f t="shared" si="61"/>
        <v>26067</v>
      </c>
      <c r="AL76" s="49">
        <f>(Tableau34[[#This Row],[Round 12]]-Tableau34[[#This Row],[Round 11]])/Tableau34[[#This Row],[Round 11]]</f>
        <v>-1.4629167611703334E-2</v>
      </c>
      <c r="AO76" s="96" t="str">
        <f>Tableau34[[#Headers],[Round 11]]</f>
        <v>Round 11</v>
      </c>
      <c r="AP76" s="216">
        <f>Tableau34[[#Totals],[Round 11]]</f>
        <v>29337</v>
      </c>
    </row>
    <row r="77" spans="2:42" ht="15.75" thickBot="1" x14ac:dyDescent="0.3">
      <c r="B77" s="253" t="s">
        <v>44</v>
      </c>
      <c r="C77" s="221">
        <f>GETPIVOTDATA("ind",Displacement_Reasons!$D$7,"adm2_name","Diamare","adm3_name",B77,"raison","Conflits EIAO")</f>
        <v>741</v>
      </c>
      <c r="D77" s="222">
        <f t="shared" si="47"/>
        <v>2.1640343909163124E-3</v>
      </c>
      <c r="E77" s="221">
        <f>GETPIVOTDATA("ind",Displacement_Reasons!$D$7,"adm2_name","Diamare","adm3_name",B77,"raison","Climat")</f>
        <v>0</v>
      </c>
      <c r="F77" s="220">
        <f t="shared" si="48"/>
        <v>0</v>
      </c>
      <c r="G77" s="221">
        <f>GETPIVOTDATA("ind",Displacement_Reasons!$D$7,"adm2_name","Diamare","adm3_name",B77,"raison","autre")</f>
        <v>0</v>
      </c>
      <c r="H77" s="222">
        <f t="shared" si="49"/>
        <v>0</v>
      </c>
      <c r="I77" s="221">
        <f t="shared" si="50"/>
        <v>741</v>
      </c>
      <c r="J77" s="222">
        <f t="shared" si="51"/>
        <v>2.1640343909163124E-3</v>
      </c>
      <c r="L77" s="339"/>
      <c r="M77" s="101"/>
      <c r="N77" s="101"/>
      <c r="O77" s="101"/>
      <c r="P77" s="101"/>
      <c r="S77" s="55" t="s">
        <v>184</v>
      </c>
      <c r="T77" s="47">
        <f t="shared" si="52"/>
        <v>143</v>
      </c>
      <c r="U77" s="47">
        <f t="shared" si="53"/>
        <v>140</v>
      </c>
      <c r="V77" s="47">
        <f t="shared" si="54"/>
        <v>143</v>
      </c>
      <c r="W77" s="47">
        <f t="shared" si="55"/>
        <v>125</v>
      </c>
      <c r="X77" s="47">
        <f t="shared" si="56"/>
        <v>119</v>
      </c>
      <c r="Y77" s="49">
        <f>(Tableau33[[#This Row],[Round 12]]-Tableau33[[#This Row],[Round 11]])/Tableau33[[#This Row],[Round 11]]</f>
        <v>-4.8000000000000001E-2</v>
      </c>
      <c r="AF77" s="55" t="s">
        <v>184</v>
      </c>
      <c r="AG77" s="47">
        <f t="shared" si="57"/>
        <v>143</v>
      </c>
      <c r="AH77" s="47">
        <f t="shared" si="58"/>
        <v>140</v>
      </c>
      <c r="AI77" s="47">
        <f t="shared" si="59"/>
        <v>143</v>
      </c>
      <c r="AJ77" s="47">
        <f t="shared" si="60"/>
        <v>125</v>
      </c>
      <c r="AK77" s="47">
        <f t="shared" si="61"/>
        <v>119</v>
      </c>
      <c r="AL77" s="49">
        <f>(Tableau34[[#This Row],[Round 12]]-Tableau34[[#This Row],[Round 11]])/Tableau34[[#This Row],[Round 11]]</f>
        <v>-4.8000000000000001E-2</v>
      </c>
      <c r="AO77" s="96" t="str">
        <f>Tableau34[[#Headers],[Round 10]]</f>
        <v>Round 10</v>
      </c>
      <c r="AP77" s="216">
        <f>Tableau34[[#Totals],[Round 10]]</f>
        <v>29728</v>
      </c>
    </row>
    <row r="78" spans="2:42" ht="15.75" thickBot="1" x14ac:dyDescent="0.3">
      <c r="B78" s="253" t="s">
        <v>50</v>
      </c>
      <c r="C78" s="221">
        <f>GETPIVOTDATA("ind",Displacement_Reasons!$D$7,"adm2_name","Diamare","adm3_name",B78,"raison","Conflits EIAO")</f>
        <v>2239</v>
      </c>
      <c r="D78" s="222">
        <f t="shared" si="47"/>
        <v>6.5388299612167654E-3</v>
      </c>
      <c r="E78" s="221">
        <f>GETPIVOTDATA("ind",Displacement_Reasons!$D$7,"adm2_name","Diamare","adm3_name",B78,"raison","Climat")</f>
        <v>0</v>
      </c>
      <c r="F78" s="220">
        <f t="shared" si="48"/>
        <v>0</v>
      </c>
      <c r="G78" s="221">
        <f>GETPIVOTDATA("ind",Displacement_Reasons!$D$7,"adm2_name","Diamare","adm3_name",B78,"raison","autre")</f>
        <v>0</v>
      </c>
      <c r="H78" s="222">
        <f t="shared" si="49"/>
        <v>0</v>
      </c>
      <c r="I78" s="221">
        <f t="shared" si="50"/>
        <v>2239</v>
      </c>
      <c r="J78" s="222">
        <f t="shared" si="51"/>
        <v>6.5388299612167654E-3</v>
      </c>
      <c r="L78" s="339"/>
      <c r="M78" s="101"/>
      <c r="N78" s="101"/>
      <c r="O78" s="101"/>
      <c r="P78" s="101"/>
      <c r="S78" s="55" t="s">
        <v>218</v>
      </c>
      <c r="T78" s="47">
        <f t="shared" si="52"/>
        <v>11</v>
      </c>
      <c r="U78" s="47">
        <f t="shared" si="53"/>
        <v>20</v>
      </c>
      <c r="V78" s="47">
        <f t="shared" si="54"/>
        <v>20</v>
      </c>
      <c r="W78" s="47">
        <f t="shared" si="55"/>
        <v>20</v>
      </c>
      <c r="X78" s="47">
        <f t="shared" si="56"/>
        <v>20</v>
      </c>
      <c r="Y78" s="49">
        <f>(Tableau33[[#This Row],[Round 12]]-Tableau33[[#This Row],[Round 11]])/Tableau33[[#This Row],[Round 11]]</f>
        <v>0</v>
      </c>
      <c r="AF78" s="55" t="s">
        <v>218</v>
      </c>
      <c r="AG78" s="47">
        <f t="shared" si="57"/>
        <v>11</v>
      </c>
      <c r="AH78" s="47">
        <f t="shared" si="58"/>
        <v>20</v>
      </c>
      <c r="AI78" s="47">
        <f t="shared" si="59"/>
        <v>20</v>
      </c>
      <c r="AJ78" s="47">
        <f t="shared" si="60"/>
        <v>20</v>
      </c>
      <c r="AK78" s="47">
        <f t="shared" si="61"/>
        <v>20</v>
      </c>
      <c r="AL78" s="49">
        <f>(Tableau34[[#This Row],[Round 12]]-Tableau34[[#This Row],[Round 11]])/Tableau34[[#This Row],[Round 11]]</f>
        <v>0</v>
      </c>
    </row>
    <row r="79" spans="2:42" ht="15.75" thickBot="1" x14ac:dyDescent="0.3">
      <c r="B79" s="253" t="s">
        <v>665</v>
      </c>
      <c r="C79" s="221">
        <f>GETPIVOTDATA("ind",Displacement_Reasons!$D$7,"adm2_name","Diamare","adm3_name",B79,"raison","Conflits EIAO")</f>
        <v>36</v>
      </c>
      <c r="D79" s="222">
        <f t="shared" si="47"/>
        <v>1.0513527405261436E-4</v>
      </c>
      <c r="E79" s="221">
        <f>GETPIVOTDATA("ind",Displacement_Reasons!$D$7,"adm2_name","Diamare","adm3_name",B79,"raison","Climat")</f>
        <v>0</v>
      </c>
      <c r="F79" s="220">
        <f t="shared" si="48"/>
        <v>0</v>
      </c>
      <c r="G79" s="221">
        <f>GETPIVOTDATA("ind",Displacement_Reasons!$D$7,"adm2_name","Diamare","adm3_name",B79,"raison","autre")</f>
        <v>0</v>
      </c>
      <c r="H79" s="222">
        <f t="shared" si="49"/>
        <v>0</v>
      </c>
      <c r="I79" s="221">
        <f t="shared" si="50"/>
        <v>36</v>
      </c>
      <c r="J79" s="222">
        <f t="shared" si="51"/>
        <v>1.0513527405261436E-4</v>
      </c>
      <c r="L79" s="339"/>
      <c r="M79" s="101"/>
      <c r="N79" s="101"/>
      <c r="O79" s="101"/>
      <c r="P79" s="101"/>
      <c r="S79" s="55" t="s">
        <v>48</v>
      </c>
      <c r="T79" s="47">
        <f t="shared" si="52"/>
        <v>204</v>
      </c>
      <c r="U79" s="47">
        <f t="shared" si="53"/>
        <v>0</v>
      </c>
      <c r="V79" s="47">
        <f t="shared" si="54"/>
        <v>0</v>
      </c>
      <c r="W79" s="47">
        <f t="shared" si="55"/>
        <v>0</v>
      </c>
      <c r="X79" s="47">
        <f t="shared" si="56"/>
        <v>0</v>
      </c>
      <c r="Y79" s="49" t="e">
        <f>(Tableau33[[#This Row],[Round 12]]-Tableau33[[#This Row],[Round 11]])/Tableau33[[#This Row],[Round 11]]</f>
        <v>#DIV/0!</v>
      </c>
      <c r="AF79" s="55" t="s">
        <v>48</v>
      </c>
      <c r="AG79" s="47">
        <f t="shared" si="57"/>
        <v>204</v>
      </c>
      <c r="AH79" s="47">
        <f t="shared" si="58"/>
        <v>0</v>
      </c>
      <c r="AI79" s="47">
        <f t="shared" si="59"/>
        <v>0</v>
      </c>
      <c r="AJ79" s="47">
        <f t="shared" si="60"/>
        <v>0</v>
      </c>
      <c r="AK79" s="47">
        <f t="shared" si="61"/>
        <v>0</v>
      </c>
      <c r="AL79" s="49" t="e">
        <f>(Tableau34[[#This Row],[Round 12]]-Tableau34[[#This Row],[Round 11]])/Tableau34[[#This Row],[Round 11]]</f>
        <v>#DIV/0!</v>
      </c>
    </row>
    <row r="80" spans="2:42" ht="15.75" thickBot="1" x14ac:dyDescent="0.3">
      <c r="B80" s="253" t="s">
        <v>56</v>
      </c>
      <c r="C80" s="221">
        <f>GETPIVOTDATA("ind",Displacement_Reasons!$D$7,"adm2_name","Diamare","adm3_name",B80,"raison","Conflits EIAO")</f>
        <v>2312</v>
      </c>
      <c r="D80" s="222">
        <f t="shared" si="47"/>
        <v>6.7520209336012337E-3</v>
      </c>
      <c r="E80" s="221">
        <f>GETPIVOTDATA("ind",Displacement_Reasons!$D$7,"adm2_name","Diamare","adm3_name",B80,"raison","Climat")</f>
        <v>0</v>
      </c>
      <c r="F80" s="220">
        <f t="shared" si="48"/>
        <v>0</v>
      </c>
      <c r="G80" s="221">
        <f>GETPIVOTDATA("ind",Displacement_Reasons!$D$7,"adm2_name","Diamare","adm3_name",B80,"raison","autre")</f>
        <v>0</v>
      </c>
      <c r="H80" s="222">
        <f t="shared" si="49"/>
        <v>0</v>
      </c>
      <c r="I80" s="221">
        <f t="shared" si="50"/>
        <v>2312</v>
      </c>
      <c r="J80" s="222">
        <f t="shared" si="51"/>
        <v>6.7520209336012337E-3</v>
      </c>
      <c r="L80" s="339"/>
      <c r="M80" s="101"/>
      <c r="N80" s="101"/>
      <c r="O80" s="101"/>
      <c r="P80" s="101"/>
      <c r="S80" s="55" t="s">
        <v>37</v>
      </c>
      <c r="T80" s="47">
        <f t="shared" si="52"/>
        <v>3162</v>
      </c>
      <c r="U80" s="47">
        <f t="shared" si="53"/>
        <v>2192</v>
      </c>
      <c r="V80" s="47">
        <f t="shared" si="54"/>
        <v>2422</v>
      </c>
      <c r="W80" s="47">
        <f t="shared" si="55"/>
        <v>2488</v>
      </c>
      <c r="X80" s="47">
        <f t="shared" si="56"/>
        <v>5197</v>
      </c>
      <c r="Y80" s="49">
        <f>(Tableau33[[#This Row],[Round 12]]-Tableau33[[#This Row],[Round 11]])/Tableau33[[#This Row],[Round 11]]</f>
        <v>1.0888263665594855</v>
      </c>
      <c r="AF80" s="55" t="s">
        <v>37</v>
      </c>
      <c r="AG80" s="47">
        <f t="shared" si="57"/>
        <v>3162</v>
      </c>
      <c r="AH80" s="47">
        <f t="shared" si="58"/>
        <v>2192</v>
      </c>
      <c r="AI80" s="47">
        <f t="shared" si="59"/>
        <v>2422</v>
      </c>
      <c r="AJ80" s="47">
        <f t="shared" si="60"/>
        <v>2488</v>
      </c>
      <c r="AK80" s="47">
        <f t="shared" si="61"/>
        <v>5197</v>
      </c>
      <c r="AL80" s="49">
        <f>(Tableau34[[#This Row],[Round 12]]-Tableau34[[#This Row],[Round 11]])/Tableau34[[#This Row],[Round 11]]</f>
        <v>1.0888263665594855</v>
      </c>
    </row>
    <row r="81" spans="2:38" ht="15.75" thickBot="1" x14ac:dyDescent="0.3">
      <c r="B81" s="7" t="s">
        <v>85</v>
      </c>
      <c r="C81" s="8">
        <f>SUM(C82:C91)</f>
        <v>167825</v>
      </c>
      <c r="D81" s="34">
        <f t="shared" ref="D81:H81" si="62">SUM(D82:D91)</f>
        <v>0.49012020466333345</v>
      </c>
      <c r="E81" s="8">
        <f>SUM(E82:E91)</f>
        <v>11850</v>
      </c>
      <c r="F81" s="35">
        <f t="shared" si="62"/>
        <v>3.4607027708985563E-2</v>
      </c>
      <c r="G81" s="8">
        <f>SUM(G82:G91)</f>
        <v>83</v>
      </c>
      <c r="H81" s="19">
        <f t="shared" si="62"/>
        <v>2.4239521517686091E-4</v>
      </c>
      <c r="I81" s="8">
        <f>C81+E81+G81</f>
        <v>179758</v>
      </c>
      <c r="J81" s="19">
        <f>SUM(J82:J91)</f>
        <v>0.52496962758749588</v>
      </c>
      <c r="L81" s="337"/>
      <c r="M81" s="338"/>
      <c r="N81" s="338"/>
      <c r="O81" s="338"/>
      <c r="P81" s="338"/>
      <c r="S81" s="348" t="s">
        <v>715</v>
      </c>
      <c r="T81" s="349">
        <f>SUM(T75:T80)</f>
        <v>32459</v>
      </c>
      <c r="U81" s="349">
        <f>SUM(U75:U80)</f>
        <v>30278</v>
      </c>
      <c r="V81" s="349">
        <f>SUM(V75:V80)</f>
        <v>29728</v>
      </c>
      <c r="W81" s="349">
        <f>SUBTOTAL(109,Tableau33[Round 11])</f>
        <v>29337</v>
      </c>
      <c r="X81" s="350">
        <f>SUBTOTAL(109,Tableau33[Round 12])</f>
        <v>31656</v>
      </c>
      <c r="Y81" s="351"/>
      <c r="AF81" s="348" t="s">
        <v>715</v>
      </c>
      <c r="AG81" s="349">
        <f>SUM(AG75:AG80)</f>
        <v>32459</v>
      </c>
      <c r="AH81" s="349">
        <f>SUM(AH75:AH80)</f>
        <v>30278</v>
      </c>
      <c r="AI81" s="349">
        <f>SUM(AI75:AI80)</f>
        <v>29728</v>
      </c>
      <c r="AJ81" s="349">
        <f>SUBTOTAL(109,Tableau34[Round 11])</f>
        <v>29337</v>
      </c>
      <c r="AK81" s="350">
        <f>SUBTOTAL(109,Tableau34[Round 12])</f>
        <v>31656</v>
      </c>
      <c r="AL81" s="351"/>
    </row>
    <row r="82" spans="2:38" ht="15.75" thickBot="1" x14ac:dyDescent="0.3">
      <c r="B82" s="253" t="s">
        <v>88</v>
      </c>
      <c r="C82" s="221">
        <f>GETPIVOTDATA("ind",Displacement_Reasons!$D$7,"adm2_name","Logone-Et-Chari","adm3_name",B82,"raison","Conflits EIAO")</f>
        <v>6531</v>
      </c>
      <c r="D82" s="222">
        <f t="shared" ref="D82:D91" si="63">C82/$I$117</f>
        <v>1.9073290967711789E-2</v>
      </c>
      <c r="E82" s="221">
        <f>GETPIVOTDATA("ind",Displacement_Reasons!$D$7,"adm2_name","Logone-Et-Chari","adm3_name",B82,"raison","Climat")</f>
        <v>2126</v>
      </c>
      <c r="F82" s="220">
        <f t="shared" ref="F82:F91" si="64">E82/$I$117</f>
        <v>6.2088220176627264E-3</v>
      </c>
      <c r="G82" s="221">
        <f>GETPIVOTDATA("ind",Displacement_Reasons!$D$7,"adm2_name","Logone-Et-Chari","adm3_name",B82,"raison","autre")</f>
        <v>0</v>
      </c>
      <c r="H82" s="222">
        <f t="shared" ref="H82:H91" si="65">G82/$I$117</f>
        <v>0</v>
      </c>
      <c r="I82" s="221">
        <f t="shared" si="50"/>
        <v>8657</v>
      </c>
      <c r="J82" s="222">
        <f t="shared" ref="J82:J91" si="66">H82+F82+D82</f>
        <v>2.5282112985374514E-2</v>
      </c>
      <c r="L82" s="339"/>
      <c r="M82" s="101"/>
      <c r="N82" s="101"/>
      <c r="O82" s="101"/>
      <c r="P82" s="101"/>
    </row>
    <row r="83" spans="2:38" ht="15.75" thickBot="1" x14ac:dyDescent="0.3">
      <c r="B83" s="253" t="s">
        <v>95</v>
      </c>
      <c r="C83" s="221">
        <f>GETPIVOTDATA("ind",Displacement_Reasons!$D$7,"adm2_name","Logone-Et-Chari","adm3_name",B83,"raison","Conflits EIAO")</f>
        <v>4423</v>
      </c>
      <c r="D83" s="222">
        <f t="shared" si="63"/>
        <v>1.2917036587075371E-2</v>
      </c>
      <c r="E83" s="221">
        <f>GETPIVOTDATA("ind",Displacement_Reasons!$D$7,"adm2_name","Logone-Et-Chari","adm3_name",B83,"raison","Climat")</f>
        <v>507</v>
      </c>
      <c r="F83" s="220">
        <f t="shared" si="64"/>
        <v>1.480655109574319E-3</v>
      </c>
      <c r="G83" s="221">
        <f>GETPIVOTDATA("ind",Displacement_Reasons!$D$7,"adm2_name","Logone-Et-Chari","adm3_name",B83,"raison","autre")</f>
        <v>0</v>
      </c>
      <c r="H83" s="222">
        <f t="shared" si="65"/>
        <v>0</v>
      </c>
      <c r="I83" s="221">
        <f t="shared" si="50"/>
        <v>4930</v>
      </c>
      <c r="J83" s="222">
        <f t="shared" si="66"/>
        <v>1.439769169664969E-2</v>
      </c>
      <c r="L83" s="339"/>
      <c r="M83" s="101"/>
      <c r="N83" s="101"/>
      <c r="O83" s="101"/>
      <c r="P83" s="101"/>
    </row>
    <row r="84" spans="2:38" ht="15.75" thickBot="1" x14ac:dyDescent="0.3">
      <c r="B84" s="253" t="s">
        <v>92</v>
      </c>
      <c r="C84" s="221">
        <f>GETPIVOTDATA("ind",Displacement_Reasons!$D$7,"adm2_name","Logone-Et-Chari","adm3_name",B84,"raison","Conflits EIAO")</f>
        <v>31687</v>
      </c>
      <c r="D84" s="222">
        <f t="shared" si="63"/>
        <v>9.2539484136255318E-2</v>
      </c>
      <c r="E84" s="221">
        <f>GETPIVOTDATA("ind",Displacement_Reasons!$D$7,"adm2_name","Logone-Et-Chari","adm3_name",B84,"raison","Climat")</f>
        <v>0</v>
      </c>
      <c r="F84" s="220">
        <f t="shared" si="64"/>
        <v>0</v>
      </c>
      <c r="G84" s="221">
        <f>GETPIVOTDATA("ind",Displacement_Reasons!$D$7,"adm2_name","Logone-Et-Chari","adm3_name",B84,"raison","autre")</f>
        <v>0</v>
      </c>
      <c r="H84" s="222">
        <f t="shared" si="65"/>
        <v>0</v>
      </c>
      <c r="I84" s="221">
        <f t="shared" si="50"/>
        <v>31687</v>
      </c>
      <c r="J84" s="222">
        <f t="shared" si="66"/>
        <v>9.2539484136255318E-2</v>
      </c>
      <c r="L84" s="339"/>
      <c r="M84" s="101"/>
      <c r="N84" s="101"/>
      <c r="O84" s="101"/>
      <c r="P84" s="101"/>
    </row>
    <row r="85" spans="2:38" ht="15.75" thickBot="1" x14ac:dyDescent="0.3">
      <c r="B85" s="253" t="s">
        <v>173</v>
      </c>
      <c r="C85" s="221">
        <f>GETPIVOTDATA("ind",Displacement_Reasons!$D$7,"adm2_name","Logone-Et-Chari","adm3_name",B85,"raison","Conflits EIAO")</f>
        <v>2381</v>
      </c>
      <c r="D85" s="222">
        <f t="shared" si="63"/>
        <v>6.9535302088687446E-3</v>
      </c>
      <c r="E85" s="221">
        <f>GETPIVOTDATA("ind",Displacement_Reasons!$D$7,"adm2_name","Logone-Et-Chari","adm3_name",B85,"raison","Climat")</f>
        <v>0</v>
      </c>
      <c r="F85" s="220">
        <f t="shared" si="64"/>
        <v>0</v>
      </c>
      <c r="G85" s="221">
        <f>GETPIVOTDATA("ind",Displacement_Reasons!$D$7,"adm2_name","Logone-Et-Chari","adm3_name",B85,"raison","autre")</f>
        <v>0</v>
      </c>
      <c r="H85" s="222">
        <f t="shared" si="65"/>
        <v>0</v>
      </c>
      <c r="I85" s="221">
        <f t="shared" si="50"/>
        <v>2381</v>
      </c>
      <c r="J85" s="222">
        <f t="shared" si="66"/>
        <v>6.9535302088687446E-3</v>
      </c>
      <c r="L85" s="339"/>
      <c r="M85" s="101"/>
      <c r="N85" s="101"/>
      <c r="O85" s="101"/>
      <c r="P85" s="101"/>
    </row>
    <row r="86" spans="2:38" ht="15.75" thickBot="1" x14ac:dyDescent="0.3">
      <c r="B86" s="253" t="s">
        <v>110</v>
      </c>
      <c r="C86" s="221">
        <f>GETPIVOTDATA("ind",Displacement_Reasons!$D$7,"adm2_name","Logone-Et-Chari","adm3_name",B86,"raison","Conflits EIAO")</f>
        <v>6303</v>
      </c>
      <c r="D86" s="222">
        <f t="shared" si="63"/>
        <v>1.8407434232045231E-2</v>
      </c>
      <c r="E86" s="221">
        <f>GETPIVOTDATA("ind",Displacement_Reasons!$D$7,"adm2_name","Logone-Et-Chari","adm3_name",B86,"raison","Climat")</f>
        <v>0</v>
      </c>
      <c r="F86" s="220">
        <f t="shared" si="64"/>
        <v>0</v>
      </c>
      <c r="G86" s="221">
        <f>GETPIVOTDATA("ind",Displacement_Reasons!$D$7,"adm2_name","Logone-Et-Chari","adm3_name",B86,"raison","autre")</f>
        <v>0</v>
      </c>
      <c r="H86" s="222">
        <f t="shared" si="65"/>
        <v>0</v>
      </c>
      <c r="I86" s="221">
        <f t="shared" si="50"/>
        <v>6303</v>
      </c>
      <c r="J86" s="222">
        <f t="shared" si="66"/>
        <v>1.8407434232045231E-2</v>
      </c>
      <c r="L86" s="339"/>
      <c r="M86" s="101"/>
      <c r="N86" s="101"/>
      <c r="O86" s="101"/>
      <c r="P86" s="101"/>
    </row>
    <row r="87" spans="2:38" ht="15.75" thickBot="1" x14ac:dyDescent="0.3">
      <c r="B87" s="253" t="s">
        <v>157</v>
      </c>
      <c r="C87" s="221">
        <f>GETPIVOTDATA("ind",Displacement_Reasons!$D$7,"adm2_name","Logone-Et-Chari","adm3_name",B87,"raison","Conflits EIAO")</f>
        <v>19896</v>
      </c>
      <c r="D87" s="222">
        <f t="shared" si="63"/>
        <v>5.8104761459744872E-2</v>
      </c>
      <c r="E87" s="221">
        <f>GETPIVOTDATA("ind",Displacement_Reasons!$D$7,"adm2_name","Logone-Et-Chari","adm3_name",B87,"raison","Climat")</f>
        <v>40</v>
      </c>
      <c r="F87" s="220">
        <f t="shared" si="64"/>
        <v>1.1681697116957152E-4</v>
      </c>
      <c r="G87" s="221">
        <f>GETPIVOTDATA("ind",Displacement_Reasons!$D$7,"adm2_name","Logone-Et-Chari","adm3_name",B87,"raison","autre")</f>
        <v>83</v>
      </c>
      <c r="H87" s="222">
        <f t="shared" si="65"/>
        <v>2.4239521517686091E-4</v>
      </c>
      <c r="I87" s="221">
        <f t="shared" si="50"/>
        <v>20019</v>
      </c>
      <c r="J87" s="222">
        <f t="shared" si="66"/>
        <v>5.8463973646091308E-2</v>
      </c>
      <c r="L87" s="339"/>
      <c r="M87" s="101"/>
      <c r="N87" s="101"/>
      <c r="O87" s="101"/>
      <c r="P87" s="101"/>
      <c r="Q87" s="237"/>
      <c r="R87" s="237"/>
    </row>
    <row r="88" spans="2:38" ht="15.75" thickBot="1" x14ac:dyDescent="0.3">
      <c r="B88" s="253" t="s">
        <v>151</v>
      </c>
      <c r="C88" s="221">
        <f>GETPIVOTDATA("ind",Displacement_Reasons!$D$7,"adm2_name","Logone-Et-Chari","adm3_name",B88,"raison","Conflits EIAO")</f>
        <v>13656</v>
      </c>
      <c r="D88" s="222">
        <f t="shared" si="63"/>
        <v>3.9881313957291713E-2</v>
      </c>
      <c r="E88" s="221">
        <f>GETPIVOTDATA("ind",Displacement_Reasons!$D$7,"adm2_name","Logone-Et-Chari","adm3_name",B88,"raison","Climat")</f>
        <v>589</v>
      </c>
      <c r="F88" s="220">
        <f t="shared" si="64"/>
        <v>1.7201299004719406E-3</v>
      </c>
      <c r="G88" s="221">
        <f>GETPIVOTDATA("ind",Displacement_Reasons!$D$7,"adm2_name","Logone-Et-Chari","adm3_name",B88,"raison","autre")</f>
        <v>0</v>
      </c>
      <c r="H88" s="222">
        <f t="shared" si="65"/>
        <v>0</v>
      </c>
      <c r="I88" s="221">
        <f t="shared" si="50"/>
        <v>14245</v>
      </c>
      <c r="J88" s="222">
        <f t="shared" si="66"/>
        <v>4.1601443857763654E-2</v>
      </c>
      <c r="L88" s="339"/>
      <c r="M88" s="101"/>
      <c r="N88" s="101"/>
      <c r="O88" s="101"/>
      <c r="P88" s="101"/>
      <c r="Q88" s="237"/>
      <c r="R88" s="237"/>
    </row>
    <row r="89" spans="2:38" ht="15.75" thickBot="1" x14ac:dyDescent="0.3">
      <c r="B89" s="253" t="s">
        <v>98</v>
      </c>
      <c r="C89" s="221">
        <f>GETPIVOTDATA("ind",Displacement_Reasons!$D$7,"adm2_name","Logone-Et-Chari","adm3_name",B89,"raison","Conflits EIAO")</f>
        <v>73118</v>
      </c>
      <c r="D89" s="222">
        <f t="shared" si="63"/>
        <v>0.21353558244941825</v>
      </c>
      <c r="E89" s="221">
        <f>GETPIVOTDATA("ind",Displacement_Reasons!$D$7,"adm2_name","Logone-Et-Chari","adm3_name",B89,"raison","Climat")</f>
        <v>0</v>
      </c>
      <c r="F89" s="220">
        <f t="shared" si="64"/>
        <v>0</v>
      </c>
      <c r="G89" s="221">
        <f>GETPIVOTDATA("ind",Displacement_Reasons!$D$7,"adm2_name","Logone-Et-Chari","adm3_name",B89,"raison","autre")</f>
        <v>0</v>
      </c>
      <c r="H89" s="222">
        <f t="shared" si="65"/>
        <v>0</v>
      </c>
      <c r="I89" s="221">
        <f t="shared" si="50"/>
        <v>73118</v>
      </c>
      <c r="J89" s="222">
        <f t="shared" si="66"/>
        <v>0.21353558244941825</v>
      </c>
      <c r="L89" s="339"/>
      <c r="M89" s="101"/>
      <c r="N89" s="101"/>
      <c r="O89" s="101"/>
      <c r="P89" s="101"/>
      <c r="Q89" s="236"/>
      <c r="R89" s="236"/>
    </row>
    <row r="90" spans="2:38" ht="15.75" thickBot="1" x14ac:dyDescent="0.3">
      <c r="B90" s="253" t="s">
        <v>175</v>
      </c>
      <c r="C90" s="221">
        <f>GETPIVOTDATA("ind",Displacement_Reasons!$D$7,"adm2_name","Logone-Et-Chari","adm3_name",B90,"raison","Conflits EIAO")</f>
        <v>9830</v>
      </c>
      <c r="D90" s="222">
        <f t="shared" si="63"/>
        <v>2.8707770664922201E-2</v>
      </c>
      <c r="E90" s="221">
        <f>GETPIVOTDATA("ind",Displacement_Reasons!$D$7,"adm2_name","Logone-Et-Chari","adm3_name",B90,"raison","Climat")</f>
        <v>0</v>
      </c>
      <c r="F90" s="220">
        <f t="shared" si="64"/>
        <v>0</v>
      </c>
      <c r="G90" s="221">
        <f>GETPIVOTDATA("ind",Displacement_Reasons!$D$7,"adm2_name","Logone-Et-Chari","adm3_name",B90,"raison","autre")</f>
        <v>0</v>
      </c>
      <c r="H90" s="222">
        <f t="shared" si="65"/>
        <v>0</v>
      </c>
      <c r="I90" s="221">
        <f t="shared" si="50"/>
        <v>9830</v>
      </c>
      <c r="J90" s="222">
        <f t="shared" si="66"/>
        <v>2.8707770664922201E-2</v>
      </c>
      <c r="L90" s="339"/>
      <c r="M90" s="101"/>
      <c r="N90" s="101"/>
      <c r="O90" s="101"/>
      <c r="P90" s="101"/>
      <c r="Q90" s="236"/>
      <c r="R90" s="236"/>
    </row>
    <row r="91" spans="2:38" ht="15.75" thickBot="1" x14ac:dyDescent="0.3">
      <c r="B91" s="253" t="s">
        <v>181</v>
      </c>
      <c r="C91" s="221">
        <f>GETPIVOTDATA("ind",Displacement_Reasons!$D$7,"adm2_name","Logone-Et-Chari","adm3_name",B91,"raison","Conflits EIAO")</f>
        <v>0</v>
      </c>
      <c r="D91" s="222">
        <f t="shared" si="63"/>
        <v>0</v>
      </c>
      <c r="E91" s="221">
        <f>GETPIVOTDATA("ind",Displacement_Reasons!$D$7,"adm2_name","Logone-Et-Chari","adm3_name",B91,"raison","Climat")</f>
        <v>8588</v>
      </c>
      <c r="F91" s="220">
        <f t="shared" si="64"/>
        <v>2.5080603710107004E-2</v>
      </c>
      <c r="G91" s="221">
        <f>GETPIVOTDATA("ind",Displacement_Reasons!$D$7,"adm2_name","Logone-Et-Chari","adm3_name",B91,"raison","autre")</f>
        <v>0</v>
      </c>
      <c r="H91" s="222">
        <f t="shared" si="65"/>
        <v>0</v>
      </c>
      <c r="I91" s="221">
        <f t="shared" si="50"/>
        <v>8588</v>
      </c>
      <c r="J91" s="222">
        <f t="shared" si="66"/>
        <v>2.5080603710107004E-2</v>
      </c>
      <c r="L91" s="339"/>
      <c r="M91" s="101"/>
      <c r="N91" s="101"/>
      <c r="O91" s="101"/>
      <c r="P91" s="101"/>
      <c r="Q91" s="239"/>
      <c r="R91" s="239"/>
    </row>
    <row r="92" spans="2:38" ht="15.75" thickBot="1" x14ac:dyDescent="0.3">
      <c r="B92" s="7" t="s">
        <v>184</v>
      </c>
      <c r="C92" s="8">
        <f>SUM(C93:C98)</f>
        <v>707</v>
      </c>
      <c r="D92" s="34">
        <f t="shared" ref="D92:H92" si="67">SUM(D93:D98)</f>
        <v>2.0647399654221766E-3</v>
      </c>
      <c r="E92" s="8">
        <f t="shared" si="67"/>
        <v>16124</v>
      </c>
      <c r="F92" s="35">
        <f t="shared" si="67"/>
        <v>4.7088921078454277E-2</v>
      </c>
      <c r="G92" s="8">
        <f t="shared" si="67"/>
        <v>31</v>
      </c>
      <c r="H92" s="19">
        <f t="shared" si="67"/>
        <v>9.0533152656417925E-5</v>
      </c>
      <c r="I92" s="8">
        <f t="shared" si="50"/>
        <v>16862</v>
      </c>
      <c r="J92" s="19">
        <f>SUM(J93:J98)</f>
        <v>4.9244194196532871E-2</v>
      </c>
      <c r="L92" s="337"/>
      <c r="M92" s="338"/>
      <c r="N92" s="338"/>
      <c r="O92" s="338"/>
      <c r="P92" s="338"/>
      <c r="Q92" s="239"/>
      <c r="R92" s="239"/>
    </row>
    <row r="93" spans="2:38" ht="15.75" thickBot="1" x14ac:dyDescent="0.3">
      <c r="B93" s="253" t="s">
        <v>471</v>
      </c>
      <c r="C93" s="221">
        <f>GETPIVOTDATA("ind",Displacement_Reasons!$D$7,"adm2_name","Mayo-Danay","adm3_name",B93,"raison","Conflits EIAO")</f>
        <v>129</v>
      </c>
      <c r="D93" s="222">
        <f t="shared" ref="D93:D98" si="68">C93/$I$117</f>
        <v>3.7673473202186813E-4</v>
      </c>
      <c r="E93" s="221">
        <f>GETPIVOTDATA("ind",Displacement_Reasons!$D$7,"adm2_name","Mayo-Danay","adm3_name",B93,"raison","Climat")</f>
        <v>1523</v>
      </c>
      <c r="F93" s="220">
        <f t="shared" ref="F93:F98" si="69">E93/$I$117</f>
        <v>4.4478061772814355E-3</v>
      </c>
      <c r="G93" s="221">
        <f>GETPIVOTDATA("ind",Displacement_Reasons!$D$7,"adm2_name","Mayo-Danay","adm3_name",B93,"raison","autre")</f>
        <v>31</v>
      </c>
      <c r="H93" s="222">
        <f t="shared" ref="H93:H98" si="70">G93/$I$117</f>
        <v>9.0533152656417925E-5</v>
      </c>
      <c r="I93" s="221">
        <f t="shared" si="50"/>
        <v>1683</v>
      </c>
      <c r="J93" s="222">
        <f t="shared" ref="J93:J98" si="71">H93+F93+D93</f>
        <v>4.9150740619597223E-3</v>
      </c>
      <c r="L93" s="339"/>
      <c r="M93" s="101"/>
      <c r="N93" s="101"/>
      <c r="O93" s="101"/>
      <c r="P93" s="101"/>
      <c r="Q93" s="239"/>
      <c r="R93" s="239"/>
    </row>
    <row r="94" spans="2:38" ht="15.75" thickBot="1" x14ac:dyDescent="0.3">
      <c r="B94" s="253" t="s">
        <v>196</v>
      </c>
      <c r="C94" s="221">
        <f>GETPIVOTDATA("ind",Displacement_Reasons!$D$7,"adm2_name","Mayo-Danay","adm3_name",B94,"raison","Conflits EIAO")</f>
        <v>0</v>
      </c>
      <c r="D94" s="222">
        <f t="shared" si="68"/>
        <v>0</v>
      </c>
      <c r="E94" s="221">
        <f>GETPIVOTDATA("ind",Displacement_Reasons!$D$7,"adm2_name","Mayo-Danay","adm3_name",B94,"raison","Climat")</f>
        <v>2038</v>
      </c>
      <c r="F94" s="220">
        <f t="shared" si="69"/>
        <v>5.9518246810896687E-3</v>
      </c>
      <c r="G94" s="221">
        <f>GETPIVOTDATA("ind",Displacement_Reasons!$D$7,"adm2_name","Mayo-Danay","adm3_name",B94,"raison","autre")</f>
        <v>0</v>
      </c>
      <c r="H94" s="222">
        <f t="shared" si="70"/>
        <v>0</v>
      </c>
      <c r="I94" s="221">
        <f t="shared" si="50"/>
        <v>2038</v>
      </c>
      <c r="J94" s="222">
        <f t="shared" si="71"/>
        <v>5.9518246810896687E-3</v>
      </c>
      <c r="L94" s="339"/>
      <c r="M94" s="101"/>
      <c r="N94" s="101"/>
      <c r="O94" s="101"/>
      <c r="P94" s="101"/>
      <c r="Q94" s="239"/>
      <c r="R94" s="239"/>
    </row>
    <row r="95" spans="2:38" ht="15.75" thickBot="1" x14ac:dyDescent="0.3">
      <c r="B95" s="253" t="s">
        <v>203</v>
      </c>
      <c r="C95" s="221">
        <f>GETPIVOTDATA("ind",Displacement_Reasons!$D$7,"adm2_name","Mayo-Danay","adm3_name",B95,"raison","Conflits EIAO")</f>
        <v>0</v>
      </c>
      <c r="D95" s="222">
        <f t="shared" si="68"/>
        <v>0</v>
      </c>
      <c r="E95" s="221">
        <f>GETPIVOTDATA("ind",Displacement_Reasons!$D$7,"adm2_name","Mayo-Danay","adm3_name",B95,"raison","Climat")</f>
        <v>1133</v>
      </c>
      <c r="F95" s="220">
        <f t="shared" si="69"/>
        <v>3.3088407083781131E-3</v>
      </c>
      <c r="G95" s="221">
        <f>GETPIVOTDATA("ind",Displacement_Reasons!$D$7,"adm2_name","Mayo-Danay","adm3_name",B95,"raison","autre")</f>
        <v>0</v>
      </c>
      <c r="H95" s="222">
        <f t="shared" si="70"/>
        <v>0</v>
      </c>
      <c r="I95" s="221">
        <f t="shared" si="50"/>
        <v>1133</v>
      </c>
      <c r="J95" s="222">
        <f t="shared" si="71"/>
        <v>3.3088407083781131E-3</v>
      </c>
      <c r="L95" s="339"/>
      <c r="M95" s="101"/>
      <c r="N95" s="101"/>
      <c r="O95" s="101"/>
      <c r="P95" s="101"/>
      <c r="Q95" s="239"/>
      <c r="R95" s="239"/>
    </row>
    <row r="96" spans="2:38" ht="15.75" thickBot="1" x14ac:dyDescent="0.3">
      <c r="B96" s="253" t="s">
        <v>206</v>
      </c>
      <c r="C96" s="221">
        <f>GETPIVOTDATA("ind",Displacement_Reasons!$D$7,"adm2_name","Mayo-Danay","adm3_name",B96,"raison","Conflits EIAO")</f>
        <v>0</v>
      </c>
      <c r="D96" s="222">
        <f t="shared" si="68"/>
        <v>0</v>
      </c>
      <c r="E96" s="221">
        <f>GETPIVOTDATA("ind",Displacement_Reasons!$D$7,"adm2_name","Mayo-Danay","adm3_name",B96,"raison","Climat")</f>
        <v>4273</v>
      </c>
      <c r="F96" s="220">
        <f t="shared" si="69"/>
        <v>1.2478972945189477E-2</v>
      </c>
      <c r="G96" s="221">
        <f>GETPIVOTDATA("ind",Displacement_Reasons!$D$7,"adm2_name","Mayo-Danay","adm3_name",B96,"raison","autre")</f>
        <v>0</v>
      </c>
      <c r="H96" s="222">
        <f t="shared" si="70"/>
        <v>0</v>
      </c>
      <c r="I96" s="221">
        <f t="shared" si="50"/>
        <v>4273</v>
      </c>
      <c r="J96" s="222">
        <f t="shared" si="71"/>
        <v>1.2478972945189477E-2</v>
      </c>
      <c r="L96" s="339"/>
      <c r="M96" s="101"/>
      <c r="N96" s="101"/>
      <c r="O96" s="101"/>
      <c r="P96" s="101"/>
      <c r="Q96" s="239"/>
      <c r="R96" s="239"/>
    </row>
    <row r="97" spans="2:18" ht="15.75" thickBot="1" x14ac:dyDescent="0.3">
      <c r="B97" s="253" t="s">
        <v>215</v>
      </c>
      <c r="C97" s="221">
        <f>GETPIVOTDATA("ind",Displacement_Reasons!$D$7,"adm2_name","Mayo-Danay","adm3_name",B97,"raison","Conflits EIAO")</f>
        <v>578</v>
      </c>
      <c r="D97" s="222">
        <f t="shared" si="68"/>
        <v>1.6880052334003084E-3</v>
      </c>
      <c r="E97" s="221">
        <f>GETPIVOTDATA("ind",Displacement_Reasons!$D$7,"adm2_name","Mayo-Danay","adm3_name",B97,"raison","Climat")</f>
        <v>5047</v>
      </c>
      <c r="F97" s="220">
        <f t="shared" si="69"/>
        <v>1.4739381337320686E-2</v>
      </c>
      <c r="G97" s="221">
        <f>GETPIVOTDATA("ind",Displacement_Reasons!$D$7,"adm2_name","Mayo-Danay","adm3_name",B97,"raison","autre")</f>
        <v>0</v>
      </c>
      <c r="H97" s="222">
        <f t="shared" si="70"/>
        <v>0</v>
      </c>
      <c r="I97" s="221">
        <f t="shared" si="50"/>
        <v>5625</v>
      </c>
      <c r="J97" s="222">
        <f t="shared" si="71"/>
        <v>1.6427386570720993E-2</v>
      </c>
      <c r="L97" s="339"/>
      <c r="M97" s="101"/>
      <c r="N97" s="101"/>
      <c r="O97" s="101"/>
      <c r="P97" s="101"/>
      <c r="Q97" s="239"/>
      <c r="R97" s="239"/>
    </row>
    <row r="98" spans="2:18" ht="15.75" thickBot="1" x14ac:dyDescent="0.3">
      <c r="B98" s="253" t="s">
        <v>213</v>
      </c>
      <c r="C98" s="221">
        <f>GETPIVOTDATA("ind",Displacement_Reasons!$D$7,"adm2_name","Mayo-Danay","adm3_name",B98,"raison","Conflits EIAO")</f>
        <v>0</v>
      </c>
      <c r="D98" s="222">
        <f t="shared" si="68"/>
        <v>0</v>
      </c>
      <c r="E98" s="221">
        <f>GETPIVOTDATA("ind",Displacement_Reasons!$D$7,"adm2_name","Mayo-Danay","adm3_name",B98,"raison","Climat")</f>
        <v>2110</v>
      </c>
      <c r="F98" s="220">
        <f t="shared" si="69"/>
        <v>6.1620952291948977E-3</v>
      </c>
      <c r="G98" s="221">
        <f>GETPIVOTDATA("ind",Displacement_Reasons!$D$7,"adm2_name","Mayo-Danay","adm3_name",B98,"raison","autre")</f>
        <v>0</v>
      </c>
      <c r="H98" s="222">
        <f t="shared" si="70"/>
        <v>0</v>
      </c>
      <c r="I98" s="221">
        <f t="shared" si="50"/>
        <v>2110</v>
      </c>
      <c r="J98" s="222">
        <f t="shared" si="71"/>
        <v>6.1620952291948977E-3</v>
      </c>
      <c r="L98" s="339"/>
      <c r="M98" s="101"/>
      <c r="N98" s="101"/>
      <c r="O98" s="101"/>
      <c r="P98" s="101"/>
      <c r="Q98" s="239"/>
      <c r="R98" s="239"/>
    </row>
    <row r="99" spans="2:18" ht="15.75" thickBot="1" x14ac:dyDescent="0.3">
      <c r="B99" s="7" t="s">
        <v>218</v>
      </c>
      <c r="C99" s="8">
        <f>SUM(C100:C104)</f>
        <v>721</v>
      </c>
      <c r="D99" s="34">
        <f t="shared" ref="D99:H99" si="72">SUM(D100:D104)</f>
        <v>2.1056259053315266E-3</v>
      </c>
      <c r="E99" s="8">
        <f t="shared" si="72"/>
        <v>0</v>
      </c>
      <c r="F99" s="35">
        <f t="shared" si="72"/>
        <v>0</v>
      </c>
      <c r="G99" s="8">
        <f t="shared" si="72"/>
        <v>95</v>
      </c>
      <c r="H99" s="19">
        <f t="shared" si="72"/>
        <v>2.774403065277324E-4</v>
      </c>
      <c r="I99" s="8">
        <f t="shared" si="50"/>
        <v>816</v>
      </c>
      <c r="J99" s="19">
        <f>SUM(J100:J104)</f>
        <v>2.383066211859259E-3</v>
      </c>
      <c r="L99" s="337"/>
      <c r="M99" s="338"/>
      <c r="N99" s="338"/>
      <c r="O99" s="338"/>
      <c r="P99" s="338"/>
      <c r="Q99" s="239"/>
      <c r="R99" s="239"/>
    </row>
    <row r="100" spans="2:18" ht="15.75" thickBot="1" x14ac:dyDescent="0.3">
      <c r="B100" s="253" t="s">
        <v>676</v>
      </c>
      <c r="C100" s="221">
        <f>GETPIVOTDATA("ind",Displacement_Reasons!$D$7,"adm2_name","Mayo-Kani","adm3_name",B100,"raison","Conflits EIAO")</f>
        <v>0</v>
      </c>
      <c r="D100" s="222">
        <f>C100/$I$117</f>
        <v>0</v>
      </c>
      <c r="E100" s="221">
        <f>GETPIVOTDATA("ind",Displacement_Reasons!$D$7,"adm2_name","Mayo-Kani","adm3_name",B100,"raison","Climat")</f>
        <v>0</v>
      </c>
      <c r="F100" s="220">
        <f>E100/$I$117</f>
        <v>0</v>
      </c>
      <c r="G100" s="221">
        <f>GETPIVOTDATA("ind",Displacement_Reasons!$D$7,"adm2_name","Mayo-Kani","adm3_name",B100,"raison","autre")</f>
        <v>82</v>
      </c>
      <c r="H100" s="222">
        <f>G100/$I$117</f>
        <v>2.3947479089762161E-4</v>
      </c>
      <c r="I100" s="221">
        <f t="shared" si="50"/>
        <v>82</v>
      </c>
      <c r="J100" s="222">
        <f>H100+F100+D100</f>
        <v>2.3947479089762161E-4</v>
      </c>
      <c r="L100" s="339"/>
      <c r="M100" s="101"/>
      <c r="N100" s="101"/>
      <c r="O100" s="101"/>
      <c r="P100" s="101"/>
      <c r="Q100" s="239"/>
      <c r="R100" s="239"/>
    </row>
    <row r="101" spans="2:18" ht="15.75" thickBot="1" x14ac:dyDescent="0.3">
      <c r="B101" s="253" t="s">
        <v>224</v>
      </c>
      <c r="C101" s="221">
        <f>GETPIVOTDATA("ind",Displacement_Reasons!$D$7,"adm2_name","Mayo-Kani","adm3_name",B101,"raison","Conflits EIAO")</f>
        <v>187</v>
      </c>
      <c r="D101" s="222">
        <f>C101/$I$117</f>
        <v>5.4611934021774684E-4</v>
      </c>
      <c r="E101" s="221">
        <f>GETPIVOTDATA("ind",Displacement_Reasons!$D$7,"adm2_name","Mayo-Kani","adm3_name",B101,"raison","Climat")</f>
        <v>0</v>
      </c>
      <c r="F101" s="220">
        <f>E101/$I$117</f>
        <v>0</v>
      </c>
      <c r="G101" s="221">
        <f>GETPIVOTDATA("ind",Displacement_Reasons!$D$7,"adm2_name","Mayo-Kani","adm3_name",B101,"raison","autre")</f>
        <v>5</v>
      </c>
      <c r="H101" s="222">
        <f>G101/$I$117</f>
        <v>1.460212139619644E-5</v>
      </c>
      <c r="I101" s="221">
        <f t="shared" si="50"/>
        <v>192</v>
      </c>
      <c r="J101" s="222">
        <f>H101+F101+D101</f>
        <v>5.6072146161394328E-4</v>
      </c>
      <c r="L101" s="339"/>
      <c r="M101" s="101"/>
      <c r="N101" s="101"/>
      <c r="O101" s="101"/>
      <c r="P101" s="101"/>
      <c r="Q101" s="239"/>
      <c r="R101" s="239"/>
    </row>
    <row r="102" spans="2:18" ht="15.75" thickBot="1" x14ac:dyDescent="0.3">
      <c r="B102" s="253" t="s">
        <v>220</v>
      </c>
      <c r="C102" s="221">
        <f>GETPIVOTDATA("ind",Displacement_Reasons!$D$7,"adm2_name","Mayo-Kani","adm3_name",B102,"raison","Conflits EIAO")</f>
        <v>38</v>
      </c>
      <c r="D102" s="222">
        <f>C102/$I$117</f>
        <v>1.1097612261109294E-4</v>
      </c>
      <c r="E102" s="221">
        <f>GETPIVOTDATA("ind",Displacement_Reasons!$D$7,"adm2_name","Mayo-Kani","adm3_name",B102,"raison","Climat")</f>
        <v>0</v>
      </c>
      <c r="F102" s="220">
        <f>E102/$I$117</f>
        <v>0</v>
      </c>
      <c r="G102" s="221">
        <f>GETPIVOTDATA("ind",Displacement_Reasons!$D$7,"adm2_name","Mayo-Kani","adm3_name",B102,"raison","autre")</f>
        <v>8</v>
      </c>
      <c r="H102" s="222">
        <f>G102/$I$117</f>
        <v>2.3363394233914302E-5</v>
      </c>
      <c r="I102" s="221">
        <f t="shared" si="50"/>
        <v>46</v>
      </c>
      <c r="J102" s="222">
        <f>H102+F102+D102</f>
        <v>1.3433951684500725E-4</v>
      </c>
      <c r="L102" s="339"/>
      <c r="M102" s="101"/>
      <c r="N102" s="101"/>
      <c r="O102" s="101"/>
      <c r="P102" s="101"/>
      <c r="Q102" s="239"/>
      <c r="R102" s="239"/>
    </row>
    <row r="103" spans="2:18" ht="15.75" thickBot="1" x14ac:dyDescent="0.3">
      <c r="B103" s="253" t="s">
        <v>228</v>
      </c>
      <c r="C103" s="221">
        <f>GETPIVOTDATA("ind",Displacement_Reasons!$D$7,"adm2_name","Mayo-Kani","adm3_name",B103,"raison","Conflits EIAO")</f>
        <v>429</v>
      </c>
      <c r="D103" s="222">
        <f>C103/$I$117</f>
        <v>1.2528620157936546E-3</v>
      </c>
      <c r="E103" s="221">
        <f>GETPIVOTDATA("ind",Displacement_Reasons!$D$7,"adm2_name","Mayo-Kani","adm3_name",B103,"raison","Climat")</f>
        <v>0</v>
      </c>
      <c r="F103" s="220">
        <f>E103/$I$117</f>
        <v>0</v>
      </c>
      <c r="G103" s="221">
        <f>GETPIVOTDATA("ind",Displacement_Reasons!$D$7,"adm2_name","Mayo-Kani","adm3_name",B103,"raison","autre")</f>
        <v>0</v>
      </c>
      <c r="H103" s="222">
        <f>G103/$I$117</f>
        <v>0</v>
      </c>
      <c r="I103" s="221">
        <f t="shared" si="50"/>
        <v>429</v>
      </c>
      <c r="J103" s="222">
        <f>H103+F103+D103</f>
        <v>1.2528620157936546E-3</v>
      </c>
      <c r="L103" s="339"/>
      <c r="M103" s="101"/>
      <c r="N103" s="101"/>
      <c r="O103" s="101"/>
      <c r="P103" s="101"/>
      <c r="Q103" s="239"/>
      <c r="R103" s="239"/>
    </row>
    <row r="104" spans="2:18" ht="15.75" thickBot="1" x14ac:dyDescent="0.3">
      <c r="B104" s="253" t="s">
        <v>497</v>
      </c>
      <c r="C104" s="221">
        <f>GETPIVOTDATA("ind",Displacement_Reasons!$D$7,"adm2_name","Mayo-Kani","adm3_name",B104,"raison","Conflits EIAO")</f>
        <v>67</v>
      </c>
      <c r="D104" s="222">
        <f>C104/$I$117</f>
        <v>1.9566842670903228E-4</v>
      </c>
      <c r="E104" s="221">
        <f>GETPIVOTDATA("ind",Displacement_Reasons!$D$7,"adm2_name","Mayo-Kani","adm3_name",B104,"raison","Climat")</f>
        <v>0</v>
      </c>
      <c r="F104" s="220">
        <f>E104/$I$117</f>
        <v>0</v>
      </c>
      <c r="G104" s="221">
        <f>GETPIVOTDATA("ind",Displacement_Reasons!$D$7,"adm2_name","Mayo-Kani","adm3_name",B104,"raison","autre")</f>
        <v>0</v>
      </c>
      <c r="H104" s="222">
        <f>G104/$I$117</f>
        <v>0</v>
      </c>
      <c r="I104" s="221">
        <f t="shared" si="50"/>
        <v>67</v>
      </c>
      <c r="J104" s="222">
        <f>H104+F104+D104</f>
        <v>1.9566842670903228E-4</v>
      </c>
      <c r="L104" s="339"/>
      <c r="M104" s="101"/>
      <c r="N104" s="101"/>
      <c r="O104" s="101"/>
      <c r="P104" s="101"/>
      <c r="Q104" s="239"/>
      <c r="R104" s="239"/>
    </row>
    <row r="105" spans="2:18" ht="15.75" thickBot="1" x14ac:dyDescent="0.3">
      <c r="B105" s="7" t="s">
        <v>48</v>
      </c>
      <c r="C105" s="8">
        <f>SUM(C106:C108)</f>
        <v>74539</v>
      </c>
      <c r="D105" s="34">
        <f t="shared" ref="D105:H105" si="73">SUM(D106:D108)</f>
        <v>0.21768550535021727</v>
      </c>
      <c r="E105" s="8">
        <f t="shared" si="73"/>
        <v>2095</v>
      </c>
      <c r="F105" s="35">
        <f t="shared" si="73"/>
        <v>6.1182888650063083E-3</v>
      </c>
      <c r="G105" s="8">
        <f t="shared" si="73"/>
        <v>0</v>
      </c>
      <c r="H105" s="19">
        <f t="shared" si="73"/>
        <v>0</v>
      </c>
      <c r="I105" s="8">
        <f t="shared" si="50"/>
        <v>76634</v>
      </c>
      <c r="J105" s="19">
        <f t="shared" ref="J105" si="74">SUM(J106:J108)</f>
        <v>0.22380379421522356</v>
      </c>
      <c r="L105" s="337"/>
      <c r="M105" s="338"/>
      <c r="N105" s="338"/>
      <c r="O105" s="338"/>
      <c r="P105" s="338"/>
      <c r="Q105" s="239"/>
      <c r="R105" s="239"/>
    </row>
    <row r="106" spans="2:18" ht="15.75" thickBot="1" x14ac:dyDescent="0.3">
      <c r="B106" s="253" t="s">
        <v>232</v>
      </c>
      <c r="C106" s="221">
        <f>GETPIVOTDATA("ind",Displacement_Reasons!$D$7,"adm2_name","Mayo-Sava","adm3_name",B106,"raison","Conflits EIAO")</f>
        <v>21554</v>
      </c>
      <c r="D106" s="222">
        <f>C106/$I$117</f>
        <v>6.2946824914723615E-2</v>
      </c>
      <c r="E106" s="221">
        <f>GETPIVOTDATA("ind",Displacement_Reasons!$D$7,"adm2_name","Mayo-Sava","adm3_name",B106,"raison","Climat")</f>
        <v>2095</v>
      </c>
      <c r="F106" s="220">
        <f>E106/$I$117</f>
        <v>6.1182888650063083E-3</v>
      </c>
      <c r="G106" s="221">
        <f>GETPIVOTDATA("ind",Displacement_Reasons!$D$7,"adm2_name","Mayo-Sava","adm3_name",B106,"raison","autre")</f>
        <v>0</v>
      </c>
      <c r="H106" s="222">
        <f>G106/$I$117</f>
        <v>0</v>
      </c>
      <c r="I106" s="221">
        <f t="shared" si="50"/>
        <v>23649</v>
      </c>
      <c r="J106" s="222">
        <f>H106+F106+D106</f>
        <v>6.9065113779729917E-2</v>
      </c>
      <c r="L106" s="339"/>
      <c r="M106" s="101"/>
      <c r="N106" s="101"/>
      <c r="O106" s="101"/>
      <c r="P106" s="101"/>
      <c r="Q106" s="239"/>
      <c r="R106" s="239"/>
    </row>
    <row r="107" spans="2:18" ht="15.75" thickBot="1" x14ac:dyDescent="0.3">
      <c r="B107" s="253" t="s">
        <v>62</v>
      </c>
      <c r="C107" s="221">
        <f>GETPIVOTDATA("ind",Displacement_Reasons!$D$7,"adm2_name","Mayo-Sava","adm3_name",B107,"raison","Conflits EIAO")</f>
        <v>51257</v>
      </c>
      <c r="D107" s="222">
        <f>C107/$I$117</f>
        <v>0.14969218728096817</v>
      </c>
      <c r="E107" s="221">
        <f>GETPIVOTDATA("ind",Displacement_Reasons!$D$7,"adm2_name","Mayo-Sava","adm3_name",B107,"raison","Climat")</f>
        <v>0</v>
      </c>
      <c r="F107" s="220">
        <f>E107/$I$117</f>
        <v>0</v>
      </c>
      <c r="G107" s="221">
        <f>GETPIVOTDATA("ind",Displacement_Reasons!$D$7,"adm2_name","Mayo-Sava","adm3_name",B107,"raison","autre")</f>
        <v>0</v>
      </c>
      <c r="H107" s="222">
        <f>G107/$I$117</f>
        <v>0</v>
      </c>
      <c r="I107" s="221">
        <f t="shared" si="50"/>
        <v>51257</v>
      </c>
      <c r="J107" s="222">
        <f>H107+F107+D107</f>
        <v>0.14969218728096817</v>
      </c>
      <c r="L107" s="339"/>
      <c r="M107" s="101"/>
      <c r="N107" s="101"/>
      <c r="O107" s="101"/>
      <c r="P107" s="101"/>
      <c r="Q107" s="239"/>
      <c r="R107" s="239"/>
    </row>
    <row r="108" spans="2:18" ht="15.75" thickBot="1" x14ac:dyDescent="0.3">
      <c r="B108" s="253" t="s">
        <v>527</v>
      </c>
      <c r="C108" s="221">
        <f>GETPIVOTDATA("ind",Displacement_Reasons!$D$7,"adm2_name","Mayo-Sava","adm3_name",B108,"raison","Conflits EIAO")</f>
        <v>1728</v>
      </c>
      <c r="D108" s="222">
        <f>C108/$I$117</f>
        <v>5.0464931545254896E-3</v>
      </c>
      <c r="E108" s="221">
        <f>GETPIVOTDATA("ind",Displacement_Reasons!$D$7,"adm2_name","Mayo-Sava","adm3_name",B108,"raison","Climat")</f>
        <v>0</v>
      </c>
      <c r="F108" s="220">
        <f>E108/$I$117</f>
        <v>0</v>
      </c>
      <c r="G108" s="221">
        <f>GETPIVOTDATA("ind",Displacement_Reasons!$D$7,"adm2_name","Mayo-Sava","adm3_name",B108,"raison","autre")</f>
        <v>0</v>
      </c>
      <c r="H108" s="222">
        <f>G108/$I$117</f>
        <v>0</v>
      </c>
      <c r="I108" s="221">
        <f t="shared" si="50"/>
        <v>1728</v>
      </c>
      <c r="J108" s="222">
        <f>H108+F108+D108</f>
        <v>5.0464931545254896E-3</v>
      </c>
      <c r="L108" s="339"/>
      <c r="M108" s="101"/>
      <c r="N108" s="101"/>
      <c r="O108" s="101"/>
      <c r="P108" s="101"/>
      <c r="Q108" s="239"/>
      <c r="R108" s="239"/>
    </row>
    <row r="109" spans="2:18" ht="15.75" thickBot="1" x14ac:dyDescent="0.3">
      <c r="B109" s="7" t="s">
        <v>37</v>
      </c>
      <c r="C109" s="8">
        <f>SUM(C110:C116)</f>
        <v>62324</v>
      </c>
      <c r="D109" s="34">
        <f t="shared" ref="D109:H109" si="75">SUM(D110:D116)</f>
        <v>0.18201252277930938</v>
      </c>
      <c r="E109" s="8">
        <f t="shared" si="75"/>
        <v>75</v>
      </c>
      <c r="F109" s="35">
        <f t="shared" si="75"/>
        <v>2.1903182094294658E-4</v>
      </c>
      <c r="G109" s="8">
        <f t="shared" si="75"/>
        <v>35</v>
      </c>
      <c r="H109" s="19">
        <f t="shared" si="75"/>
        <v>1.0221484977337507E-4</v>
      </c>
      <c r="I109" s="8">
        <f t="shared" si="50"/>
        <v>62434</v>
      </c>
      <c r="J109" s="19">
        <f>SUM(J110:J116)</f>
        <v>0.18233376945002569</v>
      </c>
      <c r="L109" s="337"/>
      <c r="M109" s="338"/>
      <c r="N109" s="338"/>
      <c r="O109" s="338"/>
      <c r="P109" s="338"/>
      <c r="Q109" s="239"/>
      <c r="R109" s="239"/>
    </row>
    <row r="110" spans="2:18" ht="15.75" thickBot="1" x14ac:dyDescent="0.3">
      <c r="B110" s="253" t="s">
        <v>236</v>
      </c>
      <c r="C110" s="221">
        <f>GETPIVOTDATA("ind",Displacement_Reasons!$D$7,"adm2_name","Mayo-Tsanaga","adm3_name",B110,"raison","Conflits EIAO")</f>
        <v>1857</v>
      </c>
      <c r="D110" s="222">
        <f t="shared" ref="D110:D116" si="76">C110/$I$117</f>
        <v>5.4232278865473573E-3</v>
      </c>
      <c r="E110" s="221">
        <f>GETPIVOTDATA("ind",Displacement_Reasons!$D$7,"adm2_name","Mayo-Tsanaga","adm3_name",B110,"raison","Climat")</f>
        <v>0</v>
      </c>
      <c r="F110" s="220">
        <f t="shared" ref="F110:F116" si="77">E110/$I$117</f>
        <v>0</v>
      </c>
      <c r="G110" s="221">
        <f>GETPIVOTDATA("ind",Displacement_Reasons!$D$7,"adm2_name","Mayo-Tsanaga","adm3_name",B110,"raison","autre")</f>
        <v>0</v>
      </c>
      <c r="H110" s="222">
        <f t="shared" ref="H110:H116" si="78">G110/$I$117</f>
        <v>0</v>
      </c>
      <c r="I110" s="221">
        <f t="shared" si="50"/>
        <v>1857</v>
      </c>
      <c r="J110" s="222">
        <f t="shared" ref="J110:J116" si="79">H110+F110+D110</f>
        <v>5.4232278865473573E-3</v>
      </c>
      <c r="L110" s="339"/>
      <c r="M110" s="101"/>
      <c r="N110" s="101"/>
      <c r="O110" s="101"/>
      <c r="P110" s="101"/>
      <c r="Q110" s="239"/>
      <c r="R110" s="239"/>
    </row>
    <row r="111" spans="2:18" ht="15.75" thickBot="1" x14ac:dyDescent="0.3">
      <c r="B111" s="253" t="s">
        <v>540</v>
      </c>
      <c r="C111" s="221">
        <f>GETPIVOTDATA("ind",Displacement_Reasons!$D$7,"adm2_name","Mayo-Tsanaga","adm3_name",B111,"raison","Conflits EIAO")</f>
        <v>657</v>
      </c>
      <c r="D111" s="222">
        <f t="shared" si="76"/>
        <v>1.9187187514602122E-3</v>
      </c>
      <c r="E111" s="221">
        <f>GETPIVOTDATA("ind",Displacement_Reasons!$D$7,"adm2_name","Mayo-Tsanaga","adm3_name",B111,"raison","Climat")</f>
        <v>0</v>
      </c>
      <c r="F111" s="220">
        <f t="shared" si="77"/>
        <v>0</v>
      </c>
      <c r="G111" s="221">
        <f>GETPIVOTDATA("ind",Displacement_Reasons!$D$7,"adm2_name","Mayo-Tsanaga","adm3_name",B111,"raison","autre")</f>
        <v>0</v>
      </c>
      <c r="H111" s="222">
        <f t="shared" si="78"/>
        <v>0</v>
      </c>
      <c r="I111" s="221">
        <f t="shared" si="50"/>
        <v>657</v>
      </c>
      <c r="J111" s="222">
        <f t="shared" si="79"/>
        <v>1.9187187514602122E-3</v>
      </c>
      <c r="L111" s="339"/>
      <c r="M111" s="101"/>
      <c r="N111" s="101"/>
      <c r="O111" s="101"/>
      <c r="P111" s="101"/>
      <c r="Q111" s="239"/>
      <c r="R111" s="239"/>
    </row>
    <row r="112" spans="2:18" ht="15.75" thickBot="1" x14ac:dyDescent="0.3">
      <c r="B112" s="253" t="s">
        <v>547</v>
      </c>
      <c r="C112" s="221">
        <f>GETPIVOTDATA("ind",Displacement_Reasons!$D$7,"adm2_name","Mayo-Tsanaga","adm3_name",B112,"raison","Conflits EIAO")</f>
        <v>18526</v>
      </c>
      <c r="D112" s="222">
        <f t="shared" si="76"/>
        <v>5.4103780197187049E-2</v>
      </c>
      <c r="E112" s="221">
        <f>GETPIVOTDATA("ind",Displacement_Reasons!$D$7,"adm2_name","Mayo-Tsanaga","adm3_name",B112,"raison","Climat")</f>
        <v>0</v>
      </c>
      <c r="F112" s="220">
        <f t="shared" si="77"/>
        <v>0</v>
      </c>
      <c r="G112" s="221">
        <f>GETPIVOTDATA("ind",Displacement_Reasons!$D$7,"adm2_name","Mayo-Tsanaga","adm3_name",B112,"raison","autre")</f>
        <v>0</v>
      </c>
      <c r="H112" s="222">
        <f t="shared" si="78"/>
        <v>0</v>
      </c>
      <c r="I112" s="221">
        <f t="shared" si="50"/>
        <v>18526</v>
      </c>
      <c r="J112" s="222">
        <f t="shared" si="79"/>
        <v>5.4103780197187049E-2</v>
      </c>
      <c r="L112" s="339"/>
      <c r="M112" s="101"/>
      <c r="N112" s="101"/>
      <c r="O112" s="101"/>
      <c r="P112" s="101"/>
      <c r="Q112" s="239"/>
      <c r="R112" s="239"/>
    </row>
    <row r="113" spans="2:18" ht="15.75" thickBot="1" x14ac:dyDescent="0.3">
      <c r="B113" s="253" t="s">
        <v>244</v>
      </c>
      <c r="C113" s="221">
        <f>GETPIVOTDATA("ind",Displacement_Reasons!$D$7,"adm2_name","Mayo-Tsanaga","adm3_name",B113,"raison","Conflits EIAO")</f>
        <v>2292</v>
      </c>
      <c r="D113" s="222">
        <f t="shared" si="76"/>
        <v>6.6936124480164476E-3</v>
      </c>
      <c r="E113" s="221">
        <f>GETPIVOTDATA("ind",Displacement_Reasons!$D$7,"adm2_name","Mayo-Tsanaga","adm3_name",B113,"raison","Climat")</f>
        <v>0</v>
      </c>
      <c r="F113" s="220">
        <f t="shared" si="77"/>
        <v>0</v>
      </c>
      <c r="G113" s="221">
        <f>GETPIVOTDATA("ind",Displacement_Reasons!$D$7,"adm2_name","Mayo-Tsanaga","adm3_name",B113,"raison","autre")</f>
        <v>0</v>
      </c>
      <c r="H113" s="222">
        <f t="shared" si="78"/>
        <v>0</v>
      </c>
      <c r="I113" s="221">
        <f t="shared" si="50"/>
        <v>2292</v>
      </c>
      <c r="J113" s="222">
        <f t="shared" si="79"/>
        <v>6.6936124480164476E-3</v>
      </c>
      <c r="L113" s="339"/>
      <c r="M113" s="101"/>
      <c r="N113" s="101"/>
      <c r="O113" s="101"/>
      <c r="P113" s="101"/>
      <c r="Q113" s="239"/>
      <c r="R113" s="239"/>
    </row>
    <row r="114" spans="2:18" ht="15.75" thickBot="1" x14ac:dyDescent="0.3">
      <c r="B114" s="253" t="s">
        <v>247</v>
      </c>
      <c r="C114" s="221">
        <f>GETPIVOTDATA("ind",Displacement_Reasons!$D$7,"adm2_name","Mayo-Tsanaga","adm3_name",B114,"raison","Conflits EIAO")</f>
        <v>17437</v>
      </c>
      <c r="D114" s="222">
        <f t="shared" si="76"/>
        <v>5.0923438157095463E-2</v>
      </c>
      <c r="E114" s="221">
        <f>GETPIVOTDATA("ind",Displacement_Reasons!$D$7,"adm2_name","Mayo-Tsanaga","adm3_name",B114,"raison","Climat")</f>
        <v>0</v>
      </c>
      <c r="F114" s="220">
        <f t="shared" si="77"/>
        <v>0</v>
      </c>
      <c r="G114" s="221">
        <f>GETPIVOTDATA("ind",Displacement_Reasons!$D$7,"adm2_name","Mayo-Tsanaga","adm3_name",B114,"raison","autre")</f>
        <v>0</v>
      </c>
      <c r="H114" s="222">
        <f t="shared" si="78"/>
        <v>0</v>
      </c>
      <c r="I114" s="221">
        <f t="shared" si="50"/>
        <v>17437</v>
      </c>
      <c r="J114" s="222">
        <f t="shared" si="79"/>
        <v>5.0923438157095463E-2</v>
      </c>
      <c r="L114" s="339"/>
      <c r="M114" s="101"/>
      <c r="N114" s="101"/>
      <c r="O114" s="101"/>
      <c r="P114" s="101"/>
      <c r="Q114" s="239"/>
      <c r="R114" s="239"/>
    </row>
    <row r="115" spans="2:18" ht="15.75" thickBot="1" x14ac:dyDescent="0.3">
      <c r="B115" s="253" t="s">
        <v>250</v>
      </c>
      <c r="C115" s="221">
        <f>GETPIVOTDATA("ind",Displacement_Reasons!$D$7,"adm2_name","Mayo-Tsanaga","adm3_name",B115,"raison","Conflits EIAO")</f>
        <v>20670</v>
      </c>
      <c r="D115" s="222">
        <f t="shared" si="76"/>
        <v>6.036516985187608E-2</v>
      </c>
      <c r="E115" s="221">
        <f>GETPIVOTDATA("ind",Displacement_Reasons!$D$7,"adm2_name","Mayo-Tsanaga","adm3_name",B115,"raison","Climat")</f>
        <v>75</v>
      </c>
      <c r="F115" s="220">
        <f t="shared" si="77"/>
        <v>2.1903182094294658E-4</v>
      </c>
      <c r="G115" s="221">
        <f>GETPIVOTDATA("ind",Displacement_Reasons!$D$7,"adm2_name","Mayo-Tsanaga","adm3_name",B115,"raison","autre")</f>
        <v>35</v>
      </c>
      <c r="H115" s="222">
        <f t="shared" si="78"/>
        <v>1.0221484977337507E-4</v>
      </c>
      <c r="I115" s="221">
        <f t="shared" si="50"/>
        <v>20780</v>
      </c>
      <c r="J115" s="222">
        <f t="shared" si="79"/>
        <v>6.06864165225924E-2</v>
      </c>
      <c r="L115" s="339"/>
      <c r="M115" s="101"/>
      <c r="N115" s="101"/>
      <c r="O115" s="101"/>
      <c r="P115" s="101"/>
      <c r="Q115" s="239"/>
      <c r="R115" s="239"/>
    </row>
    <row r="116" spans="2:18" ht="15.75" thickBot="1" x14ac:dyDescent="0.3">
      <c r="B116" s="253" t="s">
        <v>608</v>
      </c>
      <c r="C116" s="221">
        <f>GETPIVOTDATA("ind",Displacement_Reasons!$D$7,"adm2_name","Mayo-Tsanaga","adm3_name",B116,"raison","Conflits EIAO")</f>
        <v>885</v>
      </c>
      <c r="D116" s="222">
        <f t="shared" si="76"/>
        <v>2.5845754871267699E-3</v>
      </c>
      <c r="E116" s="221">
        <f>GETPIVOTDATA("ind",Displacement_Reasons!$D$7,"adm2_name","Mayo-Tsanaga","adm3_name",B116,"raison","Climat")</f>
        <v>0</v>
      </c>
      <c r="F116" s="220">
        <f t="shared" si="77"/>
        <v>0</v>
      </c>
      <c r="G116" s="221">
        <f>GETPIVOTDATA("ind",Displacement_Reasons!$D$7,"adm2_name","Mayo-Tsanaga","adm3_name",B116,"raison","autre")</f>
        <v>0</v>
      </c>
      <c r="H116" s="222">
        <f t="shared" si="78"/>
        <v>0</v>
      </c>
      <c r="I116" s="221">
        <f t="shared" si="50"/>
        <v>885</v>
      </c>
      <c r="J116" s="222">
        <f t="shared" si="79"/>
        <v>2.5845754871267699E-3</v>
      </c>
      <c r="L116" s="339"/>
      <c r="M116" s="101"/>
      <c r="N116" s="101"/>
      <c r="O116" s="101"/>
      <c r="P116" s="101"/>
      <c r="Q116" s="239"/>
      <c r="R116" s="239"/>
    </row>
    <row r="117" spans="2:18" ht="15.75" thickBot="1" x14ac:dyDescent="0.3">
      <c r="B117" s="7" t="s">
        <v>715</v>
      </c>
      <c r="C117" s="8">
        <f>C109+C105+C99+C92+C81+C74</f>
        <v>311717</v>
      </c>
      <c r="D117" s="34">
        <f t="shared" ref="D117:J117" si="80">D109+D105+D99+D92+D81+D74</f>
        <v>0.9103458950516331</v>
      </c>
      <c r="E117" s="8">
        <f t="shared" si="80"/>
        <v>30144</v>
      </c>
      <c r="F117" s="35">
        <f t="shared" si="80"/>
        <v>8.8033269473389103E-2</v>
      </c>
      <c r="G117" s="8">
        <f t="shared" si="80"/>
        <v>555</v>
      </c>
      <c r="H117" s="19">
        <f t="shared" si="80"/>
        <v>1.6208354749778049E-3</v>
      </c>
      <c r="I117" s="8">
        <f t="shared" si="80"/>
        <v>342416</v>
      </c>
      <c r="J117" s="19">
        <f t="shared" si="80"/>
        <v>0.99999999999999978</v>
      </c>
      <c r="L117" s="340"/>
      <c r="M117" s="338"/>
      <c r="N117" s="338"/>
      <c r="O117" s="338"/>
      <c r="P117" s="338"/>
      <c r="Q117" s="239"/>
      <c r="R117" s="239"/>
    </row>
    <row r="118" spans="2:18" x14ac:dyDescent="0.25">
      <c r="I118" s="241"/>
      <c r="J118" s="239"/>
      <c r="K118" s="239"/>
      <c r="L118" s="238"/>
      <c r="M118" s="239"/>
      <c r="N118" s="239"/>
      <c r="O118" s="239"/>
      <c r="P118" s="239"/>
      <c r="Q118" s="239"/>
      <c r="R118" s="239"/>
    </row>
    <row r="119" spans="2:18" x14ac:dyDescent="0.25">
      <c r="I119" s="241"/>
      <c r="J119" s="239"/>
      <c r="K119" s="239"/>
      <c r="L119" s="240"/>
      <c r="M119" s="239"/>
      <c r="N119" s="239"/>
      <c r="O119" s="239"/>
      <c r="P119" s="239"/>
      <c r="Q119" s="239"/>
      <c r="R119" s="239"/>
    </row>
    <row r="120" spans="2:18" x14ac:dyDescent="0.25">
      <c r="I120" s="241"/>
      <c r="J120" s="239"/>
      <c r="K120" s="239"/>
      <c r="L120" s="240"/>
      <c r="M120" s="239"/>
      <c r="N120" s="239"/>
      <c r="O120" s="239"/>
      <c r="P120" s="239"/>
      <c r="Q120" s="239"/>
      <c r="R120" s="239"/>
    </row>
    <row r="121" spans="2:18" x14ac:dyDescent="0.25">
      <c r="I121" s="241"/>
      <c r="J121" s="239"/>
      <c r="K121" s="239"/>
      <c r="L121" s="240"/>
      <c r="M121" s="239"/>
      <c r="N121" s="239"/>
      <c r="O121" s="239"/>
      <c r="P121" s="239"/>
      <c r="Q121" s="239"/>
      <c r="R121" s="239"/>
    </row>
    <row r="122" spans="2:18" x14ac:dyDescent="0.25">
      <c r="I122" s="241"/>
      <c r="J122" s="239"/>
      <c r="K122" s="239"/>
      <c r="L122" s="238"/>
      <c r="M122" s="239"/>
      <c r="N122" s="239"/>
      <c r="O122" s="239"/>
      <c r="P122" s="239"/>
      <c r="Q122" s="239"/>
      <c r="R122" s="239"/>
    </row>
    <row r="123" spans="2:18" ht="18.75" x14ac:dyDescent="0.3">
      <c r="C123" s="377" t="s">
        <v>3751</v>
      </c>
      <c r="D123" s="378"/>
      <c r="E123" s="378"/>
      <c r="F123" s="379"/>
      <c r="I123" s="242"/>
      <c r="J123" s="243"/>
      <c r="K123" s="243"/>
      <c r="L123" s="240"/>
      <c r="M123" s="239"/>
      <c r="N123" s="239"/>
      <c r="O123" s="239"/>
      <c r="P123" s="239"/>
      <c r="Q123" s="239"/>
      <c r="R123" s="239"/>
    </row>
    <row r="124" spans="2:18" x14ac:dyDescent="0.25">
      <c r="H124"/>
      <c r="I124" s="380" t="s">
        <v>723</v>
      </c>
      <c r="J124" s="381"/>
      <c r="K124" s="381"/>
      <c r="L124" s="382"/>
      <c r="M124" s="239"/>
      <c r="N124" s="239"/>
      <c r="O124" s="239"/>
      <c r="P124" s="239"/>
      <c r="Q124" s="239"/>
      <c r="R124" s="239"/>
    </row>
    <row r="125" spans="2:18" x14ac:dyDescent="0.25">
      <c r="H125" s="5" t="s">
        <v>1795</v>
      </c>
      <c r="I125" s="5" t="s">
        <v>2127</v>
      </c>
      <c r="J125" s="5" t="s">
        <v>2128</v>
      </c>
      <c r="K125" s="5" t="s">
        <v>2129</v>
      </c>
      <c r="L125" s="5" t="s">
        <v>2130</v>
      </c>
      <c r="M125" s="239"/>
      <c r="N125" s="239"/>
      <c r="O125" s="239"/>
      <c r="P125" s="239"/>
      <c r="Q125" s="239"/>
      <c r="R125" s="239"/>
    </row>
    <row r="126" spans="2:18" ht="26.25" thickBot="1" x14ac:dyDescent="0.3">
      <c r="B126" s="322"/>
      <c r="C126" s="323" t="s">
        <v>2108</v>
      </c>
      <c r="D126" s="323" t="s">
        <v>2109</v>
      </c>
      <c r="E126" s="323" t="s">
        <v>2110</v>
      </c>
      <c r="F126" s="323" t="s">
        <v>2111</v>
      </c>
      <c r="H126" t="s">
        <v>24</v>
      </c>
      <c r="I126" s="335">
        <f>SUMIFS(comparaison_samebasis_villages[act_idp_ind],comparaison_samebasis_villages[evaluation_adm2_name],Table105[[#This Row],[Départements]])</f>
        <v>5329</v>
      </c>
      <c r="J126" s="335">
        <f>SUMIFS(comparaison_samebasis_villages[prev_idp_ind],comparaison_samebasis_villages[evaluation_adm2_name],Table105[[#This Row],[Départements]])</f>
        <v>5416</v>
      </c>
      <c r="K126" s="344">
        <f>(I126-J126)/J126</f>
        <v>-1.6063515509601181E-2</v>
      </c>
      <c r="L126" s="345">
        <f t="shared" ref="L126:L131" si="81">I126-J126</f>
        <v>-87</v>
      </c>
      <c r="N126" s="239"/>
    </row>
    <row r="127" spans="2:18" ht="15.75" thickBot="1" x14ac:dyDescent="0.3">
      <c r="B127" s="324" t="s">
        <v>139</v>
      </c>
      <c r="C127" s="325" t="s">
        <v>24</v>
      </c>
      <c r="D127" s="360">
        <f>SUM(D128:D133)</f>
        <v>-87</v>
      </c>
      <c r="E127" s="360">
        <f t="shared" ref="E127:F127" si="82">SUM(E128:E133)</f>
        <v>3</v>
      </c>
      <c r="F127" s="360">
        <f t="shared" si="82"/>
        <v>-85</v>
      </c>
      <c r="H127" t="s">
        <v>85</v>
      </c>
      <c r="I127" s="335">
        <f>SUMIFS(comparaison_samebasis_villages[act_idp_ind],comparaison_samebasis_villages[evaluation_adm2_name],Table105[[#This Row],[Départements]])</f>
        <v>125015</v>
      </c>
      <c r="J127" s="335">
        <f>SUMIFS(comparaison_samebasis_villages[prev_idp_ind],comparaison_samebasis_villages[evaluation_adm2_name],Table105[[#This Row],[Départements]])</f>
        <v>127264</v>
      </c>
      <c r="K127" s="344">
        <f t="shared" ref="K127:K131" si="83">(I127-J127)/J127</f>
        <v>-1.7671926074930851E-2</v>
      </c>
      <c r="L127" s="345">
        <f t="shared" si="81"/>
        <v>-2249</v>
      </c>
      <c r="M127" s="288"/>
      <c r="N127" s="239"/>
    </row>
    <row r="128" spans="2:18" x14ac:dyDescent="0.25">
      <c r="B128" s="326">
        <v>1</v>
      </c>
      <c r="C128" s="327" t="s">
        <v>656</v>
      </c>
      <c r="D128" s="361">
        <f>SUMIFS(comparaison_samebasis_villages[act_idp_ind],comparaison_samebasis_villages[evaluation_adm3_name],Evolution_par_categorie!C128) - SUMIFS(comparaison_samebasis_villages[prev_idp_ind],comparaison_samebasis_villages[evaluation_adm3_name],Evolution_par_categorie!C128)</f>
        <v>0</v>
      </c>
      <c r="E128" s="361">
        <f>SUMIFS(comparaison_samebasis_villages[act_ref_ind],comparaison_samebasis_villages[evaluation_adm3_name],Evolution_par_categorie!C128) - SUMIFS(comparaison_samebasis_villages[prev_ref_ind],comparaison_samebasis_villages[evaluation_adm3_name],Evolution_par_categorie!C128)</f>
        <v>0</v>
      </c>
      <c r="F128" s="361">
        <f>SUMIFS(comparaison_samebasis_villages[act_ret_ind],comparaison_samebasis_villages[evaluation_adm3_name],Evolution_par_categorie!C128) - SUMIFS(comparaison_samebasis_villages[prev_ret_ind],comparaison_samebasis_villages[evaluation_adm3_name],Evolution_par_categorie!C128)</f>
        <v>-10</v>
      </c>
      <c r="H128" t="s">
        <v>184</v>
      </c>
      <c r="I128" s="335">
        <f>SUMIFS(comparaison_samebasis_villages[act_idp_ind],comparaison_samebasis_villages[evaluation_adm2_name],Table105[[#This Row],[Départements]])</f>
        <v>10314</v>
      </c>
      <c r="J128" s="335">
        <f>SUMIFS(comparaison_samebasis_villages[prev_idp_ind],comparaison_samebasis_villages[evaluation_adm2_name],Table105[[#This Row],[Départements]])</f>
        <v>10297</v>
      </c>
      <c r="K128" s="344">
        <f>(I128-J128)/J128</f>
        <v>1.6509663008643293E-3</v>
      </c>
      <c r="L128" s="345">
        <f>I128-J128</f>
        <v>17</v>
      </c>
      <c r="M128" s="288"/>
      <c r="N128" s="239"/>
    </row>
    <row r="129" spans="2:20" x14ac:dyDescent="0.25">
      <c r="B129" s="326">
        <v>2</v>
      </c>
      <c r="C129" s="328" t="s">
        <v>26</v>
      </c>
      <c r="D129" s="362">
        <f>SUMIFS(comparaison_samebasis_villages[act_idp_ind],comparaison_samebasis_villages[evaluation_adm3_name],Evolution_par_categorie!C129) - SUMIFS(comparaison_samebasis_villages[prev_idp_ind],comparaison_samebasis_villages[evaluation_adm3_name],Evolution_par_categorie!C129)</f>
        <v>-6</v>
      </c>
      <c r="E129" s="362">
        <f>SUMIFS(comparaison_samebasis_villages[act_ref_ind],comparaison_samebasis_villages[evaluation_adm3_name],Evolution_par_categorie!C129) - SUMIFS(comparaison_samebasis_villages[prev_ref_ind],comparaison_samebasis_villages[evaluation_adm3_name],Evolution_par_categorie!C129)</f>
        <v>0</v>
      </c>
      <c r="F129" s="362">
        <f>SUMIFS(comparaison_samebasis_villages[act_ret_ind],comparaison_samebasis_villages[evaluation_adm3_name],Evolution_par_categorie!C129) - SUMIFS(comparaison_samebasis_villages[prev_ret_ind],comparaison_samebasis_villages[evaluation_adm3_name],Evolution_par_categorie!C129)</f>
        <v>0</v>
      </c>
      <c r="H129" t="s">
        <v>218</v>
      </c>
      <c r="I129" s="335">
        <f>SUMIFS(comparaison_samebasis_villages[act_idp_ind],comparaison_samebasis_villages[evaluation_adm2_name],Table105[[#This Row],[Départements]])</f>
        <v>129</v>
      </c>
      <c r="J129" s="335">
        <f>SUMIFS(comparaison_samebasis_villages[prev_idp_ind],comparaison_samebasis_villages[evaluation_adm2_name],Table105[[#This Row],[Départements]])</f>
        <v>132</v>
      </c>
      <c r="K129" s="344">
        <f t="shared" si="83"/>
        <v>-2.2727272727272728E-2</v>
      </c>
      <c r="L129" s="345">
        <f t="shared" si="81"/>
        <v>-3</v>
      </c>
      <c r="M129" s="288"/>
      <c r="N129" s="244"/>
    </row>
    <row r="130" spans="2:20" x14ac:dyDescent="0.25">
      <c r="B130" s="326">
        <v>3</v>
      </c>
      <c r="C130" s="327" t="s">
        <v>44</v>
      </c>
      <c r="D130" s="361">
        <f>SUMIFS(comparaison_samebasis_villages[act_idp_ind],comparaison_samebasis_villages[evaluation_adm3_name],Evolution_par_categorie!C130) - SUMIFS(comparaison_samebasis_villages[prev_idp_ind],comparaison_samebasis_villages[evaluation_adm3_name],Evolution_par_categorie!C130)</f>
        <v>0</v>
      </c>
      <c r="E130" s="361">
        <f>SUMIFS(comparaison_samebasis_villages[act_ref_ind],comparaison_samebasis_villages[evaluation_adm3_name],Evolution_par_categorie!C130) - SUMIFS(comparaison_samebasis_villages[prev_ref_ind],comparaison_samebasis_villages[evaluation_adm3_name],Evolution_par_categorie!C130)</f>
        <v>0</v>
      </c>
      <c r="F130" s="361">
        <f>SUMIFS(comparaison_samebasis_villages[act_ret_ind],comparaison_samebasis_villages[evaluation_adm3_name],Evolution_par_categorie!C130) - SUMIFS(comparaison_samebasis_villages[prev_ret_ind],comparaison_samebasis_villages[evaluation_adm3_name],Evolution_par_categorie!C130)</f>
        <v>0</v>
      </c>
      <c r="H130" t="s">
        <v>48</v>
      </c>
      <c r="I130" s="335">
        <f>SUMIFS(comparaison_samebasis_villages[act_idp_ind],comparaison_samebasis_villages[evaluation_adm2_name],Table105[[#This Row],[Départements]])</f>
        <v>59506</v>
      </c>
      <c r="J130" s="335">
        <f>SUMIFS(comparaison_samebasis_villages[prev_idp_ind],comparaison_samebasis_villages[evaluation_adm2_name],Table105[[#This Row],[Départements]])</f>
        <v>59967</v>
      </c>
      <c r="K130" s="344">
        <f t="shared" si="83"/>
        <v>-7.6875614921540179E-3</v>
      </c>
      <c r="L130" s="345">
        <f t="shared" si="81"/>
        <v>-461</v>
      </c>
      <c r="M130" s="288"/>
    </row>
    <row r="131" spans="2:20" x14ac:dyDescent="0.25">
      <c r="B131" s="326">
        <v>4</v>
      </c>
      <c r="C131" s="328" t="s">
        <v>50</v>
      </c>
      <c r="D131" s="362">
        <f>SUMIFS(comparaison_samebasis_villages[act_idp_ind],comparaison_samebasis_villages[evaluation_adm3_name],Evolution_par_categorie!C131) - SUMIFS(comparaison_samebasis_villages[prev_idp_ind],comparaison_samebasis_villages[evaluation_adm3_name],Evolution_par_categorie!C131)</f>
        <v>-50</v>
      </c>
      <c r="E131" s="362">
        <f>SUMIFS(comparaison_samebasis_villages[act_ref_ind],comparaison_samebasis_villages[evaluation_adm3_name],Evolution_par_categorie!C131) - SUMIFS(comparaison_samebasis_villages[prev_ref_ind],comparaison_samebasis_villages[evaluation_adm3_name],Evolution_par_categorie!C131)</f>
        <v>0</v>
      </c>
      <c r="F131" s="362">
        <f>SUMIFS(comparaison_samebasis_villages[act_ret_ind],comparaison_samebasis_villages[evaluation_adm3_name],Evolution_par_categorie!C131) - SUMIFS(comparaison_samebasis_villages[prev_ret_ind],comparaison_samebasis_villages[evaluation_adm3_name],Evolution_par_categorie!C131)</f>
        <v>-79</v>
      </c>
      <c r="H131" t="s">
        <v>37</v>
      </c>
      <c r="I131" s="335">
        <f>SUMIFS(comparaison_samebasis_villages[act_idp_ind],comparaison_samebasis_villages[evaluation_adm2_name],Table105[[#This Row],[Départements]])</f>
        <v>38084</v>
      </c>
      <c r="J131" s="335">
        <f>SUMIFS(comparaison_samebasis_villages[prev_idp_ind],comparaison_samebasis_villages[evaluation_adm2_name],Table105[[#This Row],[Départements]])</f>
        <v>38911</v>
      </c>
      <c r="K131" s="344">
        <f t="shared" si="83"/>
        <v>-2.1253630078897998E-2</v>
      </c>
      <c r="L131" s="345">
        <f t="shared" si="81"/>
        <v>-827</v>
      </c>
      <c r="M131" s="288"/>
    </row>
    <row r="132" spans="2:20" x14ac:dyDescent="0.25">
      <c r="B132" s="326">
        <v>5</v>
      </c>
      <c r="C132" s="327" t="s">
        <v>665</v>
      </c>
      <c r="D132" s="361">
        <f>SUMIFS(comparaison_samebasis_villages[act_idp_ind],comparaison_samebasis_villages[evaluation_adm3_name],Evolution_par_categorie!C132) - SUMIFS(comparaison_samebasis_villages[prev_idp_ind],comparaison_samebasis_villages[evaluation_adm3_name],Evolution_par_categorie!C132)</f>
        <v>-46</v>
      </c>
      <c r="E132" s="361">
        <f>SUMIFS(comparaison_samebasis_villages[act_ref_ind],comparaison_samebasis_villages[evaluation_adm3_name],Evolution_par_categorie!C132) - SUMIFS(comparaison_samebasis_villages[prev_ref_ind],comparaison_samebasis_villages[evaluation_adm3_name],Evolution_par_categorie!C132)</f>
        <v>0</v>
      </c>
      <c r="F132" s="361">
        <f>SUMIFS(comparaison_samebasis_villages[act_ret_ind],comparaison_samebasis_villages[evaluation_adm3_name],Evolution_par_categorie!C132) - SUMIFS(comparaison_samebasis_villages[prev_ret_ind],comparaison_samebasis_villages[evaluation_adm3_name],Evolution_par_categorie!C132)</f>
        <v>0</v>
      </c>
      <c r="H132" s="358" t="s">
        <v>715</v>
      </c>
      <c r="I132" s="359">
        <f>SUM(I126:I131)</f>
        <v>238377</v>
      </c>
      <c r="J132" s="359">
        <f t="shared" ref="J132:L132" si="84">SUM(J126:J131)</f>
        <v>241987</v>
      </c>
      <c r="K132" s="359">
        <f t="shared" si="84"/>
        <v>-8.3752939581992439E-2</v>
      </c>
      <c r="L132" s="359">
        <f t="shared" si="84"/>
        <v>-3610</v>
      </c>
      <c r="M132" s="288"/>
    </row>
    <row r="133" spans="2:20" x14ac:dyDescent="0.25">
      <c r="B133" s="326">
        <v>6</v>
      </c>
      <c r="C133" s="328" t="s">
        <v>56</v>
      </c>
      <c r="D133" s="362">
        <f>SUMIFS(comparaison_samebasis_villages[act_idp_ind],comparaison_samebasis_villages[evaluation_adm3_name],Evolution_par_categorie!C133) - SUMIFS(comparaison_samebasis_villages[prev_idp_ind],comparaison_samebasis_villages[evaluation_adm3_name],Evolution_par_categorie!C133)</f>
        <v>15</v>
      </c>
      <c r="E133" s="362">
        <f>SUMIFS(comparaison_samebasis_villages[act_ref_ind],comparaison_samebasis_villages[evaluation_adm3_name],Evolution_par_categorie!C133) - SUMIFS(comparaison_samebasis_villages[prev_ref_ind],comparaison_samebasis_villages[evaluation_adm3_name],Evolution_par_categorie!C133)</f>
        <v>3</v>
      </c>
      <c r="F133" s="362">
        <f>SUMIFS(comparaison_samebasis_villages[act_ret_ind],comparaison_samebasis_villages[evaluation_adm3_name],Evolution_par_categorie!C133) - SUMIFS(comparaison_samebasis_villages[prev_ret_ind],comparaison_samebasis_villages[evaluation_adm3_name],Evolution_par_categorie!C133)</f>
        <v>4</v>
      </c>
      <c r="I133" s="242"/>
      <c r="J133" s="347"/>
      <c r="K133" s="288"/>
      <c r="L133" s="288"/>
      <c r="M133" s="288"/>
    </row>
    <row r="134" spans="2:20" ht="15.75" thickBot="1" x14ac:dyDescent="0.3">
      <c r="B134" s="329" t="s">
        <v>139</v>
      </c>
      <c r="C134" s="325" t="s">
        <v>85</v>
      </c>
      <c r="D134" s="360">
        <f>SUM(D135:D144)</f>
        <v>-2249</v>
      </c>
      <c r="E134" s="360">
        <f t="shared" ref="E134:F134" si="85">SUM(E135:E144)</f>
        <v>-566</v>
      </c>
      <c r="F134" s="360">
        <f t="shared" si="85"/>
        <v>2484</v>
      </c>
      <c r="I134" s="241"/>
      <c r="J134" s="287"/>
      <c r="K134" s="288"/>
      <c r="L134" s="288"/>
      <c r="M134" s="288"/>
    </row>
    <row r="135" spans="2:20" x14ac:dyDescent="0.25">
      <c r="B135" s="326">
        <v>7</v>
      </c>
      <c r="C135" s="327" t="s">
        <v>88</v>
      </c>
      <c r="D135" s="361">
        <f>SUMIFS(comparaison_samebasis_villages[act_idp_ind],comparaison_samebasis_villages[evaluation_adm3_name],Evolution_par_categorie!C135) - SUMIFS(comparaison_samebasis_villages[prev_idp_ind],comparaison_samebasis_villages[evaluation_adm3_name],Evolution_par_categorie!C135)</f>
        <v>148</v>
      </c>
      <c r="E135" s="361">
        <f>SUMIFS(comparaison_samebasis_villages[act_ref_ind],comparaison_samebasis_villages[evaluation_adm3_name],Evolution_par_categorie!C135) - SUMIFS(comparaison_samebasis_villages[prev_ref_ind],comparaison_samebasis_villages[evaluation_adm3_name],Evolution_par_categorie!C135)</f>
        <v>0</v>
      </c>
      <c r="F135" s="361">
        <f>SUMIFS(comparaison_samebasis_villages[act_ret_ind],comparaison_samebasis_villages[evaluation_adm3_name],Evolution_par_categorie!C135) - SUMIFS(comparaison_samebasis_villages[prev_ret_ind],comparaison_samebasis_villages[evaluation_adm3_name],Evolution_par_categorie!C135)</f>
        <v>0</v>
      </c>
      <c r="H135" s="239"/>
      <c r="I135" s="241"/>
      <c r="J135" s="347"/>
      <c r="K135" s="288"/>
      <c r="L135" s="288"/>
      <c r="M135" s="288"/>
      <c r="O135" s="227"/>
      <c r="P135" s="227"/>
      <c r="Q135" s="227"/>
      <c r="R135" s="245"/>
      <c r="S135" s="246"/>
    </row>
    <row r="136" spans="2:20" x14ac:dyDescent="0.25">
      <c r="B136" s="326">
        <v>8</v>
      </c>
      <c r="C136" s="328" t="s">
        <v>95</v>
      </c>
      <c r="D136" s="362">
        <f>SUMIFS(comparaison_samebasis_villages[act_idp_ind],comparaison_samebasis_villages[evaluation_adm3_name],Evolution_par_categorie!C136) - SUMIFS(comparaison_samebasis_villages[prev_idp_ind],comparaison_samebasis_villages[evaluation_adm3_name],Evolution_par_categorie!C136)</f>
        <v>163</v>
      </c>
      <c r="E136" s="362">
        <f>SUMIFS(comparaison_samebasis_villages[act_ref_ind],comparaison_samebasis_villages[evaluation_adm3_name],Evolution_par_categorie!C136) - SUMIFS(comparaison_samebasis_villages[prev_ref_ind],comparaison_samebasis_villages[evaluation_adm3_name],Evolution_par_categorie!C136)</f>
        <v>-201</v>
      </c>
      <c r="F136" s="362">
        <f>SUMIFS(comparaison_samebasis_villages[act_ret_ind],comparaison_samebasis_villages[evaluation_adm3_name],Evolution_par_categorie!C136) - SUMIFS(comparaison_samebasis_villages[prev_ret_ind],comparaison_samebasis_villages[evaluation_adm3_name],Evolution_par_categorie!C136)</f>
        <v>-64</v>
      </c>
      <c r="H136" s="239"/>
      <c r="I136" s="241"/>
      <c r="J136" s="347"/>
      <c r="K136" s="288"/>
      <c r="L136" s="288"/>
      <c r="M136" s="288"/>
      <c r="R136" s="245"/>
      <c r="S136" s="246"/>
    </row>
    <row r="137" spans="2:20" x14ac:dyDescent="0.25">
      <c r="B137" s="326">
        <v>9</v>
      </c>
      <c r="C137" s="327" t="s">
        <v>92</v>
      </c>
      <c r="D137" s="361">
        <f>SUMIFS(comparaison_samebasis_villages[act_idp_ind],comparaison_samebasis_villages[evaluation_adm3_name],Evolution_par_categorie!C137) - SUMIFS(comparaison_samebasis_villages[prev_idp_ind],comparaison_samebasis_villages[evaluation_adm3_name],Evolution_par_categorie!C137)</f>
        <v>-1490</v>
      </c>
      <c r="E137" s="361">
        <f>SUMIFS(comparaison_samebasis_villages[act_ref_ind],comparaison_samebasis_villages[evaluation_adm3_name],Evolution_par_categorie!C137) - SUMIFS(comparaison_samebasis_villages[prev_ref_ind],comparaison_samebasis_villages[evaluation_adm3_name],Evolution_par_categorie!C137)</f>
        <v>0</v>
      </c>
      <c r="F137" s="361">
        <f>SUMIFS(comparaison_samebasis_villages[act_ret_ind],comparaison_samebasis_villages[evaluation_adm3_name],Evolution_par_categorie!C137) - SUMIFS(comparaison_samebasis_villages[prev_ret_ind],comparaison_samebasis_villages[evaluation_adm3_name],Evolution_par_categorie!C137)</f>
        <v>1325</v>
      </c>
      <c r="H137" s="239"/>
      <c r="I137" s="241"/>
      <c r="J137" s="347"/>
      <c r="K137" s="288"/>
      <c r="L137" s="288"/>
      <c r="M137" s="288"/>
      <c r="R137" s="245"/>
      <c r="S137" s="246"/>
    </row>
    <row r="138" spans="2:20" x14ac:dyDescent="0.25">
      <c r="B138" s="326">
        <v>10</v>
      </c>
      <c r="C138" s="328" t="s">
        <v>173</v>
      </c>
      <c r="D138" s="362">
        <f>SUMIFS(comparaison_samebasis_villages[act_idp_ind],comparaison_samebasis_villages[evaluation_adm3_name],Evolution_par_categorie!C138) - SUMIFS(comparaison_samebasis_villages[prev_idp_ind],comparaison_samebasis_villages[evaluation_adm3_name],Evolution_par_categorie!C138)</f>
        <v>-4</v>
      </c>
      <c r="E138" s="362">
        <f>SUMIFS(comparaison_samebasis_villages[act_ref_ind],comparaison_samebasis_villages[evaluation_adm3_name],Evolution_par_categorie!C138) - SUMIFS(comparaison_samebasis_villages[prev_ref_ind],comparaison_samebasis_villages[evaluation_adm3_name],Evolution_par_categorie!C138)</f>
        <v>0</v>
      </c>
      <c r="F138" s="362">
        <f>SUMIFS(comparaison_samebasis_villages[act_ret_ind],comparaison_samebasis_villages[evaluation_adm3_name],Evolution_par_categorie!C138) - SUMIFS(comparaison_samebasis_villages[prev_ret_ind],comparaison_samebasis_villages[evaluation_adm3_name],Evolution_par_categorie!C138)</f>
        <v>0</v>
      </c>
      <c r="H138" s="239"/>
      <c r="I138" s="241"/>
      <c r="J138" s="347"/>
      <c r="K138" s="288"/>
      <c r="L138" s="288"/>
      <c r="M138" s="288"/>
      <c r="R138" s="245"/>
      <c r="S138" s="246"/>
    </row>
    <row r="139" spans="2:20" x14ac:dyDescent="0.25">
      <c r="B139" s="326">
        <v>11</v>
      </c>
      <c r="C139" s="327" t="s">
        <v>110</v>
      </c>
      <c r="D139" s="361">
        <f>SUMIFS(comparaison_samebasis_villages[act_idp_ind],comparaison_samebasis_villages[evaluation_adm3_name],Evolution_par_categorie!C139) - SUMIFS(comparaison_samebasis_villages[prev_idp_ind],comparaison_samebasis_villages[evaluation_adm3_name],Evolution_par_categorie!C139)</f>
        <v>-277</v>
      </c>
      <c r="E139" s="361">
        <f>SUMIFS(comparaison_samebasis_villages[act_ref_ind],comparaison_samebasis_villages[evaluation_adm3_name],Evolution_par_categorie!C139) - SUMIFS(comparaison_samebasis_villages[prev_ref_ind],comparaison_samebasis_villages[evaluation_adm3_name],Evolution_par_categorie!C139)</f>
        <v>0</v>
      </c>
      <c r="F139" s="361">
        <f>SUMIFS(comparaison_samebasis_villages[act_ret_ind],comparaison_samebasis_villages[evaluation_adm3_name],Evolution_par_categorie!C139) - SUMIFS(comparaison_samebasis_villages[prev_ret_ind],comparaison_samebasis_villages[evaluation_adm3_name],Evolution_par_categorie!C139)</f>
        <v>587</v>
      </c>
      <c r="I139" s="380" t="s">
        <v>2126</v>
      </c>
      <c r="J139" s="381"/>
      <c r="K139" s="381"/>
      <c r="L139" s="382"/>
      <c r="M139" s="288"/>
    </row>
    <row r="140" spans="2:20" x14ac:dyDescent="0.25">
      <c r="B140" s="326">
        <v>12</v>
      </c>
      <c r="C140" s="328" t="s">
        <v>157</v>
      </c>
      <c r="D140" s="362">
        <f>SUMIFS(comparaison_samebasis_villages[act_idp_ind],comparaison_samebasis_villages[evaluation_adm3_name],Evolution_par_categorie!C140) - SUMIFS(comparaison_samebasis_villages[prev_idp_ind],comparaison_samebasis_villages[evaluation_adm3_name],Evolution_par_categorie!C140)</f>
        <v>-154</v>
      </c>
      <c r="E140" s="362">
        <f>SUMIFS(comparaison_samebasis_villages[act_ref_ind],comparaison_samebasis_villages[evaluation_adm3_name],Evolution_par_categorie!C140) - SUMIFS(comparaison_samebasis_villages[prev_ref_ind],comparaison_samebasis_villages[evaluation_adm3_name],Evolution_par_categorie!C140)</f>
        <v>0</v>
      </c>
      <c r="F140" s="362">
        <f>SUMIFS(comparaison_samebasis_villages[act_ret_ind],comparaison_samebasis_villages[evaluation_adm3_name],Evolution_par_categorie!C140) - SUMIFS(comparaison_samebasis_villages[prev_ret_ind],comparaison_samebasis_villages[evaluation_adm3_name],Evolution_par_categorie!C140)</f>
        <v>0</v>
      </c>
      <c r="H140" s="5" t="s">
        <v>1795</v>
      </c>
      <c r="I140" s="5" t="s">
        <v>2127</v>
      </c>
      <c r="J140" s="5" t="s">
        <v>2128</v>
      </c>
      <c r="K140" s="5" t="s">
        <v>2129</v>
      </c>
      <c r="L140" s="5" t="s">
        <v>2130</v>
      </c>
      <c r="M140" s="288"/>
    </row>
    <row r="141" spans="2:20" x14ac:dyDescent="0.25">
      <c r="B141" s="326">
        <v>13</v>
      </c>
      <c r="C141" s="327" t="s">
        <v>151</v>
      </c>
      <c r="D141" s="361">
        <f>SUMIFS(comparaison_samebasis_villages[act_idp_ind],comparaison_samebasis_villages[evaluation_adm3_name],Evolution_par_categorie!C141) - SUMIFS(comparaison_samebasis_villages[prev_idp_ind],comparaison_samebasis_villages[evaluation_adm3_name],Evolution_par_categorie!C141)</f>
        <v>70</v>
      </c>
      <c r="E141" s="361">
        <f>SUMIFS(comparaison_samebasis_villages[act_ref_ind],comparaison_samebasis_villages[evaluation_adm3_name],Evolution_par_categorie!C141) - SUMIFS(comparaison_samebasis_villages[prev_ref_ind],comparaison_samebasis_villages[evaluation_adm3_name],Evolution_par_categorie!C141)</f>
        <v>-70</v>
      </c>
      <c r="F141" s="361">
        <f>SUMIFS(comparaison_samebasis_villages[act_ret_ind],comparaison_samebasis_villages[evaluation_adm3_name],Evolution_par_categorie!C141) - SUMIFS(comparaison_samebasis_villages[prev_ret_ind],comparaison_samebasis_villages[evaluation_adm3_name],Evolution_par_categorie!C141)</f>
        <v>0</v>
      </c>
      <c r="H141" s="335" t="s">
        <v>24</v>
      </c>
      <c r="I141" s="335">
        <f>SUMIFS(comparaison_samebasis_villages[act_ref_ind],comparaison_samebasis_villages[evaluation_adm2_name],Table104[[#This Row],[Départements]])</f>
        <v>253</v>
      </c>
      <c r="J141" s="335">
        <f>SUMIFS(comparaison_samebasis_villages[prev_ref_ind],comparaison_samebasis_villages[evaluation_adm2_name],Table104[[#This Row],[Départements]])</f>
        <v>250</v>
      </c>
      <c r="K141" s="344">
        <f>(I141-J141)/J141</f>
        <v>1.2E-2</v>
      </c>
      <c r="L141" s="335">
        <f t="shared" ref="L141:L146" si="86">I141-J141</f>
        <v>3</v>
      </c>
      <c r="M141" s="288"/>
    </row>
    <row r="142" spans="2:20" x14ac:dyDescent="0.25">
      <c r="B142" s="326">
        <v>14</v>
      </c>
      <c r="C142" s="328" t="s">
        <v>98</v>
      </c>
      <c r="D142" s="362">
        <f>SUMIFS(comparaison_samebasis_villages[act_idp_ind],comparaison_samebasis_villages[evaluation_adm3_name],Evolution_par_categorie!C142) - SUMIFS(comparaison_samebasis_villages[prev_idp_ind],comparaison_samebasis_villages[evaluation_adm3_name],Evolution_par_categorie!C142)</f>
        <v>-969</v>
      </c>
      <c r="E142" s="362">
        <f>SUMIFS(comparaison_samebasis_villages[act_ref_ind],comparaison_samebasis_villages[evaluation_adm3_name],Evolution_par_categorie!C142) - SUMIFS(comparaison_samebasis_villages[prev_ref_ind],comparaison_samebasis_villages[evaluation_adm3_name],Evolution_par_categorie!C142)</f>
        <v>-219</v>
      </c>
      <c r="F142" s="362">
        <f>SUMIFS(comparaison_samebasis_villages[act_ret_ind],comparaison_samebasis_villages[evaluation_adm3_name],Evolution_par_categorie!C142) - SUMIFS(comparaison_samebasis_villages[prev_ret_ind],comparaison_samebasis_villages[evaluation_adm3_name],Evolution_par_categorie!C142)</f>
        <v>886</v>
      </c>
      <c r="H142" s="335" t="s">
        <v>85</v>
      </c>
      <c r="I142" s="335">
        <f>SUMIFS(comparaison_samebasis_villages[act_ref_ind],comparaison_samebasis_villages[evaluation_adm2_name],Table104[[#This Row],[Départements]])</f>
        <v>25888</v>
      </c>
      <c r="J142" s="335">
        <f>SUMIFS(comparaison_samebasis_villages[prev_ref_ind],comparaison_samebasis_villages[evaluation_adm2_name],Table104[[#This Row],[Départements]])</f>
        <v>26454</v>
      </c>
      <c r="K142" s="344">
        <f>(I142-J142)/J142</f>
        <v>-2.1395630150449839E-2</v>
      </c>
      <c r="L142" s="335">
        <f t="shared" si="86"/>
        <v>-566</v>
      </c>
      <c r="M142" s="288"/>
    </row>
    <row r="143" spans="2:20" x14ac:dyDescent="0.25">
      <c r="B143" s="326">
        <v>15</v>
      </c>
      <c r="C143" s="327" t="s">
        <v>175</v>
      </c>
      <c r="D143" s="361">
        <f>SUMIFS(comparaison_samebasis_villages[act_idp_ind],comparaison_samebasis_villages[evaluation_adm3_name],Evolution_par_categorie!C143) - SUMIFS(comparaison_samebasis_villages[prev_idp_ind],comparaison_samebasis_villages[evaluation_adm3_name],Evolution_par_categorie!C143)</f>
        <v>264</v>
      </c>
      <c r="E143" s="361">
        <f>SUMIFS(comparaison_samebasis_villages[act_ref_ind],comparaison_samebasis_villages[evaluation_adm3_name],Evolution_par_categorie!C143) - SUMIFS(comparaison_samebasis_villages[prev_ref_ind],comparaison_samebasis_villages[evaluation_adm3_name],Evolution_par_categorie!C143)</f>
        <v>-76</v>
      </c>
      <c r="F143" s="361">
        <f>SUMIFS(comparaison_samebasis_villages[act_ret_ind],comparaison_samebasis_villages[evaluation_adm3_name],Evolution_par_categorie!C143) - SUMIFS(comparaison_samebasis_villages[prev_ret_ind],comparaison_samebasis_villages[evaluation_adm3_name],Evolution_par_categorie!C143)</f>
        <v>-748</v>
      </c>
      <c r="H143" s="335" t="s">
        <v>184</v>
      </c>
      <c r="I143" s="335">
        <f>SUMIFS(comparaison_samebasis_villages[act_ref_ind],comparaison_samebasis_villages[evaluation_adm2_name],Table104[[#This Row],[Départements]])</f>
        <v>119</v>
      </c>
      <c r="J143" s="335">
        <f>SUMIFS(comparaison_samebasis_villages[prev_ref_ind],comparaison_samebasis_villages[evaluation_adm2_name],Table104[[#This Row],[Départements]])</f>
        <v>125</v>
      </c>
      <c r="K143" s="344">
        <f>(I143-J143)/J143</f>
        <v>-4.8000000000000001E-2</v>
      </c>
      <c r="L143" s="335">
        <f t="shared" si="86"/>
        <v>-6</v>
      </c>
      <c r="M143" s="288"/>
      <c r="T143" s="96"/>
    </row>
    <row r="144" spans="2:20" x14ac:dyDescent="0.25">
      <c r="B144" s="326">
        <v>16</v>
      </c>
      <c r="C144" s="328" t="s">
        <v>181</v>
      </c>
      <c r="D144" s="362">
        <f>SUMIFS(comparaison_samebasis_villages[act_idp_ind],comparaison_samebasis_villages[evaluation_adm3_name],Evolution_par_categorie!C144) - SUMIFS(comparaison_samebasis_villages[prev_idp_ind],comparaison_samebasis_villages[evaluation_adm3_name],Evolution_par_categorie!C144)</f>
        <v>0</v>
      </c>
      <c r="E144" s="362">
        <f>SUMIFS(comparaison_samebasis_villages[act_ref_ind],comparaison_samebasis_villages[evaluation_adm3_name],Evolution_par_categorie!C144) - SUMIFS(comparaison_samebasis_villages[prev_ref_ind],comparaison_samebasis_villages[evaluation_adm3_name],Evolution_par_categorie!C144)</f>
        <v>0</v>
      </c>
      <c r="F144" s="362">
        <f>SUMIFS(comparaison_samebasis_villages[act_ret_ind],comparaison_samebasis_villages[evaluation_adm3_name],Evolution_par_categorie!C144) - SUMIFS(comparaison_samebasis_villages[prev_ret_ind],comparaison_samebasis_villages[evaluation_adm3_name],Evolution_par_categorie!C144)</f>
        <v>498</v>
      </c>
      <c r="H144" s="335" t="s">
        <v>218</v>
      </c>
      <c r="I144" s="335">
        <f>SUMIFS(comparaison_samebasis_villages[act_ref_ind],comparaison_samebasis_villages[evaluation_adm2_name],Table104[[#This Row],[Départements]])</f>
        <v>20</v>
      </c>
      <c r="J144" s="335">
        <f>SUMIFS(comparaison_samebasis_villages[prev_ref_ind],comparaison_samebasis_villages[evaluation_adm2_name],Table104[[#This Row],[Départements]])</f>
        <v>20</v>
      </c>
      <c r="K144" s="344">
        <f>(I144-J144)/J144</f>
        <v>0</v>
      </c>
      <c r="L144" s="335">
        <f t="shared" si="86"/>
        <v>0</v>
      </c>
      <c r="M144" s="288"/>
      <c r="T144" s="96"/>
    </row>
    <row r="145" spans="2:21" ht="15.75" thickBot="1" x14ac:dyDescent="0.3">
      <c r="B145" s="329" t="s">
        <v>139</v>
      </c>
      <c r="C145" s="325" t="s">
        <v>184</v>
      </c>
      <c r="D145" s="360">
        <f>SUM(D146:D151)</f>
        <v>17</v>
      </c>
      <c r="E145" s="360">
        <f t="shared" ref="E145:F145" si="87">SUM(E146:E151)</f>
        <v>-6</v>
      </c>
      <c r="F145" s="360">
        <f t="shared" si="87"/>
        <v>-472</v>
      </c>
      <c r="H145" s="335" t="s">
        <v>48</v>
      </c>
      <c r="I145" s="335">
        <f>SUMIFS(comparaison_samebasis_villages[act_ref_ind],comparaison_samebasis_villages[evaluation_adm2_name],Table104[[#This Row],[Départements]])</f>
        <v>0</v>
      </c>
      <c r="J145" s="335">
        <f>SUMIFS(comparaison_samebasis_villages[prev_ref_ind],comparaison_samebasis_villages[evaluation_adm2_name],Table104[[#This Row],[Départements]])</f>
        <v>0</v>
      </c>
      <c r="K145" s="344"/>
      <c r="L145" s="335">
        <f t="shared" si="86"/>
        <v>0</v>
      </c>
      <c r="M145" s="288"/>
      <c r="T145" s="96"/>
    </row>
    <row r="146" spans="2:21" x14ac:dyDescent="0.25">
      <c r="B146" s="326">
        <v>17</v>
      </c>
      <c r="C146" s="327" t="s">
        <v>471</v>
      </c>
      <c r="D146" s="361">
        <f>SUMIFS(comparaison_samebasis_villages[act_idp_ind],comparaison_samebasis_villages[evaluation_adm3_name],Evolution_par_categorie!C146) - SUMIFS(comparaison_samebasis_villages[prev_idp_ind],comparaison_samebasis_villages[evaluation_adm3_name],Evolution_par_categorie!C146)</f>
        <v>0</v>
      </c>
      <c r="E146" s="361">
        <f>SUMIFS(comparaison_samebasis_villages[act_ref_ind],comparaison_samebasis_villages[evaluation_adm3_name],Evolution_par_categorie!C146) - SUMIFS(comparaison_samebasis_villages[prev_ref_ind],comparaison_samebasis_villages[evaluation_adm3_name],Evolution_par_categorie!C146)</f>
        <v>-6</v>
      </c>
      <c r="F146" s="361">
        <f>SUMIFS(comparaison_samebasis_villages[act_ret_ind],comparaison_samebasis_villages[evaluation_adm3_name],Evolution_par_categorie!C146) - SUMIFS(comparaison_samebasis_villages[prev_ret_ind],comparaison_samebasis_villages[evaluation_adm3_name],Evolution_par_categorie!C146)</f>
        <v>-9</v>
      </c>
      <c r="H146" s="335" t="s">
        <v>37</v>
      </c>
      <c r="I146" s="335">
        <f>SUMIFS(comparaison_samebasis_villages[act_ref_ind],comparaison_samebasis_villages[evaluation_adm2_name],Table104[[#This Row],[Départements]])</f>
        <v>2449</v>
      </c>
      <c r="J146" s="335">
        <f>SUMIFS(comparaison_samebasis_villages[prev_ref_ind],comparaison_samebasis_villages[evaluation_adm2_name],Table104[[#This Row],[Départements]])</f>
        <v>2488</v>
      </c>
      <c r="K146" s="344">
        <f>(I146-J146)/J146</f>
        <v>-1.567524115755627E-2</v>
      </c>
      <c r="L146" s="335">
        <f t="shared" si="86"/>
        <v>-39</v>
      </c>
      <c r="M146" s="288"/>
      <c r="T146" s="96"/>
    </row>
    <row r="147" spans="2:21" x14ac:dyDescent="0.25">
      <c r="B147" s="326">
        <v>18</v>
      </c>
      <c r="C147" s="328" t="s">
        <v>196</v>
      </c>
      <c r="D147" s="362">
        <f>SUMIFS(comparaison_samebasis_villages[act_idp_ind],comparaison_samebasis_villages[evaluation_adm3_name],Evolution_par_categorie!C147) - SUMIFS(comparaison_samebasis_villages[prev_idp_ind],comparaison_samebasis_villages[evaluation_adm3_name],Evolution_par_categorie!C147)</f>
        <v>0</v>
      </c>
      <c r="E147" s="362">
        <f>SUMIFS(comparaison_samebasis_villages[act_ref_ind],comparaison_samebasis_villages[evaluation_adm3_name],Evolution_par_categorie!C147) - SUMIFS(comparaison_samebasis_villages[prev_ref_ind],comparaison_samebasis_villages[evaluation_adm3_name],Evolution_par_categorie!C147)</f>
        <v>0</v>
      </c>
      <c r="F147" s="362">
        <f>SUMIFS(comparaison_samebasis_villages[act_ret_ind],comparaison_samebasis_villages[evaluation_adm3_name],Evolution_par_categorie!C147) - SUMIFS(comparaison_samebasis_villages[prev_ret_ind],comparaison_samebasis_villages[evaluation_adm3_name],Evolution_par_categorie!C147)</f>
        <v>0</v>
      </c>
      <c r="H147" s="359" t="s">
        <v>715</v>
      </c>
      <c r="I147" s="359">
        <f>SUM(I141:I146)</f>
        <v>28729</v>
      </c>
      <c r="J147" s="359">
        <f t="shared" ref="J147:L147" si="88">SUM(J141:J146)</f>
        <v>29337</v>
      </c>
      <c r="K147" s="359">
        <f t="shared" si="88"/>
        <v>-7.3070871308006102E-2</v>
      </c>
      <c r="L147" s="359">
        <f t="shared" si="88"/>
        <v>-608</v>
      </c>
      <c r="M147" s="288"/>
      <c r="T147" s="96"/>
    </row>
    <row r="148" spans="2:21" x14ac:dyDescent="0.25">
      <c r="B148" s="326">
        <v>19</v>
      </c>
      <c r="C148" s="327" t="s">
        <v>203</v>
      </c>
      <c r="D148" s="361">
        <f>SUMIFS(comparaison_samebasis_villages[act_idp_ind],comparaison_samebasis_villages[evaluation_adm3_name],Evolution_par_categorie!C148) - SUMIFS(comparaison_samebasis_villages[prev_idp_ind],comparaison_samebasis_villages[evaluation_adm3_name],Evolution_par_categorie!C148)</f>
        <v>0</v>
      </c>
      <c r="E148" s="361">
        <f>SUMIFS(comparaison_samebasis_villages[act_ref_ind],comparaison_samebasis_villages[evaluation_adm3_name],Evolution_par_categorie!C148) - SUMIFS(comparaison_samebasis_villages[prev_ref_ind],comparaison_samebasis_villages[evaluation_adm3_name],Evolution_par_categorie!C148)</f>
        <v>0</v>
      </c>
      <c r="F148" s="361">
        <f>SUMIFS(comparaison_samebasis_villages[act_ret_ind],comparaison_samebasis_villages[evaluation_adm3_name],Evolution_par_categorie!C148) - SUMIFS(comparaison_samebasis_villages[prev_ret_ind],comparaison_samebasis_villages[evaluation_adm3_name],Evolution_par_categorie!C148)</f>
        <v>31</v>
      </c>
      <c r="J148" s="347"/>
      <c r="K148" s="288"/>
      <c r="L148" s="288"/>
      <c r="M148" s="288"/>
      <c r="T148" s="96"/>
    </row>
    <row r="149" spans="2:21" x14ac:dyDescent="0.25">
      <c r="B149" s="326">
        <v>20</v>
      </c>
      <c r="C149" s="328" t="s">
        <v>206</v>
      </c>
      <c r="D149" s="362">
        <f>SUMIFS(comparaison_samebasis_villages[act_idp_ind],comparaison_samebasis_villages[evaluation_adm3_name],Evolution_par_categorie!C149) - SUMIFS(comparaison_samebasis_villages[prev_idp_ind],comparaison_samebasis_villages[evaluation_adm3_name],Evolution_par_categorie!C149)</f>
        <v>0</v>
      </c>
      <c r="E149" s="362">
        <f>SUMIFS(comparaison_samebasis_villages[act_ref_ind],comparaison_samebasis_villages[evaluation_adm3_name],Evolution_par_categorie!C149) - SUMIFS(comparaison_samebasis_villages[prev_ref_ind],comparaison_samebasis_villages[evaluation_adm3_name],Evolution_par_categorie!C149)</f>
        <v>0</v>
      </c>
      <c r="F149" s="362">
        <f>SUMIFS(comparaison_samebasis_villages[act_ret_ind],comparaison_samebasis_villages[evaluation_adm3_name],Evolution_par_categorie!C149) - SUMIFS(comparaison_samebasis_villages[prev_ret_ind],comparaison_samebasis_villages[evaluation_adm3_name],Evolution_par_categorie!C149)</f>
        <v>0</v>
      </c>
      <c r="J149" s="347"/>
      <c r="K149" s="288"/>
      <c r="L149" s="288"/>
      <c r="M149" s="288"/>
      <c r="T149" s="96"/>
    </row>
    <row r="150" spans="2:21" x14ac:dyDescent="0.25">
      <c r="B150" s="326">
        <v>21</v>
      </c>
      <c r="C150" s="327" t="s">
        <v>215</v>
      </c>
      <c r="D150" s="361">
        <f>SUMIFS(comparaison_samebasis_villages[act_idp_ind],comparaison_samebasis_villages[evaluation_adm3_name],Evolution_par_categorie!C150) - SUMIFS(comparaison_samebasis_villages[prev_idp_ind],comparaison_samebasis_villages[evaluation_adm3_name],Evolution_par_categorie!C150)</f>
        <v>17</v>
      </c>
      <c r="E150" s="361">
        <f>SUMIFS(comparaison_samebasis_villages[act_ref_ind],comparaison_samebasis_villages[evaluation_adm3_name],Evolution_par_categorie!C150) - SUMIFS(comparaison_samebasis_villages[prev_ref_ind],comparaison_samebasis_villages[evaluation_adm3_name],Evolution_par_categorie!C150)</f>
        <v>0</v>
      </c>
      <c r="F150" s="361">
        <f>SUMIFS(comparaison_samebasis_villages[act_ret_ind],comparaison_samebasis_villages[evaluation_adm3_name],Evolution_par_categorie!C150) - SUMIFS(comparaison_samebasis_villages[prev_ret_ind],comparaison_samebasis_villages[evaluation_adm3_name],Evolution_par_categorie!C150)</f>
        <v>-494</v>
      </c>
      <c r="J150" s="347"/>
      <c r="K150" s="288"/>
      <c r="L150" s="288"/>
      <c r="M150" s="288"/>
      <c r="T150" s="96"/>
    </row>
    <row r="151" spans="2:21" x14ac:dyDescent="0.25">
      <c r="B151" s="326">
        <v>22</v>
      </c>
      <c r="C151" s="328" t="s">
        <v>213</v>
      </c>
      <c r="D151" s="362">
        <f>SUMIFS(comparaison_samebasis_villages[act_idp_ind],comparaison_samebasis_villages[evaluation_adm3_name],Evolution_par_categorie!C151) - SUMIFS(comparaison_samebasis_villages[prev_idp_ind],comparaison_samebasis_villages[evaluation_adm3_name],Evolution_par_categorie!C151)</f>
        <v>0</v>
      </c>
      <c r="E151" s="362">
        <f>SUMIFS(comparaison_samebasis_villages[act_ref_ind],comparaison_samebasis_villages[evaluation_adm3_name],Evolution_par_categorie!C151) - SUMIFS(comparaison_samebasis_villages[prev_ref_ind],comparaison_samebasis_villages[evaluation_adm3_name],Evolution_par_categorie!C151)</f>
        <v>0</v>
      </c>
      <c r="F151" s="362">
        <f>SUMIFS(comparaison_samebasis_villages[act_ret_ind],comparaison_samebasis_villages[evaluation_adm3_name],Evolution_par_categorie!C151) - SUMIFS(comparaison_samebasis_villages[prev_ret_ind],comparaison_samebasis_villages[evaluation_adm3_name],Evolution_par_categorie!C151)</f>
        <v>0</v>
      </c>
      <c r="J151" s="347"/>
      <c r="K151" s="288"/>
      <c r="L151" s="288"/>
      <c r="M151" s="288"/>
      <c r="T151" s="96"/>
    </row>
    <row r="152" spans="2:21" ht="15.75" thickBot="1" x14ac:dyDescent="0.3">
      <c r="B152" s="329" t="s">
        <v>139</v>
      </c>
      <c r="C152" s="325" t="s">
        <v>218</v>
      </c>
      <c r="D152" s="360">
        <f>SUM(D153:D157)</f>
        <v>-3</v>
      </c>
      <c r="E152" s="360">
        <f t="shared" ref="E152:F152" si="89">SUM(E153:E157)</f>
        <v>0</v>
      </c>
      <c r="F152" s="360">
        <f t="shared" si="89"/>
        <v>-1</v>
      </c>
      <c r="J152" s="287"/>
      <c r="K152" s="288"/>
      <c r="L152" s="288"/>
      <c r="M152" s="288"/>
    </row>
    <row r="153" spans="2:21" x14ac:dyDescent="0.25">
      <c r="B153" s="326">
        <v>23</v>
      </c>
      <c r="C153" s="327" t="s">
        <v>676</v>
      </c>
      <c r="D153" s="361">
        <f>SUMIFS(comparaison_samebasis_villages[act_idp_ind],comparaison_samebasis_villages[evaluation_adm3_name],Evolution_par_categorie!C153) - SUMIFS(comparaison_samebasis_villages[prev_idp_ind],comparaison_samebasis_villages[evaluation_adm3_name],Evolution_par_categorie!C153)</f>
        <v>0</v>
      </c>
      <c r="E153" s="361">
        <f>SUMIFS(comparaison_samebasis_villages[act_ref_ind],comparaison_samebasis_villages[evaluation_adm3_name],Evolution_par_categorie!C153) - SUMIFS(comparaison_samebasis_villages[prev_ref_ind],comparaison_samebasis_villages[evaluation_adm3_name],Evolution_par_categorie!C153)</f>
        <v>0</v>
      </c>
      <c r="F153" s="361">
        <f>SUMIFS(comparaison_samebasis_villages[act_ret_ind],comparaison_samebasis_villages[evaluation_adm3_name],Evolution_par_categorie!C153) - SUMIFS(comparaison_samebasis_villages[prev_ret_ind],comparaison_samebasis_villages[evaluation_adm3_name],Evolution_par_categorie!C153)</f>
        <v>5</v>
      </c>
      <c r="I153" s="380" t="s">
        <v>721</v>
      </c>
      <c r="J153" s="381"/>
      <c r="K153" s="381"/>
      <c r="L153" s="382"/>
      <c r="M153" s="288"/>
    </row>
    <row r="154" spans="2:21" x14ac:dyDescent="0.25">
      <c r="B154" s="326">
        <v>24</v>
      </c>
      <c r="C154" s="328" t="s">
        <v>224</v>
      </c>
      <c r="D154" s="362">
        <f>SUMIFS(comparaison_samebasis_villages[act_idp_ind],comparaison_samebasis_villages[evaluation_adm3_name],Evolution_par_categorie!C154) - SUMIFS(comparaison_samebasis_villages[prev_idp_ind],comparaison_samebasis_villages[evaluation_adm3_name],Evolution_par_categorie!C154)</f>
        <v>-3</v>
      </c>
      <c r="E154" s="362">
        <f>SUMIFS(comparaison_samebasis_villages[act_ref_ind],comparaison_samebasis_villages[evaluation_adm3_name],Evolution_par_categorie!C154) - SUMIFS(comparaison_samebasis_villages[prev_ref_ind],comparaison_samebasis_villages[evaluation_adm3_name],Evolution_par_categorie!C154)</f>
        <v>0</v>
      </c>
      <c r="F154" s="362">
        <f>SUMIFS(comparaison_samebasis_villages[act_ret_ind],comparaison_samebasis_villages[evaluation_adm3_name],Evolution_par_categorie!C154) - SUMIFS(comparaison_samebasis_villages[prev_ret_ind],comparaison_samebasis_villages[evaluation_adm3_name],Evolution_par_categorie!C154)</f>
        <v>9</v>
      </c>
      <c r="H154" s="5" t="s">
        <v>1795</v>
      </c>
      <c r="I154" s="5" t="s">
        <v>2127</v>
      </c>
      <c r="J154" s="5" t="s">
        <v>2128</v>
      </c>
      <c r="K154" s="5" t="s">
        <v>2129</v>
      </c>
      <c r="L154" s="5" t="s">
        <v>2130</v>
      </c>
      <c r="M154" s="288"/>
    </row>
    <row r="155" spans="2:21" x14ac:dyDescent="0.25">
      <c r="B155" s="326">
        <v>25</v>
      </c>
      <c r="C155" s="327" t="s">
        <v>220</v>
      </c>
      <c r="D155" s="361">
        <f>SUMIFS(comparaison_samebasis_villages[act_idp_ind],comparaison_samebasis_villages[evaluation_adm3_name],Evolution_par_categorie!C155) - SUMIFS(comparaison_samebasis_villages[prev_idp_ind],comparaison_samebasis_villages[evaluation_adm3_name],Evolution_par_categorie!C155)</f>
        <v>0</v>
      </c>
      <c r="E155" s="361">
        <f>SUMIFS(comparaison_samebasis_villages[act_ref_ind],comparaison_samebasis_villages[evaluation_adm3_name],Evolution_par_categorie!C155) - SUMIFS(comparaison_samebasis_villages[prev_ref_ind],comparaison_samebasis_villages[evaluation_adm3_name],Evolution_par_categorie!C155)</f>
        <v>0</v>
      </c>
      <c r="F155" s="361">
        <f>SUMIFS(comparaison_samebasis_villages[act_ret_ind],comparaison_samebasis_villages[evaluation_adm3_name],Evolution_par_categorie!C155) - SUMIFS(comparaison_samebasis_villages[prev_ret_ind],comparaison_samebasis_villages[evaluation_adm3_name],Evolution_par_categorie!C155)</f>
        <v>0</v>
      </c>
      <c r="H155" s="335" t="s">
        <v>24</v>
      </c>
      <c r="I155" s="335">
        <f>SUMIFS(comparaison_samebasis_villages[act_ret_ind],comparaison_samebasis_villages[evaluation_adm2_name],Table101[[#This Row],[Départements]])</f>
        <v>330</v>
      </c>
      <c r="J155" s="335">
        <f>SUMIFS(comparaison_samebasis_villages[prev_ret_ind],comparaison_samebasis_villages[evaluation_adm2_name],Table101[[#This Row],[Départements]])</f>
        <v>415</v>
      </c>
      <c r="K155" s="344">
        <f t="shared" ref="K155:K160" si="90">(I155-J155)/J155</f>
        <v>-0.20481927710843373</v>
      </c>
      <c r="L155" s="335">
        <f t="shared" ref="L155:L160" si="91">I155-J155</f>
        <v>-85</v>
      </c>
      <c r="M155" s="288"/>
    </row>
    <row r="156" spans="2:21" x14ac:dyDescent="0.25">
      <c r="B156" s="326">
        <v>26</v>
      </c>
      <c r="C156" s="328" t="s">
        <v>228</v>
      </c>
      <c r="D156" s="362">
        <f>SUMIFS(comparaison_samebasis_villages[act_idp_ind],comparaison_samebasis_villages[evaluation_adm3_name],Evolution_par_categorie!C156) - SUMIFS(comparaison_samebasis_villages[prev_idp_ind],comparaison_samebasis_villages[evaluation_adm3_name],Evolution_par_categorie!C156)</f>
        <v>0</v>
      </c>
      <c r="E156" s="362">
        <f>SUMIFS(comparaison_samebasis_villages[act_ref_ind],comparaison_samebasis_villages[evaluation_adm3_name],Evolution_par_categorie!C156) - SUMIFS(comparaison_samebasis_villages[prev_ref_ind],comparaison_samebasis_villages[evaluation_adm3_name],Evolution_par_categorie!C156)</f>
        <v>0</v>
      </c>
      <c r="F156" s="362">
        <f>SUMIFS(comparaison_samebasis_villages[act_ret_ind],comparaison_samebasis_villages[evaluation_adm3_name],Evolution_par_categorie!C156) - SUMIFS(comparaison_samebasis_villages[prev_ret_ind],comparaison_samebasis_villages[evaluation_adm3_name],Evolution_par_categorie!C156)</f>
        <v>-15</v>
      </c>
      <c r="H156" s="335" t="s">
        <v>85</v>
      </c>
      <c r="I156" s="335">
        <f>SUMIFS(comparaison_samebasis_villages[act_ret_ind],comparaison_samebasis_villages[evaluation_adm2_name],Table101[[#This Row],[Départements]])</f>
        <v>27980</v>
      </c>
      <c r="J156" s="335">
        <f>SUMIFS(comparaison_samebasis_villages[prev_ret_ind],comparaison_samebasis_villages[evaluation_adm2_name],Table101[[#This Row],[Départements]])</f>
        <v>25496</v>
      </c>
      <c r="K156" s="344">
        <f t="shared" si="90"/>
        <v>9.7427047379981174E-2</v>
      </c>
      <c r="L156" s="335">
        <f t="shared" si="91"/>
        <v>2484</v>
      </c>
      <c r="M156" s="288"/>
      <c r="U156" s="98"/>
    </row>
    <row r="157" spans="2:21" x14ac:dyDescent="0.25">
      <c r="B157" s="326">
        <v>27</v>
      </c>
      <c r="C157" s="327" t="s">
        <v>497</v>
      </c>
      <c r="D157" s="361">
        <f>SUMIFS(comparaison_samebasis_villages[act_idp_ind],comparaison_samebasis_villages[evaluation_adm3_name],Evolution_par_categorie!C157) - SUMIFS(comparaison_samebasis_villages[prev_idp_ind],comparaison_samebasis_villages[evaluation_adm3_name],Evolution_par_categorie!C157)</f>
        <v>0</v>
      </c>
      <c r="E157" s="361">
        <f>SUMIFS(comparaison_samebasis_villages[act_ref_ind],comparaison_samebasis_villages[evaluation_adm3_name],Evolution_par_categorie!C157) - SUMIFS(comparaison_samebasis_villages[prev_ref_ind],comparaison_samebasis_villages[evaluation_adm3_name],Evolution_par_categorie!C157)</f>
        <v>0</v>
      </c>
      <c r="F157" s="361">
        <f>SUMIFS(comparaison_samebasis_villages[act_ret_ind],comparaison_samebasis_villages[evaluation_adm3_name],Evolution_par_categorie!C157) - SUMIFS(comparaison_samebasis_villages[prev_ret_ind],comparaison_samebasis_villages[evaluation_adm3_name],Evolution_par_categorie!C157)</f>
        <v>0</v>
      </c>
      <c r="H157" s="335" t="s">
        <v>184</v>
      </c>
      <c r="I157" s="335">
        <f>SUMIFS(comparaison_samebasis_villages[act_ret_ind],comparaison_samebasis_villages[evaluation_adm2_name],Table101[[#This Row],[Départements]])</f>
        <v>6429</v>
      </c>
      <c r="J157" s="335">
        <f>SUMIFS(comparaison_samebasis_villages[prev_ret_ind],comparaison_samebasis_villages[evaluation_adm2_name],Table101[[#This Row],[Départements]])</f>
        <v>6901</v>
      </c>
      <c r="K157" s="344">
        <f t="shared" si="90"/>
        <v>-6.8395884654397915E-2</v>
      </c>
      <c r="L157" s="335">
        <f t="shared" si="91"/>
        <v>-472</v>
      </c>
      <c r="M157" s="288"/>
      <c r="U157" s="98"/>
    </row>
    <row r="158" spans="2:21" ht="15.75" thickBot="1" x14ac:dyDescent="0.3">
      <c r="B158" s="329" t="s">
        <v>139</v>
      </c>
      <c r="C158" s="325" t="s">
        <v>48</v>
      </c>
      <c r="D158" s="360">
        <f>SUM(D159:D161)</f>
        <v>-461</v>
      </c>
      <c r="E158" s="360">
        <f t="shared" ref="E158:F158" si="92">SUM(E159:E161)</f>
        <v>0</v>
      </c>
      <c r="F158" s="360">
        <f t="shared" si="92"/>
        <v>3661</v>
      </c>
      <c r="H158" s="335" t="s">
        <v>218</v>
      </c>
      <c r="I158" s="335">
        <f>SUMIFS(comparaison_samebasis_villages[act_ret_ind],comparaison_samebasis_villages[evaluation_adm2_name],Table101[[#This Row],[Départements]])</f>
        <v>667</v>
      </c>
      <c r="J158" s="335">
        <f>SUMIFS(comparaison_samebasis_villages[prev_ret_ind],comparaison_samebasis_villages[evaluation_adm2_name],Table101[[#This Row],[Départements]])</f>
        <v>668</v>
      </c>
      <c r="K158" s="344">
        <f t="shared" si="90"/>
        <v>-1.4970059880239522E-3</v>
      </c>
      <c r="L158" s="335">
        <f t="shared" si="91"/>
        <v>-1</v>
      </c>
      <c r="M158" s="288"/>
      <c r="U158" s="98"/>
    </row>
    <row r="159" spans="2:21" x14ac:dyDescent="0.25">
      <c r="B159" s="326">
        <v>28</v>
      </c>
      <c r="C159" s="327" t="s">
        <v>232</v>
      </c>
      <c r="D159" s="361">
        <f>SUMIFS(comparaison_samebasis_villages[act_idp_ind],comparaison_samebasis_villages[evaluation_adm3_name],Evolution_par_categorie!C159) - SUMIFS(comparaison_samebasis_villages[prev_idp_ind],comparaison_samebasis_villages[evaluation_adm3_name],Evolution_par_categorie!C159)</f>
        <v>73</v>
      </c>
      <c r="E159" s="361">
        <f>SUMIFS(comparaison_samebasis_villages[act_ref_ind],comparaison_samebasis_villages[evaluation_adm3_name],Evolution_par_categorie!C159) - SUMIFS(comparaison_samebasis_villages[prev_ref_ind],comparaison_samebasis_villages[evaluation_adm3_name],Evolution_par_categorie!C159)</f>
        <v>0</v>
      </c>
      <c r="F159" s="361">
        <f>SUMIFS(comparaison_samebasis_villages[act_ret_ind],comparaison_samebasis_villages[evaluation_adm3_name],Evolution_par_categorie!C159) - SUMIFS(comparaison_samebasis_villages[prev_ret_ind],comparaison_samebasis_villages[evaluation_adm3_name],Evolution_par_categorie!C159)</f>
        <v>3446</v>
      </c>
      <c r="H159" s="335" t="s">
        <v>48</v>
      </c>
      <c r="I159" s="335">
        <f>SUMIFS(comparaison_samebasis_villages[act_ret_ind],comparaison_samebasis_villages[evaluation_adm2_name],Table101[[#This Row],[Départements]])</f>
        <v>17128</v>
      </c>
      <c r="J159" s="335">
        <f>SUMIFS(comparaison_samebasis_villages[prev_ret_ind],comparaison_samebasis_villages[evaluation_adm2_name],Table101[[#This Row],[Départements]])</f>
        <v>13467</v>
      </c>
      <c r="K159" s="344">
        <f t="shared" si="90"/>
        <v>0.27184970669042846</v>
      </c>
      <c r="L159" s="335">
        <f t="shared" si="91"/>
        <v>3661</v>
      </c>
      <c r="M159" s="288"/>
      <c r="U159" s="98"/>
    </row>
    <row r="160" spans="2:21" x14ac:dyDescent="0.25">
      <c r="B160" s="326">
        <v>29</v>
      </c>
      <c r="C160" s="328" t="s">
        <v>62</v>
      </c>
      <c r="D160" s="362">
        <f>SUMIFS(comparaison_samebasis_villages[act_idp_ind],comparaison_samebasis_villages[evaluation_adm3_name],Evolution_par_categorie!C160) - SUMIFS(comparaison_samebasis_villages[prev_idp_ind],comparaison_samebasis_villages[evaluation_adm3_name],Evolution_par_categorie!C160)</f>
        <v>-440</v>
      </c>
      <c r="E160" s="362">
        <f>SUMIFS(comparaison_samebasis_villages[act_ref_ind],comparaison_samebasis_villages[evaluation_adm3_name],Evolution_par_categorie!C160) - SUMIFS(comparaison_samebasis_villages[prev_ref_ind],comparaison_samebasis_villages[evaluation_adm3_name],Evolution_par_categorie!C160)</f>
        <v>0</v>
      </c>
      <c r="F160" s="362">
        <f>SUMIFS(comparaison_samebasis_villages[act_ret_ind],comparaison_samebasis_villages[evaluation_adm3_name],Evolution_par_categorie!C160) - SUMIFS(comparaison_samebasis_villages[prev_ret_ind],comparaison_samebasis_villages[evaluation_adm3_name],Evolution_par_categorie!C160)</f>
        <v>215</v>
      </c>
      <c r="H160" s="335" t="s">
        <v>37</v>
      </c>
      <c r="I160" s="335">
        <f>SUMIFS(comparaison_samebasis_villages[act_ret_ind],comparaison_samebasis_villages[evaluation_adm2_name],Table101[[#This Row],[Départements]])</f>
        <v>16616</v>
      </c>
      <c r="J160" s="335">
        <f>SUMIFS(comparaison_samebasis_villages[prev_ret_ind],comparaison_samebasis_villages[evaluation_adm2_name],Table101[[#This Row],[Départements]])</f>
        <v>16745</v>
      </c>
      <c r="K160" s="344">
        <f t="shared" si="90"/>
        <v>-7.7037921767691845E-3</v>
      </c>
      <c r="L160" s="335">
        <f t="shared" si="91"/>
        <v>-129</v>
      </c>
      <c r="M160" s="288"/>
      <c r="U160" s="98"/>
    </row>
    <row r="161" spans="2:21" x14ac:dyDescent="0.25">
      <c r="B161" s="326">
        <v>30</v>
      </c>
      <c r="C161" s="327" t="s">
        <v>527</v>
      </c>
      <c r="D161" s="361">
        <f>SUMIFS(comparaison_samebasis_villages[act_idp_ind],comparaison_samebasis_villages[evaluation_adm3_name],Evolution_par_categorie!C161) - SUMIFS(comparaison_samebasis_villages[prev_idp_ind],comparaison_samebasis_villages[evaluation_adm3_name],Evolution_par_categorie!C161)</f>
        <v>-94</v>
      </c>
      <c r="E161" s="361">
        <f>SUMIFS(comparaison_samebasis_villages[act_ref_ind],comparaison_samebasis_villages[evaluation_adm3_name],Evolution_par_categorie!C161) - SUMIFS(comparaison_samebasis_villages[prev_ref_ind],comparaison_samebasis_villages[evaluation_adm3_name],Evolution_par_categorie!C161)</f>
        <v>0</v>
      </c>
      <c r="F161" s="361">
        <f>SUMIFS(comparaison_samebasis_villages[act_ret_ind],comparaison_samebasis_villages[evaluation_adm3_name],Evolution_par_categorie!C161) - SUMIFS(comparaison_samebasis_villages[prev_ret_ind],comparaison_samebasis_villages[evaluation_adm3_name],Evolution_par_categorie!C161)</f>
        <v>0</v>
      </c>
      <c r="H161" s="359" t="s">
        <v>715</v>
      </c>
      <c r="I161" s="359">
        <f>SUM(I155:I160)</f>
        <v>69150</v>
      </c>
      <c r="J161" s="359">
        <f t="shared" ref="J161:L161" si="93">SUM(J155:J160)</f>
        <v>63692</v>
      </c>
      <c r="K161" s="359">
        <f t="shared" si="93"/>
        <v>8.6860794142784845E-2</v>
      </c>
      <c r="L161" s="359">
        <f t="shared" si="93"/>
        <v>5458</v>
      </c>
      <c r="M161" s="288"/>
      <c r="U161" s="98"/>
    </row>
    <row r="162" spans="2:21" ht="15.75" thickBot="1" x14ac:dyDescent="0.3">
      <c r="B162" s="329" t="s">
        <v>139</v>
      </c>
      <c r="C162" s="325" t="s">
        <v>37</v>
      </c>
      <c r="D162" s="360">
        <f>SUM(D163:D169)</f>
        <v>-827</v>
      </c>
      <c r="E162" s="360">
        <f t="shared" ref="E162:F162" si="94">SUM(E163:E169)</f>
        <v>-39</v>
      </c>
      <c r="F162" s="360">
        <f t="shared" si="94"/>
        <v>-129</v>
      </c>
      <c r="J162" s="287"/>
      <c r="K162" s="288"/>
      <c r="L162" s="288"/>
      <c r="M162" s="288"/>
      <c r="U162" s="98"/>
    </row>
    <row r="163" spans="2:21" x14ac:dyDescent="0.25">
      <c r="B163" s="326">
        <v>31</v>
      </c>
      <c r="C163" s="327" t="s">
        <v>236</v>
      </c>
      <c r="D163" s="361">
        <f>SUMIFS(comparaison_samebasis_villages[act_idp_ind],comparaison_samebasis_villages[evaluation_adm3_name],Evolution_par_categorie!C163) - SUMIFS(comparaison_samebasis_villages[prev_idp_ind],comparaison_samebasis_villages[evaluation_adm3_name],Evolution_par_categorie!C163)</f>
        <v>-7</v>
      </c>
      <c r="E163" s="361">
        <f>SUMIFS(comparaison_samebasis_villages[act_ref_ind],comparaison_samebasis_villages[evaluation_adm3_name],Evolution_par_categorie!C163) - SUMIFS(comparaison_samebasis_villages[prev_ref_ind],comparaison_samebasis_villages[evaluation_adm3_name],Evolution_par_categorie!C163)</f>
        <v>0</v>
      </c>
      <c r="F163" s="361">
        <f>SUMIFS(comparaison_samebasis_villages[act_ret_ind],comparaison_samebasis_villages[evaluation_adm3_name],Evolution_par_categorie!C163) - SUMIFS(comparaison_samebasis_villages[prev_ret_ind],comparaison_samebasis_villages[evaluation_adm3_name],Evolution_par_categorie!C163)</f>
        <v>0</v>
      </c>
      <c r="J163" s="347"/>
      <c r="K163" s="288"/>
      <c r="L163" s="288"/>
      <c r="M163" s="288"/>
      <c r="U163" s="98"/>
    </row>
    <row r="164" spans="2:21" x14ac:dyDescent="0.25">
      <c r="B164" s="326">
        <v>32</v>
      </c>
      <c r="C164" s="328" t="s">
        <v>540</v>
      </c>
      <c r="D164" s="362">
        <f>SUMIFS(comparaison_samebasis_villages[act_idp_ind],comparaison_samebasis_villages[evaluation_adm3_name],Evolution_par_categorie!C164) - SUMIFS(comparaison_samebasis_villages[prev_idp_ind],comparaison_samebasis_villages[evaluation_adm3_name],Evolution_par_categorie!C164)</f>
        <v>0</v>
      </c>
      <c r="E164" s="362">
        <f>SUMIFS(comparaison_samebasis_villages[act_ref_ind],comparaison_samebasis_villages[evaluation_adm3_name],Evolution_par_categorie!C164) - SUMIFS(comparaison_samebasis_villages[prev_ref_ind],comparaison_samebasis_villages[evaluation_adm3_name],Evolution_par_categorie!C164)</f>
        <v>0</v>
      </c>
      <c r="F164" s="362">
        <f>SUMIFS(comparaison_samebasis_villages[act_ret_ind],comparaison_samebasis_villages[evaluation_adm3_name],Evolution_par_categorie!C164) - SUMIFS(comparaison_samebasis_villages[prev_ret_ind],comparaison_samebasis_villages[evaluation_adm3_name],Evolution_par_categorie!C164)</f>
        <v>-5</v>
      </c>
      <c r="J164" s="347"/>
      <c r="K164" s="288"/>
      <c r="L164" s="288"/>
      <c r="M164" s="288"/>
    </row>
    <row r="165" spans="2:21" x14ac:dyDescent="0.25">
      <c r="B165" s="326">
        <v>33</v>
      </c>
      <c r="C165" s="327" t="s">
        <v>547</v>
      </c>
      <c r="D165" s="361">
        <f>SUMIFS(comparaison_samebasis_villages[act_idp_ind],comparaison_samebasis_villages[evaluation_adm3_name],Evolution_par_categorie!C165) - SUMIFS(comparaison_samebasis_villages[prev_idp_ind],comparaison_samebasis_villages[evaluation_adm3_name],Evolution_par_categorie!C165)</f>
        <v>70</v>
      </c>
      <c r="E165" s="361">
        <f>SUMIFS(comparaison_samebasis_villages[act_ref_ind],comparaison_samebasis_villages[evaluation_adm3_name],Evolution_par_categorie!C165) - SUMIFS(comparaison_samebasis_villages[prev_ref_ind],comparaison_samebasis_villages[evaluation_adm3_name],Evolution_par_categorie!C165)</f>
        <v>0</v>
      </c>
      <c r="F165" s="361">
        <f>SUMIFS(comparaison_samebasis_villages[act_ret_ind],comparaison_samebasis_villages[evaluation_adm3_name],Evolution_par_categorie!C165) - SUMIFS(comparaison_samebasis_villages[prev_ret_ind],comparaison_samebasis_villages[evaluation_adm3_name],Evolution_par_categorie!C165)</f>
        <v>0</v>
      </c>
      <c r="J165" s="347"/>
      <c r="K165" s="288"/>
      <c r="L165" s="288"/>
      <c r="M165" s="288"/>
    </row>
    <row r="166" spans="2:21" x14ac:dyDescent="0.25">
      <c r="B166" s="326">
        <v>34</v>
      </c>
      <c r="C166" s="328" t="s">
        <v>244</v>
      </c>
      <c r="D166" s="362">
        <f>SUMIFS(comparaison_samebasis_villages[act_idp_ind],comparaison_samebasis_villages[evaluation_adm3_name],Evolution_par_categorie!C166) - SUMIFS(comparaison_samebasis_villages[prev_idp_ind],comparaison_samebasis_villages[evaluation_adm3_name],Evolution_par_categorie!C166)</f>
        <v>0</v>
      </c>
      <c r="E166" s="362">
        <f>SUMIFS(comparaison_samebasis_villages[act_ref_ind],comparaison_samebasis_villages[evaluation_adm3_name],Evolution_par_categorie!C166) - SUMIFS(comparaison_samebasis_villages[prev_ref_ind],comparaison_samebasis_villages[evaluation_adm3_name],Evolution_par_categorie!C166)</f>
        <v>-26</v>
      </c>
      <c r="F166" s="362">
        <f>SUMIFS(comparaison_samebasis_villages[act_ret_ind],comparaison_samebasis_villages[evaluation_adm3_name],Evolution_par_categorie!C166) - SUMIFS(comparaison_samebasis_villages[prev_ret_ind],comparaison_samebasis_villages[evaluation_adm3_name],Evolution_par_categorie!C166)</f>
        <v>3</v>
      </c>
      <c r="J166" s="347"/>
      <c r="K166" s="288"/>
      <c r="L166" s="288"/>
      <c r="M166" s="288"/>
    </row>
    <row r="167" spans="2:21" x14ac:dyDescent="0.25">
      <c r="B167" s="326">
        <v>35</v>
      </c>
      <c r="C167" s="327" t="s">
        <v>247</v>
      </c>
      <c r="D167" s="361">
        <f>SUMIFS(comparaison_samebasis_villages[act_idp_ind],comparaison_samebasis_villages[evaluation_adm3_name],Evolution_par_categorie!C167) - SUMIFS(comparaison_samebasis_villages[prev_idp_ind],comparaison_samebasis_villages[evaluation_adm3_name],Evolution_par_categorie!C167)</f>
        <v>341</v>
      </c>
      <c r="E167" s="361">
        <f>SUMIFS(comparaison_samebasis_villages[act_ref_ind],comparaison_samebasis_villages[evaluation_adm3_name],Evolution_par_categorie!C167) - SUMIFS(comparaison_samebasis_villages[prev_ref_ind],comparaison_samebasis_villages[evaluation_adm3_name],Evolution_par_categorie!C167)</f>
        <v>-32</v>
      </c>
      <c r="F167" s="361">
        <f>SUMIFS(comparaison_samebasis_villages[act_ret_ind],comparaison_samebasis_villages[evaluation_adm3_name],Evolution_par_categorie!C167) - SUMIFS(comparaison_samebasis_villages[prev_ret_ind],comparaison_samebasis_villages[evaluation_adm3_name],Evolution_par_categorie!C167)</f>
        <v>136</v>
      </c>
      <c r="J167" s="347"/>
      <c r="K167" s="288"/>
      <c r="L167" s="288"/>
      <c r="M167" s="288"/>
    </row>
    <row r="168" spans="2:21" ht="15.75" thickBot="1" x14ac:dyDescent="0.3">
      <c r="B168" s="326">
        <v>36</v>
      </c>
      <c r="C168" s="328" t="s">
        <v>250</v>
      </c>
      <c r="D168" s="363">
        <f>SUMIFS(comparaison_samebasis_villages[act_idp_ind],comparaison_samebasis_villages[evaluation_adm3_name],Evolution_par_categorie!C168) - SUMIFS(comparaison_samebasis_villages[prev_idp_ind],comparaison_samebasis_villages[evaluation_adm3_name],Evolution_par_categorie!C168)</f>
        <v>3</v>
      </c>
      <c r="E168" s="363">
        <f>SUMIFS(comparaison_samebasis_villages[act_ref_ind],comparaison_samebasis_villages[evaluation_adm3_name],Evolution_par_categorie!C168) - SUMIFS(comparaison_samebasis_villages[prev_ref_ind],comparaison_samebasis_villages[evaluation_adm3_name],Evolution_par_categorie!C168)</f>
        <v>0</v>
      </c>
      <c r="F168" s="363">
        <f>SUMIFS(comparaison_samebasis_villages[act_ret_ind],comparaison_samebasis_villages[evaluation_adm3_name],Evolution_par_categorie!C168) - SUMIFS(comparaison_samebasis_villages[prev_ret_ind],comparaison_samebasis_villages[evaluation_adm3_name],Evolution_par_categorie!C168)</f>
        <v>0</v>
      </c>
      <c r="J168" s="347"/>
      <c r="K168" s="288"/>
      <c r="L168" s="288"/>
      <c r="M168" s="288"/>
      <c r="U168" s="98"/>
    </row>
    <row r="169" spans="2:21" ht="15.75" thickBot="1" x14ac:dyDescent="0.3">
      <c r="B169" s="326">
        <v>37</v>
      </c>
      <c r="C169" s="327" t="s">
        <v>608</v>
      </c>
      <c r="D169" s="361">
        <f>SUMIFS(comparaison_samebasis_villages[act_idp_ind],comparaison_samebasis_villages[evaluation_adm3_name],Evolution_par_categorie!C169) - SUMIFS(comparaison_samebasis_villages[prev_idp_ind],comparaison_samebasis_villages[evaluation_adm3_name],Evolution_par_categorie!C169)</f>
        <v>-1234</v>
      </c>
      <c r="E169" s="361">
        <f>SUMIFS(comparaison_samebasis_villages[act_ref_ind],comparaison_samebasis_villages[evaluation_adm3_name],Evolution_par_categorie!C169) - SUMIFS(comparaison_samebasis_villages[prev_ref_ind],comparaison_samebasis_villages[evaluation_adm3_name],Evolution_par_categorie!C169)</f>
        <v>19</v>
      </c>
      <c r="F169" s="361">
        <f>SUMIFS(comparaison_samebasis_villages[act_ret_ind],comparaison_samebasis_villages[evaluation_adm3_name],Evolution_par_categorie!C169) - SUMIFS(comparaison_samebasis_villages[prev_ret_ind],comparaison_samebasis_villages[evaluation_adm3_name],Evolution_par_categorie!C169)</f>
        <v>-263</v>
      </c>
      <c r="J169" s="347"/>
      <c r="K169" s="288"/>
      <c r="L169" s="288"/>
      <c r="M169" s="288"/>
      <c r="U169" s="98"/>
    </row>
    <row r="170" spans="2:21" x14ac:dyDescent="0.25">
      <c r="B170" s="322"/>
      <c r="C170" s="346" t="s">
        <v>715</v>
      </c>
      <c r="D170" s="364">
        <f>SUM(D162,D158,D152,D145,D134,D127)</f>
        <v>-3610</v>
      </c>
      <c r="E170" s="364">
        <f t="shared" ref="E170:F170" si="95">SUM(E162,E158,E152,E145,E134,E127)</f>
        <v>-608</v>
      </c>
      <c r="F170" s="364">
        <f t="shared" si="95"/>
        <v>5458</v>
      </c>
      <c r="J170" s="287"/>
      <c r="K170" s="288"/>
      <c r="L170" s="288"/>
      <c r="M170" s="288"/>
      <c r="U170" s="98"/>
    </row>
    <row r="171" spans="2:21" x14ac:dyDescent="0.25">
      <c r="U171" s="98"/>
    </row>
    <row r="172" spans="2:21" x14ac:dyDescent="0.25">
      <c r="D172" s="216"/>
    </row>
    <row r="175" spans="2:21" x14ac:dyDescent="0.25">
      <c r="U175" s="98"/>
    </row>
    <row r="178" spans="2:20" x14ac:dyDescent="0.25">
      <c r="B178" s="322"/>
      <c r="C178" s="376" t="s">
        <v>2121</v>
      </c>
      <c r="D178" s="376" t="s">
        <v>861</v>
      </c>
      <c r="E178" s="376"/>
      <c r="F178" s="376" t="s">
        <v>2122</v>
      </c>
      <c r="G178" s="376"/>
      <c r="H178" s="376" t="s">
        <v>2123</v>
      </c>
      <c r="I178" s="376"/>
      <c r="J178" s="376" t="s">
        <v>858</v>
      </c>
      <c r="K178" s="376"/>
    </row>
    <row r="179" spans="2:20" x14ac:dyDescent="0.25">
      <c r="B179" s="322"/>
      <c r="C179" s="376"/>
      <c r="D179" s="341" t="s">
        <v>712</v>
      </c>
      <c r="E179" s="341" t="s">
        <v>718</v>
      </c>
      <c r="F179" s="341" t="s">
        <v>712</v>
      </c>
      <c r="G179" s="341" t="s">
        <v>718</v>
      </c>
      <c r="H179" s="341" t="s">
        <v>712</v>
      </c>
      <c r="I179" s="341" t="s">
        <v>718</v>
      </c>
      <c r="J179" s="341" t="s">
        <v>712</v>
      </c>
      <c r="K179" s="341" t="s">
        <v>718</v>
      </c>
    </row>
    <row r="180" spans="2:20" x14ac:dyDescent="0.25">
      <c r="B180" s="324" t="s">
        <v>139</v>
      </c>
      <c r="C180" s="342" t="s">
        <v>2112</v>
      </c>
      <c r="D180" s="343">
        <f t="shared" ref="D180:D222" si="96">C74</f>
        <v>5601</v>
      </c>
      <c r="E180" s="365">
        <f t="shared" ref="E180:K180" si="97">D74</f>
        <v>1.6357296388019252E-2</v>
      </c>
      <c r="F180" s="343">
        <f t="shared" si="97"/>
        <v>0</v>
      </c>
      <c r="G180" s="365">
        <f t="shared" si="97"/>
        <v>0</v>
      </c>
      <c r="H180" s="343">
        <f t="shared" si="97"/>
        <v>311</v>
      </c>
      <c r="I180" s="365">
        <f t="shared" si="97"/>
        <v>9.0825195084341854E-4</v>
      </c>
      <c r="J180" s="343">
        <f t="shared" si="97"/>
        <v>5912</v>
      </c>
      <c r="K180" s="365">
        <f t="shared" si="97"/>
        <v>1.7265548338862673E-2</v>
      </c>
    </row>
    <row r="181" spans="2:20" x14ac:dyDescent="0.25">
      <c r="B181" s="326">
        <v>1</v>
      </c>
      <c r="C181" s="327" t="s">
        <v>656</v>
      </c>
      <c r="D181" s="333">
        <f t="shared" si="96"/>
        <v>0</v>
      </c>
      <c r="E181" s="366">
        <f t="shared" ref="E181:K181" si="98">D75</f>
        <v>0</v>
      </c>
      <c r="F181" s="333">
        <f t="shared" si="98"/>
        <v>0</v>
      </c>
      <c r="G181" s="366">
        <f t="shared" si="98"/>
        <v>0</v>
      </c>
      <c r="H181" s="333">
        <f t="shared" si="98"/>
        <v>311</v>
      </c>
      <c r="I181" s="366">
        <f t="shared" si="98"/>
        <v>9.0825195084341854E-4</v>
      </c>
      <c r="J181" s="333">
        <f t="shared" si="98"/>
        <v>311</v>
      </c>
      <c r="K181" s="366">
        <f t="shared" si="98"/>
        <v>9.0825195084341854E-4</v>
      </c>
    </row>
    <row r="182" spans="2:20" x14ac:dyDescent="0.25">
      <c r="B182" s="326">
        <v>2</v>
      </c>
      <c r="C182" s="328" t="s">
        <v>26</v>
      </c>
      <c r="D182" s="334">
        <f t="shared" si="96"/>
        <v>273</v>
      </c>
      <c r="E182" s="367">
        <f t="shared" ref="E182:K182" si="99">D76</f>
        <v>7.9727582823232556E-4</v>
      </c>
      <c r="F182" s="334">
        <f t="shared" si="99"/>
        <v>0</v>
      </c>
      <c r="G182" s="367">
        <f t="shared" si="99"/>
        <v>0</v>
      </c>
      <c r="H182" s="334">
        <f t="shared" si="99"/>
        <v>0</v>
      </c>
      <c r="I182" s="367">
        <f t="shared" si="99"/>
        <v>0</v>
      </c>
      <c r="J182" s="334">
        <f t="shared" si="99"/>
        <v>273</v>
      </c>
      <c r="K182" s="367">
        <f t="shared" si="99"/>
        <v>7.9727582823232556E-4</v>
      </c>
    </row>
    <row r="183" spans="2:20" x14ac:dyDescent="0.25">
      <c r="B183" s="326">
        <v>3</v>
      </c>
      <c r="C183" s="327" t="s">
        <v>44</v>
      </c>
      <c r="D183" s="333">
        <f t="shared" si="96"/>
        <v>741</v>
      </c>
      <c r="E183" s="366">
        <f t="shared" ref="E183:K183" si="100">D77</f>
        <v>2.1640343909163124E-3</v>
      </c>
      <c r="F183" s="333">
        <f t="shared" si="100"/>
        <v>0</v>
      </c>
      <c r="G183" s="366">
        <f t="shared" si="100"/>
        <v>0</v>
      </c>
      <c r="H183" s="333">
        <f t="shared" si="100"/>
        <v>0</v>
      </c>
      <c r="I183" s="366">
        <f t="shared" si="100"/>
        <v>0</v>
      </c>
      <c r="J183" s="333">
        <f t="shared" si="100"/>
        <v>741</v>
      </c>
      <c r="K183" s="366">
        <f t="shared" si="100"/>
        <v>2.1640343909163124E-3</v>
      </c>
    </row>
    <row r="184" spans="2:20" x14ac:dyDescent="0.25">
      <c r="B184" s="326">
        <v>4</v>
      </c>
      <c r="C184" s="328" t="s">
        <v>50</v>
      </c>
      <c r="D184" s="334">
        <f t="shared" si="96"/>
        <v>2239</v>
      </c>
      <c r="E184" s="367">
        <f t="shared" ref="E184:K184" si="101">D78</f>
        <v>6.5388299612167654E-3</v>
      </c>
      <c r="F184" s="334">
        <f t="shared" si="101"/>
        <v>0</v>
      </c>
      <c r="G184" s="367">
        <f t="shared" si="101"/>
        <v>0</v>
      </c>
      <c r="H184" s="334">
        <f t="shared" si="101"/>
        <v>0</v>
      </c>
      <c r="I184" s="367">
        <f t="shared" si="101"/>
        <v>0</v>
      </c>
      <c r="J184" s="334">
        <f t="shared" si="101"/>
        <v>2239</v>
      </c>
      <c r="K184" s="367">
        <f t="shared" si="101"/>
        <v>6.5388299612167654E-3</v>
      </c>
      <c r="S184" s="96"/>
      <c r="T184" s="96"/>
    </row>
    <row r="185" spans="2:20" x14ac:dyDescent="0.25">
      <c r="B185" s="326">
        <v>5</v>
      </c>
      <c r="C185" s="327" t="s">
        <v>665</v>
      </c>
      <c r="D185" s="333">
        <f t="shared" si="96"/>
        <v>36</v>
      </c>
      <c r="E185" s="366">
        <f t="shared" ref="E185:K185" si="102">D79</f>
        <v>1.0513527405261436E-4</v>
      </c>
      <c r="F185" s="333">
        <f t="shared" si="102"/>
        <v>0</v>
      </c>
      <c r="G185" s="366">
        <f t="shared" si="102"/>
        <v>0</v>
      </c>
      <c r="H185" s="333">
        <f t="shared" si="102"/>
        <v>0</v>
      </c>
      <c r="I185" s="366">
        <f t="shared" si="102"/>
        <v>0</v>
      </c>
      <c r="J185" s="333">
        <f t="shared" si="102"/>
        <v>36</v>
      </c>
      <c r="K185" s="366">
        <f t="shared" si="102"/>
        <v>1.0513527405261436E-4</v>
      </c>
    </row>
    <row r="186" spans="2:20" x14ac:dyDescent="0.25">
      <c r="B186" s="326">
        <v>6</v>
      </c>
      <c r="C186" s="328" t="s">
        <v>56</v>
      </c>
      <c r="D186" s="334">
        <f t="shared" si="96"/>
        <v>2312</v>
      </c>
      <c r="E186" s="367">
        <f t="shared" ref="E186:K186" si="103">D80</f>
        <v>6.7520209336012337E-3</v>
      </c>
      <c r="F186" s="334">
        <f t="shared" si="103"/>
        <v>0</v>
      </c>
      <c r="G186" s="367">
        <f t="shared" si="103"/>
        <v>0</v>
      </c>
      <c r="H186" s="334">
        <f t="shared" si="103"/>
        <v>0</v>
      </c>
      <c r="I186" s="367">
        <f t="shared" si="103"/>
        <v>0</v>
      </c>
      <c r="J186" s="334">
        <f t="shared" si="103"/>
        <v>2312</v>
      </c>
      <c r="K186" s="367">
        <f t="shared" si="103"/>
        <v>6.7520209336012337E-3</v>
      </c>
    </row>
    <row r="187" spans="2:20" x14ac:dyDescent="0.25">
      <c r="B187" s="329" t="s">
        <v>139</v>
      </c>
      <c r="C187" s="342" t="s">
        <v>85</v>
      </c>
      <c r="D187" s="343">
        <f t="shared" si="96"/>
        <v>167825</v>
      </c>
      <c r="E187" s="365">
        <f t="shared" ref="E187:K187" si="104">D81</f>
        <v>0.49012020466333345</v>
      </c>
      <c r="F187" s="343">
        <f t="shared" si="104"/>
        <v>11850</v>
      </c>
      <c r="G187" s="365">
        <f t="shared" si="104"/>
        <v>3.4607027708985563E-2</v>
      </c>
      <c r="H187" s="343">
        <f t="shared" si="104"/>
        <v>83</v>
      </c>
      <c r="I187" s="365">
        <f t="shared" si="104"/>
        <v>2.4239521517686091E-4</v>
      </c>
      <c r="J187" s="343">
        <f t="shared" si="104"/>
        <v>179758</v>
      </c>
      <c r="K187" s="365">
        <f t="shared" si="104"/>
        <v>0.52496962758749588</v>
      </c>
    </row>
    <row r="188" spans="2:20" x14ac:dyDescent="0.25">
      <c r="B188" s="326">
        <v>7</v>
      </c>
      <c r="C188" s="327" t="s">
        <v>88</v>
      </c>
      <c r="D188" s="333">
        <f t="shared" si="96"/>
        <v>6531</v>
      </c>
      <c r="E188" s="366">
        <f t="shared" ref="E188:K188" si="105">D82</f>
        <v>1.9073290967711789E-2</v>
      </c>
      <c r="F188" s="333">
        <f t="shared" si="105"/>
        <v>2126</v>
      </c>
      <c r="G188" s="366">
        <f t="shared" si="105"/>
        <v>6.2088220176627264E-3</v>
      </c>
      <c r="H188" s="333">
        <f t="shared" si="105"/>
        <v>0</v>
      </c>
      <c r="I188" s="366">
        <f t="shared" si="105"/>
        <v>0</v>
      </c>
      <c r="J188" s="333">
        <f t="shared" si="105"/>
        <v>8657</v>
      </c>
      <c r="K188" s="366">
        <f t="shared" si="105"/>
        <v>2.5282112985374514E-2</v>
      </c>
    </row>
    <row r="189" spans="2:20" x14ac:dyDescent="0.25">
      <c r="B189" s="326">
        <v>8</v>
      </c>
      <c r="C189" s="328" t="s">
        <v>95</v>
      </c>
      <c r="D189" s="334">
        <f t="shared" si="96"/>
        <v>4423</v>
      </c>
      <c r="E189" s="367">
        <f t="shared" ref="E189:K189" si="106">D83</f>
        <v>1.2917036587075371E-2</v>
      </c>
      <c r="F189" s="334">
        <f t="shared" si="106"/>
        <v>507</v>
      </c>
      <c r="G189" s="367">
        <f t="shared" si="106"/>
        <v>1.480655109574319E-3</v>
      </c>
      <c r="H189" s="334">
        <f t="shared" si="106"/>
        <v>0</v>
      </c>
      <c r="I189" s="367">
        <f t="shared" si="106"/>
        <v>0</v>
      </c>
      <c r="J189" s="334">
        <f t="shared" si="106"/>
        <v>4930</v>
      </c>
      <c r="K189" s="367">
        <f t="shared" si="106"/>
        <v>1.439769169664969E-2</v>
      </c>
    </row>
    <row r="190" spans="2:20" x14ac:dyDescent="0.25">
      <c r="B190" s="326">
        <v>9</v>
      </c>
      <c r="C190" s="327" t="s">
        <v>92</v>
      </c>
      <c r="D190" s="333">
        <f t="shared" si="96"/>
        <v>31687</v>
      </c>
      <c r="E190" s="366">
        <f t="shared" ref="E190:K190" si="107">D84</f>
        <v>9.2539484136255318E-2</v>
      </c>
      <c r="F190" s="333">
        <f t="shared" si="107"/>
        <v>0</v>
      </c>
      <c r="G190" s="366">
        <f t="shared" si="107"/>
        <v>0</v>
      </c>
      <c r="H190" s="333">
        <f t="shared" si="107"/>
        <v>0</v>
      </c>
      <c r="I190" s="366">
        <f t="shared" si="107"/>
        <v>0</v>
      </c>
      <c r="J190" s="333">
        <f t="shared" si="107"/>
        <v>31687</v>
      </c>
      <c r="K190" s="366">
        <f t="shared" si="107"/>
        <v>9.2539484136255318E-2</v>
      </c>
    </row>
    <row r="191" spans="2:20" x14ac:dyDescent="0.25">
      <c r="B191" s="326">
        <v>10</v>
      </c>
      <c r="C191" s="328" t="s">
        <v>173</v>
      </c>
      <c r="D191" s="334">
        <f t="shared" si="96"/>
        <v>2381</v>
      </c>
      <c r="E191" s="367">
        <f t="shared" ref="E191:K191" si="108">D85</f>
        <v>6.9535302088687446E-3</v>
      </c>
      <c r="F191" s="334">
        <f t="shared" si="108"/>
        <v>0</v>
      </c>
      <c r="G191" s="367">
        <f t="shared" si="108"/>
        <v>0</v>
      </c>
      <c r="H191" s="334">
        <f t="shared" si="108"/>
        <v>0</v>
      </c>
      <c r="I191" s="367">
        <f t="shared" si="108"/>
        <v>0</v>
      </c>
      <c r="J191" s="334">
        <f t="shared" si="108"/>
        <v>2381</v>
      </c>
      <c r="K191" s="367">
        <f t="shared" si="108"/>
        <v>6.9535302088687446E-3</v>
      </c>
    </row>
    <row r="192" spans="2:20" x14ac:dyDescent="0.25">
      <c r="B192" s="326">
        <v>11</v>
      </c>
      <c r="C192" s="327" t="s">
        <v>110</v>
      </c>
      <c r="D192" s="333">
        <f t="shared" si="96"/>
        <v>6303</v>
      </c>
      <c r="E192" s="366">
        <f t="shared" ref="E192:K192" si="109">D86</f>
        <v>1.8407434232045231E-2</v>
      </c>
      <c r="F192" s="333">
        <f t="shared" si="109"/>
        <v>0</v>
      </c>
      <c r="G192" s="366">
        <f t="shared" si="109"/>
        <v>0</v>
      </c>
      <c r="H192" s="333">
        <f t="shared" si="109"/>
        <v>0</v>
      </c>
      <c r="I192" s="366">
        <f t="shared" si="109"/>
        <v>0</v>
      </c>
      <c r="J192" s="333">
        <f t="shared" si="109"/>
        <v>6303</v>
      </c>
      <c r="K192" s="366">
        <f t="shared" si="109"/>
        <v>1.8407434232045231E-2</v>
      </c>
    </row>
    <row r="193" spans="2:11" x14ac:dyDescent="0.25">
      <c r="B193" s="326">
        <v>12</v>
      </c>
      <c r="C193" s="328" t="s">
        <v>157</v>
      </c>
      <c r="D193" s="334">
        <f t="shared" si="96"/>
        <v>19896</v>
      </c>
      <c r="E193" s="367">
        <f t="shared" ref="E193:K193" si="110">D87</f>
        <v>5.8104761459744872E-2</v>
      </c>
      <c r="F193" s="334">
        <f t="shared" si="110"/>
        <v>40</v>
      </c>
      <c r="G193" s="367">
        <f t="shared" si="110"/>
        <v>1.1681697116957152E-4</v>
      </c>
      <c r="H193" s="334">
        <f t="shared" si="110"/>
        <v>83</v>
      </c>
      <c r="I193" s="367">
        <f t="shared" si="110"/>
        <v>2.4239521517686091E-4</v>
      </c>
      <c r="J193" s="334">
        <f t="shared" si="110"/>
        <v>20019</v>
      </c>
      <c r="K193" s="367">
        <f t="shared" si="110"/>
        <v>5.8463973646091308E-2</v>
      </c>
    </row>
    <row r="194" spans="2:11" x14ac:dyDescent="0.25">
      <c r="B194" s="326">
        <v>13</v>
      </c>
      <c r="C194" s="327" t="s">
        <v>151</v>
      </c>
      <c r="D194" s="333">
        <f t="shared" si="96"/>
        <v>13656</v>
      </c>
      <c r="E194" s="366">
        <f t="shared" ref="E194:K194" si="111">D88</f>
        <v>3.9881313957291713E-2</v>
      </c>
      <c r="F194" s="333">
        <f t="shared" si="111"/>
        <v>589</v>
      </c>
      <c r="G194" s="366">
        <f t="shared" si="111"/>
        <v>1.7201299004719406E-3</v>
      </c>
      <c r="H194" s="333">
        <f t="shared" si="111"/>
        <v>0</v>
      </c>
      <c r="I194" s="366">
        <f t="shared" si="111"/>
        <v>0</v>
      </c>
      <c r="J194" s="333">
        <f t="shared" si="111"/>
        <v>14245</v>
      </c>
      <c r="K194" s="366">
        <f t="shared" si="111"/>
        <v>4.1601443857763654E-2</v>
      </c>
    </row>
    <row r="195" spans="2:11" x14ac:dyDescent="0.25">
      <c r="B195" s="326">
        <v>14</v>
      </c>
      <c r="C195" s="328" t="s">
        <v>98</v>
      </c>
      <c r="D195" s="334">
        <f t="shared" si="96"/>
        <v>73118</v>
      </c>
      <c r="E195" s="367">
        <f t="shared" ref="E195:K195" si="112">D89</f>
        <v>0.21353558244941825</v>
      </c>
      <c r="F195" s="334">
        <f t="shared" si="112"/>
        <v>0</v>
      </c>
      <c r="G195" s="367">
        <f t="shared" si="112"/>
        <v>0</v>
      </c>
      <c r="H195" s="334">
        <f t="shared" si="112"/>
        <v>0</v>
      </c>
      <c r="I195" s="367">
        <f t="shared" si="112"/>
        <v>0</v>
      </c>
      <c r="J195" s="334">
        <f t="shared" si="112"/>
        <v>73118</v>
      </c>
      <c r="K195" s="367">
        <f t="shared" si="112"/>
        <v>0.21353558244941825</v>
      </c>
    </row>
    <row r="196" spans="2:11" x14ac:dyDescent="0.25">
      <c r="B196" s="326">
        <v>15</v>
      </c>
      <c r="C196" s="327" t="s">
        <v>175</v>
      </c>
      <c r="D196" s="333">
        <f t="shared" si="96"/>
        <v>9830</v>
      </c>
      <c r="E196" s="366">
        <f t="shared" ref="E196:K196" si="113">D90</f>
        <v>2.8707770664922201E-2</v>
      </c>
      <c r="F196" s="333">
        <f t="shared" si="113"/>
        <v>0</v>
      </c>
      <c r="G196" s="366">
        <f t="shared" si="113"/>
        <v>0</v>
      </c>
      <c r="H196" s="333">
        <f t="shared" si="113"/>
        <v>0</v>
      </c>
      <c r="I196" s="366">
        <f t="shared" si="113"/>
        <v>0</v>
      </c>
      <c r="J196" s="333">
        <f t="shared" si="113"/>
        <v>9830</v>
      </c>
      <c r="K196" s="366">
        <f t="shared" si="113"/>
        <v>2.8707770664922201E-2</v>
      </c>
    </row>
    <row r="197" spans="2:11" x14ac:dyDescent="0.25">
      <c r="B197" s="326">
        <v>16</v>
      </c>
      <c r="C197" s="328" t="s">
        <v>181</v>
      </c>
      <c r="D197" s="334">
        <f t="shared" si="96"/>
        <v>0</v>
      </c>
      <c r="E197" s="367">
        <f t="shared" ref="E197:K197" si="114">D91</f>
        <v>0</v>
      </c>
      <c r="F197" s="334">
        <f t="shared" si="114"/>
        <v>8588</v>
      </c>
      <c r="G197" s="367">
        <f t="shared" si="114"/>
        <v>2.5080603710107004E-2</v>
      </c>
      <c r="H197" s="334">
        <f t="shared" si="114"/>
        <v>0</v>
      </c>
      <c r="I197" s="367">
        <f t="shared" si="114"/>
        <v>0</v>
      </c>
      <c r="J197" s="334">
        <f t="shared" si="114"/>
        <v>8588</v>
      </c>
      <c r="K197" s="367">
        <f t="shared" si="114"/>
        <v>2.5080603710107004E-2</v>
      </c>
    </row>
    <row r="198" spans="2:11" x14ac:dyDescent="0.25">
      <c r="B198" s="329" t="s">
        <v>139</v>
      </c>
      <c r="C198" s="342" t="s">
        <v>184</v>
      </c>
      <c r="D198" s="343">
        <f t="shared" si="96"/>
        <v>707</v>
      </c>
      <c r="E198" s="365">
        <f t="shared" ref="E198:K198" si="115">D92</f>
        <v>2.0647399654221766E-3</v>
      </c>
      <c r="F198" s="343">
        <f t="shared" si="115"/>
        <v>16124</v>
      </c>
      <c r="G198" s="365">
        <f t="shared" si="115"/>
        <v>4.7088921078454277E-2</v>
      </c>
      <c r="H198" s="343">
        <f t="shared" si="115"/>
        <v>31</v>
      </c>
      <c r="I198" s="365">
        <f t="shared" si="115"/>
        <v>9.0533152656417925E-5</v>
      </c>
      <c r="J198" s="343">
        <f t="shared" si="115"/>
        <v>16862</v>
      </c>
      <c r="K198" s="365">
        <f t="shared" si="115"/>
        <v>4.9244194196532871E-2</v>
      </c>
    </row>
    <row r="199" spans="2:11" x14ac:dyDescent="0.25">
      <c r="B199" s="326">
        <v>17</v>
      </c>
      <c r="C199" s="327" t="s">
        <v>471</v>
      </c>
      <c r="D199" s="333">
        <f t="shared" si="96"/>
        <v>129</v>
      </c>
      <c r="E199" s="366">
        <f t="shared" ref="E199:K199" si="116">D93</f>
        <v>3.7673473202186813E-4</v>
      </c>
      <c r="F199" s="333">
        <f t="shared" si="116"/>
        <v>1523</v>
      </c>
      <c r="G199" s="366">
        <f t="shared" si="116"/>
        <v>4.4478061772814355E-3</v>
      </c>
      <c r="H199" s="333">
        <f t="shared" si="116"/>
        <v>31</v>
      </c>
      <c r="I199" s="366">
        <f t="shared" si="116"/>
        <v>9.0533152656417925E-5</v>
      </c>
      <c r="J199" s="333">
        <f t="shared" si="116"/>
        <v>1683</v>
      </c>
      <c r="K199" s="366">
        <f t="shared" si="116"/>
        <v>4.9150740619597223E-3</v>
      </c>
    </row>
    <row r="200" spans="2:11" x14ac:dyDescent="0.25">
      <c r="B200" s="326">
        <v>18</v>
      </c>
      <c r="C200" s="328" t="s">
        <v>196</v>
      </c>
      <c r="D200" s="334">
        <f t="shared" si="96"/>
        <v>0</v>
      </c>
      <c r="E200" s="367">
        <f t="shared" ref="E200:K200" si="117">D94</f>
        <v>0</v>
      </c>
      <c r="F200" s="334">
        <f t="shared" si="117"/>
        <v>2038</v>
      </c>
      <c r="G200" s="367">
        <f t="shared" si="117"/>
        <v>5.9518246810896687E-3</v>
      </c>
      <c r="H200" s="334">
        <f t="shared" si="117"/>
        <v>0</v>
      </c>
      <c r="I200" s="367">
        <f t="shared" si="117"/>
        <v>0</v>
      </c>
      <c r="J200" s="334">
        <f t="shared" si="117"/>
        <v>2038</v>
      </c>
      <c r="K200" s="367">
        <f t="shared" si="117"/>
        <v>5.9518246810896687E-3</v>
      </c>
    </row>
    <row r="201" spans="2:11" x14ac:dyDescent="0.25">
      <c r="B201" s="326">
        <v>19</v>
      </c>
      <c r="C201" s="327" t="s">
        <v>203</v>
      </c>
      <c r="D201" s="333">
        <f t="shared" si="96"/>
        <v>0</v>
      </c>
      <c r="E201" s="366">
        <f t="shared" ref="E201:K201" si="118">D95</f>
        <v>0</v>
      </c>
      <c r="F201" s="333">
        <f t="shared" si="118"/>
        <v>1133</v>
      </c>
      <c r="G201" s="366">
        <f t="shared" si="118"/>
        <v>3.3088407083781131E-3</v>
      </c>
      <c r="H201" s="333">
        <f t="shared" si="118"/>
        <v>0</v>
      </c>
      <c r="I201" s="366">
        <f t="shared" si="118"/>
        <v>0</v>
      </c>
      <c r="J201" s="333">
        <f t="shared" si="118"/>
        <v>1133</v>
      </c>
      <c r="K201" s="366">
        <f t="shared" si="118"/>
        <v>3.3088407083781131E-3</v>
      </c>
    </row>
    <row r="202" spans="2:11" x14ac:dyDescent="0.25">
      <c r="B202" s="326">
        <v>20</v>
      </c>
      <c r="C202" s="328" t="s">
        <v>206</v>
      </c>
      <c r="D202" s="334">
        <f t="shared" si="96"/>
        <v>0</v>
      </c>
      <c r="E202" s="367">
        <f t="shared" ref="E202:K202" si="119">D96</f>
        <v>0</v>
      </c>
      <c r="F202" s="334">
        <f t="shared" si="119"/>
        <v>4273</v>
      </c>
      <c r="G202" s="367">
        <f t="shared" si="119"/>
        <v>1.2478972945189477E-2</v>
      </c>
      <c r="H202" s="334">
        <f t="shared" si="119"/>
        <v>0</v>
      </c>
      <c r="I202" s="367">
        <f t="shared" si="119"/>
        <v>0</v>
      </c>
      <c r="J202" s="334">
        <f t="shared" si="119"/>
        <v>4273</v>
      </c>
      <c r="K202" s="367">
        <f t="shared" si="119"/>
        <v>1.2478972945189477E-2</v>
      </c>
    </row>
    <row r="203" spans="2:11" x14ac:dyDescent="0.25">
      <c r="B203" s="326">
        <v>21</v>
      </c>
      <c r="C203" s="327" t="s">
        <v>215</v>
      </c>
      <c r="D203" s="333">
        <f t="shared" si="96"/>
        <v>578</v>
      </c>
      <c r="E203" s="366">
        <f t="shared" ref="E203:K203" si="120">D97</f>
        <v>1.6880052334003084E-3</v>
      </c>
      <c r="F203" s="333">
        <f t="shared" si="120"/>
        <v>5047</v>
      </c>
      <c r="G203" s="366">
        <f t="shared" si="120"/>
        <v>1.4739381337320686E-2</v>
      </c>
      <c r="H203" s="333">
        <f t="shared" si="120"/>
        <v>0</v>
      </c>
      <c r="I203" s="366">
        <f t="shared" si="120"/>
        <v>0</v>
      </c>
      <c r="J203" s="333">
        <f t="shared" si="120"/>
        <v>5625</v>
      </c>
      <c r="K203" s="366">
        <f t="shared" si="120"/>
        <v>1.6427386570720993E-2</v>
      </c>
    </row>
    <row r="204" spans="2:11" x14ac:dyDescent="0.25">
      <c r="B204" s="326">
        <v>22</v>
      </c>
      <c r="C204" s="328" t="s">
        <v>213</v>
      </c>
      <c r="D204" s="334">
        <f t="shared" si="96"/>
        <v>0</v>
      </c>
      <c r="E204" s="367">
        <f t="shared" ref="E204:K204" si="121">D98</f>
        <v>0</v>
      </c>
      <c r="F204" s="334">
        <f t="shared" si="121"/>
        <v>2110</v>
      </c>
      <c r="G204" s="367">
        <f t="shared" si="121"/>
        <v>6.1620952291948977E-3</v>
      </c>
      <c r="H204" s="334">
        <f t="shared" si="121"/>
        <v>0</v>
      </c>
      <c r="I204" s="367">
        <f t="shared" si="121"/>
        <v>0</v>
      </c>
      <c r="J204" s="334">
        <f t="shared" si="121"/>
        <v>2110</v>
      </c>
      <c r="K204" s="367">
        <f t="shared" si="121"/>
        <v>6.1620952291948977E-3</v>
      </c>
    </row>
    <row r="205" spans="2:11" x14ac:dyDescent="0.25">
      <c r="B205" s="329" t="s">
        <v>139</v>
      </c>
      <c r="C205" s="342" t="s">
        <v>218</v>
      </c>
      <c r="D205" s="343">
        <f t="shared" si="96"/>
        <v>721</v>
      </c>
      <c r="E205" s="365">
        <f t="shared" ref="E205:K205" si="122">D99</f>
        <v>2.1056259053315266E-3</v>
      </c>
      <c r="F205" s="343">
        <f t="shared" si="122"/>
        <v>0</v>
      </c>
      <c r="G205" s="365">
        <f t="shared" si="122"/>
        <v>0</v>
      </c>
      <c r="H205" s="343">
        <f t="shared" si="122"/>
        <v>95</v>
      </c>
      <c r="I205" s="365">
        <f t="shared" si="122"/>
        <v>2.774403065277324E-4</v>
      </c>
      <c r="J205" s="343">
        <f t="shared" si="122"/>
        <v>816</v>
      </c>
      <c r="K205" s="365">
        <f t="shared" si="122"/>
        <v>2.383066211859259E-3</v>
      </c>
    </row>
    <row r="206" spans="2:11" x14ac:dyDescent="0.25">
      <c r="B206" s="326">
        <v>23</v>
      </c>
      <c r="C206" s="327" t="s">
        <v>676</v>
      </c>
      <c r="D206" s="333">
        <f t="shared" si="96"/>
        <v>0</v>
      </c>
      <c r="E206" s="366">
        <f t="shared" ref="E206:K206" si="123">D100</f>
        <v>0</v>
      </c>
      <c r="F206" s="333">
        <f t="shared" si="123"/>
        <v>0</v>
      </c>
      <c r="G206" s="366">
        <f t="shared" si="123"/>
        <v>0</v>
      </c>
      <c r="H206" s="333">
        <f t="shared" si="123"/>
        <v>82</v>
      </c>
      <c r="I206" s="366">
        <f t="shared" si="123"/>
        <v>2.3947479089762161E-4</v>
      </c>
      <c r="J206" s="333">
        <f t="shared" si="123"/>
        <v>82</v>
      </c>
      <c r="K206" s="366">
        <f t="shared" si="123"/>
        <v>2.3947479089762161E-4</v>
      </c>
    </row>
    <row r="207" spans="2:11" x14ac:dyDescent="0.25">
      <c r="B207" s="326">
        <v>24</v>
      </c>
      <c r="C207" s="328" t="s">
        <v>224</v>
      </c>
      <c r="D207" s="334">
        <f t="shared" si="96"/>
        <v>187</v>
      </c>
      <c r="E207" s="367">
        <f t="shared" ref="E207:K207" si="124">D101</f>
        <v>5.4611934021774684E-4</v>
      </c>
      <c r="F207" s="334">
        <f t="shared" si="124"/>
        <v>0</v>
      </c>
      <c r="G207" s="367">
        <f t="shared" si="124"/>
        <v>0</v>
      </c>
      <c r="H207" s="334">
        <f t="shared" si="124"/>
        <v>5</v>
      </c>
      <c r="I207" s="367">
        <f t="shared" si="124"/>
        <v>1.460212139619644E-5</v>
      </c>
      <c r="J207" s="334">
        <f t="shared" si="124"/>
        <v>192</v>
      </c>
      <c r="K207" s="367">
        <f t="shared" si="124"/>
        <v>5.6072146161394328E-4</v>
      </c>
    </row>
    <row r="208" spans="2:11" x14ac:dyDescent="0.25">
      <c r="B208" s="326">
        <v>25</v>
      </c>
      <c r="C208" s="327" t="s">
        <v>220</v>
      </c>
      <c r="D208" s="333">
        <f t="shared" si="96"/>
        <v>38</v>
      </c>
      <c r="E208" s="366">
        <f t="shared" ref="E208:K208" si="125">D102</f>
        <v>1.1097612261109294E-4</v>
      </c>
      <c r="F208" s="333">
        <f t="shared" si="125"/>
        <v>0</v>
      </c>
      <c r="G208" s="366">
        <f t="shared" si="125"/>
        <v>0</v>
      </c>
      <c r="H208" s="333">
        <f t="shared" si="125"/>
        <v>8</v>
      </c>
      <c r="I208" s="366">
        <f t="shared" si="125"/>
        <v>2.3363394233914302E-5</v>
      </c>
      <c r="J208" s="333">
        <f t="shared" si="125"/>
        <v>46</v>
      </c>
      <c r="K208" s="366">
        <f t="shared" si="125"/>
        <v>1.3433951684500725E-4</v>
      </c>
    </row>
    <row r="209" spans="2:11" x14ac:dyDescent="0.25">
      <c r="B209" s="326">
        <v>26</v>
      </c>
      <c r="C209" s="328" t="s">
        <v>228</v>
      </c>
      <c r="D209" s="334">
        <f t="shared" si="96"/>
        <v>429</v>
      </c>
      <c r="E209" s="367">
        <f t="shared" ref="E209:K209" si="126">D103</f>
        <v>1.2528620157936546E-3</v>
      </c>
      <c r="F209" s="334">
        <f t="shared" si="126"/>
        <v>0</v>
      </c>
      <c r="G209" s="367">
        <f t="shared" si="126"/>
        <v>0</v>
      </c>
      <c r="H209" s="334">
        <f t="shared" si="126"/>
        <v>0</v>
      </c>
      <c r="I209" s="367">
        <f t="shared" si="126"/>
        <v>0</v>
      </c>
      <c r="J209" s="334">
        <f t="shared" si="126"/>
        <v>429</v>
      </c>
      <c r="K209" s="367">
        <f t="shared" si="126"/>
        <v>1.2528620157936546E-3</v>
      </c>
    </row>
    <row r="210" spans="2:11" x14ac:dyDescent="0.25">
      <c r="B210" s="326">
        <v>27</v>
      </c>
      <c r="C210" s="327" t="s">
        <v>497</v>
      </c>
      <c r="D210" s="333">
        <f t="shared" si="96"/>
        <v>67</v>
      </c>
      <c r="E210" s="366">
        <f t="shared" ref="E210:K210" si="127">D104</f>
        <v>1.9566842670903228E-4</v>
      </c>
      <c r="F210" s="333">
        <f t="shared" si="127"/>
        <v>0</v>
      </c>
      <c r="G210" s="366">
        <f t="shared" si="127"/>
        <v>0</v>
      </c>
      <c r="H210" s="333">
        <f t="shared" si="127"/>
        <v>0</v>
      </c>
      <c r="I210" s="366">
        <f t="shared" si="127"/>
        <v>0</v>
      </c>
      <c r="J210" s="333">
        <f t="shared" si="127"/>
        <v>67</v>
      </c>
      <c r="K210" s="366">
        <f t="shared" si="127"/>
        <v>1.9566842670903228E-4</v>
      </c>
    </row>
    <row r="211" spans="2:11" x14ac:dyDescent="0.25">
      <c r="B211" s="329" t="s">
        <v>139</v>
      </c>
      <c r="C211" s="342" t="s">
        <v>48</v>
      </c>
      <c r="D211" s="343">
        <f t="shared" si="96"/>
        <v>74539</v>
      </c>
      <c r="E211" s="365">
        <f t="shared" ref="E211:K211" si="128">D105</f>
        <v>0.21768550535021727</v>
      </c>
      <c r="F211" s="343">
        <f t="shared" si="128"/>
        <v>2095</v>
      </c>
      <c r="G211" s="365">
        <f t="shared" si="128"/>
        <v>6.1182888650063083E-3</v>
      </c>
      <c r="H211" s="343">
        <f t="shared" si="128"/>
        <v>0</v>
      </c>
      <c r="I211" s="365">
        <f t="shared" si="128"/>
        <v>0</v>
      </c>
      <c r="J211" s="343">
        <f t="shared" si="128"/>
        <v>76634</v>
      </c>
      <c r="K211" s="365">
        <f t="shared" si="128"/>
        <v>0.22380379421522356</v>
      </c>
    </row>
    <row r="212" spans="2:11" x14ac:dyDescent="0.25">
      <c r="B212" s="326">
        <v>28</v>
      </c>
      <c r="C212" s="327" t="s">
        <v>232</v>
      </c>
      <c r="D212" s="333">
        <f t="shared" si="96"/>
        <v>21554</v>
      </c>
      <c r="E212" s="366">
        <f t="shared" ref="E212:K212" si="129">D106</f>
        <v>6.2946824914723615E-2</v>
      </c>
      <c r="F212" s="333">
        <f t="shared" si="129"/>
        <v>2095</v>
      </c>
      <c r="G212" s="366">
        <f t="shared" si="129"/>
        <v>6.1182888650063083E-3</v>
      </c>
      <c r="H212" s="333">
        <f t="shared" si="129"/>
        <v>0</v>
      </c>
      <c r="I212" s="366">
        <f t="shared" si="129"/>
        <v>0</v>
      </c>
      <c r="J212" s="333">
        <f t="shared" si="129"/>
        <v>23649</v>
      </c>
      <c r="K212" s="366">
        <f t="shared" si="129"/>
        <v>6.9065113779729917E-2</v>
      </c>
    </row>
    <row r="213" spans="2:11" x14ac:dyDescent="0.25">
      <c r="B213" s="326">
        <v>29</v>
      </c>
      <c r="C213" s="328" t="s">
        <v>62</v>
      </c>
      <c r="D213" s="334">
        <f t="shared" si="96"/>
        <v>51257</v>
      </c>
      <c r="E213" s="367">
        <f t="shared" ref="E213:K213" si="130">D107</f>
        <v>0.14969218728096817</v>
      </c>
      <c r="F213" s="334">
        <f t="shared" si="130"/>
        <v>0</v>
      </c>
      <c r="G213" s="367">
        <f t="shared" si="130"/>
        <v>0</v>
      </c>
      <c r="H213" s="334">
        <f t="shared" si="130"/>
        <v>0</v>
      </c>
      <c r="I213" s="367">
        <f t="shared" si="130"/>
        <v>0</v>
      </c>
      <c r="J213" s="334">
        <f t="shared" si="130"/>
        <v>51257</v>
      </c>
      <c r="K213" s="367">
        <f t="shared" si="130"/>
        <v>0.14969218728096817</v>
      </c>
    </row>
    <row r="214" spans="2:11" x14ac:dyDescent="0.25">
      <c r="B214" s="326">
        <v>30</v>
      </c>
      <c r="C214" s="327" t="s">
        <v>527</v>
      </c>
      <c r="D214" s="333">
        <f t="shared" si="96"/>
        <v>1728</v>
      </c>
      <c r="E214" s="366">
        <f t="shared" ref="E214:K214" si="131">D108</f>
        <v>5.0464931545254896E-3</v>
      </c>
      <c r="F214" s="333">
        <f t="shared" si="131"/>
        <v>0</v>
      </c>
      <c r="G214" s="366">
        <f t="shared" si="131"/>
        <v>0</v>
      </c>
      <c r="H214" s="333">
        <f t="shared" si="131"/>
        <v>0</v>
      </c>
      <c r="I214" s="366">
        <f t="shared" si="131"/>
        <v>0</v>
      </c>
      <c r="J214" s="333">
        <f t="shared" si="131"/>
        <v>1728</v>
      </c>
      <c r="K214" s="366">
        <f t="shared" si="131"/>
        <v>5.0464931545254896E-3</v>
      </c>
    </row>
    <row r="215" spans="2:11" x14ac:dyDescent="0.25">
      <c r="B215" s="329" t="s">
        <v>139</v>
      </c>
      <c r="C215" s="342" t="s">
        <v>37</v>
      </c>
      <c r="D215" s="343">
        <f t="shared" si="96"/>
        <v>62324</v>
      </c>
      <c r="E215" s="365">
        <f t="shared" ref="E215:K215" si="132">D109</f>
        <v>0.18201252277930938</v>
      </c>
      <c r="F215" s="343">
        <f t="shared" si="132"/>
        <v>75</v>
      </c>
      <c r="G215" s="365">
        <f t="shared" si="132"/>
        <v>2.1903182094294658E-4</v>
      </c>
      <c r="H215" s="343">
        <f t="shared" si="132"/>
        <v>35</v>
      </c>
      <c r="I215" s="365">
        <f t="shared" si="132"/>
        <v>1.0221484977337507E-4</v>
      </c>
      <c r="J215" s="343">
        <f t="shared" si="132"/>
        <v>62434</v>
      </c>
      <c r="K215" s="365">
        <f t="shared" si="132"/>
        <v>0.18233376945002569</v>
      </c>
    </row>
    <row r="216" spans="2:11" x14ac:dyDescent="0.25">
      <c r="B216" s="326">
        <v>31</v>
      </c>
      <c r="C216" s="327" t="s">
        <v>236</v>
      </c>
      <c r="D216" s="333">
        <f t="shared" si="96"/>
        <v>1857</v>
      </c>
      <c r="E216" s="366">
        <f t="shared" ref="E216:K216" si="133">D110</f>
        <v>5.4232278865473573E-3</v>
      </c>
      <c r="F216" s="333">
        <f t="shared" si="133"/>
        <v>0</v>
      </c>
      <c r="G216" s="366">
        <f t="shared" si="133"/>
        <v>0</v>
      </c>
      <c r="H216" s="333">
        <f t="shared" si="133"/>
        <v>0</v>
      </c>
      <c r="I216" s="366">
        <f t="shared" si="133"/>
        <v>0</v>
      </c>
      <c r="J216" s="333">
        <f t="shared" si="133"/>
        <v>1857</v>
      </c>
      <c r="K216" s="366">
        <f t="shared" si="133"/>
        <v>5.4232278865473573E-3</v>
      </c>
    </row>
    <row r="217" spans="2:11" x14ac:dyDescent="0.25">
      <c r="B217" s="326">
        <v>32</v>
      </c>
      <c r="C217" s="328" t="s">
        <v>540</v>
      </c>
      <c r="D217" s="334">
        <f t="shared" si="96"/>
        <v>657</v>
      </c>
      <c r="E217" s="367">
        <f t="shared" ref="E217:K217" si="134">D111</f>
        <v>1.9187187514602122E-3</v>
      </c>
      <c r="F217" s="334">
        <f t="shared" si="134"/>
        <v>0</v>
      </c>
      <c r="G217" s="367">
        <f t="shared" si="134"/>
        <v>0</v>
      </c>
      <c r="H217" s="334">
        <f t="shared" si="134"/>
        <v>0</v>
      </c>
      <c r="I217" s="367">
        <f t="shared" si="134"/>
        <v>0</v>
      </c>
      <c r="J217" s="334">
        <f t="shared" si="134"/>
        <v>657</v>
      </c>
      <c r="K217" s="367">
        <f t="shared" si="134"/>
        <v>1.9187187514602122E-3</v>
      </c>
    </row>
    <row r="218" spans="2:11" x14ac:dyDescent="0.25">
      <c r="B218" s="326">
        <v>33</v>
      </c>
      <c r="C218" s="327" t="s">
        <v>547</v>
      </c>
      <c r="D218" s="333">
        <f t="shared" si="96"/>
        <v>18526</v>
      </c>
      <c r="E218" s="366">
        <f t="shared" ref="E218:K218" si="135">D112</f>
        <v>5.4103780197187049E-2</v>
      </c>
      <c r="F218" s="333">
        <f t="shared" si="135"/>
        <v>0</v>
      </c>
      <c r="G218" s="366">
        <f t="shared" si="135"/>
        <v>0</v>
      </c>
      <c r="H218" s="333">
        <f t="shared" si="135"/>
        <v>0</v>
      </c>
      <c r="I218" s="366">
        <f t="shared" si="135"/>
        <v>0</v>
      </c>
      <c r="J218" s="333">
        <f t="shared" si="135"/>
        <v>18526</v>
      </c>
      <c r="K218" s="366">
        <f t="shared" si="135"/>
        <v>5.4103780197187049E-2</v>
      </c>
    </row>
    <row r="219" spans="2:11" x14ac:dyDescent="0.25">
      <c r="B219" s="326">
        <v>34</v>
      </c>
      <c r="C219" s="328" t="s">
        <v>244</v>
      </c>
      <c r="D219" s="334">
        <f t="shared" si="96"/>
        <v>2292</v>
      </c>
      <c r="E219" s="367">
        <f t="shared" ref="E219:K219" si="136">D113</f>
        <v>6.6936124480164476E-3</v>
      </c>
      <c r="F219" s="334">
        <f t="shared" si="136"/>
        <v>0</v>
      </c>
      <c r="G219" s="367">
        <f t="shared" si="136"/>
        <v>0</v>
      </c>
      <c r="H219" s="334">
        <f t="shared" si="136"/>
        <v>0</v>
      </c>
      <c r="I219" s="367">
        <f t="shared" si="136"/>
        <v>0</v>
      </c>
      <c r="J219" s="334">
        <f t="shared" si="136"/>
        <v>2292</v>
      </c>
      <c r="K219" s="367">
        <f t="shared" si="136"/>
        <v>6.6936124480164476E-3</v>
      </c>
    </row>
    <row r="220" spans="2:11" x14ac:dyDescent="0.25">
      <c r="B220" s="326">
        <v>35</v>
      </c>
      <c r="C220" s="327" t="s">
        <v>247</v>
      </c>
      <c r="D220" s="333">
        <f t="shared" si="96"/>
        <v>17437</v>
      </c>
      <c r="E220" s="366">
        <f t="shared" ref="E220:K220" si="137">D114</f>
        <v>5.0923438157095463E-2</v>
      </c>
      <c r="F220" s="333">
        <f t="shared" si="137"/>
        <v>0</v>
      </c>
      <c r="G220" s="366">
        <f t="shared" si="137"/>
        <v>0</v>
      </c>
      <c r="H220" s="333">
        <f t="shared" si="137"/>
        <v>0</v>
      </c>
      <c r="I220" s="366">
        <f t="shared" si="137"/>
        <v>0</v>
      </c>
      <c r="J220" s="333">
        <f t="shared" si="137"/>
        <v>17437</v>
      </c>
      <c r="K220" s="366">
        <f t="shared" si="137"/>
        <v>5.0923438157095463E-2</v>
      </c>
    </row>
    <row r="221" spans="2:11" x14ac:dyDescent="0.25">
      <c r="B221" s="326">
        <v>36</v>
      </c>
      <c r="C221" s="328" t="s">
        <v>250</v>
      </c>
      <c r="D221" s="334">
        <f t="shared" si="96"/>
        <v>20670</v>
      </c>
      <c r="E221" s="367">
        <f t="shared" ref="E221:K221" si="138">D115</f>
        <v>6.036516985187608E-2</v>
      </c>
      <c r="F221" s="334">
        <f t="shared" si="138"/>
        <v>75</v>
      </c>
      <c r="G221" s="367">
        <f t="shared" si="138"/>
        <v>2.1903182094294658E-4</v>
      </c>
      <c r="H221" s="334">
        <f t="shared" si="138"/>
        <v>35</v>
      </c>
      <c r="I221" s="367">
        <f t="shared" si="138"/>
        <v>1.0221484977337507E-4</v>
      </c>
      <c r="J221" s="334">
        <f t="shared" si="138"/>
        <v>20780</v>
      </c>
      <c r="K221" s="367">
        <f t="shared" si="138"/>
        <v>6.06864165225924E-2</v>
      </c>
    </row>
    <row r="222" spans="2:11" x14ac:dyDescent="0.25">
      <c r="B222" s="326">
        <v>37</v>
      </c>
      <c r="C222" s="327" t="s">
        <v>608</v>
      </c>
      <c r="D222" s="333">
        <f t="shared" si="96"/>
        <v>885</v>
      </c>
      <c r="E222" s="366">
        <f t="shared" ref="E222:K222" si="139">D116</f>
        <v>2.5845754871267699E-3</v>
      </c>
      <c r="F222" s="333">
        <f t="shared" si="139"/>
        <v>0</v>
      </c>
      <c r="G222" s="366">
        <f t="shared" si="139"/>
        <v>0</v>
      </c>
      <c r="H222" s="333">
        <f t="shared" si="139"/>
        <v>0</v>
      </c>
      <c r="I222" s="366">
        <f t="shared" si="139"/>
        <v>0</v>
      </c>
      <c r="J222" s="333">
        <f t="shared" si="139"/>
        <v>885</v>
      </c>
      <c r="K222" s="366">
        <f t="shared" si="139"/>
        <v>2.5845754871267699E-3</v>
      </c>
    </row>
    <row r="223" spans="2:11" x14ac:dyDescent="0.25">
      <c r="D223" s="368">
        <f>D215+D211+D205+D198+D187+D180</f>
        <v>311717</v>
      </c>
      <c r="E223" s="369">
        <f t="shared" ref="E223:K223" si="140">E215+E211+E205+E198+E187+E180</f>
        <v>0.9103458950516331</v>
      </c>
      <c r="F223" s="368">
        <f>F215+F211+F205+F198+F187+F180</f>
        <v>30144</v>
      </c>
      <c r="G223" s="369">
        <f t="shared" si="140"/>
        <v>8.8033269473389103E-2</v>
      </c>
      <c r="H223" s="368">
        <f t="shared" si="140"/>
        <v>555</v>
      </c>
      <c r="I223" s="369">
        <f t="shared" si="140"/>
        <v>1.6208354749778049E-3</v>
      </c>
      <c r="J223" s="368">
        <f t="shared" si="140"/>
        <v>342416</v>
      </c>
      <c r="K223" s="369">
        <f t="shared" si="140"/>
        <v>0.99999999999999978</v>
      </c>
    </row>
  </sheetData>
  <mergeCells count="17">
    <mergeCell ref="M2:Q2"/>
    <mergeCell ref="H2:L2"/>
    <mergeCell ref="C2:G2"/>
    <mergeCell ref="B72:B73"/>
    <mergeCell ref="I72:J72"/>
    <mergeCell ref="G72:H72"/>
    <mergeCell ref="E72:F72"/>
    <mergeCell ref="C72:D72"/>
    <mergeCell ref="J178:K178"/>
    <mergeCell ref="C123:F123"/>
    <mergeCell ref="C178:C179"/>
    <mergeCell ref="D178:E178"/>
    <mergeCell ref="F178:G178"/>
    <mergeCell ref="H178:I178"/>
    <mergeCell ref="I124:L124"/>
    <mergeCell ref="I139:L139"/>
    <mergeCell ref="I153:L153"/>
  </mergeCells>
  <pageMargins left="0.7" right="0.7" top="0.75" bottom="0.75" header="0.3" footer="0.3"/>
  <pageSetup paperSize="9" orientation="portrait" r:id="rId1"/>
  <drawing r:id="rId2"/>
  <tableParts count="9"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5 7 b 9 e f a 4 - 6 5 1 e - 4 5 8 3 - 9 7 0 4 - a 5 c 9 f 4 9 c d 3 f 1 "   s q m i d = " 1 7 9 f 7 e 6 7 - 1 d a 9 - 4 6 7 7 - 8 9 0 d - 6 b e 5 3 b 3 5 1 5 2 0 "   x m l n s = " h t t p : / / s c h e m a s . m i c r o s o f t . c o m / D a t a M a s h u p " > A A A A A H U H A A B Q S w M E F A A C A A g A q p q Y S w / 1 W w e s A A A A + g A A A B I A H A B D b 2 5 m a W c v U G F j a 2 F n Z S 5 4 b W w g o h g A K K A U A A A A A A A A A A A A A A A A A A A A A A A A A A A A h Y / B C o J A G I R f R f b u v 6 5 a q P y u h 6 B T Q h R E V 9 l W X d I 1 d G 1 9 t w 4 9 U q 9 Q U E a 3 b j P D f D D z u N 0 x m 9 r G u c p + U J 1 O C Q O P O F K L 7 q R 0 l Z L R l G 5 E M o 7 b Q p y L S j q v s h 6 S a V A p q Y 2 5 J J R a a 8 E G 0 P U V 9 T 2 P 0 W O + 2 Y t a t o W r 9 G A K L S T 5 U q f / F O F 4 e I / h P o Q x h F H A I I g Y 0 j n G X O l Z M 1 h A 4 M d L 8 J D + x L g a G z P 2 k p e 9 u 9 4 h n S 3 S z w / + B F B L A w Q U A A I A C A C q m p h L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q p q Y S 3 o 5 R B 9 n B A A A Q h s A A B M A H A B G b 3 J t d W x h c y 9 T Z W N 0 a W 9 u M S 5 t I K I Y A C i g F A A A A A A A A A A A A A A A A A A A A A A A A A A A A O 1 Y z W 7 j N h C + G / A 7 C N q L A 7 h B Z C c O 0 E U O Q V N 0 U 2 y 3 a e z u x Q g E W h r b L C R S J S n v L o I 8 0 P Y 1 8 m I d W j + m L D F W 4 N q 9 J I k R U f P z z Q y H w x l L C B T l z B l n / 7 3 3 3 U 6 3 I 5 d E Q O h M u C L R D V H E v w F F a H Q H g v J Q O l d O B K r j 4 M + Y p y I A f P H b t / E f H 0 8 1 7 4 x I 6 L n e 4 P L 0 D H + 9 H 4 f D s 5 H b d 9 x Q x b 4 I v Q E + T + 9 B p Y K N K V t E U M h c K Z H C w 0 l / r T d c 4 8 k N Y A b 0 O B 0 H S 4 j J l a H t V k F 8 5 d I w 8 Q X M 8 a P c h 6 e p V v q Q q X r n f i Y R p M I R E C c R C Z 6 / g + e i x g m Z R X B 6 D / o d I E s K v S p q 3 x 2 c e e d u 3 7 1 D l J x P F A I T + K r 6 j 2 6 y Z g X 3 6 c Q K N r C A N d r V d 8 m K M O U X y N 4 + y M P 2 y O i h 9 v Z C Y w 7 3 w T x v j z n M M E c a 8 3 w f z I v 2 m D q o v x L m / x 6 s Y 3 y p s S / 2 w R 6 1 x 9 b B 5 Y H i M w E l 9 m g f 7 M v 2 2 K M y s 3 Q y t 8 u r D m V 2 Z F u Z S I j A o w 3 H q R E a T P r 5 q W 1 R J L Y k 9 i k U F U W v q B R + J v r / F Y w W B h y q b r S A P l T 5 a A F 9 6 C r S w o R D F 5 M W J h y y p m z g O 5 3 W x e U j D 4 h u T M y K c g 9 / p 8 / / K D B p / 3 V x Q e b I U F + D t F e Z U q x W X 2 5 Z C F 8 d 8 h d P 1 f P 3 T a C v w 3 B N + Y l H a c x 6 F W i 0 e 0 1 D o z 3 8 K z c O e T l j W G e V o B g z a W 4 b F y G I T J n s b a P i d h Q K 3 e s w 9 v x P J I Z y E e j S n y 0 G J m V g U o Y m Z V h S P t M o I g u o r V n O / E s i 0 S + 2 K J + J c j P 3 / N u b O 6 m f P 3 w o H / X r P 5 m A B Z U K M B H 8 e 5 i n C 4 C C z 0 r T g t n 2 b p g r 6 0 / w x T g B Z S A F M B 7 H 2 7 H U x m 9 C W Y t 6 / 9 E I 5 z v 3 y b w 1 m z S b m X 1 D 5 H L G i Q i P c F d K N I B Q A S 0 u y Y K 1 l r 2 T b w k 4 M Q / p n J r Z O x G E y T k X c R Y m z S V 7 h R I d n 4 Q n a b T O Z n 8 R 8 R k e d z T 5 l q n R + a l m f u o 7 j + v 2 f b l s f k 9 Z 2 E y Y E 6 s M n h 8 r L b C T i L S T o k a S n j l s 7 x s N 1 w S L 4 Z p k M 1 z T L I Z r k s X w N c l m u L I Z q K w C S 2 o l W X 1 S L / i k 7 D 4 p u 0 / K 5 t P P + Q 3 j S 0 x J P Q p i q r d n b I 4 G S Q g e d r D Y U l J r w m Y l q J 6 c S g 2 g c n 1 R x s B U N n a + D d d v w / X b c P 0 2 X B c V 4 l p K 7 H I I C 4 4 y U 9 / h 6 A 4 a a w P b o j 4 k u R Q p h c o y U f j Z o N j 0 M j n a N 4 t J 6 6 q X c 9 Y q X t n X y T R J B K 2 1 j D F f l S 1 j r q P c e r w o Q r e x S T S V m Z E h q c L Q G V 9 y H D p A V U C f B L h p k s 5 o R F W b X K i K 1 / L g J e 2 m 2 w G P 8 Y I m V G L X K L E H R z O p 9 F f Z S H G M M O w 0 Y F c g T A V 4 Q F a U p 7 J B U y 2 9 8 I J E E U Y i K j E Z i r k N K u N i P i m + b C N 6 v C L Y 1 o Q J O g w k W D p T g p U 5 b 6 k f f p h q q 8 r l y Q 5 8 r 8 k A u 7 U 5 O H Y N F f C 8 L S 7 A i + U u 8 M G r w L 0 N u t p C V 1 X 0 b G k c R y u + m Z t 6 p x l 8 O W Y 2 N k D u y j + T v X Y M t / U 1 H D 1 F V + C H R n + K 8 S I Y H D y 0 O P V n P n c P 5 X S 3 t F J z N 5 n h G 2 a 2 + e r 3 Z Q 1 l g L o Y o d e B v / 8 X U E s B A i 0 A F A A C A A g A q p q Y S w / 1 W w e s A A A A + g A A A B I A A A A A A A A A A A A A A A A A A A A A A E N v b m Z p Z y 9 Q Y W N r Y W d l L n h t b F B L A Q I t A B Q A A g A I A K q a m E s P y u m r p A A A A O k A A A A T A A A A A A A A A A A A A A A A A P g A A A B b Q 2 9 u d G V u d F 9 U e X B l c 1 0 u e G 1 s U E s B A i 0 A F A A C A A g A q p q Y S 3 o 5 R B 9 n B A A A Q h s A A B M A A A A A A A A A A A A A A A A A 6 Q E A A E Z v c m 1 1 b G F z L 1 N l Y 3 R p b 2 4 x L m 1 Q S w U G A A A A A A M A A w D C A A A A n Q Y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U j k B A A A A A A A w O Q E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G l z c G x h Y 2 V t Z W 5 0 U G V y a W 9 k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N v b H V t b k 5 h b W V z I i B W Y W x 1 Z T 0 i c 1 s m c X V v d D t h Z G 0 x X 2 5 h b W U m c X V v d D s s J n F 1 b 3 Q 7 Y W R t M V 9 j b 2 R l J n F 1 b 3 Q 7 L C Z x d W 9 0 O 2 F k b T J f b m F t Z S Z x d W 9 0 O y w m c X V v d D t h Z G 0 y X 2 N v Z G U m c X V v d D s s J n F 1 b 3 Q 7 Y W R t M 1 9 u Y W 1 l J n F 1 b 3 Q 7 L C Z x d W 9 0 O 2 F k b T N f Y 2 9 k Z S Z x d W 9 0 O y w m c X V v d D t 2 a W x s Y W d l X 2 5 h b W U m c X V v d D s s J n F 1 b 3 Q 7 d m l s b G F n Z V 9 j b 2 R l J n F 1 b 3 Q 7 L C Z x d W 9 0 O 2 R l c G x h Y 2 V t Z W 5 0 J n F 1 b 3 Q 7 L C Z x d W 9 0 O 3 B l c m l v Z G U m c X V v d D s s J n F 1 b 3 Q 7 a G g m c X V v d D s s J n F 1 b 3 Q 7 a W 5 k J n F 1 b 3 Q 7 L C Z x d W 9 0 O 3 J h a X N v b i Z x d W 9 0 O y w m c X V v d D t h d X R y Z V 9 y Y W l z b 2 4 m c X V v d D s s J n F 1 b 3 Q 7 c H J v d m V u Y W 5 j Z S Z x d W 9 0 O y w m c X V v d D t w c m 9 2 Z W 5 h b m N l X 2 F k b T A m c X V v d D s s J n F 1 b 3 Q 7 c H J v d m V u Y W 5 j Z V 9 h Z G 0 w X 2 5 v b S Z x d W 9 0 O y w m c X V v d D t w c m 9 2 Z W 5 h b m N l X 2 F k b T E m c X V v d D s s J n F 1 b 3 Q 7 c H J v d m V u Y W 5 j Z V 9 h Z G 0 x X 2 5 v b S Z x d W 9 0 O y w m c X V v d D t w c m 9 2 Z W 5 h b m N l X 2 F k b T I m c X V v d D s s J n F 1 b 3 Q 7 c H J v d m V u Y W 5 j Z V 9 h Z G 0 y X 2 5 v b S Z x d W 9 0 O y w m c X V v d D t w c m 9 2 Z W 5 h b m N l X 2 F k b T M m c X V v d D s s J n F 1 b 3 Q 7 c H J v d m V u Y W 5 j Z V 9 h Z G 0 z X 2 5 v b S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0 R p c 3 B s Y W N l b W V u d F 9 Q Z X J p b 2 R z I i A v P j x F b n R y e S B U e X B l P S J R d W V y e U l E I i B W Y W x 1 Z T 0 i c 2 I z Z W Y 4 Z D V j L T Q y M j g t N G V m N i 1 h Y z E z L T M 0 N z Q 3 Z W V m Y z k 2 N i I g L z 4 8 R W 5 0 c n k g V H l w Z T 0 i R m l s b E V y c m 9 y Q 2 9 k Z S I g V m F s d W U 9 I n N V b m t u b 3 d u I i A v P j x F b n R y e S B U e X B l P S J G a W x s Q 2 9 s d W 1 u V H l w Z X M i I F Z h b H V l P S J z Q m d Z R 0 J n W U d C Z 1 l H Q m d N R E J n W U d C Z 1 l H Q m d Z R 0 J n W T 0 i I C 8 + P E V u d H J 5 I F R 5 c G U 9 I k Z p b G x M Y X N 0 V X B k Y X R l Z C I g V m F s d W U 9 I m Q y M D E 3 L T E y L T I 0 V D E 4 O j A y O j U w L j E w O D M 2 O D F a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c m Q x M i 9 k d G 1 f c m Q x M i 9 k d G 1 f c m Q x M i 5 p Z H B f c m V m X 3 J l d C 5 7 Y W R t M V 9 u Y W 1 l L D B 9 J n F 1 b 3 Q 7 L C Z x d W 9 0 O 1 N l c n Z l c i 5 E Y X R h Y m F z Z V x c L z I v T X l T c W w v M T I 3 L j A u M C 4 x O j M z M D Y 7 Z H R t X 3 J k M T I v Z H R t X 3 J k M T I v Z H R t X 3 J k M T I u a W R w X 3 J l Z l 9 y Z X Q u e 2 F k b T F f Y 2 9 k Z S w x f S Z x d W 9 0 O y w m c X V v d D t T Z X J 2 Z X I u R G F 0 Y W J h c 2 V c X C 8 y L 0 1 5 U 3 F s L z E y N y 4 w L j A u M T o z M z A 2 O 2 R 0 b V 9 y Z D E y L 2 R 0 b V 9 y Z D E y L 2 R 0 b V 9 y Z D E y L m l k c F 9 y Z W Z f c m V 0 L n t h Z G 0 y X 2 5 h b W U s M n 0 m c X V v d D s s J n F 1 b 3 Q 7 U 2 V y d m V y L k R h d G F i Y X N l X F w v M i 9 N e V N x b C 8 x M j c u M C 4 w L j E 6 M z M w N j t k d G 1 f c m Q x M i 9 k d G 1 f c m Q x M i 9 k d G 1 f c m Q x M i 5 p Z H B f c m V m X 3 J l d C 5 7 Y W R t M l 9 j b 2 R l L D N 9 J n F 1 b 3 Q 7 L C Z x d W 9 0 O 1 N l c n Z l c i 5 E Y X R h Y m F z Z V x c L z I v T X l T c W w v M T I 3 L j A u M C 4 x O j M z M D Y 7 Z H R t X 3 J k M T I v Z H R t X 3 J k M T I v Z H R t X 3 J k M T I u a W R w X 3 J l Z l 9 y Z X Q u e 2 F k b T N f b m F t Z S w 0 f S Z x d W 9 0 O y w m c X V v d D t T Z X J 2 Z X I u R G F 0 Y W J h c 2 V c X C 8 y L 0 1 5 U 3 F s L z E y N y 4 w L j A u M T o z M z A 2 O 2 R 0 b V 9 y Z D E y L 2 R 0 b V 9 y Z D E y L 2 R 0 b V 9 y Z D E y L m l k c F 9 y Z W Z f c m V 0 L n t h Z G 0 z X 2 N v Z G U s N X 0 m c X V v d D s s J n F 1 b 3 Q 7 U 2 V y d m V y L k R h d G F i Y X N l X F w v M i 9 N e V N x b C 8 x M j c u M C 4 w L j E 6 M z M w N j t k d G 1 f c m Q x M i 9 k d G 1 f c m Q x M i 9 k d G 1 f c m Q x M i 5 p Z H B f c m V m X 3 J l d C 5 7 d m l s b G F n Z V 9 u Y W 1 l L D Z 9 J n F 1 b 3 Q 7 L C Z x d W 9 0 O 1 N l c n Z l c i 5 E Y X R h Y m F z Z V x c L z I v T X l T c W w v M T I 3 L j A u M C 4 x O j M z M D Y 7 Z H R t X 3 J k M T I v Z H R t X 3 J k M T I v Z H R t X 3 J k M T I u a W R w X 3 J l Z l 9 y Z X Q u e 3 Z p b G x h Z 2 V f Y 2 9 k Z S w 3 f S Z x d W 9 0 O y w m c X V v d D t T Z X J 2 Z X I u R G F 0 Y W J h c 2 V c X C 8 y L 0 1 5 U 3 F s L z E y N y 4 w L j A u M T o z M z A 2 O 2 R 0 b V 9 y Z D E y L 2 R 0 b V 9 y Z D E y L 2 R 0 b V 9 y Z D E y L m l k c F 9 y Z W Z f c m V 0 L n t k Z X B s Y W N l b W V u d C w 4 f S Z x d W 9 0 O y w m c X V v d D t T Z W N 0 a W 9 u M S 9 E a X N w b G F j Z W 1 l b n R Q Z X J p b 2 Q v V m F s Z X V y I H J l b X B s Y W P D q W U 3 L n t w Z X J p b 2 R l L D l 9 J n F 1 b 3 Q 7 L C Z x d W 9 0 O 1 N l c n Z l c i 5 E Y X R h Y m F z Z V x c L z I v T X l T c W w v M T I 3 L j A u M C 4 x O j M z M D Y 7 Z H R t X 3 J k M T I v Z H R t X 3 J k M T I v Z H R t X 3 J k M T I u a W R w X 3 J l Z l 9 y Z X Q u e 2 h o L D E w f S Z x d W 9 0 O y w m c X V v d D t T Z X J 2 Z X I u R G F 0 Y W J h c 2 V c X C 8 y L 0 1 5 U 3 F s L z E y N y 4 w L j A u M T o z M z A 2 O 2 R 0 b V 9 y Z D E y L 2 R 0 b V 9 y Z D E y L 2 R 0 b V 9 y Z D E y L m l k c F 9 y Z W Z f c m V 0 L n t p b m Q s M T F 9 J n F 1 b 3 Q 7 L C Z x d W 9 0 O 1 N l c n Z l c i 5 E Y X R h Y m F z Z V x c L z I v T X l T c W w v M T I 3 L j A u M C 4 x O j M z M D Y 7 Z H R t X 3 J k M T I v Z H R t X 3 J k M T I v Z H R t X 3 J k M T I u a W R w X 3 J l Z l 9 y Z X Q u e 3 J h a X N v b i w x M n 0 m c X V v d D s s J n F 1 b 3 Q 7 U 2 V y d m V y L k R h d G F i Y X N l X F w v M i 9 N e V N x b C 8 x M j c u M C 4 w L j E 6 M z M w N j t k d G 1 f c m Q x M i 9 k d G 1 f c m Q x M i 9 k d G 1 f c m Q x M i 5 p Z H B f c m V m X 3 J l d C 5 7 Y X V 0 c m V f c m F p c 2 9 u L D E z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L D E 0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A s M T V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F 9 u b 2 0 s M T Z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S w x N 3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x X 2 5 v b S w x O H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y L D E 5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J f b m 9 t L D I w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M s M j F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1 9 u b 2 0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X J 2 Z X I u R G F 0 Y W J h c 2 V c X C 8 y L 0 1 5 U 3 F s L z E y N y 4 w L j A u M T o z M z A 2 O 2 R 0 b V 9 y Z D E y L 2 R 0 b V 9 y Z D E y L 2 R 0 b V 9 y Z D E y L m l k c F 9 y Z W Z f c m V 0 L n t h Z G 0 x X 2 5 h b W U s M H 0 m c X V v d D s s J n F 1 b 3 Q 7 U 2 V y d m V y L k R h d G F i Y X N l X F w v M i 9 N e V N x b C 8 x M j c u M C 4 w L j E 6 M z M w N j t k d G 1 f c m Q x M i 9 k d G 1 f c m Q x M i 9 k d G 1 f c m Q x M i 5 p Z H B f c m V m X 3 J l d C 5 7 Y W R t M V 9 j b 2 R l L D F 9 J n F 1 b 3 Q 7 L C Z x d W 9 0 O 1 N l c n Z l c i 5 E Y X R h Y m F z Z V x c L z I v T X l T c W w v M T I 3 L j A u M C 4 x O j M z M D Y 7 Z H R t X 3 J k M T I v Z H R t X 3 J k M T I v Z H R t X 3 J k M T I u a W R w X 3 J l Z l 9 y Z X Q u e 2 F k b T J f b m F t Z S w y f S Z x d W 9 0 O y w m c X V v d D t T Z X J 2 Z X I u R G F 0 Y W J h c 2 V c X C 8 y L 0 1 5 U 3 F s L z E y N y 4 w L j A u M T o z M z A 2 O 2 R 0 b V 9 y Z D E y L 2 R 0 b V 9 y Z D E y L 2 R 0 b V 9 y Z D E y L m l k c F 9 y Z W Z f c m V 0 L n t h Z G 0 y X 2 N v Z G U s M 3 0 m c X V v d D s s J n F 1 b 3 Q 7 U 2 V y d m V y L k R h d G F i Y X N l X F w v M i 9 N e V N x b C 8 x M j c u M C 4 w L j E 6 M z M w N j t k d G 1 f c m Q x M i 9 k d G 1 f c m Q x M i 9 k d G 1 f c m Q x M i 5 p Z H B f c m V m X 3 J l d C 5 7 Y W R t M 1 9 u Y W 1 l L D R 9 J n F 1 b 3 Q 7 L C Z x d W 9 0 O 1 N l c n Z l c i 5 E Y X R h Y m F z Z V x c L z I v T X l T c W w v M T I 3 L j A u M C 4 x O j M z M D Y 7 Z H R t X 3 J k M T I v Z H R t X 3 J k M T I v Z H R t X 3 J k M T I u a W R w X 3 J l Z l 9 y Z X Q u e 2 F k b T N f Y 2 9 k Z S w 1 f S Z x d W 9 0 O y w m c X V v d D t T Z X J 2 Z X I u R G F 0 Y W J h c 2 V c X C 8 y L 0 1 5 U 3 F s L z E y N y 4 w L j A u M T o z M z A 2 O 2 R 0 b V 9 y Z D E y L 2 R 0 b V 9 y Z D E y L 2 R 0 b V 9 y Z D E y L m l k c F 9 y Z W Z f c m V 0 L n t 2 a W x s Y W d l X 2 5 h b W U s N n 0 m c X V v d D s s J n F 1 b 3 Q 7 U 2 V y d m V y L k R h d G F i Y X N l X F w v M i 9 N e V N x b C 8 x M j c u M C 4 w L j E 6 M z M w N j t k d G 1 f c m Q x M i 9 k d G 1 f c m Q x M i 9 k d G 1 f c m Q x M i 5 p Z H B f c m V m X 3 J l d C 5 7 d m l s b G F n Z V 9 j b 2 R l L D d 9 J n F 1 b 3 Q 7 L C Z x d W 9 0 O 1 N l c n Z l c i 5 E Y X R h Y m F z Z V x c L z I v T X l T c W w v M T I 3 L j A u M C 4 x O j M z M D Y 7 Z H R t X 3 J k M T I v Z H R t X 3 J k M T I v Z H R t X 3 J k M T I u a W R w X 3 J l Z l 9 y Z X Q u e 2 R l c G x h Y 2 V t Z W 5 0 L D h 9 J n F 1 b 3 Q 7 L C Z x d W 9 0 O 1 N l Y 3 R p b 2 4 x L 0 R p c 3 B s Y W N l b W V u d F B l c m l v Z C 9 W Y W x l d X I g c m V t c G x h Y 8 O p Z T c u e 3 B l c m l v Z G U s O X 0 m c X V v d D s s J n F 1 b 3 Q 7 U 2 V y d m V y L k R h d G F i Y X N l X F w v M i 9 N e V N x b C 8 x M j c u M C 4 w L j E 6 M z M w N j t k d G 1 f c m Q x M i 9 k d G 1 f c m Q x M i 9 k d G 1 f c m Q x M i 5 p Z H B f c m V m X 3 J l d C 5 7 a G g s M T B 9 J n F 1 b 3 Q 7 L C Z x d W 9 0 O 1 N l c n Z l c i 5 E Y X R h Y m F z Z V x c L z I v T X l T c W w v M T I 3 L j A u M C 4 x O j M z M D Y 7 Z H R t X 3 J k M T I v Z H R t X 3 J k M T I v Z H R t X 3 J k M T I u a W R w X 3 J l Z l 9 y Z X Q u e 2 l u Z C w x M X 0 m c X V v d D s s J n F 1 b 3 Q 7 U 2 V y d m V y L k R h d G F i Y X N l X F w v M i 9 N e V N x b C 8 x M j c u M C 4 w L j E 6 M z M w N j t k d G 1 f c m Q x M i 9 k d G 1 f c m Q x M i 9 k d G 1 f c m Q x M i 5 p Z H B f c m V m X 3 J l d C 5 7 c m F p c 2 9 u L D E y f S Z x d W 9 0 O y w m c X V v d D t T Z X J 2 Z X I u R G F 0 Y W J h c 2 V c X C 8 y L 0 1 5 U 3 F s L z E y N y 4 w L j A u M T o z M z A 2 O 2 R 0 b V 9 y Z D E y L 2 R 0 b V 9 y Z D E y L 2 R 0 b V 9 y Z D E y L m l k c F 9 y Z W Z f c m V 0 L n t h d X R y Z V 9 y Y W l z b 2 4 s M T N 9 J n F 1 b 3 Q 7 L C Z x d W 9 0 O 1 N l c n Z l c i 5 E Y X R h Y m F z Z V x c L z I v T X l T c W w v M T I 3 L j A u M C 4 x O j M z M D Y 7 Z H R t X 3 J k M T I v Z H R t X 3 J k M T I v Z H R t X 3 J k M T I u a W R w X 3 J l Z l 9 y Z X Q u e 3 B y b 3 Z l b m F u Y 2 U s M T R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C w x N X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w X 2 5 v b S w x N n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x L D E 3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F f b m 9 t L D E 4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I s M T l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l 9 u b 2 0 s M j B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y w y M X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z X 2 5 v b S w y M n 0 m c X V v d D t d L C Z x d W 9 0 O 1 J l b G F 0 a W 9 u c 2 h p c E l u Z m 8 m c X V v d D s 6 W 1 1 9 I i A v P j x F b n R y e S B U e X B l P S J G a W x s Q 2 9 1 b n Q i I F Z h b H V l P S J s M T k 4 M y I g L z 4 8 R W 5 0 c n k g V H l w Z T 0 i R m l s b F R h c m d l d C I g V m F s d W U 9 I n N E a X N w b G F j Z W 1 l b n R Q Z X J p b 2 Q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G F z a G J v Y X J k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c t M T I t M j J U M T c 6 N T g 6 M T A u N T c y O T I 4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0 R h c 2 h i b 2 F y Z C I g L z 4 8 R W 5 0 c n k g V H l w Z T 0 i U X V l c n l J R C I g V m F s d W U 9 I n N k Z G R l O T c y Y S 0 1 M 2 Q 1 L T Q 4 O T U t O W V m N i 0 5 O W M w M W J l M j c 2 M D I i I C 8 + P E V u d H J 5 I F R 5 c G U 9 I k Z p b G x D b 3 V u d C I g V m F s d W U 9 I m w 3 N D c i I C 8 + P E V u d H J 5 I F R 5 c G U 9 I k Z p b G x F c n J v c k N v d W 5 0 I i B W Y W x 1 Z T 0 i b D A i I C 8 + P E V u d H J 5 I F R 5 c G U 9 I k Z p b G x D b 2 x 1 b W 5 O Y W 1 l c y I g V m F s d W U 9 I n N b J n F 1 b 3 Q 7 X 2 l u Z G V 4 J n F 1 b 3 Q 7 L C Z x d W 9 0 O 0 F k b T E m c X V v d D s s J n F 1 b 3 Q 7 Y W R t M V 9 j b 2 R l J n F 1 b 3 Q 7 L C Z x d W 9 0 O 2 V 2 Y W x 1 Y X R p b 2 5 f Y W R t M l 9 u Y W 1 l J n F 1 b 3 Q 7 L C Z x d W 9 0 O 2 V 2 Y W x 1 Y X R p b 2 5 f Y W R t M l 9 j b 2 R l J n F 1 b 3 Q 7 L C Z x d W 9 0 O 2 V 2 Y W x 1 Y X R p b 2 5 f Y W R t M 1 9 u Y W 1 l J n F 1 b 3 Q 7 L C Z x d W 9 0 O 2 V 2 Y W x 1 Y X R p b 2 5 f Y W R t M 1 9 j b 2 R l J n F 1 b 3 Q 7 L C Z x d W 9 0 O 3 Z p b G x h Z 2 V f U 1 N J R C Z x d W 9 0 O y w m c X V v d D t l d m F s d W F 0 a W 9 u X 3 Z p b G x h Z 2 V f b m F t Z S Z x d W 9 0 O y w m c X V v d D t l d m F s d W F 0 a W 9 u X 3 Z p b G x h Z 2 V f b G 9 u Z y Z x d W 9 0 O y w m c X V v d D t l d m F s d W F 0 a W 9 u X 3 Z p b G x h Z 2 V f b G F 0 J n F 1 b 3 Q 7 L C Z x d W 9 0 O 2 V 2 Y W x 1 Y X R p b 2 5 f d m l s b G F n Z V 9 h Y 3 V y Y X R l J n F 1 b 3 Q 7 L C Z x d W 9 0 O 3 B v c H V s Y X R p b 2 5 f Z 2 x v Y m F s Z S Z x d W 9 0 O y w m c X V v d D t p Z H A m c X V v d D s s J n F 1 b 3 Q 7 a W R w X 2 h o J n F 1 b 3 Q 7 L C Z x d W 9 0 O 2 l k c F 9 p b m Q m c X V v d D s s J n F 1 b 3 Q 7 a W R w X 2 Z h J n F 1 b 3 Q 7 L C Z x d W 9 0 O 2 l k c F 9 m Y V 9 o a C Z x d W 9 0 O y w m c X V v d D t p Z H B f b G 9 j J n F 1 b 3 Q 7 L C Z x d W 9 0 O 2 l k c F 9 s b 2 N f a G g m c X V v d D s s J n F 1 b 3 Q 7 a W R w X 2 x v Y 1 9 k Z X R h a W x z J n F 1 b 3 Q 7 L C Z x d W 9 0 O 2 l k c F 9 s b 2 N f Y X V 0 c m U m c X V v d D s s J n F 1 b 3 Q 7 a W R w X 2 N j J n F 1 b 3 Q 7 L C Z x d W 9 0 O 2 l k c F 9 j Y 1 9 o a C Z x d W 9 0 O y w m c X V v d D t p Z H B f Y 2 N f Z G V 0 Y W l s c y Z x d W 9 0 O y w m c X V v d D t p Z H B f Y 2 N f Y X V 0 c m U m c X V v d D s s J n F 1 b 3 Q 7 a W R w X 2 F z J n F 1 b 3 Q 7 L C Z x d W 9 0 O 2 l k c F 9 h c 1 9 o a C Z x d W 9 0 O y w m c X V v d D t p Z H B f Y W w m c X V v d D s s J n F 1 b 3 Q 7 a W R w X 2 F s X 2 h o J n F 1 b 3 Q 7 L C Z x d W 9 0 O 3 J l Z n V n Z W V z J n F 1 b 3 Q 7 L C Z x d W 9 0 O 3 J l Z l 9 o a C Z x d W 9 0 O y w m c X V v d D t y Z W Z f a W 5 k J n F 1 b 3 Q 7 L C Z x d W 9 0 O 2 F u Y 2 l l b l 9 y Z W Z 1 Z 2 V l c y Z x d W 9 0 O y w m c X V v d D t h b m N p Z W 5 f Z G V w Y X J 0 Z W 1 l b n Q m c X V v d D s s J n F 1 b 3 Q 7 Y W 5 j a W V u X 2 F y c m 9 u Z G l z c 2 V t Z W 5 0 J n F 1 b 3 Q 7 L C Z x d W 9 0 O 2 F u Y 2 l l b l 9 2 a W x s Y W d l J n F 1 b 3 Q 7 L C Z x d W 9 0 O 3 J l Z l 9 m Y S Z x d W 9 0 O y w m c X V v d D t y Z W Z f Z m F f a G g m c X V v d D s s J n F 1 b 3 Q 7 c m V m X 2 x v Y y Z x d W 9 0 O y w m c X V v d D t y Z W Z f b G 9 j X 2 h o J n F 1 b 3 Q 7 L C Z x d W 9 0 O 3 J l Z l 9 s b 2 N f Z G V 0 Y W l s c y Z x d W 9 0 O y w m c X V v d D t y Z W Z f b G 9 j X 2 F 1 d H J l J n F 1 b 3 Q 7 L C Z x d W 9 0 O 3 J l Z l 9 j Y y Z x d W 9 0 O y w m c X V v d D t y Z W Z f Y 2 N f a G g m c X V v d D s s J n F 1 b 3 Q 7 c m V m X 2 N j X 2 R l d G F p b H M m c X V v d D s s J n F 1 b 3 Q 7 c m V m X 2 N j X 2 F 1 d H J l J n F 1 b 3 Q 7 L C Z x d W 9 0 O 3 J l Z l 9 h c y Z x d W 9 0 O y w m c X V v d D t y Z W Z f Y X N f a G g m c X V v d D s s J n F 1 b 3 Q 7 c m V m X 2 F s J n F 1 b 3 Q 7 L C Z x d W 9 0 O 3 J l Z l 9 h b F 9 o a C Z x d W 9 0 O y w m c X V v d D t y Z X R 1 c m 5 l Z X M m c X V v d D s s J n F 1 b 3 Q 7 c m V 0 X 2 h o J n F 1 b 3 Q 7 L C Z x d W 9 0 O 3 J l d F 9 p b m Q m c X V v d D s s J n F 1 b 3 Q 7 c m V 0 X 2 h p J n F 1 b 3 Q 7 L C Z x d W 9 0 O 3 J l d F 9 o a V 9 o a C Z x d W 9 0 O y w m c X V v d D t y Z X R f Z m E m c X V v d D s s J n F 1 b 3 Q 7 c m V 0 X 2 Z h X 2 h o J n F 1 b 3 Q 7 L C Z x d W 9 0 O 3 J l d F 9 s b 2 M m c X V v d D s s J n F 1 b 3 Q 7 c m V 0 X 2 x v Y 1 9 o a C Z x d W 9 0 O y w m c X V v d D t y Z X R f b G 9 j X 2 R l d G F p b H M m c X V v d D s s J n F 1 b 3 Q 7 c m V 0 X 2 x v Y 1 9 h d X R y Z S Z x d W 9 0 O y w m c X V v d D t y Z X R f Y 2 M m c X V v d D s s J n F 1 b 3 Q 7 c m V 0 X 2 N j X 2 h o J n F 1 b 3 Q 7 L C Z x d W 9 0 O 3 J l d F 9 j Y 1 9 k Z X R h a W x z J n F 1 b 3 Q 7 L C Z x d W 9 0 O 3 J l d F 9 j Y 1 9 h d X R y Z S Z x d W 9 0 O y w m c X V v d D t y Z X R f Y X M m c X V v d D s s J n F 1 b 3 Q 7 c m V 0 X 2 F z X 2 h o J n F 1 b 3 Q 7 L C Z x d W 9 0 O 3 J l d F 9 h b C Z x d W 9 0 O y w m c X V v d D t y Z X R f Y W x f a G g m c X V v d D s s J n F 1 b 3 Q 7 Z G V w b G F j Z X N f b G 9 j Y X V 4 J n F 1 b 3 Q 7 L C Z x d W 9 0 O 0 V f Z G V w Y X J 0 X 3 N h b n N f c m V 0 b 3 V y X 2 h o J n F 1 b 3 Q 7 L C Z x d W 9 0 O 0 V f Z G V w Y X J 0 X 3 N h b n N f c m V 0 b 3 V y X 2 l u Z C Z x d W 9 0 O y w m c X V v d D t y Y X B h d H J p Z W 1 l b n R z J n F 1 b 3 Q 7 L C Z x d W 9 0 O 3 J h c G F 0 c m l l c 1 9 o a C Z x d W 9 0 O y w m c X V v d D t y Y X B h d H J p Z X N f a W 5 k J n F 1 b 3 Q 7 L C Z x d W 9 0 O 2 5 v d X Z l Y X U m c X V v d D t d I i A v P j x F b n R y e S B U e X B l P S J G a W x s T 2 J q Z W N 0 V H l w Z S I g V m F s d W U 9 I n N U Y W J s Z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V G F y Z 2 V 0 I i B W Y W x 1 Z T 0 i c 0 R h c 2 h i b 2 F y Z C I g L z 4 8 R W 5 0 c n k g V H l w Z T 0 i U m V s Y X R p b 2 5 z a G l w S W 5 m b 0 N v b n R h a W 5 l c i I g V m F s d W U 9 I n N 7 J n F 1 b 3 Q 7 Y 2 9 s d W 1 u Q 2 9 1 b n Q m c X V v d D s 6 N z c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M T I 3 L j A u M C 4 x O j M z M D Y 7 Z H R t X 3 J k M T I v Z H R t X 3 J k M T I v Z H R t X 3 J k M T I u c 2 9 t b W F p c m U u e 1 9 p b m R l e C w w f S Z x d W 9 0 O y w m c X V v d D t T Z X J 2 Z X I u R G F 0 Y W J h c 2 V c X C 8 y L 0 1 5 U 3 F s L z E y N y 4 w L j A u M T o z M z A 2 O 2 R 0 b V 9 y Z D E y L 2 R 0 b V 9 y Z D E y L 2 R 0 b V 9 y Z D E y L n N v b W 1 h a X J l L n t B Z G 0 x L D F 9 J n F 1 b 3 Q 7 L C Z x d W 9 0 O 1 N l c n Z l c i 5 E Y X R h Y m F z Z V x c L z I v T X l T c W w v M T I 3 L j A u M C 4 x O j M z M D Y 7 Z H R t X 3 J k M T I v Z H R t X 3 J k M T I v Z H R t X 3 J k M T I u c 2 9 t b W F p c m U u e 2 F k b T F f Y 2 9 k Z S w y f S Z x d W 9 0 O y w m c X V v d D t T Z X J 2 Z X I u R G F 0 Y W J h c 2 V c X C 8 y L 0 1 5 U 3 F s L z E y N y 4 w L j A u M T o z M z A 2 O 2 R 0 b V 9 y Z D E y L 2 R 0 b V 9 y Z D E y L 2 R 0 b V 9 y Z D E y L n N v b W 1 h a X J l L n t l d m F s d W F 0 a W 9 u X 2 F k b T J f b m F t Z S w z f S Z x d W 9 0 O y w m c X V v d D t T Z X J 2 Z X I u R G F 0 Y W J h c 2 V c X C 8 y L 0 1 5 U 3 F s L z E y N y 4 w L j A u M T o z M z A 2 O 2 R 0 b V 9 y Z D E y L 2 R 0 b V 9 y Z D E y L 2 R 0 b V 9 y Z D E y L n N v b W 1 h a X J l L n t l d m F s d W F 0 a W 9 u X 2 F k b T J f Y 2 9 k Z S w 0 f S Z x d W 9 0 O y w m c X V v d D t T Z X J 2 Z X I u R G F 0 Y W J h c 2 V c X C 8 y L 0 1 5 U 3 F s L z E y N y 4 w L j A u M T o z M z A 2 O 2 R 0 b V 9 y Z D E y L 2 R 0 b V 9 y Z D E y L 2 R 0 b V 9 y Z D E y L n N v b W 1 h a X J l L n t l d m F s d W F 0 a W 9 u X 2 F k b T N f b m F t Z S w 1 f S Z x d W 9 0 O y w m c X V v d D t T Z X J 2 Z X I u R G F 0 Y W J h c 2 V c X C 8 y L 0 1 5 U 3 F s L z E y N y 4 w L j A u M T o z M z A 2 O 2 R 0 b V 9 y Z D E y L 2 R 0 b V 9 y Z D E y L 2 R 0 b V 9 y Z D E y L n N v b W 1 h a X J l L n t l d m F s d W F 0 a W 9 u X 2 F k b T N f Y 2 9 k Z S w 2 f S Z x d W 9 0 O y w m c X V v d D t T Z X J 2 Z X I u R G F 0 Y W J h c 2 V c X C 8 y L 0 1 5 U 3 F s L z E y N y 4 w L j A u M T o z M z A 2 O 2 R 0 b V 9 y Z D E y L 2 R 0 b V 9 y Z D E y L 2 R 0 b V 9 y Z D E y L n N v b W 1 h a X J l L n t 2 a W x s Y W d l X 1 N T S U Q s N 3 0 m c X V v d D s s J n F 1 b 3 Q 7 U 2 V y d m V y L k R h d G F i Y X N l X F w v M i 9 N e V N x b C 8 x M j c u M C 4 w L j E 6 M z M w N j t k d G 1 f c m Q x M i 9 k d G 1 f c m Q x M i 9 k d G 1 f c m Q x M i 5 z b 2 1 t Y W l y Z S 5 7 Z X Z h b H V h d G l v b l 9 2 a W x s Y W d l X 2 5 h b W U s O H 0 m c X V v d D s s J n F 1 b 3 Q 7 U 2 V y d m V y L k R h d G F i Y X N l X F w v M i 9 N e V N x b C 8 x M j c u M C 4 w L j E 6 M z M w N j t k d G 1 f c m Q x M i 9 k d G 1 f c m Q x M i 9 k d G 1 f c m Q x M i 5 z b 2 1 t Y W l y Z S 5 7 Z X Z h b H V h d G l v b l 9 2 a W x s Y W d l X 2 x v b m c s O X 0 m c X V v d D s s J n F 1 b 3 Q 7 U 2 V y d m V y L k R h d G F i Y X N l X F w v M i 9 N e V N x b C 8 x M j c u M C 4 w L j E 6 M z M w N j t k d G 1 f c m Q x M i 9 k d G 1 f c m Q x M i 9 k d G 1 f c m Q x M i 5 z b 2 1 t Y W l y Z S 5 7 Z X Z h b H V h d G l v b l 9 2 a W x s Y W d l X 2 x h d C w x M H 0 m c X V v d D s s J n F 1 b 3 Q 7 U 2 V y d m V y L k R h d G F i Y X N l X F w v M i 9 N e V N x b C 8 x M j c u M C 4 w L j E 6 M z M w N j t k d G 1 f c m Q x M i 9 k d G 1 f c m Q x M i 9 k d G 1 f c m Q x M i 5 z b 2 1 t Y W l y Z S 5 7 Z X Z h b H V h d G l v b l 9 2 a W x s Y W d l X 2 F j d X J h d G U s M T F 9 J n F 1 b 3 Q 7 L C Z x d W 9 0 O 1 N l Y 3 R p b 2 4 x L 0 R h c 2 h i b 2 F y Z C 9 U e X B l I G 1 v Z G l m a c O p L n t w b 3 B 1 b G F 0 a W 9 u X 2 d s b 2 J h b G U s M T J 9 J n F 1 b 3 Q 7 L C Z x d W 9 0 O 1 N l c n Z l c i 5 E Y X R h Y m F z Z V x c L z I v T X l T c W w v M T I 3 L j A u M C 4 x O j M z M D Y 7 Z H R t X 3 J k M T I v Z H R t X 3 J k M T I v Z H R t X 3 J k M T I u c 2 9 t b W F p c m U u e 2 l k c C w x M 3 0 m c X V v d D s s J n F 1 b 3 Q 7 U 2 V j d G l v b j E v R G F z a G J v Y X J k L 1 R 5 c G U g b W 9 k a W Z p w 6 k u e 2 l k c F 9 o a C w x N H 0 m c X V v d D s s J n F 1 b 3 Q 7 U 2 V j d G l v b j E v R G F z a G J v Y X J k L 1 R 5 c G U g b W 9 k a W Z p w 6 k u e 2 l k c F 9 p b m Q s M T V 9 J n F 1 b 3 Q 7 L C Z x d W 9 0 O 1 N l c n Z l c i 5 E Y X R h Y m F z Z V x c L z I v T X l T c W w v M T I 3 L j A u M C 4 x O j M z M D Y 7 Z H R t X 3 J k M T I v Z H R t X 3 J k M T I v Z H R t X 3 J k M T I u c 2 9 t b W F p c m U u e 2 l k c F 9 m Y S w x N n 0 m c X V v d D s s J n F 1 b 3 Q 7 U 2 V j d G l v b j E v R G F z a G J v Y X J k L 1 R 5 c G U g b W 9 k a W Z p w 6 k u e 2 l k c F 9 m Y V 9 o a C w x N 3 0 m c X V v d D s s J n F 1 b 3 Q 7 U 2 V y d m V y L k R h d G F i Y X N l X F w v M i 9 N e V N x b C 8 x M j c u M C 4 w L j E 6 M z M w N j t k d G 1 f c m Q x M i 9 k d G 1 f c m Q x M i 9 k d G 1 f c m Q x M i 5 z b 2 1 t Y W l y Z S 5 7 a W R w X 2 x v Y y w x O H 0 m c X V v d D s s J n F 1 b 3 Q 7 U 2 V j d G l v b j E v R G F z a G J v Y X J k L 1 R 5 c G U g b W 9 k a W Z p w 6 k u e 2 l k c F 9 s b 2 N f a G g s M T l 9 J n F 1 b 3 Q 7 L C Z x d W 9 0 O 1 N l c n Z l c i 5 E Y X R h Y m F z Z V x c L z I v T X l T c W w v M T I 3 L j A u M C 4 x O j M z M D Y 7 Z H R t X 3 J k M T I v Z H R t X 3 J k M T I v Z H R t X 3 J k M T I u c 2 9 t b W F p c m U u e 2 l k c F 9 s b 2 N f Z G V 0 Y W l s c y w y M H 0 m c X V v d D s s J n F 1 b 3 Q 7 U 2 V y d m V y L k R h d G F i Y X N l X F w v M i 9 N e V N x b C 8 x M j c u M C 4 w L j E 6 M z M w N j t k d G 1 f c m Q x M i 9 k d G 1 f c m Q x M i 9 k d G 1 f c m Q x M i 5 z b 2 1 t Y W l y Z S 5 7 a W R w X 2 x v Y 1 9 h d X R y Z S w y M X 0 m c X V v d D s s J n F 1 b 3 Q 7 U 2 V y d m V y L k R h d G F i Y X N l X F w v M i 9 N e V N x b C 8 x M j c u M C 4 w L j E 6 M z M w N j t k d G 1 f c m Q x M i 9 k d G 1 f c m Q x M i 9 k d G 1 f c m Q x M i 5 z b 2 1 t Y W l y Z S 5 7 a W R w X 2 N j L D I y f S Z x d W 9 0 O y w m c X V v d D t T Z W N 0 a W 9 u M S 9 E Y X N o Y m 9 h c m Q v V H l w Z S B t b 2 R p Z m n D q S 5 7 a W R w X 2 N j X 2 h o L D I z f S Z x d W 9 0 O y w m c X V v d D t T Z X J 2 Z X I u R G F 0 Y W J h c 2 V c X C 8 y L 0 1 5 U 3 F s L z E y N y 4 w L j A u M T o z M z A 2 O 2 R 0 b V 9 y Z D E y L 2 R 0 b V 9 y Z D E y L 2 R 0 b V 9 y Z D E y L n N v b W 1 h a X J l L n t p Z H B f Y 2 N f Z G V 0 Y W l s c y w y N H 0 m c X V v d D s s J n F 1 b 3 Q 7 U 2 V y d m V y L k R h d G F i Y X N l X F w v M i 9 N e V N x b C 8 x M j c u M C 4 w L j E 6 M z M w N j t k d G 1 f c m Q x M i 9 k d G 1 f c m Q x M i 9 k d G 1 f c m Q x M i 5 z b 2 1 t Y W l y Z S 5 7 a W R w X 2 N j X 2 F 1 d H J l L D I 1 f S Z x d W 9 0 O y w m c X V v d D t T Z X J 2 Z X I u R G F 0 Y W J h c 2 V c X C 8 y L 0 1 5 U 3 F s L z E y N y 4 w L j A u M T o z M z A 2 O 2 R 0 b V 9 y Z D E y L 2 R 0 b V 9 y Z D E y L 2 R 0 b V 9 y Z D E y L n N v b W 1 h a X J l L n t p Z H B f Y X M s M j Z 9 J n F 1 b 3 Q 7 L C Z x d W 9 0 O 1 N l Y 3 R p b 2 4 x L 0 R h c 2 h i b 2 F y Z C 9 U e X B l I G 1 v Z G l m a c O p L n t p Z H B f Y X N f a G g s M j d 9 J n F 1 b 3 Q 7 L C Z x d W 9 0 O 1 N l c n Z l c i 5 E Y X R h Y m F z Z V x c L z I v T X l T c W w v M T I 3 L j A u M C 4 x O j M z M D Y 7 Z H R t X 3 J k M T I v Z H R t X 3 J k M T I v Z H R t X 3 J k M T I u c 2 9 t b W F p c m U u e 2 l k c F 9 h b C w y O H 0 m c X V v d D s s J n F 1 b 3 Q 7 U 2 V j d G l v b j E v R G F z a G J v Y X J k L 1 R 5 c G U g b W 9 k a W Z p w 6 k u e 2 l k c F 9 h b F 9 o a C w y O X 0 m c X V v d D s s J n F 1 b 3 Q 7 U 2 V y d m V y L k R h d G F i Y X N l X F w v M i 9 N e V N x b C 8 x M j c u M C 4 w L j E 6 M z M w N j t k d G 1 f c m Q x M i 9 k d G 1 f c m Q x M i 9 k d G 1 f c m Q x M i 5 z b 2 1 t Y W l y Z S 5 7 c m V m d W d l Z X M s M z B 9 J n F 1 b 3 Q 7 L C Z x d W 9 0 O 1 N l Y 3 R p b 2 4 x L 0 R h c 2 h i b 2 F y Z C 9 U e X B l I G 1 v Z G l m a c O p L n t y Z W Z f a G g s M z F 9 J n F 1 b 3 Q 7 L C Z x d W 9 0 O 1 N l Y 3 R p b 2 4 x L 0 R h c 2 h i b 2 F y Z C 9 U e X B l I G 1 v Z G l m a c O p L n t y Z W Z f a W 5 k L D M y f S Z x d W 9 0 O y w m c X V v d D t T Z X J 2 Z X I u R G F 0 Y W J h c 2 V c X C 8 y L 0 1 5 U 3 F s L z E y N y 4 w L j A u M T o z M z A 2 O 2 R 0 b V 9 y Z D E y L 2 R 0 b V 9 y Z D E y L 2 R 0 b V 9 y Z D E y L n N v b W 1 h a X J l L n t h b m N p Z W 5 f c m V m d W d l Z X M s M z N 9 J n F 1 b 3 Q 7 L C Z x d W 9 0 O 1 N l c n Z l c i 5 E Y X R h Y m F z Z V x c L z I v T X l T c W w v M T I 3 L j A u M C 4 x O j M z M D Y 7 Z H R t X 3 J k M T I v Z H R t X 3 J k M T I v Z H R t X 3 J k M T I u c 2 9 t b W F p c m U u e 2 F u Y 2 l l b l 9 k Z X B h c n R l b W V u d C w z N H 0 m c X V v d D s s J n F 1 b 3 Q 7 U 2 V y d m V y L k R h d G F i Y X N l X F w v M i 9 N e V N x b C 8 x M j c u M C 4 w L j E 6 M z M w N j t k d G 1 f c m Q x M i 9 k d G 1 f c m Q x M i 9 k d G 1 f c m Q x M i 5 z b 2 1 t Y W l y Z S 5 7 Y W 5 j a W V u X 2 F y c m 9 u Z G l z c 2 V t Z W 5 0 L D M 1 f S Z x d W 9 0 O y w m c X V v d D t T Z X J 2 Z X I u R G F 0 Y W J h c 2 V c X C 8 y L 0 1 5 U 3 F s L z E y N y 4 w L j A u M T o z M z A 2 O 2 R 0 b V 9 y Z D E y L 2 R 0 b V 9 y Z D E y L 2 R 0 b V 9 y Z D E y L n N v b W 1 h a X J l L n t h b m N p Z W 5 f d m l s b G F n Z S w z N n 0 m c X V v d D s s J n F 1 b 3 Q 7 U 2 V y d m V y L k R h d G F i Y X N l X F w v M i 9 N e V N x b C 8 x M j c u M C 4 w L j E 6 M z M w N j t k d G 1 f c m Q x M i 9 k d G 1 f c m Q x M i 9 k d G 1 f c m Q x M i 5 z b 2 1 t Y W l y Z S 5 7 c m V m X 2 Z h L D M 3 f S Z x d W 9 0 O y w m c X V v d D t T Z W N 0 a W 9 u M S 9 E Y X N o Y m 9 h c m Q v V H l w Z S B t b 2 R p Z m n D q S 5 7 c m V m X 2 Z h X 2 h o L D M 4 f S Z x d W 9 0 O y w m c X V v d D t T Z X J 2 Z X I u R G F 0 Y W J h c 2 V c X C 8 y L 0 1 5 U 3 F s L z E y N y 4 w L j A u M T o z M z A 2 O 2 R 0 b V 9 y Z D E y L 2 R 0 b V 9 y Z D E y L 2 R 0 b V 9 y Z D E y L n N v b W 1 h a X J l L n t y Z W Z f b G 9 j L D M 5 f S Z x d W 9 0 O y w m c X V v d D t T Z W N 0 a W 9 u M S 9 E Y X N o Y m 9 h c m Q v V H l w Z S B t b 2 R p Z m n D q S 5 7 c m V m X 2 x v Y 1 9 o a C w 0 M H 0 m c X V v d D s s J n F 1 b 3 Q 7 U 2 V y d m V y L k R h d G F i Y X N l X F w v M i 9 N e V N x b C 8 x M j c u M C 4 w L j E 6 M z M w N j t k d G 1 f c m Q x M i 9 k d G 1 f c m Q x M i 9 k d G 1 f c m Q x M i 5 z b 2 1 t Y W l y Z S 5 7 c m V m X 2 x v Y 1 9 k Z X R h a W x z L D Q x f S Z x d W 9 0 O y w m c X V v d D t T Z X J 2 Z X I u R G F 0 Y W J h c 2 V c X C 8 y L 0 1 5 U 3 F s L z E y N y 4 w L j A u M T o z M z A 2 O 2 R 0 b V 9 y Z D E y L 2 R 0 b V 9 y Z D E y L 2 R 0 b V 9 y Z D E y L n N v b W 1 h a X J l L n t y Z W Z f b G 9 j X 2 F 1 d H J l L D Q y f S Z x d W 9 0 O y w m c X V v d D t T Z X J 2 Z X I u R G F 0 Y W J h c 2 V c X C 8 y L 0 1 5 U 3 F s L z E y N y 4 w L j A u M T o z M z A 2 O 2 R 0 b V 9 y Z D E y L 2 R 0 b V 9 y Z D E y L 2 R 0 b V 9 y Z D E y L n N v b W 1 h a X J l L n t y Z W Z f Y 2 M s N D N 9 J n F 1 b 3 Q 7 L C Z x d W 9 0 O 1 N l Y 3 R p b 2 4 x L 0 R h c 2 h i b 2 F y Z C 9 U e X B l I G 1 v Z G l m a c O p L n t y Z W Z f Y 2 N f a G g s N D R 9 J n F 1 b 3 Q 7 L C Z x d W 9 0 O 1 N l c n Z l c i 5 E Y X R h Y m F z Z V x c L z I v T X l T c W w v M T I 3 L j A u M C 4 x O j M z M D Y 7 Z H R t X 3 J k M T I v Z H R t X 3 J k M T I v Z H R t X 3 J k M T I u c 2 9 t b W F p c m U u e 3 J l Z l 9 j Y 1 9 k Z X R h a W x z L D Q 1 f S Z x d W 9 0 O y w m c X V v d D t T Z X J 2 Z X I u R G F 0 Y W J h c 2 V c X C 8 y L 0 1 5 U 3 F s L z E y N y 4 w L j A u M T o z M z A 2 O 2 R 0 b V 9 y Z D E y L 2 R 0 b V 9 y Z D E y L 2 R 0 b V 9 y Z D E y L n N v b W 1 h a X J l L n t y Z W Z f Y 2 N f Y X V 0 c m U s N D Z 9 J n F 1 b 3 Q 7 L C Z x d W 9 0 O 1 N l c n Z l c i 5 E Y X R h Y m F z Z V x c L z I v T X l T c W w v M T I 3 L j A u M C 4 x O j M z M D Y 7 Z H R t X 3 J k M T I v Z H R t X 3 J k M T I v Z H R t X 3 J k M T I u c 2 9 t b W F p c m U u e 3 J l Z l 9 h c y w 0 N 3 0 m c X V v d D s s J n F 1 b 3 Q 7 U 2 V j d G l v b j E v R G F z a G J v Y X J k L 1 R 5 c G U g b W 9 k a W Z p w 6 k u e 3 J l Z l 9 h c 1 9 o a C w 0 O H 0 m c X V v d D s s J n F 1 b 3 Q 7 U 2 V y d m V y L k R h d G F i Y X N l X F w v M i 9 N e V N x b C 8 x M j c u M C 4 w L j E 6 M z M w N j t k d G 1 f c m Q x M i 9 k d G 1 f c m Q x M i 9 k d G 1 f c m Q x M i 5 z b 2 1 t Y W l y Z S 5 7 c m V m X 2 F s L D Q 5 f S Z x d W 9 0 O y w m c X V v d D t T Z W N 0 a W 9 u M S 9 E Y X N o Y m 9 h c m Q v V H l w Z S B t b 2 R p Z m n D q S 5 7 c m V m X 2 F s X 2 h o L D U w f S Z x d W 9 0 O y w m c X V v d D t T Z X J 2 Z X I u R G F 0 Y W J h c 2 V c X C 8 y L 0 1 5 U 3 F s L z E y N y 4 w L j A u M T o z M z A 2 O 2 R 0 b V 9 y Z D E y L 2 R 0 b V 9 y Z D E y L 2 R 0 b V 9 y Z D E y L n N v b W 1 h a X J l L n t y Z X R 1 c m 5 l Z X M s N T F 9 J n F 1 b 3 Q 7 L C Z x d W 9 0 O 1 N l Y 3 R p b 2 4 x L 0 R h c 2 h i b 2 F y Z C 9 U e X B l I G 1 v Z G l m a c O p L n t y Z X R f a G g s N T J 9 J n F 1 b 3 Q 7 L C Z x d W 9 0 O 1 N l Y 3 R p b 2 4 x L 0 R h c 2 h i b 2 F y Z C 9 U e X B l I G 1 v Z G l m a c O p L n t y Z X R f a W 5 k L D U z f S Z x d W 9 0 O y w m c X V v d D t T Z X J 2 Z X I u R G F 0 Y W J h c 2 V c X C 8 y L 0 1 5 U 3 F s L z E y N y 4 w L j A u M T o z M z A 2 O 2 R 0 b V 9 y Z D E y L 2 R 0 b V 9 y Z D E y L 2 R 0 b V 9 y Z D E y L n N v b W 1 h a X J l L n t y Z X R f a G k s N T R 9 J n F 1 b 3 Q 7 L C Z x d W 9 0 O 1 N l Y 3 R p b 2 4 x L 0 R h c 2 h i b 2 F y Z C 9 U e X B l I G 1 v Z G l m a c O p L n t y Z X R f a G l f a G g s N T V 9 J n F 1 b 3 Q 7 L C Z x d W 9 0 O 1 N l c n Z l c i 5 E Y X R h Y m F z Z V x c L z I v T X l T c W w v M T I 3 L j A u M C 4 x O j M z M D Y 7 Z H R t X 3 J k M T I v Z H R t X 3 J k M T I v Z H R t X 3 J k M T I u c 2 9 t b W F p c m U u e 3 J l d F 9 m Y S w 1 N n 0 m c X V v d D s s J n F 1 b 3 Q 7 U 2 V j d G l v b j E v R G F z a G J v Y X J k L 1 R 5 c G U g b W 9 k a W Z p w 6 k u e 3 J l d F 9 m Y V 9 o a C w 1 N 3 0 m c X V v d D s s J n F 1 b 3 Q 7 U 2 V y d m V y L k R h d G F i Y X N l X F w v M i 9 N e V N x b C 8 x M j c u M C 4 w L j E 6 M z M w N j t k d G 1 f c m Q x M i 9 k d G 1 f c m Q x M i 9 k d G 1 f c m Q x M i 5 z b 2 1 t Y W l y Z S 5 7 c m V 0 X 2 x v Y y w 1 O H 0 m c X V v d D s s J n F 1 b 3 Q 7 U 2 V j d G l v b j E v R G F z a G J v Y X J k L 1 R 5 c G U g b W 9 k a W Z p w 6 k u e 3 J l d F 9 s b 2 N f a G g s N T l 9 J n F 1 b 3 Q 7 L C Z x d W 9 0 O 1 N l c n Z l c i 5 E Y X R h Y m F z Z V x c L z I v T X l T c W w v M T I 3 L j A u M C 4 x O j M z M D Y 7 Z H R t X 3 J k M T I v Z H R t X 3 J k M T I v Z H R t X 3 J k M T I u c 2 9 t b W F p c m U u e 3 J l d F 9 s b 2 N f Z G V 0 Y W l s c y w 2 M H 0 m c X V v d D s s J n F 1 b 3 Q 7 U 2 V y d m V y L k R h d G F i Y X N l X F w v M i 9 N e V N x b C 8 x M j c u M C 4 w L j E 6 M z M w N j t k d G 1 f c m Q x M i 9 k d G 1 f c m Q x M i 9 k d G 1 f c m Q x M i 5 z b 2 1 t Y W l y Z S 5 7 c m V 0 X 2 x v Y 1 9 h d X R y Z S w 2 M X 0 m c X V v d D s s J n F 1 b 3 Q 7 U 2 V y d m V y L k R h d G F i Y X N l X F w v M i 9 N e V N x b C 8 x M j c u M C 4 w L j E 6 M z M w N j t k d G 1 f c m Q x M i 9 k d G 1 f c m Q x M i 9 k d G 1 f c m Q x M i 5 z b 2 1 t Y W l y Z S 5 7 c m V 0 X 2 N j L D Y y f S Z x d W 9 0 O y w m c X V v d D t T Z W N 0 a W 9 u M S 9 E Y X N o Y m 9 h c m Q v V H l w Z S B t b 2 R p Z m n D q S 5 7 c m V 0 X 2 N j X 2 h o L D Y z f S Z x d W 9 0 O y w m c X V v d D t T Z X J 2 Z X I u R G F 0 Y W J h c 2 V c X C 8 y L 0 1 5 U 3 F s L z E y N y 4 w L j A u M T o z M z A 2 O 2 R 0 b V 9 y Z D E y L 2 R 0 b V 9 y Z D E y L 2 R 0 b V 9 y Z D E y L n N v b W 1 h a X J l L n t y Z X R f Y 2 N f Z G V 0 Y W l s c y w 2 N H 0 m c X V v d D s s J n F 1 b 3 Q 7 U 2 V y d m V y L k R h d G F i Y X N l X F w v M i 9 N e V N x b C 8 x M j c u M C 4 w L j E 6 M z M w N j t k d G 1 f c m Q x M i 9 k d G 1 f c m Q x M i 9 k d G 1 f c m Q x M i 5 z b 2 1 t Y W l y Z S 5 7 c m V 0 X 2 N j X 2 F 1 d H J l L D Y 1 f S Z x d W 9 0 O y w m c X V v d D t T Z X J 2 Z X I u R G F 0 Y W J h c 2 V c X C 8 y L 0 1 5 U 3 F s L z E y N y 4 w L j A u M T o z M z A 2 O 2 R 0 b V 9 y Z D E y L 2 R 0 b V 9 y Z D E y L 2 R 0 b V 9 y Z D E y L n N v b W 1 h a X J l L n t y Z X R f Y X M s N j Z 9 J n F 1 b 3 Q 7 L C Z x d W 9 0 O 1 N l Y 3 R p b 2 4 x L 0 R h c 2 h i b 2 F y Z C 9 U e X B l I G 1 v Z G l m a c O p L n t y Z X R f Y X N f a G g s N j d 9 J n F 1 b 3 Q 7 L C Z x d W 9 0 O 1 N l c n Z l c i 5 E Y X R h Y m F z Z V x c L z I v T X l T c W w v M T I 3 L j A u M C 4 x O j M z M D Y 7 Z H R t X 3 J k M T I v Z H R t X 3 J k M T I v Z H R t X 3 J k M T I u c 2 9 t b W F p c m U u e 3 J l d F 9 h b C w 2 O H 0 m c X V v d D s s J n F 1 b 3 Q 7 U 2 V j d G l v b j E v R G F z a G J v Y X J k L 1 R 5 c G U g b W 9 k a W Z p w 6 k u e 3 J l d F 9 h b F 9 o a C w 2 O X 0 m c X V v d D s s J n F 1 b 3 Q 7 U 2 V y d m V y L k R h d G F i Y X N l X F w v M i 9 N e V N x b C 8 x M j c u M C 4 w L j E 6 M z M w N j t k d G 1 f c m Q x M i 9 k d G 1 f c m Q x M i 9 k d G 1 f c m Q x M i 5 z b 2 1 t Y W l y Z S 5 7 Z G V w b G F j Z X N f b G 9 j Y X V 4 L D c w f S Z x d W 9 0 O y w m c X V v d D t T Z W N 0 a W 9 u M S 9 E Y X N o Y m 9 h c m Q v V H l w Z S B t b 2 R p Z m n D q S 5 7 R V 9 k Z X B h c n R f c 2 F u c 1 9 y Z X R v d X J f a G g s N z F 9 J n F 1 b 3 Q 7 L C Z x d W 9 0 O 1 N l Y 3 R p b 2 4 x L 0 R h c 2 h i b 2 F y Z C 9 U e X B l I G 1 v Z G l m a c O p L n t F X 2 R l c G F y d F 9 z Y W 5 z X 3 J l d G 9 1 c l 9 p b m Q s N z J 9 J n F 1 b 3 Q 7 L C Z x d W 9 0 O 1 N l c n Z l c i 5 E Y X R h Y m F z Z V x c L z I v T X l T c W w v M T I 3 L j A u M C 4 x O j M z M D Y 7 Z H R t X 3 J k M T I v Z H R t X 3 J k M T I v Z H R t X 3 J k M T I u c 2 9 t b W F p c m U u e 3 J h c G F 0 c m l l b W V u d H M s N z N 9 J n F 1 b 3 Q 7 L C Z x d W 9 0 O 1 N l Y 3 R p b 2 4 x L 0 R h c 2 h i b 2 F y Z C 9 U e X B l I G 1 v Z G l m a c O p L n t y Y X B h d H J p Z X N f a G g s N z R 9 J n F 1 b 3 Q 7 L C Z x d W 9 0 O 1 N l Y 3 R p b 2 4 x L 0 R h c 2 h i b 2 F y Z C 9 U e X B l I G 1 v Z G l m a c O p L n t y Y X B h d H J p Z X N f a W 5 k L D c 1 f S Z x d W 9 0 O y w m c X V v d D t T Z X J 2 Z X I u R G F 0 Y W J h c 2 V c X C 8 y L 0 1 5 U 3 F s L z E y N y 4 w L j A u M T o z M z A 2 O 2 R 0 b V 9 y Z D E y L 2 R 0 b V 9 y Z D E y L 2 R 0 b V 9 y Z D E y L n N v b W 1 h a X J l L n t u b 3 V 2 Z W F 1 L D c 2 f S Z x d W 9 0 O 1 0 s J n F 1 b 3 Q 7 Q 2 9 s d W 1 u Q 2 9 1 b n Q m c X V v d D s 6 N z c s J n F 1 b 3 Q 7 S 2 V 5 Q 2 9 s d W 1 u T m F t Z X M m c X V v d D s 6 W 1 0 s J n F 1 b 3 Q 7 Q 2 9 s d W 1 u S W R l b n R p d G l l c y Z x d W 9 0 O z p b J n F 1 b 3 Q 7 U 2 V y d m V y L k R h d G F i Y X N l X F w v M i 9 N e V N x b C 8 x M j c u M C 4 w L j E 6 M z M w N j t k d G 1 f c m Q x M i 9 k d G 1 f c m Q x M i 9 k d G 1 f c m Q x M i 5 z b 2 1 t Y W l y Z S 5 7 X 2 l u Z G V 4 L D B 9 J n F 1 b 3 Q 7 L C Z x d W 9 0 O 1 N l c n Z l c i 5 E Y X R h Y m F z Z V x c L z I v T X l T c W w v M T I 3 L j A u M C 4 x O j M z M D Y 7 Z H R t X 3 J k M T I v Z H R t X 3 J k M T I v Z H R t X 3 J k M T I u c 2 9 t b W F p c m U u e 0 F k b T E s M X 0 m c X V v d D s s J n F 1 b 3 Q 7 U 2 V y d m V y L k R h d G F i Y X N l X F w v M i 9 N e V N x b C 8 x M j c u M C 4 w L j E 6 M z M w N j t k d G 1 f c m Q x M i 9 k d G 1 f c m Q x M i 9 k d G 1 f c m Q x M i 5 z b 2 1 t Y W l y Z S 5 7 Y W R t M V 9 j b 2 R l L D J 9 J n F 1 b 3 Q 7 L C Z x d W 9 0 O 1 N l c n Z l c i 5 E Y X R h Y m F z Z V x c L z I v T X l T c W w v M T I 3 L j A u M C 4 x O j M z M D Y 7 Z H R t X 3 J k M T I v Z H R t X 3 J k M T I v Z H R t X 3 J k M T I u c 2 9 t b W F p c m U u e 2 V 2 Y W x 1 Y X R p b 2 5 f Y W R t M l 9 u Y W 1 l L D N 9 J n F 1 b 3 Q 7 L C Z x d W 9 0 O 1 N l c n Z l c i 5 E Y X R h Y m F z Z V x c L z I v T X l T c W w v M T I 3 L j A u M C 4 x O j M z M D Y 7 Z H R t X 3 J k M T I v Z H R t X 3 J k M T I v Z H R t X 3 J k M T I u c 2 9 t b W F p c m U u e 2 V 2 Y W x 1 Y X R p b 2 5 f Y W R t M l 9 j b 2 R l L D R 9 J n F 1 b 3 Q 7 L C Z x d W 9 0 O 1 N l c n Z l c i 5 E Y X R h Y m F z Z V x c L z I v T X l T c W w v M T I 3 L j A u M C 4 x O j M z M D Y 7 Z H R t X 3 J k M T I v Z H R t X 3 J k M T I v Z H R t X 3 J k M T I u c 2 9 t b W F p c m U u e 2 V 2 Y W x 1 Y X R p b 2 5 f Y W R t M 1 9 u Y W 1 l L D V 9 J n F 1 b 3 Q 7 L C Z x d W 9 0 O 1 N l c n Z l c i 5 E Y X R h Y m F z Z V x c L z I v T X l T c W w v M T I 3 L j A u M C 4 x O j M z M D Y 7 Z H R t X 3 J k M T I v Z H R t X 3 J k M T I v Z H R t X 3 J k M T I u c 2 9 t b W F p c m U u e 2 V 2 Y W x 1 Y X R p b 2 5 f Y W R t M 1 9 j b 2 R l L D Z 9 J n F 1 b 3 Q 7 L C Z x d W 9 0 O 1 N l c n Z l c i 5 E Y X R h Y m F z Z V x c L z I v T X l T c W w v M T I 3 L j A u M C 4 x O j M z M D Y 7 Z H R t X 3 J k M T I v Z H R t X 3 J k M T I v Z H R t X 3 J k M T I u c 2 9 t b W F p c m U u e 3 Z p b G x h Z 2 V f U 1 N J R C w 3 f S Z x d W 9 0 O y w m c X V v d D t T Z X J 2 Z X I u R G F 0 Y W J h c 2 V c X C 8 y L 0 1 5 U 3 F s L z E y N y 4 w L j A u M T o z M z A 2 O 2 R 0 b V 9 y Z D E y L 2 R 0 b V 9 y Z D E y L 2 R 0 b V 9 y Z D E y L n N v b W 1 h a X J l L n t l d m F s d W F 0 a W 9 u X 3 Z p b G x h Z 2 V f b m F t Z S w 4 f S Z x d W 9 0 O y w m c X V v d D t T Z X J 2 Z X I u R G F 0 Y W J h c 2 V c X C 8 y L 0 1 5 U 3 F s L z E y N y 4 w L j A u M T o z M z A 2 O 2 R 0 b V 9 y Z D E y L 2 R 0 b V 9 y Z D E y L 2 R 0 b V 9 y Z D E y L n N v b W 1 h a X J l L n t l d m F s d W F 0 a W 9 u X 3 Z p b G x h Z 2 V f b G 9 u Z y w 5 f S Z x d W 9 0 O y w m c X V v d D t T Z X J 2 Z X I u R G F 0 Y W J h c 2 V c X C 8 y L 0 1 5 U 3 F s L z E y N y 4 w L j A u M T o z M z A 2 O 2 R 0 b V 9 y Z D E y L 2 R 0 b V 9 y Z D E y L 2 R 0 b V 9 y Z D E y L n N v b W 1 h a X J l L n t l d m F s d W F 0 a W 9 u X 3 Z p b G x h Z 2 V f b G F 0 L D E w f S Z x d W 9 0 O y w m c X V v d D t T Z X J 2 Z X I u R G F 0 Y W J h c 2 V c X C 8 y L 0 1 5 U 3 F s L z E y N y 4 w L j A u M T o z M z A 2 O 2 R 0 b V 9 y Z D E y L 2 R 0 b V 9 y Z D E y L 2 R 0 b V 9 y Z D E y L n N v b W 1 h a X J l L n t l d m F s d W F 0 a W 9 u X 3 Z p b G x h Z 2 V f Y W N 1 c m F 0 Z S w x M X 0 m c X V v d D s s J n F 1 b 3 Q 7 U 2 V j d G l v b j E v R G F z a G J v Y X J k L 1 R 5 c G U g b W 9 k a W Z p w 6 k u e 3 B v c H V s Y X R p b 2 5 f Z 2 x v Y m F s Z S w x M n 0 m c X V v d D s s J n F 1 b 3 Q 7 U 2 V y d m V y L k R h d G F i Y X N l X F w v M i 9 N e V N x b C 8 x M j c u M C 4 w L j E 6 M z M w N j t k d G 1 f c m Q x M i 9 k d G 1 f c m Q x M i 9 k d G 1 f c m Q x M i 5 z b 2 1 t Y W l y Z S 5 7 a W R w L D E z f S Z x d W 9 0 O y w m c X V v d D t T Z W N 0 a W 9 u M S 9 E Y X N o Y m 9 h c m Q v V H l w Z S B t b 2 R p Z m n D q S 5 7 a W R w X 2 h o L D E 0 f S Z x d W 9 0 O y w m c X V v d D t T Z W N 0 a W 9 u M S 9 E Y X N o Y m 9 h c m Q v V H l w Z S B t b 2 R p Z m n D q S 5 7 a W R w X 2 l u Z C w x N X 0 m c X V v d D s s J n F 1 b 3 Q 7 U 2 V y d m V y L k R h d G F i Y X N l X F w v M i 9 N e V N x b C 8 x M j c u M C 4 w L j E 6 M z M w N j t k d G 1 f c m Q x M i 9 k d G 1 f c m Q x M i 9 k d G 1 f c m Q x M i 5 z b 2 1 t Y W l y Z S 5 7 a W R w X 2 Z h L D E 2 f S Z x d W 9 0 O y w m c X V v d D t T Z W N 0 a W 9 u M S 9 E Y X N o Y m 9 h c m Q v V H l w Z S B t b 2 R p Z m n D q S 5 7 a W R w X 2 Z h X 2 h o L D E 3 f S Z x d W 9 0 O y w m c X V v d D t T Z X J 2 Z X I u R G F 0 Y W J h c 2 V c X C 8 y L 0 1 5 U 3 F s L z E y N y 4 w L j A u M T o z M z A 2 O 2 R 0 b V 9 y Z D E y L 2 R 0 b V 9 y Z D E y L 2 R 0 b V 9 y Z D E y L n N v b W 1 h a X J l L n t p Z H B f b G 9 j L D E 4 f S Z x d W 9 0 O y w m c X V v d D t T Z W N 0 a W 9 u M S 9 E Y X N o Y m 9 h c m Q v V H l w Z S B t b 2 R p Z m n D q S 5 7 a W R w X 2 x v Y 1 9 o a C w x O X 0 m c X V v d D s s J n F 1 b 3 Q 7 U 2 V y d m V y L k R h d G F i Y X N l X F w v M i 9 N e V N x b C 8 x M j c u M C 4 w L j E 6 M z M w N j t k d G 1 f c m Q x M i 9 k d G 1 f c m Q x M i 9 k d G 1 f c m Q x M i 5 z b 2 1 t Y W l y Z S 5 7 a W R w X 2 x v Y 1 9 k Z X R h a W x z L D I w f S Z x d W 9 0 O y w m c X V v d D t T Z X J 2 Z X I u R G F 0 Y W J h c 2 V c X C 8 y L 0 1 5 U 3 F s L z E y N y 4 w L j A u M T o z M z A 2 O 2 R 0 b V 9 y Z D E y L 2 R 0 b V 9 y Z D E y L 2 R 0 b V 9 y Z D E y L n N v b W 1 h a X J l L n t p Z H B f b G 9 j X 2 F 1 d H J l L D I x f S Z x d W 9 0 O y w m c X V v d D t T Z X J 2 Z X I u R G F 0 Y W J h c 2 V c X C 8 y L 0 1 5 U 3 F s L z E y N y 4 w L j A u M T o z M z A 2 O 2 R 0 b V 9 y Z D E y L 2 R 0 b V 9 y Z D E y L 2 R 0 b V 9 y Z D E y L n N v b W 1 h a X J l L n t p Z H B f Y 2 M s M j J 9 J n F 1 b 3 Q 7 L C Z x d W 9 0 O 1 N l Y 3 R p b 2 4 x L 0 R h c 2 h i b 2 F y Z C 9 U e X B l I G 1 v Z G l m a c O p L n t p Z H B f Y 2 N f a G g s M j N 9 J n F 1 b 3 Q 7 L C Z x d W 9 0 O 1 N l c n Z l c i 5 E Y X R h Y m F z Z V x c L z I v T X l T c W w v M T I 3 L j A u M C 4 x O j M z M D Y 7 Z H R t X 3 J k M T I v Z H R t X 3 J k M T I v Z H R t X 3 J k M T I u c 2 9 t b W F p c m U u e 2 l k c F 9 j Y 1 9 k Z X R h a W x z L D I 0 f S Z x d W 9 0 O y w m c X V v d D t T Z X J 2 Z X I u R G F 0 Y W J h c 2 V c X C 8 y L 0 1 5 U 3 F s L z E y N y 4 w L j A u M T o z M z A 2 O 2 R 0 b V 9 y Z D E y L 2 R 0 b V 9 y Z D E y L 2 R 0 b V 9 y Z D E y L n N v b W 1 h a X J l L n t p Z H B f Y 2 N f Y X V 0 c m U s M j V 9 J n F 1 b 3 Q 7 L C Z x d W 9 0 O 1 N l c n Z l c i 5 E Y X R h Y m F z Z V x c L z I v T X l T c W w v M T I 3 L j A u M C 4 x O j M z M D Y 7 Z H R t X 3 J k M T I v Z H R t X 3 J k M T I v Z H R t X 3 J k M T I u c 2 9 t b W F p c m U u e 2 l k c F 9 h c y w y N n 0 m c X V v d D s s J n F 1 b 3 Q 7 U 2 V j d G l v b j E v R G F z a G J v Y X J k L 1 R 5 c G U g b W 9 k a W Z p w 6 k u e 2 l k c F 9 h c 1 9 o a C w y N 3 0 m c X V v d D s s J n F 1 b 3 Q 7 U 2 V y d m V y L k R h d G F i Y X N l X F w v M i 9 N e V N x b C 8 x M j c u M C 4 w L j E 6 M z M w N j t k d G 1 f c m Q x M i 9 k d G 1 f c m Q x M i 9 k d G 1 f c m Q x M i 5 z b 2 1 t Y W l y Z S 5 7 a W R w X 2 F s L D I 4 f S Z x d W 9 0 O y w m c X V v d D t T Z W N 0 a W 9 u M S 9 E Y X N o Y m 9 h c m Q v V H l w Z S B t b 2 R p Z m n D q S 5 7 a W R w X 2 F s X 2 h o L D I 5 f S Z x d W 9 0 O y w m c X V v d D t T Z X J 2 Z X I u R G F 0 Y W J h c 2 V c X C 8 y L 0 1 5 U 3 F s L z E y N y 4 w L j A u M T o z M z A 2 O 2 R 0 b V 9 y Z D E y L 2 R 0 b V 9 y Z D E y L 2 R 0 b V 9 y Z D E y L n N v b W 1 h a X J l L n t y Z W Z 1 Z 2 V l c y w z M H 0 m c X V v d D s s J n F 1 b 3 Q 7 U 2 V j d G l v b j E v R G F z a G J v Y X J k L 1 R 5 c G U g b W 9 k a W Z p w 6 k u e 3 J l Z l 9 o a C w z M X 0 m c X V v d D s s J n F 1 b 3 Q 7 U 2 V j d G l v b j E v R G F z a G J v Y X J k L 1 R 5 c G U g b W 9 k a W Z p w 6 k u e 3 J l Z l 9 p b m Q s M z J 9 J n F 1 b 3 Q 7 L C Z x d W 9 0 O 1 N l c n Z l c i 5 E Y X R h Y m F z Z V x c L z I v T X l T c W w v M T I 3 L j A u M C 4 x O j M z M D Y 7 Z H R t X 3 J k M T I v Z H R t X 3 J k M T I v Z H R t X 3 J k M T I u c 2 9 t b W F p c m U u e 2 F u Y 2 l l b l 9 y Z W Z 1 Z 2 V l c y w z M 3 0 m c X V v d D s s J n F 1 b 3 Q 7 U 2 V y d m V y L k R h d G F i Y X N l X F w v M i 9 N e V N x b C 8 x M j c u M C 4 w L j E 6 M z M w N j t k d G 1 f c m Q x M i 9 k d G 1 f c m Q x M i 9 k d G 1 f c m Q x M i 5 z b 2 1 t Y W l y Z S 5 7 Y W 5 j a W V u X 2 R l c G F y d G V t Z W 5 0 L D M 0 f S Z x d W 9 0 O y w m c X V v d D t T Z X J 2 Z X I u R G F 0 Y W J h c 2 V c X C 8 y L 0 1 5 U 3 F s L z E y N y 4 w L j A u M T o z M z A 2 O 2 R 0 b V 9 y Z D E y L 2 R 0 b V 9 y Z D E y L 2 R 0 b V 9 y Z D E y L n N v b W 1 h a X J l L n t h b m N p Z W 5 f Y X J y b 2 5 k a X N z Z W 1 l b n Q s M z V 9 J n F 1 b 3 Q 7 L C Z x d W 9 0 O 1 N l c n Z l c i 5 E Y X R h Y m F z Z V x c L z I v T X l T c W w v M T I 3 L j A u M C 4 x O j M z M D Y 7 Z H R t X 3 J k M T I v Z H R t X 3 J k M T I v Z H R t X 3 J k M T I u c 2 9 t b W F p c m U u e 2 F u Y 2 l l b l 9 2 a W x s Y W d l L D M 2 f S Z x d W 9 0 O y w m c X V v d D t T Z X J 2 Z X I u R G F 0 Y W J h c 2 V c X C 8 y L 0 1 5 U 3 F s L z E y N y 4 w L j A u M T o z M z A 2 O 2 R 0 b V 9 y Z D E y L 2 R 0 b V 9 y Z D E y L 2 R 0 b V 9 y Z D E y L n N v b W 1 h a X J l L n t y Z W Z f Z m E s M z d 9 J n F 1 b 3 Q 7 L C Z x d W 9 0 O 1 N l Y 3 R p b 2 4 x L 0 R h c 2 h i b 2 F y Z C 9 U e X B l I G 1 v Z G l m a c O p L n t y Z W Z f Z m F f a G g s M z h 9 J n F 1 b 3 Q 7 L C Z x d W 9 0 O 1 N l c n Z l c i 5 E Y X R h Y m F z Z V x c L z I v T X l T c W w v M T I 3 L j A u M C 4 x O j M z M D Y 7 Z H R t X 3 J k M T I v Z H R t X 3 J k M T I v Z H R t X 3 J k M T I u c 2 9 t b W F p c m U u e 3 J l Z l 9 s b 2 M s M z l 9 J n F 1 b 3 Q 7 L C Z x d W 9 0 O 1 N l Y 3 R p b 2 4 x L 0 R h c 2 h i b 2 F y Z C 9 U e X B l I G 1 v Z G l m a c O p L n t y Z W Z f b G 9 j X 2 h o L D Q w f S Z x d W 9 0 O y w m c X V v d D t T Z X J 2 Z X I u R G F 0 Y W J h c 2 V c X C 8 y L 0 1 5 U 3 F s L z E y N y 4 w L j A u M T o z M z A 2 O 2 R 0 b V 9 y Z D E y L 2 R 0 b V 9 y Z D E y L 2 R 0 b V 9 y Z D E y L n N v b W 1 h a X J l L n t y Z W Z f b G 9 j X 2 R l d G F p b H M s N D F 9 J n F 1 b 3 Q 7 L C Z x d W 9 0 O 1 N l c n Z l c i 5 E Y X R h Y m F z Z V x c L z I v T X l T c W w v M T I 3 L j A u M C 4 x O j M z M D Y 7 Z H R t X 3 J k M T I v Z H R t X 3 J k M T I v Z H R t X 3 J k M T I u c 2 9 t b W F p c m U u e 3 J l Z l 9 s b 2 N f Y X V 0 c m U s N D J 9 J n F 1 b 3 Q 7 L C Z x d W 9 0 O 1 N l c n Z l c i 5 E Y X R h Y m F z Z V x c L z I v T X l T c W w v M T I 3 L j A u M C 4 x O j M z M D Y 7 Z H R t X 3 J k M T I v Z H R t X 3 J k M T I v Z H R t X 3 J k M T I u c 2 9 t b W F p c m U u e 3 J l Z l 9 j Y y w 0 M 3 0 m c X V v d D s s J n F 1 b 3 Q 7 U 2 V j d G l v b j E v R G F z a G J v Y X J k L 1 R 5 c G U g b W 9 k a W Z p w 6 k u e 3 J l Z l 9 j Y 1 9 o a C w 0 N H 0 m c X V v d D s s J n F 1 b 3 Q 7 U 2 V y d m V y L k R h d G F i Y X N l X F w v M i 9 N e V N x b C 8 x M j c u M C 4 w L j E 6 M z M w N j t k d G 1 f c m Q x M i 9 k d G 1 f c m Q x M i 9 k d G 1 f c m Q x M i 5 z b 2 1 t Y W l y Z S 5 7 c m V m X 2 N j X 2 R l d G F p b H M s N D V 9 J n F 1 b 3 Q 7 L C Z x d W 9 0 O 1 N l c n Z l c i 5 E Y X R h Y m F z Z V x c L z I v T X l T c W w v M T I 3 L j A u M C 4 x O j M z M D Y 7 Z H R t X 3 J k M T I v Z H R t X 3 J k M T I v Z H R t X 3 J k M T I u c 2 9 t b W F p c m U u e 3 J l Z l 9 j Y 1 9 h d X R y Z S w 0 N n 0 m c X V v d D s s J n F 1 b 3 Q 7 U 2 V y d m V y L k R h d G F i Y X N l X F w v M i 9 N e V N x b C 8 x M j c u M C 4 w L j E 6 M z M w N j t k d G 1 f c m Q x M i 9 k d G 1 f c m Q x M i 9 k d G 1 f c m Q x M i 5 z b 2 1 t Y W l y Z S 5 7 c m V m X 2 F z L D Q 3 f S Z x d W 9 0 O y w m c X V v d D t T Z W N 0 a W 9 u M S 9 E Y X N o Y m 9 h c m Q v V H l w Z S B t b 2 R p Z m n D q S 5 7 c m V m X 2 F z X 2 h o L D Q 4 f S Z x d W 9 0 O y w m c X V v d D t T Z X J 2 Z X I u R G F 0 Y W J h c 2 V c X C 8 y L 0 1 5 U 3 F s L z E y N y 4 w L j A u M T o z M z A 2 O 2 R 0 b V 9 y Z D E y L 2 R 0 b V 9 y Z D E y L 2 R 0 b V 9 y Z D E y L n N v b W 1 h a X J l L n t y Z W Z f Y W w s N D l 9 J n F 1 b 3 Q 7 L C Z x d W 9 0 O 1 N l Y 3 R p b 2 4 x L 0 R h c 2 h i b 2 F y Z C 9 U e X B l I G 1 v Z G l m a c O p L n t y Z W Z f Y W x f a G g s N T B 9 J n F 1 b 3 Q 7 L C Z x d W 9 0 O 1 N l c n Z l c i 5 E Y X R h Y m F z Z V x c L z I v T X l T c W w v M T I 3 L j A u M C 4 x O j M z M D Y 7 Z H R t X 3 J k M T I v Z H R t X 3 J k M T I v Z H R t X 3 J k M T I u c 2 9 t b W F p c m U u e 3 J l d H V y b m V l c y w 1 M X 0 m c X V v d D s s J n F 1 b 3 Q 7 U 2 V j d G l v b j E v R G F z a G J v Y X J k L 1 R 5 c G U g b W 9 k a W Z p w 6 k u e 3 J l d F 9 o a C w 1 M n 0 m c X V v d D s s J n F 1 b 3 Q 7 U 2 V j d G l v b j E v R G F z a G J v Y X J k L 1 R 5 c G U g b W 9 k a W Z p w 6 k u e 3 J l d F 9 p b m Q s N T N 9 J n F 1 b 3 Q 7 L C Z x d W 9 0 O 1 N l c n Z l c i 5 E Y X R h Y m F z Z V x c L z I v T X l T c W w v M T I 3 L j A u M C 4 x O j M z M D Y 7 Z H R t X 3 J k M T I v Z H R t X 3 J k M T I v Z H R t X 3 J k M T I u c 2 9 t b W F p c m U u e 3 J l d F 9 o a S w 1 N H 0 m c X V v d D s s J n F 1 b 3 Q 7 U 2 V j d G l v b j E v R G F z a G J v Y X J k L 1 R 5 c G U g b W 9 k a W Z p w 6 k u e 3 J l d F 9 o a V 9 o a C w 1 N X 0 m c X V v d D s s J n F 1 b 3 Q 7 U 2 V y d m V y L k R h d G F i Y X N l X F w v M i 9 N e V N x b C 8 x M j c u M C 4 w L j E 6 M z M w N j t k d G 1 f c m Q x M i 9 k d G 1 f c m Q x M i 9 k d G 1 f c m Q x M i 5 z b 2 1 t Y W l y Z S 5 7 c m V 0 X 2 Z h L D U 2 f S Z x d W 9 0 O y w m c X V v d D t T Z W N 0 a W 9 u M S 9 E Y X N o Y m 9 h c m Q v V H l w Z S B t b 2 R p Z m n D q S 5 7 c m V 0 X 2 Z h X 2 h o L D U 3 f S Z x d W 9 0 O y w m c X V v d D t T Z X J 2 Z X I u R G F 0 Y W J h c 2 V c X C 8 y L 0 1 5 U 3 F s L z E y N y 4 w L j A u M T o z M z A 2 O 2 R 0 b V 9 y Z D E y L 2 R 0 b V 9 y Z D E y L 2 R 0 b V 9 y Z D E y L n N v b W 1 h a X J l L n t y Z X R f b G 9 j L D U 4 f S Z x d W 9 0 O y w m c X V v d D t T Z W N 0 a W 9 u M S 9 E Y X N o Y m 9 h c m Q v V H l w Z S B t b 2 R p Z m n D q S 5 7 c m V 0 X 2 x v Y 1 9 o a C w 1 O X 0 m c X V v d D s s J n F 1 b 3 Q 7 U 2 V y d m V y L k R h d G F i Y X N l X F w v M i 9 N e V N x b C 8 x M j c u M C 4 w L j E 6 M z M w N j t k d G 1 f c m Q x M i 9 k d G 1 f c m Q x M i 9 k d G 1 f c m Q x M i 5 z b 2 1 t Y W l y Z S 5 7 c m V 0 X 2 x v Y 1 9 k Z X R h a W x z L D Y w f S Z x d W 9 0 O y w m c X V v d D t T Z X J 2 Z X I u R G F 0 Y W J h c 2 V c X C 8 y L 0 1 5 U 3 F s L z E y N y 4 w L j A u M T o z M z A 2 O 2 R 0 b V 9 y Z D E y L 2 R 0 b V 9 y Z D E y L 2 R 0 b V 9 y Z D E y L n N v b W 1 h a X J l L n t y Z X R f b G 9 j X 2 F 1 d H J l L D Y x f S Z x d W 9 0 O y w m c X V v d D t T Z X J 2 Z X I u R G F 0 Y W J h c 2 V c X C 8 y L 0 1 5 U 3 F s L z E y N y 4 w L j A u M T o z M z A 2 O 2 R 0 b V 9 y Z D E y L 2 R 0 b V 9 y Z D E y L 2 R 0 b V 9 y Z D E y L n N v b W 1 h a X J l L n t y Z X R f Y 2 M s N j J 9 J n F 1 b 3 Q 7 L C Z x d W 9 0 O 1 N l Y 3 R p b 2 4 x L 0 R h c 2 h i b 2 F y Z C 9 U e X B l I G 1 v Z G l m a c O p L n t y Z X R f Y 2 N f a G g s N j N 9 J n F 1 b 3 Q 7 L C Z x d W 9 0 O 1 N l c n Z l c i 5 E Y X R h Y m F z Z V x c L z I v T X l T c W w v M T I 3 L j A u M C 4 x O j M z M D Y 7 Z H R t X 3 J k M T I v Z H R t X 3 J k M T I v Z H R t X 3 J k M T I u c 2 9 t b W F p c m U u e 3 J l d F 9 j Y 1 9 k Z X R h a W x z L D Y 0 f S Z x d W 9 0 O y w m c X V v d D t T Z X J 2 Z X I u R G F 0 Y W J h c 2 V c X C 8 y L 0 1 5 U 3 F s L z E y N y 4 w L j A u M T o z M z A 2 O 2 R 0 b V 9 y Z D E y L 2 R 0 b V 9 y Z D E y L 2 R 0 b V 9 y Z D E y L n N v b W 1 h a X J l L n t y Z X R f Y 2 N f Y X V 0 c m U s N j V 9 J n F 1 b 3 Q 7 L C Z x d W 9 0 O 1 N l c n Z l c i 5 E Y X R h Y m F z Z V x c L z I v T X l T c W w v M T I 3 L j A u M C 4 x O j M z M D Y 7 Z H R t X 3 J k M T I v Z H R t X 3 J k M T I v Z H R t X 3 J k M T I u c 2 9 t b W F p c m U u e 3 J l d F 9 h c y w 2 N n 0 m c X V v d D s s J n F 1 b 3 Q 7 U 2 V j d G l v b j E v R G F z a G J v Y X J k L 1 R 5 c G U g b W 9 k a W Z p w 6 k u e 3 J l d F 9 h c 1 9 o a C w 2 N 3 0 m c X V v d D s s J n F 1 b 3 Q 7 U 2 V y d m V y L k R h d G F i Y X N l X F w v M i 9 N e V N x b C 8 x M j c u M C 4 w L j E 6 M z M w N j t k d G 1 f c m Q x M i 9 k d G 1 f c m Q x M i 9 k d G 1 f c m Q x M i 5 z b 2 1 t Y W l y Z S 5 7 c m V 0 X 2 F s L D Y 4 f S Z x d W 9 0 O y w m c X V v d D t T Z W N 0 a W 9 u M S 9 E Y X N o Y m 9 h c m Q v V H l w Z S B t b 2 R p Z m n D q S 5 7 c m V 0 X 2 F s X 2 h o L D Y 5 f S Z x d W 9 0 O y w m c X V v d D t T Z X J 2 Z X I u R G F 0 Y W J h c 2 V c X C 8 y L 0 1 5 U 3 F s L z E y N y 4 w L j A u M T o z M z A 2 O 2 R 0 b V 9 y Z D E y L 2 R 0 b V 9 y Z D E y L 2 R 0 b V 9 y Z D E y L n N v b W 1 h a X J l L n t k Z X B s Y W N l c 1 9 s b 2 N h d X g s N z B 9 J n F 1 b 3 Q 7 L C Z x d W 9 0 O 1 N l Y 3 R p b 2 4 x L 0 R h c 2 h i b 2 F y Z C 9 U e X B l I G 1 v Z G l m a c O p L n t F X 2 R l c G F y d F 9 z Y W 5 z X 3 J l d G 9 1 c l 9 o a C w 3 M X 0 m c X V v d D s s J n F 1 b 3 Q 7 U 2 V j d G l v b j E v R G F z a G J v Y X J k L 1 R 5 c G U g b W 9 k a W Z p w 6 k u e 0 V f Z G V w Y X J 0 X 3 N h b n N f c m V 0 b 3 V y X 2 l u Z C w 3 M n 0 m c X V v d D s s J n F 1 b 3 Q 7 U 2 V y d m V y L k R h d G F i Y X N l X F w v M i 9 N e V N x b C 8 x M j c u M C 4 w L j E 6 M z M w N j t k d G 1 f c m Q x M i 9 k d G 1 f c m Q x M i 9 k d G 1 f c m Q x M i 5 z b 2 1 t Y W l y Z S 5 7 c m F w Y X R y a W V t Z W 5 0 c y w 3 M 3 0 m c X V v d D s s J n F 1 b 3 Q 7 U 2 V j d G l v b j E v R G F z a G J v Y X J k L 1 R 5 c G U g b W 9 k a W Z p w 6 k u e 3 J h c G F 0 c m l l c 1 9 o a C w 3 N H 0 m c X V v d D s s J n F 1 b 3 Q 7 U 2 V j d G l v b j E v R G F z a G J v Y X J k L 1 R 5 c G U g b W 9 k a W Z p w 6 k u e 3 J h c G F 0 c m l l c 1 9 p b m Q s N z V 9 J n F 1 b 3 Q 7 L C Z x d W 9 0 O 1 N l c n Z l c i 5 E Y X R h Y m F z Z V x c L z I v T X l T c W w v M T I 3 L j A u M C 4 x O j M z M D Y 7 Z H R t X 3 J k M T I v Z H R t X 3 J k M T I v Z H R t X 3 J k M T I u c 2 9 t b W F p c m U u e 2 5 v d X Z l Y X U s N z Z 9 J n F 1 b 3 Q 7 X S w m c X V v d D t S Z W x h d G l v b n N o a X B J b m Z v J n F 1 b 3 Q 7 O l t d f S I g L z 4 8 R W 5 0 c n k g V H l w Z T 0 i R m l s b E N v b H V t b l R 5 c G V z I i B W Y W x 1 Z T 0 i c 0 F n W U d C Z 1 l H Q m d Z R 0 J n W U d B d 1 l E Q X d Z R E J n T U d C Z 1 l E Q m d Z R 0 F 3 W U R C Z 0 1 E Q m d Z R 0 J n W U R C Z 0 1 H Q m d Z R E J n W U d B d 1 l E Q m d N R E J n T U d B d 1 l E Q m d Z R 0 F 3 W U d C Z 0 1 H Q X d Z R E F 3 W U R B d 1 k 9 I i A v P j w v U 3 R h Y m x l R W 5 0 c m l l c z 4 8 L 0 l 0 Z W 0 + P E l 0 Z W 0 + P E l 0 Z W 1 M b 2 N h d G l v b j 4 8 S X R l b V R 5 c G U + R m 9 y b X V s Y T w v S X R l b V R 5 c G U + P E l 0 Z W 1 Q Y X R o P l N l Y 3 R p b 2 4 x L 0 R h c 2 h i b 2 F y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N o Y m 9 h c m Q v c 2 9 t b W F p c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N o Y m 9 h c m Q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2 F 0 a W 9 u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0 x v Y 2 F 0 a W 9 u c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X V l c n l J R C I g V m F s d W U 9 I n N k N z Y z O G U 3 Y i 0 2 Z W Q 0 L T Q w Z W Q t Y m V j Y y 1 m O G U 2 N T Q 1 O D Q 0 M T c i I C 8 + P E V u d H J 5 I F R 5 c G U 9 I k Z p b G x U Y X J n Z X Q i I F Z h b H V l P S J z T G 9 j Y X R p b 2 5 z I i A v P j x F b n R y e S B U e X B l P S J G a W x s Q 2 9 s d W 1 u T m F t Z X M i I F Z h b H V l P S J z W y Z x d W 9 0 O y M m c X V v d D s s J n F 1 b 3 Q 7 Q W R t M V 9 O Y W 1 l J n F 1 b 3 Q 7 L C Z x d W 9 0 O 0 F k b T F f Y 2 9 k Z S Z x d W 9 0 O y w m c X V v d D t B Z G 0 y X 0 5 h b W U m c X V v d D s s J n F 1 b 3 Q 7 Q W R t M l 9 j b 2 R l J n F 1 b 3 Q 7 L C Z x d W 9 0 O 0 F k b T N f T m F t Z S Z x d W 9 0 O y w m c X V v d D t B Z G 0 z X 2 N v Z G U m c X V v d D s s J n F 1 b 3 Q 7 V m l s b G F n Z V 9 j b 2 R l J n F 1 b 3 Q 7 L C Z x d W 9 0 O 1 Z p b G x h Z 2 V f b m F t Z S Z x d W 9 0 O y w m c X V v d D t H c H N f b G 9 u Z y Z x d W 9 0 O y w m c X V v d D t H c H N f b G F 0 J n F 1 b 3 Q 7 L C Z x d W 9 0 O 0 l u Z F 9 J R F B z J n F 1 b 3 Q 7 L C Z x d W 9 0 O 0 h I X 0 l E U H M m c X V v d D s s J n F 1 b 3 Q 7 S W 5 k X 1 V u c m V n a X N 0 Z X J l Z F 9 S Z W Z 1 Z 2 V l c y Z x d W 9 0 O y w m c X V v d D t I S F 9 V b n J l Z 2 l z d G V y Z W R f U m V m d W d l Z X M m c X V v d D s s J n F 1 b 3 Q 7 S W 5 k X 1 J l d H V y b m V l c y Z x d W 9 0 O y w m c X V v d D t I S F 9 S Z X R 1 c m 5 l Z X M m c X V v d D s s J n F 1 b 3 Q 7 T m V 3 J n F 1 b 3 Q 7 X S I g L z 4 8 R W 5 0 c n k g V H l w Z T 0 i R m l s b E N v d W 5 0 I i B W Y W x 1 Z T 0 i b D c 0 N y I g L z 4 8 R W 5 0 c n k g V H l w Z T 0 i R m l s b E V y c m 9 y Q 2 9 1 b n Q i I F Z h b H V l P S J s M C I g L z 4 8 R W 5 0 c n k g V H l w Z T 0 i R m l s b E 9 i a m V j d F R 5 c G U i I F Z h b H V l P S J z V G F i b G U i I C 8 + P E V u d H J 5 I F R 5 c G U 9 I k Z p b G x D b 2 x 1 b W 5 U e X B l c y I g V m F s d W U 9 I n N C U V l H Q m d Z R 0 J n W U d C Z 1 l E Q X d N R E F 3 T U c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b 2 N h d G l v b n M v S W 5 k Z X g g Y W p v d X T D q S 5 7 S W 5 k Z X g s M T d 9 J n F 1 b 3 Q 7 L C Z x d W 9 0 O 1 N l Y 3 R p b 2 4 x L 0 x v Y 2 F 0 a W 9 u c y 9 J b m R l e C B h a m 9 1 d M O p L n t B Z G 0 x X 0 5 h b W U s M H 0 m c X V v d D s s J n F 1 b 3 Q 7 U 2 V j d G l v b j E v T G 9 j Y X R p b 2 5 z L 0 l u Z G V 4 I G F q b 3 V 0 w 6 k u e 0 F k b T F f Y 2 9 k Z S w x f S Z x d W 9 0 O y w m c X V v d D t T Z W N 0 a W 9 u M S 9 M b 2 N h d G l v b n M v S W 5 k Z X g g Y W p v d X T D q S 5 7 Q W R t M l 9 O Y W 1 l L D J 9 J n F 1 b 3 Q 7 L C Z x d W 9 0 O 1 N l Y 3 R p b 2 4 x L 0 x v Y 2 F 0 a W 9 u c y 9 J b m R l e C B h a m 9 1 d M O p L n t B Z G 0 y X 2 N v Z G U s M 3 0 m c X V v d D s s J n F 1 b 3 Q 7 U 2 V j d G l v b j E v T G 9 j Y X R p b 2 5 z L 0 l u Z G V 4 I G F q b 3 V 0 w 6 k u e 0 F k b T N f T m F t Z S w 0 f S Z x d W 9 0 O y w m c X V v d D t T Z W N 0 a W 9 u M S 9 M b 2 N h d G l v b n M v S W 5 k Z X g g Y W p v d X T D q S 5 7 Q W R t M 1 9 j b 2 R l L D V 9 J n F 1 b 3 Q 7 L C Z x d W 9 0 O 1 N l Y 3 R p b 2 4 x L 0 x v Y 2 F 0 a W 9 u c y 9 J b m R l e C B h a m 9 1 d M O p L n t W a W x s Y W d l X 2 N v Z G U s N n 0 m c X V v d D s s J n F 1 b 3 Q 7 U 2 V j d G l v b j E v T G 9 j Y X R p b 2 5 z L 0 l u Z G V 4 I G F q b 3 V 0 w 6 k u e 1 Z p b G x h Z 2 V f b m F t Z S w 3 f S Z x d W 9 0 O y w m c X V v d D t T Z W N 0 a W 9 u M S 9 M b 2 N h d G l v b n M v S W 5 k Z X g g Y W p v d X T D q S 5 7 R 3 B z X 2 x v b m c s O H 0 m c X V v d D s s J n F 1 b 3 Q 7 U 2 V j d G l v b j E v T G 9 j Y X R p b 2 5 z L 0 l u Z G V 4 I G F q b 3 V 0 w 6 k u e 0 d w c 1 9 s Y X Q s O X 0 m c X V v d D s s J n F 1 b 3 Q 7 U 2 V j d G l v b j E v T G 9 j Y X R p b 2 5 z L 0 l u Z G V 4 I G F q b 3 V 0 w 6 k u e 0 l u Z F 9 J R F B z L D E w f S Z x d W 9 0 O y w m c X V v d D t T Z W N 0 a W 9 u M S 9 M b 2 N h d G l v b n M v S W 5 k Z X g g Y W p v d X T D q S 5 7 S E h f S U R Q c y w x M X 0 m c X V v d D s s J n F 1 b 3 Q 7 U 2 V j d G l v b j E v T G 9 j Y X R p b 2 5 z L 0 l u Z G V 4 I G F q b 3 V 0 w 6 k u e 0 l u Z F 9 V b n J l Z 2 l z d G V y Z W R f U m V m d W d l Z X M s M T J 9 J n F 1 b 3 Q 7 L C Z x d W 9 0 O 1 N l Y 3 R p b 2 4 x L 0 x v Y 2 F 0 a W 9 u c y 9 J b m R l e C B h a m 9 1 d M O p L n t I S F 9 V b n J l Z 2 l z d G V y Z W R f U m V m d W d l Z X M s M T N 9 J n F 1 b 3 Q 7 L C Z x d W 9 0 O 1 N l Y 3 R p b 2 4 x L 0 x v Y 2 F 0 a W 9 u c y 9 J b m R l e C B h a m 9 1 d M O p L n t J b m R f U m V 0 d X J u Z W V z L D E 0 f S Z x d W 9 0 O y w m c X V v d D t T Z W N 0 a W 9 u M S 9 M b 2 N h d G l v b n M v S W 5 k Z X g g Y W p v d X T D q S 5 7 S E h f U m V 0 d X J u Z W V z L D E 1 f S Z x d W 9 0 O y w m c X V v d D t T Z W N 0 a W 9 u M S 9 M b 2 N h d G l v b n M v S W 5 k Z X g g Y W p v d X T D q S 5 7 T m V 3 L D E 2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T G 9 j Y X R p b 2 5 z L 0 l u Z G V 4 I G F q b 3 V 0 w 6 k u e 0 l u Z G V 4 L D E 3 f S Z x d W 9 0 O y w m c X V v d D t T Z W N 0 a W 9 u M S 9 M b 2 N h d G l v b n M v S W 5 k Z X g g Y W p v d X T D q S 5 7 Q W R t M V 9 O Y W 1 l L D B 9 J n F 1 b 3 Q 7 L C Z x d W 9 0 O 1 N l Y 3 R p b 2 4 x L 0 x v Y 2 F 0 a W 9 u c y 9 J b m R l e C B h a m 9 1 d M O p L n t B Z G 0 x X 2 N v Z G U s M X 0 m c X V v d D s s J n F 1 b 3 Q 7 U 2 V j d G l v b j E v T G 9 j Y X R p b 2 5 z L 0 l u Z G V 4 I G F q b 3 V 0 w 6 k u e 0 F k b T J f T m F t Z S w y f S Z x d W 9 0 O y w m c X V v d D t T Z W N 0 a W 9 u M S 9 M b 2 N h d G l v b n M v S W 5 k Z X g g Y W p v d X T D q S 5 7 Q W R t M l 9 j b 2 R l L D N 9 J n F 1 b 3 Q 7 L C Z x d W 9 0 O 1 N l Y 3 R p b 2 4 x L 0 x v Y 2 F 0 a W 9 u c y 9 J b m R l e C B h a m 9 1 d M O p L n t B Z G 0 z X 0 5 h b W U s N H 0 m c X V v d D s s J n F 1 b 3 Q 7 U 2 V j d G l v b j E v T G 9 j Y X R p b 2 5 z L 0 l u Z G V 4 I G F q b 3 V 0 w 6 k u e 0 F k b T N f Y 2 9 k Z S w 1 f S Z x d W 9 0 O y w m c X V v d D t T Z W N 0 a W 9 u M S 9 M b 2 N h d G l v b n M v S W 5 k Z X g g Y W p v d X T D q S 5 7 V m l s b G F n Z V 9 j b 2 R l L D Z 9 J n F 1 b 3 Q 7 L C Z x d W 9 0 O 1 N l Y 3 R p b 2 4 x L 0 x v Y 2 F 0 a W 9 u c y 9 J b m R l e C B h a m 9 1 d M O p L n t W a W x s Y W d l X 2 5 h b W U s N 3 0 m c X V v d D s s J n F 1 b 3 Q 7 U 2 V j d G l v b j E v T G 9 j Y X R p b 2 5 z L 0 l u Z G V 4 I G F q b 3 V 0 w 6 k u e 0 d w c 1 9 s b 2 5 n L D h 9 J n F 1 b 3 Q 7 L C Z x d W 9 0 O 1 N l Y 3 R p b 2 4 x L 0 x v Y 2 F 0 a W 9 u c y 9 J b m R l e C B h a m 9 1 d M O p L n t H c H N f b G F 0 L D l 9 J n F 1 b 3 Q 7 L C Z x d W 9 0 O 1 N l Y 3 R p b 2 4 x L 0 x v Y 2 F 0 a W 9 u c y 9 J b m R l e C B h a m 9 1 d M O p L n t J b m R f S U R Q c y w x M H 0 m c X V v d D s s J n F 1 b 3 Q 7 U 2 V j d G l v b j E v T G 9 j Y X R p b 2 5 z L 0 l u Z G V 4 I G F q b 3 V 0 w 6 k u e 0 h I X 0 l E U H M s M T F 9 J n F 1 b 3 Q 7 L C Z x d W 9 0 O 1 N l Y 3 R p b 2 4 x L 0 x v Y 2 F 0 a W 9 u c y 9 J b m R l e C B h a m 9 1 d M O p L n t J b m R f V W 5 y Z W d p c 3 R l c m V k X 1 J l Z n V n Z W V z L D E y f S Z x d W 9 0 O y w m c X V v d D t T Z W N 0 a W 9 u M S 9 M b 2 N h d G l v b n M v S W 5 k Z X g g Y W p v d X T D q S 5 7 S E h f V W 5 y Z W d p c 3 R l c m V k X 1 J l Z n V n Z W V z L D E z f S Z x d W 9 0 O y w m c X V v d D t T Z W N 0 a W 9 u M S 9 M b 2 N h d G l v b n M v S W 5 k Z X g g Y W p v d X T D q S 5 7 S W 5 k X 1 J l d H V y b m V l c y w x N H 0 m c X V v d D s s J n F 1 b 3 Q 7 U 2 V j d G l v b j E v T G 9 j Y X R p b 2 5 z L 0 l u Z G V 4 I G F q b 3 V 0 w 6 k u e 0 h I X 1 J l d H V y b m V l c y w x N X 0 m c X V v d D s s J n F 1 b 3 Q 7 U 2 V j d G l v b j E v T G 9 j Y X R p b 2 5 z L 0 l u Z G V 4 I G F q b 3 V 0 w 6 k u e 0 5 l d y w x N n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M Y X N 0 V X B k Y X R l Z C I g V m F s d W U 9 I m Q y M D E 3 L T E y L T I y V D E 3 O j U 4 O j A 3 L j Y 0 M D Y y O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x v Y 2 F 0 a W 9 u c y 9 S Z X F 1 J U M z J U F B d G V M b 2 N h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N h d G l v b n M v S W 5 k Z X g l M j B h a m 9 1 d C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2 F 0 a W 9 u c y 9 D b 2 x v b m 5 l c y U y M H R y a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j Y X R p b 2 5 z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E R h d G F f R G V 0 Y W l s U G V y a W 9 k c z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0 Z l d W l s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N l Y T U 0 Y 2 Y y Y S 0 x N m V k L T R k O W M t Y m U y O S 1 i M j g 1 M z l j N 2 J m O T U i I C 8 + P E V u d H J 5 I F R 5 c G U 9 I k Z p b G x M Y X N 0 V X B k Y X R l Z C I g V m F s d W U 9 I m Q y M D E 3 L T E y L T I 0 V D E 4 O j A y O j I 2 L j g 1 N D A 2 N j F a I i A v P j x F b n R y e S B U e X B l P S J G a W x s R X J y b 3 J D b 3 V u d C I g V m F s d W U 9 I m w w I i A v P j x F b n R y e S B U e X B l P S J G a W x s Q 2 9 s d W 1 u V H l w Z X M i I F Z h b H V l P S J z Q m d Z R 0 J n W U d C Z 1 l H Q m d N R E J n W U d C Z 1 l H Q m d Z R 0 J n W T 0 i I C 8 + P E V u d H J 5 I F R 5 c G U 9 I k Z p b G x D b 2 x 1 b W 5 O Y W 1 l c y I g V m F s d W U 9 I n N b J n F 1 b 3 Q 7 Y W R t M V 9 u Y W 1 l J n F 1 b 3 Q 7 L C Z x d W 9 0 O 2 F k b T F f Y 2 9 k Z S Z x d W 9 0 O y w m c X V v d D t h Z G 0 y X 2 5 h b W U m c X V v d D s s J n F 1 b 3 Q 7 Y W R t M l 9 j b 2 R l J n F 1 b 3 Q 7 L C Z x d W 9 0 O 2 F k b T N f b m F t Z S Z x d W 9 0 O y w m c X V v d D t h Z G 0 z X 2 N v Z G U m c X V v d D s s J n F 1 b 3 Q 7 d m l s b G F n Z V 9 u Y W 1 l J n F 1 b 3 Q 7 L C Z x d W 9 0 O 3 Z p b G x h Z 2 V f Y 2 9 k Z S Z x d W 9 0 O y w m c X V v d D t k Z X B s Y W N l b W V u d C Z x d W 9 0 O y w m c X V v d D t w Z X J p b 2 R l J n F 1 b 3 Q 7 L C Z x d W 9 0 O 2 h o J n F 1 b 3 Q 7 L C Z x d W 9 0 O 2 l u Z C Z x d W 9 0 O y w m c X V v d D t y Y W l z b 2 4 m c X V v d D s s J n F 1 b 3 Q 7 Y X V 0 c m V f c m F p c 2 9 u J n F 1 b 3 Q 7 L C Z x d W 9 0 O 3 B y b 3 Z l b m F u Y 2 U m c X V v d D s s J n F 1 b 3 Q 7 c H J v d m V u Y W 5 j Z V 9 h Z G 0 w J n F 1 b 3 Q 7 L C Z x d W 9 0 O 3 B y b 3 Z l b m F u Y 2 V f Y W R t M F 9 u b 2 0 m c X V v d D s s J n F 1 b 3 Q 7 c H J v d m V u Y W 5 j Z V 9 h Z G 0 x J n F 1 b 3 Q 7 L C Z x d W 9 0 O 3 B y b 3 Z l b m F u Y 2 V f Y W R t M V 9 u b 2 0 m c X V v d D s s J n F 1 b 3 Q 7 c H J v d m V u Y W 5 j Z V 9 h Z G 0 y J n F 1 b 3 Q 7 L C Z x d W 9 0 O 3 B y b 3 Z l b m F u Y 2 V f Y W R t M l 9 u b 2 0 m c X V v d D s s J n F 1 b 3 Q 7 c H J v d m V u Y W 5 j Z V 9 h Z G 0 z J n F 1 b 3 Q 7 L C Z x d W 9 0 O 3 B y b 3 Z l b m F u Y 2 V f Y W R t M 1 9 u b 2 0 m c X V v d D t d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0 1 5 U 3 F s L z E y N y 4 w L j A u M T o z M z A 2 O 2 R 0 b V 9 y Z D E y L 2 R 0 b V 9 y Z D E y L 2 R 0 b V 9 y Z D E y L m l k c F 9 y Z W Z f c m V 0 L n t h Z G 0 x X 2 5 h b W U s M H 0 m c X V v d D s s J n F 1 b 3 Q 7 U 2 V y d m V y L k R h d G F i Y X N l X F w v M i 9 N e V N x b C 8 x M j c u M C 4 w L j E 6 M z M w N j t k d G 1 f c m Q x M i 9 k d G 1 f c m Q x M i 9 k d G 1 f c m Q x M i 5 p Z H B f c m V m X 3 J l d C 5 7 Y W R t M V 9 j b 2 R l L D F 9 J n F 1 b 3 Q 7 L C Z x d W 9 0 O 1 N l c n Z l c i 5 E Y X R h Y m F z Z V x c L z I v T X l T c W w v M T I 3 L j A u M C 4 x O j M z M D Y 7 Z H R t X 3 J k M T I v Z H R t X 3 J k M T I v Z H R t X 3 J k M T I u a W R w X 3 J l Z l 9 y Z X Q u e 2 F k b T J f b m F t Z S w y f S Z x d W 9 0 O y w m c X V v d D t T Z X J 2 Z X I u R G F 0 Y W J h c 2 V c X C 8 y L 0 1 5 U 3 F s L z E y N y 4 w L j A u M T o z M z A 2 O 2 R 0 b V 9 y Z D E y L 2 R 0 b V 9 y Z D E y L 2 R 0 b V 9 y Z D E y L m l k c F 9 y Z W Z f c m V 0 L n t h Z G 0 y X 2 N v Z G U s M 3 0 m c X V v d D s s J n F 1 b 3 Q 7 U 2 V y d m V y L k R h d G F i Y X N l X F w v M i 9 N e V N x b C 8 x M j c u M C 4 w L j E 6 M z M w N j t k d G 1 f c m Q x M i 9 k d G 1 f c m Q x M i 9 k d G 1 f c m Q x M i 5 p Z H B f c m V m X 3 J l d C 5 7 Y W R t M 1 9 u Y W 1 l L D R 9 J n F 1 b 3 Q 7 L C Z x d W 9 0 O 1 N l c n Z l c i 5 E Y X R h Y m F z Z V x c L z I v T X l T c W w v M T I 3 L j A u M C 4 x O j M z M D Y 7 Z H R t X 3 J k M T I v Z H R t X 3 J k M T I v Z H R t X 3 J k M T I u a W R w X 3 J l Z l 9 y Z X Q u e 2 F k b T N f Y 2 9 k Z S w 1 f S Z x d W 9 0 O y w m c X V v d D t T Z X J 2 Z X I u R G F 0 Y W J h c 2 V c X C 8 y L 0 1 5 U 3 F s L z E y N y 4 w L j A u M T o z M z A 2 O 2 R 0 b V 9 y Z D E y L 2 R 0 b V 9 y Z D E y L 2 R 0 b V 9 y Z D E y L m l k c F 9 y Z W Z f c m V 0 L n t 2 a W x s Y W d l X 2 5 h b W U s N n 0 m c X V v d D s s J n F 1 b 3 Q 7 U 2 V y d m V y L k R h d G F i Y X N l X F w v M i 9 N e V N x b C 8 x M j c u M C 4 w L j E 6 M z M w N j t k d G 1 f c m Q x M i 9 k d G 1 f c m Q x M i 9 k d G 1 f c m Q x M i 5 p Z H B f c m V m X 3 J l d C 5 7 d m l s b G F n Z V 9 j b 2 R l L D d 9 J n F 1 b 3 Q 7 L C Z x d W 9 0 O 1 N l c n Z l c i 5 E Y X R h Y m F z Z V x c L z I v T X l T c W w v M T I 3 L j A u M C 4 x O j M z M D Y 7 Z H R t X 3 J k M T I v Z H R t X 3 J k M T I v Z H R t X 3 J k M T I u a W R w X 3 J l Z l 9 y Z X Q u e 2 R l c G x h Y 2 V t Z W 5 0 L D h 9 J n F 1 b 3 Q 7 L C Z x d W 9 0 O 1 N l Y 3 R p b 2 4 x L 1 R v d G F s R G F 0 Y V 9 E Z X R h a W x Q Z X J p b 2 R z L 1 Z h b G V 1 c i B y Z W 1 w b G F j w 6 l l N y 5 7 c G V y a W 9 k Z S w 5 f S Z x d W 9 0 O y w m c X V v d D t T Z X J 2 Z X I u R G F 0 Y W J h c 2 V c X C 8 y L 0 1 5 U 3 F s L z E y N y 4 w L j A u M T o z M z A 2 O 2 R 0 b V 9 y Z D E y L 2 R 0 b V 9 y Z D E y L 2 R 0 b V 9 y Z D E y L m l k c F 9 y Z W Z f c m V 0 L n t o a C w x M H 0 m c X V v d D s s J n F 1 b 3 Q 7 U 2 V y d m V y L k R h d G F i Y X N l X F w v M i 9 N e V N x b C 8 x M j c u M C 4 w L j E 6 M z M w N j t k d G 1 f c m Q x M i 9 k d G 1 f c m Q x M i 9 k d G 1 f c m Q x M i 5 p Z H B f c m V m X 3 J l d C 5 7 a W 5 k L D E x f S Z x d W 9 0 O y w m c X V v d D t T Z X J 2 Z X I u R G F 0 Y W J h c 2 V c X C 8 y L 0 1 5 U 3 F s L z E y N y 4 w L j A u M T o z M z A 2 O 2 R 0 b V 9 y Z D E y L 2 R 0 b V 9 y Z D E y L 2 R 0 b V 9 y Z D E y L m l k c F 9 y Z W Z f c m V 0 L n t y Y W l z b 2 4 s M T J 9 J n F 1 b 3 Q 7 L C Z x d W 9 0 O 1 N l c n Z l c i 5 E Y X R h Y m F z Z V x c L z I v T X l T c W w v M T I 3 L j A u M C 4 x O j M z M D Y 7 Z H R t X 3 J k M T I v Z H R t X 3 J k M T I v Z H R t X 3 J k M T I u a W R w X 3 J l Z l 9 y Z X Q u e 2 F 1 d H J l X 3 J h a X N v b i w x M 3 0 m c X V v d D s s J n F 1 b 3 Q 7 U 2 V y d m V y L k R h d G F i Y X N l X F w v M i 9 N e V N x b C 8 x M j c u M C 4 w L j E 6 M z M w N j t k d G 1 f c m Q x M i 9 k d G 1 f c m Q x M i 9 k d G 1 f c m Q x M i 5 p Z H B f c m V m X 3 J l d C 5 7 c H J v d m V u Y W 5 j Z S w x N H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w L D E 1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B f b m 9 t L D E 2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E s M T d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V 9 u b 2 0 s M T h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i w x O X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y X 2 5 v b S w y M H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z L D I x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N f b m 9 t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y d m V y L k R h d G F i Y X N l X F w v M i 9 N e V N x b C 8 x M j c u M C 4 w L j E 6 M z M w N j t k d G 1 f c m Q x M i 9 k d G 1 f c m Q x M i 9 k d G 1 f c m Q x M i 5 p Z H B f c m V m X 3 J l d C 5 7 Y W R t M V 9 u Y W 1 l L D B 9 J n F 1 b 3 Q 7 L C Z x d W 9 0 O 1 N l c n Z l c i 5 E Y X R h Y m F z Z V x c L z I v T X l T c W w v M T I 3 L j A u M C 4 x O j M z M D Y 7 Z H R t X 3 J k M T I v Z H R t X 3 J k M T I v Z H R t X 3 J k M T I u a W R w X 3 J l Z l 9 y Z X Q u e 2 F k b T F f Y 2 9 k Z S w x f S Z x d W 9 0 O y w m c X V v d D t T Z X J 2 Z X I u R G F 0 Y W J h c 2 V c X C 8 y L 0 1 5 U 3 F s L z E y N y 4 w L j A u M T o z M z A 2 O 2 R 0 b V 9 y Z D E y L 2 R 0 b V 9 y Z D E y L 2 R 0 b V 9 y Z D E y L m l k c F 9 y Z W Z f c m V 0 L n t h Z G 0 y X 2 5 h b W U s M n 0 m c X V v d D s s J n F 1 b 3 Q 7 U 2 V y d m V y L k R h d G F i Y X N l X F w v M i 9 N e V N x b C 8 x M j c u M C 4 w L j E 6 M z M w N j t k d G 1 f c m Q x M i 9 k d G 1 f c m Q x M i 9 k d G 1 f c m Q x M i 5 p Z H B f c m V m X 3 J l d C 5 7 Y W R t M l 9 j b 2 R l L D N 9 J n F 1 b 3 Q 7 L C Z x d W 9 0 O 1 N l c n Z l c i 5 E Y X R h Y m F z Z V x c L z I v T X l T c W w v M T I 3 L j A u M C 4 x O j M z M D Y 7 Z H R t X 3 J k M T I v Z H R t X 3 J k M T I v Z H R t X 3 J k M T I u a W R w X 3 J l Z l 9 y Z X Q u e 2 F k b T N f b m F t Z S w 0 f S Z x d W 9 0 O y w m c X V v d D t T Z X J 2 Z X I u R G F 0 Y W J h c 2 V c X C 8 y L 0 1 5 U 3 F s L z E y N y 4 w L j A u M T o z M z A 2 O 2 R 0 b V 9 y Z D E y L 2 R 0 b V 9 y Z D E y L 2 R 0 b V 9 y Z D E y L m l k c F 9 y Z W Z f c m V 0 L n t h Z G 0 z X 2 N v Z G U s N X 0 m c X V v d D s s J n F 1 b 3 Q 7 U 2 V y d m V y L k R h d G F i Y X N l X F w v M i 9 N e V N x b C 8 x M j c u M C 4 w L j E 6 M z M w N j t k d G 1 f c m Q x M i 9 k d G 1 f c m Q x M i 9 k d G 1 f c m Q x M i 5 p Z H B f c m V m X 3 J l d C 5 7 d m l s b G F n Z V 9 u Y W 1 l L D Z 9 J n F 1 b 3 Q 7 L C Z x d W 9 0 O 1 N l c n Z l c i 5 E Y X R h Y m F z Z V x c L z I v T X l T c W w v M T I 3 L j A u M C 4 x O j M z M D Y 7 Z H R t X 3 J k M T I v Z H R t X 3 J k M T I v Z H R t X 3 J k M T I u a W R w X 3 J l Z l 9 y Z X Q u e 3 Z p b G x h Z 2 V f Y 2 9 k Z S w 3 f S Z x d W 9 0 O y w m c X V v d D t T Z X J 2 Z X I u R G F 0 Y W J h c 2 V c X C 8 y L 0 1 5 U 3 F s L z E y N y 4 w L j A u M T o z M z A 2 O 2 R 0 b V 9 y Z D E y L 2 R 0 b V 9 y Z D E y L 2 R 0 b V 9 y Z D E y L m l k c F 9 y Z W Z f c m V 0 L n t k Z X B s Y W N l b W V u d C w 4 f S Z x d W 9 0 O y w m c X V v d D t T Z W N 0 a W 9 u M S 9 U b 3 R h b E R h d G F f R G V 0 Y W l s U G V y a W 9 k c y 9 W Y W x l d X I g c m V t c G x h Y 8 O p Z T c u e 3 B l c m l v Z G U s O X 0 m c X V v d D s s J n F 1 b 3 Q 7 U 2 V y d m V y L k R h d G F i Y X N l X F w v M i 9 N e V N x b C 8 x M j c u M C 4 w L j E 6 M z M w N j t k d G 1 f c m Q x M i 9 k d G 1 f c m Q x M i 9 k d G 1 f c m Q x M i 5 p Z H B f c m V m X 3 J l d C 5 7 a G g s M T B 9 J n F 1 b 3 Q 7 L C Z x d W 9 0 O 1 N l c n Z l c i 5 E Y X R h Y m F z Z V x c L z I v T X l T c W w v M T I 3 L j A u M C 4 x O j M z M D Y 7 Z H R t X 3 J k M T I v Z H R t X 3 J k M T I v Z H R t X 3 J k M T I u a W R w X 3 J l Z l 9 y Z X Q u e 2 l u Z C w x M X 0 m c X V v d D s s J n F 1 b 3 Q 7 U 2 V y d m V y L k R h d G F i Y X N l X F w v M i 9 N e V N x b C 8 x M j c u M C 4 w L j E 6 M z M w N j t k d G 1 f c m Q x M i 9 k d G 1 f c m Q x M i 9 k d G 1 f c m Q x M i 5 p Z H B f c m V m X 3 J l d C 5 7 c m F p c 2 9 u L D E y f S Z x d W 9 0 O y w m c X V v d D t T Z X J 2 Z X I u R G F 0 Y W J h c 2 V c X C 8 y L 0 1 5 U 3 F s L z E y N y 4 w L j A u M T o z M z A 2 O 2 R 0 b V 9 y Z D E y L 2 R 0 b V 9 y Z D E y L 2 R 0 b V 9 y Z D E y L m l k c F 9 y Z W Z f c m V 0 L n t h d X R y Z V 9 y Y W l z b 2 4 s M T N 9 J n F 1 b 3 Q 7 L C Z x d W 9 0 O 1 N l c n Z l c i 5 E Y X R h Y m F z Z V x c L z I v T X l T c W w v M T I 3 L j A u M C 4 x O j M z M D Y 7 Z H R t X 3 J k M T I v Z H R t X 3 J k M T I v Z H R t X 3 J k M T I u a W R w X 3 J l Z l 9 y Z X Q u e 3 B y b 3 Z l b m F u Y 2 U s M T R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C w x N X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w X 2 5 v b S w x N n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x L D E 3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F f b m 9 t L D E 4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I s M T l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l 9 u b 2 0 s M j B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y w y M X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z X 2 5 v b S w y M n 0 m c X V v d D t d L C Z x d W 9 0 O 1 J l b G F 0 a W 9 u c 2 h p c E l u Z m 8 m c X V v d D s 6 W 1 1 9 I i A v P j x F b n R y e S B U e X B l P S J G a W x s Q 2 9 1 b n Q i I F Z h b H V l P S J s M T k 4 M y I g L z 4 8 R W 5 0 c n k g V H l w Z T 0 i R m l s b F R h c m d l d C I g V m F s d W U 9 I n N U b 3 R h b E R h d G F f R G V 0 Y W l s U G V y a W 9 k c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b 3 R h b E R h d G F f R G V w Y X J 0 d X J l c z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V G 9 0 Y W x f Z G F 0 Y S I g L z 4 8 R W 5 0 c n k g V H l w Z T 0 i U m V j b 3 Z l c n l U Y X J n Z X R D b 2 x 1 b W 4 i I F Z h b H V l P S J s M z A i I C 8 + P E V u d H J 5 I F R 5 c G U 9 I l J l Y 2 9 2 Z X J 5 V G F y Z 2 V 0 U m 9 3 I i B W Y W x 1 Z T 0 i b D E i I C 8 + P E V u d H J 5 I F R 5 c G U 9 I k Z p b G x D b 2 x 1 b W 5 O Y W 1 l c y I g V m F s d W U 9 I n N b J n F 1 b 3 Q 7 Z X Z h b H V h d G l v b l 9 h Z G 0 y X 2 N v Z G U m c X V v d D s s J n F 1 b 3 Q 7 Z X Z h b H V h d G l v b l 9 h Z G 0 y X 2 5 h b W U m c X V v d D s s J n F 1 b 3 Q 7 Z X Z h b H V h d G l v b l 9 h Z G 0 z X 2 N v Z G U m c X V v d D s s J n F 1 b 3 Q 7 Z X Z h b H V h d G l v b l 9 h Z G 0 z X 2 5 h b W U m c X V v d D s s J n F 1 b 3 Q 7 d m l s b G F n Z S Z x d W 9 0 O y w m c X V v d D t w Z X J p b 2 R l X 2 R l c G F y d C Z x d W 9 0 O y w m c X V v d D t o a C Z x d W 9 0 O y w m c X V v d D t p b m Q m c X V v d D s s J n F 1 b 3 Q 7 Z G V z d G l u Y X R p b 2 5 z J n F 1 b 3 Q 7 L C Z x d W 9 0 O 2 N v Z G V f c G F 5 c y Z x d W 9 0 O y w m c X V v d D t w Y X l z X 2 R l c 3 R p b m F 0 a W 9 u J n F 1 b 3 Q 7 L C Z x d W 9 0 O 2 N v Z G V f c m V n a W 9 u J n F 1 b 3 Q 7 L C Z x d W 9 0 O 3 J l Z 2 l v b l 9 k Z X N 0 a W 5 h d G l v b i Z x d W 9 0 O y w m c X V v d D t j b 2 R l X 2 R l c G F y d G V t Z W 5 0 J n F 1 b 3 Q 7 L C Z x d W 9 0 O 2 R l c G F y d G V t Z W 5 0 X 2 R l c 3 R p b m F 0 a W 9 u J n F 1 b 3 Q 7 L C Z x d W 9 0 O 2 N v Z G V f Y X J y b 2 5 k a X N z Z W 1 l b n Q m c X V v d D s s J n F 1 b 3 Q 7 Y X J y b 2 5 k a X N z Z W 1 l b n R f Z G V z d G l u Y X R p b 2 4 m c X V v d D s s J n F 1 b 3 Q 7 T G l l d V 9 w c m V j a X M m c X V v d D t d I i A v P j x F b n R y e S B U e X B l P S J R d W V y e U l E I i B W Y W x 1 Z T 0 i c 2 M 5 M G I w Z G E 3 L T R j Y 2 M t N D Z m N y 1 h M z d m L T I y O D U 4 M D U 0 M j l h Z C I g L z 4 8 R W 5 0 c n k g V H l w Z T 0 i R m l s b E N v b H V t b l R 5 c G V z I i B W Y W x 1 Z T 0 i c 0 J n W U d C Z 1 l H Q W d J R 0 J n W U d C Z 1 l H Q m d Z R y I g L z 4 8 R W 5 0 c n k g V H l w Z T 0 i R m l s b E x h c 3 R V c G R h d G V k I i B W Y W x 1 Z T 0 i Z D I w M T c t M T I t M j R U M T g 6 M D I 6 M z k u M T k 4 M z k 5 N F o i I C 8 + P E V u d H J 5 I F R 5 c G U 9 I k Z p b G x T d G F 0 d X M i I F Z h b H V l P S J z Q 2 9 t c G x l d G U i I C 8 + P E V u d H J 5 I F R 5 c G U 9 I k Z p b G x D b 3 V u d C I g V m F s d W U 9 I m w x M j Q i I C 8 + P E V u d H J 5 I F R 5 c G U 9 I k Z p b G x F c n J v c k N v d W 5 0 I i B W Y W x 1 Z T 0 i b D A i I C 8 + P E V u d H J 5 I F R 5 c G U 9 I k Z p b G x U Y X J n Z X Q i I F Z h b H V l P S J z V G 9 0 Y W x E Y X R h X 0 R l c G F y d H V y Z X M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0 1 5 U 3 F s L z E y N y 4 w L j A u M T o z M z A 2 O 2 R 0 b V 9 y Z D E y L 2 R 0 b V 9 y Z D E y L 2 R 0 b V 9 y Z D E y L m R l c G F y d H N f Z G V 0 Y W l s c y 5 7 Z X Z h b H V h d G l v b l 9 h Z G 0 y X 2 N v Z G U s M H 0 m c X V v d D s s J n F 1 b 3 Q 7 U 2 V y d m V y L k R h d G F i Y X N l X F w v M i 9 N e V N x b C 8 x M j c u M C 4 w L j E 6 M z M w N j t k d G 1 f c m Q x M i 9 k d G 1 f c m Q x M i 9 k d G 1 f c m Q x M i 5 k Z X B h c n R z X 2 R l d G F p b H M u e 2 V 2 Y W x 1 Y X R p b 2 5 f Y W R t M l 9 u Y W 1 l L D F 9 J n F 1 b 3 Q 7 L C Z x d W 9 0 O 1 N l c n Z l c i 5 E Y X R h Y m F z Z V x c L z I v T X l T c W w v M T I 3 L j A u M C 4 x O j M z M D Y 7 Z H R t X 3 J k M T I v Z H R t X 3 J k M T I v Z H R t X 3 J k M T I u Z G V w Y X J 0 c 1 9 k Z X R h a W x z L n t l d m F s d W F 0 a W 9 u X 2 F k b T N f Y 2 9 k Z S w y f S Z x d W 9 0 O y w m c X V v d D t T Z X J 2 Z X I u R G F 0 Y W J h c 2 V c X C 8 y L 0 1 5 U 3 F s L z E y N y 4 w L j A u M T o z M z A 2 O 2 R 0 b V 9 y Z D E y L 2 R 0 b V 9 y Z D E y L 2 R 0 b V 9 y Z D E y L m R l c G F y d H N f Z G V 0 Y W l s c y 5 7 Z X Z h b H V h d G l v b l 9 h Z G 0 z X 2 5 h b W U s M 3 0 m c X V v d D s s J n F 1 b 3 Q 7 U 2 V y d m V y L k R h d G F i Y X N l X F w v M i 9 N e V N x b C 8 x M j c u M C 4 w L j E 6 M z M w N j t k d G 1 f c m Q x M i 9 k d G 1 f c m Q x M i 9 k d G 1 f c m Q x M i 5 k Z X B h c n R z X 2 R l d G F p b H M u e 3 Z p b G x h Z 2 U s N H 0 m c X V v d D s s J n F 1 b 3 Q 7 U 2 V j d G l v b j E v V G 9 0 Y W x E Y X R h X 0 R l c G F y d H V y Z X M v V m F s Z X V y I H J l b X B s Y W P D q W U 3 L n t w Z X J p b 2 R l X 2 R l c G F y d C w 1 f S Z x d W 9 0 O y w m c X V v d D t T Z X J 2 Z X I u R G F 0 Y W J h c 2 V c X C 8 y L 0 1 5 U 3 F s L z E y N y 4 w L j A u M T o z M z A 2 O 2 R 0 b V 9 y Z D E y L 2 R 0 b V 9 y Z D E y L 2 R 0 b V 9 y Z D E y L m R l c G F y d H N f Z G V 0 Y W l s c y 5 7 a G g s N n 0 m c X V v d D s s J n F 1 b 3 Q 7 U 2 V y d m V y L k R h d G F i Y X N l X F w v M i 9 N e V N x b C 8 x M j c u M C 4 w L j E 6 M z M w N j t k d G 1 f c m Q x M i 9 k d G 1 f c m Q x M i 9 k d G 1 f c m Q x M i 5 k Z X B h c n R z X 2 R l d G F p b H M u e 2 l u Z C w 3 f S Z x d W 9 0 O y w m c X V v d D t T Z X J 2 Z X I u R G F 0 Y W J h c 2 V c X C 8 y L 0 1 5 U 3 F s L z E y N y 4 w L j A u M T o z M z A 2 O 2 R 0 b V 9 y Z D E y L 2 R 0 b V 9 y Z D E y L 2 R 0 b V 9 y Z D E y L m R l c G F y d H N f Z G V 0 Y W l s c y 5 7 Z G V z d G l u Y X R p b 2 5 z L D h 9 J n F 1 b 3 Q 7 L C Z x d W 9 0 O 1 N l c n Z l c i 5 E Y X R h Y m F z Z V x c L z I v T X l T c W w v M T I 3 L j A u M C 4 x O j M z M D Y 7 Z H R t X 3 J k M T I v Z H R t X 3 J k M T I v Z H R t X 3 J k M T I u Z G V w Y X J 0 c 1 9 k Z X R h a W x z L n t j b 2 R l X 3 B h e X M s O X 0 m c X V v d D s s J n F 1 b 3 Q 7 U 2 V y d m V y L k R h d G F i Y X N l X F w v M i 9 N e V N x b C 8 x M j c u M C 4 w L j E 6 M z M w N j t k d G 1 f c m Q x M i 9 k d G 1 f c m Q x M i 9 k d G 1 f c m Q x M i 5 k Z X B h c n R z X 2 R l d G F p b H M u e 3 B h e X N f Z G V z d G l u Y X R p b 2 4 s M T B 9 J n F 1 b 3 Q 7 L C Z x d W 9 0 O 1 N l c n Z l c i 5 E Y X R h Y m F z Z V x c L z I v T X l T c W w v M T I 3 L j A u M C 4 x O j M z M D Y 7 Z H R t X 3 J k M T I v Z H R t X 3 J k M T I v Z H R t X 3 J k M T I u Z G V w Y X J 0 c 1 9 k Z X R h a W x z L n t j b 2 R l X 3 J l Z 2 l v b i w x M X 0 m c X V v d D s s J n F 1 b 3 Q 7 U 2 V y d m V y L k R h d G F i Y X N l X F w v M i 9 N e V N x b C 8 x M j c u M C 4 w L j E 6 M z M w N j t k d G 1 f c m Q x M i 9 k d G 1 f c m Q x M i 9 k d G 1 f c m Q x M i 5 k Z X B h c n R z X 2 R l d G F p b H M u e 3 J l Z 2 l v b l 9 k Z X N 0 a W 5 h d G l v b i w x M n 0 m c X V v d D s s J n F 1 b 3 Q 7 U 2 V y d m V y L k R h d G F i Y X N l X F w v M i 9 N e V N x b C 8 x M j c u M C 4 w L j E 6 M z M w N j t k d G 1 f c m Q x M i 9 k d G 1 f c m Q x M i 9 k d G 1 f c m Q x M i 5 k Z X B h c n R z X 2 R l d G F p b H M u e 2 N v Z G V f Z G V w Y X J 0 Z W 1 l b n Q s M T N 9 J n F 1 b 3 Q 7 L C Z x d W 9 0 O 1 N l c n Z l c i 5 E Y X R h Y m F z Z V x c L z I v T X l T c W w v M T I 3 L j A u M C 4 x O j M z M D Y 7 Z H R t X 3 J k M T I v Z H R t X 3 J k M T I v Z H R t X 3 J k M T I u Z G V w Y X J 0 c 1 9 k Z X R h a W x z L n t k Z X B h c n R l b W V u d F 9 k Z X N 0 a W 5 h d G l v b i w x N H 0 m c X V v d D s s J n F 1 b 3 Q 7 U 2 V y d m V y L k R h d G F i Y X N l X F w v M i 9 N e V N x b C 8 x M j c u M C 4 w L j E 6 M z M w N j t k d G 1 f c m Q x M i 9 k d G 1 f c m Q x M i 9 k d G 1 f c m Q x M i 5 k Z X B h c n R z X 2 R l d G F p b H M u e 2 N v Z G V f Y X J y b 2 5 k a X N z Z W 1 l b n Q s M T V 9 J n F 1 b 3 Q 7 L C Z x d W 9 0 O 1 N l c n Z l c i 5 E Y X R h Y m F z Z V x c L z I v T X l T c W w v M T I 3 L j A u M C 4 x O j M z M D Y 7 Z H R t X 3 J k M T I v Z H R t X 3 J k M T I v Z H R t X 3 J k M T I u Z G V w Y X J 0 c 1 9 k Z X R h a W x z L n t h c n J v b m R p c 3 N l b W V u d F 9 k Z X N 0 a W 5 h d G l v b i w x N n 0 m c X V v d D s s J n F 1 b 3 Q 7 U 2 V y d m V y L k R h d G F i Y X N l X F w v M i 9 N e V N x b C 8 x M j c u M C 4 w L j E 6 M z M w N j t k d G 1 f c m Q x M i 9 k d G 1 f c m Q x M i 9 k d G 1 f c m Q x M i 5 k Z X B h c n R z X 2 R l d G F p b H M u e 0 x p Z X V f c H J l Y 2 l z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y d m V y L k R h d G F i Y X N l X F w v M i 9 N e V N x b C 8 x M j c u M C 4 w L j E 6 M z M w N j t k d G 1 f c m Q x M i 9 k d G 1 f c m Q x M i 9 k d G 1 f c m Q x M i 5 k Z X B h c n R z X 2 R l d G F p b H M u e 2 V 2 Y W x 1 Y X R p b 2 5 f Y W R t M l 9 j b 2 R l L D B 9 J n F 1 b 3 Q 7 L C Z x d W 9 0 O 1 N l c n Z l c i 5 E Y X R h Y m F z Z V x c L z I v T X l T c W w v M T I 3 L j A u M C 4 x O j M z M D Y 7 Z H R t X 3 J k M T I v Z H R t X 3 J k M T I v Z H R t X 3 J k M T I u Z G V w Y X J 0 c 1 9 k Z X R h a W x z L n t l d m F s d W F 0 a W 9 u X 2 F k b T J f b m F t Z S w x f S Z x d W 9 0 O y w m c X V v d D t T Z X J 2 Z X I u R G F 0 Y W J h c 2 V c X C 8 y L 0 1 5 U 3 F s L z E y N y 4 w L j A u M T o z M z A 2 O 2 R 0 b V 9 y Z D E y L 2 R 0 b V 9 y Z D E y L 2 R 0 b V 9 y Z D E y L m R l c G F y d H N f Z G V 0 Y W l s c y 5 7 Z X Z h b H V h d G l v b l 9 h Z G 0 z X 2 N v Z G U s M n 0 m c X V v d D s s J n F 1 b 3 Q 7 U 2 V y d m V y L k R h d G F i Y X N l X F w v M i 9 N e V N x b C 8 x M j c u M C 4 w L j E 6 M z M w N j t k d G 1 f c m Q x M i 9 k d G 1 f c m Q x M i 9 k d G 1 f c m Q x M i 5 k Z X B h c n R z X 2 R l d G F p b H M u e 2 V 2 Y W x 1 Y X R p b 2 5 f Y W R t M 1 9 u Y W 1 l L D N 9 J n F 1 b 3 Q 7 L C Z x d W 9 0 O 1 N l c n Z l c i 5 E Y X R h Y m F z Z V x c L z I v T X l T c W w v M T I 3 L j A u M C 4 x O j M z M D Y 7 Z H R t X 3 J k M T I v Z H R t X 3 J k M T I v Z H R t X 3 J k M T I u Z G V w Y X J 0 c 1 9 k Z X R h a W x z L n t 2 a W x s Y W d l L D R 9 J n F 1 b 3 Q 7 L C Z x d W 9 0 O 1 N l Y 3 R p b 2 4 x L 1 R v d G F s R G F 0 Y V 9 E Z X B h c n R 1 c m V z L 1 Z h b G V 1 c i B y Z W 1 w b G F j w 6 l l N y 5 7 c G V y a W 9 k Z V 9 k Z X B h c n Q s N X 0 m c X V v d D s s J n F 1 b 3 Q 7 U 2 V y d m V y L k R h d G F i Y X N l X F w v M i 9 N e V N x b C 8 x M j c u M C 4 w L j E 6 M z M w N j t k d G 1 f c m Q x M i 9 k d G 1 f c m Q x M i 9 k d G 1 f c m Q x M i 5 k Z X B h c n R z X 2 R l d G F p b H M u e 2 h o L D Z 9 J n F 1 b 3 Q 7 L C Z x d W 9 0 O 1 N l c n Z l c i 5 E Y X R h Y m F z Z V x c L z I v T X l T c W w v M T I 3 L j A u M C 4 x O j M z M D Y 7 Z H R t X 3 J k M T I v Z H R t X 3 J k M T I v Z H R t X 3 J k M T I u Z G V w Y X J 0 c 1 9 k Z X R h a W x z L n t p b m Q s N 3 0 m c X V v d D s s J n F 1 b 3 Q 7 U 2 V y d m V y L k R h d G F i Y X N l X F w v M i 9 N e V N x b C 8 x M j c u M C 4 w L j E 6 M z M w N j t k d G 1 f c m Q x M i 9 k d G 1 f c m Q x M i 9 k d G 1 f c m Q x M i 5 k Z X B h c n R z X 2 R l d G F p b H M u e 2 R l c 3 R p b m F 0 a W 9 u c y w 4 f S Z x d W 9 0 O y w m c X V v d D t T Z X J 2 Z X I u R G F 0 Y W J h c 2 V c X C 8 y L 0 1 5 U 3 F s L z E y N y 4 w L j A u M T o z M z A 2 O 2 R 0 b V 9 y Z D E y L 2 R 0 b V 9 y Z D E y L 2 R 0 b V 9 y Z D E y L m R l c G F y d H N f Z G V 0 Y W l s c y 5 7 Y 2 9 k Z V 9 w Y X l z L D l 9 J n F 1 b 3 Q 7 L C Z x d W 9 0 O 1 N l c n Z l c i 5 E Y X R h Y m F z Z V x c L z I v T X l T c W w v M T I 3 L j A u M C 4 x O j M z M D Y 7 Z H R t X 3 J k M T I v Z H R t X 3 J k M T I v Z H R t X 3 J k M T I u Z G V w Y X J 0 c 1 9 k Z X R h a W x z L n t w Y X l z X 2 R l c 3 R p b m F 0 a W 9 u L D E w f S Z x d W 9 0 O y w m c X V v d D t T Z X J 2 Z X I u R G F 0 Y W J h c 2 V c X C 8 y L 0 1 5 U 3 F s L z E y N y 4 w L j A u M T o z M z A 2 O 2 R 0 b V 9 y Z D E y L 2 R 0 b V 9 y Z D E y L 2 R 0 b V 9 y Z D E y L m R l c G F y d H N f Z G V 0 Y W l s c y 5 7 Y 2 9 k Z V 9 y Z W d p b 2 4 s M T F 9 J n F 1 b 3 Q 7 L C Z x d W 9 0 O 1 N l c n Z l c i 5 E Y X R h Y m F z Z V x c L z I v T X l T c W w v M T I 3 L j A u M C 4 x O j M z M D Y 7 Z H R t X 3 J k M T I v Z H R t X 3 J k M T I v Z H R t X 3 J k M T I u Z G V w Y X J 0 c 1 9 k Z X R h a W x z L n t y Z W d p b 2 5 f Z G V z d G l u Y X R p b 2 4 s M T J 9 J n F 1 b 3 Q 7 L C Z x d W 9 0 O 1 N l c n Z l c i 5 E Y X R h Y m F z Z V x c L z I v T X l T c W w v M T I 3 L j A u M C 4 x O j M z M D Y 7 Z H R t X 3 J k M T I v Z H R t X 3 J k M T I v Z H R t X 3 J k M T I u Z G V w Y X J 0 c 1 9 k Z X R h a W x z L n t j b 2 R l X 2 R l c G F y d G V t Z W 5 0 L D E z f S Z x d W 9 0 O y w m c X V v d D t T Z X J 2 Z X I u R G F 0 Y W J h c 2 V c X C 8 y L 0 1 5 U 3 F s L z E y N y 4 w L j A u M T o z M z A 2 O 2 R 0 b V 9 y Z D E y L 2 R 0 b V 9 y Z D E y L 2 R 0 b V 9 y Z D E y L m R l c G F y d H N f Z G V 0 Y W l s c y 5 7 Z G V w Y X J 0 Z W 1 l b n R f Z G V z d G l u Y X R p b 2 4 s M T R 9 J n F 1 b 3 Q 7 L C Z x d W 9 0 O 1 N l c n Z l c i 5 E Y X R h Y m F z Z V x c L z I v T X l T c W w v M T I 3 L j A u M C 4 x O j M z M D Y 7 Z H R t X 3 J k M T I v Z H R t X 3 J k M T I v Z H R t X 3 J k M T I u Z G V w Y X J 0 c 1 9 k Z X R h a W x z L n t j b 2 R l X 2 F y c m 9 u Z G l z c 2 V t Z W 5 0 L D E 1 f S Z x d W 9 0 O y w m c X V v d D t T Z X J 2 Z X I u R G F 0 Y W J h c 2 V c X C 8 y L 0 1 5 U 3 F s L z E y N y 4 w L j A u M T o z M z A 2 O 2 R 0 b V 9 y Z D E y L 2 R 0 b V 9 y Z D E y L 2 R 0 b V 9 y Z D E y L m R l c G F y d H N f Z G V 0 Y W l s c y 5 7 Y X J y b 2 5 k a X N z Z W 1 l b n R f Z G V z d G l u Y X R p b 2 4 s M T Z 9 J n F 1 b 3 Q 7 L C Z x d W 9 0 O 1 N l c n Z l c i 5 E Y X R h Y m F z Z V x c L z I v T X l T c W w v M T I 3 L j A u M C 4 x O j M z M D Y 7 Z H R t X 3 J k M T I v Z H R t X 3 J k M T I v Z H R t X 3 J k M T I u Z G V w Y X J 0 c 1 9 k Z X R h a W x z L n t M a W V 1 X 3 B y Z W N p c y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z c 2 l z d G F u Y 2 V z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E N v d W 5 0 I i B W Y W x 1 Z T 0 i b D Q 3 N C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T 3 J n Y W 5 p e m F 0 a W 9 u c y I g L z 4 8 R W 5 0 c n k g V H l w Z T 0 i U X V l c n l J R C I g V m F s d W U 9 I n M 4 M G I 4 M z I 3 N C 1 i Z m N i L T Q 3 Z T Y t Y j l i Y y 0 5 Z W R j Z m E 4 M j M 1 M z U i I C 8 + P E V u d H J 5 I F R 5 c G U 9 I k Z p b G x D b 2 x 1 b W 5 U e X B l c y I g V m F s d W U 9 I n N C Z 1 l H Q m d Z R 0 J n W U d C Z z h Q R H c 4 U E R 3 O F B E d z h Q R H c 4 U E R 3 O F B E d z h Q I i A v P j x F b n R y e S B U e X B l P S J G a W x s V G F y Z 2 V 0 I i B W Y W x 1 Z T 0 i c 0 F z c 2 l z d G F u Y 2 V z I i A v P j x F b n R y e S B U e X B l P S J G a W x s T G F z d F V w Z G F 0 Z W Q i I F Z h b H V l P S J k M j A x N y 0 x M i 0 y M l Q x N z o 1 O D o y N C 4 5 O T Q 0 N T Q w W i I g L z 4 8 R W 5 0 c n k g V H l w Z T 0 i R m l s b E V y c m 9 y Q 2 9 k Z S I g V m F s d W U 9 I n N V b m t u b 3 d u I i A v P j x F b n R y e S B U e X B l P S J G a W x s Q 2 9 s d W 1 u T m F t Z X M i I F Z h b H V l P S J z W y Z x d W 9 0 O 0 F k b W l u M V 9 D b 2 R l J n F 1 b 3 Q 7 L C Z x d W 9 0 O 2 V 2 Y W x 1 Y X R p b 2 5 f Y W R t M l 9 u Y W 1 l J n F 1 b 3 Q 7 L C Z x d W 9 0 O 2 V 2 Y W x 1 Y X R p b 2 5 f Y W R t M l 9 j b 2 R l J n F 1 b 3 Q 7 L C Z x d W 9 0 O 2 V 2 Y W x 1 Y X R p b 2 5 f Y W R t M 1 9 u Y W 1 l J n F 1 b 3 Q 7 L C Z x d W 9 0 O 2 V 2 Y W x 1 Y X R p b 2 5 f Y W R t M 1 9 j b 2 R l J n F 1 b 3 Q 7 L C Z x d W 9 0 O 2 V 2 Y W x 1 Y X R p b 2 5 f d m l s b G F n Z V 9 u Y W 1 l J n F 1 b 3 Q 7 L C Z x d W 9 0 O 2 V 2 Y W x 1 Y X R p b 2 5 f d m l s b G F n Z V 9 j b 2 R l J n F 1 b 3 Q 7 L C Z x d W 9 0 O 2 V 2 Y W x 1 Y X R p b 2 5 f d m l s b G F n Z V 9 s b 2 5 n J n F 1 b 3 Q 7 L C Z x d W 9 0 O 2 V 2 Y W x 1 Y X R p b 2 5 f d m l s b G F n Z V 9 s Y X Q m c X V v d D s s J n F 1 b 3 Q 7 Z X Z h b H V h d G l v b l 9 2 a W x s Y W d l X 2 F j d X J h d G U m c X V v d D s s J n F 1 b 3 Q 7 Q X V 0 c m U m c X V v d D s s J n F 1 b 3 Q 7 Q X J n Z W 5 0 J n F 1 b 3 Q 7 L C Z x d W 9 0 O 0 N l c m V h b G V z J n F 1 b 3 Q 7 L C Z x d W 9 0 O 0 l u Z m 9 y b W F 0 a W 9 u J n F 1 b 3 Q 7 L C Z x d W 9 0 O 2 N h Z G F z d H J l J n F 1 b 3 Q 7 L C Z x d W 9 0 O 0 V k d W N h d G l v b i Z x d W 9 0 O y w m c X V v d D t G a W 5 h b m N l c y Z x d W 9 0 O y w m c X V v d D t G b 3 J h Z 2 U m c X V v d D s s J n F 1 b 3 Q 7 R m 9 1 c m 5 p d H V y Z V N j b 2 x h a X J l J n F 1 b 3 Q 7 L C Z x d W 9 0 O 0 t p d E h 5 Z 2 l l b m U m c X V v d D s s J n F 1 b 3 Q 7 T G F 0 c m l u Z X M m c X V v d D s s J n F 1 b 3 Q 7 T W F 0 Z X J p Z W w m c X V v d D s s J n F 1 b 3 Q 7 S 2 l 0 Q W d y a W N v b G U m c X V v d D s s J n F 1 b 3 Q 7 S 2 l 0 Q 2 9 1 Y 2 h h Z 2 U m c X V v d D s s J n F 1 b 3 Q 7 S 2 l 0 U 2 F u a X R h a X J l J n F 1 b 3 Q 7 L C Z x d W 9 0 O 1 N 0 c n V j d H V y Z X N T Y W 5 p d G F p c m U m c X V v d D s s J n F 1 b 3 Q 7 T W V k a W N h b W V u d H M m c X V v d D s s J n F 1 b 3 Q 7 T k Z J J n F 1 b 3 Q 7 L C Z x d W 9 0 O 1 N l b n N p Y m l s a X N h d G l v b i Z x d W 9 0 O y w m c X V v d D t W a X Z y Z X M m c X V v d D t d I i A v P j x F b n R y e S B U e X B l P S J S Z W x h d G l v b n N o a X B J b m Z v Q 2 9 u d G F p b m V y I i B W Y W x 1 Z T 0 i c 3 s m c X V v d D t j b 2 x 1 b W 5 D b 3 V u d C Z x d W 9 0 O z o z M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c m Q x M i 9 k d G 1 f c m Q x M i 9 k d G 1 f c m Q x M i 5 w c m V z Z W 5 j Z W F z c 2 l z d G F u Y 2 U u e 0 F k b W l u M V 9 D b 2 R l L D B 9 J n F 1 b 3 Q 7 L C Z x d W 9 0 O 1 N l c n Z l c i 5 E Y X R h Y m F z Z V x c L z I v T X l T c W w v M T I 3 L j A u M C 4 x O j M z M D Y 7 Z H R t X 3 J k M T I v Z H R t X 3 J k M T I v Z H R t X 3 J k M T I u c H J l c 2 V u Y 2 V h c 3 N p c 3 R h b m N l L n t l d m F s d W F 0 a W 9 u X 2 F k b T J f b m F t Z S w x f S Z x d W 9 0 O y w m c X V v d D t T Z X J 2 Z X I u R G F 0 Y W J h c 2 V c X C 8 y L 0 1 5 U 3 F s L z E y N y 4 w L j A u M T o z M z A 2 O 2 R 0 b V 9 y Z D E y L 2 R 0 b V 9 y Z D E y L 2 R 0 b V 9 y Z D E y L n B y Z X N l b m N l Y X N z a X N 0 Y W 5 j Z S 5 7 Z X Z h b H V h d G l v b l 9 h Z G 0 y X 2 N v Z G U s M n 0 m c X V v d D s s J n F 1 b 3 Q 7 U 2 V y d m V y L k R h d G F i Y X N l X F w v M i 9 N e V N x b C 8 x M j c u M C 4 w L j E 6 M z M w N j t k d G 1 f c m Q x M i 9 k d G 1 f c m Q x M i 9 k d G 1 f c m Q x M i 5 w c m V z Z W 5 j Z W F z c 2 l z d G F u Y 2 U u e 2 V 2 Y W x 1 Y X R p b 2 5 f Y W R t M 1 9 u Y W 1 l L D N 9 J n F 1 b 3 Q 7 L C Z x d W 9 0 O 1 N l c n Z l c i 5 E Y X R h Y m F z Z V x c L z I v T X l T c W w v M T I 3 L j A u M C 4 x O j M z M D Y 7 Z H R t X 3 J k M T I v Z H R t X 3 J k M T I v Z H R t X 3 J k M T I u c H J l c 2 V u Y 2 V h c 3 N p c 3 R h b m N l L n t l d m F s d W F 0 a W 9 u X 2 F k b T N f Y 2 9 k Z S w 0 f S Z x d W 9 0 O y w m c X V v d D t T Z X J 2 Z X I u R G F 0 Y W J h c 2 V c X C 8 y L 0 1 5 U 3 F s L z E y N y 4 w L j A u M T o z M z A 2 O 2 R 0 b V 9 y Z D E y L 2 R 0 b V 9 y Z D E y L 2 R 0 b V 9 y Z D E y L n B y Z X N l b m N l Y X N z a X N 0 Y W 5 j Z S 5 7 Z X Z h b H V h d G l v b l 9 2 a W x s Y W d l X 2 5 h b W U s N X 0 m c X V v d D s s J n F 1 b 3 Q 7 U 2 V y d m V y L k R h d G F i Y X N l X F w v M i 9 N e V N x b C 8 x M j c u M C 4 w L j E 6 M z M w N j t k d G 1 f c m Q x M i 9 k d G 1 f c m Q x M i 9 k d G 1 f c m Q x M i 5 w c m V z Z W 5 j Z W F z c 2 l z d G F u Y 2 U u e 2 V 2 Y W x 1 Y X R p b 2 5 f d m l s b G F n Z V 9 j b 2 R l L D Z 9 J n F 1 b 3 Q 7 L C Z x d W 9 0 O 1 N l c n Z l c i 5 E Y X R h Y m F z Z V x c L z I v T X l T c W w v M T I 3 L j A u M C 4 x O j M z M D Y 7 Z H R t X 3 J k M T I v Z H R t X 3 J k M T I v Z H R t X 3 J k M T I u c H J l c 2 V u Y 2 V h c 3 N p c 3 R h b m N l L n t l d m F s d W F 0 a W 9 u X 3 Z p b G x h Z 2 V f b G 9 u Z y w 3 f S Z x d W 9 0 O y w m c X V v d D t T Z X J 2 Z X I u R G F 0 Y W J h c 2 V c X C 8 y L 0 1 5 U 3 F s L z E y N y 4 w L j A u M T o z M z A 2 O 2 R 0 b V 9 y Z D E y L 2 R 0 b V 9 y Z D E y L 2 R 0 b V 9 y Z D E y L n B y Z X N l b m N l Y X N z a X N 0 Y W 5 j Z S 5 7 Z X Z h b H V h d G l v b l 9 2 a W x s Y W d l X 2 x h d C w 4 f S Z x d W 9 0 O y w m c X V v d D t T Z X J 2 Z X I u R G F 0 Y W J h c 2 V c X C 8 y L 0 1 5 U 3 F s L z E y N y 4 w L j A u M T o z M z A 2 O 2 R 0 b V 9 y Z D E y L 2 R 0 b V 9 y Z D E y L 2 R 0 b V 9 y Z D E y L n B y Z X N l b m N l Y X N z a X N 0 Y W 5 j Z S 5 7 Z X Z h b H V h d G l v b l 9 2 a W x s Y W d l X 2 F j d X J h d G U s O X 0 m c X V v d D s s J n F 1 b 3 Q 7 U 2 V y d m V y L k R h d G F i Y X N l X F w v M i 9 N e V N x b C 8 x M j c u M C 4 w L j E 6 M z M w N j t k d G 1 f c m Q x M i 9 k d G 1 f c m Q x M i 9 k d G 1 f c m Q x M i 5 w c m V z Z W 5 j Z W F z c 2 l z d G F u Y 2 U u e 0 F 1 d H J l L D E w f S Z x d W 9 0 O y w m c X V v d D t T Z X J 2 Z X I u R G F 0 Y W J h c 2 V c X C 8 y L 0 1 5 U 3 F s L z E y N y 4 w L j A u M T o z M z A 2 O 2 R 0 b V 9 y Z D E y L 2 R 0 b V 9 y Z D E y L 2 R 0 b V 9 y Z D E y L n B y Z X N l b m N l Y X N z a X N 0 Y W 5 j Z S 5 7 Q X J n Z W 5 0 L D E x f S Z x d W 9 0 O y w m c X V v d D t T Z X J 2 Z X I u R G F 0 Y W J h c 2 V c X C 8 y L 0 1 5 U 3 F s L z E y N y 4 w L j A u M T o z M z A 2 O 2 R 0 b V 9 y Z D E y L 2 R 0 b V 9 y Z D E y L 2 R 0 b V 9 y Z D E y L n B y Z X N l b m N l Y X N z a X N 0 Y W 5 j Z S 5 7 Q 2 V y Z W F s Z X M s M T J 9 J n F 1 b 3 Q 7 L C Z x d W 9 0 O 1 N l c n Z l c i 5 E Y X R h Y m F z Z V x c L z I v T X l T c W w v M T I 3 L j A u M C 4 x O j M z M D Y 7 Z H R t X 3 J k M T I v Z H R t X 3 J k M T I v Z H R t X 3 J k M T I u c H J l c 2 V u Y 2 V h c 3 N p c 3 R h b m N l L n t J b m Z v c m 1 h d G l v b i w x M 3 0 m c X V v d D s s J n F 1 b 3 Q 7 U 2 V y d m V y L k R h d G F i Y X N l X F w v M i 9 N e V N x b C 8 x M j c u M C 4 w L j E 6 M z M w N j t k d G 1 f c m Q x M i 9 k d G 1 f c m Q x M i 9 k d G 1 f c m Q x M i 5 w c m V z Z W 5 j Z W F z c 2 l z d G F u Y 2 U u e 2 N h Z G F z d H J l L D E 0 f S Z x d W 9 0 O y w m c X V v d D t T Z X J 2 Z X I u R G F 0 Y W J h c 2 V c X C 8 y L 0 1 5 U 3 F s L z E y N y 4 w L j A u M T o z M z A 2 O 2 R 0 b V 9 y Z D E y L 2 R 0 b V 9 y Z D E y L 2 R 0 b V 9 y Z D E y L n B y Z X N l b m N l Y X N z a X N 0 Y W 5 j Z S 5 7 R W R 1 Y 2 F 0 a W 9 u L D E 1 f S Z x d W 9 0 O y w m c X V v d D t T Z X J 2 Z X I u R G F 0 Y W J h c 2 V c X C 8 y L 0 1 5 U 3 F s L z E y N y 4 w L j A u M T o z M z A 2 O 2 R 0 b V 9 y Z D E y L 2 R 0 b V 9 y Z D E y L 2 R 0 b V 9 y Z D E y L n B y Z X N l b m N l Y X N z a X N 0 Y W 5 j Z S 5 7 R m l u Y W 5 j Z X M s M T Z 9 J n F 1 b 3 Q 7 L C Z x d W 9 0 O 1 N l c n Z l c i 5 E Y X R h Y m F z Z V x c L z I v T X l T c W w v M T I 3 L j A u M C 4 x O j M z M D Y 7 Z H R t X 3 J k M T I v Z H R t X 3 J k M T I v Z H R t X 3 J k M T I u c H J l c 2 V u Y 2 V h c 3 N p c 3 R h b m N l L n t G b 3 J h Z 2 U s M T d 9 J n F 1 b 3 Q 7 L C Z x d W 9 0 O 1 N l c n Z l c i 5 E Y X R h Y m F z Z V x c L z I v T X l T c W w v M T I 3 L j A u M C 4 x O j M z M D Y 7 Z H R t X 3 J k M T I v Z H R t X 3 J k M T I v Z H R t X 3 J k M T I u c H J l c 2 V u Y 2 V h c 3 N p c 3 R h b m N l L n t G b 3 V y b m l 0 d X J l U 2 N v b G F p c m U s M T h 9 J n F 1 b 3 Q 7 L C Z x d W 9 0 O 1 N l c n Z l c i 5 E Y X R h Y m F z Z V x c L z I v T X l T c W w v M T I 3 L j A u M C 4 x O j M z M D Y 7 Z H R t X 3 J k M T I v Z H R t X 3 J k M T I v Z H R t X 3 J k M T I u c H J l c 2 V u Y 2 V h c 3 N p c 3 R h b m N l L n t L a X R I e W d p Z W 5 l L D E 5 f S Z x d W 9 0 O y w m c X V v d D t T Z X J 2 Z X I u R G F 0 Y W J h c 2 V c X C 8 y L 0 1 5 U 3 F s L z E y N y 4 w L j A u M T o z M z A 2 O 2 R 0 b V 9 y Z D E y L 2 R 0 b V 9 y Z D E y L 2 R 0 b V 9 y Z D E y L n B y Z X N l b m N l Y X N z a X N 0 Y W 5 j Z S 5 7 T G F 0 c m l u Z X M s M j B 9 J n F 1 b 3 Q 7 L C Z x d W 9 0 O 1 N l c n Z l c i 5 E Y X R h Y m F z Z V x c L z I v T X l T c W w v M T I 3 L j A u M C 4 x O j M z M D Y 7 Z H R t X 3 J k M T I v Z H R t X 3 J k M T I v Z H R t X 3 J k M T I u c H J l c 2 V u Y 2 V h c 3 N p c 3 R h b m N l L n t N Y X R l c m l l b C w y M X 0 m c X V v d D s s J n F 1 b 3 Q 7 U 2 V y d m V y L k R h d G F i Y X N l X F w v M i 9 N e V N x b C 8 x M j c u M C 4 w L j E 6 M z M w N j t k d G 1 f c m Q x M i 9 k d G 1 f c m Q x M i 9 k d G 1 f c m Q x M i 5 w c m V z Z W 5 j Z W F z c 2 l z d G F u Y 2 U u e 0 t p d E F n c m l j b 2 x l L D I y f S Z x d W 9 0 O y w m c X V v d D t T Z X J 2 Z X I u R G F 0 Y W J h c 2 V c X C 8 y L 0 1 5 U 3 F s L z E y N y 4 w L j A u M T o z M z A 2 O 2 R 0 b V 9 y Z D E y L 2 R 0 b V 9 y Z D E y L 2 R 0 b V 9 y Z D E y L n B y Z X N l b m N l Y X N z a X N 0 Y W 5 j Z S 5 7 S 2 l 0 Q 2 9 1 Y 2 h h Z 2 U s M j N 9 J n F 1 b 3 Q 7 L C Z x d W 9 0 O 1 N l c n Z l c i 5 E Y X R h Y m F z Z V x c L z I v T X l T c W w v M T I 3 L j A u M C 4 x O j M z M D Y 7 Z H R t X 3 J k M T I v Z H R t X 3 J k M T I v Z H R t X 3 J k M T I u c H J l c 2 V u Y 2 V h c 3 N p c 3 R h b m N l L n t L a X R T Y W 5 p d G F p c m U s M j R 9 J n F 1 b 3 Q 7 L C Z x d W 9 0 O 1 N l c n Z l c i 5 E Y X R h Y m F z Z V x c L z I v T X l T c W w v M T I 3 L j A u M C 4 x O j M z M D Y 7 Z H R t X 3 J k M T I v Z H R t X 3 J k M T I v Z H R t X 3 J k M T I u c H J l c 2 V u Y 2 V h c 3 N p c 3 R h b m N l L n t T d H J 1 Y 3 R 1 c m V z U 2 F u a X R h a X J l L D I 1 f S Z x d W 9 0 O y w m c X V v d D t T Z X J 2 Z X I u R G F 0 Y W J h c 2 V c X C 8 y L 0 1 5 U 3 F s L z E y N y 4 w L j A u M T o z M z A 2 O 2 R 0 b V 9 y Z D E y L 2 R 0 b V 9 y Z D E y L 2 R 0 b V 9 y Z D E y L n B y Z X N l b m N l Y X N z a X N 0 Y W 5 j Z S 5 7 T W V k a W N h b W V u d H M s M j Z 9 J n F 1 b 3 Q 7 L C Z x d W 9 0 O 1 N l c n Z l c i 5 E Y X R h Y m F z Z V x c L z I v T X l T c W w v M T I 3 L j A u M C 4 x O j M z M D Y 7 Z H R t X 3 J k M T I v Z H R t X 3 J k M T I v Z H R t X 3 J k M T I u c H J l c 2 V u Y 2 V h c 3 N p c 3 R h b m N l L n t O R k k s M j d 9 J n F 1 b 3 Q 7 L C Z x d W 9 0 O 1 N l c n Z l c i 5 E Y X R h Y m F z Z V x c L z I v T X l T c W w v M T I 3 L j A u M C 4 x O j M z M D Y 7 Z H R t X 3 J k M T I v Z H R t X 3 J k M T I v Z H R t X 3 J k M T I u c H J l c 2 V u Y 2 V h c 3 N p c 3 R h b m N l L n t T Z W 5 z a W J p b G l z Y X R p b 2 4 s M j h 9 J n F 1 b 3 Q 7 L C Z x d W 9 0 O 1 N l c n Z l c i 5 E Y X R h Y m F z Z V x c L z I v T X l T c W w v M T I 3 L j A u M C 4 x O j M z M D Y 7 Z H R t X 3 J k M T I v Z H R t X 3 J k M T I v Z H R t X 3 J k M T I u c H J l c 2 V u Y 2 V h c 3 N p c 3 R h b m N l L n t W a X Z y Z X M s M j l 9 J n F 1 b 3 Q 7 X S w m c X V v d D t D b 2 x 1 b W 5 D b 3 V u d C Z x d W 9 0 O z o z M C w m c X V v d D t L Z X l D b 2 x 1 b W 5 O Y W 1 l c y Z x d W 9 0 O z p b X S w m c X V v d D t D b 2 x 1 b W 5 J Z G V u d G l 0 a W V z J n F 1 b 3 Q 7 O l s m c X V v d D t T Z X J 2 Z X I u R G F 0 Y W J h c 2 V c X C 8 y L 0 1 5 U 3 F s L z E y N y 4 w L j A u M T o z M z A 2 O 2 R 0 b V 9 y Z D E y L 2 R 0 b V 9 y Z D E y L 2 R 0 b V 9 y Z D E y L n B y Z X N l b m N l Y X N z a X N 0 Y W 5 j Z S 5 7 Q W R t a W 4 x X 0 N v Z G U s M H 0 m c X V v d D s s J n F 1 b 3 Q 7 U 2 V y d m V y L k R h d G F i Y X N l X F w v M i 9 N e V N x b C 8 x M j c u M C 4 w L j E 6 M z M w N j t k d G 1 f c m Q x M i 9 k d G 1 f c m Q x M i 9 k d G 1 f c m Q x M i 5 w c m V z Z W 5 j Z W F z c 2 l z d G F u Y 2 U u e 2 V 2 Y W x 1 Y X R p b 2 5 f Y W R t M l 9 u Y W 1 l L D F 9 J n F 1 b 3 Q 7 L C Z x d W 9 0 O 1 N l c n Z l c i 5 E Y X R h Y m F z Z V x c L z I v T X l T c W w v M T I 3 L j A u M C 4 x O j M z M D Y 7 Z H R t X 3 J k M T I v Z H R t X 3 J k M T I v Z H R t X 3 J k M T I u c H J l c 2 V u Y 2 V h c 3 N p c 3 R h b m N l L n t l d m F s d W F 0 a W 9 u X 2 F k b T J f Y 2 9 k Z S w y f S Z x d W 9 0 O y w m c X V v d D t T Z X J 2 Z X I u R G F 0 Y W J h c 2 V c X C 8 y L 0 1 5 U 3 F s L z E y N y 4 w L j A u M T o z M z A 2 O 2 R 0 b V 9 y Z D E y L 2 R 0 b V 9 y Z D E y L 2 R 0 b V 9 y Z D E y L n B y Z X N l b m N l Y X N z a X N 0 Y W 5 j Z S 5 7 Z X Z h b H V h d G l v b l 9 h Z G 0 z X 2 5 h b W U s M 3 0 m c X V v d D s s J n F 1 b 3 Q 7 U 2 V y d m V y L k R h d G F i Y X N l X F w v M i 9 N e V N x b C 8 x M j c u M C 4 w L j E 6 M z M w N j t k d G 1 f c m Q x M i 9 k d G 1 f c m Q x M i 9 k d G 1 f c m Q x M i 5 w c m V z Z W 5 j Z W F z c 2 l z d G F u Y 2 U u e 2 V 2 Y W x 1 Y X R p b 2 5 f Y W R t M 1 9 j b 2 R l L D R 9 J n F 1 b 3 Q 7 L C Z x d W 9 0 O 1 N l c n Z l c i 5 E Y X R h Y m F z Z V x c L z I v T X l T c W w v M T I 3 L j A u M C 4 x O j M z M D Y 7 Z H R t X 3 J k M T I v Z H R t X 3 J k M T I v Z H R t X 3 J k M T I u c H J l c 2 V u Y 2 V h c 3 N p c 3 R h b m N l L n t l d m F s d W F 0 a W 9 u X 3 Z p b G x h Z 2 V f b m F t Z S w 1 f S Z x d W 9 0 O y w m c X V v d D t T Z X J 2 Z X I u R G F 0 Y W J h c 2 V c X C 8 y L 0 1 5 U 3 F s L z E y N y 4 w L j A u M T o z M z A 2 O 2 R 0 b V 9 y Z D E y L 2 R 0 b V 9 y Z D E y L 2 R 0 b V 9 y Z D E y L n B y Z X N l b m N l Y X N z a X N 0 Y W 5 j Z S 5 7 Z X Z h b H V h d G l v b l 9 2 a W x s Y W d l X 2 N v Z G U s N n 0 m c X V v d D s s J n F 1 b 3 Q 7 U 2 V y d m V y L k R h d G F i Y X N l X F w v M i 9 N e V N x b C 8 x M j c u M C 4 w L j E 6 M z M w N j t k d G 1 f c m Q x M i 9 k d G 1 f c m Q x M i 9 k d G 1 f c m Q x M i 5 w c m V z Z W 5 j Z W F z c 2 l z d G F u Y 2 U u e 2 V 2 Y W x 1 Y X R p b 2 5 f d m l s b G F n Z V 9 s b 2 5 n L D d 9 J n F 1 b 3 Q 7 L C Z x d W 9 0 O 1 N l c n Z l c i 5 E Y X R h Y m F z Z V x c L z I v T X l T c W w v M T I 3 L j A u M C 4 x O j M z M D Y 7 Z H R t X 3 J k M T I v Z H R t X 3 J k M T I v Z H R t X 3 J k M T I u c H J l c 2 V u Y 2 V h c 3 N p c 3 R h b m N l L n t l d m F s d W F 0 a W 9 u X 3 Z p b G x h Z 2 V f b G F 0 L D h 9 J n F 1 b 3 Q 7 L C Z x d W 9 0 O 1 N l c n Z l c i 5 E Y X R h Y m F z Z V x c L z I v T X l T c W w v M T I 3 L j A u M C 4 x O j M z M D Y 7 Z H R t X 3 J k M T I v Z H R t X 3 J k M T I v Z H R t X 3 J k M T I u c H J l c 2 V u Y 2 V h c 3 N p c 3 R h b m N l L n t l d m F s d W F 0 a W 9 u X 3 Z p b G x h Z 2 V f Y W N 1 c m F 0 Z S w 5 f S Z x d W 9 0 O y w m c X V v d D t T Z X J 2 Z X I u R G F 0 Y W J h c 2 V c X C 8 y L 0 1 5 U 3 F s L z E y N y 4 w L j A u M T o z M z A 2 O 2 R 0 b V 9 y Z D E y L 2 R 0 b V 9 y Z D E y L 2 R 0 b V 9 y Z D E y L n B y Z X N l b m N l Y X N z a X N 0 Y W 5 j Z S 5 7 Q X V 0 c m U s M T B 9 J n F 1 b 3 Q 7 L C Z x d W 9 0 O 1 N l c n Z l c i 5 E Y X R h Y m F z Z V x c L z I v T X l T c W w v M T I 3 L j A u M C 4 x O j M z M D Y 7 Z H R t X 3 J k M T I v Z H R t X 3 J k M T I v Z H R t X 3 J k M T I u c H J l c 2 V u Y 2 V h c 3 N p c 3 R h b m N l L n t B c m d l b n Q s M T F 9 J n F 1 b 3 Q 7 L C Z x d W 9 0 O 1 N l c n Z l c i 5 E Y X R h Y m F z Z V x c L z I v T X l T c W w v M T I 3 L j A u M C 4 x O j M z M D Y 7 Z H R t X 3 J k M T I v Z H R t X 3 J k M T I v Z H R t X 3 J k M T I u c H J l c 2 V u Y 2 V h c 3 N p c 3 R h b m N l L n t D Z X J l Y W x l c y w x M n 0 m c X V v d D s s J n F 1 b 3 Q 7 U 2 V y d m V y L k R h d G F i Y X N l X F w v M i 9 N e V N x b C 8 x M j c u M C 4 w L j E 6 M z M w N j t k d G 1 f c m Q x M i 9 k d G 1 f c m Q x M i 9 k d G 1 f c m Q x M i 5 w c m V z Z W 5 j Z W F z c 2 l z d G F u Y 2 U u e 0 l u Z m 9 y b W F 0 a W 9 u L D E z f S Z x d W 9 0 O y w m c X V v d D t T Z X J 2 Z X I u R G F 0 Y W J h c 2 V c X C 8 y L 0 1 5 U 3 F s L z E y N y 4 w L j A u M T o z M z A 2 O 2 R 0 b V 9 y Z D E y L 2 R 0 b V 9 y Z D E y L 2 R 0 b V 9 y Z D E y L n B y Z X N l b m N l Y X N z a X N 0 Y W 5 j Z S 5 7 Y 2 F k Y X N 0 c m U s M T R 9 J n F 1 b 3 Q 7 L C Z x d W 9 0 O 1 N l c n Z l c i 5 E Y X R h Y m F z Z V x c L z I v T X l T c W w v M T I 3 L j A u M C 4 x O j M z M D Y 7 Z H R t X 3 J k M T I v Z H R t X 3 J k M T I v Z H R t X 3 J k M T I u c H J l c 2 V u Y 2 V h c 3 N p c 3 R h b m N l L n t F Z H V j Y X R p b 2 4 s M T V 9 J n F 1 b 3 Q 7 L C Z x d W 9 0 O 1 N l c n Z l c i 5 E Y X R h Y m F z Z V x c L z I v T X l T c W w v M T I 3 L j A u M C 4 x O j M z M D Y 7 Z H R t X 3 J k M T I v Z H R t X 3 J k M T I v Z H R t X 3 J k M T I u c H J l c 2 V u Y 2 V h c 3 N p c 3 R h b m N l L n t G a W 5 h b m N l c y w x N n 0 m c X V v d D s s J n F 1 b 3 Q 7 U 2 V y d m V y L k R h d G F i Y X N l X F w v M i 9 N e V N x b C 8 x M j c u M C 4 w L j E 6 M z M w N j t k d G 1 f c m Q x M i 9 k d G 1 f c m Q x M i 9 k d G 1 f c m Q x M i 5 w c m V z Z W 5 j Z W F z c 2 l z d G F u Y 2 U u e 0 Z v c m F n Z S w x N 3 0 m c X V v d D s s J n F 1 b 3 Q 7 U 2 V y d m V y L k R h d G F i Y X N l X F w v M i 9 N e V N x b C 8 x M j c u M C 4 w L j E 6 M z M w N j t k d G 1 f c m Q x M i 9 k d G 1 f c m Q x M i 9 k d G 1 f c m Q x M i 5 w c m V z Z W 5 j Z W F z c 2 l z d G F u Y 2 U u e 0 Z v d X J u a X R 1 c m V T Y 2 9 s Y W l y Z S w x O H 0 m c X V v d D s s J n F 1 b 3 Q 7 U 2 V y d m V y L k R h d G F i Y X N l X F w v M i 9 N e V N x b C 8 x M j c u M C 4 w L j E 6 M z M w N j t k d G 1 f c m Q x M i 9 k d G 1 f c m Q x M i 9 k d G 1 f c m Q x M i 5 w c m V z Z W 5 j Z W F z c 2 l z d G F u Y 2 U u e 0 t p d E h 5 Z 2 l l b m U s M T l 9 J n F 1 b 3 Q 7 L C Z x d W 9 0 O 1 N l c n Z l c i 5 E Y X R h Y m F z Z V x c L z I v T X l T c W w v M T I 3 L j A u M C 4 x O j M z M D Y 7 Z H R t X 3 J k M T I v Z H R t X 3 J k M T I v Z H R t X 3 J k M T I u c H J l c 2 V u Y 2 V h c 3 N p c 3 R h b m N l L n t M Y X R y a W 5 l c y w y M H 0 m c X V v d D s s J n F 1 b 3 Q 7 U 2 V y d m V y L k R h d G F i Y X N l X F w v M i 9 N e V N x b C 8 x M j c u M C 4 w L j E 6 M z M w N j t k d G 1 f c m Q x M i 9 k d G 1 f c m Q x M i 9 k d G 1 f c m Q x M i 5 w c m V z Z W 5 j Z W F z c 2 l z d G F u Y 2 U u e 0 1 h d G V y a W V s L D I x f S Z x d W 9 0 O y w m c X V v d D t T Z X J 2 Z X I u R G F 0 Y W J h c 2 V c X C 8 y L 0 1 5 U 3 F s L z E y N y 4 w L j A u M T o z M z A 2 O 2 R 0 b V 9 y Z D E y L 2 R 0 b V 9 y Z D E y L 2 R 0 b V 9 y Z D E y L n B y Z X N l b m N l Y X N z a X N 0 Y W 5 j Z S 5 7 S 2 l 0 Q W d y a W N v b G U s M j J 9 J n F 1 b 3 Q 7 L C Z x d W 9 0 O 1 N l c n Z l c i 5 E Y X R h Y m F z Z V x c L z I v T X l T c W w v M T I 3 L j A u M C 4 x O j M z M D Y 7 Z H R t X 3 J k M T I v Z H R t X 3 J k M T I v Z H R t X 3 J k M T I u c H J l c 2 V u Y 2 V h c 3 N p c 3 R h b m N l L n t L a X R D b 3 V j a G F n Z S w y M 3 0 m c X V v d D s s J n F 1 b 3 Q 7 U 2 V y d m V y L k R h d G F i Y X N l X F w v M i 9 N e V N x b C 8 x M j c u M C 4 w L j E 6 M z M w N j t k d G 1 f c m Q x M i 9 k d G 1 f c m Q x M i 9 k d G 1 f c m Q x M i 5 w c m V z Z W 5 j Z W F z c 2 l z d G F u Y 2 U u e 0 t p d F N h b m l 0 Y W l y Z S w y N H 0 m c X V v d D s s J n F 1 b 3 Q 7 U 2 V y d m V y L k R h d G F i Y X N l X F w v M i 9 N e V N x b C 8 x M j c u M C 4 w L j E 6 M z M w N j t k d G 1 f c m Q x M i 9 k d G 1 f c m Q x M i 9 k d G 1 f c m Q x M i 5 w c m V z Z W 5 j Z W F z c 2 l z d G F u Y 2 U u e 1 N 0 c n V j d H V y Z X N T Y W 5 p d G F p c m U s M j V 9 J n F 1 b 3 Q 7 L C Z x d W 9 0 O 1 N l c n Z l c i 5 E Y X R h Y m F z Z V x c L z I v T X l T c W w v M T I 3 L j A u M C 4 x O j M z M D Y 7 Z H R t X 3 J k M T I v Z H R t X 3 J k M T I v Z H R t X 3 J k M T I u c H J l c 2 V u Y 2 V h c 3 N p c 3 R h b m N l L n t N Z W R p Y 2 F t Z W 5 0 c y w y N n 0 m c X V v d D s s J n F 1 b 3 Q 7 U 2 V y d m V y L k R h d G F i Y X N l X F w v M i 9 N e V N x b C 8 x M j c u M C 4 w L j E 6 M z M w N j t k d G 1 f c m Q x M i 9 k d G 1 f c m Q x M i 9 k d G 1 f c m Q x M i 5 w c m V z Z W 5 j Z W F z c 2 l z d G F u Y 2 U u e 0 5 G S S w y N 3 0 m c X V v d D s s J n F 1 b 3 Q 7 U 2 V y d m V y L k R h d G F i Y X N l X F w v M i 9 N e V N x b C 8 x M j c u M C 4 w L j E 6 M z M w N j t k d G 1 f c m Q x M i 9 k d G 1 f c m Q x M i 9 k d G 1 f c m Q x M i 5 w c m V z Z W 5 j Z W F z c 2 l z d G F u Y 2 U u e 1 N l b n N p Y m l s a X N h d G l v b i w y O H 0 m c X V v d D s s J n F 1 b 3 Q 7 U 2 V y d m V y L k R h d G F i Y X N l X F w v M i 9 N e V N x b C 8 x M j c u M C 4 w L j E 6 M z M w N j t k d G 1 f c m Q x M i 9 k d G 1 f c m Q x M i 9 k d G 1 f c m Q x M i 5 w c m V z Z W 5 j Z W F z c 2 l z d G F u Y 2 U u e 1 Z p d n J l c y w y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z c 2 l z d G F u Y 2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2 l z d G F u Y 2 V z L 1 B y Z X N l b m N l c 0 F z c 2 l z d G F u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w b G F j Z W 1 l b n R Q Z X J p b 2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G x h Y 2 V t Z W 5 0 U G V y a W 9 k L 2 R l d G F p b H N Q Z X J p b 2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G x h Y 2 V t Z W 5 0 U G V y a W 9 k L 1 Z h b G V 1 c i U y M H J l b X B s Y W M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B s Y W N l b W V u d F B l c m l v Z C 9 W Y W x l d X I l M j B y Z W 1 w b G F j J U M z J U E 5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w b G F j Z W 1 l b n R Q Z X J p b 2 Q v V m F s Z X V y J T I w c m V t c G x h Y y V D M y V B O W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G x h Y 2 V t Z W 5 0 U G V y a W 9 k L 1 Z h b G V 1 c i U y M H J l b X B s Y W M l Q z M l Q T l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B s Y W N l b W V u d F B l c m l v Z C 9 W Y W x l d X I l M j B y Z W 1 w b G F j J U M z J U E 5 Z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w b G F j Z W 1 l b n R Q Z X J p b 2 Q v V m F s Z X V y J T I w c m V t c G x h Y y V D M y V B O W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G x h Y 2 V t Z W 5 0 U G V y a W 9 k L 1 Z h b G V 1 c i U y M H J l b X B s Y W M l Q z M l Q T l l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R h a W x Q Z X J p b 2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R h a W x Q Z X J p b 2 R z L 2 R l d G F p b H N Q Z X J p b 2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d G F p b F B l c m l v Z H M v V m F s Z X V y J T I w c m V t c G x h Y y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d G F p b F B l c m l v Z H M v V m F s Z X V y J T I w c m V t c G x h Y y V D M y V B O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d G F p b F B l c m l v Z H M v V m F s Z X V y J T I w c m V t c G x h Y y V D M y V B O W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d G F p b F B l c m l v Z H M v V m F s Z X V y J T I w c m V t c G x h Y y V D M y V B O W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d G F p b F B l c m l v Z H M v V m F s Z X V y J T I w c m V t c G x h Y y V D M y V B O W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d G F p b F B l c m l v Z H M v V m F s Z X V y J T I w c m V t c G x h Y y V D M y V B O W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d G F p b F B l c m l v Z H M v V m F s Z X V y J T I w c m V t c G x h Y y V D M y V B O W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Z G V w Y X J 0 c 1 9 k Z X R h a W x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V m F s Z X V y J T I w c m V t c G x h Y y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V m F s Z X V y J T I w c m V t c G x h Y y V D M y V B O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V m F s Z X V y J T I w c m V t c G x h Y y V D M y V B O W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V m F s Z X V y J T I w c m V t c G x h Y y V D M y V B O W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V m F s Z X V y J T I w c m V t c G x h Y y V D M y V B O W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V m F s Z X V y J T I w c m V t c G x h Y y V D M y V B O W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V m F s Z X V y J T I w c m V t c G x h Y y V D M y V B O W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V y a W 9 k c z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R v d G F s X 2 R h d G E i I C 8 + P E V u d H J 5 I F R 5 c G U 9 I l J l Y 2 9 2 Z X J 5 V G F y Z 2 V 0 Q 2 9 s d W 1 u I i B W Y W x 1 Z T 0 i b D U w I i A v P j x F b n R y e S B U e X B l P S J S Z W N v d m V y e V R h c m d l d F J v d y I g V m F s d W U 9 I m w x I i A v P j x F b n R y e S B U e X B l P S J G a W x s Q 2 9 s d W 1 u V H l w Z X M i I F Z h b H V l P S J z Q m d Z R y I g L z 4 8 R W 5 0 c n k g V H l w Z T 0 i U X V l c n l J R C I g V m F s d W U 9 I n M 1 O W Q w N j E 2 N y 1 l Y j U 5 L T Q 2 M 2 Q t Y m U 1 O C 0 1 N D E w N j Y 5 O T g 0 O W I i I C 8 + P E V u d H J 5 I F R 5 c G U 9 I k Z p b G x M Y X N 0 V X B k Y X R l Z C I g V m F s d W U 9 I m Q y M D E 3 L T E y L T I y V D E 3 O j U 4 O j M y L j Q w M D A 4 N z V a I i A v P j x F b n R y e S B U e X B l P S J G a W x s U 3 R h d H V z I i B W Y W x 1 Z T 0 i c 0 N v b X B s Z X R l I i A v P j x F b n R y e S B U e X B l P S J G a W x s V G F y Z 2 V 0 I i B W Y W x 1 Z T 0 i c 3 B l c m l v Z H M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M T I 3 L j A u M C 4 x O j M z M D Y 7 Z H R t X 3 J k M T I v Z H R t X 3 J k M T I v Z H R t X 3 J k M T I u c G V y a W 9 k c y 5 7 U G V y a W 9 k Z X M s M X 0 m c X V v d D s s J n F 1 b 3 Q 7 U 2 V y d m V y L k R h d G F i Y X N l X F w v M i 9 N e V N x b C 8 x M j c u M C 4 w L j E 6 M z M w N j t k d G 1 f c m Q x M i 9 k d G 1 f c m Q x M i 9 k d G 1 f c m Q x M i 5 w Z X J p b 2 R z L n t W Y W x l d X J z L D J 9 J n F 1 b 3 Q 7 L C Z x d W 9 0 O 1 N l c n Z l c i 5 E Y X R h Y m F z Z V x c L z I v T X l T c W w v M T I 3 L j A u M C 4 x O j M z M D Y 7 Z H R t X 3 J k M T I v Z H R t X 3 J k M T I v Z H R t X 3 J k M T I u c G V y a W 9 k c y 5 7 V m F s d W V z L D N 9 J n F 1 b 3 Q 7 X S w m c X V v d D t D b 2 x 1 b W 5 D b 3 V u d C Z x d W 9 0 O z o z L C Z x d W 9 0 O 0 t l e U N v b H V t b k 5 h b W V z J n F 1 b 3 Q 7 O l t d L C Z x d W 9 0 O 0 N v b H V t b k l k Z W 5 0 a X R p Z X M m c X V v d D s 6 W y Z x d W 9 0 O 1 N l c n Z l c i 5 E Y X R h Y m F z Z V x c L z I v T X l T c W w v M T I 3 L j A u M C 4 x O j M z M D Y 7 Z H R t X 3 J k M T I v Z H R t X 3 J k M T I v Z H R t X 3 J k M T I u c G V y a W 9 k c y 5 7 U G V y a W 9 k Z X M s M X 0 m c X V v d D s s J n F 1 b 3 Q 7 U 2 V y d m V y L k R h d G F i Y X N l X F w v M i 9 N e V N x b C 8 x M j c u M C 4 w L j E 6 M z M w N j t k d G 1 f c m Q x M i 9 k d G 1 f c m Q x M i 9 k d G 1 f c m Q x M i 5 w Z X J p b 2 R z L n t W Y W x l d X J z L D J 9 J n F 1 b 3 Q 7 L C Z x d W 9 0 O 1 N l c n Z l c i 5 E Y X R h Y m F z Z V x c L z I v T X l T c W w v M T I 3 L j A u M C 4 x O j M z M D Y 7 Z H R t X 3 J k M T I v Z H R t X 3 J k M T I v Z H R t X 3 J k M T I u c G V y a W 9 k c y 5 7 V m F s d W V z L D N 9 J n F 1 b 3 Q 7 X S w m c X V v d D t S Z W x h d G l v b n N o a X B J b m Z v J n F 1 b 3 Q 7 O l t d f S I g L z 4 8 R W 5 0 c n k g V H l w Z T 0 i R m l s b E N v b H V t b k 5 h b W V z I i B W Y W x 1 Z T 0 i c 1 s m c X V v d D t Q Z X J p b 2 R l c y Z x d W 9 0 O y w m c X V v d D t W Y W x l d X J z J n F 1 b 3 Q 7 L C Z x d W 9 0 O 1 Z h b H V l c y Z x d W 9 0 O 1 0 i I C 8 + P E V u d H J 5 I F R 5 c G U 9 I k Z p b G x F c n J v c k N v d W 5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c G V y a W 9 k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X J p b 2 R z L 3 B l c m l v Z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X J p b 2 R z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V 0 c m V z X 2 R l d G F p b H M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Q 2 9 s d W 1 u T m F t Z X M i I F Z h b H V l P S J z W y Z x d W 9 0 O 2 R l c G F y d G V t Z W 5 0 J n F 1 b 3 Q 7 L C Z x d W 9 0 O 2 F y c m 9 u Z G l z c 2 V t Z W 5 0 J n F 1 b 3 Q 7 L C Z x d W 9 0 O 0 F f b G 9 j Y X R p b 2 5 f d G V h b V 9 h X 3 Z p b G x h Z 2 U m c X V v d D s s J n F 1 b 3 Q 7 V m l s b G F n Z S Z x d W 9 0 O y w m c X V v d D t B Y 2 N l c 3 N p Y m l s a X R l J n F 1 b 3 Q 7 L C Z x d W 9 0 O 2 l k c H M m c X V v d D s s J n F 1 b 3 Q 7 c m V m d W d l Z X M m c X V v d D s s J n F 1 b 3 Q 7 c m V 0 d X J u Z W V z J n F 1 b 3 Q 7 L C Z x d W 9 0 O 2 1 v d G l m X 3 J l d G 9 1 c i Z x d W 9 0 O y w m c X V v d D t h d X R y Z V 9 t b 3 R p Z i Z x d W 9 0 O y w m c X V v d D t W a W x s Y W d l X 1 B k a S Z x d W 9 0 O y w m c X V v d D t t b 2 l z J n F 1 b 3 Q 7 L C Z x d W 9 0 O 2 F u b m V l J n F 1 b 3 Q 7 X S I g L z 4 8 R W 5 0 c n k g V H l w Z T 0 i R m l s b E N v b H V t b l R 5 c G V z I i B W Y W x 1 Z T 0 i c 0 J n W U d C Z 1 l H Q m d Z R 0 J n W U N B Z z 0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U b 3 R h b F 9 k Y X R h I i A v P j x F b n R y e S B U e X B l P S J S Z W N v d m V y e V R h c m d l d E N v b H V t b i I g V m F s d W U 9 I m w 1 N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M T I 3 L j A u M C 4 x O j M z M D Y 7 Z H R t X 3 J k M T I v Z H R t X 3 J k M T I v Z H R t X 3 J k M T I u Y X V 0 c m V z X 2 R l d G F p b H M u e 2 R l c G F y d G V t Z W 5 0 L D B 9 J n F 1 b 3 Q 7 L C Z x d W 9 0 O 1 N l c n Z l c i 5 E Y X R h Y m F z Z V x c L z I v T X l T c W w v M T I 3 L j A u M C 4 x O j M z M D Y 7 Z H R t X 3 J k M T I v Z H R t X 3 J k M T I v Z H R t X 3 J k M T I u Y X V 0 c m V z X 2 R l d G F p b H M u e 2 F y c m 9 u Z G l z c 2 V t Z W 5 0 L D F 9 J n F 1 b 3 Q 7 L C Z x d W 9 0 O 1 N l c n Z l c i 5 E Y X R h Y m F z Z V x c L z I v T X l T c W w v M T I 3 L j A u M C 4 x O j M z M D Y 7 Z H R t X 3 J k M T I v Z H R t X 3 J k M T I v Z H R t X 3 J k M T I u Y X V 0 c m V z X 2 R l d G F p b H M u e 0 F f b G 9 j Y X R p b 2 5 f d G V h b V 9 h X 3 Z p b G x h Z 2 U s M n 0 m c X V v d D s s J n F 1 b 3 Q 7 U 2 V y d m V y L k R h d G F i Y X N l X F w v M i 9 N e V N x b C 8 x M j c u M C 4 w L j E 6 M z M w N j t k d G 1 f c m Q x M i 9 k d G 1 f c m Q x M i 9 k d G 1 f c m Q x M i 5 h d X R y Z X N f Z G V 0 Y W l s c y 5 7 V m l s b G F n Z S w z f S Z x d W 9 0 O y w m c X V v d D t T Z X J 2 Z X I u R G F 0 Y W J h c 2 V c X C 8 y L 0 1 5 U 3 F s L z E y N y 4 w L j A u M T o z M z A 2 O 2 R 0 b V 9 y Z D E y L 2 R 0 b V 9 y Z D E y L 2 R 0 b V 9 y Z D E y L m F 1 d H J l c 1 9 k Z X R h a W x z L n t B Y 2 N l c 3 N p Y m l s a X R l L D R 9 J n F 1 b 3 Q 7 L C Z x d W 9 0 O 1 N l c n Z l c i 5 E Y X R h Y m F z Z V x c L z I v T X l T c W w v M T I 3 L j A u M C 4 x O j M z M D Y 7 Z H R t X 3 J k M T I v Z H R t X 3 J k M T I v Z H R t X 3 J k M T I u Y X V 0 c m V z X 2 R l d G F p b H M u e 2 l k c H M s N X 0 m c X V v d D s s J n F 1 b 3 Q 7 U 2 V y d m V y L k R h d G F i Y X N l X F w v M i 9 N e V N x b C 8 x M j c u M C 4 w L j E 6 M z M w N j t k d G 1 f c m Q x M i 9 k d G 1 f c m Q x M i 9 k d G 1 f c m Q x M i 5 h d X R y Z X N f Z G V 0 Y W l s c y 5 7 c m V m d W d l Z X M s N n 0 m c X V v d D s s J n F 1 b 3 Q 7 U 2 V y d m V y L k R h d G F i Y X N l X F w v M i 9 N e V N x b C 8 x M j c u M C 4 w L j E 6 M z M w N j t k d G 1 f c m Q x M i 9 k d G 1 f c m Q x M i 9 k d G 1 f c m Q x M i 5 h d X R y Z X N f Z G V 0 Y W l s c y 5 7 c m V 0 d X J u Z W V z L D d 9 J n F 1 b 3 Q 7 L C Z x d W 9 0 O 1 N l c n Z l c i 5 E Y X R h Y m F z Z V x c L z I v T X l T c W w v M T I 3 L j A u M C 4 x O j M z M D Y 7 Z H R t X 3 J k M T I v Z H R t X 3 J k M T I v Z H R t X 3 J k M T I u Y X V 0 c m V z X 2 R l d G F p b H M u e 2 1 v d G l m X 3 J l d G 9 1 c i w 4 f S Z x d W 9 0 O y w m c X V v d D t T Z X J 2 Z X I u R G F 0 Y W J h c 2 V c X C 8 y L 0 1 5 U 3 F s L z E y N y 4 w L j A u M T o z M z A 2 O 2 R 0 b V 9 y Z D E y L 2 R 0 b V 9 y Z D E y L 2 R 0 b V 9 y Z D E y L m F 1 d H J l c 1 9 k Z X R h a W x z L n t h d X R y Z V 9 t b 3 R p Z i w 5 f S Z x d W 9 0 O y w m c X V v d D t T Z X J 2 Z X I u R G F 0 Y W J h c 2 V c X C 8 y L 0 1 5 U 3 F s L z E y N y 4 w L j A u M T o z M z A 2 O 2 R 0 b V 9 y Z D E y L 2 R 0 b V 9 y Z D E y L 2 R 0 b V 9 y Z D E y L m F 1 d H J l c 1 9 k Z X R h a W x z L n t W a W x s Y W d l X 1 B k a S w x M H 0 m c X V v d D s s J n F 1 b 3 Q 7 U 2 V y d m V y L k R h d G F i Y X N l X F w v M i 9 N e V N x b C 8 x M j c u M C 4 w L j E 6 M z M w N j t k d G 1 f c m Q x M i 9 k d G 1 f c m Q x M i 9 k d G 1 f c m Q x M i 5 h d X R y Z X N f Z G V 0 Y W l s c y 5 7 b W 9 p c y w x M X 0 m c X V v d D s s J n F 1 b 3 Q 7 U 2 V y d m V y L k R h d G F i Y X N l X F w v M i 9 N e V N x b C 8 x M j c u M C 4 w L j E 6 M z M w N j t k d G 1 f c m Q x M i 9 k d G 1 f c m Q x M i 9 k d G 1 f c m Q x M i 5 h d X R y Z X N f Z G V 0 Y W l s c y 5 7 Y W 5 u Z W U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X J 2 Z X I u R G F 0 Y W J h c 2 V c X C 8 y L 0 1 5 U 3 F s L z E y N y 4 w L j A u M T o z M z A 2 O 2 R 0 b V 9 y Z D E y L 2 R 0 b V 9 y Z D E y L 2 R 0 b V 9 y Z D E y L m F 1 d H J l c 1 9 k Z X R h a W x z L n t k Z X B h c n R l b W V u d C w w f S Z x d W 9 0 O y w m c X V v d D t T Z X J 2 Z X I u R G F 0 Y W J h c 2 V c X C 8 y L 0 1 5 U 3 F s L z E y N y 4 w L j A u M T o z M z A 2 O 2 R 0 b V 9 y Z D E y L 2 R 0 b V 9 y Z D E y L 2 R 0 b V 9 y Z D E y L m F 1 d H J l c 1 9 k Z X R h a W x z L n t h c n J v b m R p c 3 N l b W V u d C w x f S Z x d W 9 0 O y w m c X V v d D t T Z X J 2 Z X I u R G F 0 Y W J h c 2 V c X C 8 y L 0 1 5 U 3 F s L z E y N y 4 w L j A u M T o z M z A 2 O 2 R 0 b V 9 y Z D E y L 2 R 0 b V 9 y Z D E y L 2 R 0 b V 9 y Z D E y L m F 1 d H J l c 1 9 k Z X R h a W x z L n t B X 2 x v Y 2 F 0 a W 9 u X 3 R l Y W 1 f Y V 9 2 a W x s Y W d l L D J 9 J n F 1 b 3 Q 7 L C Z x d W 9 0 O 1 N l c n Z l c i 5 E Y X R h Y m F z Z V x c L z I v T X l T c W w v M T I 3 L j A u M C 4 x O j M z M D Y 7 Z H R t X 3 J k M T I v Z H R t X 3 J k M T I v Z H R t X 3 J k M T I u Y X V 0 c m V z X 2 R l d G F p b H M u e 1 Z p b G x h Z 2 U s M 3 0 m c X V v d D s s J n F 1 b 3 Q 7 U 2 V y d m V y L k R h d G F i Y X N l X F w v M i 9 N e V N x b C 8 x M j c u M C 4 w L j E 6 M z M w N j t k d G 1 f c m Q x M i 9 k d G 1 f c m Q x M i 9 k d G 1 f c m Q x M i 5 h d X R y Z X N f Z G V 0 Y W l s c y 5 7 Q W N j Z X N z a W J p b G l 0 Z S w 0 f S Z x d W 9 0 O y w m c X V v d D t T Z X J 2 Z X I u R G F 0 Y W J h c 2 V c X C 8 y L 0 1 5 U 3 F s L z E y N y 4 w L j A u M T o z M z A 2 O 2 R 0 b V 9 y Z D E y L 2 R 0 b V 9 y Z D E y L 2 R 0 b V 9 y Z D E y L m F 1 d H J l c 1 9 k Z X R h a W x z L n t p Z H B z L D V 9 J n F 1 b 3 Q 7 L C Z x d W 9 0 O 1 N l c n Z l c i 5 E Y X R h Y m F z Z V x c L z I v T X l T c W w v M T I 3 L j A u M C 4 x O j M z M D Y 7 Z H R t X 3 J k M T I v Z H R t X 3 J k M T I v Z H R t X 3 J k M T I u Y X V 0 c m V z X 2 R l d G F p b H M u e 3 J l Z n V n Z W V z L D Z 9 J n F 1 b 3 Q 7 L C Z x d W 9 0 O 1 N l c n Z l c i 5 E Y X R h Y m F z Z V x c L z I v T X l T c W w v M T I 3 L j A u M C 4 x O j M z M D Y 7 Z H R t X 3 J k M T I v Z H R t X 3 J k M T I v Z H R t X 3 J k M T I u Y X V 0 c m V z X 2 R l d G F p b H M u e 3 J l d H V y b m V l c y w 3 f S Z x d W 9 0 O y w m c X V v d D t T Z X J 2 Z X I u R G F 0 Y W J h c 2 V c X C 8 y L 0 1 5 U 3 F s L z E y N y 4 w L j A u M T o z M z A 2 O 2 R 0 b V 9 y Z D E y L 2 R 0 b V 9 y Z D E y L 2 R 0 b V 9 y Z D E y L m F 1 d H J l c 1 9 k Z X R h a W x z L n t t b 3 R p Z l 9 y Z X R v d X I s O H 0 m c X V v d D s s J n F 1 b 3 Q 7 U 2 V y d m V y L k R h d G F i Y X N l X F w v M i 9 N e V N x b C 8 x M j c u M C 4 w L j E 6 M z M w N j t k d G 1 f c m Q x M i 9 k d G 1 f c m Q x M i 9 k d G 1 f c m Q x M i 5 h d X R y Z X N f Z G V 0 Y W l s c y 5 7 Y X V 0 c m V f b W 9 0 a W Y s O X 0 m c X V v d D s s J n F 1 b 3 Q 7 U 2 V y d m V y L k R h d G F i Y X N l X F w v M i 9 N e V N x b C 8 x M j c u M C 4 w L j E 6 M z M w N j t k d G 1 f c m Q x M i 9 k d G 1 f c m Q x M i 9 k d G 1 f c m Q x M i 5 h d X R y Z X N f Z G V 0 Y W l s c y 5 7 V m l s b G F n Z V 9 Q Z G k s M T B 9 J n F 1 b 3 Q 7 L C Z x d W 9 0 O 1 N l c n Z l c i 5 E Y X R h Y m F z Z V x c L z I v T X l T c W w v M T I 3 L j A u M C 4 x O j M z M D Y 7 Z H R t X 3 J k M T I v Z H R t X 3 J k M T I v Z H R t X 3 J k M T I u Y X V 0 c m V z X 2 R l d G F p b H M u e 2 1 v a X M s M T F 9 J n F 1 b 3 Q 7 L C Z x d W 9 0 O 1 N l c n Z l c i 5 E Y X R h Y m F z Z V x c L z I v T X l T c W w v M T I 3 L j A u M C 4 x O j M z M D Y 7 Z H R t X 3 J k M T I v Z H R t X 3 J k M T I v Z H R t X 3 J k M T I u Y X V 0 c m V z X 2 R l d G F p b H M u e 2 F u b m V l L D E y f S Z x d W 9 0 O 1 0 s J n F 1 b 3 Q 7 U m V s Y X R p b 2 5 z a G l w S W 5 m b y Z x d W 9 0 O z p b X X 0 i I C 8 + P E V u d H J 5 I F R 5 c G U 9 I l F 1 Z X J 5 S U Q i I F Z h b H V l P S J z Z m J j Y j B i N j Q t N D J k Y S 0 0 Y j M w L T k z M D U t M T c 2 Z T F l Z D N h M T R k I i A v P j x F b n R y e S B U e X B l P S J G a W x s Q 2 9 1 b n Q i I F Z h b H V l P S J s N z Q 3 I i A v P j x F b n R y e S B U e X B l P S J G a W x s U 3 R h d H V z I i B W Y W x 1 Z T 0 i c 0 N v b X B s Z X R l I i A v P j x F b n R y e S B U e X B l P S J G a W x s V G F y Z 2 V 0 I i B W Y W x 1 Z T 0 i c 2 F 1 d H J l c 1 9 k Z X R h a W x z I i A v P j x F b n R y e S B U e X B l P S J G a W x s T G F z d F V w Z G F 0 Z W Q i I F Z h b H V l P S J k M j A x N y 0 x M i 0 y M l Q x N z o 1 O D o z N i 4 y N z c 3 N j I y W i I g L z 4 8 R W 5 0 c n k g V H l w Z T 0 i R m l s b E V y c m 9 y Q 2 9 k Z S I g V m F s d W U 9 I n N V b m t u b 3 d u I i A v P j x F b n R y e S B U e X B l P S J G a W x s R X J y b 3 J D b 3 V u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F 1 d H J l c 1 9 k Z X R h a W x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1 d H J l c 1 9 k Z X R h a W x z L 2 F 1 d H J l c 1 9 k Z X R h a W x z X 2 F j Y 2 V z c 2 l i a W x p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w Y X J h a X N v b l 9 z Y W 1 l Y m F z a X N f d m l s b G F n Z X M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Q 2 9 1 b n Q i I F Z h b H V l P S J s N z Q z I i A v P j x F b n R y e S B U e X B l P S J G a W x s R X J y b 3 J D b 3 V u d C I g V m F s d W U 9 I m w w I i A v P j x F b n R y e S B U e X B l P S J G a W x s Q 2 9 s d W 1 u T m F t Z X M i I F Z h b H V l P S J z W y Z x d W 9 0 O 2 V 2 Y W x 1 Y X R p b 2 5 f Y W R t M l 9 u Y W 1 l J n F 1 b 3 Q 7 L C Z x d W 9 0 O 2 V 2 Y W x 1 Y X R p b 2 5 f Y W R t M 1 9 u Y W 1 l J n F 1 b 3 Q 7 L C Z x d W 9 0 O 2 V 2 Y W x 1 Y X R p b 2 5 f d m l s b G F n Z V 9 u Y W 1 l J n F 1 b 3 Q 7 L C Z x d W 9 0 O 3 Z p b G x h Z 2 V f U 1 N J R C Z x d W 9 0 O y w m c X V v d D t h Y 3 R f a W R w X 2 h o J n F 1 b 3 Q 7 L C Z x d W 9 0 O 2 F j d F 9 p Z H B f a W 5 k J n F 1 b 3 Q 7 L C Z x d W 9 0 O 2 F j d F 9 y Z W Z f a G g m c X V v d D s s J n F 1 b 3 Q 7 Y W N 0 X 3 J l Z l 9 p b m Q m c X V v d D s s J n F 1 b 3 Q 7 Y W N 0 X 3 J l d F 9 o a C Z x d W 9 0 O y w m c X V v d D t h Y 3 R f c m V 0 X 2 l u Z C Z x d W 9 0 O y w m c X V v d D t w c m V 2 X 2 l k c F 9 o a C Z x d W 9 0 O y w m c X V v d D t w c m V 2 X 2 l k c F 9 p b m Q m c X V v d D s s J n F 1 b 3 Q 7 c H J l d l 9 y Z W Z f a G g m c X V v d D s s J n F 1 b 3 Q 7 c H J l d l 9 y Z W Z f a W 5 k J n F 1 b 3 Q 7 L C Z x d W 9 0 O 3 B y Z X Z f c m V 0 X 2 h o J n F 1 b 3 Q 7 L C Z x d W 9 0 O 3 B y Z X Z f c m V 0 X 2 l u Z C Z x d W 9 0 O y w m c X V v d D t 2 Y X J f a W R w J n F 1 b 3 Q 7 L C Z x d W 9 0 O 3 Z h c l 9 y Z W Y m c X V v d D s s J n F 1 b 3 Q 7 d m F y X 3 J l d C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R v d G F s X 2 R h d G E i I C 8 + P E V u d H J 5 I F R 5 c G U 9 I l J l Y 2 9 2 Z X J 5 V G F y Z 2 V 0 Q 2 9 s d W 1 u I i B W Y W x 1 Z T 0 i b D c w I i A v P j x F b n R y e S B U e X B l P S J S Z W N v d m V y e V R h c m d l d F J v d y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V G F y Z 2 V 0 I i B W Y W x 1 Z T 0 i c 2 N v b X B h c m F p c 2 9 u X 3 N h b W V i Y X N p c 1 9 2 a W x s Y W d l c y I g L z 4 8 R W 5 0 c n k g V H l w Z T 0 i R m l s b E x h c 3 R V c G R h d G V k I i B W Y W x 1 Z T 0 i Z D I w M T c t M T I t M j J U M T c 6 N T g 6 N D I u N z g x O T E 1 M 1 o i I C 8 + P E V u d H J 5 I F R 5 c G U 9 I l F 1 Z X J 5 S U Q i I F Z h b H V l P S J z M j R i Y T M 0 Y j U t N G I 2 N i 0 0 M 2 I 2 L T l j M D Q t Y 2 M z Z j g x Y z Q z O D B l I i A v P j x F b n R y e S B U e X B l P S J G a W x s Q 2 9 s d W 1 u V H l w Z X M i I F Z h b H V l P S J z Q m d Z R 0 J n T U R B d 0 1 E Q X d N R E F 3 T U R B d 0 1 E Q X c 9 P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O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2 V 2 Y W x 1 Y X R p b 2 5 f Y W R t M l 9 u Y W 1 l L D B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l d m F s d W F 0 a W 9 u X 2 F k b T N f b m F t Z S w x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Z X Z h b H V h d G l v b l 9 2 a W x s Y W d l X 2 5 h b W U s M n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3 Z p b G x h Z 2 V f U 1 N J R C w z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Y W N 0 X 2 l k c F 9 o a C w 0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Y W N 0 X 2 l k c F 9 p b m Q s N X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2 F j d F 9 y Z W Z f a G g s N n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2 F j d F 9 y Z W Z f a W 5 k L D d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h Y 3 R f c m V 0 X 2 h o L D h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h Y 3 R f c m V 0 X 2 l u Z C w 5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c H J l d l 9 p Z H B f a G g s M T B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w c m V 2 X 2 l k c F 9 p b m Q s M T F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w c m V 2 X 3 J l Z l 9 o a C w x M n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3 B y Z X Z f c m V m X 2 l u Z C w x M 3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3 B y Z X Z f c m V 0 X 2 h o L D E 0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c H J l d l 9 y Z X R f a W 5 k L D E 1 f S Z x d W 9 0 O y w m c X V v d D t T Z W N 0 a W 9 u M S 9 j b 2 1 w Y X J h a X N v b l 9 z Y W 1 l Y m F z a X N f d m l s b G F n Z X M v U G V y c 2 9 u b m F s a X P D q W U g Y W p v d X T D q W U u e 3 Z h c l 9 p Z H A s M T Z 9 J n F 1 b 3 Q 7 L C Z x d W 9 0 O 1 N l Y 3 R p b 2 4 x L 2 N v b X B h c m F p c 2 9 u X 3 N h b W V i Y X N p c 1 9 2 a W x s Y W d l c y 9 Q Z X J z b 2 5 u Y W x p c 8 O p Z S B h a m 9 1 d M O p Z T E u e 3 Z h c l 9 y Z W Y s M T d 9 J n F 1 b 3 Q 7 L C Z x d W 9 0 O 1 N l Y 3 R p b 2 4 x L 2 N v b X B h c m F p c 2 9 u X 3 N h b W V i Y X N p c 1 9 2 a W x s Y W d l c y 9 Q Z X J z b 2 5 u Y W x p c 8 O p Z S B h a m 9 1 d M O p Z T I u e 3 Z h c l 9 y Z X Q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Z X Z h b H V h d G l v b l 9 h Z G 0 y X 2 5 h b W U s M H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2 V 2 Y W x 1 Y X R p b 2 5 f Y W R t M 1 9 u Y W 1 l L D F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l d m F s d W F 0 a W 9 u X 3 Z p b G x h Z 2 V f b m F t Z S w y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d m l s b G F n Z V 9 T U 0 l E L D N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h Y 3 R f a W R w X 2 h o L D R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h Y 3 R f a W R w X 2 l u Z C w 1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Y W N 0 X 3 J l Z l 9 o a C w 2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Y W N 0 X 3 J l Z l 9 p b m Q s N 3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2 F j d F 9 y Z X R f a G g s O H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2 F j d F 9 y Z X R f a W 5 k L D l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w c m V 2 X 2 l k c F 9 o a C w x M H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3 B y Z X Z f a W R w X 2 l u Z C w x M X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3 B y Z X Z f c m V m X 2 h o L D E y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c H J l d l 9 y Z W Z f a W 5 k L D E z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c H J l d l 9 y Z X R f a G g s M T R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w c m V 2 X 3 J l d F 9 p b m Q s M T V 9 J n F 1 b 3 Q 7 L C Z x d W 9 0 O 1 N l Y 3 R p b 2 4 x L 2 N v b X B h c m F p c 2 9 u X 3 N h b W V i Y X N p c 1 9 2 a W x s Y W d l c y 9 Q Z X J z b 2 5 u Y W x p c 8 O p Z S B h a m 9 1 d M O p Z S 5 7 d m F y X 2 l k c C w x N n 0 m c X V v d D s s J n F 1 b 3 Q 7 U 2 V j d G l v b j E v Y 2 9 t c G F y Y W l z b 2 5 f c 2 F t Z W J h c 2 l z X 3 Z p b G x h Z 2 V z L 1 B l c n N v b m 5 h b G l z w 6 l l I G F q b 3 V 0 w 6 l l M S 5 7 d m F y X 3 J l Z i w x N 3 0 m c X V v d D s s J n F 1 b 3 Q 7 U 2 V j d G l v b j E v Y 2 9 t c G F y Y W l z b 2 5 f c 2 F t Z W J h c 2 l z X 3 Z p b G x h Z 2 V z L 1 B l c n N v b m 5 h b G l z w 6 l l I G F q b 3 V 0 w 6 l l M i 5 7 d m F y X 3 J l d C w x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X B h c m F p c 2 9 u X 3 N h b W V i Y X N p c 1 9 2 a W x s Y W d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w Y X J h a X N v b l 9 z Y W 1 l Y m F z a X N f d m l s b G F n Z X M v Y 2 9 t c G F y Y W l z b 2 5 f c 2 F t Z W J h c 2 l z X 3 Z p b G x h Z 2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c G F y Y W l z b 2 5 f c 2 F t Z W J h c 2 l z X 3 Z p b G x h Z 2 V z L 1 B l c n N v b m 5 h b G l z J U M z J U E 5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X B h c m F p c 2 9 u X 3 N h b W V i Y X N p c 1 9 2 a W x s Y W d l c y 9 Q Z X J z b 2 5 u Y W x p c y V D M y V B O W U l M j B h a m 9 1 d C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c G F y Y W l z b 2 5 f c 2 F t Z W J h c 2 l z X 3 Z p b G x h Z 2 V z L 1 B l c n N v b m 5 h b G l z J U M z J U E 5 Z S U y M G F q b 3 V 0 J U M z J U E 5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N h d G l v b n M v Z H R t X 2 x v Y 2 F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0 b V 9 u Z X d f d m l s b G F n Z X M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N v b H V t b l R 5 c G V z I i B W Y W x 1 Z T 0 i c 0 J n W U d C Z 1 l E Q X d N R E F 3 T T 0 i I C 8 + P E V u d H J 5 I F R 5 c G U 9 I k Z p b G x F c n J v c k N v d W 5 0 I i B W Y W x 1 Z T 0 i b D A i I C 8 + P E V u d H J 5 I F R 5 c G U 9 I k Z p b G x D b 3 V u d C I g V m F s d W U 9 I m w 0 I i A v P j x F b n R y e S B U e X B l P S J G a W x s U 3 R h d H V z I i B W Y W x 1 Z T 0 i c 0 N v b X B s Z X R l I i A v P j x F b n R y e S B U e X B l P S J G a W x s V G F y Z 2 V 0 I i B W Y W x 1 Z T 0 i c 2 R 0 b V 9 u Z X d f d m l s b G F n Z X M i I C 8 + P E V u d H J 5 I F R 5 c G U 9 I k Z p b G x M Y X N 0 V X B k Y X R l Z C I g V m F s d W U 9 I m Q y M D E 3 L T E y L T I y V D E 3 O j U 4 O j U y L j I w O D Q 2 N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O Z X d W a W x s Y W d l c y I g L z 4 8 R W 5 0 c n k g V H l w Z T 0 i U m V j b 3 Z l c n l U Y X J n Z X R D b 2 x 1 b W 4 i I F Z h b H V l P S J s M S I g L z 4 8 R W 5 0 c n k g V H l w Z T 0 i U m V j b 3 Z l c n l U Y X J n Z X R S b 3 c i I F Z h b H V l P S J s M i I g L z 4 8 R W 5 0 c n k g V H l w Z T 0 i R m l s b E V y c m 9 y Q 2 9 k Z S I g V m F s d W U 9 I n N V b m t u b 3 d u I i A v P j x F b n R y e S B U e X B l P S J G a W x s Q 2 9 s d W 1 u T m F t Z X M i I F Z h b H V l P S J z W y Z x d W 9 0 O 0 F k b T J f T m F t Z S Z x d W 9 0 O y w m c X V v d D t B Z G 0 z X 0 5 h b W U m c X V v d D s s J n F 1 b 3 Q 7 V m l s b G F n Z V 9 u Y W 1 l J n F 1 b 3 Q 7 L C Z x d W 9 0 O 0 d w c 1 9 s b 2 5 n J n F 1 b 3 Q 7 L C Z x d W 9 0 O 0 d w c 1 9 s Y X Q m c X V v d D s s J n F 1 b 3 Q 7 S W 5 k X 0 l E U H M m c X V v d D s s J n F 1 b 3 Q 7 S E h f S U R Q c y Z x d W 9 0 O y w m c X V v d D t J b m R f V W 5 y Z W d p c 3 R l c m V k X 1 J l Z n V n Z W V z J n F 1 b 3 Q 7 L C Z x d W 9 0 O 0 h I X 1 V u c m V n a X N 0 Z X J l Z F 9 S Z W Z 1 Z 2 V l c y Z x d W 9 0 O y w m c X V v d D t J b m R f U m V 0 d X J u Z W V z J n F 1 b 3 Q 7 L C Z x d W 9 0 O 0 h I X 1 J l d H V y b m V l c y Z x d W 9 0 O 1 0 i I C 8 + P E V u d H J 5 I F R 5 c G U 9 I l F 1 Z X J 5 S U Q i I F Z h b H V l P S J z Y m V k Y 2 M 4 O T Y t N j M z Y y 0 0 Z T B l L W F m M T k t N m Q 2 O D F j M T Y 4 N j Q y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c m Q x M i 9 k d G 1 f c m Q x M i 9 k d G 1 f c m Q x M i 5 u Z X d f d m l s b G F n Z X M u e 0 F k b T J f T m F t Z S w w f S Z x d W 9 0 O y w m c X V v d D t T Z X J 2 Z X I u R G F 0 Y W J h c 2 V c X C 8 y L 0 1 5 U 3 F s L z E y N y 4 w L j A u M T o z M z A 2 O 2 R 0 b V 9 y Z D E y L 2 R 0 b V 9 y Z D E y L 2 R 0 b V 9 y Z D E y L m 5 l d 1 9 2 a W x s Y W d l c y 5 7 Q W R t M 1 9 O Y W 1 l L D F 9 J n F 1 b 3 Q 7 L C Z x d W 9 0 O 1 N l c n Z l c i 5 E Y X R h Y m F z Z V x c L z I v T X l T c W w v M T I 3 L j A u M C 4 x O j M z M D Y 7 Z H R t X 3 J k M T I v Z H R t X 3 J k M T I v Z H R t X 3 J k M T I u b m V 3 X 3 Z p b G x h Z 2 V z L n t W a W x s Y W d l X 2 5 h b W U s M n 0 m c X V v d D s s J n F 1 b 3 Q 7 U 2 V y d m V y L k R h d G F i Y X N l X F w v M i 9 N e V N x b C 8 x M j c u M C 4 w L j E 6 M z M w N j t k d G 1 f c m Q x M i 9 k d G 1 f c m Q x M i 9 k d G 1 f c m Q x M i 5 u Z X d f d m l s b G F n Z X M u e 0 d w c 1 9 s b 2 5 n L D N 9 J n F 1 b 3 Q 7 L C Z x d W 9 0 O 1 N l c n Z l c i 5 E Y X R h Y m F z Z V x c L z I v T X l T c W w v M T I 3 L j A u M C 4 x O j M z M D Y 7 Z H R t X 3 J k M T I v Z H R t X 3 J k M T I v Z H R t X 3 J k M T I u b m V 3 X 3 Z p b G x h Z 2 V z L n t H c H N f b G F 0 L D R 9 J n F 1 b 3 Q 7 L C Z x d W 9 0 O 1 N l c n Z l c i 5 E Y X R h Y m F z Z V x c L z I v T X l T c W w v M T I 3 L j A u M C 4 x O j M z M D Y 7 Z H R t X 3 J k M T I v Z H R t X 3 J k M T I v Z H R t X 3 J k M T I u b m V 3 X 3 Z p b G x h Z 2 V z L n t J b m R f S U R Q c y w 1 f S Z x d W 9 0 O y w m c X V v d D t T Z X J 2 Z X I u R G F 0 Y W J h c 2 V c X C 8 y L 0 1 5 U 3 F s L z E y N y 4 w L j A u M T o z M z A 2 O 2 R 0 b V 9 y Z D E y L 2 R 0 b V 9 y Z D E y L 2 R 0 b V 9 y Z D E y L m 5 l d 1 9 2 a W x s Y W d l c y 5 7 S E h f S U R Q c y w 2 f S Z x d W 9 0 O y w m c X V v d D t T Z X J 2 Z X I u R G F 0 Y W J h c 2 V c X C 8 y L 0 1 5 U 3 F s L z E y N y 4 w L j A u M T o z M z A 2 O 2 R 0 b V 9 y Z D E y L 2 R 0 b V 9 y Z D E y L 2 R 0 b V 9 y Z D E y L m 5 l d 1 9 2 a W x s Y W d l c y 5 7 S W 5 k X 1 V u c m V n a X N 0 Z X J l Z F 9 S Z W Z 1 Z 2 V l c y w 3 f S Z x d W 9 0 O y w m c X V v d D t T Z X J 2 Z X I u R G F 0 Y W J h c 2 V c X C 8 y L 0 1 5 U 3 F s L z E y N y 4 w L j A u M T o z M z A 2 O 2 R 0 b V 9 y Z D E y L 2 R 0 b V 9 y Z D E y L 2 R 0 b V 9 y Z D E y L m 5 l d 1 9 2 a W x s Y W d l c y 5 7 S E h f V W 5 y Z W d p c 3 R l c m V k X 1 J l Z n V n Z W V z L D h 9 J n F 1 b 3 Q 7 L C Z x d W 9 0 O 1 N l c n Z l c i 5 E Y X R h Y m F z Z V x c L z I v T X l T c W w v M T I 3 L j A u M C 4 x O j M z M D Y 7 Z H R t X 3 J k M T I v Z H R t X 3 J k M T I v Z H R t X 3 J k M T I u b m V 3 X 3 Z p b G x h Z 2 V z L n t J b m R f U m V 0 d X J u Z W V z L D l 9 J n F 1 b 3 Q 7 L C Z x d W 9 0 O 1 N l c n Z l c i 5 E Y X R h Y m F z Z V x c L z I v T X l T c W w v M T I 3 L j A u M C 4 x O j M z M D Y 7 Z H R t X 3 J k M T I v Z H R t X 3 J k M T I v Z H R t X 3 J k M T I u b m V 3 X 3 Z p b G x h Z 2 V z L n t I S F 9 S Z X R 1 c m 5 l Z X M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X J 2 Z X I u R G F 0 Y W J h c 2 V c X C 8 y L 0 1 5 U 3 F s L z E y N y 4 w L j A u M T o z M z A 2 O 2 R 0 b V 9 y Z D E y L 2 R 0 b V 9 y Z D E y L 2 R 0 b V 9 y Z D E y L m 5 l d 1 9 2 a W x s Y W d l c y 5 7 Q W R t M l 9 O Y W 1 l L D B 9 J n F 1 b 3 Q 7 L C Z x d W 9 0 O 1 N l c n Z l c i 5 E Y X R h Y m F z Z V x c L z I v T X l T c W w v M T I 3 L j A u M C 4 x O j M z M D Y 7 Z H R t X 3 J k M T I v Z H R t X 3 J k M T I v Z H R t X 3 J k M T I u b m V 3 X 3 Z p b G x h Z 2 V z L n t B Z G 0 z X 0 5 h b W U s M X 0 m c X V v d D s s J n F 1 b 3 Q 7 U 2 V y d m V y L k R h d G F i Y X N l X F w v M i 9 N e V N x b C 8 x M j c u M C 4 w L j E 6 M z M w N j t k d G 1 f c m Q x M i 9 k d G 1 f c m Q x M i 9 k d G 1 f c m Q x M i 5 u Z X d f d m l s b G F n Z X M u e 1 Z p b G x h Z 2 V f b m F t Z S w y f S Z x d W 9 0 O y w m c X V v d D t T Z X J 2 Z X I u R G F 0 Y W J h c 2 V c X C 8 y L 0 1 5 U 3 F s L z E y N y 4 w L j A u M T o z M z A 2 O 2 R 0 b V 9 y Z D E y L 2 R 0 b V 9 y Z D E y L 2 R 0 b V 9 y Z D E y L m 5 l d 1 9 2 a W x s Y W d l c y 5 7 R 3 B z X 2 x v b m c s M 3 0 m c X V v d D s s J n F 1 b 3 Q 7 U 2 V y d m V y L k R h d G F i Y X N l X F w v M i 9 N e V N x b C 8 x M j c u M C 4 w L j E 6 M z M w N j t k d G 1 f c m Q x M i 9 k d G 1 f c m Q x M i 9 k d G 1 f c m Q x M i 5 u Z X d f d m l s b G F n Z X M u e 0 d w c 1 9 s Y X Q s N H 0 m c X V v d D s s J n F 1 b 3 Q 7 U 2 V y d m V y L k R h d G F i Y X N l X F w v M i 9 N e V N x b C 8 x M j c u M C 4 w L j E 6 M z M w N j t k d G 1 f c m Q x M i 9 k d G 1 f c m Q x M i 9 k d G 1 f c m Q x M i 5 u Z X d f d m l s b G F n Z X M u e 0 l u Z F 9 J R F B z L D V 9 J n F 1 b 3 Q 7 L C Z x d W 9 0 O 1 N l c n Z l c i 5 E Y X R h Y m F z Z V x c L z I v T X l T c W w v M T I 3 L j A u M C 4 x O j M z M D Y 7 Z H R t X 3 J k M T I v Z H R t X 3 J k M T I v Z H R t X 3 J k M T I u b m V 3 X 3 Z p b G x h Z 2 V z L n t I S F 9 J R F B z L D Z 9 J n F 1 b 3 Q 7 L C Z x d W 9 0 O 1 N l c n Z l c i 5 E Y X R h Y m F z Z V x c L z I v T X l T c W w v M T I 3 L j A u M C 4 x O j M z M D Y 7 Z H R t X 3 J k M T I v Z H R t X 3 J k M T I v Z H R t X 3 J k M T I u b m V 3 X 3 Z p b G x h Z 2 V z L n t J b m R f V W 5 y Z W d p c 3 R l c m V k X 1 J l Z n V n Z W V z L D d 9 J n F 1 b 3 Q 7 L C Z x d W 9 0 O 1 N l c n Z l c i 5 E Y X R h Y m F z Z V x c L z I v T X l T c W w v M T I 3 L j A u M C 4 x O j M z M D Y 7 Z H R t X 3 J k M T I v Z H R t X 3 J k M T I v Z H R t X 3 J k M T I u b m V 3 X 3 Z p b G x h Z 2 V z L n t I S F 9 V b n J l Z 2 l z d G V y Z W R f U m V m d W d l Z X M s O H 0 m c X V v d D s s J n F 1 b 3 Q 7 U 2 V y d m V y L k R h d G F i Y X N l X F w v M i 9 N e V N x b C 8 x M j c u M C 4 w L j E 6 M z M w N j t k d G 1 f c m Q x M i 9 k d G 1 f c m Q x M i 9 k d G 1 f c m Q x M i 5 u Z X d f d m l s b G F n Z X M u e 0 l u Z F 9 S Z X R 1 c m 5 l Z X M s O X 0 m c X V v d D s s J n F 1 b 3 Q 7 U 2 V y d m V y L k R h d G F i Y X N l X F w v M i 9 N e V N x b C 8 x M j c u M C 4 w L j E 6 M z M w N j t k d G 1 f c m Q x M i 9 k d G 1 f c m Q x M i 9 k d G 1 f c m Q x M i 5 u Z X d f d m l s b G F n Z X M u e 0 h I X 1 J l d H V y b m V l c y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0 b V 9 u Z X d f d m l s b G F n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H R t X 2 5 l d 1 9 2 a W x s Y W d l c y 9 k d G 1 f b m V 3 X 3 Z p b G x h Z 2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c G F y Y X R p d m V f Z G l z c G x h Y 2 V t Z W 5 0 X 3 J l Y X N v b n N f Y W R t M z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2 N v b X B h c m F 0 a X Z l X 2 R p c 3 B s Y W N l b W V u d F 9 y Z W F z b 2 5 z X 2 F k b T M i I C 8 + P E V u d H J 5 I F R 5 c G U 9 I k Z p b G x T d G F 0 d X M i I F Z h b H V l P S J z Q 2 9 t c G x l d G U i I C 8 + P E V u d H J 5 I F R 5 c G U 9 I k Z p b G x D b 3 V u d C I g V m F s d W U 9 I m w 0 N S I g L z 4 8 R W 5 0 c n k g V H l w Z T 0 i R m l s b E V y c m 9 y Q 2 9 1 b n Q i I F Z h b H V l P S J s M C I g L z 4 8 R W 5 0 c n k g V H l w Z T 0 i R m l s b E N v b H V t b l R 5 c G V z I i B W Y W x 1 Z T 0 i c 0 J n W U d C Z 1 l Q R H c 9 P S I g L z 4 8 R W 5 0 c n k g V H l w Z T 0 i R m l s b E N v b H V t b k 5 h b W V z I i B W Y W x 1 Z T 0 i c 1 s m c X V v d D t h Z G 0 y X 2 5 h b W U m c X V v d D s s J n F 1 b 3 Q 7 Y W R t M l 9 j b 2 R l J n F 1 b 3 Q 7 L C Z x d W 9 0 O 2 F k b T N f b m F t Z S Z x d W 9 0 O y w m c X V v d D t h Z G 0 z X 2 N v Z G U m c X V v d D s s J n F 1 b 3 Q 7 c m F p c 2 9 u J n F 1 b 3 Q 7 L C Z x d W 9 0 O 0 F j d H V h b F 9 J b m Q m c X V v d D s s J n F 1 b 3 Q 7 U H J l d m l v d X N f a W 5 k J n F 1 b 3 Q 7 X S I g L z 4 8 R W 5 0 c n k g V H l w Z T 0 i R m l s b E V y c m 9 y Q 2 9 k Z S I g V m F s d W U 9 I n N V b m t u b 3 d u I i A v P j x F b n R y e S B U e X B l P S J G a W x s T G F z d F V w Z G F 0 Z W Q i I F Z h b H V l P S J k M j A x N y 0 x M i 0 y N F Q x N z o 1 N j o z N y 4 w M T A 3 O D I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V G 9 0 Y W x f Z G F 0 Y S I g L z 4 8 R W 5 0 c n k g V H l w Z T 0 i U m V j b 3 Z l c n l U Y X J n Z X R D b 2 x 1 b W 4 i I F Z h b H V l P S J s O T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M T I 3 L j A u M C 4 x O j M z M D Y 7 Z H R t X 3 J k M T I v Z H R t X 3 J k M T I v Z H R t X 3 J k M T I u Z G l z c G x h Y 2 V t Z W 5 0 X 3 J l Y X N v b l 9 j b 2 1 w Y X J h d G l 2 Z S 5 7 Y W R t M l 9 u Y W 1 l L D B 9 J n F 1 b 3 Q 7 L C Z x d W 9 0 O 1 N l c n Z l c i 5 E Y X R h Y m F z Z V x c L z I v T X l T c W w v M T I 3 L j A u M C 4 x O j M z M D Y 7 Z H R t X 3 J k M T I v Z H R t X 3 J k M T I v Z H R t X 3 J k M T I u Z G l z c G x h Y 2 V t Z W 5 0 X 3 J l Y X N v b l 9 j b 2 1 w Y X J h d G l 2 Z S 5 7 Y W R t M l 9 j b 2 R l L D F 9 J n F 1 b 3 Q 7 L C Z x d W 9 0 O 1 N l c n Z l c i 5 E Y X R h Y m F z Z V x c L z I v T X l T c W w v M T I 3 L j A u M C 4 x O j M z M D Y 7 Z H R t X 3 J k M T I v Z H R t X 3 J k M T I v Z H R t X 3 J k M T I u Z G l z c G x h Y 2 V t Z W 5 0 X 3 J l Y X N v b l 9 j b 2 1 w Y X J h d G l 2 Z S 5 7 Y W R t M 1 9 u Y W 1 l L D J 9 J n F 1 b 3 Q 7 L C Z x d W 9 0 O 1 N l c n Z l c i 5 E Y X R h Y m F z Z V x c L z I v T X l T c W w v M T I 3 L j A u M C 4 x O j M z M D Y 7 Z H R t X 3 J k M T I v Z H R t X 3 J k M T I v Z H R t X 3 J k M T I u Z G l z c G x h Y 2 V t Z W 5 0 X 3 J l Y X N v b l 9 j b 2 1 w Y X J h d G l 2 Z S 5 7 Y W R t M 1 9 j b 2 R l L D N 9 J n F 1 b 3 Q 7 L C Z x d W 9 0 O 1 N l c n Z l c i 5 E Y X R h Y m F z Z V x c L z I v T X l T c W w v M T I 3 L j A u M C 4 x O j M z M D Y 7 Z H R t X 3 J k M T I v Z H R t X 3 J k M T I v Z H R t X 3 J k M T I u Z G l z c G x h Y 2 V t Z W 5 0 X 3 J l Y X N v b l 9 j b 2 1 w Y X J h d G l 2 Z S 5 7 c m F p c 2 9 u L D R 9 J n F 1 b 3 Q 7 L C Z x d W 9 0 O 1 N l c n Z l c i 5 E Y X R h Y m F z Z V x c L z I v T X l T c W w v M T I 3 L j A u M C 4 x O j M z M D Y 7 Z H R t X 3 J k M T I v Z H R t X 3 J k M T I v Z H R t X 3 J k M T I u Z G l z c G x h Y 2 V t Z W 5 0 X 3 J l Y X N v b l 9 j b 2 1 w Y X J h d G l 2 Z S 5 7 Q W N 0 d W F s X 0 l u Z C w 1 f S Z x d W 9 0 O y w m c X V v d D t T Z X J 2 Z X I u R G F 0 Y W J h c 2 V c X C 8 y L 0 1 5 U 3 F s L z E y N y 4 w L j A u M T o z M z A 2 O 2 R 0 b V 9 y Z D E y L 2 R 0 b V 9 y Z D E y L 2 R 0 b V 9 y Z D E y L m R p c 3 B s Y W N l b W V u d F 9 y Z W F z b 2 5 f Y 2 9 t c G F y Y X R p d m U u e 1 B y Z X Z p b 3 V z X 2 l u Z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X J 2 Z X I u R G F 0 Y W J h c 2 V c X C 8 y L 0 1 5 U 3 F s L z E y N y 4 w L j A u M T o z M z A 2 O 2 R 0 b V 9 y Z D E y L 2 R 0 b V 9 y Z D E y L 2 R 0 b V 9 y Z D E y L m R p c 3 B s Y W N l b W V u d F 9 y Z W F z b 2 5 f Y 2 9 t c G F y Y X R p d m U u e 2 F k b T J f b m F t Z S w w f S Z x d W 9 0 O y w m c X V v d D t T Z X J 2 Z X I u R G F 0 Y W J h c 2 V c X C 8 y L 0 1 5 U 3 F s L z E y N y 4 w L j A u M T o z M z A 2 O 2 R 0 b V 9 y Z D E y L 2 R 0 b V 9 y Z D E y L 2 R 0 b V 9 y Z D E y L m R p c 3 B s Y W N l b W V u d F 9 y Z W F z b 2 5 f Y 2 9 t c G F y Y X R p d m U u e 2 F k b T J f Y 2 9 k Z S w x f S Z x d W 9 0 O y w m c X V v d D t T Z X J 2 Z X I u R G F 0 Y W J h c 2 V c X C 8 y L 0 1 5 U 3 F s L z E y N y 4 w L j A u M T o z M z A 2 O 2 R 0 b V 9 y Z D E y L 2 R 0 b V 9 y Z D E y L 2 R 0 b V 9 y Z D E y L m R p c 3 B s Y W N l b W V u d F 9 y Z W F z b 2 5 f Y 2 9 t c G F y Y X R p d m U u e 2 F k b T N f b m F t Z S w y f S Z x d W 9 0 O y w m c X V v d D t T Z X J 2 Z X I u R G F 0 Y W J h c 2 V c X C 8 y L 0 1 5 U 3 F s L z E y N y 4 w L j A u M T o z M z A 2 O 2 R 0 b V 9 y Z D E y L 2 R 0 b V 9 y Z D E y L 2 R 0 b V 9 y Z D E y L m R p c 3 B s Y W N l b W V u d F 9 y Z W F z b 2 5 f Y 2 9 t c G F y Y X R p d m U u e 2 F k b T N f Y 2 9 k Z S w z f S Z x d W 9 0 O y w m c X V v d D t T Z X J 2 Z X I u R G F 0 Y W J h c 2 V c X C 8 y L 0 1 5 U 3 F s L z E y N y 4 w L j A u M T o z M z A 2 O 2 R 0 b V 9 y Z D E y L 2 R 0 b V 9 y Z D E y L 2 R 0 b V 9 y Z D E y L m R p c 3 B s Y W N l b W V u d F 9 y Z W F z b 2 5 f Y 2 9 t c G F y Y X R p d m U u e 3 J h a X N v b i w 0 f S Z x d W 9 0 O y w m c X V v d D t T Z X J 2 Z X I u R G F 0 Y W J h c 2 V c X C 8 y L 0 1 5 U 3 F s L z E y N y 4 w L j A u M T o z M z A 2 O 2 R 0 b V 9 y Z D E y L 2 R 0 b V 9 y Z D E y L 2 R 0 b V 9 y Z D E y L m R p c 3 B s Y W N l b W V u d F 9 y Z W F z b 2 5 f Y 2 9 t c G F y Y X R p d m U u e 0 F j d H V h b F 9 J b m Q s N X 0 m c X V v d D s s J n F 1 b 3 Q 7 U 2 V y d m V y L k R h d G F i Y X N l X F w v M i 9 N e V N x b C 8 x M j c u M C 4 w L j E 6 M z M w N j t k d G 1 f c m Q x M i 9 k d G 1 f c m Q x M i 9 k d G 1 f c m Q x M i 5 k a X N w b G F j Z W 1 l b n R f c m V h c 2 9 u X 2 N v b X B h c m F 0 a X Z l L n t Q c m V 2 a W 9 1 c 1 9 p b m Q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X B h c m F 0 a X Z l X 2 R p c 3 B s Y W N l b W V u d F 9 y Z W F z b 2 5 z X 2 F k b T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c G F y Y X R p d m V f Z G l z c G x h Y 2 V t Z W 5 0 X 3 J l Y X N v b n N f Y W R t M y 9 k d G 1 f c m Q x M l 9 k a X N w b G F j Z W 1 l b n R f c m V h c 2 9 u X 2 N v b X B h c m F 0 a X Z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G F I C N n l S S h K v K p V V u p K 8 J g A A A A A A g A A A A A A A 2 Y A A M A A A A A Q A A A A Z Q G 0 d 3 v 3 b k h X d u P d v f m 9 R g A A A A A E g A A A o A A A A B A A A A A j d 0 9 r q y N x / e n U 1 L R + r 7 n i U A A A A H U h Y P 9 3 f / J s m 9 Y G F l D f j M 3 g P z u Y Q P g t F b p S i k q X L X k L J g i n 7 6 2 j J / S / i B D N 0 / a o i u A D I W F y k 3 h b 7 j e M u M 2 s 9 g Z g D D 6 M i + h e n 3 / + F / N 6 N w l G F A A A A E M D A Q Q s h a G J 2 v y Y w p K u v S T Y k J Z y < / D a t a M a s h u p > 
</file>

<file path=customXml/itemProps1.xml><?xml version="1.0" encoding="utf-8"?>
<ds:datastoreItem xmlns:ds="http://schemas.openxmlformats.org/officeDocument/2006/customXml" ds:itemID="{34FE7307-7BFE-40ED-9A59-B86CBAB0100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Sheet1</vt:lpstr>
      <vt:lpstr>Dashboard</vt:lpstr>
      <vt:lpstr>Demographic</vt:lpstr>
      <vt:lpstr>Settlement_totals</vt:lpstr>
      <vt:lpstr>Displacement_Reasons</vt:lpstr>
      <vt:lpstr>Locations</vt:lpstr>
      <vt:lpstr>Displacement_Periods</vt:lpstr>
      <vt:lpstr>Organizations</vt:lpstr>
      <vt:lpstr>Evolution_par_categorie</vt:lpstr>
      <vt:lpstr>Variations_R5_R12</vt:lpstr>
      <vt:lpstr>NewVillages</vt:lpstr>
      <vt:lpstr>Displacement &amp; Returns</vt:lpstr>
      <vt:lpstr>Total_data</vt:lpstr>
      <vt:lpstr>Dashboard!Print_Area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Developpeur</dc:creator>
  <cp:lastModifiedBy>MANN Cecilia</cp:lastModifiedBy>
  <cp:lastPrinted>2018-01-18T12:54:54Z</cp:lastPrinted>
  <dcterms:created xsi:type="dcterms:W3CDTF">2017-01-07T16:54:32Z</dcterms:created>
  <dcterms:modified xsi:type="dcterms:W3CDTF">2018-01-22T14:50:27Z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dc57a9ff-75bc-4cb5-b488-ed80a8e1955c</vt:lpwstr>
  </property>
  <property fmtid="{D5CDD505-2E9C-101B-9397-08002B2CF9AE}" pid="3" name="ConnectionInfosStorage">
    <vt:lpwstr>WorkbookXmlParts</vt:lpwstr>
  </property>
</Properties>
</file>